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CSE" sheetId="1" r:id="rId5"/>
    <sheet state="visible" name="FSE" sheetId="2" r:id="rId6"/>
    <sheet state="visible" name="PapersOverview" sheetId="3" r:id="rId7"/>
    <sheet state="visible" name="Links" sheetId="4" r:id="rId8"/>
    <sheet state="visible" name="LatexVariables" sheetId="5" r:id="rId9"/>
    <sheet state="visible" name="VariablesPerTableAndFigure" sheetId="6" r:id="rId10"/>
    <sheet state="visible" name="Repositories" sheetId="7" r:id="rId11"/>
    <sheet state="visible" name="ArtifactsAvailability" sheetId="8" r:id="rId12"/>
    <sheet state="visible" name="SectionLocation" sheetId="9" r:id="rId13"/>
    <sheet state="visible" name="Statements" sheetId="10" r:id="rId14"/>
    <sheet state="visible" name="LinkingAndStatementsEvolution" sheetId="11" r:id="rId15"/>
    <sheet state="visible" name="Badges" sheetId="12" r:id="rId16"/>
    <sheet state="visible" name="FSETimelineData" sheetId="13" r:id="rId17"/>
    <sheet state="visible" name="ICSETimelineData" sheetId="14" r:id="rId18"/>
    <sheet state="visible" name="ICSEFSETimelineData" sheetId="15" r:id="rId19"/>
    <sheet state="visible" name="ICSEFSETimelineComparison" sheetId="16" r:id="rId20"/>
    <sheet state="visible" name="SpearmanData" sheetId="17" r:id="rId21"/>
  </sheets>
  <definedNames>
    <definedName localSheetId="1" name="AD21AF348">#REF!</definedName>
    <definedName name="AD21AF348">#REF!</definedName>
    <definedName hidden="1" localSheetId="0" name="_xlnm._FilterDatabase">ICSE!$A$1:$AM$1237</definedName>
    <definedName hidden="1" localSheetId="1" name="_xlnm._FilterDatabase">FSE!$A$1:$AM$841</definedName>
    <definedName hidden="1" localSheetId="3" name="_xlnm._FilterDatabase">Links!$A$2:$BF$2173</definedName>
    <definedName hidden="1" localSheetId="4" name="_xlnm._FilterDatabase">LatexVariables!$A$1:$F$486</definedName>
    <definedName hidden="1" localSheetId="0" name="Z_B369A44D_164A_44F5_B08D_2D350B30EE4F_.wvu.FilterData">ICSE!$A$1:$AA$204</definedName>
    <definedName hidden="1" localSheetId="1" name="Z_B369A44D_164A_44F5_B08D_2D350B30EE4F_.wvu.FilterData">FSE!$A$1:$S$204</definedName>
  </definedNames>
  <calcPr/>
  <customWorkbookViews>
    <customWorkbookView activeSheetId="0" maximized="1" windowHeight="0" windowWidth="0" guid="{B369A44D-164A-44F5-B08D-2D350B30EE4F}" name="Filtro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
      <text>
        <t xml:space="preserve">Excluded:
- ICSE 0751
- ICSE 0944
- ICSE 0984
- ICSE 1124
- ICSE 1679
- ICSE 2132
- FSE 0364
- FSE 0480
- FSE 0700</t>
      </text>
    </comment>
    <comment authorId="0" ref="AV1">
      <text>
        <t xml:space="preserve">Excluded:
- ICSE 0817
- ICSE 2075
- ICSE 2229</t>
      </text>
    </comment>
    <comment authorId="0" ref="AX1">
      <text>
        <t xml:space="preserve">Excluded:
- FSE 0795</t>
      </text>
    </comment>
  </commentList>
</comments>
</file>

<file path=xl/sharedStrings.xml><?xml version="1.0" encoding="utf-8"?>
<sst xmlns="http://schemas.openxmlformats.org/spreadsheetml/2006/main" count="64813" uniqueCount="7554">
  <si>
    <t>Paper ID</t>
  </si>
  <si>
    <t>Paper Title</t>
  </si>
  <si>
    <t>Year</t>
  </si>
  <si>
    <t>Successfully passed AE</t>
  </si>
  <si>
    <t>Artifacts Available badge</t>
  </si>
  <si>
    <t>Functional - Artifacts Evaluated badge</t>
  </si>
  <si>
    <t>Reusable - Artifacts Evaluated badge</t>
  </si>
  <si>
    <t>Results Replicated - Results Validated badge</t>
  </si>
  <si>
    <t>Results Reproduced - Results Validated badge</t>
  </si>
  <si>
    <t>Other badge</t>
  </si>
  <si>
    <t>Artifact link</t>
  </si>
  <si>
    <t>Footnote</t>
  </si>
  <si>
    <t>References</t>
  </si>
  <si>
    <t>Introduction</t>
  </si>
  <si>
    <t>Conclusion</t>
  </si>
  <si>
    <t>Highlight</t>
  </si>
  <si>
    <t>Specific section or subsection</t>
  </si>
  <si>
    <t>Other Place</t>
  </si>
  <si>
    <t>Where is talking about the link?</t>
  </si>
  <si>
    <t>Artifact link(s)</t>
  </si>
  <si>
    <t>Publicly available</t>
  </si>
  <si>
    <t>Not available</t>
  </si>
  <si>
    <t>Restrict access</t>
  </si>
  <si>
    <t>No links</t>
  </si>
  <si>
    <t># of different links</t>
  </si>
  <si>
    <t>University domain</t>
  </si>
  <si>
    <t>unique identifier</t>
  </si>
  <si>
    <t>Is there a statement?</t>
  </si>
  <si>
    <t>Statements for non-disclosure or partial disclosure of the research artifacts</t>
  </si>
  <si>
    <t>Statements 1</t>
  </si>
  <si>
    <t>Statements 2</t>
  </si>
  <si>
    <t>Statements 3</t>
  </si>
  <si>
    <t>Paper download</t>
  </si>
  <si>
    <t>Track</t>
  </si>
  <si>
    <t>Cowboys, ankle sprains, and keepers of quality: how is video game development different from software development?</t>
  </si>
  <si>
    <t>No</t>
  </si>
  <si>
    <t>-</t>
  </si>
  <si>
    <t>Yes</t>
  </si>
  <si>
    <t>- FN 1 - 3. METHODOLOGY
- [38] 4. RESULTS</t>
  </si>
  <si>
    <t>http://people.engr.ncsu.edu/ermurph3/experiments/Games.pdf
&gt; Microsoft Research (MSR-TR-2014-24) - real link: https://www.microsoft.com/en-us/research/wp-content/uploads/2016/02/MSR-TR-2014-24.pdf</t>
  </si>
  <si>
    <t>http://people.engr.ncsu.edu/ermurph3/experiments/Games.pdf
Microsoft Research (MSR-TR-2014-24) - real link: https://www.microsoft.com/en-us/research/wp-content/uploads/2016/02/MSR-TR-2014-24.pdf</t>
  </si>
  <si>
    <t>Not available (1) - Broken link.
Publicly available (1)</t>
  </si>
  <si>
    <t>----</t>
  </si>
  <si>
    <t>Technical</t>
  </si>
  <si>
    <t>Analyze this! 145 questions for data scientists in software engineering</t>
  </si>
  <si>
    <t>[11]
- 1. INTRODUCTION
- 3. METHODOLOGY * (4x)
- 6. CONCLUSION</t>
  </si>
  <si>
    <t>http://aka.ms/145Questions</t>
  </si>
  <si>
    <t>Not available (1) - Broken link.</t>
  </si>
  <si>
    <t>The dimensions of software engineering success</t>
  </si>
  <si>
    <t>How do professionals perceive legacy systems and software modernization?</t>
  </si>
  <si>
    <t>- FN 2 - 2. STUDY DESIGN
- FN 3 - 4. DISCUSSION
- [6] 2. STUDY DESIGN</t>
  </si>
  <si>
    <t>http://www.servicifi.org
&gt; TR UU-CS-2014-004 - real link: https://www.cs.uu.nl/research/techreps/UU-CS-2014-004.html</t>
  </si>
  <si>
    <r>
      <rPr>
        <rFont val="Arial"/>
        <color theme="1"/>
        <sz val="10.0"/>
      </rPr>
      <t xml:space="preserve">http://www.servicifi.org
TR UU-CS-2014-004 - real link: </t>
    </r>
    <r>
      <rPr>
        <rFont val="Arial"/>
        <color theme="1"/>
        <sz val="10.0"/>
      </rPr>
      <t>https://www.cs.uu.nl/research/techreps/UU-CS-2014-004.html</t>
    </r>
  </si>
  <si>
    <t>SimRT: an automated framework to support regression testing for data races</t>
  </si>
  <si>
    <t>Performance regression testing target prioritization via performance risk analysis</t>
  </si>
  <si>
    <t>- 4. IMPLEMENTATION
- 8. CONCLUSIONS AND FUTURE WORK
- FN 2 - 5. EVALUATION *</t>
  </si>
  <si>
    <t>http://cseweb.ucsd.edu/~peh003/perfscope
http://ideone.com/6d70fJ</t>
  </si>
  <si>
    <t>Publicly available (2)</t>
  </si>
  <si>
    <t>Code coverage for suite evaluation by developers</t>
  </si>
  <si>
    <t>[17] 3. METHODOLOGY</t>
  </si>
  <si>
    <t>http://dx.doi.org/10.7910/DVN/24574 ( real link: https://dataverse.harvard.edu/dataset.xhtml?persistentId=doi:10.7910/DVN/24574 )</t>
  </si>
  <si>
    <t>http://dx.doi.org/10.7910/DVN/24574</t>
  </si>
  <si>
    <t>Publicly available (1)</t>
  </si>
  <si>
    <t>Time pressure: a controlled experiment of test case development and requirements review</t>
  </si>
  <si>
    <t>[39]
- 3. RESEARCH METHODOLOGY * (4x)
- 5. DISCUSSION * - 5.2 Threats to Validity</t>
  </si>
  <si>
    <t>http://users.tkk.fi/~mmantyla/TP/</t>
  </si>
  <si>
    <t>Verifying component and connector models against crosscutting structural views</t>
  </si>
  <si>
    <t>[3]
2. OVERVIEW *
3. PRELIMINARIES
4. C&amp;C VIEWS VERIFICATION * (2x)
5. EVALUATION (3x) *</t>
  </si>
  <si>
    <t>http://www.se-rwth.de/materials/cncviews/</t>
  </si>
  <si>
    <t>TradeMaker: automated dynamic analysis of synthesized tradespaces</t>
  </si>
  <si>
    <t>- FN 1 - 2. DRIVING PROBLEM
- 5. DYNAMIC ANALYSIS EXPERIMENT *</t>
  </si>
  <si>
    <t>http://jazz.cs.virginia.edu:8080/Trademaker/data</t>
  </si>
  <si>
    <t>Lifting model transformations to product lines</t>
  </si>
  <si>
    <t>Automated goal operationalisation based on interpolation and SAT solving</t>
  </si>
  <si>
    <t>6. DEMONSTRATING EXAMPLES</t>
  </si>
  <si>
    <t>http://dc.exa.unrc.edu.ar/staff/rdegiovanni/icse2014.zip</t>
  </si>
  <si>
    <t>Mining configuration constraints: static analyses and empirical results</t>
  </si>
  <si>
    <t>- [5] 4. EMPIRICAL STUDY * (2x)
- [2] 3. EXTRACTING CODE CONSTRAINTS</t>
  </si>
  <si>
    <t>http://gsd.uwaterloo.ca/farce
https://bitbucket.org/tberger/farce</t>
  </si>
  <si>
    <t>Publicly available (1)
Not available (1) - Broken link.</t>
  </si>
  <si>
    <t>Which configuration option should I change?</t>
  </si>
  <si>
    <t>- 1. INTRODUCTION *
- 7. CONCLUSION AND FUTURE WORK</t>
  </si>
  <si>
    <t>http://config-errors.googlecode.com</t>
  </si>
  <si>
    <t>Detecting differences across multiple instances of code clones</t>
  </si>
  <si>
    <t>1. INTRODUCTION</t>
  </si>
  <si>
    <t>http://www.se.fudan.edu.cn/clonepedia/diff/</t>
  </si>
  <si>
    <t>Achieving accuracy and scalability simultaneously in detecting application clones on Android markets</t>
  </si>
  <si>
    <t>[8] 3. OUR APPROACH *</t>
  </si>
  <si>
    <t>http://sites.psu.edu/kaichen/2014/02/20/a-list-of-shared-libraries-and-ad-libraries-used-in-android-apps</t>
  </si>
  <si>
    <t>Two's company, three's a crowd: a case study of crowdsourcing software development</t>
  </si>
  <si>
    <t>[76] 3. RESEARCH SETTING AND METHODS *</t>
  </si>
  <si>
    <t>http://staff.lero.ie/stol/publications</t>
  </si>
  <si>
    <t>Does latitude hurt while longitude kills? geographical and temporal separation in a large scale software development project</t>
  </si>
  <si>
    <t>Software engineering at the speed of light: how developers stay current using twitter</t>
  </si>
  <si>
    <t>[16] 3. STUDY DESIGN</t>
  </si>
  <si>
    <t>&gt; Technical Report DCS-353-IR - real link: https://leif.me/papers/Software-Developers-Twitter-Supplements-DCS-353-IR.pdf</t>
  </si>
  <si>
    <t>Technical Report DCS-353-IR - real link: https://leif.me/papers/Software-Developers-Twitter-Supplements-DCS-353-IR.pdf</t>
  </si>
  <si>
    <t>Building it together: synchronous development in OSS</t>
  </si>
  <si>
    <t>FN 2 - 4. RESULTS AND DISCUSSION</t>
  </si>
  <si>
    <t>http://www.cs.ucdavis.edu/~filkov/ICSEData.zip</t>
  </si>
  <si>
    <t>Data-guided repair of selection statements</t>
  </si>
  <si>
    <t>[6]
- FN 1 - 1. INTRODUCTION *
- 2. REPAIR ALGORITHM (3x)
- 3. CASE STUDIES</t>
  </si>
  <si>
    <t>http://domino.watson.ibm.com/library/CyberDig.nsf/home</t>
  </si>
  <si>
    <t>The strength of random search on automated program repair</t>
  </si>
  <si>
    <t xml:space="preserve">8. CONCLUSIONS
</t>
  </si>
  <si>
    <t>http://qiyuhua.github.com/projects/rsrepair/</t>
  </si>
  <si>
    <t>MintHint: automated synthesis of repair hints</t>
  </si>
  <si>
    <t>Mining behavior models from user-intensive web applications</t>
  </si>
  <si>
    <t>FN 7 - 6. PERFORMANCE AND SCALABILITY</t>
  </si>
  <si>
    <t>http://giordano.webfactional.com/?page_id=22</t>
  </si>
  <si>
    <t>Reviser: efficiently updating IDE-/IFDS-based data-flow analyses in response to incremental program changes</t>
  </si>
  <si>
    <t>- 1. INTRODUCTION
[1]
- 1. INTRODUCTION
- 3. INCREMENTAL UPDATES *
- 4. IMPLEMENTATION
- 5. EXPERIMENTS</t>
  </si>
  <si>
    <t>http://sseblog.ec-spride.de/tools/reviser/
http://bodden.de/pubs/TUD-CS-2013-0253.pdf</t>
  </si>
  <si>
    <t>Automated design of self-adaptive software with control-theoretical formal guarantees</t>
  </si>
  <si>
    <t>FN 2 - 4. EXPERIMENTAL EVALUATION</t>
  </si>
  <si>
    <t>http://www.iste.uni-stuttgart.de/rss/people/filieri/icse-2014-control</t>
  </si>
  <si>
    <t>Perturbation analysis of stochastic systems with empirical distribution parameters</t>
  </si>
  <si>
    <t>5. CASE STUDIES</t>
  </si>
  <si>
    <t>http://www.comp.nus.edu.sg/~sugx/icse14/</t>
  </si>
  <si>
    <t>How do centralized and distributed version control systems impact software changes?</t>
  </si>
  <si>
    <t>- 1. INTRODUCTION
- FN 1 - 2. EXPERIMENTAL SETUP *
- [5] and [11] 4. THREATS TO VALIDITY --- HL Reliability</t>
  </si>
  <si>
    <t>http://cope.eecs.oregonstate.edu/VCStudy
http://www.github.com/caiusb/gitsvn
http://tiny.cc/VCStudy</t>
  </si>
  <si>
    <t>Not available (2) - Broken link.
Publicly available (1)</t>
  </si>
  <si>
    <t>Transition from centralized to decentralized version control systems: a case study on reasons, barriers, and outcomes</t>
  </si>
  <si>
    <t>An exploratory study of the pull-based software development model</t>
  </si>
  <si>
    <t xml:space="preserve">11. CONCLUSION
</t>
  </si>
  <si>
    <t>Github repository gousiosg/pullreqs (real link: http://www.github.com/gousiosg/pullreqs)</t>
  </si>
  <si>
    <t>Github repository gousiosg/pullreqs</t>
  </si>
  <si>
    <t>Influence of social and technical factors for evaluating contribution in GitHub</t>
  </si>
  <si>
    <t>Understanding JavaScript event-based interactions</t>
  </si>
  <si>
    <t>[1]
- 1. INTRODUCTION
- 4. APPROACH *
- 9. DISCUSSION * --- HL Reproducibility
[3]
- 4. APPROACH (2x) *
- 5. CONTROLLED EXPERIMENTS (3x) *
- 9. DISCUSSION * --- HL Reproducibility</t>
  </si>
  <si>
    <r>
      <rPr>
        <rFont val="Arial"/>
        <color theme="1"/>
        <sz val="10.0"/>
      </rPr>
      <t>http://salt.ece.ubc.ca/software/clematis/</t>
    </r>
    <r>
      <rPr>
        <rFont val="Arial"/>
        <color theme="1"/>
        <sz val="10.0"/>
      </rPr>
      <t xml:space="preserve">
http://salt.ece.ubc.ca/publications/docs/UBC-SALT-2014-001.pdf</t>
    </r>
  </si>
  <si>
    <t>http://salt.ece.ubc.ca/software/clematis/</t>
  </si>
  <si>
    <t>Understanding understanding source code with functional magnetic resonance imaging</t>
  </si>
  <si>
    <t>FN 1 - 3. STUDY DESIGN</t>
  </si>
  <si>
    <t>tinyurl.com/ProgramComprehensionAndfMRI/ (real link: https://www.tu-chemnitz.de/informatik/ST/research/material/fMRI/index.php)</t>
  </si>
  <si>
    <t>tinyurl.com/ProgramComprehensionAndfMRI/</t>
  </si>
  <si>
    <t>Improving automated source code summarization via an eye-tracking study of programmers</t>
  </si>
  <si>
    <t>4. EYE-TRACKING STUDY DESIGN * --- 4.2 Methodology --- 4.2.7 Reproducibility</t>
  </si>
  <si>
    <t>http://www3.nd.edu/~prodeghe/projects/eyesum/</t>
  </si>
  <si>
    <t>Using psycho-physiological measures to assess task difficulty in software development</t>
  </si>
  <si>
    <t>FN 1 - 3. EXPERIMENT</t>
  </si>
  <si>
    <t>http://research.microsoft.com/apps/pubs/?id=209878</t>
  </si>
  <si>
    <t>Dictionary learning based software defect prediction</t>
  </si>
  <si>
    <t>Comparing static bug finders and statistical prediction</t>
  </si>
  <si>
    <t>Indeed, our dataset of warnings from bug-finding tools is very hard-won, and we claim the public availability of our dataset is itself an important stepping-stone for future work on comparing the two and searching for synergies.
• Finally, we have (with a great deal of effort) created a multi-release repository of warnings from three tools, Jlint, pmd, and FindBugs, which we shall make publicly available for future research.
Ideally, this experiment should be repeated for more projects in more different languages, with other tools. In this case, since we making the defect data publicly available, it may help other researchers try other Java-based SBF tools.
In addition, AUCEC per se has been criticized for ignoring the cost of false negatives (missed defects [29]). We hope that our making this hard-won warnings &amp; defect data available will encourage repetition of this trial with other measures.
We acknowledge these arguments, but claim our procedure defines a reasonable baseline for a longoverdue comparison; we hope that our dataset will enable other types of future analysis of the CBI problem.</t>
  </si>
  <si>
    <t>Future plans (—)</t>
  </si>
  <si>
    <t>Coverage is not strongly correlated with test suite effectiveness</t>
  </si>
  <si>
    <t>- FN 1 - 2. RELATED WORK
- FN 8 - 4. RESULTS</t>
  </si>
  <si>
    <t>http://linozemtseva.com/research/2014/icse/coverage/</t>
  </si>
  <si>
    <t>How to make best use of cross-company data in software effort estimation?</t>
  </si>
  <si>
    <t>CARE: cache guided deterministic replay for concurrent Java programs</t>
  </si>
  <si>
    <t>Inferring models of concurrent systems from logs of their behavior with CSight</t>
  </si>
  <si>
    <t>- ABSTRACT
- 9. CONCLUSION
- FN 6 - 5. LOGGING VECTOR TIMESTAMPS
- FN 9 - 6. EXPERIMENTAL EVALUATION
[8]
- 3. FORMAL DESCRIPTION OF CSIGHT * (3x)
- 3. FORMAL DESCRIPTION OF CSIGHT --- caption of Figure 5
- FN 5 - 4. FORMAL ANALYSIS</t>
  </si>
  <si>
    <t>http://synoptic.googlecode.com/
http://hdl.handle.net/2429/46122
https://bitbucket.org/bestchai/shivector/
http://www.bestchai.net/papers/icse2014_csight_eval/</t>
  </si>
  <si>
    <t>Not available (3) - Broken link.
Publicly available (1)</t>
  </si>
  <si>
    <t>Unleashing concurrency for irregular data structures</t>
  </si>
  <si>
    <t>FN 3 - 3. OPTIMIZATION OF LOCKS</t>
  </si>
  <si>
    <t>https://cse.hkust.edu.hk/prism/MGL/TR.pdf</t>
  </si>
  <si>
    <t>ConLock: a constraint-based approach to dynamic checking on deadlocks in multithreaded programs</t>
  </si>
  <si>
    <t>SEEDS: a software engineer's energy-optimization decision support framework</t>
  </si>
  <si>
    <t>APE: an annotation language and middleware for energy-efficient mobile application development</t>
  </si>
  <si>
    <t>Making web applications more energy efficient for OLED smartphones</t>
  </si>
  <si>
    <t xml:space="preserve">[20] 7. EVALUATION *
</t>
  </si>
  <si>
    <r>
      <rPr>
        <rFont val="Arial"/>
        <color theme="1"/>
        <sz val="10.0"/>
      </rPr>
      <t>http://www-scf.usc.edu/</t>
    </r>
    <r>
      <rPr>
        <rFont val="Arial"/>
        <color theme="1"/>
        <sz val="10.0"/>
      </rPr>
      <t>~dingli/Nyx</t>
    </r>
  </si>
  <si>
    <t>http://www-scf.usc.edu/~dingli/Nyx</t>
  </si>
  <si>
    <t>Micro execution</t>
  </si>
  <si>
    <t>Unit test virtualization with VMVM</t>
  </si>
  <si>
    <t>[7]
- 1. INTRODUCTION (2x)
- 4. IMPLEMENTATION (2x) *
[8]
- 2. MOTIVATION * (2x)
- 4. IMPLEMENTATION *
- 5. EXPERIMENTAL RESULTS *</t>
  </si>
  <si>
    <r>
      <rPr>
        <rFont val="Arial"/>
        <color theme="1"/>
        <sz val="10.0"/>
      </rPr>
      <t>https://github.com/Programming-Systems-Lab/vmvm</t>
    </r>
    <r>
      <rPr>
        <rFont val="Arial"/>
        <color theme="1"/>
        <sz val="10.0"/>
      </rPr>
      <t xml:space="preserve">
http://mice.cs.columbia.edu/getTechreport.php? techreportID=1549&amp;format=pdf</t>
    </r>
  </si>
  <si>
    <t>https://github.com/Programming-Systems-Lab/vmvm
http://mice.cs.columbia.edu/getTechreport.php?techreportID=1549&amp;format=pdf</t>
  </si>
  <si>
    <t>Interpolated n-grams for model based testing</t>
  </si>
  <si>
    <t>4. EXPERIMENTAL RESULTS</t>
  </si>
  <si>
    <t>http://selab.fbk.eu/icse2014.zip
http://se.fbk.eu/technologies</t>
  </si>
  <si>
    <t>Not available (2) - Broken link.</t>
  </si>
  <si>
    <t>An analysis of the relationship between conditional entropy and failed error propagation in software testing</t>
  </si>
  <si>
    <t>Trading robustness for maintainability: an empirical study of evolving c# programs</t>
  </si>
  <si>
    <t>[40] 5. THREATS TO VALIDITY</t>
  </si>
  <si>
    <t>http://www.dimap.ufrn.br/~neliocacho/csharpstudy.html</t>
  </si>
  <si>
    <t>Case studies and tools for contract specifications</t>
  </si>
  <si>
    <t>- 6. RECOMMENDATIONS
- 8. CONCLUSION</t>
  </si>
  <si>
    <t>http://homes.cs.washington.edu/~tws/code-contracts/</t>
  </si>
  <si>
    <t>Using dynamic analysis to generate disjunctive invariants</t>
  </si>
  <si>
    <t>Inductive verification of data model invariants for web applications</t>
  </si>
  <si>
    <t>6. IMPLEMENTATION &amp; EXPERIMENTS</t>
  </si>
  <si>
    <t>http://bocete.github.io/adsl/</t>
  </si>
  <si>
    <t>How do API documentation and static typing affect API usability?</t>
  </si>
  <si>
    <t>Live API documentation</t>
  </si>
  <si>
    <t>FN 6 - 6. ENABLING LIVE DOCUMENTATION</t>
  </si>
  <si>
    <t>https://cs.uwaterloo.ca/~rtholmes/baker</t>
  </si>
  <si>
    <t>CodeHint: dynamic and interactive synthesis of code snippets</t>
  </si>
  <si>
    <t>- 2. OVERVIEW
- FN 3 - 4. IMPLEMENTATION
- FN 4 - 7. FUTURE WORK</t>
  </si>
  <si>
    <t>http://www.cs.berkeley.edu/~joel/codehint/
https://github.com/jgalenson/codehint
https://github.com/jgalenson/codehint.js</t>
  </si>
  <si>
    <t>Publicly available (3)</t>
  </si>
  <si>
    <t>Spotting working code examples</t>
  </si>
  <si>
    <t>Self-adaptation through incremental generative model transformations at runtime</t>
  </si>
  <si>
    <t>Hope for the best, prepare for the worst: multi-tier control for adaptive systems</t>
  </si>
  <si>
    <t>[1] FN 1 - 4. MULTI-TIER CONTROL</t>
  </si>
  <si>
    <t>https://www.doc.ic.ac.uk/~su2/tmp/shl.pdf</t>
  </si>
  <si>
    <t>Brownout: building more robust cloud applications</t>
  </si>
  <si>
    <t>FN 1 - 1. INTRODUCTION</t>
  </si>
  <si>
    <t>https://github.com/cristiklein/brownout</t>
  </si>
  <si>
    <t>Integrating adaptive user interface capabilities in enterprise applications</t>
  </si>
  <si>
    <t>[33]
- 1.INTRODUCTION
- 3.INTEGRATING ADAPTIVE UIS IN OFBIZ
- 5.EVALUATING THE GENERALITY AND FLEXIBILITY OF OUR METHOD</t>
  </si>
  <si>
    <t>http://adaptiveui.pierreakiki.com/</t>
  </si>
  <si>
    <t>Programmers' build errors: a case study (at google)</t>
  </si>
  <si>
    <t>Understanding and improving software build teams</t>
  </si>
  <si>
    <t>[35] 3. METHODOLOGY</t>
  </si>
  <si>
    <t>http://research.microsoft.com/apps/pubs/?id=209991</t>
  </si>
  <si>
    <t>Towards efficient optimization in package management systems</t>
  </si>
  <si>
    <t>Easing software component repository evolution</t>
  </si>
  <si>
    <t>9. CONCLUSIONS --- HL Source Code</t>
  </si>
  <si>
    <t>http://coinst.irill.org/comigrate</t>
  </si>
  <si>
    <t>AR-miner: mining informative reviews for developers from mobile app marketplace</t>
  </si>
  <si>
    <t>https://sites.google.com/site/appsuserreviews/</t>
  </si>
  <si>
    <t>Mining billions of AST nodes to study actual and potential usage of Java language features</t>
  </si>
  <si>
    <t>http://boa.cs.iastate.edu/java-features/</t>
  </si>
  <si>
    <t>Mining interprocedural, data-oriented usage patterns in JavaScript web applications</t>
  </si>
  <si>
    <t>Mining fine-grained code changes to detect unknown change patterns</t>
  </si>
  <si>
    <t>- 1. INTRODUCTION
[22]
- 4. OVERVIEW OF OUR ALGORITHM
- 5. EVALUATION *
- 7. RELATED WORK *</t>
  </si>
  <si>
    <r>
      <rPr>
        <rFont val="Arial"/>
        <color theme="1"/>
        <sz val="10.0"/>
      </rPr>
      <t xml:space="preserve">http://codingtracker.web.engr.illinois.edu
</t>
    </r>
    <r>
      <rPr>
        <rFont val="Arial"/>
        <color theme="1"/>
        <sz val="10.0"/>
      </rPr>
      <t>http://hdl.handle.net/2142/43889</t>
    </r>
  </si>
  <si>
    <t>http://codingtracker.web.engr.illinois.edu
http://hdl.handle.net/2142/43889</t>
  </si>
  <si>
    <t>Our dataset is not publicly available due the nondisclosure agreement with our participants.</t>
  </si>
  <si>
    <t>Barriers (Agreements and legal rights)</t>
  </si>
  <si>
    <t>Detecting memory leaks through introspective dynamic behavior modelling using machine learning</t>
  </si>
  <si>
    <t>Automated memory leak detection for production use</t>
  </si>
  <si>
    <t>Vejovis: suggesting fixes for JavaScript faults</t>
  </si>
  <si>
    <t>[2]
- 5. APPROACH *
- 6. EVALUATION *
- 7. DISCUSSION</t>
  </si>
  <si>
    <t>http://ece.ubc.ca/~frolino/projects/vejovis/</t>
  </si>
  <si>
    <t>Is spreadsheet ambiguity harmful? detecting and repairing spreadsheet smells due to ambiguous computation</t>
  </si>
  <si>
    <t>Us and them: a study of privacy requirements across North America, Asia, and Europe</t>
  </si>
  <si>
    <t>FN 1 - 2. STUDY DESIGN *</t>
  </si>
  <si>
    <t>http://mobis.informatik.uni-hamburg.de/privacy-requirements/</t>
  </si>
  <si>
    <t>Distilling privacy requirements for mobile applications</t>
  </si>
  <si>
    <t>Uncertainty, risk, and information value in software requirements and architecture</t>
  </si>
  <si>
    <t>- 1. INTRODUCTION
- FN 2 - 3. SOFTWARE DESIGN DECISIONS UNDER UNCERTAINTY *
- [20] 3. SOFTWARE DESIGN DECISIONS UNDER UNCERTAINTY</t>
  </si>
  <si>
    <t>www.cs.ucl.ac.uk/staff/e.letier/sdda
&gt;Technical report - real link: https://cs.gmu.edu/media/techreports/GMU-CS-TR-2011-3.pdf</t>
  </si>
  <si>
    <t>www.cs.ucl.ac.uk/staff/e.letier/sdda
Technical report - real link: https://cs.gmu.edu/media/techreports/GMU-CS-TR-2011-3.pdf</t>
  </si>
  <si>
    <t>Requirements fixation</t>
  </si>
  <si>
    <t>Exploring variability-aware execution for testing plugin-based web applications</t>
  </si>
  <si>
    <t>[8] 5. EMPIRICAL STUDY</t>
  </si>
  <si>
    <t>http://home.engineering.iastate.edu/~hungnv/Research/Varex/</t>
  </si>
  <si>
    <t>A study of equivalent and stubborn mutation operators using human analysis of equivalence</t>
  </si>
  <si>
    <t>3. MANUAL ANALYSIS OF STUBBORN &amp; EQUIVALENT MUTANTS *</t>
  </si>
  <si>
    <t>www.cs.ucl.ac.uk/staff/Y.Jia/projects/equivalent_mutants</t>
  </si>
  <si>
    <t>Cross-checking oracles from intrinsic software redundancy</t>
  </si>
  <si>
    <t>- FN 6 - 3. CROSS-CHECKING ORACLES *
- FN 11 - 4. EXPERIMENTAL EVALUATION *</t>
  </si>
  <si>
    <t>http://star.inf.usi.ch/star/cross-check</t>
  </si>
  <si>
    <t>Mind the gap: assessing the conformance of software traceability to relevant guidelines</t>
  </si>
  <si>
    <t>Effects of using examples on structural model comprehension: a controlled experiment</t>
  </si>
  <si>
    <t>[4]
- 4. DATA COLLECTION *
- 5. DATA ANALYSIS *
- 6. RESULTS * (2x)
- 7. THREATS TO VALIDITY *
- 9. CONCLUSIONS
- 10. FIGURE EXTRACTS
- 10. FIGURE EXTRACTS - caption of Figures 3
- 10. FIGURE EXTRACTS - caption of Figures 4</t>
  </si>
  <si>
    <t>http://gsd.uwaterloo.ca/node/541</t>
  </si>
  <si>
    <t>Design rule spaces: a new form of architecture insight</t>
  </si>
  <si>
    <t>Controlled modeling environment using flexibly-formatted spreadsheets</t>
  </si>
  <si>
    <t>Feature maintenance with emergent interfaces</t>
  </si>
  <si>
    <t>5. RESULTS AND DISCUSSION</t>
  </si>
  <si>
    <t>http://twiki.cin.ufpe.br/twiki/bin/view/SPG/EmergentInterfaces</t>
  </si>
  <si>
    <t>Detecting performance anti-patterns for applications developed using object-relational mapping</t>
  </si>
  <si>
    <t>[...] we apply our framework on two open source systems (PetClinic and BroafLeaf commence) and one large-scale closed-source enterprise system (EA).
Broadleaf is a large open source e-commerce system that is used in many commercial companies worldwide for building online transaction platforms. EA supports a large number of users concurrently and is used by millions of users worldwide on a daily basis. We sought to use open source systems, in addition to the commercial system, so others can verify our findings and replicate our experiments on the open source systems, as we are not able to provide access to the EA.
Due to non-disclosure agreement (NDA), we cannot present the exact numbers of detected anti-patterns in EA. However, we can confirm that our framework is able to detect many of the existing and new performance problems in EA.
Figure 3 (EA is excluded due to NDA) shows that most software packages do not have instances of performance anti-patterns (e.g., more than 60% of the packages in Broadleaf have almost zero performance antipattern instance), and only about 15–35% of the packages in Broadleaf have anti-pattern instances. 
We rank the packages by the number of performance anti-pattern instances (both excessive data and one-by-one processing together) contained in each package, and list the names in Table 5. We exclude EA in this study due to NDA.</t>
  </si>
  <si>
    <t>Characterizing and detecting performance bugs for smartphone applications</t>
  </si>
  <si>
    <t>FN 4 - 4. DETECTING PERFORMANCE BUGS*</t>
  </si>
  <si>
    <t>http://sccpu2.cse.ust.hk/perfchecker</t>
  </si>
  <si>
    <t>Checking app behavior against app descriptions</t>
  </si>
  <si>
    <t>6. CONCLUSION AND CONSEQUENCES</t>
  </si>
  <si>
    <t>http://www.st.cs.uni-saarland.de/chabada/</t>
  </si>
  <si>
    <t>AsDroid: detecting stealthy behaviors in Android applications by user interface and program behavior contradiction</t>
  </si>
  <si>
    <t>Patch verification via multiversion interprocedural control flow graphs</t>
  </si>
  <si>
    <t>Property differencing for incremental checking</t>
  </si>
  <si>
    <t>Symbolic assume-guarantee reasoning through BDD learning</t>
  </si>
  <si>
    <t>Enhancing symbolic execution with veritesting</t>
  </si>
  <si>
    <t>[40] 6. EVALUATION *
[41]
- 1. INTRODUCTION
- 6. EVALUATION</t>
  </si>
  <si>
    <t>http://lists.debian.org/debian-devel/2013/06/msg00720.html
http://www.forallsecure.com/summaries</t>
  </si>
  <si>
    <t>Manual refactoring changes with automated refactoring validation</t>
  </si>
  <si>
    <t>- FN 1 - 5. IMPLEMENTATION
- FN 2 - 5. IMPLEMENTATION *
- [16] 5. IMPLEMENTATION * (4x)</t>
  </si>
  <si>
    <r>
      <rPr>
        <rFont val="Arial"/>
        <color theme="1"/>
        <sz val="10.0"/>
      </rPr>
      <t xml:space="preserve">https://github.com/nkcsgexi/GhostFactor2
https://sites.google.com/site/ghostfactorstudy/
</t>
    </r>
    <r>
      <rPr>
        <rFont val="Arial"/>
        <color theme="1"/>
        <sz val="10.0"/>
      </rPr>
      <t>http://goo.gl/0ty6J1</t>
    </r>
    <r>
      <rPr>
        <rFont val="Arial"/>
        <color theme="1"/>
        <sz val="10.0"/>
      </rPr>
      <t xml:space="preserve"> (real link: </t>
    </r>
    <r>
      <rPr>
        <rFont val="Arial"/>
        <color theme="1"/>
        <sz val="10.0"/>
      </rPr>
      <t>https://docs.google.com/file/d/0B57RVCVDyCeed0FPNnJ3eDhrSlE/edit)</t>
    </r>
  </si>
  <si>
    <t>https://github.com/nkcsgexi/GhostFactor2
https://sites.google.com/site/ghostfactorstudy/
http://goo.gl/0ty6J1</t>
  </si>
  <si>
    <t>Not available (1) - Broken link.
Restrict access (1) - You need permission to access,
Publicly available (1)</t>
  </si>
  <si>
    <t>Alternate refactoring paths reveal usability problems</t>
  </si>
  <si>
    <t>3. METHODOLOGY *</t>
  </si>
  <si>
    <t>http://hdl.handle.net/2142/47414</t>
  </si>
  <si>
    <t>Due to privacy and confidentiality constraints of the field study, we cannot present the participants’ code. Instead, we demonstrate the usability problems using simplified versions of the participants’ pieces of code.
CodingSpectator captures snippets of code close to the program elements under refactoring. We found that this information was crucial for deriving usability problems. Nonetheless, recording such sensitive pieces of information raises privacy and confidentiality issues. We faced difficulty in recruiting participants because of these issues. There are several challenges in scaling our method to a large number of programmers. One challenge is to make the data collection transparent. Another challenge is to design an incentive mechanism for programmers to share their data.</t>
  </si>
  <si>
    <t>Barriers (Confidentiality and privacy)</t>
  </si>
  <si>
    <t>A study and toolkit for asynchronous programming in c#</t>
  </si>
  <si>
    <t>- 1. INTRODUCTION
- FN 1 - 5. EVALUATION
- 6. DISCUSSION --- HL Reliability
- [39] 6. DISCUSSION
- [10] 3. RESEARCH QUESTIONS *</t>
  </si>
  <si>
    <t>http://learnasync.net/
https://github.com/semihokur/wpcollector</t>
  </si>
  <si>
    <t>Reuse-oriented reverse engineering of functional components from x86 binaries</t>
  </si>
  <si>
    <t>[4] 5. EXPERIMENTS AND RESULTS *</t>
  </si>
  <si>
    <t>https://www.youtube.com/watch?v=7GU4b68oWD4</t>
  </si>
  <si>
    <t>Views on Internal and External Validity in Empirical Software Engineering</t>
  </si>
  <si>
    <t>I. INTRODUCTION</t>
  </si>
  <si>
    <t>http://www.infosun.fim.uni-passau.de/spl/janet/ese/</t>
  </si>
  <si>
    <t>Developing and Evaluating Software Engineering Process Theories</t>
  </si>
  <si>
    <t>Automated Data Structure Generation: Refuting Common Wisdom</t>
  </si>
  <si>
    <t>FN 3 - V. DATA STRUCTURES AND PROPERTIES</t>
  </si>
  <si>
    <t>http://www.cs.ucsb.edu/~pllab/</t>
  </si>
  <si>
    <t>Automated Modularization of GUI Test Cases</t>
  </si>
  <si>
    <t>III. EMPIRICAL EVALUATION *</t>
  </si>
  <si>
    <t>sites.google.com/site/irlexternal/test-modularization</t>
  </si>
  <si>
    <t>Making System User Interactive Tests Repeatable: When and What Should We Control?</t>
  </si>
  <si>
    <t>FN 1 - III. EMPIRICAL STUDY</t>
  </si>
  <si>
    <t>http://cse.unl.edu/~myra/artifacts/Repeatability/</t>
  </si>
  <si>
    <t>ZoomIn: Discovering Failures by Detecting Wrong Assertions</t>
  </si>
  <si>
    <t>Composite Constant Propagation: Application to Android Inter-Component Communication Analysis</t>
  </si>
  <si>
    <t>- [32] I. INTRODUCTION
- [33] I. INTRODUCTION</t>
  </si>
  <si>
    <t xml:space="preserve">http://siis.cse.psu.edu/coal/
http://siis.cse.psu.edu/ic3/ </t>
  </si>
  <si>
    <t>Static Control-Flow Analysis of User-Driven Callbacks in Android Applications</t>
  </si>
  <si>
    <t>[23]
- I. INTRODUCTION
- II. CONTROL-FLOW ANALYSIS FOR ANDROID *</t>
  </si>
  <si>
    <t>web.cse.ohio-state.edu/presto/software/gator</t>
  </si>
  <si>
    <t>Truth in Advertising: The Hidden Cost of Mobile Ads for Software Developers</t>
  </si>
  <si>
    <t>Interactive Code Review for Systematic Changes</t>
  </si>
  <si>
    <t>FN 5 - I. INTRODUCTION</t>
  </si>
  <si>
    <t>https://sites.google.com/a/utexas.edu/critics/</t>
  </si>
  <si>
    <t>Automated Decomposition of Build Targets</t>
  </si>
  <si>
    <t>[39] V. HARDNESS OF DECOMPOSITION</t>
  </si>
  <si>
    <t>http://hdl.handle.net/2142/47551</t>
  </si>
  <si>
    <t>The results of our large-scale empirical study show that DECOMPOSER is both efficient and effective (Section X). We ran DECOMPOSER on a large, random sample of targets that consisted of 40,000 Java library targets at Google1 .
1For confidentiality reasons, we do not report exact statistics about the dimensions of the Google code base.</t>
  </si>
  <si>
    <t>Helping Developers Help Themselves: Automatic Decomposition of Code Review Changesets</t>
  </si>
  <si>
    <t>Data-Delineation in Software Binaries and its Application to Buffer-Overrun Discovery</t>
  </si>
  <si>
    <t>Measuring Software Redundancy</t>
  </si>
  <si>
    <t>Gray Computing: An Analysis of Computing with Background JavaScript Tasks</t>
  </si>
  <si>
    <t>Presence-Condition Simplification in Highly Configurable Systems</t>
  </si>
  <si>
    <t>www.fosd.de/pcsimp/</t>
  </si>
  <si>
    <t>Symbolic Model Checking of Product-Line Requirements Using SAT-Based Methods</t>
  </si>
  <si>
    <t>Lightweight Adaptive Filtering for Efficient Learning and Updating of Probabilistic Models</t>
  </si>
  <si>
    <t>[18]
- I. INTRODUCTION
- VI. EXPERIMENTAL EVALUATION</t>
  </si>
  <si>
    <t>http://www.antonio.filieri.name/publications/preprints/2015-icse/</t>
  </si>
  <si>
    <t>Tempura: Temporal Dimension for IDEs</t>
  </si>
  <si>
    <t>- [20] IV. EVALUATION
- I. INTRODUCTION
- IV. EVALUATION</t>
  </si>
  <si>
    <t xml:space="preserve">http://mir.cs.illinois.edu/yunyounglee/TempuraUserGuide.pdf
http://mir.cs.illinois.edu/tempura </t>
  </si>
  <si>
    <t>Supporting Selective Undo in a Code Editor</t>
  </si>
  <si>
    <t>- FN 1 - I. INTRODUCTION
- X. CONCLUSION</t>
  </si>
  <si>
    <t>www.cs.cmu.edu/~azurite/</t>
  </si>
  <si>
    <t>Cascade: A Universal Programmer-Assisted Type Qualifier Inference Tool</t>
  </si>
  <si>
    <t>- [1] I. INTRODUCTION
- [3] VI. EVALUATION * (2x)</t>
  </si>
  <si>
    <t xml:space="preserve">https://github.com/reprogrammer/cascade
https://github.com/reprogrammer/tqi-study </t>
  </si>
  <si>
    <t>RECONTEST: Effective Regression Testing of Concurrent Programs</t>
  </si>
  <si>
    <t>FN 1 - V. EVALUATION *</t>
  </si>
  <si>
    <t>http://sccpu2.cse.ust.hk/recontest/index.html</t>
  </si>
  <si>
    <t>A Synergistic Analysis Method for Explaining Failed Regression Tests</t>
  </si>
  <si>
    <t>An Information Retrieval Approach for Regression Test Prioritization Based on Program Changes</t>
  </si>
  <si>
    <t>FN 1 - I. INTRODUCTION</t>
  </si>
  <si>
    <t>https://utexas.box.com/repir</t>
  </si>
  <si>
    <t>IccTA: Detecting Inter-Component Privacy Leaks in Android Apps</t>
  </si>
  <si>
    <t xml:space="preserve">I. INTRODUCTION
</t>
  </si>
  <si>
    <t>https://sites.google.com/site/icctawebpage/</t>
  </si>
  <si>
    <t>Do Security Patterns Really Help Designers?</t>
  </si>
  <si>
    <t>[16]
- III. STUDY DESIGN (4x) *
- IV. STUDY EXECUTION (2x) *</t>
  </si>
  <si>
    <t>http://people.cs.kuleuven.be/~koen.yskout/icse15</t>
  </si>
  <si>
    <t>AppContext: Differentiating Malicious and Benign Mobile App Behaviors Using Context</t>
  </si>
  <si>
    <t>[25]
- IV. CONTEXT OF SECURITY-SENSITIVE BEHAVIOR
- VI. TOOL IMPLEMENTATION</t>
  </si>
  <si>
    <t>https://sites.google.com/site/asergrp/projects/appcontext/</t>
  </si>
  <si>
    <t>TypeDevil: Dynamic Type Inconsistency Analysis for JavaScript</t>
  </si>
  <si>
    <t>V. EVALUATION</t>
  </si>
  <si>
    <t>http://mp.binaervarianz.de/TypeDevil</t>
  </si>
  <si>
    <t>Detecting Inconsistencies in JavaScript MVC Applications</t>
  </si>
  <si>
    <t>[18] VI. IMPLEMENTATION</t>
  </si>
  <si>
    <t>http://ece.ubc.ca/~frolino/projects/aurebesh/</t>
  </si>
  <si>
    <t>AutoCSP: Automatically Retrofitting CSP to Web Applications</t>
  </si>
  <si>
    <t>http://www.cc.gatech.edu/~orso/software/autocsp</t>
  </si>
  <si>
    <t>How Much Up-Front? A Grounded theory of Agile Architecture</t>
  </si>
  <si>
    <t>Work Practices and Challenges in Pull-Based Development: The Integrator's Perspective</t>
  </si>
  <si>
    <t xml:space="preserve">- VIII. CONCLUSIONS
- FN 2 - IV. STUDY DESIGN
</t>
  </si>
  <si>
    <t>https://github.com/gousiosg/pullreqs-integratorsgousiosg/pullreqs-integrators
http://ghtorrent.org/pullreq-perf/</t>
  </si>
  <si>
    <t>Build It Yourself! Homegrown Tools in a Large Software Company</t>
  </si>
  <si>
    <t>- II. RESEARCH METHODOLOGY
- [2] II. RESEARCH METHODOLOGY</t>
  </si>
  <si>
    <t>http://research.microsoft.com/apps/pubs/default.aspx?id=227190</t>
  </si>
  <si>
    <t>In this section, we present the demographic and psychological factors that contribute to toolbuilding. For legal reasons, we were unable to collect data related to gender, ethnicity, or other protected classes, since demographic data for our first study was taken from the Microsoft personnel database.</t>
  </si>
  <si>
    <t>Morpheus: Variability-Aware Refactoring in the Wild</t>
  </si>
  <si>
    <t>http://fosd.net/morpheus/</t>
  </si>
  <si>
    <t>Does Automated Refactoring Obviate Systematic Editing?</t>
  </si>
  <si>
    <t>IV. EVALUATION</t>
  </si>
  <si>
    <t xml:space="preserve">https://www.cs.utexas.edu/~mengna09/projects.html </t>
  </si>
  <si>
    <t>When and Why Your Code Starts to Smell Bad</t>
  </si>
  <si>
    <t>[45]
- II. STUDY DESIGN *
- IV. THREATS TO VALIDITY</t>
  </si>
  <si>
    <r>
      <rPr>
        <rFont val="Arial"/>
        <color theme="1"/>
        <sz val="10.0"/>
      </rPr>
      <t>http://tinyurl.com/ormdqpy</t>
    </r>
    <r>
      <rPr>
        <rFont val="Arial"/>
        <color theme="1"/>
        <sz val="10.0"/>
      </rPr>
      <t xml:space="preserve"> (real link: http://www.dmi.unisa.it/people/bavota/www/reports/smell-introduction/)</t>
    </r>
  </si>
  <si>
    <t>http://tinyurl.com/ormdqpy</t>
  </si>
  <si>
    <t>Learning to Log: Helping Developers Make Informed Logging Decisions</t>
  </si>
  <si>
    <t>- FN 1 - I. INTRODUCTION
[8]
- III. LEARNING TO LOG * (2x)
- IV. EVALUATION * (2x)
- V. USER STUDY</t>
  </si>
  <si>
    <t>http://cuhk-cse.github.io/LogAdvisor</t>
  </si>
  <si>
    <t>Mining Apps for Abnormal Usage of Sensitive Data</t>
  </si>
  <si>
    <t>VIII. CONCLUSION AND FUTURE WORK</t>
  </si>
  <si>
    <t>http://www.st.cs.uni-saarland.de/appmining/</t>
  </si>
  <si>
    <t>Tracking Static Analysis Violations over Time to Capture Developer Characteristics</t>
  </si>
  <si>
    <t>VI. EVALUATION *</t>
  </si>
  <si>
    <t>http://semmle.com/publications</t>
  </si>
  <si>
    <t>DirectFix: Looking for Simple Program Repairs</t>
  </si>
  <si>
    <t>Safe Memory-Leak Fixing for C Programs</t>
  </si>
  <si>
    <t>FN 1 - IV. IMPLEMENTATION</t>
  </si>
  <si>
    <t>http://sei.pku.edu.cn/%7gaoqing11/leakfix</t>
  </si>
  <si>
    <t>relifix: Automated Repair of Software Regressions</t>
  </si>
  <si>
    <t>The Art of Testing Less without Sacrificing Quality</t>
  </si>
  <si>
    <t>This value is the result of a complex analysis we conducted with the Office product team and reflects the optimal solution for the system. Due to confidential reasons, we cannot share the details of this process.</t>
  </si>
  <si>
    <t>No PAIN, No Gain? The Utility of PArallel Fault INjections</t>
  </si>
  <si>
    <t>[63]
- III. EXPERIMENTAL DESIGN *
- IV. EXPERIMENT SETUP AND EXECUTION</t>
  </si>
  <si>
    <t>https://github.com/DEEDS-TUD/PAIN.git</t>
  </si>
  <si>
    <t>A Flexible and Non-intrusive Approach for Computing Complex Structural Coverage Metrics</t>
  </si>
  <si>
    <t>Combining Multi-Objective Search and Constraint Solving for Configuring Large Software Product Lines</t>
  </si>
  <si>
    <t>X. CONCLUSION AND FUTURE WORK</t>
  </si>
  <si>
    <t>http://research.henard.net/SPL/ICSE_2015/</t>
  </si>
  <si>
    <t>A Genetic Algorithm for Detecting Significant Floating-Point Inaccuracies</t>
  </si>
  <si>
    <t>FN 3 - V. EVALUATION</t>
  </si>
  <si>
    <t>http://sei.pku.edu.cn/%7exiongyf04/papers/ICSE15.html</t>
  </si>
  <si>
    <t>Learning Combinatorial Interaction Test Generation Strategies Using Hyperheuristic Search</t>
  </si>
  <si>
    <t>FN 1 - IV. EXPERIMENTS</t>
  </si>
  <si>
    <t>http://cse.unl.edu/~myra/artifacts/HHSA</t>
  </si>
  <si>
    <t>Borrowing from the Crowd: A Study of Recombination in Software Design Competitions</t>
  </si>
  <si>
    <t>FN 7 - III. METHOD *</t>
  </si>
  <si>
    <t>http://sdcl.ics.uci.edu/study-materials-and-data/</t>
  </si>
  <si>
    <t>From Developer Networks to Verified Communities: A Fine-Grained Approach</t>
  </si>
  <si>
    <t>http://siemens.github.io/codeface/icse/</t>
  </si>
  <si>
    <t>Open Source-Style Collaborative Development Practices in Commercial Projects Using GitHub</t>
  </si>
  <si>
    <t>Database-Backed Program Analysis for Scalable Error Propagation</t>
  </si>
  <si>
    <t>Tricorder: Building a Program Analysis Ecosystem</t>
  </si>
  <si>
    <t>Alloy*: A General-Purpose Higher-Order Relational Constraint Solver</t>
  </si>
  <si>
    <t>[5]
- I. INTRODUCTION
- II. EXAMPLE: CLASSICAL GRAPH ALGORITHMS
- VIII. EVALUATION *
[16]
- VIII. EVALUATION *
- VI. CASE STUDY: PROGRAM SYNTHESIS</t>
  </si>
  <si>
    <t>http://alloy.mit.edu/alloy/hola
http://hdl.handle.net/1721.1/89157</t>
  </si>
  <si>
    <t>DASE: Document-Assisted Symbolic Execution for Improving Automated Software Testing</t>
  </si>
  <si>
    <t>Compositional Symbolic Execution with Memoized Replay</t>
  </si>
  <si>
    <t>Regular Property Guided Dynamic Symbolic Execution</t>
  </si>
  <si>
    <t>Combining Symbolic Execution and Model Checking for Data Flow Testing</t>
  </si>
  <si>
    <t>Are Students Representatives of Professionals in Software Engineering Experiments?</t>
  </si>
  <si>
    <t>- [25] IV. RESEARCH METHOD *
- [28] VII. RESULTS * (7x)</t>
  </si>
  <si>
    <t>https://www.dropbox.com/sh/i7i9im898db4u0n/AAA06ZXgJ1DNEWUkagA7v_Hda?dl=0
https://www.dropbox.com/sh/7y7xv2h19p4qnas/AAD2eXuhbdZ7OF5iN1rUPmUaa?dl=0</t>
  </si>
  <si>
    <t>Why Good Developers Write Bad Code: An Observational Case Study of the Impacts of Organizational Factors on Software Quality</t>
  </si>
  <si>
    <t>Stuck and Frustrated or in Flow and Happy: Sensing Developers' Emotions and Progress</t>
  </si>
  <si>
    <t>FN 1 - III. STUDY METHOD AND PARTICIPANTS</t>
  </si>
  <si>
    <t>http://seal.ifi.uzh.ch/people/mueller/SensingDevelopersEmotions</t>
  </si>
  <si>
    <t>What Makes a Great Software Engineer?</t>
  </si>
  <si>
    <t>Efficient Scalable Verification of LTL Specifications</t>
  </si>
  <si>
    <t>FN 3 - IV. IMPLEMENTATION AND EVALUATION</t>
  </si>
  <si>
    <t>http://home.deib.polimi.it/pourhashem.kallehbasti/icse-2015.php</t>
  </si>
  <si>
    <t>Restrict access (1) - Unauthorized access,</t>
  </si>
  <si>
    <t>Empirical Study Towards a Leading Indicator for Cost of Formal Software Verification</t>
  </si>
  <si>
    <t>Specifying Event-Based Systems with a Counting Fluent Temporal Logic</t>
  </si>
  <si>
    <t>[9]
- V. A MODEL CHECKING APPROACH *
- VI. EVALUATION *
[19]
- I. INTRODUCTION
- V. A MODEL CHECKING APPROACH *
- VIII. CONCLUSIONS</t>
  </si>
  <si>
    <t>http://dc.exa.unrc.edu.ar/staff/gregis/ICSE2015
http://sourceforge.net/projects/cf-ltsa/</t>
  </si>
  <si>
    <t>Coexecutability for Efficient Verification of Data Model Updates</t>
  </si>
  <si>
    <t>VI. EXPERIMENTS</t>
  </si>
  <si>
    <t>Assert Use in GitHub Projects</t>
  </si>
  <si>
    <t>A Programming Model for Sustainable Software</t>
  </si>
  <si>
    <t>- I. INTRODUCTION
[41]
- I. INTRODUCTION
- III. THE ECO DESIGN: SYNTAX AND RUNTIME SUPPORT</t>
  </si>
  <si>
    <t>https://github.com/pl-eco/ECO</t>
  </si>
  <si>
    <t>A Comparative Study of Programming Languages in Rosetta Code</t>
  </si>
  <si>
    <t>- FN 1 - I. INTRODUCTION
- [18] I. INTRODUCTION</t>
  </si>
  <si>
    <t>https://bitbucket.org/nanzs/rosettacodedata
http://arxiv.org/abs/1409.0252</t>
  </si>
  <si>
    <t>Revisiting the Impact of Classification Techniques on the Performance of Defect Prediction Models</t>
  </si>
  <si>
    <t>LACE2: Better Privacy-Preserving Data Sharing for Cross Project Defect Prediction</t>
  </si>
  <si>
    <t>The Impact of Mislabelling on the Performance and Interpretation of Defect Prediction Models</t>
  </si>
  <si>
    <t>ReCBuLC: Reproducing Concurrency Bugs Using Local Clocks</t>
  </si>
  <si>
    <t>Dynamic Generation of Likely Invariants for Multithreaded Programs</t>
  </si>
  <si>
    <t>GPredict: Generic Predictive Concurrency Analysis</t>
  </si>
  <si>
    <t>http://parasol.tamu.edu/~jeff/gpredict/</t>
  </si>
  <si>
    <t>Graph-Based Statistical Language Model for Code</t>
  </si>
  <si>
    <t>[21] VI. EMPIRICAL EVALUATION *</t>
  </si>
  <si>
    <t>http://home.engineering.iastate.edu/~anhnt/Research/GraLan/</t>
  </si>
  <si>
    <t>Discovering Information Explaining API Types Using Text Classification</t>
  </si>
  <si>
    <t>https://www.cs.mcgill.ca/~swevo/icse2015/</t>
  </si>
  <si>
    <t>How Can I Use This Method?</t>
  </si>
  <si>
    <t>- II. MUSE OVERVIEW *
- [10] I. INTRODUCTION</t>
  </si>
  <si>
    <t>http://tinyurl.com/mgwo9le (real link: https://personal.utdallas.edu/~lmorenoc/research/icse2015)
http://tinyurl.com/msvvusw (real link: https://personal.utdallas.edu/~lmorenoc/research/icse2015/commons-io-2.4/api-2.4/org/apache/commons/io/FileUtils.html)</t>
  </si>
  <si>
    <t>http://tinyurl.com/mgwo9le
http://tinyurl.com/msvvusw</t>
  </si>
  <si>
    <t>Hercules: Reproducing Crashes in Real-World Application Binaries</t>
  </si>
  <si>
    <t>CARAMEL: Detecting and Fixing Performance Problems That Have Non-Intrusive Fixes</t>
  </si>
  <si>
    <t>An Empirical Study on Real Bug Fixes</t>
  </si>
  <si>
    <t>Does the Failing Test Execute a Single or Multiple Faults? An Approach to Classifying Failing Tests</t>
  </si>
  <si>
    <t>Trivial Compiler Equivalence: A Large Scale Empirical Study of a Simple, Fast and Effective Equivalent Mutant Detection Technique</t>
  </si>
  <si>
    <t>FN 3 - VI. THREATS TO VALIDITY</t>
  </si>
  <si>
    <t>http://www0.cs.ucl.ac.uk/staff/Y.Jia/projects/compiler_equivalence/</t>
  </si>
  <si>
    <t>Dynamic Data Flow Testing of Object Oriented Systems</t>
  </si>
  <si>
    <t>PRADA: Prioritizing Android Devices for Apps by Mining Large-Scale Usage Data</t>
  </si>
  <si>
    <t>Indeed, applying an approach such as PRADA requires a sufficient usage dataset that is legally collected from users. We plan to release a sample anonymized dataset to other researchers for further study. In addition, we plan to make PRADA available as an analytic service for assisting Android developers who publish or plan to publish their apps on Wandoujia.
• User Privacy Protection. We take a series of steps to preserve the privacy of involved users in our data set. First, all raw data collected for this study are kept on the Wandoujia data-warehouse servers (which live behind a company firewall). Second, our data-collection logic and analysis pipelines are governed by Wandoujia employees3 to ensure compliance with the commitments of Wandoujia privacy stated in the Term-of-Use statements. Third and the most significantly, Wandoujia employees anonymize the user identifiers before any data analysis. Only aggregated statistics are produced for the users covered in our study period. Finally, we obtain the approval from the research ethnics committee of School of Electronics Engineering and Computer Science in Peking University to conduct this research.
3The last author is the co-founder and CTO of Wandoujia. He supervises the process of data collection and de-identification.</t>
  </si>
  <si>
    <t>Release Planning of Mobile Apps Based on User Reviews</t>
  </si>
  <si>
    <t>[29]
- 2. CLAP IN A NUTSHELL *.
- 3. EMPIRICAL STUDY DESIGN.</t>
  </si>
  <si>
    <t>http://www.inf.unibz.it/~gbavota/reports/app-planning</t>
  </si>
  <si>
    <t>Toward a Framework for Detecting Privacy Policy Violations in Android Application Code</t>
  </si>
  <si>
    <t>FN 7 - 5. EMPIRICAL EVALUATION *</t>
  </si>
  <si>
    <t>http://sefm.cs.utsa.edu/android_policy</t>
  </si>
  <si>
    <t>Mining Sandboxes</t>
  </si>
  <si>
    <t>8. CONCLUSION AND FUTURE WORK</t>
  </si>
  <si>
    <t>http://www.boxmate.org/</t>
  </si>
  <si>
    <t>Generating Performance Distributions via Probabilistic Symbolic Execution</t>
  </si>
  <si>
    <t>[3] 4. IMPLEMENTATION AND EVALUATION (3x)</t>
  </si>
  <si>
    <t>http://pat.sce.ntu.edu.sg/bhchen/perfplotter</t>
  </si>
  <si>
    <t>Performance Issues and Optimizations in JavaScript: An Empirical Study</t>
  </si>
  <si>
    <t>- FN 2 - 1. INTRODUCTION
- FN 14 - 7. RQ 5: RECURRING OPTIMIZATION PATTERNS *</t>
  </si>
  <si>
    <t>https://github.com/marijaselakovic/JavaScriptIssuesStudy</t>
  </si>
  <si>
    <t>Reliability of Run-Time Quality-of-Service Evaluation Using Parametric Model Checking</t>
  </si>
  <si>
    <t>FN 3 - 5. CASE STUDIES *</t>
  </si>
  <si>
    <t>http://www.comp.nus.edu.sg/~sugx/icse16/</t>
  </si>
  <si>
    <t>Optimizing Selection of Competing Services with Probabilistic Hierarchical Refinement</t>
  </si>
  <si>
    <t>The Emerging Role of Data Scientists on Software Development Teams</t>
  </si>
  <si>
    <t>[37] 3. METHODOLOGY</t>
  </si>
  <si>
    <t>http://research.microsoft.com/apps/pubs/?id=261085</t>
  </si>
  <si>
    <t>Belief &amp; Evidence in Empirical Software Engineering</t>
  </si>
  <si>
    <t>Grounded Theory in Software Engineering Research: A Critical Review and Guidelines</t>
  </si>
  <si>
    <t>On the Techniques We Create, the Tools We Build, and Their Misalignments: A Study of KLEE</t>
  </si>
  <si>
    <t>- FN 1 - 3. IMPROVING KLEE *
- FN 5 - 4. ASSESSING WORK USING KLEE *
- FN 6 - 4. ASSESSING WORK USING KLEE *</t>
  </si>
  <si>
    <t>http://bit.ly/1PWVviz (real link: https://docs.google.com/document/d/1pDYIFxrMe6H6DTBtoHyeEAUDcRR-ftdYOp3bsaJlyXw/edit )</t>
  </si>
  <si>
    <t>http://bit.ly/1PWVviz</t>
  </si>
  <si>
    <t>Guiding Dynamic Symbolic Execution toward Unverified Program Executions</t>
  </si>
  <si>
    <t>Synthesizing Framework Models for Symbolic Execution</t>
  </si>
  <si>
    <t>FN 1 - 6. IMPLEMENTATION</t>
  </si>
  <si>
    <t>https://github.com/plum-umd/pasket</t>
  </si>
  <si>
    <t>Type-Aware Concolic Testing of JavaScript Programs</t>
  </si>
  <si>
    <t>An Empirical Comparison of Compiler Testing Techniques</t>
  </si>
  <si>
    <t>FN 6 - 5. RESULTS AND ANALYSIS</t>
  </si>
  <si>
    <t>http://emponcc.github.io/</t>
  </si>
  <si>
    <t>Termination-Checking for LLVM Peephole Optimizations</t>
  </si>
  <si>
    <t>Finding and Analyzing Compiler Warning Defects</t>
  </si>
  <si>
    <t>7. CONCLUSION</t>
  </si>
  <si>
    <t>http://chengniansun.bitbucket.org/projects/epiphron</t>
  </si>
  <si>
    <t>iDice: Problem Identification for Emerging Issues</t>
  </si>
  <si>
    <t>We collected the actual issue report data, which contains more than ten thousand issue reports collected in early 2015. Each report has two attributes Application and DataCenter (apart from the Time and ID attributes). The Application attribute has 5 values (A1-A5). The DataCenter attributes has 10 values (DC1- DC10). There are total 92 emerging issues in this dataset, which are verified by the domain experts in the product team.3 Due to sensitivity reasons, we omit and anonymize the detail information about the dataset. 
 In this section, we present two successful stories of iDice. We omit and anonymize some details for confidentiality reasons.</t>
  </si>
  <si>
    <t>Energy Profiles of Java Collections Classes</t>
  </si>
  <si>
    <t>- 2. COLLECTIONS CLASSES IN OUR STUDY.
- 9. CONCLUSION.</t>
  </si>
  <si>
    <t>https://sites.google.com/site/collectionsenergy/</t>
  </si>
  <si>
    <t>An Empirical Study of Practitioners' Perspectives on Green Software Engineering</t>
  </si>
  <si>
    <t>FN 1 - 2. METHODOLOGY *</t>
  </si>
  <si>
    <t>https://surveys.research.microsoft.com/s3/DeveloperEnergySurvey</t>
  </si>
  <si>
    <t>This section presents our findings from analyzing the data collected from both the interviews and the survey. Due to confidentiality requirements, we present only anonymized, aggregate information.</t>
  </si>
  <si>
    <t>Automated Energy Optimization of HTTP Requests for Mobile Applications</t>
  </si>
  <si>
    <t>Too Long; Didn't Watch! Extracting Relevant Fragments from Software Development Video Tutorials</t>
  </si>
  <si>
    <t>- FN 12 - 3. STUDY I: INTRINSIC EVALUATION *
- FN 13 - 3. STUDY I: INTRINSIC EVALUATION *
- FN 14 - 3. STUDY I: INTRINSIC EVALUATION *
- FN 15 - 3. STUDY I: INTRINSIC EVALUATION *
- FN 16 - 3. STUDY I: INTRINSIC EVALUATION *
- FN 19 - 7. CONCLUSION.</t>
  </si>
  <si>
    <r>
      <rPr>
        <rFont val="Arial"/>
        <color theme="1"/>
        <sz val="10.0"/>
      </rPr>
      <t>http://codetube.inf.usi.ch/</t>
    </r>
    <r>
      <rPr>
        <rFont val="Arial"/>
        <color theme="1"/>
        <sz val="10.0"/>
      </rPr>
      <t xml:space="preserve">
</t>
    </r>
    <r>
      <rPr>
        <rFont val="Arial"/>
        <color theme="1"/>
        <sz val="10.0"/>
      </rPr>
      <t>http://codetube.inf.usi.ch/view?id=BVhBEdLVxGY</t>
    </r>
    <r>
      <rPr>
        <rFont val="Arial"/>
        <color theme="1"/>
        <sz val="10.0"/>
      </rPr>
      <t xml:space="preserve">
</t>
    </r>
    <r>
      <rPr>
        <rFont val="Arial"/>
        <color theme="1"/>
        <sz val="10.0"/>
      </rPr>
      <t>http://codetube.inf.usi.ch/view?id=1C4RNtaPXxE</t>
    </r>
    <r>
      <rPr>
        <rFont val="Arial"/>
        <color theme="1"/>
        <sz val="10.0"/>
      </rPr>
      <t xml:space="preserve">
</t>
    </r>
    <r>
      <rPr>
        <rFont val="Arial"/>
        <color theme="1"/>
        <sz val="10.0"/>
      </rPr>
      <t>http://codetube.inf.usi.ch/view?id=pNxsCXicqGM</t>
    </r>
    <r>
      <rPr>
        <rFont val="Arial"/>
        <color theme="1"/>
        <sz val="10.0"/>
      </rPr>
      <t xml:space="preserve">
</t>
    </r>
    <r>
      <rPr>
        <rFont val="Arial"/>
        <color theme="1"/>
        <sz val="10.0"/>
      </rPr>
      <t>http://codetube.inf.usi.ch/view?id=ROA7n27JFNs</t>
    </r>
    <r>
      <rPr>
        <rFont val="Arial"/>
        <color theme="1"/>
        <sz val="10.0"/>
      </rPr>
      <t xml:space="preserve">
</t>
    </r>
    <r>
      <rPr>
        <rFont val="Arial"/>
        <color theme="1"/>
        <sz val="10.0"/>
      </rPr>
      <t>http://codetube.inf.usi.ch/view?id=1UE7dJ7DK</t>
    </r>
  </si>
  <si>
    <t>http://codetube.inf.usi.ch/
http://codetube.inf.usi.ch/view?id=BVhBEdLVxGY
http://codetube.inf.usi.ch/view?id=1C4RNtaPXxE
http://codetube.inf.usi.ch/view?id=pNxsCXicqGM
http://codetube.inf.usi.ch/view?id=ROA7n27JFNs
http://codetube.inf.usi.ch/view?id=1UE7dJ7DK</t>
  </si>
  <si>
    <t>Publicly available (3)
Not available (3) - Broken link.</t>
  </si>
  <si>
    <t>Overcoming Open Source Project Entry Barriers with a Portal for Newcomers</t>
  </si>
  <si>
    <t>Work Practices and Challenges in Pull-Based Development: The Contributor's Perspective</t>
  </si>
  <si>
    <t>[23]  3. RESEARCH METHOD *
[26]
- FN 1 - 3. RESEARCH METHOD *
- 7. CONCLUSIONS.</t>
  </si>
  <si>
    <t>http://dx.doi.org/10.5281/zenodo.46063
http://ghtorrent.org/pullreq-perf/</t>
  </si>
  <si>
    <t>Automatically Learning Semantic Features for Defect Prediction</t>
  </si>
  <si>
    <t>Cross-Project Defect Prediction Using a Connectivity-Based Unsupervised Classifier</t>
  </si>
  <si>
    <t>Automated Parameter Optimization of Classification Techniques for Defect Prediction Models</t>
  </si>
  <si>
    <t>AntMiner: Mining More Bugs by Reducing Noise Interference</t>
  </si>
  <si>
    <t>Program Synthesis Using Natural Language</t>
  </si>
  <si>
    <t>- 6. EXPERIMENTAL EVALUATION
[9]
- 6. EXPERIMENTAL EVALUATION
- 1. INTRODUCTION</t>
  </si>
  <si>
    <t>https://sites.google.com/site/nl2pgm/</t>
  </si>
  <si>
    <t>SWIM: Synthesizing What I Mean: Code Search and Idiomatic Snippet Synthesis</t>
  </si>
  <si>
    <t>4. EVALUATION *</t>
  </si>
  <si>
    <t>http://arxiv.org/src/1511.08497v2/anc/</t>
  </si>
  <si>
    <t>Cross-Supervised Synthesis of Web-Crawlers</t>
  </si>
  <si>
    <t>Automatic Model Generation from Documentation for Java API Functions</t>
  </si>
  <si>
    <t>Augmenting API Documentation with Insights from Stack Overflow</t>
  </si>
  <si>
    <t>- FN 2 - 3. LINKING DOCUMENTATION *.
- FN 4 - 4. UNSUPERVISED APPROACHES.</t>
  </si>
  <si>
    <t>http://cs.mcgill.ca/~swevo/insight/</t>
  </si>
  <si>
    <t>From Word Embeddings to Document Similarities for Improved Information Retrieval in Software Engineering</t>
  </si>
  <si>
    <t>Learning API Usages from Bytecode: A Statistical Approach</t>
  </si>
  <si>
    <t>On the "Naturalness" of Buggy Code</t>
  </si>
  <si>
    <t>http://odd-code.github.io/</t>
  </si>
  <si>
    <t>Code Anomalies Flock Together: Exploring Code Anomaly Agglomerations for Locating Design Problems</t>
  </si>
  <si>
    <t>[31]
- 3. STUDY DEFINITION * (4x)
- 4. RESULTS AND ANALYSIS *</t>
  </si>
  <si>
    <t>http://www.les.inf.puc-rio.br/opus/anomaliesFlockTogether</t>
  </si>
  <si>
    <t>The first system is the Health Watcher (HW), a web framework system that allows citizens to register complaints about the health issues in public institutions [37]. The second is Mobile Media (MM), an academic software product line to derive applications that manipulate photos, videos, and music on mobile devices [45]. The next four systems are proprietary and, due to intellectual-property constraints, we will refer to them as S1, S2, S3 and S4.</t>
  </si>
  <si>
    <t>Using (Bio)Metrics to Predict Code Quality Online</t>
  </si>
  <si>
    <t>[60] 4. STUDY METHOD * (2x)</t>
  </si>
  <si>
    <t>http://www.ifi.uzh.ch/seal/people/mueller/PredictCodeQualityWithBiometrics</t>
  </si>
  <si>
    <t>Restrict access (1) - You need to request access,</t>
  </si>
  <si>
    <t>For privacy reasons we are not able to disclose more specifics on the company and also substituted code element names throughout the paper.
For privacy reasons we are not able to disclose more specific information about the company.
We were able to recruit ten professional software developers from a medium-sized software development company in Canada for our study. The ten participants (nine male, one female) ranged in age from 23 to 45 years and had an average professional software engineering experience of 10.2 years (±6.2), ranging from 3 to 22 years. All study participants worked on the same project, but were split over three different teams that were in charge of different components of the project. All teams followed a similar agile software development process and worked on tasks with similar sizes2 . Each participant had access to her biometric data and was allowed to quit any time without providing a reason.
We used two biometric sensors for this study: an Empatica E4 wristband [24] to capture skin- and heart-related measurements, and a SenseCore chest strap3 to capture skin- (except for EDA), heart-, and breathing-related measurements.
3SenseCore sensors are no longer available due to the company’s closure.</t>
  </si>
  <si>
    <t>CUSTODES: Automatic Spreadsheet Cell Clustering and Smell Detection Using Strong and Weak Features</t>
  </si>
  <si>
    <t>[17]
- 6. EVALUATION *.
- 9. THREATS TO VALIDITY.</t>
  </si>
  <si>
    <t>http://sccpu2.cse.ust.hk/custodes/</t>
  </si>
  <si>
    <t>Disseminating Architectural Knowledge on Open-Source Projects: A Case Study of the Book "Architecture of Open-Source Applications"</t>
  </si>
  <si>
    <t>Identifying and Quantifying Architectural Debt</t>
  </si>
  <si>
    <t>FN 1 - 3. DEFINITION AND IDENTIFICATION *</t>
  </si>
  <si>
    <t>https://www.cs.drexel.edu/~lx52/ArchDebt.html</t>
  </si>
  <si>
    <t>Decoupling Level: A New Metric for Architectural Maintenance Complexity</t>
  </si>
  <si>
    <t>FN 2 - 4. EVALUATION *</t>
  </si>
  <si>
    <t>https://www.cs.drexel.edu/~rm859/DL.html</t>
  </si>
  <si>
    <t>On The Limits of Mutation Reduction Strategies</t>
  </si>
  <si>
    <t>[23] 1. INTRODUCTION</t>
  </si>
  <si>
    <t>http://eecs.osuosl.org/rahul/icse2016/</t>
  </si>
  <si>
    <t>Comparing White-Box and Black-Box Test Prioritization</t>
  </si>
  <si>
    <t>- 4. RESULTS *
- 4. RESULTS --- caption of Table 3</t>
  </si>
  <si>
    <t>http://henard.net/research/regression/ICSE_2016/</t>
  </si>
  <si>
    <t>How Does Regression Test Prioritization Perform in Real-World Software Evolution?</t>
  </si>
  <si>
    <t>FN 8 - 3. EMPIRICAL STUDY *</t>
  </si>
  <si>
    <t>http://utdallas.edu/~yxl131230/icse16support.html</t>
  </si>
  <si>
    <t>The Impact of Test Case Summaries on Bug Fixing Performance: An Empirical Investigation</t>
  </si>
  <si>
    <t>- FN 3 - 1. INTRODUCTION
- FN 7 - 2. THE TESTDESCRIBER APPROACH *
- FN 12 - 3. STUDY DESIGN AND PLANNING *</t>
  </si>
  <si>
    <r>
      <rPr>
        <rFont val="Arial"/>
        <color theme="1"/>
        <sz val="10.0"/>
      </rPr>
      <t>http://dx.doi.org/10.5281/zenodo.45120</t>
    </r>
    <r>
      <rPr>
        <rFont val="Arial"/>
        <color theme="1"/>
        <sz val="10.0"/>
      </rPr>
      <t xml:space="preserve">
</t>
    </r>
    <r>
      <rPr>
        <rFont val="Arial"/>
        <color theme="1"/>
        <sz val="10.0"/>
      </rPr>
      <t>http://www.ifi.uzh.ch/seal/people/panichella/TestOption.txt</t>
    </r>
    <r>
      <rPr>
        <rFont val="Arial"/>
        <color theme="1"/>
        <sz val="10.0"/>
      </rPr>
      <t xml:space="preserve">
</t>
    </r>
    <r>
      <rPr>
        <rFont val="Arial"/>
        <color theme="1"/>
        <sz val="10.0"/>
      </rPr>
      <t>http://www.ifi.uzh.ch/seal/people/panichella/tools/TestDescriber/Survey.pdf</t>
    </r>
  </si>
  <si>
    <t>http://dx.doi.org/10.5281/zenodo.45120
http://www.ifi.uzh.ch/seal/people/panichella/TestOption.txt
http://www.ifi.uzh.ch/seal/people/panichella/tools/TestDescriber/Survey.pdf</t>
  </si>
  <si>
    <t>Reducing Combinatorics in GUI Testing of Android Applications</t>
  </si>
  <si>
    <t>[7] 8. EVALUATION</t>
  </si>
  <si>
    <t>https://seal.ics.uci.edu/projects/trimdroid/</t>
  </si>
  <si>
    <t>MobiPlay: A Remote Execution Based Record-and-Replay Tool for Mobile Applications</t>
  </si>
  <si>
    <t>VDTest: An Automated Framework to Support Testing for Virtual Devices</t>
  </si>
  <si>
    <t>FN 2 - 5. RESULTS</t>
  </si>
  <si>
    <t>http://cs.uky.edu/~tyu/research/vdtest</t>
  </si>
  <si>
    <t>Automated Test Suite Generation for Time-Continuous Simulink Models</t>
  </si>
  <si>
    <t>[29]
- 3. TEST GENERATION ALGORITHMS
- 4. EXPERIMENT SETUP * (2x)</t>
  </si>
  <si>
    <t>https://sites.google.com/site/myicseresources/</t>
  </si>
  <si>
    <t>Missing Data Imputation Based on Low-Rank Recovery and Semi-Supervised Regression for Software Effort Estimation</t>
  </si>
  <si>
    <t>FN 1 - 4. EXPERIMENTS (2x)</t>
  </si>
  <si>
    <t>https://sites.google.com/site/whuxyjfmq/</t>
  </si>
  <si>
    <t>Multi-objective Software Effort Estimation</t>
  </si>
  <si>
    <t>FN 5 - 5. RESULTS *</t>
  </si>
  <si>
    <t>http://www0.cs.ucl.ac.uk/staff/F.Sarro/projects/CoGEE/</t>
  </si>
  <si>
    <t>A Practical Guide to Select Quality Indicators for Assessing Pareto-Based Search Algorithms in Search-Based Software Engineering</t>
  </si>
  <si>
    <t>FN 1 - 4 EXPERIMENT</t>
  </si>
  <si>
    <t>http://zen-tools.com/ICSE2015.html</t>
  </si>
  <si>
    <t>A Comparison of 10 Sampling Algorithms for Configurable Systems</t>
  </si>
  <si>
    <t>FN 1 - 1. INTRODUCTION
[30] 6. THREATS TO VALIDITY</t>
  </si>
  <si>
    <t>http://www.dsc.ufcg.edu.br/~spg/sampling/
&gt;A Comparison of 10 Sampling Algorithms for Configurable Systems. arXiv.org, cs.SE - real link: https://arxiv.org/abs/1602.02052</t>
  </si>
  <si>
    <r>
      <rPr>
        <rFont val="Arial"/>
        <color theme="1"/>
        <sz val="10.0"/>
      </rPr>
      <t xml:space="preserve">http://www.dsc.ufcg.edu.br/~spg/sampling/
A Comparison of 10 Sampling Algorithms for Configurable Systems. arXiv.org, </t>
    </r>
    <r>
      <rPr>
        <rFont val="Arial"/>
        <color theme="1"/>
        <sz val="10.0"/>
      </rPr>
      <t>cs.SE</t>
    </r>
    <r>
      <rPr>
        <rFont val="Arial"/>
        <color theme="1"/>
        <sz val="10.0"/>
      </rPr>
      <t xml:space="preserve"> - real link: </t>
    </r>
    <r>
      <rPr>
        <rFont val="Arial"/>
        <color theme="1"/>
        <sz val="10.0"/>
      </rPr>
      <t>https://arxiv.org/abs/1602.02052</t>
    </r>
  </si>
  <si>
    <t>Featured Model-Based Mutation Analysis</t>
  </si>
  <si>
    <t>- 1. INTRODUCTION
[17]
- 3. COMPACT MUTANTS MODEL * (2x)
- 4. EVALUATION *</t>
  </si>
  <si>
    <t>https://projects.info.unamur.be/vibes/</t>
  </si>
  <si>
    <t>Feature-Model Interfaces: The Highway to Compositional Analyses of Highly-Configurable Systems</t>
  </si>
  <si>
    <t xml:space="preserve">[38] ACKNOWLEDGMENTS </t>
  </si>
  <si>
    <t>&gt;Technical Report FIN-001-2015 - real link: https://www.inf.ovgu.de/inf_media/downloads/forschung/technical_reports_und_preprints/2015/01_2015.pdf</t>
  </si>
  <si>
    <t>Technical Report FIN-001-2015 - real link: https://www.inf.ovgu.de/inf_media/downloads/forschung/technical_reports_und_preprints/2015/01_2015.pdf</t>
  </si>
  <si>
    <t>How Does the Degree of Variability Affect Bug Finding?</t>
  </si>
  <si>
    <t>4. RESULTS</t>
  </si>
  <si>
    <t>http://itu.dk/people/jeam/variability-experiment/</t>
  </si>
  <si>
    <t>Angelix: Scalable Multiline Program Patch Synthesis via Symbolic Analysis</t>
  </si>
  <si>
    <t>1 Introduction</t>
  </si>
  <si>
    <t>https://www.comp.nus.edu.sg/~abhik/tools/angelix/</t>
  </si>
  <si>
    <t>An Analysis of the Search Spaces for Generate and Validate Patch Generation Systems</t>
  </si>
  <si>
    <t>[19]
4. EXPERIMENTAL RESULTS (2x)
6. RELATED WORK</t>
  </si>
  <si>
    <t>&gt;Technical Report MIT-CSAIL-TR-2016-003 - real link: https://dspace.mit.edu/bitstream/handle/1721.1/101211/MIT-CSAIL-TR-2016-003.pdf;sequence=1</t>
  </si>
  <si>
    <t>Technical Report MIT-CSAIL-TR-2016-003 - real link: https://dspace.mit.edu/bitstream/handle/1721.1/101211/MIT-CSAIL-TR-2016-003.pdf;sequence=1</t>
  </si>
  <si>
    <t>PAC Learning-Based Verification and Model Synthesis</t>
  </si>
  <si>
    <t>StubDroid: Automatic Inference of Precise Data-Flow Summaries for the Android Framework</t>
  </si>
  <si>
    <t>http://blogs.upb.de/sse/tools/stubdroid/</t>
  </si>
  <si>
    <t>Exploring Language Support for Immutability</t>
  </si>
  <si>
    <t>[11] 5. INTERVIEWS WITH DEVELOPERS</t>
  </si>
  <si>
    <t>&gt;Technical Report CMU-ISR-16-106 - real link: http://reports-archive.adm.cs.cmu.edu/anon/isr2016/CMU-ISR-16-106.pdf</t>
  </si>
  <si>
    <t>Technical Report CMU-ISR-16-106 - real link: http://reports-archive.adm.cs.cmu.edu/anon/isr2016/CMU-ISR-16-106.pdf</t>
  </si>
  <si>
    <t>The Evolution of C Programming Practices: A Study of the Unix Operating System 1973-2015</t>
  </si>
  <si>
    <t>FN 1 - 2. METHODS *</t>
  </si>
  <si>
    <t>https://github.com/dspinellis/cqmetrics</t>
  </si>
  <si>
    <t>An Empirical Study on the Impact of C++ Lambdas and Programmer Experience</t>
  </si>
  <si>
    <t>Like most experiments, we followed a standard protocol, which we will make available to other researchers in a replication packet that includes all tasks and other information required for other scholars to test our work in a different setting.</t>
  </si>
  <si>
    <t>Understanding and Fixing Multiple Language Interoperability Issues: The C/Fortran Case</t>
  </si>
  <si>
    <t>7. EVALUATION</t>
  </si>
  <si>
    <t>https://sites.google.com/site/cfortranrefactoringtool/</t>
  </si>
  <si>
    <t>BigDebug: Debugging Primitives for Interactive Big Data Processing in Spark</t>
  </si>
  <si>
    <t xml:space="preserve">1. INTRODUCTION
</t>
  </si>
  <si>
    <t>http://web.cs.ucla.edu/~miryung/software.html</t>
  </si>
  <si>
    <t>Debugging for Reactive Programming</t>
  </si>
  <si>
    <t>http://guidosalva.github.io/reactive-inspector/</t>
  </si>
  <si>
    <t>Revisit of Automatic Debugging via Human Focus-Tracking Analysis</t>
  </si>
  <si>
    <t>FN 4 - 5. RESULTS AND ANALYSIS
[19]
- 1. INTRODUCTION
- 4. EXPERIMENT *</t>
  </si>
  <si>
    <r>
      <rPr>
        <rFont val="Arial"/>
        <color theme="1"/>
        <sz val="10.0"/>
      </rPr>
      <t xml:space="preserve">http://mooctest.net/academic/mdebugICSE16
- </t>
    </r>
    <r>
      <rPr>
        <rFont val="Arial"/>
        <color theme="1"/>
        <sz val="10.0"/>
      </rPr>
      <t>http://mooctest.net/</t>
    </r>
  </si>
  <si>
    <t>http://mooctest.net/academic/mdebugICSE16</t>
  </si>
  <si>
    <t>RETracer: Triaging Crashes by Reverse Execution from Partial Memory Dumps</t>
  </si>
  <si>
    <t>Are "Non-functional" Requirements really Non-functional? An Investigation of Non-functional Requirements in Practice</t>
  </si>
  <si>
    <t>- FN 4 - 3. STUDY DESIGN
- FN 5 - 3. STUDY DESIGN</t>
  </si>
  <si>
    <t xml:space="preserve">http://www4.in.tum.de/~eckharjo/DecisionTree.pdf 
http://www4.in.tum.de/~eckharjo/PatternList.pdf </t>
  </si>
  <si>
    <t>http://www4.in.tum.de/~eckharjo/DecisionTree.pdf
http://www4.in.tum.de/~eckharjo/PatternList.pdf</t>
  </si>
  <si>
    <t xml:space="preserve">We consider the reliability of our conclusions to be very much dependent on the possibility to reproduce the results, which in turn is dependent on the clearness of the context information. The latter, however, is strongly limited by NDAs that too often prevent providing full disclosure of the contexts and even the project characteristics. To mitigate this threat, we anonymized the data as much as possible and disclosed all information possible within the limits of our non-disclosure agreements. </t>
  </si>
  <si>
    <t>Probing for Requirements Knowledge to Stimulate Architectural Thinking</t>
  </si>
  <si>
    <t>- 3. CONSTRUCTION OF PQ-FLOWS  * (2x)
- 5. EVALUATING PQ-FLOWS</t>
  </si>
  <si>
    <t>http://re.cs.depaul.edu/ASFR</t>
  </si>
  <si>
    <t>Some of the example requirements in Figure 3 are obfuscated for confidentiality reasons.</t>
  </si>
  <si>
    <t>Risk-Driven Revision of Requirements Models</t>
  </si>
  <si>
    <t>- FN 1 - 5. OBSTACLE-DRIVEN GOAL REVISION *
- FN 2 - 5. OBSTACLE-DRIVEN GOAL REVISION *</t>
  </si>
  <si>
    <t>www.doc.ac.uk/~da04/icse16/</t>
  </si>
  <si>
    <t>Discovering "Unknown Known" Security Requirements</t>
  </si>
  <si>
    <t>5. EVALUATION</t>
  </si>
  <si>
    <r>
      <rPr>
        <rFont val="Arial"/>
        <color theme="1"/>
        <sz val="10.0"/>
      </rPr>
      <t>http://dx.doi.org/10.17635/lancaster/researchdata/60</t>
    </r>
    <r>
      <rPr>
        <rFont val="Arial"/>
        <color theme="1"/>
        <sz val="10.0"/>
      </rPr>
      <t xml:space="preserve"> (real link: </t>
    </r>
    <r>
      <rPr>
        <rFont val="Arial"/>
        <color theme="1"/>
        <sz val="10.0"/>
      </rPr>
      <t>https://www.research.lancs.ac.uk/portal/en/datasets/data-exfiltration-incident-analysis-results(1eb82152-2697-494f-8292-b712ba6f4f53).html</t>
    </r>
    <r>
      <rPr>
        <rFont val="Arial"/>
        <color theme="1"/>
        <sz val="10.0"/>
      </rPr>
      <t xml:space="preserve"> )</t>
    </r>
  </si>
  <si>
    <t>http://dx.doi.org/10.17635/lancaster/researchdata/60</t>
  </si>
  <si>
    <t>Behavioral Log Analysis with Statistical Guarantees</t>
  </si>
  <si>
    <t>Efficient Large-Scale Trace Checking Using MapReduce</t>
  </si>
  <si>
    <t>[9]
- 4. LAZY SEMANTICS FOR MTL
- 5. PARAMETRIC DECOMPOSITION (2x)
[20]
- 1. INTRODUCTION
- 7. EVALUATION (2x) *</t>
  </si>
  <si>
    <t xml:space="preserve">http://arxiv.org/abs/1508.06613
https://bitbucket.org/krle/mtlmapreduce </t>
  </si>
  <si>
    <t>Feedback-Directed Instrumentation for Deployed JavaScript Applications</t>
  </si>
  <si>
    <t>[20] 5. EVALUATION *</t>
  </si>
  <si>
    <t>https://cs.uwaterloo.ca/sites/ca.computer-science/files/uploads/files/CS-2015-16.pdf</t>
  </si>
  <si>
    <t>DoubleTake: Fast and Precise Error Detection via Evidence-Based Dynamic Analysis</t>
  </si>
  <si>
    <t>8. CONCLUSION</t>
  </si>
  <si>
    <t>http://github.com/plasma-umass/DoubleTake</t>
  </si>
  <si>
    <t>Automated Partitioning of Android Applications for Trusted Execution Environments</t>
  </si>
  <si>
    <t>"Jumping Through Hoops": Why do Java Developers Struggle with Cryptography APIs?</t>
  </si>
  <si>
    <t>[1]
- 1. INTRODUCTION
- 6. DISCUSSION *</t>
  </si>
  <si>
    <t>http://www.st.informatik.tu-darmstadt.de/artifacts/crypto-api-misuse</t>
  </si>
  <si>
    <t>Finding Security Bugs in Web Applications Using a Catalog of Access Control Patterns</t>
  </si>
  <si>
    <t>FN 1 - 1 Introduction</t>
  </si>
  <si>
    <t>http://www.cs.berkeley.edu/~jnear/space</t>
  </si>
  <si>
    <t>Reference Hijacking: Patching, Protecting and Analyzing on Unmodified and Non-rooted Android Devices</t>
  </si>
  <si>
    <t>- FN 1 - 5. TaintMan
- FN 2 - 5. TaintMan</t>
  </si>
  <si>
    <t>http://iser.ruc.edu.cn/ReferenceHijacking/MalwareDetection.pdf
http://iser.ruc.edu.cn/ReferenceHijacking/ApplicationDetection.pdf</t>
  </si>
  <si>
    <t>Building a Theory of Job Rotation in Software Engineering from an Instrumental Case Study</t>
  </si>
  <si>
    <t>3. METHOD *</t>
  </si>
  <si>
    <r>
      <rPr>
        <rFont val="Arial"/>
        <color theme="1"/>
        <sz val="10.0"/>
      </rPr>
      <t>https://goo.gl/GAeg6a</t>
    </r>
    <r>
      <rPr>
        <rFont val="Arial"/>
        <color theme="1"/>
        <sz val="10.0"/>
      </rPr>
      <t xml:space="preserve"> (real link: https://www.dropbox.com/s/kppufx9w4sawwxd/HASE-2016-001.pdf?dl=0)</t>
    </r>
  </si>
  <si>
    <t>https://goo.gl/GAeg6a</t>
  </si>
  <si>
    <t>The Challenges of Staying Together While Moving Fast: An Exploratory Study</t>
  </si>
  <si>
    <t>The Sky Is Not the Limit: Multitasking Across GitHub Projects</t>
  </si>
  <si>
    <t>FN 7 - 3. METHODS *</t>
  </si>
  <si>
    <t>http://kblincoe.github.io/survey/Focus_Shifting_Survey.pdf</t>
  </si>
  <si>
    <t>Quantifying and Mitigating Turnover-Induced Knowledge Loss: Case Studies of Chrome and a Project at Avaya</t>
  </si>
  <si>
    <t>Quality Experience: A Grounded Theory of Successful Agile Projects without Dedicated Testers</t>
  </si>
  <si>
    <t>The companies did not give permission to publish the raw data. To scrutinize it, you will have to visit our research group.</t>
  </si>
  <si>
    <t>Limited access (Physical access)</t>
  </si>
  <si>
    <t>Code Review Quality: How Developers See It</t>
  </si>
  <si>
    <t xml:space="preserve">- FN 1 - 6. THREATS AND LIMITATIONS
- [17] 6. THREATS AND LIMITATIONS
</t>
  </si>
  <si>
    <t>https://cs.uwaterloo.ca/~okononen/review_quality/
&gt;Technical Report CS-2015-14 - real link: https://cs.uwaterloo.ca/sites/ca.computer-science/files/uploads/files/cs-2015-15.pdf</t>
  </si>
  <si>
    <t>https://cs.uwaterloo.ca/~okononen/review_quality/
Technical Report CS-2015-14 - real link: https://cs.uwaterloo.ca/sites/ca.computer-science/files/uploads/files/cs-2015-15.pdf</t>
  </si>
  <si>
    <t>Revisiting Code Ownership and Its Relationship with Software Quality in the Scope of Modern Code Review</t>
  </si>
  <si>
    <t>IntEQ: Recognizing Benign Integer Overflows via Equivalence Checking across Multiple Precisions</t>
  </si>
  <si>
    <t>6. CONCLUSIONS</t>
  </si>
  <si>
    <t>https://github.com/shqking/inteq</t>
  </si>
  <si>
    <t>Nomen est Omen: Exploring and Exploiting Similarities between Argument and Parameter Names</t>
  </si>
  <si>
    <t>Floating-Point Precision Tuning Using Blame Analysis</t>
  </si>
  <si>
    <t>FN 4 - 7. CONCLUSION</t>
  </si>
  <si>
    <t>https://github.com/corvette-berkeley/shadow-execution</t>
  </si>
  <si>
    <t>Crowdsourcing Program Preconditions via a Classification Game</t>
  </si>
  <si>
    <t>5. EXPERIMENTAL SETUP</t>
  </si>
  <si>
    <t>http://binaryfission.verigames.com/</t>
  </si>
  <si>
    <t>Scalable Thread Sharing Analysis</t>
  </si>
  <si>
    <t>https://github.com/parasol-aser/tsa</t>
  </si>
  <si>
    <t>Fixing Deadlocks via Lock Pre-Acquisitions</t>
  </si>
  <si>
    <t>- 1. INTRODUCTION
- 5. EXPERIMENT *</t>
  </si>
  <si>
    <t>http://lcs.ios.ac.cn/~yancai/dfixer</t>
  </si>
  <si>
    <t>Coverage-Driven Test Code Generation for Concurrent Classes</t>
  </si>
  <si>
    <t>Locking Discipline Inference and Checking</t>
  </si>
  <si>
    <t>[14]
- 1. Introduction
- 2. Locking discipline semantics *</t>
  </si>
  <si>
    <r>
      <rPr>
        <rFont val="Arial"/>
        <color theme="1"/>
        <sz val="10.0"/>
      </rPr>
      <t xml:space="preserve">CoRR abs/1501.05338 (real link </t>
    </r>
    <r>
      <rPr>
        <rFont val="Arial"/>
        <color theme="1"/>
        <sz val="10.0"/>
      </rPr>
      <t>https://arxiv.org/abs/1501.05338)</t>
    </r>
  </si>
  <si>
    <t>CoRR abs/1501.05338</t>
  </si>
  <si>
    <t>Improving Refactoring Speed by 10X</t>
  </si>
  <si>
    <t>[45] 5. EVALUATION OF R3
[21]
- 1. INTRODUCTION (2x)
- 5. EVALUATION OF R3</t>
  </si>
  <si>
    <t>http://www.cs.utexas.edu/users/jongwook/r3/
http://www.cs.utexas.edu/~jongwook/r2/jdtrefactoringbugs.html</t>
  </si>
  <si>
    <t>SourcererCC: Scaling Code Clone Detection to Big-Code</t>
  </si>
  <si>
    <t>-  FN 6 - 7. CONCLUSION
- FN 2 - 3. THE PROPOSED METHOD: SourcererCC</t>
  </si>
  <si>
    <t>http://mondego.ics.uci.edu/projects/SourcererCC</t>
  </si>
  <si>
    <t>Understanding Asynchronous Interactions in Full-Stack JavaScript</t>
  </si>
  <si>
    <t>[39]
- 1. INTRODUCTION
- 3. APPROACH *
- 4. EVALUATION * (3x)
- 6. CONCLUSION</t>
  </si>
  <si>
    <t>http://salt.ece.ubc.ca/software/sahand/</t>
  </si>
  <si>
    <t>Shadow of a Doubt: Testing for Divergences between Software Versions</t>
  </si>
  <si>
    <t xml:space="preserve">- FN 7 - 5. EVALUATION *
- 7. CONCLUSION
</t>
  </si>
  <si>
    <t>http://srg.doc.ic.ac.uk/projects/shadow</t>
  </si>
  <si>
    <t>Semantically Enhanced Software Traceability Using Deep Learning Techniques</t>
  </si>
  <si>
    <t>III. The Tracing Network</t>
  </si>
  <si>
    <t>https://github.com/jin-guo/TraceNN</t>
  </si>
  <si>
    <t>Can Latent Topics in Source Code Predict Missing Architectural Tactics?</t>
  </si>
  <si>
    <t>Analyzing APIs Documentation and Code to Detect Directive Defects</t>
  </si>
  <si>
    <t>- FN 2 - II. APPROACH *
- FN 5 - II. APPROACH *
- III. EXPERIMENTS * --- HL Replication Package</t>
  </si>
  <si>
    <t>http://www.ifi.uzh.ch/en/seal/people/panichella/tools/SURF0.html</t>
  </si>
  <si>
    <t>An Unsupervised Approach for Discovering Relevant Tutorial Fragments for APIs</t>
  </si>
  <si>
    <t>http://oscar-lab.org/people/~jxzhang/FRAPT/</t>
  </si>
  <si>
    <t>Detecting User Story Information in Developer-Client Conversations to Generate Extractive Summaries</t>
  </si>
  <si>
    <t>- FN 1 - I. INTRODUCTION.
- FN 2 - V. OUR APPROACH * --- E. Reproducibility and Implementation</t>
  </si>
  <si>
    <t>http://www3.nd.edu/~prodeghe/projects/userstories/</t>
  </si>
  <si>
    <t>While we cannot release the recordings of the meetings for ethical and privacy reasons, we do provide our trained classifier so that it can be tested on other datasets.
We release these models in lieu of the transcripts, since we cannot release the transcripts for privacy reasons.
It is not possible for us to release the records of conversations we collect, which means that we will need to use a public dataset to compare our classifier to earlier ones. However, our technique is designed for user story information, while the available public datasets have only extractive summaries annotated. Therefore, we annotate our dataset with extractive summaries to maintain a consistent baseline.
Since we cannot ethically release any of our meeting recordings from the active software company, these experiments on the AMI corpus serve as a reproducible example of our work.
First, we contribute the analysis of actual user story conversations to the software engineering literature. Although we cannot publish the conversations themselves due to privacy concerns, previous work in user story analysis used the AMI meeting corpus, which was artificially created.</t>
  </si>
  <si>
    <t>Clone Refactoring with Lambda Expressions</t>
  </si>
  <si>
    <t>[31] IV. EVALUATION * --- HL Verifiability
[14]
- IV. EVALUATION * --- HL Verifiability
- I. INTRODUCTION
[29]
- IV. EVALUATION *
- IV. EVALUATION * --- HL Verifiability</t>
  </si>
  <si>
    <r>
      <rPr>
        <rFont val="Arial"/>
        <color theme="1"/>
        <sz val="10.0"/>
      </rPr>
      <t>http://tiny.cc/ICSE17</t>
    </r>
    <r>
      <rPr>
        <rFont val="Arial"/>
        <color theme="1"/>
        <sz val="10.0"/>
      </rPr>
      <t xml:space="preserve"> (real link: https://users.encs.concordia.ca/~nikolaos/ICSE_2017/ )
https://github.com/tsantalis/jdeodorant-commandline 
https://github.com/tsantalis/JDeodorant/tree/JLS8-support </t>
    </r>
  </si>
  <si>
    <r>
      <rPr>
        <rFont val="Arial"/>
        <color theme="1"/>
        <sz val="10.0"/>
      </rPr>
      <t xml:space="preserve">http://tiny.cc/ICSE17
https://github.com/tsantalis/jdeodorant-commandline
</t>
    </r>
    <r>
      <rPr>
        <rFont val="Arial"/>
        <color theme="1"/>
        <sz val="10.0"/>
      </rPr>
      <t>https://github.com/tsantalis/JDeodorant/tree/JLS8-support</t>
    </r>
  </si>
  <si>
    <t>Characterizing and Detecting Anti-Patterns in the Logging Code</t>
  </si>
  <si>
    <t>[23]
- I. INTRODUCTION.
- VIII. CONCLUSIONS AND FUTURE WORK --- HL Verifiability</t>
  </si>
  <si>
    <t>http://nemo9cby.github.io/icse2017.html</t>
  </si>
  <si>
    <t>Automated Refactoring of Legacy Java Software to Default Methods</t>
  </si>
  <si>
    <t>- V. EVALUATION
- V. EVALUATION --- HL Verifiability</t>
  </si>
  <si>
    <t>http://cuny.is/interefact
http://git.io/v2nX0  (real link: https://github.com/ponder-lab/Migrate-Skeletal-Implementation-to-Interface-Refactoring )</t>
  </si>
  <si>
    <t>http://cuny.is/interefact
http://git.io/v2nX0</t>
  </si>
  <si>
    <t>Supporting Software Developers with a Holistic Recommender System</t>
  </si>
  <si>
    <t>- FN 3 - II. LIBRA *
- [56] VII. CONCLUSIONS --- HL Verifiability</t>
  </si>
  <si>
    <t>http://libra.inf.usi.ch/</t>
  </si>
  <si>
    <t>Recommending and Localizing Change Requests for Mobile Apps Based on User Reviews</t>
  </si>
  <si>
    <t>[25]
- I. INTRODUCTION
- III. THE CHANGEADVISOR APPROACH * (3x)
- IV. STUDY I: THE ACCURACY OF CHANGEADVISOR * (5x)
- IV. STUDY I: THE ACCURACY OF CHANGEADVISOR --- HL Replication Package</t>
  </si>
  <si>
    <t>https://sites.google.com/site/changeadvisormobile/</t>
  </si>
  <si>
    <t>Machine Learning-Based Detection of Open Source License Exceptions</t>
  </si>
  <si>
    <t>[45] TV. USING MACHINE LEARNING TO IDENTIFY LICENSE EXCEPTIONS --- HL Replication</t>
  </si>
  <si>
    <t>http://www.cs.wm.edu/semeru/data/ICSE17_LicenseExceptions/</t>
  </si>
  <si>
    <t>Software Development Waste</t>
  </si>
  <si>
    <t>Becoming Agile: A Grounded Theory of Agile Transitions in Practice</t>
  </si>
  <si>
    <t>From Diversity by Numbers to Diversity as Process: Supporting Inclusiveness in Software Development Teams with Brainstorming</t>
  </si>
  <si>
    <t>Classifying Developers into Core and Peripheral: An Empirical Study on Count and Network Metrics</t>
  </si>
  <si>
    <t>FN 3 - I. INTRODUCTION</t>
  </si>
  <si>
    <t>http://siemens.github.io/codeface/icse2017/</t>
  </si>
  <si>
    <t>Decoding the Representation of Code in the Brain: An fMRI Study of Code Review and Expertise</t>
  </si>
  <si>
    <t>VII. COSTS AND REPRODUCIBLE RESEARCH --- e) Reproducible Research</t>
  </si>
  <si>
    <t>http://dijkstra.cs.virginia.edu/fmri/</t>
  </si>
  <si>
    <t>Understanding the Impressions, Motivations, and Barriers of One Time Code Contributors to FLOSS Projects: A Survey</t>
  </si>
  <si>
    <t>- FN 2 - III. METHODOLOGY *</t>
  </si>
  <si>
    <t>http://carver.cs.ua.edu/Data/2017/ICSE_2017/</t>
  </si>
  <si>
    <t>Search-Driven String Constraint Solving for Vulnerability Detection</t>
  </si>
  <si>
    <t>[13]
- I. INTRODUCTION
- V. EVALUATION
- V. EVALUATION * --- D. Verifiability and Threats to Validity</t>
  </si>
  <si>
    <t>https://github.com/julianthome/acosolver</t>
  </si>
  <si>
    <t>A Guided Genetic Algorithm for Automated Crash Reproduction</t>
  </si>
  <si>
    <t>- FN 1 - I. INTRODUCTION
- FN 1 - VII. THREATS TO VALIDITY
- FN 1 - VIII. CONCLUSION</t>
  </si>
  <si>
    <t>http://www.evocrash.org/</t>
  </si>
  <si>
    <t>Stochastic Optimization of Program Obfuscation</t>
  </si>
  <si>
    <t>- I. INTRODUCTION
- VI. IMPLEMENTATION AND EVALUATION * (2x)
- VIII. CONCLUSION --- HL Verifiability</t>
  </si>
  <si>
    <t>https://bitbucket.org/njaliu/closure-star-tool</t>
  </si>
  <si>
    <t>Not available (1) - Broken link - Repository not found.</t>
  </si>
  <si>
    <t>ZenIDS: Introspective Intrusion Detection for PHP Applications</t>
  </si>
  <si>
    <t>VII. EXPERIMENTAL EVALUATION --- E. Verifiability</t>
  </si>
  <si>
    <t>http://www.github.com/uci-plrg/zen-ids</t>
  </si>
  <si>
    <t>Since the data used in our experiments contains private user information, we are not able to publicly release it. However, our repository provides instructions for conducting similar experiments in ZENIDS.</t>
  </si>
  <si>
    <t>Statically Checking Web API Requests in JavaScript</t>
  </si>
  <si>
    <t>On Cross-Stack Configuration Errors</t>
  </si>
  <si>
    <t>[21] I. INTRODUCTION</t>
  </si>
  <si>
    <t>http://mcis.polymtl.ca/~msayagh/icse2017/DataSet/index.html</t>
  </si>
  <si>
    <t>Efficient Detection of Thread Safety Violations via Coverage-Guided Generation of Concurrent Tests</t>
  </si>
  <si>
    <t>- FN 3 - V. IMPLEMENTATION</t>
  </si>
  <si>
    <t>https://github.com/michaelpradel/ConTeGe/tree/CovCon</t>
  </si>
  <si>
    <t>RClassify: Classifying Race Conditions in Web Applications via Deterministic Replay</t>
  </si>
  <si>
    <t>Repairing Event Race Errors by Controlling Nondeterminism</t>
  </si>
  <si>
    <t>VI. IMPLEMENTATION</t>
  </si>
  <si>
    <t>https://github.com/cs-au-dk/EventRaceCommander</t>
  </si>
  <si>
    <t>Making Malory Behave Maliciously: Targeted Fuzzing of Android Execution Environments</t>
  </si>
  <si>
    <t>FN 2 - I. INTRODUCTION</t>
  </si>
  <si>
    <t>https://github.com/srasthofer/FuzzDroid</t>
  </si>
  <si>
    <t>A SEALANT for Inter-App Security Holes in Android</t>
  </si>
  <si>
    <t>- IV. IMPLEMENTATION
- V. EVALUATION * (2x)</t>
  </si>
  <si>
    <t>http://softarch.usc.edu/sealant/</t>
  </si>
  <si>
    <t>Not available (1) - Broken link - File or directory not found.</t>
  </si>
  <si>
    <t>An Efficient, Robust, and Scalable Approach for Analyzing Interacting Android Apps</t>
  </si>
  <si>
    <t>- FN 1 - III. JITANA:AFRAMEWORK FOR ANALYZING INTERACTING ANDROID APPS
- FN 5 - IV. EMPIRICAL EVALUATION *
- VII. CONCLUSION.</t>
  </si>
  <si>
    <t>http://cse.unl.edu/~ytsutano/jitana/</t>
  </si>
  <si>
    <t>Not available (1) - Broken link - The requested URL was not found on this server.</t>
  </si>
  <si>
    <t>LibD: Scalable and Precise Third-Party Library Detection in Android Markets</t>
  </si>
  <si>
    <t>https://github.com/IIE-LibD/libd.git</t>
  </si>
  <si>
    <t>Analysis and Testing of Notifications in Android Wear Applications</t>
  </si>
  <si>
    <t>[21] V. TESTING TOOL *</t>
  </si>
  <si>
    <t>https://github.com/presto-osu/aw-uiautomator-server</t>
  </si>
  <si>
    <t>We plan to release publicly our implementation and experimental subjects in the near future</t>
  </si>
  <si>
    <t>Adaptive Unpacking of Android Apps</t>
  </si>
  <si>
    <t>VIII. CONCLUSION</t>
  </si>
  <si>
    <t>https://sites.google.com/site/packergrind</t>
  </si>
  <si>
    <t>We will release PackerGrind to the community only for research purposes to prevent illegal use. Interested users please send an email to packergrind@gmail.com for the system using your university’s email account.</t>
  </si>
  <si>
    <t>Limited access (Request required)</t>
  </si>
  <si>
    <t>Performance Diagnosis for Inefficient Loops</t>
  </si>
  <si>
    <t>How Do Developers Fix Cross-Project Correlated Bugs? A Case Study on the GitHub Scientific Python Ecosystem</t>
  </si>
  <si>
    <t>- FN 9 - III. RESEARCH METHODOLOGY *
- FN 10 - III. RESEARCH METHODOLOGY * (2 links)</t>
  </si>
  <si>
    <t>https://github.com/njuap/ICSE2017
https://www.surveymonkey.com/r/VSDMGSB
https://www.surveymonkey.com/r/VWZX7L7</t>
  </si>
  <si>
    <r>
      <rPr>
        <rFont val="Arial"/>
        <color theme="1"/>
        <sz val="10.0"/>
      </rPr>
      <t xml:space="preserve">https://github.com/njuap/ICSE2017
</t>
    </r>
    <r>
      <rPr>
        <rFont val="Arial"/>
        <color theme="1"/>
        <sz val="10.0"/>
      </rPr>
      <t>https://www.surveymonkey.com/r/VSDMGSB</t>
    </r>
    <r>
      <rPr>
        <rFont val="Arial"/>
        <color theme="1"/>
        <sz val="10.0"/>
      </rPr>
      <t xml:space="preserve">
https://www.surveymonkey.com/r/VWZX7L7</t>
    </r>
  </si>
  <si>
    <t>Publicly available (1)
Not available (2) - Broken link.</t>
  </si>
  <si>
    <t>Feedback-Based Debugging</t>
  </si>
  <si>
    <t>- [2] VI. USER STUDY *
- [3] IV. TOOL SUPPORT
- [23] V. SIMULATION EXPERIMENT
[4]
- I. INTRODUCTION
- V. SIMULATION EXPERIMENT (2x)</t>
  </si>
  <si>
    <t xml:space="preserve">http://linyun.info/microbat/ 
- http://linyun.info/microbat/report.pdf
https://github.com/llmhyy/microbat 
https://github.com/llmhyy/microbat_experiment </t>
  </si>
  <si>
    <r>
      <rPr>
        <rFont val="Arial"/>
        <color theme="1"/>
        <sz val="10.0"/>
      </rPr>
      <t xml:space="preserve">http://linyun.info/microbat/ - </t>
    </r>
    <r>
      <rPr>
        <rFont val="Arial"/>
        <color theme="1"/>
        <sz val="10.0"/>
      </rPr>
      <t>http://linyun.info/microbat/report.pdf</t>
    </r>
    <r>
      <rPr>
        <rFont val="Arial"/>
        <color theme="1"/>
        <sz val="10.0"/>
      </rPr>
      <t xml:space="preserve">
https://github.com/llmhyy/microbat
https://github.com/llmhyy/microbat_experiment</t>
    </r>
  </si>
  <si>
    <t>Learning Syntactic Program Transformations from Examples</t>
  </si>
  <si>
    <t>http://www.dsc.ufcg.edu.br/~spg/refazer/</t>
  </si>
  <si>
    <t>Precise Condition Synthesis for Program Repair</t>
  </si>
  <si>
    <t>- FN 2 - IV. EVALUATION *
- [40] VI. RELATED WORK</t>
  </si>
  <si>
    <t>https://github.com/Adobee/ACS
arXiv:1608.07754 (real link: https://arxiv.org/abs/1608.07754 )</t>
  </si>
  <si>
    <t>arXiv:1608.07754
https://github.com/Adobee/ACS</t>
  </si>
  <si>
    <t>Heuristically Matching Solution Spaces of Arithmetic Formulas to Efficiently Reuse Solutions</t>
  </si>
  <si>
    <t>Exploring API Embedding for API Usages and Applications</t>
  </si>
  <si>
    <t>[21] V. MINING API MAPPINGS BETWEEN JAVA AND C# *</t>
  </si>
  <si>
    <t>http://home.eng.iastate.edu/~trong/projects/jv2cs/</t>
  </si>
  <si>
    <t>Unsupervised Software-Specific Morphological Forms Inference from Informal Discussions</t>
  </si>
  <si>
    <t>fn 4 - VI. TOOL SUPPORT</t>
  </si>
  <si>
    <t>https://se-thesaurus.appspot.com/</t>
  </si>
  <si>
    <t>SPAIN: Security Patch Analysis for Binaries towards Understanding the Pain and Pills</t>
  </si>
  <si>
    <t>[28] IV. EVALUATION (3x)</t>
  </si>
  <si>
    <t>http://pat.scse.ntu.edu.sg/spain/</t>
  </si>
  <si>
    <t>Travioli: A Dynamic Analysis for Detecting Data-Structure Traversals</t>
  </si>
  <si>
    <t>- I. INTRODUCTION
- V. EVALUATION</t>
  </si>
  <si>
    <t>https://github.com/rohanpadhye/travioli</t>
  </si>
  <si>
    <t>ProEva: Runtime Proactive Performance Evaluation Based on Continuous-Time Markov Chains</t>
  </si>
  <si>
    <t>[22] IV. AsYMPTOTIC COMPUTATION *</t>
  </si>
  <si>
    <t>http://comp.nus.edu.sg/~sugx/ProEva/full-version.pdf</t>
  </si>
  <si>
    <t>Glacier: Transitive Class Immutability for Java</t>
  </si>
  <si>
    <t>[16] V. USER STUDY *</t>
  </si>
  <si>
    <r>
      <rPr>
        <rFont val="Arial"/>
        <color theme="1"/>
        <sz val="10.0"/>
      </rPr>
      <t>http://mcoblenz.github.io/Glacier/</t>
    </r>
    <r>
      <rPr>
        <rFont val="Arial"/>
        <color theme="1"/>
        <sz val="10.0"/>
      </rPr>
      <t xml:space="preserve"> (real link: http://glacier.coblenz.us/ )</t>
    </r>
  </si>
  <si>
    <t>http://mcoblenz.github.io/Glacier/</t>
  </si>
  <si>
    <t>Challenges for Static Analysis of Java Reflection - Literature Review and Empirical Study</t>
  </si>
  <si>
    <t>- [3]  I. Introduction
- [63] V. The Impact of Assumptions and Limitations *</t>
  </si>
  <si>
    <r>
      <rPr>
        <rFont val="Arial"/>
        <color theme="1"/>
        <sz val="10.0"/>
      </rPr>
      <t xml:space="preserve">https://doi.org/10.5281/zenodo.163326
</t>
    </r>
    <r>
      <rPr>
        <rFont val="Arial"/>
        <color theme="1"/>
        <sz val="10.0"/>
      </rPr>
      <t>https://doi.org/10.5281/zenodo.162926</t>
    </r>
  </si>
  <si>
    <t>https://doi.org/10.5281/zenodo.163326
https://doi.org/10.5281/zenodo.162926</t>
  </si>
  <si>
    <t>Machine-Learning-Guided Selectively Unsound Static Analysis</t>
  </si>
  <si>
    <t>How Good Is a Security Policy against Real Breaches? A HIPAA Case Study</t>
  </si>
  <si>
    <t>FN 1 - IV. CASE STUDY: HHS SECURITY AND PRIVACY BREACHES</t>
  </si>
  <si>
    <t>https://research.csc.ncsu.edu/mas/code/security/semaver/</t>
  </si>
  <si>
    <t>Adaptive Coverage and Operational Profile-Based Testing for Reliability Improvement</t>
  </si>
  <si>
    <t>- FN 9 - V. RESULTS
- FN 10 - V. RESULTS * --- E. Verifiability</t>
  </si>
  <si>
    <t>http://labsedc.isti.cnr.it/covrel2017</t>
  </si>
  <si>
    <t>RADAR: A Lightweight Tool for Requirements and Architecture Decision Analysis</t>
  </si>
  <si>
    <t>IV. RADAR LANGUAGE AND ANALYSIS --- HL Verifiability</t>
  </si>
  <si>
    <t>https://ucl-badass.github.io/radar/</t>
  </si>
  <si>
    <t>PEoPL: Projectional Editing of Product Lines</t>
  </si>
  <si>
    <t xml:space="preserve">[22]
- I. INTRODUCTION.
- IV. PEOPL’S INTERNAL REPRESENTATION.
- VII. LESSONS LEARNED (2x).
</t>
  </si>
  <si>
    <t>http://peopl.de/icse2017</t>
  </si>
  <si>
    <t>Do Developers Read Compiler Error Messages?</t>
  </si>
  <si>
    <t>FN 6 - V. VERIFIABILITY</t>
  </si>
  <si>
    <r>
      <rPr>
        <rFont val="Arial"/>
        <color theme="1"/>
        <sz val="10.0"/>
      </rPr>
      <t>http://go.barik.net/gazerbeams</t>
    </r>
    <r>
      <rPr>
        <rFont val="Arial"/>
        <color theme="1"/>
        <sz val="10.0"/>
      </rPr>
      <t xml:space="preserve"> (real link: https://static.barik.net/barik/gazerbeams/index.html )</t>
    </r>
  </si>
  <si>
    <t>http://go.barik.net/gazerbeams</t>
  </si>
  <si>
    <t>A General Framework for Dynamic Stub Injection</t>
  </si>
  <si>
    <t>An Empirical Study on Mutation, Statement and Branch Coverage Fault Revelation That Avoids the Unreliable Clean Program Assumption</t>
  </si>
  <si>
    <t>FN 4 - VI. THREATS TO VALIDITY</t>
  </si>
  <si>
    <t>https://sites.google.com/site/mikepapadakis/faults-mutants</t>
  </si>
  <si>
    <t>Evaluating and Improving Fault Localization</t>
  </si>
  <si>
    <t>VIII. THREATS TO VALIDITY --- HL Verifiability</t>
  </si>
  <si>
    <t>https://bitbucket.org/rjust/fault-localization-data</t>
  </si>
  <si>
    <t>Syntactic and Semantic Differencing for Combinatorial Models of Test Designs</t>
  </si>
  <si>
    <t>[2] V. EVALUATION * (2x).</t>
  </si>
  <si>
    <t>http://smlab.cs.tau.ac.il/ctd/</t>
  </si>
  <si>
    <t>Balancing Soundness and Efficiency for Practical Testing of Configurable Systems</t>
  </si>
  <si>
    <t>[48]
- I. INTRODUCTION.
- V. EVALUATION * (2x)
- VII. CONCLUSION.</t>
  </si>
  <si>
    <t>https://sabrinadfs.github.io/s-splat/</t>
  </si>
  <si>
    <t>Automatic Text Input Generation for Mobile Testing</t>
  </si>
  <si>
    <t>- [3] V. IMPLEMENTATION
- [4] IV. APPLYING DEEP LEARNING TO INPUT GENERATION *
- [5] VII. EVALUATION</t>
  </si>
  <si>
    <r>
      <rPr>
        <rFont val="Arial"/>
        <color theme="1"/>
        <sz val="10.0"/>
      </rPr>
      <t xml:space="preserve">https://sites.google.com/site/monkeyislearning/home/formal-model
https://sites.google.com/site/monkeyislearning/rnn
</t>
    </r>
    <r>
      <rPr>
        <rFont val="Arial"/>
        <color theme="1"/>
        <sz val="10.0"/>
      </rPr>
      <t>https://sites.google.com/site/monkeyislearning/non-crash-cases</t>
    </r>
  </si>
  <si>
    <t>https://sites.google.com/site/monkeyislearning/home/formal-model
https://sites.google.com/site/monkeyislearning/rnn
https://sites.google.com/site/monkeyislearning/non-crash-cases</t>
  </si>
  <si>
    <t>Not available (3) - Broken link.</t>
  </si>
  <si>
    <t>A Test-Suite Diagnosability Metric for Spectrum-Based Fault Localization Approaches</t>
  </si>
  <si>
    <t>SOFTWARE ARTIFACTS (2 links)</t>
  </si>
  <si>
    <t xml:space="preserve">https://github.com/aperez/evosuite
https://github.com/aperez/ddu-maven-plugin </t>
  </si>
  <si>
    <t>Automated Transplantation and Differential Testing for Clones</t>
  </si>
  <si>
    <t>FN 2 - III. CLONE GRAFTING AND TESTING *</t>
  </si>
  <si>
    <t>http://web.cs.ucla.edu/~tianyi.zhang/grafter.html</t>
  </si>
  <si>
    <t>Code Defenders: Crowdsourcing Effective Tests and Subtle Mutants with a Mutation Testing Game</t>
  </si>
  <si>
    <t>- I. INTRODUCTION
- IV. DOES GAMIFICATION IMPROVE TESTING? *</t>
  </si>
  <si>
    <t>http://www.code-defenders.org/
http://study.code-defenders.org</t>
  </si>
  <si>
    <t>Optimizing Test Placement for Module-Level Regression Testing</t>
  </si>
  <si>
    <t>FN 1 - V. EVALUATION --- E. Verifiability</t>
  </si>
  <si>
    <t>http://mir.cs.illinois.edu/awshi2/testoptimizer</t>
  </si>
  <si>
    <t>Due to legal issues, we can neither reveal the names of our subjects nor release the TestOptimizer code. We can share anonymized output of TestOptimizer for each subject.</t>
  </si>
  <si>
    <t>Learning to Prioritize Test Programs for Compiler Testing</t>
  </si>
  <si>
    <t>FN 8 - III. EXPERIMENTAL STUDY --- H. Verifiability</t>
  </si>
  <si>
    <t>https://github.com/JunjieChen/let</t>
  </si>
  <si>
    <t>What Causes My Test Alarm? Automatic Cause Analysis for Test Alarms in System and Integration Testing</t>
  </si>
  <si>
    <t>Symbolic Model Extraction for Web Application Verification</t>
  </si>
  <si>
    <t>- FN 1 - I. INTRODUCTION
- FN 2 - V. EXPERIMENTS --- B. Verifiability
- FN 3 - V. EXPERIMENTS --- B. Verifiability</t>
  </si>
  <si>
    <r>
      <rPr>
        <rFont val="Arial"/>
        <color theme="1"/>
        <sz val="10.0"/>
      </rPr>
      <t xml:space="preserve">http://bocete.github.io/adsl/
http://tinyurl.com/symext (real link: </t>
    </r>
    <r>
      <rPr>
        <rFont val="Arial"/>
        <color theme="1"/>
        <sz val="10.0"/>
      </rPr>
      <t>https://drive.google.com/file/d/0B9J17I0oaJEec1YzTkY5djQtb3M/view?usp=sharing)</t>
    </r>
  </si>
  <si>
    <t>http://bocete.github.io/adsl/
http://tinyurl.com/symext</t>
  </si>
  <si>
    <t>Restrict access (1) - Access not allowed,
Publicly available (1)</t>
  </si>
  <si>
    <t>UML Diagram Refinement (Focusing on Class- and Use Case Diagrams)</t>
  </si>
  <si>
    <t xml:space="preserve">III. AN EXTENDED EXAMPLE --- caption of Fig. 10
</t>
  </si>
  <si>
    <r>
      <rPr>
        <rFont val="Arial"/>
        <color theme="1"/>
        <sz val="10.0"/>
      </rPr>
      <t>http://tinyurl.com/jz4akby</t>
    </r>
    <r>
      <rPr>
        <rFont val="Arial"/>
        <color theme="1"/>
        <sz val="10.0"/>
      </rPr>
      <t xml:space="preserve"> (real link: https://sites.google.com/site/davidfaitelsonacademic/refinement-of-uml-diagrams )</t>
    </r>
  </si>
  <si>
    <t>http://tinyurl.com/jz4akby</t>
  </si>
  <si>
    <t>Fuzzy Fine-Grained Code-History Analysis</t>
  </si>
  <si>
    <t>[1]
- IV. EVALUATION (2x)
- VIII. REPLICATION</t>
  </si>
  <si>
    <t>http://people.cs.vt.edu/fservant/replication/17-ICSE-Servant-Jones.zip</t>
  </si>
  <si>
    <t>To Type or Not to Type: Quantifying Detectable Bugs in JavaScript</t>
  </si>
  <si>
    <t>- I. INTRODUCTION.
- III. EXPERIMENTAL SETUP *.
- VIII. CONCLUSION.</t>
  </si>
  <si>
    <t>http://ttendency.cs.ucl.ac.uk/projects/type_study/index.html</t>
  </si>
  <si>
    <t>The Evolution of Continuous Experimentation in Software Product Development: From Data to a Data-Driven Organization at Scale</t>
  </si>
  <si>
    <t>Context-Aware Patch Generation for Better Automated Program Repair</t>
  </si>
  <si>
    <t>4 EVALUATION *</t>
  </si>
  <si>
    <t>https://github.com/justinwm/CapGen</t>
  </si>
  <si>
    <t>Towards Practical Program Repair with On-demand Candidate Generation</t>
  </si>
  <si>
    <t>Software Protection on the Go: A Large-Scale Empirical Study on Mobile App Obfuscation</t>
  </si>
  <si>
    <t>GUILeak: Tracing Privacy Policy Claims on User Input Data for Android Applications</t>
  </si>
  <si>
    <t>[4]
- 3 APPROACH *
- 4 EVALUATION.</t>
  </si>
  <si>
    <t>https://sites.google.com/site/uiprivacy2017/</t>
  </si>
  <si>
    <t>Online App Review Analysis for Identifying Emerging Issues</t>
  </si>
  <si>
    <t>FN 4 - 1 INTRODUCTION</t>
  </si>
  <si>
    <t>https://github.com/ReMine-Lab/IDEA</t>
  </si>
  <si>
    <t>Neuro-Symbolic Program Corrector for Introductory Programming Assignments</t>
  </si>
  <si>
    <t>Automated Localization for Unreproducible Builds</t>
  </si>
  <si>
    <t>1 INTRODUCTION</t>
  </si>
  <si>
    <t>https://reploc.bitbucket.io/</t>
  </si>
  <si>
    <t>Enlightened Debugging</t>
  </si>
  <si>
    <r>
      <rPr>
        <rFont val="Arial"/>
        <color theme="1"/>
        <sz val="10.0"/>
      </rPr>
      <t xml:space="preserve">http://www.cc.gatech.edu/~orso/software/enlighten/ (real link: </t>
    </r>
    <r>
      <rPr>
        <rFont val="Arial"/>
        <color theme="1"/>
        <sz val="10.0"/>
      </rPr>
      <t>https://sites.google.com/site/enlightentool/</t>
    </r>
    <r>
      <rPr>
        <rFont val="Arial"/>
        <color theme="1"/>
        <sz val="10.0"/>
      </rPr>
      <t xml:space="preserve"> )</t>
    </r>
  </si>
  <si>
    <t>http://www.cc.gatech.edu/~orso/software/enlighten/</t>
  </si>
  <si>
    <t>Sentiment Analysis for Software Engineering: How Far Can We Go?</t>
  </si>
  <si>
    <t>[18]
- 1 INTRODUCTION
- 7 LESSONS LEARNED</t>
  </si>
  <si>
    <t>https://sentiment-se.github.io/replication.zip</t>
  </si>
  <si>
    <t>Identifying Features in Forks</t>
  </si>
  <si>
    <t>FN 1 - 1 INTRODUCTION (2 links)</t>
  </si>
  <si>
    <t>forks-insight.com
https://github.com/shuiblue/INFOX</t>
  </si>
  <si>
    <t>Roles and Impacts of Hands-on Software Architects in Five Industrial Case Studies</t>
  </si>
  <si>
    <t>Semantic Program Repair Using a Reference Implementation</t>
  </si>
  <si>
    <t>Automated Repair of Mobile Friendly Problems in Web Pages</t>
  </si>
  <si>
    <t>[21] 4 EVALUATION *</t>
  </si>
  <si>
    <t>https://github.com/USC-SQL/mfix</t>
  </si>
  <si>
    <t>Static Automated Program Repair for Heap Properties</t>
  </si>
  <si>
    <t>https://github.com/squaresLab/footpatch</t>
  </si>
  <si>
    <t>Automated Reporting of GUI Design Violations for Mobile Apps</t>
  </si>
  <si>
    <t>[35]
- 1 INTRODUCTION
- 3 DESIGN VIOLATIONS IN PRACTICE *
- 4 THE GVT APPROACH *
- 5 DESIGN OF THE EXPERIMENTS * (2x)</t>
  </si>
  <si>
    <t>http://www.android-dev-tools.com/gvt</t>
  </si>
  <si>
    <t>We include an online appendix [35] with examples of reports generated by Gvt and our evaluation dataset. Additionally, we make the Gvt tool and code available upon request.
Due to an NDA, we are not able to share the dataset or highlight specific examples, in order to avoid revealing information about future products at Huawei.
We excluded other steps described in [17], such as memoing because we were building a taxonomy of labels, and seeking new specific data due to our NDA limiting the data that could be shared.</t>
  </si>
  <si>
    <t>Leveraging Program Analysis to Reduce User-Perceived Latency in Mobile Applications</t>
  </si>
  <si>
    <t>[15] 1 INTRODUCTION</t>
  </si>
  <si>
    <t>https://softarch.usc.edu/PALOMA</t>
  </si>
  <si>
    <t>Repairing Crashes in Android Apps</t>
  </si>
  <si>
    <t>8 SUBJECTS</t>
  </si>
  <si>
    <t>https://droix2017.github.io/</t>
  </si>
  <si>
    <t>Hybrid Regression Test Selection</t>
  </si>
  <si>
    <t>[2]
- 3 TECHNIQUE AND IMPLEMENTATION *
- 4 STUDY *</t>
  </si>
  <si>
    <t>http://hyrts.org/</t>
  </si>
  <si>
    <t>Fine-Grained Test Minimization</t>
  </si>
  <si>
    <t>[41]
- 1 INTRODUCTION
- 3 APPROACH *
- 5 DISCUSSION</t>
  </si>
  <si>
    <t>https://github.com/saltlab/Testler</t>
  </si>
  <si>
    <t>FAST Approaches to Scalable Similarity-Based Test Case Prioritization</t>
  </si>
  <si>
    <t>FN 7 - 6 RESULTS</t>
  </si>
  <si>
    <t>https://github.com/icse18-fast/FAST</t>
  </si>
  <si>
    <t>Towards Refactoring-Aware Regression Test Selection</t>
  </si>
  <si>
    <t>5 EVALUATION *</t>
  </si>
  <si>
    <t>http://cozy.ece.utexas.edu/reks</t>
  </si>
  <si>
    <t>Inheritance Usage Patterns in Open-Source Systems</t>
  </si>
  <si>
    <t>Almost There: A Study on Quasi-Contributors in Open Source Software Projects</t>
  </si>
  <si>
    <t>FN 9 - 7 THREATS TO VALIDITY</t>
  </si>
  <si>
    <t>https://doi.org/10.5281/zenodo.1154906</t>
  </si>
  <si>
    <t>To Distribute or Not to Distribute? Why Licensing Bugs Matter</t>
  </si>
  <si>
    <t>[3]
- 3 EMPIRICAL STUDY DESIGN
- 4 CATALOG OF LICENSING BUGS</t>
  </si>
  <si>
    <t>&gt;To Distribute or Not to Distribute? Why Licensing Bugs Matter - Appendix - real link: https://sites.google.com/site/licensingbugsunveiled/</t>
  </si>
  <si>
    <t>To Distribute or Not to Distribute? Why Licensing Bugs Matter - Appendix - real link: https://sites.google.com/site/licensingbugsunveiled/</t>
  </si>
  <si>
    <t>Augusto: Exploiting Popular Functionalities for the Generation of Semantic GUI Tests with Oracles</t>
  </si>
  <si>
    <t>- FN 1 - 1 INTRODUCTION
- 3 AUGUSTO: AUTOMATED AIFS TESTING * (2x)</t>
  </si>
  <si>
    <t>http://github.com/danydunk/Augusto</t>
  </si>
  <si>
    <t>Towards Optimal Concolic Testing</t>
  </si>
  <si>
    <t>[30] 5 EVALUATION</t>
  </si>
  <si>
    <t>http://sav.sutd.edu.sg/research/smartconcolic</t>
  </si>
  <si>
    <t>DeepTest: Automated Testing of Deep-Neural-Network-Driven Autonomous Cars</t>
  </si>
  <si>
    <t>- 1 INTRODUCTION.
- 5 RESULTS --- caption of Figure 7</t>
  </si>
  <si>
    <t>https://deeplearningtest.github.io/deepTest/</t>
  </si>
  <si>
    <t>Precise Concolic Unit Testing of C Programs Using Extended Units and Symbolic Alarm Filtering</t>
  </si>
  <si>
    <t>- 1 INTRODUCTION.
- 4 EXPERIMENT SETUP *
- 5 EXPERIMENT RESULT (3x) *</t>
  </si>
  <si>
    <t>http://swtv.kaist.ac.kr/tools/conbrio</t>
  </si>
  <si>
    <t>Spatio-Temporal Context Reduction: A Pointer-Analysis-Based Static Approach for Detecting Use-After-Free Vulnerabilities</t>
  </si>
  <si>
    <t>Program Splicing</t>
  </si>
  <si>
    <t>Chopped Symbolic Execution</t>
  </si>
  <si>
    <t>- 4 IMPLEMENTATION.
- FN 12 - 5 EXPERIMENTAL EVALUATION *</t>
  </si>
  <si>
    <t>https://srg.doc.ic.ac.uk/projects/chopper/</t>
  </si>
  <si>
    <t>Perses: Syntax-Guided Program Reduction</t>
  </si>
  <si>
    <t>Secure Coding Practices in Java: Challenges and Vulnerabilities</t>
  </si>
  <si>
    <t>http://people.cs.vt.edu/nm8247/icse18.xlsx</t>
  </si>
  <si>
    <t>EnMobile: Entity-Based Characterization and Analysis of Mobile Malware</t>
  </si>
  <si>
    <t>[19] 5 ENTITY-BASED STATIC ANALYSIS *</t>
  </si>
  <si>
    <t>https://sites.google.com/site/entitymobile/</t>
  </si>
  <si>
    <t>Does the Propagation of Artifact Changes Across Tasks Reflect Work Dependencies?</t>
  </si>
  <si>
    <t>[18] 2 STUDY DESIGN *</t>
  </si>
  <si>
    <t>https://doi.org/10.6084/m9.figshare.5346253.v1</t>
  </si>
  <si>
    <t>Large-Scale Analysis of Framework-Specific Exceptions in Android Apps</t>
  </si>
  <si>
    <t>[21] 1 INTRODUCTION</t>
  </si>
  <si>
    <t>https://crashanalysis.github.io/</t>
  </si>
  <si>
    <t>A Large-Scale Empirical Study on the Effects of Code Obfuscations on Android Apps and Anti-Malware Products</t>
  </si>
  <si>
    <t>[21]
- 1 INTRODUCTION
- 4 RESEARCH METHODOLOGY * (2x)
- 7 THREATS TO VALIDITY
- 9 CONCLUSION</t>
  </si>
  <si>
    <t>http://www.ics.uci.edu/~seal/projects/obfuscation/index.html</t>
  </si>
  <si>
    <t>DeFlaker: Automatically Detecting Flaky Tests</t>
  </si>
  <si>
    <t>- 2 DEFLAKER *
[27]
- 3 EVALUATION (2x) *
- 4 THREATS TO VALIDITY
[28]
- 1 INTRODUCTION
- 2 DEFLAKER *
- 4 THREATS TO VALIDITY --- HL  Reproducibility
- 6 CONCLUSIONS AND FUTURE WORK.</t>
  </si>
  <si>
    <t xml:space="preserve">http://www.deflaker.org/
- http://www.deflaker.org/icsecomp 
https://github.com/gmu-swe/deflaker </t>
  </si>
  <si>
    <t xml:space="preserve">http://www.deflaker.org/
https://github.com/gmu-swe/deflaker </t>
  </si>
  <si>
    <t>DetReduce: Minimizing Android GUI Test Suites for Regression Testing</t>
  </si>
  <si>
    <t>- 1 INTRODUCTION.
- 4 IMPLEMENTATION.</t>
  </si>
  <si>
    <t>https://github.com/wtchoi/swifthand2</t>
  </si>
  <si>
    <t>Time to Clean Your Test Objectives</t>
  </si>
  <si>
    <t>- FN 2 - 5 IMPLEMENTATION (2x)
- FN 2 - 6 EXPERIMENTAL EVALUATION</t>
  </si>
  <si>
    <t>http://icse18.marcozzi.net/</t>
  </si>
  <si>
    <t>Prioritizing Browser Environments for Web Application Test Execution</t>
  </si>
  <si>
    <t>[9] 1 INTRODUCTION</t>
  </si>
  <si>
    <t>http://webeng.kaist.ac.kr/webengpress/browser-env-prio/</t>
  </si>
  <si>
    <t>Accurate and Efficient Refactoring Detection in Commit History</t>
  </si>
  <si>
    <t>[53] [69] [70]
1 INTRODUCTION</t>
  </si>
  <si>
    <t>https://github.com/tsantalis/RefactoringMiner
http://refactoring.encs.concordia.ca/oracle/
https://github.com/MatinMan/RefactoringBenchmark</t>
  </si>
  <si>
    <t>How Modern News Aggregators Help Development Communities Shape and Share Knowledge</t>
  </si>
  <si>
    <t>[5] 3 RESEARCH METHOD * (3x)</t>
  </si>
  <si>
    <t>https://www.zenodo.org/record/1167838#.WnnlJYJG1vp</t>
  </si>
  <si>
    <t>We share our complete code book on our appendix [5]. Due to privacy reasons, we do not share the original excerpts.</t>
  </si>
  <si>
    <t>Adding Sparkle to Social Coding: An Empirical Study of Repository Badges in the npm Ecosystem</t>
  </si>
  <si>
    <t>A ADDITIONAL MATERIAL</t>
  </si>
  <si>
    <t>https://github.com/CMUSTRUDEL/npm-badges</t>
  </si>
  <si>
    <t>"Was My Contribution Fairly Reviewed?": A Framework to Study the Perception of Fairness in Modern Code Reviews</t>
  </si>
  <si>
    <t>Are Mutation Scores Correlated with Real Fault Detection? A Large Scale Empirical Study on the Relationship Between Mutants and Real Faults</t>
  </si>
  <si>
    <t>Efficient Sampling of SAT Solutions for Testing</t>
  </si>
  <si>
    <t>- 1 INTRODUCTION
- FN 2 - 4 IMPLEMENTATION</t>
  </si>
  <si>
    <t>https://github.com/RafaelTupynamba/quicksampler</t>
  </si>
  <si>
    <t>Understanding Developers' Needs on Deprecation as a Language Feature</t>
  </si>
  <si>
    <t>[27] 3 METHODOLOGY *</t>
  </si>
  <si>
    <t>https://www.dropbox.com/s/cwchbspdeek6iuh/replication_package.zip?dl=0</t>
  </si>
  <si>
    <t>Not available (1) - Broken link - This item was deleted.</t>
  </si>
  <si>
    <t>On the Dichotomy of Debugging Behavior Among Programmers</t>
  </si>
  <si>
    <t>FN 1 - 1 INTRODUCTION</t>
  </si>
  <si>
    <t>https://archive.org/details/debugging-replication-package</t>
  </si>
  <si>
    <t>Dataflow Tunneling: Mining Inter-Request Data Dependencies for Request-Based Applications</t>
  </si>
  <si>
    <t>Launch-Mode-Aware Context-Sensitive Activity Transition Analysis</t>
  </si>
  <si>
    <t>UFO: Predictive Concurrency Use-After-Free Detection</t>
  </si>
  <si>
    <t>- 1 INTRODUCTION
- [12] 6 EVALUATION *</t>
  </si>
  <si>
    <t>https://github.com/parasol-aser/UFO</t>
  </si>
  <si>
    <t>Collective Program Analysis</t>
  </si>
  <si>
    <t>Statistical Learning of API Fully Qualified Names in Code Snippets of Online Forums</t>
  </si>
  <si>
    <t>When Not to Comment: Questions and Tradeoffs with API Documentation for C++ Projects</t>
  </si>
  <si>
    <t xml:space="preserve">[1] 3 METHODS * (2x).
</t>
  </si>
  <si>
    <t>https://goo.gl/wMg3vY (real link: https://docs.google.com/document/d/1L1-OHpuIJpZqZcXVcGYNQnKmvCpvzYUZ5Pg4frRzGGc/edit )</t>
  </si>
  <si>
    <t>https://goo.gl/wMg3vY</t>
  </si>
  <si>
    <t>Deuce: A Lightweight User Interface for Structured Editing</t>
  </si>
  <si>
    <t>- 1 INTRODUCTION
- 3 Deuce: DESIGN AND IMPLEMENTATION
Referencees  [Hempel et al. 2018]
- 3 Deuce: DESIGN AND IMPLEMENTATION *
- 4 USER STUDY *</t>
  </si>
  <si>
    <t>CoRR abs/1707.00015 (real link: https://arxiv.org/abs/1707.00015 )
http://ravichugh.github.io/sketch-n-sketch/</t>
  </si>
  <si>
    <t>CoRR abs/1707.00015
http://ravichugh.github.io/sketch-n-sketch/</t>
  </si>
  <si>
    <t>From UI Design Image to GUI Skeleton: A Neural Machine Translator to Bootstrap Mobile GUI Implementation</t>
  </si>
  <si>
    <t>FN 1 - 5 CONSTRUCTING ANDROID UI DATASET *</t>
  </si>
  <si>
    <t>http://tagreorder.appspot.com/ui2code.html</t>
  </si>
  <si>
    <t>When Testing Meets Code Review: Why and How Developers Review Tests</t>
  </si>
  <si>
    <t>[7]
- 1 INTRODUCTION
- 3 SHOULD TEST FILES BE REVIEWED?
- 4 RESEARCH METHODOLOGY *</t>
  </si>
  <si>
    <t>https://doi.org/10.5281/zenodo.1172419</t>
  </si>
  <si>
    <t>Redefining Prioritization: Continuous Prioritization for Continuous Integration</t>
  </si>
  <si>
    <t>FN 3 - 5 EMPIRICAL STUDY *</t>
  </si>
  <si>
    <t>https://github.com/elbaum/CI-Datasets</t>
  </si>
  <si>
    <t>Do Programmers Work at Night or During the Weekend?</t>
  </si>
  <si>
    <t>Multi-granular Conflict and Dependency Analysis in Software Engineering Based on Graph Transformation</t>
  </si>
  <si>
    <t>- [43] 4 CONFLICT AND DEPENDENCY CONCEPTS *
- 6 IMPLEMENTATION EVALUATION
- 7 USER STUDY</t>
  </si>
  <si>
    <r>
      <rPr>
        <rFont val="Arial"/>
        <color theme="1"/>
        <sz val="10.0"/>
      </rPr>
      <t>https://www.uni-marburg.de/fb12/arbeitsgruppen/swt/forschung/publikationen/</t>
    </r>
    <r>
      <rPr>
        <rFont val="Arial"/>
        <color theme="1"/>
        <sz val="10.0"/>
      </rPr>
      <t xml:space="preserve">
</t>
    </r>
    <r>
      <rPr>
        <rFont val="Arial"/>
        <color theme="1"/>
        <sz val="10.0"/>
      </rPr>
      <t>https://github.com/KristopherBorn/multiCDA</t>
    </r>
    <r>
      <rPr>
        <rFont val="Arial"/>
        <color theme="1"/>
        <sz val="10.0"/>
      </rPr>
      <t xml:space="preserve">
</t>
    </r>
    <r>
      <rPr>
        <rFont val="Arial"/>
        <color theme="1"/>
        <sz val="10.0"/>
      </rPr>
      <t>http://uni-marburg.de/y35ak</t>
    </r>
    <r>
      <rPr>
        <rFont val="Arial"/>
        <color theme="1"/>
        <sz val="10.0"/>
      </rPr>
      <t xml:space="preserve"> (real link: https://www.mathematik.uni-marburg.de/~swt/downloads/icse18/replicationpackage.zip )</t>
    </r>
  </si>
  <si>
    <t>https://www.uni-marburg.de/fb12/arbeitsgruppen/swt/forschung/publikationen/
https://github.com/KristopherBorn/multiCDA
http://uni-marburg.de/y35ak</t>
  </si>
  <si>
    <t>Publicly available (2)
Not available (1) - Broken link.</t>
  </si>
  <si>
    <t>Self-Hiding Behavior in Android Apps: Detection and Characterization</t>
  </si>
  <si>
    <t>FN 1- 1 INTRODUCTION</t>
  </si>
  <si>
    <t>http://spruce.cs.ucr.edu/SelfHiding/</t>
  </si>
  <si>
    <t>ConflictJS: Finding and Understanding Conflicts Between JavaScript Libraries</t>
  </si>
  <si>
    <t>FN 5 - 1 INTRODUCTION</t>
  </si>
  <si>
    <t>https://github.com/sola-da/ConflictJS</t>
  </si>
  <si>
    <t>Debugging Data Flows in Reactive Programs</t>
  </si>
  <si>
    <t>[4]
- 6 RQ3: EVALUATION
- 10 CONCLUSIONS</t>
  </si>
  <si>
    <t>http://github.com/hermanbanken/RxFiddle
https://doi.org/10.5281/zenodo.814981</t>
  </si>
  <si>
    <t>Do You Remember This Source Code?</t>
  </si>
  <si>
    <t>FN 1 - 5 RESULTS</t>
  </si>
  <si>
    <t>https://bitbucket.org/Jacob_Krueger/icse-2018-data</t>
  </si>
  <si>
    <t>Inferring Hierarchical Motifs from Execution Traces</t>
  </si>
  <si>
    <t>[71]
- 4 ALGORITHM FOR INFERRING MOTIFS *
- 6 IMPLEMENTATION: SABALAN
- 7 EVALUATION *</t>
  </si>
  <si>
    <t>https://github.com/saltlab/sabalan</t>
  </si>
  <si>
    <t>Identifying Patch Correctness in Test-Based Program Repair</t>
  </si>
  <si>
    <t>FN 1 - 6 EVALUATION</t>
  </si>
  <si>
    <t>https://github.com/Ultimanecat/DefectRepairing</t>
  </si>
  <si>
    <t>How not to Structure Your Database-Backed Web Applications: A Study of Performance Bugs in the Wild</t>
  </si>
  <si>
    <t>FN * - Title of the paper
[16]
- 1 INTRODUCTION.
- 3 PROFILING &amp; STUDY METHODOLOGY *.</t>
  </si>
  <si>
    <t>http://hyperloop.cs.uchicago.edu</t>
  </si>
  <si>
    <t>Speedoo: Prioritizing Performance Optimization Opportunities</t>
  </si>
  <si>
    <t>The Evolution of Requirements Practices in Software Startups</t>
  </si>
  <si>
    <t>- [39] 5 DISCUSSION *.
- [40] 3 RESEARCH METHODOLOGY.</t>
  </si>
  <si>
    <t>https://goo.gl/KY1qRP (real link: https://docs.google.com/drawings/d/16hoFPPRZ1RZ65DBSUrXxB9ZVWqlHENj0jrojcE94uF0/edit )
https://goo.gl/VYXAj7 (real link: https://drive.google.com/file/d/0B5rOvtoPQyvXMDFGeTdkQlVYc2M/view?resourcekey=0-k6yZliEn7Uuyj-7I8hVrcw )</t>
  </si>
  <si>
    <t>https://goo.gl/KY1qRP
https://goo.gl/VYXAj7</t>
  </si>
  <si>
    <t>Traceability in the Wild: Automatically Augmenting Incomplete Trace Links</t>
  </si>
  <si>
    <t>[50] 4 DATA COLLECTION</t>
  </si>
  <si>
    <r>
      <rPr>
        <rFont val="Arial"/>
        <color theme="1"/>
        <sz val="10.0"/>
      </rPr>
      <t>https://doi.org/10.7910/DVN/BZLSLA</t>
    </r>
    <r>
      <rPr>
        <rFont val="Arial"/>
        <color theme="1"/>
        <sz val="10.0"/>
      </rPr>
      <t xml:space="preserve"> (real link: </t>
    </r>
    <r>
      <rPr>
        <rFont val="Arial"/>
        <color theme="1"/>
        <sz val="10.0"/>
      </rPr>
      <t>https://dataverse.harvard.edu/dataset.xhtml?persistentId=doi:10.7910/DVN/BZLSLA</t>
    </r>
    <r>
      <rPr>
        <rFont val="Arial"/>
        <color theme="1"/>
        <sz val="10.0"/>
      </rPr>
      <t xml:space="preserve"> )
- </t>
    </r>
    <r>
      <rPr>
        <rFont val="Arial"/>
        <color theme="1"/>
        <sz val="10.0"/>
      </rPr>
      <t>https://goo.gl/2NMjcF</t>
    </r>
    <r>
      <rPr>
        <rFont val="Arial"/>
        <color theme="1"/>
        <sz val="10.0"/>
      </rPr>
      <t xml:space="preserve"> (real link: </t>
    </r>
    <r>
      <rPr>
        <rFont val="Arial"/>
        <color theme="1"/>
        <sz val="10.0"/>
      </rPr>
      <t>https://dataverse.harvard.edu/dataset.xhtml?persistentId=doi:10.7910/DVN/BZLSLA</t>
    </r>
    <r>
      <rPr>
        <rFont val="Arial"/>
        <color theme="1"/>
        <sz val="10.0"/>
      </rPr>
      <t xml:space="preserve"> )</t>
    </r>
  </si>
  <si>
    <t>https://doi.org/10.7910/DVN/BZLSLA</t>
  </si>
  <si>
    <t>A Temporal Permission Analysis and Enforcement Framework for Android</t>
  </si>
  <si>
    <t>[4]
- 1 INTRODUCTION
- 4 TERMINATOR *
- 5 EVALUATION *</t>
  </si>
  <si>
    <t>https://sites.google.com/view/terminator18</t>
  </si>
  <si>
    <t>RFC-Directed Differential Testing of Certificate Validation in SSL/TLS Implementations</t>
  </si>
  <si>
    <t>wolfSSL has confirmed and fixed four bugs3
3Reports are not public and screen shots are provided upon request.</t>
  </si>
  <si>
    <t>Symbolic Verification of Regular Properties</t>
  </si>
  <si>
    <t>Are Code Examples on an Online Q&amp;A Forum Reliable? A Study of API Misuse on Stack Overflow</t>
  </si>
  <si>
    <t>FN 5 - 3 API USAGE MINING AND PATTERN SET *</t>
  </si>
  <si>
    <t>http://web.cs.ucla.edu/~tianyi.zhang/examplecheck.html</t>
  </si>
  <si>
    <t>Restrict access (1) - You don't have permission to access this resource,</t>
  </si>
  <si>
    <t>Propagating Configuration Decisions with Modal Implication Graphs</t>
  </si>
  <si>
    <t>- FN 2 - 5 EVALUATION *
- FN 3 - 5 EVALUATION *</t>
  </si>
  <si>
    <t xml:space="preserve">https://github.com/skrieter/MIG-Evaluation
- https://github.com/skrieter/MIG-Evaluation/blob/master/ICSE2018_Evaluation/execution_times.pdf </t>
  </si>
  <si>
    <t>https://github.com/skrieter/MIG-Evaluation</t>
  </si>
  <si>
    <t>A Combinatorial Approach for Exposing Off-Nominal Behaviors</t>
  </si>
  <si>
    <t>FN 1 - 4 EMPIRICAL STUDY *</t>
  </si>
  <si>
    <r>
      <rPr>
        <rFont val="Arial"/>
        <color theme="1"/>
        <sz val="10.0"/>
      </rPr>
      <t>https://goo.gl/VKPm4U</t>
    </r>
    <r>
      <rPr>
        <rFont val="Arial"/>
        <color theme="1"/>
        <sz val="10.0"/>
      </rPr>
      <t xml:space="preserve"> (real link: https://docs.google.com/document/d/1HCGGtG1YbkdlH7qWURicfbiVA5FhLSKmt2QCF4HCYHw/edit )</t>
    </r>
  </si>
  <si>
    <t>https://goo.gl/VKPm4U</t>
  </si>
  <si>
    <t>Identifying Design Problems in the Source Code: A Grounded Theory</t>
  </si>
  <si>
    <t>[26] 4 A THEORY ON HOW DEVELOPERS IDENTIFY DESIGN PROBLEMS * (2x)</t>
  </si>
  <si>
    <t>https://ssousaleo.github.io/ICSE2018/</t>
  </si>
  <si>
    <t>Deep Code Search</t>
  </si>
  <si>
    <t>FN 6 - 8 CONCLUSION</t>
  </si>
  <si>
    <t>https://github.com/guxd/deep-code-search</t>
  </si>
  <si>
    <t>FaCoY – A Code-to-Code Search Engine</t>
  </si>
  <si>
    <t>[23]
- 3 APPROACH *
- 4 EVALUATION * (2x)
- FN of 4 EVALUATION *</t>
  </si>
  <si>
    <t>https://github.com/facoy/facoy</t>
  </si>
  <si>
    <t>Generalized Data Structure Synthesis</t>
  </si>
  <si>
    <t>https://cozy.uwplse.org</t>
  </si>
  <si>
    <t>A Graph Solver for the Automated Generation of Consistent Domain-Specific Models</t>
  </si>
  <si>
    <t>[52]
- 4 EXPERIMENTAL EVALUATION.
- 6 CONCLUSION AND FUTURE WORK.</t>
  </si>
  <si>
    <t>https://github.com/viatra/VIATRA-Generator</t>
  </si>
  <si>
    <t>Automatically Finding Bugs in a Commercial Cyber-Physical System Development Tool Chain With SLforge</t>
  </si>
  <si>
    <t>[10]
- 3 PUBLIC SIMULINK MODEL COLLECTION * (3x)
- 5 EVALUATION *</t>
  </si>
  <si>
    <t>https://github.com/verivital/slsf_randgen/wiki</t>
  </si>
  <si>
    <t>Context-Aware Conversational Developer Assistants</t>
  </si>
  <si>
    <t>FN 2 - 4 STUDY METHOD</t>
  </si>
  <si>
    <t>http://soapbox.wistia.com/videos/HBzPb4ulqlQI</t>
  </si>
  <si>
    <t>Open Source Barriers to Entry, Revisited: A Sociotechnical Perspective</t>
  </si>
  <si>
    <t>Testing Vision-Based Control Systems Using Learnable Evolutionary Algorithms</t>
  </si>
  <si>
    <t>[13]
- 1 INTRODUCTION
- 3 ADAS FORMALIZATION
- 4 SEARCH GUIDED BY CLASSIFIERS *
- 5 EVALUATION *</t>
  </si>
  <si>
    <t>https://sites.google.com/site/adasexperimentsdata/</t>
  </si>
  <si>
    <t>To Preserve or Not to Preserve Invalid Solutions in Search-Based Software Engineering: A Case Study in Software Product Lines</t>
  </si>
  <si>
    <t>https://github.com/jmguo/balanceValidity/</t>
  </si>
  <si>
    <t>Nemo: Multi-criteria Test-Suite Minimization with Integer Nonlinear Programming</t>
  </si>
  <si>
    <t>[3] 4 IMPLEMENTATION</t>
  </si>
  <si>
    <t>http://www.ics.uci.edu/~seal/projects/nemo/index.html</t>
  </si>
  <si>
    <t>Is "Better Data" Better Than "Better Data Miners"? On the Benefits of Tuning SMOTE for Defect Prediction</t>
  </si>
  <si>
    <t>- 1 INTRODUCTION
- 4 RESULTS (2x)</t>
  </si>
  <si>
    <r>
      <rPr>
        <rFont val="Arial"/>
        <color theme="1"/>
        <sz val="10.0"/>
      </rPr>
      <t xml:space="preserve">http://tiny.cc/smotuned (real link: https://github.com/ai-se/Smote_tune )
- http://tiny.cc/raw_auc (real link: https://github.com/ai-se/Smote_tune/issues/26 )
</t>
    </r>
    <r>
      <rPr>
        <rFont val="Arial"/>
        <color theme="1"/>
        <sz val="10.0"/>
      </rPr>
      <t>http://tiny.cc/mahakil</t>
    </r>
    <r>
      <rPr>
        <rFont val="Arial"/>
        <color theme="1"/>
        <sz val="10.0"/>
      </rPr>
      <t xml:space="preserve"> (real link: https://github.com/ai-se/MAHAKIL_imbalance )</t>
    </r>
  </si>
  <si>
    <t>http://tiny.cc/smotuned
http://tiny.cc/mahakil</t>
  </si>
  <si>
    <t>CCAligner: A Token Based Large-Gap Clone Detector</t>
  </si>
  <si>
    <t>FN 2 - 3 APPROACH *</t>
  </si>
  <si>
    <t>https://goo.gl/qDduYQ (real link: https://drive.google.com/open?id=0BzU6tcpRT7fIam5HcWJVNFNNeGc )</t>
  </si>
  <si>
    <t>https://goo.gl/qDduYQ</t>
  </si>
  <si>
    <t>HireBuild: An Automatic Approach to History-Driven Repair of Build Scripts</t>
  </si>
  <si>
    <t>FN 1 - 4 EMPIRICAL EVALUATION *</t>
  </si>
  <si>
    <t>https://sites.google.com/site/buildfix2017/</t>
  </si>
  <si>
    <t>The Road to Live Programming: Insights from the Practice</t>
  </si>
  <si>
    <t>[46] 3 RESEARCH METHOD * (3x)
[47] 3 RESEARCH METHOD *
[48] 3 RESEARCH METHOD *</t>
  </si>
  <si>
    <t xml:space="preserve">https://doi.org/10.5281/zenodo.1171119
https://doi.org/10.5281/zenodo.1170460 
https://doi.org/10.5281/zenodo.1171117 </t>
  </si>
  <si>
    <t>https://doi.org/10.5281/zenodo.1171119
https://doi.org/10.5281/zenodo.1170460
https://doi.org/10.5281/zenodo.1171117</t>
  </si>
  <si>
    <t>Assessing the Threat of Untracked Changes in Software Evolution</t>
  </si>
  <si>
    <t>FN 15 - 5 EXPERIMENTAL DESIGN *</t>
  </si>
  <si>
    <t>https://github.com/andrehora/rastreability</t>
  </si>
  <si>
    <t>Programming Not Only by Example</t>
  </si>
  <si>
    <t>6 Evaluation</t>
  </si>
  <si>
    <t xml:space="preserve">http://bitbucket.org/hilap/scala-enumerating-synthesizer/
http://bitbucket.org/hilap/gim-ui/ </t>
  </si>
  <si>
    <t>Goal-Conflict Likelihood Assessment Based on Model Counting</t>
  </si>
  <si>
    <t>5 EVALUATION</t>
  </si>
  <si>
    <t>https://dc.exa.unrc.edu.ar/staff/rdegiovanni/ICSE2018.html</t>
  </si>
  <si>
    <t>A Static Verification Framework for Message Passing in Go Using Behavioural Types</t>
  </si>
  <si>
    <t>[31]
- 1 INTRODUCTION
- 1 INTRODUCTION --- caption of Figure 2</t>
  </si>
  <si>
    <t>http://mrg.doc.ic.ac.uk/tools/godel-checker/</t>
  </si>
  <si>
    <t>Inferring and Asserting Distributed System Invariants</t>
  </si>
  <si>
    <t>[17]
- 1 INTRODUCTION
- 4 IMPLEMENTATION
- 11 CONCLUSION</t>
  </si>
  <si>
    <t>https://bitbucket.org/bestchai/dinv/ (This repository has been deleted, It now lives at https://github.com/ModelInference/dinv )</t>
  </si>
  <si>
    <t>https://bitbucket.org/bestchai/dinv/</t>
  </si>
  <si>
    <t>DroidStar: Callback Typestates for Android Classes</t>
  </si>
  <si>
    <t>- 1 INTRODUCTION
- 6 EMPIRICAL EVALUATION
- FN 1 - 6 EMPIRICAL EVALUATION *
- [29] 6 EMPIRICAL EVALUATION *</t>
  </si>
  <si>
    <t>https://github.com/cuplv/droidstar
http://arxiv.org/abs/1701.07842 
- abs/1701.07842, 2017</t>
  </si>
  <si>
    <t>https://github.com/cuplv/droidstar
http://arxiv.org/abs/1701.07842</t>
  </si>
  <si>
    <t>Debugging with Intelligence via Probabilistic Inference</t>
  </si>
  <si>
    <t>Reducer-Based Construction of Conditional Verifiers</t>
  </si>
  <si>
    <t>- FN 8 - 4 EVALUATION * --- HL Availability
- 4 EVALUATION * --- caption of Table 3
- [14] 4 EVALUATION * --- HL Availability</t>
  </si>
  <si>
    <t>https://www.sosy-lab.org/research/reducer/
https://doi.org/10.5281/zenodo.1172228</t>
  </si>
  <si>
    <t>Statistical Errors in Software Engineering Experiments: A Preliminary Literature Review</t>
  </si>
  <si>
    <t>- 3 STATISTICAL ERRORS IN EXPERIMENTAL DISCIPLINES * (2x)
- 3 STATISTICAL ERRORS IN EXPERIMENTAL DISCIPLINES *
- 4 STATISTICAL ERRORS IN ICSE EXPERIMENTS *
-  4 STATISTICAL ERRORS IN ICSE EXPERIMENTS * (3 links)</t>
  </si>
  <si>
    <r>
      <rPr>
        <rFont val="Arial"/>
        <color theme="1"/>
        <sz val="10.0"/>
      </rPr>
      <t>https://goo.gl/8zb9LU</t>
    </r>
    <r>
      <rPr>
        <rFont val="Arial"/>
        <color theme="1"/>
        <sz val="10.0"/>
      </rPr>
      <t xml:space="preserve"> (real link: </t>
    </r>
    <r>
      <rPr>
        <rFont val="Arial"/>
        <color theme="1"/>
        <sz val="10.0"/>
      </rPr>
      <t>https://docs.google.com/spreadsheets/d/1dUTKScoRCrcc5Vjk7Kv-nRlxI5AMprOD34p-VV7HHQg/edit#gid=0</t>
    </r>
    <r>
      <rPr>
        <rFont val="Arial"/>
        <color theme="1"/>
        <sz val="10.0"/>
      </rPr>
      <t xml:space="preserve"> )
</t>
    </r>
    <r>
      <rPr>
        <rFont val="Arial"/>
        <color theme="1"/>
        <sz val="10.0"/>
      </rPr>
      <t>https://goo.gl/qovXQw</t>
    </r>
    <r>
      <rPr>
        <rFont val="Arial"/>
        <color theme="1"/>
        <sz val="10.0"/>
      </rPr>
      <t xml:space="preserve"> (real link: </t>
    </r>
    <r>
      <rPr>
        <rFont val="Arial"/>
        <color theme="1"/>
        <sz val="10.0"/>
      </rPr>
      <t>https://drive.google.com/file/d/0BxWiqZxPDSN7V2hTb3FwdkZXN1U/view?usp=sharing</t>
    </r>
    <r>
      <rPr>
        <rFont val="Arial"/>
        <color theme="1"/>
        <sz val="10.0"/>
      </rPr>
      <t xml:space="preserve"> )
</t>
    </r>
    <r>
      <rPr>
        <rFont val="Arial"/>
        <color theme="1"/>
        <sz val="10.0"/>
      </rPr>
      <t>https://goo.gl/jHWpq3</t>
    </r>
    <r>
      <rPr>
        <rFont val="Arial"/>
        <color theme="1"/>
        <sz val="10.0"/>
      </rPr>
      <t xml:space="preserve"> (real link: </t>
    </r>
    <r>
      <rPr>
        <rFont val="Arial"/>
        <color theme="1"/>
        <sz val="10.0"/>
      </rPr>
      <t>https://docs.google.com/spreadsheets/d/1AAaH3nx6bLVhNO_IznfnVJAq3yG9TzjQZJ9ujyIxIxw/edit#gid=0</t>
    </r>
    <r>
      <rPr>
        <rFont val="Arial"/>
        <color theme="1"/>
        <sz val="10.0"/>
      </rPr>
      <t xml:space="preserve"> )
</t>
    </r>
    <r>
      <rPr>
        <rFont val="Arial"/>
        <color theme="1"/>
        <sz val="10.0"/>
      </rPr>
      <t>https://goo.gl/3iy9eL</t>
    </r>
    <r>
      <rPr>
        <rFont val="Arial"/>
        <color theme="1"/>
        <sz val="10.0"/>
      </rPr>
      <t xml:space="preserve"> (real link: </t>
    </r>
    <r>
      <rPr>
        <rFont val="Arial"/>
        <color theme="1"/>
        <sz val="10.0"/>
      </rPr>
      <t>https://docs.google.com/spreadsheets/d/1zdJrpeRedG5gokbCsQ2MCqKyXlgVAskk4wCeXxK8kgA/edit#gid=0</t>
    </r>
    <r>
      <rPr>
        <rFont val="Arial"/>
        <color theme="1"/>
        <sz val="10.0"/>
      </rPr>
      <t xml:space="preserve"> )
</t>
    </r>
    <r>
      <rPr>
        <rFont val="Arial"/>
        <color theme="1"/>
        <sz val="10.0"/>
      </rPr>
      <t>https://goo.gl/qCboSX</t>
    </r>
    <r>
      <rPr>
        <rFont val="Arial"/>
        <color theme="1"/>
        <sz val="10.0"/>
      </rPr>
      <t xml:space="preserve"> (real link: </t>
    </r>
    <r>
      <rPr>
        <rFont val="Arial"/>
        <color theme="1"/>
        <sz val="10.0"/>
      </rPr>
      <t>https://docs.google.com/spreadsheets/d/1m-aW2VCvweDsz_eUw3gbtjXhBro-3ZYeTejlVeb779E/edit#gid=0</t>
    </r>
    <r>
      <rPr>
        <rFont val="Arial"/>
        <color theme="1"/>
        <sz val="10.0"/>
      </rPr>
      <t xml:space="preserve"> )</t>
    </r>
  </si>
  <si>
    <t>https://goo.gl/8zb9LU
https://goo.gl/qovXQw
https://goo.gl/jHWpq3
https://goo.gl/3iy9eL
https://goo.gl/qCboSX</t>
  </si>
  <si>
    <t>Restrict access (1) - You need to request access,
Publicly available (4)</t>
  </si>
  <si>
    <t>Synthesizing Qualitative Research in Software Engineering: A Critical Review</t>
  </si>
  <si>
    <t>We identified 328 SLRs with QRS1, published between 2005 and 2015.
1The list the reviewed SLRs will be available upon request</t>
  </si>
  <si>
    <t>Search-Based Test Data Generation for SQL Queries</t>
  </si>
  <si>
    <t>[6] 4 OUR IMPLEMENTATION: EVOSQL
[7]
- 1 INTRODUCTION
- 4 OUR IMPLEMENTATION: EVOSQL
- 5 EMPIRICAL STUDY
- 5 EMPIRICAL STUDY --- HL Replication package
- 6 RESULTS</t>
  </si>
  <si>
    <t xml:space="preserve">https://doi.org/10.5281/zenodo.1166023
- https://www.zenodo.org/record/1166023 (is the same link)
https://github.com/SERG-Delft/evosql 
- https://github.com/SERG-Delft/evosql/releases/tag/icse </t>
  </si>
  <si>
    <t>https://doi.org/10.5281/zenodo.1166023
https://github.com/SERG-Delft/evosql</t>
  </si>
  <si>
    <t>Multi-objective Integer Programming Approaches for Solving Optimal Feature Selection Problem: A New Perspective on Multi-objective Optimization Problems in SBSE</t>
  </si>
  <si>
    <t>[3]
- 1 INTRODUCTION
- 6 EVALUATION</t>
  </si>
  <si>
    <t>https://sites.google.com/view/ip-method-repsol</t>
  </si>
  <si>
    <t>Automatically Generating Search Heuristics for Concolic Testing</t>
  </si>
  <si>
    <t>https://github.com/kupl/ParaDySE</t>
  </si>
  <si>
    <t>StoryDroid: Automated Generation of Storyboard for Android Apps</t>
  </si>
  <si>
    <t>- FN 3 - VI. EFFECTIVENESS EVALUATION *
- [25] V. IMPLEMENTATION</t>
  </si>
  <si>
    <t>https://sites.google.com/view/storydroid/</t>
  </si>
  <si>
    <t>Statistical Algorithmic Profiling for Randomized Approximate Programs</t>
  </si>
  <si>
    <t>www.axprof.org/</t>
  </si>
  <si>
    <t>Safe Automated Refactoring for Intelligent Parallelization of Java 8 Streams</t>
  </si>
  <si>
    <t>Detecting Atomicity Violations for Event-Driven Node.js Applications</t>
  </si>
  <si>
    <t>Parallel Refinement for Multi-Threaded Program Verification</t>
  </si>
  <si>
    <t>V. EXPERIMENTAL EVALUATION (2 links)</t>
  </si>
  <si>
    <t>https://github.com/yinliangze/yogar-cbmc-parallel
https://github.com/yinliangze/Yin-ICSE2019-Artifact</t>
  </si>
  <si>
    <t>Mining Software Defects: Should We Consider Affected Releases?</t>
  </si>
  <si>
    <t>[74] I. INTRODUCTION
[60] 
- I. INTRODUCTION
- IV. CASE STUDY DESIGN * (2x)</t>
  </si>
  <si>
    <t>https://doi.org/10.5281/zenodo.2549359
https://github.com/awsm-research/Rnalytica</t>
  </si>
  <si>
    <t>Class Imbalance Evolution and Verification Latency in Just-in-Time Software Defect Prediction</t>
  </si>
  <si>
    <t>- VI. EXPERIMENTAL SETUP (2x)
- VII. EXPERIMENTAL RESULTS --- Table II (caption)</t>
  </si>
  <si>
    <t>http://doi.org/10.5281/zenodo.2555695</t>
  </si>
  <si>
    <t>FLOSS Participants' Perceptions About Gender and Inclusiveness: A Survey</t>
  </si>
  <si>
    <t>Going Farther Together: The Impact of Social Capital on Sustained Participation in Open Source</t>
  </si>
  <si>
    <t>FN 3 - IV. METHODS --- F. Replication Package</t>
  </si>
  <si>
    <t>https://doi.org/10.5281/zenodo.2550931</t>
  </si>
  <si>
    <t>Investigating the Effects of Gender Bias on GitHub</t>
  </si>
  <si>
    <t>FN 1 - IV. PROVE-IT-AGAIN</t>
  </si>
  <si>
    <t>https://figshare.com/s/de8412ceac89a3687510</t>
  </si>
  <si>
    <t>SLF: Fuzzing without Valid Seed Inputs</t>
  </si>
  <si>
    <t>Superion: Grammar-Aware Greybox Fuzzing</t>
  </si>
  <si>
    <t>https://github.com/zhunki/Superion</t>
  </si>
  <si>
    <t>Grey-Box Concolic Testing on Binary Code</t>
  </si>
  <si>
    <t>- I. INTRODUCTION
- IV. ECLIPSER ARCHITECTURE *</t>
  </si>
  <si>
    <t>https://github.com/SoftSec-KAIST/Eclipser</t>
  </si>
  <si>
    <t>To obtain execution feedback from an execution of a binary, we used QEMU user mode emulation because it can easily extend Eclipser to handle various architectures. Currently, Eclipser supports three widely used architectures: x86, x86-64, and ARMv7. Our implementation of Eclipser is publicly available on GitHub: https://github.com/SoftSec-KAIST/Eclipser.2 
2The ARMv7 version will not be open-sourced due to an IP issue.</t>
  </si>
  <si>
    <t>Barriers (Technical issues)</t>
  </si>
  <si>
    <t>RESTler: Stateful REST API Fuzzing</t>
  </si>
  <si>
    <t>Training Binary Classifiers as Data Structure Invariants</t>
  </si>
  <si>
    <t>[3] V. EVALUATION (3x)</t>
  </si>
  <si>
    <t>https://sites.google.com/site/learninginvariants</t>
  </si>
  <si>
    <t>Graph Embedding Based Familial Analysis of Android Malware using Unsupervised Learning</t>
  </si>
  <si>
    <t>A Novel Neural Source Code Representation Based on Abstract Syntax Tree</t>
  </si>
  <si>
    <t>https://github.com/zhangj1994/astnn</t>
  </si>
  <si>
    <t>A Neural Model for Generating Natural Language Summaries of Program Subroutines</t>
  </si>
  <si>
    <t>X. REPRODUCIBILITY</t>
  </si>
  <si>
    <t>https://bit.ly/2MLSxFg (real link: https://s3.us-east-2.amazonaws.com/icse2018/index.html)</t>
  </si>
  <si>
    <t>https://bit.ly/2MLSxFg</t>
  </si>
  <si>
    <t>The List is the Process: Reliable Pre-Integration Tracking of Commits on Mailing Lists</t>
  </si>
  <si>
    <t>https://github.com/lfd/PaStA</t>
  </si>
  <si>
    <t>Graph-Based Mining of In-the-Wild, Fine-Grained, Semantic Code Change Patterns</t>
  </si>
  <si>
    <t>- I. INTRODUCTION
- [1] V. EMPIRICAL RESULTS *</t>
  </si>
  <si>
    <t>https://nguyenhoan.github.io/CPatMiner/
https://docs.google.com/spreadsheets/d/1lK_UkwJP-W_8jcDde1L1DDrigFTs3oG6rwryNOApy60/edit#gid=0</t>
  </si>
  <si>
    <t>Intention-Based Integration of Software Variants</t>
  </si>
  <si>
    <t>[31]
- IV. RESEARCH METHODOLOGY
- VI. EVALUATION
- VI. EVALUATION * (2x)</t>
  </si>
  <si>
    <t>https://sites.google.com/view/incline-online/</t>
  </si>
  <si>
    <t>Supporting the Statistical Analysis of Variability Models</t>
  </si>
  <si>
    <t>IV. EXPERIMENTAL ANALYSIS OF VMS</t>
  </si>
  <si>
    <t>https://github.com/rheradio/VMStatAnal</t>
  </si>
  <si>
    <t>Multifaceted Automated Analyses for Variability-Intensive Embedded Systems</t>
  </si>
  <si>
    <t>FN 1 - VIII. IMPLEMENTATION AND EVALUATION *</t>
  </si>
  <si>
    <t>https://bitbucket.org/SamiLazreg/enlighter</t>
  </si>
  <si>
    <t>Exposing Library API Misuses Via Mutation Analysis</t>
  </si>
  <si>
    <t>PIVOT: Learning API-Device Correlations to Facilitate Android Compatibility Issue Detection</t>
  </si>
  <si>
    <t>[20]
- I. INTRODUCTION
- IV. EVALUATION * (4x)
- VII. CONCLUSION</t>
  </si>
  <si>
    <t>https://ficissuepivot.github.io/Pivot/</t>
  </si>
  <si>
    <t>SafeCheck: Safety Enhancement of Java Unsafe API</t>
  </si>
  <si>
    <t>CTRAS: Crowdsourced Test Report Aggregation and Summarization</t>
  </si>
  <si>
    <t>https://github.com/iris-42/CTRAS</t>
  </si>
  <si>
    <t>iSENSE: Completion-Aware Crowdtesting Management</t>
  </si>
  <si>
    <t xml:space="preserve">- FN 4 - II. BACKGROUND AND MOTIVATION *
- FN 6 - III. APPROACH *
- FN 7 - V. RESULTS AND ANALYSIS *
</t>
  </si>
  <si>
    <t>https://github.com/wangjunjieISCAS/CM</t>
  </si>
  <si>
    <t>How Practitioners Perceive Coding Proficiency</t>
  </si>
  <si>
    <t>- VI. CONCLUSION AND FUTURE WORK — HL Replication package
- FN 3 - III. RESEARCH METHODOLOGY *
[23]
- III. RESEARCH METHODOLOGY *
- IV. RESULTS * (2x)</t>
  </si>
  <si>
    <t>https://goo.gl/qXCMSm (real link: https://bitbucket.org/anonymous_author/icse2019proficiency/src/master/)
https://goo.gl/56fZNj (real link: https://bitbucket.org/anonymous_author/icse2019proficiency/raw/bcff2836422a7c831bed063a51e5671c96204a63/appendix.pdf)</t>
  </si>
  <si>
    <t>https://goo.gl/qXCMSm
https://goo.gl/56fZNj</t>
  </si>
  <si>
    <t>Socio-Technical Work-Rate Increase Associates With Changes in Work Patterns in Online Projects</t>
  </si>
  <si>
    <t>Why Do Episodic Volunteers Stay in FLOSS Communities?</t>
  </si>
  <si>
    <t>[65]  IV. RESEARCH DESIGN * (2x)</t>
  </si>
  <si>
    <t>https://cora.ucc.ie/handle/10468/7248</t>
  </si>
  <si>
    <t>When Code Completion Fails: A Case Study on Real-World Completions</t>
  </si>
  <si>
    <t xml:space="preserve">- Abstract
[15]
- II. EXPERIMENTAL SETUP
- IV. DISCUSSION *
</t>
  </si>
  <si>
    <t>https://doi.org/10.5281/zenodo.2562249</t>
  </si>
  <si>
    <t>Interactive Production Performance Feedback in the IDE</t>
  </si>
  <si>
    <t>- FN 1 - V. USER STUDY EVALUATION *
- [7] IV. INTERACTIVE MONITORING FEEDBACK IN THE IDE *</t>
  </si>
  <si>
    <t>http://sealuzh.github.io/PerformanceHat/
https://github.com/sealuzh/PerformanceHat</t>
  </si>
  <si>
    <t>Redundant Loads: A Software Inefficiency Indicator</t>
  </si>
  <si>
    <t>[80]
- VI. EVALUATION.
- VII. CASE STUDIES.</t>
  </si>
  <si>
    <t>https://arxiv.org/abs/1902.05462</t>
  </si>
  <si>
    <t>View-Centric Performance Optimization for Database-Backed Web Applications</t>
  </si>
  <si>
    <t>- FN - I. INTRODUCTION
- [28] VII. EVALUATION *</t>
  </si>
  <si>
    <r>
      <rPr>
        <color rgb="FF1155CC"/>
        <sz val="10.0"/>
        <u/>
      </rPr>
      <t>http://hyperloop.cs.uchicago.edu/panorama</t>
    </r>
    <r>
      <rPr>
        <sz val="10.0"/>
      </rPr>
      <t xml:space="preserve"> (real link: https://hyperloop-rails.github.io/panorama/)
https://hyperloop-rails.github.io/panorama/</t>
    </r>
  </si>
  <si>
    <t>http://hyperloop.cs.uchicago.edu/panorama
https://hyperloop-rails.github.io/panorama/</t>
  </si>
  <si>
    <t>AdJust: Runtime Mitigation of Resource Abusing Third-Party Online Ads</t>
  </si>
  <si>
    <t>Symbolic Repairs for GR(1) Specifications</t>
  </si>
  <si>
    <t>- FN 7 - X. CONCLUSION AND FUTURE WORK
[33]
- I. INTRODUCTION
- VIII. EVALUATION
- IX. RELATED WORK
[37]
- VI. GLASS REPAIR * (2x)
- VIII. EVALUATION (2x) *</t>
  </si>
  <si>
    <r>
      <rPr>
        <rFont val="Arial"/>
        <color theme="1"/>
        <sz val="10.0"/>
      </rPr>
      <t xml:space="preserve">http://smlab.cs.tau.ac.il/syntech/ 
- </t>
    </r>
    <r>
      <rPr>
        <rFont val="Arial"/>
        <color theme="1"/>
        <sz val="10.0"/>
      </rPr>
      <t>http://smlab.cs.tau.ac.il/syntech/repair/</t>
    </r>
    <r>
      <rPr>
        <rFont val="Arial"/>
        <color theme="1"/>
        <sz val="10.0"/>
      </rPr>
      <t xml:space="preserve">
- http://smlab.cs.tau.ac.il/syntech/spectra/ </t>
    </r>
  </si>
  <si>
    <t>http://smlab.cs.tau.ac.il/syntech/</t>
  </si>
  <si>
    <t>CRADLE: Cross-Backend Validation to Detect and Localize Bugs in Deep Learning Libraries</t>
  </si>
  <si>
    <t>Guiding Deep Learning System Testing Using Surprise Adequacy</t>
  </si>
  <si>
    <t>- FN 2 - I. INTRODUCTION
- V. RESULT
- FN 9 -  V. RESULT *</t>
  </si>
  <si>
    <r>
      <rPr>
        <rFont val="Arial"/>
        <color theme="1"/>
        <sz val="10.0"/>
      </rPr>
      <t>https://github.com/coinse/sadl</t>
    </r>
    <r>
      <rPr>
        <rFont val="Arial"/>
        <color theme="1"/>
        <sz val="10.0"/>
      </rPr>
      <t xml:space="preserve">
https://coinse.github.io/sadl</t>
    </r>
  </si>
  <si>
    <t>https://github.com/coinse/sadl
https://coinse.github.io/sadl</t>
  </si>
  <si>
    <t>FOCUS: A Recommender System for Mining API Function Calls and Usage Patterns</t>
  </si>
  <si>
    <t>[22] IV. EVALUATION</t>
  </si>
  <si>
    <t>https://doi.org/10.5281/zenodo.2550379</t>
  </si>
  <si>
    <t>Test-Driven Code Review: An Empirical Study</t>
  </si>
  <si>
    <t xml:space="preserve">- Abstract
[2]
- III. METHODOLOGY *
- FN 5 - IV. RESULTS – RQ1: ON THE EFFECTS OF TDR *
- VI. THREATS TO VALIDITY.
</t>
  </si>
  <si>
    <t>https://doi.org/10.5281/zenodo.2553139</t>
  </si>
  <si>
    <t>Why Does Code Review Work for Open Source Software Communities?</t>
  </si>
  <si>
    <t>Distance-Based Sampling of Software Configuration Spaces</t>
  </si>
  <si>
    <t>- FN 2 - I. INTRODUCTION
- FN 9 - V. RESULTS *</t>
  </si>
  <si>
    <t>https://github.com/se-passau/Distance-Based_Data/</t>
  </si>
  <si>
    <t>DeepPerf: Performance Prediction for Configurable Software with Deep Sparse Neural Network</t>
  </si>
  <si>
    <t>VI. CONCLUSION</t>
  </si>
  <si>
    <t>https://github.com/DeepPerf/DeepPerf</t>
  </si>
  <si>
    <t>GreenBundle: An Empirical Study on the Energy Impact of Bundled Processing</t>
  </si>
  <si>
    <t>[12]
- I. INTRODUCTION
- III. METHODOLOGY *</t>
  </si>
  <si>
    <t>https://github.com/shaifulcse/GreenBundle-Data-Code</t>
  </si>
  <si>
    <t>Search-Based Energy Testing of Android</t>
  </si>
  <si>
    <t>[33]
- IV. MODEL EXTRACTOR *
- VIII. CONCLUSION AND FUTURE WORK</t>
  </si>
  <si>
    <t>https://sites.google.com/view/icse-cobweb</t>
  </si>
  <si>
    <t>Global Optimization of Numerical Programs Via Prioritized Stochastic Algebraic Transformations</t>
  </si>
  <si>
    <t>FN 1 - V. EVALUATION AND RESULTS</t>
  </si>
  <si>
    <t>http://seg.nju.edu.cn/eytang/numopt</t>
  </si>
  <si>
    <t>Type Migration in Ultra-Large-Scale Codebases</t>
  </si>
  <si>
    <t>[21] IV. IMPLEMENTATION
[31]
- VI. RESULTS *
- VII. DISCUSSION *</t>
  </si>
  <si>
    <t>https://ameyaketkar.github.io/T2RResults.html</t>
  </si>
  <si>
    <t>Dynamic Slicing for Android</t>
  </si>
  <si>
    <t>FN 1 - Abstract</t>
  </si>
  <si>
    <t>https://github.com/archer29m/AndroidSlicer</t>
  </si>
  <si>
    <t>Recovering Variable Names for Minified Code with Usage Contexts</t>
  </si>
  <si>
    <t>[10] I. INTRODUCTION</t>
  </si>
  <si>
    <t>https://mrstarrynight.github.io/JSNeat/</t>
  </si>
  <si>
    <t>Gigahorse: Thorough, Declarative Decompilation of Smart Contracts</t>
  </si>
  <si>
    <t>Probabilistic Disassembly</t>
  </si>
  <si>
    <t>Software Documentation Issues Unveiled</t>
  </si>
  <si>
    <t>[56]
- III. EMPIRICAL STUDY DESIGN * (4x)
- III. EMPIRICAL STUDY DESIGN — C. Replication Package</t>
  </si>
  <si>
    <t>https://github.com/REVEAL-ICSE19-DocIssues/ReplicationPackage</t>
  </si>
  <si>
    <t>9.6 Million Links in Source Code Comments: Purpose, Evolution, and Decay</t>
  </si>
  <si>
    <t>II. RESEARCH METHOD --- C. Online Appendix</t>
  </si>
  <si>
    <t>https://github.com/NAIST-SE/9.6MillionLinks</t>
  </si>
  <si>
    <t>Leveraging Artifact Trees to Evolve and Reuse Safety Cases</t>
  </si>
  <si>
    <t>https://github.com/SAREC-Lab/SAFA-Artifacts</t>
  </si>
  <si>
    <t>Detecting Incorrect Build Rules</t>
  </si>
  <si>
    <r>
      <rPr>
        <rFont val="Arial"/>
        <color theme="1"/>
        <sz val="10.0"/>
      </rPr>
      <t xml:space="preserve">https://github.com/nandor/mkcheck 
</t>
    </r>
    <r>
      <rPr>
        <rFont val="Arial"/>
        <color theme="1"/>
        <sz val="10.0"/>
      </rPr>
      <t>https://doi.org/10.17863/CAM.35270</t>
    </r>
    <r>
      <rPr>
        <rFont val="Arial"/>
        <color theme="1"/>
        <sz val="10.0"/>
      </rPr>
      <t xml:space="preserve"> (real link: https://www.repository.cam.ac.uk/items/b5eab05b-ad57-44e6-843b-acb740438b38)</t>
    </r>
  </si>
  <si>
    <r>
      <rPr>
        <rFont val="Arial"/>
        <color theme="1"/>
        <sz val="10.0"/>
      </rPr>
      <t>https://github.com/nandor/mkcheck</t>
    </r>
    <r>
      <rPr>
        <rFont val="Arial"/>
        <color theme="1"/>
        <sz val="10.0"/>
      </rPr>
      <t xml:space="preserve">
https://doi.org/10.17863/CAM.35270</t>
    </r>
  </si>
  <si>
    <t>Adversarial Sample Detection for Deep Neural Network through Model Mutation Testing</t>
  </si>
  <si>
    <t>[1]
- I. INTRODUCTION.
- IV. IMPLEMENTATION AND EVALUATION.</t>
  </si>
  <si>
    <t>https://github.com/dgl-prc/m_testing_adversatial_sample</t>
  </si>
  <si>
    <t>Deep Differential Testing of JVM Implementations</t>
  </si>
  <si>
    <t xml:space="preserve"> Our extensive evaluation results have clearly demonstrated classming’s effectiveness and practicality in stress-testing production JVMs and exposing deep JVM differences/defects. Besides continuing our own testing efforts, we plan to make classming publicly available to aid JVM developers in their routine development.</t>
  </si>
  <si>
    <t>Learning to Spot and Refactor Inconsistent Method Names</t>
  </si>
  <si>
    <t>https://github.com/SerVal-DTF/debug-method-name</t>
  </si>
  <si>
    <t>Harnessing Evolution for Multi-Hunk Program Repair</t>
  </si>
  <si>
    <t>On Learning Meaningful Code Changes Via Neural Machine Translation</t>
  </si>
  <si>
    <t xml:space="preserve">[21]
- I. INTRODUCTION
- IV. STUDY RESULTS * (2x)
- V. THREATS TO VALIDITY
- VII. CONCLUSION
</t>
  </si>
  <si>
    <t>https://sites.google.com/view/learning-codechanges</t>
  </si>
  <si>
    <t>Natural Software Revisited</t>
  </si>
  <si>
    <t xml:space="preserve"> [1]
- Abstract
- I. INTRODUCTION
- II. DATA SOURCES (2x)
- IV. REPETITIVE SYNTAX
- V. API USAGES * (2x)
- VII. LIMITATIONS AND VALIDITY".
- IX. CONCLUSION</t>
  </si>
  <si>
    <t>https://github.com/CESEL/CodeEntropyReplication</t>
  </si>
  <si>
    <t>Towards Automating Precision Studies of Clone Detectors</t>
  </si>
  <si>
    <t>Link in I. INTRODUCTION</t>
  </si>
  <si>
    <t>http://www.inspectorclone.org/</t>
  </si>
  <si>
    <t>LEOPARD: Identifying Vulnerable Code for Vulnerability Assessment Through Program Metrics</t>
  </si>
  <si>
    <t>[6] V. EVALUATION (9x) *</t>
  </si>
  <si>
    <t>https://sites.google.com/site/leopardsite2017/</t>
  </si>
  <si>
    <t>SMOKE: Scalable Path-Sensitive Memory Leak Detection for Millions of Lines of Code</t>
  </si>
  <si>
    <t>- FN † - V. EVALUATION *
- FN ‡ - V. EVALUATION *</t>
  </si>
  <si>
    <r>
      <rPr>
        <rFont val="Arial"/>
        <color theme="1"/>
        <sz val="10.0"/>
      </rPr>
      <t xml:space="preserve">https://smokeml.github.io/data
</t>
    </r>
    <r>
      <rPr>
        <rFont val="Arial"/>
        <color theme="1"/>
        <sz val="10.0"/>
      </rPr>
      <t>https://smokeml.github.io/list</t>
    </r>
  </si>
  <si>
    <t>https://smokeml.github.io/</t>
  </si>
  <si>
    <t>Reasonably-Most-General Clients for JavaScript Library Analysis</t>
  </si>
  <si>
    <t>VI. EVALUATION</t>
  </si>
  <si>
    <t>http://brics.dk/tstools/</t>
  </si>
  <si>
    <t>Resource-Aware Program Analysis Via Online Abstraction Coarsening</t>
  </si>
  <si>
    <t>Automated Reporting of Anti-Patterns and Decay in Continuous Integration</t>
  </si>
  <si>
    <t>[30]
- III. WHICH ANTI-PATTERNS TO DETECT, AND HOW? * (2x)
- V. EMPIRICAL ASSESSMENT OF THE CI-ODOR SUMMARIES * (2x)</t>
  </si>
  <si>
    <t>https://doi.org/10.5281/zenodo.2566032</t>
  </si>
  <si>
    <t>A System Identification Based Oracle for Control-CPS Software Fault Localization</t>
  </si>
  <si>
    <t>ReCDroid: Automatically Reproducing Android Application Crashes from Bug Reports</t>
  </si>
  <si>
    <t>[7]
- I. INTRODUCTION
- III. RECDROID APPROACH * (2x)
- VI. DISCUSSION</t>
  </si>
  <si>
    <t>https://github.com/AndroidTestBugReport/ReCDroid</t>
  </si>
  <si>
    <t>Mining Historical Test Logs to Predict Bugs and Localize Faults in the Test Logs</t>
  </si>
  <si>
    <t>DLFinder: Characterizing and Detecting Duplicate Logging Code Smells</t>
  </si>
  <si>
    <t>The Seven Sins: Security Smells in Infrastructure as Code Scripts</t>
  </si>
  <si>
    <t>[39] IV. SECURITY LINTER FOR INFRASTRUCTURE AS CODE SCRIPTS (SLIC) * --- HL Dataset and Tool Availability</t>
  </si>
  <si>
    <t>https://doi.org/10.6084/m9.figshare.6943316</t>
  </si>
  <si>
    <t>DifFuzz: Differential Fuzzing for Side-Channel Analysis</t>
  </si>
  <si>
    <t>III. EVALUATION</t>
  </si>
  <si>
    <t xml:space="preserve">https://github.com/isstac/diffuzz
</t>
  </si>
  <si>
    <t>Automatically Generating Precise Oracles from Structured Natural Language Specifications</t>
  </si>
  <si>
    <t>http://swami.cs.umass.edu/ (real link: https://github.com/LASER-UMASS/Swami)</t>
  </si>
  <si>
    <t>http://swami.cs.umass.edu/</t>
  </si>
  <si>
    <t>The Product Backlog</t>
  </si>
  <si>
    <t>- FN 1 - II. RESEARCH METHOD *</t>
  </si>
  <si>
    <t>https://www.researchgate.net/publication/330823601_The_Product%20Backlog_-_Grounded_Theory_Codes</t>
  </si>
  <si>
    <t>Easy Modelling and Verification of Unpredictable and Preemptive Interrupt-Driven Systems</t>
  </si>
  <si>
    <t>Towards Understanding and Reasoning About Android Interoperations</t>
  </si>
  <si>
    <t>[19] V. EVALUATION *
[16]
- III. ANDROID INTEROPERABILITY SEMANTICS *
- IV. TYPE SYSTEM FOR SAFE HYBRID APPS * (3x)</t>
  </si>
  <si>
    <r>
      <rPr>
        <rFont val="Arial"/>
        <color theme="1"/>
        <sz val="10.0"/>
      </rPr>
      <t>https://github.com/sorabae/android-typecheck</t>
    </r>
    <r>
      <rPr>
        <rFont val="Arial"/>
        <color theme="1"/>
        <sz val="10.0"/>
      </rPr>
      <t xml:space="preserve">
</t>
    </r>
    <r>
      <rPr>
        <rFont val="Arial"/>
        <color theme="1"/>
        <sz val="10.0"/>
      </rPr>
      <t>https://plrg.kaist.ac.kr/lib/exe/fetch.php?media=research:material:supplement.pdf</t>
    </r>
    <r>
      <rPr>
        <rFont val="Arial"/>
        <color theme="1"/>
        <sz val="10.0"/>
      </rPr>
      <t xml:space="preserve"> (The link is broken, but it goes to the correct website, where I found the correct link: </t>
    </r>
    <r>
      <rPr>
        <rFont val="Arial"/>
        <color theme="1"/>
        <sz val="10.0"/>
      </rPr>
      <t>https://drive.google.com/uc?export=download&amp;id=1u3Q5e2qKxKPaWyray5uLAtiiaWZ6e05u</t>
    </r>
    <r>
      <rPr>
        <rFont val="Arial"/>
        <color theme="1"/>
        <sz val="10.0"/>
      </rPr>
      <t xml:space="preserve"> )</t>
    </r>
  </si>
  <si>
    <t>https://github.com/sorabae/android-typecheck
https://plrg.kaist.ac.kr/lib/exe/fetch.php?media=research:material:supplement.pdf</t>
  </si>
  <si>
    <t>Zero-Overhead Path Prediction with Progressive Symbolic Execution</t>
  </si>
  <si>
    <t>[5] I. INTRODUCTION
[4]
- I. INTRODUCTION
- IV. EMPIRICAL EVALUATION *
- V. THREATS TO VALIDITY</t>
  </si>
  <si>
    <r>
      <rPr>
        <rFont val="Arial"/>
        <color theme="1"/>
        <sz val="10.0"/>
      </rPr>
      <t>doi: 10.5281/zenodo.2577372 (real link: https://doi.org/10.5281/zenodo.2577372)</t>
    </r>
    <r>
      <rPr>
        <rFont val="Arial"/>
        <color theme="1"/>
        <sz val="10.0"/>
        <u/>
      </rPr>
      <t xml:space="preserve">
</t>
    </r>
    <r>
      <rPr>
        <rFont val="Arial"/>
        <color theme="1"/>
        <sz val="10.0"/>
      </rPr>
      <t>https://hub.docker.com/r/naegling/icse19-zop2</t>
    </r>
  </si>
  <si>
    <t>doi: 10.5281/zenodo.2577372
https://hub.docker.com/r/naegling/icse19-zop2</t>
  </si>
  <si>
    <t>Mimic: UI Compatibility Testing System for Android Apps</t>
  </si>
  <si>
    <t>IconIntent: Automatic Identification of Sensitive UI Widgets Based on Icon Classification for Android Apps</t>
  </si>
  <si>
    <t>Practical GUI Testing of Android Applications Via Model Abstraction and Refinement</t>
  </si>
  <si>
    <t>http://gutianxiao.com/ape</t>
  </si>
  <si>
    <t>AutoTap: Synthesizing and Repairing Trigger-Action Programs Using LTL Properties</t>
  </si>
  <si>
    <t>https://www.github.com/zlfben/autotap</t>
  </si>
  <si>
    <t>Active Inductive Logic Programming for Code Search</t>
  </si>
  <si>
    <t>https://github.com/AishwaryaSivaraman/ALICE-ILP-for-Code-Search</t>
  </si>
  <si>
    <t>NL2Type: Inferring JavaScript Function Types from Natural Language Information</t>
  </si>
  <si>
    <t>https://github.com/sola-da/NL2Type</t>
  </si>
  <si>
    <t>Analyzing and Supporting Adaptation of Online Code Examples</t>
  </si>
  <si>
    <t>https://github.com/tianyi-zhang/ExampleStack-ICSE-Artifact</t>
  </si>
  <si>
    <t>DockerizeMe: Automatic Inference of Environment Dependencies for Python Code Snippets</t>
  </si>
  <si>
    <t xml:space="preserve">- I. INTRODUCTION
- FN 4 - III. DOCKERIZEME
</t>
  </si>
  <si>
    <t>https://github.com/dockerizeme/dockerizeme</t>
  </si>
  <si>
    <t>BugSwarm: Mining and Continuously Growing a Dataset of Reproducible Failures and Fixes</t>
  </si>
  <si>
    <t>- FN 2 - I. INTRODUCTION.
- FN 7 - III. BUGSWARM INFRASTRUCTURE *</t>
  </si>
  <si>
    <t>http://www.bugswarm.org/
https://github.com/BugSwarm/client</t>
  </si>
  <si>
    <t>ActionNet: Vision-Based Workflow Action Recognition From Programming Screencasts</t>
  </si>
  <si>
    <t>How C++ Developers Use Immutability Declarations: An Empirical Study</t>
  </si>
  <si>
    <t>VII. CONCLUSION --- HL Artifact</t>
  </si>
  <si>
    <t>https://github.com/eyolfson/const-checker-artifact</t>
  </si>
  <si>
    <t>Latent Patterns in Activities: A Field Study of How Developers Manage Context</t>
  </si>
  <si>
    <t>FN 1 - III. METHODOLOGY * (2x)</t>
  </si>
  <si>
    <t>https://sarmaresearch.github.io/ICSE19-LatentPatternsInActivities/</t>
  </si>
  <si>
    <t>Developer Reading Behavior While Summarizing Java Methods: Size and Context Matters</t>
  </si>
  <si>
    <t>IV. EYE TRACKING STUDY - EXPERIMENTAL DESIGN</t>
  </si>
  <si>
    <t>https://doi.org/10.5281/zenodo.2550768</t>
  </si>
  <si>
    <t>Distilling Neural Representations of Data Structure Manipulation using fMRI and fNIRS</t>
  </si>
  <si>
    <t>FN 1 - III. EXPERIMENTAL SETUP AND METHOD</t>
  </si>
  <si>
    <t>http://web.eecs.umich.edu/~weimerw/fmri.html</t>
  </si>
  <si>
    <t>FastLane: Test Minimization for Rapidly Deployed Large-Scale Online Services</t>
  </si>
  <si>
    <t>Scalable Approaches for Test Suite Reduction</t>
  </si>
  <si>
    <t>[12]
- FN 4 - III. THE APPROACHES
- V. RESULTS.</t>
  </si>
  <si>
    <t>https://doi.org/10.5281/zenodo.2550079</t>
  </si>
  <si>
    <t>A Framework for Checking Regression Test Selection Tools</t>
  </si>
  <si>
    <t>- I. INTRODUCTION
- [54]
- III. EXPERIMENT SETUP
- IV. EVALUATION *</t>
  </si>
  <si>
    <t>http://cozy.ece.utexas.edu/rtscheck</t>
  </si>
  <si>
    <t>Supporting Analysts by Dynamic Extraction and Classification of Requirements-Related Knowledge</t>
  </si>
  <si>
    <t>Analysis and Detection of Information Types of Open Source Software Issue Discussions</t>
  </si>
  <si>
    <t>FN 4 - III. ISSUE COMMENT ANALYSIS *</t>
  </si>
  <si>
    <t>https://git.io/fhQTt (real link: https://github.com/deekshaarya4/Info_Types_in_OSS_Issue_Discussions)</t>
  </si>
  <si>
    <t>https://git.io/fhQTt</t>
  </si>
  <si>
    <t>Do Developers Discover New Tools On The Toilet?</t>
  </si>
  <si>
    <t>[1]
- III. Methodology.
- V. Results *</t>
  </si>
  <si>
    <t>https://figshare.com/s/4b9e5bd8a6ab17a9f040</t>
  </si>
  <si>
    <t>Tool Choice Matters: JavaScript Quality Assurance Tools and Usage Outcomes in GitHub Projects</t>
  </si>
  <si>
    <t>Hunting for Bugs in Code Coverage Tools via Randomized Differential Testing</t>
  </si>
  <si>
    <t>Rotten Green Tests</t>
  </si>
  <si>
    <t>VFix: Value-Flow-Guided Precise Program Repair for Null Pointer Dereferences</t>
  </si>
  <si>
    <t>On Reliability of Patch Correctness Assessment</t>
  </si>
  <si>
    <t>[67] VII. DISCUSSION *</t>
  </si>
  <si>
    <t>https://github.com/anonymousICSE2019/patchcorrectness</t>
  </si>
  <si>
    <t>How Reliable is the Crowdsourced Knowledge of Security Implementation?</t>
  </si>
  <si>
    <t>https://github.com/mileschen360/Higgs</t>
  </si>
  <si>
    <t>Pattern-Based Mining of Opinions in Q&amp;A Websites</t>
  </si>
  <si>
    <t>[22]
- I. INTRODUCTION.
- IV. STUDY DESIGN.
- V. RESULTS DISCUSSION (2x).
- VI. THREATS TO VALIDITY.</t>
  </si>
  <si>
    <t>https://pome-repo.github.io/</t>
  </si>
  <si>
    <t>Detection and Repair of Architectural Inconsistencies in Java</t>
  </si>
  <si>
    <t>[5] I. INTRODUCTION</t>
  </si>
  <si>
    <t>https://sites.google.com/view/darcy-project/home</t>
  </si>
  <si>
    <t>Could I Have a Stack Trace to Examine the Dependency Conflict Issue?</t>
  </si>
  <si>
    <t>- FN a - I. INTRODUCTION
- FN b - II. PRELIMINARIES *</t>
  </si>
  <si>
    <t xml:space="preserve">https://skillwind.github.io/RiddleDC/index.html
https://github.com/skillwind/Empirical-Study-Subjects </t>
  </si>
  <si>
    <t>Investigating the Impact of Multiple Dependency Structures on Software Defects</t>
  </si>
  <si>
    <t>https://github.com/cuidi34/ICSE19-Data.git</t>
  </si>
  <si>
    <t>Learning-to-Rank vs Ranking-to-Learn: Strategies for Regression Testing in Continuous Integration</t>
  </si>
  <si>
    <t>FN 7 - 4 EVALUATION
FN 7 - 5 RESULTS * (3x)</t>
  </si>
  <si>
    <t>https://github.com/icse20/RT-CI</t>
  </si>
  <si>
    <t>A Cost-efficient Approach to Building in Continuous Integration</t>
  </si>
  <si>
    <t>[30] 13 REPLICATION</t>
  </si>
  <si>
    <t>https://doi.org/10.5281/zenodo.2667377</t>
  </si>
  <si>
    <t>Practical Fault Detection in Puppet Programs</t>
  </si>
  <si>
    <t>1 Introduction --- HL Availability</t>
  </si>
  <si>
    <r>
      <rPr>
        <rFont val="Arial"/>
        <color theme="1"/>
        <sz val="10.0"/>
      </rPr>
      <t xml:space="preserve">https://github.com/AUEB-BALab/fsmove/
</t>
    </r>
    <r>
      <rPr>
        <rFont val="Arial"/>
        <color theme="1"/>
        <sz val="10.0"/>
      </rPr>
      <t>https://doi.org/10.5281/zenodo.3627895</t>
    </r>
  </si>
  <si>
    <t>https://github.com/AUEB-BALab/fsmove/
https://doi.org/10.5281/zenodo.3627895</t>
  </si>
  <si>
    <t>Learning from, Understanding, and Supporting DevOps Artifacts for Docker</t>
  </si>
  <si>
    <t>FN 1 - 1 Introduction
FN 3 - 2 DATA ACQUISITION</t>
  </si>
  <si>
    <t>https://github.com/jjhenkel/binnacle-icse2020</t>
  </si>
  <si>
    <t>Adapting Requirements Models to Varying Environments</t>
  </si>
  <si>
    <t>[43] 6 THE RESPIRE PROCEDURE</t>
  </si>
  <si>
    <t>https://www.dropbox.com/sh/wdew1sbcoqhhfe0/AACBqCRj7epEyRX9teKYZ3bpa?dl=0</t>
  </si>
  <si>
    <t>Comparing Formal Tools for System Design: a Judgment Study</t>
  </si>
  <si>
    <t xml:space="preserve">[30] 3 RESEARCH DESIGN * (3x)
</t>
  </si>
  <si>
    <t>https://doi.org/10.5281/zenodo.3375494</t>
  </si>
  <si>
    <t>Debugging Inputs</t>
  </si>
  <si>
    <t>9 CONCLUSION AND FUTURE WORK</t>
  </si>
  <si>
    <t>https://tinyurl.com/debugging-inputs-icse-2020 (real link: https://figshare.com/articles/conference_contribution/Artifact_Submission_for_Debugging_Inputs/11808732/1)</t>
  </si>
  <si>
    <t>https://tinyurl.com/debugging-inputs-icse-2020</t>
  </si>
  <si>
    <t>Causal Testing: Understanding Defects' Root Causes</t>
  </si>
  <si>
    <t>- Abstract
- 1 INTRODUCTION
- 4 HOLMES: A CAUSAL TESTING PROTOTYPE
- 5 CAUSAL TESTING EFFECTIVENESS *</t>
  </si>
  <si>
    <t>http://holmes.cs.umass.edu/</t>
  </si>
  <si>
    <t>Impact Analysis of Cross-Project Bugs on Software Ecosystems</t>
  </si>
  <si>
    <t>Taming Behavioral Backward Incompatibilities via Cross-Project Testing and Analysis</t>
  </si>
  <si>
    <t>Watchman: Monitoring Dependency Conflicts for Python Library Ecosystem</t>
  </si>
  <si>
    <t>- 1 INTRODUCTION
- 5 EVALUATION --- text in Table 4</t>
  </si>
  <si>
    <t>http://www.watchman-pypi.com/
   - http://www.watchman-pypi.com/buglist</t>
  </si>
  <si>
    <t>http://www.watchman-pypi.com/</t>
  </si>
  <si>
    <t>One Size Does Not Fit All: A Grounded Theory and Online Survey Study of Developer Preferences for Security Warning Types</t>
  </si>
  <si>
    <t>Schrödinger's Security: Opening the Box on App Developers' Security Rationale</t>
  </si>
  <si>
    <t>[45]
- 3 STUDY I: SECURITY RATIONALES ACROSS APP DEVELOPMENT ACTIVITIES (2x) *
- 4 STUDY I - FINDINGS *
- 5 STUDY II - PERCEIVED SECURITY IMPACT OF DEVELOPMENT ACTIVITIES *</t>
  </si>
  <si>
    <t>http://hdl.handle.net/1983/f43803de-4ade-488f-be1a-a2e8ba30c201</t>
  </si>
  <si>
    <t>How Software Practitioners Use Informal Local Meetups to Share Software Engineering Knowledge</t>
  </si>
  <si>
    <t>[28] 4 RESEARCH METHOD (4x) *</t>
  </si>
  <si>
    <t>http://dx.doi.org/10.6084/m9.figshare.11569434
    - 10.6084/m9.figshare.11569434 (link: http://www.doi.org/10.6084/m9.figshare.11569434)</t>
  </si>
  <si>
    <t>http://dx.doi.org/10.6084/m9.figshare.11569434</t>
  </si>
  <si>
    <t>Predicting Developers' Negative Feelings about Code Review</t>
  </si>
  <si>
    <t>Near-Duplicate Detection in Web App Model Inference</t>
  </si>
  <si>
    <t>[5]
- 1 Introduction (2x)
- 8 THREATS TO VALIDITY</t>
  </si>
  <si>
    <t>https://github.com/NDStudyICSE2019/NDStudy</t>
  </si>
  <si>
    <t>Extracting Taint Specifications for JavaScript Libraries</t>
  </si>
  <si>
    <t>6 EVALUATION</t>
  </si>
  <si>
    <t>http://brics.dk/taser/</t>
  </si>
  <si>
    <t>SLACC: Simion-based Language Agnostic Code Clones</t>
  </si>
  <si>
    <t>[28]
-  4 EVALUATION *
- 8 LIMITATIONS AND THREATS
- 9 CONCLUSION</t>
  </si>
  <si>
    <t>github.com/DynamicCodeSearch/SLACC/tree/ICSE20</t>
  </si>
  <si>
    <t>Finding Client-side Business Flow Tampering Vulnerabilities</t>
  </si>
  <si>
    <t>FN 1 - 5 EVALUATION *
FN 2 - 5 EVALUATION *</t>
  </si>
  <si>
    <t>https://github.com/yirugi/JSFlowTamper
https://sites.google.com/view/tampering-cases/</t>
  </si>
  <si>
    <r>
      <rPr>
        <sz val="10.0"/>
      </rPr>
      <t xml:space="preserve">We plan to make our system available at </t>
    </r>
    <r>
      <rPr>
        <sz val="10.0"/>
        <u/>
      </rPr>
      <t>https://github.com/yirugi/JSFlowTamper</t>
    </r>
  </si>
  <si>
    <t>Securing UnSafe Rust Programs with XRust</t>
  </si>
  <si>
    <t>9 CONCLUSION</t>
  </si>
  <si>
    <r>
      <rPr>
        <rFont val="Arial"/>
        <color theme="1"/>
        <sz val="10.0"/>
      </rPr>
      <t xml:space="preserve">https://github.com/parasol-aser/XRust
</t>
    </r>
    <r>
      <rPr>
        <rFont val="Arial"/>
        <color theme="1"/>
        <sz val="10.0"/>
      </rPr>
      <t>https://hub.docker.com/repository/docker/geticliu/xrust-icse2020</t>
    </r>
  </si>
  <si>
    <t>https://github.com/parasol-aser/XRust
https://hub.docker.com/repository/docker/geticliu/xrust-icse2020</t>
  </si>
  <si>
    <t>Is Rust Used Safely by Software Developers?</t>
  </si>
  <si>
    <t>4 Approach</t>
  </si>
  <si>
    <t>https://github.com/ananevans/icse2020</t>
  </si>
  <si>
    <t>Burn After Reading: A Shadow Stack with Microsecond-level Runtime Rerandomization for Protecting Return Addresses</t>
  </si>
  <si>
    <t>SAVER: Scalable, Precise, and Safe Memory-Error Repair</t>
  </si>
  <si>
    <t>https://github.com/kupl/SAVER_public/</t>
  </si>
  <si>
    <t>Revealing Injection Vulnerabilities by Leveraging Existing Tests</t>
  </si>
  <si>
    <t>[24]
- 1 Introduction
- 5 Evaluation * (2x)
- 7 Conclusion
[25]
- 1 Introduction
- 5 Evaluation *
- 7 Conclusion</t>
  </si>
  <si>
    <t>https://doi.org/10.6084/m9.figshare.11592033
https://github.com/gmu-swe/rivulet</t>
  </si>
  <si>
    <t>RoScript: A Visual Script Driven Truly Non-Intrusive Robotic Testing System for Touch Screen Applications</t>
  </si>
  <si>
    <t>[7] 8 EVALUATION (3x)</t>
  </si>
  <si>
    <t>https://github.com/juqian/ICSE2020-RoScript</t>
  </si>
  <si>
    <t>Translating Video Recordings of Mobile App Usages into Replayable Scenarios</t>
  </si>
  <si>
    <t>[26]
- 1 INTRODUCTION
- 3 THE V2S APPROACH * (2x)
- 4 DESIGN OF THE EXPERIMENTS * (3x)
- 6 LIMITATIONS &amp; THREATS TO VALIDITY (2x)</t>
  </si>
  <si>
    <t>https://sites.google.com/view/video2sceneario/home</t>
  </si>
  <si>
    <t>Unblind Your Apps: Predicting Natural-Language Labels for Mobile GUI Components by Deep Learning</t>
  </si>
  <si>
    <t>FN 2 - 1 INTRODUCTION 
- FN 4 - FN 5 - FN 6 - 6 EVALUATION</t>
  </si>
  <si>
    <t>https://github.com/chenjshnn/LabelDroid</t>
  </si>
  <si>
    <t>SLEMI: Equivalence Modulo Input (EMI) Based Mutation of CPS Models for Finding Compiler Bugs in Simulink</t>
  </si>
  <si>
    <t>- FN 1 - 1 INTRODUCTION
- [11] 4 EVALUATION *</t>
  </si>
  <si>
    <t>https://github.com/shafiul/slemi</t>
  </si>
  <si>
    <t>DeepBillboard: Systematic Physical-World Testing of Autonomous Driving Systems</t>
  </si>
  <si>
    <t xml:space="preserve">Link in "4 EVALUATION" - "4.1 Experiment Setup"
</t>
  </si>
  <si>
    <t>https://github.com/deepbillboard/DeepBillboard</t>
  </si>
  <si>
    <t>Misbehaviour Prediction for Autonomous Driving Systems</t>
  </si>
  <si>
    <t>[45]
- 1 INTRODUCTION
- 5 EMPIRICAL EVALUATION * (2x)
- 5 EMPIRICAL EVALUATION * --- HL Reproducibility</t>
  </si>
  <si>
    <t>https://github.com/testingautomated-usi/selforacle/</t>
  </si>
  <si>
    <t>Approximation-Refinement Testing of Compute-Intensive Cyber-Physical Models: An Approach Based on System Identification</t>
  </si>
  <si>
    <t>[1]
- 4 EVALUATION --- HL Implementation and Data Availability
- 4 EVALUATION *</t>
  </si>
  <si>
    <t>https://github.com/SNTSVV/ARIsTEO</t>
  </si>
  <si>
    <t>A Comprehensive Study of Autonomous Vehicle Bugs</t>
  </si>
  <si>
    <t>[9] 1 Introduction</t>
  </si>
  <si>
    <t>http://tiny.cc/cps_bug_analysis (real link: https://sites.google.com/view/av-bug-study/home )</t>
  </si>
  <si>
    <t>http://tiny.cc/cps_bug_analysis</t>
  </si>
  <si>
    <t>Studying the Use of Java Logging Utilities in the Wild</t>
  </si>
  <si>
    <t>[70] 1 INTRODUCTION</t>
  </si>
  <si>
    <t>https://www.eecs.yorku.ca/~chenfsd/resources/icse2020_replication.zip</t>
  </si>
  <si>
    <t>A Study on the Prevalence of Human Values in Software Engineering Publications, 2015 - 2018</t>
  </si>
  <si>
    <t>Explaining Pair Programming Session Dynamics from Knowledge Gaps</t>
  </si>
  <si>
    <t>Engineering Gender-Inclusivity into Software: Ten Teams' Tales from the Trenches</t>
  </si>
  <si>
    <t>How Has Forking Changed in the Last 20 Years? A Study of Hard Forks on GitHub</t>
  </si>
  <si>
    <t xml:space="preserve">FN 1 - 3 RESEARCH QUESTIONS AND METHODS
[2]
- 3 RESEARCH QUESTIONS AND METHODS *
- 4 RESULTS *
</t>
  </si>
  <si>
    <t>https://github.com/shuiblue/VisualHardFork
https://github.com/shuiblue/ICSE20-hardfork-appendix</t>
  </si>
  <si>
    <t>Multiple-Entry Testing of Android Applications by Constructing Activity Launching Contexts</t>
  </si>
  <si>
    <t>[19] 7 EVALUATION *
[13]
- 1 INTRODUCTION
- 7 EVALUATION</t>
  </si>
  <si>
    <t xml:space="preserve">https://github.com/hanada31/Fax
- https://github.com/hanada31/Fax/tree/master/IntentBench </t>
  </si>
  <si>
    <t>https://github.com/hanada31/Fax</t>
  </si>
  <si>
    <t>ComboDroid: Generating High-Quality Test Inputs for Android Apps via Use Case Combinations</t>
  </si>
  <si>
    <t>FN 9 - 4 IMPLEMENTATION</t>
  </si>
  <si>
    <t>https://github.com/skull591/ComboDroid-Artifact</t>
  </si>
  <si>
    <t>Time-travel Testing of Android Apps</t>
  </si>
  <si>
    <t>https://github.com/DroidTest/TimeMachine</t>
  </si>
  <si>
    <t>HeteroRefactor: Refactoring for Heterogeneous Computing with FPGA</t>
  </si>
  <si>
    <t>https://github.com/heterorefactor/heterorefactor</t>
  </si>
  <si>
    <t>HARP: Holistic Analysis for Refactoring Python-Based Analytics Programs</t>
  </si>
  <si>
    <t>CC2Vec: Distributed Representations of Code Changes</t>
  </si>
  <si>
    <t xml:space="preserve">6 CONCLUSION --- HL Package
</t>
  </si>
  <si>
    <t>https://github.com/CC2Vec/CC2Vec</t>
  </si>
  <si>
    <t>Empirical Review of Automated Analysis Tools on 47,587 Ethereum Smart Contracts</t>
  </si>
  <si>
    <t>- 1 INTRODUCTION
- FN 12 - 3 RESULTS *
- FN 9 - 2 STUDY DESIGN *
[14] 2 STUDY DESIGN * --- HL Dataset Availability
[15] 2 STUDY DESIGN * --- HL Dataset Availability
[13]
- 2 STUDY DESIGN *
- 3 RESULTS *</t>
  </si>
  <si>
    <r>
      <rPr>
        <rFont val="Arial"/>
        <color theme="1"/>
        <sz val="10.0"/>
      </rPr>
      <t xml:space="preserve">https://github.com/smartbugs/smartbugs-results
https://github.com/smartbugs/smartbugs-wild
https://github.com/smartbugs/smartbugs
https://smartbugs.github.io/
https://bigquery.cloud.google.com/savedquery/281902325312:47fd9afda3f8495184d98db6ae36a40c
</t>
    </r>
    <r>
      <rPr>
        <rFont val="Arial"/>
        <color theme="1"/>
        <sz val="10.0"/>
      </rPr>
      <t>https://github.com/smartbugs/smartbugs/wiki/Vulnerabilities-mapping</t>
    </r>
  </si>
  <si>
    <t>https://github.com/smartbugs/smartbugs-results
https://github.com/smartbugs/smartbugs-wild
https://github.com/smartbugs/smartbugs
https://smartbugs.github.io/
https://bigquery.cloud.google.com/savedquery/281902325312:47fd9afda3f8495184d98db6ae36a40c</t>
  </si>
  <si>
    <t>Publicly available (5)</t>
  </si>
  <si>
    <t>Gap between Theory and Practice: An Empirical Study of Security Patches in Solidity</t>
  </si>
  <si>
    <t>FN 1 - 1 INTRODUCTION
FN 2 - 3 SOLIDITY SECURITY PATCHES</t>
  </si>
  <si>
    <t>https://github.com/sjmini/icse2020-Solidity
- https://github.com/sjmini/icse2020-Solidity/tree/master/material/known_weakness.pdf</t>
  </si>
  <si>
    <t>https://github.com/sjmini/icse2020-Solidity</t>
  </si>
  <si>
    <t>An Investigation of Cross-Project Learning in Online Just-In-Time Software Defect Prediction</t>
  </si>
  <si>
    <t>[28]
- 6 EXPERIMENTAL RESULTS *
- 3 ONLINE CP JIT-SDP APPROACHES *</t>
  </si>
  <si>
    <t>http://www.cs.bham.ac.uk/~minkull/publications/TabassumICSE2020-supplement.pdf</t>
  </si>
  <si>
    <t>Understanding the Automated Parameter Optimization on Transfer Learning for Cross-Project Defect Prediction: An Empirical Study</t>
  </si>
  <si>
    <t>- FN 4 - 1 INTRODUCTION
- FN 6 - 3 RESULTS AND ANALYSIS *
- FN 7 - 3 RESULTS AND ANALYSIS *</t>
  </si>
  <si>
    <t>https://github.com/COLA-Laboratory/icse2020/</t>
  </si>
  <si>
    <t>Software Visualization and Deep Transfer Learning for Effective Software Defect Prediction</t>
  </si>
  <si>
    <t>ABSTRACT</t>
  </si>
  <si>
    <t>https://zenodo.org/record/3373409#.XV0Oy5Mza35</t>
  </si>
  <si>
    <t>Software Documentation: The Practitioners' Perspective</t>
  </si>
  <si>
    <t>[1]
- 3 STUDY DESIGN * (2x)
- 3 STUDY DESIGN * --- 3.3 Data: Analysis &amp; Replication Package --- HL Repication Package
- 5 WHAT TYPES OF DOCUMENTATION ARE USEFUL TO PRACTITIONERS?
- 6 THREATS TO VALIDITY</t>
  </si>
  <si>
    <t>https://github.com/USI-INF-Software/Conf-ReplicationPackage-ICSE2020</t>
  </si>
  <si>
    <t>DLFix: Context-based Code Transformation Learning for Automated Program Repair</t>
  </si>
  <si>
    <t>[2] 1 INTRODUCTION</t>
  </si>
  <si>
    <t>https://github.com/ICSE-2019-AUTOFIX/ICSE-2019-AUTOFIX</t>
  </si>
  <si>
    <t>On the Efficiency of Test Suite based Program Repair: A Systematic Assessment of 16 Automated Repair Systems for Java Programs</t>
  </si>
  <si>
    <t>FN 2 - 3 STUDY DESIGN
7 CONCLUSION --- HL Artefacts</t>
  </si>
  <si>
    <t>https://github.com/SerVal-DTF/APR-Efficiency.git
- https://github.com/SerVal-DTF/APR-Efficiency</t>
  </si>
  <si>
    <t>https://github.com/SerVal-DTF/APR-Efficiency</t>
  </si>
  <si>
    <t>Caspar: Extracting and Synthesizing User Stories of Problems from App Reviews</t>
  </si>
  <si>
    <t>FN 10 - 4 RESULTS</t>
  </si>
  <si>
    <t>hguo5.github.io/Caspar</t>
  </si>
  <si>
    <t>Detection of Hidden Feature Requests from Massive Chat Messages via Deep Siamese Network</t>
  </si>
  <si>
    <t>https://github.com/FRMiner/FRMiner</t>
  </si>
  <si>
    <t>A Tale from the Trenches: Cognitive Biases and Software Development</t>
  </si>
  <si>
    <t>FN 2 - 4 BIAS CATEGORIZATIONS (2x)</t>
  </si>
  <si>
    <t>https://epiclab.github.io/ICSE20-CogBias/</t>
  </si>
  <si>
    <t>A description of individual biases can be found on our supplemental site². This site provides annonymized supplemental artifacts used for data analysis. We cannot release raw data due to participant privacy concerns.</t>
  </si>
  <si>
    <t>Recognizing Developers' Emotions while Programming</t>
  </si>
  <si>
    <t>https://figshare.com/articles/_/9206474</t>
  </si>
  <si>
    <t>Neurological Divide: An fMRI Study of Prose and Code Writing</t>
  </si>
  <si>
    <t>https://web.eecs.umich.edu/~weimerw/fmri.html</t>
  </si>
  <si>
    <t>Here We Go Again: Why Is It Difficult for Developers to Learn Another Programming Language?</t>
  </si>
  <si>
    <t>FN 2 - 2 METHODOLOGY</t>
  </si>
  <si>
    <r>
      <rPr>
        <rFont val="Arial"/>
        <color theme="1"/>
        <sz val="10.0"/>
      </rPr>
      <t>https://go.ncsu.edu/cross-lang-study</t>
    </r>
    <r>
      <rPr>
        <rFont val="Arial"/>
        <color theme="1"/>
        <sz val="10.0"/>
      </rPr>
      <t xml:space="preserve"> (real link: </t>
    </r>
    <r>
      <rPr>
        <rFont val="Arial"/>
        <color theme="1"/>
        <sz val="10.0"/>
      </rPr>
      <t>https://github.com/alt-code/Research/tree/master/CrossLanguageEmpirical</t>
    </r>
    <r>
      <rPr>
        <rFont val="Arial"/>
        <color theme="1"/>
        <sz val="10.0"/>
      </rPr>
      <t xml:space="preserve"> )</t>
    </r>
  </si>
  <si>
    <t>https://go.ncsu.edu/cross-lang-study</t>
  </si>
  <si>
    <t>Importance-Driven Deep Learning System Testing</t>
  </si>
  <si>
    <t>- 1 INTRODUCTION
- 3 APPROACH *
- 4 IMPLEMENTATION</t>
  </si>
  <si>
    <t>https://deepimportance.github.io/</t>
  </si>
  <si>
    <t>ReluDiff: Differential Verification of Deep Neural Networks</t>
  </si>
  <si>
    <t>[34] 4 FORWARD INTERVAL ANALYSIS * (5x)</t>
  </si>
  <si>
    <r>
      <rPr>
        <rFont val="Arial"/>
        <color theme="1"/>
        <sz val="10.0"/>
      </rPr>
      <t>https://arxiv.org/abs/2001.03662</t>
    </r>
    <r>
      <rPr>
        <rFont val="Arial"/>
        <color theme="1"/>
        <sz val="10.0"/>
      </rPr>
      <t xml:space="preserve"> and arXiv:cs.LG/2001.03662</t>
    </r>
  </si>
  <si>
    <t>https://arxiv.org/abs/2001.03662</t>
  </si>
  <si>
    <t>DISSECTOR: Input Validation for Deep Learning Applications by Crossing-layer Dissection</t>
  </si>
  <si>
    <t>Towards Characterizing Adversarial Defects of Deep Learning Software from the Lens of Uncertainty</t>
  </si>
  <si>
    <t>[54] 5 EVALUATION *</t>
  </si>
  <si>
    <t>https://sites.google.com/view/modeluncertainty</t>
  </si>
  <si>
    <t>Gang of Eight: A Defect Taxonomy for Infrastructure as Code Scripts</t>
  </si>
  <si>
    <t>FN 17 - 4 AUTOMATED CATEGORIZER FOR INFRASTRUCTURE AS CODE DEFECTS --- HL Verifiability
[57]
- 3 DEFECT TAXONOMY FOR INFRASTRUCTURE AS CODE SCRIPTS *
- 4 AUTOMATED CATEGORIZER FOR INFRASTRUCTURE AS CODE DEFECTS --- HL Verifiability
- 5 EMPIRICAL ANALYSIS *</t>
  </si>
  <si>
    <r>
      <rPr>
        <rFont val="Arial"/>
        <color theme="1"/>
        <sz val="10.0"/>
      </rPr>
      <t>https://figshare.com/s/b2633bd4b1929267a451</t>
    </r>
    <r>
      <rPr>
        <rFont val="Arial"/>
        <color theme="1"/>
        <sz val="10.0"/>
      </rPr>
      <t xml:space="preserve">
</t>
    </r>
    <r>
      <rPr>
        <rFont val="Arial"/>
        <color theme="1"/>
        <sz val="10.0"/>
      </rPr>
      <t>https://hub.docker.com/r/akondrahman/acid-puppet</t>
    </r>
  </si>
  <si>
    <t>https://figshare.com/s/b2633bd4b1929267a451
https://hub.docker.com/r/akondrahman/acid-puppet</t>
  </si>
  <si>
    <t>MEMLOCK: Memory Usage Guided Fuzzing</t>
  </si>
  <si>
    <t xml:space="preserve">[48] 4 EVALUATION (4x) *
</t>
  </si>
  <si>
    <t>https://icse2020-memlock.github.io/</t>
  </si>
  <si>
    <t>sFuzz: An Efficient Adaptive Fuzzer for Solidity Smart Contracts</t>
  </si>
  <si>
    <t>4 IMPLEMENTATION</t>
  </si>
  <si>
    <t>https://sfuzz.github.io/</t>
  </si>
  <si>
    <t>Targeted Greybox Fuzzing with Static Lookahead Analysis</t>
  </si>
  <si>
    <t>[80] 6 EXPERIMENTAL EVALUATION (2x)</t>
  </si>
  <si>
    <r>
      <rPr>
        <rFont val="Arial"/>
        <color theme="1"/>
        <sz val="10.0"/>
      </rPr>
      <t xml:space="preserve">CoRR abs/1905.07147 (real link: </t>
    </r>
    <r>
      <rPr>
        <rFont val="Arial"/>
        <color theme="1"/>
        <sz val="10.0"/>
      </rPr>
      <t>https://arxiv.org/abs/1905.07147</t>
    </r>
    <r>
      <rPr>
        <rFont val="Arial"/>
        <color theme="1"/>
        <sz val="10.0"/>
      </rPr>
      <t xml:space="preserve"> )</t>
    </r>
  </si>
  <si>
    <t>CoRR abs/1905.07147</t>
  </si>
  <si>
    <t>Planning for Untangling: Predicting the Difficulty of Merge Conflicts</t>
  </si>
  <si>
    <t>Conquering the Extensional Scalability Problem for Value-Flow Analysis Frameworks</t>
  </si>
  <si>
    <t>FN 12 - 6 EVALUATION *</t>
  </si>
  <si>
    <t>https://qingkaishi.github.io/catapult.html</t>
  </si>
  <si>
    <t>Tailoring Programs for Static Analysis via Program Transformation</t>
  </si>
  <si>
    <t>FN 11 - 4 EVALUATION *</t>
  </si>
  <si>
    <t>https://doi.org/10.5281/zenodo.3629098</t>
  </si>
  <si>
    <t>Pipelining Bottom-up Data Flow Analysis</t>
  </si>
  <si>
    <t>A Novel Approach to Tracing Safety Requirements and State-Based Design Models</t>
  </si>
  <si>
    <t>Establishing Multilevel Test-to-Code Traceability Links</t>
  </si>
  <si>
    <t>FN 1 - 1 INTRODUCTION
[33] 1 INTRODUCTION (2x)</t>
  </si>
  <si>
    <t>github.com/RRGWhite/icse20-main-1069-data
https://doi.org/10.5281/zenodo.3637597</t>
  </si>
  <si>
    <t>Improving the Effectiveness of Traceability Link Recovery using Hierarchical Bayesian Networks</t>
  </si>
  <si>
    <t>[2]
- 1 INTRODUCTION &amp; MOTIVATION
- 4 INFERRING TRACE LINKS WITH A HIERARCHICAL BAYESIAN NETWORK * (2x)
- 5 DESIGN OF THE EXPERIMENTS * (3x)
- 6 EMPIRICAL RESULTS * (2x)
- 7 THREATS TO VALIDITY</t>
  </si>
  <si>
    <t>https://semeru-code-public.gitlab.io/Project-Websites/comet-website</t>
  </si>
  <si>
    <t>How Android Developers Handle Evolution-induced API Compatibility Issues: A Large-scale Study</t>
  </si>
  <si>
    <t>An Empirical Study on API Parameter Rules</t>
  </si>
  <si>
    <t>4 EMPIRICAL STUDY</t>
  </si>
  <si>
    <t>https://github.com/drzhonghao/parameterstudy</t>
  </si>
  <si>
    <t>When APIs are Intentionally Bypassed: An Exploratory Study of API Workarounds</t>
  </si>
  <si>
    <t>- FN 1 - 3 INQUIRIES ABOUT API WORKAROUNDS: A QUALITATIVE STUDY *
- FN 4 - 5 REPORTING REAL-LIFE API WORKAROUNDS TO DEVELOPERS *</t>
  </si>
  <si>
    <t>https://github.com/senseconcordia/API-Workarounds</t>
  </si>
  <si>
    <t>Demystify Official API Usage Directives with Crowdsourced API Misuse Scenarios, Erroneous Code Examples and Patches</t>
  </si>
  <si>
    <t>Hidden link FN 1 - 2 MOTIVATING EXAMPLES</t>
  </si>
  <si>
    <t>&gt;https://github.com/goodchar/public-package-about-Official-API-Usage-Directives-Demysitification-Report</t>
  </si>
  <si>
    <t>https://github.com/goodchar/public-package-about-Official-API-Usage-Directives-Demysitification-Report</t>
  </si>
  <si>
    <t>Threats to external validity relate to the generalizability of our demystification report. In this project, we use the data from Stack Overflow community and Android API documentation. However, there are many other Q&amp;A sites with different data characteristics and a variety of official documentations for different languages. Further studies on other official and crowdsourced documentations are required to generalize our results. We will also release our dataset and tool for the public validation.</t>
  </si>
  <si>
    <t>Simulee: Detecting CUDA Synchronization Bugs via Memory-Access Modeling</t>
  </si>
  <si>
    <t>[7]
- 1 INTRODUCTION
- 4 EVALUATION *</t>
  </si>
  <si>
    <t>https://github.com/Lebronmydx/Simulee</t>
  </si>
  <si>
    <t>White-box Fairness Testing through Adversarial Sampling</t>
  </si>
  <si>
    <t>FN 2 - 1 INTRODUCTION</t>
  </si>
  <si>
    <t>https://github.com/pxzhang94/ADF</t>
  </si>
  <si>
    <t>Structure-Invariant Testing for Machine Translation</t>
  </si>
  <si>
    <t>FN 3 - 1 INTRODUCTION</t>
  </si>
  <si>
    <t>https://github.com/PinjiaHe/StructureInvariantTesting</t>
  </si>
  <si>
    <t>Automatic Testing and Improvement of Machine Translation</t>
  </si>
  <si>
    <t xml:space="preserve">[43]
- 4 RESULTS *
- FN - 4 RESULTS *
- 5 EXTENDED ANALYSIS AND DISCUSSION
</t>
  </si>
  <si>
    <t>https://github.com/zysszy/TransRepair</t>
  </si>
  <si>
    <t>TRADER: Trace Divergence Analysis and Embedding Regulation for Debugging Recurrent Neural Networks</t>
  </si>
  <si>
    <t>[84]
- 1 INTRODUCTION
- 4 EVALUATION *
- 5 THREAT TO VALIDITY</t>
  </si>
  <si>
    <t>https://github.com/trader-rnn/TRADER</t>
  </si>
  <si>
    <t>Typestate-Guided Fuzzer for Discovering Use-after-Free Vulnerabilities</t>
  </si>
  <si>
    <t>[34] 5 EVALUATION</t>
  </si>
  <si>
    <t>https://sites.google.com/view/uafl/</t>
  </si>
  <si>
    <t>JVM Fuzzing for JIT-Induced Side-Channel Detection</t>
  </si>
  <si>
    <t>Ankou: Guiding Grey-box Fuzzing towards Combinatorial Difference</t>
  </si>
  <si>
    <t>- 1 INTRODUCTION
- [38] 5 DISTANCE-BASED FUZZING *</t>
  </si>
  <si>
    <t>https://github.com/SoftSec-KAIST/Ankou</t>
  </si>
  <si>
    <t>BCFA: Bespoke Control Flow Analysis for CFA at Scale</t>
  </si>
  <si>
    <t>On the Recall of Static Call Graph Construction in Practice</t>
  </si>
  <si>
    <t>Heaps'n Leaks: How Heap Snapshots Improve Android Taint Analysis</t>
  </si>
  <si>
    <t>7 CONCLUSION --- HL Replicability</t>
  </si>
  <si>
    <r>
      <rPr>
        <rFont val="Arial"/>
        <color theme="1"/>
        <sz val="10.0"/>
      </rPr>
      <t>https://bit.ly/38F5tUH</t>
    </r>
    <r>
      <rPr>
        <rFont val="Arial"/>
        <color theme="1"/>
        <sz val="10.0"/>
      </rPr>
      <t xml:space="preserve"> (real link: https://zenodo.org/record/3627973#.Xi6jnxNKhTY)</t>
    </r>
  </si>
  <si>
    <t>https://bit.ly/38F5tUH</t>
  </si>
  <si>
    <t>Because DroidMacroBench comprises closed-source apps we cannot legally make it available as open source. We will make it available to other researchers, though, through a password-protected website. DroidMacroBench will also be made available to the artifact evaluation.</t>
  </si>
  <si>
    <t>Limited access (Credentials required)</t>
  </si>
  <si>
    <t>Big Code != Big Vocabulary: Open-Vocabulary Models for Source Code</t>
  </si>
  <si>
    <t>- 10 ARTIFACTS --- Table 4
- 10 ARTIFACTS</t>
  </si>
  <si>
    <t>https://doi.org/10.5281/zenodo.3628775
https://doi.org/10.5281/zenodo.3628784
https://doi.org/10.5281/zenodo.3628665
https://doi.org/10.5281/zenodo.3628638
https://doi.org/10.5281/zenodo.3628636
https://doi.org/10.5281/zenodo.3629271
https://doi.org/10.5281/zenodo.3628628
https://github.com/mast-group/OpenVocabCodeNLM</t>
  </si>
  <si>
    <t>Publicly available (8)</t>
  </si>
  <si>
    <t>Improving Data Scientist Efficiency with Provenance</t>
  </si>
  <si>
    <t>[28] 8 DISCUSSION --- HL Data Availability</t>
  </si>
  <si>
    <t>https://doi.org/10.5281/zenodo.3628097</t>
  </si>
  <si>
    <t>Managing data constraints in database-backed web applications</t>
  </si>
  <si>
    <t>[12] 1 INTRODUCTION *</t>
  </si>
  <si>
    <t>https://hyperloop-rails.github.io/vibranium/</t>
  </si>
  <si>
    <t>Taxonomy of Real Faults in Deep Learning Systems</t>
  </si>
  <si>
    <t>[8]
- 3 METHODOLOGY * (3x)
- 4 RESULTS</t>
  </si>
  <si>
    <t>https://github.com/dlfaults/dl_faults</t>
  </si>
  <si>
    <t>Testing DNN Image Classifiers for Confusion &amp; Bias Errors</t>
  </si>
  <si>
    <t>Links in "1 INTRODUCTION</t>
  </si>
  <si>
    <t>https://github.com/ARiSE-Lab/DeepInspect
https://www.ariselab.info/deepinspect</t>
  </si>
  <si>
    <t>Repairing Deep Neural Networks: Fix Patterns and Challenges</t>
  </si>
  <si>
    <t>[13] 1 INTRODUCTION</t>
  </si>
  <si>
    <t>https://github.com/lab-design/ICSE2020DNNBugRepair</t>
  </si>
  <si>
    <t>Fuzz Testing based Data Augmentation to Improve Robustness of Deep Neural Networks</t>
  </si>
  <si>
    <t>FN 1 - 4 EXPERIMENTAL SETUP --- 4.1 Dataset and Models</t>
  </si>
  <si>
    <t>https://sensei-2020.github.io</t>
  </si>
  <si>
    <t>An Empirical Study on Program Failures of Deep Learning Jobs</t>
  </si>
  <si>
    <t>Primers or Reminders? The Effects of Existing Review Comments on Code Review</t>
  </si>
  <si>
    <t>- Abstract
- [45] 3 EXPERIMENTAL DESIGN *</t>
  </si>
  <si>
    <t>https://doi.org/10.5281/zenodo.3653856</t>
  </si>
  <si>
    <t>Mitigating Turnover with Code Review Recommendation: Balancing Expertise, Workload, and Knowledge Distribution</t>
  </si>
  <si>
    <t>[28] 5 THE SOFIA BOT ON GITHUB
[29] 
- 1 INTRODUCTION
- 3 PROJECT SELECTION AND DATA (4x) *
- 6 THREATS TO VALIDITY --- HL Replication and Reproducability
- 7 DISCUSSION AND LITERATURE *
[30]
- 1 INTRODUCTION
- 5 THE SOFIA BOT ON GITHUB</t>
  </si>
  <si>
    <t>https://github.com/cesel/relationalgit
https://github.com/cesel/Sofia
https://github.com/apps/sofiarec</t>
  </si>
  <si>
    <t>How Do Companies Collaborate in Open Source Ecosystems? An Empirical Study of OpenStack</t>
  </si>
  <si>
    <t>[94]
- 3 STUDY DESIGN *
- 4 RESULTS *
- 5 DISCUSSION *</t>
  </si>
  <si>
    <t>https://github.com/yuxia-zhang/ICSE2020-Company-Collaboration-in-OSS</t>
  </si>
  <si>
    <t>How to Not Get Rich: An Empirical Study of Donations in Op€n $our¢e</t>
  </si>
  <si>
    <t>SUPPLEMENTARY MATERIAL AND REPLICATION PACKAGE</t>
  </si>
  <si>
    <t>https://github.com/CMUSTRUDEL/oss-donations</t>
  </si>
  <si>
    <t>Scaling Open Source Communities: An Empirical Study of the Linux Kernel</t>
  </si>
  <si>
    <t>8 CONCLUSIONS</t>
  </si>
  <si>
    <t>https://archive.softwareheritage.org/swh:1:dir:33d1a7540c8dc449b90d4771f6dd52ba45e26879/</t>
  </si>
  <si>
    <t>SPECUSYM: Speculative Symbolic Execution for Cache Timing Leak Detection</t>
  </si>
  <si>
    <t>Symbolic Verification of Message Passing Interface Programs</t>
  </si>
  <si>
    <t>FN 1 - ABSTRACT
[91]
- 2 ILLUSTRATION *
- 3 SYMBOLIC VERIFICATION METHOD *
- 4 CSP BASED PATH MODELING * (2x)</t>
  </si>
  <si>
    <r>
      <rPr>
        <rFont val="Arial"/>
        <color theme="1"/>
        <sz val="10.0"/>
      </rPr>
      <t xml:space="preserve">https://mpi-sv.github.io/
</t>
    </r>
    <r>
      <rPr>
        <rFont val="Arial"/>
        <color theme="1"/>
        <sz val="10.0"/>
      </rPr>
      <t>http://arxiv.org/abs/1803.06300</t>
    </r>
    <r>
      <rPr>
        <rFont val="Arial"/>
        <color theme="1"/>
        <sz val="10.0"/>
      </rPr>
      <t xml:space="preserve"> (and CoRR abs/1803.06300 (2020). arXiv:1803.06300)</t>
    </r>
  </si>
  <si>
    <t>https://mpi-sv.github.io/
http://arxiv.org/abs/1803.06300</t>
  </si>
  <si>
    <t>Efficient Generation of Error-Inducing Floating-Point Inputs via Symbolic Execution</t>
  </si>
  <si>
    <t>FN 8 - 4 EXPERIMENTAL EVALUATION</t>
  </si>
  <si>
    <t>https://github.com/ucd-plse/FPGen</t>
  </si>
  <si>
    <t>HyDiff: Hybrid Differential Software Analysis</t>
  </si>
  <si>
    <t>- 4 APPLICATIONS AND EVALUATION
[44] 4 APPLICATIONS AND EVALUATION (2x) *</t>
  </si>
  <si>
    <t>https://doi.org/10.5281/zenodo.3627893</t>
  </si>
  <si>
    <t>Seenomaly: Vision-Based Linting of GUI Animation Effects Against Design-Don't Guidelines</t>
  </si>
  <si>
    <t>- FN 1 - 1 INTRODUCTION
- FN 2 - 3 TOOL IMPLEMENTATION
- FN 3 - 5 EXPERIMENT RESULTS AND FINDINGS *
- 5 EXPERIMENT RESULTS AND FINDINGS *</t>
  </si>
  <si>
    <t>https://github.com/DehaiZhao/Seenomaly</t>
  </si>
  <si>
    <t>Low-Overhead Deadlock Prediction</t>
  </si>
  <si>
    <t>An Empirical Assessment of Security Risks of Global Android Banking Apps</t>
  </si>
  <si>
    <t>FN 1 - 2 TOOL EVALUATION *
[20] 2 TOOL EVALUATION * (2x)</t>
  </si>
  <si>
    <t>https://sites.google.com/view/ausera/
- www.sites.google.com/view/ausera/</t>
  </si>
  <si>
    <t>https://sites.google.com/view/ausera/</t>
  </si>
  <si>
    <t>We do not disclose any concrete weakness types or details in these banking apps to avoid security threats.</t>
  </si>
  <si>
    <t>Barriers (Security issues)</t>
  </si>
  <si>
    <t>Accessibility Issues in Android Apps: State of Affairs, Sentiments, and Ways Forward</t>
  </si>
  <si>
    <t>[44]
- 4 METHODOLOGY *
- 8 CONCLUSION</t>
  </si>
  <si>
    <t>https://github.com/Abdulaziz89/accessibility_eval/</t>
  </si>
  <si>
    <t>Collaborative Bug Finding for Android Apps</t>
  </si>
  <si>
    <t>https://bugine.github.io/</t>
  </si>
  <si>
    <t>POSIT: Simultaneously Tagging Natural and Programming Languages</t>
  </si>
  <si>
    <t xml:space="preserve">- 1 INTRODUCTION
- 5 EVALUATION
- FN 3 - 5 EVALUATION *
- FN 4 - 7 DISCUSSION *
- 8 RELATED WORK
- 9 CONCLUSION
- [3] 5 EVALUATION *
</t>
  </si>
  <si>
    <r>
      <rPr>
        <rFont val="Arial"/>
        <color theme="1"/>
        <sz val="10.0"/>
      </rPr>
      <t xml:space="preserve">https://github.com/PPPI/POSIT
- </t>
    </r>
    <r>
      <rPr>
        <rFont val="Arial"/>
        <color theme="1"/>
        <sz val="10.0"/>
      </rPr>
      <t xml:space="preserve">https://github.com/PPPI/POSIT/blob/92ef801e5183e3f304da423ad50f58fdd7369090/src/baseline/StORMeD/stormed_evaluate.py#L33
</t>
    </r>
    <r>
      <rPr>
        <rFont val="Arial"/>
        <color theme="1"/>
        <sz val="10.0"/>
      </rPr>
      <t>- https://github.com/PPPI/POSIT/blob/master/data/corpora/lucid.zip</t>
    </r>
  </si>
  <si>
    <t>https://github.com/PPPI/POSIT</t>
  </si>
  <si>
    <t>CPC: Automatically Classifying and Propagating Natural Language Comments via Program Analysis</t>
  </si>
  <si>
    <t>Suggesting Natural Method Names to Check Name Consistencies</t>
  </si>
  <si>
    <t xml:space="preserve">[1]
- 1 INTRODUCTION
- 6 EMPIRICAL RESULTS *
</t>
  </si>
  <si>
    <t>https://doubledoubleblind.github.io/mnire/</t>
  </si>
  <si>
    <t>Retrieval-based Neural Source Code Summarization</t>
  </si>
  <si>
    <t>6 CONCLUSION</t>
  </si>
  <si>
    <t>https://github.com/zhangj111/rencos</t>
  </si>
  <si>
    <t>On Learning Meaningful Assert Statements for Unit Test Cases</t>
  </si>
  <si>
    <t xml:space="preserve">[4]
- 1 Introduction
- 3 ATLAS: Learning Asserts via NMT *
- 4 Experimental Design (2x)
- 5 Experimental Results
- 6 Threats to Validity
</t>
  </si>
  <si>
    <t>https://sites.google.com/view/atlas-nmt/home</t>
  </si>
  <si>
    <t>Quickly Generating Diverse Valid Test Inputs with Reinforcement Learning</t>
  </si>
  <si>
    <t>- 1 INTRODUCTION
- 5 EVALUATION</t>
  </si>
  <si>
    <t>https://github.com/sameerreddy13/rlcheck</t>
  </si>
  <si>
    <t>An Evidence-Based Inquiry into the Use of Grey Literature in Software Engineering</t>
  </si>
  <si>
    <t>FN 5 - 4 RESULTS</t>
  </si>
  <si>
    <t>http://softeng.nju.edu.cn/tech_reports/TR-19-005-GreyLiterature-EN.pdf</t>
  </si>
  <si>
    <t>Towards the Use of the Readily Available Tests from the Release Pipeline as Performance Tests: Are We There Yet?</t>
  </si>
  <si>
    <t>https://github.com/senseconcordia/ICSE2020-Performance</t>
  </si>
  <si>
    <t>Verifying Object Construction</t>
  </si>
  <si>
    <t>- 5 IMPLEMENTATION
- 5 IMPLEMENTATION</t>
  </si>
  <si>
    <t>https://github.com/kelloggm/object-construction-checker
https://doi.org/10.5281/zenodo.3634993</t>
  </si>
  <si>
    <t>Automatically Testing String Solvers</t>
  </si>
  <si>
    <t>A Study on the Lifecycle of Flaky Tests</t>
  </si>
  <si>
    <t>[4]
- 1 INTRODUCTION
- 4 ANALYSIS OF THE RESULTS</t>
  </si>
  <si>
    <t>https://github.com/winglam/flaky-test-lifecycle-data</t>
  </si>
  <si>
    <t>Testing File System Implementations on Layered Models</t>
  </si>
  <si>
    <t>FN 10 - 5 SYSTEM IMPLEMENTATION</t>
  </si>
  <si>
    <t>https://midwinter1993.github.io/dogfood/</t>
  </si>
  <si>
    <t>Co-Evolving Code with Evolving Metamodels</t>
  </si>
  <si>
    <t>Lazy Product Discovery in Huge Configuration Spaces</t>
  </si>
  <si>
    <t>- FN 1 - 1 INTRODUCTION (2 links)
- FN 2 - 1 INTRODUCTION (2 links)
- 6 EVALUATION *</t>
  </si>
  <si>
    <r>
      <rPr>
        <rFont val="Arial"/>
        <color theme="1"/>
        <sz val="10.0"/>
      </rPr>
      <t xml:space="preserve">archive.softwareheritage.org/browse/origin/https://github.com/gzoumix/pdepa.git
https://github.com/gzoumix/pdepa
https://doi.org/10.6084/m9.figshare.11728914.v4
https://doi.org/10.5281/zenodo.3633643
</t>
    </r>
    <r>
      <rPr>
        <rFont val="Arial"/>
        <color theme="1"/>
        <sz val="10.0"/>
      </rPr>
      <t>https://hub.docker.com/r/gzoumix/pdepa</t>
    </r>
  </si>
  <si>
    <t>archive.softwareheritage.org/browse/origin/https://github.com/gzoumix/pdepa.git
https://github.com/gzoumix/pdepa
https://doi.org/10.6084/m9.figshare.11728914.v4
https://doi.org/10.5281/zenodo.3633643
https://hub.docker.com/r/gzoumix/pdepa</t>
  </si>
  <si>
    <t>Reducing Run-Time Adaptation Space via Analysis of Possible Utility Bounds</t>
  </si>
  <si>
    <t>[60]
- 1 INTRODUCTION
- 8 CONCLUSION AND FUTURE WORK</t>
  </si>
  <si>
    <t>https://sites.google.com/view/thallium/</t>
  </si>
  <si>
    <t>Context-aware In-process Crowdworker Recommendation</t>
  </si>
  <si>
    <t>https://github.com/wangjunjieISCAS/InProcessRecommendation</t>
  </si>
  <si>
    <t>A Large-Scale Empirical Study on Vulnerability Distribution within Projects and the Lessons Learned</t>
  </si>
  <si>
    <t>https://github.com/twelveand0/CarrotsBlender</t>
  </si>
  <si>
    <t>Unsuccessful Story about Few Shot Malware Family Classification and Siamese Network to the Rescue</t>
  </si>
  <si>
    <t xml:space="preserve">- FN 1 - 3 MALWARE FAMILY PREDICTION *
- FN 2 - 3 MALWARE FAMILY PREDICTION * — Caption of Figure 2
- FN 3 - 4 UNSUCCESSFUL STORY OF FEW SHORT MALWARE FAMILY PREDICTION *
- FN 4 - 4 UNSUCCESSFUL STORY OF FEW SHORT MALWARE FAMILY PREDICTION *
- FN 5 - 5 SIAMESE NETWORK TO THE RESCUE *
- 3 MALWARE FAMILY PREDICTION *
</t>
  </si>
  <si>
    <t>https://github.com/qWe1aSd/malPre</t>
  </si>
  <si>
    <t>How Does Misconfiguration of Analytic Services Compromise Mobile Privacy?</t>
  </si>
  <si>
    <t>- FN 3 - 4 STUDY RESULTS *</t>
  </si>
  <si>
    <t>https://sites.google.com/site/trackersec2019/</t>
  </si>
  <si>
    <t>Interpreting Cloud Computer Vision Pain-Points: A Mining Study of Stack Overflow</t>
  </si>
  <si>
    <t xml:space="preserve">- FN 3 - 4 METHOD * (3x)
- FN 6 - 4 METHOD *
[42]
- 1 INTRODUCTION
- 4 METHOD *
</t>
  </si>
  <si>
    <t>http://bit.ly/2Z8zOKW (real link: https://cloudstor.aarnet.edu.au/plus/s/ZExf9BcejesKFQQ)
http://bit.ly/2ZcwNJO (real link: https://cloudstor.aarnet.edu.au/plus/s/gRcxEVi8lHhOiMH)
http://bit.ly/2NqBB70 (real link: https://cloudstor.aarnet.edu.au/plus/s/R6Dzobs5sjv12Yi)</t>
  </si>
  <si>
    <t>http://bit.ly/2Z8zOKW
http://bit.ly/2ZcwNJO
http://bit.ly/2NqBB70</t>
  </si>
  <si>
    <t>Playing Planning Poker in Crowds: Human Computation of Software Effort Estimates</t>
  </si>
  <si>
    <t>FN 2 - I. Introduction</t>
  </si>
  <si>
    <t>https://github.com/crowd-planning-poker/cpp-30-issue-replication-pack</t>
  </si>
  <si>
    <t>JEST: N+1-version Differential Testing of Both JavaScript Engines and Specification</t>
  </si>
  <si>
    <t>Unrealizable Cores for Reactive Systems Specifications</t>
  </si>
  <si>
    <t>[1] VIII. Evaluation * (2x)</t>
  </si>
  <si>
    <t>http://smlab.cs.tau.ac.il/syntech/unrealcores/</t>
  </si>
  <si>
    <t>Verifying Determinism in Sequential Programs</t>
  </si>
  <si>
    <t>- III. Implementation of our type system
- IV. CASE STUDIES *
- [24] IV. CASE STUDIES
[15]
- II. A type system for determinism
- IV. CASE STUDIES</t>
  </si>
  <si>
    <t>https://github.com/t-rasmud/checker-framework/tree/nondet-checker
- https://github.com/t-rasmud/checker-framework/issues/219
https://doi.org/10.5281/zenodo.4536285 
&gt;Tech. Rep. TR-UW-CSE-2021-02-01 - real link: https://dada.cs.washington.edu/research/tr/2021/02/UW-CSE-21-02-01.pdf</t>
  </si>
  <si>
    <t>https://github.com/t-rasmud/checker-framework/tree/nondet-checker
https://doi.org/10.5281/zenodo.4536285
Tech. Rep. TR-UW-CSE-2021-02-01 - real link: https://dada.cs.washington.edu/research/tr/2021/02/UW-CSE-21-02-01.pdf</t>
  </si>
  <si>
    <t>Domain-Specific Fixes for Flaky Tests with Wrong Assumptions on Underdetermined Specifications</t>
  </si>
  <si>
    <t>[33] XI. Data Availability</t>
  </si>
  <si>
    <t>https://doi.org/10.5281/zenodo.4539907</t>
  </si>
  <si>
    <t>Per email from the Open Science Chair, we do not include the Git histories of projects used in this paper.</t>
  </si>
  <si>
    <t>Studying Test Annotation Maintenance in the Wild</t>
  </si>
  <si>
    <t>FN 1 - V. A Qualitative Study on Test Annotations</t>
  </si>
  <si>
    <t>https://github.com/SPEAR-SE/TestAnnotationMaintenance_Data</t>
  </si>
  <si>
    <t>Semantic Patches for Adaptation of JavaScript Programs to Evolving Libraries</t>
  </si>
  <si>
    <t>In References [5]
- IV. A Semantic Patch Language (twice)
- FN 5 - IV. A Semantic Patch Language
- V. Interactive Phase
- VI. Evaluation (twice)</t>
  </si>
  <si>
    <t>https://brics.dk/jsfix/</t>
  </si>
  <si>
    <t>DepOwl: Detecting Dependency Bugs to Prevent Compatibility Failures</t>
  </si>
  <si>
    <t>FN 2 - V. Evaluation</t>
  </si>
  <si>
    <t>https://github.com/ZhouyangJia/DepOwl</t>
  </si>
  <si>
    <t>Hero: On the Chaos When PATH Meets Modules</t>
  </si>
  <si>
    <t xml:space="preserve">- FN 2 - I. Introduction
- VI. Discussions --- caption of the "TABLE III"
</t>
  </si>
  <si>
    <t>http://www.hero-go.com/</t>
  </si>
  <si>
    <t>Encouraged by such comments, we are planning to release our `tool for public use to help build a healthy Golang ecosystem.</t>
  </si>
  <si>
    <t>SOAR: A Synthesis Approach for Data Science API Refactoring</t>
  </si>
  <si>
    <t>FN 1 - IV. Evaluation</t>
  </si>
  <si>
    <t>https://zenodo.org/record/4452730</t>
  </si>
  <si>
    <t>Are Machine Learning Cloud APIs Used Correctly?</t>
  </si>
  <si>
    <t>[50]
- I. Introduction
- VII. Solutions
- Data Availability</t>
  </si>
  <si>
    <t>https://alert.cs.uchicago.edu/#release</t>
  </si>
  <si>
    <t>Siri, Write the Next Method</t>
  </si>
  <si>
    <t>[12] II. FeaRS *</t>
  </si>
  <si>
    <t>https://github.com/anonymousfears/fears</t>
  </si>
  <si>
    <t>Code Prediction by Feeding Trees to Transformers</t>
  </si>
  <si>
    <t>IV. Implementation and Datasets *</t>
  </si>
  <si>
    <t>https://github.com/facebookresearch/code-prediction-transformer</t>
  </si>
  <si>
    <t>Towards Automating Code Review Activities</t>
  </si>
  <si>
    <t>[15]
- II. USING TRANSFORMERS TO AUTOMATE CODE REVIEW * (2x)
- IV. RESULTS DISCUSSION
- VIII. DATA AVAILABILITY</t>
  </si>
  <si>
    <t>https://github.com/RosaliaTufano/code_review</t>
  </si>
  <si>
    <t>Resource-Guided Configuration Space Reduction for Deep Learning Models</t>
  </si>
  <si>
    <t>An Evolutionary Study of Configuration Design and Implementation in Cloud Systems</t>
  </si>
  <si>
    <t>- I. Introduction --- HL Data
- [36] I. Introduction</t>
  </si>
  <si>
    <r>
      <rPr>
        <rFont val="Arial"/>
        <color theme="1"/>
        <sz val="10.0"/>
      </rPr>
      <t xml:space="preserve">arXiv:submit/3601478 (real link: https://arxiv.org/abs/2102.07052v1)
</t>
    </r>
    <r>
      <rPr>
        <rFont val="Arial"/>
        <color theme="1"/>
        <sz val="10.0"/>
      </rPr>
      <t>https://github.com/xlab-uiuc/open-cevo</t>
    </r>
  </si>
  <si>
    <t>arXiv:submit/3601478
https://github.com/xlab-uiuc/open-cevo</t>
  </si>
  <si>
    <t>AutoCCAG: An Automated Approach to Constrained Covering Array Generation</t>
  </si>
  <si>
    <t xml:space="preserve">FN 3 - IV. Experimental Design (the same FN is cited 5 times)
VII. Conclusion
</t>
  </si>
  <si>
    <t>https://github.com/chuanluocs/AutoCCAG</t>
  </si>
  <si>
    <t>What Helped, and what did not? An Evaluation of the Strategies to Improve Continuous Integration</t>
  </si>
  <si>
    <t>[28] X. Replication</t>
  </si>
  <si>
    <t>https://doi.org/10.5281/zenodo.4372963</t>
  </si>
  <si>
    <t>Distribution-Aware Testing of Neural Networks Using Generative Models</t>
  </si>
  <si>
    <t>IV. Evaluation</t>
  </si>
  <si>
    <t>https://github.com/swa112003/DistributionAwareDNNTesting</t>
  </si>
  <si>
    <t>An Empirical Study of Refactorings and Technical Debt in Machine Learning Systems</t>
  </si>
  <si>
    <t>[17] I. Introduction</t>
  </si>
  <si>
    <t>doi : 10.5281/zenodo.3841195 (real link: https://doi.org/10.5281/zenodo.3841195 )</t>
  </si>
  <si>
    <t>doi : 10.5281/zenodo.3841195</t>
  </si>
  <si>
    <t>DeepLocalize: Fault Localization for Deep Neural Networks</t>
  </si>
  <si>
    <t>[21] 
- I. INTRODUCTION
- IV. EVALUATION</t>
  </si>
  <si>
    <t>https://github.com/Wardat-ISU/DeepLocalize</t>
  </si>
  <si>
    <t>DeepPayload: Black-box Backdoor Attack on Deep Learning Models through Neural Payload Injection</t>
  </si>
  <si>
    <t>Reducing DNN Properties to Enable Falsification with Adversarial Attacks</t>
  </si>
  <si>
    <t>- Data Availability (2 links)
- FN 1 - III. Approach *
- FN 3 - IV. Empirical Evaluation</t>
  </si>
  <si>
    <t>https://doi.org/10.5281/zenodo.4439219
https://github.com/dlshriver/DNNF
https://github.com/dlshriver/DNNF/blob/main/docs/_static/appendix.pdf</t>
  </si>
  <si>
    <t>https://doi.org/10.5281/zenodo.4439219
https://github.com/dlshriver/DNNF</t>
  </si>
  <si>
    <t>Graph-Based Fuzz Testing for Deep Learning Inference Engines</t>
  </si>
  <si>
    <t>https://github.com/gbftdlie/Graph-based-fuzz-testing</t>
  </si>
  <si>
    <t>RobOT: Robustness-Oriented Testing for Deep Learning Systems</t>
  </si>
  <si>
    <t>[1] 
- I. Introduction
- IV. E x pe r im e n t a l E v a l u a t io n</t>
  </si>
  <si>
    <t>https://github.com/SmallkeyChen/RobOT</t>
  </si>
  <si>
    <t>Scalable Quantitative Verification for Deep Neural Networks</t>
  </si>
  <si>
    <t>teobaluta.github.io/provero</t>
  </si>
  <si>
    <t>Traceability Transformed: Generating More Accurate Links with Pre-Trained BERT Models</t>
  </si>
  <si>
    <t xml:space="preserve">FN 2 - V. Experimental Evaluation *
FN 3 - IX. Conclusion and Future Work
</t>
  </si>
  <si>
    <t>https://zenodo.org/record/4511291#.YB3tjyj0mbg
https://github.com/jinfenglin/TraceBERT</t>
  </si>
  <si>
    <t>Studying the Usage of Text-To-Text Transfer Transformer to Support Code-Related Tasks</t>
  </si>
  <si>
    <t xml:space="preserve">[26]
- I. INTRODUCTION
- VII. CONCLUSION
</t>
  </si>
  <si>
    <t>https://github.com/antonio-mastropaolo/T5-learning-ICSE_2021</t>
  </si>
  <si>
    <t>Operation is the Hardest Teacher: Estimating DNN Accuracy Looking for Mispredictions</t>
  </si>
  <si>
    <t>FN 5 - IV. Evaluation *</t>
  </si>
  <si>
    <t>https://github.com/dessertlab/DeepEST</t>
  </si>
  <si>
    <t>AUTOTRAINER: An Automatic DNN Training Problem Detection and Repair System</t>
  </si>
  <si>
    <t>[13]
I. Introduction (2x)
III. Identifying DNN Problems During Training (2x)
V. Evaluation (2x)</t>
  </si>
  <si>
    <t>https://github.com/shiningrain/AUTOTRAINER</t>
  </si>
  <si>
    <t>Self-Checking Deep Neural Networks in Deployment</t>
  </si>
  <si>
    <t>- FN 1 - I. Introduction
- VI. Limitations and conclusion</t>
  </si>
  <si>
    <t>https://github.com/self-checker/SelfChecker</t>
  </si>
  <si>
    <t>Measuring Discrimination to Boost Comparative Testing for Multiple Deep Learning Models</t>
  </si>
  <si>
    <t>X. REPEATABILITY</t>
  </si>
  <si>
    <t>https://github.com/Testing-Multiple-DL-Models/SDS</t>
  </si>
  <si>
    <t>Prioritizing Test Inputs for Deep Neural Networks via Mutation Analysis</t>
  </si>
  <si>
    <t>IV. EXPERIMENTAL STUDY DESIGN - C. Implementation and Conﬁguration</t>
  </si>
  <si>
    <t>https://github.com/sail-repos/PRIMA</t>
  </si>
  <si>
    <t>Due to the company policy, we have to hide more details about these models and datasets.</t>
  </si>
  <si>
    <t>Testing Machine Translation via Referential Transparency</t>
  </si>
  <si>
    <t>Automatic Web Testing Using Curiosity-Driven Reinforcement Learning</t>
  </si>
  <si>
    <t>[49]
- FN 1 - IV. Empirical Evaluation
- IV. Empirical Evaluation -- subsections: "B. Code Coverage (RQ1)"; "C. Failure Detection (RQ2)"; "E. Evaluation on Real-World Web Applications (RQ4)" (3x).</t>
  </si>
  <si>
    <t>https://sites.google.com/view/webexplor</t>
  </si>
  <si>
    <t>Evaluating SZZ Implementations Through a Developer-Informed Oracle</t>
  </si>
  <si>
    <t>[40]
- I. Introduction
- III. Building a Developer-informed Dataset of Bug-inducing Commits --- subsection: "C. The Obtained SZZ Oracles" (2x)
- IV. Study Design --- subsection: "A. Data Collection"
- VI. Threats to valitity</t>
  </si>
  <si>
    <t>https://github.com/grosa1/icse2021-szz-replication-package</t>
  </si>
  <si>
    <t>Early Life Cycle Software Defect Prediction: Why? How?</t>
  </si>
  <si>
    <t>FN 4 - I. Introduction</t>
  </si>
  <si>
    <t xml:space="preserve"> https://doi.org/10.5281/zenodo.4459561</t>
  </si>
  <si>
    <t>IoT Bugs and Development Challenges</t>
  </si>
  <si>
    <t xml:space="preserve">[19]
- III. Methodology (2x) *
- IV. Findings: IoT Bug Categories (RQ1) *
- VI. Discussion *
</t>
  </si>
  <si>
    <t>https://github.com/IoTSEstudy/IoTbugschallenges</t>
  </si>
  <si>
    <t>How Developers Optimize Virtual Reality Applications: A Study of Optimization Commits in Open Source Unity Projects</t>
  </si>
  <si>
    <t>FN 1 - I. Introduction</t>
  </si>
  <si>
    <t>http://sites.google.com/view/vroptstudy2020/</t>
  </si>
  <si>
    <t>"Do this! Do that!, and Nothing will Happen": Do Specifications Lead to Securely Stored Passwords?</t>
  </si>
  <si>
    <t>Ethical approval for the study was sought from and granted by Bristol University. No personal data was collected, and demographic data was deleted after coding and validation. Data is available by request.</t>
  </si>
  <si>
    <t>Why Don't Developers Detect Improper Input Validation? '; DROP TABLE Papers; --</t>
  </si>
  <si>
    <t>- Abstract
- [36] III. Methodology * (3x)</t>
  </si>
  <si>
    <t>https://doi.org/10.5281/zenodo.3996696</t>
  </si>
  <si>
    <t>The Mind Is a Powerful Place: How Showing Code Comprehensibility Metrics Influences Code Understanding</t>
  </si>
  <si>
    <t>[75] VII. DATA AVAILABILITY</t>
  </si>
  <si>
    <t>https://doi.org/10.5281/zenodo.4001763</t>
  </si>
  <si>
    <t>Program Comprehension and Code Complexity Metrics: An fMRI Study</t>
  </si>
  <si>
    <t xml:space="preserve">https://github.com/brains-on-code/fMRI-complexity-metrics-icse2021/ </t>
  </si>
  <si>
    <t>Access to actual fMRI data is granted upon request.</t>
  </si>
  <si>
    <t>Do you Really Code? Designing and Evaluating Screening Questions for Online Surveys with Programmers</t>
  </si>
  <si>
    <t>How Gamification Affects Software Developers: Cautionary Evidence from a Natural Experiment on GitHub</t>
  </si>
  <si>
    <t>III. Data</t>
  </si>
  <si>
    <t>https://github.com/lukasmoldon/GHStreaksThesis</t>
  </si>
  <si>
    <t>IdBench: Evaluating Semantic Representations of Identifier Names in Source Code</t>
  </si>
  <si>
    <t>https://github.com/sola-st/IdBench</t>
  </si>
  <si>
    <t>A Context-Based Automated Approach for Method Name Consistency Checking and Suggestion</t>
  </si>
  <si>
    <t>Link in References [1] I. Introduction</t>
  </si>
  <si>
    <t>https://github.com/deepname2021icse/DeepName-2021-ICSE</t>
  </si>
  <si>
    <t>On the Naming of Methods: A Survey of Professional Developers</t>
  </si>
  <si>
    <t>- [91] and [92] VIII. Conclusions
- VIII. Conclusions</t>
  </si>
  <si>
    <t>https://github.com/KSU-SDML/Method-Naming-Standards-Artifact
http://dx.doi.org/10.17632/5d7vx88sph.1 (real link https://data.mendeley.com/datasets/5d7vx88sph/1 )</t>
  </si>
  <si>
    <t>https://github.com/KSU-SDML/Method-Naming-Standards-Artifact
http://dx.doi.org/10.17632/5d7vx88sph.1</t>
  </si>
  <si>
    <t>Relating Reading, Visualization, and Coding for New Programmers: A Neuroimaging Study</t>
  </si>
  <si>
    <t>FN 1 - III. Experimental Setup and Design</t>
  </si>
  <si>
    <t>https://github.com/CelloCorgi/ICSE_fNIRS2021</t>
  </si>
  <si>
    <t>A Case Study of Onboarding in Software Teams: Tasks and Strategies</t>
  </si>
  <si>
    <t>- Abstract
- II. Methods
- IV. Survey Results</t>
  </si>
  <si>
    <t>https://zenodo.org/record/4455937#.YCOQCs_0lFd</t>
  </si>
  <si>
    <t>"How Was Your Weekend?" Software Development Teams Working From Home During COVID-19</t>
  </si>
  <si>
    <t>[9]
- II. Methodology (2x) *
- IV. Threats to Validity
- Supplemental Material</t>
  </si>
  <si>
    <t>https://doi.org/10.5281/zenodo.4456041
- DOI 10.5281/zenodo.4456041</t>
  </si>
  <si>
    <t>https://doi.org/10.5281/zenodo.4456041</t>
  </si>
  <si>
    <t>FLACK: Counterexample-Guided Fault Localization for Alloy Models</t>
  </si>
  <si>
    <t>[26]
- I. Introduction
- VII. Data Availability</t>
  </si>
  <si>
    <t>https://doi.org/10.6084/m9.figshare.13439894.v4</t>
  </si>
  <si>
    <t>Improving Fault Localization by Integrating Value and Predicate Based Causal Inference Techniques</t>
  </si>
  <si>
    <t>[63] Data Availability</t>
  </si>
  <si>
    <t>https://doi.org/10.5281/zenodo.4441439</t>
  </si>
  <si>
    <t>Fault Localization with Code Coverage Representation Learning</t>
  </si>
  <si>
    <t>[5] I. Introduction</t>
  </si>
  <si>
    <t>https://github.com/deeprl4fl2021icse/deeprl4fl-2021-icse</t>
  </si>
  <si>
    <t>An Empirical Study on Deployment Faults of Deep Learning Based Mobile Applications</t>
  </si>
  <si>
    <t>Link in References [30], cited in "I. Introduction"</t>
  </si>
  <si>
    <t>https://github.com/chenzhenpeng18/icse2021</t>
  </si>
  <si>
    <t>Extracting Concise Bug-Fixing Patches from Human-Written Patches in Version Control Systems</t>
  </si>
  <si>
    <t>[30]
- I. Introduction
- V. Evaluation</t>
  </si>
  <si>
    <t>https://github.com/jiangyanjie/BugBuilder</t>
  </si>
  <si>
    <t>Input Algebras</t>
  </si>
  <si>
    <t>- FN 5 - VI. Implementation and Usage Scenarios
- IX. Conclusion and Future Work
- FN 7 - IX. Conclusion and Future Work</t>
  </si>
  <si>
    <t xml:space="preserve">DOI:10.5281/zenodo.4456296 (real link: https://doi.org/10.5281/zenodo.4456296 )
- https://zenodo.org/record/4456296 
https://nbviewer.jupyter.org/github/vrthra/Ewoks/blob/master/src/FAlgebra.ipynb </t>
  </si>
  <si>
    <r>
      <rPr>
        <rFont val="Arial"/>
        <color theme="1"/>
        <sz val="10.0"/>
      </rPr>
      <t>https://zenodo.org/record/4456296</t>
    </r>
    <r>
      <rPr>
        <rFont val="Arial"/>
        <color theme="1"/>
        <sz val="10.0"/>
      </rPr>
      <t xml:space="preserve">
https://nbviewer.jupyter.org/github/vrthra/Ewoks/blob/master/src/FAlgebra.ipynb</t>
    </r>
  </si>
  <si>
    <t>Fuzzing Symbolic Expressions</t>
  </si>
  <si>
    <t>I. Introduction</t>
  </si>
  <si>
    <t>https://season-lab.github.io/fuzzolic/</t>
  </si>
  <si>
    <t>Growing a Test Corpus with Bonsai Fuzzing</t>
  </si>
  <si>
    <t>https://github.com/vasumv/bonsai-fuzzing</t>
  </si>
  <si>
    <t>We'll Fix It in Post: What Do Bug Fixes in Video Game Update Notes Tell Us?</t>
  </si>
  <si>
    <t>[33]
- I. Introduction
- III. Methodology * (2x)
- VII. CONCLUSIONS AND FUTURE WORK</t>
  </si>
  <si>
    <t>https://github.com/truelova/ICSE_2021_UpdateNotes</t>
  </si>
  <si>
    <t>GUIGAN: Learning to Generate GUI Designs Using Generative Adversarial Networks</t>
  </si>
  <si>
    <t>FN 2 - IV. Implementation *
FN 3 - V. Automated Evaluation *
FN 4 - VIII. Conclusion</t>
  </si>
  <si>
    <t>https://github.com/GUIDesignResearch/GUIGAN
- https://github.com/GUIDesignResearch/GUIGAN#dataset-construction
- https://github.com/GUIDesignResearch/GUIGAN/blob/master/README.md#examples-of-pre-built-components</t>
  </si>
  <si>
    <t>https://github.com/GUIDesignResearch/GUIGAN</t>
  </si>
  <si>
    <t>Don't Do That! Hunting Down Visual Design Smells in Complex UIs Against Design Guidelines</t>
  </si>
  <si>
    <t>&gt;https://uishunter.net.cn/
&gt;https://uishuntergallery.net.cn/
&gt;https://youtu.be/7UZ0jtD_1gM  (real link: https://www.youtube.com/watch?v=7UZ0jtD_1gM )</t>
  </si>
  <si>
    <t>Same File, Different Changes: The Potential of Meta-Maintenance on GitHub</t>
  </si>
  <si>
    <t>IX. Data Availability</t>
  </si>
  <si>
    <t>https://github.com/NAIST-SE/MetaMaintenancePotential</t>
  </si>
  <si>
    <t>Can Program Synthesis be Used to Learn Merge Conflict Resolutions? An Empirical Analysis</t>
  </si>
  <si>
    <t>Abacus: Precise Side-Channel Analysis</t>
  </si>
  <si>
    <t>X. Data Availability</t>
  </si>
  <si>
    <t>https://github.com/s3team/Abacus</t>
  </si>
  <si>
    <t>Data-Driven Synthesis of Provably Sound Side Channel Analyses</t>
  </si>
  <si>
    <t>IMGDroid: Detecting Image Loading Defects in Android Applications</t>
  </si>
  <si>
    <t>FN 3 - . I. Introduction
FN 18 - IV. Empirical Evaluation
FN 19 - IV. Empirical Evaluation</t>
  </si>
  <si>
    <t>https://github.com/wsong-nj/IMGDroid
https://zenodo.org/record/4392284 
https://zenodo.org/record/4392292</t>
  </si>
  <si>
    <r>
      <rPr>
        <rFont val="Arial"/>
        <color theme="1"/>
        <sz val="10.0"/>
      </rPr>
      <t>https://github.com/wsong-nj/IMGDroid</t>
    </r>
    <r>
      <rPr>
        <rFont val="Arial"/>
        <color theme="1"/>
        <sz val="10.0"/>
      </rPr>
      <t xml:space="preserve">
https://zenodo.org/record/4392284
https://zenodo.org/record/4392292</t>
    </r>
  </si>
  <si>
    <t>Fast Parametric Model Checking through Model Fragmentation</t>
  </si>
  <si>
    <t>- V. Implementation *
- VI. Evaluation *</t>
  </si>
  <si>
    <t>https://github.com/xinwei2124/fPMC_ICSE</t>
  </si>
  <si>
    <t>Trace-Checking CPS Properties: Bridging the Cyber-Physical Gap</t>
  </si>
  <si>
    <t>[27] and [28]
- V. Trace Checking HLS formulae
- VIII. Data Availability</t>
  </si>
  <si>
    <t>https://github.com/SNTSVV/ThEodorE
https://doi.org/10.5281/zenodo.4506795</t>
  </si>
  <si>
    <r>
      <rPr>
        <rFont val="Arial"/>
        <color theme="1"/>
        <sz val="10.0"/>
      </rPr>
      <t>https://github.com/SNTSVV/ThEodorE</t>
    </r>
    <r>
      <rPr>
        <rFont val="Arial"/>
        <color theme="1"/>
        <sz val="10.0"/>
      </rPr>
      <t xml:space="preserve">
https://doi.org/10.5281/zenodo.4506795</t>
    </r>
  </si>
  <si>
    <t>The traces and requirements used in the experiments cannot be publicly released because they are subject to a non-disclosure agreement.</t>
  </si>
  <si>
    <t>CENTRIS: A Precise and Scalable Approach for Identifying Modified Open-Source Software Reuse</t>
  </si>
  <si>
    <t>Data Availability</t>
  </si>
  <si>
    <t>https://github.com/wooseunghoon/Centris-public</t>
  </si>
  <si>
    <t>Interpretation-Enabled Software Reuse Detection Based on a Multi-level Birthmark Model</t>
  </si>
  <si>
    <t>[38]
- I. Introduction
- IV. Evaluation *</t>
  </si>
  <si>
    <t>https://github.com/ISRD2020/ISRD</t>
  </si>
  <si>
    <t>Fast Outage Analysis of Large-Scale Production Clouds with Service Correlation Mining</t>
  </si>
  <si>
    <t>Due to the confidential policy of Microsoft Azure, we use variables to represent the sensitive data, instead of disclosing the specific figures.
Limited to the data we can obtain, the effectiveness of our approach has only been confirmed in Microsoft Azure. However, as Microsoft Azure is a leading cloud computing platform with a mature IcM system, our experience should be representative and should be applicable to other largescale cloud computing platforms in the market. Besides, although the data we use cannot be disclosed, the method is reproducible as we have well explained the required details to implement COT in Section III.</t>
  </si>
  <si>
    <t>MuDelta: Delta-Oriented Mutation Testing at Commit Time</t>
  </si>
  <si>
    <t>https://rml464.github.io/mutantlearning/</t>
  </si>
  <si>
    <t>Does Mutation Testing Improve Testing Practices?</t>
  </si>
  <si>
    <t>Identifying Key Features from App User Reviews</t>
  </si>
  <si>
    <t>III. Experiment Design</t>
  </si>
  <si>
    <t>https://github.com/GIST-NJU/KEFE</t>
  </si>
  <si>
    <t>CHAMP: Characterizing Undesired App Behaviors from User Comments Based on Market Policies</t>
  </si>
  <si>
    <t>[26]
- I. Introduction
- III. Automated Classification of UBComments</t>
  </si>
  <si>
    <t>https://github.com/UBCFinder/UBCFinder</t>
  </si>
  <si>
    <t>Prioritize Crowdsourced Test Reports via Deep Screenshot Understanding</t>
  </si>
  <si>
    <t>https://sites.google.com/view/deepprior</t>
  </si>
  <si>
    <t>It Takes Two to Tango: Combining Visual and Textual Information for Detecting Duplicate Video-Based Bug Reports</t>
  </si>
  <si>
    <t>[42]
- I. Introduction
- II. The Tango Approach *
- III. Tango ’s Empirical Evaluation Design *
- IV. Tango's Evaluation Results * (2x)
- VIII. Data Availability</t>
  </si>
  <si>
    <t>https://github.com/ncoop57/tango</t>
  </si>
  <si>
    <t>Automatically Matching Bug Reports With Related App Reviews</t>
  </si>
  <si>
    <t>https://mast.informatik.uni-hamburg.de/replication-packages/</t>
  </si>
  <si>
    <t>What Makes a Great Maintainer of Open Source Projects?</t>
  </si>
  <si>
    <t>FN 1  - IV. HOW THESE ATTRIBUTES RELATE TO EACH OTHER?</t>
  </si>
  <si>
    <t>https://doi.org/10.6084/m9.figshare.13951307.v1</t>
  </si>
  <si>
    <t>Representation of Developer Expertise in Open Source Software</t>
  </si>
  <si>
    <t>- I. Introduction
- VI. Replication Package
[20]
- I. Introduction
- VI. Replication Package</t>
  </si>
  <si>
    <t>https://doi.org/10.5281/zenodo.4457108</t>
  </si>
  <si>
    <t>Although we do not share it as a tool/package, which would be difficult to run without access to the World of Code dataset (we are working on extending the publicly available capability of the World of Code dataset, which would make such a tool practical in near future)</t>
  </si>
  <si>
    <t>Extracting Rationale for Open Source Software Development Decisions — A Study of Python Email Archives</t>
  </si>
  <si>
    <t>- FN 2 and FN 3 - III. METHODOLOGY *
- FN 5 and FN 6 - IV. Results *
- IV. Results --- caption of the Fig. 4</t>
  </si>
  <si>
    <t>https://doi.org/10.6084/m9.figshare.12363014
https://doi.org/10.6084/m9.figshare.12385862 
https://doi.org/10.6084/m9.figshare.12732260 
https://doi.org/10.6084/m9.figshare.12887885 
https://doi.org/10.6084/m9.figshare.12377633 
https://youtu.be/nrB9Jk1OFXo ( real link: https://www.youtube.com/watch?v=nrB9Jk1OFXo )</t>
  </si>
  <si>
    <t>https://doi.org/10.6084/m9.figshare.12363014
https://doi.org/10.6084/m9.figshare.12385862
https://doi.org/10.6084/m9.figshare.12732260
https://doi.org/10.6084/m9.figshare.12887885
https://doi.org/10.6084/m9.figshare.12377633
https://youtu.be/nrB9Jk1OFXo</t>
  </si>
  <si>
    <t>Publicly available (6)</t>
  </si>
  <si>
    <t>Leaving My Fingerprints: Motivations and Challenges of Contributing to OSS for Social Good</t>
  </si>
  <si>
    <t>- II. Methodology
- [23] II. Methodology (4x) *</t>
  </si>
  <si>
    <t>https://doi.org/10.5281/zenodo.4536791</t>
  </si>
  <si>
    <t>Onboarding vs. Diversity, Productivity, and Quality: Empirical Study of the OpenStack Ecosystem</t>
  </si>
  <si>
    <t>[28]
- III. Observational Study of Top-level SECO Onboarding Phase * (3x)
- V. Quantitative Validation of Perceived Benefits
- VII. Threats to validity
- VIII. Conclusion</t>
  </si>
  <si>
    <t>http://doi.org/10.5281/zenodo.4457683</t>
  </si>
  <si>
    <t>Except for confidential participant information, we provide the necessary description and resources (OSS tools and dataset) [28] needed to replicate our research.
Indeed, we measure Diversity2, Productivity, and Quality. 
2To measure Gender diversity at OpenStack, contributors’ identity is not publicly available for confidentiality purposes.</t>
  </si>
  <si>
    <t>The Shifting Sands of Motivation: Revisiting What Drives Contributors in Open Source</t>
  </si>
  <si>
    <t>FN 1 - III. Research Method *
FN 2 - III. Research Method --- G. Replication package</t>
  </si>
  <si>
    <t>https://doi.org/10.5281/zenodo.4453904</t>
  </si>
  <si>
    <t>White-Box Performance-Influence Models: A Profiling and Learning Approach</t>
  </si>
  <si>
    <t>FN 1 - I. Introduction
FN 4 - V. Experiment Setup</t>
  </si>
  <si>
    <t>https://git.io/JtnTa (real link: https://github.com/AI-4-SE/White-Box-Performance-Influence-Models)
https://archive.softwareheritage.org/browse/revision/2e61f8ce57498194c2af0cd76e87498a174f07fa/</t>
  </si>
  <si>
    <t>https://git.io/JtnTa
https://archive.softwareheritage.org/browse/revision/2e61f8ce57498194c2af0cd76e87498a174f07fa/</t>
  </si>
  <si>
    <t>White-Box Analysis over Machine Learning: Modeling Performance of Configurable Systems</t>
  </si>
  <si>
    <t>[74]
- I. Introduction
- IV. Design, Optimizations, and Implementation
- V. Evaluation * (5x)</t>
  </si>
  <si>
    <r>
      <rPr>
        <rFont val="Arial"/>
        <color theme="1"/>
        <sz val="10.0"/>
      </rPr>
      <t>https://bit.ly/3bbbgG8</t>
    </r>
    <r>
      <rPr>
        <rFont val="Arial"/>
        <color theme="1"/>
        <sz val="10.0"/>
      </rPr>
      <t xml:space="preserve"> (real link: https://github.com/miguelvelezmj25/icse21-sm)</t>
    </r>
  </si>
  <si>
    <t>https://bit.ly/3bbbgG8</t>
  </si>
  <si>
    <t>An Empirical Assessment of Global COVID-19 Contact Tracing Applications</t>
  </si>
  <si>
    <t>https://covid-guardian.github.io/</t>
  </si>
  <si>
    <t>Sustainable Solving: Reducing the Memory Footprint of IFDS-Based Data Flow Analyses Using Intelligent Garbage Collection</t>
  </si>
  <si>
    <t>Synthesizing Object State Transformers for Dynamic Software Updates</t>
  </si>
  <si>
    <t>FN 8 - VI. Evaluation</t>
  </si>
  <si>
    <t xml:space="preserve"> https://zelinzhao.github.io/pasta</t>
  </si>
  <si>
    <t>Fast and Precise On-the-Fly Patch Validation for All</t>
  </si>
  <si>
    <t>[47]
- I. Introduction (2x)
- IV. Experimental Setup *</t>
  </si>
  <si>
    <t>https://github.com/UniAPR/UniAPR</t>
  </si>
  <si>
    <t>Bounded Exhaustive Search of Alloy Specification Repairs</t>
  </si>
  <si>
    <t>[35] and [36] VII. Data Availability</t>
  </si>
  <si>
    <t>https://sites.google.com/view/beafixevaluation
https://doi.org/10.6084/m9.figshare.13626776.v1</t>
  </si>
  <si>
    <t>Shipwright: A Human-in-the-Loop System for Dockerfile Repair</t>
  </si>
  <si>
    <t>- I. Introduction --- HL Tool
- I. Introduction --- HL Data
- V. Evaluation *
- VIII. Conclusions</t>
  </si>
  <si>
    <t>https://github.com/STAR-RG/shipwright</t>
  </si>
  <si>
    <t>CURE: Code-Aware Neural Machine Translation for Automatic Program Repair</t>
  </si>
  <si>
    <t>FN 1 - I. INTRODUCTION --- HL Availability</t>
  </si>
  <si>
    <t>https://github.com/lin-tan/CURE</t>
  </si>
  <si>
    <t>A Differential Testing Approach for Evaluating Abstract Syntax Tree Mapping Algorithms</t>
  </si>
  <si>
    <t>[1]
- I. Introduction
- VII. Discussion * (2x)</t>
  </si>
  <si>
    <t>http://doi.org/10.5281/zenodo.4281091</t>
  </si>
  <si>
    <t>InferCode: Self-Supervised Learning of Code Representations by Predicting Subtrees</t>
  </si>
  <si>
    <t>- Abstract</t>
  </si>
  <si>
    <t>https://github.com/bdqnghi/infercode</t>
  </si>
  <si>
    <t>Efficient Compiler Autotuning via Bayesian Optimization</t>
  </si>
  <si>
    <t>VI. Evaluation *</t>
  </si>
  <si>
    <t>https://github.com/BOCA313/BOCA</t>
  </si>
  <si>
    <t>TransRegex: Multi-modal Regular Expression Synthesis by Generate-and-Repair</t>
  </si>
  <si>
    <t>EvoSpex: An Evolutionary Algorithm for Learning Postconditions</t>
  </si>
  <si>
    <t>[1]
- IV. EvoSpex *
- V. Evaluation (2x)</t>
  </si>
  <si>
    <t>https://sites.google.com/view/evospex</t>
  </si>
  <si>
    <t>Interface Compliance of Inline Assembly: Automatically Check, Patch and Refine</t>
  </si>
  <si>
    <t>[7]
- I. Introduction
- V. Check, patch and refine</t>
  </si>
  <si>
    <t>https://binsec.github.io/new/publication/1970/01/01/nutshell-icse-21.html</t>
  </si>
  <si>
    <t>Enabling Software Resilience in GPGPU Applications via Partial Thread Protection</t>
  </si>
  <si>
    <t>Data Availability
This paper is based on already available open-source benchmark data and existing fault injection tools. The proposed technique offers a methodology for re-organizing threads after evaluating thread resilience using the fault site pruning methodology [24]. Any resilience evaluation technique in the literature can be also used to derive thread resilience [18], [33], [36], [38] to guide remapping.</t>
  </si>
  <si>
    <t>No reason (—)</t>
  </si>
  <si>
    <t>Automatic Extraction of Opinion-Based Q&amp;A from Online Developer Chats</t>
  </si>
  <si>
    <t>https://tinyurl.com/y3qth6s3 (real link: https://www.dropbox.com/s/dawesh3zp01ik10/ReplicationPackage-ChatEO.zip?dl=0)</t>
  </si>
  <si>
    <t>https://tinyurl.com/y3qth6s3</t>
  </si>
  <si>
    <t>Automated Query Reformulation for Efficient Search Based on Query Logs From Stack Overflow</t>
  </si>
  <si>
    <t>FN 2 - I. Introduction
FN 6 - IV. Automated Query Reformulation *
FN 9 - V. Quality of Recommended Query Reformulation *</t>
  </si>
  <si>
    <t>https://github.com/kbcao/sequer</t>
  </si>
  <si>
    <t>Automatic Solution Summarization for Crash Bugs</t>
  </si>
  <si>
    <t>VII. Conclusion</t>
  </si>
  <si>
    <t>http://tiny.cc/qzhqsz</t>
  </si>
  <si>
    <t>Supporting Quality Assurance with Automated Process-Centric Quality Constraints Checking</t>
  </si>
  <si>
    <t>- X. Data Availability
- [21] and [22] V. Evaluation</t>
  </si>
  <si>
    <t>https://doi.org/10.6084/m9.figshare.12840053
https://figshare.com/s/1544630863a64d94d994
&gt;"Guiding engineers with the passive process engine environment," in Proc. of the 43rd Int’l Conf. on Software Engineering: Companion (ICSE-Companion). IEEE / ACM, 2021 - real link: https://dl.acm.org/doi/abs/10.1109/ICSE-Companion52605.2021.00033</t>
  </si>
  <si>
    <t>https://doi.org/10.6084/m9.figshare.12840053
https://figshare.com/s/1544630863a64d94d994
"Guiding engineers with the passive process engine environment," in Proc. of the 43rd Int’l Conf. on Software Engineering: Companion (ICSE-Companion). IEEE / ACM, 2021 - real link: https://dl.acm.org/doi/abs/10.1109/ICSE-Companion52605.2021.00033</t>
  </si>
  <si>
    <t>Understanding Bounding Functions in Safety-Critical UAV Software</t>
  </si>
  <si>
    <t>FN 3 - VII. CONCLUDING REMARKS --- HL Artifacts</t>
  </si>
  <si>
    <t>https://github.com/SUNY-BU-Software-Systems-Research-Group/PaparazziBF</t>
  </si>
  <si>
    <t>Enhancing Genetic Improvement of Software with Regression Test Selection</t>
  </si>
  <si>
    <t>- Data Availability
- IV. Experimental Design</t>
  </si>
  <si>
    <t>https://doi.org/10.5522/04/12890792 ( real link: https://rdr.ucl.ac.uk/articles/dataset/Replication_Package_for_Enhancing_Genetic_Improvement_of_Software_with_Regression_Test_Selection_/12890792?file=26606801 )</t>
  </si>
  <si>
    <t>https://doi.org/10.5522/04/12890792</t>
  </si>
  <si>
    <t>Containing Malicious Package Updates in npm with a Lightweight Permission System</t>
  </si>
  <si>
    <t>- I. Introduction</t>
  </si>
  <si>
    <t>https://github.com/gabrielcsf/malicious-updates-icse2021</t>
  </si>
  <si>
    <t>Too Quiet in the Library: An Empirical Study of Security Updates in Android Apps' Native Code</t>
  </si>
  <si>
    <t>[25]
- I. Introduction
- VIII. Data Availability</t>
  </si>
  <si>
    <t>https://github.com/salmanee/Librarian</t>
  </si>
  <si>
    <t>If It's Not Secure, It Should Not Compile: Preventing DOM-Based XSS in Large-Scale Web Development with API Hardening</t>
  </si>
  <si>
    <t>Why Security Defects Go Unnoticed During Code Reviews? A Case-Control Study of the Chromium OS Project</t>
  </si>
  <si>
    <t>- I. Introduction
- [48] VI. Threats to Validity</t>
  </si>
  <si>
    <t>https://zenodo.org/record/4539891</t>
  </si>
  <si>
    <t>Technical Leverage in a Software Ecosystem: Development Opportunities and Security Risks</t>
  </si>
  <si>
    <t>- Abstract
- More Information</t>
  </si>
  <si>
    <t>https://techleverage.eu/</t>
  </si>
  <si>
    <t>RAICC: Revealing Atypical Inter-Component Communication in Android Apps</t>
  </si>
  <si>
    <t>- IX. Data Availability
- FN 1 - V. Evaluation</t>
  </si>
  <si>
    <t>https://github.com/Trustworthy-Software/RAICC</t>
  </si>
  <si>
    <t>Smart Contract Security: A Practitioners' Perspective</t>
  </si>
  <si>
    <t>- FN 2 - I. Introduction
- FN 4 - III. Methodology *
- FN 6 - III. Methodology *</t>
  </si>
  <si>
    <t>http://doi.org/10.5281/zenodo.4005112</t>
  </si>
  <si>
    <t>AID: An Automated Detector for Gender-Inclusivity Bugs in OSS Project Pages</t>
  </si>
  <si>
    <t>[26]
- II. BACKGROUND: THE GENDERMAG METHOD --- caption of the Fig. 1
- III. FORMATIVE STUDY *
- IV. AID *</t>
  </si>
  <si>
    <t>https://doi.org/10.5281/zenodo.4007579</t>
  </si>
  <si>
    <t>"Ignorance and Prejudice" in Software Fairness</t>
  </si>
  <si>
    <t>- Data Availability
[40].
- III. Experimental Setup *
- V. Discussion *</t>
  </si>
  <si>
    <t>10.6084/m9.figshare.12887249 (real link: https://doi.org/10.6084/m9.figshare.12887249.v1 )
- https://doi.org/10.6084/m9.figshare.12887249.v1</t>
  </si>
  <si>
    <t>10.6084/m9.figshare.12887249</t>
  </si>
  <si>
    <t>Semi-Supervised Log-Based Anomaly Detection via Probabilistic Label Estimation</t>
  </si>
  <si>
    <t>https://github.com/YangLin-George/PLELog</t>
  </si>
  <si>
    <t>DeepLV: Suggesting Log Levels Using Ordinal Based Neural Networks</t>
  </si>
  <si>
    <t>https://github.com/SPEAR-SE/ICSE2021_Log_Level_Data</t>
  </si>
  <si>
    <t>How to Identify Boundary Conditions with Contrasty Metric?</t>
  </si>
  <si>
    <t>Using Domain-Specific Corpora for Improved Handling of Ambiguity in Requirements</t>
  </si>
  <si>
    <t xml:space="preserve"> https://github.com/SNTSVV/MAANA</t>
  </si>
  <si>
    <t>On Indirectly Dependent Documentation in the Context of Code Evolution: A Study</t>
  </si>
  <si>
    <t>FN 1 - IV. Findings</t>
  </si>
  <si>
    <t>https://github.com/pag-iiitd/DocDependency</t>
  </si>
  <si>
    <t>CodeShovel: Constructing Method-Level Source Code Histories</t>
  </si>
  <si>
    <t>FN 3 - III. Industrial Survey
FN 4 and FN 5 - IV. CodeShovel: Surfacing Method Histories
FN 7 - V. Empirical Evaluation *</t>
  </si>
  <si>
    <t>https://se.cs.ubc.ca/CodeShovel
https://github.com/ataraxie/codeshovel
- https://github.com/ataraxie/codeshovel/tree/master/misc
- https://github.com/ataraxie/codeshove]/tree/master/doc/oracle</t>
  </si>
  <si>
    <t>https://se.cs.ubc.ca/CodeShovel
https://github.com/ataraxie/codeshovel</t>
  </si>
  <si>
    <t>Evaluating Unit Testing Practices in R Packages</t>
  </si>
  <si>
    <t>FN 7 - III. Results</t>
  </si>
  <si>
    <r>
      <rPr>
        <rFont val="Arial"/>
        <color theme="1"/>
        <sz val="10.0"/>
      </rPr>
      <t xml:space="preserve">https://tinyurl.com/y9ymuv8j (real link: </t>
    </r>
    <r>
      <rPr>
        <rFont val="Arial"/>
        <color theme="1"/>
        <sz val="10.0"/>
      </rPr>
      <t>https://drive.google.com/drive/folders/1Yv0dXDxy1autrCnimhIuh3Ut0DB52XkI)</t>
    </r>
  </si>
  <si>
    <t>https://tinyurl.com/y9ymuv8j</t>
  </si>
  <si>
    <t>It is worth highlighting that this methodology underwent a thorough ethical review and was approved (see Section II). To preserve the identity of those contacted for the survey, as well as avoiding a potential re-identification of the responses, the names of the packages explored in this manuscript (see Section II-B) are not shared. As a result, the datasets used are not made public.</t>
  </si>
  <si>
    <t>Data-Oriented Differential Testing of Object-Relational Mapping Systems</t>
  </si>
  <si>
    <t>I. Introduction --- HL Availability</t>
  </si>
  <si>
    <t>https://github.com/theosotr/cynthia 
https://doi.org/10.5281/zenodo.4455486</t>
  </si>
  <si>
    <t>https://github.com/theosotr/cynthia
https://doi.org/10.5281/zenodo.4455486</t>
  </si>
  <si>
    <t>Automatic Unit Test Generation for Machine Learning Libraries: How Far Are We?</t>
  </si>
  <si>
    <t>Layout and Image Recognition Driving Cross-Platform Automated Mobile Testing</t>
  </si>
  <si>
    <t>https://sites.google.com/view/lit2020</t>
  </si>
  <si>
    <t>FlakeFlagger: Predicting Flakiness Without Rerunning Tests</t>
  </si>
  <si>
    <t>[20]
- I. Introduction
- III. Approach * (2x)
[21]
- I. Introduction
- II. Empirical Study --- caption of the TABLE I
- III. Approach * (2x)
- IV. Evaluation * (2x)
- V. Discussion and Threats to Validity (2x)
- VIII. Data Availability</t>
  </si>
  <si>
    <t xml:space="preserve">https://doi.org/10.5281/zenodo.4450723 
https://github.com/AlshammariA/FlakeFlagger </t>
  </si>
  <si>
    <t xml:space="preserve">https://doi.org/10.5281/zenodo.4450723
https://github.com/AlshammariA/FlakeFlagger </t>
  </si>
  <si>
    <t>An Empirical Analysis of UI-Based Flaky Tests</t>
  </si>
  <si>
    <t>X. Conclusions</t>
  </si>
  <si>
    <t>https://ui-flaky-test.github.io/</t>
  </si>
  <si>
    <t>GenTree: Using Decision Trees to Learn Interactions for Configurable Software</t>
  </si>
  <si>
    <t>[43] IX. DATA AVAILABILITY
[12]
- I. Introduction
- V. SUBJECT PROGRAMS
- IX. DATA AVAILABILITY</t>
  </si>
  <si>
    <t xml:space="preserve">https://github.com/unsat/gentree 
https://doi.org/10.5281/zenodo.4514778 </t>
  </si>
  <si>
    <t xml:space="preserve">https://github.com/unsat/gentree
https://doi.org/10.5281/zenodo.4514778 </t>
  </si>
  <si>
    <t>Semantic Web Accessibility Testing via Hierarchical Visual Analysis</t>
  </si>
  <si>
    <t>[26]
- III. Approach *
- IV. Evaluation *</t>
  </si>
  <si>
    <t>https://github.com/msbajammal/icse2021</t>
  </si>
  <si>
    <t>Restoring Execution Environments of Jupyter Notebooks</t>
  </si>
  <si>
    <t>Link in subsection "VII. Conclusion and Future Work</t>
  </si>
  <si>
    <t>https://github.com/SMAT-Lab/SnifferDog.git</t>
  </si>
  <si>
    <t>PyART: Python API Recommendation in Real-Time</t>
  </si>
  <si>
    <t>FN 5 - I. Introduction</t>
  </si>
  <si>
    <t>https://github.com/PYART0/PyART</t>
  </si>
  <si>
    <t>PyCG: Practical Call Graph Generation in Python</t>
  </si>
  <si>
    <t xml:space="preserve">https://github.com/vitsalis/pycg 
https://doi.org/10.5281/zenodo.4456583 </t>
  </si>
  <si>
    <t>https://github.com/vitsalis/pycg
https://doi.org/10.5281/zenodo.4456583</t>
  </si>
  <si>
    <t>Seamless Variability Management with the Virtual Platform</t>
  </si>
  <si>
    <t>[37] I. Introduction
[38]
- I. Introduction
- III. Methodology
- V. Virtual Platform Operators
- VI. Prototyping and Evaluation
- VI. Prototyping and Evaluation * (2x)
- VII. Related Work</t>
  </si>
  <si>
    <r>
      <rPr>
        <rFont val="Arial"/>
        <color theme="1"/>
        <sz val="10.0"/>
      </rPr>
      <t xml:space="preserve">https://bitbucket.org/easelab/workspace/projects/VP 
</t>
    </r>
    <r>
      <rPr>
        <rFont val="Arial"/>
        <color theme="1"/>
        <sz val="10.0"/>
      </rPr>
      <t>https://bitbucket.org/easelab/2021-icse-vponlineappendix</t>
    </r>
  </si>
  <si>
    <t>https://bitbucket.org/easelab/workspace/projects/VP</t>
  </si>
  <si>
    <t>Fine with "1234"? An Analysis of SMS One-Time Password Randomness in Android Apps</t>
  </si>
  <si>
    <t>App's Auto-Login Function Security Testing via Android OS-Level Virtualization</t>
  </si>
  <si>
    <t>- I. Introduction
- III. Paying-Subscriber Fraud &amp; Device-Consistency Check *</t>
  </si>
  <si>
    <t>https://youtu.be/cs6LxbDGPXU (real link: https://www.youtube.com/watch?v=cs6LxbDGPXU)
https://github.com/VPDroid/Dev</t>
  </si>
  <si>
    <t>https://youtu.be/cs6LxbDGPXU
https://github.com/VPDroid/Dev</t>
  </si>
  <si>
    <t>ATVHunter: Reliable Version Detection of Third-Party Libraries for Vulnerability Identification in Android Applications</t>
  </si>
  <si>
    <t>[26]
- I. Introduction
- V. Large-Scale Analysis *</t>
  </si>
  <si>
    <t>https://sites.google.com/view/atvhunter/</t>
  </si>
  <si>
    <t>JUSTGen: Effective Test Generation for Unspecified JNI Behaviors on JVMs</t>
  </si>
  <si>
    <t>FN 1 - I. Introduction
FN 2 - IV. Evaluation of the JNI Debug Feature on JVMs
[12] III. Methodology *
[13] III. Methodology *
[18] IV. Evaluation of the JNI Debug Feature on JVMs * (2x)</t>
  </si>
  <si>
    <t>https://github.com/sjmini/justgen
- https://github.com/sjmini/justgen/blob/main/README.md
- https://github.com/sjmini/justgen/blob/main/test/rule
- https://github.com/sjmini/justgen/blob/main/test/refine_meaning
- https://github.com/sjmini/justgen/blob/main/supplementary/</t>
  </si>
  <si>
    <t>https://github.com/sjmini/justgen</t>
  </si>
  <si>
    <t>Learning Probabilistic Models for Static Analysis Alarms</t>
  </si>
  <si>
    <t>Static Stack-Preserving Intra-Procedural Slicing of WebAssembly Binaries</t>
  </si>
  <si>
    <t>FN 1 - Introduction</t>
  </si>
  <si>
    <r>
      <rPr>
        <rFont val="Arial"/>
        <color theme="1"/>
        <sz val="10.0"/>
      </rPr>
      <t xml:space="preserve">https://github.com/acieroid/wassail/tree/icse2022
</t>
    </r>
    <r>
      <rPr>
        <rFont val="Arial"/>
        <color theme="1"/>
        <sz val="10.0"/>
      </rPr>
      <t>https://zenodo.org/record/5821007</t>
    </r>
  </si>
  <si>
    <t>https://github.com/acieroid/wassail/tree/icse2022
https://zenodo.org/record/5821007</t>
  </si>
  <si>
    <t>DrAsync: Identifying and Visualizing Anti-Patterns in Asynchronous JavaScript</t>
  </si>
  <si>
    <t>- FN 8 - 5 IMPLEMENTATION
- 11 DATA AVAILABILITY</t>
  </si>
  <si>
    <t>https://doi.org/10.5281/zenodo.5428997
https://doi.org/10.5281/zenodo.5915257</t>
  </si>
  <si>
    <t>Change Is the Only Constant: Dynamic Updates for Workflows</t>
  </si>
  <si>
    <t>References [56]
- 1 INTRODUCTION
- 7 EVALUATION * (2x)
- FN 1 - 7 EVALUATION  *</t>
  </si>
  <si>
    <t>https://doi.org/10.5281/zenodo.5864684</t>
  </si>
  <si>
    <t>Adaptive Performance Anomaly Detection for Online Service Systems via Pattern Sketching</t>
  </si>
  <si>
    <t>https://github.com/OpsPAI/ADSketch</t>
  </si>
  <si>
    <t>Adaptive Test Selection for Deep Neural Networks</t>
  </si>
  <si>
    <t>https://github.com/SATE-Lab/ATS</t>
  </si>
  <si>
    <t>μAFL: Non-intrusive Feedback-driven Fuzzing for Microcontroller Firmware</t>
  </si>
  <si>
    <t>https://github.com/MCUSec/microAFL</t>
  </si>
  <si>
    <t>A Grounded Theory Based Approach to Characterize Software Attack Surfaces</t>
  </si>
  <si>
    <t>[1]
- 2 METHODOLOGY
- Figure 3 (in the section 2).</t>
  </si>
  <si>
    <t>https://github.com/SoftwareDesignLab/attack_surface_analysis</t>
  </si>
  <si>
    <t>A Grounded Theory of Coordination in Remote-First and Hybrid Software Teams</t>
  </si>
  <si>
    <t>DATA AVAILABILITY</t>
  </si>
  <si>
    <t>https://figshare.com/account/home#/projects/132197</t>
  </si>
  <si>
    <t>We cannot release interview transcripts, field notes or other communications due to privacy concerns and the risk of re-identifying the participants and projects involved in the research.</t>
  </si>
  <si>
    <t>Analyzing User Perspectives on Mobile App Privacy at Scale</t>
  </si>
  <si>
    <t>Ethical Considerations: Our institution approved the use of this dataset because Play reviews are already public. In compliance with ethical training guidelines in our institution, we ensured that users’ privacy were respected. We thus carried out the following. First, all researchers have been trained in ethical user research prior to this study. Second, the dataset was preprocessed to remove user identifiers and app names before the researchers were given access. The only accompanying metadata beyond the review text, was the app’s category name and the publish timestamp. Third, access to this version of the dataset is limited to the authors of this paper.</t>
  </si>
  <si>
    <t>An Exploratory Study of Deep Learning Supply Chain</t>
  </si>
  <si>
    <t>https://github.com/SunflowerPKU/ICSE22_SC_Data</t>
  </si>
  <si>
    <t>An Exploratory Study of Productivity Perceptions in Software Teams</t>
  </si>
  <si>
    <t>[50] Study Design (3x)</t>
  </si>
  <si>
    <t>https://osf.io/28gbx/?view_only=b65543a1d53b457aa09e708aa210fe72</t>
  </si>
  <si>
    <t>We have not made public the qualitative data from the daily surveys or interviews due to the risk of deanonymization, but include the corresponding survey and interview material for replication.</t>
  </si>
  <si>
    <t>Aper: Evolution-Aware Runtime Permission Misuse Detection for Android Apps</t>
  </si>
  <si>
    <t>https://aper-project.github.io/</t>
  </si>
  <si>
    <t>ARCLIN: Automated API Mention Resolution for Unformatted Texts</t>
  </si>
  <si>
    <t>https://github.com/YintongHuo/ARCLIN</t>
  </si>
  <si>
    <t>A Scalable t-wise Coverage Estimator</t>
  </si>
  <si>
    <t>https://github.com/meelgroup/approxcov</t>
  </si>
  <si>
    <t>AST-Trans: Code Summarization with Efficient Tree-Structured Attention</t>
  </si>
  <si>
    <t>FN 1 - ABSTRACT</t>
  </si>
  <si>
    <t>https://github.com/zetang94/ICSE2022_AST_Trans.git</t>
  </si>
  <si>
    <t>A Universal Data Augmentation Approach for Fault Localization</t>
  </si>
  <si>
    <t>FN 2 - 4 EXPERIMENT</t>
  </si>
  <si>
    <t>https://github.com/ICSE2022FL/ICSE2022FLCode</t>
  </si>
  <si>
    <t>Automated Assertion Generation via Information Retrieval and Its Integration with Deep Learning</t>
  </si>
  <si>
    <t>[2] 4 EXPERIMENTAL SETUP</t>
  </si>
  <si>
    <t>https://github.com/yh1105/Artifact-of-Assertion-ICSE22</t>
  </si>
  <si>
    <t>Automated Detection of Password Leakage from Public GitHub Repositories</t>
  </si>
  <si>
    <t>[23] 3.4 Modeling the Context Semantics</t>
  </si>
  <si>
    <t>https://github.com/Aoa0/PassFinder</t>
  </si>
  <si>
    <t>Automated Handling of Anaphoric Ambiguity in Requirements: A Multi-solution Study</t>
  </si>
  <si>
    <t>FN 1 - 1 Introduction
[82] 3 SOLUTIONS DESIGN</t>
  </si>
  <si>
    <t>https://tinyurl.com/mww2w46t (real link: https://gitlab.uni.lu/sabualhaija/anaphoric-ambiguity )
https://tinyurl.com/2p9k2zf2 (real link: https://www.dropbox.com/sh/t1y5nghvnfczxr4/AADDatUtWm_lqmUHKliEFElxa?dl=0 )</t>
  </si>
  <si>
    <t>https://tinyurl.com/mww2w46t
https://tinyurl.com/2p9k2zf2</t>
  </si>
  <si>
    <t>Publicly available (1)
Not available (1) - No data access - This item was deleted.</t>
  </si>
  <si>
    <t>Automated Patching for Unreproducible Builds</t>
  </si>
  <si>
    <t>https://rezilla.bitbucket.io/repfix/</t>
  </si>
  <si>
    <t>Automated Testing of Software that Uses Machine Learning APIs</t>
  </si>
  <si>
    <t>[80]
- 5 IMPLEMENTATION
- 10 DATA AVAILABILITY</t>
  </si>
  <si>
    <t>Automatic Detection of Performance Bugs in Database Systems using Equivalent Queries</t>
  </si>
  <si>
    <t>[12]
- 1 Introduction
- 4 The AMOEBA Technique *
- 5 Evaluation * (2x)</t>
  </si>
  <si>
    <r>
      <rPr>
        <rFont val="Arial"/>
        <color theme="1"/>
        <sz val="10.0"/>
      </rPr>
      <t>https://bit.ly/3I995jL</t>
    </r>
    <r>
      <rPr>
        <rFont val="Arial"/>
        <color theme="1"/>
        <sz val="10.0"/>
      </rPr>
      <t xml:space="preserve"> (real link: </t>
    </r>
    <r>
      <rPr>
        <rFont val="Arial"/>
        <color theme="1"/>
        <sz val="10.0"/>
      </rPr>
      <t>https://figshare.com/articles/conference_contribution/Artifact_Automatic_Detection_of_Performance_Bugs_in_Database_Systems_using_Equivalent_Queries/19173068/1)</t>
    </r>
  </si>
  <si>
    <t>https://bit.ly/3I995jL</t>
  </si>
  <si>
    <t>AutoTransform: Automated Code Transformation to Support Modern Code Review Process</t>
  </si>
  <si>
    <t>[4]
- 1 INTRODUCTION --- HL Open Science
- FN 1 - 4 CASE STUDY DESIGN *</t>
  </si>
  <si>
    <t>https://github.com/awsm-research/AutoTransform-Replication</t>
  </si>
  <si>
    <t>BeDivFuzz: Integrating Behavioral Diversity into Generator-based Fuzzing</t>
  </si>
  <si>
    <t>- 1 INTRODUCTION
- [4] 4 EVALUATION *</t>
  </si>
  <si>
    <t>https://github.com/hub-se/BeDivFuzz</t>
  </si>
  <si>
    <t>Big Data = Big Insights? Operationalising Brooks' Law in a Massive GitHub Data Set</t>
  </si>
  <si>
    <t>- FN 3 - 2 SYSTEMATIC CONSTRUCTION OF DATA CORPUS *
- FN 5 - DATA AVAILABILITY AND REPRODUCIBILITY (2 links)</t>
  </si>
  <si>
    <t>https://doi.org/10.5281/zenodo.5294964
https://doi.org/10.5281/zenodo.5294015</t>
  </si>
  <si>
    <t>Bots for Pull Requests: The Good, the Bad, and the Promising</t>
  </si>
  <si>
    <t>FN 3 - 3 RESEARCH DESIGN (in the subsection 3.2)
FN 4 - 3 RESEARCH DESIGN (in the subsection 3.2)</t>
  </si>
  <si>
    <t>https://zenodo.org/record/5428540</t>
  </si>
  <si>
    <t>We do not share the session transcripts due to confidentiality reasons. However, we made our complete code book publicly available within the supplemental material. The code book includes all code names, descriptions, and examples of quotes.</t>
  </si>
  <si>
    <t>Bridging Pre-trained Models and Downstream Tasks for Source Code Understanding</t>
  </si>
  <si>
    <t>https://github.com/wangdeze18/DACL</t>
  </si>
  <si>
    <t>BugListener: Identifying and Synthesizing Bug Reports from Collaborative Live Chats</t>
  </si>
  <si>
    <t>[2]
- 1 INTRODUCTION --- HL Data availability
- FN 1 - 3 APPROACH *
- FN 3 - 6 HUMAN EVALUATION</t>
  </si>
  <si>
    <t>https://github.com/BugListener/BugListener2022/</t>
  </si>
  <si>
    <t>BuildSheriff: Change-Aware Test Failure Triage for Continuous Integration Builds</t>
  </si>
  <si>
    <t>[1] 4 EVALUATION</t>
  </si>
  <si>
    <t>https://buildsheriff.github.io/</t>
  </si>
  <si>
    <t>Causality-Based Neural Network Repair</t>
  </si>
  <si>
    <t>[50] 7 DATA AVAILABILITY</t>
  </si>
  <si>
    <t>&gt;https://github.com/sunbingsmu/care</t>
  </si>
  <si>
    <t>https://github.com/sunbingsmu/care</t>
  </si>
  <si>
    <t>Causality in Configurable Software Systems</t>
  </si>
  <si>
    <t>[36] 1 Introduction --- HL Supplement</t>
  </si>
  <si>
    <t>https://github.com/dubslaff/FeatCause</t>
  </si>
  <si>
    <t>Characterizing and Detecting Bugs in WeChat Mini-Programs</t>
  </si>
  <si>
    <t>https://github.com/tao2years/WeBug</t>
  </si>
  <si>
    <t>CLEAR: Contrastive Learning for API Recommendation</t>
  </si>
  <si>
    <t>https://github.com/Moshiii/CLEAR-replication</t>
  </si>
  <si>
    <t>CodeFill: Multi-token Code Completion by Jointly Learning from Structure and Naming Sequences</t>
  </si>
  <si>
    <t>https://github.com/saltudelft/codefill</t>
  </si>
  <si>
    <t>Code Search based on Context-aware Code Translation</t>
  </si>
  <si>
    <t>[58] 1 INTRODUCTION</t>
  </si>
  <si>
    <t>https://github.com/wssun/TranCS</t>
  </si>
  <si>
    <t>Collaboration Challenges in Building ML-Enabled Systems: Communication, Documentation, Engineering, and Process</t>
  </si>
  <si>
    <t>[66] 3 RESEARCH DESIGN (3x)</t>
  </si>
  <si>
    <r>
      <rPr>
        <rFont val="Arial"/>
        <color theme="1"/>
        <sz val="10.0"/>
      </rPr>
      <t xml:space="preserve">arXiv 2110.10234 (real link: </t>
    </r>
    <r>
      <rPr>
        <rFont val="Arial"/>
        <color theme="1"/>
        <sz val="10.0"/>
      </rPr>
      <t>https://arxiv.org/abs/2110.10234)</t>
    </r>
  </si>
  <si>
    <t>arXiv 2110.10234</t>
  </si>
  <si>
    <t>Combinatorial Testing of RESTful APIs</t>
  </si>
  <si>
    <t>FN 1 - 1 INTRODUCTION
7 CONCLUSION</t>
  </si>
  <si>
    <r>
      <rPr>
        <rFont val="Arial"/>
        <color theme="1"/>
        <sz val="10.0"/>
      </rPr>
      <t>https://github.com/GIST-NJU/RestCT</t>
    </r>
    <r>
      <rPr>
        <rFont val="Arial"/>
        <color theme="1"/>
        <sz val="10.0"/>
        <u/>
      </rPr>
      <t xml:space="preserve">
</t>
    </r>
    <r>
      <rPr>
        <rFont val="Arial"/>
        <color theme="1"/>
        <sz val="10.0"/>
      </rPr>
      <t>https://doi.org/10.5281/zenodo.5909761</t>
    </r>
  </si>
  <si>
    <t>https://github.com/GIST-NJU/RestCT
https://doi.org/10.5281/zenodo.5909761</t>
  </si>
  <si>
    <t>CONFETTI: Amplifying Concolic Guidance for Fuzzers</t>
  </si>
  <si>
    <t xml:space="preserve">[51]
- 1 Introduction
- 4 Evaluation --- 4.5 Data Availability
- 7 Conclusion
[52]
- 1 Introduction
- 5 Discussion and Threats to Validity
- 4.5 Data Availability
- 7 Conclusion
</t>
  </si>
  <si>
    <r>
      <rPr>
        <rFont val="Arial"/>
        <color theme="1"/>
        <sz val="10.0"/>
      </rPr>
      <t xml:space="preserve">https://github.com/neu-se/CONFETTI
</t>
    </r>
    <r>
      <rPr>
        <rFont val="Arial"/>
        <color theme="1"/>
        <sz val="10.0"/>
      </rPr>
      <t>https://doi.org/10.6084/m9.figshare.16563776</t>
    </r>
  </si>
  <si>
    <t>https://github.com/neu-se/CONFETTI
https://doi.org/10.6084/m9.figshare.16563776</t>
  </si>
  <si>
    <t>Conflict-aware Inference of Python Compatible Runtime Environments with Domain Knowledge Graph</t>
  </si>
  <si>
    <t>https://github.com/nju-websoft/PyCRE</t>
  </si>
  <si>
    <t>Controlled Concurrency Testing via Periodical Scheduling</t>
  </si>
  <si>
    <t>FN 4 - 4 EVALUATION</t>
  </si>
  <si>
    <t>https://sites.google.com/view/period-cct/</t>
  </si>
  <si>
    <t>Control Parameters Considered Harmful: Detecting Range Specification Bugs in Drone Configuration Modules via Learning-Guided Search</t>
  </si>
  <si>
    <t>https://github.com/BlackJocker1995/uavga/tree/main</t>
  </si>
  <si>
    <t>Cross-Domain Deep Code Search with Meta Learning</t>
  </si>
  <si>
    <t>8 CONCLUSION</t>
  </si>
  <si>
    <t>https://github.com/fewshotcdcs/CDCS</t>
  </si>
  <si>
    <t>Data-Driven Loop Bound Learning for Termination Analysis</t>
  </si>
  <si>
    <t>FN 2 - 6 EVALUATION</t>
  </si>
  <si>
    <r>
      <rPr>
        <rFont val="Arial"/>
        <color theme="1"/>
        <sz val="10.0"/>
      </rPr>
      <t>https://doi.org/10.5281/zenodo.5442280</t>
    </r>
    <r>
      <rPr>
        <rFont val="Arial"/>
        <color theme="1"/>
        <sz val="10.0"/>
      </rPr>
      <t xml:space="preserve"> (real link: </t>
    </r>
    <r>
      <rPr>
        <rFont val="Arial"/>
        <color theme="1"/>
        <sz val="10.0"/>
      </rPr>
      <t>https://zenodo.org/record/5442281</t>
    </r>
    <r>
      <rPr>
        <rFont val="Arial"/>
        <color theme="1"/>
        <sz val="10.0"/>
      </rPr>
      <t xml:space="preserve"> )</t>
    </r>
  </si>
  <si>
    <t>https://doi.org/10.5281/zenodo.5442280</t>
  </si>
  <si>
    <t>DEAR: A Novel Deep Learning-based Approach for Automated Program Repair</t>
  </si>
  <si>
    <t>References [2] 1 INTRODUCTION</t>
  </si>
  <si>
    <t>https://github.com/AutomatedProgramRepair-2021/dear-auto-fix</t>
  </si>
  <si>
    <t>Decomposing Software Verification into Off-the-Shelf Components: An Application to CEGAR</t>
  </si>
  <si>
    <t>- FN 4 - 2 BACKGROUND
- FN 10 - 5 EVALUATION *
- FN 11 - 5 EVALUATION *
[24]
- 5 EVALUATION *
- DECLARATIONS --- HL Data Availability Statement</t>
  </si>
  <si>
    <t>https://www.sosy-lab.org/research/component-based-cegar/
https://doi.org/10.5281/zenodo.5301636</t>
  </si>
  <si>
    <t>Decomposing Convolutional Neural Networks into Reusable and Replaceable Modules</t>
  </si>
  <si>
    <t>DeepAnalyze: Learning to Localize Crashes at Scale</t>
  </si>
  <si>
    <t>DeepDiagnosis: Automatically Diagnosing Faults and Recommending Actionable Fixes in Deep Learning Programs</t>
  </si>
  <si>
    <t>[6]
- 1 INTRODUCTION
- 2 A MOTIVATING EXAMPLE --- Table 1 (inside)
- 3 APPROACH *
- 4 EVALUATION * (3x)</t>
  </si>
  <si>
    <t>https://github.com/DeepDiagnosis/ICSE2022</t>
  </si>
  <si>
    <t>DeepFD: Automated Fault Diagnosis and Localization for Deep Learning Programs</t>
  </si>
  <si>
    <t>[6]
- 1 INTRODUCTION
- 4 BENCHMARK CONSTRUCTION
- 5 EVALUATION *
- FN 6 - 5 EVALUATION *</t>
  </si>
  <si>
    <t>https://github.com/ArabelaTso/DeepFD</t>
  </si>
  <si>
    <t>DeepStability: A Study of Unstable Numerical Methods and Their Solutions in Deep Learning</t>
  </si>
  <si>
    <t>- FN 1 - 1 INTRODUCTION
- 1 INTRODUCTION
- 3 STUDY METHODS *
- 5 NEWLY DISCOVERED UNSTABLE METHODS AND THEIR SOLUTIONS IN DL</t>
  </si>
  <si>
    <t>https://deepstability.github.io/</t>
  </si>
  <si>
    <t>DeepState: Selecting Test Suites to Enhance the Robustness of Recurrent Neural Networks</t>
  </si>
  <si>
    <t>https://github.com/SATE-Lab/DeepState</t>
  </si>
  <si>
    <t>DeepSTL: From English Requirements to Signal Temporal Logic</t>
  </si>
  <si>
    <t xml:space="preserve">FN 1 - 1 INTRODUCTION
</t>
  </si>
  <si>
    <t>DOI: 10.6084/m9.figshare.19091282 (link: https://doi.org/10.6084/m9.figshare.19091282 -real link https://figshare.com/articles/software/Artifact_of_Paper_DeepSTL_-_From_English_Requirements_to_Signal_Temporal_Logic_/19091282)
https://github.com/JieHE-2020/DeepSTL</t>
  </si>
  <si>
    <t>DOI: 10.6084/m9.figshare.19091282
https://github.com/JieHE-2020/DeepSTL</t>
  </si>
  <si>
    <t>DeepTraLog: Trace-Log Combined Microservice Anomaly Detection through Graph-based Deep Learning</t>
  </si>
  <si>
    <t>References [5]
- 4 EVALUATION *
- 7 DATA AVAILABILITY</t>
  </si>
  <si>
    <t>https://fudanselab.github.io/DeepTraLog/</t>
  </si>
  <si>
    <t>DeFault: Mutual Information-based Crash Triage for Massive Crashes</t>
  </si>
  <si>
    <t>https://github.com/zxhree/default</t>
  </si>
  <si>
    <t>Not available (1) - No data access - Empty repository.</t>
  </si>
  <si>
    <t>Demystifying Android Non-SDK APIs: Measurement and Understanding</t>
  </si>
  <si>
    <t>Demystifying the Dependency Challenge in Kernel Fuzzing</t>
  </si>
  <si>
    <t>https://www.doi.org/10.5281/zenodo.5348989
https://www.doi.org/10.5281/zenodo.5441138</t>
  </si>
  <si>
    <t>This means that we cannot either construct a test case that can resolve the dependency or prove that it is impossible. Given the level of difficulty in conducting such an analysis, we will publicly share the datasets, which we believe is valuable to researchers who aim to improve kernel fuzzing.
Below we describe in more detail about the two main components in the measurement pipeline, Mapping (§5.1) and Static Analysis (§5.2). We will open source all of the components and data to facilitate the reproduction of results and future research.
This allows us to obtain an accurate mapping between the binary and IR instructions. Due to the space limit, we do not go into details here. We will however include the solution in the open sourced version of our measurement infrastructure, which may help other projects that need such mappings.</t>
  </si>
  <si>
    <t>Demystifying the Vulnerability Propagation and Its Evolution via Dependency Trees in the NPM Ecosystem</t>
  </si>
  <si>
    <t>- FN 2 - 1 INTRODUCTION
- 4 DEPENDENCY TREE RESOLUTION AND VULNERABLE PATH IDENTIFICATION *</t>
  </si>
  <si>
    <t>https://sites.google.com/view/npm-vulnerability-study/</t>
  </si>
  <si>
    <t>DescribeCtx: Context-Aware Description Synthesis for Sensitive Behaviors in Mobile Apps</t>
  </si>
  <si>
    <t>References [2], cited in:
- 1 INTRODUCTION
- 5 EVALUATION *</t>
  </si>
  <si>
    <t>https://github.com/DescribeCTX/DescribeCTX</t>
  </si>
  <si>
    <t>Detecting False Alarms from Automatic Static Analysis Tools: How Far are We?</t>
  </si>
  <si>
    <t>- 8 CONCLUSION AND FUTURE WORK
[1]
- 2 BACKGROUND * --- caption of Table 1
- 6 DISCUSSION *</t>
  </si>
  <si>
    <t>https://github.com/soarsmu/SA_retrospective</t>
  </si>
  <si>
    <t>"Did You Miss My Comment or What?": Understanding Toxicity in Open Source Discussions</t>
  </si>
  <si>
    <t>Reporting and Data Sharing. Throughout the following result sections, we refer to the issues using the identifiers I1–I100 and illustrate our findings with slightly sanitized quotes. Note that while we did not observe any examples of overt hate speech, examples contain insults, entitlement, and personal criticisms, sometimes with explicit wording. Even though all issue discussions were public, we intentionally do not include direct links to them (1) to protect the parties involved and (2) because some of them have since been deleted. We will share our replication package with links only upon request for research purposes.</t>
  </si>
  <si>
    <t>Difuzer: Uncovering Suspicious Hidden Sensitive Operations in Android Apps</t>
  </si>
  <si>
    <t>- DATA AVAILABILITY
- 1 INTRODUCTION</t>
  </si>
  <si>
    <t>https://github.com/Trustworthy-Software/Difuzer</t>
  </si>
  <si>
    <t>Discovering Repetitive Code Changes in Python ML Systems</t>
  </si>
  <si>
    <t>[69] 5 RESULTS *
[21]
- 1 INTRODUCTION
- 4 RESEARCH METHODOLOGY *
- 5 RESULTS * (2 times)
- 6 IMPLICATIONS * (2 times)
- 7 THREATS TO VALIDITY --- HL Verifiability
- 9 CONCLUSIONS</t>
  </si>
  <si>
    <t>https://mlcodepatterns.github.io/
https://github.com/mlcodepatterns/PythonTypeInformation</t>
  </si>
  <si>
    <t>Diversity-Driven Automated Formal Verification</t>
  </si>
  <si>
    <t>- 1 INTRODUCTION
- 3 DIVA: DIVERSITY-DRIVEN SYNTHESIS
- DATA AVAILABILITY
[27] 
- 1 INTRODUCTION
- 4 EVALUATION
- DATA AVAILABILITY</t>
  </si>
  <si>
    <t>https://github.com/LASER-UMASS/Diva/
https://doi.org/10.5281/zenodo.5903318</t>
  </si>
  <si>
    <t>Domain-Specific Analysis of Mobile App Reviews Using Keyword-Assisted Topic Models</t>
  </si>
  <si>
    <t>Tool support: a working prototype which will implement our findings in this paper will be implemented and made publicly available. Such a prototype will enable us to examine the applicability and usability of our approach as well as its overall effectiveness in practical settings.</t>
  </si>
  <si>
    <t>Dynamic Update for Synthesized GR(1) Controllers</t>
  </si>
  <si>
    <t>[2]
- 1 INTRODUCTION (2x) *
- 4 SOLVING DYNAMIC UPDATE *
- 7 PRELIMINARY EVALUATION</t>
  </si>
  <si>
    <t>http://smlab.cs.tau.ac.il/syntech/dupdate/</t>
  </si>
  <si>
    <t>EAGLE: Creating Equivalent Graphs to Test Deep Learning Libraries</t>
  </si>
  <si>
    <t>FN 1 - 1 INTRODUCTION --- HL Availability</t>
  </si>
  <si>
    <t>https://github.com/lin-tan/eagle</t>
  </si>
  <si>
    <t>Efficient Online Testing for DNN-Enabled Systems using Surrogate-Assisted and Many-Objective Optimization</t>
  </si>
  <si>
    <t>[37]
- 6 EMPIRICAL EVALUATION --- 6.6 Data Availability
- 6 EMPIRICAL EVALUATION *</t>
  </si>
  <si>
    <t>https://doi.org/10.6084/m9.figshare.16468530</t>
  </si>
  <si>
    <t>Eflect: Porting Energy-Aware Applications to Shared Environments</t>
  </si>
  <si>
    <t>https://github.com/pl-eflect</t>
  </si>
  <si>
    <t>EREBA: Black-box Energy Testing of Adaptive Neural Networks</t>
  </si>
  <si>
    <t>- FN 3 - 5 EVALUATION
- FN 4 - 7 DISCUSSION
- FN 5 - 9 CONCLUSION</t>
  </si>
  <si>
    <t>https://sites.google.com/view/ereba/home</t>
  </si>
  <si>
    <t>Evaluating and Improving Neural Program-Smoothing-based Fuzzing</t>
  </si>
  <si>
    <t>[38]
- 1 INTRODUCTION
- 3 EXTENSIVE STUDY * (2x)
- FN 1 - 4 PREFUZZ *</t>
  </si>
  <si>
    <t>https://github.com/PoShaung/program-smoothing-fuzzing</t>
  </si>
  <si>
    <t>ExAIS: Executable AI Semantics</t>
  </si>
  <si>
    <t>[10]
- 2 AI FRAMEWORK SEMANTICS *
- 3 APPLICATIONS OF THE SEMANTICS *
- 4 EVALUATION</t>
  </si>
  <si>
    <t>https://github.com/rschumi0/ExAIS</t>
  </si>
  <si>
    <t>Explanation-Guided Fairness Testing through Genetic Algorithm</t>
  </si>
  <si>
    <t>https://github.com/waving7799/ExpGA</t>
  </si>
  <si>
    <t>Exploiting Input Sanitization for Regex Denial of Service</t>
  </si>
  <si>
    <t>- DATA AVAILABILITY --- HL Data</t>
  </si>
  <si>
    <t>https://doi.org/10.5281/zenodo.5916441
https://github.com/ajv-validator/ajv/pull/1684
https://github.com/ajv-validator/ajv/pull/1828</t>
  </si>
  <si>
    <t>FADATest: Fast and Adaptive Performance Regression Testing of Dynamic Binary Translation Systems</t>
  </si>
  <si>
    <t>5 EXPERIMENTAL RESULTS</t>
  </si>
  <si>
    <t>https://github.com/fadatestdbt/fadatest.git</t>
  </si>
  <si>
    <t>Fairness-aware Configuration of Machine Learning Libraries</t>
  </si>
  <si>
    <t>- 1 INTRODUCTION
- 6 EXPERIMENT</t>
  </si>
  <si>
    <t>https://github.com/Tizpaz/Parfait-ML</t>
  </si>
  <si>
    <t>FairNeuron: Improving Deep Neural Network Fairness with Adversary Games on Selective Neurons</t>
  </si>
  <si>
    <t>[32]
- 1 INTRODUCTION (2x)</t>
  </si>
  <si>
    <t>https://github.com/Antimony5292/FairNeuron</t>
  </si>
  <si>
    <t>Fast and Precise Application Code Analysis using a Partial Library</t>
  </si>
  <si>
    <t>[32] 6 EXPERIMENTAL RESULTS</t>
  </si>
  <si>
    <t>https://doi.org/10.5281/zenodo.5551128</t>
  </si>
  <si>
    <t>Fast Changeset-based Bug Localization with BERT</t>
  </si>
  <si>
    <t xml:space="preserve">[1] 3 APPROACH
</t>
  </si>
  <si>
    <t>https://anonymous.4open.science/r/fbl-bert-D567/README.md</t>
  </si>
  <si>
    <t>Not available (1) - No data access - Expired repository.</t>
  </si>
  <si>
    <t>Fault Localization via Efficient Probabilistic Modeling of Program Semantics</t>
  </si>
  <si>
    <t>7 CONCLUSION</t>
  </si>
  <si>
    <t>https://github.com/toledosakasa/SMARTFL</t>
  </si>
  <si>
    <t>FIRA: Fine-Grained Graph-Based Code Change Representation for Automated Commit Message Generation</t>
  </si>
  <si>
    <t>1 INTRODUCTION ---  HL A replication package</t>
  </si>
  <si>
    <t>https://github.com/DJjjjhao/FIRA-ICSE</t>
  </si>
  <si>
    <t>FlakiMe: Laboratory-Controlled Test Flakiness Impact Assessment</t>
  </si>
  <si>
    <t>FN 2 - 3 FLAKIME
FN 7 - 7 THREATS TO VALIDITY</t>
  </si>
  <si>
    <t>https://github.com/serval-uni-lu/flakime
https://github.com/serval-uni-lu/flakime-replication-package</t>
  </si>
  <si>
    <t>Free Lunch for Testing: Fuzzing Deep-Learning Libraries from Open Source</t>
  </si>
  <si>
    <t>[8]
- 3 APPROACH *
- 4 EXPERIMENTAL SETUP * (2x)
- 5 RESULT ANALYSIS *</t>
  </si>
  <si>
    <t>https://github.com/ise-uiuc/FreeFuzz</t>
  </si>
  <si>
    <t>Fuzzing Class Specifications</t>
  </si>
  <si>
    <t>[5]
- 1 INTRODUCTION
- 4 APPROACH * --- HL Artifact</t>
  </si>
  <si>
    <t>https://sites.google.com/view/specfuzzer</t>
  </si>
  <si>
    <t>Garbage Collection Makes Rust Easier to Use: A Randomized Controlled Trial of the Bronze Garbage Collector</t>
  </si>
  <si>
    <t>- FN 2 - 2 BRONZE: DESIGN AND IMPLEMENTATION
- FN 3 - 3 METHOD
- FN 7 - 5 RESULTS</t>
  </si>
  <si>
    <t>https://crates.io/crates/bronze_gc
https://doi.org/10.5281/zenodo.6045904</t>
  </si>
  <si>
    <t>Generating and Visualizing Trace Link Explanations</t>
  </si>
  <si>
    <t>- 6 TRACE LINK EXPLANATION INTERFACE *
- FN 1 - 9 CONCLUSION
- FN 2 - 9 CONCLUSION</t>
  </si>
  <si>
    <t>https://trace-exp-study.github.io/pages
https://zenodo.org/record/6040328
https://github.com/yliu26/TraceLinkExplanation</t>
  </si>
  <si>
    <t>GIFdroid: Automated Replay of Visual Bug Reports for Android Apps</t>
  </si>
  <si>
    <t>- FN 1 - 1 INTRODUCTION
- FN 5 - 5 USEFULNESS EVALUATION</t>
  </si>
  <si>
    <t>https://github.com/sidongfeng/gifdroid
https://sites.google.com/view/gifdroid</t>
  </si>
  <si>
    <t>GitHub Sponsors: Exploring a New Way to Contribute to Open Source</t>
  </si>
  <si>
    <t>8 DATA AVAILABILITY</t>
  </si>
  <si>
    <t>https://github.com/NAIST-SE/GHSponsors
https://doi.org/10.5281/zenodo.6017901</t>
  </si>
  <si>
    <t>GraphFuzz: Library API Fuzzing with Lifetime-aware Dataflow Graphs</t>
  </si>
  <si>
    <t>4 GRAPHFUZZ FOR C/C++</t>
  </si>
  <si>
    <t>https://github.com/ForAllSecure/GraphFuzz</t>
  </si>
  <si>
    <t>Green AI: Do Deep Learning Frameworks Have Different Costs?</t>
  </si>
  <si>
    <t>[6]
- 1 INTRODUCTION
- 3 EXPERIMENTAL SETUP * (2x)
- 4 RESULTS * (5x)
- 5 THREATS TO VALIDITY
- 5 THREATS TO VALIDITY --- HL Reliability
[8]
- 1 INTRODUCTION
- 3 EXPERIMENTAL SETUP * (2x)
- 4 RESULTS * (5x)
- 5 THREATS TO VALIDITY
- 5 THREATS TO VALIDITY --- HL Reliability</t>
  </si>
  <si>
    <r>
      <rPr>
        <rFont val="Arial"/>
        <color theme="1"/>
        <sz val="10.0"/>
      </rPr>
      <t xml:space="preserve">https://github.com/stefanos1316/ICSE_2022_artifact
</t>
    </r>
    <r>
      <rPr>
        <rFont val="Arial"/>
        <color theme="1"/>
        <sz val="10.0"/>
      </rPr>
      <t>https://doi.org/10.5281/zenodo.6029576</t>
    </r>
  </si>
  <si>
    <t>https://github.com/stefanos1316/ICSE_2022_artifact
https://doi.org/10.5281/zenodo.6029576</t>
  </si>
  <si>
    <t>Guidelines for Assessing the Accuracy of Log Message Template Identification Techniques</t>
  </si>
  <si>
    <t>[10] 4 EVALUATION --- 4.7 Data Availability</t>
  </si>
  <si>
    <t>https://doi.org/10.6084/m9.figshare.18858332</t>
  </si>
  <si>
    <t>Hashing It Out: A Survey of Programmers' Cannabis Usage, Perception, and Motivation</t>
  </si>
  <si>
    <t>FN 7 - 3 SURVEY DESIGN AND METHODOLOGY</t>
  </si>
  <si>
    <t>https://github.com/CelloCorgi/HashingItOut_ICSE2022</t>
  </si>
  <si>
    <t>Finally, we are unable to publish our full data set: although anonymous, it contains demographic data which may inadvertently identify participants.</t>
  </si>
  <si>
    <t>Hiding Critical Program Components via Ambiguous Translation</t>
  </si>
  <si>
    <t>History-Driven Test Program Synthesis for JVM Testing</t>
  </si>
  <si>
    <t>https://github.com/JavaTailor/CFSynthesis</t>
  </si>
  <si>
    <t>If a Human Can See It, So Should Your System: Reliability Requirements for Machine Vision Components</t>
  </si>
  <si>
    <t>FN 1 - 2 APPROACH OVERVIEW
FN 1 - 3 VISUAL CHANGES IN IMAGES (2x)
FN 1 - 5 INSTANTIATING RELIABILITY
FN 1 - 7 EVALUATION</t>
  </si>
  <si>
    <t>https://carolineeeeeee.github.io/automating_requirements</t>
  </si>
  <si>
    <t>Imperative versus Declarative Collection Processing: An RCT on the Understandability of Traditional Loops versus the Stream API in Java</t>
  </si>
  <si>
    <t>FN 11 - 3 EXPERIMENT *</t>
  </si>
  <si>
    <t>https://github.com/nilsmehlhorn/loop-stream-rct/releases</t>
  </si>
  <si>
    <t>Improving Fault Localization and Program Repair with Deep Semantic Features and Transferred Knowledge</t>
  </si>
  <si>
    <t>https://github.com/mxx1219/TRANSFER</t>
  </si>
  <si>
    <t>Improving Machine Translation Systems via Isotopic Replacement</t>
  </si>
  <si>
    <t>- 1 INTRODUCTION
- 7 THREATS TO VALIDITY</t>
  </si>
  <si>
    <t>https://github.com/zysszy/CAT</t>
  </si>
  <si>
    <t>Inference and Test Generation Using Program Invariants in Chemical Reaction Networks</t>
  </si>
  <si>
    <t>FN 1 - 4 EVALUATION *</t>
  </si>
  <si>
    <t>https://doi.org/10.5281/zenodo.5915597</t>
  </si>
  <si>
    <t>Inferring And Applying Type Changes</t>
  </si>
  <si>
    <t>- FN 1 - 4 EVALUATION *
[52]
- 1 INTRODUCTION
- 4 EVALUATION *
- 5 LIMITATIONS AND THREATS TO VALIDITY --- HL Verifiability</t>
  </si>
  <si>
    <t>https://zenodo.org/record/3906503#.Yfbnyy-B3T8
https://type-change.github.io/index.html</t>
  </si>
  <si>
    <t>Jigsaw: Large Language Models meet Program Synthesis</t>
  </si>
  <si>
    <t>FN 2 - 4 DATASETS</t>
  </si>
  <si>
    <t>https://github.com/microsoft/JigsawDataset</t>
  </si>
  <si>
    <t>JuCify: A Step Towards Android Code Unification for Enhanced Static Analysis</t>
  </si>
  <si>
    <t>- 1 INTRODUCTION
- FN 1 - 3 APPROACH
- 9 DATA AVAILABILITY</t>
  </si>
  <si>
    <t>https://github.com/JordanSamhi/JuCify</t>
  </si>
  <si>
    <t>Knowledge-Based Environment Dependency Inference for Python Programs</t>
  </si>
  <si>
    <t>10 DATA AVAILABILITY</t>
  </si>
  <si>
    <t>https://github.com/PyEGo/PyEGo</t>
  </si>
  <si>
    <t>Large-scale Security Measurements on the Android Firmware Ecosystem</t>
  </si>
  <si>
    <t>https://github.com/chicharitomu14/AndScanner</t>
  </si>
  <si>
    <t>Learning and Programming Challenges of Rust: A Mixed-Methods Study</t>
  </si>
  <si>
    <t>bit.ly/3uNAe88 (real link: https://github.com/system-pclub/rust-programming-challenges)</t>
  </si>
  <si>
    <t>bit.ly/3uNAe88</t>
  </si>
  <si>
    <t>Learning to Recommend Method Names with Global Context</t>
  </si>
  <si>
    <t>Learning to Reduce False Positives in Analytic Bug Detectors</t>
  </si>
  <si>
    <t>Our dataset consists of warnings from Infer for various open source and proprietary software projects. Source code from proprietary projects was made available to us solely for research purposes. Since we do not own this data, we cannot release it publicly. We intend to release data from open source projects after we have worked with each project owner to resolve the issues, or otherwise verify with the owners the safety of releasing bug or vulnerability data.</t>
  </si>
  <si>
    <t>Less is More: Supporting Developers in Vulnerability Detection during Code Review</t>
  </si>
  <si>
    <t>- ABSTRACT
- [16] 3 RESEARCH METHODOLOGY * (2x)</t>
  </si>
  <si>
    <t>https://doi.org/10.5281/zenodo.6026291</t>
  </si>
  <si>
    <t>Lessons from Eight Years of Operational Data from a Continuous Integration Service: An Exploratory Case Study of CircleCI</t>
  </si>
  <si>
    <t>FN 10 - 7 CONCLUSIONS &amp; LESSONS LEARNED</t>
  </si>
  <si>
    <t>https://doi.org/10.6084/m9.figshare.16569630</t>
  </si>
  <si>
    <t>Linear-time Temporal Logic guided Greybox Fuzzing</t>
  </si>
  <si>
    <t>- 1 INTRODUCTION
- FN 4 - 7 EVALUATION
- FN 5 - of 7 EVALUATION</t>
  </si>
  <si>
    <t>https://github.com/ltlfuzzer/LTL-Fuzzer
- https://github.com/ltlfuzzer/LTL-Fuzzer/tree/main/ltl-property
https://arxiv.org/abs/2109.02312</t>
  </si>
  <si>
    <t>https://github.com/ltlfuzzer/LTL-Fuzzer
https://arxiv.org/abs/2109.02312</t>
  </si>
  <si>
    <t>Log-based Anomaly Detection with Deep Learning: How Far Are We?</t>
  </si>
  <si>
    <t>https://github.com/LogIntelligence/LogADEmpirical</t>
  </si>
  <si>
    <t>Manas: Mining Software Repositories to Assist AutoML</t>
  </si>
  <si>
    <t>[21] 1 Introduction</t>
  </si>
  <si>
    <t>https://github.com/giangnm58/Manas</t>
  </si>
  <si>
    <t>Modeling Review History for Reviewer Recommendation: A Hypergraph Approach</t>
  </si>
  <si>
    <t>FN 3 - Results and Analysis *</t>
  </si>
  <si>
    <t>https://doi.org/10.6084/m9.figshare.19199981.v1</t>
  </si>
  <si>
    <t>ModX: Binary Level Partially Imported Third-Party Library Detection via Program Modularization and Semantic Matching</t>
  </si>
  <si>
    <t>MOREST: Model-based RESTful API Testing with Execution Feedback</t>
  </si>
  <si>
    <t>- 1 INTRODUCTION
[4]
- FN 4 - 4 IMPLEMENTATION &amp; EVALUATION *
- 4 IMPLEMENTATION &amp; EVALUATION *</t>
  </si>
  <si>
    <t>https://sites.google.com/view/restful-morest/home</t>
  </si>
  <si>
    <t>Muffin: Testing Deep Learning Libraries via Neural Architecture Fuzzing</t>
  </si>
  <si>
    <t>- FN 1 - 4 EVALUATION SETUP *
- FN 2 - 5 RESULTS AND ANALYSIS *</t>
  </si>
  <si>
    <t>https://github.com/library-testing/Muffin</t>
  </si>
  <si>
    <t>Multi-Intention-Aware Configuration Selection for Performance Tuning</t>
  </si>
  <si>
    <t>https://github.com/TimHe95/SafeTune</t>
  </si>
  <si>
    <t>Multilingual training for Software Engineering</t>
  </si>
  <si>
    <t>MVD: Memory-related Vulnerability Detection Based on Flow-Sensitive Graph Neural Networks</t>
  </si>
  <si>
    <t>https://github.com/MVDetection/MVD</t>
  </si>
  <si>
    <t>Nalin: learning from Runtime Behavior to Find Name-Value Inconsistencies in Jupyter Notebooks</t>
  </si>
  <si>
    <t>https://github.com/sola-st/Nalin</t>
  </si>
  <si>
    <t>Natural Attack for Pre-trained Models of Code</t>
  </si>
  <si>
    <t>8 CONCLUSION AND FUTURE WORK</t>
  </si>
  <si>
    <t>https://github.com/soarsmu/attack-pretrain-models-of-code</t>
  </si>
  <si>
    <t>Nessie: Automatically Testing JavaScript APIs with Asynchronous Callbacks</t>
  </si>
  <si>
    <t>TOOL/DATA AVAILABILITY</t>
  </si>
  <si>
    <t>https://zenodo.org/record/5874851</t>
  </si>
  <si>
    <t>Neural Program Repair with Execution-based Backpropagation</t>
  </si>
  <si>
    <t>References [12], cited in:
- 1 INTRODUCTION
- 5 EXPERIMENTAL RESULTS *
- 6 DISCUSSION * (twice)</t>
  </si>
  <si>
    <t>https://github.com/SophieHYe/RewardRepair</t>
  </si>
  <si>
    <t>NeuronFair: Interpretable White-Box Fairness Testing through Biased Neuron Identification</t>
  </si>
  <si>
    <t>https://github.com/haibinzheng/NeuronFair</t>
  </si>
  <si>
    <t>NPEX: Repairing Java Null Pointer Exceptions without Tests</t>
  </si>
  <si>
    <t>https://github.com/kupl/npex</t>
  </si>
  <si>
    <t>Nufix: Escape From NuGet Dependency Maze</t>
  </si>
  <si>
    <t>1 INTRODUCTION ---  HL Reproduction package</t>
  </si>
  <si>
    <t>http://www.nufix-dependency-maze.com/</t>
  </si>
  <si>
    <t>OJXPerf: Featherlight Object Replica Detection for Java Programs</t>
  </si>
  <si>
    <t>10 Conclusions</t>
  </si>
  <si>
    <t>https://github.com/Xuhpclab/jxperf</t>
  </si>
  <si>
    <t>On Debugging the Performance of Configurable Software Systems: Developer Needs and Tailored Tool Support</t>
  </si>
  <si>
    <t>[73]
- 3 EXPLORING INFORMATION NEEDS *
- 4 SUPPORTING INFORMATION NEEDS (2x) *</t>
  </si>
  <si>
    <r>
      <rPr>
        <rFont val="Arial"/>
        <color theme="1"/>
        <sz val="10.0"/>
      </rPr>
      <t xml:space="preserve">https://bit.ly/35HUvl9 </t>
    </r>
    <r>
      <rPr>
        <rFont val="Arial"/>
        <color theme="1"/>
        <sz val="10.0"/>
      </rPr>
      <t xml:space="preserve">(real link: </t>
    </r>
    <r>
      <rPr>
        <rFont val="Arial"/>
        <color theme="1"/>
        <sz val="10.0"/>
      </rPr>
      <t>https://github.com/miguelvelezmj25/icse22-sm/)</t>
    </r>
  </si>
  <si>
    <t>https://bit.ly/35HUvl9</t>
  </si>
  <si>
    <t>One Fuzzing Strategy to Rule Them All</t>
  </si>
  <si>
    <t>[32]
- 1 INTRODUCTION
- 3 HAVOC IMPACT STUDY * (2x)</t>
  </si>
  <si>
    <t>https://github.com/MagicHavoc/Havoc-Study</t>
  </si>
  <si>
    <t>Online Summarizing Alerts through Semantic and Behavior Information</t>
  </si>
  <si>
    <t>- 8 EVALUATION --- 8.1 Datasets
- 8 EVALUATION --- 8.3 Setup</t>
  </si>
  <si>
    <r>
      <rPr>
        <rFont val="Arial"/>
        <color theme="1"/>
        <sz val="10.0"/>
      </rPr>
      <t>https://doi.org/10.5281/zenodo.5336985</t>
    </r>
    <r>
      <rPr>
        <rFont val="Arial"/>
        <color theme="1"/>
        <sz val="10.0"/>
      </rPr>
      <t xml:space="preserve">
https://doi.org/10.5281/zenodo.5998339</t>
    </r>
  </si>
  <si>
    <t>https://doi.org/10.5281/zenodo.5336985
https://doi.org/10.5281/zenodo.5998339</t>
  </si>
  <si>
    <t>We conduct experiments on real-world alerts from two large commercial banks, A and B. As shown in Table 2, alerts of Bank A and Bank B have different characteristics. The definition of the alert in Bank A is not strictly standardized, thus there are thousands of alert types in its dataset. In Bank B, the definition of the alert is quite rigorous, thus Bank B has a much smaller number of alert types than Bank A. Due to the information privacy, we can only share the alert dataset of Bank B, which is available at https://doi.org/10.5281/zenodo.5336985, in which all sensitive information is anonymized.
We share the prototype of our approach, and an alert dataset of a large commercial bank, B, in which the confidential information and some sensitive alert types are removed. Since the alert is usually confidential for a company, there is few public alert datasets of a service system yet.</t>
  </si>
  <si>
    <t>On the Benefits and Limits of Incremental Build of Software Configurations: An Exploratory Study</t>
  </si>
  <si>
    <t>FN 1 - 3 EXPERIMENTAL APPROACH --- subsection "3.5 Experiments settings"</t>
  </si>
  <si>
    <t>https://doi.org/10.5281/zenodo.5915116</t>
  </si>
  <si>
    <t>On the Evaluation of Neural Code Summarization</t>
  </si>
  <si>
    <t>FN 1 - 1 INTRODUCTION
FN 8 - 3 EXPERIMENTAL DESIGN *
7 CONCLUSION</t>
  </si>
  <si>
    <t>https://github.com/DeepSoftwareAnalytics/CodeSumEvaluation
- https://github.com/DeepSoftwareAnalytics/CodeSumEvaluation/tree/master/Appendix</t>
  </si>
  <si>
    <t>https://github.com/DeepSoftwareAnalytics/CodeSumEvaluation</t>
  </si>
  <si>
    <t>On the Importance of Building High-quality Training Datasets for Neural Code Search</t>
  </si>
  <si>
    <t>https://github.com/v587su/NLQF</t>
  </si>
  <si>
    <t>On the Reliability of Coverage-Based Fuzzer Benchmarking</t>
  </si>
  <si>
    <t>- 1 INTRODUCTION
- 3 EXPERIMENTAL SETUP --- subsection "3.7 Reproducibility" --- HL "Data Availability"; "Data Analysis"; and "Archival".</t>
  </si>
  <si>
    <t>https://doi.org/10.5281/zenodo.6045830
https://github.com/icse22data
https://www.fuzzbench.com/reports/&lt;experiment-id&gt; - 2021-02-17-bug-paper (real link: https://www.fuzzbench.com/reports/2021-02-17-bug-paper )
https://www.fuzzbench.com/reports/&lt;experiment-id&gt; - 2021-08-19-crash-s (real link: https://www.fuzzbench.com/reports/2021-08-19-crash-s )
https://www.fuzzbench.com/reports/&lt;experiment-id&gt; - 2021-08-19-crash-s2 (real link: https://www.fuzzbench.com/reports/2021-08-19-crash-s2 )</t>
  </si>
  <si>
    <t>https://doi.org/10.5281/zenodo.6045830
https://github.com/icse22data
https://www.fuzzbench.com/reports/&lt;experiment-id&gt; - 2021-02-17-bug-paper
https://www.fuzzbench.com/reports/&lt;experiment-id&gt; - 2021-08-19-crash-s
https://www.fuzzbench.com/reports/&lt;experiment-id&gt; - 2021-08-19-crash-s2</t>
  </si>
  <si>
    <t>Path Transitions Tell More: Optimizing Fuzzing Schedules via Runtime Program States</t>
  </si>
  <si>
    <t>https://github.com/truzz-fuzz/truzz-fuzz</t>
  </si>
  <si>
    <t>PerfSig: Extracting Performance Bug Signatures via Multi-modality Causal Analysis</t>
  </si>
  <si>
    <t>7 DATA AVAILABILITY</t>
  </si>
  <si>
    <t>https://github.com/jhe16/PerfSig</t>
  </si>
  <si>
    <t>Practical Automated Detection of Malicious npm Packages</t>
  </si>
  <si>
    <r>
      <rPr>
        <rFont val="Arial"/>
        <color theme="1"/>
        <sz val="10.0"/>
      </rPr>
      <t xml:space="preserve">https://doi.org/10.5281/zenodo.5908852
</t>
    </r>
    <r>
      <rPr>
        <rFont val="Arial"/>
        <color theme="1"/>
        <sz val="10.0"/>
      </rPr>
      <t>https://github.com/githubnext/amalfi-artifact</t>
    </r>
  </si>
  <si>
    <t>https://doi.org/10.5281/zenodo.5908852
https://github.com/githubnext/amalfi-artifact</t>
  </si>
  <si>
    <t>Practitioners' Expectations on Automated Code Comment Generation</t>
  </si>
  <si>
    <t>[2] 2 RESEARCH METHODOLOGY --- 2.2 Stage 2: Online Survey --- HL Replication Package</t>
  </si>
  <si>
    <t>https://github.com/xing-hu/Practitioners-Expectations-on-Automated-Code-Comment-Generation</t>
  </si>
  <si>
    <t>PReach: A Heuristic for Probabilistic Reachability to Identify Hard to Reach Statements</t>
  </si>
  <si>
    <t>[35] "5 EXPERIMENTAL EVALUATION"</t>
  </si>
  <si>
    <t>https://zenodo.org/record/5915206</t>
  </si>
  <si>
    <t>Precise Divide-By-Zero Detection with Affirmative Evidence</t>
  </si>
  <si>
    <t>5 EVALUATION -- 5.1 Experimental Setup --- HL Open Data</t>
  </si>
  <si>
    <t>https://github.com/yiyuaner/ICSE-2022-Wit-data</t>
  </si>
  <si>
    <t>Preempting Flaky Tests via Non-Idempotent-Outcome Tests</t>
  </si>
  <si>
    <t>[18]
- 1 INTRODUCTION
- 9 CONCLUSION</t>
  </si>
  <si>
    <t>https://sites.google.com/view/nio-tests</t>
  </si>
  <si>
    <t>Prioritizing Mutants to Guide Mutation Testing</t>
  </si>
  <si>
    <t>DATA &amp; SOFTWARE AVAILABILITY</t>
  </si>
  <si>
    <t>https://doi.org/10.6084/m9.figshare.19074428</t>
  </si>
  <si>
    <t>Promal: Precise Window Transition Graphs for Android via Synergy of Program Analysis and Machine Learning</t>
  </si>
  <si>
    <t>[4]
- 1 INTRODUCTION
- 6 EVALUATION</t>
  </si>
  <si>
    <t>https://github.com/promal-android/Promal</t>
  </si>
  <si>
    <t>PropR: Property-Based Automatic Program Repair</t>
  </si>
  <si>
    <t>9 ONLINE RESOURCES</t>
  </si>
  <si>
    <r>
      <rPr>
        <rFont val="Arial"/>
        <color theme="1"/>
        <sz val="10.0"/>
      </rPr>
      <t xml:space="preserve">https://github.com/Tritlo/PropR
</t>
    </r>
    <r>
      <rPr>
        <rFont val="Arial"/>
        <color theme="1"/>
        <sz val="10.0"/>
      </rPr>
      <t>https://doi.org/10.5281/zenodo.5389051</t>
    </r>
  </si>
  <si>
    <t>https://github.com/Tritlo/PropR
https://doi.org/10.5281/zenodo.5389051</t>
  </si>
  <si>
    <t>PUS: A Fast and Highly Efficient Solver for Inclusion-based Pointer Analysis</t>
  </si>
  <si>
    <t>Push-Button Synthesis of Watch Companions for Android Apps</t>
  </si>
  <si>
    <t>https://sites.google.com/view/jigsaw-wapp</t>
  </si>
  <si>
    <t>Quantifying Permissiveness of Access Control Policies</t>
  </si>
  <si>
    <t>FN 1 - 8 EXPERIMENTAL EVALUATION</t>
  </si>
  <si>
    <t>https://github.com/vlab-cs-ucsb/quacky</t>
  </si>
  <si>
    <t>The attacker was then able to list the buckets (which store resources as objects) on the server and download the contents of each bucket. The attack itself involved two main components. First, the attacker was able to gain authenticated access to an AWS IAM role [23]. Secondly, the role had broad access to S3 buckets due to a misconfigured policy. For confidentiality reasons, the misconfigured policy is not publicly available.</t>
  </si>
  <si>
    <t>R2Z2: Detecting Rendering Regressions in Web Browsers through Differential Fuzz Testing</t>
  </si>
  <si>
    <t>https://doi.org/10.6084/m9.figshare.16569561.v1</t>
  </si>
  <si>
    <t>Recommending Good First Issues in GitHub OSS Projects</t>
  </si>
  <si>
    <t>https://zenodo.org/record/5881117#.YeliUEBBwlI</t>
  </si>
  <si>
    <t>Refty: Refinement Types for Valid Deep Learning Models</t>
  </si>
  <si>
    <t>ReMoS: Reducing Defect Inheritance in Transfer Learning via Relevant Model Slicing</t>
  </si>
  <si>
    <t>Repairing Brain-Computer Interfaces with Fault-based Data Acquisition</t>
  </si>
  <si>
    <t>Repairing Order-Dependent Flaky Tests via Test Generation</t>
  </si>
  <si>
    <t>9 DATA AVAILABILITY</t>
  </si>
  <si>
    <t>https://github.com/UT-SE-Research/ODRepair</t>
  </si>
  <si>
    <t>Retrieving Data Constraint Implementations Using Fine-Grained Code Patterns</t>
  </si>
  <si>
    <t>[28]
- 1 INTRODUCTION
- 3 APPROACH DESCRIPTION
- 4 LASSO INSTANTIATION (2x)
- 5 EVALUATION * (2x)</t>
  </si>
  <si>
    <t>https://doi.org/10.5281/zenodo.5915650</t>
  </si>
  <si>
    <t>RoPGen: Towards Robust Code Authorship Attribution via Automatic Coding Style Transformation</t>
  </si>
  <si>
    <t>https://github.com/RoPGen/RoPGen</t>
  </si>
  <si>
    <t>Rotten Apples Spoil the Bunch: An Anatomy of Google Play Malware</t>
  </si>
  <si>
    <t xml:space="preserve">[34] 1 INTRODUCTION --- HL Data Availability
[35]
- 1 INTRODUCTION --- HL Data Availability
- 2 METHODOLOGY *
- 3 MALWARE CHARACTERIZATION * (2x)
- 5 DISCUSSION AND IMPLICATIONS
</t>
  </si>
  <si>
    <r>
      <rPr>
        <rFont val="Arial"/>
        <color theme="1"/>
        <sz val="10.0"/>
      </rPr>
      <t xml:space="preserve">https://resess.github.io/artifacts/GooglePlayMalwareAnalysis
</t>
    </r>
    <r>
      <rPr>
        <rFont val="Arial"/>
        <color theme="1"/>
        <sz val="10.0"/>
      </rPr>
      <t>https://doi.org/10.5281/zenodo.5376011</t>
    </r>
  </si>
  <si>
    <t>https://resess.github.io/artifacts/GooglePlayMalwareAnalysis
https://doi.org/10.5281/zenodo.5376011</t>
  </si>
  <si>
    <t>SapientML: Synthesizing Machine Learning Pipelines by Learning from Human-Writen Solutions</t>
  </si>
  <si>
    <t>Search-based Diverse Sampling from Real-world Software Product Lines</t>
  </si>
  <si>
    <t>FN 3 - 3 NS-BASED DIVERSE SAMPLING *
FN 8 - 5 RESULTS
FN 7 - 4 EXPERIMENT SETUP *</t>
  </si>
  <si>
    <t>https://doi.org/10.5281/zenodo.5828178
https://github.com/YiXiangScut/NSbS</t>
  </si>
  <si>
    <t>Semantic Image Fuzzing of AI Perception Systems</t>
  </si>
  <si>
    <t>FN 1 - 4 IMPLEMENTATION FOR THE AUTONOMOUS VEHICLE DOMAIN</t>
  </si>
  <si>
    <t>https://github.com/less-lab-uva/perception_fuzzing</t>
  </si>
  <si>
    <t>ShellFusion: Answer Generation for Shell Programming Tasks via Knowledge Fusion</t>
  </si>
  <si>
    <t>[7] 1 INTRODUCTION</t>
  </si>
  <si>
    <t>https://github.com/nengz/shellFusion</t>
  </si>
  <si>
    <t>SnR: Constraint-Based Type Inference for Incomplete Java Code Snippets</t>
  </si>
  <si>
    <t>- 1 INTRODUCTION --- HL Contribution --- HL Verifiability
- 4 EVALUATIONS --- HL Implementation</t>
  </si>
  <si>
    <t>https://doi.org/10.5281/zenodo.5843327</t>
  </si>
  <si>
    <t>Social Science Theories in Software Engineering Research</t>
  </si>
  <si>
    <t>https://doi.org/10.5281/zenodo.6036076</t>
  </si>
  <si>
    <t>SPT-Code: Sequence-to-Sequence Pre-Training for Learning Source Code Representations</t>
  </si>
  <si>
    <t>https://github.com/NougatCA/SPT-Code</t>
  </si>
  <si>
    <t>Static Inference Meets Deep Learning: A Hybrid Type Inference Approach for Python</t>
  </si>
  <si>
    <t>https://github.com/JohnnyPeng18/HiTyper</t>
  </si>
  <si>
    <t>Striking a Balance: Pruning False-Positives from Static Call Graphs</t>
  </si>
  <si>
    <t>[46] 5 EXPERIMENTAL RESULTS</t>
  </si>
  <si>
    <t>https://doi.org/10.5281/zenodo.5177161</t>
  </si>
  <si>
    <t>SugarC: Scalable Desugaring of Real-World Preprocessor Usage into Pure C</t>
  </si>
  <si>
    <t>[36] 1 INTRODUCTION</t>
  </si>
  <si>
    <t>https://zenodo.org/record/5915048</t>
  </si>
  <si>
    <t>SymTuner: Maximizing the Power of Symbolic Execution by Adaptively Tuning External Parameters</t>
  </si>
  <si>
    <t>https://github.com/skkusal/symtuner</t>
  </si>
  <si>
    <t>V-SZZ: Automatic Identification of Version Ranges Affected by CVE Vulnerabilities</t>
  </si>
  <si>
    <t>https://github.com/baolingfeng/V-SZZ</t>
  </si>
  <si>
    <t>Testing Time Limits in Screener Questions for Online Surveys with Programmers</t>
  </si>
  <si>
    <t>The Art and Practice of Data Science Pipelines: A Comprehensive Study of Data Science Pipelines In Theory, In-The-Small, and In-The-Large</t>
  </si>
  <si>
    <t>FN 1 - 2 DS PIPELINE IN THEORY *
[5]
- 2 DS PIPELINE IN THEORY * (4x)
- 3 DS PIPELINE IN-THE-SMALL * (2x)
- 4 DS PIPELINE IN-THE-LARGE</t>
  </si>
  <si>
    <t>https://github.com/anonymous-authorss/DS-Pipeline
https://github.com/sumonbis/DS-Pipeline/blob/main/pipelines.pdf</t>
  </si>
  <si>
    <t>The Extent of Orphan Vulnerabilities from Code Reuse in Open Source Software</t>
  </si>
  <si>
    <t>"This Is Damn Slick!": Estimating the Impact of Tweets on Open Source Project Popularity and New Contributors</t>
  </si>
  <si>
    <t>1 INTRODUCTION
[27] 1 INTRODUCTION</t>
  </si>
  <si>
    <t>https://doi.org/10.5281/zenodo.6000085
- DOI 10.5281/zenodo.6321448 (real link: https://doi.org/10.5281/zenodo.6321448 )</t>
  </si>
  <si>
    <t>https://doi.org/10.5281/zenodo.6000085</t>
  </si>
  <si>
    <t>TOGA: A Neural Method for Test Oracle Generation</t>
  </si>
  <si>
    <t xml:space="preserve">1 INTRODUCTION
</t>
  </si>
  <si>
    <t>https://github.com/microsoft/toga</t>
  </si>
  <si>
    <t>Towards Automatically Repairing Compatibility Issues in Published Android Apps</t>
  </si>
  <si>
    <t>[2] 1 Introduction --- HL Open source</t>
  </si>
  <si>
    <t>https://zenodo.org/record/5430715</t>
  </si>
  <si>
    <t>Towards Bidirectional Live Programming for Incomplete Programs</t>
  </si>
  <si>
    <t>https://github.com/xingzhang-pku/BidirectionalPreview</t>
  </si>
  <si>
    <t>Towards Boosting Patch Execution On-the-Fly</t>
  </si>
  <si>
    <t>Towards Language-independent Brown Build Detection</t>
  </si>
  <si>
    <t>[3]
- 1 Introduction
- 4 CASE STUDY SETUP --- subsection "4.2 Validation approach"</t>
  </si>
  <si>
    <t>https://github.com/ubisoft/ubisoft-laforge-brownbuild</t>
  </si>
  <si>
    <t>Towards Practical Robustness Analysis for DNNs based on PAC-Model Learning</t>
  </si>
  <si>
    <t>FN 1 - 5 EXPERIMENTAL EVALUATION</t>
  </si>
  <si>
    <t>https://github.com/CAS-LRJ/DeepPAC</t>
  </si>
  <si>
    <t>Towards Training Reproducible Deep Learning Models</t>
  </si>
  <si>
    <t>References [21]
- 1 INTRODUCTION
- 4 RESULTS *
- 8 CONCLUSIONS</t>
  </si>
  <si>
    <t>https://github.com/nemo9cby/ICSE2022Rep</t>
  </si>
  <si>
    <t>Due to the company policy and review standards, we cannot disclose the detail design of the DL model. The implementation of other open source models is disclosed in our replication package [21].
The detailed results are shown in Table 4. We only include the results for the six open source projects due to confidentiality reasons.</t>
  </si>
  <si>
    <t>Training Data Debugging for the Fairness of Machine Learning Software</t>
  </si>
  <si>
    <t>8 CONCLUSION --- 8.1 Replication Package</t>
  </si>
  <si>
    <t>https://github.com/fairnesstest/LTDD</t>
  </si>
  <si>
    <t>Trust Enhancement Issues in Program Repair</t>
  </si>
  <si>
    <t>[35]
- 3 SURVEY METHODOLOGY (2x)
- 5 EVALUATION METHODOLOGY --- HL Replication
- 7 THREATS TO VALIDITY
- DATASET FROM OUR WORK</t>
  </si>
  <si>
    <t>https://doi.org/10.5281/zenodo.5908381
- DOI 10.5281/zenodo.5908381</t>
  </si>
  <si>
    <t>https://doi.org/10.5281/zenodo.5908381</t>
  </si>
  <si>
    <t>Type4Py: Practical Deep Similarity Learning-Based Type Inference for Python</t>
  </si>
  <si>
    <t>https://doi.org/10.5281/zenodo.5913787</t>
  </si>
  <si>
    <t>Unleashing the Power of Compiler Intermediate Representation to Enhance Neural Program Embeddings</t>
  </si>
  <si>
    <t>References [1]
- 1 INTRODUCTION
- 5 IMPLEMENTATION
- 6 EVALUATION (2x) *</t>
  </si>
  <si>
    <t>https://sites.google.com/view/irgen</t>
  </si>
  <si>
    <t>Use of Test Doubles in Android Testing: An In-Depth Investigation</t>
  </si>
  <si>
    <t>[15]
- 1 INTRODUCTION
- 2 BACKGROUND *
- 3 METHODOLOGY * (3x)
- 4 RESULTS *</t>
  </si>
  <si>
    <t>https://doi.org/10.5281/zenodo.6000372</t>
  </si>
  <si>
    <t>Using Deep Learning to Generate Complete Log Statements</t>
  </si>
  <si>
    <t>References [5]
- 1 INTRODUCTION
- 8 DATA AVAILABILITY
- 2 LANCE: LOG STATEMENT RECOMMENDER * (2x)</t>
  </si>
  <si>
    <t>https://github.com/antonio-mastropaolo/LANCE</t>
  </si>
  <si>
    <t>Using Pre-Trained Models to Boost Code Review Automation</t>
  </si>
  <si>
    <t>References [8] cited in:
- 1 INTRODUCTION
- 2 T5 TO AUTOMATE CODE REVIEW * (2 times)
- 4 RESULTS DISCUSSION *
- 7 CONCLUSION AND FUTURE WORK</t>
  </si>
  <si>
    <t>https://github.com/RosaliaTufano/code_review_automation</t>
  </si>
  <si>
    <t>Using Reinforcement Learning for Load Testing of Video Games</t>
  </si>
  <si>
    <t>[46]
- 4 CASE STUDY: LOAD TESTING AN OPEN SOURCE GAME * (2x)
- 7 CONCLUSIONS AND FUTURE WORK</t>
  </si>
  <si>
    <t>https://github.com/RosaliaTufano/rlgameauthors</t>
  </si>
  <si>
    <t>Utilizing Parallelism in Smart Contracts on Decentralized Blockchains by Taming Application-Inherent Conflicts</t>
  </si>
  <si>
    <t>VarCLR: Variable Semantic Representation Pre-training via Contrastive Learning</t>
  </si>
  <si>
    <t>- FN 2 - 1 INTRODUCTION
- 4 EXPERIMENTS *</t>
  </si>
  <si>
    <r>
      <rPr>
        <rFont val="Arial"/>
        <color theme="1"/>
        <sz val="10.0"/>
      </rPr>
      <t xml:space="preserve">https://github.com/squaresLab/VarCLR
</t>
    </r>
    <r>
      <rPr>
        <rFont val="Arial"/>
        <color theme="1"/>
        <sz val="10.0"/>
      </rPr>
      <t>https://bit.ly/2WIalaW</t>
    </r>
    <r>
      <rPr>
        <rFont val="Arial"/>
        <color theme="1"/>
        <sz val="10.0"/>
      </rPr>
      <t xml:space="preserve"> (real link: </t>
    </r>
    <r>
      <rPr>
        <rFont val="Arial"/>
        <color theme="1"/>
        <sz val="10.0"/>
      </rPr>
      <t>https://drive.google.com/file/d/11eKmE90WxvGLtXCuPLOP5V-HePWYPzdG/view</t>
    </r>
    <r>
      <rPr>
        <rFont val="Arial"/>
        <color theme="1"/>
        <sz val="10.0"/>
      </rPr>
      <t xml:space="preserve"> )</t>
    </r>
  </si>
  <si>
    <t>https://github.com/squaresLab/VarCLR
https://bit.ly/2WIalaW</t>
  </si>
  <si>
    <t>Verification of ORM-based Controllers by Summary Inference</t>
  </si>
  <si>
    <t>[7]
- 3 CHECKING PROPERTIES OF TRACES * (2x)
- 4  IMPLEMENTATION
- 5 EMPIRICAL EVALUATION *</t>
  </si>
  <si>
    <t>https://doi.org/10.6084/m9.figshare.19087814</t>
  </si>
  <si>
    <t>VulCNN: An Image-inspired Scalable Vulnerability Detection System</t>
  </si>
  <si>
    <t>FN 1 - 1 INTRODUCTION 
FN 4 - 4 EXPERIMENTS  *</t>
  </si>
  <si>
    <t>https://github.com/CGCL-codes/VulCNN</t>
  </si>
  <si>
    <t>What Do They Capture? A Structural Analysis of Pre-Trained Language Models for Source Code</t>
  </si>
  <si>
    <t>8 CONCLUSION --- HL Artifacts</t>
  </si>
  <si>
    <t>https://github.com/CGCL-codes/naturalcc</t>
  </si>
  <si>
    <t>What Makes a Good Commit Message?</t>
  </si>
  <si>
    <t>Reference [71] cited in:
- 3 STUDY DESIGN (4 times) *
- 4 RESULTS (2 times) *</t>
  </si>
  <si>
    <t>https://doi.org/10.5281/zenodo.5763753</t>
  </si>
  <si>
    <t>What Makes Effective Leadership in Agile Software Development Teams?</t>
  </si>
  <si>
    <t>https://doi.org/10.5281/zenodo.5816890</t>
  </si>
  <si>
    <t>Interview transcripts have not been published to mitigate reidentification risk.</t>
  </si>
  <si>
    <t>What the Fork? Finding Hidden Code Clones in npm</t>
  </si>
  <si>
    <t>https://osf.io/jfk3n/?view_only=6f930d1de8704a26903540f75982bffb</t>
  </si>
  <si>
    <t>Where is Your App Frustrating Users?</t>
  </si>
  <si>
    <t>The same link in:
- 1 INTRODUCTION
- FN 6 - 3 APPROACH
- 8 CONCLUSION</t>
  </si>
  <si>
    <t>https://github.com/MeloFancy/SIRA</t>
  </si>
  <si>
    <t>WindRanger: A Directed Greybox Fuzzer driven by Deviation Basic Blocks</t>
  </si>
  <si>
    <t>- 1 INTRODUCTION
- [14] 4 IMPLEMENTATION &amp; EVALUATION * (4 times)</t>
  </si>
  <si>
    <t>https://sites.google.com/view/windranger-directed-fuzzing/</t>
  </si>
  <si>
    <t>One Adapter for All Programming Languages? Adapter Tuning for Code Search and Summarization</t>
  </si>
  <si>
    <t>IX. CONCLUSION</t>
  </si>
  <si>
    <t>https://github.com/wangdeze18/Multilingual-Adapter-for-SE</t>
  </si>
  <si>
    <t>CCRep: Learning Code Change Representations via Pre-Trained Code Model and Query Back</t>
  </si>
  <si>
    <t>https://github.com/ZJU-CTAG/CCRep</t>
  </si>
  <si>
    <t>Keeping Pace with Ever-Increasing Data: Towards Continual Learning of Code Intelligence Models</t>
  </si>
  <si>
    <t>- FN 1 - V. EXPERIMENTAL RESULTS *
- FN - V. EXPERIMENTAL RESULTS *
- VII. CONCLUSION --- HL Data availability</t>
  </si>
  <si>
    <t>https://github.com/ReliableCoding/REPEAT</t>
  </si>
  <si>
    <t>Detecting JVM JIT Compiler Bugs via Exploring Two-Dimensional Input Spaces</t>
  </si>
  <si>
    <t>https://github.com/CGCL-codes/JOpFuzzer</t>
  </si>
  <si>
    <t>JITfuzz: Coverage-Guided Fuzzing for JVM Just-in-Time Compilers</t>
  </si>
  <si>
    <t xml:space="preserve">[13]
- I. INTRODUCTION
- IV. EVALUATION (2x) *
[36]
- III. APPROACH * (2x)
- III. APPROACH --- caption of Fig. 3
</t>
  </si>
  <si>
    <r>
      <rPr>
        <rFont val="Arial"/>
        <color theme="1"/>
        <sz val="10.0"/>
      </rPr>
      <t xml:space="preserve">https://github.com/lochnagarr/JITFuzz
- </t>
    </r>
    <r>
      <rPr>
        <rFont val="Arial"/>
        <color theme="1"/>
        <sz val="10.0"/>
      </rPr>
      <t>https://github.com/lochnagarr/JITFuzz/blob/main/examples/Depth-Ensured/NumberUtils.java</t>
    </r>
  </si>
  <si>
    <t>https://github.com/lochnagarr/JITFuzz</t>
  </si>
  <si>
    <t>Validating SMT Solvers via Skeleton Enumeration Empowered by Historical Bug-Triggering Inputs</t>
  </si>
  <si>
    <t>https://github.com/CGCL-codes/HistFuzz</t>
  </si>
  <si>
    <t>Regression Fuzzing for Deep Learning Systems</t>
  </si>
  <si>
    <t>IV. EVALUATION *</t>
  </si>
  <si>
    <t>https://github.com/youhanmo/DRFuzz</t>
  </si>
  <si>
    <t>Operand-Variation-Oriented Differential Analysis for Fuzzing Binding Calls in PDF Readers</t>
  </si>
  <si>
    <t>https://github.com/TypeOracle/TypeOracleSrc</t>
  </si>
  <si>
    <t>The Untold Story of Code Refactoring Customizations in Practice</t>
  </si>
  <si>
    <t>[38]
- III. STUDY SETTINGS * (2x)
- IV. RESULTS AND DISCUSSION *</t>
  </si>
  <si>
    <t>https://customrefactoring.github.io/</t>
  </si>
  <si>
    <t>Data Quality for Software Vulnerability Datasets</t>
  </si>
  <si>
    <t>[26]
- I. INTRODUCTION
- VIII. DATA AVAILABILITY</t>
  </si>
  <si>
    <t>https://figshare.com/articles/software/Reproduction_Package_for_Data_Quality_for_Software_Vulnerability_Datasets_/20499924</t>
  </si>
  <si>
    <t>Do Code Refactorings Influence the Merge Effort?</t>
  </si>
  <si>
    <t>II. MATERIALS AND METHODS</t>
  </si>
  <si>
    <t>https://github.com/gems-uff/refactoring-merge</t>
  </si>
  <si>
    <t>A Comprehensive Study of Real-World Bugs in Machine Learning Model Optimization</t>
  </si>
  <si>
    <t>https://github.com/MOB2022/MOB-dataset</t>
  </si>
  <si>
    <t>Evaluating the Impact of Experimental Assumptions in Automated Fault Localization</t>
  </si>
  <si>
    <t xml:space="preserve">- X. CONCLUSION.
[49]
- III. PREVALENCE OF ASSUMPTIONS *
- V. EFFECT ON AFL TECHNIQUES *
- VI. PROXY EFFECT ON APR TECHNIQUES *
- VII. IMPACT ON PROFESSIONAL DEVELOPERS *
- X. CONCLUSION
</t>
  </si>
  <si>
    <t>https://debugging-assumptions.github.io/
https://figshare.com/articles/conference_contribution/Debugging_Assumptions_Artifact/21786743</t>
  </si>
  <si>
    <t>Locating Framework-Specific Crashing Faults with Compact and Explainable Candidate Set</t>
  </si>
  <si>
    <t>[17]
- I. INTRODUCTION
- VI. CRASH FAULT LOCALIZATION ON Mapp
- VII. EVALUATION (2x) *</t>
  </si>
  <si>
    <t>https://github.com/hanada31/CrashTracker</t>
  </si>
  <si>
    <t>PExReport: Automatic Creation of Pruned Executable Cross-Project Failure Reports</t>
  </si>
  <si>
    <t>FN 2 - IV. EVALUATION</t>
  </si>
  <si>
    <t xml:space="preserve">https://doi.org/10.5281/zenodo.7578677 
https://sites.google.com/view/PExReport/home </t>
  </si>
  <si>
    <t>https://doi.org/10.5281/zenodo.7578677
https://sites.google.com/view/PExReport/home</t>
  </si>
  <si>
    <t>RAT: A Refactoring-Aware Traceability Model for Bug Localization</t>
  </si>
  <si>
    <t>- FN 3 - IV. APPROACH
- IX. CONCLUSION AND FUTURE WORK</t>
  </si>
  <si>
    <t>https://github.com/feifeiniu-se/traceability
https://github.com/feifeiniu-se/RAT</t>
  </si>
  <si>
    <t>How Do We Read Formal Claims? Eye-Tracking and the Cognition of Proofs About Algorithms</t>
  </si>
  <si>
    <t>III. EXPERIMENTAL METHODOLOGY</t>
  </si>
  <si>
    <t>https://doi.org/10.5281/zenodo.7626901</t>
  </si>
  <si>
    <t>Which of My Assumptions are Unnecessary for Realizability and Why Should I Care?</t>
  </si>
  <si>
    <t xml:space="preserve">[42] VI. EVALUATION
[43]
- FN 2 - II. RUNNING EXAMPLE
- IV. DEFINING AND COMPUTING A CORE SPECIFICATION *
- VI. EVALUATION
- VII. RELATED WORK (2x)
</t>
  </si>
  <si>
    <t xml:space="preserve">https://doi.org/10.5281/zenodo.7528202
https://smlab.cs.tau.ac.il/syntech/asmcores/ </t>
  </si>
  <si>
    <t>UpCy: Safely Updating Outdated Dependencies</t>
  </si>
  <si>
    <t xml:space="preserve">https://github.com/secure-software-engineering/upcy 
https://doi.org/10.5281/zenodo.7037673 </t>
  </si>
  <si>
    <t>https://github.com/secure-software-engineering/upcy
https://doi.org/10.5281/zenodo.7037673</t>
  </si>
  <si>
    <t>APICAD: Augmenting API Misuse Detection through Specifications from Code and Documents</t>
  </si>
  <si>
    <t>https://github.com/x2018/apicad_public</t>
  </si>
  <si>
    <t>Compatibility Issue Detection for Android Apps Based on Path-Sensitive Semantic Analysis</t>
  </si>
  <si>
    <t>VIII. DATA AVAILABILITY</t>
  </si>
  <si>
    <t>https://github.com/PSDroid2022</t>
  </si>
  <si>
    <t>OSSFP: Precise and Scalable C/C++ Third-Party Library Detection Using Fingerprinting Functions</t>
  </si>
  <si>
    <t>https://sites.google.com/view/icse2023sca</t>
  </si>
  <si>
    <t>SmartMark: Software Watermarking Scheme for Smart Contracts</t>
  </si>
  <si>
    <t>FN 6 - X. DATA AND SOURCE CODE AVAILABILITY
FN 7 - X. DATA AND SOURCE CODE AVAILABILITY</t>
  </si>
  <si>
    <t xml:space="preserve">https://doi.org/10.6084/m9.figshare.21966875.v1 
https://github.com/SKKU-SecLab/SmartMark.git </t>
  </si>
  <si>
    <t>https://doi.org/10.6084/m9.figshare.21966875.v1
https://github.com/SKKU-SecLab/SmartMark.git</t>
  </si>
  <si>
    <t>Turn the Rudder: A Beacon of Reentrancy Detection for Smart Contracts on Ethereum</t>
  </si>
  <si>
    <t>[21]
- I. INTRODUCTION
- III. METHODOLOGY *</t>
  </si>
  <si>
    <t>https://github.com/InPlusLab/ReentrancyStudy-Data</t>
  </si>
  <si>
    <t>BSHUNTER: Detecting and Tracing Defects of Bitcoin Scripts</t>
  </si>
  <si>
    <t>- FN 1 - I. INTRODUCTION
- V. EXPLOITATION TRACING *
- FN 2 - VI. IMPLEMENTATION AND EVALUATION
- VI. IMPLEMENTATION AND EVALUATION
- DATA AVAILABILITY</t>
  </si>
  <si>
    <t xml:space="preserve">https://UnsafeBTC.com
https://github.com/InPlusLab/bshunter-btcd </t>
  </si>
  <si>
    <t xml:space="preserve">https://unsafebtc.com/
https://github.com/InPlusLab/bshunter-btcd </t>
  </si>
  <si>
    <t>We release the implementation and the non-harmful data to prevent other users from losing their money.</t>
  </si>
  <si>
    <t>Do I Belong? Modeling Sense of Virtual Community Among Linux Kernel Contributors</t>
  </si>
  <si>
    <t>[82]
- IV. RESEARCH DESIGN *
- V. ANALYSIS AND RESULTS *</t>
  </si>
  <si>
    <t>https://figshare.com/s/5cedff387200ebc379cb</t>
  </si>
  <si>
    <t>Comparison and Evaluation of Clone Detection Techniques with Different Code Representations</t>
  </si>
  <si>
    <t>https://github.com/TACC-Code/TACC</t>
  </si>
  <si>
    <t>Learning Graph-Based Code Representations for Source-Level Functional Similarity Detection</t>
  </si>
  <si>
    <t>https://github.com/jun-zeng/Tailor</t>
  </si>
  <si>
    <t>The Smelly Eight: An Empirical Study on the Prevalence of Code Smells in Quantum Computing</t>
  </si>
  <si>
    <t>- I. INTRODUCTION.
- DATA AVAILABILITY
- FN 1 - I. INTRODUCTION
- V. QSMELL
- IV. QUANTUM-SPECIFIC CODE SMELLS *
- VI. EMPIRICAL EVALUATION * (2x)</t>
  </si>
  <si>
    <t>https://doi.org/10.5281/zenodo.7625865
https://github.com/jose/qsmell
-- tools/qsmell/README.md
-- tools/qsmell
-- survey/survey-doc.pdf
-- subjects/README.md</t>
  </si>
  <si>
    <t>https://doi.org/10.5281/zenodo.7625865
https://github.com/jose/qsmell</t>
  </si>
  <si>
    <t>Reachable Coverage: Estimating Saturation in Fuzzing</t>
  </si>
  <si>
    <t>- VIII. DISCUSSION --- HL Open Science
- VIII. DISCUSSION --- Fig. 11: Reproducibility information.</t>
  </si>
  <si>
    <t>https://anonymous.4open.science/r/reachable_coverage-experiments 
https://doi.org/10.5281/zenodo.7571359 
https://anonymous.4open.science/r/reachable_coverage-experiments/data/experimental_data.zip 
https://www.fuzzbench.com/reports/2021-04-11-7d-paper
https://www.fuzzbench.com/reports/2021-04-23-7d-paper
https://www.fuzzbench.com/reports/2021-07-10-redo-7d
https://www.fuzzbench.com/reports/2021-08-19-crash-s-7d
https://gitlab.lrz.de/fuzztastic/</t>
  </si>
  <si>
    <t>https://anonymous.4open.science/r/reachable_coverage-experiments
https://doi.org/10.5281/zenodo.7571359
https://anonymous.4open.science/r/reachable_coverage-experiments/data/experimental_data.zip
https://www.fuzzbench.com/reports/2021-04-11-7d-paper
https://www.fuzzbench.com/reports/2021-04-23-7d-paper
https://www.fuzzbench.com/reports/2021-07-10-redo-7d
https://www.fuzzbench.com/reports/2021-08-19-crash-s-7d
https://gitlab.lrz.de/fuzztastic/</t>
  </si>
  <si>
    <t>Learning Seed-Adaptive Mutation Strategies for Greybox Fuzzing</t>
  </si>
  <si>
    <t>https://github.com/kupl/SeamFuzz-public</t>
  </si>
  <si>
    <t>Improving Java Deserialization Gadget Chain Mining via Overriding-Guided Object Generation</t>
  </si>
  <si>
    <t>https://github.com/GCMiner/GCMiner</t>
  </si>
  <si>
    <t>Evaluating and Improving Hybrid Fuzzing</t>
  </si>
  <si>
    <t>[21]
- I. INTRODUCTION
- III. EXTENSIVE STUDY *
- IV. ENHANCING HYBRID FUZZERS * (2x)</t>
  </si>
  <si>
    <t>https://github.com/Tricker-z/CoFuzz</t>
  </si>
  <si>
    <t>Robustification of Behavioral Designs Against Environmental Deviations</t>
  </si>
  <si>
    <t>FN 3 - VII. EVALUATION</t>
  </si>
  <si>
    <t>https://github.com/cmu-soda/Fortis</t>
  </si>
  <si>
    <t>A Qualitative Study on the Implementation Design Decisions of Developers</t>
  </si>
  <si>
    <t>[45]
- III. STUDY DESIGN * (4x)
- DATA AVAILABILITY</t>
  </si>
  <si>
    <t>https://doi.org/10.6084/m9.figshare.21820140</t>
  </si>
  <si>
    <t>BFTDetector: Automatic Detection of Business Flow Tampering for Digital Content Service</t>
  </si>
  <si>
    <t>- FN 2 - IV. EVALUATION *
- [3] IV. EVALUATION</t>
  </si>
  <si>
    <t xml:space="preserve">https://sites.google.com/view/bftcases
https://github.com/jspaper22/bftdetector </t>
  </si>
  <si>
    <t>Ethical Considerations. The findings of this study are strictly for research purposes. Our disclosures do not include detailed information that could be used to reproduce the tampering. We have reported the flaws to all digital content providers, and we are actively in contact with them for potential mitigations.</t>
  </si>
  <si>
    <t>FedSlice: Protecting Federated Learning Models from Malicious Participants with Model Slicing</t>
  </si>
  <si>
    <t>Fn 1 - VII. CONCLUSION</t>
  </si>
  <si>
    <t>https://zenodo.org/record/7536416#.Y9yIZOxBwUE</t>
  </si>
  <si>
    <t>PTPDroid: Detecting Violated User Privacy Disclosures to Third-Parties of Android Apps</t>
  </si>
  <si>
    <t>- FN 10 - DATA AVAILABILITY
- FN 11 - DATA AVAILABILITY</t>
  </si>
  <si>
    <t xml:space="preserve">https://github.com/wsong-nj/PTPDroid 
https://doi.org/10.5281/zenodo.5442986 </t>
  </si>
  <si>
    <t>https://github.com/wsong-nj/PTPDroid
https://doi.org/10.5281/zenodo.5442986</t>
  </si>
  <si>
    <t>AdHere: Automated Detection and Repair of Intrusive Ads</t>
  </si>
  <si>
    <t>[18]
- IV. DESIGN OF ADHERE *
- V. EVALUATION *
- IX. DATA AVAILABILITY</t>
  </si>
  <si>
    <t>https://osf.io/s8mhw/?viewonly=42a1f52903964e68836faa76f84a180f</t>
  </si>
  <si>
    <t>Bad Snakes: Understanding and Improving Python Package Index Malware Scanning</t>
  </si>
  <si>
    <t>https://github.com/lyvd/bad-snakes-icse23-artifacts</t>
  </si>
  <si>
    <t>FedDebug: Systematic Debugging for Federated Learning Applications</t>
  </si>
  <si>
    <t>https://doi.org/10.5281/zenodo.7578656</t>
  </si>
  <si>
    <t>Practical and Efficient Model Extraction of Sentiment Analysis APIs</t>
  </si>
  <si>
    <t>CrossCodeBench: Benchmarking Cross-Task Generalization of Source Code Models</t>
  </si>
  <si>
    <t>FN 1 - I. INTRODUCTION (2 links)</t>
  </si>
  <si>
    <t>https://doi.org/10.5281/zenodo.7321934 
https://github.com/NougatCA/CrossCodeBench</t>
  </si>
  <si>
    <r>
      <rPr>
        <rFont val="Arial"/>
        <color theme="1"/>
        <sz val="10.0"/>
      </rPr>
      <t>https://doi.org/10.5281/zenodo.7321934</t>
    </r>
    <r>
      <rPr>
        <rFont val="Arial"/>
        <color theme="1"/>
        <sz val="10.0"/>
      </rPr>
      <t xml:space="preserve">
https://github.com/NougatCA/CrossCodeBench</t>
    </r>
  </si>
  <si>
    <t>ECSTATIC: An Extensible Framework for Testing and Debugging Configurable Static Analysis</t>
  </si>
  <si>
    <t>https://doi.org/10.5281/zenodo.7577909</t>
  </si>
  <si>
    <t>Responsibility in Context: On Applicability of Slicing in Semantic Regression Analysis</t>
  </si>
  <si>
    <t>[31]
- I. INTRODUCTION
- III. CASE STUDY * (3x)
- V. EVALUATION *
- VI. LIMITATIONS AND THREATS TO VALIDITY
- VIII. CONCLUSION --- HL Data Availability</t>
  </si>
  <si>
    <t>https://resess.github.io/artifacts/InPreSS/</t>
  </si>
  <si>
    <t>Does the Stream API Benefit from Special Debugging Facilities? A Controlled Experiment on Loops and Streams with Specific Debuggers</t>
  </si>
  <si>
    <t>FN 9 - III. EXPERIMENT *</t>
  </si>
  <si>
    <t>https://drive.google.com/drive/folders/14Eg4krlQWZO8yrZlWMp325GGn42GtC2h</t>
  </si>
  <si>
    <t>Fonte: Finding Bug Inducing Commits from Failures</t>
  </si>
  <si>
    <t>https://github.com/coinse/fonte</t>
  </si>
  <si>
    <t>RepresentThemAll: A Universal Learning Representation of Bug Reports</t>
  </si>
  <si>
    <t>- FN 1 - I. INTRODUCTION --- HL Data Availability
- FN 2 - I. INTRODUCTION --- HL Data Availability</t>
  </si>
  <si>
    <t xml:space="preserve">https://github.com/ICSE-2023/RepresentThemALL
https://huggingface.co/Colorful/RTA </t>
  </si>
  <si>
    <t>Demystifying Exploitable Bugs in Smart Contracts</t>
  </si>
  <si>
    <t>[29]
- II. BACKGROUND
- III. RESEARCH QUESTIONS AND STUDY METHODOLOGY
- IV. (RQ1) ON THE EFFECTIVENESS OF EXISTING AUTOMATIC TOOLS
- VI. (RQ3) ON THE CATEGORIES OF MUBS
- VII. (RQ4) ON THE SYMPTOMS AND FIXES OF MUBS * (2x)
- X. DATA AVAILABILITY</t>
  </si>
  <si>
    <t>https://github.com/ZhangZhuoSJTU/Web3Bugs</t>
  </si>
  <si>
    <t>Understanding and Detecting On-the-Fly Configuration Bugs</t>
  </si>
  <si>
    <t>https://github.com/wangteng13/Parachute</t>
  </si>
  <si>
    <t>Explaining Software Bugs Leveraging Code Structures in Neural Machine Translation</t>
  </si>
  <si>
    <t>https://bit.ly/3H7R1aI (real link: https://archive.softwareheritage.org/browse/origin/directory/?origin_url=https://github.com/RAISEDAL/bugsplainer-icse23 )</t>
  </si>
  <si>
    <t>https://bit.ly/3H7R1aI</t>
  </si>
  <si>
    <t>Is It Enough to Recommend Tasks to Newcomers? Understanding Mentoring on Good First Issues</t>
  </si>
  <si>
    <t>XI. DATA AVAILABILITY</t>
  </si>
  <si>
    <t>https://figshare.com/s/addd697d581c82f96f9a</t>
  </si>
  <si>
    <t>From Organizations to Individuals: Psychoactive Substance Use By Professional Programmers</t>
  </si>
  <si>
    <t>FN 1 - IV. MAIN STUDY: STUDY METHODOLOGY</t>
  </si>
  <si>
    <t>https://github.com/CelloCorgi/ICSE2023_Psychoactive</t>
  </si>
  <si>
    <t>Our full interview script is available in our replication package1.
1Replication materials are available on Zenodo [28] or on GitHub at https: //github.com/CelloCorgi/ICSE2023 Psychoactive. We note this package does not include interview transcripts to protect the privacy of our participants.
[28] K. Newman, M. Endres, W. Weimer, and B. Johnson. Materials for From Organizations to Individuals: Psychoactive Substance Use By Professional Programmers. Zenodo, Feb. 2023. We note, due to the sensitivity of our data, the interview data itself is not included here. Please contact the authors to learn more if interested (weimerw@umich.edu) or (endremad@umich.edu).
Study Design Ethical Considerations – Data Availability: We highlight three ethical issues in our study design: recruiting, confidentiality and informed consent. For recruiting, we did not require official emails or company names, and allowed interviews with the camera off (after pre-screening with it on to verify identity). We employed a particularly high standard of confidentiality, including not releasing the interview text (which may contain identifying information admitting retaliation) without a data sharing agreement (e.g., via additional IRB certification, etc.). Finally, we obtained IRB permission to waive written informed consent (a paper trail linking the participant’s real name to the research) in favor of oral informed consent. These steps are pragmatically necessary (e.g., so people feel comfortable speaking truths), but, more importantly, are ethically necessary (to protect participants).</t>
  </si>
  <si>
    <t>On the Self-Governance and Episodic Changes in Apache Incubator Projects: An Empirical Study</t>
  </si>
  <si>
    <t>- FN 2 - IV. DATA AND METHODS
- FN 3 - IV. DATA AND METHODS</t>
  </si>
  <si>
    <t>https://doi.org/10.5281/zenodo.6526833
https://doi.org/10.5281/zenodo.7042616</t>
  </si>
  <si>
    <t>Socio-Technical Anti-Patterns in Building ML-Enabled Software: Insights from Leaders on the Forefront</t>
  </si>
  <si>
    <t>FN 3 - II. METHODOLOGY</t>
  </si>
  <si>
    <t>https://doi.org/10.5281/zenodo.7520777</t>
  </si>
  <si>
    <t>Moving on from the Software Engineers' Gambit: an Approach to Support the Defense of Software Effort Estimates</t>
  </si>
  <si>
    <t>- IX. DATA AVAILABILITY
[35]
- III. APPROACH *
- IV. EXPERIMENTAL DESIGN * (2x)
- V. RESULTS *
- VI. DISCUSSION * (3x)</t>
  </si>
  <si>
    <t>https://doi.org/10.6084/m9.figshare.20736844.v1</t>
  </si>
  <si>
    <t>Concrat: An Automatic C-to-Rust Lock API Translator for Concurrent Programs</t>
  </si>
  <si>
    <t>[34] I. INTRODUCTION</t>
  </si>
  <si>
    <t>https://doi.org/10.5281/zenodo.7573490</t>
  </si>
  <si>
    <t>Triggers for Reactive Synthesis Specifications</t>
  </si>
  <si>
    <t>- V. IMPLEMENTATION, VALIDATION, EVALUATION
- [3] V. IMPLEMENTATION, VALIDATION, EVALUATION (2x)
[4]
- FN 3 - IV. ENCODING *
- IV. ENCODING * (2x)
- V. IMPLEMENTATION, VALIDATION, EVALUATION (2x)
[1]
- I. INTRODUCTION
- II. PRELIMINARIES</t>
  </si>
  <si>
    <t xml:space="preserve">https://smlab.cs.tau.ac.il/syntech/spectra/
https://github.com/SpectraSynthesizer
https://doi.org/10.5281/zenodo.7568415 
https://smlab.cs.tau.ac.il/syntech/triggers/ </t>
  </si>
  <si>
    <r>
      <rPr>
        <rFont val="Arial"/>
        <color theme="1"/>
        <sz val="10.0"/>
      </rPr>
      <t>https://smlab.cs.tau.ac.il/syntech/spectra/</t>
    </r>
    <r>
      <rPr>
        <rFont val="Arial"/>
        <color theme="1"/>
        <sz val="10.0"/>
      </rPr>
      <t xml:space="preserve">
https://github.com/SpectraSynthesizer
https://doi.org/10.5281/zenodo.7568415
https://smlab.cs.tau.ac.il/syntech/triggers/</t>
    </r>
  </si>
  <si>
    <t>Publicly available (4)</t>
  </si>
  <si>
    <t>Using Reactive Synthesis: An End-to-End Exploratory Case Study</t>
  </si>
  <si>
    <t>- FN 1 - I. INTRODUCTION
- FN 2 - I. INTRODUCTION
[42] and [43]
- III. METHODOLOGY *
- VI. THREATS, EVALUATION, AND QUALITY CRITERIA --- HL Reliability</t>
  </si>
  <si>
    <r>
      <rPr>
        <rFont val="Arial"/>
        <color theme="1"/>
        <sz val="10.0"/>
      </rPr>
      <t xml:space="preserve">http://smlab.cs.tau.ac.il/syntech/ 
- https://smlab.cs.tau.ac.il/syntech/exploratory/ 
https://github.com/SpectraSynthesizer 
</t>
    </r>
    <r>
      <rPr>
        <rFont val="Arial"/>
        <color theme="1"/>
        <sz val="10.0"/>
      </rPr>
      <t>https://doi.org/10.5281/zenodo.7566397</t>
    </r>
  </si>
  <si>
    <r>
      <rPr>
        <rFont val="Arial"/>
        <color theme="1"/>
        <sz val="10.0"/>
      </rPr>
      <t>http://smlab.cs.tau.ac.il/syntech/</t>
    </r>
    <r>
      <rPr>
        <rFont val="Arial"/>
        <color theme="1"/>
        <sz val="10.0"/>
      </rPr>
      <t xml:space="preserve">
https://github.com/SpectraSynthesizer
https://doi.org/10.5281/zenodo.7566397</t>
    </r>
  </si>
  <si>
    <t>Syntax and Domain Aware Model for Unsupervised Program Translation</t>
  </si>
  <si>
    <t>Developer-Intent Driven Code Comment Generation</t>
  </si>
  <si>
    <t>[6] I. INTRODUCTION --- HL Data</t>
  </si>
  <si>
    <t>https://github.com/ICSE-DOME/DOME</t>
  </si>
  <si>
    <t>Data Quality Matters: A Case Study of Obsolete Comment Detection</t>
  </si>
  <si>
    <t>[18] and [19] I. INTRODUCTION --- HL Data Availability</t>
  </si>
  <si>
    <t xml:space="preserve">https://drive.google.com/drive/folders/1FKhZTQzkj-QpTdPE9f_L9Gn_pFP_EdBi 
https://github.com/SoftWiser-group/AdvOC </t>
  </si>
  <si>
    <r>
      <rPr>
        <rFont val="Arial"/>
        <color theme="1"/>
        <sz val="10.0"/>
      </rPr>
      <t>https://drive.google.com/drive/folders/1FKhZTQzkj-QpTdPE9f_L9Gn_pFP_EdBi</t>
    </r>
    <r>
      <rPr>
        <rFont val="Arial"/>
        <color theme="1"/>
        <sz val="10.0"/>
      </rPr>
      <t xml:space="preserve">
https://github.com/SoftWiser-group/AdvOC </t>
    </r>
  </si>
  <si>
    <t>Revisiting Learning-Based Commit Message Generation</t>
  </si>
  <si>
    <t>[31] XI. DATA AVAILABILITY</t>
  </si>
  <si>
    <t>https://doi.org/10.5281/zenodo.7042270</t>
  </si>
  <si>
    <t>Commit Message Matters: Investigating Impact and Evolution of Commit Message Quality</t>
  </si>
  <si>
    <t>[2]
- Abstract
- III. METHODOLOGY * (3x)
- VII. CONCLUSION AND FUTURE WORK --- HL Data Availability</t>
  </si>
  <si>
    <t>https://zenodo.org/record/7042943#.YxG_ROzMLdo</t>
  </si>
  <si>
    <t>PILAR: Studying and Mitigating the Influence of Configurations on Log Parsing</t>
  </si>
  <si>
    <t>https://github.com/senseconcordia/PILARData</t>
  </si>
  <si>
    <t>Did We Miss Something Important? Studying and Exploring Variable-Aware Log Abstraction</t>
  </si>
  <si>
    <t>https://github.com/ginolzh/Variable_Aware_Log_Abstraction</t>
  </si>
  <si>
    <t>On the Temporal Relations Between Logging and Code</t>
  </si>
  <si>
    <t>FN 2 - III. STUDY SETUP</t>
  </si>
  <si>
    <t>https://github.com/senseconcordia/TempoLo-replication-package</t>
  </si>
  <si>
    <t>How Do Developers' Profiles and Experiences Influence their Logging Practices? An Empirical Study of Industrial Practitioners</t>
  </si>
  <si>
    <t>- FN 1 - III. RESEARCH METHOD *
- FN 2 - IV. RESULTS *</t>
  </si>
  <si>
    <t>https://figshare.com/s/6b97f36f4ea75994360f</t>
  </si>
  <si>
    <t>When to Say What: Learning to Find Condition-Message Inconsistencies</t>
  </si>
  <si>
    <t>https://doi.org/10.5281/zenodo.7577795</t>
  </si>
  <si>
    <t>SemParser: A Semantic Parser for Log Analytics</t>
  </si>
  <si>
    <t>FN ¶ - VIII. CONCLUSION</t>
  </si>
  <si>
    <t>https://github.com/YintongHuo/SemParser</t>
  </si>
  <si>
    <t>BADGE: Prioritizing UI Events with Hierarchical Multi-armed Bandits for Automated UI Testing</t>
  </si>
  <si>
    <t>https://github.com/ranpku/Badge</t>
  </si>
  <si>
    <t>Efficiency Matters: Speeding Up Automated Testing with GUI Rendering Inference</t>
  </si>
  <si>
    <t>- FN 1 - I. INTRODUCTION
- FN 1 - II. MOTIVATIONAL STUDY *
- FN 3 - III. APPROACH *
- FN 4 - IV. EVALUATION *</t>
  </si>
  <si>
    <t>https://github.com/sidongfeng/AdaT</t>
  </si>
  <si>
    <t>CodaMOSA: Escaping Coverage Plateaus in Test Generation with Pre-Trained Large Language Models</t>
  </si>
  <si>
    <t>- I. INTRODUCTION
- VII. DISCUSSION --- HL Data availability</t>
  </si>
  <si>
    <t>https://github.com/microsoft/codamosa</t>
  </si>
  <si>
    <t>TAINTMINI: Detecting Flow of Sensitive Data in Mini-Programs with Static Taint Analysis</t>
  </si>
  <si>
    <t>V. EVALUATION *</t>
  </si>
  <si>
    <t>https://github.com/OSUSecLab/TaintMini</t>
  </si>
  <si>
    <t>AChecker: Statically Detecting Smart Contract Access Control Vulnerabilities</t>
  </si>
  <si>
    <t>[19] I. INTRODUCTION</t>
  </si>
  <si>
    <t>https://github.com/DependableSystemsLab/AChecker</t>
  </si>
  <si>
    <t>Fine-Grained Commit-Level Vulnerability Type Prediction by CWE Tree Structure</t>
  </si>
  <si>
    <t>[19]
- I. INTRODUCTION
- III. APPROACH *</t>
  </si>
  <si>
    <t>https://doi.org/10.6084/m9.figshare.19727050</t>
  </si>
  <si>
    <t>Silent Vulnerable Dependency Alert Prediction with Vulnerability Key Aspect Explanation</t>
  </si>
  <si>
    <t>https://github.com/anonymous-dev904/aspect_generation</t>
  </si>
  <si>
    <t>Reusing Deep Neural Network Models Through Model Re-Engineering</t>
  </si>
  <si>
    <t>- VII. CONCLUSION
- [46] IV. EXPERIMENTS * (2x)</t>
  </si>
  <si>
    <t>https://github.com/qibinhang/SeaM</t>
  </si>
  <si>
    <t>PYEVOLVE: Automating Frequent Code Changes in Python ML Systems</t>
  </si>
  <si>
    <t>[44]
- I. INTRODUCTION
- IV. EVALUATION * --- HL Verifiability
- VII. CONCLUSIONS AND FUTURE WORK</t>
  </si>
  <si>
    <t>https://pythoninfer.github.io/</t>
  </si>
  <si>
    <t>DeepArc: Modularizing Neural Networks for the Model Maintenance</t>
  </si>
  <si>
    <t>[25] III. EVALUATION * (3x)</t>
  </si>
  <si>
    <t>https://sites.google.com/view/deep-arc/</t>
  </si>
  <si>
    <t>Decomposing a Recurrent Neural Network into Modules for Enabling Reusability and Replacement</t>
  </si>
  <si>
    <t>[22]
- I. INTRODUCTION
- V. EVALUATION * (2x)</t>
  </si>
  <si>
    <t>https://huggingface.co/datasets/Anonymous1234/RNNDecomposition/tree/main</t>
  </si>
  <si>
    <t>CHRONOS: Time-Aware Zero-Shot Identification of Libraries from Vulnerability Reports</t>
  </si>
  <si>
    <t>- IX. DATA AVAILABILITY
[12]
- I. INTRODUCTION
- VI. DISCUSSION *
[13]
- I. INTRODUCTION
- VI. DISCUSSION *
- V. EVALUATION *</t>
  </si>
  <si>
    <t xml:space="preserve">https://github.com/soarsmu/Chronos
https://figshare.com/articles/software/Chronos-ICSE23/22082075 </t>
  </si>
  <si>
    <t>Understanding the Threats of Upstream Vulnerabilities to Downstream Projects in the Maven Ecosystem</t>
  </si>
  <si>
    <t>https://github.com/CGCL-codes/MavenEcoSysResearch</t>
  </si>
  <si>
    <t>SecBench.js: An Executable Security Benchmark Suite for Server-Side JavaScript</t>
  </si>
  <si>
    <t>- FN 1 - I. INTRODUCTION
- DATA AVAILABILITY</t>
  </si>
  <si>
    <t>https://github.com/cristianstaicu/SecBench.js</t>
  </si>
  <si>
    <t>On Privacy Weaknesses and Vulnerabilities in Software Systems</t>
  </si>
  <si>
    <t>- VIII. DATA AVAILABILITY
[24]
- III. IDENTIFYING PRIVACY-RELATED VULNERABILITIES IN CWE AND CVE *
- FN 12 - IV. COMMON PRIVACY THREATS IN SOFTWARE APPLICATIONS *
- IV. COMMON PRIVACY THREATS IN SOFTWARE APPLICATIONS * (2x)
- V. NEW COMMON PRIVACY WEAKNESSES</t>
  </si>
  <si>
    <t>https://doi.org/10.6084/m9.figshare.21922731 (real link: https://figshare.com/articles/conference_contribution/icse2023-paper908-replication-pkg/21922731 )</t>
  </si>
  <si>
    <t>https://doi.org/10.6084/m9.figshare.21922731</t>
  </si>
  <si>
    <t>Detecting Exception Handling Bugs in C++ Programs</t>
  </si>
  <si>
    <t>[43] DATA AVAILABILITY</t>
  </si>
  <si>
    <t>https://github.com/ewfsdvvr</t>
  </si>
  <si>
    <t>Learning to Boost Disjunctive Static Bug-Finders</t>
  </si>
  <si>
    <t xml:space="preserve">DATA AVAILABILITY
</t>
  </si>
  <si>
    <t>https://github.com/facebookresearch/data_driven_infer</t>
  </si>
  <si>
    <t>Predicting Bugs by Monitoring Developers During Task Execution</t>
  </si>
  <si>
    <t>[80] IV. CONTROLLED EXPERIMENT * --- HL Replication Package</t>
  </si>
  <si>
    <t>https://doi.org/10.6084/m9.figshare.16667710</t>
  </si>
  <si>
    <t>Detecting Isolation Bugs via Transaction Oracle Construction</t>
  </si>
  <si>
    <t>https://github.com/tcse-iscas/Troc</t>
  </si>
  <si>
    <t>SmallRace: Static Race Detection for Dynamic Languages - A Case on Smalltalk</t>
  </si>
  <si>
    <t>https://github.com/parasol-aser/smallrace-open-source</t>
  </si>
  <si>
    <t>"STILL AROUND": Experiences and Survival Strategies of Veteran Women Software Developers</t>
  </si>
  <si>
    <t>[53] III. METHODOLOGY * --- D. Data Availability</t>
  </si>
  <si>
    <t>https://doi.org/10.5281/zenodo.7491581</t>
  </si>
  <si>
    <t>When and Why Test Generators for Deep Learning Produce Invalid Inputs: an Empirical Study</t>
  </si>
  <si>
    <t xml:space="preserve">[46] V. RESULTS * </t>
  </si>
  <si>
    <t>https://github.com/testingautomated-usi/tig-validity-icse23</t>
  </si>
  <si>
    <t>Fuzzing Automatic Differentiation in Deep-Learning Libraries</t>
  </si>
  <si>
    <t>[68] VIII. CONCLUSION --- HL Data Availability</t>
  </si>
  <si>
    <t>https://github.com/ise-uiuc/NablaFuzz</t>
  </si>
  <si>
    <t>Lightweight Approaches to DNN Regression Error Reduction: An Uncertainty Alignment Perspective</t>
  </si>
  <si>
    <t>IV. EMPIRICAL EVALUATION</t>
  </si>
  <si>
    <t>https://github.com/Lizn-zn/Uncertainty-Alignment</t>
  </si>
  <si>
    <t>Revisiting Neuron Coverage for DNN Testing: A Layer-Wise and Distribution-Aware Criterion</t>
  </si>
  <si>
    <t>- I. INTRODUCTION --- HL Artifact
[1]
- I. INTRODUCTION
- II. PRELIMINARY AND OVERVIEW
- III. MOTIVATION AND RELATED WORKS *
- V. IMPLEMENTATION AND CONFIGURATIONS
- VI. EVALUATION * (3x)
- VI. EVALUATION * --- Caption of TABLE IV
- VI. EVALUATION * --- Caption of TABLE V</t>
  </si>
  <si>
    <t>https://github.com/Yuanyuan-Yuan/NeuraL-Coverage</t>
  </si>
  <si>
    <t>Code Review of Build System Specifications: Prevalence, Purposes, Patterns, and Perceptions</t>
  </si>
  <si>
    <t>- FN 5 - III. DATA PREPARATION * (it cites the FN 7)
- FN 7 - IV. QUANTITATIVE ANALYSIS (RQ1) *
- FN 7 - VI. QUALITATIVE ANALYSIS OF ISSUE PATTERNS (RQ3) * (2x)
- FN 7 - VII. INTERVIEW ANALYSIS FOR DEVELOPERS’ PERCEPTIONS (RQ4) *
- FN 7 - VIII. THREATS TO VALIDITY (2x)</t>
  </si>
  <si>
    <t>https://doi.org/10.5281/zenodo.7042929</t>
  </si>
  <si>
    <t>Better Automatic Program Repair by Using Bug Reports and Tests Together</t>
  </si>
  <si>
    <t>[70]
- I. INTRODUCTION
- DATA AVAILABILITY</t>
  </si>
  <si>
    <r>
      <rPr>
        <rFont val="Arial"/>
        <color theme="1"/>
        <sz val="10.0"/>
      </rPr>
      <t>https://doi.org/10.7910/DVN/OHMYAK</t>
    </r>
    <r>
      <rPr>
        <rFont val="Arial"/>
        <color theme="1"/>
        <sz val="10.0"/>
      </rPr>
      <t xml:space="preserve"> (real link: https://dataverse.harvard.edu/dataset.xhtml?persistentId=doi:10.7910/DVN/OHMYAK )</t>
    </r>
  </si>
  <si>
    <t>https://doi.org/10.7910/DVN/OHMYAK</t>
  </si>
  <si>
    <t>CCTEST: Testing and Repairing Code Completion Systems</t>
  </si>
  <si>
    <t>[12]
- I. INTRODUCTION --- HL Artifact availability
- III. APPROACH OVERVIEW *
- V. FINDINGS *</t>
  </si>
  <si>
    <t>https://sites.google.com/view/cctest-info</t>
  </si>
  <si>
    <t>KNOD: Domain Knowledge Distilled Tree Decoder for Automated Program Repair</t>
  </si>
  <si>
    <t>[65] VII. CONCLUSION --- HL Data Availability</t>
  </si>
  <si>
    <t>https://github.com/lin-tan/knod</t>
  </si>
  <si>
    <t>Rete: Learning Namespace Representation for Program Repair</t>
  </si>
  <si>
    <t>https://github.com/norhh/Rete</t>
  </si>
  <si>
    <t>AI-Based Question Answering Assistance for Analyzing Natural-Language Requirements</t>
  </si>
  <si>
    <t>[13]
- I. INTRODUCTION (2x)
- IV. EMPIRICAL EVALUATION *
- VIII. CONCLUSION</t>
  </si>
  <si>
    <t>https://gitlab.uni.lu/sezzini/QAssist/</t>
  </si>
  <si>
    <t>Strategies, Benefits and Challenges of App Store-Inspired Requirements Elicitation</t>
  </si>
  <si>
    <t>[40]
- III. STUDY DESIGN * (2x)
- VI. THREATS TO VALIDITY
- VII. CONCLUSION --- HL Data Availability</t>
  </si>
  <si>
    <t>https://doi.org/10.5281/zenodo.7578078</t>
  </si>
  <si>
    <t>Data-Driven Recurrent Set Learning For Non-Termination Analysis</t>
  </si>
  <si>
    <t>Compiling Parallel Symbolic Execution with Continuations</t>
  </si>
  <si>
    <t>https://continuation.passing.style/GenSym</t>
  </si>
  <si>
    <t>Verifying Data Constraint Equivalence in FinTech Systems</t>
  </si>
  <si>
    <t>[20] VIII. EVALUATION --- HL Availability</t>
  </si>
  <si>
    <t>https://github.com/EqDAC/EqDACTool</t>
  </si>
  <si>
    <t>The whole set of data constraints cannot be shared because of confidentiality agreements.</t>
  </si>
  <si>
    <t>Tolerate Control-Flow Changes for Sound Data Race Prediction</t>
  </si>
  <si>
    <t>Fill in the Blank: Context-Aware Automated Text Input Generation for Mobile GUI Testing</t>
  </si>
  <si>
    <t>- FN 2 - I. INTRODUCTION
- FN 2 - II. MOTIVATIONAL STUDY AND BACKGROUND *
- FN 2 - III. APPROACH * (2x)
- FN 2 - IV. EFFECTIVENESS EVALUATION *
- FN 2 - V. USEFULNESS EVALUATION (2x)</t>
  </si>
  <si>
    <t>https://github.com/franklinbill/QTypist</t>
  </si>
  <si>
    <t>Detecting Dialog-Related Keyboard Navigation Failures in Web Applications</t>
  </si>
  <si>
    <t>[44] V. EVALUATION</t>
  </si>
  <si>
    <t>https://sites.google.com/usc.edu/lotus/home</t>
  </si>
  <si>
    <t>COLUMBUS: Android App Testing Through Systematic Callback Exploration</t>
  </si>
  <si>
    <t>[9] I. INTRODUCTION --- HL Tool &amp; evaluation</t>
  </si>
  <si>
    <t>https://github.com/ucsb-seclab/columbus</t>
  </si>
  <si>
    <t>GameRTS: A Regression Testing Framework for Video Games</t>
  </si>
  <si>
    <t>[11]
- FN1 - I. INTRODUCTION
- II. AN EMPIRICAL STUDY ON GAME RTS *
- IV. STATE TRANSITION GRAPHS FOR GAMES
- FN 3 - VI. EVALUATION
- VI. EVALUATION * (2x)</t>
  </si>
  <si>
    <t>https://sites.google.com/view/gamerts</t>
  </si>
  <si>
    <t>Autonomy Is An Acquired Taste: Exploring Developer Preferences for GitHub Bots</t>
  </si>
  <si>
    <t>FN 4 - VII. CONCLUSION --- HL Replication Package</t>
  </si>
  <si>
    <t>https://doi.org/10.5281/zenodo.7040317</t>
  </si>
  <si>
    <t>Flexible and Optimal Dependency Management via Max-SMT</t>
  </si>
  <si>
    <t>[42] and [43] VIII. DATA AVAILABILITY</t>
  </si>
  <si>
    <t xml:space="preserve">https://doi.org/10.5281/zenodo.7554407 
https://github.com/donald-pinckney/pacsolve </t>
  </si>
  <si>
    <r>
      <rPr>
        <rFont val="Arial"/>
        <color theme="1"/>
        <sz val="10.0"/>
      </rPr>
      <t xml:space="preserve">https://doi.org/10.5281/zenodo.7554407
</t>
    </r>
    <r>
      <rPr>
        <rFont val="Arial"/>
        <color theme="1"/>
        <sz val="10.0"/>
      </rPr>
      <t>https://github.com/donald-pinckney/pacsolve</t>
    </r>
  </si>
  <si>
    <t>Impact of Code Language Models on Automated Program Repair</t>
  </si>
  <si>
    <t>[62] XI. DATA AVAILABILITY</t>
  </si>
  <si>
    <t>https://github.com/lin-tan/clm</t>
  </si>
  <si>
    <t>Tare: Type-Aware Neural Program Repair</t>
  </si>
  <si>
    <t>https://doi.org/10.5281/zenodo.7029404</t>
  </si>
  <si>
    <t>Template-Based Neural Program Repair</t>
  </si>
  <si>
    <t>- FN 1 - III. PROPOSED APPROACH *
- VI. CONCLUSION --- HL Data availability</t>
  </si>
  <si>
    <t>https://github.com/mxx1219/TENURE</t>
  </si>
  <si>
    <t>Automated Repair of Programs from Large Language Models</t>
  </si>
  <si>
    <t>https://github.com/zhiyufan/apr4codex</t>
  </si>
  <si>
    <t>Internal Threats: Our automated scripts may have bugs that can affect our reported results. To mitigate this threat, we will make our scripts available upon acceptance.</t>
  </si>
  <si>
    <t>Automated Program Repair in the Era of Large Pre-Trained Language Models</t>
  </si>
  <si>
    <t>[79] VI. THREATS TO VALIDITY</t>
  </si>
  <si>
    <t>https://zenodo.org/record/7592886</t>
  </si>
  <si>
    <t>Faster or Slower? Performance Mystery of Python Idioms Unveiled with Empirical Evidence</t>
  </si>
  <si>
    <t>- II. FORMATIVE STUDY
- III. EMPIRICAL STUDY SETUP
- IV. EMPIRICAL ANALYSIS
- Legend of Fig. 3 in "IV. EMPIRICAL ANALYSIS'"</t>
  </si>
  <si>
    <t>&gt;APPENDIX - real link: https://github.com/idiomaticrefactoring/PerformancePythonIdioms/blob/main/performance_python_idioms_supplementary_document.pdf</t>
  </si>
  <si>
    <t>APPENDIX - real link: https://github.com/idiomaticrefactoring/PerformancePythonIdioms/blob/main/performance_python_idioms_supplementary_document.pdf</t>
  </si>
  <si>
    <t>Testability Refactoring in Pull Requests: Patterns and Trends</t>
  </si>
  <si>
    <t>- FN 1 - I. INTRODUCTION
- FN 2 - II. RESEARCH METHODOLOGY *
- FN 9 -  VI. DISCUSSION *
- FN 10 -  VI. DISCUSSION *</t>
  </si>
  <si>
    <r>
      <rPr>
        <rFont val="Arial"/>
        <color theme="1"/>
        <sz val="10.0"/>
      </rPr>
      <t xml:space="preserve">https://github.com/icse2023preich/testability-refactoring-patterns
- https://github.com/icse2023preich/testability-refactoring-patterns/blob/main/README.md
- https://github.com/icse2023preich/testability-refactoring-patterns/blob/main/catalog.md
- </t>
    </r>
    <r>
      <rPr>
        <rFont val="Arial"/>
        <color theme="1"/>
        <sz val="10.0"/>
      </rPr>
      <t>https://github.com/icse2023preich/testability-refactoring-patterns/blob/main/reviewed.csv</t>
    </r>
  </si>
  <si>
    <t>https://github.com/icse2023preich/testability-refactoring-patterns</t>
  </si>
  <si>
    <t>Usability-Oriented Design of Liquid Types for Java</t>
  </si>
  <si>
    <t>- I. INTRODUCTION --- HL Data Availability
- III. USER STUDY</t>
  </si>
  <si>
    <t>https://doi.org/10.5281/zenodo.7545674</t>
  </si>
  <si>
    <t>Towards Understanding Fairness and its Composition in Ensemble Machine Learning</t>
  </si>
  <si>
    <t>https://github.com/UsmanGohar/FairEnsemble</t>
  </si>
  <si>
    <t>Fairify: Fairness Verification of Neural Networks</t>
  </si>
  <si>
    <t>- FN 1 - I. INTRODUCTION
- [59] V. EVALUATION *
[40]
- I. INTRODUCTION
- V. EVALUATION *</t>
  </si>
  <si>
    <t>https://github.com/sumonbis/Fairify 
- https://github.com/sumonbis/Fairify/blob/main/Appendix-Result.pdf</t>
  </si>
  <si>
    <t xml:space="preserve">https://github.com/sumonbis/Fairify </t>
  </si>
  <si>
    <t>Leveraging Feature Bias for Scalable Misprediction Explanation of Machine Learning Models</t>
  </si>
  <si>
    <t xml:space="preserve">- [2] V. EVALUATION *
- [3] V. EVALUATION *
[1]
- Abstract
- III. BGMD: BIAS GUIDED MISPREDICTION DIAGNOSER *
- V. EVALUATION *
</t>
  </si>
  <si>
    <t>https://github.com/Jirigesi/BGMD_MAPS
- https://github.com/Jirigesi/BGMD_MAPS/blob/main/README.md#:%E2%88%BC:text=0.0%2C%20max_samples%3DNone-,Data,5%2C940,-Footer 
- https://github.com/Jirigesi/BGMD_MAPS/blob/main/README.md#:∼:text=SVM,0.0%2C%20max samples%3DNone</t>
  </si>
  <si>
    <t>https://github.com/Jirigesi/BGMD_MAPS</t>
  </si>
  <si>
    <t>Information-Theoretic Testing and Debugging of Fairness Defects in Deep Neural Networks</t>
  </si>
  <si>
    <t>https://github.com/armanunix/Fairness-testing</t>
  </si>
  <si>
    <t>Demystifying Privacy Policy of Third-Party Libraries in Mobile Apps</t>
  </si>
  <si>
    <t>https://doi.org/10.5281/zenodo.7624059</t>
  </si>
  <si>
    <t>We release the code and data to other researchers by responsibly sharing a private repository. The project website with instructions to request access is at: https://atpchecker.github.io/ and https://doi.org/10.5281/zenodo.7624059. Besides, our data set is constructed by gathering publicly available privacy policy websites and apps without posing any ethical problems.</t>
  </si>
  <si>
    <t>Cross-Domain Requirements Linking via Adversarial-Based Domain Adaptation</t>
  </si>
  <si>
    <t>FN 4 - I. INTRODUCTION</t>
  </si>
  <si>
    <t>https://github.com/czycurefun/Requirement-Linking-Adversial-Adaptation</t>
  </si>
  <si>
    <t>On-Demand Security Requirements Synthesis with Relational Generative Adversarial Networks</t>
  </si>
  <si>
    <t>Measuring Secure Coding Practice and Culture: A Finger Pointing at the Moon is not the Moon</t>
  </si>
  <si>
    <t>[44] III. METHOD</t>
  </si>
  <si>
    <t xml:space="preserve">osf.io/mz29b </t>
  </si>
  <si>
    <t>What Challenges Do Developers Face About Checked-in Secrets in Software Artifacts?</t>
  </si>
  <si>
    <t>- [23] II. METHODOLOGY *
- [59] III. RESULTS *
[30]
- III. RESULTS --- caption of  TABLE IV (2x)
- III. RESULTS *
- V. ETHICS</t>
  </si>
  <si>
    <t xml:space="preserve">https://github.com/setu1421/ICSE-2023-Artifacts
https://figshare.com/s/edebdcb73def3bdb7cfb 
https://figshare.com/s/1532991322add36e2eb5 </t>
  </si>
  <si>
    <r>
      <rPr>
        <rFont val="Arial"/>
        <color theme="1"/>
        <sz val="10.0"/>
      </rPr>
      <t>https://github.com/setu1421/ICSE-2023-Artifacts</t>
    </r>
    <r>
      <rPr>
        <rFont val="Arial"/>
        <color theme="1"/>
        <sz val="10.0"/>
      </rPr>
      <t xml:space="preserve">
https://figshare.com/s/edebdcb73def3bdb7cfb
https://figshare.com/s/1532991322add36e2eb5</t>
    </r>
  </si>
  <si>
    <t>Not available (1) - Broken link.
Publicly available (2)</t>
  </si>
  <si>
    <t>Lejacon: A Lightweight and Efficient Approach to Java Confidential Computing on SGX</t>
  </si>
  <si>
    <t>- FN 2 - VIII. DATA AVAILABILITY
- FN 3 - VIII. DATA AVAILABILITY</t>
  </si>
  <si>
    <t>https://github.com/apache/incubator-teaclave-java-tee-sdk
https://github.com/MatthewXY01/Lejacon</t>
  </si>
  <si>
    <t>Keyword Extraction From Specification Documents for Planning Security Mechanisms</t>
  </si>
  <si>
    <t>- [34] II. METHOD *
- [35] II. METHOD *
- [51] III. EVALUATION *</t>
  </si>
  <si>
    <t xml:space="preserve">https://doi.org/10.5281/zenodo.6526011
https://doi.org/10.5281/zenodo.7578926 
https://doi.org/10.5281/zenodo.7578909 </t>
  </si>
  <si>
    <r>
      <rPr>
        <rFont val="Arial"/>
        <color theme="1"/>
        <sz val="10.0"/>
      </rPr>
      <t>https://doi.org/10.5281/zenodo.6526011</t>
    </r>
    <r>
      <rPr>
        <rFont val="Arial"/>
        <color theme="1"/>
        <sz val="10.0"/>
      </rPr>
      <t xml:space="preserve">
https://doi.org/10.5281/zenodo.7578926
https://doi.org/10.5281/zenodo.7578909</t>
    </r>
  </si>
  <si>
    <t>Dependency Facade: The Coupling and Conflicts Between Android Framework and Its Customization</t>
  </si>
  <si>
    <t>https://github.com/xjtu-enre/DepFCD</t>
  </si>
  <si>
    <t>Test Selection for Unified Regression Testing</t>
  </si>
  <si>
    <t>- I. INTRODUCTION ---  HL Data Availability
- XI. CONCLUDING REMARKS --- HL Data Availability</t>
  </si>
  <si>
    <t xml:space="preserve">https://github.com/xlab-uiuc/uRTS-ae </t>
  </si>
  <si>
    <t>ATM: Black-box Test Case Minimization Based on Test Code Similarity and Evolutionary Search</t>
  </si>
  <si>
    <t>[16]
- II. ATM: BLACK-BOX TEST CASE MINIMIZATION *
- III. VALIDATION * (4x)
- VII. DATA AVAILABILITY</t>
  </si>
  <si>
    <t>https://doi.org/10.5281/zenodo.7455766</t>
  </si>
  <si>
    <t>Measuring and Mitigating Gaps in Structural Testing</t>
  </si>
  <si>
    <t>[1] IX. DATA AVAILABILITY</t>
  </si>
  <si>
    <t>https://doi.org/10.6084/m9.figshare.21950552.v12</t>
  </si>
  <si>
    <t>Heterogeneous Anomaly Detection for Software Systems via Semi-Supervised Cross-Modal Attention</t>
  </si>
  <si>
    <t>[18]
- I. INTRODUCTION
- III. DATA COLLECTION
- VI. EVALUATION *</t>
  </si>
  <si>
    <t>https://github.com/BEbillionaireUSD/Hades/</t>
  </si>
  <si>
    <t>Recommending Root-Cause and Mitigation Steps for Cloud Incidents Using Large Language Models</t>
  </si>
  <si>
    <t>We cannot share the dataset because incident data can contain confidential and private data and sharing such data would violate the terms of service.</t>
  </si>
  <si>
    <t>Eadro: An End-to-End Troubleshooting Framework for Microservices on Multi-Source Data</t>
  </si>
  <si>
    <t>https://github.com/BEbillionaireUSD/Eadro</t>
  </si>
  <si>
    <t>LogReducer: Identify and Reduce Log Hotspots in Kernel on the Fly</t>
  </si>
  <si>
    <t>- FN 2 - IV. LogReducer FRAMEWORK *
- [60]  X. DATA AVAILABILITY</t>
  </si>
  <si>
    <t>https://github.com/IntelligentDDS/LogReducer</t>
  </si>
  <si>
    <t>Due to confidentiality, we do not disclose the service, file, and function names.
For confidentiality, we use the number ID to indicate the names of the services.
For confidentiality, we replace the service, files, and uins in logs as dummy ones.</t>
  </si>
  <si>
    <t>Aries: Efficient Testing of Deep Neural Networks via Labeling-Free Accuracy Estimation</t>
  </si>
  <si>
    <t>- FN 1 - I. INTRODUCTION
- FN 1 - IV. EXPERIMENTAL SETUP</t>
  </si>
  <si>
    <t>https://github.com/wellido/Aries</t>
  </si>
  <si>
    <t>CC: Causality-Aware Coverage Criterion for Deep Neural Networks</t>
  </si>
  <si>
    <t>[2]
- I. INTRODUCTION --- HL Artifact availability
- V. IMPLEMENTATION AND EVALUATION SETUP
- VI. EVALUATION AND FINDINGS *</t>
  </si>
  <si>
    <r>
      <rPr>
        <rFont val="Arial"/>
        <color theme="1"/>
        <sz val="10.0"/>
      </rPr>
      <t>https://anonymous.4open.science/r/DL_CC-4000/</t>
    </r>
    <r>
      <rPr>
        <rFont val="Arial"/>
        <color theme="1"/>
        <sz val="10.0"/>
      </rPr>
      <t xml:space="preserve"> (real link: </t>
    </r>
    <r>
      <rPr>
        <rFont val="Arial"/>
        <color theme="1"/>
        <sz val="10.0"/>
      </rPr>
      <t>https://github.com/ZhenlanJi/DL_CC</t>
    </r>
    <r>
      <rPr>
        <rFont val="Arial"/>
        <color theme="1"/>
        <sz val="10.0"/>
      </rPr>
      <t xml:space="preserve"> )</t>
    </r>
  </si>
  <si>
    <t>https://anonymous.4open.science/r/DL_CC-4000/</t>
  </si>
  <si>
    <t>Balancing Effectiveness and Flakiness of Non-Deterministic Machine Learning Tests</t>
  </si>
  <si>
    <t>https://github.com/ise-uiuc/FASER</t>
  </si>
  <si>
    <t>Many-Objective Reinforcement Learning for Online Testing of DNN-Enabled Systems</t>
  </si>
  <si>
    <t>[42] VIII. DATA AVAILABILITY</t>
  </si>
  <si>
    <t>https://doi.org/10.6084/m9.figshare.20526867</t>
  </si>
  <si>
    <t>Reliability Assurance for Deep Neural Network Architectures Against Numerical Defects</t>
  </si>
  <si>
    <t>- FN 2 - I. INTRODUCTION
- VI. CONCLUSION --- HL Data Availability
- [18] VI. CONCLUSION --- HL Data Availability</t>
  </si>
  <si>
    <t xml:space="preserve">https://github.com/llylly/RANUM
https://arxiv.org/pdf/2302.06086.pdf </t>
  </si>
  <si>
    <t>Demystifying Issues, Challenges, and Solutions for Multilingual Software Development</t>
  </si>
  <si>
    <t>&gt;https://zenodo.org/record/7627260#.Y-XpVHbMJPY</t>
  </si>
  <si>
    <t>https://zenodo.org/record/7627260#.Y-XpVHbMJPY</t>
  </si>
  <si>
    <t>Automated Summarization of Stack Overflow Posts</t>
  </si>
  <si>
    <t>FN 2 - XI. DATA AVAILABILITY</t>
  </si>
  <si>
    <t>https://github.com/BonanKou/ASSORT-Automatic-Summarization-of-Stack-Overflow-Posts</t>
  </si>
  <si>
    <t>Semi-Automatic, Inline and Collaborative Web Page Code Curations</t>
  </si>
  <si>
    <t>- IX. DATA AVAILABILITY
[16]
- I. INTRODUCTION
- III. APPROACH *
- IV. STUDY METHOD --- caption of TABLE I
- IV. STUDY METHOD *</t>
  </si>
  <si>
    <t>https://doi.org/10.5281/zenodo.7622496</t>
  </si>
  <si>
    <t>Identifying Key Classes for Initial Software Comprehension: Can We Do It Better?</t>
  </si>
  <si>
    <t>- I. INTRODUCTION
- FN 3 - III. THE PROPOSED APPROACH *
- FN 4 - V. EMPIRICAL EVALUATION *
- FN 5 - V. EMPIRICAL EVALUATION *
- FN 6 - V. EMPIRICAL EVALUATION *</t>
  </si>
  <si>
    <r>
      <rPr>
        <rFont val="Arial"/>
        <color theme="1"/>
        <sz val="10.0"/>
      </rPr>
      <t>https://github.com/Welch123/iFit</t>
    </r>
    <r>
      <rPr>
        <rFont val="Arial"/>
        <color theme="1"/>
        <sz val="10.0"/>
        <u/>
      </rPr>
      <t xml:space="preserve">
</t>
    </r>
    <r>
      <rPr>
        <rFont val="Arial"/>
        <color theme="1"/>
        <sz val="10.0"/>
      </rPr>
      <t xml:space="preserve">- https://github.com/Welch123/iFit/tree/master/Appendix </t>
    </r>
  </si>
  <si>
    <t>https://github.com/Welch123/iFit</t>
  </si>
  <si>
    <t>Improving API Knowledge Discovery with ML: A Case Study of Comparable API Methods</t>
  </si>
  <si>
    <t>- VIII. CONCLUSION --- HL Data Availability
- [82] VIII. CONCLUSION --- HL Data Availability</t>
  </si>
  <si>
    <t>https://doi.org/10.5281/zenodo.7570960
- DOI 10.5281/zenodo.7570586 (real link: https://doi.org/10.5281/zenodo.7570586 )</t>
  </si>
  <si>
    <t>https://doi.org/10.5281/zenodo.7570960</t>
  </si>
  <si>
    <t>Evidence Profiles for Validity Threats in Program Comprehension Experiments</t>
  </si>
  <si>
    <t>[52] VII. DATA AVAILABILITY</t>
  </si>
  <si>
    <t>https://doi.org/10.5281/zenodo.7038907</t>
  </si>
  <si>
    <t>Developers' Visuo-Spatial Mental Model and Program Comprehension</t>
  </si>
  <si>
    <t>FN 7 - III. STUDY DESIGN *</t>
  </si>
  <si>
    <t>https://github.com/abiUni/spatial_code_comprehension</t>
  </si>
  <si>
    <t>Two Sides of the Same Coin: Exploiting the Impact of Identifiers in Neural Code Comprehension</t>
  </si>
  <si>
    <t>- FN 4 - V. EXPERIMENTAL RESULTS *
- FN 5 - V. EXPERIMENTAL RESULTS * 
- VIII. CONCLUSION AND FUTURE WORK --- HL Data availability</t>
  </si>
  <si>
    <t>https://github.com/ReliableCoding/CREAM</t>
  </si>
  <si>
    <t>SeeHow: Workflow Extraction from Programming Screencasts Through Action-Aware Video Analytics</t>
  </si>
  <si>
    <t>FN 1 - I. INTRODUCTION
FN 2 - I. INTRODUCTION</t>
  </si>
  <si>
    <t>https://github.com/DehaiZhao/SeeHow
http://seecollections.com/seehow/example</t>
  </si>
  <si>
    <t>AidUI: Toward Automated Recognition of Dark Patterns in User Interfaces</t>
  </si>
  <si>
    <t>[7] IV. EVALUATION METHODOLOGY *
[6], [7] and [8]
- I. INTRODUCTION
- II. UNIFYING WEB AND MOBILE DARK PATTERNS
- III. THE AIDUI APPROACH *</t>
  </si>
  <si>
    <t>https://github.com/SageSELab/AidUI 
https://sagelab.io/aidui/ 
https://doi.org/10.5281/zenodo.7578246</t>
  </si>
  <si>
    <r>
      <rPr>
        <rFont val="Arial"/>
        <color theme="1"/>
        <sz val="10.0"/>
      </rPr>
      <t>https://github.com/SageSELab/AidUI</t>
    </r>
    <r>
      <rPr>
        <rFont val="Arial"/>
        <color theme="1"/>
        <sz val="10.0"/>
      </rPr>
      <t xml:space="preserve">
</t>
    </r>
    <r>
      <rPr>
        <rFont val="Arial"/>
        <color theme="1"/>
        <sz val="10.0"/>
      </rPr>
      <t>https://sagelab.io/aidui/</t>
    </r>
    <r>
      <rPr>
        <rFont val="Arial"/>
        <color theme="1"/>
        <sz val="10.0"/>
      </rPr>
      <t xml:space="preserve">
https://doi.org/10.5281/zenodo.7578246</t>
    </r>
  </si>
  <si>
    <t>Carving UI Tests to Generate API Tests and API Specification</t>
  </si>
  <si>
    <t>[29]
- I. INTRODUCTION
- IV. IMPLEMENTATION
- V. EMPIRICAL EVALUATION *</t>
  </si>
  <si>
    <t>https://github.com/apicarve/apicarver</t>
  </si>
  <si>
    <t>Ex Pede Herculem: Augmenting Activity Transition Graph for Apps via Graph Convolution Network</t>
  </si>
  <si>
    <t>- I. INTRODUCTION
- FN 2 - I. INTRODUCTION
- FN 2 - IV. USEFULNESS EVALUATION *</t>
  </si>
  <si>
    <t>https://youtu.be/u8Rgh5bruAE ( real link: https://www.youtube.com/watch?v=u8Rgh5bruAE )
https://github.com/franklinbill/ArchiDroid</t>
  </si>
  <si>
    <r>
      <rPr>
        <rFont val="Arial"/>
        <color theme="1"/>
        <sz val="10.0"/>
      </rPr>
      <t>https://youtu.be/u8Rgh5bruAE</t>
    </r>
    <r>
      <rPr>
        <rFont val="Arial"/>
        <color theme="1"/>
        <sz val="10.0"/>
      </rPr>
      <t xml:space="preserve">
https://github.com/franklinbill/ArchiDroid </t>
    </r>
  </si>
  <si>
    <t>Sustainability is Stratified: Toward a Better Theory of Sustainable Software Engineering</t>
  </si>
  <si>
    <t>https://doi.org/10.6084/m9.figshare.20731855.v1</t>
  </si>
  <si>
    <t>DLInfer: Deep Learning with Static Slicing for Python Type Inference</t>
  </si>
  <si>
    <t>[1] I. INTRODUCTION --- HL Data availability
- I. INTRODUCTION --- HL Data availability</t>
  </si>
  <si>
    <t xml:space="preserve">https://github.com/Yanwords/DLInfer_dataset
https://doi.org/10.5281/zenodo.7575544 </t>
  </si>
  <si>
    <t>ViolationTracker: Building Precise Histories for Static Analysis Violations</t>
  </si>
  <si>
    <t>FN 6 - I. INTRODUCTION</t>
  </si>
  <si>
    <t>https://github.com/FudanSELab/violationTracker</t>
  </si>
  <si>
    <t>Compiler Test-Program Generation via Memoized Configuration Search</t>
  </si>
  <si>
    <t>- I. INTRODUCTION
- [47] VII. DISCUSSION *</t>
  </si>
  <si>
    <t>https://github.com/tju-chenyaosuo/MCS</t>
  </si>
  <si>
    <t>Generating Test Databases for Database-Backed Applications</t>
  </si>
  <si>
    <t>Testing Database Engines via Query Plan Guidance</t>
  </si>
  <si>
    <t>https://zenodo.org/record/7553013</t>
  </si>
  <si>
    <t>Testing Database Systems via Differential Query Execution</t>
  </si>
  <si>
    <t>https://github.com/tcse-iscas/dqetool</t>
  </si>
  <si>
    <t>Analyzing the Impact of Workloads on Modeling the Performance of Configurable Software Systems</t>
  </si>
  <si>
    <t>https://doi.org/10.5281/zenodo.7504284</t>
  </si>
  <si>
    <t>Twins or False Friends? A Study on Energy Consumption and Performance of Configurable Software</t>
  </si>
  <si>
    <t>- FN 1 - I. INTRODUCTION
- FN 2 - IV. EXPERIMENT SETUP</t>
  </si>
  <si>
    <t>https://zenodo.org/record/7544891</t>
  </si>
  <si>
    <t>Learning Deep Semantics for Test Completion</t>
  </si>
  <si>
    <t>https://github.com/EngineeringSoftware/teco</t>
  </si>
  <si>
    <t>SkCoder: A Sketch-Based Approach for Automatic Code Generation</t>
  </si>
  <si>
    <t>[15] I. INTRODUCTION --- HL Data Availability</t>
  </si>
  <si>
    <t>https://github.com/LJ2lijia/SkCoder</t>
  </si>
  <si>
    <t>An Empirical Comparison of Pre-Trained Models of Source Code</t>
  </si>
  <si>
    <t>FN 11 - VIII. CONCLUSION</t>
  </si>
  <si>
    <t xml:space="preserve">https://github.com/NougatCA/FineTuner 
https://doi.org/10.5281/zenodo.7318110 </t>
  </si>
  <si>
    <r>
      <rPr>
        <rFont val="Arial"/>
        <color theme="1"/>
        <sz val="10.0"/>
      </rPr>
      <t xml:space="preserve">https://github.com/NougatCA/FineTuner
</t>
    </r>
    <r>
      <rPr>
        <rFont val="Arial"/>
        <color theme="1"/>
        <sz val="10.0"/>
      </rPr>
      <t>https://doi.org/10.5281/zenodo.7318110</t>
    </r>
  </si>
  <si>
    <t>On the Robustness of Code Generation Techniques: An Empirical Study on GitHub Copilot</t>
  </si>
  <si>
    <t>[6]
- I. INTRODUCTION
- II. STUDY DESIGN * (2x)
- II. STUDY DESIGN --- D. Replication Package
- III. RESULTS DISCUSSION</t>
  </si>
  <si>
    <t>https://github.com/antonio-mastropaolo/robustness-copilot</t>
  </si>
  <si>
    <t>Source Code Recommender Systems: The Practitioners' Perspective</t>
  </si>
  <si>
    <t>- I. INTRODUCTION --- HL Data Availability
- VI. CONCLUSION AND FUTURE WORK
[4]
- II. STUDY DESIGN * (2x)
- III. RESULTS DISCUSSION *
- IV. VALIDITY DISCUSSION (2x)</t>
  </si>
  <si>
    <t>https://code-recommenders.github.io/</t>
  </si>
  <si>
    <t>Safe Low-Level Code Without Overhead is Practical</t>
  </si>
  <si>
    <t>XII. DATA AVAILABILITY</t>
  </si>
  <si>
    <t>https://github.com/dslab-epfl/tinynf</t>
  </si>
  <si>
    <t>Sibyl: Improving Software Engineering Tools with SMT Selection</t>
  </si>
  <si>
    <t>- III. APPROACH *
- V. EVALUATION *
[62]
- IV. EXPERIMENTAL DESIGN --- HL Data availability
- IV. EXPERIMENTAL DESIGN *
[63]
- IV. EXPERIMENTAL DESIGN --- HL Data availability
- V. EVALUATION *</t>
  </si>
  <si>
    <t xml:space="preserve">https://doi.org/10.5281/zenodo.6521826 
https://archive.softwareheritage.org/browse/directory/bc493ad1d1631b4ae92b007340fdba3df4518526/ 
https://anonymous.4open.science/r/sibyl-884E </t>
  </si>
  <si>
    <r>
      <rPr>
        <rFont val="Arial"/>
        <color theme="1"/>
        <sz val="10.0"/>
      </rPr>
      <t>https://doi.org/10.5281/zenodo.6521826</t>
    </r>
    <r>
      <rPr>
        <rFont val="Arial"/>
        <color theme="1"/>
        <sz val="10.0"/>
      </rPr>
      <t xml:space="preserve">
https://archive.softwareheritage.org/browse/directory/bc493ad1d1631b4ae92b007340fdba3df4518526/
https://anonymous.4open.science/r/sibyl-884E</t>
    </r>
  </si>
  <si>
    <t>CoCoSoDa: Effective Contrastive Learning for Code Search</t>
  </si>
  <si>
    <t>- VII. CONCLUSION
[76]
- IV. EXPERIMENTAL DESIGN *
- V. EXPERIMENTAL RESULTS * (2x)</t>
  </si>
  <si>
    <t>https://github.com/DeepSoftwareAnalytics/CoCoSoDa</t>
  </si>
  <si>
    <t>Coverage Guided Fault Injection for Cloud Systems</t>
  </si>
  <si>
    <t>https://github.com/tcse-iscas/crashfuzz</t>
  </si>
  <si>
    <t>Diver: Oracle-Guided SMT Solver Testing with Unrestricted Random Mutations</t>
  </si>
  <si>
    <t>https://github.com/kupl/Diver-Artifact</t>
  </si>
  <si>
    <t>An Empirical Study of Deep Learning Models for Vulnerability Detection</t>
  </si>
  <si>
    <t>Abstract</t>
  </si>
  <si>
    <t>https://doi.org/10.6084/m9.figshare.20791240</t>
  </si>
  <si>
    <t>DeepVD: Toward Class-Separation Features for Neural Network Vulnerability Detection</t>
  </si>
  <si>
    <t>[28] I. INTRODUCTION</t>
  </si>
  <si>
    <t>https://github.com/deepvd2022/deepvd2022</t>
  </si>
  <si>
    <t>Enhancing Deep Learning-Based Vulnerability Detection by Building Behavior Graph Model</t>
  </si>
  <si>
    <t xml:space="preserve">VIII. DATA AVAILABILITY
</t>
  </si>
  <si>
    <t>https://github.com/CGCL-codes/VulBG</t>
  </si>
  <si>
    <t>Vulnerability Detection with Graph Simplification and Enhanced Graph Representation Learning</t>
  </si>
  <si>
    <t>- FN 1 - III. AMPLE FRAMEWORK *
- VII. CONCLUSION --- HL Data availability</t>
  </si>
  <si>
    <t>https://github.com/AMPLE001/AMPLE</t>
  </si>
  <si>
    <t>Does Data Sampling Improve Deep Learning-Based Vulnerability Detection? Yeas! and Nays!</t>
  </si>
  <si>
    <t>https://github.com/WIP2022/DataSampling4DLVD</t>
  </si>
  <si>
    <t>Incident-Aware Duplicate Ticket Aggregation for Cloud Systems</t>
  </si>
  <si>
    <t>IX. DATA AVAILABILITY</t>
  </si>
  <si>
    <t>https://github.com/OpsPAI/iPACK.git</t>
  </si>
  <si>
    <t>The ticket data used in this work is collected from a realworld cloud vendor, which is highly confidential and contains a lot of personally identifiable information (PII). To protect customers’ privacy, we decide not to release the original dataset.</t>
  </si>
  <si>
    <t>Large Language Models are Few-Shot Testers: Exploring LLM-Based General Bug Reproduction</t>
  </si>
  <si>
    <t>FN 4 - IV. EVALUATION *</t>
  </si>
  <si>
    <t>https://anonymous.4open.science/r/llm-testgen-artifact-2753</t>
  </si>
  <si>
    <t>On the Reproducibility of Software Defect Datasets</t>
  </si>
  <si>
    <t>VI. CONCLUSIONS</t>
  </si>
  <si>
    <t>https://github.com/ucd-plse/on-the-reproducibility</t>
  </si>
  <si>
    <t>Context-Aware Bug Reproduction for Mobile Apps</t>
  </si>
  <si>
    <t>https://github.com/wuchiuwong/ContextAwareReproduction</t>
  </si>
  <si>
    <t>Read It, Don't Watch It: Captioning Bug Recordings Automatically</t>
  </si>
  <si>
    <t>FN 1 - I. INTRODUCTION
FN 2 - IV. USEFULNESS EVALUATION</t>
  </si>
  <si>
    <t>https://github.com/sidongfeng/CAPdroid</t>
  </si>
  <si>
    <t>DuetCS: Code Style Transfer Through Generation and Retrieval</t>
  </si>
  <si>
    <t>FN 1 - VII. EXPERIMENTS</t>
  </si>
  <si>
    <t>https://github.com/LUH-DBS/Binger/tree/main/DuetCS</t>
  </si>
  <si>
    <t>On the Applicability of Language Models to Block-Based Programs</t>
  </si>
  <si>
    <t>https://doi.org/10.6084/m9.figshare.19382588.v1</t>
  </si>
  <si>
    <t>MTTM: Metamorphic Testing for Textual Content Moderation Software</t>
  </si>
  <si>
    <t>FN 1 - Abstract
FN 2 - I. INTRODUCTION</t>
  </si>
  <si>
    <t xml:space="preserve">http://ariselab.cse.cuhk.edu.hk/projects.html
https://github.com/Jarviswang94/MTTM </t>
  </si>
  <si>
    <t>Metamorphic Shader Fusion for Testing Graphics Shader Compilers</t>
  </si>
  <si>
    <t>[5] VI. EVALUATION (2x)
[1]
- I. INTRODUCTION
- V. IMPLEMENTATION</t>
  </si>
  <si>
    <t xml:space="preserve">https://sites.google.com/view/fshader/ 
https://fshader2023.github.io/ </t>
  </si>
  <si>
    <r>
      <rPr>
        <rFont val="Arial"/>
        <color theme="1"/>
        <sz val="10.0"/>
      </rPr>
      <t>https://sites.google.com/view/fshader/</t>
    </r>
    <r>
      <rPr>
        <rFont val="Arial"/>
        <color theme="1"/>
        <sz val="10.0"/>
      </rPr>
      <t xml:space="preserve">
https://fshader2023.github.io/</t>
    </r>
  </si>
  <si>
    <t>MorphQ: Metamorphic Testing of the Qiskit Quantum Computing Platform</t>
  </si>
  <si>
    <t>- DATA AVAILABILITY
- FN 2 - DATA AVAILABILITY</t>
  </si>
  <si>
    <t xml:space="preserve">https://github.com/sola-st/MorphQ-Quantum-Qiskit-Testing-ICSE-23 
https://figshare.com/s/dd0d4af20fd6e06148a3 
https://zenodo.org/record/7575881 </t>
  </si>
  <si>
    <r>
      <rPr>
        <rFont val="Arial"/>
        <color theme="1"/>
        <sz val="10.0"/>
      </rPr>
      <t>https://github.com/sola-st/MorphQ-Quantum-Qiskit-Testing-ICSE-23</t>
    </r>
    <r>
      <rPr>
        <rFont val="Arial"/>
        <color theme="1"/>
        <sz val="10.0"/>
      </rPr>
      <t xml:space="preserve">
https://figshare.com/s/dd0d4af20fd6e06148a3
https://zenodo.org/record/7575881</t>
    </r>
  </si>
  <si>
    <t>Automating Code-Related Tasks Through Transformers: The Impact of Pre-Training</t>
  </si>
  <si>
    <t xml:space="preserve">[21]
- I. INTRODUCTION
- II. A SLR ON PRE-TRAINING OBJECTIVES USED TO AUTOMATE CODE-RELATED TASKS * (2x)
- III. STUDYING THE IMPACT OF PRE-TRAINING *
- IV. RESULTS DISCUSSION *
- V. THREATS TO VALIDITY
</t>
  </si>
  <si>
    <t>https://github.com/RosaliaTufano/impact_pre-training</t>
  </si>
  <si>
    <t>Log Parsing with Prompt-Based Few-Shot Learning</t>
  </si>
  <si>
    <t>- FN 1 - IV. EXPERIMENTAL DESIGN *
- VIII. CONCLUSION --- HL Data Availability</t>
  </si>
  <si>
    <t>https://github.com/LogIntelligence/LogPPT</t>
  </si>
  <si>
    <t>Retrieval-Based Prompt Selection for Code-Related Few-Shot Learning</t>
  </si>
  <si>
    <t>[29]
- I. INTRODUCTION
- V. THREATS TO VALIDITY --- HL Reproducibility</t>
  </si>
  <si>
    <t>https://github.com/prompt-learning/cedar</t>
  </si>
  <si>
    <t>An Empirical Study of Pre-Trained Model Reuse in the Hugging Face Deep Learning Model Registry</t>
  </si>
  <si>
    <t>REPRODUCIBILITY AND RESEARCH ETHICS</t>
  </si>
  <si>
    <t>https://doi.org/10.5281/zenodo.7555469</t>
  </si>
  <si>
    <t>ContraBERT: Enhancing Code Pre-trained Models via Contrastive Learning</t>
  </si>
  <si>
    <t>[41] I. INTRODUCTION</t>
  </si>
  <si>
    <t>https://sites.google.com/view/contrabert</t>
  </si>
  <si>
    <t>DStream: A Streaming-Based Highly Parallel IFDS Framework</t>
  </si>
  <si>
    <t>https://github.com/DStream-project</t>
  </si>
  <si>
    <t>(Partial) Program Dependence Learning</t>
  </si>
  <si>
    <t>[36]
- VII. WHAT DOES NEURALPDA LEARN? A CASE STUDY
- XIII. DATA AVAILABILITY</t>
  </si>
  <si>
    <t>https://github.com/deeppda-icse23/DeepPDA/</t>
  </si>
  <si>
    <t>MirrorTaint: Practical Non-Intrusive Dynamic Taint Tracking for JVM-Based Microservice Systems</t>
  </si>
  <si>
    <t>[51]
- IV. APPROACH * (2x)
- V. EVALUATION * (2x)</t>
  </si>
  <si>
    <t>https://github.com/MirrorTaint/MirrorTaint</t>
  </si>
  <si>
    <t>In this paper, we also reproduce the vulnerability to investigate the potential of MirrorTaint in detecting such attacks. Specifically, we reproduce the attack scenario in an API of an earlier version of a microservice-based application in Ant Group which suffers from this vulnerability as shown in Figure 10 (sensitive information is hidden for security reasons).</t>
  </si>
  <si>
    <t>VulGen: Realistic Vulnerability Generation via Pattern Mining and Deep Learning</t>
  </si>
  <si>
    <t>&gt;https://zenodo.org/record/7569854</t>
  </si>
  <si>
    <t>https://zenodo.org/record/7569854</t>
  </si>
  <si>
    <t>Compatible Remediation on Vulnerabilities from Third-Party Libraries for Java Projects</t>
  </si>
  <si>
    <t>- DATA AVAILABILITY
[10]
- I. INTRODUCTION
- IV. EVALUATION *</t>
  </si>
  <si>
    <t>https://sites.google.com/view/icse23remediation</t>
  </si>
  <si>
    <t>Automated Black-box Testing of Mass Assignment Vulnerabilities in RESTful APIs</t>
  </si>
  <si>
    <t>FN 8 - IV. EXPERIMENT SETTING
[13]
- IV. EXPERIMENT SETTING * --- TABLE II
- V. EXPERIMENTAL RESULTS</t>
  </si>
  <si>
    <t>https://doi.org/10.5281/zenodo.7348518
https://github.com/SeUniVr/RestTestGen</t>
  </si>
  <si>
    <t>CoLeFunDa: Explainable Silent Vulnerability Fix Identification</t>
  </si>
  <si>
    <t>https://figshare.com/s/840e1fb94bd972829c80</t>
  </si>
  <si>
    <t>Finding Causally Different Tests for an Industrial Control System</t>
  </si>
  <si>
    <t>[25]
- IV. IDENTIFYING EQUIVALENCE CLASSES OF TESTS * (2x)
- V. FINDING DIFFERENT TESTS BY GUIDED FUZZING *
- VI. EVALUATION ON SWAT (3x)
[24]
- II. CASE STUDY: SWAT TESTBED
- VI. EVALUATION ON SWAT</t>
  </si>
  <si>
    <t>https://arxiv.org/abs/2302.04175
https://github.com/yuqiChen94/Causally-Different-Attacks/</t>
  </si>
  <si>
    <t>Doppelgänger Test Generation for Revealing Bugs in Autonomous Driving Software</t>
  </si>
  <si>
    <t>https://doi.org/10.5281/zenodo.7575582 
https://doi.org/10.5281/zenodo.7622399</t>
  </si>
  <si>
    <r>
      <rPr>
        <rFont val="Arial"/>
        <color theme="1"/>
        <sz val="10.0"/>
      </rPr>
      <t>https://doi.org/10.5281/zenodo.7575582</t>
    </r>
    <r>
      <rPr>
        <rFont val="Arial"/>
        <color theme="1"/>
        <sz val="10.0"/>
      </rPr>
      <t xml:space="preserve">
https://doi.org/10.5281/zenodo.7622399</t>
    </r>
  </si>
  <si>
    <t>Generating Realistic and Diverse Tests for LiDAR-Based Perception Systems</t>
  </si>
  <si>
    <t>- FN 1 - I. INTRODUCTION
- VII. DATA AVAILABILITY</t>
  </si>
  <si>
    <t xml:space="preserve">https://archive.softwareheritage.org/browse/origin/directory/?origin_url=https://github.com/less-lab-uva/semLidarFuzz
https://github.com/less-lab-uva/semLidarFuzz </t>
  </si>
  <si>
    <t>Rules of Engagement: Why and How Companies Participate in OSS</t>
  </si>
  <si>
    <t>[46] II. RESEARCH METHOD --- HL Data collection and availability</t>
  </si>
  <si>
    <t>https://figshare.com/s/1f75bfabddaff5eb6ffe</t>
  </si>
  <si>
    <t xml:space="preserve">The interview transcripts are confidential as per our institutional IRB restrictions. </t>
  </si>
  <si>
    <t>An Empirical Study on Software Bill of Materials: Where We Stand and the Road Ahead</t>
  </si>
  <si>
    <t>FN 1 - III. RESEARCH METHODOLOGY</t>
  </si>
  <si>
    <t>https://drive.google.com/drive/folders/1gylBoeF09sJRg2xEpJh2tWnjp0cCMhxM?usp=sharing</t>
  </si>
  <si>
    <t>Publicly Available</t>
  </si>
  <si>
    <t>Not Available</t>
  </si>
  <si>
    <t>Restrict Access</t>
  </si>
  <si>
    <t>Developers' code context models for change tasks</t>
  </si>
  <si>
    <t>2.4 Data Collection and Analysis</t>
  </si>
  <si>
    <t>https://github.com/abb-iss/study-artifacts-for-code-context-models</t>
  </si>
  <si>
    <t>Publicly Available (1)</t>
  </si>
  <si>
    <t>26-29/08/2024</t>
  </si>
  <si>
    <t>Research Papers</t>
  </si>
  <si>
    <t>Software developers' perceptions of productivity</t>
  </si>
  <si>
    <t>3.1 Participants and Method
4.2 Results
4.1 Participants and Method</t>
  </si>
  <si>
    <t>www.ifi.uzh.ch/seal/people/meyer/developers-productivity</t>
  </si>
  <si>
    <t>Due to confidentiality reasons, we are not able to share the observation logs.</t>
  </si>
  <si>
    <t>Enablers, inhibitors, and perceptions of testing in novice software teams</t>
  </si>
  <si>
    <t>Feedback generation for performance problems in introductory programming assignments</t>
  </si>
  <si>
    <t>Source: Winter et al. (2022) and email from the chair.</t>
  </si>
  <si>
    <t xml:space="preserve">6.1 Experimental Setup
</t>
  </si>
  <si>
    <r>
      <rPr>
        <rFont val="Arial"/>
        <color theme="1"/>
        <sz val="10.0"/>
      </rPr>
      <t xml:space="preserve">http://pexforfun.com/makingprogramsefficient
http://forsyte.at/static/people/radicek/fse14
CoRR, abs/1403.4064 - real link: </t>
    </r>
    <r>
      <rPr>
        <rFont val="Arial"/>
        <color theme="1"/>
        <sz val="10.0"/>
      </rPr>
      <t>https://arxiv.org/abs/1403.4064</t>
    </r>
  </si>
  <si>
    <r>
      <rPr>
        <rFont val="Arial"/>
        <color theme="1"/>
        <sz val="10.0"/>
      </rPr>
      <t xml:space="preserve">http://pexforfun.com/makingprogramsefficient
http://forsyte.at/static/people/radicek/fse14
CoRR, abs/1403.4064 - real link: </t>
    </r>
    <r>
      <rPr>
        <rFont val="Arial"/>
        <color theme="1"/>
        <sz val="10.0"/>
      </rPr>
      <t>https://arxiv.org/abs/1403.4064</t>
    </r>
  </si>
  <si>
    <t>Not Available (1)
Publicly Available (2)</t>
  </si>
  <si>
    <t>Test case purification for improving fault localization</t>
  </si>
  <si>
    <t>Automatically generated patches as debugging aids: a human study</t>
  </si>
  <si>
    <t>3.5 Regression Analysis - Last paragraph</t>
  </si>
  <si>
    <r>
      <rPr>
        <rFont val="Arial"/>
        <color theme="1"/>
        <sz val="10.0"/>
      </rPr>
      <t xml:space="preserve">http://www.cse.ust.hk/~idagoo/autofix/regression_analysis.html
</t>
    </r>
    <r>
      <rPr>
        <rFont val="Arial"/>
        <color theme="1"/>
        <sz val="10.0"/>
      </rPr>
      <t>http://pishon.cse.ust.hk/userstudy/</t>
    </r>
  </si>
  <si>
    <r>
      <rPr>
        <rFont val="Arial"/>
        <color theme="1"/>
        <sz val="10.0"/>
      </rPr>
      <t xml:space="preserve">http://www.cse.ust.hk/~idagoo/autofix/regression_analysis.html
</t>
    </r>
    <r>
      <rPr>
        <rFont val="Arial"/>
        <color theme="1"/>
        <sz val="10.0"/>
      </rPr>
      <t>http://pishon.cse.ust.hk/userstudy/</t>
    </r>
  </si>
  <si>
    <t>Not Available (2)</t>
  </si>
  <si>
    <t>A foundation for refactoring C with macros</t>
  </si>
  <si>
    <t>10. FUTURE WORK AND CONCLUSION</t>
  </si>
  <si>
    <t>https://sites.google.com/site/cpprefactoring/</t>
  </si>
  <si>
    <t>Not Available (1)</t>
  </si>
  <si>
    <t>Vector abstraction and concretization for scalable detection of refactorings</t>
  </si>
  <si>
    <t>FlowTwist: efficient context-sensitive inside-out taint analysis for large codebases</t>
  </si>
  <si>
    <t>FN 3 - 3. ANALYSIS DESIGN</t>
  </si>
  <si>
    <t>https://github.com/johanneslerch/FlowTwist</t>
  </si>
  <si>
    <t>ORBS: language-independent program slicing</t>
  </si>
  <si>
    <t>10. CONCLUSION</t>
  </si>
  <si>
    <t>crest.cs.ucl.ac.uk/resources/orbs/</t>
  </si>
  <si>
    <t>JSAI: a static analysis platform for JavaScript</t>
  </si>
  <si>
    <t>http://www.cs.ucsb.edu/~pllab</t>
  </si>
  <si>
    <t>A path-sensitively sliced control flow graph</t>
  </si>
  <si>
    <t>Let's talk about it: evaluating contributions through discussion in GitHub</t>
  </si>
  <si>
    <t>http://jsntsay.com/work/FSE2014.html</t>
  </si>
  <si>
    <t>A large scale study of programming languages and code quality in github</t>
  </si>
  <si>
    <t>Mining preconditions of APIs in large-scale code corpus</t>
  </si>
  <si>
    <t>Automatic mining of specifications from invocation traces and method invariants</t>
  </si>
  <si>
    <t>4.2.4 Experimental Design
[30]</t>
  </si>
  <si>
    <t>http://softarch.usc.edu/wiki/doku.php?id=inference:start
Technical Report CSSE-2013-509 - real link: https://citeseerx.ist.psu.edu/document?repid=rep1&amp;type=pdf&amp;doi=37454047fcf8fcf10efe00d31a95ed9559f2306a</t>
  </si>
  <si>
    <t>Not Available (1)
Publicly Available (1)</t>
  </si>
  <si>
    <t>Counterexample guided abstraction refinement of product-line behavioural models</t>
  </si>
  <si>
    <t>5. IMPLEMENTATION AND EVALUATION</t>
  </si>
  <si>
    <t>https://projects.info.unamur.be/fts/</t>
  </si>
  <si>
    <t>Powering the static driver verifier using corral</t>
  </si>
  <si>
    <t>Verifying CTL-live properties of infinite state models using an SMT solver</t>
  </si>
  <si>
    <t>4. CASE STUDIES</t>
  </si>
  <si>
    <t>https://cs.uwaterloo.ca/~nday/models/fse14/vakili-day-fse14-models.zip</t>
  </si>
  <si>
    <t>Efficient runtime-enforcement techniques for policy weaving</t>
  </si>
  <si>
    <t>3. IMPLEMENTATION</t>
  </si>
  <si>
    <t>https://github.com/blackoutjack/jamweaver
https://github.com/blackoutjack/jamscript</t>
  </si>
  <si>
    <t>Publicly Available (2)</t>
  </si>
  <si>
    <t>Techniques for improving regression testing in continuous integration development environments</t>
  </si>
  <si>
    <t>Balancing trade-offs in test-suite reduction</t>
  </si>
  <si>
    <t>4.5 Inadequate Reduction - in "Additional Results:"</t>
  </si>
  <si>
    <t>http://mir.cs.illinois.edu/evolred</t>
  </si>
  <si>
    <t>Identifying the characteristics of vulnerable code changes: an empirical study</t>
  </si>
  <si>
    <t>7.3 External Validity</t>
  </si>
  <si>
    <t>http://amiangshu.com/VCC/index.html</t>
  </si>
  <si>
    <t>On the localness of software</t>
  </si>
  <si>
    <t>Learning natural coding conventions</t>
  </si>
  <si>
    <t>1. INTRODUCTION
2.1 Use Cases and Tools - Last paragraph</t>
  </si>
  <si>
    <t>groups.inf.ed.ac.uk/naturalize</t>
  </si>
  <si>
    <t>How should we measure functional sameness from program source code? an exploratory study on Java methods</t>
  </si>
  <si>
    <t>4. DATASETS
5. INVESTIGATION RESULTS</t>
  </si>
  <si>
    <t>http://sdl.ist.osaka-u.ac.jp/~higo/fse2014/</t>
  </si>
  <si>
    <t>The plastic surgery hypothesis</t>
  </si>
  <si>
    <t>Grail: context-aware fixing of concurrency bugs</t>
  </si>
  <si>
    <t>2.1 Scope
6.2 Experimental Setting and Methodology</t>
  </si>
  <si>
    <t>https://sites.google.com/site/grailfixing/</t>
  </si>
  <si>
    <t>AI: a lightweight system for tolerating concurrency bugs</t>
  </si>
  <si>
    <t>1.3 Contributions</t>
  </si>
  <si>
    <t>http://james0zan.github.io/AI.html</t>
  </si>
  <si>
    <t>Retrofitting concurrency for Android applications through refactoring</t>
  </si>
  <si>
    <t>1. INTRODUCTION
3.1 Experimental Setup
6.2 Results</t>
  </si>
  <si>
    <t>http://refactoring.info/tools/asynchronizer</t>
  </si>
  <si>
    <t>Sherlock: scalable deadlock detection for concurrent programs</t>
  </si>
  <si>
    <t>Search-based synthesis of equivalent method sequences</t>
  </si>
  <si>
    <t>5.2 Results</t>
  </si>
  <si>
    <t>http://star.inf.usi.ch/sb-synthesis</t>
  </si>
  <si>
    <t>Beyond the rainbow: self-adaptive failure avoidance in configurable systems</t>
  </si>
  <si>
    <t>4. CASE STUDY</t>
  </si>
  <si>
    <t>http://cse.unl.edu/~myra/artifacts/Refract_2014/</t>
  </si>
  <si>
    <t>Semantics-based obfuscation-resilient binary code similarity comparison with applications to software plagiarism detection</t>
  </si>
  <si>
    <t>Focus-shifting patterns of OSS developers and their congruence with call graphs</t>
  </si>
  <si>
    <t>How we get there: a context-guided search strategy in concolic testing</t>
  </si>
  <si>
    <t>Solving complex path conditions through heuristic search on induced polytopes</t>
  </si>
  <si>
    <t>4. IMPLEMENTATION</t>
  </si>
  <si>
    <t>http://osl.cs.illinois.edu/software/</t>
  </si>
  <si>
    <t>Statistical symbolic execution with informed sampling</t>
  </si>
  <si>
    <t>6. EXPERIENCE - last paragraph</t>
  </si>
  <si>
    <t>http://www.iste.uni-stuttgart.de/rss/people/filieri/2014-fse-jpf</t>
  </si>
  <si>
    <t xml:space="preserve">We plan to make our tool available for download. </t>
  </si>
  <si>
    <t>SymJS: automatic symbolic testing of JavaScript web applications</t>
  </si>
  <si>
    <t>Selection and presentation practices for code example summarization</t>
  </si>
  <si>
    <t>Mining idioms from source code</t>
  </si>
  <si>
    <t>Automatic generation of release notes</t>
  </si>
  <si>
    <t>1. INTRODUCTION
3. ARENA OVERVIEW</t>
  </si>
  <si>
    <t>http://tinyurl.com/fse14-arena - real link: http://www.cs.wayne.edu/~severe/fse2014/
http://tinyurl.com/oelwef4 - real link: http://www.cs.wayne.edu/~severe/fse2014/study-ii/lucene-4.0.0.html</t>
  </si>
  <si>
    <t>Discovering refactoring opportunities in cascading style sheets</t>
  </si>
  <si>
    <t>5. EVALUATION
5.3 Discussion - In Threats to the validity</t>
  </si>
  <si>
    <t>http://goo.gl/q2ZvlB - real link: https://users.encs.concordia.ca/~d_mazina/papers/FSE'14/</t>
  </si>
  <si>
    <t>http://goo.gl/q2ZvlB</t>
  </si>
  <si>
    <t>SAFEWAPI: web API misuse detector for web applications</t>
  </si>
  <si>
    <t>4.1 Type-based Analysis for JavaScript
5.1 SAFE: Type-based Analysis for JavaScript</t>
  </si>
  <si>
    <t>http://safe.kaist.ac.kr</t>
  </si>
  <si>
    <t>Building call graphs for embedded client-side code in dynamic web applications</t>
  </si>
  <si>
    <t>3. APPROACH OVERVIEW - In 3. Analysis to build call graphs (last paragraph)</t>
  </si>
  <si>
    <t>http://home.engineering.iastate.edu/~hungnv/Research/Varis/?page=video_demo</t>
  </si>
  <si>
    <t>Sketches and diagrams in practice</t>
  </si>
  <si>
    <t>2.3 Survey Design</t>
  </si>
  <si>
    <t>http://www.st.uni-trier.de/survey-sketches/</t>
  </si>
  <si>
    <t>Architecture challenges for internal software ecosystems: a large-scale industry case study</t>
  </si>
  <si>
    <t>Variable-specific resolutions for feature interactions</t>
  </si>
  <si>
    <t>An empirical study on program comprehension with reactive programming</t>
  </si>
  <si>
    <t>http://www.stg.tu-darmstadt.de/research/</t>
  </si>
  <si>
    <t>Apposcopy: semantics-based detection of Android malware through static analysis</t>
  </si>
  <si>
    <t>Detecting energy bugs and hotspots in mobile apps</t>
  </si>
  <si>
    <t>EvoDroid: segmented evolutionary testing of Android apps</t>
  </si>
  <si>
    <t>8.1 Experiment Environment</t>
  </si>
  <si>
    <t>http://www.sdalab.com/projects/evodroid</t>
  </si>
  <si>
    <t>Prioritizing the devices to test your app on: a case study of Android game apps</t>
  </si>
  <si>
    <t>9. REPLICATION PACKAGE</t>
  </si>
  <si>
    <t>http://sailhome.cs.queensu.ca/replication/FSE2014/</t>
  </si>
  <si>
    <t>Improving oracle quality by detecting brittle assertions and unused inputs in tests</t>
  </si>
  <si>
    <t>http://bitbucket.org/udse</t>
  </si>
  <si>
    <t>On the efficiency of automated testing</t>
  </si>
  <si>
    <t>An empirical analysis of flaky tests</t>
  </si>
  <si>
    <t>Are mutants a valid substitute for real faults in software testing?</t>
  </si>
  <si>
    <t>No issue left behind: reducing information overload in issue tracking</t>
  </si>
  <si>
    <t>2.2 Data Analysis
3.1 Model Categories</t>
  </si>
  <si>
    <t>http://www.cs.uwaterloo.ca/research/tr/2012/CS-2012-10.pdf</t>
  </si>
  <si>
    <t>Panning requirement nuggets in stream of software maintenance tickets</t>
  </si>
  <si>
    <t>Since these are existing IBM customers, in the interest of confidentiality, we omit certain specific details but nonetheless report key observations and actions taken thereof.</t>
  </si>
  <si>
    <t>Learning to rank relevant files for bug reports using domain knowledge</t>
  </si>
  <si>
    <t>4. BENCHMARK DATASETS</t>
  </si>
  <si>
    <t>http://dx.doi.org/10.6084/m9.figshare.951967</t>
  </si>
  <si>
    <t>Querying sequential software engineering data</t>
  </si>
  <si>
    <t>Proactive self-adaptation under uncertainty: a probabilistic model checking approach</t>
  </si>
  <si>
    <t>Automated multi-objective control for self-adaptive software design</t>
  </si>
  <si>
    <t>Detecting event anomalies in event-based systems</t>
  </si>
  <si>
    <t>The DEvA replication package has been successfully evaluated by ESEC/FSE 2015’s Replication Packages Evaluation Committee and found to meet the Committee’s expectations.</t>
  </si>
  <si>
    <t>8. REPLICATION PACKAGE
[14]</t>
  </si>
  <si>
    <r>
      <rPr>
        <rFont val="Arial"/>
        <color theme="1"/>
        <sz val="10.0"/>
      </rPr>
      <t>http://www-scf.usc.edu/</t>
    </r>
    <r>
      <rPr>
        <rFont val="Arial"/>
        <color theme="1"/>
        <sz val="10.0"/>
      </rPr>
      <t>~gsafi/FSE2015Replication/</t>
    </r>
  </si>
  <si>
    <r>
      <rPr>
        <rFont val="Arial"/>
        <color theme="1"/>
        <sz val="10.0"/>
      </rPr>
      <t>http://www-scf.usc.edu/</t>
    </r>
    <r>
      <rPr>
        <rFont val="Arial"/>
        <color theme="1"/>
        <sz val="10.0"/>
      </rPr>
      <t>~gsafi/FSE2015Replication/</t>
    </r>
  </si>
  <si>
    <t>Suggesting accurate method and class names</t>
  </si>
  <si>
    <t>4. IDENTIFIER REPRESENTATION</t>
  </si>
  <si>
    <t>http://groups.inf.ed.ac.uk/cup/naturalize/</t>
  </si>
  <si>
    <t>Measure it? Manage it? Ignore it? software practitioners and technical debt</t>
  </si>
  <si>
    <t>4.1 Research Protocol
4.3 Analysis</t>
  </si>
  <si>
    <t>http://github.com/neilernst/td-survey</t>
  </si>
  <si>
    <t>We cannot share actual responses due to confidentiality agreements with our collaborators.</t>
  </si>
  <si>
    <t>Automatically computing path complexity of programs</t>
  </si>
  <si>
    <t xml:space="preserve">Our tool, PAC, and experimental results have been successfully evaluated by the Replication Packages Evaluation Committee and found to meet expectations. </t>
  </si>
  <si>
    <t>7. REPLICATION PACKAGE</t>
  </si>
  <si>
    <t>http://www.cs.ucsb.edu/~vlab/PAC/</t>
  </si>
  <si>
    <t>Systematic testing of asynchronous reactive systems</t>
  </si>
  <si>
    <t>6.2 Experience with Delaying Explorers</t>
  </si>
  <si>
    <t>https://github.com/ZingModelChecker/Zing</t>
  </si>
  <si>
    <t>Effective test suites for mixed discrete-continuous stateflow controllers</t>
  </si>
  <si>
    <t>4.2 Study Subjects
[23]</t>
  </si>
  <si>
    <t>https://drive.google.com/file/d/0B104wPnuxJVhSU44WFlTVE84bmM/view?usp=sharing</t>
  </si>
  <si>
    <t>Restrict Access (1)</t>
  </si>
  <si>
    <t>GR(1) synthesis for LTL specification patterns</t>
  </si>
  <si>
    <t>The DBW2GR1 tool, the generated patterns catalog, and the means to validate its correctness using model-checking, all available from [40], have been successfully evaluated by the Replication Packages Evaluation Committee and found to meet expectations.</t>
  </si>
  <si>
    <t>[40]
9. CONCLUSION AND FUTURE WORK
5. IMPLEMENTATION - 5.1 Overview
6. RESULTS AND OBSERVATIONS - 6.2 Validation</t>
  </si>
  <si>
    <t>http://smlab.cs.tau.ac.il/syntech/patterns/</t>
  </si>
  <si>
    <t>Modeling readability to improve unit tests</t>
  </si>
  <si>
    <t>Improving model-based test generation by model decomposition</t>
  </si>
  <si>
    <t>http://nuseen.sourceforge.net/</t>
  </si>
  <si>
    <t>Synthesizing tests for detecting atomicity violations</t>
  </si>
  <si>
    <t>The implementation and experimental results of Intruder6 has been successfully evaluated by the Replication Packages Evaluation Committee and found to meet expectations.</t>
  </si>
  <si>
    <t>4. EXPERIMENTAL VALIDATION
7. REPLICATION PACKAGE</t>
  </si>
  <si>
    <t>http://www.csa.iisc.ernet.in/~sss/tools/intruder</t>
  </si>
  <si>
    <t>Optimizing energy consumption of GUIs in Android apps: a multi-objective approach</t>
  </si>
  <si>
    <t>3. EMPIRICAL STUDY DESIGN
3.2 Context Selection</t>
  </si>
  <si>
    <t>http://www.cs.wm.edu/semeru/data/GEMMA/</t>
  </si>
  <si>
    <t>Generating TCP/UDP network data for automated unit test generation</t>
  </si>
  <si>
    <t>7. CONCLUSIONS - Last paragraph</t>
  </si>
  <si>
    <t>http://www.evosuite.org</t>
  </si>
  <si>
    <t>Staged program repair with condition synthesis</t>
  </si>
  <si>
    <t>.</t>
  </si>
  <si>
    <t>9. REPLICATION PACKAGE
3.1 Core Language
3.3 Staged Repair with Condition Synthesis
3.4 Extensions for C
4.3 Correct Repair Analysis
[22] F. Long and M. Rinard. Staged Program Repair in
SPR. Technical Report MIT-CSAIL-TR-2015-008,
2015.</t>
  </si>
  <si>
    <t>http://groups.csail.mit.edu/pac/spr/
Technical Report MIT-CSAIL-TR-2015-008 - https://dspace.mit.edu/bitstream/handle/1721.1/95970/MIT-CSAIL-TR-2015-008.pdf</t>
  </si>
  <si>
    <t>Publicly Available (1)
Not Available (1)</t>
  </si>
  <si>
    <t>When, how, and why developers (do not) test in their IDEs</t>
  </si>
  <si>
    <t>How developers search for code: a case study</t>
  </si>
  <si>
    <t>Tracing software developers' eyes and interactions for change tasks</t>
  </si>
  <si>
    <t>3. EXPLORATORY STUDY</t>
  </si>
  <si>
    <t>www.csis.ysu.edu/~bsharif/itraceMylyn</t>
  </si>
  <si>
    <t>Assertions are strongly correlated with test suite effectiveness</t>
  </si>
  <si>
    <t>3. EXPERIMENTAL DESIGN</t>
  </si>
  <si>
    <t>http://salt.ece.ubc.ca/software/assertion-study/</t>
  </si>
  <si>
    <t>Test report prioritization to assist crowdsourced testing</t>
  </si>
  <si>
    <t>Comparing and combining test-suite reduction and regression test selection</t>
  </si>
  <si>
    <t>Questions developers ask while diagnosing potential security vulnerabilities with static analysis</t>
  </si>
  <si>
    <t>[33]
3. METHODOLOGY
3.1 Research Question
4.1 Interpreting the Results</t>
  </si>
  <si>
    <t>http://http://www4.ncsu.edu/~bijohnso/security-questions.html</t>
  </si>
  <si>
    <t>Quantifying developers' adoption of security tools</t>
  </si>
  <si>
    <t>3. METHODOLOGY</t>
  </si>
  <si>
    <t>http://go.ncsu.edu/SecurityToolAdoptionSurvey</t>
  </si>
  <si>
    <t>To obtain as credible survey responses as possible, weassured respondents that only summary data would be publically disclosed; thus, raw survey data is not available</t>
  </si>
  <si>
    <t>Auto-patching DOM-based XSS at scale</t>
  </si>
  <si>
    <r>
      <rPr>
        <rFont val="Arial"/>
        <color theme="1"/>
        <sz val="10.0"/>
      </rPr>
      <t>https://dexterjs.io/</t>
    </r>
    <r>
      <rPr>
        <rFont val="Arial"/>
        <color theme="1"/>
        <sz val="10.0"/>
      </rPr>
      <t xml:space="preserve"> </t>
    </r>
  </si>
  <si>
    <r>
      <rPr>
        <rFont val="Arial"/>
        <color theme="1"/>
        <sz val="10.0"/>
      </rPr>
      <t>https://dexterjs.io/</t>
    </r>
    <r>
      <rPr>
        <rFont val="Arial"/>
        <color theme="1"/>
        <sz val="10.0"/>
      </rPr>
      <t xml:space="preserve"> </t>
    </r>
  </si>
  <si>
    <t>Performance-influence models for highly configurable systems</t>
  </si>
  <si>
    <t>http://www.fosd.de/SPLConqueror/</t>
  </si>
  <si>
    <t>Users beware: preference inconsistencies ahead</t>
  </si>
  <si>
    <r>
      <rPr>
        <rFont val="Arial"/>
        <color theme="1"/>
        <sz val="10.0"/>
      </rPr>
      <t>http://www.cc.gatech.edu/</t>
    </r>
    <r>
      <rPr>
        <rFont val="Arial"/>
        <color theme="1"/>
        <sz val="10.0"/>
      </rPr>
      <t>~orso/software/scic-data</t>
    </r>
  </si>
  <si>
    <t>http://www.cc.gatech.edu/~orso/software/scic-data</t>
  </si>
  <si>
    <t>Hey, you have given me too many knobs!: understanding and dealing with over-designed configuration in system software</t>
  </si>
  <si>
    <t>The datasets of the open-source software projects (including both the configuration files and the configuration issues), as well as the navigation implementation based on Cox have been successfully evaluated by the Replication Packages Evaluation Committee and found to meet expectations.</t>
  </si>
  <si>
    <r>
      <rPr>
        <rFont val="Arial"/>
        <color theme="1"/>
        <sz val="10.0"/>
      </rPr>
      <t>https://github.com/tianyin/configuration_datasets</t>
    </r>
    <r>
      <rPr>
        <rFont val="Arial"/>
        <color theme="1"/>
        <sz val="10.0"/>
      </rPr>
      <t xml:space="preserve"> 
</t>
    </r>
    <r>
      <rPr>
        <rFont val="Arial"/>
        <color theme="1"/>
        <sz val="10.0"/>
      </rPr>
      <t>https://github.com/tianyin/cox</t>
    </r>
    <r>
      <rPr>
        <rFont val="Arial"/>
        <color theme="1"/>
        <sz val="10.0"/>
      </rPr>
      <t xml:space="preserve"> </t>
    </r>
  </si>
  <si>
    <r>
      <rPr>
        <rFont val="Arial"/>
        <color theme="1"/>
        <sz val="10.0"/>
      </rPr>
      <t>https://github.com/tianyin/configuration_datasets</t>
    </r>
    <r>
      <rPr>
        <rFont val="Arial"/>
        <color theme="1"/>
        <sz val="10.0"/>
      </rPr>
      <t xml:space="preserve"> 
</t>
    </r>
    <r>
      <rPr>
        <rFont val="Arial"/>
        <color theme="1"/>
        <sz val="10.0"/>
      </rPr>
      <t>https://github.com/tianyin/cox</t>
    </r>
    <r>
      <rPr>
        <rFont val="Arial"/>
        <color theme="1"/>
        <sz val="10.0"/>
      </rPr>
      <t xml:space="preserve"> </t>
    </r>
  </si>
  <si>
    <t>Crowd debugging</t>
  </si>
  <si>
    <t>On the use of delta debugging to reduce recordings and facilitate debugging of web applications</t>
  </si>
  <si>
    <t>3.1 Objects of Analysis</t>
  </si>
  <si>
    <t>https://sites.google.com/site/fsewebdd</t>
  </si>
  <si>
    <t>MemInsight: platform-independent memory debugging for JavaScript</t>
  </si>
  <si>
    <t>A replication package for MemInsight has been successfully evaluated by the Replication Packages Evaluation Committee and found to meet expectations.</t>
  </si>
  <si>
    <t>1. INTRODUCTION
[15] 3. TRACE GENERATION AND LIFETIME ANALYSIS - 3.2 Lifetime Analysis
FN 4 - [15] 5. CASE STUDIES
FN 10 - [15] 6. EVALUATION OF IMPLEMENTATION - 6.1 Overhead</t>
  </si>
  <si>
    <r>
      <rPr>
        <rFont val="Arial"/>
        <color theme="1"/>
        <sz val="10.0"/>
      </rPr>
      <t xml:space="preserve"> </t>
    </r>
    <r>
      <rPr>
        <rFont val="Arial"/>
        <color theme="1"/>
        <sz val="10.0"/>
      </rPr>
      <t>https://github.com/Samsung/meminsight</t>
    </r>
    <r>
      <rPr>
        <rFont val="Arial"/>
        <color theme="1"/>
        <sz val="10.0"/>
      </rPr>
      <t xml:space="preserve">
Technical Report SRA-FCS-2015-001 - real link: https://manu.sridharan.net/files/MemInsightTR.pdf</t>
    </r>
  </si>
  <si>
    <r>
      <rPr>
        <rFont val="Arial"/>
        <color theme="1"/>
        <sz val="10.0"/>
      </rPr>
      <t xml:space="preserve"> </t>
    </r>
    <r>
      <rPr>
        <rFont val="Arial"/>
        <color theme="1"/>
        <sz val="10.0"/>
      </rPr>
      <t>https://github.com/Samsung/meminsight</t>
    </r>
    <r>
      <rPr>
        <rFont val="Arial"/>
        <color theme="1"/>
        <sz val="10.0"/>
      </rPr>
      <t xml:space="preserve">
Technical Report SRA-FCS-2015-001 - real link: https://manu.sridharan.net/files/MemInsightTR.pdf</t>
    </r>
  </si>
  <si>
    <t>JITProf: pinpointing JIT-unfriendly JavaScript code</t>
  </si>
  <si>
    <t>https://github.com/Berkeley-Correctness-Group/JITProf
Technical Report UCB/EECS-2014-144 - real link: https://www2.eecs.berkeley.edu/Pubs/TechRpts/2014/EECS-2014-144.html</t>
  </si>
  <si>
    <t>Cross-language program slicing for dynamic web applications</t>
  </si>
  <si>
    <t>8. IMPLEMENTATION</t>
  </si>
  <si>
    <t>http://home.engineering.iastate.edu/~hungnv/Research/WebSlice</t>
  </si>
  <si>
    <t>Detecting JavaScript races that matter</t>
  </si>
  <si>
    <t>The Replication Packages Evaluation Committee found this submission to be satisfactory, and confirmed that our results can be reproduced.</t>
  </si>
  <si>
    <r>
      <rPr>
        <rFont val="Arial"/>
        <color theme="1"/>
        <sz val="10.0"/>
      </rPr>
      <t>http://bit.ly/1O5GglJ</t>
    </r>
    <r>
      <rPr>
        <rFont val="Arial"/>
        <color theme="1"/>
        <sz val="10.0"/>
      </rPr>
      <t xml:space="preserve"> ( real link: </t>
    </r>
    <r>
      <rPr>
        <rFont val="Arial"/>
        <color theme="1"/>
        <sz val="10.0"/>
      </rPr>
      <t>http://msrc.ku.edu.tr/projects/detecting-javascript-races-that-matter/</t>
    </r>
    <r>
      <rPr>
        <rFont val="Arial"/>
        <color theme="1"/>
        <sz val="10.0"/>
      </rPr>
      <t xml:space="preserve"> )</t>
    </r>
  </si>
  <si>
    <t>http://bit.ly/1O5GglJ</t>
  </si>
  <si>
    <t>The making of cloud applications: an empirical study on software development for the cloud</t>
  </si>
  <si>
    <t>4. RESEARCH METHOD</t>
  </si>
  <si>
    <t>http://www.ifi.uzh.ch/seal/people/cito/cloud-developer-study.html</t>
  </si>
  <si>
    <t>An empirical study of goto in C code from GitHub repositories</t>
  </si>
  <si>
    <t>How practitioners perceive the relevance of software engineering research</t>
  </si>
  <si>
    <t>2.3 Feedback Elicitation
3.2 Highly Rated Research Ideas</t>
  </si>
  <si>
    <t>http://research.microsoft.com/apps/pubs/?id=228247</t>
  </si>
  <si>
    <t>What change history tells us about thread synchronization</t>
  </si>
  <si>
    <t>All the scripts and results from our study will be released.
We will release all our scripts and results together with the paper.</t>
  </si>
  <si>
    <t>Finding schedule-sensitive branches</t>
  </si>
  <si>
    <t>Effective and precise dynamic detection of hidden races for Java programs</t>
  </si>
  <si>
    <t>A user-guided approach to program analysis</t>
  </si>
  <si>
    <t>Hidden truths in dead software paths</t>
  </si>
  <si>
    <t>1. INTRODUCTION
6. CONCLUSION</t>
  </si>
  <si>
    <t>www.opal-project.de/tools/bugpicker</t>
  </si>
  <si>
    <t>P3: partitioned path profiling</t>
  </si>
  <si>
    <t>Heterogeneous cross-company defect prediction by unified metric representation and CCA-based transfer learning</t>
  </si>
  <si>
    <t>Heterogeneous defect prediction</t>
  </si>
  <si>
    <t>Clone-based and interactive recommendation for modifying pasted code</t>
  </si>
  <si>
    <t>Is the cure worse than the disease? overfitting in automated program repair</t>
  </si>
  <si>
    <t>Responsive designs in a snap</t>
  </si>
  <si>
    <t>http://researcher.watson.ibm.com/researcher/files/in-nishant.sinha/responsive.pdf</t>
  </si>
  <si>
    <t>CLOTHO: saving programs from malformed strings and incorrect string-handling</t>
  </si>
  <si>
    <t>https://github.com/aritradhar/CLOTHO</t>
  </si>
  <si>
    <t>Query-based configuration of text retrieval solutions for software engineering tasks</t>
  </si>
  <si>
    <t>http://www.utdallas.edu/~lmorenoc/research/fse2015-quest/</t>
  </si>
  <si>
    <t>Information retrieval and spectrum based bug localization: better together</t>
  </si>
  <si>
    <t>6. CONCLUSION AND FUTURE WORK</t>
  </si>
  <si>
    <t>https://bitbucket.org/amlfse/amldata/downloads/amldata.7z</t>
  </si>
  <si>
    <t>Rule-based extraction of goal-use case models from text</t>
  </si>
  <si>
    <t>5. EVALUATION
4.3.1 Extraction Rules</t>
  </si>
  <si>
    <r>
      <rPr>
        <rFont val="Arial"/>
        <color theme="1"/>
        <sz val="10.0"/>
      </rPr>
      <t>http://goo.gl/gCUofM</t>
    </r>
    <r>
      <rPr>
        <rFont val="Arial"/>
        <color theme="1"/>
        <sz val="10.0"/>
      </rPr>
      <t xml:space="preserve"> ( real link: </t>
    </r>
    <r>
      <rPr>
        <rFont val="Arial"/>
        <color theme="1"/>
        <sz val="10.0"/>
      </rPr>
      <t>http://www.ict.swin.edu.au/personal/huannguyen/guitar.html</t>
    </r>
    <r>
      <rPr>
        <rFont val="Arial"/>
        <color theme="1"/>
        <sz val="10.0"/>
      </rPr>
      <t xml:space="preserve"> )</t>
    </r>
  </si>
  <si>
    <t>http://goo.gl/gCUofM</t>
  </si>
  <si>
    <t>Symbolic execution of programs with heap inputs</t>
  </si>
  <si>
    <t>3.3 HEX Incremental Checking
3.4 HEX Prototype Implementation
4.2 Subject Programs</t>
  </si>
  <si>
    <r>
      <rPr>
        <rFont val="Arial"/>
        <color theme="1"/>
        <sz val="10.0"/>
      </rPr>
      <t xml:space="preserve">http://www.lta.disco.unimib.it/tools/hex/
</t>
    </r>
    <r>
      <rPr>
        <rFont val="Arial"/>
        <color theme="1"/>
        <sz val="10.0"/>
      </rPr>
      <t>http://pietrobraione.github.io/jbse/</t>
    </r>
  </si>
  <si>
    <r>
      <rPr>
        <rFont val="Arial"/>
        <color theme="1"/>
        <sz val="10.0"/>
      </rPr>
      <t xml:space="preserve">http://www.lta.disco.unimib.it/tools/hex/
</t>
    </r>
    <r>
      <rPr>
        <rFont val="Arial"/>
        <color theme="1"/>
        <sz val="10.0"/>
      </rPr>
      <t>http://pietrobraione.github.io/jbse/</t>
    </r>
  </si>
  <si>
    <t>Automatically deriving pointer reference expressions from binary code for memory dump analysis</t>
  </si>
  <si>
    <t>Summarizing and measuring development activity</t>
  </si>
  <si>
    <t>3.2 Data Collection
3.4 Demographics
4.1.6 Factors Influencing Summary Content
4.2.3 Factors Influencing Measurement</t>
  </si>
  <si>
    <t xml:space="preserve">http://tinyurl.com/DevActivities - real link: https://docs.google.com/forms/d/e/1FAIpQLSf3WzUU5OezYmQvp_Jk3pZMSaor8N0dDB5vySzLAea7TED2ww/viewform
http://tinyurl.com/DevActivityAppendix - real link: https://drive.google.com/file/d/0B7rLZLW6uAZSZ0xGQmlJV2hqVzQ/view?usp=sharing </t>
  </si>
  <si>
    <r>
      <rPr>
        <rFont val="Arial"/>
        <color theme="1"/>
        <sz val="10.0"/>
      </rPr>
      <t>http://tinyurl.com/DevActivities</t>
    </r>
    <r>
      <rPr>
        <rFont val="Arial"/>
        <color theme="1"/>
        <sz val="10.0"/>
      </rPr>
      <t xml:space="preserve">
</t>
    </r>
    <r>
      <rPr>
        <rFont val="Arial"/>
        <color theme="1"/>
        <sz val="10.0"/>
      </rPr>
      <t>http://tinyurl.com/DevActivityAppendix</t>
    </r>
  </si>
  <si>
    <t>Publicly Available (1)
Restrict Access (1)</t>
  </si>
  <si>
    <t>A method to identify and correct problematic software activity data: exploiting capacity constraints and data redundancies</t>
  </si>
  <si>
    <t>7. CONCLUSIONS</t>
  </si>
  <si>
    <t xml:space="preserve"> https://passion-lab.org/projects/dataquality</t>
  </si>
  <si>
    <t>Gamification for enforcing coding conventions</t>
  </si>
  <si>
    <t>String analysis for Java and Android applications</t>
  </si>
  <si>
    <t>Auto-completing bug reports for Android applications</t>
  </si>
  <si>
    <t xml:space="preserve">The FUSION replication package has been successfully evaluated by the Replication Packages Evaluation Committee and found to meet expectations. </t>
  </si>
  <si>
    <t>1. INTRODUCTION
3. THE FUSION APPROACH
4.1 Context: Bug Reports Used in the Studies
4.2 Evaluating User Experience, Preferencesand Programming Background
4.4 Study 2: Reproducibility of Bug Reports
5. RESULTS AND DISCUSSION
9. THE FUSION REPLICATION PACKAGE
9.1 Contents of the Replication Package</t>
  </si>
  <si>
    <t>http://www.fusion-android.com/</t>
  </si>
  <si>
    <t>CLAPP: characterizing loops in Android applications</t>
  </si>
  <si>
    <t>The Clapp analysis system has been successfully evaluated by the Replication Packages Evaluation Committee and found to meet expectations.</t>
  </si>
  <si>
    <t>TLV: abstraction through testing, learning, and validation</t>
  </si>
  <si>
    <t xml:space="preserve">4. EVALUATION
RQ1: How effective and scalable is TLV? </t>
  </si>
  <si>
    <t>http://bitbucket.org/spencerxiao/tlv-fse2015</t>
  </si>
  <si>
    <t>Mimic: computing models for opaque code</t>
  </si>
  <si>
    <t>Along with the paper we have submitted a replication package containing the full source code of our implementation as well as all the experimental setup to reproduce the results in this paper. It has been successfully evaluated by the Replication Packages Evaluation Committee and found to meet expectations.</t>
  </si>
  <si>
    <t>1. INTRODUCTION
FN - 4. IMPLEMENTATION
5. EVALUATION - 5.2 Results</t>
  </si>
  <si>
    <t>https://github.com/Samsung/mimic</t>
  </si>
  <si>
    <t>Witness validation and stepwise testification across software verifiers</t>
  </si>
  <si>
    <t xml:space="preserve">This paper comes with a replication package, which has been successfully evaluated by the Replication Packages Evaluation Committee. </t>
  </si>
  <si>
    <t>4.1 Witness Exchange Format
5. EXPERIMENTAL EVALUATION
7. APPENDIX: REPLICATION PACKAGE</t>
  </si>
  <si>
    <t>http://sosy-lab.org/~dbeyer/verification-witnesses/</t>
  </si>
  <si>
    <t>Efficient and reasonable object-oriented concurrency</t>
  </si>
  <si>
    <t>1. INTRODUCTION
3. IMPLEMENTATION</t>
  </si>
  <si>
    <t>https://github.com/scottgw/quicksilver</t>
  </si>
  <si>
    <t>FlexJava: language support for safe and modular approximate programming</t>
  </si>
  <si>
    <t>The FlexJava tool has been successfully evaluated by the Replication Packages Evaluation Committee and found to meet expectations.</t>
  </si>
  <si>
    <t>10. REPLICATION PACKAGE
10.2 Download Tools</t>
  </si>
  <si>
    <t>http://act-lab.org/artifacts/flexjava
https://bitbucket.org/act-lab</t>
  </si>
  <si>
    <t>Getting to know you: towards a capability model for Java</t>
  </si>
  <si>
    <t>Our implementation of the capability inference algorithm has been successfully evaluated by the Replication Packages Evaluation Committee and found to meet expectations.</t>
  </si>
  <si>
    <t>http://www.st.informatik.tu-darmstadt.de/artifacts/peaks-capmodel/</t>
  </si>
  <si>
    <t>Efficient dependency detection for safe Java test acceleration</t>
  </si>
  <si>
    <t>Turning programs against each other: high coverage fuzz-testing using binary-code mutation and dynamic slicing</t>
  </si>
  <si>
    <t>Guided differential testing of certificate validation in SSL/TLS implementations</t>
  </si>
  <si>
    <t>The mucert package has been successfully evaluated by the Replication Packages Evaluation Committee and found to meet expectations.</t>
  </si>
  <si>
    <t>http://stap.sjtu.edu.cn/~chenyt/mucert.html</t>
  </si>
  <si>
    <t>Quality and productivity outcomes relating to continuous integration in GitHub</t>
  </si>
  <si>
    <t>https://github.com/yuyue/pullreq_ci</t>
  </si>
  <si>
    <t>Developer onboarding in GitHub: the role of prior social links and language experience</t>
  </si>
  <si>
    <t>Impact of developer turnover on quality in open-source software</t>
  </si>
  <si>
    <t>The dataset built using the methodology presented in Section 5, the code necessary to extract the metrics, as well as additional results are available online, in a replication package that has been successfully evaluated by the Replication Packages Evaluation Committee and found to meet expectations</t>
  </si>
  <si>
    <t>9. AUXILIARY MATERIAL
10. REPLICATION PACKAGE</t>
  </si>
  <si>
    <t>http://se.labri.fr/a/FSE15-foucault</t>
  </si>
  <si>
    <t>MultiSE: multi-path symbolic execution using value summaries</t>
  </si>
  <si>
    <t>2. OVERVIEW
4. IMPLEMENTATION</t>
  </si>
  <si>
    <t>https://github.com/SRA-SiliconValley/jalangi</t>
  </si>
  <si>
    <t>Assertion guided symbolic execution of multithreaded programs</t>
  </si>
  <si>
    <t>Iterative distribution-aware sampling for probabilistic symbolic execution</t>
  </si>
  <si>
    <t>[3] 4. ITERATIVE OPTIMAL SAMPLING - 4.1 Gradient-Descent Variance Minimization</t>
  </si>
  <si>
    <t>http://www.antonio.filieri.name/publications/preprints/2015-fse-qcoral.pdf</t>
  </si>
  <si>
    <t>Titanium: efficient analysis of evolving alloy specifications</t>
  </si>
  <si>
    <t>1. INTRODUCTION
4. TOOL IMPLEMENTATION
5. EXPERIMENTAL EVALUATION
7. CONCLUSION
[4]</t>
  </si>
  <si>
    <t>https://seal.ics.uci.edu/projects/titanium</t>
  </si>
  <si>
    <t>Mining performance specifications</t>
  </si>
  <si>
    <t>4.3 RQ3: Complexity</t>
  </si>
  <si>
    <t>https://drive.google.com/file/d/0B9FeGNLlmM1aTW1xdkhlREhiZDA</t>
  </si>
  <si>
    <t>Designing minimal effective normative systems with the help of lightweight formal methods</t>
  </si>
  <si>
    <t>Proteus: computing disjunctive loop summary via path dependency analysis</t>
  </si>
  <si>
    <t>A cross-tool communication study on program analysis tool notifications</t>
  </si>
  <si>
    <r>
      <rPr>
        <rFont val="Arial"/>
        <color theme="1"/>
        <sz val="10.0"/>
      </rPr>
      <t>http://www4.ncsu.edu/</t>
    </r>
    <r>
      <rPr>
        <rFont val="Arial"/>
        <color theme="1"/>
        <sz val="10.0"/>
      </rPr>
      <t>~bijohnso/esnpat.html</t>
    </r>
  </si>
  <si>
    <r>
      <rPr>
        <rFont val="Arial"/>
        <color theme="1"/>
        <sz val="10.0"/>
      </rPr>
      <t>http://www4.ncsu.edu/</t>
    </r>
    <r>
      <rPr>
        <rFont val="Arial"/>
        <color theme="1"/>
        <sz val="10.0"/>
      </rPr>
      <t>~bijohnso/esnpat.html</t>
    </r>
  </si>
  <si>
    <t>Factors influencing code review processes in industry</t>
  </si>
  <si>
    <t>2. METHODOLOGY
3.3.4 Effect Goals as a Mediator</t>
  </si>
  <si>
    <t>http://tobias-baum.de/rp/detailedTable.pdf
http://tobias-baum.de/rp/interviewGuideFirst.pdf
http://tobias-baum.de/rp/interviewGuideLast.pdf</t>
  </si>
  <si>
    <t>Publicly Available (3)</t>
  </si>
  <si>
    <t>We ensured anonymity to all participants. For this reason, the interview transcripts are available only upon request to the first author.
We use English translations for all citations, although the interviews were done in German. The original statements are available upon request.</t>
  </si>
  <si>
    <t>Foraging and navigations, fundamentally: developers' predictions of value and cost</t>
  </si>
  <si>
    <t>How to break an API: cost negotiation and community values in three software ecosystems</t>
  </si>
  <si>
    <t>Python predictive analysis for bug detection</t>
  </si>
  <si>
    <t>Platinum
Artifact evaluated by FSE</t>
  </si>
  <si>
    <t>10. ARTIFACT DESCRIPTION
3. SYSTEM FRAMEWORK
6. EVALUATION
4.1 Code Normalization
[27]</t>
  </si>
  <si>
    <t>https://sites.google.com/site/pypredictor/</t>
  </si>
  <si>
    <t>Crash consistency validation made easy</t>
  </si>
  <si>
    <t>http://jiangyy.github.io/c3/</t>
  </si>
  <si>
    <t>Discovering bug patterns in JavaScript</t>
  </si>
  <si>
    <t>9. ARTIFACT DESCRIPTION - 9.1 Executable and Subjects
1. INTRODUCTION
3.8 Implementation
5.2 Feature Extraction (RQ1)
5.3 Clustering (RQ2)
5.4 Pervasive Bug Patterns (RQ3)
[3] [2]</t>
  </si>
  <si>
    <r>
      <rPr>
        <rFont val="Arial"/>
        <color theme="1"/>
        <sz val="10.0"/>
      </rPr>
      <t xml:space="preserve">https://github.com/saltlab/bugaid
</t>
    </r>
    <r>
      <rPr>
        <rFont val="Arial"/>
        <color theme="1"/>
        <sz val="10.0"/>
      </rPr>
      <t>http://salt.ece.ubc.ca/software/bugaid/</t>
    </r>
  </si>
  <si>
    <r>
      <rPr>
        <rFont val="Arial"/>
        <color theme="1"/>
        <sz val="10.0"/>
      </rPr>
      <t xml:space="preserve">https://github.com/saltlab/bugaid
</t>
    </r>
    <r>
      <rPr>
        <rFont val="Arial"/>
        <color theme="1"/>
        <sz val="10.0"/>
      </rPr>
      <t>http://salt.ece.ubc.ca/software/bugaid/</t>
    </r>
  </si>
  <si>
    <t>Effort-aware just-in-time defect prediction: simple unsupervised models could be better than supervised models</t>
  </si>
  <si>
    <t>8. REPEATABILITY</t>
  </si>
  <si>
    <t>http://ise.nju.edu.cn/yangyibiao/jit.html</t>
  </si>
  <si>
    <t>Detecting sensitive data disclosure via bi-directional text correlation analysis</t>
  </si>
  <si>
    <t>Gold
Artifact evaluated by FSE</t>
  </si>
  <si>
    <t>1. INTRODUCTION
9. ARTIFACT DESCRIPTION - 9.1 Where is the artifact?</t>
  </si>
  <si>
    <t>https://bitbucket.org/hjjandy/toydroid.bidtext
https://github.com/hjjandy/FSE16-BidText-Artifacts</t>
  </si>
  <si>
    <t>Multi-representational security analysis</t>
  </si>
  <si>
    <t>5. IMPLEMENTATION</t>
  </si>
  <si>
    <t>http://sdg.csail.mit.edu/projects/poirot</t>
  </si>
  <si>
    <t>String analysis for side channels with segmented oracles</t>
  </si>
  <si>
    <t>WebRanz: web page randomization for better advertisement delivery and web-bot prevention</t>
  </si>
  <si>
    <t>1. INTRODUCTION
9. ARTIFACT DESCRIPTION - 9.1 Directory Structure
9. ARTIFACT DESCRIPTION - 9.2 Run WebRanz
[2]</t>
  </si>
  <si>
    <t>https://www.cs.purdue.edu/homes/wang1315/webranz/</t>
  </si>
  <si>
    <t>A discrete-time feedback controller for containerized cloud applications</t>
  </si>
  <si>
    <t>3. ECOWARE</t>
  </si>
  <si>
    <t>https://github.com/deib-polimi/ecoware
https://github.com/deib-polimi/ecoware-docker
https://hub.docker.com/u/polimi/</t>
  </si>
  <si>
    <t>Keep it SIMPLEX: satisfying multiple goals with guarantees in control-based self-adaptive systems</t>
  </si>
  <si>
    <t>5. EXPERIMENTAL EVALUATION</t>
  </si>
  <si>
    <t>http://homepage.lnu.se/staff/daweaa/simplex.htm</t>
  </si>
  <si>
    <t>Automated change impact analysis between SysML models of requirements and design</t>
  </si>
  <si>
    <t>3. EMPIRICAL EVALUATION - In Implementation</t>
  </si>
  <si>
    <t>https://bitbucket.org/carora03/cia_addin</t>
  </si>
  <si>
    <t>Parameter-free probabilistic API mining across GitHub</t>
  </si>
  <si>
    <t>https://github.com/mast-group/api-mining</t>
  </si>
  <si>
    <t>API deprecation: a retrospective analysis and detection method for code examples on the web</t>
  </si>
  <si>
    <t>3. A RETROSPECTIVE ANALYSIS</t>
  </si>
  <si>
    <t>http://lsmr.org/data/deprecation-watcher/</t>
  </si>
  <si>
    <t>When should internal interfaces be promoted to public?</t>
  </si>
  <si>
    <t>3.3 Searching Internal Interface Promotions</t>
  </si>
  <si>
    <t xml:space="preserve">https://goo.gl/aqMsrs - real link: https://docs.google.com/spreadsheets/d/1DroetW701-wzbDH9SyzMI0o2XK9e6BKPkMHokgbN4QE/pubhtml?gid=0&amp;single=true </t>
  </si>
  <si>
    <t>POLLUX: safely upgrading dependent application libraries</t>
  </si>
  <si>
    <t>Extracting instruction semantics via symbolic execution of code generators</t>
  </si>
  <si>
    <t>8. ARTIFACT DESCRIPTION
[28]</t>
  </si>
  <si>
    <t>http://seclab.cs.sunysb.edu/seclab/eissec/
- http://seclab.cs.sunysb.edu/seclab/download.html</t>
  </si>
  <si>
    <t>http://seclab.cs.sunysb.edu/seclab/download.html</t>
  </si>
  <si>
    <t>Efficient generation of inductive validity cores for safety properties</t>
  </si>
  <si>
    <t>6.1 Experimental Setup
[2] [1]</t>
  </si>
  <si>
    <t>https://github.com/elaghs/Working/tree/master/support/experiments
http://loonwerks.com/tools/jkind.html</t>
  </si>
  <si>
    <t>Correctness witnesses: exchanging verification results between verifiers</t>
  </si>
  <si>
    <t>5.4 Presentation and Availability
8. ARTIFACT DESCRIPTION
5.6 Validity - InReproducibility.</t>
  </si>
  <si>
    <t>https://www.sosy-lab.org/research/correctness-witnesses/</t>
  </si>
  <si>
    <t>SMT-based verification of parameterized systems</t>
  </si>
  <si>
    <t>On-the-fly decomposition of specifications in software model checking</t>
  </si>
  <si>
    <t>1. INTRODUCTION - In Contributions.
8. ARTIFACT DESCRIPTION</t>
  </si>
  <si>
    <t>http://sosy-lab.org/research/spec-decomposition/</t>
  </si>
  <si>
    <t>On well-separation of GR(1) specifications</t>
  </si>
  <si>
    <t>7.1 Material and Execution</t>
  </si>
  <si>
    <t>http://smlab.cs.tau.ac.il/syntech/separation/</t>
  </si>
  <si>
    <t>Lightweight specification and analysis of dynamic systems with rich configurations</t>
  </si>
  <si>
    <t>2. RELATED WORK</t>
  </si>
  <si>
    <t>https://github.com/haslab/electrum/tree/FSE16</t>
  </si>
  <si>
    <t>Gray links in the use of requirements traceability</t>
  </si>
  <si>
    <t>Understanding and detecting wake lock misuses for Android applications</t>
  </si>
  <si>
    <t>11. ARTIFACT DESCRIPTION
[16]</t>
  </si>
  <si>
    <t xml:space="preserve">http://sccpu2.cse.ust.hk/elite/
- http://sccpu2.cse.ust.hk/elite/dataset.html
- http://sccpu2.cse.ust.hk/elite/tool.html
- http://sccpu2.cse.ust.hk/elite/downloadApks.html
- http://sccpu2.cse.ust.hk/elite/files/wakelock issues.xlsx
</t>
  </si>
  <si>
    <t>http://sccpu2.cse.ust.hk/elite/</t>
  </si>
  <si>
    <t>DiagDroid: Android performance diagnosis via anatomizing asynchronous executions</t>
  </si>
  <si>
    <t>1. INTRODUCTION
6. EXPERIMENTAL STUDY
[19]</t>
  </si>
  <si>
    <t>http://www.cudroid.com/DiagDroid</t>
  </si>
  <si>
    <t>Minimizing GUI event traces</t>
  </si>
  <si>
    <t>Causal impact analysis for app releases in google play</t>
  </si>
  <si>
    <t>http://www0.cs.ucl.ac.uk/staff/w.martin/cira</t>
  </si>
  <si>
    <t>Static DOM event dependency analysis for testing web applications</t>
  </si>
  <si>
    <t>10. ARTIFACT DESCRIPTION</t>
  </si>
  <si>
    <t>https://github.com/sch8906/JSdep</t>
  </si>
  <si>
    <t>On-demand strong update analysis via value-flow refinement</t>
  </si>
  <si>
    <t>9. ARTIFACT DESCRIPTION - 9.1 Artifact Package
[1]</t>
  </si>
  <si>
    <t>http://unsw-corg.github.io/SVF
http://www.cse.unsw.edu.au/~corg/supa
- http://corg-pluto.cse.unsw.edu.au/supa/SUPA.ova</t>
  </si>
  <si>
    <t>http://unsw-corg.github.io/SVF
http://www.cse.unsw.edu.au/~corg/supa</t>
  </si>
  <si>
    <t>Call graph construction for Java libraries</t>
  </si>
  <si>
    <t>4.1 Setup
9. ARTIFACT DESCRIPTION</t>
  </si>
  <si>
    <t>http://www.st.informatik.tu-darmstadt.de/artifacts/DLC/
https://hub.docker.com/r/mreif/fse2016/</t>
  </si>
  <si>
    <t>Revamping JavaScript static analysis via localization and remediation of root causes of imprecision</t>
  </si>
  <si>
    <t>What would users change in my app? summarizing app reviews for recommending software changes</t>
  </si>
  <si>
    <t>2.1 The User Reviews Model
2.2.2 Intention Classification
2.2.5 Summary Generation 
3.2 Analysis Method</t>
  </si>
  <si>
    <r>
      <rPr>
        <rFont val="Arial"/>
        <color theme="1"/>
        <sz val="10.0"/>
      </rPr>
      <t xml:space="preserve">http://www.ifi.uzh.ch/seal/people/panichella/tools/SURF.html
http://www.ifi.uzh.ch/seal/people/panichella/tools/SURF/APPENDIX.pdf 
http://www.ifi.uzh.ch/seal/people/panichella/tools/SURF/stoneFlood_summary.zip 
http://www.ifi.uzh.ch/seal/people/panichella/tools/SURF/Survey.pdf
</t>
    </r>
    <r>
      <rPr>
        <rFont val="Arial"/>
        <color theme="1"/>
        <sz val="10.0"/>
      </rPr>
      <t>http://dx.doi.org/10.5281/zenodo.47323</t>
    </r>
  </si>
  <si>
    <r>
      <rPr>
        <rFont val="Arial"/>
        <color theme="1"/>
        <sz val="10.0"/>
      </rPr>
      <t xml:space="preserve">http://www.ifi.uzh.ch/seal/people/panichella/tools/SURF.html
http://www.ifi.uzh.ch/seal/people/panichella/tools/SURF/APPENDIX.pdf 
http://www.ifi.uzh.ch/seal/people/panichella/tools/SURF/stoneFlood_summary.zip 
http://www.ifi.uzh.ch/seal/people/panichella/tools/SURF/Survey.pdf
</t>
    </r>
    <r>
      <rPr>
        <rFont val="Arial"/>
        <color theme="1"/>
        <sz val="10.0"/>
      </rPr>
      <t>http://dx.doi.org/10.5281/zenodo.47323</t>
    </r>
  </si>
  <si>
    <t>Not Available (1)
Publicly Available (4)</t>
  </si>
  <si>
    <t>API code recommendation using statistical learning from fine-grained changes</t>
  </si>
  <si>
    <t>TIPMerge: recommending experts for integrating changes across branches</t>
  </si>
  <si>
    <t>FN 1 - 3. IMPLEMENTATION</t>
  </si>
  <si>
    <t>https://github.com/gems-uff/tipmerge</t>
  </si>
  <si>
    <t>Interactive and guided architectural refactoring with search-based recommendation</t>
  </si>
  <si>
    <t>Does not report during the text
[2] [3] [4]</t>
  </si>
  <si>
    <r>
      <rPr>
        <rFont val="Arial"/>
        <color theme="1"/>
        <sz val="10.0"/>
      </rPr>
      <t>http://www.se.fudan.edu.cn/research/reflexactoring/user_study.xlsx</t>
    </r>
    <r>
      <rPr>
        <rFont val="Arial"/>
        <color theme="1"/>
        <sz val="10.0"/>
      </rPr>
      <t xml:space="preserve">
http://www.se.fudan.edu.cn/research/reflexactoring/TestSystem.rar
http://www.se.fudan.edu.cn/research/reflexactoring/one_participant_experiment.exe
https://www.youtube.com/watch?v=YVT5UU7xqCQ
https://github.com/llmhyy/Refactoring-Navigator</t>
    </r>
  </si>
  <si>
    <r>
      <rPr>
        <rFont val="Arial"/>
        <color theme="1"/>
        <sz val="10.0"/>
      </rPr>
      <t>http://www.se.fudan.edu.cn/research/reflexactoring/user_study.xlsx</t>
    </r>
    <r>
      <rPr>
        <rFont val="Arial"/>
        <color theme="1"/>
        <sz val="10.0"/>
      </rPr>
      <t xml:space="preserve">
http://www.se.fudan.edu.cn/research/reflexactoring/TestSystem.rar
http://www.se.fudan.edu.cn/research/reflexactoring/one_participant_experiment.exe
https://www.youtube.com/watch?v=YVT5UU7xqCQ
https://github.com/llmhyy/Refactoring-Navigator</t>
    </r>
  </si>
  <si>
    <t>Not Available (3)
Publicly Available (2)</t>
  </si>
  <si>
    <t>Can testedness be effectively measured?</t>
  </si>
  <si>
    <t>http://eecs.osuosl.org/rahul/fse2016/</t>
  </si>
  <si>
    <t>A large-scale empirical comparison of static and dynamic test case prioritization techniques</t>
  </si>
  <si>
    <t>Introduction
3.2 Subject Programs, Test Suites and Faults - twice
[38]</t>
  </si>
  <si>
    <t>http://www.cs.wm.edu/semeru/data/FSE16-TCPSTUDY/</t>
  </si>
  <si>
    <t>Analyzing the validity of selective mutation with dominator mutants</t>
  </si>
  <si>
    <t>An extensive study of static regression test selection in modern software evolution</t>
  </si>
  <si>
    <t>PerfGuard: binary-centric application performance monitoring in production environments</t>
  </si>
  <si>
    <t>Python probabilistic type inference with natural language support</t>
  </si>
  <si>
    <t>Diamond
Artifact evaluated by FSE</t>
  </si>
  <si>
    <t>10. ARTIFACT DESCRIPTION
6. EVALUATION
5.4 Naming Constraints - last paragraph of the section
[34]</t>
  </si>
  <si>
    <t>https://sites.google.com/site/pyprobatyping/</t>
  </si>
  <si>
    <t>Detecting and fixing precision-specific operations for measuring floating-point errors</t>
  </si>
  <si>
    <t>6.1 Implementation
8. ARTIFACT DESCRIPTION - 8.1 Materials</t>
  </si>
  <si>
    <r>
      <rPr>
        <rFont val="Arial"/>
        <color theme="1"/>
        <sz val="10.0"/>
      </rPr>
      <t xml:space="preserve">https://github.com/floatfeather/PSO
- </t>
    </r>
    <r>
      <rPr>
        <rFont val="Arial"/>
        <color theme="1"/>
        <sz val="10.0"/>
      </rPr>
      <t>https://github.com/floatfeather/PSO/tree/master/artifact</t>
    </r>
  </si>
  <si>
    <t>https://github.com/floatfeather/PSO</t>
  </si>
  <si>
    <t>Deep API learning</t>
  </si>
  <si>
    <t>1. INTRODUCTION
8. CONCLUSION</t>
  </si>
  <si>
    <t>http://www.cse.ust.hk/~xguaa/deepapi</t>
  </si>
  <si>
    <t>Build system with lazy retrieval for Java projects</t>
  </si>
  <si>
    <t>iGen: dynamic interaction inference for configurable software</t>
  </si>
  <si>
    <t>3. SUBJECT PROGRAMS</t>
  </si>
  <si>
    <t>https://bitbucket.org/nguyenthanhvuh/igen</t>
  </si>
  <si>
    <t>CacheOptimizer: helping developers configure caching frameworks for hibernate-based database-centric web applications</t>
  </si>
  <si>
    <t>BinGo: cross-architecture cross-OS binary search</t>
  </si>
  <si>
    <t>7.1.2 Answer to RQ1: Cross-compiler analysis
[1]</t>
  </si>
  <si>
    <t>https://sites.google.com/site/bingofse2016/</t>
  </si>
  <si>
    <t>Relationship-aware code search for JavaScript frameworks</t>
  </si>
  <si>
    <t>4.3 Effectiveness of RACS (RQ1)
4.1 Evaluation Setu</t>
  </si>
  <si>
    <t>https://sites.google.com/site/racsproject/</t>
  </si>
  <si>
    <t>Code relatives: detecting similarly behaving software</t>
  </si>
  <si>
    <t>5. EVALUATION - last paragraph of the section
6. CONCLUSIONS
8. ARTIFACT DESCRIPTION
[1]</t>
  </si>
  <si>
    <t>https://github.com/Programming-Systems-Lab/dyclink</t>
  </si>
  <si>
    <t>Understanding and generating high quality patches for concurrency bugs</t>
  </si>
  <si>
    <t>Anti-patterns in search-based program repair</t>
  </si>
  <si>
    <t>https://anti-patterns.github.io/search-based-repair/</t>
  </si>
  <si>
    <t>Semi-supervised verified feedback generation</t>
  </si>
  <si>
    <t>1. INTRODUCTION
4. IMPLEMENTATION</t>
  </si>
  <si>
    <t>https://bitbucket.org/iiscseal/coderassist</t>
  </si>
  <si>
    <t>WATERFALL: an incremental approach for repairing record-replay tests of web applications</t>
  </si>
  <si>
    <t>5.1.3 Record/Replay Test Suites</t>
  </si>
  <si>
    <t>https://sites.google.com/site/repairrecordreplaytests</t>
  </si>
  <si>
    <t>Efficiency of projectional editing: a controlled experiment</t>
  </si>
  <si>
    <t>1. INTRODUCTION
[8]</t>
  </si>
  <si>
    <t>http://gsd.uwaterloo.ca/projectional-workbenches</t>
  </si>
  <si>
    <t>ECHO: instantaneous in situ race detection in the IDE</t>
  </si>
  <si>
    <t>1. INTRODUCTION
4.2 Recall &amp; Precision - twice [13] and [27]</t>
  </si>
  <si>
    <t>http://parasol.tamu.edu/~jeff/echo/
http://parasol.tamu.edu/~jeff/academic/echo-tr.pdf</t>
  </si>
  <si>
    <r>
      <rPr>
        <rFont val="Arial"/>
        <color theme="1"/>
        <sz val="10.0"/>
      </rPr>
      <t>http://parasol.tamu.edu/</t>
    </r>
    <r>
      <rPr>
        <rFont val="Arial"/>
        <color theme="1"/>
        <sz val="10.0"/>
      </rPr>
      <t xml:space="preserve">~jeff/echo/
</t>
    </r>
    <r>
      <rPr>
        <rFont val="Arial"/>
        <color theme="1"/>
        <sz val="10.0"/>
      </rPr>
      <t>http://parasol.tamu.edu/</t>
    </r>
    <r>
      <rPr>
        <rFont val="Arial"/>
        <color theme="1"/>
        <sz val="10.0"/>
      </rPr>
      <t>~jeff/academic/echo-tr.pdf</t>
    </r>
  </si>
  <si>
    <t>Detecting table clones and smells in spreadsheets</t>
  </si>
  <si>
    <t>6.1 Experimental Subjects and Methodology</t>
  </si>
  <si>
    <t>http://www.tcse.cn/~wsdou/project/clone/</t>
  </si>
  <si>
    <t>Flow-sensitive composition of thread-modular abstract interpretation</t>
  </si>
  <si>
    <t>A deployable sampling strategy for data race detection</t>
  </si>
  <si>
    <t>http://lcs.ios.ac.cn/~yancai/cr/cr.html</t>
  </si>
  <si>
    <t>Online shared memory dependence reduction via bisectional coordination</t>
  </si>
  <si>
    <t>Parallel data race detection for task parallel programs with locks</t>
  </si>
  <si>
    <t>5. EXPERIMENTAL EVALUATION
9. ARTIFACT DESCRIPTION
9.1 Setup
[49]</t>
  </si>
  <si>
    <t>https://github.com/rutgers-apl/PTRacer
http://bit.ly/29i3OYL - real link: https://drive.google.com/open?id=0B3345eAvaoMKeV9yNEFOMXBxbTA</t>
  </si>
  <si>
    <t>Paradise unplugged: identifying barriers for female participation on stack overflow</t>
  </si>
  <si>
    <t>METHODOLOGY
6.1 Gender Comparison - Last paragraph</t>
  </si>
  <si>
    <t>http://go.ncsu.edu/StackOverflowBarriers - real link: https://github.com/alt-code/Research/tree/master/StackOverflow/Barriers</t>
  </si>
  <si>
    <t>Why we refactor? confessions of GitHub contributors</t>
  </si>
  <si>
    <t>1. INTRODUCTION
9. ARTIFACT DESCRIPTION
9.2 How to contribute</t>
  </si>
  <si>
    <t>http://aserg-ufmg.github.io/why-we-refactor
https://github.com/aserg-ufmg/why-we-refactor</t>
  </si>
  <si>
    <t>Effectiveness of code contribution: from patch-based to pull-request-based tools</t>
  </si>
  <si>
    <t>Isomorphic regression testing: executing uncovered branches without test augmentation</t>
  </si>
  <si>
    <t>3.1 Tools</t>
  </si>
  <si>
    <t>http://github.com/sei-pku/Ison</t>
  </si>
  <si>
    <t>Directed test generation to detect loop inefficiencies</t>
  </si>
  <si>
    <t>ABSTRACT
1. INTRODUCTION
2. MOTIVATION
9. ARTIFACT DESCRIPTION</t>
  </si>
  <si>
    <t>http://drona.csa.iisc.ac.in/~sss/tools/glider
https://sourceforge.net/p/jfreechart/bugs/1147/</t>
  </si>
  <si>
    <t>Field-exhaustive testing</t>
  </si>
  <si>
    <t>[12]
6.1 Assessment - Last paragraph
6.2 Threats to Validity</t>
  </si>
  <si>
    <t>https://sites.google.com/site/fieldexhaustivetesting/</t>
  </si>
  <si>
    <t>A fast causal profiler for task parallel programs</t>
  </si>
  <si>
    <t>5 EXPERIMENTAL EVALUATION
A ARTIFACT DESCRIPTION
[43]</t>
  </si>
  <si>
    <t>https://github.com/rutgers-apl/TaskProf
https://goo.gl/MzP4Tq - real link: https://drive.google.com/open?id=0B3345eAvaoMKSG5xMVdnY0dseU0
https://goo.gl/svCcZH - real link: https://drive.google.com/open?id=0B3345eAvaoMKV09uXzRXc3pPeFk</t>
  </si>
  <si>
    <t>Publicly Available (1)
Restrict Access (2)</t>
  </si>
  <si>
    <t>On the scalability of Linux kernel maintainers' work</t>
  </si>
  <si>
    <t>ACKNOWLEDGMENTS</t>
  </si>
  <si>
    <t>https://github.com/minghuizhou/maintainerAnalysis</t>
  </si>
  <si>
    <t>Modeling and verification of evolving cyber-physical spaces</t>
  </si>
  <si>
    <t>7.4 Experimental Results
[49]</t>
  </si>
  <si>
    <t>http://home.deib.polimi.it/tsigkanos/fse17</t>
  </si>
  <si>
    <t>Easy over hard: a case study on deep learning</t>
  </si>
  <si>
    <t>https://github.com/WeiFoo/EasyOverHard</t>
  </si>
  <si>
    <t>Finding near-optimal configurations in product lines by random sampling</t>
  </si>
  <si>
    <t>Revisiting unsupervised learning for defect prediction</t>
  </si>
  <si>
    <t>5.2 Data Sets</t>
  </si>
  <si>
    <t>https://github.com/WeiFoo/RevisitUnsupervised</t>
  </si>
  <si>
    <t>Loopster: static loop termination analysis</t>
  </si>
  <si>
    <t>4.3 Experimental Results on Real Projects
[5]</t>
  </si>
  <si>
    <t>https://sites.google.com/site/looptermination</t>
  </si>
  <si>
    <t>CodeCarbonCopy</t>
  </si>
  <si>
    <t>4 EXPERIMENTAL RESULTS</t>
  </si>
  <si>
    <t>https://people.csail.mit.edu/rinard/paper/fse17.codecarboncopy.zip</t>
  </si>
  <si>
    <t>The power of "why" and "why not": enriching scenario exploration with provenance</t>
  </si>
  <si>
    <t>FN - 1 INTRODUCTION</t>
  </si>
  <si>
    <t>https://cs.brown.edu/research/plt/dl/fse2017/</t>
  </si>
  <si>
    <t>Where is the bug and how is it fixed? an experiment with practitioners</t>
  </si>
  <si>
    <t>2 STUDY DESIGN
5 LIMITATIONS
[43]</t>
  </si>
  <si>
    <t>https://dbgbench.github.io</t>
  </si>
  <si>
    <t>Understanding misunderstandings in source code</t>
  </si>
  <si>
    <t>6.1 Design
8 THREATS TO VALIDITY</t>
  </si>
  <si>
    <t>https://atomsofconfusion.com/
- https://atomsofconfusion.com/2016-program-study
- https://atomsofconfusion.com/2017-atom-finder</t>
  </si>
  <si>
    <t>https://atomsofconfusion.com/</t>
  </si>
  <si>
    <t>Measuring neural efficiency of program comprehension</t>
  </si>
  <si>
    <t>https://github.com/brains-on-code/paper-esec-fse-2017/</t>
  </si>
  <si>
    <t>Bayesian specification learning for finding API usage errors</t>
  </si>
  <si>
    <t>Synergistic debug-repair of heap manipulations</t>
  </si>
  <si>
    <t>Failure-directed program trimming</t>
  </si>
  <si>
    <t>7 EXPERIMENTS</t>
  </si>
  <si>
    <t>https://mariachris.github.io/FSE2017/benchmarks.zip</t>
  </si>
  <si>
    <t>Why modern open source projects fail</t>
  </si>
  <si>
    <t>Trade-offs in continuous integration: assurance, security, and flexibility</t>
  </si>
  <si>
    <t>http://cope.eecs.oregonstate.edu/CI_Tradeoffs</t>
  </si>
  <si>
    <t>We cannot publish the transcripts because we told the interview participants we would not release the transcripts.</t>
  </si>
  <si>
    <t>µDroid: an energy-aware mutation testing framework for Android</t>
  </si>
  <si>
    <t>3 MUTATION OPERATORS
5 EVALUATION
[21]</t>
  </si>
  <si>
    <t>https://ics.uci.edu/~seal/projects/mu_droid/index.html</t>
  </si>
  <si>
    <t>PATDroid: permission-aware GUI testing of Android</t>
  </si>
  <si>
    <t>8 IMPLEMENTATION
[10] 1 INTRODUCTION</t>
  </si>
  <si>
    <t>https://ics.uci.edu/~seal/projects/patdroid/</t>
  </si>
  <si>
    <t>Enabling mutation testing for Android apps</t>
  </si>
  <si>
    <t>3 A TAXONOMY OF CRASHES/BUGS IN
ANDROID APPS
4 MUTATION OPERATORS FOR ANDROID
5 APPLYING MUTATION TESTING
OPERATORS TO ANDROID APPS
[1]</t>
  </si>
  <si>
    <t>http://android-mutation.com/fse-appendix</t>
  </si>
  <si>
    <t>Guided, stochastic model-based GUI testing of Android apps</t>
  </si>
  <si>
    <t>5.1 Tool Implementation
[24]</t>
  </si>
  <si>
    <t>https://tingsu.github.io/files/stoat.html</t>
  </si>
  <si>
    <t>Using bad learners to find good configurations</t>
  </si>
  <si>
    <t>9 RELIABILITY AND VALIDITY</t>
  </si>
  <si>
    <r>
      <rPr>
        <rFont val="Arial"/>
        <color theme="1"/>
        <sz val="10.0"/>
      </rPr>
      <t xml:space="preserve">https://github.com/ai-se/Reimplement/tree/cleaned_version
http://tiny.cc/3wpwly - real link: https://www.dropbox.com/scl/fi/nhqn5stbmvwakxhs6bwrp/Experimental-Setup.pdf?rlkey=95902uwrd0ym7hitne3sl5lcy&amp;e=1&amp;dl=0
http://tiny.cc/bu14iy
http://geekpic.net/pm-1GUTPZ.html
http://tiny.cc/kgs2iy
http://tiny.cc/rank-param - real link: </t>
    </r>
    <r>
      <rPr>
        <rFont val="Arial"/>
        <color theme="1"/>
        <sz val="10.0"/>
      </rPr>
      <t>https://s01.pic4net.com/di-7KCRP5.png</t>
    </r>
  </si>
  <si>
    <r>
      <rPr>
        <rFont val="Arial"/>
        <color theme="1"/>
        <sz val="10.0"/>
      </rPr>
      <t xml:space="preserve">https://github.com/ai-se/Reimplement/tree/cleaned_version
http://tiny.cc/3wpwly - real link: https://www.dropbox.com/scl/fi/nhqn5stbmvwakxhs6bwrp/Experimental-Setup.pdf?rlkey=95902uwrd0ym7hitne3sl5lcy&amp;e=1&amp;dl=0
http://tiny.cc/bu14iy
http://geekpic.net/pm-1GUTPZ.html
http://tiny.cc/kgs2iy
http://tiny.cc/rank-param - real link: </t>
    </r>
    <r>
      <rPr>
        <rFont val="Arial"/>
        <color theme="1"/>
        <sz val="10.0"/>
      </rPr>
      <t>https://s01.pic4net.com/di-7KCRP5.png</t>
    </r>
  </si>
  <si>
    <t>Publicly Available (4)
Not Available (2)</t>
  </si>
  <si>
    <t>Attributed variability models: outside the comfort zone</t>
  </si>
  <si>
    <t>https://github.com/se-passau/thor-avm</t>
  </si>
  <si>
    <t>Kmax: finding all configurations of Kbuild makefiles statically</t>
  </si>
  <si>
    <t>FN - 4 IMPLEMENTATION
FN - 5 EXPERIMENTAL EVALUATION</t>
  </si>
  <si>
    <t>https://github.com/paulgazz/kmax</t>
  </si>
  <si>
    <t>Is there a mismatch between real-world feature models and product-line research?</t>
  </si>
  <si>
    <t>A APPENDIX: REPLICATION PACKAGE</t>
  </si>
  <si>
    <t>https://github.com/AlexanderKnueppel/is-there-a-mismatch</t>
  </si>
  <si>
    <t>Adaptively generating high quality fixes for atomicity violations</t>
  </si>
  <si>
    <t>https://lcs.ios.ac.cn/~yancai/alphafixer/</t>
  </si>
  <si>
    <t>AtexRace: across thread and execution sampling for in-house race detection</t>
  </si>
  <si>
    <t>https://lcs.ios.ac.cn/~yancai/atexrace/</t>
  </si>
  <si>
    <t>Symbolic execution of programmable logic controller code</t>
  </si>
  <si>
    <t>Thread-modular static analysis for relaxed memory models</t>
  </si>
  <si>
    <t>ARTINALI: dynamic invariant detection for cyber-physical system security</t>
  </si>
  <si>
    <t>4 EXPERIMENTAL SETUP
[4]</t>
  </si>
  <si>
    <t>https://github.com/karthikp-ubc/Artinali</t>
  </si>
  <si>
    <t>A symbolic justice violations transition system for unrealizable GR(1) specifications</t>
  </si>
  <si>
    <t>5 CONCRETIZATION AND INTERACTIVE
SYMBOLIC AND CONCRETE PLAY
7 EVALUATION
[25]</t>
  </si>
  <si>
    <t>https://smlab.cs.tau.ac.il/syntech/jvts/</t>
  </si>
  <si>
    <t>Automated control of multiple software goals using multiple actuators</t>
  </si>
  <si>
    <t>https://www.martinamaggio.com/main/publications/fse17/</t>
  </si>
  <si>
    <t>Why do developers use trivial packages? an empirical case study on npm</t>
  </si>
  <si>
    <t>https://das.encs.concordia.ca/publications/npm-survey-data/</t>
  </si>
  <si>
    <t>Detecting missing information in bug descriptions</t>
  </si>
  <si>
    <t>2 THE DISCOURSE OF BUG DESCRIPTIONS
3 DEMIBUD: DETECTING MISSING
INFORMATION IN BUG DESCRIPTIONS
4 THREATS TO VALIDITY
[23]</t>
  </si>
  <si>
    <t>https://seers.utdallas.edu/projects/missing-info-in-bugs</t>
  </si>
  <si>
    <t>Continuous variable-specific resolutions of feature interactions</t>
  </si>
  <si>
    <t>4 CASE STUDY</t>
  </si>
  <si>
    <t>https://ece.uwaterloo.ca/~mhzibaee/fse</t>
  </si>
  <si>
    <t>Model-level, platform-independent debugging in the context of the model-driven development of real-time systems</t>
  </si>
  <si>
    <t>8 ARTIFACT DESCRIPTION</t>
  </si>
  <si>
    <t>https://github.com/moji1/MDebugger</t>
  </si>
  <si>
    <t>Cooperative kernels: GPU multitasking for blocking algorithms</t>
  </si>
  <si>
    <t>Toward full elasticity in distributed static analysis: the case of callgraph analysis</t>
  </si>
  <si>
    <t>https://github.com/too4words/Call-Graph-Builder-DotNet</t>
  </si>
  <si>
    <t>Probabilistic model checking of perturbed MDPs with applications to cloud computing</t>
  </si>
  <si>
    <t>Understanding the impact of refactoring on smells: a longitudinal study of 23 software projects</t>
  </si>
  <si>
    <t>2.1 Refactoring Classification- In Refactored Elements.
3.2 Study Phases
3.2.4 Phase 4: Manual Validation
[4]</t>
  </si>
  <si>
    <t>http://diegocedrim.github.io/fse-2017-data/</t>
  </si>
  <si>
    <t>Cimplifier: automatically debloating containers</t>
  </si>
  <si>
    <t>Craig vs. Newton in software model checking</t>
  </si>
  <si>
    <t>Fairness testing: testing software for discrimination</t>
  </si>
  <si>
    <t>https://github.com/LASER-UMASS/Themis</t>
  </si>
  <si>
    <t>The care and feeding of wild-caught mutants</t>
  </si>
  <si>
    <t>7 EXPERIMENTAL ARTIFACTS</t>
  </si>
  <si>
    <t>https://github.com/d-bingham/wildcaughtmutants
https://github.com/d-bingham/fse2017artifact</t>
  </si>
  <si>
    <t>QTEP: quality-aware test case prioritization</t>
  </si>
  <si>
    <t>5.1 RQ1 &amp; RQ2: Performance of QTEP for Regression and All Test Cases</t>
  </si>
  <si>
    <t>http://asset.uwaterloo.ca/qtep/</t>
  </si>
  <si>
    <t>Constraint normalization and parameterized caching for quantitative program analysis</t>
  </si>
  <si>
    <t>11 IMPLEMENTATION - 11.1 Obtaining Cashew</t>
  </si>
  <si>
    <t>https://github.com/vlab-cs-ucsb/cashew/</t>
  </si>
  <si>
    <t>Generalized observational slicing for tree-represented modelling languages</t>
  </si>
  <si>
    <r>
      <rPr>
        <rFont val="Arial"/>
        <color theme="1"/>
        <sz val="10.0"/>
      </rPr>
      <t xml:space="preserve">DOI: 10.14324/000.ds.1561328 - real link: </t>
    </r>
    <r>
      <rPr>
        <rFont val="Arial"/>
        <color theme="1"/>
        <sz val="10.0"/>
      </rPr>
      <t>https://discovery.ucl.ac.uk/id/eprint/1561328/</t>
    </r>
  </si>
  <si>
    <r>
      <rPr>
        <rFont val="Arial"/>
        <color theme="1"/>
        <sz val="10.0"/>
      </rPr>
      <t xml:space="preserve">DOI: 10.14324/000.ds.1561328 - real link: </t>
    </r>
    <r>
      <rPr>
        <rFont val="Arial"/>
        <color theme="1"/>
        <sz val="10.0"/>
      </rPr>
      <t>https://discovery.ucl.ac.uk/id/eprint/1561328/</t>
    </r>
  </si>
  <si>
    <t>On evidence preservation requirements for forensic-ready systems</t>
  </si>
  <si>
    <t>6 TOOL IMPLEMENTATION
7.1 Relevance and Minimality - Twice</t>
  </si>
  <si>
    <t>https://github.com/lpasquale/kEEPER/tree/keeper_CLI
https://github.com/lpasquale/minorityReport</t>
  </si>
  <si>
    <t>BDCI: behavioral driven conflict identification</t>
  </si>
  <si>
    <t>6.1 Prototype Implementation
9 ARTIFACT DESCRIPTION
1 INTRODUCTION
6.1 Prototype Implementation</t>
  </si>
  <si>
    <t>http://www.lta.disco.unimib.it/tools/bdci/
https://drive.google.com/drive/folders/0B8J_pv7c6buveTUxQkdnOXBoclk</t>
  </si>
  <si>
    <t>Not Available (1)
Restrict Access (1)</t>
  </si>
  <si>
    <t>NoFAQ: synthesizing command repairs from examples</t>
  </si>
  <si>
    <t>S3: syntax- and semantic-guided repair synthesis via programming by examples</t>
  </si>
  <si>
    <t>1 INTRODUCTION
5 RELATED WORK</t>
  </si>
  <si>
    <t>https://xuanbachle.github.io/semanticsrepair/</t>
  </si>
  <si>
    <t>Counterexample-guided approach to finding numerical invariants</t>
  </si>
  <si>
    <t>Discovering relational specifications</t>
  </si>
  <si>
    <t>Steelix: program-state based binary fuzzing</t>
  </si>
  <si>
    <t>4 IMPLEMENTATION AND EVALUATION
4.2 Results on LAVA-M Dataset (RQ1)
4.4 Results on Real-Life Programs (RQ1 &amp; RQ2)</t>
  </si>
  <si>
    <t>https://sites.google.com/site/steelix2017/</t>
  </si>
  <si>
    <t>CodeMatch: obfuscation won't conceal your repackaged app</t>
  </si>
  <si>
    <t>1 INTRODUCTION
5.1 The Abstract Representations
5.3 CodeMatch
6.1 Robustness of Code Representation
8 CONCLUSION &amp; FUTURE WORK</t>
  </si>
  <si>
    <t>http://www.st.informatik.tu-darmstadt.de/artifacts/codematch/</t>
  </si>
  <si>
    <t>A compiler and verifier for page access oblivious computation</t>
  </si>
  <si>
    <t>[20] R. Sinha, S. Rajamani, and S. A. Seshia. A compiler and verifier for page access
oblivious computation. Technical Report UCB/EECS-2017-124, EECS Department,
University of California, Berkeley, Jul 2017.</t>
  </si>
  <si>
    <t>Technical Report UCB/EECS-2017-124 - real link: https://www2.eecs.berkeley.edu/Pubs/TechRpts/2017/EECS-2017-124.html</t>
  </si>
  <si>
    <t>Automatic generation of inter-component communication exploits for Android applications</t>
  </si>
  <si>
    <t>[5]
1 INTRODUCTION
7 EVALUATION</t>
  </si>
  <si>
    <r>
      <rPr>
        <rFont val="Arial"/>
        <color theme="1"/>
        <sz val="10.0"/>
      </rPr>
      <t>http://tiny.cc/letterbomb</t>
    </r>
    <r>
      <rPr>
        <rFont val="Arial"/>
        <color theme="1"/>
        <sz val="10.0"/>
      </rPr>
      <t xml:space="preserve"> ( real link: https://ics.uci.edu/~seal/projects/letterbomb/index.html )</t>
    </r>
  </si>
  <si>
    <t>http://tiny.cc/letterbomb</t>
  </si>
  <si>
    <t>OASIS: prioritizing static analysis warnings for Android apps based on app user reviews</t>
  </si>
  <si>
    <t>Recovering clear, natural identifiers from obfuscated JS names</t>
  </si>
  <si>
    <t>ABSTRACT
1 INTRODUCTION</t>
  </si>
  <si>
    <t>http://jsnaughty.org</t>
  </si>
  <si>
    <t>DESCRY: reproducing system-level concurrency failures</t>
  </si>
  <si>
    <t>Reproducing concurrency failures from crash stacks</t>
  </si>
  <si>
    <t>1 INTRODUCTION
6 CONCLUSION AND FUTURE WORK
[49]</t>
  </si>
  <si>
    <t>http://star.inf.usi.ch/star/software/concrash/</t>
  </si>
  <si>
    <t>Automatically analyzing groups of crashes for finding correlations</t>
  </si>
  <si>
    <t>Automatic inference of code transforms for patch generation</t>
  </si>
  <si>
    <t>1 INTRODUCTION - 1.3 Contributions - In Complete System and Experimental Results
9 REPLICATION PACKAGE</t>
  </si>
  <si>
    <t>http://groups.csail.mit.edu/pac/patchgen/</t>
  </si>
  <si>
    <t>A feasibility study of using automated program repair for introductory programming assignments</t>
  </si>
  <si>
    <t>1 INTRODUCTION - In Our Contributions
A ARTIFACT DESCRIPTION</t>
  </si>
  <si>
    <t>https://github.com/jyi/ITSP</t>
  </si>
  <si>
    <t>Automatically diagnosing and repairing error handling bugs in C</t>
  </si>
  <si>
    <t>Are deep neural networks the best choice for modeling source code?</t>
  </si>
  <si>
    <t>1 INTRODUCTION
3 OUR APPROACH</t>
  </si>
  <si>
    <t>github.com/SLP-Team/SLP-Core</t>
  </si>
  <si>
    <t>Understanding the impact of support for iteration on code search</t>
  </si>
  <si>
    <t>LAMP: data provenance for graph based machine learning algorithms through derivative computation</t>
  </si>
  <si>
    <t>6.1 Efficiency - in Log Space and Comparison with Tainting
6.2 Effectiveness - Twice
7.3 Debugging GML Implementation
[10]</t>
  </si>
  <si>
    <t>https://github.com/PythonLAMP/LAMP</t>
  </si>
  <si>
    <t>More accurate recommendations for method-level changes</t>
  </si>
  <si>
    <t>4.2 Edit Script Adjustment
9 CONCLUSION</t>
  </si>
  <si>
    <t>https://github.com/FAU-Inf2/ARES</t>
  </si>
  <si>
    <t>Regression test selection across JVM boundaries</t>
  </si>
  <si>
    <t>Measuring the cost of regression testing in practice: a study of Java projects using continuous integration</t>
  </si>
  <si>
    <t>5 DISCUSSION - 5.2 Replication Package</t>
  </si>
  <si>
    <t>https://github.com/rtholmes/RealTestFailures/</t>
  </si>
  <si>
    <t>Better test cases for better automated program repair</t>
  </si>
  <si>
    <t>http://asset.uwaterloo.ca/tests4repair</t>
  </si>
  <si>
    <t>CloudRaid: hunting concurrency bugs in the cloud via log-mining</t>
  </si>
  <si>
    <t>Testing multithreaded programs via thread speed control</t>
  </si>
  <si>
    <t>4 SCHNAUZER</t>
  </si>
  <si>
    <t>https://midwinter1993.github.io/Schnauzer/</t>
  </si>
  <si>
    <t>Data race detection on compressed traces</t>
  </si>
  <si>
    <t>5.1 Implementation and Setup - In Implementation
[4]</t>
  </si>
  <si>
    <t>https://github.com/umangm/ziptrack
http://arxiv.org/abs/1807.08427
- CoRR abs/1807.08427</t>
  </si>
  <si>
    <r>
      <rPr>
        <rFont val="Arial"/>
        <color theme="1"/>
        <sz val="10.0"/>
      </rPr>
      <t xml:space="preserve">https://github.com/umangm/ziptrack
</t>
    </r>
    <r>
      <rPr>
        <rFont val="Arial"/>
        <color theme="1"/>
        <sz val="10.0"/>
      </rPr>
      <t>http://arxiv.org/abs/1807.08427</t>
    </r>
  </si>
  <si>
    <t>Practical AJAX race detection for JavaScript web applications</t>
  </si>
  <si>
    <t>5 IMPLEMENTATION</t>
  </si>
  <si>
    <t>http://www.brics.dk/ajaxracer/</t>
  </si>
  <si>
    <t>Using finite-state models for log differencing</t>
  </si>
  <si>
    <t>4 USING MODELS FOR LOG DIFFERENCING
4.3 Implementation and Validation
5.1.1 Models Used 
5.1.5 Results - Twice</t>
  </si>
  <si>
    <t>http://smlab.cs.tau.ac.il/xlog/#FSE18</t>
  </si>
  <si>
    <t>Identifying impactful service system problems via log analysis</t>
  </si>
  <si>
    <t>https://github.com/logpai/Log3C</t>
  </si>
  <si>
    <t>Learning to sample: exploiting similarities across environments to learn performance models for configurable systems</t>
  </si>
  <si>
    <t>3 L2S: LEARNING TO SAMPLE
4 EXPERIMENTAL RESULTS</t>
  </si>
  <si>
    <r>
      <rPr>
        <rFont val="Arial"/>
        <color theme="1"/>
        <sz val="10.0"/>
      </rPr>
      <t>https://github.com/pooyanjamshidi/GenPerf</t>
    </r>
    <r>
      <rPr>
        <rFont val="Arial"/>
        <color theme="1"/>
        <sz val="10.0"/>
        <u/>
      </rPr>
      <t xml:space="preserve">
</t>
    </r>
    <r>
      <rPr>
        <rFont val="Arial"/>
        <color theme="1"/>
        <sz val="10.0"/>
      </rPr>
      <t>https://github.com/cmu-mars/model-learner/tree/tutorial</t>
    </r>
    <r>
      <rPr>
        <rFont val="Arial"/>
        <color theme="1"/>
        <sz val="10.0"/>
      </rPr>
      <t xml:space="preserve">
https://github.com/pooyanjamshidi/L2S</t>
    </r>
  </si>
  <si>
    <t>https://github.com/pooyanjamshidi/GenPerf
https://github.com/cmu-mars/model-learner/tree/tutorial
https://github.com/pooyanjamshidi/L2S</t>
  </si>
  <si>
    <t>Performance comprehension at WiredTiger</t>
  </si>
  <si>
    <t>2.3 Data Analysis</t>
  </si>
  <si>
    <r>
      <rPr>
        <rFont val="Arial"/>
        <color theme="1"/>
        <sz val="10.0"/>
      </rPr>
      <t>https://goo.gl/DdwU7u</t>
    </r>
    <r>
      <rPr>
        <rFont val="Arial"/>
        <color theme="1"/>
        <sz val="10.0"/>
      </rPr>
      <t xml:space="preserve"> ( real link: </t>
    </r>
    <r>
      <rPr>
        <rFont val="Arial"/>
        <color theme="1"/>
        <sz val="10.0"/>
      </rPr>
      <t>https://drive.google.com/drive/folders/1V1MUZ_dRjZ3eWrWnRvzBXHuxBxP6hXdO</t>
    </r>
    <r>
      <rPr>
        <rFont val="Arial"/>
        <color theme="1"/>
        <sz val="10.0"/>
      </rPr>
      <t xml:space="preserve"> )</t>
    </r>
  </si>
  <si>
    <t>https://goo.gl/DdwU7u</t>
  </si>
  <si>
    <t>MemFix: static analysis-based repair of memory deallocation errors for C</t>
  </si>
  <si>
    <t>https://prl.korea.ac.kr/MemFix</t>
  </si>
  <si>
    <t>RefiNym: using names to refine types</t>
  </si>
  <si>
    <t>https://github.com/askdash/refinym</t>
  </si>
  <si>
    <t>Darwinian data structure selection</t>
  </si>
  <si>
    <t>http://darwinianoptimiser.com
- https://darwinianoptimiser.com/corpus</t>
  </si>
  <si>
    <t>http://darwinianoptimiser.com
https://darwinianoptimiser.com/corpus</t>
  </si>
  <si>
    <t>Scalability-first pointer analysis with self-tuning context-sensitivity</t>
  </si>
  <si>
    <t>https://www.brics.dk/scaler/</t>
  </si>
  <si>
    <t>DeepSim: deep learning code functional similarity</t>
  </si>
  <si>
    <t>https://github.com/parasol-aser/deepsim</t>
  </si>
  <si>
    <t>Deep learning type inference</t>
  </si>
  <si>
    <t>4.5 Experimental Setup</t>
  </si>
  <si>
    <t>https://github.com/DeepTyper/DeepTyper</t>
  </si>
  <si>
    <t>The source of these functions and the functions themselves will be released after anonymity is lifted.</t>
  </si>
  <si>
    <t>Code vectors: understanding programs through embedded abstracted symbolic traces</t>
  </si>
  <si>
    <t>11 EXPERIMENTAL ARTIFACTS
[19]</t>
  </si>
  <si>
    <t>https://github.com/jjhenkel/c2ocaml
https://github.com/jjhenkel/lsee
https://github.com/jjhenkel/code-vectors-artifact
https://doi.org/10.5281/zenodo.1297689</t>
  </si>
  <si>
    <r>
      <rPr>
        <sz val="10.0"/>
      </rPr>
      <t xml:space="preserve">https://github.com/jjhenkel/c2ocaml
https://github.com/jjhenkel/lsee
https://github.com/jjhenkel/code-vectors-artifact
</t>
    </r>
    <r>
      <rPr>
        <sz val="10.0"/>
        <u/>
      </rPr>
      <t>https://doi.org/10.5281/zenodo.1297689</t>
    </r>
  </si>
  <si>
    <t>Publicly Available (4)</t>
  </si>
  <si>
    <t>MODE: automated neural network model debugging via state differential analysis and input selection</t>
  </si>
  <si>
    <t>[10]</t>
  </si>
  <si>
    <t>https://github.com/dnnmode/buggymodels</t>
  </si>
  <si>
    <t>Towards a theory of software development expertise</t>
  </si>
  <si>
    <t>2 RESEARCH DESIGN
3 PHASE 1: GROUNDED THEORY
5 PHASE 3: REVISED CONCEPTUAL THEORY
6 EXPERIENCE AND EXPERTISE</t>
  </si>
  <si>
    <t>https://doi.org/10.5281/zenodo.1299798</t>
  </si>
  <si>
    <t>We provide all questionnaires, coding schemes, and all non-confidential survey responses as supplementary material</t>
  </si>
  <si>
    <t>What makes a code change easier to review: an empirical investigation on code change reviewability</t>
  </si>
  <si>
    <t>Abstract
3 RESEARCH METHODOLOGY
[66]</t>
  </si>
  <si>
    <t>https://doi.org/10.5281/zenodo.1323659</t>
  </si>
  <si>
    <t>Interview guidelines and transcripts for which we got permission are available in the accompanying material.</t>
  </si>
  <si>
    <t>Singularity: pattern fuzzing for worst case complexity</t>
  </si>
  <si>
    <t>6 IMPLEMENTATION
7 EVALUATION
[36]</t>
  </si>
  <si>
    <t>https://github.com/MrVPlusOne/Singularity</t>
  </si>
  <si>
    <t>Bug synthesis: challenging bug-finding tools with deep faults</t>
  </si>
  <si>
    <t>Modify, enhance, select: co-evolution of combinatorial models and test plans</t>
  </si>
  <si>
    <t>https://smlab.cs.tau.ac.il/ctd/</t>
  </si>
  <si>
    <t>The impact of regular expression denial of service (ReDoS) in practice: an empirical study at the ecosystem scale</t>
  </si>
  <si>
    <t>https://doi.org/10.5281/zenodo.1294300</t>
  </si>
  <si>
    <t>FraudDroid: automated ad fraud detection for Android apps</t>
  </si>
  <si>
    <t>https://github.com/FraudDroid-mobile-ad-fraud</t>
  </si>
  <si>
    <t>AppFlow: using machine learning to synthesize robust, reusable UI tests</t>
  </si>
  <si>
    <t>https://github.com/columbia/appflow
https://github.com/columbia/appflow-dataset</t>
  </si>
  <si>
    <t>Winning the app production rally</t>
  </si>
  <si>
    <t>One size does not fit all: an empirical study of containerized continuous deployment workflows</t>
  </si>
  <si>
    <t>https://github.com/yangzhangs/cd_replication</t>
  </si>
  <si>
    <t>Be careful of when: an empirical study on time-related misuse of issue tracking data</t>
  </si>
  <si>
    <t>github.com/fayekia/FSE_2018</t>
  </si>
  <si>
    <t>Do the dependency conflicts in my project matter?</t>
  </si>
  <si>
    <t>https://deccadc.github.io/fse18/</t>
  </si>
  <si>
    <t>Do Android taint analysis tools keep their promises?</t>
  </si>
  <si>
    <t>3 APPROACH
4 EXPERIMENTAL SETUP
[32] [33] [40]</t>
  </si>
  <si>
    <r>
      <rPr>
        <rFont val="Arial"/>
        <color theme="1"/>
        <sz val="10.0"/>
      </rPr>
      <t xml:space="preserve">https://foellix.github.io/ReproDroid/
- https://foellix.github.io/ReproDroid/#droidbench
https://foellix.github.io/BREW/
- </t>
    </r>
    <r>
      <rPr>
        <rFont val="Arial"/>
        <color theme="1"/>
        <sz val="10.0"/>
      </rPr>
      <t>https://github.com/FoelliX/BREW/wiki</t>
    </r>
    <r>
      <rPr>
        <rFont val="Arial"/>
        <color theme="1"/>
        <sz val="10.0"/>
      </rPr>
      <t xml:space="preserve">
</t>
    </r>
    <r>
      <rPr>
        <rFont val="Arial"/>
        <color theme="1"/>
        <sz val="10.0"/>
      </rPr>
      <t>https://foellix.github.io/AQL-System/</t>
    </r>
    <r>
      <rPr>
        <rFont val="Arial"/>
        <color theme="1"/>
        <sz val="10.0"/>
      </rPr>
      <t xml:space="preserve">
</t>
    </r>
  </si>
  <si>
    <t>https://foellix.github.io/ReproDroid/
https://foellix.github.io/BREW/
https://foellix.github.io/AQL-System/</t>
  </si>
  <si>
    <t>Neural-augmented static analysis of Android communication</t>
  </si>
  <si>
    <t>Oreo: detection of clones in the twilight zone</t>
  </si>
  <si>
    <t>Concurrency verification with maximal path causality</t>
  </si>
  <si>
    <t>4 EVALUATION
[1]</t>
  </si>
  <si>
    <t>https://github.com/parasol-aser/MPC</t>
  </si>
  <si>
    <t>Adversarial symbolic execution for detecting concurrency-related cache timing leaks</t>
  </si>
  <si>
    <t>Symbolic execution with existential second-order constraints</t>
  </si>
  <si>
    <t>4.4 Implementation</t>
  </si>
  <si>
    <t>http://angelix.io/second-order.html</t>
  </si>
  <si>
    <t>Parameterized model counting for string and numeric constraints</t>
  </si>
  <si>
    <t>6 IMPLEMENTATION AND EXPERIMENTS</t>
  </si>
  <si>
    <t>https://github.com/vlab-cs-ucsb/ABC</t>
  </si>
  <si>
    <t>NAR-miner: discovering negative association rules from code for bug detection</t>
  </si>
  <si>
    <t>Path-based function embedding and its application to error-handling specification mining</t>
  </si>
  <si>
    <t>Putback-based bidirectional model transformations</t>
  </si>
  <si>
    <t>3 MODEL-MERGING-BASED BX
COMBINATION</t>
  </si>
  <si>
    <t>https://bitbucket.org/ustbmde/morel/wiki/Home</t>
  </si>
  <si>
    <t>Model transformation languages under a magnifying glass: a controlled experiment with Xtend, ATL, and QVT</t>
  </si>
  <si>
    <t>4 METHOD
[14]</t>
  </si>
  <si>
    <t>https://sites.google.com/view/m2mappendix</t>
  </si>
  <si>
    <t>Applications of psychological science for actionable analytics</t>
  </si>
  <si>
    <t>3 METHODS
5 THREATS TO VALIDITY</t>
  </si>
  <si>
    <t>https://github.com/ai-se/FFT_Jack
http://tiny.cc/seacraft - real link: https://www.articles.co.il/cgi-sys/suspendedpage.cgi</t>
  </si>
  <si>
    <r>
      <rPr>
        <rFont val="Arial"/>
        <color theme="1"/>
        <sz val="10.0"/>
      </rPr>
      <t>https://github.com/ai-se/FFT_Jack</t>
    </r>
    <r>
      <rPr>
        <rFont val="Arial"/>
        <color theme="1"/>
        <sz val="10.0"/>
      </rPr>
      <t xml:space="preserve">
http://tiny.cc/seacraft</t>
    </r>
  </si>
  <si>
    <t>A novel automated approach for software effort estimation based on data augmentation</t>
  </si>
  <si>
    <t>5 RESULT AND DISCUSSION</t>
  </si>
  <si>
    <t>http://www.cs.le.ac.uk/people/llm11/</t>
  </si>
  <si>
    <t>Predicting Node failure in cloud service systems</t>
  </si>
  <si>
    <t>Detecting speech act types in developer question/answer conversations during bug repair</t>
  </si>
  <si>
    <t>4 USER SIMULATIONS
6 ANNOTATIONS RESULTS
7 PREDICTING SPEECH ACT TYPE</t>
  </si>
  <si>
    <r>
      <rPr>
        <rFont val="Arial"/>
        <color theme="1"/>
        <sz val="10.0"/>
      </rPr>
      <t>https://tinyurl.com/yadfpojd</t>
    </r>
    <r>
      <rPr>
        <rFont val="Arial"/>
        <color theme="1"/>
        <sz val="10.0"/>
      </rPr>
      <t xml:space="preserve"> ( real link: </t>
    </r>
    <r>
      <rPr>
        <rFont val="Arial"/>
        <color theme="1"/>
        <sz val="10.0"/>
      </rPr>
      <t>https://drive.google.com/drive/folders/1ZmDiBpasRBMvMDH3qk3riD_P4ZRvhUz7</t>
    </r>
    <r>
      <rPr>
        <rFont val="Arial"/>
        <color theme="1"/>
        <sz val="10.0"/>
      </rPr>
      <t xml:space="preserve"> )</t>
    </r>
  </si>
  <si>
    <t>https://tinyurl.com/yadfpojd</t>
  </si>
  <si>
    <t>Visual web test repair</t>
  </si>
  <si>
    <t>4 APPROACH</t>
  </si>
  <si>
    <t>https://github.com/saltlab/vista</t>
  </si>
  <si>
    <t>Syntax-guided synthesis of Datalog programs</t>
  </si>
  <si>
    <t>5 EMPIRICAL EVALUATION</t>
  </si>
  <si>
    <t>https://github.com/XujieSi/fse18-artifact-183</t>
  </si>
  <si>
    <t>Large-scale study of substitutability in the presence of effects</t>
  </si>
  <si>
    <t>http://design.cs.iastate.edu/papers/FSE-18/</t>
  </si>
  <si>
    <t>An empirical study on crash recovery bugs in large-scale distributed systems</t>
  </si>
  <si>
    <t>http://www.tcse.cn/~wsdou/project/CREB/</t>
  </si>
  <si>
    <t>Complementing global and local contexts in representing API descriptions to improve API retrieval tasks</t>
  </si>
  <si>
    <t>Phys: probabilistic physical unit assignment and inconsistency detection</t>
  </si>
  <si>
    <t>https://zenodo.org/record/1310129</t>
  </si>
  <si>
    <t>Testing probabilistic programming systems</t>
  </si>
  <si>
    <t>3 BUG CHARACTERIZATION STUDY</t>
  </si>
  <si>
    <t>https://probfuzz.com/
- https://probfuzz.com/db</t>
  </si>
  <si>
    <t>https://probfuzz.com/</t>
  </si>
  <si>
    <t>Verifying the long-run behavior of probabilistic system models in the presence of uncertainty</t>
  </si>
  <si>
    <t>5 EXPERIMENTAL EVALUATION</t>
  </si>
  <si>
    <t>https://github.com/mboehme/mboehme.github.io/raw/master/paper/FSE18.zip</t>
  </si>
  <si>
    <t>Automated patch extraction via syntax- and semantics-aware Delta debugging on source code changes</t>
  </si>
  <si>
    <t>https://hub.docker.com/u/codecontinuum</t>
  </si>
  <si>
    <t>We have created a Docker image containing DDJ and DDP in order to reproduce the results of the experiments. The image will be available at https://hub.docker.com/r/codecontinuum/.</t>
  </si>
  <si>
    <t>Feedback-directed differential testing of interactive debuggers</t>
  </si>
  <si>
    <t>https://github.com/sola-da/DifferentialDebuggerTesting</t>
  </si>
  <si>
    <t>Improving IR-based bug localization with context-aware query reformulation</t>
  </si>
  <si>
    <t>4 EXPERIMENT</t>
  </si>
  <si>
    <r>
      <rPr>
        <rFont val="Arial"/>
        <color theme="1"/>
        <sz val="10.0"/>
      </rPr>
      <t>https://goo.gl/NTUqcK</t>
    </r>
    <r>
      <rPr>
        <rFont val="Arial"/>
        <color theme="1"/>
        <sz val="10.0"/>
      </rPr>
      <t xml:space="preserve"> ( real link: http://homepage.usask.ca/~masud.rahman/blizzard/ )</t>
    </r>
  </si>
  <si>
    <t>https://goo.gl/NTUqcK</t>
  </si>
  <si>
    <t>How should compilers explain problems to developers?</t>
  </si>
  <si>
    <t>https://www.stackoverflow.com/questions/:id
http://stackoverflow.com/questions/1225726
http://stackoverflow.com/questions/32831677
http://stackoverflow.com/questions/28880386
http://stackoverflow.com/questions/16686321
http://stackoverflow.com/questions/20858493
http://stackoverflow.com/questions/16686321
http://stackoverflow.com/questions/8783031
http://stackoverflow.com/questions/4114098
http://stackoverflow.com/questions/27417378
http://stackoverflow.com/questions/5185870
http://stackoverflow.com/questions/26192934
http://stackoverflow.com/questions/26193030
http://stackoverflow.com/questions/51962187
http://stackoverflow.com/questions/5005384
http://stackoverflow.com/questions/37835991
http://stackoverflow.com/questions/2640747
http://stackoverflow.com/questions/29189792
http://stackoverflow.com/questions/17980660
http://stackoverflow.com/questions/7316556
http://stackoverflow.com/questions/2841668
http://stackoverflow.com/questions/7329198
http://stackoverflow.com/questions/7942848
http://stackoverflow.com/questions/5013194
http://stackoverflow.com/questions/36476599
http://stackoverflow.com/questions/2858800
http://stackoverflow.com/questions/11180128</t>
  </si>
  <si>
    <t>Not Available (1)
Publicly Available (26)</t>
  </si>
  <si>
    <t>Ecosystem-level determinants of sustained activity in open-source projects: a case study of the PyPI ecosystem</t>
  </si>
  <si>
    <t>3.1 Data Set</t>
  </si>
  <si>
    <t>https://zenodo.org/records/1297925</t>
  </si>
  <si>
    <t>Optimizing test prioritization via test distribution analysis</t>
  </si>
  <si>
    <t>https://github.com/JunjieChen/PTP</t>
  </si>
  <si>
    <t>The data in this work (except the data on industrial projects due to the policy of the company) are available at our project website: https://github.com/JunjieChen/PTP.</t>
  </si>
  <si>
    <t>How well are regular expressions tested in the wild?</t>
  </si>
  <si>
    <t>5 STUDY
6 RESULTS</t>
  </si>
  <si>
    <r>
      <rPr>
        <rFont val="Arial"/>
        <color theme="1"/>
        <sz val="10.0"/>
      </rPr>
      <t xml:space="preserve">https://github.com/wangpeipei90/re2
</t>
    </r>
    <r>
      <rPr>
        <rFont val="Arial"/>
        <color theme="1"/>
        <sz val="10.0"/>
      </rPr>
      <t>https://github.com/wangpeipei90/RegexTestingCoverageData</t>
    </r>
  </si>
  <si>
    <r>
      <rPr>
        <rFont val="Arial"/>
        <color theme="1"/>
        <sz val="10.0"/>
      </rPr>
      <t xml:space="preserve">https://github.com/wangpeipei90/re2
</t>
    </r>
    <r>
      <rPr>
        <rFont val="Arial"/>
        <color theme="1"/>
        <sz val="10.0"/>
      </rPr>
      <t>https://github.com/wangpeipei90/RegexTestingCoverageData</t>
    </r>
  </si>
  <si>
    <t>Which generated test failures are fault revealing? prioritizing failures based on inferred precondition violations using PAF</t>
  </si>
  <si>
    <t>https://github.com/PAMSE/PAFAnalysis</t>
  </si>
  <si>
    <t>Detection of energy inefficiencies in Android wear watch faces</t>
  </si>
  <si>
    <t>https://presto-osu.github.io/fse18</t>
  </si>
  <si>
    <t>Stochastic energy optimization for mobile GPS applications</t>
  </si>
  <si>
    <t>https://github.com/pl-aeneas/aeneas</t>
  </si>
  <si>
    <t>Concolic testing for models of state-based systems</t>
  </si>
  <si>
    <t>Target-driven compositional concolic testing with function summary refinement for effective bug detection</t>
  </si>
  <si>
    <t>1 INTRODUCTION
...
We made 100 real-world bug data for the SIR benchmark pro-
grams publicly available (https://sites.google.com/view/focal-
fse19). These data were collected and organized after examining
the bug reports of the last 12–24 years, so that researchers can
use them for various testing research purposes (Sect. 4.2.1).</t>
  </si>
  <si>
    <t>https://sites.google.com/view/focal-fse19</t>
  </si>
  <si>
    <t>Generating automated and online test oracles for Simulink models with continuous and uncertain behaviors</t>
  </si>
  <si>
    <t>1 INTRODUCTION
...
We have implemented our automated oracle generation procedure
in a tool which is available online [1].</t>
  </si>
  <si>
    <t>https://github.com/SNTSVV/SOCRaTEs
https://doi.org/10.5281/zenodo.3262095</t>
  </si>
  <si>
    <r>
      <rPr>
        <rFont val="Arial"/>
        <color theme="1"/>
        <sz val="10.0"/>
      </rPr>
      <t xml:space="preserve">Data Availability. Our data and tool are available online [1]. All the models except for the SatEx model are available on request [4].
[4] 2019. Online form for accessing companion material. </t>
    </r>
    <r>
      <rPr>
        <rFont val="Arial"/>
        <color theme="1"/>
        <sz val="10.0"/>
      </rPr>
      <t>https://claudiomenghi.github.io/socratesForm.html.</t>
    </r>
  </si>
  <si>
    <t>Lifting Datalog-based analyses to software product lines</t>
  </si>
  <si>
    <t xml:space="preserve">4 IMPLEMENTATION
4.1 Lifting Doop
...
To illustrate and evaluate the Datalog lifting approach outlined
in Sec. 3, we modified the Doop [6] Datalog-based pointer analy-
sis framework 1, together with its underlying Soufflé [15] Datalog
engine 2. </t>
  </si>
  <si>
    <t>https://bitbucket.org/rshahin/doop
https://github.com/ramyshahin/souffle</t>
  </si>
  <si>
    <t>An empirical study of real-world variability bugs detected by variability-oblivious tools</t>
  </si>
  <si>
    <t>1 INTRODUCTION
...
We have made our framework and dataset publicly available.2</t>
  </si>
  <si>
    <t>https://github.com/paulgazz/kconfig_case_studies/releases/tag/v1.0</t>
  </si>
  <si>
    <t>Principles of feature modeling</t>
  </si>
  <si>
    <t>1 INTRODUCTION
...an online replication package with more details (e.g., list
of 654 papers identified during snowballing; the relevant
interview and paper quotes for each principle).1</t>
  </si>
  <si>
    <t>https://bitbucket.org/easelab/featuremodelingprinciples</t>
  </si>
  <si>
    <t>Understanding GCC builtins to develop better tools</t>
  </si>
  <si>
    <t>1 INTRODUCTION
...
For reproducibility and
verifiability, we provide the database with GCC builtin usage, test
suite, tools used for the analysis, and a record of the manual deci-
sions on https:// github.com/ jku-ssw/ gcc-builtin-study.</t>
  </si>
  <si>
    <t>https://github.com/jku-ssw/gcc-builtin-study
https://gcc.gnu.org/ml/gcc/2018-01/msg00166.html
https://github.com/cil-project/cil/issues/44
https://github.com/kframework/c-semantics/issues/318
https://lists.gforge.inria.fr/pipermail/frama-c-discuss/2018-July/005483.html
https://github.com/AbsInt/CompCert/issues/243
http://lists.nongnu.org/archive/html/tinycc-devel/2018-07/msg00007.html</t>
  </si>
  <si>
    <t>Publicly Available (6)
Not Available (1)</t>
  </si>
  <si>
    <t>Assessing the quality of the steps to reproduce in bug reports</t>
  </si>
  <si>
    <t xml:space="preserve">3.6 Results and Analysis
Table 2 summarizes the evaluation results of Euler’s quality assess-
ment and feedback1. </t>
  </si>
  <si>
    <t>https://seers.utdallas.edu/projects/s2r-quality</t>
  </si>
  <si>
    <t>A learning-based approach for automatic construction of domain glossary from source code and documentation</t>
  </si>
  <si>
    <t>4 EMPIRICAL STUDY
We conduct an empirical study with two technical domains (deep
learning and Hadoop). Based on the results, we evaluate the effec-
tiveness of our approach for domain concept extraction and the
usefulness of the extracted domain concepts for software develop-
ment tasks. All the data and results of the study have been included
in our replication package [15].</t>
  </si>
  <si>
    <t>https://fudanselab.github.io/Research-ESEC-FSE2019-DomainGlossary/</t>
  </si>
  <si>
    <t>On using machine learning to identify knowledge in API reference documentation</t>
  </si>
  <si>
    <t>1 INTRODUCTION
...
Second, as we share the code
and data of this study,1</t>
  </si>
  <si>
    <t>https://doi.org/10.5281/zenodo.3265783</t>
  </si>
  <si>
    <t>Generating query-specific class API summaries</t>
  </si>
  <si>
    <t>4 EVALUATION
...
Finally, we answer RQ4 by providing examples of classes
that have distinct summaries for different queries. Details of the
empirical studies can be found in our replication package [9].</t>
  </si>
  <si>
    <t>https://fudanselab.github.io/Research-ESEC-FSE2019-APIKGSummary/</t>
  </si>
  <si>
    <t>Semantic relation based expansion of abbreviations</t>
  </si>
  <si>
    <r>
      <rPr>
        <sz val="10.0"/>
      </rPr>
      <t xml:space="preserve">4 EVALUATION
...
4.3 Process
...
The resulting dataset is publicly
available at </t>
    </r>
    <r>
      <rPr>
        <sz val="10.0"/>
        <u/>
      </rPr>
      <t>https://github.com/4DataShare/AbbExpansion.</t>
    </r>
  </si>
  <si>
    <t>https://github.com/4DataShare/AbbExpansion</t>
  </si>
  <si>
    <t>Diversity-based web test generation</t>
  </si>
  <si>
    <t>3 DIVERSITY-BASED WEB TEST GENERATION
3.5 Implementation
...
We implemented our approach in a Java tool called DIG (DIversity-
based Generator), which is publicly available [52].</t>
  </si>
  <si>
    <t>https://github.com/matteobiagiola/FSE19-submission-material-DIG</t>
  </si>
  <si>
    <t>Web test dependency detection</t>
  </si>
  <si>
    <t>1 INTRODUCTION
...
An implementation of our algorithm in a tool named TEDD,
which is available [38].</t>
  </si>
  <si>
    <t>https://github.com/matteobiagiola/FSE19-submission-material-TEDD</t>
  </si>
  <si>
    <t>Testing scratch programs automatically</t>
  </si>
  <si>
    <r>
      <rPr>
        <sz val="10.0"/>
      </rPr>
      <t xml:space="preserve">4 EMPIRICAL STUDY
To study the feasibility of Scratch testing and the Whisker frame-
work, we empirically answer the following research questions:
...
An artifact that contains all data and software to reproduce our
study is available online: </t>
    </r>
    <r>
      <rPr>
        <sz val="10.0"/>
        <u/>
      </rPr>
      <t>github.com/se2p/artifact-esecfse2019.</t>
    </r>
  </si>
  <si>
    <t>github.com/se2p/artifact-esecfse2019
github.com/se2p/whisker-main</t>
  </si>
  <si>
    <t>A large-scale empirical study of compiler errors in continuous integration</t>
  </si>
  <si>
    <t>10 CONCLUSIONS
In this paper, we present a large-scale empirical study to character-
ize and understand the compiler errors that break CI builds of open-
source projects. Our findings provided practical for developers, tool
builders and researchers. In future, we plan to investigate how to au-
tomatically fix compiler errors. Our dataset with the more complete
analysis results are released at https://compilererrorinci.github.io.</t>
  </si>
  <si>
    <t>https://compilererrorinci.github.io</t>
  </si>
  <si>
    <t>A statistics-based performance testing methodology for cloud applications</t>
  </si>
  <si>
    <r>
      <rPr>
        <sz val="10.0"/>
      </rPr>
      <t xml:space="preserve">5 EXPERIMENTAL EVALUATION
...
5.1 Experimental Setup
...
Open Data Our data and source code are available at
</t>
    </r>
    <r>
      <rPr>
        <sz val="10.0"/>
        <u/>
      </rPr>
      <t>http://doi.org/10.6084/m9.figshare.7749356.</t>
    </r>
  </si>
  <si>
    <t>http://doi.org/10.6084/m9.figshare.7749356</t>
  </si>
  <si>
    <t>How bad can a bug get? an empirical analysis of software failures in the OpenStack cloud computing platform</t>
  </si>
  <si>
    <t>6 EXPERIMENTAL ARTIFACTS</t>
  </si>
  <si>
    <r>
      <rPr>
        <rFont val="Arial"/>
        <color theme="1"/>
        <sz val="10.0"/>
      </rPr>
      <t xml:space="preserve">https://doi.org/10.6084/m9.figshare.7731629
https://doi.org/10.6084/m9.figshare.7732268
</t>
    </r>
    <r>
      <rPr>
        <rFont val="Arial"/>
        <color theme="1"/>
        <sz val="10.0"/>
      </rPr>
      <t>https://doi.org/10.6084/m9.figshare.8242877</t>
    </r>
  </si>
  <si>
    <r>
      <rPr>
        <rFont val="Arial"/>
        <color theme="1"/>
        <sz val="10.0"/>
      </rPr>
      <t xml:space="preserve">https://doi.org/10.6084/m9.figshare.7731629
https://doi.org/10.6084/m9.figshare.7732268
</t>
    </r>
    <r>
      <rPr>
        <rFont val="Arial"/>
        <color theme="1"/>
        <sz val="10.0"/>
      </rPr>
      <t>https://doi.org/10.6084/m9.figshare.8242877</t>
    </r>
  </si>
  <si>
    <t>Towards more efficient meta-heuristic algorithms for combinatorial test generation</t>
  </si>
  <si>
    <t>5.3 Experimental Setup
...
5.4 Experimental Results
...
Results on the performance of FastCA and its competitors
for 4-way CCAG (RQ4): Table 7 presents the results of 4-way
CCAG solving on the Real-world and IBM benchmarks; the results
on the Synthetic benchmarks are available online8. Since the HHSA
algorithm available online cannot solve 4-way CCAG, we do not
report its result here.</t>
  </si>
  <si>
    <t>https://github.com/jkunlin/fastca</t>
  </si>
  <si>
    <t>Compiler bug isolation via effective witness test program generation</t>
  </si>
  <si>
    <t>5 EVALUATION
...
5.1 Benchmark
...
In our benchmark,
each bug has:  1 buggy compiler version;  2 failing test program;  3
compilation options for reproducing the bug;  4 buggy location;  5
!xed version. Our benchmark and code are available at the project
webpage: https://github.com/JunjieChen/DiWi.</t>
  </si>
  <si>
    <t xml:space="preserve"> https://github.com/JunjieChen/DiWi</t>
  </si>
  <si>
    <t>Concolic testing with adaptively changing search heuristics</t>
  </si>
  <si>
    <t>1 INTRODUCTION
...
We provide extensive evaluation by comparing Chameleon
with six existing search heuristics in terms of branch cover-
age and bug-finding. We make our tool1 and data publicly
available.</t>
  </si>
  <si>
    <t>https://github.com/kupl/Chameleon</t>
  </si>
  <si>
    <t>Symbolic execution-driven extraction of the parallel execution plans of Spark applications</t>
  </si>
  <si>
    <t>Generating effective test cases for self-driving cars from police reports</t>
  </si>
  <si>
    <t>1 INTRODUCTION
...
To favor the replication of our studies as well as to enable further
research on this topic we release AC3R’s source code, evaluation
data, and instructions to replicate the experiments at:
https://github.com/SoftLegend/AC3R-Demo</t>
  </si>
  <si>
    <t>https://github.com/SoftLegend/AC3R-Demo</t>
  </si>
  <si>
    <t>Preference-wise testing for Android applications</t>
  </si>
  <si>
    <t>4 EVALUATION
We implemented our approach into a tool, also name Prefest. The
tool and the experimental data are available online 1.</t>
  </si>
  <si>
    <t>https://github.com/Prefest2018/Prefest</t>
  </si>
  <si>
    <t>Bisecting commits and modeling commit risk during testing</t>
  </si>
  <si>
    <t>White-box testing of big data analytics with complex user-defined functions</t>
  </si>
  <si>
    <t>The
implementations of both Sedge and BigTest are publicly available1.</t>
  </si>
  <si>
    <t>https://github.com/maligulzar/BigTest</t>
  </si>
  <si>
    <t>Empirical review of Java program repair tools: a large-scale experiment on 2,141 bugs and 23,551 repair attempts</t>
  </si>
  <si>
    <t xml:space="preserve">4 RESULTS
...
4.3 Causes of Non-patch Generation (RQ3)
...
For instance, NPEFix
fails 213 times because of issues related to classpath.2
On Bugs.jar, for instance, ∼200 repair attempts fin-
ished with the error [Errno 7] Argument list too long.3 Fi-
nally, there are also other diverse issues that cause the repair tools to
crash. For instance, jGenProg finished its repair attempt on the bug
Flink-6bc6dbec from Bugs.jar with a NullPointerException.4
</t>
  </si>
  <si>
    <r>
      <rPr>
        <rFont val="Arial"/>
        <color theme="1"/>
        <sz val="10.0"/>
      </rPr>
      <t xml:space="preserve">https://git.io/fjRax
https://git.io/fjRap
https://github.com/program-repair/RepairThemAll
https://github.com/program-repair/RepairThemAll_experiment
</t>
    </r>
    <r>
      <rPr>
        <rFont val="Arial"/>
        <color theme="1"/>
        <sz val="10.0"/>
      </rPr>
      <t>http://program-repair.org/RepairThemAll_experiment</t>
    </r>
  </si>
  <si>
    <r>
      <rPr>
        <rFont val="Arial"/>
        <color theme="1"/>
        <sz val="10.0"/>
      </rPr>
      <t xml:space="preserve">https://git.io/fjRax
https://git.io/fjRap
https://github.com/program-repair/RepairThemAll
https://github.com/program-repair/RepairThemAll_experiment
</t>
    </r>
    <r>
      <rPr>
        <rFont val="Arial"/>
        <color theme="1"/>
        <sz val="10.0"/>
      </rPr>
      <t>http://program-repair.org/RepairThemAll_experiment</t>
    </r>
  </si>
  <si>
    <t>Publicly Available (4)
Not Available (1)</t>
  </si>
  <si>
    <t>iFixR: bug report driven program repair</t>
  </si>
  <si>
    <r>
      <rPr>
        <sz val="10.0"/>
      </rPr>
      <t xml:space="preserve">9 CONCLUSION
...
We open source iFixR’s code and release all data of this study to
facilitate replication and encourage further research in this direction
which is promising for practical adoption in the software develop-
ment community: </t>
    </r>
    <r>
      <rPr>
        <sz val="10.0"/>
        <u/>
      </rPr>
      <t>https://github.com/SerVal-DTF/iFixR</t>
    </r>
  </si>
  <si>
    <t>https://github.com/SerVal-DTF/iFixR</t>
  </si>
  <si>
    <t>Exploring and exploiting the correlations between bug-inducing and bug-fixing commits</t>
  </si>
  <si>
    <t>2 DATASET CONSTRUCTION
2.1 Data Collection
...
Our collected dataset is publicly avail-
able1.</t>
  </si>
  <si>
    <t>https://github.com/justinwm/InduceBenchmark</t>
  </si>
  <si>
    <t>Effects of explicit feature traceability on program comprehension</t>
  </si>
  <si>
    <t>1 INTRODUCTION
...
We provide a replication package that includes our experi-
mental design, the source code of our subject system, and
all anonymized responses in a repository.1</t>
  </si>
  <si>
    <t>https://doi.org/10.5281/zenodo.3264974</t>
  </si>
  <si>
    <t>What the fork: a study of inefficient and efficient forking practices in social coding</t>
  </si>
  <si>
    <t>4 DETERMINANTS OF INEFFICIENCIES
...
4.2 Operationalizations
...
We share implementations for all mea-
surements as part of our replication package [7].</t>
  </si>
  <si>
    <t>https://doi.org/10.5281/zenodo.3258821</t>
  </si>
  <si>
    <t>ServDroid: detecting service usage inefficiencies in Android applications</t>
  </si>
  <si>
    <t xml:space="preserve">1 INTRODUCTION
...
We implemented our approach in an open-source tool ServDroid
based on Soot [43]. ServDroid is written in Java and is publicly
available on GitHub1. </t>
  </si>
  <si>
    <t>https://github.com/wsong-nj/ServDroid</t>
  </si>
  <si>
    <t>Together strong: cooperative Android app analysis</t>
  </si>
  <si>
    <t>4 EXPERIMENT DESIGN
The implementation as well as all experiment
resources and in particular the results are publicly available4.</t>
  </si>
  <si>
    <r>
      <rPr>
        <rFont val="Arial"/>
        <color theme="1"/>
        <sz val="10.0"/>
      </rPr>
      <t xml:space="preserve">https://FoelliX.github.io/CoDiDroid
https://github.com/siis/ic3/issues/28
https://github.com/FoelliX/AQL-System/wiki/Add_tools
https://foellix.github.io/AQL-Online
https://foellix.github.io/AQL-System
https://github.com/FoelliX/AQL-WebService
https://foellix.github.io/BREW
</t>
    </r>
    <r>
      <rPr>
        <rFont val="Arial"/>
        <color theme="1"/>
        <sz val="10.0"/>
      </rPr>
      <t>https://github.com/FoelliX/NOAH</t>
    </r>
    <r>
      <rPr>
        <rFont val="Arial"/>
        <color theme="1"/>
        <sz val="10.0"/>
      </rPr>
      <t xml:space="preserve">
https://github.com/FoelliX/PIM</t>
    </r>
  </si>
  <si>
    <r>
      <rPr>
        <rFont val="Arial"/>
        <color theme="1"/>
        <sz val="10.0"/>
      </rPr>
      <t xml:space="preserve">https://FoelliX.github.io/CoDiDroid
https://github.com/siis/ic3/issues/28
https://github.com/FoelliX/AQL-System/wiki/Add_tools
https://foellix.github.io/AQL-Online
https://foellix.github.io/AQL-System
https://github.com/FoelliX/AQL-WebService
https://foellix.github.io/BREW
https://github.com/FoelliX/NOAH
</t>
    </r>
    <r>
      <rPr>
        <rFont val="Arial"/>
        <color theme="1"/>
        <sz val="10.0"/>
      </rPr>
      <t>https://github.com/FoelliX/PIM</t>
    </r>
  </si>
  <si>
    <t>Publicly Available (9)</t>
  </si>
  <si>
    <t>A framework for writing trigger-action todo comments in executable format</t>
  </si>
  <si>
    <r>
      <rPr>
        <sz val="10.0"/>
      </rPr>
      <t xml:space="preserve">1 INTRODUCTION
...
Our tool and the dataset are available at </t>
    </r>
    <r>
      <rPr>
        <sz val="10.0"/>
        <u/>
      </rPr>
      <t>cozy.ece.utexas.edu/trigit.</t>
    </r>
  </si>
  <si>
    <t>cozy.ece.utexas.edu/trigit</t>
  </si>
  <si>
    <t>Decomposing the rationale of code commits: the software developer’s perspective</t>
  </si>
  <si>
    <t>REPRODUCIBILITY
An artifact containing our interview questions and survey instru-
ment is available at https://doi.org/10.5281/zenodo.3261842.</t>
  </si>
  <si>
    <t>https://doi.org/10.5281/zenodo.3261842</t>
  </si>
  <si>
    <t>Model-based testing of breaking changes in Node.js libraries</t>
  </si>
  <si>
    <t>1 INTRODUCTION
...
We demonstrate by an experimental evaluation of our imple-
mentation NoRegrets+ that it is able to find more breaking
changes than NoRegrets
The tool NoRegrets+ is available at https://brics.dk/noregrets/.</t>
  </si>
  <si>
    <t>https://brics.dk/noregrets</t>
  </si>
  <si>
    <t>Monitoring-aware IDEs</t>
  </si>
  <si>
    <t>We are not allowed to disclosure the total LOC of their systems.
We can not show an actual screenshot of the tool being used as it would reveal proprietary information.</t>
  </si>
  <si>
    <t>Going big: a large-scale study on what big data developers ask</t>
  </si>
  <si>
    <r>
      <rPr>
        <sz val="10.0"/>
      </rPr>
      <t xml:space="preserve">1 INTRODUCTION
...
Our dataset is available at </t>
    </r>
    <r>
      <rPr>
        <sz val="10.0"/>
        <u/>
      </rPr>
      <t>https://tinyurl.com/y4rw9w2n.</t>
    </r>
  </si>
  <si>
    <r>
      <rPr>
        <rFont val="Arial"/>
        <color theme="1"/>
        <sz val="10.0"/>
      </rPr>
      <t>https://tinyurl.com/y4rw9w2n</t>
    </r>
    <r>
      <rPr>
        <rFont val="Arial"/>
        <color theme="1"/>
        <sz val="10.0"/>
      </rPr>
      <t xml:space="preserve"> ( real link: </t>
    </r>
    <r>
      <rPr>
        <rFont val="Arial"/>
        <color theme="1"/>
        <sz val="10.0"/>
      </rPr>
      <t>https://www.dropbox.com/scl/fo/6i394i9mt1o31lxr56lue/AKl2AYZfqfklPsioUfvy54Q?rlkey=6c1sp61ojzaawsjug67hyi743&amp;e=1&amp;dl=0</t>
    </r>
    <r>
      <rPr>
        <rFont val="Arial"/>
        <color theme="1"/>
        <sz val="10.0"/>
      </rPr>
      <t xml:space="preserve"> )</t>
    </r>
  </si>
  <si>
    <t>https://tinyurl.com/y4rw9w2n</t>
  </si>
  <si>
    <t>Why aren’t regular expressions a lingua franca? an empirical study on the re-use and portability of regular expressions</t>
  </si>
  <si>
    <t>REPRODUCIBILITY
An artifact containing our survey instrument, regex corpus, and
analyses is available at https://doi.org/10.5281/zenodo.3257777.</t>
  </si>
  <si>
    <t>https://doi.org/10.5281/zenodo.3257777</t>
  </si>
  <si>
    <t>Nodest: feedback-driven static analysis of Node.js applications</t>
  </si>
  <si>
    <t>Effective error-specification inference via domain-knowledge expansion</t>
  </si>
  <si>
    <t>5 EXPERIMENTAL EVALUATION
...
Analysis and Bug Checking Performance. EESI and ECC are
implemented using LLVM [14], and are available at https://github.
com/ucd-plse/eesi.</t>
  </si>
  <si>
    <t>https://github.com/ucd-plse/eesi</t>
  </si>
  <si>
    <t>DeepStellar: model-based quantitative analysis of stateful deep learning systems</t>
  </si>
  <si>
    <t>https://sites.google.com/view/deepstellar/home</t>
  </si>
  <si>
    <t>REINAM: reinforcement learning for input-grammar inference</t>
  </si>
  <si>
    <t>https://sites.google.com/site/reinamlearning/</t>
  </si>
  <si>
    <t>Boosting operational DNN testing efficiency through conditioning</t>
  </si>
  <si>
    <t>4.1 Implementation</t>
  </si>
  <si>
    <t>https://github.com/Lizenan1995/DNNOpAcc</t>
  </si>
  <si>
    <t>A comprehensive study on deep learning bug characteristics</t>
  </si>
  <si>
    <t>Just fuzz it: solving floating-point constraints using coverage-guided fuzzing</t>
  </si>
  <si>
    <t>5 EVALUATION
...
We have made
the source code of JFS and all our data sets publicly available.2,3</t>
  </si>
  <si>
    <t>https://github.com/mc-imperial/jfs
https://github.com/mc-imperial/jfs-fse-2019-artifact</t>
  </si>
  <si>
    <t>Cerebro: context-aware adaptive fuzzing for effective vulnerability detection</t>
  </si>
  <si>
    <t>5 IMPLEMENTATION AND EVALUATION</t>
  </si>
  <si>
    <t>http://sites.google.com/site/cerebrofuzzer/</t>
  </si>
  <si>
    <t>iFixFlakies: a framework for automatically fixing order-dependent flaky tests</t>
  </si>
  <si>
    <t>1 INTRODUCTION - In (3) Framework
5.2.1 Submitted Patches
[7]</t>
  </si>
  <si>
    <t>https://sites.google.com/view/ifixflakies</t>
  </si>
  <si>
    <t>Binary reduction of dependency graphs</t>
  </si>
  <si>
    <t>5.1 Experimental Setup - In 5.1.1 Implementation
5.4 Data Availability
[13]</t>
  </si>
  <si>
    <t>https://github.com/ucla-pls/jreduce
https://doi.org/10.5281/zenodo.2574326
https://doi.org/10.5281/zenodo.3262201</t>
  </si>
  <si>
    <t>AggrePlay: efficient record and replay of multi-threaded programs</t>
  </si>
  <si>
    <t>5.1 Execution Environment
5.6 Record Phase Results</t>
  </si>
  <si>
    <r>
      <rPr>
        <rFont val="Arial"/>
        <color theme="1"/>
        <sz val="10.0"/>
      </rPr>
      <t>https://github.com/testrepo007/AggrePlay-Appendix</t>
    </r>
    <r>
      <rPr>
        <rFont val="Arial"/>
        <color theme="1"/>
        <sz val="10.0"/>
      </rPr>
      <t xml:space="preserve">
https://github.com/testrepo007/AggrePlay</t>
    </r>
  </si>
  <si>
    <r>
      <rPr>
        <rFont val="Arial"/>
        <color theme="1"/>
        <sz val="10.0"/>
      </rPr>
      <t>https://github.com/testrepo007/AggrePlay-Appendix</t>
    </r>
    <r>
      <rPr>
        <rFont val="Arial"/>
        <color theme="1"/>
        <sz val="10.0"/>
      </rPr>
      <t xml:space="preserve">
https://github.com/testrepo007/AggrePlay</t>
    </r>
  </si>
  <si>
    <t>The review linkage graph for code review analytics: a recovery approach and empirical study</t>
  </si>
  <si>
    <t>1 INTRODUCTION
5.2 Results
9 THREATS TO VALIDITY - In External validity</t>
  </si>
  <si>
    <t>https://github.com/software-rebels/ReviewLinkageGraph</t>
  </si>
  <si>
    <t>Mitigating power side channels during compilation</t>
  </si>
  <si>
    <t>Maximal multi-layer specification synthesis</t>
  </si>
  <si>
    <t>Phoenix: automated data-driven synthesis of repairs for static analysis violations</t>
  </si>
  <si>
    <t>1 INTRODUCTION - In Dataset</t>
  </si>
  <si>
    <t>https://figshare.com/s/8ba50b84deee6a826ced</t>
  </si>
  <si>
    <t>Black box fairness testing of machine learning models</t>
  </si>
  <si>
    <t>Java reflection API: revealing the dark side of the mirror</t>
  </si>
  <si>
    <t>4 EVALUATION
4.4.4 Underdetermined APIs
[31]</t>
  </si>
  <si>
    <r>
      <rPr>
        <rFont val="Arial"/>
        <color theme="1"/>
        <sz val="10.0"/>
      </rPr>
      <t xml:space="preserve">http://www.dsc.ufcg.edu.br/~spg/fse2019.html ( real link: </t>
    </r>
    <r>
      <rPr>
        <rFont val="Arial"/>
        <color theme="1"/>
        <sz val="10.0"/>
      </rPr>
      <t>https://github.com/non-conformances-research/fse2019</t>
    </r>
    <r>
      <rPr>
        <rFont val="Arial"/>
        <color theme="1"/>
        <sz val="10.0"/>
      </rPr>
      <t xml:space="preserve"> )</t>
    </r>
  </si>
  <si>
    <t>http://www.dsc.ufcg.edu.br/~spg/fse2019.html</t>
  </si>
  <si>
    <t>A conceptual replication of continuous integration pain points in the context of Travis CI</t>
  </si>
  <si>
    <t>2 STUDY DESIGN
3 LITERATURE REVIEW
4 SURVEY AND INTERVIEWS - In Threats to Validity</t>
  </si>
  <si>
    <t>zenodo.org/record/3265294</t>
  </si>
  <si>
    <t>Ethnographic research in software engineering: a critical review and checklist</t>
  </si>
  <si>
    <t>5 RESULTS AND SYNTHESIS</t>
  </si>
  <si>
    <t>http://softeng.nju.edu.cn/tech-reports/TR-19-003-ETH.pdf</t>
  </si>
  <si>
    <t>Achilles’ heel of plug-and-Play software architectures: a grounded theory based approach</t>
  </si>
  <si>
    <t>https://github.com/SoftwareDesignLab/AchillesHeel</t>
  </si>
  <si>
    <t>Latent error prediction and fault localization for microservice applications by learning from system trace logs</t>
  </si>
  <si>
    <t>1 INTRODUCTION
3.2 Feature Definition
4.4 Training</t>
  </si>
  <si>
    <t>https://fudanselab.github.io/Research-ESEC-FSE2019-AIOPS</t>
  </si>
  <si>
    <t>The importance of accounting for real-world labelling when predicting software vulnerabilities</t>
  </si>
  <si>
    <t>6.4 Threats to Validity</t>
  </si>
  <si>
    <t>https://github.com/kabinja/fse2019</t>
  </si>
  <si>
    <t>Detecting concurrency memory corruption vulnerabilities</t>
  </si>
  <si>
    <t>https://github.com/mryancai/ConVul</t>
  </si>
  <si>
    <t>Locating vulnerabilities in binaries via memory layout recovering</t>
  </si>
  <si>
    <t>Storm: program reduction for testing and debugging probabilistic programming systems</t>
  </si>
  <si>
    <t>4 TRANSFORMATIONS
4.3 Transformation Orders
[50]</t>
  </si>
  <si>
    <t>https://www.probfuzz.com/storm/appendix.pdf</t>
  </si>
  <si>
    <t>NullAway: practical type-based null safety for Java</t>
  </si>
  <si>
    <t>8.1 Experimental Setup - In Data Availability
8.2 Compile Time Overheads</t>
  </si>
  <si>
    <t>https://figshare.com/s/a212932795a43c377a3f
https://github.com/uber/NullAway
https://github.com/subarnob/nullaway-eval</t>
  </si>
  <si>
    <t>Automatically detecting missing cleanup for ungraceful exits</t>
  </si>
  <si>
    <t>https://github.com/ZhouyangJia/SafeExit</t>
  </si>
  <si>
    <t>Finding and understanding bugs in software model checkers</t>
  </si>
  <si>
    <t>1 INTRODUCTION
4 EMPIRICAL EVALUATION</t>
  </si>
  <si>
    <t>https://github.com/MCFuzzer</t>
  </si>
  <si>
    <t>A segmented memory model for symbolic execution</t>
  </si>
  <si>
    <t>Releasing fast and slow: an exploratory case study at ING</t>
  </si>
  <si>
    <t>2.1 Time-based Release Strategy - In Demographics of teams</t>
  </si>
  <si>
    <t>https://figshare.com/s/4b99fd1b849e4728c6ef</t>
  </si>
  <si>
    <t>SAR: learning cross-language API mappings with little knowledge</t>
  </si>
  <si>
    <t>5.2.3 Domain Adaptation.
5.3 Evaluation - in Newly found API mappings</t>
  </si>
  <si>
    <t>https://github.com/bdqnghi/SAR_API_mapping
- https://github.com/bdqnghi/SAR_API_mapping/blob/master/new_found/new_found_apis.csv</t>
  </si>
  <si>
    <t>https://github.com/bdqnghi/SAR_API_mapping</t>
  </si>
  <si>
    <t>Robust log-based anomaly detection on unstable log data</t>
  </si>
  <si>
    <t>Pinpointing performance inefficiencies in Java</t>
  </si>
  <si>
    <t>[41]</t>
  </si>
  <si>
    <t>arXiv:1906.12066 - real link: https://arxiv.org/abs/1906.12066</t>
  </si>
  <si>
    <t>Understanding flaky tests: the developer’s perspective</t>
  </si>
  <si>
    <t>ABSTRACT
[13]</t>
  </si>
  <si>
    <r>
      <rPr>
        <rFont val="Arial"/>
        <color theme="1"/>
        <sz val="10.0"/>
      </rPr>
      <t xml:space="preserve">https://doi.org/10.5281/zenodo.3265785
</t>
    </r>
    <r>
      <rPr>
        <rFont val="Arial"/>
        <color theme="1"/>
        <sz val="10.0"/>
      </rPr>
      <t>https://doi.org/10.5281/zenodo.3265830</t>
    </r>
  </si>
  <si>
    <r>
      <rPr>
        <rFont val="Arial"/>
        <color theme="1"/>
        <sz val="10.0"/>
      </rPr>
      <t xml:space="preserve">https://doi.org/10.5281/zenodo.3265785
</t>
    </r>
    <r>
      <rPr>
        <rFont val="Arial"/>
        <color theme="1"/>
        <sz val="10.0"/>
      </rPr>
      <t>https://doi.org/10.5281/zenodo.3265830</t>
    </r>
  </si>
  <si>
    <t>SEntiMoji: an emoji-powered learning approach for sentiment analysis in software engineering</t>
  </si>
  <si>
    <t>https://github.com/SEntiMoji/SEntiMoji</t>
  </si>
  <si>
    <t>A behavioral notion of robustness for software systems</t>
  </si>
  <si>
    <t>CASE STUDIES</t>
  </si>
  <si>
    <t>https://github.com/SteveZhangBit/LTSA-Robust</t>
  </si>
  <si>
    <t>ARDiff: scaling program equivalence checking via iterative abstraction and refinement of common code</t>
  </si>
  <si>
    <t>INTRODUCTION, OUR APPROACH, EVALUATION, CONCLUSION
[4] [5]</t>
  </si>
  <si>
    <t>https://www.doi.org/10.17605/OSF.IO/CHM2K
https://resess.github.io/PaperAppendices/ARDiff/</t>
  </si>
  <si>
    <t>C2S: translating natural language comments to formal program specifications</t>
  </si>
  <si>
    <t>EVALUATION [2]</t>
  </si>
  <si>
    <t>https://c2s-fse.github.io/C2S/</t>
  </si>
  <si>
    <t>Detecting and understanding JavaScript global identifier conflicts on the web</t>
  </si>
  <si>
    <t>Dataset and Availability</t>
  </si>
  <si>
    <t>DOI: 10.5281/zenodo.3874944
DOI: 10.5281/zenodo.3923232</t>
  </si>
  <si>
    <t>We plan to release the source code of our prototype implementation publicly</t>
  </si>
  <si>
    <t>Domain-independent interprocedural program analysis using block-abstraction memoization</t>
  </si>
  <si>
    <t>Paper preamble, before introduction and CONCLUSION
[11]</t>
  </si>
  <si>
    <t>https://doi.org/10.5281/zenodo.4024268
https://cpachecker.sosy-lab.org/</t>
  </si>
  <si>
    <t>Flexeme: untangling commits using lexical flows</t>
  </si>
  <si>
    <t>https://pppi.github.io/Flexeme/</t>
  </si>
  <si>
    <t>HISyn: human learning-inspired natural language programming</t>
  </si>
  <si>
    <t>Inductive program synthesis over noisy data</t>
  </si>
  <si>
    <t>https://arxiv.org/abs/2009.10272</t>
  </si>
  <si>
    <t>Inherent vacuity for GR(1) specifications</t>
  </si>
  <si>
    <t>DEFINING INHERENT VACUITY FOR GR(1), EVALUATION
[1]</t>
  </si>
  <si>
    <t>http://smlab.cs.tau.ac.il/syntech/vacuity/</t>
  </si>
  <si>
    <t>Interval counterexamples for loop invariant learning</t>
  </si>
  <si>
    <t>EXPERIMENTS AND EVALUATION</t>
  </si>
  <si>
    <t>https://doi.org/10.5281/zenodo.3898483
https://github.com/sosy-lab/sv-benchmarks/</t>
  </si>
  <si>
    <t>https://doi.org/10.5281/zenodo.3898483
https://gitlab.com/sosy-lab/benchmarking/sv-benchmarks</t>
  </si>
  <si>
    <t>Java Ranger: statically summarizing regions for efficient symbolic execution of Java</t>
  </si>
  <si>
    <t>[30]</t>
  </si>
  <si>
    <t>https://doi.org/10.5281/zenodo.3907232</t>
  </si>
  <si>
    <t>JShrink: in-depth investigation into debloating modern Java applications</t>
  </si>
  <si>
    <t>INTRODUCTION, CONCLUSION</t>
  </si>
  <si>
    <t>https://doi.org/10.6084/m9.figshare.12435542</t>
  </si>
  <si>
    <t>Making symbolic execution promising by learning aggressive state-pruning strategy</t>
  </si>
  <si>
    <t>INTRODUCTION</t>
  </si>
  <si>
    <t>https://github.com/kupl/HOMI_public</t>
  </si>
  <si>
    <t>Mining assumptions for software components using machine learning</t>
  </si>
  <si>
    <r>
      <rPr>
        <sz val="10.0"/>
      </rPr>
      <t xml:space="preserve">6 EVALUATION
...
Implementation and Data Availability. We implemented EPI-
cuRus as a Matlab standalone application and used QVtrace for
checking the accuracy of the assumptions. The implementation,
models and results are available at [3, 35].
[3] 2020. Additional Material. https://github.com/SNTSVV/EPIcuRus
[35] Khouloud Gaaloul, Claudio Menghi, Shiva Nejati, and Lionel Briand. 2020. EPI-
cuRus. Zenodo. </t>
    </r>
    <r>
      <rPr>
        <sz val="10.0"/>
        <u/>
      </rPr>
      <t>https://doi.org/10.5281/zenodo.3872902</t>
    </r>
  </si>
  <si>
    <r>
      <rPr>
        <rFont val="Arial"/>
        <color theme="1"/>
        <sz val="10.0"/>
      </rPr>
      <t>https://github.com/SNTSVV/EPIcuRus</t>
    </r>
    <r>
      <rPr>
        <rFont val="Arial"/>
        <color theme="1"/>
        <sz val="10.0"/>
      </rPr>
      <t xml:space="preserve">
</t>
    </r>
    <r>
      <rPr>
        <rFont val="Arial"/>
        <color theme="1"/>
        <sz val="10.0"/>
      </rPr>
      <t>https://doi.org/10.5281/zenodo.3872902</t>
    </r>
  </si>
  <si>
    <r>
      <rPr>
        <rFont val="Arial"/>
        <color theme="1"/>
        <sz val="10.0"/>
      </rPr>
      <t>https://github.com/SNTSVV/EPIcuRus</t>
    </r>
    <r>
      <rPr>
        <rFont val="Arial"/>
        <color theme="1"/>
        <sz val="10.0"/>
      </rPr>
      <t xml:space="preserve">
</t>
    </r>
    <r>
      <rPr>
        <rFont val="Arial"/>
        <color theme="1"/>
        <sz val="10.0"/>
      </rPr>
      <t>https://doi.org/10.5281/zenodo.3872902</t>
    </r>
  </si>
  <si>
    <t>Mining input grammars from dynamic control flow</t>
  </si>
  <si>
    <r>
      <rPr>
        <sz val="10.0"/>
      </rPr>
      <t xml:space="preserve">9 CONCLUSION AND FUTURE WORK
The complete code of our approach, including subjects and ex-
perimental data, is available as a self-contained Jupyter notebook:
</t>
    </r>
    <r>
      <rPr>
        <sz val="10.0"/>
        <u/>
      </rPr>
      <t>https://github.com/vrthra/mimid</t>
    </r>
  </si>
  <si>
    <t>https://github.com/vrthra/mimid</t>
  </si>
  <si>
    <t>Modular collaborative program analysis in OPAL</t>
  </si>
  <si>
    <r>
      <rPr>
        <sz val="10.0"/>
      </rPr>
      <t xml:space="preserve">5 EVALUATION
We implemented our approach on top of the Scala-based OPAL
framework for JVM bytecode analysis [26]. However, the approach
is framework and language independent. We answer the above
research questions using the case studies of Section 3 to analyze the
DaCapo 2006 benchmark [7]. We choose DaCapo because Doop,
which we compare to in Section 5.5, has special support for it. Both
the implementation of OPAL as well as the case studies are available
in the OPAL GitHub repository3.
3https://github.com/stg-tud/opal
4https://doi.org/10.5281/zenodo.3872848
5The entire results can be found here: </t>
    </r>
    <r>
      <rPr>
        <sz val="10.0"/>
        <u/>
      </rPr>
      <t>https://doi.org/10.5281/zenodo.3972736</t>
    </r>
  </si>
  <si>
    <t>https://doi.org/10.5281/zenodo.3872848
https://doi.org/10.5281/zenodo.3972736</t>
  </si>
  <si>
    <t>Past-sensitive pointer analysis for symbolic execution</t>
  </si>
  <si>
    <t>1 INTRODUCTION
...
Main contributions. Our main results can be summarized as fol-
lows:
...
(3) We provide an implementation based on the state-of-the-
art symbolic execution engine KLEE [8], which we make
available as open source.3
5 IMPLEMENTATION
We make our implementation
and associated artifact available at https://srg.doc.ic.ac.uk/projects/
pspa/.</t>
  </si>
  <si>
    <t>https://srg.doc.ic.ac.uk/projects/pspa/
https://doi.org/10.6084/m9.figshare.12487679</t>
  </si>
  <si>
    <t>TypeWriter: neural type prediction with search-based validation</t>
  </si>
  <si>
    <t>http://software-lab.org/projects/TypeWriter/data.tar.gz</t>
  </si>
  <si>
    <t>While the full implementation of TypeWriter is currently not publicly available, there exists an independent re-implementation of TypeWriter’s neural model that may serve as a reference for future work.
We are currently in the process of making TypeWriter available to developers at Facebook.</t>
  </si>
  <si>
    <t>UBITect: a precise and scalable method to detect use-before-initialization bugs in Linux kernel</t>
  </si>
  <si>
    <t>Contributions In this paper, our contributions are as follows:
• Design. We design UbiTect, which combines scalable type qual-
ifier inference with symbolic execution to perform scalable and
precise detection of Use-before-Initialization bugs in the Linux
kernel.
• Implementation. We implement UbiTect on the LLVM 7.0.0
compiler toolchain and KLEE with 13,446 LoC. The tool is open
sourced [5].
4 UBITECT DESIGN
4.2 Qualifier Inference
...the full set of inference rules is available to the interested reader in the supplementary material [4].</t>
  </si>
  <si>
    <t>https://github.com/seclab-ucr/UBITect
- https://github.com/seclab-ucr/UBITect/blob/master/QualifierTypeInference.pdf</t>
  </si>
  <si>
    <t>https://github.com/seclab-ucr/UBITect</t>
  </si>
  <si>
    <t>Data Availability. Linux kernel is an open sourced project. We will also open source UbiTect for aiding the reproducibility of the experimental results.</t>
  </si>
  <si>
    <t>Exploring how deprecated Python library APIs are (not) handled</t>
  </si>
  <si>
    <t xml:space="preserve">4 STUDY RESULTS
4.3 RQ3: Usages of Deprecated APIs
</t>
  </si>
  <si>
    <t>https://github.com/dlocator-dev/dlocator</t>
  </si>
  <si>
    <t>Selecting third-party libraries: the practitioners’ perspective</t>
  </si>
  <si>
    <t>5 IMPLICATIONS
5.1 Threats to Validity
We make our interview script, survey
form and survey answers available in our online appendix [13].</t>
  </si>
  <si>
    <t>https://doi.org/10.5281/zenodo.3979446</t>
  </si>
  <si>
    <t>A principled approach to GraphQL query cost analysis</t>
  </si>
  <si>
    <t>1 INTRODUCTION
We share the first GraphQL query-response corpus [31]: 10, 000
unique query and response pairs from the GitHub and Yelp APIs.</t>
  </si>
  <si>
    <r>
      <rPr>
        <rFont val="Arial"/>
        <color theme="1"/>
        <sz val="10.0"/>
      </rPr>
      <t xml:space="preserve">https://doi.org/10.5281/zenodo.4023299
</t>
    </r>
    <r>
      <rPr>
        <rFont val="Arial"/>
        <color theme="1"/>
        <sz val="10.0"/>
      </rPr>
      <t>- https://zenodo.org/record/4023299</t>
    </r>
  </si>
  <si>
    <t>https://doi.org/10.5281/zenodo.4023299</t>
  </si>
  <si>
    <t>Beware the evolving ‘intelligent’ web service! an integration architecture tactic to guard AI-first components</t>
  </si>
  <si>
    <t xml:space="preserve">"5 EVALUATION
...Based on our find-
ings we proposed and implemented the Proxy Server using a Ruby
development framework which we have made available online for
experimentation.3 Additional data was collected from the computer
vision service and sent to the Proxy Server to evaluate how the
service handles behavioural change."
5.1 Data Collection and Preparation
We then selected the first and last set of JSON responses (i.e., 13,360 responses) and independently identified 331 cases of evolution of the original 6,680 images. This was achieved by analysing the JSON responses for each image taken
in using an evaluation script.4
We provide this dataset as an additional contribution and to permit
replication.5
</t>
  </si>
  <si>
    <r>
      <rPr>
        <rFont val="Arial"/>
        <color theme="1"/>
        <sz val="10.0"/>
      </rPr>
      <t>http://bit.ly/2TIMmDh</t>
    </r>
    <r>
      <rPr>
        <rFont val="Arial"/>
        <color theme="1"/>
        <sz val="10.0"/>
      </rPr>
      <t xml:space="preserve"> ( real link: </t>
    </r>
    <r>
      <rPr>
        <rFont val="Arial"/>
        <color theme="1"/>
        <sz val="10.0"/>
      </rPr>
      <t>https://cloudstor.aarnet.edu.au/plus/s/HCufMQXFcUEedu9</t>
    </r>
    <r>
      <rPr>
        <rFont val="Arial"/>
        <color theme="1"/>
        <sz val="10.0"/>
      </rPr>
      <t xml:space="preserve"> )
</t>
    </r>
    <r>
      <rPr>
        <rFont val="Arial"/>
        <color theme="1"/>
        <sz val="10.0"/>
      </rPr>
      <t>http://bit.ly/2G7saFJ</t>
    </r>
    <r>
      <rPr>
        <rFont val="Arial"/>
        <color theme="1"/>
        <sz val="10.0"/>
      </rPr>
      <t xml:space="preserve"> ( real link: </t>
    </r>
    <r>
      <rPr>
        <rFont val="Arial"/>
        <color theme="1"/>
        <sz val="10.0"/>
      </rPr>
      <t>https://cloudstor.aarnet.edu.au/plus/s/JhVPUUUEbHxCZsI</t>
    </r>
    <r>
      <rPr>
        <rFont val="Arial"/>
        <color theme="1"/>
        <sz val="10.0"/>
      </rPr>
      <t xml:space="preserve"> )
</t>
    </r>
    <r>
      <rPr>
        <rFont val="Arial"/>
        <color theme="1"/>
        <sz val="10.0"/>
      </rPr>
      <t>http://bit.ly/2VQrAUU</t>
    </r>
    <r>
      <rPr>
        <rFont val="Arial"/>
        <color theme="1"/>
        <sz val="10.0"/>
      </rPr>
      <t xml:space="preserve"> ( real link: </t>
    </r>
    <r>
      <rPr>
        <rFont val="Arial"/>
        <color theme="1"/>
        <sz val="10.0"/>
      </rPr>
      <t>https://cloudstor.aarnet.edu.au/plus/s/yeSqyCzkZEGXPN9</t>
    </r>
    <r>
      <rPr>
        <rFont val="Arial"/>
        <color theme="1"/>
        <sz val="10.0"/>
      </rPr>
      <t xml:space="preserve"> )</t>
    </r>
  </si>
  <si>
    <r>
      <rPr>
        <rFont val="Arial"/>
        <color theme="1"/>
        <sz val="10.0"/>
      </rPr>
      <t>http://bit.ly/2TIMmDh</t>
    </r>
    <r>
      <rPr>
        <rFont val="Arial"/>
        <color theme="1"/>
        <sz val="10.0"/>
      </rPr>
      <t xml:space="preserve">
</t>
    </r>
    <r>
      <rPr>
        <rFont val="Arial"/>
        <color theme="1"/>
        <sz val="10.0"/>
      </rPr>
      <t>http://bit.ly/2G7saFJ</t>
    </r>
    <r>
      <rPr>
        <rFont val="Arial"/>
        <color theme="1"/>
        <sz val="10.0"/>
      </rPr>
      <t xml:space="preserve">
</t>
    </r>
    <r>
      <rPr>
        <rFont val="Arial"/>
        <color theme="1"/>
        <sz val="10.0"/>
      </rPr>
      <t>http://bit.ly/2VQrAUU</t>
    </r>
  </si>
  <si>
    <t>Not Available (3)</t>
  </si>
  <si>
    <t>Block public access: trust safety verification of access control policies</t>
  </si>
  <si>
    <t>Efficient incident identification from multi-dimensional issue reports via meta-heuristic search</t>
  </si>
  <si>
    <t>Identifying linked incidents in large-scale online service systems</t>
  </si>
  <si>
    <t>Real-time incident prediction for online service systems</t>
  </si>
  <si>
    <t>Configuration smells in continuous delivery pipelines: a linter and a six-month study on GitLab</t>
  </si>
  <si>
    <t>1 INTRODUCTION
...
All datasets and scripts used in our studies (together with CD-
Linter implementation) are available in a replication package [45].</t>
  </si>
  <si>
    <t>https://doi.org/10.5281/zenodo.3861003</t>
  </si>
  <si>
    <t>Dimensions of software configuration: on the configuration context in modern software development</t>
  </si>
  <si>
    <t>https://github.com/AI-4-SE/Dimensions-of-Software-Configuration</t>
  </si>
  <si>
    <t>Global cost/quality management across multiple applications</t>
  </si>
  <si>
    <t>https://github.com/niuye8911/rapid_m</t>
  </si>
  <si>
    <t>Understanding and discovering software configuration dependencies in cloud and datacenter systems</t>
  </si>
  <si>
    <r>
      <rPr>
        <sz val="10.0"/>
      </rPr>
      <t xml:space="preserve">1 INTRODUCTION
...
1.2 Contributions
...
We have made the datasets and cDep publicly available at:
</t>
    </r>
    <r>
      <rPr>
        <sz val="10.0"/>
        <u/>
      </rPr>
      <t>https://github.com/xlab-uiuc/cdep-fse</t>
    </r>
  </si>
  <si>
    <t>https://github.com/xlab-uiuc/cdep-fse</t>
  </si>
  <si>
    <t>Docable: evaluating the executability of software tutorials</t>
  </si>
  <si>
    <t>4 HUMAN-ANNOTATION-BASED
EXECUTION RESULTS
...
4.1 Annotations
...
The docable tool, stepfiles, and tutorials are available at:
https://github.com/docable/docable.</t>
  </si>
  <si>
    <t>https://github.com/docable/docable</t>
  </si>
  <si>
    <t>RulePad: interactive authoring of checkable design rules</t>
  </si>
  <si>
    <t>6 EVALUATION
...
1The tool and the study materials are available at https://github.com/devuxd/RulePad.
6.3 Results
...
6.2 Tasks
...
We adapted the source code used in the study from a simple Java
project using the model-view-controller architecture3</t>
  </si>
  <si>
    <t>https://github.com/devuxd/RulePad</t>
  </si>
  <si>
    <t>A first look at good first issues on GitHub</t>
  </si>
  <si>
    <r>
      <rPr>
        <sz val="10.0"/>
      </rPr>
      <t xml:space="preserve">10 CONCLUSION
...
To facilitate replications or other types of future work, we pro-
vide the data, scripts, and detailed coding guidelines used in this
study online: </t>
    </r>
    <r>
      <rPr>
        <sz val="10.0"/>
        <u/>
      </rPr>
      <t>https://github.com/SunflowerPKU/FSE20Dataset.</t>
    </r>
  </si>
  <si>
    <t>https://github.com/SunflowerPKU/FSE20Dataset</t>
  </si>
  <si>
    <t>A randomized controlled trial on the effects of embedded computer language switching</t>
  </si>
  <si>
    <t>5 QUANTITATIVE RESULTS
This section presents the results of the experiment. The script to
analyze the data can be found in the accompanying replication
packet artifact [32].</t>
  </si>
  <si>
    <t>https://doi.org/10.5281/zenodo.3911750</t>
  </si>
  <si>
    <t>A theory of the engagement in open source projects via summer of code programs</t>
  </si>
  <si>
    <t xml:space="preserve">3 RESEARCH DESIGN
...
3.3 Phase III: Perceptions about the Theory
...
Data collection. In a questionnaire7, we asked students whether
they had heard of GSoC or similar programs. For the students
who had heard of such a program, we asked them to describe
it and tell us whether they had considered joining it. Next, we
asked students to read an explanation of GSoC (from the program
website).8 After that, we asked them to list, in order of importance,
what SoC students gain by participating in GSoC.
Then, we instructed the students to watch a 7.5-minute explana-
tory video9 that the authors prepared to summarize the theory. We
decided to use an explanatory video instead of text to facilitate the
students’ participation. Afterward, the students answered a final
questionnaire,10 </t>
  </si>
  <si>
    <r>
      <rPr>
        <rFont val="Arial"/>
        <color theme="1"/>
        <sz val="10.0"/>
      </rPr>
      <t>https://figshare.com/s/f5a9f70a82d600b4c949</t>
    </r>
    <r>
      <rPr>
        <rFont val="Arial"/>
        <color theme="1"/>
        <sz val="10.0"/>
      </rPr>
      <t xml:space="preserve">
</t>
    </r>
    <r>
      <rPr>
        <rFont val="Arial"/>
        <color theme="1"/>
        <sz val="10.0"/>
      </rPr>
      <t>https://pt.surveymonkey.com/r/HX9H7FX</t>
    </r>
    <r>
      <rPr>
        <rFont val="Arial"/>
        <color theme="1"/>
        <sz val="10.0"/>
      </rPr>
      <t xml:space="preserve">
https://figshare.com/s/88704bc89fac722ac073
https://pt.surveymonkey.com/r/HN82XYJ</t>
    </r>
  </si>
  <si>
    <r>
      <rPr>
        <rFont val="Arial"/>
        <color theme="1"/>
        <sz val="10.0"/>
      </rPr>
      <t>https://figshare.com/s/f5a9f70a82d600b4c949</t>
    </r>
    <r>
      <rPr>
        <rFont val="Arial"/>
        <color theme="1"/>
        <sz val="10.0"/>
      </rPr>
      <t xml:space="preserve">
</t>
    </r>
    <r>
      <rPr>
        <rFont val="Arial"/>
        <color theme="1"/>
        <sz val="10.0"/>
      </rPr>
      <t>https://pt.surveymonkey.com/r/HX9H7FX</t>
    </r>
    <r>
      <rPr>
        <rFont val="Arial"/>
        <color theme="1"/>
        <sz val="10.0"/>
      </rPr>
      <t xml:space="preserve">
https://figshare.com/s/88704bc89fac722ac073
https://pt.surveymonkey.com/r/HN82XYJ</t>
    </r>
  </si>
  <si>
    <t>Publicly Available (2)
Not Available (2)</t>
  </si>
  <si>
    <t>An empirical analysis of the costs of clone- and platform-oriented software reuse</t>
  </si>
  <si>
    <t>A replication package with our interview guide and the data we
analyzed as an open-source dataset.1</t>
  </si>
  <si>
    <t>https://doi.org/10.5281/zenodo.3993789</t>
  </si>
  <si>
    <t>Due to confidentially reasons, we cannot provide all of our data, for example, on the interview results and the transcripts. Still, we described our methodology in detail and provide a dataset with all artifacts that allow other researchers to replicate our study.</t>
  </si>
  <si>
    <t>An empirical study of bots in software development: characteristics and challenges from a practitioner’s perspective</t>
  </si>
  <si>
    <t>3 STUDY METHODOLOGY
...
Interview guide, survey materials, and analysis
scripts can be found in the replication package of the study [9].</t>
  </si>
  <si>
    <t>https://doi.org/10.5281/zenodo.4022892</t>
  </si>
  <si>
    <t>The replication package does not contain interview transcripts to preserve participant privacy.</t>
  </si>
  <si>
    <t>Biases and differences in code review using medical imaging and eye-tracking: genders, humans, and machines</t>
  </si>
  <si>
    <t>3 EXPERIMENTAL METHODOLOGY
...
All of our de-identified data are available at https://web.eecs.
umich.edu/~weimerw/fmri.html.</t>
  </si>
  <si>
    <t>Community expectations for research artifacts and evaluation processes</t>
  </si>
  <si>
    <t>2 BACKGROUND AND RELATED WORK
...
As this community within
the software engineering field was primarily focussing on the use
and reuse of datasets it was reliant on the availability of datasets.
While artifact evaluation was piloted later in 2011, in 2005 Tim
Menzies and Jelber Sayyad started the now discontinued PROMISE
repository1 to share research artifacts.
3 EXPECTATIONS IN THE ACM GUIDELINES
AND CALLS FOR ARTIFACTS
...
2The corpus of CfAs can be found on our web site https://bhermann.github.io/artifact-
survey/ and in our artifact [12].</t>
  </si>
  <si>
    <t>https://bhermann.github.io/artifact-survey/
- https://bhermann.github.io/artifact-survey/questionnaire/
https://doi.org/10.5281/zenodo.3951724</t>
  </si>
  <si>
    <t>https://bhermann.github.io/artifact-survey/
https://doi.org/10.5281/zenodo.3951724</t>
  </si>
  <si>
    <t>Does stress impact technical interview performance?</t>
  </si>
  <si>
    <t>2.3 Procedure
...
2.3.4 Eyetracking Data. For each participant and task, we collected
screen recordings in video format (at 30 frames per second) and a
time-indexed data file containing all eye movements and measure-
ments recorded by the eye-tracking instrument.2</t>
  </si>
  <si>
    <r>
      <rPr>
        <rFont val="Arial"/>
        <color theme="1"/>
        <sz val="10.0"/>
      </rPr>
      <t>https://go.ncsu.edu/technical_interviews</t>
    </r>
    <r>
      <rPr>
        <rFont val="Arial"/>
        <color theme="1"/>
        <sz val="10.0"/>
      </rPr>
      <t xml:space="preserve"> (real link: </t>
    </r>
    <r>
      <rPr>
        <rFont val="Arial"/>
        <color theme="1"/>
        <sz val="10.0"/>
      </rPr>
      <t>https://drive.google.com/drive/folders/1HeZY-bg6fLhgPF4xL2EQvl9FQZLIkWau</t>
    </r>
    <r>
      <rPr>
        <rFont val="Arial"/>
        <color theme="1"/>
        <sz val="10.0"/>
      </rPr>
      <t xml:space="preserve"> )</t>
    </r>
  </si>
  <si>
    <t>https://go.ncsu.edu/technical_interviews</t>
  </si>
  <si>
    <t>Exploring the evolution of software practices</t>
  </si>
  <si>
    <t>Heard it through the Gitvine: an empirical study of tool diffusion across the npm ecosystem</t>
  </si>
  <si>
    <t>7 RESULTS
...
Our replication package6 contains
all the modeling results discussed but not included here.</t>
  </si>
  <si>
    <t>https://github.com/CMUSTRUDEL/badge_diffusion_supplementary
- https://github.com/BadgeDiffuser/badge_diffusion_supplementary</t>
  </si>
  <si>
    <t>https://github.com/BadgeDiffuser/badge_diffusion_supplementary</t>
  </si>
  <si>
    <t>Interactive, effort-aware library version harmonization</t>
  </si>
  <si>
    <t>2 DEVELOPER SURVEY
...
The questions are listed in Table 1, and a com-
plete questionnaire with options is available at our website [5].</t>
  </si>
  <si>
    <t>https://libharmo.github.io</t>
  </si>
  <si>
    <t>On the naturalness of hardware descriptions</t>
  </si>
  <si>
    <t>1 INTRODUCTION
...
Our code and data is available on GitHub: https://github.com/
EngineeringSoftware/hdlp.</t>
  </si>
  <si>
    <r>
      <rPr>
        <rFont val="Arial"/>
        <color theme="1"/>
        <sz val="10.0"/>
      </rPr>
      <t xml:space="preserve"> </t>
    </r>
    <r>
      <rPr>
        <rFont val="Arial"/>
        <color theme="1"/>
        <sz val="10.0"/>
      </rPr>
      <t>https://github.com/EngineeringSoftware/hdlp</t>
    </r>
  </si>
  <si>
    <r>
      <rPr>
        <rFont val="Arial"/>
        <color theme="1"/>
        <sz val="10.0"/>
      </rPr>
      <t xml:space="preserve"> </t>
    </r>
    <r>
      <rPr>
        <rFont val="Arial"/>
        <color theme="1"/>
        <sz val="10.0"/>
      </rPr>
      <t>https://github.com/EngineeringSoftware/hdlp</t>
    </r>
  </si>
  <si>
    <t>On the relationship between design discussions and design quality: a case study of Apache projects</t>
  </si>
  <si>
    <t>3.2.2 Step 2: Natural Language Pre-processing
3.4.1 Code Smell Detection Tool Selection
3.6.1 Survey Design
4.2 Association between Design Discussions and Design Quality (RQ 2) - Twice
77</t>
  </si>
  <si>
    <t>https://fse2020.wixsite.com/designdiscussion</t>
  </si>
  <si>
    <t>On the relationship between refactoring actions and bugs: a differentiated replication</t>
  </si>
  <si>
    <t>6 CONCLUSIONS
The data and scripts used in our study are publicly available [21].</t>
  </si>
  <si>
    <t>https://doi.org/10.5281/zenodo.4018691</t>
  </si>
  <si>
    <t>Questions for data scientists in software engineering: a replication</t>
  </si>
  <si>
    <t>[4] Anonymous Authors. 2019. Technical Report anonymized. Technical Report.</t>
  </si>
  <si>
    <t>Reducing implicit gender biases in software development: does intergroup contact theory work?</t>
  </si>
  <si>
    <t>4.4 Data Availability
The data and its descriptions, as well as corresponding analysis
scripts, were made available at https://cutt.ly/pttgE1I. Other study
materials were also included.</t>
  </si>
  <si>
    <r>
      <rPr>
        <rFont val="Arial"/>
        <color theme="1"/>
        <sz val="10.0"/>
      </rPr>
      <t xml:space="preserve"> </t>
    </r>
    <r>
      <rPr>
        <rFont val="Arial"/>
        <color theme="1"/>
        <sz val="10.0"/>
      </rPr>
      <t>https://cutt.ly/pttgE1I</t>
    </r>
    <r>
      <rPr>
        <rFont val="Arial"/>
        <color theme="1"/>
        <sz val="10.0"/>
      </rPr>
      <t xml:space="preserve"> ( real link: </t>
    </r>
    <r>
      <rPr>
        <rFont val="Arial"/>
        <color theme="1"/>
        <sz val="10.0"/>
      </rPr>
      <t>https://drive.google.com/file/d/1W7imx__Zcr3r6pl0kPHwVVVJTyh5SZT_/view</t>
    </r>
    <r>
      <rPr>
        <rFont val="Arial"/>
        <color theme="1"/>
        <sz val="10.0"/>
      </rPr>
      <t xml:space="preserve"> )</t>
    </r>
  </si>
  <si>
    <r>
      <rPr>
        <rFont val="Arial"/>
        <color theme="1"/>
        <sz val="10.0"/>
      </rPr>
      <t xml:space="preserve"> </t>
    </r>
    <r>
      <rPr>
        <rFont val="Arial"/>
        <color theme="1"/>
        <sz val="10.0"/>
      </rPr>
      <t>https://cutt.ly/pttgE1I</t>
    </r>
  </si>
  <si>
    <t>Robotics software engineering: a perspective from the service robotics domain</t>
  </si>
  <si>
    <t>1 INTRODUCTION
...
A replication package [25] containing (1) the questionnaire and
the anonymized responses from our online survey (2) our inter-
view guide and used open-ended questions, (3) the codebook
from the qualitative data analysis, (4) and our quantitative data
analysis scripts.</t>
  </si>
  <si>
    <t xml:space="preserve">https://sites.google.com/view/empirical-study-robotics-se/home
DOI: 10.6084/m9.figshare.12376931 - https://figshare.com/articles/conference_contribution/Robotics_Software_Engineering_A_Perspective_from_the_Service_Robotics_Domain/12376931 </t>
  </si>
  <si>
    <t>Thinking aloud about confusing code: a qualitative investigation of program comprehension and atoms of confusion</t>
  </si>
  <si>
    <t>https://doi.org/10.6084/m9.figshare.11911287.</t>
  </si>
  <si>
    <t>https://atomsofconfusion.com/2020-think-aloud</t>
  </si>
  <si>
    <t>Understanding build issue resolution in practice: symptoms and fix patterns</t>
  </si>
  <si>
    <t>5 SYMPTOMS OF BUILD ISSUES (RQ2)
5.1 Taxonomy and Distribution
...
Due to space limit, we only address the frequent and non-trivial
categories, and the complete explanations for each category are on
our website [3].</t>
  </si>
  <si>
    <t>https://sites.google.com/view/buildissue2020/</t>
  </si>
  <si>
    <t>Understanding type changes in Java</t>
  </si>
  <si>
    <t>1 INTRODUCTION
...
To help our community advance the science and practice of type
changes, we make the tools and the dataset available at [47, 48, 50]</t>
  </si>
  <si>
    <t>https://doi.org/10.5281/zenodo.3906493
https://doi.org/10.5281/zenodo.3906503
http://changetype.s3-website.us-east-2.amazonaws.com/docs/P/projects.html
- http://changetype.s3-website.us-east-2.amazonaws.com/docs/P/neo4j/tci_project3859.html
- http://changetype.s3-website.us-east-2.amazonaws.com/docs/P/Migrations.html
- http://changetype.s3-website.us-east-2.amazonaws.com/docs/P/A/popular.html</t>
  </si>
  <si>
    <t>https://doi.org/10.5281/zenodo.3906493
https://doi.org/10.5281/zenodo.3906503
http://changetype.s3-website.us-east-2.amazonaws.com/docs/P/projects.html</t>
  </si>
  <si>
    <t>Do the machine learning models on a crowd sourced platform exhibit bias? an empirical study on model fairness</t>
  </si>
  <si>
    <t>3 METHODOLOGY
3.2 Experiment Design
After creating the benchmark, we have experimented on the models,
evaluated performance and fairness metrics, and applied different
bias mitigation techniques to observe the impacts. Our experiment
design process is shown in Figure 2. The experiments on the bench-
mark have been peer reviewed and published as an artifact [7].</t>
  </si>
  <si>
    <t>https://doi.org/10.5281/zenodo.3912064</t>
  </si>
  <si>
    <t>Fairway: a way to build fair ML software</t>
  </si>
  <si>
    <t>1 INTRODUCTION
...
Our Fairway replication package is publicly available on GitHub2
and figshare[15]. This last point is not so much a research con-
tribution but a systems contribution since it enables other re-
searchers to repeat/confirm and perhaps even refute/improve
our results.</t>
  </si>
  <si>
    <t>https://figshare.com/articles/software/Fairway/12521408
https://github.com/joymallyac/Fairway</t>
  </si>
  <si>
    <t>Towards automated verification of smart contract fairness</t>
  </si>
  <si>
    <t>1 INTRODUCTION
...
We implemented FairCon and evaluated it on 17 real-world
Ethereum smart contracts. The results show that FairCon is
able to effectively detect fairness violations and prove fairness
properties for common types of game-like contracts. The dataset,
raw results, and prototype used are available online: https://doi.
org/10.21979/N9/0BEVRT.</t>
  </si>
  <si>
    <t>https://doi.org/10.21979/N9/0BEVRT (real link: https://researchdata.ntu.edu.sg/dataset.xhtml?persistentId=doi:10.21979/N9/0BEVRT )</t>
  </si>
  <si>
    <t>https://doi.org/10.21979/N9/0BEVRT</t>
  </si>
  <si>
    <t>Boosting fuzzer efficiency: an information theoretic perspective</t>
  </si>
  <si>
    <r>
      <rPr>
        <sz val="10.0"/>
      </rPr>
      <t xml:space="preserve">1 INTRODUCTION
...
We present a substantial empirical evaluation on over 250
widely-used, open-source C/C++ programs producing over 2
CPU years worth of data. Our data and R scripts are available
here: </t>
    </r>
    <r>
      <rPr>
        <sz val="10.0"/>
        <u/>
      </rPr>
      <t>https://doi.org/10.6084/m9.figshare.12415622.v2.</t>
    </r>
  </si>
  <si>
    <r>
      <rPr>
        <rFont val="Arial"/>
        <color theme="1"/>
        <sz val="10.0"/>
      </rPr>
      <t xml:space="preserve">https://doi.org/10.6084/m9.figshare.12415622.v2
https://github.com/researchart/fse20
</t>
    </r>
    <r>
      <rPr>
        <rFont val="Arial"/>
        <color theme="1"/>
        <sz val="10.0"/>
      </rPr>
      <t>https://www.fuzzbench.com/reports/2020-03-04</t>
    </r>
  </si>
  <si>
    <r>
      <rPr>
        <rFont val="Arial"/>
        <color theme="1"/>
        <sz val="10.0"/>
      </rPr>
      <t xml:space="preserve">https://doi.org/10.6084/m9.figshare.12415622.v2
https://github.com/researchart/fse20
</t>
    </r>
    <r>
      <rPr>
        <rFont val="Arial"/>
        <color theme="1"/>
        <sz val="10.0"/>
      </rPr>
      <t>https://www.fuzzbench.com/reports/2020-03-04</t>
    </r>
  </si>
  <si>
    <t>Publicly Available (2)
Not Available (1)</t>
  </si>
  <si>
    <t>CrFuzz: fuzzing multi-purpose programs through input validation</t>
  </si>
  <si>
    <t>Detecting critical bugs in SMT solvers using blackbox mutational fuzzing</t>
  </si>
  <si>
    <t>5 EXPERIMENTAL EVALUATION
...
We make our implementation open source5. To support open sci-
ence, we include all data, source code, and documentation necessary
for reproducing our experimental results.</t>
  </si>
  <si>
    <t>https://github.com/Practical-Formal-Methods/storm</t>
  </si>
  <si>
    <t>Fuzzing: on the exponential cost of vulnerability discovery</t>
  </si>
  <si>
    <r>
      <rPr>
        <sz val="10.0"/>
      </rPr>
      <t xml:space="preserve">2 EMPIRICAL SETUP
...
2.4 Variables and Measures•
...
We make data and scripts available
here: </t>
    </r>
    <r>
      <rPr>
        <sz val="10.0"/>
        <u/>
      </rPr>
      <t>https://doi.org/10.6084/m9.figshare.11911287.</t>
    </r>
  </si>
  <si>
    <r>
      <rPr>
        <rFont val="Arial"/>
        <color theme="1"/>
        <sz val="10.0"/>
      </rPr>
      <t>https://doi.org/10.6084/m9.figshare.11911287</t>
    </r>
    <r>
      <rPr>
        <rFont val="Arial"/>
        <color theme="1"/>
        <sz val="10.0"/>
      </rPr>
      <t xml:space="preserve">
</t>
    </r>
    <r>
      <rPr>
        <rFont val="Arial"/>
        <color theme="1"/>
        <sz val="10.0"/>
      </rPr>
      <t>https://www.kaggle.com/marcelbhme/fuzzing-on-the-exponential-cost-of-vuln-disc</t>
    </r>
  </si>
  <si>
    <t>https://doi.org/10.6084/m9.figshare.11911287
https://www.kaggle.com/marcelbhme/fuzzing-on-the-exponential-cost-of-vuln-disc</t>
  </si>
  <si>
    <t>Intelligent REST API data fuzzing</t>
  </si>
  <si>
    <t>MTFuzz: fuzzing with a multi-task neural network</t>
  </si>
  <si>
    <t>1 INTRODUCTION
Our tool is available at https://git.io/JUWkj and the artifacts available
at doi.org/10.5281/zenodo.3903818.</t>
  </si>
  <si>
    <t>doi.org/10.5281/zenodo.3903818
https://git.io/JUWkj</t>
  </si>
  <si>
    <t>A comprehensive study on challenges in deploying deep learning based software</t>
  </si>
  <si>
    <t>1 INTRODUCTION
...
Furthermore, we discuss actionable implications (derived from our results) for researchers, developers, and DL framework vendors. In addition, this paper o_x001d_ers a dataset of posts related to DL software deployment [66] as an additional contribution to the research community for other researchers to replicate and build upon.</t>
  </si>
  <si>
    <t>https://github.com/chenzhenpeng18/fse2020</t>
  </si>
  <si>
    <t>AMS: generating AutoML search spaces from weak specifications</t>
  </si>
  <si>
    <t>1 INTRODUCTION
...
We implement this approach (and share our evaluation dataset)
in an open-source system called AMS1.</t>
  </si>
  <si>
    <t>https://github.com/josepablocam/ams</t>
  </si>
  <si>
    <t>Correlations between deep neural network model coverage criteria and model quality</t>
  </si>
  <si>
    <t>5 EXPERIMENTS AND RESULTS
5.1 Setup
...
Our trained models are also available online [1].
6 THREAT TO VALIDITY AND DISCUSSION
One important message from this study is that our community
shall establish a set of standards for evaluating future proposals.
They shall include testing various model properties (e.g., robustness,
accuracy and fairness), and cover various model architectures and
tasks so that the results can be comparable. As an initial step, we
have create a GitHub reposotiry [2] for this purpose, and strongly
encourage our readers to contribute.</t>
  </si>
  <si>
    <t>https://github.com/RU-System-Software-and-Security/CovTesting
https://github.com/RU-System-Software-and-Security/Benchmark</t>
  </si>
  <si>
    <t>Deep learning library testing via effective model generation</t>
  </si>
  <si>
    <t>4.4 Implementations and Data Availability 
...
Our tool and experimental data are publicly available at our
project website [3].</t>
  </si>
  <si>
    <t>https://github.com/Jacob-yen/LEMON</t>
  </si>
  <si>
    <t>DeepSearch: a simple and effective blackbox attack for deep neural networks</t>
  </si>
  <si>
    <t>7 EXPERIMENTAL EVALUATION
...
We make our implementation open source1. Our experimental
data, including detected adversarial examples, are also available via
the provided link.</t>
  </si>
  <si>
    <t>https://github.com/Practical-Formal-Methods/DeepSearch
CoRR abs/1910.06296</t>
  </si>
  <si>
    <t>DENAS: automated rule generation by knowledge extraction from neural networks</t>
  </si>
  <si>
    <t>1 INTRODUCTION
...
Evaluations. To demonstrate the e"ectiveness of DENAS, we ap-
ply DENAS to three real-world applications: binary analysis [57, 63,
78], PDF malware classi!cation [35, 42, 43], and Android malware
classi!cation [22, 72].1 
1All code and results can be found on our project page [12].</t>
  </si>
  <si>
    <t>https://github.com/SeekingDream/denas_fse2020</t>
  </si>
  <si>
    <t>Detecting numerical bugs in neural network architectures</t>
  </si>
  <si>
    <t>1 INTRODUCTION
...
We specifically name the imple-
mentation of the combination scheme of tensor partitioning and
affine relation analysis together with interval abstraction as DE-
BAR, being released as open source code2
4.1 Datasets
We make 48 computation graphs publicly available6.</t>
  </si>
  <si>
    <t>https://github.com/ForeverZyh/DEBAR
https://doi.org/10.5281/zenodo.3843648</t>
  </si>
  <si>
    <t>Dynamic slicing for deep neural networks</t>
  </si>
  <si>
    <t>The code and data of NNSlicer and all applications will be made available to the community.</t>
  </si>
  <si>
    <t>Is neuron coverage a meaningful measure for testing deep neural networks?</t>
  </si>
  <si>
    <r>
      <rPr>
        <sz val="10.0"/>
      </rPr>
      <t xml:space="preserve">1 INTRODUCTION
...
We put forward the complete code and artifacts to automati-
cally generate test suites and replicate our empirical analysis
at </t>
    </r>
    <r>
      <rPr>
        <sz val="10.0"/>
        <u/>
      </rPr>
      <t>https://doi.org/10.5281/zenodo.4021473</t>
    </r>
  </si>
  <si>
    <t>https://doi.org/10.5281/zenodo.4021473</t>
  </si>
  <si>
    <t>Machine translation testing via pathological invariance</t>
  </si>
  <si>
    <t>[65]</t>
  </si>
  <si>
    <t>https://github.com/RobustNLP/TestTranslation</t>
  </si>
  <si>
    <t>Model-based exploration of the frontier of behaviours for deep learning system testing</t>
  </si>
  <si>
    <t>5 THE DEEPJANUS TECHNIQUE
...
We implemented DeepJanus in Python on top of the DEAP
evolutionary computation framework (v. 1.3.0) [15]. The code of
DeepJanus is available online as open source [47].</t>
  </si>
  <si>
    <t>https://github.com/testingautomated-usi/DeepJanus</t>
  </si>
  <si>
    <t>On decomposing a deep neural network into modules</t>
  </si>
  <si>
    <t>1 INTRODUCTION
he code is also publicly accessible at [13].</t>
  </si>
  <si>
    <t>https://doi.org/10.5281/zenodo.3874077</t>
  </si>
  <si>
    <t>Operational calibration: debugging confidence errors for DNNs in the field</t>
  </si>
  <si>
    <r>
      <rPr>
        <sz val="10.0"/>
      </rPr>
      <t xml:space="preserve">5 EMPIRICAL EVALUATION
...
We implemented our approach on top of the PyTorch 1.1.0 DL
framework. The code, together with the experimental data, are
available at </t>
    </r>
    <r>
      <rPr>
        <sz val="10.0"/>
        <u/>
      </rPr>
      <t>https://github.com/Lizn-zn/Op-QA.</t>
    </r>
  </si>
  <si>
    <t xml:space="preserve"> https://github.com/Lizn-zn/Op-QA</t>
  </si>
  <si>
    <t>All your app links are belong to us: understanding the threats of instant apps based attacks</t>
  </si>
  <si>
    <t>1 INTRODUCTION
...
We hope that our efforts can raise awareness among relevant
stakeholders (including smartphone vendors, app markets, app
developers and mobile users). Hence, we have made our MIAFinder
and all the experiments publicly available at: https://sites.google.
com/view/instant-app-attacks.</t>
  </si>
  <si>
    <r>
      <rPr>
        <rFont val="Arial"/>
        <color theme="1"/>
        <sz val="10.0"/>
      </rPr>
      <t xml:space="preserve"> </t>
    </r>
    <r>
      <rPr>
        <rFont val="Arial"/>
        <color theme="1"/>
        <sz val="10.0"/>
      </rPr>
      <t>https://sites.google.com/view/instant-app-attacks</t>
    </r>
  </si>
  <si>
    <r>
      <rPr>
        <rFont val="Arial"/>
        <color theme="1"/>
        <sz val="10.0"/>
      </rPr>
      <t xml:space="preserve"> </t>
    </r>
    <r>
      <rPr>
        <rFont val="Arial"/>
        <color theme="1"/>
        <sz val="10.0"/>
      </rPr>
      <t>https://sites.google.com/view/instant-app-attacks</t>
    </r>
  </si>
  <si>
    <t>Automated construction of energy test oracles for Android</t>
  </si>
  <si>
    <t>1 INTRODUCTION
...
An implementation of ACETON, which is publicly available [7].</t>
  </si>
  <si>
    <t>https://seal.ics.uci.edu/projects/aceton/index.html</t>
  </si>
  <si>
    <t>Borrowing your enemy’s arrows: the case of code reuse in Android via direct inter-app code invocation</t>
  </si>
  <si>
    <t xml:space="preserve">2 DISSECTION OF THE DICI MECHANISM
2.2 DICI in Action
...
Apps availability and responsible disclosure: We provide
on GitHub the source code of both use-case apps as artefacts for
further research: https://github.com/gaojun0816/FSE-anonymous-
artefact. </t>
  </si>
  <si>
    <r>
      <rPr>
        <rFont val="Arial"/>
        <color theme="1"/>
        <sz val="10.0"/>
      </rPr>
      <t xml:space="preserve"> </t>
    </r>
    <r>
      <rPr>
        <rFont val="Arial"/>
        <color theme="1"/>
        <sz val="10.0"/>
      </rPr>
      <t>https://github.com/gaojun0816/FSE-anonymous-artefact</t>
    </r>
  </si>
  <si>
    <r>
      <rPr>
        <rFont val="Arial"/>
        <color theme="1"/>
        <sz val="10.0"/>
      </rPr>
      <t xml:space="preserve"> </t>
    </r>
    <r>
      <rPr>
        <rFont val="Arial"/>
        <color theme="1"/>
        <sz val="10.0"/>
      </rPr>
      <t>https://github.com/gaojun0816/FSE-anonymous-artefact</t>
    </r>
  </si>
  <si>
    <t>Static asynchronous component misuse detection for Android applications</t>
  </si>
  <si>
    <t>1 INTRODUCTION
...
4. Evaluation: This paper designs AsyncBench, an open micro
benchmark containing 69 apps as a test suite for AsyncTask misuse
detection. We have evaluated AsyncChecker on both AsyncBench
and 1,759 real-world apps. The result shows that the misuses of
AsyncTask widely exist (up to 80.6% of the 1,759 apps).
The tool and benchmarks can be viewed at https://github.com/
pangeneral/AsyncChecker.</t>
  </si>
  <si>
    <t>https://github.com/pangeneral/AsyncChecker</t>
  </si>
  <si>
    <t>Automatically identifying performance issue reports with heuristic linguistic patterns</t>
  </si>
  <si>
    <t>5 RESULTS
5.2 Sentence Tagging Accuracy
...
Due to space limitations,
we present the details based on dataset 2 in the paper, details based
on dataset 3 can be found here 3.</t>
  </si>
  <si>
    <t>https://sites.google.com/view/fse-2020-hlp</t>
  </si>
  <si>
    <t>Calm energy accounting for multithreaded Java applications</t>
  </si>
  <si>
    <t>1 INTRODUCTION
...
Chappie is an open-source project, hosted at an (anonymous)
website https://github.com/pl-chappie/chappie.</t>
  </si>
  <si>
    <t>https://github.com/pl-chappie/chappie</t>
  </si>
  <si>
    <t>Dynamically reconfiguring software microbenchmarks: reducing execution time without sacrificing result quality</t>
  </si>
  <si>
    <t>4 DYNAMIC RECONFIGURATION
4.3 Modified JMH Implementation
...
The modified fork of JMH is available on Github [34] and part of our replication package [35].
5 EMPIRICAL EVALUATION
To support open science, we provide all evaluation data and
scripts in a replication package [35].</t>
  </si>
  <si>
    <t>https://doi.org/10.6084/m9.figshare.11944875
https://github.com/sealuzh/jmh</t>
  </si>
  <si>
    <t>Testing self-adaptive software with probabilistic guarantees on performance metrics</t>
  </si>
  <si>
    <t>1 INTRODUCTION
...
We show how our methodology can be used to:
(i) rigorously quantify the adaptation performance, (ii) evaluate the
trade-off between the number of performed tests and the confidence
in the testing campaign, and (iii) compare adaptation strategies.1</t>
  </si>
  <si>
    <t>https://github.com/ManCla/ESEC-FSE-2020
https://doi.org/10.5281/ZENODO.3896795</t>
  </si>
  <si>
    <t>API method recommendation via explicit matching of functionality verb phrases</t>
  </si>
  <si>
    <t>3 EMPIRICAL STUDY
...
3.1 Study Design
...
The training was conducted in group and
took more than one hour. More material about training, including
examples, is available in the replication package [7].</t>
  </si>
  <si>
    <t>https://fudanselab.github.io/Research-FSE2020-FuncVerb/
https://i.loli.net/2019/05/12/5cd7d3ed9a2e6.png</t>
  </si>
  <si>
    <t>All data from this work will be turned into archived open data after acceptance.</t>
  </si>
  <si>
    <t>Code recommendation for exception handling</t>
  </si>
  <si>
    <r>
      <rPr>
        <sz val="10.0"/>
      </rPr>
      <t xml:space="preserve">5 EMPIRICAL EVALUATION
5.3 Experiments on Real Exception Bugs
The dataset is available at </t>
    </r>
    <r>
      <rPr>
        <sz val="10.0"/>
        <u/>
      </rPr>
      <t>rebrand.ly/ExDataset.</t>
    </r>
  </si>
  <si>
    <r>
      <rPr>
        <rFont val="Arial"/>
        <color theme="1"/>
        <sz val="10.0"/>
      </rPr>
      <t xml:space="preserve">rebrand.ly/ExDataset
</t>
    </r>
    <r>
      <rPr>
        <rFont val="Arial"/>
        <color theme="1"/>
        <sz val="10.0"/>
      </rPr>
      <t>rebrand.ly/exassist</t>
    </r>
  </si>
  <si>
    <r>
      <rPr>
        <rFont val="Arial"/>
        <color theme="1"/>
        <sz val="10.0"/>
      </rPr>
      <t xml:space="preserve">rebrand.ly/ExDataset
</t>
    </r>
    <r>
      <rPr>
        <rFont val="Arial"/>
        <color theme="1"/>
        <sz val="10.0"/>
      </rPr>
      <t>rebrand.ly/exassist</t>
    </r>
  </si>
  <si>
    <t>eQual: informing early design decisions</t>
  </si>
  <si>
    <t>1 INTRODUCTION
(6) An open-source eQual implementation, all evaluation scripts,
and data, and experimental replication package [78].</t>
  </si>
  <si>
    <t>https://doi.org/10.5281/zenodo.3905131</t>
  </si>
  <si>
    <t>Recommending stack overflow posts for fixing runtime exceptions using failure scenario matching</t>
  </si>
  <si>
    <t>4 EVALUATION
4.2 Datasets
The complete benchmark is available
as part of the Maestro artifact at [7].</t>
  </si>
  <si>
    <t>https://doi.org/10.6084/m9.figshare.11948619</t>
  </si>
  <si>
    <t>Understanding the impact of GitHub suggested changes on recommendations between developers</t>
  </si>
  <si>
    <t>1 INTRODUCTION
Additionally, the blog post reports over 100,000
suggested changes were made within a few weeks of the initial
public beta release of the feature, accounting for approximately
4% of pull request review comments and 10% of code reviewers.4
3 METHODOLOGY
The script used to
automatically detect suggested changes and our resulting dataset
are publicly available online.10</t>
  </si>
  <si>
    <t>https://github.com/chbrown13/suggestions</t>
  </si>
  <si>
    <t>An evaluation of methods to port legacy code to SGX enclaves</t>
  </si>
  <si>
    <t>3 ENCLAVE-EXECUTION MODELS
...
3.3 Instruction Wrapper Model
...
We have archived the version of Porpoise used for the experiments
reported in this paper (DOI:10.5281/zenodo.3895761).</t>
  </si>
  <si>
    <t>DOI:10.5281/zenodo.3895761</t>
  </si>
  <si>
    <t>Search-based adversarial testing and improvement of constrained credit scoring systems</t>
  </si>
  <si>
    <t>4 PROBLEM FORMULATION
...
We cannot disclose the features of our partner’s model, or its spe-
cific constraints, but we provide in the GIT repository a replication
example on the Lending Club Load Datase5</t>
  </si>
  <si>
    <t>https://www.kaggle.com/wendykan/lending-club-loan-data
https://github.com/UL-SnT-Serval/coeva2/tree/fse</t>
  </si>
  <si>
    <t>We cannot disclose the features of our partner’s model, or its specific constraints, but we provide in the GIT repository a replication example on the Lending Club Load Datase5</t>
  </si>
  <si>
    <t>SinkFinder: harvesting hundreds of unknown interesting function pairs with just one seed</t>
  </si>
  <si>
    <t>1 INTRODUCTION
...
Encouraging results. Hundreds of security-sensitive functions
are identified and dozens of confirmed bugs are detected from
three real-world large-scale systems 1.</t>
  </si>
  <si>
    <t>https://github.com/SinkFinder/data
https://lore.kernel.org/patchwork/patch/1016715</t>
  </si>
  <si>
    <t>Baital: an adaptive weighted sampling approach for improved t-wise coverage</t>
  </si>
  <si>
    <t>1 INTRODUCTION
...
Our implementation of Baital is publicly available at
https://doi.org/10.5281/zenodo.4028454.</t>
  </si>
  <si>
    <t>https://doi.org/10.5281/zenodo.4028454
https://github.com/meelgroup/baital
https://doi.org/10.5281/zenodo.4022395</t>
  </si>
  <si>
    <t>Cost measures matter for mutation testing study validity</t>
  </si>
  <si>
    <t>3 EMPIRICAL STUDY DESIGN
...
With this approach,
we intend to evaluate the cost of mutants in a real-world setting.2
We executed the experiments on a local machine with an AMD
Threadripper 2950X 3.5GHz (4.4GHz boost) CPU, 32GB (3200MHz)
of RAM and using Windows 10 v1903.3</t>
  </si>
  <si>
    <r>
      <rPr>
        <rFont val="Arial"/>
        <color theme="1"/>
        <sz val="10.0"/>
      </rPr>
      <t>https://doi.org/10.5522/04/11927208</t>
    </r>
    <r>
      <rPr>
        <rFont val="Arial"/>
        <color theme="1"/>
        <sz val="10.0"/>
      </rPr>
      <t xml:space="preserve"> ( real link: </t>
    </r>
    <r>
      <rPr>
        <rFont val="Arial"/>
        <color theme="1"/>
        <sz val="10.0"/>
      </rPr>
      <t>https://rdr.ucl.ac.uk/articles/dataset/Replication_package_for_Cost_Measures_Matter_for_Mutation_Testing_Study_Validity_accepted_at_FSE_2020/11927208?file=23431115</t>
    </r>
    <r>
      <rPr>
        <rFont val="Arial"/>
        <color theme="1"/>
        <sz val="10.0"/>
      </rPr>
      <t xml:space="preserve"> )</t>
    </r>
  </si>
  <si>
    <t>https://doi.org/10.5522/04/11927208</t>
  </si>
  <si>
    <t>Detecting optimization bugs in database engines via non-optimizing reference engine construction</t>
  </si>
  <si>
    <t>1 INTRODUCTION
...We implemented NoREC in a tool called SQLancer, which is
available at https://github.com/sqlancer.1 
1An artifact prepared for long-term archival is also available [45].</t>
  </si>
  <si>
    <r>
      <rPr>
        <rFont val="Arial"/>
        <color theme="1"/>
        <sz val="10.0"/>
      </rPr>
      <t xml:space="preserve">https://github.com/sqlancer
</t>
    </r>
    <r>
      <rPr>
        <rFont val="Arial"/>
        <color theme="1"/>
        <sz val="10.0"/>
      </rPr>
      <t>https://doi.org/10.5281/zenodo.3947858</t>
    </r>
  </si>
  <si>
    <r>
      <rPr>
        <rFont val="Arial"/>
        <color theme="1"/>
        <sz val="10.0"/>
      </rPr>
      <t xml:space="preserve">https://github.com/sqlancer
</t>
    </r>
    <r>
      <rPr>
        <rFont val="Arial"/>
        <color theme="1"/>
        <sz val="10.0"/>
      </rPr>
      <t>https://doi.org/10.5281/zenodo.3947858</t>
    </r>
  </si>
  <si>
    <t>Efficient binary-level coverage analysis</t>
  </si>
  <si>
    <t>1 INTRODUCTION
... We implemented our contributions in the tool bcov, which we
make publicly available: https://doi.org/10.5281/zenodo.3876047.</t>
  </si>
  <si>
    <t>https://doi.org/10.5281/zenodo.3876047</t>
  </si>
  <si>
    <t>Efficiently finding higher-order mutants</t>
  </si>
  <si>
    <t>3 STEP 1: COMPLETE SEARCH WITH
VARIATIONAL EXECUTION (searchvar)
...
Our
implementation and data are available on GitHub: https://github.
com/poosomooso/SSHOM-Search.</t>
  </si>
  <si>
    <t>https://github.com/poosomooso/SSHOM-Search</t>
  </si>
  <si>
    <t>Evolutionary improvement of assertion oracles</t>
  </si>
  <si>
    <t>1 INTRODUCTION
...
We release our evaluation results (https://doi.org/10.5281/
zenodo.3876638) and tool (https://doi.org/10.5281/zenodo.
3877078) to facilitate future work in this area.</t>
  </si>
  <si>
    <r>
      <rPr>
        <rFont val="Arial"/>
        <color theme="1"/>
        <sz val="10.0"/>
      </rPr>
      <t>https://doi.org/10.5281/zenodo.3876638</t>
    </r>
    <r>
      <rPr>
        <rFont val="Arial"/>
        <color theme="1"/>
        <sz val="10.0"/>
      </rPr>
      <t xml:space="preserve">
https://doi.org/10.5281/zenodo.3877078</t>
    </r>
  </si>
  <si>
    <r>
      <rPr>
        <rFont val="Arial"/>
        <color theme="1"/>
        <sz val="10.0"/>
      </rPr>
      <t>https://doi.org/10.5281/zenodo.3876638</t>
    </r>
    <r>
      <rPr>
        <rFont val="Arial"/>
        <color theme="1"/>
        <sz val="10.0"/>
      </rPr>
      <t xml:space="preserve">
https://doi.org/10.5281/zenodo.3877078</t>
    </r>
  </si>
  <si>
    <t>FrUITeR: a framework for evaluating UI test reuse</t>
  </si>
  <si>
    <t>1 INTRODUCTION
...
We make FrUITeR’s implementation and all data
artifacts publicly available [12], directly fostering future research.</t>
  </si>
  <si>
    <t>https://felicitia.github.io/FrUITeR/</t>
  </si>
  <si>
    <t>Object detection for graphical user interface: old fashioned or deep learning or a combination?</t>
  </si>
  <si>
    <t>3.2 Experiment Setup
We find the best object
confidence threshold for each model using the validation dataset.1</t>
  </si>
  <si>
    <t>https://github.com/chenjshnn/Object-Detection-for-Graphical-User-Interface</t>
  </si>
  <si>
    <t>Understanding and automatically detecting conflicting interactions between smart home IoT applications</t>
  </si>
  <si>
    <t>1 INTRODUCTION
...
Our tool and dataset are available under an open
source license at http://plrg.ics.uci.edu/iotcheck/[71ś73].</t>
  </si>
  <si>
    <t>https://doi.org/10.5281/zenodo.3866497
http://plrg.ics.uci.edu/iotcheck/
https://doi.org/10.5281/zenodo.3866499
https://doi.org/10.5281/zenodo.3866491</t>
  </si>
  <si>
    <r>
      <rPr>
        <rFont val="Arial"/>
        <color theme="1"/>
        <sz val="10.0"/>
      </rPr>
      <t xml:space="preserve">https://doi.org/10.5281/zenodo.3866497
http://plrg.ics.uci.edu/iotcheck/
https://doi.org/10.5281/zenodo.3866499
</t>
    </r>
    <r>
      <rPr>
        <rFont val="Arial"/>
        <color theme="1"/>
        <sz val="10.0"/>
      </rPr>
      <t>https://doi.org/10.5281/zenodo.3866491</t>
    </r>
  </si>
  <si>
    <t>When does my program do this? learning circumstances of software behavior</t>
  </si>
  <si>
    <r>
      <rPr>
        <sz val="10.0"/>
      </rPr>
      <t xml:space="preserve">7 CONCLUSION AND FUTURE WORK
... 
Alhazen and all experiments described in this paper are avail-
able for replication and extension. For review purposes, we have
compiled a replication package[22] with all code and data at
</t>
    </r>
    <r>
      <rPr>
        <sz val="10.0"/>
        <u/>
      </rPr>
      <t>https://zenodo.org/record/3902142</t>
    </r>
  </si>
  <si>
    <t>https://zenodo.org/record/3902142</t>
  </si>
  <si>
    <t>Hazard analysis for human-on-the-loop interactions in sUAS systems</t>
  </si>
  <si>
    <t>HUMAN-SUAS INTERACTIONS</t>
  </si>
  <si>
    <t>https://github.com/SAREC-Lab/sUAS-UseCases</t>
  </si>
  <si>
    <t>An exploratory study of autopilot software bugs in unmanned aerial vehicles</t>
  </si>
  <si>
    <t>Contributions in the Introduction</t>
  </si>
  <si>
    <t>https://doi.org/10.5281/zenodo.4898868</t>
  </si>
  <si>
    <t>Code integrity attestation for PLCs using black box neural network predictions</t>
  </si>
  <si>
    <t>Experiments and Discussion</t>
  </si>
  <si>
    <t>https://github.com/sav-smu/plc-code-integrity</t>
  </si>
  <si>
    <t>PHYSFRAME: type checking physical frames of reference for robotic systems</t>
  </si>
  <si>
    <t>Experiment Setup
[19]</t>
  </si>
  <si>
    <t>https://doi.org/10.5281/zenodo.4959920
arXiv:2106.11266 [cs.RO]</t>
  </si>
  <si>
    <t>Automating serverless deployments for DevOps organizations</t>
  </si>
  <si>
    <t>THE DEPLOYMENT COORDINATION ISSUE
[45] [48] [46] [47]</t>
  </si>
  <si>
    <t>https://doi.org/10.5281/zenodo.4873909
https://doi.org/10.5281/zenodo.4902323
https://doi.org/10.5281/zenodo.4878577
https://doi.org/10.5281/zenodo.4902171</t>
  </si>
  <si>
    <t>Algebraic-datatype taint tracking, with applications to understanding Android identifier leaks</t>
  </si>
  <si>
    <t>End of introduction</t>
  </si>
  <si>
    <t>https://github.com/sujon335/AlgebraicDatatypeTaintTracker</t>
  </si>
  <si>
    <t>Vet: identifying and avoiding UI exploration tarpits</t>
  </si>
  <si>
    <t>THE VET APPROACH
[37]</t>
  </si>
  <si>
    <t>https://github.com/VET-UI-Testing/main</t>
  </si>
  <si>
    <t>Checking conformance of applications against GUI policies</t>
  </si>
  <si>
    <t>1 Details are hidden for double-blind review purpose. The experimental artifact including the tool will be submitted after acceptance.</t>
  </si>
  <si>
    <t>Data-driven accessibility repair revisited: on the effectiveness of generating labels for icons in Android apps</t>
  </si>
  <si>
    <t>Last sentence in the conclusion</t>
  </si>
  <si>
    <t>https://github.com/fmehralian/COALA</t>
  </si>
  <si>
    <t>Benchmarking automated GUI testing for Android against real-world bugs</t>
  </si>
  <si>
    <t>ABstract and threats to validty</t>
  </si>
  <si>
    <t>https://github.com/the-themis-benchmarks/home</t>
  </si>
  <si>
    <t>Checking LTL[F,G,X] on compressed traces in polynomial time</t>
  </si>
  <si>
    <t>Implementation and Setup</t>
  </si>
  <si>
    <t>https://github.com/minjian233/ZIPMOP</t>
  </si>
  <si>
    <t>Conditional interpolation: making concurrent program verification more effective</t>
  </si>
  <si>
    <t>AlloyMax: bringing maximum satisfaction to relational specifications</t>
  </si>
  <si>
    <t>EVALUATION</t>
  </si>
  <si>
    <t>https://github.com/SteveZhangBit/alloy-maxsat-benchmark</t>
  </si>
  <si>
    <t>Timely and accurate detection of model deviation in self-adaptive software-intensive systems</t>
  </si>
  <si>
    <t>EXPERIMENTS</t>
  </si>
  <si>
    <t>https://github.com/tongyanxiang/MoD2</t>
  </si>
  <si>
    <t>Lightweight and modular resource leak verification</t>
  </si>
  <si>
    <t>https://doi.org/10.5281/zenodo.4902321</t>
  </si>
  <si>
    <t>JSISOLATE: lightweight in-browser JavaScript isolation</t>
  </si>
  <si>
    <t>https://zenodo.org/records/4892853</t>
  </si>
  <si>
    <t>We will release the prototype as an open-source software.</t>
  </si>
  <si>
    <t>Cross-language code search using static and dynamic analyses</t>
  </si>
  <si>
    <t>Data</t>
  </si>
  <si>
    <t>https://doi.org/10.5281/zenodo.4968705</t>
  </si>
  <si>
    <t>Automating the removal of obsolete TODO comments</t>
  </si>
  <si>
    <t>https://github.com/beyondacm/TDClearner</t>
  </si>
  <si>
    <t>Estimating residual risk in greybox fuzzing</t>
  </si>
  <si>
    <t>https://www.kaggle.com/code/adaptivebias/empirical
https://www.kaggle.com/code/adaptivebias/simulation</t>
  </si>
  <si>
    <t>HeteroFuzz: fuzz testing to detect platform dependent divergence for heterogeneous applications</t>
  </si>
  <si>
    <t>Sound and efficient concurrency bug prediction</t>
  </si>
  <si>
    <t>Detecting Node.js prototype pollution vulnerabilities via object lookup analysis</t>
  </si>
  <si>
    <t>Contributions in Introduction</t>
  </si>
  <si>
    <t>https://github.com/Song-Li/ObjLupAnsys.git</t>
  </si>
  <si>
    <t>Detecting concurrency vulnerabilities based on partial orders of memory and thread events</t>
  </si>
  <si>
    <t>Vulnerability detection with fine-grained interpretations</t>
  </si>
  <si>
    <t>https://github.com/vulnerabilitydetection/VulnerabilityDetectionResearch</t>
  </si>
  <si>
    <t>Identifying casualty changes in software patches</t>
  </si>
  <si>
    <t>Background, Approach and Evaluation sections
[8]</t>
  </si>
  <si>
    <t>https://asejfia.github.io/cascade.github.io/</t>
  </si>
  <si>
    <t>ACHyb: a hybrid analysis approach to detect kernel access control vulnerabilities</t>
  </si>
  <si>
    <t>https://github.com/githubhuyang/achyb</t>
  </si>
  <si>
    <t>Context-aware and data-driven feedback generation for programming assignments</t>
  </si>
  <si>
    <t>https://github.com/kupl/LearnML</t>
  </si>
  <si>
    <t>A syntax-guided edit decoder for neural program repair</t>
  </si>
  <si>
    <t>Correctness of Patches</t>
  </si>
  <si>
    <t>https://github.com/pkuzqh/Recoder</t>
  </si>
  <si>
    <t>VarFix: balancing edit expressiveness and search effectiveness in automated program repair</t>
  </si>
  <si>
    <t>EVALUATION and SUPPLEMENTARY MATERIAL Section</t>
  </si>
  <si>
    <t>https://chupanw.github.io/varfix-supplement/</t>
  </si>
  <si>
    <t>Flaky test detection in Android via event order exploration</t>
  </si>
  <si>
    <t>7 EVALUATION - 7.8 Data Availability
Introduction</t>
  </si>
  <si>
    <t>https://github.com/AndroidFlakyTest</t>
  </si>
  <si>
    <t>SmartCommit: a graph-based interactive assistant for activity-oriented commits</t>
  </si>
  <si>
    <t xml:space="preserve">
[2]</t>
  </si>
  <si>
    <t>https://github.com/Symbolk/SmartCommitEvaluation-Viz
https://github.com/Symbolk/SmartCommitCore</t>
  </si>
  <si>
    <t>A first look at developers’ live chat on Gitter</t>
  </si>
  <si>
    <t>Conclusion and Reseulsts and Analysis</t>
  </si>
  <si>
    <t>https://github.com/LiveChat2021/LiveChat
- https://github.com/LiveChat2021/LiveChat#5-download
- https://github.com/LiveChat2021/LiveChat#34-rq3-discussion-topic
- https://tinyurl.com/3dyu5n44 (real link: https://github.com/LiveChat2021/LiveChat#31-experiment-on-dialog-disentanglement )</t>
  </si>
  <si>
    <t>https://github.com/LiveChat2021/LiveChat</t>
  </si>
  <si>
    <t>Reel life vs. real life: how software developers share their daily life through vlogs</t>
  </si>
  <si>
    <t>Limitations and Methodology
[44]</t>
  </si>
  <si>
    <t>https://figshare.com/s/343f449568a0dc6ba5c4</t>
  </si>
  <si>
    <t>An empirical study on challenges of application development in serverless computing</t>
  </si>
  <si>
    <t>https://github.com/WenJinfeng/FSE21-Dataset_Script</t>
  </si>
  <si>
    <t>Bias in machine learning software: why? how? what to do?</t>
  </si>
  <si>
    <t>https://github.com/joymallyac/Fair-SMOTE</t>
  </si>
  <si>
    <t>Understanding neural code intelligence through program simplification</t>
  </si>
  <si>
    <t>Metrics</t>
  </si>
  <si>
    <t>https://github.com/UH-SERG/SIVAND</t>
  </si>
  <si>
    <t>Multi-objectivizing software configuration tuning</t>
  </si>
  <si>
    <t>https://github.com/taochen/mmo-fse-2021</t>
  </si>
  <si>
    <t>Embedding app-library graph for neural third party library recommendation</t>
  </si>
  <si>
    <t>https://github.com/fio1982/GRec</t>
  </si>
  <si>
    <t>A large-scale empirical study on Java library migrations: prevalence, trends, and rationales</t>
  </si>
  <si>
    <t>https://doi.org/10.5281/zenodo.4816752
https://github.com/hehao98/LibraryMigration</t>
  </si>
  <si>
    <t>Learning-based extraction of first-order logic representations of API directives</t>
  </si>
  <si>
    <t>DATA AVAILABILITY
[2]</t>
  </si>
  <si>
    <t>https://fudanselab.github.io/Research-ESEC-FSE2021-APIDirective/
- https://github.com/FudanSELab/Research-ESEC-FSE2021-APIDirective/blob/main/CodeReview/Code%20Review%20Tasks.xlsx</t>
  </si>
  <si>
    <t>https://fudanselab.github.io/Research-ESEC-FSE2021-APIDirective/</t>
  </si>
  <si>
    <t>DIFFBASE: a differential factbase for effective software evolution management</t>
  </si>
  <si>
    <t>https://d-fact.github.io</t>
  </si>
  <si>
    <t>Would you like a quick peek? providing logging support to monitor data processing in big data applications</t>
  </si>
  <si>
    <t>[16]
- 1 INTRODUCTION
- EVALUATION OF DPLOG
- CHALLENGES IN DEVELOPING SPARK APPLICATIONS</t>
  </si>
  <si>
    <t>https://github.com/SPEAR-SE/FSE2021_DPLOG</t>
  </si>
  <si>
    <t>Identifying bad software changes via multimodal anomaly detection for online service systems</t>
  </si>
  <si>
    <t>Contributions in Introduction [62]</t>
  </si>
  <si>
    <t>https://github.com/FSEwork/SCWarn</t>
  </si>
  <si>
    <t>An automatic refactoring framework for replacing test-production inheritance by mocking mechanism</t>
  </si>
  <si>
    <t>CONCLUSION</t>
  </si>
  <si>
    <t>https://zenodo.org/records/5111183
https://github.com/wx930910/JMocker
https://sites.google.com/view/mockrefactoring
- https://sites.google.com/view/mockrefactoring#h.35xsyfz0n6ep</t>
  </si>
  <si>
    <t>https://zenodo.org/records/5111183
https://github.com/wx930910/JMocker
https://sites.google.com/view/mockrefactoring</t>
  </si>
  <si>
    <t>ÐArcher: detecting on-chain-off-chain synchronization bugs in decentralized applications</t>
  </si>
  <si>
    <t>https://github.com/Troublor/darcher</t>
  </si>
  <si>
    <t>iBatch: saving Ethereum fees via secure and cost-effective batching of smart-contract invocations</t>
  </si>
  <si>
    <t>[40]</t>
  </si>
  <si>
    <t>https://arxiv.org/abs/2106.08554
- arXiv:2106.08554</t>
  </si>
  <si>
    <t>https://arxiv.org/abs/2106.08554</t>
  </si>
  <si>
    <t>Which abbreviations should be expanded?</t>
  </si>
  <si>
    <t>EVALUATION
[31]</t>
  </si>
  <si>
    <t>https://github.com/jiangyanjie/smartExpander</t>
  </si>
  <si>
    <t>Validation on machine reading comprehension software without annotated labels: a property-based method</t>
  </si>
  <si>
    <t>Introduction
[1]</t>
  </si>
  <si>
    <t>https://github.com/imcsq/FSE21-MT4MRC</t>
  </si>
  <si>
    <t>FLEX: fixing flaky tests in machine learning projects by updating assertion bounds</t>
  </si>
  <si>
    <t>https://github.com/uiuc-arc/flex</t>
  </si>
  <si>
    <t>Parallel shadow execution to accelerate the debugging of numerical errors</t>
  </si>
  <si>
    <t>Introduction
[11]</t>
  </si>
  <si>
    <t>Exposing numerical bugs in deep learning via gradient back-propagation</t>
  </si>
  <si>
    <t>https://github.com/Jacob-yen/GRIST</t>
  </si>
  <si>
    <t>Metamorphic testing of Datalog engines</t>
  </si>
  <si>
    <t>Introduction and EXPERIMENTAL EVALUATION</t>
  </si>
  <si>
    <t>https://github.com/Practical-Formal-Methods/queryFuzz</t>
  </si>
  <si>
    <t>Synthesis of web layouts from examples</t>
  </si>
  <si>
    <t xml:space="preserve">EVALUATION, MOTIVATING EXAMPLE, </t>
  </si>
  <si>
    <t>https://github.com/MangoTeam/mockdown-client
https://github.com/MangoTeam/mockdown
https://github.com/MangoTeam/replication-package
https://github.com/MangoTeam/auto-mock</t>
  </si>
  <si>
    <t>Boosting coverage-based fault localization via graph-based representation learning</t>
  </si>
  <si>
    <t>EXPERIMENT DESIGN [8]</t>
  </si>
  <si>
    <t>https://github.com/yilinglou/Grace</t>
  </si>
  <si>
    <t>SynGuar: guaranteeing generalization in programming by example</t>
  </si>
  <si>
    <t>INTRODUCTION, OVERVIEW
[2]</t>
  </si>
  <si>
    <t>https://github.com/HALOCORE/SynGuar
DOI number 10.5281/zenodo.4883273</t>
  </si>
  <si>
    <t>StateFormer: fine-grained type recovery from binaries using generative state modeling</t>
  </si>
  <si>
    <t>https://github.com/CUMLSec/stateformer</t>
  </si>
  <si>
    <t>Empirical study of transformers for source code</t>
  </si>
  <si>
    <t>https://github.com/bayesgroup/code_transformers</t>
  </si>
  <si>
    <t>Explaining mispredictions of machine learning models using rule induction</t>
  </si>
  <si>
    <t>GENERATING MISPREDICTION
EXPLANATIONS</t>
  </si>
  <si>
    <t>https://github.com/facebookresearch/mmd</t>
  </si>
  <si>
    <t>Generalizable and interpretable learning for configuration extrapolation</t>
  </si>
  <si>
    <t>https://github.com/y-ding/gil</t>
  </si>
  <si>
    <t>Lightweight global and local contexts guided method name recommendation with prior knowledge</t>
  </si>
  <si>
    <t>https://github.com/ShangwenWang/Cognac</t>
  </si>
  <si>
    <t>To read or to rotate? comparing the effects of technical reading training and spatial skills training on novice programming ability</t>
  </si>
  <si>
    <t>TRAINING MATERIALS</t>
  </si>
  <si>
    <t>https://github.com/CelloCorgi/FSE2021_To_Read_or_to_Rotate</t>
  </si>
  <si>
    <t>Connecting the dots: rethinking the relationship between code and prose writing with functional connectivity</t>
  </si>
  <si>
    <t>LastPyMile: identifying the discrepancy between sources and packages</t>
  </si>
  <si>
    <t>Conclusion
[51]</t>
  </si>
  <si>
    <t>https://zenodo.org/records/4899935</t>
  </si>
  <si>
    <t>A grounded theory of the role of coordination in software security patch management</t>
  </si>
  <si>
    <t>TaintStream: fine-grained taint tracking for big data platforms through dynamic code translation</t>
  </si>
  <si>
    <t>Introduction when mentioning the contributions</t>
  </si>
  <si>
    <t>https://github.com/PrivacyStreams/TaintStream</t>
  </si>
  <si>
    <t>Demystifying “bad” error messages in data science libraries</t>
  </si>
  <si>
    <t>Introduction and THREATS TO VALIDITY [33]</t>
  </si>
  <si>
    <t>https://zenodo.org/records/4889055</t>
  </si>
  <si>
    <t>NIL: large-scale detection of large-variance clones</t>
  </si>
  <si>
    <t>Introduction, EVALUATION</t>
  </si>
  <si>
    <t xml:space="preserve">https://github.com/kusumotolab/NIL
https://zenodo.org/records/4490845
https://zenodo.org/records/4493069
https://zenodo.org/records/4491016
https://zenodo.org/records/4491052
https://zenodo.org/records/4491208
</t>
  </si>
  <si>
    <r>
      <rPr>
        <rFont val="Arial"/>
        <color theme="1"/>
        <sz val="10.0"/>
      </rPr>
      <t>https://github.com/kusumotolab/NIL</t>
    </r>
    <r>
      <rPr>
        <rFont val="Arial"/>
        <color theme="1"/>
        <sz val="10.0"/>
      </rPr>
      <t xml:space="preserve">
https://zenodo.org/records/4490845
https://zenodo.org/records/4493069
https://zenodo.org/records/4491016
https://zenodo.org/records/4491052
https://zenodo.org/records/4491208</t>
    </r>
  </si>
  <si>
    <t>Publicly Available (6)</t>
  </si>
  <si>
    <t>Understanding and detecting server-side request races in web applications</t>
  </si>
  <si>
    <t>Detecting and localizing keyboard accessibility failures in web applications</t>
  </si>
  <si>
    <t>EVALUATION [31]</t>
  </si>
  <si>
    <t>https://sites.google.com/usc.edu/kafe/home</t>
  </si>
  <si>
    <t>Swarmbug: debugging configuration bugs in swarm robotics</t>
  </si>
  <si>
    <t>Contributions in Introduction [82]</t>
  </si>
  <si>
    <r>
      <rPr>
        <rFont val="Arial"/>
        <color theme="1"/>
        <sz val="10.0"/>
      </rPr>
      <t xml:space="preserve">https://github.com/swarmbug/src
- </t>
    </r>
    <r>
      <rPr>
        <rFont val="Arial"/>
        <color theme="1"/>
        <sz val="10.0"/>
      </rPr>
      <t>https://github.com/swarmbug/src/tree/main/Input_Swarmbug</t>
    </r>
  </si>
  <si>
    <t>https://github.com/swarmbug/src</t>
  </si>
  <si>
    <t>Probabilistic Delta debugging</t>
  </si>
  <si>
    <t>https://github.com/Amocy-Wang/ProbDD</t>
  </si>
  <si>
    <t>Finding broken Linux configuration specifications by statically analyzing the Kconfig language</t>
  </si>
  <si>
    <t>EXPERIMENTAL EVALUATION
[38] [39] [40]</t>
  </si>
  <si>
    <t>https://doi.org/10.5281/zenodo.4563310
https://doi.org/10.5281/zenodo.4885001
https://doi.org/10.5281/zenodo.4950763
https://github.com/paulgazz/kmax
- https://github.com/paulgazz/kmax/blob/master/docs/bugs_found.md</t>
  </si>
  <si>
    <t>https://doi.org/10.5281/zenodo.4563310
https://doi.org/10.5281/zenodo.4885001
https://doi.org/10.5281/zenodo.4950763
https://github.com/paulgazz/kmax</t>
  </si>
  <si>
    <t>Semantic bug seeding: a learning-based approach for creating realistic bugs</t>
  </si>
  <si>
    <t>https://github.com/sola-st/SemSeed/</t>
  </si>
  <si>
    <t>Characterizing search activities on stack overflow</t>
  </si>
  <si>
    <t>STUDY SETUP</t>
  </si>
  <si>
    <t>https://zenodo.org/record/4730525</t>
  </si>
  <si>
    <t>Authorship attribution of source code: a language-agnostic approach and applicability in software engineering</t>
  </si>
  <si>
    <t>Introduction, Conclusion
[5]</t>
  </si>
  <si>
    <t>https://github.com/JetBrains-Research/authorship-detection</t>
  </si>
  <si>
    <t>Probing model signal-awareness via prediction-preserving input minimization</t>
  </si>
  <si>
    <t>Generating efficient solvers from constraint models</t>
  </si>
  <si>
    <t>https://github.com/fzlinshu/SoGen</t>
  </si>
  <si>
    <t>A comprehensive study of deep learning compiler bugs</t>
  </si>
  <si>
    <t>Data Collection</t>
  </si>
  <si>
    <t>https://github.com/ShenQingchao/DLCstudy</t>
  </si>
  <si>
    <t>Fair preprocessing: towards understanding compositional fairness of data transformers in machine learning pipeline</t>
  </si>
  <si>
    <t>[11]</t>
  </si>
  <si>
    <t>https://github.com/sumonbis/FairPreprocessing</t>
  </si>
  <si>
    <t>Fairea: a model behaviour mutation approach to benchmarking bias mitigation methods</t>
  </si>
  <si>
    <t>Introduction, Experimental Setup, Empircal Study Results
[32]</t>
  </si>
  <si>
    <t>https://github.com/maxhort/Fairea/</t>
  </si>
  <si>
    <t>Feature trace recording</t>
  </si>
  <si>
    <t>https://github.com/VariantSync/FeatureTraceRecording/tree/esecfse21
DOI: 10.5281/zenodo.5109867</t>
  </si>
  <si>
    <t>A longitudinal analysis of bloated Java dependencies</t>
  </si>
  <si>
    <t>STUDY DESIGN</t>
  </si>
  <si>
    <t>https://github.com/castor-software/longitudinal-bloat</t>
  </si>
  <si>
    <t>XAI tools in the public sector: a case study on predicting combined sewer overflows</t>
  </si>
  <si>
    <t>CASE STUDY DESIGN</t>
  </si>
  <si>
    <t>https://doi.org/10.5281/zenodo.4818970</t>
  </si>
  <si>
    <t>How disabled tests manifest in test maintainability challenges?</t>
  </si>
  <si>
    <t>A QUALITATIVE STUDY ON DISABLED
TESTS</t>
  </si>
  <si>
    <t>https://github.com/boyang9602/FSE_Ignore_Test</t>
  </si>
  <si>
    <t>Sustainability forecasting for Apache incubator projects</t>
  </si>
  <si>
    <t>DATA AND METHODS</t>
  </si>
  <si>
    <t>https://zenodo.org/records/4564072</t>
  </si>
  <si>
    <t>Graph-based seed object synthesis for search-based unit testing</t>
  </si>
  <si>
    <t>Introduction [2]</t>
  </si>
  <si>
    <t>https://sites.google.com/view/evoobj/home</t>
  </si>
  <si>
    <t>LS-sampling: an effective local search based sampling approach for achieving high t-wise coverage</t>
  </si>
  <si>
    <t>EXPERIMENTAL DESIGN, CONCLUSION, EXPERIMENTAL RESULTS</t>
  </si>
  <si>
    <t>https://github.com/chuanluocs/LS-Sampling</t>
  </si>
  <si>
    <t>GLIB: towards automated test oracle for graphically-rich applications</t>
  </si>
  <si>
    <t>Introduction
[27] [28]</t>
  </si>
  <si>
    <t>https://github.com/GLIB-game/GLIB.git
https://doi.org/10.5281/zenodo.5108667
https://doi.org/10.5281/zenodo.5081242</t>
  </si>
  <si>
    <t>Reassessing automatic evaluation metrics for code summarization tasks</t>
  </si>
  <si>
    <t>INTRODUCTION, STUDY DESIGN AND SETUP [46]</t>
  </si>
  <si>
    <t>https://github.com/devjeetr/Re-assessing-automatic-evaluation-metrics-for-source-code-summarization-tasks</t>
  </si>
  <si>
    <t>Toward efficient interactions between Python and native libraries</t>
  </si>
  <si>
    <t>Accelerating JavaScript static analysis via dynamic shortcuts</t>
  </si>
  <si>
    <t>IMPLEMENTATION
[35]</t>
  </si>
  <si>
    <t>https://github.com/kaist-plrg/safe-ds
https://arxiv.org/abs/2105.13699</t>
  </si>
  <si>
    <t>Skeletal approximation enumeration for SMT solver testing</t>
  </si>
  <si>
    <t>Boosting static analysis accuracy with instrumented test executions</t>
  </si>
  <si>
    <t>We will make our benchmarks and implementation public upon paper acceptance.</t>
  </si>
  <si>
    <t>Symbolic parallel adaptive importance sampling for probabilistic program analysis</t>
  </si>
  <si>
    <t>EVALUATION
[26] [25]</t>
  </si>
  <si>
    <t>https://github.com/ethanluoyc/sympais
https://doi.org/10.5281/zenodo.4902178
arXiv:2010.05050 [cs.LG]</t>
  </si>
  <si>
    <t>IDE support for cloud-based static analyses</t>
  </si>
  <si>
    <t>USER INTERVIEWS, USABILITY TESTING
[19] [20] [21] [22]</t>
  </si>
  <si>
    <r>
      <rPr>
        <rFont val="Arial"/>
        <color theme="1"/>
        <sz val="10.0"/>
      </rPr>
      <t>https://github.com/linghuiluo/FSE21Study
- https://github.com/linghuiluo/FSE21Study/blob/main/ListOfCodes.pdf</t>
    </r>
    <r>
      <rPr>
        <rFont val="Arial"/>
        <color theme="1"/>
        <sz val="10.0"/>
        <u/>
      </rPr>
      <t xml:space="preserve">
</t>
    </r>
    <r>
      <rPr>
        <rFont val="Arial"/>
        <color theme="1"/>
        <sz val="10.0"/>
      </rPr>
      <t>- https://github.com/linghuiluo/FSE21Study/blob/main/ListOfInterviewQuestions.pdf</t>
    </r>
    <r>
      <rPr>
        <rFont val="Arial"/>
        <color theme="1"/>
        <sz val="10.0"/>
        <u/>
      </rPr>
      <t xml:space="preserve">
</t>
    </r>
    <r>
      <rPr>
        <rFont val="Arial"/>
        <color theme="1"/>
        <sz val="10.0"/>
      </rPr>
      <t>- https://github.com/linghuiluo/FSE21Study/blob/main/SurveyQuestions.pdf
- https://github.com/linghuiluo/FSE21Study/tree/main/tasks</t>
    </r>
  </si>
  <si>
    <t>https://github.com/linghuiluo/FSE21Study</t>
  </si>
  <si>
    <t>A bounded symbolic-size model for symbolic execution</t>
  </si>
  <si>
    <t>https://github.com/davidtr1037/klee-symsize
https://doi.org/10.6084/m9.figshare.14724453</t>
  </si>
  <si>
    <t>Efficient module-level dynamic analysis for dynamic languages with module recontextualization</t>
  </si>
  <si>
    <t>https://github.com/andromeda/lya</t>
  </si>
  <si>
    <t>Adaptive Fairness Improvement Based on Causality Analysis</t>
  </si>
  <si>
    <t>NatGen: Generative Pre-training by “Naturalizing” Source Code</t>
  </si>
  <si>
    <t>Section: Data Availability</t>
  </si>
  <si>
    <r>
      <rPr>
        <rFont val="Arial"/>
        <color theme="1"/>
        <sz val="10.0"/>
      </rPr>
      <t>https://github.com/saikat107/NatGen</t>
    </r>
    <r>
      <rPr>
        <rFont val="Arial"/>
        <color theme="1"/>
        <sz val="10.0"/>
      </rPr>
      <t xml:space="preserve">
https://bit.ly/natgen-pre-trained-models (real link: https://drive.google.com/file/d/1Y9UTHHc2BG6V78EQ56GzkjUhApzlUi1N/view )
https://bit.ly/natgen-fine-tuned-models (real link: https://drive.google.com/file/d/1_6EIOkIrBrqzyoH2v7muU1qexym73pFQ/view )
https://doi.org/10.5281/zenodo.6977595
https://huggingface.co/saikatc/NatGen</t>
    </r>
  </si>
  <si>
    <t>https://github.com/saikat107/NatGen
https://bit.ly/natgen-pre-trained-models
https://bit.ly/natgen-fine-tuned-models
https://doi.org/10.5281/zenodo.6977595
https://huggingface.co/saikatc/NatGen</t>
  </si>
  <si>
    <t>Publicly Available (5)</t>
  </si>
  <si>
    <t>Testing of Autonomous Driving Systems: Where Are We and Where Should We Go?</t>
  </si>
  <si>
    <t>FN - 3 METHODOLOGY</t>
  </si>
  <si>
    <t>https://bit.ly/38K9Csk (real link: https://drive.google.com/drive/folders/1mnbq7a2bdzH0sXK15Wh5hUmbNzjGX-Wd )
https://bit.ly/3DKia0C (real link: https://docs.google.com/document/d/1b_rtE6RX5MEMXS3qdaM-MscSbZUT7QcX/edit?tab=t.0 )
https://bit.ly/2WNVV93 (real link: https://drive.google.com/file/d/1W-LOsKVTJ2ZIp_bGtFqRV0VHzNMgBt7T/view )
https://bit.ly/3FLUwCz (real link: https://docs.google.com/spreadsheets/d/13vNQl-hHfaCTet81ktGIN3uG6Z2VcCBO-756pIxHlV4/edit?gid=0#gid=0 )</t>
  </si>
  <si>
    <t>https://bit.ly/38K9Csk
https://bit.ly/3DKia0C
https://bit.ly/2WNVV93
https://bit.ly/3FLUwCz</t>
  </si>
  <si>
    <t>Fuzzing Deep-Learning Libraries via Automated Relational API Inference</t>
  </si>
  <si>
    <t>[6] 6 Result Analysis - 6.5 Threats to Validity</t>
  </si>
  <si>
    <t>https://github.com/ise-uiuc/DeepREL</t>
  </si>
  <si>
    <t>SEDiff: Scope-Aware Differential Fuzzing to Test Internal Function Models in Symbolic Execution</t>
  </si>
  <si>
    <t>[8] 4 IMPLEMENTATION</t>
  </si>
  <si>
    <t>https://doi.org/10.5281/zenodo.6665380
- DOI: 10.5281/zenodo.6665380</t>
  </si>
  <si>
    <t>https://doi.org/10.5281/zenodo.6665380</t>
  </si>
  <si>
    <t>Perfect Is the Enemy of Test Oracle</t>
  </si>
  <si>
    <t>[2]
1 INTRODUCTION
5 EVALUATION - 5.1 Experimental Setup</t>
  </si>
  <si>
    <t>https://github.com/Intelligent-CAT-Lab/SEER</t>
  </si>
  <si>
    <t>Scenario-Based Test Reduction and Prioritization for Multi-Module Autonomous Driving Systems</t>
  </si>
  <si>
    <t>FN 1 Introduction</t>
  </si>
  <si>
    <t>https://github.com/ITSEG-MQ/STRAP</t>
  </si>
  <si>
    <t>MOSAT: Finding Safety Violations of Autonomous Driving Systems using Multi-objective Genetic Algorithm</t>
  </si>
  <si>
    <t>Are We Building on the Rock? On the Importance of Data Preprocessing for Code Summarization</t>
  </si>
  <si>
    <t>[6] 7 Discussion
[7]
1 INTRODUCTION
4 The Code-Comment Cleaning Tool
 7 Discussion</t>
  </si>
  <si>
    <r>
      <rPr>
        <rFont val="Arial"/>
        <color theme="1"/>
        <sz val="10.0"/>
      </rPr>
      <t>https://pypi.org/project/FSE22-CAT/0.0.1/</t>
    </r>
    <r>
      <rPr>
        <rFont val="Arial"/>
        <color theme="1"/>
        <sz val="10.0"/>
      </rPr>
      <t xml:space="preserve">
</t>
    </r>
    <r>
      <rPr>
        <rFont val="Arial"/>
        <color theme="1"/>
        <sz val="10.0"/>
      </rPr>
      <t>https://github.com/BuiltOntheRock/FSE22_BuiltOntheRock</t>
    </r>
  </si>
  <si>
    <r>
      <rPr>
        <rFont val="Arial"/>
        <color theme="1"/>
        <sz val="10.0"/>
      </rPr>
      <t>https://pypi.org/project/FSE22-CAT/0.0.1/</t>
    </r>
    <r>
      <rPr>
        <rFont val="Arial"/>
        <color theme="1"/>
        <sz val="10.0"/>
      </rPr>
      <t xml:space="preserve">
</t>
    </r>
    <r>
      <rPr>
        <rFont val="Arial"/>
        <color theme="1"/>
        <sz val="10.0"/>
      </rPr>
      <t>https://github.com/BuiltOntheRock/FSE22_BuiltOntheRock</t>
    </r>
  </si>
  <si>
    <t>Correlates of Programmer Efficacy and Their Link to Experience: A Combined EEG and Eye-Tracking Study</t>
  </si>
  <si>
    <t>FN 1 INTRODUCTION</t>
  </si>
  <si>
    <t>https://github.com/brains-on-code/NoviceVsExpert</t>
  </si>
  <si>
    <t>What Motivates Software Practitioners to Contribute to Inner Source?</t>
  </si>
  <si>
    <t>FN 1 INTRODUCTION
FN 3 METHODOLOGY</t>
  </si>
  <si>
    <t>https://doi.org/10.5281/zenodo.6367434</t>
  </si>
  <si>
    <t>A Retrospective Study of One Decade of Artifact Evaluations</t>
  </si>
  <si>
    <t>[23]
4 RQ1: ARE ARTICLES WITH ARTIFACTS THAT HAVE PASSED AE MORE VISIBLE?
5 RQ2: Are successfully evaluated artifacts more available?
Declarations - HL Data-Availability Statement</t>
  </si>
  <si>
    <t>https://doi.org/10.5281/zenodo.7082407</t>
  </si>
  <si>
    <t>Quantifying Community Evolution in Developer Social Networks</t>
  </si>
  <si>
    <t>FN 4 Community Evolution Indices</t>
  </si>
  <si>
    <t>https://github.com/wangliang-cs/fse-2022-232-supplementary/blob/main/proof.pdf</t>
  </si>
  <si>
    <t>Understanding Skills for OSS Communities on GitHub</t>
  </si>
  <si>
    <t>[39] 
3 METHODOLOGY
9 CONCLUSION
4 Skills in OSS (RQ1)</t>
  </si>
  <si>
    <t>https://doi.org/10.6084/m9.figshare.20929087</t>
  </si>
  <si>
    <t>Accurate Method and Variable Tracking in Commit History</t>
  </si>
  <si>
    <t>6 Data Availability Statement</t>
  </si>
  <si>
    <t>https://doi.org/10.5281/zenodo.7080276
https://github.com/jodavimehran/code-tracker</t>
  </si>
  <si>
    <t>Classifying Edits to Variability in Source Code</t>
  </si>
  <si>
    <t>FN 2 VARIABILITY IN SOURCE CODE
FN 5 VALIDATION</t>
  </si>
  <si>
    <r>
      <rPr>
        <sz val="10.0"/>
      </rPr>
      <t xml:space="preserve">DOI: 10.5281/zenodo.7110095 - real link: DOI: 10.5281/zenodo.7110095 - </t>
    </r>
    <r>
      <rPr>
        <sz val="10.0"/>
        <u/>
      </rPr>
      <t>https://doi.org/10.5281/zenodo.7110095</t>
    </r>
    <r>
      <rPr>
        <sz val="10.0"/>
      </rPr>
      <t xml:space="preserve">
https://github.com/VariantSync/DiffDetective/tree/esecfse22
- https://github.com/VariantSync/DiffDetective/raw/esecfse22/appendix.pdf</t>
    </r>
  </si>
  <si>
    <t>DOI: 10.5281/zenodo.7110095
https://github.com/VariantSync/DiffDetective/tree/esecfse22</t>
  </si>
  <si>
    <t>The Evolution of Type Annotations in Python: An Empirical Study</t>
  </si>
  <si>
    <t>https://github.com/sola-st/PythonTypeAnnotationStudy</t>
  </si>
  <si>
    <t>UTANGO: Untangling Commits with Context-Aware, Graph-Based, Code Change Clustering Learning Model</t>
  </si>
  <si>
    <t>[3] 1 INTRODUCTION</t>
  </si>
  <si>
    <t>https://github.com/Commit-Untangling/commit-untangling</t>
  </si>
  <si>
    <t>Static Executes-Before Analysis for Event Driven Programs</t>
  </si>
  <si>
    <t>[14] DATA-AVAILABILITY STATEMENT
[15] 5 EXECUTES-BEFORE</t>
  </si>
  <si>
    <t>https://doi.org/10.5281/zenodo.7088367
http://www.csa.iisc.ac.in/~deepakd/papers/executes-before.pdf</t>
  </si>
  <si>
    <t>Security Code Smells in Apps: Are We Getting Better?</t>
  </si>
  <si>
    <t>https://github.com/Fraunhofer-SIT/FSE22-CodeSmells</t>
  </si>
  <si>
    <t>Large-Scale Analysis of Non-Termination Bugs in Real-World OSS Projects</t>
  </si>
  <si>
    <t>FN 1 INT
[1] 9 DATA AVAILABILITY STATEMENT
[2]9 DATA AVAILABILITY STATEMENT
[3] FN - 6 EMPIRICAL STUDY ON</t>
  </si>
  <si>
    <t>https://sites.google.com/view/non-termbug/home
https://doi.org/10.34740/kaggle/ds/2440949 ( real link: https://www.kaggle.com/datasets/hope531/ubuntu )
https://zenodo.org/record/6548310#.Yn-DBOhByUk
- DOI:10.5281/zenodo.6548310</t>
  </si>
  <si>
    <t>https://sites.google.com/view/non-termbug/home
https://doi.org/10.34740/kaggle/ds/2440949
https://zenodo.org/record/6548310#.Yn-DBOhByUk</t>
  </si>
  <si>
    <t>On-the-Fly Syntax Highlighting using Neural Networks</t>
  </si>
  <si>
    <t>https://hlnn.netlify.app
https://doi.org/10.5281/zenodo.6958312</t>
  </si>
  <si>
    <t>Declarative Smart Contracts</t>
  </si>
  <si>
    <t>[3]
[4]
[5]</t>
  </si>
  <si>
    <t>https://doi.org/10.5281/zenodo.7080252
https://github.com/HaoxianChen/declarative-smart-contracts
- https://github.com/HaoxianChen/declarative-smart-contracts/tree/master/benchmarks</t>
  </si>
  <si>
    <t>https://doi.org/10.5281/zenodo.7080252
https://github.com/HaoxianChen/declarative-smart-contracts</t>
  </si>
  <si>
    <t>Asynchronous Technical Interviews: Reducing the Effect of Supervised Think-Aloud on Communication Ability</t>
  </si>
  <si>
    <t>https://rb.gy/iermrc - real link: https://drive.google.com/drive/folders/1vOTe5uKMPfuQzgOkmwwPIYMuy1ClPgwy?usp=sharing</t>
  </si>
  <si>
    <t>How to Formulate Specific How-To Questions in Software Development?</t>
  </si>
  <si>
    <t>[8] 3 6</t>
  </si>
  <si>
    <t>https://fudanselab.github.io/Research-FSE2022-taskKG</t>
  </si>
  <si>
    <t>https://github.com/FudanSELab/funcverbnet</t>
  </si>
  <si>
    <t>Pair Programming Conversations with Agents vs. Developers: Challenges and Opportunities for SE Community</t>
  </si>
  <si>
    <t>[3] 3 5 
7 CONC</t>
  </si>
  <si>
    <t>https://drive.google.com/drive/folders/1QJJsV_HbxLfwXx5xttdXDw6TvZxctNfp?usp=sharing</t>
  </si>
  <si>
    <t>Psychologically-Inspired, Unsupervised Inference of Perceptual Groups of GUI Widgets from GUI Images</t>
  </si>
  <si>
    <t>https://github.com/MulongXie/GUI-Perceptual-Grouping</t>
  </si>
  <si>
    <t>Toward Interactive Bug Reporting for (Android App) End-Users</t>
  </si>
  <si>
    <t>---</t>
  </si>
  <si>
    <t>https://doi.org/10.5281/zenodo.6977413</t>
  </si>
  <si>
    <t>Understanding Performance Problems in Deep Learning Systems</t>
  </si>
  <si>
    <t>Section: Data-Availability Statement</t>
  </si>
  <si>
    <t>https://doi.org/10.5281/zenodo.7060209</t>
  </si>
  <si>
    <t>API Recommendation for Machine Learning Libraries: How Far Are We?</t>
  </si>
  <si>
    <t>https://doi.org/10.5281/zenodo.6360250</t>
  </si>
  <si>
    <t>No More Fine-Tuning? An Experimental Evaluation of Prompt Tuning in Code Intelligence</t>
  </si>
  <si>
    <t>https://github.com/adf1178/PT4Code</t>
  </si>
  <si>
    <t>Cross-Device Record and Replay for Android Apps</t>
  </si>
  <si>
    <t>https://sites.google.com/view/rx-framework/home</t>
  </si>
  <si>
    <t>Online Testing of RESTful APIs: Promises and Challenges</t>
  </si>
  <si>
    <t>https://doi.org/10.5281/zenodo.6941292</t>
  </si>
  <si>
    <t>Avgust: Automating Usage-Based Test Generation from Videos of App Executions</t>
  </si>
  <si>
    <t>https://doi.org/10.5281/zenodo.7036218</t>
  </si>
  <si>
    <t>Detecting Non-crashing Functional Bugs in Android Apps via Deep-State Differential Analysis</t>
  </si>
  <si>
    <t>https://automatedoracleforandroid.github.io/Odin/</t>
  </si>
  <si>
    <t>RoboFuzz: Fuzzing Robotic Systems over Robot Operating System (ROS) for Finding Correctness Bugs</t>
  </si>
  <si>
    <t>https://github.com/sslab-gatech/robofuzz</t>
  </si>
  <si>
    <t>AgileCtrl: A Self-Adaptive Framework for Configuration Tuning</t>
  </si>
  <si>
    <t>Using Nudges to Accelerate Code Reviews at Scale</t>
  </si>
  <si>
    <t>First Come First Served: The Impact of File Position on Code Review</t>
  </si>
  <si>
    <t>https://doi.org/10.5281/zenodo.6901285
- https://zenodo.org/record/6901285
https://doi.org/10.6084/m9.figshare.20748235.v1</t>
  </si>
  <si>
    <t>https://doi.org/10.5281/zenodo.6901285
https://doi.org/10.6084/m9.figshare.20748235.v1</t>
  </si>
  <si>
    <t>Code, Quality, and Process Metrics in Graduated and Retired ASFI Projects</t>
  </si>
  <si>
    <t>https://zenodo.org/record/6374071</t>
  </si>
  <si>
    <t>CommentFinder: A Simpler, Faster, More Accurate Code Review Comments Recommendation</t>
  </si>
  <si>
    <t>1 INTRODUCTION - HL Open Science</t>
  </si>
  <si>
    <t>https://github.com/awsm-research/CommentFinder</t>
  </si>
  <si>
    <t>AutoPruner: Transformer-Based Call Graph Pruning</t>
  </si>
  <si>
    <t>[27] 7 CONCLUSION AND FUTURE WORK - HL Data availability</t>
  </si>
  <si>
    <r>
      <rPr>
        <rFont val="Arial"/>
        <color theme="1"/>
        <sz val="10.0"/>
      </rPr>
      <t xml:space="preserve">https://doi.org/10.5281/zenodo.6369874
</t>
    </r>
    <r>
      <rPr>
        <rFont val="Arial"/>
        <color theme="1"/>
        <sz val="10.0"/>
      </rPr>
      <t>https://github.com/soarsmu/AutoPruner/</t>
    </r>
  </si>
  <si>
    <r>
      <rPr>
        <rFont val="Arial"/>
        <color theme="1"/>
        <sz val="10.0"/>
      </rPr>
      <t xml:space="preserve">https://doi.org/10.5281/zenodo.6369874
</t>
    </r>
    <r>
      <rPr>
        <rFont val="Arial"/>
        <color theme="1"/>
        <sz val="10.0"/>
      </rPr>
      <t>https://github.com/soarsmu/AutoPruner/</t>
    </r>
  </si>
  <si>
    <t>Lighting Up Supervised Learning in User Review-Based Code Localization: Dataset and Benchmark</t>
  </si>
  <si>
    <t>Footnote in a specific item when talking abour the contributions.</t>
  </si>
  <si>
    <t>https://github.com/lcynju/review2code</t>
  </si>
  <si>
    <t>CORMS: A GitHub and Gerrit Based Hybrid Code Reviewer Recommendation Approach for Modern Code Review</t>
  </si>
  <si>
    <t>Both footnote and a reference to artifacts. Also has a data availability section on the conclusion.</t>
  </si>
  <si>
    <t>https://doi.org/10.6084/m9.figshare.20493042.v4</t>
  </si>
  <si>
    <t>Hierarchical Bayesian Multi-kernel Learning for Integrated Classification and Summarization of App Reviews</t>
  </si>
  <si>
    <t>Evaluation and Results section.</t>
  </si>
  <si>
    <t>https://tinyurl.com/qup3h4l (real link: https://drive.google.com/drive/folders/19--MhjWHgbps2-5Azu8dY5LodvtmbVIv )</t>
  </si>
  <si>
    <t>https://tinyurl.com/qup3h4l</t>
  </si>
  <si>
    <t>Semi-supervised Pre-processing for Learning-Based Traceability Framework on Real-World Software Projects</t>
  </si>
  <si>
    <t>[23]
Experimental Details section, Data Availability section on Conclusion and References</t>
  </si>
  <si>
    <t>https://doi.org/10.5281/zenodo.7111136</t>
  </si>
  <si>
    <t>Input Invariants</t>
  </si>
  <si>
    <t>Mining Isla Constraints section and Data Availability section on Conclusion</t>
  </si>
  <si>
    <t>https://github.com/rindPHI/isla
https://github.com/rindPHI/islearn
https://pypi.org/project/isla-solver/
https://pypi.org/project/islearn/
https://doi.org/10.1145/3554336 (real link: https://dl.acm.org/do/10.1145/3554336/full/ )
https://rindphi.github.io/isla/islaspec/</t>
  </si>
  <si>
    <r>
      <rPr>
        <rFont val="Arial"/>
        <color theme="1"/>
        <sz val="10.0"/>
      </rPr>
      <t xml:space="preserve">https://github.com/rindPHI/isla
https://github.com/rindPHI/islearn
https://pypi.org/project/isla-solver/
https://pypi.org/project/islearn/
https://doi.org/10.1145/3554336
</t>
    </r>
    <r>
      <rPr>
        <rFont val="Arial"/>
        <color theme="1"/>
        <sz val="10.0"/>
      </rPr>
      <t>https://rindphi.github.io/isla/islaspec/</t>
    </r>
  </si>
  <si>
    <t>Modus: A Datalog Dialect for Building Container Images</t>
  </si>
  <si>
    <t>Introduction section, Case Study section and Data Availability section
[39]</t>
  </si>
  <si>
    <t>https://modus-continens.com/
https://zenodo.org/record/7088613</t>
  </si>
  <si>
    <t>Multi-Phase Invariant Synthesis</t>
  </si>
  <si>
    <t>Reference entry</t>
  </si>
  <si>
    <t>https://doi.org/10.5281/zenodo.7047061</t>
  </si>
  <si>
    <t>Parasol: Efficient Parallel Synthesis of Large Model Spaces</t>
  </si>
  <si>
    <t>Footnote in the introduction and the evaluation sections.</t>
  </si>
  <si>
    <t>https://sites.google.com/view/parallel-exploration/home</t>
  </si>
  <si>
    <t>Neural Termination Analysis</t>
  </si>
  <si>
    <t>Data Availability section</t>
  </si>
  <si>
    <t>https://doi.org/10.1145/3554332</t>
  </si>
  <si>
    <t>PaReco: Patched Clones and Missed Patches among the Divergent Variants of a Software Family</t>
  </si>
  <si>
    <t>Mentioned in the introduction.</t>
  </si>
  <si>
    <t>https://github.com/KadjelRamkisoen/PaReco
https://figshare.com/s/4952174de6c21fa9874f</t>
  </si>
  <si>
    <t>Fault Localization to Detect Co-change Fixing Locations</t>
  </si>
  <si>
    <t>Mentioned in the contributions of the paper (introduction)</t>
  </si>
  <si>
    <t>https://github.com/fixlocatorresearch/fixlocatorresearch</t>
  </si>
  <si>
    <t>The Best of Both Worlds: Integrating Semantic Features with Expert Features for Defect Prediction and Localization</t>
  </si>
  <si>
    <t>https://github.com/jacknichao/JIT-Fine</t>
  </si>
  <si>
    <t>An Exploratory Study on the Predominant Programming Paradigms in Python Code</t>
  </si>
  <si>
    <t>https://doi.org/10.5281/zenodo.6975558</t>
  </si>
  <si>
    <t>Making Python Code Idiomatic by Automatic Refactoring Non-idiomatic Python Code with Pythonic Idioms</t>
  </si>
  <si>
    <t>Discussion section.</t>
  </si>
  <si>
    <t>https://github.com/idiomaticrefactoring/pythonidiomsrefactor</t>
  </si>
  <si>
    <t>An Empirical Study of Blockchain System Vulnerabilities: Modules, Types, and Patterns</t>
  </si>
  <si>
    <t xml:space="preserve">Abstract and Introduction </t>
  </si>
  <si>
    <t>https://github.com/VPRLab/BlkVulnDataset
https://tinyurl.com/fse-227 (real link: https://docs.google.com/spreadsheets/d/1yByttVVhvSbUCG4SekAiBY8jX19en00lcPfyho7fMFw/edit?gid=0#gid=0 )</t>
  </si>
  <si>
    <t>https://github.com/VPRLab/BlkVulnDataset
https://tinyurl.com/fse-227</t>
  </si>
  <si>
    <t>How to Better Utilize Code Graphs in Semantic Code Search?</t>
  </si>
  <si>
    <t>Introduction.</t>
  </si>
  <si>
    <t>https://github.com/G2SMM/G2SC</t>
  </si>
  <si>
    <t>23 Shades of Self-Admitted Technical Debt: An Empirical Study on Machine Learning Software</t>
  </si>
  <si>
    <t>Introduction, and briefly mentions in the conclusion that the data is available for publication, but does not reference it.</t>
  </si>
  <si>
    <t>https://github.com/DavidMOBrien/23Shades</t>
  </si>
  <si>
    <t>NeuDep: Neural Binary Memory Dependence Analysis</t>
  </si>
  <si>
    <t>DynaPyt: A Dynamic Analysis Framework for Python</t>
  </si>
  <si>
    <t>Conclusion.</t>
  </si>
  <si>
    <r>
      <rPr>
        <rFont val="Arial"/>
        <color theme="1"/>
        <sz val="10.0"/>
      </rPr>
      <t xml:space="preserve">https://github.com/sola-st/DynaPyt
https://pypi.org/project/dynapyt/
</t>
    </r>
    <r>
      <rPr>
        <rFont val="Arial"/>
        <color theme="1"/>
        <sz val="10.0"/>
      </rPr>
      <t>https://doi.org/10.5281/zenodo.7037946</t>
    </r>
  </si>
  <si>
    <r>
      <rPr>
        <rFont val="Arial"/>
        <color theme="1"/>
        <sz val="10.0"/>
      </rPr>
      <t xml:space="preserve">https://github.com/sola-st/DynaPyt
https://pypi.org/project/dynapyt/
</t>
    </r>
    <r>
      <rPr>
        <rFont val="Arial"/>
        <color theme="1"/>
        <sz val="10.0"/>
      </rPr>
      <t>https://doi.org/10.5281/zenodo.7037946</t>
    </r>
  </si>
  <si>
    <t>Cross-Language Android Permission Specification</t>
  </si>
  <si>
    <t>When talking about the contributions.</t>
  </si>
  <si>
    <t>https://natidroid.github.io/</t>
  </si>
  <si>
    <t>Peahen: Fast and Precise Static Deadlock Detection via Context Reduction</t>
  </si>
  <si>
    <t>A Case Study of Implicit Mentoring, Its Prevalence, and Impact in Apache</t>
  </si>
  <si>
    <t>Conclusion links to reference in the reference section.</t>
  </si>
  <si>
    <t>https://doi.org/10.5281/zenodo.6367126</t>
  </si>
  <si>
    <t>Software Security during Modern Code Review: The Developer’s Perspective</t>
  </si>
  <si>
    <t>Methodology.</t>
  </si>
  <si>
    <t>https://doi.org/10.5281/zenodo.6969369</t>
  </si>
  <si>
    <t>Program Merge Conflict Resolution via Neural Transformers</t>
  </si>
  <si>
    <t>[18] [19]
Introduction.</t>
  </si>
  <si>
    <t>https://doi.org/10.5281/zenodo.6366908
https://doi.org/10.5281/zenodo.6366877</t>
  </si>
  <si>
    <t>Automated Unearthing of Dangerous Issue Reports</t>
  </si>
  <si>
    <t>[25] Introduction (contributions)</t>
  </si>
  <si>
    <t>https://github.com/panshengyi/MemVul</t>
  </si>
  <si>
    <t>On the Vulnerability Proneness of Multilingual Code</t>
  </si>
  <si>
    <t>https://figshare.com/s/f56fd5f5319bbfa5250a
- https://doi.org/10.6084/m9.figshare.16528521.v1</t>
  </si>
  <si>
    <t>https://figshare.com/s/f56fd5f5319bbfa5250a</t>
  </si>
  <si>
    <t>Tracking Patches for Open Source Software Vulnerabilities</t>
  </si>
  <si>
    <t>https://patch-tracer.github.io</t>
  </si>
  <si>
    <t>Tracer has been deployed to two high-tech companies that participate this user study. Unfortunately, we cannot disclose its usage statistics due to confidentiality agreement.</t>
  </si>
  <si>
    <t>DeJITLeak: Eliminating JIT-Induced Timing Side-Channel Leaks</t>
  </si>
  <si>
    <t>Specific section under Conclusions.
[55]</t>
  </si>
  <si>
    <t>https://doi.org/10.5281/zenodo.7080369</t>
  </si>
  <si>
    <t>Quantitative Relational Modelling with QAlloy</t>
  </si>
  <si>
    <t>Quantitativa analysis section</t>
  </si>
  <si>
    <r>
      <rPr>
        <rFont val="Arial"/>
        <color theme="1"/>
        <sz val="10.0"/>
      </rPr>
      <t xml:space="preserve">https://github.com/pf7/QAlloy
- </t>
    </r>
    <r>
      <rPr>
        <rFont val="Arial"/>
        <color theme="1"/>
        <sz val="10.0"/>
      </rPr>
      <t>https://github.com/pf7/QAlloy/tree/master/org.alloytools.alloy.extra/extra/models/examples/qalloy</t>
    </r>
  </si>
  <si>
    <t>https://github.com/pf7/QAlloy</t>
  </si>
  <si>
    <t>Demystifying the Underground Ecosystem of Account Registration Bots</t>
  </si>
  <si>
    <t>https://mobile-app-research.tech</t>
  </si>
  <si>
    <t>Phone numbers from some virtual mobile network operators [62] required more verification than simply receiving an SMS code; an SMS code had to be sent back to them. This meant we needed to choose from the available numbers by filtering through the APIs to bypass these required. Also note that, due to ethical considerations, we have not made the source codes of these tools we used available.</t>
  </si>
  <si>
    <t>Using Graph Neural Networks for Program Termination</t>
  </si>
  <si>
    <t>Data-availability statement section
[4]</t>
  </si>
  <si>
    <t>https://doi.org/10.5281/zenodo.7083445</t>
  </si>
  <si>
    <t>PyTER: Effective Program Repair for Python Type Errors</t>
  </si>
  <si>
    <t>Highlight in the conclusion.
[48]</t>
  </si>
  <si>
    <r>
      <rPr>
        <rFont val="Arial"/>
        <color theme="1"/>
        <sz val="10.0"/>
      </rPr>
      <t>https://github.com/kupl/PyTER</t>
    </r>
    <r>
      <rPr>
        <rFont val="Arial"/>
        <color theme="1"/>
        <sz val="10.0"/>
        <u/>
      </rPr>
      <t xml:space="preserve">
</t>
    </r>
    <r>
      <rPr>
        <rFont val="Arial"/>
        <color theme="1"/>
        <sz val="10.0"/>
      </rPr>
      <t>https://doi.org/10.6084/m9.figshare.20448573.v1</t>
    </r>
  </si>
  <si>
    <r>
      <rPr>
        <rFont val="Arial"/>
        <color theme="1"/>
        <sz val="10.0"/>
      </rPr>
      <t>https://github.com/kupl/PyTER</t>
    </r>
    <r>
      <rPr>
        <rFont val="Arial"/>
        <color theme="1"/>
        <sz val="10.0"/>
        <u/>
      </rPr>
      <t xml:space="preserve">
</t>
    </r>
    <r>
      <rPr>
        <rFont val="Arial"/>
        <color theme="1"/>
        <sz val="10.0"/>
      </rPr>
      <t>https://doi.org/10.6084/m9.figshare.20448573.v1</t>
    </r>
  </si>
  <si>
    <t>VulRepair: A T5-Based Automated Software Vulnerability Repair</t>
  </si>
  <si>
    <t>Specific section under conclusion</t>
  </si>
  <si>
    <t>https://github.com/awsm-research/VulRepair
https://doi.org/10.5281/zenodo.7080271</t>
  </si>
  <si>
    <t>DeepDev-PERF: A Deep Learning-Based Approach for Improving Software Performance</t>
  </si>
  <si>
    <t>https://github.com/glGarg/DeepDev-PERF</t>
  </si>
  <si>
    <t>Less Training, More Repairing Please: Revisiting Automated Program Repair via Zero-Shot Learning</t>
  </si>
  <si>
    <t>Threats to validity. [2]</t>
  </si>
  <si>
    <t>https://zenodo.org/record/6819444</t>
  </si>
  <si>
    <t>NL2Viz: Natural Language to Visualization via Constrained Syntax-Guided Synthesis</t>
  </si>
  <si>
    <t>AccessiText: Automated Detection of Text Accessibility Issues in Android Apps</t>
  </si>
  <si>
    <t>Conclusion, plaiin text</t>
  </si>
  <si>
    <t>https://sites.google.com/view/accessitext/home</t>
  </si>
  <si>
    <t>Actionable and Interpretable Fault Localization for Recurring Failures in Online Service Systems</t>
  </si>
  <si>
    <t>Experiments section [4]</t>
  </si>
  <si>
    <t>https://github.com/NetManAIOps/DejaVu</t>
  </si>
  <si>
    <t>AUGER: Automatically Generating Review Comments with Pre-training Models</t>
  </si>
  <si>
    <t>End of introduction.</t>
  </si>
  <si>
    <t>https://gitlab.com/ai-for-se-public-data/auger-fse-2022</t>
  </si>
  <si>
    <t>Automatically Deriving JavaScript Static Analyzers from Specifications using Meta-level Static Analysis</t>
  </si>
  <si>
    <t>Specific section before acknowledgements
[36] [37]</t>
  </si>
  <si>
    <t>https://doi.org/10.5281/zenodo.6906415
https://github.com/kaist-plrg/jsaver
https://doi.org/10.5281/zenodo.6797394</t>
  </si>
  <si>
    <t>Automating Code Review Activities by Large-Scale Pre-training</t>
  </si>
  <si>
    <t>https://github.com/microsoft/CodeBERT/tree/master/CodeReviewer</t>
  </si>
  <si>
    <t>Corporate Dominance in Open Source Ecosystems: A Case Study of OpenStack</t>
  </si>
  <si>
    <t>Study Design section [76]</t>
  </si>
  <si>
    <t>https://doi.org/10.6084/m9.figshare.20939383due to</t>
  </si>
  <si>
    <t>https://doi.org/10.6084/m9.figshare.20939383</t>
  </si>
  <si>
    <t>Detecting Simulink Compiler Bugs via Controllable Zombie Blocks Mutation</t>
  </si>
  <si>
    <t>Evaluation section</t>
  </si>
  <si>
    <t>https://github.com/EDA-Testing/COMBAT</t>
  </si>
  <si>
    <t>Diet Code Is Healthy: Simplifying Programs for Pre-trained Models of Code</t>
  </si>
  <si>
    <t>https://github.com/zhangzwwww/DietCode</t>
  </si>
  <si>
    <t>Do Bugs Lead to Unnaturalness of Source Code?</t>
  </si>
  <si>
    <t>Introduction, Buggy Lines Are Less Natural</t>
  </si>
  <si>
    <t>https://github.com/jiangyanjie/RevisitingNaturalness</t>
  </si>
  <si>
    <t>Generating Realistic Vulnerabilities via Neural Code Editing: An Empirical Study</t>
  </si>
  <si>
    <t>Data availability section under Conclusions.</t>
  </si>
  <si>
    <t>https://doi.org/10.5281/zenodo.7048525
- https://zenodo.org/record/7048525
- DOI: 10.5281/zenodo.7048525</t>
  </si>
  <si>
    <t>https://doi.org/10.5281/zenodo.7048525</t>
  </si>
  <si>
    <t>Generic Sensitivity: Customizing Context-Sensitive Pointer Analysis for Generics</t>
  </si>
  <si>
    <t>Data availability section</t>
  </si>
  <si>
    <t>https://doi.org/10.6084/m9.figshare.20486556.v2
- https://doi.org/10.6084/m9.figshare.20486556.v1</t>
  </si>
  <si>
    <t>https://doi.org/10.6084/m9.figshare.20486556.v2</t>
  </si>
  <si>
    <t>MAAT: A Novel Ensemble Approach to Addressing Fairness and Performance Bugs for Machine Learning Software</t>
  </si>
  <si>
    <t>[18] introduction</t>
  </si>
  <si>
    <t>https://github.com/chenzhenpeng18/FSE22-MAAT</t>
  </si>
  <si>
    <t>Minerva: Browser API Fuzzing with Dynamic Mod-Ref Analysis</t>
  </si>
  <si>
    <t>Introduction, when talking about contributions</t>
  </si>
  <si>
    <t>https://github.com/ChijinZ/Minerva</t>
  </si>
  <si>
    <t>NMTSloth: Understanding and Testing Efficiency Degradation of Neural Machine Translation Systems</t>
  </si>
  <si>
    <t>Motivation and preliminary study section</t>
  </si>
  <si>
    <t>https://github.com/SeekingDream/NMTSloth</t>
  </si>
  <si>
    <t>Putting Them under Microscope: A Fine-Grained Approach for Detecting Redundant Test Cases in Natural Language</t>
  </si>
  <si>
    <t>https://github.com/czycurefun/testcase_detection</t>
  </si>
  <si>
    <t>RULER: Discriminative and Iterative Adversarial Training for Deep Neural Network Fairness</t>
  </si>
  <si>
    <t>Mentioned when talking about the contributions.</t>
  </si>
  <si>
    <t>https://github.com/wssun/RULER</t>
  </si>
  <si>
    <t>SamplingCA: Effective and Efficient Sampling-Based Pairwise Testing for Highly Configurable Software Systems</t>
  </si>
  <si>
    <t>Both footnote and reference.
[56]</t>
  </si>
  <si>
    <t>https://github.com/chuanluocs/SamplingCA
https://doi.org/10.5281/zenodo.7036747</t>
  </si>
  <si>
    <t>SPINE: A Scalable Log Parser with Feedback Guidance</t>
  </si>
  <si>
    <t>SymMC: Approximate Model Enumeration and Counting using Symmetry Information for Alloy Specifications</t>
  </si>
  <si>
    <t>Plain text in the introduction.</t>
  </si>
  <si>
    <t>https://github.com/wenxiwang/SymMC-Tool</t>
  </si>
  <si>
    <t>TraceCRL: Contrastive Representation Learning for Microservice Trace Analysis</t>
  </si>
  <si>
    <t>Data-availability section</t>
  </si>
  <si>
    <t>https://fudanselab.github.io/TraceCRL/</t>
  </si>
  <si>
    <t>You See What I Want You to See: Poisoning Vulnerabilities in Neural Code Search</t>
  </si>
  <si>
    <t>Conclusion and future work</t>
  </si>
  <si>
    <t>A Four-Year Study of Student Contributions to OSS vs. OSS4SG with a Lightweight Intervention</t>
  </si>
  <si>
    <t>[3] 8 Data Availability</t>
  </si>
  <si>
    <t>https://doi.org/10.5281/zenodo.8264614</t>
  </si>
  <si>
    <t>Our data, with potentially sensitive information (e.g., links to public pull requests that are connected to educational assignments and grades), can’t be public due to IRB restrictions. Interested researchers can contact the first author for data sharing.</t>
  </si>
  <si>
    <t>Do CONTRIBUTING Files Provide Information about OSS Newcomers’ Onboarding Barriers?</t>
  </si>
  <si>
    <t>Introduction
[20] 3 RESEARCH METHOD OVERVIEW
[20] Data Availability</t>
  </si>
  <si>
    <t>https://zenodo.org/record/8270217
http://contributing.streamlit.app/</t>
  </si>
  <si>
    <t>How Early Participation Determines Long-Term Sustained Activity in GitHub Projects?</t>
  </si>
  <si>
    <t>https://zenodo.org/record/8098994</t>
  </si>
  <si>
    <t>Matching Skills, Past Collaboration, and Limited Competition: Modeling When Open-Source Projects Attract Contributors</t>
  </si>
  <si>
    <t>https://doi.org/10.5281/zenodo.8252560</t>
  </si>
  <si>
    <t>Accelerating Continuous Integration with Parallel Batch Testing</t>
  </si>
  <si>
    <t>https://github.com/emadfallahzadeh/BatchTesting</t>
  </si>
  <si>
    <t>The data for Ericsson is not available as this is a proprietary project and cannot be released due to confidentiality.
For confidentiality reasons, we do not disclose other data or aspects of the testing process and use the data to simulate batching scenarios where machines are very expensive and highly utilized leading to strong resource constraints.</t>
  </si>
  <si>
    <t>DistXplore: Distribution-Guided Testing for Evaluating and Enhancing Deep Learning Systems</t>
  </si>
  <si>
    <t>7 Conclusion - HL Data Availability
[2]
- 4 EVALUATION</t>
  </si>
  <si>
    <t>https://github.com/l1lk/DistXplore
https://sites.google.com/view/distxplore</t>
  </si>
  <si>
    <t>CAmpactor: A Novel and Effective Local Search Algorithm for Optimizing Pairwise Covering Arrays</t>
  </si>
  <si>
    <t>Section: Data Availability
FN 2 - 5 EXPERIMENTAL PRELIMINARIES
FN 2 - 5 EXPERIMENTAL RESULTS</t>
  </si>
  <si>
    <t>https://github.com/chuanluocs/CAmpactor</t>
  </si>
  <si>
    <t>Design by Contract for Deep Learning APIs</t>
  </si>
  <si>
    <t>[15]
- Introduction
- 4 Evaluation
[17] 7 Data Availability
[12] 4
[11] [14]</t>
  </si>
  <si>
    <r>
      <rPr>
        <rFont val="Arial"/>
        <color theme="1"/>
        <sz val="10.0"/>
      </rPr>
      <t>https://doi.org/10.5281/zenodo.8271853</t>
    </r>
    <r>
      <rPr>
        <rFont val="Arial"/>
        <color theme="1"/>
        <sz val="10.0"/>
      </rPr>
      <t xml:space="preserve">
</t>
    </r>
    <r>
      <rPr>
        <rFont val="Arial"/>
        <color theme="1"/>
        <sz val="10.0"/>
      </rPr>
      <t xml:space="preserve">https://github.com/shibbirtanvin/DLContract
- </t>
    </r>
    <r>
      <rPr>
        <rFont val="Arial"/>
        <color theme="1"/>
        <sz val="10.0"/>
      </rPr>
      <t xml:space="preserve">https://github.com/shibbirtanvin/DLContract/blob/main/Appendix/ListofContracts.pdf
</t>
    </r>
    <r>
      <rPr>
        <rFont val="Arial"/>
        <color theme="1"/>
        <sz val="10.0"/>
      </rPr>
      <t xml:space="preserve">- https://github.com/shibbirtanvin/DLContract/tree/main/ReproducibilityPackage/%40Keras
- https://github.com/shibbirtanvin/DLContract/tree/main/Results/ExperimentalEvaluation
- </t>
    </r>
    <r>
      <rPr>
        <rFont val="Arial"/>
        <color theme="1"/>
        <sz val="10.0"/>
      </rPr>
      <t>https://github.com/shibbirtanvin/DLContract/tree/main/Results/ExperimentalEvaluation/DeepLocalize_Results.pdf</t>
    </r>
  </si>
  <si>
    <r>
      <rPr>
        <rFont val="Arial"/>
        <color theme="1"/>
        <sz val="10.0"/>
      </rPr>
      <t>https://doi.org/10.5281/zenodo.8271853</t>
    </r>
    <r>
      <rPr>
        <rFont val="Arial"/>
        <color theme="1"/>
        <sz val="10.0"/>
      </rPr>
      <t xml:space="preserve">
</t>
    </r>
    <r>
      <rPr>
        <rFont val="Arial"/>
        <color theme="1"/>
        <sz val="10.0"/>
      </rPr>
      <t>https://github.com/shibbirtanvin/DLContract</t>
    </r>
  </si>
  <si>
    <t>Testing Coreference Resolution Systems without Labeled Test Sets</t>
  </si>
  <si>
    <t>[6]
- Introduction
- Evaluation
- Data-Availability Statement</t>
  </si>
  <si>
    <t>https://doi.org/10.5281/zenodo.8320669</t>
  </si>
  <si>
    <t>Neural-Based Test Oracle Generation: A Large-Scale Evaluation and Lessons Learned</t>
  </si>
  <si>
    <t>[23] 3 EXPERIMENTAL STUDY - Threats to Validity</t>
  </si>
  <si>
    <t>https://doi.org/10.6084/m9.figshare.21973091.v4</t>
  </si>
  <si>
    <t>Revisiting Neural Program Smoothing for Fuzzing</t>
  </si>
  <si>
    <t>https://github.com/boschresearch/mlfuzz
https://github.com/boschresearch/neuzzplusplus.</t>
  </si>
  <si>
    <r>
      <rPr>
        <rFont val="Arial"/>
        <color theme="1"/>
        <sz val="10.0"/>
      </rPr>
      <t>https://github.com/boschresearch/mlfuzz</t>
    </r>
    <r>
      <rPr>
        <rFont val="Arial"/>
        <color theme="1"/>
        <sz val="10.0"/>
      </rPr>
      <t xml:space="preserve">
</t>
    </r>
    <r>
      <rPr>
        <rFont val="Arial"/>
        <color theme="1"/>
        <sz val="10.0"/>
      </rPr>
      <t>https://github.com/boschresearch/neuzzplusplus</t>
    </r>
  </si>
  <si>
    <t>RAP-Gen: Retrieval-Augmented Patch Generation with CodeT5 for Automatic Program Repair</t>
  </si>
  <si>
    <t>https://figshare.com/s/a4e95baee01bba14bf4b</t>
  </si>
  <si>
    <t>From Leaks to Fixes: Automated Repairs for Resource Leak Warnings</t>
  </si>
  <si>
    <t>https://doi.org/10.5281/zenodo.3897691
https://doi.org/10.5281/zenodo.7592371</t>
  </si>
  <si>
    <r>
      <rPr>
        <rFont val="Arial"/>
        <color theme="1"/>
        <sz val="10.0"/>
      </rPr>
      <t>https://doi.org/10.5281/zenodo.3897691</t>
    </r>
    <r>
      <rPr>
        <rFont val="Arial"/>
        <color theme="1"/>
        <sz val="10.0"/>
      </rPr>
      <t xml:space="preserve">
</t>
    </r>
    <r>
      <rPr>
        <rFont val="Arial"/>
        <color theme="1"/>
        <sz val="10.0"/>
      </rPr>
      <t>https://doi.org/10.5281/zenodo.7592371</t>
    </r>
  </si>
  <si>
    <t>Copiloting the Copilots: Fusing Large Language Models with Completion Engines for Automated Program Repair</t>
  </si>
  <si>
    <t>Introduction
[62] Data Availability
8 THREATS TO VALIDITY</t>
  </si>
  <si>
    <t>https://github.com/ise-uiuc/Repilot
https://doi.org/10.5281/zenodo.8281250</t>
  </si>
  <si>
    <r>
      <rPr>
        <rFont val="Arial"/>
        <color theme="1"/>
        <sz val="10.0"/>
      </rPr>
      <t>https://github.com/ise-uiuc/Repilot</t>
    </r>
    <r>
      <rPr>
        <rFont val="Arial"/>
        <color theme="1"/>
        <sz val="10.0"/>
      </rPr>
      <t xml:space="preserve">
</t>
    </r>
    <r>
      <rPr>
        <rFont val="Arial"/>
        <color theme="1"/>
        <sz val="10.0"/>
      </rPr>
      <t>https://doi.org/10.5281/zenodo.8281250</t>
    </r>
  </si>
  <si>
    <t>SmartFix: Fixing Vulnerable Smart Contracts by Accelerating Generate-and-Verify Repair using Statistical Models</t>
  </si>
  <si>
    <t>[51] 8 Data Availability</t>
  </si>
  <si>
    <t>https://doi.org/10.5281/zenodo.8256377</t>
  </si>
  <si>
    <t>Automatically Resolving Dependency-Conflict Building Failures via Behavior-Consistent Loosening of Library Version Constraints</t>
  </si>
  <si>
    <t>[9]
9 Data Availability
3 EMPIRICAL STUDY AND MOTIVATION
5 EVALUATION</t>
  </si>
  <si>
    <t>https://agnes-u.github.io/LooCo/</t>
  </si>
  <si>
    <t>On the Relationship between Code Verifiability and Understandability</t>
  </si>
  <si>
    <t>[27] 
1 Introduction
2 EMPIRICAL STUDY DESIGN
3 STUDY RESULTS AND DISCUSSION</t>
  </si>
  <si>
    <t>https://doi.org/10.5281/zenodo.8237328</t>
  </si>
  <si>
    <t>Towards Greener Yet Powerful Code Generation via Quantization: An Empirical Study</t>
  </si>
  <si>
    <t>https://github.com/amazon-science/recode/tree/fse_quantization</t>
  </si>
  <si>
    <t>Statfier: Automated Testing of Static Analyzers via Semantic-Preserving Program Transformations</t>
  </si>
  <si>
    <t>Data Availability
[60] 5 EVALUATION</t>
  </si>
  <si>
    <t>https://sa-research.github.io/
- https://sa-research.github.io/#timeout</t>
  </si>
  <si>
    <t>https://sa-research.github.io/</t>
  </si>
  <si>
    <t>Contextual Predictive Mutation Testing</t>
  </si>
  <si>
    <t>Introduction
9 Data Availability</t>
  </si>
  <si>
    <t>https://doi.org/10.5281/zenodo.7600371</t>
  </si>
  <si>
    <t>𝜇Akka: Mutation Testing for Actor Concurrency in Akka using Real-World Bugs</t>
  </si>
  <si>
    <t>[27] 
Data Availability
3 METHODOLOGY</t>
  </si>
  <si>
    <t>https://mbagherz.bitbucket.io/lab-correct-software/data/muAkka/</t>
  </si>
  <si>
    <t>EvaCRC: Evaluating Code Review Comments</t>
  </si>
  <si>
    <t>ABSTRACT
Data Availability
[76] 4 STUDY I: IMPLEMENTING EVACRC</t>
  </si>
  <si>
    <t>https://doi.org/10.5281/zenodo.8297481</t>
  </si>
  <si>
    <t>HyperDiff: Computing Source Code Diffs at Scale</t>
  </si>
  <si>
    <t>[26] Introduction
[26] Data-Availability Statement</t>
  </si>
  <si>
    <t>https://doi.org/10.5281/zenodo.8270267</t>
  </si>
  <si>
    <t>Understanding Solidity Event Logging Practices in the Wild</t>
  </si>
  <si>
    <t>11 Data Availability</t>
  </si>
  <si>
    <t>https://github.com/zhongxingyu/Solidity-Event-Study</t>
  </si>
  <si>
    <t>An Automated Approach to Extracting Local Variables</t>
  </si>
  <si>
    <t>[31]
1 Introduction
9 Data Availability
[12] 3 APPROACH</t>
  </si>
  <si>
    <t>https://doi.org/10.5281/zenodo.8276904
https://github.com/liuhuigmail/ValExtractor/#Preconditions</t>
  </si>
  <si>
    <t>Statistical Reachability Analysis</t>
  </si>
  <si>
    <t>9 Data-Availability Statement
[18] 9 Data-Availability Statement</t>
  </si>
  <si>
    <t>https://zenodo.org/records/8267404</t>
  </si>
  <si>
    <t>PPR: Pairwise Program Reduction</t>
  </si>
  <si>
    <t>[49]
- Introduction</t>
  </si>
  <si>
    <t>https://doi.org/10.5281/zenodo.8267114</t>
  </si>
  <si>
    <t>When Function Inlining Meets WebAssembly: Counterintuitive Impacts on Runtime Performance</t>
  </si>
  <si>
    <t>https://zenodo.org/record/7041455</t>
  </si>
  <si>
    <t>Self-Supervised Query Reformulation for Code Search</t>
  </si>
  <si>
    <t>https://github.com/RedSmallPanda/SSQR</t>
  </si>
  <si>
    <t>Natural Language to Code: How Far Are We?</t>
  </si>
  <si>
    <t>Section: Conclusion</t>
  </si>
  <si>
    <t>https://doi.org/10.5281/zenodo.7546358</t>
  </si>
  <si>
    <t>Efficient Text-to-Code Retrieval with Cascaded Fast and Slow Transformer Models</t>
  </si>
  <si>
    <t>Abstract
6 Data Availability</t>
  </si>
  <si>
    <t>https://figshare.com/s/c94bf9c7a5aef4222449</t>
  </si>
  <si>
    <t>PEM: Representing Binary Program Semantics for Similarity Analysis via a Probabilistic Execution Model</t>
  </si>
  <si>
    <t>1 Introduction
7 Data Availability</t>
  </si>
  <si>
    <t>https://github.com/XZ-X/PEM.git</t>
  </si>
  <si>
    <t>Hue: A User-Adaptive Parser for Hybrid Logs</t>
  </si>
  <si>
    <t>https://github.com/logpai/hybridlogparser</t>
  </si>
  <si>
    <t>Log Parsing with Generalization Ability under New Log Types</t>
  </si>
  <si>
    <t>https://github.com/logpai/logparser/tree/master/logparser/Log3T</t>
  </si>
  <si>
    <t>Semantic Debugging</t>
  </si>
  <si>
    <t>https://github.com/martineberlein/avicenna
https://doi.org/10.1145/3580408 ( real link: https://dl.acm.org/do/10.1145/3580408/full/ )</t>
  </si>
  <si>
    <t>https://github.com/martineberlein/avicenna
https://doi.org/10.1145/3580408</t>
  </si>
  <si>
    <t>Demystifying Dependency Bugs in Deep Learning Stack</t>
  </si>
  <si>
    <t>https://dl-dep.github.io</t>
  </si>
  <si>
    <t>Can Machine Learning Pipelines Be Better Configured?</t>
  </si>
  <si>
    <t>Section: Data Availability
3 EMPIRICAL STUDY</t>
  </si>
  <si>
    <t>http://piecer-plc.github.io</t>
  </si>
  <si>
    <t>Compatibility Issues in Deep Learning Systems: Problems and Opportunities</t>
  </si>
  <si>
    <t>https://doi.org/10.5281/zenodo.8207011</t>
  </si>
  <si>
    <t>An Extensive Study on Adversarial Attack against Pre-trained Models of Code</t>
  </si>
  <si>
    <t>10 Data Availability
1 Introduction - HL Open Science</t>
  </si>
  <si>
    <t>https://github.com/CGCL-codes/Attack_PTMC</t>
  </si>
  <si>
    <t>Fix Fairness, Don’t Ruin Accuracy: Performance Aware Fairness Repair using AutoML</t>
  </si>
  <si>
    <t>https://doi.org/10.5281/zenodo.8280911</t>
  </si>
  <si>
    <t>BiasAsker: Measuring the Bias in Conversational AI System</t>
  </si>
  <si>
    <t>FN 1 Introduction
FN 8 Data Availability</t>
  </si>
  <si>
    <t>https://github.com/yxwan123/BiasAsker</t>
  </si>
  <si>
    <t>Pitfalls in Experiments with DNN4SE: An Analysis of the State of the Practice</t>
  </si>
  <si>
    <t>https://github.com/GRISE-UPM/Pitfalls_Experiments_DNN4SE.
doi: 10.5281/zenodo.10075778</t>
  </si>
  <si>
    <t>DecompoVision: Reliability Analysis of Machine Vision Components through Decomposition and Reuse</t>
  </si>
  <si>
    <t>FN - 3 TASK AND METRICS DECOMPOSITION
FN [13] 
5 C-TASK RELIABILITY REQUIREMENTS
7 EVALUATION
Section Data Availability and Section Collecting Human Performance</t>
  </si>
  <si>
    <t>https://reliability-object-detection.netlify.app/
- https://reliability-object-detection.netlify.app/source/requirements.html</t>
  </si>
  <si>
    <t>https://reliability-object-detection.netlify.app/</t>
  </si>
  <si>
    <t>Nezha: Interpretable Fine-Grained Root Causes Analysis for Microservices on Multi-modal Observability Data</t>
  </si>
  <si>
    <t>Section: Data Availability
1 Introduction</t>
  </si>
  <si>
    <t>https://github.com/IntelligentDDS/Nezha
https://github.com/IntelligentDDS/Augmented-TrainTicket
https://github.com/IntelligentDDS/Augmented-OnlineBoutique
https://doi.org/10.5281/zenodo.8276375</t>
  </si>
  <si>
    <t>DiagConfig: Configuration Diagnosis of Performance Violations in Configurable Software Systems</t>
  </si>
  <si>
    <t>https://doi.org/10.5281/zenodo.8279414</t>
  </si>
  <si>
    <t>Pre-training Code Representation with Semantic Flow Graph for Effective Bug Localization</t>
  </si>
  <si>
    <t>https://github.com/duyali2000/SemanticFlowGraph</t>
  </si>
  <si>
    <t>Automata-Based Trace Analysis for Aiding Diagnosing GUI Testing Tools for Android</t>
  </si>
  <si>
    <t>Section: Abstract
[14] 2 ILLUSTRATIVE EXAMPLE
[15] 4 EMPIRICAL EXPERIMENT</t>
  </si>
  <si>
    <t>https://github.com/DDroid-Android/home
- https://github.com/DDroid-Android/home/blob/main/supplementary-material.pdf
- https://github.com/DDroid-Android/home/blob/main/README.md#html-report</t>
  </si>
  <si>
    <t>https://github.com/DDroid-Android/home</t>
  </si>
  <si>
    <t>A Practical Human Labeling Method for Online Just-in-Time Software Defect Prediction</t>
  </si>
  <si>
    <t>https://doi.org/10.5281/zenodo.8272293</t>
  </si>
  <si>
    <t>Flow Experience in Software Engineering</t>
  </si>
  <si>
    <t>FN - 3 METHOD</t>
  </si>
  <si>
    <t>http://r.jyu.fi/writing-task-about-flow</t>
  </si>
  <si>
    <t>The data included many instances in which the respondents or their organizations could be identified. To protect their privacy, the participants were assured that only the research group would have access to their responses.</t>
  </si>
  <si>
    <t>Building and Sustaining Ethnically, Racially, and Gender Diverse Software Engineering Teams: A Study at Google</t>
  </si>
  <si>
    <t>To enable replication, we provide our interview guides in our appendix. To maintain participant confidentiality, we do not include interview transcripts.</t>
  </si>
  <si>
    <t>Towards Automated Detection of Unethical Behavior in Open-Source Software Projects</t>
  </si>
  <si>
    <t>https://github.com/EtorChecker/Etor</t>
  </si>
  <si>
    <t>NeuRI: Diversifying DNN Generation via Inductive Rule Inference</t>
  </si>
  <si>
    <t>FN - 5 EVALUATION
Section: Data Availability</t>
  </si>
  <si>
    <r>
      <rPr>
        <rFont val="Arial"/>
        <color theme="1"/>
        <sz val="10.0"/>
      </rPr>
      <t xml:space="preserve">https://github.com/ise-uiuc/neuri-artifact
- </t>
    </r>
    <r>
      <rPr>
        <rFont val="Arial"/>
        <color theme="1"/>
        <sz val="10.0"/>
      </rPr>
      <t>https://github.com/ise-uiuc/neuri-artifact/blob/main/docs/rq3-bug-reports.md</t>
    </r>
    <r>
      <rPr>
        <rFont val="Arial"/>
        <color theme="1"/>
        <sz val="10.0"/>
      </rPr>
      <t xml:space="preserve">
https://doi.org/10.5281/zenodo.8319975</t>
    </r>
  </si>
  <si>
    <t>https://github.com/ise-uiuc/neuri-artifact
https://doi.org/10.5281/zenodo.8319975</t>
  </si>
  <si>
    <t>Heterogeneous Testing for Coverage Profilers Empowered with Debugging Support</t>
  </si>
  <si>
    <t>https://doi.org/10.5281/zenodo.8275866</t>
  </si>
  <si>
    <t>Outage-Watch: Early Prediction of Outages using Extreme Event Regularizer</t>
  </si>
  <si>
    <t>https://github.com/skejriwal44/Outage-Watch</t>
  </si>
  <si>
    <t>The metrics data used in this research is proprietary and cannot be shared due to confidentiality agreements with the enterprise service provider.</t>
  </si>
  <si>
    <t>Multilingual Code Co-evolution using Large Language Models</t>
  </si>
  <si>
    <t>https://github.com/EngineeringSoftware/codeditor</t>
  </si>
  <si>
    <t>Knowledge-Based Version Incompatibility Detection for Deep Learning</t>
  </si>
  <si>
    <t>1 Introdução
FN - 4 Knowledge...
[46] 6 Evaluation</t>
  </si>
  <si>
    <t>https://github.com/KKZ20/DECIDE
- https://github.com/KKZ20/DECIDE/blob/main/DECIDE/docs/SO_tags.json
- https://github.com/KKZ20/DECIDE/blob/main/DECIDE/docs/Linguistic_patterns.txt
- https://github.com/KKZ20/DECIDE/blob/main/DECIDE/docs/DL_Stack_Components.txt</t>
  </si>
  <si>
    <t>https://github.com/KKZ20/DECIDE</t>
  </si>
  <si>
    <t>Statistical Type Inference for Incomplete Programs</t>
  </si>
  <si>
    <t>https://github.com/StirArtifact/stir
https://doi.org/10.5281/zenodo.8272687</t>
  </si>
  <si>
    <t>OOM-Guard: Towards Improving the Ergonomics of Rust OOM Handling via a Reservation-Based Approach</t>
  </si>
  <si>
    <t>https://github.com/cchanging/OOM</t>
  </si>
  <si>
    <t>DeepInfer: Deep Type Inference from Smart Contract Bytecode</t>
  </si>
  <si>
    <t>https://github.com/sepine/DeepInfer
https://doi.org/10.6084/m9.figshare.23993463.v1</t>
  </si>
  <si>
    <t>DeMinify: Neural Variable Name Recovery and Type Inference</t>
  </si>
  <si>
    <t>https://github.com/variable-name-type-prediction/variable-name-type-prediction/</t>
  </si>
  <si>
    <t>Tritor: Detecting Semantic Code Clones by Building Social Network-Based Triads Model</t>
  </si>
  <si>
    <t>[9]
Introduction
4 EXPERIMENTS
5 DISCUSSIONS - 5.1 Threats to Validity</t>
  </si>
  <si>
    <t>https://github.com/CGCL-codes/Tritor</t>
  </si>
  <si>
    <t>Gitor: Scalable Code Clone Detection by Building Global Sample Graph</t>
  </si>
  <si>
    <t>https://github.com/Gitor-clone/Gitor</t>
  </si>
  <si>
    <t>Demystifying the Composition and Code Reuse in Solidity Smart Contracts</t>
  </si>
  <si>
    <t>[17]
3 Empirical study
4 Implications and lessons - 4.4 Threats to validity
Data Availability</t>
  </si>
  <si>
    <t>https://sites.google.com/view/solidity-contract-analysis/home</t>
  </si>
  <si>
    <t>Scalable Program Clone Search through Spectral Analysis</t>
  </si>
  <si>
    <t>https://doi.org/10.5281/zenodo.8289599</t>
  </si>
  <si>
    <t>https://github.com/facebookresearch/SAFEtorch</t>
  </si>
  <si>
    <t>A Highly Scalable, Hybrid, Cross-Platform Timing Analysis Framework Providing Accurate Differential Throughput Estimation via Instruction-Level Tracing</t>
  </si>
  <si>
    <t>FN - 1 Introduction</t>
  </si>
  <si>
    <t>https://github.com/securesystemslab/LLVM-MCA-Daemon</t>
  </si>
  <si>
    <t>Discovering Parallelisms in Python Programs</t>
  </si>
  <si>
    <t>https://github.com/PyParTool/PyPar</t>
  </si>
  <si>
    <t>IoPV: On Inconsistent Option Performance Variations</t>
  </si>
  <si>
    <t>https://github.com/iopv/iopv</t>
  </si>
  <si>
    <t>Predicting Software Performance with Divide-and-Learn</t>
  </si>
  <si>
    <t>Abstract
Section: Data Availability
5 Evaluation</t>
  </si>
  <si>
    <t>https://github.com/ideas-labo/DaL
- https://github.com/ideas-labo/DaL/blob/main/Table4_full.pdf</t>
  </si>
  <si>
    <t>https://github.com/ideas-labo/DaL</t>
  </si>
  <si>
    <t>Benchmarking Robustness of AI-Enabled Multi-sensor Fusion Systems: Challenges and Opportunities</t>
  </si>
  <si>
    <t>Abstract
Data Availability
[15]
3 Benchmark construction</t>
  </si>
  <si>
    <t>https://sites.google.com/view/ai-msf-benchmark</t>
  </si>
  <si>
    <t>Automated Testing and Improvement of Named Entity Recognition Systems</t>
  </si>
  <si>
    <t>https://github.com/RobustNLP/TestNER</t>
  </si>
  <si>
    <t>The EarlyBIRD Catches the Bug: On Exploiting Early Layers of Encoder Models for More Efficient Code Classification</t>
  </si>
  <si>
    <t>https://doi.org/10.5281/zenodo.7608802</t>
  </si>
  <si>
    <t>Deep Learning Based Feature Envy Detection Boosted by Real-World Examples</t>
  </si>
  <si>
    <t>[38]
4 Evaluation - 4.9 Threats to validity
6 Data Availability
[39]
6 Data Availability</t>
  </si>
  <si>
    <t>https://github.com/lyoubo/feTruth
https://doi.org/10.5281/zenodo.8267775</t>
  </si>
  <si>
    <t>Comparison and Evaluation on Static Application Security Testing (SAST) Tools for Java</t>
  </si>
  <si>
    <t>[102]
2 Overview
7 Data Availability
[103]
2 Overview</t>
  </si>
  <si>
    <r>
      <rPr>
        <rFont val="Arial"/>
        <color theme="1"/>
        <sz val="10.0"/>
      </rPr>
      <t xml:space="preserve">https://sites.google.com/view/java-sast-study/home
- </t>
    </r>
    <r>
      <rPr>
        <rFont val="Arial"/>
        <color theme="1"/>
        <sz val="10.0"/>
      </rPr>
      <t>https://sites.google.com/view/java-sast-study/tool-selection</t>
    </r>
  </si>
  <si>
    <t>https://sites.google.com/view/java-sast-study/home</t>
  </si>
  <si>
    <t>Input-Driven Dynamic Program Debloating for Code-Reuse Attack Mitigation</t>
  </si>
  <si>
    <t>https://github.com/b1nsecWh/Picup</t>
  </si>
  <si>
    <t>TransRacer: Function Dependence-Guided Transaction Race Detection for Smart Contracts</t>
  </si>
  <si>
    <t>FN 3 - Data Availability
[23] Data Availability</t>
  </si>
  <si>
    <t>https://doi.org/10.5281/zenodo.8198972
https://github.com/wsong-nj/TransRacer</t>
  </si>
  <si>
    <t>Software Composition Analysis for Vulnerability Detection: An Empirical Study on Java Projects</t>
  </si>
  <si>
    <t>[19]
5 EMPIRICAL STUDY
3 Evaluation Model For SCA
[43]
10 Data Availability</t>
  </si>
  <si>
    <t>https://sites.google.com/view/fse2023scastudy</t>
  </si>
  <si>
    <t>DeepDebugger: An Interactive Time-Travelling Debugging Approach for Deep Classifiers</t>
  </si>
  <si>
    <t>[2]
1 INTRODUCTION
5 GUI OF DEEPDEBUGGER
6 EVALUATION
9 Data Availability
[1]
9 Data Availability</t>
  </si>
  <si>
    <t>https://github.com/code-philia/deep-debugger
https://sites.google.com/view/deep-debugger/home</t>
  </si>
  <si>
    <t>Mining Resource-Operation Knowledge to Support Resource Leak Detection</t>
  </si>
  <si>
    <t>[6] 
4 IMPLEMENTATION
5 EVALUATION
8 Data Availability</t>
  </si>
  <si>
    <t>https://mirok-replication.github.io/</t>
  </si>
  <si>
    <t>TransMap: Pinpointing Mistakes in Neural Code Translation</t>
  </si>
  <si>
    <t>[53] 9 Data Availability
[2] 
9 Data Availability
6 EVALUATION</t>
  </si>
  <si>
    <t>https://github.com/HALOCORE/TransMap
https://doi.org/10.5281/zenodo.8283633</t>
  </si>
  <si>
    <t>Dynamic Prediction of Delays in Software Projects using Delay Patterns and Bayesian Modeling</t>
  </si>
  <si>
    <t>[43]
4 APPROACH
5 DELAY PATTERNS AT ING
6 EVALUATION
10 Data Availability</t>
  </si>
  <si>
    <t>https://figshare.com/s/4672f25236520a2b4428</t>
  </si>
  <si>
    <t>The empirical data and source code used for this paper cannot be made publicly available due to an NDA.</t>
  </si>
  <si>
    <t>Commit-Level, Neural Vulnerability Detection and Assessment</t>
  </si>
  <si>
    <t>[5]
1 INTRODUCTION
11 Data Availability</t>
  </si>
  <si>
    <t>https://github.com/vulnerability-assessment-cat/vulnerability-assessment-cat</t>
  </si>
  <si>
    <t>Enhancing Coverage-Guided Fuzzing via Phantom Program</t>
  </si>
  <si>
    <t>[1]
4 IMPLEMENTATION
5 EVALUATION
9 Data Availability
[4] 
1 INTRODUCTION
3 APPROACH
9 Data Availability</t>
  </si>
  <si>
    <r>
      <rPr>
        <rFont val="Arial"/>
        <color theme="1"/>
        <sz val="10.0"/>
      </rPr>
      <t>https://github.com/WorldExecute/exprs</t>
    </r>
    <r>
      <rPr>
        <rFont val="Arial"/>
        <color theme="1"/>
        <sz val="10.0"/>
        <u/>
      </rPr>
      <t xml:space="preserve">
</t>
    </r>
    <r>
      <rPr>
        <rFont val="Arial"/>
        <color theme="1"/>
        <sz val="10.0"/>
      </rPr>
      <t>https://github.com/WorldExecute/fuzzer</t>
    </r>
  </si>
  <si>
    <r>
      <rPr>
        <rFont val="Arial"/>
        <color theme="1"/>
        <sz val="10.0"/>
      </rPr>
      <t>https://github.com/WorldExecute/exprs</t>
    </r>
    <r>
      <rPr>
        <rFont val="Arial"/>
        <color theme="1"/>
        <sz val="10.0"/>
        <u/>
      </rPr>
      <t xml:space="preserve">
</t>
    </r>
    <r>
      <rPr>
        <rFont val="Arial"/>
        <color theme="1"/>
        <sz val="10.0"/>
      </rPr>
      <t>https://github.com/WorldExecute/fuzzer</t>
    </r>
  </si>
  <si>
    <t>Co-dependence Aware Fuzzing for Dataflow-Based Big Data Analytics</t>
  </si>
  <si>
    <t>[20] 1 INTRODUCTION</t>
  </si>
  <si>
    <t>https://github.com/SEED-VT/DepFuzz 
https://doi.org/10.1145/3580412 (real link: https://dl.acm.org/do/10.1145/3580412/full/ )</t>
  </si>
  <si>
    <t>https://github.com/SEED-VT/DepFuzz 
https://doi.org/10.1145/3580412</t>
  </si>
  <si>
    <t>SJFuzz: Seed and Mutator Scheduling for JVM Fuzzing</t>
  </si>
  <si>
    <t>[21]
1 INTRODUCTION
4 EVALUATION
8 Data Availability</t>
  </si>
  <si>
    <t>https://github.com/fuzzy000/SJFuzz</t>
  </si>
  <si>
    <t>Metamong: Detecting Render-Update Bugs in Web Browsers through Fuzzing</t>
  </si>
  <si>
    <t>https://figshare.com/s/d3c228e614672f9aa811</t>
  </si>
  <si>
    <t>Property-Based Fuzzing for Finding Data Manipulation Errors in Android Apps</t>
  </si>
  <si>
    <t>Abstract
Data Availability</t>
  </si>
  <si>
    <t>https://github.com/property-based-fuzzing/home</t>
  </si>
  <si>
    <t>Leveraging Hardware Probes and Optimizations for Accelerating Fuzz Testing of Heterogeneous Applications</t>
  </si>
  <si>
    <t>1 INTRODUCTION
7 Data Availability</t>
  </si>
  <si>
    <t>https://github.com/UCLA-SEAL/HFuzz</t>
  </si>
  <si>
    <t>NaNofuzz: A Usable Tool for Automatic Test Generation</t>
  </si>
  <si>
    <t>[17]
[16]
[15]
12 Data Availability
[14]
10 IMPLICATIONS AND FUTURE WORK
12 Data Availability</t>
  </si>
  <si>
    <t>https://marketplace.visualstudio.com/items?itemName=penrose
https://github.com/nanofuzz/nanofuzz
https://github.com/nanofuzz/nanofuzz-study
https://doi.org/10.1145/3580413 ( real link: https://dl.acm.org/do/10.1145/3580413/full/ )</t>
  </si>
  <si>
    <t>https://marketplace.visualstudio.com/items?itemName=penrose
https://github.com/nanofuzz/nanofuzz
https://github.com/nanofuzz/nanofuzz-study
https://doi.org/10.1145/3580413</t>
  </si>
  <si>
    <t>Not Available (1)
Publicly Available (3)</t>
  </si>
  <si>
    <t>A Generative and Mutational Approach for Synthesizing Bug-Exposing Test Cases to Guide Compiler Fuzzing</t>
  </si>
  <si>
    <t>[7] 3 OUR APPROACH
DATA AVAILABLE</t>
  </si>
  <si>
    <t>https://github.com/NWU-NISL-Fuzzing/COMFUZZ
- https://github.com/NWU-NISL-Fuzzing/COMFUZZ/blob/main/docs/ComFuzz-mutators.md</t>
  </si>
  <si>
    <t>https://github.com/NWU-NISL-Fuzzing/COMFUZZ</t>
  </si>
  <si>
    <t>State Merging with Quantifiers in Symbolic Execution</t>
  </si>
  <si>
    <t>[1]
6 IMPLEMENTATION
[3]
10 Data Availability</t>
  </si>
  <si>
    <r>
      <rPr>
        <rFont val="Arial"/>
        <color theme="1"/>
        <sz val="10.0"/>
      </rPr>
      <t>https://doi.org/10.6084/m9.figshare.21990386.v8</t>
    </r>
    <r>
      <rPr>
        <rFont val="Arial"/>
        <color theme="1"/>
        <sz val="10.0"/>
        <u/>
      </rPr>
      <t xml:space="preserve">
</t>
    </r>
    <r>
      <rPr>
        <rFont val="Arial"/>
        <color theme="1"/>
        <sz val="10.0"/>
      </rPr>
      <t>https://github.com/davidtr1037/klee-quantifiers</t>
    </r>
  </si>
  <si>
    <r>
      <rPr>
        <rFont val="Arial"/>
        <color theme="1"/>
        <sz val="10.0"/>
      </rPr>
      <t>https://doi.org/10.6084/m9.figshare.21990386.v8</t>
    </r>
    <r>
      <rPr>
        <rFont val="Arial"/>
        <color theme="1"/>
        <sz val="10.0"/>
        <u/>
      </rPr>
      <t xml:space="preserve">
</t>
    </r>
    <r>
      <rPr>
        <rFont val="Arial"/>
        <color theme="1"/>
        <sz val="10.0"/>
      </rPr>
      <t>https://github.com/davidtr1037/klee-quantifiers</t>
    </r>
  </si>
  <si>
    <t>Detecting Atomicity Violations in Interrupt-Driven Programs via Interruption Points Selecting and Delayed ISR-Triggering</t>
  </si>
  <si>
    <t>FN 1 - 6 Experiment and Evaluation</t>
  </si>
  <si>
    <t>https://github.com/BinYu-Xidian-University/CPA4AV</t>
  </si>
  <si>
    <t>Engineering a Formally Verified Automated Bug Finder</t>
  </si>
  <si>
    <r>
      <rPr>
        <rFont val="Arial"/>
        <color theme="1"/>
        <sz val="10.0"/>
      </rPr>
      <t xml:space="preserve">https://github.com/acorrenson/WiSE/
https://acorrenson.github.io/WiSE/
</t>
    </r>
    <r>
      <rPr>
        <rFont val="Arial"/>
        <color theme="1"/>
        <sz val="10.0"/>
      </rPr>
      <t>https://doi.org/10.5281/zenodo.8269801</t>
    </r>
  </si>
  <si>
    <r>
      <rPr>
        <rFont val="Arial"/>
        <color theme="1"/>
        <sz val="10.0"/>
      </rPr>
      <t xml:space="preserve">https://github.com/acorrenson/WiSE/
https://acorrenson.github.io/WiSE/
</t>
    </r>
    <r>
      <rPr>
        <rFont val="Arial"/>
        <color theme="1"/>
        <sz val="10.0"/>
      </rPr>
      <t>https://doi.org/10.5281/zenodo.8269801</t>
    </r>
  </si>
  <si>
    <t>Speeding up SMT Solving via Compiler Optimization</t>
  </si>
  <si>
    <t>FN 2 - 5 EVALUATION</t>
  </si>
  <si>
    <t>https://github.com/mikekben/SLOT</t>
  </si>
  <si>
    <t>Semantic Test Repair for Web Applications</t>
  </si>
  <si>
    <t>1 INTRODUCTION
3 APPROACH
5 Discussion
4 Experimental Results
Data Availability</t>
  </si>
  <si>
    <t>https://github.com/Reoke/SEMTER</t>
  </si>
  <si>
    <t>A Large-Scale Empirical Review of Patch Correctness Checking Approaches</t>
  </si>
  <si>
    <t>[79]
3 DATASET CONSTRUCTION
5 Result Analysis
Data Availability
[2]
3 DATASET CONSTRUCTION
Data Availability</t>
  </si>
  <si>
    <t>https://doi.org/10.5281/zenodo.8267827
https://github.com/claudeyj/patch_correctness
- https://github.com/claudeyj/patch_correctness/blob/master/semantic_equivalence_rules.md</t>
  </si>
  <si>
    <t>https://github.com/claudeyj/patch_correctness
https://doi.org/10.5281/zenodo.8267827</t>
  </si>
  <si>
    <t>Program Repair Guided by Datalog-Defined Static Analysis</t>
  </si>
  <si>
    <t>https://github.com/symlog/symlog</t>
  </si>
  <si>
    <t>Baldur: Whole-Proof Generation and Repair with Large Language Models</t>
  </si>
  <si>
    <t>https://github.com/google-research/t5x</t>
  </si>
  <si>
    <t>KG4CraSolver: Recommending Crash Solutions via Knowledge Graph</t>
  </si>
  <si>
    <t>[15] Data Availability</t>
  </si>
  <si>
    <t>https://github.com/FudanSELab/KG4CraSolver</t>
  </si>
  <si>
    <t>Automated and Context-Aware Repair of Color-Related Accessibility Issues for Android Apps</t>
  </si>
  <si>
    <t>FN1 - 1 INTRODUCTION
[8] [7]  8 Data Availability
[11] 
8 Data Availability
4 Experiments</t>
  </si>
  <si>
    <r>
      <rPr>
        <rFont val="Arial"/>
        <color theme="1"/>
        <sz val="10.0"/>
      </rPr>
      <t xml:space="preserve">https://sites.google.com/view/iris-mobile/home
https://drive.google.com/drive/folders/1MOEnN1j54HkRvTsigTodIpUo0IEWcOIJ?usp=sharing
https://github.com/iris-mobile-accessibility-repair/iris-mobile
- </t>
    </r>
    <r>
      <rPr>
        <rFont val="Arial"/>
        <color theme="1"/>
        <sz val="10.0"/>
      </rPr>
      <t>https://github.com/iris-mobile-accessibility-repair/iris-mobile.git</t>
    </r>
  </si>
  <si>
    <t>https://github.com/iris-mobile-accessibility-repair/iris-mobile
https://drive.google.com/drive/folders/1MOEnN1j54HkRvTsigTodIpUo0IEWcOIJ?usp=sharing
https://sites.google.com/view/iris-mobile/home</t>
  </si>
  <si>
    <t>A Case Study of Developer Bots: Motivations, Perceptions, and Challenges</t>
  </si>
  <si>
    <t>[5]
11 Data Availability
4 Study methodology</t>
  </si>
  <si>
    <t>https://doi.org/10.6084/m9.figshare.19382123.v4</t>
  </si>
  <si>
    <t>We are unable to provide full interview transcripts due to the restrictions placed on the work due to industry applications.</t>
  </si>
  <si>
    <t>“We Feel Like We’re Winging It:” A Study on Navigating Open-Source Dependency Abandonment</t>
  </si>
  <si>
    <t>https://doi.org/10.5281/zenodo.8102547</t>
  </si>
  <si>
    <t>How Practitioners Expect Code Completion?</t>
  </si>
  <si>
    <t>Code Coverage Criteria for Asynchronous Programs</t>
  </si>
  <si>
    <t>[35] 
1 INTRODUCTION
9 Data Availability</t>
  </si>
  <si>
    <t>https://doi.org/10.5281/zenodo.8271643</t>
  </si>
  <si>
    <t>API-Knowledge Aware Search-Based Software Testing: Where, What, and How</t>
  </si>
  <si>
    <t>1 Introduction
Data Availability</t>
  </si>
  <si>
    <t>https://github.com/XiaoxueRenS/KAT</t>
  </si>
  <si>
    <t>EtherDiffer: Differential Testing on RPC Services of Ethereum Nodes</t>
  </si>
  <si>
    <t>[28] [29] Data Availability</t>
  </si>
  <si>
    <t>https://doi.org/10.6084/m9.figshare.23913096.v1
https://doi.org/10.6084/m9.figshare.21936555.v1
https://github.com/JosephK95/EtherDiFFer-public</t>
  </si>
  <si>
    <t>Dynamic Data Fault Localization for Deep Neural Networks</t>
  </si>
  <si>
    <t>[3]
1 INTRODUCTION
9 DATA-AVAILABILITY STATEMENT
9 DATA-AVAILABILITY STATEMENT</t>
  </si>
  <si>
    <t>https://doi.org/10.5281/zenodo.8266660
https://sites.google.com/view/dfaulo</t>
  </si>
  <si>
    <r>
      <rPr>
        <rFont val="Arial"/>
        <color theme="1"/>
        <sz val="10.0"/>
      </rPr>
      <t xml:space="preserve">https://doi.org/10.5281/zenodo.8266660
</t>
    </r>
    <r>
      <rPr>
        <rFont val="Arial"/>
        <color theme="1"/>
        <sz val="10.0"/>
      </rPr>
      <t>https://sites.google.com/view/dfaulo</t>
    </r>
  </si>
  <si>
    <t>Understanding the Bug Characteristics and Fix Strategies of Federated Learning Systems</t>
  </si>
  <si>
    <t>1 INTRODUCTION
11 Data Availability</t>
  </si>
  <si>
    <t>https://github.com/CGCL-codes/FL_Bug_Study</t>
  </si>
  <si>
    <t>Learning Program Semantics for Vulnerability Detection via Vulnerability-Specific Inter-procedural Slicing</t>
  </si>
  <si>
    <t>[6] 1 INTRODUCTION</t>
  </si>
  <si>
    <t>https://sites.google.com/view/snapvuln</t>
  </si>
  <si>
    <t>DeepRover: A Query-Efficient Blackbox Attack for Deep Neural Networks</t>
  </si>
  <si>
    <t>FN1 - 5 Experimental Evaluation</t>
  </si>
  <si>
    <t>https://github.com/fuyuan-zhang/DeepRover</t>
  </si>
  <si>
    <t>Practical Inference of Nullability Types</t>
  </si>
  <si>
    <t>FN3 - 7 IMPLEMENTATION
11 Data Availability</t>
  </si>
  <si>
    <t>https://github.com/ucr-riple/NullAwayAnnotator
https://zenodo.org/record/8271236</t>
  </si>
  <si>
    <t>LibKit: Detecting Third-Party Libraries in iOS Apps</t>
  </si>
  <si>
    <t>[26] [27] 
1 INTRODUCTION
Data Availability</t>
  </si>
  <si>
    <t>https://doi.org/10.5281/zenodo.7042015
https://sites.google.com/view/libkit</t>
  </si>
  <si>
    <r>
      <rPr>
        <rFont val="Arial"/>
        <color theme="1"/>
        <sz val="10.0"/>
      </rPr>
      <t xml:space="preserve">https://doi.org/10.5281/zenodo.7042015
</t>
    </r>
    <r>
      <rPr>
        <rFont val="Arial"/>
        <color theme="1"/>
        <sz val="10.0"/>
      </rPr>
      <t>https://sites.google.com/view/libkit</t>
    </r>
  </si>
  <si>
    <t>FunProbe: Probing Functions from Binary Code through Probabilistic Analysis</t>
  </si>
  <si>
    <t>1 INTRODUCTION
Data Availability</t>
  </si>
  <si>
    <t>https://github.com/B2R2-org/FunProbe</t>
  </si>
  <si>
    <t>BigDataflow: A Distributed Interprocedural Dataflow Analysis Framework</t>
  </si>
  <si>
    <t>https://github.com/BigDataflow-system
https://figshare.com/articles/dataset/material_fse23_zip/21971945/3</t>
  </si>
  <si>
    <t>https://github.com/BigDataflow-system
https:/figshare.com/articles/dataset/material_fse23_zip/21971945/3</t>
  </si>
  <si>
    <t>Understanding the Topics and Challenges of GPU Programming by Classifying and Analyzing Stack Overflow Posts</t>
  </si>
  <si>
    <t>https://doi.org/10.5281/zenodo.8248161</t>
  </si>
  <si>
    <t>Software Architecture in Practice: Challenges and Opportunities</t>
  </si>
  <si>
    <t>[105] 3 METHODOLOGY</t>
  </si>
  <si>
    <r>
      <rPr>
        <rFont val="Arial"/>
        <color theme="1"/>
        <sz val="10.0"/>
      </rPr>
      <t xml:space="preserve">arXiv 2308.09978 - real link: </t>
    </r>
    <r>
      <rPr>
        <rFont val="Arial"/>
        <color theme="1"/>
        <sz val="10.0"/>
      </rPr>
      <t>https://arxiv.org/abs/2308.09978</t>
    </r>
  </si>
  <si>
    <t>arXiv 2308.09978</t>
  </si>
  <si>
    <t>On the Usage of Continual Learning for Out-of-Distribution Generalization in Pre-trained Language Models of Code</t>
  </si>
  <si>
    <t>[19] Data Availability</t>
  </si>
  <si>
    <t>https://github.com/martin-wey/cl-code-apis
https://doi.org/10.5281/zenodo.8272703
- https://zenodo.org/record/8272703</t>
  </si>
  <si>
    <t>https://github.com/martin-wey/cl-code-apis
https://doi.org/10.5281/zenodo.8272703</t>
  </si>
  <si>
    <t>Grace: Language Models Meet Code Edits</t>
  </si>
  <si>
    <t>[31] 9 DATA-AVAILABILITY STATEMENT
9 DATA-AVAILABILITY STATEMENT</t>
  </si>
  <si>
    <t>https://aka.ms/GrACE-Code
https://doi.org/10.1145/3580411 (real link: https://dl.acm.org/do/10.1145/3580411/full/ )</t>
  </si>
  <si>
    <t>https://aka.ms/GrACE-Code
https://doi.org/10.1145/3580411</t>
  </si>
  <si>
    <t>Since the overwatch dataset is private, we do not hold the authority to redistribute the dataset or any models learned from that dataset.</t>
  </si>
  <si>
    <t>Recommending Analogical APIs via Knowledge Graph Embedding</t>
  </si>
  <si>
    <t>[20] 
6 Data Availability
3 APPROACH</t>
  </si>
  <si>
    <t>https://github.com/FudanSELab/KGE4AR</t>
  </si>
  <si>
    <t>CCT5: A Code-Change-Oriented Pre-trained Model</t>
  </si>
  <si>
    <t>7 Summary</t>
  </si>
  <si>
    <t>https://github.com/Ringbo/CCT5</t>
  </si>
  <si>
    <t>LExecutor: Learning-Guided Execution</t>
  </si>
  <si>
    <r>
      <rPr>
        <rFont val="Arial"/>
        <color theme="1"/>
        <sz val="10.0"/>
      </rPr>
      <t xml:space="preserve">https://zenodo.org/record/8270900
</t>
    </r>
    <r>
      <rPr>
        <rFont val="Arial"/>
        <color theme="1"/>
        <sz val="10.0"/>
      </rPr>
      <t>https://github.com/michaelpradel/LExecutor</t>
    </r>
  </si>
  <si>
    <r>
      <rPr>
        <rFont val="Arial"/>
        <color theme="1"/>
        <sz val="10.0"/>
      </rPr>
      <t xml:space="preserve">https://zenodo.org/record/8270900
</t>
    </r>
    <r>
      <rPr>
        <rFont val="Arial"/>
        <color theme="1"/>
        <sz val="10.0"/>
      </rPr>
      <t>https://github.com/michaelpradel/LExecutor</t>
    </r>
  </si>
  <si>
    <t>Software Architecture Recovery with Information Fusion</t>
  </si>
  <si>
    <t>Data Availability
[67] 5 Evaluation</t>
  </si>
  <si>
    <t>https://github.com/anonymous2f4a9d/SARIF_FSE23</t>
  </si>
  <si>
    <t>Evaluating Transfer Learning for Simplifying GitHub READMEs</t>
  </si>
  <si>
    <t>https://zenodo.org/record/8265001</t>
  </si>
  <si>
    <t>CodeMark: Imperceptible Watermarking for Code Datasets against Neural Code Completion Models</t>
  </si>
  <si>
    <t>[9]
5 Evaluation
Section: Data Availability</t>
  </si>
  <si>
    <t>https://sites.google.com/view/codemark</t>
  </si>
  <si>
    <t>Mate! Are You Really Aware? An Explainability-Guided Testing Framework for Robustness of Malware Detectors</t>
  </si>
  <si>
    <t>https://github.com/Immor278/AMM</t>
  </si>
  <si>
    <t>Considering the potential security issues, we will not release the test case generator and any test cases, as well as the information of commercial antivirus involved in our evaluation, except for academic uses that are approved by our institutional ethics committee.</t>
  </si>
  <si>
    <t>Crystallizer: A Hybrid Path Analysis Framework to Aid in Uncovering Deserialization Vulnerabilities</t>
  </si>
  <si>
    <t>https://github.com/HexHive/Crystallizer</t>
  </si>
  <si>
    <t>ViaLin: Path-Aware Dynamic Taint Analysis for Android</t>
  </si>
  <si>
    <t>[8]
1 INTRODUCTION
4 Approach
5 Evaluation Methodology
6 Results
10 Data Availability</t>
  </si>
  <si>
    <t>https://resess.github.io/artifacts/ViaLin/</t>
  </si>
  <si>
    <t>Distinguishing Look-Alike Innocent and Vulnerable Code by Subtle Semantic Representation Learning and Explanation</t>
  </si>
  <si>
    <t>https://github.com/jacknichao/SVulD</t>
  </si>
  <si>
    <t>*Total= ICSE+FSE</t>
  </si>
  <si>
    <t># of papers</t>
  </si>
  <si>
    <t># of paper wit at 
least one link</t>
  </si>
  <si>
    <t>% of artifact sharing</t>
  </si>
  <si>
    <t># of badged of papers</t>
  </si>
  <si>
    <t>% of badged papers</t>
  </si>
  <si>
    <t># of papers with not available links</t>
  </si>
  <si>
    <t>% of papers with not available links</t>
  </si>
  <si>
    <t>ICSE</t>
  </si>
  <si>
    <t>FSE</t>
  </si>
  <si>
    <t>Total*</t>
  </si>
  <si>
    <t>Total</t>
  </si>
  <si>
    <t>Papers in years with AE track</t>
  </si>
  <si>
    <t>2019-2023</t>
  </si>
  <si>
    <t>2014-2023</t>
  </si>
  <si>
    <t>Links</t>
  </si>
  <si>
    <t>Here we considered where the artifact is stored</t>
  </si>
  <si>
    <t>Conference</t>
  </si>
  <si>
    <t>Link</t>
  </si>
  <si>
    <t>Status per paper</t>
  </si>
  <si>
    <t>Status per link</t>
  </si>
  <si>
    <t>Zenodo</t>
  </si>
  <si>
    <t>Figshare</t>
  </si>
  <si>
    <t>arXiv</t>
  </si>
  <si>
    <t>OSF</t>
  </si>
  <si>
    <t>archive.org</t>
  </si>
  <si>
    <t>acm.</t>
  </si>
  <si>
    <t>SoftwareHeritage</t>
  </si>
  <si>
    <t>mendeley</t>
  </si>
  <si>
    <t>GitHub</t>
  </si>
  <si>
    <t>GitLab</t>
  </si>
  <si>
    <t>Bitbucket</t>
  </si>
  <si>
    <t>Docker.</t>
  </si>
  <si>
    <t>/Pypi</t>
  </si>
  <si>
    <t>Crates.io</t>
  </si>
  <si>
    <t>Drive.</t>
  </si>
  <si>
    <t>Dropbox</t>
  </si>
  <si>
    <t>googlecode</t>
  </si>
  <si>
    <t>cloud.google</t>
  </si>
  <si>
    <t>docs.google</t>
  </si>
  <si>
    <t>sites.google</t>
  </si>
  <si>
    <t>Youtube</t>
  </si>
  <si>
    <t>kaggle</t>
  </si>
  <si>
    <t>University</t>
  </si>
  <si>
    <t>Microsoft.</t>
  </si>
  <si>
    <t>ibm</t>
  </si>
  <si>
    <t>researchgate</t>
  </si>
  <si>
    <t>Other</t>
  </si>
  <si>
    <t>Unique identifier</t>
  </si>
  <si>
    <t>Short link</t>
  </si>
  <si>
    <t>bit.ly</t>
  </si>
  <si>
    <t>goo.gl</t>
  </si>
  <si>
    <t>tinyurl</t>
  </si>
  <si>
    <t>tiny.cc</t>
  </si>
  <si>
    <t>https://t.ly</t>
  </si>
  <si>
    <t>shorturl.at</t>
  </si>
  <si>
    <t>cutt.ly</t>
  </si>
  <si>
    <t>youtu.be</t>
  </si>
  <si>
    <t>real link</t>
  </si>
  <si>
    <t>.edu</t>
  </si>
  <si>
    <t>Github</t>
  </si>
  <si>
    <t>Anonymous.</t>
  </si>
  <si>
    <t>doi</t>
  </si>
  <si>
    <t>persistent identifier</t>
  </si>
  <si>
    <t>Archival</t>
  </si>
  <si>
    <t>Code</t>
  </si>
  <si>
    <t>General-purpose</t>
  </si>
  <si>
    <t>Institutional</t>
  </si>
  <si>
    <t>Others</t>
  </si>
  <si>
    <t>Category</t>
  </si>
  <si>
    <t>https://github.com/acieroid/wassail/tree/icse2022</t>
  </si>
  <si>
    <t>https://zenodo.org/record/5821007</t>
  </si>
  <si>
    <t>https://doi.org/10.5281/zenodo.5428997</t>
  </si>
  <si>
    <t>https://doi.org/10.5281/zenodo.5915257</t>
  </si>
  <si>
    <t>https://tinyurl.com/mww2w46t - real link: https://gitlab.uni.lu/sabualhaija/anaphoric-ambiguity</t>
  </si>
  <si>
    <r>
      <rPr>
        <rFont val="Arial"/>
        <color rgb="FF000000"/>
        <sz val="10.0"/>
      </rPr>
      <t>https://tinyurl.com/2p9k2zf2</t>
    </r>
    <r>
      <rPr>
        <rFont val="Arial"/>
        <color rgb="FF000000"/>
        <sz val="10.0"/>
      </rPr>
      <t xml:space="preserve"> - real link: </t>
    </r>
    <r>
      <rPr>
        <rFont val="Arial"/>
        <color rgb="FF000000"/>
        <sz val="10.0"/>
      </rPr>
      <t>https://www.dropbox.com/sh/t1y5nghvnfczxr4/AADDatUtWm_lqmUHKliEFElxa?dl=0</t>
    </r>
  </si>
  <si>
    <t>https://bit.ly/3I995jL - real link: https://figshare.com/articles/conference_contribution/Artifact_Automatic_Detection_of_Performance_Bugs_in_Database_Systems_using_Equivalent_Queries/19173068/1</t>
  </si>
  <si>
    <t>https://doi.org/10.5281/zenodo.5294964</t>
  </si>
  <si>
    <t>https://doi.org/10.5281/zenodo.5294015</t>
  </si>
  <si>
    <t>arXiv 2110.10234 - real link: https://arxiv.org/abs/2110.10234</t>
  </si>
  <si>
    <t>https://github.com/GIST-NJU/RestCT</t>
  </si>
  <si>
    <t>https://doi.org/10.5281/zenodo.5909761</t>
  </si>
  <si>
    <t>https://github.com/neu-se/CONFETTI</t>
  </si>
  <si>
    <t>https://doi.org/10.6084/m9.figshare.16563776</t>
  </si>
  <si>
    <t>https://doi.org/10.5281/zenodo.5442280 - real link: https://zenodo.org/record/5442281</t>
  </si>
  <si>
    <t>https://www.sosy-lab.org/research/component-based-cegar/</t>
  </si>
  <si>
    <t>https://doi.org/10.5281/zenodo.5301636</t>
  </si>
  <si>
    <t>DOI: 10.6084/m9.figshare.19091282 - real link: https://doi.org/10.6084/m9.figshare.19091282 ; https://figshare.com/articles/software/Artifact_of_Paper_DeepSTL_-_From_English_Requirements_to_Signal_Temporal_Logic_/19091282</t>
  </si>
  <si>
    <t>https://github.com/JieHE-2020/DeepSTL</t>
  </si>
  <si>
    <t>https://www.doi.org/10.5281/zenodo.5348989</t>
  </si>
  <si>
    <t>https://www.doi.org/10.5281/zenodo.5441138</t>
  </si>
  <si>
    <t>https://mlcodepatterns.github.io/</t>
  </si>
  <si>
    <t>https://github.com/mlcodepatterns/PythonTypeInformation</t>
  </si>
  <si>
    <t>https://github.com/LASER-UMASS/Diva/</t>
  </si>
  <si>
    <t>https://doi.org/10.5281/zenodo.5903318</t>
  </si>
  <si>
    <t>https://doi.org/10.5281/zenodo.5916441</t>
  </si>
  <si>
    <t>https://github.com/ajv-validator/ajv/pull/1684</t>
  </si>
  <si>
    <t>https://github.com/ajv-validator/ajv/pull/1828</t>
  </si>
  <si>
    <t>https://github.com/serval-uni-lu/flakime</t>
  </si>
  <si>
    <t>https://github.com/serval-uni-lu/flakime-replication-package</t>
  </si>
  <si>
    <t>https://crates.io/crates/bronze_gc</t>
  </si>
  <si>
    <t>https://doi.org/10.5281/zenodo.6045904</t>
  </si>
  <si>
    <t>https://trace-exp-study.github.io/pages</t>
  </si>
  <si>
    <t>https://zenodo.org/record/6040328</t>
  </si>
  <si>
    <t>https://github.com/yliu26/TraceLinkExplanation</t>
  </si>
  <si>
    <t>https://github.com/sidongfeng/gifdroid</t>
  </si>
  <si>
    <t>https://sites.google.com/view/gifdroid</t>
  </si>
  <si>
    <t>https://github.com/NAIST-SE/GHSponsors</t>
  </si>
  <si>
    <t>https://doi.org/10.5281/zenodo.6017901</t>
  </si>
  <si>
    <t>https://github.com/stefanos1316/ICSE_2022_artifact</t>
  </si>
  <si>
    <t>https://doi.org/10.5281/zenodo.6029576</t>
  </si>
  <si>
    <t>https://zenodo.org/record/3906503#.Yfbnyy-B3T8</t>
  </si>
  <si>
    <t>https://type-change.github.io/index.html</t>
  </si>
  <si>
    <t>bit.ly/3uNAe88 - real link: https://github.com/system-pclub/rust-programming-challenges</t>
  </si>
  <si>
    <t>https://github.com/ltlfuzzer/LTL-Fuzzer</t>
  </si>
  <si>
    <t>https://arxiv.org/abs/2109.02312</t>
  </si>
  <si>
    <t>https://bit.ly/35HUvl9 - real link: https://github.com/miguelvelezmj25/icse22-sm/</t>
  </si>
  <si>
    <t>https://doi.org/10.5281/zenodo.5336985</t>
  </si>
  <si>
    <t>https://doi.org/10.5281/zenodo.5998339</t>
  </si>
  <si>
    <t>https://doi.org/10.5281/zenodo.6045830</t>
  </si>
  <si>
    <t>https://www.fuzzbench.com/reports/&lt;experiment-id&gt; / Experiment Identifier: 2021-02-17-bug-paper - real link: https://www.fuzzbench.com/reports/2021-02-17-bug-paper</t>
  </si>
  <si>
    <t>https://github.com/icse22data</t>
  </si>
  <si>
    <t>https://www.fuzzbench.com/reports/&lt;experiment-id&gt; / Experiment Identifier: 2021-08-19-crash-s - real link: https://www.fuzzbench.com/reports/2021-08-19-crash-s</t>
  </si>
  <si>
    <t>https://www.fuzzbench.com/reports/&lt;experiment-id&gt; / Experiment Identifier: 2021-08-19-crash-s2 - real link: https://www.fuzzbench.com/reports/2021-08-19-crash-s2</t>
  </si>
  <si>
    <t>https://doi.org/10.5281/zenodo.5908852</t>
  </si>
  <si>
    <t>https://github.com/githubnext/amalfi-artifact</t>
  </si>
  <si>
    <t>https://github.com/Tritlo/PropR</t>
  </si>
  <si>
    <t>https://doi.org/10.5281/zenodo.5389051</t>
  </si>
  <si>
    <t>https://resess.github.io/artifacts/GooglePlayMalwareAnalysis</t>
  </si>
  <si>
    <t>https://doi.org/10.5281/zenodo.5376011</t>
  </si>
  <si>
    <t>https://doi.org/10.5281/zenodo.5828178</t>
  </si>
  <si>
    <t>https://github.com/YiXiangScut/NSbS</t>
  </si>
  <si>
    <t>https://github.com/sumonbis/DS-Pipeline/blob/main/pipelines.pdf</t>
  </si>
  <si>
    <t>https://github.com/anonymous-authorss/DS-Pipeline</t>
  </si>
  <si>
    <t>https://github.com/squaresLab/VarCLR</t>
  </si>
  <si>
    <t>https://bit.ly/2WIalaW - real link: https://drive.google.com/file/d/11eKmE90WxvGLtXCuPLOP5V-HePWYPzdG/view</t>
  </si>
  <si>
    <t>https://github.com/t-rasmud/checker-framework/tree/nondet-checker</t>
  </si>
  <si>
    <t>https://doi.org/10.5281/zenodo.4536285</t>
  </si>
  <si>
    <t>Tech. Rep. TR-UW-CSE-2021-02-01 - real link: https://dada.cs.washington.edu/research/tr/2021/02/UW-CSE-21-02-01.pdf</t>
  </si>
  <si>
    <t>arXiv:submit/3601478 - real link: https://arxiv.org/abs/2102.07052v1</t>
  </si>
  <si>
    <t>https://github.com/xlab-uiuc/open-cevo</t>
  </si>
  <si>
    <t>doi : 10.5281/zenodo.3841195 - real link: https://doi.org/10.5281/zenodo.3841195</t>
  </si>
  <si>
    <t>https://doi.org/10.5281/zenodo.4439219</t>
  </si>
  <si>
    <t>https://github.com/dlshriver/DNNF</t>
  </si>
  <si>
    <t>https://zenodo.org/record/4511291#.YB3tjyj0mbg</t>
  </si>
  <si>
    <t>https://github.com/jinfenglin/TraceBERT</t>
  </si>
  <si>
    <t>https://doi.org/10.5281/zenodo.4459561</t>
  </si>
  <si>
    <t>https://github.com/brains-on-code/fMRI-complexity-metrics-icse2021/</t>
  </si>
  <si>
    <t>https://github.com/KSU-SDML/Method-Naming-Standards-Artifact</t>
  </si>
  <si>
    <t>http://dx.doi.org/10.17632/5d7vx88sph.1 - real link: https://data.mendeley.com/datasets/5d7vx88sph/1</t>
  </si>
  <si>
    <t>https://zenodo.org/record/4456296 ; DOI:10.5281/zenodo.4456296 - real link: https://doi.org/10.5281/zenodo.4456296</t>
  </si>
  <si>
    <t>https://nbviewer.jupyter.org/github/vrthra/Ewoks/blob/master/src/FAlgebra.ipynb</t>
  </si>
  <si>
    <t>https://github.com/wsong-nj/IMGDroid</t>
  </si>
  <si>
    <t>https://zenodo.org/record/4392284</t>
  </si>
  <si>
    <t>https://zenodo.org/record/4392292</t>
  </si>
  <si>
    <t>https://github.com/SNTSVV/ThEodorE</t>
  </si>
  <si>
    <t>https://doi.org/10.5281/zenodo.4506795</t>
  </si>
  <si>
    <t>https://doi.org/10.6084/m9.figshare.12363014</t>
  </si>
  <si>
    <t>https://doi.org/10.6084/m9.figshare.12385862</t>
  </si>
  <si>
    <t>https://doi.org/10.6084/m9.figshare.12732260</t>
  </si>
  <si>
    <t>https://doi.org/10.6084/m9.figshare.12887885</t>
  </si>
  <si>
    <t>https://doi.org/10.6084/m9.figshare.12377633</t>
  </si>
  <si>
    <r>
      <rPr>
        <rFont val="Arial"/>
        <color rgb="FF000000"/>
        <sz val="10.0"/>
      </rPr>
      <t>https://youtu.be/nrB9Jk1OFXo</t>
    </r>
    <r>
      <rPr>
        <rFont val="Arial"/>
        <color rgb="FF000000"/>
        <sz val="10.0"/>
      </rPr>
      <t xml:space="preserve"> - real link: </t>
    </r>
    <r>
      <rPr>
        <rFont val="Arial"/>
        <color rgb="FF000000"/>
        <sz val="10.0"/>
      </rPr>
      <t>https://www.youtube.com/watch?v=nrB9Jk1OFXo</t>
    </r>
  </si>
  <si>
    <t>https://git.io/JtnTa - real link: https://github.com/AI-4-SE/White-Box-Performance-Influence-Models</t>
  </si>
  <si>
    <t>https://archive.softwareheritage.org/browse/revision/2e61f8ce57498194c2af0cd76e87498a174f07fa/</t>
  </si>
  <si>
    <t>https://bit.ly/3bbbgG8 - real link: https://github.com/miguelvelezmj25/icse21-sm</t>
  </si>
  <si>
    <t>https://zelinzhao.github.io/pasta</t>
  </si>
  <si>
    <t>https://sites.google.com/view/beafixevaluation</t>
  </si>
  <si>
    <t>https://doi.org/10.6084/m9.figshare.13626776.v1</t>
  </si>
  <si>
    <t>https://tinyurl.com/y3qth6s3 - real link: https://www.dropbox.com/s/dawesh3zp01ik10/ReplicationPackage-ChatEO.zip?dl=0</t>
  </si>
  <si>
    <t>https://doi.org/10.6084/m9.figshare.12840053</t>
  </si>
  <si>
    <t>https://figshare.com/s/1544630863a64d94d994</t>
  </si>
  <si>
    <t>"Guiding engineers with the passive process engine environment," in Proc. of the 43rd Int’l Conf. on Software Engineering: Companion (ICSE-Companion). IEEE / ACM, 2021 - real link: https://dl.acm.org/doi/abs/10.1109/ICSE-Companion52605.2021.00033</t>
  </si>
  <si>
    <t>https://doi.org/10.5522/04/12890792 - real link: https://rdr.ucl.ac.uk/articles/dataset/Replication_Package_for_Enhancing_Genetic_Improvement_of_Software_with_Regression_Test_Selection_/12890792?file=26606801</t>
  </si>
  <si>
    <t>10.6084/m9.figshare.12887249 ; https://doi.org/10.6084/m9.figshare.12887249.v1</t>
  </si>
  <si>
    <t>https://github.com/SNTSVV/MAANA</t>
  </si>
  <si>
    <t>https://se.cs.ubc.ca/CodeShovel</t>
  </si>
  <si>
    <t>https://github.com/ataraxie/codeshovel</t>
  </si>
  <si>
    <r>
      <rPr>
        <rFont val="Arial"/>
        <color rgb="FF000000"/>
        <sz val="10.0"/>
      </rPr>
      <t>https://tinyurl.com/y9ymuv8j</t>
    </r>
    <r>
      <rPr>
        <rFont val="Arial"/>
        <color rgb="FF000000"/>
        <sz val="10.0"/>
      </rPr>
      <t xml:space="preserve"> - real link: </t>
    </r>
    <r>
      <rPr>
        <rFont val="Arial"/>
        <color rgb="FF000000"/>
        <sz val="10.0"/>
      </rPr>
      <t>https://drive.google.com/drive/folders/1Yv0dXDxy1autrCnimhIuh3Ut0DB52XkI</t>
    </r>
  </si>
  <si>
    <t>https://github.com/theosotr/cynthia</t>
  </si>
  <si>
    <t>https://doi.org/10.5281/zenodo.4455486</t>
  </si>
  <si>
    <t>https://doi.org/10.5281/zenodo.4450723</t>
  </si>
  <si>
    <t>https://github.com/AlshammariA/FlakeFlagger</t>
  </si>
  <si>
    <t>https://github.com/unsat/gentree</t>
  </si>
  <si>
    <t>https://doi.org/10.5281/zenodo.4514778</t>
  </si>
  <si>
    <t>https://github.com/vitsalis/pycg</t>
  </si>
  <si>
    <t>https://doi.org/10.5281/zenodo.4456583</t>
  </si>
  <si>
    <t>https://youtu.be/cs6LxbDGPXU - real link: https://www.youtube.com/watch?v=cs6LxbDGPXU</t>
  </si>
  <si>
    <t>https://github.com/VPDroid/Dev</t>
  </si>
  <si>
    <t>https://github.com/AUEB-BALab/fsmove/</t>
  </si>
  <si>
    <t>https://doi.org/10.5281/zenodo.3627895</t>
  </si>
  <si>
    <t>https://tinyurl.com/debugging-inputs-icse-2020 - real link: https://figshare.com/articles/conference_contribution/Artifact_Submission_for_Debugging_Inputs/11808732/1</t>
  </si>
  <si>
    <t>https://github.com/yirugi/JSFlowTamper</t>
  </si>
  <si>
    <t>https://sites.google.com/view/tampering-cases/</t>
  </si>
  <si>
    <t>https://github.com/parasol-aser/XRust</t>
  </si>
  <si>
    <t>https://hub.docker.com/repository/docker/geticliu/xrust-icse2020</t>
  </si>
  <si>
    <t>https://doi.org/10.6084/m9.figshare.11592033</t>
  </si>
  <si>
    <t>https://github.com/gmu-swe/rivulet</t>
  </si>
  <si>
    <t>http://tiny.cc/cps_bug_analysis - real link: https://sites.google.com/view/av-bug-study/home</t>
  </si>
  <si>
    <t>https://github.com/shuiblue/VisualHardFork</t>
  </si>
  <si>
    <t>https://github.com/shuiblue/ICSE20-hardfork-appendix</t>
  </si>
  <si>
    <t>https://github.com/smartbugs/smartbugs-results</t>
  </si>
  <si>
    <t>https://github.com/smartbugs/smartbugs-wild</t>
  </si>
  <si>
    <t>https://github.com/smartbugs/smartbugs</t>
  </si>
  <si>
    <t>https://smartbugs.github.io/</t>
  </si>
  <si>
    <t>https://bigquery.cloud.google.com/savedquery/281902325312:47fd9afda3f8495184d98db6ae36a40c</t>
  </si>
  <si>
    <r>
      <rPr>
        <rFont val="Arial"/>
        <color rgb="FF000000"/>
        <sz val="10.0"/>
      </rPr>
      <t>https://go.ncsu.edu/cross-lang-study</t>
    </r>
    <r>
      <rPr>
        <rFont val="Arial"/>
        <color rgb="FF000000"/>
        <sz val="10.0"/>
      </rPr>
      <t xml:space="preserve"> - real link: </t>
    </r>
    <r>
      <rPr>
        <rFont val="Arial"/>
        <color rgb="FF000000"/>
        <sz val="10.0"/>
      </rPr>
      <t>https://github.com/alt-code/Research/tree/master/CrossLanguageEmpirical</t>
    </r>
  </si>
  <si>
    <t>https://hub.docker.com/r/akondrahman/acid-puppet</t>
  </si>
  <si>
    <t>https://figshare.com/s/b2633bd4b1929267a451</t>
  </si>
  <si>
    <t>CoRR abs/1905.07147 - real link: https://arxiv.org/abs/1905.07147</t>
  </si>
  <si>
    <t>github.com/RRGWhite/icse20-main-1069-data</t>
  </si>
  <si>
    <t>https://doi.org/10.5281/zenodo.3637597</t>
  </si>
  <si>
    <t>https://bit.ly/38F5tUH - real link: https://zenodo.org/record/3627973#.Xi6jnxNKhTY</t>
  </si>
  <si>
    <t>https://doi.org/10.5281/zenodo.3628775</t>
  </si>
  <si>
    <t>https://doi.org/10.5281/zenodo.3628784</t>
  </si>
  <si>
    <t>https://doi.org/10.5281/zenodo.3628665</t>
  </si>
  <si>
    <t>https://doi.org/10.5281/zenodo.3628638</t>
  </si>
  <si>
    <t>https://doi.org/10.5281/zenodo.3628636</t>
  </si>
  <si>
    <t>https://doi.org/10.5281/zenodo.3629271</t>
  </si>
  <si>
    <t>https://doi.org/10.5281/zenodo.3628628</t>
  </si>
  <si>
    <t>https://github.com/mast-group/OpenVocabCodeNLM</t>
  </si>
  <si>
    <t>https://github.com/ARiSE-Lab/DeepInspect</t>
  </si>
  <si>
    <t>https://www.ariselab.info/deepinspect</t>
  </si>
  <si>
    <t>https://github.com/cesel/relationalgit</t>
  </si>
  <si>
    <t>https://github.com/cesel/Sofia</t>
  </si>
  <si>
    <t>https://github.com/apps/sofiarec</t>
  </si>
  <si>
    <t>https://mpi-sv.github.io/</t>
  </si>
  <si>
    <t>http://arxiv.org/abs/1803.06300</t>
  </si>
  <si>
    <t>https://github.com/kelloggm/object-construction-checker</t>
  </si>
  <si>
    <t>https://doi.org/10.5281/zenodo.3634993</t>
  </si>
  <si>
    <t>archive.softwareheritage.org/browse/origin/https://github.com/gzoumix/pdepa.git</t>
  </si>
  <si>
    <t>https://github.com/gzoumix/pdepa</t>
  </si>
  <si>
    <t>https://doi.org/10.6084/m9.figshare.11728914.v4</t>
  </si>
  <si>
    <t>https://doi.org/10.5281/zenodo.3633643</t>
  </si>
  <si>
    <t>https://hub.docker.com/r/gzoumix/pdepa</t>
  </si>
  <si>
    <t>http://bit.ly/2Z8zOKW - real link: https://cloudstor.aarnet.edu.au/plus/s/ZExf9BcejesKFQQ</t>
  </si>
  <si>
    <t>http://bit.ly/2ZcwNJO - real link: https://cloudstor.aarnet.edu.au/plus/s/gRcxEVi8lHhOiMH</t>
  </si>
  <si>
    <r>
      <rPr>
        <rFont val="Arial"/>
        <color rgb="FF000000"/>
        <sz val="10.0"/>
      </rPr>
      <t xml:space="preserve">http://bit.ly/2NqBB70 - real link: </t>
    </r>
    <r>
      <rPr>
        <rFont val="Arial"/>
        <color rgb="FF000000"/>
        <sz val="10.0"/>
      </rPr>
      <t>https://cloudstor.aarnet.edu.au/plus/s/R6Dzobs5sjv12Yi</t>
    </r>
  </si>
  <si>
    <t>https://github.com/yinliangze/yogar-cbmc-parallel</t>
  </si>
  <si>
    <t>https://github.com/yinliangze/Yin-ICSE2019-Artifact</t>
  </si>
  <si>
    <t>https://doi.org/10.5281/zenodo.2549359</t>
  </si>
  <si>
    <t>https://github.com/awsm-research/Rnalytica</t>
  </si>
  <si>
    <t>https://bit.ly/2MLSxFg - real link: https://s3.us-east-2.amazonaws.com/icse2018/index.html</t>
  </si>
  <si>
    <t>https://nguyenhoan.github.io/CPatMiner/</t>
  </si>
  <si>
    <t>https://docs.google.com/spreadsheets/d/1lK_UkwJP-W_8jcDde1L1DDrigFTs3oG6rwryNOApy60/edit#gid=0</t>
  </si>
  <si>
    <t>https://goo.gl/qXCMSm - real link: https://bitbucket.org/anonymous_author/icse2019proficiency/src/master/</t>
  </si>
  <si>
    <t>https://goo.gl/56fZNj - real link: https://bitbucket.org/anonymous_author/icse2019proficiency/raw/bcff2836422a7c831bed063a51e5671c96204a63/appendix.pdf</t>
  </si>
  <si>
    <t>http://sealuzh.github.io/PerformanceHat/</t>
  </si>
  <si>
    <t>https://github.com/sealuzh/PerformanceHat</t>
  </si>
  <si>
    <t>http://hyperloop.cs.uchicago.edu/panorama - real link: https://hyperloop-rails.github.io/panorama/</t>
  </si>
  <si>
    <t>https://hyperloop-rails.github.io/panorama/</t>
  </si>
  <si>
    <t>https://github.com/coinse/sadl</t>
  </si>
  <si>
    <t>https://coinse.github.io/sadl</t>
  </si>
  <si>
    <t>https://github.com/nandor/mkcheck</t>
  </si>
  <si>
    <t>https://doi.org/10.17863/CAM.35270 - real link: https://www.repository.cam.ac.uk/items/b5eab05b-ad57-44e6-843b-acb740438b38</t>
  </si>
  <si>
    <t>https://github.com/isstac/diffuzz</t>
  </si>
  <si>
    <t>http://swami.cs.umass.edu/ - real link: https://github.com/LASER-UMASS/Swami</t>
  </si>
  <si>
    <t>https://github.com/sorabae/android-typecheck</t>
  </si>
  <si>
    <t>https://plrg.kaist.ac.kr/lib/exe/fetch.php?media=research:material:supplement.pdf</t>
  </si>
  <si>
    <r>
      <rPr>
        <rFont val="Arial"/>
        <color rgb="FF000000"/>
        <sz val="10.0"/>
      </rPr>
      <t xml:space="preserve">doi: 10.5281/zenodo.2577372 - real link: </t>
    </r>
    <r>
      <rPr>
        <rFont val="Arial"/>
        <color rgb="FF000000"/>
        <sz val="10.0"/>
      </rPr>
      <t>https://doi.org/10.5281/zenodo.2577372</t>
    </r>
  </si>
  <si>
    <t>https://hub.docker.com/r/naegling/icse19-zop2</t>
  </si>
  <si>
    <t>http://www.bugswarm.org/</t>
  </si>
  <si>
    <t>https://github.com/BugSwarm/client</t>
  </si>
  <si>
    <t>https://git.io/fhQTt - real link: https://github.com/deekshaarya4/Info_Types_in_OSS_Issue_Discussions</t>
  </si>
  <si>
    <t>https://skillwind.github.io/RiddleDC/index.html</t>
  </si>
  <si>
    <t>https://github.com/skillwind/Empirical-Study-Subjects</t>
  </si>
  <si>
    <t>http://www.cc.gatech.edu/~orso/software/enlighten/ - real link: https://sites.google.com/site/enlightentool/</t>
  </si>
  <si>
    <t>forks-insight.com</t>
  </si>
  <si>
    <t>https://github.com/shuiblue/INFOX</t>
  </si>
  <si>
    <t>http://www.deflaker.org/</t>
  </si>
  <si>
    <t>https://github.com/gmu-swe/deflaker</t>
  </si>
  <si>
    <t>https://github.com/tsantalis/RefactoringMiner</t>
  </si>
  <si>
    <t>http://refactoring.encs.concordia.ca/oracle/</t>
  </si>
  <si>
    <t>https://github.com/MatinMan/RefactoringBenchmark</t>
  </si>
  <si>
    <t>https://goo.gl/wMg3vY - real link: https://docs.google.com/document/d/1L1-OHpuIJpZqZcXVcGYNQnKmvCpvzYUZ5Pg4frRzGGc/edit</t>
  </si>
  <si>
    <t>CoRR abs/1707.00015 - real link: https://arxiv.org/abs/1707.00015</t>
  </si>
  <si>
    <t>http://ravichugh.github.io/sketch-n-sketch/</t>
  </si>
  <si>
    <t>https://www.uni-marburg.de/fb12/arbeitsgruppen/swt/forschung/publikationen/</t>
  </si>
  <si>
    <t>https://github.com/KristopherBorn/multiCDA</t>
  </si>
  <si>
    <r>
      <rPr>
        <rFont val="Arial"/>
        <color rgb="FF000000"/>
        <sz val="10.0"/>
      </rPr>
      <t>http://uni-marburg.de/y35ak</t>
    </r>
    <r>
      <rPr>
        <rFont val="Arial"/>
        <color rgb="FF000000"/>
        <sz val="10.0"/>
      </rPr>
      <t xml:space="preserve"> - real link: https://www.mathematik.uni-marburg.de/~swt/downloads/icse18/replicationpackage.zip</t>
    </r>
  </si>
  <si>
    <t>http://github.com/hermanbanken/RxFiddle</t>
  </si>
  <si>
    <t>https://doi.org/10.5281/zenodo.814981</t>
  </si>
  <si>
    <t>https://goo.gl/KY1qRP - real link: https://docs.google.com/drawings/d/16hoFPPRZ1RZ65DBSUrXxB9ZVWqlHENj0jrojcE94uF0/edit</t>
  </si>
  <si>
    <t>https://goo.gl/VYXAj7 - real link: https://drive.google.com/file/d/0B5rOvtoPQyvXMDFGeTdkQlVYc2M/view?resourcekey=0-k6yZliEn7Uuyj-7I8hVrcw</t>
  </si>
  <si>
    <t>https://doi.org/10.7910/DVN/BZLSLA ; https://goo.gl/2NMjcF - real link: https://dataverse.harvard.edu/dataset.xhtml?persistentId=doi:10.7910/DVN/BZLSLA</t>
  </si>
  <si>
    <t>https://goo.gl/VKPm4U - real link: https://docs.google.com/document/d/1HCGGtG1YbkdlH7qWURicfbiVA5FhLSKmt2QCF4HCYHw/edit</t>
  </si>
  <si>
    <t>http://tiny.cc/smotuned - real link: https://github.com/ai-se/Smote_tune | http://tiny.cc/raw_auc - real link: https://github.com/ai-se/Smote_tune/issues/26</t>
  </si>
  <si>
    <t>http://tiny.cc/mahakil - real link: https://github.com/ai-se/MAHAKIL_imbalance</t>
  </si>
  <si>
    <t>https://goo.gl/qDduYQ - real link: https://drive.google.com/open?id=0BzU6tcpRT7fIam5HcWJVNFNNeGc</t>
  </si>
  <si>
    <t>https://doi.org/10.5281/zenodo.1171119</t>
  </si>
  <si>
    <t>https://doi.org/10.5281/zenodo.1170460</t>
  </si>
  <si>
    <t>https://doi.org/10.5281/zenodo.1171117</t>
  </si>
  <si>
    <t>http://bitbucket.org/hilap/scala-enumerating-synthesizer/</t>
  </si>
  <si>
    <t>http://bitbucket.org/hilap/gim-ui/</t>
  </si>
  <si>
    <t>https://github.com/cuplv/droidstar</t>
  </si>
  <si>
    <t>http://arxiv.org/abs/1701.07842</t>
  </si>
  <si>
    <t>https://www.sosy-lab.org/research/reducer/</t>
  </si>
  <si>
    <t>https://doi.org/10.5281/zenodo.1172228</t>
  </si>
  <si>
    <t>https://goo.gl/qovXQw - real link: https://drive.google.com/file/d/0BxWiqZxPDSN7V2hTb3FwdkZXN1U/view?usp=sharing</t>
  </si>
  <si>
    <t>https://goo.gl/8zb9LU - real link: https://docs.google.com/spreadsheets/d/1dUTKScoRCrcc5Vjk7Kv-nRlxI5AMprOD34p-VV7HHQg/edit#gid=0</t>
  </si>
  <si>
    <t>https://goo.gl/jHWpq3 - real link: https://docs.google.com/spreadsheets/d/1AAaH3nx6bLVhNO_IznfnVJAq3yG9TzjQZJ9ujyIxIxw/edit#gid=0</t>
  </si>
  <si>
    <t>https://goo.gl/3iy9eL - real link: https://docs.google.com/spreadsheets/d/1zdJrpeRedG5gokbCsQ2MCqKyXlgVAskk4wCeXxK8kgA/edit#gid=0</t>
  </si>
  <si>
    <t>https://goo.gl/qCboSX - real link: https://docs.google.com/spreadsheets/d/1m-aW2VCvweDsz_eUw3gbtjXhBro-3ZYeTejlVeb779E/edit#gid=0</t>
  </si>
  <si>
    <t>https://doi.org/10.5281/zenodo.1166023</t>
  </si>
  <si>
    <r>
      <rPr>
        <rFont val="Arial"/>
        <color rgb="FF000000"/>
        <sz val="10.0"/>
      </rPr>
      <t>https://github.com/SERG-Delft/evosql</t>
    </r>
    <r>
      <rPr>
        <rFont val="Arial"/>
        <color rgb="FF000000"/>
        <sz val="10.0"/>
      </rPr>
      <t xml:space="preserve"> - </t>
    </r>
    <r>
      <rPr>
        <rFont val="Arial"/>
        <color rgb="FF000000"/>
        <sz val="10.0"/>
      </rPr>
      <t>https://github.com/SERG-Delft/evosql/releases/tag/icse</t>
    </r>
  </si>
  <si>
    <r>
      <rPr>
        <rFont val="Arial"/>
        <color rgb="FF000000"/>
        <sz val="10.0"/>
      </rPr>
      <t>http://tiny.cc/ICSE17</t>
    </r>
    <r>
      <rPr>
        <rFont val="Arial"/>
        <color rgb="FF000000"/>
        <sz val="10.0"/>
      </rPr>
      <t xml:space="preserve"> - real link: https://users.encs.concordia.ca/~nikolaos/ICSE_2017/</t>
    </r>
  </si>
  <si>
    <t>https://github.com/tsantalis/jdeodorant-commandline</t>
  </si>
  <si>
    <t>https://github.com/tsantalis/JDeodorant/tree/JLS8-support</t>
  </si>
  <si>
    <t>http://cuny.is/interefact</t>
  </si>
  <si>
    <r>
      <rPr>
        <rFont val="Arial"/>
        <color rgb="FF000000"/>
        <sz val="10.0"/>
      </rPr>
      <t>http://git.io/v2nX0</t>
    </r>
    <r>
      <rPr>
        <rFont val="Arial"/>
        <color rgb="FF000000"/>
        <sz val="10.0"/>
      </rPr>
      <t xml:space="preserve"> - real link: </t>
    </r>
    <r>
      <rPr>
        <rFont val="Arial"/>
        <color rgb="FF000000"/>
        <sz val="10.0"/>
      </rPr>
      <t>https://github.com/ponder-lab/Migrate-Skeletal-Implementation-to-Interface-Refactoring</t>
    </r>
  </si>
  <si>
    <t>https://github.com/njuap/ICSE2017</t>
  </si>
  <si>
    <t>https://www.surveymonkey.com/r/VSDMGSB</t>
  </si>
  <si>
    <t>https://www.surveymonkey.com/r/VWZX7L7</t>
  </si>
  <si>
    <r>
      <rPr>
        <rFont val="Arial"/>
        <color rgb="FF000000"/>
        <sz val="10.0"/>
      </rPr>
      <t>http://linyun.info/microbat/</t>
    </r>
    <r>
      <rPr>
        <rFont val="Arial"/>
        <color rgb="FF000000"/>
        <sz val="10.0"/>
      </rPr>
      <t xml:space="preserve"> - </t>
    </r>
    <r>
      <rPr>
        <rFont val="Arial"/>
        <color rgb="FF000000"/>
        <sz val="10.0"/>
      </rPr>
      <t>http://linyun.info/microbat/report.pdf</t>
    </r>
    <r>
      <rPr>
        <rFont val="Arial"/>
        <color rgb="FF000000"/>
        <sz val="10.0"/>
      </rPr>
      <t xml:space="preserve"> </t>
    </r>
  </si>
  <si>
    <t>https://github.com/llmhyy/microbat</t>
  </si>
  <si>
    <t>https://github.com/llmhyy/microbat_experiment</t>
  </si>
  <si>
    <r>
      <rPr>
        <rFont val="Arial"/>
        <color rgb="FF000000"/>
        <sz val="10.0"/>
      </rPr>
      <t xml:space="preserve">arXiv:1608.07754 - real link: </t>
    </r>
    <r>
      <rPr>
        <rFont val="Arial"/>
        <color rgb="FF000000"/>
        <sz val="10.0"/>
      </rPr>
      <t>https://arxiv.org/abs/1608.07754</t>
    </r>
  </si>
  <si>
    <t>https://github.com/Adobee/ACS</t>
  </si>
  <si>
    <r>
      <rPr>
        <rFont val="Arial"/>
        <color rgb="FF000000"/>
        <sz val="10.0"/>
      </rPr>
      <t>http://mcoblenz.github.io/Glacier/</t>
    </r>
    <r>
      <rPr>
        <rFont val="Arial"/>
        <color rgb="FF000000"/>
        <sz val="10.0"/>
      </rPr>
      <t xml:space="preserve"> - real link: </t>
    </r>
    <r>
      <rPr>
        <rFont val="Arial"/>
        <color rgb="FF000000"/>
        <sz val="10.0"/>
      </rPr>
      <t>http://glacier.coblenz.us/</t>
    </r>
  </si>
  <si>
    <t>https://doi.org/10.5281/zenodo.163326</t>
  </si>
  <si>
    <t>https://doi.org/10.5281/zenodo.162926</t>
  </si>
  <si>
    <r>
      <rPr>
        <rFont val="Arial"/>
        <color rgb="FF000000"/>
        <sz val="10.0"/>
      </rPr>
      <t>http://go.barik.net/gazerbeams</t>
    </r>
    <r>
      <rPr>
        <rFont val="Arial"/>
        <color rgb="FF000000"/>
        <sz val="10.0"/>
      </rPr>
      <t xml:space="preserve"> - real link: </t>
    </r>
    <r>
      <rPr>
        <rFont val="Arial"/>
        <color rgb="FF000000"/>
        <sz val="10.0"/>
      </rPr>
      <t>https://static.barik.net/barik/gazerbeams/index.html</t>
    </r>
  </si>
  <si>
    <t>https://sites.google.com/site/monkeyislearning/home/formal-model</t>
  </si>
  <si>
    <t>https://sites.google.com/site/monkeyislearning/rnn</t>
  </si>
  <si>
    <t>https://sites.google.com/site/monkeyislearning/non-crash-cases</t>
  </si>
  <si>
    <t>https://github.com/aperez/evosuite</t>
  </si>
  <si>
    <t>https://github.com/aperez/ddu-maven-plugin</t>
  </si>
  <si>
    <t>http://www.code-defenders.org/</t>
  </si>
  <si>
    <t>http://study.code-defenders.org</t>
  </si>
  <si>
    <r>
      <rPr>
        <rFont val="Arial"/>
        <color rgb="FF000000"/>
        <sz val="10.0"/>
      </rPr>
      <t>http://tinyurl.com/symext</t>
    </r>
    <r>
      <rPr>
        <rFont val="Arial"/>
        <color rgb="FF000000"/>
        <sz val="10.0"/>
      </rPr>
      <t xml:space="preserve"> - real link: </t>
    </r>
    <r>
      <rPr>
        <rFont val="Arial"/>
        <color rgb="FF000000"/>
        <sz val="10.0"/>
      </rPr>
      <t>https://drive.google.com/file/d/0B9J17I0oaJEec1YzTkY5djQtb3M/view?usp=sharing</t>
    </r>
  </si>
  <si>
    <r>
      <rPr>
        <rFont val="Arial"/>
        <color rgb="FF000000"/>
        <sz val="10.0"/>
      </rPr>
      <t>http://tinyurl.com/jz4akby</t>
    </r>
    <r>
      <rPr>
        <rFont val="Arial"/>
        <color rgb="FF000000"/>
        <sz val="10.0"/>
      </rPr>
      <t xml:space="preserve"> - real link: </t>
    </r>
    <r>
      <rPr>
        <rFont val="Arial"/>
        <color rgb="FF000000"/>
        <sz val="10.0"/>
      </rPr>
      <t>https://sites.google.com/site/davidfaitelsonacademic/refinement-of-uml-diagrams</t>
    </r>
  </si>
  <si>
    <r>
      <rPr>
        <rFont val="Arial"/>
        <color rgb="FF000000"/>
        <sz val="10.0"/>
      </rPr>
      <t>http://bit.ly/1PWVviz</t>
    </r>
    <r>
      <rPr>
        <rFont val="Arial"/>
        <color rgb="FF000000"/>
        <sz val="10.0"/>
      </rPr>
      <t xml:space="preserve"> - real link: </t>
    </r>
    <r>
      <rPr>
        <rFont val="Arial"/>
        <color rgb="FF000000"/>
        <sz val="10.0"/>
      </rPr>
      <t>https://docs.google.com/document/d/1pDYIFxrMe6H6DTBtoHyeEAUDcRR-ftdYOp3bsaJlyXw/edit</t>
    </r>
  </si>
  <si>
    <t>http://codetube.inf.usi.ch/</t>
  </si>
  <si>
    <t>http://codetube.inf.usi.ch/view?id=BVhBEdLVxGY</t>
  </si>
  <si>
    <t>http://codetube.inf.usi.ch/view?id=pNxsCXicqGM</t>
  </si>
  <si>
    <t>http://codetube.inf.usi.ch/view?id=1C4RNtaPXxE</t>
  </si>
  <si>
    <t>http://codetube.inf.usi.ch/view?id=ROA7n27JFNs</t>
  </si>
  <si>
    <t>http://codetube.inf.usi.ch/view?id=1UE7dJ7DK</t>
  </si>
  <si>
    <t>http://dx.doi.org/10.5281/zenodo.46063</t>
  </si>
  <si>
    <t>http://ghtorrent.org/pullreq-perf/</t>
  </si>
  <si>
    <t>http://dx.doi.org/10.5281/zenodo.45120</t>
  </si>
  <si>
    <t>http://www.ifi.uzh.ch/seal/people/panichella/TestOption.txt</t>
  </si>
  <si>
    <t>http://www.ifi.uzh.ch/seal/people/panichella/tools/TestDescriber/Survey.pdf</t>
  </si>
  <si>
    <t>http://www.dsc.ufcg.edu.br/~spg/sampling/</t>
  </si>
  <si>
    <t>A Comparison of 10 Sampling Algorithms for Configurable Systems. arXiv.org, cs.SE - real link: https://arxiv.org/abs/1602.02052</t>
  </si>
  <si>
    <t>http://www4.in.tum.de/~eckharjo/DecisionTree.pdf</t>
  </si>
  <si>
    <t>http://www4.in.tum.de/~eckharjo/PatternList.pdf</t>
  </si>
  <si>
    <r>
      <rPr>
        <rFont val="Arial"/>
        <color rgb="FF000000"/>
        <sz val="10.0"/>
      </rPr>
      <t>http://dx.doi.org/10.17635/lancaster/researchdata/60</t>
    </r>
    <r>
      <rPr>
        <rFont val="Arial"/>
        <color rgb="FF000000"/>
        <sz val="10.0"/>
      </rPr>
      <t xml:space="preserve"> - real link: </t>
    </r>
    <r>
      <rPr>
        <rFont val="Arial"/>
        <color rgb="FF000000"/>
        <sz val="10.0"/>
      </rPr>
      <t>https://www.research.lancs.ac.uk/portal/en/datasets/data-exfiltration-incident-analysis-results(1eb82152-2697-494f-8292-b712ba6f4f53).html</t>
    </r>
  </si>
  <si>
    <t>http://arxiv.org/abs/1508.06613</t>
  </si>
  <si>
    <t>https://bitbucket.org/krle/mtlmapreduce</t>
  </si>
  <si>
    <t>http://iser.ruc.edu.cn/ReferenceHijacking/MalwareDetection.pdf</t>
  </si>
  <si>
    <t>http://iser.ruc.edu.cn/ReferenceHijacking/ApplicationDetection.pdf</t>
  </si>
  <si>
    <r>
      <rPr>
        <rFont val="Arial"/>
        <color rgb="FF000000"/>
        <sz val="10.0"/>
      </rPr>
      <t>https://goo.gl/GAeg6a</t>
    </r>
    <r>
      <rPr>
        <rFont val="Arial"/>
        <color rgb="FF000000"/>
        <sz val="10.0"/>
      </rPr>
      <t xml:space="preserve"> - real link: </t>
    </r>
    <r>
      <rPr>
        <rFont val="Arial"/>
        <color rgb="FF000000"/>
        <sz val="10.0"/>
      </rPr>
      <t>https://www.dropbox.com/s/kppufx9w4sawwxd/HASE-2016-001.pdf?dl=0</t>
    </r>
  </si>
  <si>
    <t>Technical Report CS-2015-14 - real link: https://cs.uwaterloo.ca/sites/ca.computer-science/files/uploads/files/cs-2015-15.pdf</t>
  </si>
  <si>
    <t>https://cs.uwaterloo.ca/~okononen/review_quality/</t>
  </si>
  <si>
    <r>
      <rPr>
        <rFont val="Arial"/>
        <color rgb="FF000000"/>
        <sz val="10.0"/>
      </rPr>
      <t xml:space="preserve">CoRR abs/1501.05338 - real link </t>
    </r>
    <r>
      <rPr>
        <rFont val="Arial"/>
        <color rgb="FF000000"/>
        <sz val="10.0"/>
      </rPr>
      <t>https://arxiv.org/abs/1501.05338</t>
    </r>
  </si>
  <si>
    <t>http://www.cs.utexas.edu/users/jongwook/r3/</t>
  </si>
  <si>
    <t>http://www.cs.utexas.edu/~jongwook/r2/jdtrefactoringbugs.html</t>
  </si>
  <si>
    <t>http://siis.cse.psu.edu/coal/</t>
  </si>
  <si>
    <t>http://siis.cse.psu.edu/ic3/</t>
  </si>
  <si>
    <t>http://mir.cs.illinois.edu/yunyounglee/TempuraUserGuide.pdf</t>
  </si>
  <si>
    <t>http://mir.cs.illinois.edu/tempura</t>
  </si>
  <si>
    <t>https://github.com/reprogrammer/cascade</t>
  </si>
  <si>
    <t>https://github.com/reprogrammer/tqi-study</t>
  </si>
  <si>
    <t>https://github.com/gousiosg/pullreqs-integratorsgousiosg/pullreqs-integrators</t>
  </si>
  <si>
    <t>https://www.cs.utexas.edu/~mengna09/projects.html</t>
  </si>
  <si>
    <r>
      <rPr>
        <rFont val="Arial"/>
        <color rgb="FF000000"/>
        <sz val="10.0"/>
      </rPr>
      <t>http://tinyurl.com/ormdqpy</t>
    </r>
    <r>
      <rPr>
        <rFont val="Arial"/>
        <color rgb="FF000000"/>
        <sz val="10.0"/>
      </rPr>
      <t xml:space="preserve"> - real link: </t>
    </r>
    <r>
      <rPr>
        <rFont val="Arial"/>
        <color rgb="FF000000"/>
        <sz val="10.0"/>
      </rPr>
      <t>http://www.dmi.unisa.it/people/bavota/www/reports/smell-introduction/</t>
    </r>
  </si>
  <si>
    <t>http://hdl.handle.net/1721.1/89157</t>
  </si>
  <si>
    <t>http://alloy.mit.edu/alloy/hola</t>
  </si>
  <si>
    <t>https://www.dropbox.com/sh/7y7xv2h19p4qnas/AAD2eXuhbdZ7OF5iN1rUPmUaa?dl=0</t>
  </si>
  <si>
    <t>https://www.dropbox.com/sh/i7i9im898db4u0n/AAA06ZXgJ1DNEWUkagA7v_Hda?dl=0</t>
  </si>
  <si>
    <t>http://sourceforge.net/projects/cf-ltsa/</t>
  </si>
  <si>
    <t>http://dc.exa.unrc.edu.ar/staff/gregis/ICSE2015</t>
  </si>
  <si>
    <t>https://bitbucket.org/nanzs/rosettacodedata</t>
  </si>
  <si>
    <t>http://arxiv.org/abs/1409.0252</t>
  </si>
  <si>
    <r>
      <rPr>
        <rFont val="Arial"/>
        <color rgb="FF000000"/>
        <sz val="10.0"/>
      </rPr>
      <t>http://tinyurl.com/mgwo9le</t>
    </r>
    <r>
      <rPr>
        <rFont val="Arial"/>
        <color rgb="FF000000"/>
        <sz val="10.0"/>
      </rPr>
      <t xml:space="preserve"> - real link: https://personal.utdallas.edu/~lmorenoc/research/icse2015</t>
    </r>
  </si>
  <si>
    <r>
      <rPr>
        <rFont val="Arial"/>
        <color rgb="FF000000"/>
        <sz val="10.0"/>
      </rPr>
      <t>http://tinyurl.com/msvvusw</t>
    </r>
    <r>
      <rPr>
        <rFont val="Arial"/>
        <color rgb="FF000000"/>
        <sz val="10.0"/>
      </rPr>
      <t xml:space="preserve"> - real link: https://personal.utdallas.edu/~lmorenoc/research/icse2015/commons-io-2.4/api-2.4/org/apache/commons/io/FileUtils.html</t>
    </r>
  </si>
  <si>
    <t>Microsoft Research (MSR-TR-2014-24) - real link: https://www.microsoft.com/en-us/research/wp-content/uploads/2016/02/MSR-TR-2014-24.pdf</t>
  </si>
  <si>
    <t>http://people.engr.ncsu.edu/ermurph3/experiments/Games.pdf</t>
  </si>
  <si>
    <r>
      <rPr>
        <rFont val="Arial"/>
        <color rgb="FF000000"/>
        <sz val="10.0"/>
      </rPr>
      <t xml:space="preserve">TR UU-CS-2014-004 - real link: </t>
    </r>
    <r>
      <rPr>
        <rFont val="Arial"/>
        <color rgb="FF000000"/>
        <sz val="10.0"/>
      </rPr>
      <t>https://www.cs.uu.nl/research/techreps/UU-CS-2014-004.html</t>
    </r>
  </si>
  <si>
    <t>http://www.servicifi.org</t>
  </si>
  <si>
    <t>http://cseweb.ucsd.edu/~peh003/perfscope</t>
  </si>
  <si>
    <t>http://ideone.com/6d70fJ</t>
  </si>
  <si>
    <r>
      <rPr>
        <rFont val="Arial"/>
        <color rgb="FF000000"/>
        <sz val="10.0"/>
        <u/>
      </rPr>
      <t>http://dx.doi.org/10.7910/DVN/24574</t>
    </r>
    <r>
      <rPr>
        <rFont val="Arial"/>
        <color rgb="FF000000"/>
        <sz val="10.0"/>
      </rPr>
      <t xml:space="preserve"> - real link: </t>
    </r>
    <r>
      <rPr>
        <rFont val="Arial"/>
        <color rgb="FF000000"/>
        <sz val="10.0"/>
      </rPr>
      <t>https://dataverse.harvard.edu/dataset.xhtml?persistentId=doi:10.7910/DVN/24574</t>
    </r>
  </si>
  <si>
    <t>http://gsd.uwaterloo.ca/farce</t>
  </si>
  <si>
    <t>https://bitbucket.org/tberger/farce</t>
  </si>
  <si>
    <t>http://bodden.de/pubs/TUD-CS-2013-0253.pdf</t>
  </si>
  <si>
    <t>http://sseblog.ec-spride.de/tools/reviser/</t>
  </si>
  <si>
    <t>http://www.comp.nus.edu.sg/˜sugx/icse14/</t>
  </si>
  <si>
    <t>http://www.github.com/caiusb/gitsvn</t>
  </si>
  <si>
    <t>http://cope.eecs.oregonstate.edu/VCStudy</t>
  </si>
  <si>
    <t>http://tiny.cc/VCStudy</t>
  </si>
  <si>
    <r>
      <rPr>
        <rFont val="Arial"/>
        <color rgb="FF000000"/>
        <sz val="10.0"/>
      </rPr>
      <t xml:space="preserve">Github repository gousiosg/pullreqs - real link: </t>
    </r>
    <r>
      <rPr>
        <rFont val="Arial"/>
        <color rgb="FF000000"/>
        <sz val="10.0"/>
      </rPr>
      <t>http://www.github.com/gousiosg/pullreqs</t>
    </r>
  </si>
  <si>
    <r>
      <rPr>
        <rFont val="Arial"/>
        <color rgb="FF000000"/>
        <sz val="10.0"/>
      </rPr>
      <t>tinyurl.com/ProgramComprehensionAndfMRI/</t>
    </r>
    <r>
      <rPr>
        <rFont val="Arial"/>
        <color rgb="FF000000"/>
        <sz val="10.0"/>
      </rPr>
      <t xml:space="preserve"> - real link: https://www.tu-chemnitz.de/informatik/ST/research/material/fMRI/index.php</t>
    </r>
  </si>
  <si>
    <t>http://hdl.handle.net/2429/46122</t>
  </si>
  <si>
    <t>http://synoptic.googlecode.com/</t>
  </si>
  <si>
    <t>https://bitbucket.org/bestchai/shivector/</t>
  </si>
  <si>
    <t>http://www.bestchai.net/papers/icse2014_csight_eval/</t>
  </si>
  <si>
    <t>https://github.com/Programming-Systems-Lab/vmvm</t>
  </si>
  <si>
    <t>http://mice.cs.columbia.edu/getTechreport.php?techreportID=1549&amp;format=pdf</t>
  </si>
  <si>
    <t>http://selab.fbk.eu/icse2014.zip</t>
  </si>
  <si>
    <t>http://se.fbk.eu/technologies</t>
  </si>
  <si>
    <t>http://www.cs.berkeley.edu/~joel/codehint/</t>
  </si>
  <si>
    <t>https://github.com/jgalenson/codehint</t>
  </si>
  <si>
    <t>https://github.com/jgalenson/codehint.js</t>
  </si>
  <si>
    <t>http://hdl.handle.net/2142/43889</t>
  </si>
  <si>
    <t>http://codingtracker.web.engr.illinois.edu</t>
  </si>
  <si>
    <t>Technical report - real link: https://cs.gmu.edu/media/techreports/GMU-CS-TR-2011-3.pdf</t>
  </si>
  <si>
    <t>www.cs.ucl.ac.uk/staff/e.letier/sdda</t>
  </si>
  <si>
    <t>http://lists.debian.org/debian-devel/2013/06/msg00720.html</t>
  </si>
  <si>
    <t>http://www.forallsecure.com/summaries</t>
  </si>
  <si>
    <t>tinyurl.com/ProgramComprehensionAndfMRI/ - real link: https://www.tu-chemnitz.de/informatik/ST/research/material/fMRI/index.php</t>
  </si>
  <si>
    <t>https://github.com/nkcsgexi/GhostFactor2</t>
  </si>
  <si>
    <t>https://sites.google.com/site/ghostfactorstudy/</t>
  </si>
  <si>
    <t>http://learnasync.net/</t>
  </si>
  <si>
    <t>https://github.com/semihokur/wpcollector</t>
  </si>
  <si>
    <t>https://debugging-assumptions.github.io/</t>
  </si>
  <si>
    <t>https://figshare.com/articles/conference_contribution/Debugging_Assumptions_Artifact/21786743</t>
  </si>
  <si>
    <t>https://doi.org/10.5281/zenodo.7578677</t>
  </si>
  <si>
    <t>https://sites.google.com/view/PExReport/home</t>
  </si>
  <si>
    <t>https://github.com/feifeiniu-se/traceability</t>
  </si>
  <si>
    <t>https://github.com/feifeiniu-se/RAT</t>
  </si>
  <si>
    <t>https://doi.org/10.5281/zenodo.7528202</t>
  </si>
  <si>
    <t>https://smlab.cs.tau.ac.il/syntech/asmcores/</t>
  </si>
  <si>
    <t>https://github.com/secure-software-engineering/upcy</t>
  </si>
  <si>
    <t>https://doi.org/10.5281/zenodo.7037673</t>
  </si>
  <si>
    <t>https://doi.org/10.6084/m9.figshare.21966875.v1</t>
  </si>
  <si>
    <t>https://github.com/SKKU-SecLab/SmartMark.git</t>
  </si>
  <si>
    <t>https://unsafebtc.com/</t>
  </si>
  <si>
    <t>https://github.com/InPlusLab/bshunter-btcd</t>
  </si>
  <si>
    <t>https://doi.org/10.5281/zenodo.7625865</t>
  </si>
  <si>
    <t>https://github.com/jose/qsmell</t>
  </si>
  <si>
    <t>https://anonymous.4open.science/r/reachable_coverage-experiments</t>
  </si>
  <si>
    <t>https://doi.org/10.5281/zenodo.7571359</t>
  </si>
  <si>
    <t>https://anonymous.4open.science/r/reachable_coverage-experiments/data/experimental_data.zip</t>
  </si>
  <si>
    <t>https://www.fuzzbench.com/reports/2021-04-11-7d-paper</t>
  </si>
  <si>
    <t>https://www.fuzzbench.com/reports/2021-04-23-7d-paper</t>
  </si>
  <si>
    <t>https://www.fuzzbench.com/reports/2021-07-10-redo-7d</t>
  </si>
  <si>
    <t>https://www.fuzzbench.com/reports/2021-08-19-crash-s-7d</t>
  </si>
  <si>
    <t>https://gitlab.lrz.de/fuzztastic/</t>
  </si>
  <si>
    <t>https://sites.google.com/view/bftcases</t>
  </si>
  <si>
    <t>https://github.com/jspaper22/bftdetector</t>
  </si>
  <si>
    <t>https://github.com/wsong-nj/PTPDroid</t>
  </si>
  <si>
    <t>https://doi.org/10.5281/zenodo.5442986</t>
  </si>
  <si>
    <t>https://doi.org/10.5281/zenodo.7321934</t>
  </si>
  <si>
    <t>https://github.com/NougatCA/CrossCodeBench</t>
  </si>
  <si>
    <t>https://github.com/ICSE-2023/RepresentThemALL</t>
  </si>
  <si>
    <t>https://huggingface.co/Colorful/RTA</t>
  </si>
  <si>
    <t>https://bit.ly/3H7R1aI - real link: https://archive.softwareheritage.org/browse/origin/directory/?origin_url=https://github.com/RAISEDAL/bugsplainer-icse23</t>
  </si>
  <si>
    <t>https://doi.org/10.5281/zenodo.6526833</t>
  </si>
  <si>
    <t>https://doi.org/10.5281/zenodo.7042616</t>
  </si>
  <si>
    <t>https://smlab.cs.tau.ac.il/syntech/spectra/</t>
  </si>
  <si>
    <t>https://github.com/SpectraSynthesizer</t>
  </si>
  <si>
    <t>https://doi.org/10.5281/zenodo.7568415</t>
  </si>
  <si>
    <t>https://smlab.cs.tau.ac.il/syntech/triggers/</t>
  </si>
  <si>
    <t>https://doi.org/10.5281/zenodo.7566397</t>
  </si>
  <si>
    <t>https://drive.google.com/drive/folders/1FKhZTQzkj-QpTdPE9f_L9Gn_pFP_EdBi</t>
  </si>
  <si>
    <t>https://github.com/SoftWiser-group/AdvOC</t>
  </si>
  <si>
    <t>https://github.com/soarsmu/Chronos</t>
  </si>
  <si>
    <t>https://figshare.com/articles/software/Chronos-ICSE23/22082075</t>
  </si>
  <si>
    <r>
      <rPr>
        <rFont val="Arial"/>
        <color rgb="FF000000"/>
        <sz val="10.0"/>
      </rPr>
      <t>https://doi.org/10.6084/m9.figshare.21922731</t>
    </r>
    <r>
      <rPr>
        <rFont val="Arial"/>
        <color rgb="FF000000"/>
        <sz val="10.0"/>
      </rPr>
      <t xml:space="preserve"> - real link: https://figshare.com/articles/conference_contribution/icse2023-paper908-replication-pkg/21922731</t>
    </r>
  </si>
  <si>
    <r>
      <rPr>
        <rFont val="Arial"/>
        <color rgb="FF000000"/>
        <sz val="10.0"/>
      </rPr>
      <t>https://doi.org/10.7910/DVN/OHMYAK</t>
    </r>
    <r>
      <rPr>
        <rFont val="Arial"/>
        <color rgb="FF000000"/>
        <sz val="10.0"/>
      </rPr>
      <t xml:space="preserve"> - real link: https://dataverse.harvard.edu/dataset.xhtml?persistentId=doi:10.7910/DVN/OHMYAK</t>
    </r>
  </si>
  <si>
    <t>https://doi.org/10.5281/zenodo.7554407</t>
  </si>
  <si>
    <t>https://github.com/donald-pinckney/pacsolve</t>
  </si>
  <si>
    <t>https://github.com/sumonbis/Fairify</t>
  </si>
  <si>
    <t>osf.io/mz29b</t>
  </si>
  <si>
    <t>https://github.com/setu1421/ICSE-2023-Artifacts</t>
  </si>
  <si>
    <t>https://figshare.com/s/1532991322add36e2eb5</t>
  </si>
  <si>
    <t>https://figshare.com/s/edebdcb73def3bdb7cfb</t>
  </si>
  <si>
    <t>https://github.com/apache/incubator-teaclave-java-tee-sdk</t>
  </si>
  <si>
    <t>https://github.com/MatthewXY01/Lejacon</t>
  </si>
  <si>
    <t>https://doi.org/10.5281/zenodo.6526011</t>
  </si>
  <si>
    <t>https://doi.org/10.5281/zenodo.7578926</t>
  </si>
  <si>
    <t>https://doi.org/10.5281/zenodo.7578909</t>
  </si>
  <si>
    <t>https://github.com/xlab-uiuc/uRTS-ae</t>
  </si>
  <si>
    <r>
      <rPr>
        <rFont val="Arial"/>
        <color rgb="FF000000"/>
        <sz val="10.0"/>
        <u/>
      </rPr>
      <t>https://anonymous.4open.science/r/DL_CC-4000/</t>
    </r>
    <r>
      <rPr>
        <rFont val="Arial"/>
        <color rgb="FF000000"/>
        <sz val="10.0"/>
      </rPr>
      <t xml:space="preserve"> - real link: </t>
    </r>
    <r>
      <rPr>
        <rFont val="Arial"/>
        <color rgb="FF000000"/>
        <sz val="10.0"/>
      </rPr>
      <t>https://github.com/ZhenlanJi/DL_CC</t>
    </r>
    <r>
      <rPr>
        <rFont val="Arial"/>
        <color rgb="FF000000"/>
        <sz val="10.0"/>
      </rPr>
      <t xml:space="preserve"> </t>
    </r>
  </si>
  <si>
    <t>https://github.com/llylly/RANUM</t>
  </si>
  <si>
    <t>https://arxiv.org/pdf/2302.06086.pdf</t>
  </si>
  <si>
    <t>https://github.com/DehaiZhao/SeeHow</t>
  </si>
  <si>
    <t>http://seecollections.com/seehow/example</t>
  </si>
  <si>
    <t>https://github.com/SageSELab/AidUI</t>
  </si>
  <si>
    <t>https://doi.org/10.5281/zenodo.7578246</t>
  </si>
  <si>
    <t>https://sagelab.io/aidui/</t>
  </si>
  <si>
    <t>https://youtu.be/u8Rgh5bruAE - real link: https://www.youtube.com/watch?v=u8Rgh5bruAE</t>
  </si>
  <si>
    <t>https://github.com/franklinbill/ArchiDroid</t>
  </si>
  <si>
    <t>https://github.com/Yanwords/DLInfer_dataset</t>
  </si>
  <si>
    <t>https://doi.org/10.5281/zenodo.7575544</t>
  </si>
  <si>
    <t>https://github.com/NougatCA/FineTuner</t>
  </si>
  <si>
    <t>https://doi.org/10.5281/zenodo.7318110</t>
  </si>
  <si>
    <t>https://doi.org/10.5281/zenodo.6521826</t>
  </si>
  <si>
    <t>https://archive.softwareheritage.org/browse/directory/bc493ad1d1631b4ae92b007340fdba3df4518526/</t>
  </si>
  <si>
    <t>https://anonymous.4open.science/r/sibyl-884E</t>
  </si>
  <si>
    <t>http://ariselab.cse.cuhk.edu.hk/projects.html</t>
  </si>
  <si>
    <t>https://github.com/Jarviswang94/MTTM</t>
  </si>
  <si>
    <t>https://sites.google.com/view/fshader/</t>
  </si>
  <si>
    <t>https://fshader2023.github.io/</t>
  </si>
  <si>
    <t>https://github.com/sola-st/MorphQ-Quantum-Qiskit-Testing-ICSE-23</t>
  </si>
  <si>
    <t>https://figshare.com/s/dd0d4af20fd6e06148a3</t>
  </si>
  <si>
    <t>https://zenodo.org/record/7575881</t>
  </si>
  <si>
    <t>https://doi.org/10.5281/zenodo.7348518</t>
  </si>
  <si>
    <t>https://github.com/SeUniVr/RestTestGen</t>
  </si>
  <si>
    <t>https://arxiv.org/abs/2302.04175</t>
  </si>
  <si>
    <t>https://github.com/yuqiChen94/Causally-Different-Attacks/</t>
  </si>
  <si>
    <t>https://doi.org/10.5281/zenodo.7575582</t>
  </si>
  <si>
    <t>https://doi.org/10.5281/zenodo.7622399</t>
  </si>
  <si>
    <t>https://archive.softwareheritage.org/browse/origin/directory/?origin_url=https://github.com/less-lab-uva/semLidarFuzz</t>
  </si>
  <si>
    <t>https://github.com/less-lab-uva/semLidarFuzz</t>
  </si>
  <si>
    <t>https://zenodo.org/record/8270217</t>
  </si>
  <si>
    <t>http://contributing.streamlit.app/</t>
  </si>
  <si>
    <t>https://github.com/l1lk/DistXplore</t>
  </si>
  <si>
    <t>https://sites.google.com/view/distxplore</t>
  </si>
  <si>
    <t>https://github.com/shibbirtanvin/DLContract</t>
  </si>
  <si>
    <t>https://doi.org/10.5281/zenodo.8271853</t>
  </si>
  <si>
    <t>https://github.com/boschresearch/mlfuzz</t>
  </si>
  <si>
    <t>https://github.com/boschresearch/neuzzplusplus</t>
  </si>
  <si>
    <t>https://doi.org/10.5281/zenodo.3897691</t>
  </si>
  <si>
    <t>https://doi.org/10.5281/zenodo.7592371</t>
  </si>
  <si>
    <t>https://github.com/ise-uiuc/Repilot</t>
  </si>
  <si>
    <t>https://doi.org/10.5281/zenodo.8281250</t>
  </si>
  <si>
    <t>https://doi.org/10.5281/zenodo.8276904</t>
  </si>
  <si>
    <t>https://github.com/liuhuigmail/ValExtractor/#Preconditions</t>
  </si>
  <si>
    <t>https://github.com/martineberlein/avicenna</t>
  </si>
  <si>
    <t>https://doi.org/10.1145/3580408 - real link: https://dl.acm.org/do/10.1145/3580408/full/</t>
  </si>
  <si>
    <t>https://github.com/GRISE-UPM/Pitfalls_Experiments_DNN4SE</t>
  </si>
  <si>
    <t>doi: 10.5281/zenodo.10075778 - real link: https://doi.org/10.5281/zenodo.10075778</t>
  </si>
  <si>
    <t>https://github.com/IntelligentDDS/Nezha</t>
  </si>
  <si>
    <t>https://github.com/IntelligentDDS/Augmented-TrainTicket</t>
  </si>
  <si>
    <t>https://doi.org/10.5281/zenodo.8276375</t>
  </si>
  <si>
    <t>https://github.com/IntelligentDDS/Augmented-OnlineBoutique</t>
  </si>
  <si>
    <t>https://github.com/ise-uiuc/neuri-artifact</t>
  </si>
  <si>
    <t>https://doi.org/10.5281/zenodo.8319975</t>
  </si>
  <si>
    <t>https://github.com/StirArtifact/stir</t>
  </si>
  <si>
    <t>https://doi.org/10.5281/zenodo.8272687</t>
  </si>
  <si>
    <t>https://github.com/sepine/DeepInfer</t>
  </si>
  <si>
    <t>https://doi.org/10.6084/m9.figshare.23993463.v1</t>
  </si>
  <si>
    <t>https://github.com/lyoubo/feTruth</t>
  </si>
  <si>
    <t>https://doi.org/10.5281/zenodo.8267775</t>
  </si>
  <si>
    <t>https://doi.org/10.5281/zenodo.8198972</t>
  </si>
  <si>
    <t>https://github.com/wsong-nj/TransRacer</t>
  </si>
  <si>
    <t>https://github.com/code-philia/deep-debugger</t>
  </si>
  <si>
    <t>https://sites.google.com/view/deep-debugger/home</t>
  </si>
  <si>
    <t>https://github.com/HALOCORE/TransMap</t>
  </si>
  <si>
    <t>https://doi.org/10.5281/zenodo.8283633</t>
  </si>
  <si>
    <t>https://github.com/WorldExecute/fuzzer</t>
  </si>
  <si>
    <t>https://github.com/WorldExecute/exprs</t>
  </si>
  <si>
    <t>https://github.com/SEED-VT/DepFuzz</t>
  </si>
  <si>
    <t>https://doi.org/10.1145/3580412 - real link: https://dl.acm.org/do/10.1145/3580412/full/</t>
  </si>
  <si>
    <t>https://marketplace.visualstudio.com/items?itemName=penrose</t>
  </si>
  <si>
    <t>https://github.com/nanofuzz/nanofuzz</t>
  </si>
  <si>
    <t>https://github.com/nanofuzz/nanofuzz-study</t>
  </si>
  <si>
    <r>
      <rPr>
        <rFont val="Arial"/>
        <color rgb="FF000000"/>
      </rPr>
      <t>https://doi.org/10.1145/3580413</t>
    </r>
    <r>
      <rPr>
        <rFont val="Arial"/>
        <color rgb="FF000000"/>
      </rPr>
      <t xml:space="preserve"> - real link: </t>
    </r>
    <r>
      <rPr>
        <rFont val="Arial"/>
        <color rgb="FF000000"/>
      </rPr>
      <t>https://dl.acm.org/do/10.1145/3580413/full/</t>
    </r>
  </si>
  <si>
    <t>https://doi.org/10.6084/m9.figshare.21990386.v8</t>
  </si>
  <si>
    <t>https://github.com/davidtr1037/klee-quantifiers</t>
  </si>
  <si>
    <t>https://github.com/acorrenson/WiSE/</t>
  </si>
  <si>
    <t>https://acorrenson.github.io/WiSE/</t>
  </si>
  <si>
    <t>https://doi.org/10.5281/zenodo.8269801</t>
  </si>
  <si>
    <t>https://doi.org/10.5281/zenodo.8267827</t>
  </si>
  <si>
    <t>https://github.com/claudeyj/patch_correctness</t>
  </si>
  <si>
    <t>https://github.com/iris-mobile-accessibility-repair/iris-mobile.git</t>
  </si>
  <si>
    <t>https://drive.google.com/drive/folders/1MOEnN1j54HkRvTsigTodIpUo0IEWcOIJ?usp=sharing</t>
  </si>
  <si>
    <t>https://sites.google.com/view/iris-mobile/home</t>
  </si>
  <si>
    <t>https://github.com/JosephK95/EtherDiFFer-public</t>
  </si>
  <si>
    <t>https://doi.org/10.6084/m9.figshare.23913096.v1</t>
  </si>
  <si>
    <t>https://doi.org/10.6084/m9.figshare.21936555.v1</t>
  </si>
  <si>
    <t>https://doi.org/10.5281/zenodo.8266660</t>
  </si>
  <si>
    <t>https://sites.google.com/view/dfaulo</t>
  </si>
  <si>
    <t>https://github.com/ucr-riple/NullAwayAnnotator</t>
  </si>
  <si>
    <t>https://zenodo.org/record/8271236</t>
  </si>
  <si>
    <t>https://doi.org/10.5281/zenodo.7042015</t>
  </si>
  <si>
    <t>https://sites.google.com/view/libkit</t>
  </si>
  <si>
    <t>https://github.com/BigDataflow-system</t>
  </si>
  <si>
    <t>https://figshare.com/articles/dataset/material_fse23_zip/21971945/3</t>
  </si>
  <si>
    <t>arXiv 2308.09978 - real link: https://arxiv.org/abs/2308.09978</t>
  </si>
  <si>
    <t>https://github.com/martin-wey/cl-code-apis</t>
  </si>
  <si>
    <t>https://doi.org/10.5281/zenodo.8272703</t>
  </si>
  <si>
    <t>https://aka.ms/GrACE-Code</t>
  </si>
  <si>
    <t>https://doi.org/10.1145/3580411 - real link: https://dl.acm.org/do/10.1145/3580411/full/</t>
  </si>
  <si>
    <t>https://zenodo.org/record/8270900</t>
  </si>
  <si>
    <t>https://github.com/michaelpradel/LExecutor</t>
  </si>
  <si>
    <t>https://github.com/saikat107/NatGen</t>
  </si>
  <si>
    <t>https://bit.ly/natgen-fine-tuned-models - real link: https://drive.google.com/file/d/1_6EIOkIrBrqzyoH2v7muU1qexym73pFQ/view</t>
  </si>
  <si>
    <t>https://bit.ly/natgen-pre-trained-models - real link: https://drive.google.com/file/d/1Y9UTHHc2BG6V78EQ56GzkjUhApzlUi1N/view</t>
  </si>
  <si>
    <t>https://doi.org/10.5281/zenodo.6977595</t>
  </si>
  <si>
    <t>https://huggingface.co/saikatc/NatGen</t>
  </si>
  <si>
    <t>https://bit.ly/3DKia0C - real link: https://docs.google.com/document/d/1b_rtE6RX5MEMXS3qdaM-MscSbZUT7QcX/edit?tab=t.0</t>
  </si>
  <si>
    <t>https://bit.ly/38K9Csk - real link: https://drive.google.com/drive/folders/1mnbq7a2bdzH0sXK15Wh5hUmbNzjGX-Wd</t>
  </si>
  <si>
    <t>https://bit.ly/2WNVV93 - real link: https://drive.google.com/file/d/1W-LOsKVTJ2ZIp_bGtFqRV0VHzNMgBt7T/view</t>
  </si>
  <si>
    <t>https://bit.ly/3FLUwCz - real link: https://docs.google.com/spreadsheets/d/13vNQl-hHfaCTet81ktGIN3uG6Z2VcCBO-756pIxHlV4/edit?gid=0#gid=0</t>
  </si>
  <si>
    <t>https://pypi.org/project/FSE22-CAT/0.0.1/</t>
  </si>
  <si>
    <t>https://github.com/BuiltOntheRock/FSE22_BuiltOntheRock</t>
  </si>
  <si>
    <t>https://doi.org/10.5281/zenodo.7080276</t>
  </si>
  <si>
    <t>https://github.com/jodavimehran/code-tracker</t>
  </si>
  <si>
    <t>DOI: 10.5281/zenodo.7110095 - https://doi.org/10.5281/zenodo.7110095</t>
  </si>
  <si>
    <t>https://github.com/VariantSync/DiffDetective/tree/esecfse22</t>
  </si>
  <si>
    <t>http://www.csa.iisc.ac.in/~deepakd/papers/executes-before.pdf</t>
  </si>
  <si>
    <t>https://doi.org/10.5281/zenodo.7088367</t>
  </si>
  <si>
    <t>https://sites.google.com/view/non-termbug/home</t>
  </si>
  <si>
    <r>
      <rPr>
        <rFont val="Arial"/>
        <color rgb="FF000000"/>
        <u/>
      </rPr>
      <t>https://doi.org/10.34740/kaggle/ds/2440949</t>
    </r>
    <r>
      <rPr>
        <rFont val="Arial"/>
        <color rgb="FF000000"/>
      </rPr>
      <t xml:space="preserve"> - real link: </t>
    </r>
    <r>
      <rPr>
        <rFont val="Arial"/>
        <color rgb="FF000000"/>
      </rPr>
      <t>https://www.kaggle.com/datasets/hope531/ubuntu</t>
    </r>
  </si>
  <si>
    <t>https://zenodo.org/record/6548310#.Yn-DBOhByUk</t>
  </si>
  <si>
    <t>https://hlnn.netlify.app</t>
  </si>
  <si>
    <t>https://doi.org/10.5281/zenodo.6958312</t>
  </si>
  <si>
    <t>https://doi.org/10.5281/zenodo.7080252</t>
  </si>
  <si>
    <t>https://github.com/HaoxianChen/declarative-smart-contracts</t>
  </si>
  <si>
    <r>
      <rPr>
        <rFont val="Arial"/>
        <color rgb="FF000000"/>
        <sz val="10.0"/>
      </rPr>
      <t>https://rb.gy/iermrc</t>
    </r>
    <r>
      <rPr>
        <rFont val="Arial"/>
        <color rgb="FF000000"/>
        <sz val="10.0"/>
      </rPr>
      <t xml:space="preserve"> - real link: https://drive.google.com/drive/folders/1vOTe5uKMPfuQzgOkmwwPIYMuy1ClPgwy?usp=sharing</t>
    </r>
  </si>
  <si>
    <t>https://doi.org/10.5281/zenodo.6901285</t>
  </si>
  <si>
    <t>https://doi.org/10.6084/m9.figshare.20748235.v1</t>
  </si>
  <si>
    <t>https://zenodo.org/records/6057691</t>
  </si>
  <si>
    <t>https://github.com/soarsmu/AutoPruner/</t>
  </si>
  <si>
    <t>https://tinyurl.com/qup3h4l - real link: https://drive.google.com/drive/folders/19--MhjWHgbps2-5Azu8dY5LodvtmbVIv</t>
  </si>
  <si>
    <t>https://rindphi.github.io/isla/islaspec/</t>
  </si>
  <si>
    <t>https://github.com/rindPHI/isla</t>
  </si>
  <si>
    <t>https://github.com/rindPHI/islearn</t>
  </si>
  <si>
    <t>https://doi.org/10.1145/3554336 - real link: https://dl.acm.org/do/10.1145/3554336/full/</t>
  </si>
  <si>
    <t>https://pypi.org/project/isla-solver/</t>
  </si>
  <si>
    <t>https://pypi.org/project/islearn/</t>
  </si>
  <si>
    <t>https://zenodo.org/record/7088613</t>
  </si>
  <si>
    <t>https://modus-continens.com/</t>
  </si>
  <si>
    <t>https://doi.org/10.1145/3554332 - real link: https://dl.acm.org/do/10.1145/3554332/full/</t>
  </si>
  <si>
    <t>https://github.com/KadjelRamkisoen/PaReco</t>
  </si>
  <si>
    <t>https://figshare.com/s/4952174de6c21fa9874f</t>
  </si>
  <si>
    <t>https://github.com/VPRLab/BlkVulnDataset</t>
  </si>
  <si>
    <t>https://tinyurl.com/fse-227 - real link: https://docs.google.com/spreadsheets/d/1yByttVVhvSbUCG4SekAiBY8jX19en00lcPfyho7fMFw/edit?gid=0#gid=0</t>
  </si>
  <si>
    <t>https://github.com/sola-st/DynaPyt</t>
  </si>
  <si>
    <t>https://pypi.org/project/dynapyt/</t>
  </si>
  <si>
    <t>https://doi.org/10.5281/zenodo.7037946</t>
  </si>
  <si>
    <t>https://doi.org/10.5281/zenodo.6366908</t>
  </si>
  <si>
    <t>https://doi.org/10.5281/zenodo.6366877</t>
  </si>
  <si>
    <t>https://doi.org/10.6084/m9.figshare.20448573.v1</t>
  </si>
  <si>
    <t>https://github.com/kupl/PyTER</t>
  </si>
  <si>
    <t>https://github.com/awsm-research/VulRepair</t>
  </si>
  <si>
    <t>https://doi.org/10.5281/zenodo.7080271</t>
  </si>
  <si>
    <t>https://doi.org/10.5281/zenodo.6906415</t>
  </si>
  <si>
    <t>https://github.com/kaist-plrg/jsaver</t>
  </si>
  <si>
    <t>https://doi.org/10.5281/zenodo.6797394</t>
  </si>
  <si>
    <t>https://github.com/chuanluocs/SamplingCA</t>
  </si>
  <si>
    <t>https://doi.org/10.5281/zenodo.7036747</t>
  </si>
  <si>
    <t>https://doi.org/10.5281/zenodo.4959920</t>
  </si>
  <si>
    <r>
      <rPr>
        <rFont val="Arial"/>
        <color theme="1"/>
      </rPr>
      <t xml:space="preserve">arXiv:2106.11266 [cs.RO] - real link: </t>
    </r>
    <r>
      <rPr>
        <rFont val="Arial"/>
        <color rgb="FF000000"/>
      </rPr>
      <t>https://arxiv.org/abs/2106.11266</t>
    </r>
  </si>
  <si>
    <t>https://doi.org/10.5281/zenodo.4873909</t>
  </si>
  <si>
    <t>https://doi.org/10.5281/zenodo.4902323</t>
  </si>
  <si>
    <t>https://doi.org/10.5281/zenodo.4878577</t>
  </si>
  <si>
    <t>https://doi.org/10.5281/zenodo.4902171</t>
  </si>
  <si>
    <t>https://www.kaggle.com/code/adaptivebias/empirical</t>
  </si>
  <si>
    <t>https://www.kaggle.com/code/adaptivebias/simulation</t>
  </si>
  <si>
    <t>https://github.com/Symbolk/SmartCommitCore</t>
  </si>
  <si>
    <t>https://github.com/Symbolk/SmartCommitEvaluation-Viz</t>
  </si>
  <si>
    <r>
      <rPr>
        <rFont val="Arial"/>
        <color rgb="FF000000"/>
        <u/>
      </rPr>
      <t>https://github.com/LiveChat2021/LiveChat</t>
    </r>
    <r>
      <rPr>
        <rFont val="Arial"/>
        <color rgb="FF000000"/>
      </rPr>
      <t xml:space="preserve"> ; https://tinyurl.com/3dyu5n44 - real link: https://github.com/LiveChat2021/LiveChat#31-experiment-on-dialog-disentanglement</t>
    </r>
  </si>
  <si>
    <t>https://doi.org/10.5281/zenodo.4816752</t>
  </si>
  <si>
    <t>https://github.com/hehao98/LibraryMigration</t>
  </si>
  <si>
    <t>https://d-fact.github.io - real link: http://diff.facta.xyz/</t>
  </si>
  <si>
    <t>https://zenodo.org/records/5111183</t>
  </si>
  <si>
    <t>https://github.com/wx930910/JMocker</t>
  </si>
  <si>
    <t>https://sites.google.com/view/mockrefactoring</t>
  </si>
  <si>
    <t>https://github.com/MangoTeam/mockdown-client</t>
  </si>
  <si>
    <t>https://github.com/MangoTeam/mockdown</t>
  </si>
  <si>
    <t>https://github.com/MangoTeam/replication-package</t>
  </si>
  <si>
    <t>https://github.com/MangoTeam/auto-mock</t>
  </si>
  <si>
    <t>https://github.com/HALOCORE/SynGuar</t>
  </si>
  <si>
    <r>
      <rPr>
        <rFont val="Arial"/>
        <color theme="1"/>
      </rPr>
      <t xml:space="preserve">DOI number 10.5281/zenodo.4883273 - real link: </t>
    </r>
    <r>
      <rPr>
        <rFont val="Arial"/>
        <color rgb="FF000000"/>
      </rPr>
      <t>https://doi.org/10.5281/zenodo.4883273</t>
    </r>
  </si>
  <si>
    <t>https://github.com/kusumotolab/NIL</t>
  </si>
  <si>
    <t>https://zenodo.org/records/4490845</t>
  </si>
  <si>
    <t>https://zenodo.org/records/4493069</t>
  </si>
  <si>
    <t>https://zenodo.org/records/4491016</t>
  </si>
  <si>
    <t>https://zenodo.org/records/4491052</t>
  </si>
  <si>
    <t>https://zenodo.org/records/4491208</t>
  </si>
  <si>
    <t>https://sites.google.com/uscedu/kafe/home</t>
  </si>
  <si>
    <t>https://doi.org/10.5281/zenodo.4563310</t>
  </si>
  <si>
    <t>https://doi.org/10.5281/zenodo.4885001</t>
  </si>
  <si>
    <t>https://doi.org/10.5281/zenodo.4950763</t>
  </si>
  <si>
    <t>https://github.com/VariantSync/FeatureTraceRecording/tree/esecfse21</t>
  </si>
  <si>
    <t>DOI: 10.5281/zenodo.5109867 - real link: https://doi.org/10.5281/zenodo.5109867</t>
  </si>
  <si>
    <t>https://github.com/GLIB-game/GLIB.git</t>
  </si>
  <si>
    <t>https://doi.org/10.5281/zenodo.5108667</t>
  </si>
  <si>
    <t>https://doi.org/10.5281/zenodo.5081242</t>
  </si>
  <si>
    <t>https://github.com/kaist-plrg/safe-ds</t>
  </si>
  <si>
    <t>https://arxiv.org/abs/2105.13699</t>
  </si>
  <si>
    <t>https://github.com/ethanluoyc/sympais</t>
  </si>
  <si>
    <t>https://doi.org/10.5281/zenodo.4902178</t>
  </si>
  <si>
    <r>
      <rPr>
        <rFont val="Arial"/>
        <color theme="1"/>
      </rPr>
      <t xml:space="preserve">arXiv:2010.05050 [cs.LG] - real link: </t>
    </r>
    <r>
      <rPr>
        <rFont val="Arial"/>
        <color rgb="FF000000"/>
      </rPr>
      <t>https://arxiv.org/abs/2010.05050</t>
    </r>
  </si>
  <si>
    <t>https://github.com/davidtr1037/klee-symsize</t>
  </si>
  <si>
    <t>https://doi.org/10.6084/m9.figshare.14724453</t>
  </si>
  <si>
    <t>https://resess.github.io/PaperAppendices/ARDiff/</t>
  </si>
  <si>
    <t>https://www.doi.org/10.17605/OSF.IO/CHM2K</t>
  </si>
  <si>
    <t>DOI: 10.5281/zenodo.3874944 - real link: https://doi.org/10.5281/zenodo.3874944</t>
  </si>
  <si>
    <t>DOI: 10.5281/zenodo.3923232 - real link: https://doi.org/10.5281/zenodo.3923232</t>
  </si>
  <si>
    <t>https://doi.org/10.5281/zenodo.4024268</t>
  </si>
  <si>
    <t>https://cpachecker.sosy-lab.org/</t>
  </si>
  <si>
    <t>https://doi.org/10.5281/zenodo.3898483</t>
  </si>
  <si>
    <t>https://github.com/sosy-lab/sv-benchmarks/</t>
  </si>
  <si>
    <t>https://github.com/SNTSVV/EPIcuRus</t>
  </si>
  <si>
    <t>https://doi.org/10.5281/zenodo.3872902</t>
  </si>
  <si>
    <t>https://doi.org/10.5281/zenodo.3872848</t>
  </si>
  <si>
    <t>https://doi.org/10.5281/zenodo.3972736</t>
  </si>
  <si>
    <t>https://doi.org/10.6084/m9.figshare.12487679</t>
  </si>
  <si>
    <t>https://srg.doc.ic.ac.uk/projects/pspa/</t>
  </si>
  <si>
    <t>http://bit.ly/2TIMmDh - real link: https://cloudstor.aarnet.edu.au/plus/s/HCufMQXFcUEedu9</t>
  </si>
  <si>
    <t>http://bit.ly/2G7saFJ - real link: https://cloudstor.aarnet.edu.au/plus/s/JhVPUUUEbHxCZsI</t>
  </si>
  <si>
    <t>http://bit.ly/2VQrAUU - real link: https://cloudstor.aarnet.edu.au/plus/s/yeSqyCzkZEGXPN9</t>
  </si>
  <si>
    <t>https://figshare.com/s/f5a9f70a82d600b4c949</t>
  </si>
  <si>
    <t>https://pt.surveymonkey.com/r/HX9H7FX</t>
  </si>
  <si>
    <t>https://figshare.com/s/88704bc89fac722ac073</t>
  </si>
  <si>
    <t>https://pt.surveymonkey.com/r/HN82XYJ</t>
  </si>
  <si>
    <t>https://bhermann.github.io/artifact-survey/</t>
  </si>
  <si>
    <t>https://doi.org/10.5281/zenodo.3951724</t>
  </si>
  <si>
    <t>https://go.ncsu.edu/technical_interviews - real link: https://drive.google.com/drive/folders/1HeZY-bg6fLhgPF4xL2EQvl9FQZLIkWau</t>
  </si>
  <si>
    <t>https://github.com/CMUSTRUDEL/badge_diffusion_supplementary</t>
  </si>
  <si>
    <t>https://github.com/EngineeringSoftware/hdlp</t>
  </si>
  <si>
    <t>https://cutt.ly/pttgE1I - real link: https://drive.google.com/file/d/1W7imx__Zcr3r6pl0kPHwVVVJTyh5SZT_/view</t>
  </si>
  <si>
    <t>https://sites.google.com/view/empirical-study-robotics-se/home</t>
  </si>
  <si>
    <t xml:space="preserve">DOI: 10.6084/m9.figshare.12376931 - https://figshare.com/articles/conference_contribution/Robotics_Software_Engineering_A_Perspective_from_the_Service_Robotics_Domain/12376931 </t>
  </si>
  <si>
    <r>
      <rPr>
        <rFont val="Arial"/>
        <color rgb="FF000000"/>
      </rPr>
      <t xml:space="preserve">http://changetype.s3-website.us-east-2.amazonaws.com/docs/P/projects.html
- http://changetype.s3-website.us-east-2.amazonaws.com/docs/P/neo4j/tci_project3859.html
- http://changetype.s3-website.us-east-2.amazonaws.com/docs/P/Migrations.html
- </t>
    </r>
    <r>
      <rPr>
        <rFont val="Arial"/>
        <color rgb="FF000000"/>
      </rPr>
      <t>http://changetype.s3-website.us-east-2.amazonaws.com/docs/P/A/popular.html</t>
    </r>
  </si>
  <si>
    <t>https://doi.org/10.5281/zenodo.3906493</t>
  </si>
  <si>
    <t>https://doi.org/10.5281/zenodo.3906503</t>
  </si>
  <si>
    <t>https://github.com/joymallyac/Fairway</t>
  </si>
  <si>
    <t>https://figshare.com/articles/software/Fairway/12521408</t>
  </si>
  <si>
    <r>
      <rPr>
        <rFont val="Arial"/>
        <color rgb="FF000000"/>
        <u/>
      </rPr>
      <t>https://doi.org/10.21979/N9/0BEVRT</t>
    </r>
    <r>
      <rPr>
        <rFont val="Arial"/>
        <color rgb="FF000000"/>
      </rPr>
      <t xml:space="preserve"> - real link: </t>
    </r>
    <r>
      <rPr>
        <rFont val="Arial"/>
        <color rgb="FF000000"/>
      </rPr>
      <t>https://researchdata.ntu.edu.sg/dataset.xhtml?persistentId=doi:10.21979/N9/0BEVRT</t>
    </r>
  </si>
  <si>
    <t>https://www.fuzzbench.com/reports/2020-03-04</t>
  </si>
  <si>
    <t>https://github.com/researchart/fse20</t>
  </si>
  <si>
    <t>https://doi.org/10.6084/m9.figshare.12415622.v2</t>
  </si>
  <si>
    <t>https://doi.org/10.6084/m9.figshare.11911287</t>
  </si>
  <si>
    <t>https://www.kaggle.com/marcelbhme/fuzzing-on-the-exponential-cost-of-vuln-disc</t>
  </si>
  <si>
    <t>doi.org/10.5281/zenodo.3903818</t>
  </si>
  <si>
    <r>
      <rPr>
        <rFont val="Arial"/>
        <color rgb="FF000000"/>
      </rPr>
      <t>https://git.io/JUWkj</t>
    </r>
    <r>
      <rPr>
        <rFont val="Arial"/>
        <color rgb="FF000000"/>
      </rPr>
      <t xml:space="preserve"> - real link: </t>
    </r>
    <r>
      <rPr>
        <rFont val="Arial"/>
        <color rgb="FF000000"/>
      </rPr>
      <t>https://github.com/rahlk/MTFuzz</t>
    </r>
  </si>
  <si>
    <t>https://github.com/RU-System-Software-and-Security/CovTesting</t>
  </si>
  <si>
    <t>https://github.com/RU-System-Software-and-Security/Benchmark</t>
  </si>
  <si>
    <t>https://github.com/Practical-Formal-Methods/DeepSearch</t>
  </si>
  <si>
    <r>
      <rPr>
        <rFont val="Arial"/>
        <color rgb="FF000000"/>
      </rPr>
      <t xml:space="preserve">CoRR abs/1910.06296 - real link: </t>
    </r>
    <r>
      <rPr>
        <rFont val="Arial"/>
        <color rgb="FF000000"/>
      </rPr>
      <t>https://arxiv.org/abs/1910.06296</t>
    </r>
  </si>
  <si>
    <t>https://github.com/ForeverZyh/DEBAR</t>
  </si>
  <si>
    <t>https://doi.org/10.5281/zenodo.3843648</t>
  </si>
  <si>
    <t>https://github.com/Lizn-zn/Op-QA</t>
  </si>
  <si>
    <t>https://sites.google.com/view/instant-app-attacks</t>
  </si>
  <si>
    <t>https://github.com/gaojun0816/FSE-anonymous-artefact</t>
  </si>
  <si>
    <t>https://doi.org/10.6084/m9.figshare.11944875</t>
  </si>
  <si>
    <t>https://github.com/sealuzh/jmh</t>
  </si>
  <si>
    <t>https://github.com/ManCla/ESEC-FSE-2020</t>
  </si>
  <si>
    <t>https://doi.org/10.5281/ZENODO.3896795</t>
  </si>
  <si>
    <t>https://fudanselab.github.io/Research-FSE2020-FuncVerb/</t>
  </si>
  <si>
    <t>https://i.loli.net/2019/05/12/5cd7d3ed9a2e6.png</t>
  </si>
  <si>
    <r>
      <rPr>
        <rFont val="Arial"/>
        <color rgb="FF000000"/>
      </rPr>
      <t>rebrand.ly/ExDataset</t>
    </r>
    <r>
      <rPr>
        <rFont val="Arial"/>
        <color rgb="FF000000"/>
      </rPr>
      <t xml:space="preserve"> - real link: </t>
    </r>
    <r>
      <rPr>
        <rFont val="Arial"/>
        <color rgb="FF000000"/>
      </rPr>
      <t>https://bitbucket.org/tamnguyenthe/exassist_repo/src/master/resources/ExDataset/</t>
    </r>
  </si>
  <si>
    <t>rebrand.ly/exassist - real link: https://bitbucket.org/tamnguyenthe/exassist_repo/src/master/</t>
  </si>
  <si>
    <r>
      <rPr>
        <rFont val="Arial"/>
        <color theme="1"/>
      </rPr>
      <t xml:space="preserve">DOI:10.5281/zenodo.3895761 - real link: </t>
    </r>
    <r>
      <rPr>
        <rFont val="Arial"/>
        <color rgb="FF000000"/>
      </rPr>
      <t>https://doi.org/10.5281/zenodo.3895761</t>
    </r>
  </si>
  <si>
    <t>https://www.kaggle.com/wendykan/lending-club-loan-data</t>
  </si>
  <si>
    <t>https://github.com/UL-SnT-Serval/coeva2/tree/fse</t>
  </si>
  <si>
    <t>https://github.com/SinkFinder/data</t>
  </si>
  <si>
    <t>https://lore.kernel.org/patchwork/patch/1016715</t>
  </si>
  <si>
    <t>https://doi.org/10.5281/zenodo.4028454</t>
  </si>
  <si>
    <t>https://github.com/meelgroup/baital</t>
  </si>
  <si>
    <t>https://doi.org/10.5281/zenodo.4022395</t>
  </si>
  <si>
    <t>https://doi.org/10.5522/04/11927208 - real link: https://rdr.ucl.ac.uk/articles/dataset/Replication_package_for_Cost_Measures_Matter_for_Mutation_Testing_Study_Validity_accepted_at_FSE_2020/11927208?file=23431115</t>
  </si>
  <si>
    <t>https://github.com/sqlancer</t>
  </si>
  <si>
    <t>https://doi.org/10.5281/zenodo.3947858</t>
  </si>
  <si>
    <t>https://doi.org/10.5281/zenodo.3876638</t>
  </si>
  <si>
    <t>https://doi.org/10.5281/zenodo.3877078</t>
  </si>
  <si>
    <t>https://doi.org/10.5281/zenodo.3866497</t>
  </si>
  <si>
    <t>http://plrg.ics.uci.edu/iotcheck/</t>
  </si>
  <si>
    <t>https://doi.org/10.5281/zenodo.3866499</t>
  </si>
  <si>
    <t>https://doi.org/10.5281/zenodo.3866491</t>
  </si>
  <si>
    <t>https://github.com/SNTSVV/SOCRaTEs</t>
  </si>
  <si>
    <t>https://doi.org/10.5281/zenodo.3262095</t>
  </si>
  <si>
    <t>https://bitbucket.org/rshahin/doop</t>
  </si>
  <si>
    <t>https://github.com/ramyshahin/souffle</t>
  </si>
  <si>
    <t>https://github.com/jku-ssw/gcc-builtin-study</t>
  </si>
  <si>
    <t>https://gcc.gnu.org/ml/gcc/2018-01/msg00166.html</t>
  </si>
  <si>
    <t>https://github.com/cil-project/cil/issues/44</t>
  </si>
  <si>
    <t>https://github.com/kframework/c-semantics/issues/318</t>
  </si>
  <si>
    <t>https://lists.gforge.inria.fr/pipermail/frama-c-discuss/2018-July/005483.html</t>
  </si>
  <si>
    <t>https://github.com/AbsInt/CompCert/issues/243</t>
  </si>
  <si>
    <t>http://lists.nongnu.org/archive/html/tinycc-devel/2018-07/msg00007.html</t>
  </si>
  <si>
    <t>github.com/se2p/artifact-esecfse2019</t>
  </si>
  <si>
    <t>github.com/se2p/whisker-main</t>
  </si>
  <si>
    <t>https://doi.org/10.6084/m9.figshare.7731629</t>
  </si>
  <si>
    <t>https://doi.org/10.6084/m9.figshare.7732268</t>
  </si>
  <si>
    <t>https://doi.org/10.6084/m9.figshare.8242877</t>
  </si>
  <si>
    <t>https://github.com/JunjieChen/DiWi</t>
  </si>
  <si>
    <t>https://git.io/fjRax - real link: https://github.com/search?q=repo%3Aprogram-repair%2FRepairThemAll_experiment+InvalidClassPathException&amp;type=code</t>
  </si>
  <si>
    <t>https://git.io/fjRap - real link: https://github.com/search?q=repo%3Aprogram-repair%2FRepairThemAll_experiment+%5C%5BErrno+7%5C%5D+Argument+list+too+long&amp;type=code</t>
  </si>
  <si>
    <t>https://github.com/program-repair/RepairThemAll</t>
  </si>
  <si>
    <t>https://github.com/program-repair/RepairThemAll_experiment</t>
  </si>
  <si>
    <t>http://program-repair.org/RepairThemAll_experiment</t>
  </si>
  <si>
    <t>https://github.com/siis/ic3/issues/28</t>
  </si>
  <si>
    <t>https://FoelliX.github.io/CoDiDroid</t>
  </si>
  <si>
    <t>https://github.com/FoelliX/AQL-System/wiki/Add_tools</t>
  </si>
  <si>
    <t>https://foellix.github.io/AQL-Online</t>
  </si>
  <si>
    <t>https://foellix.github.io/AQL-System</t>
  </si>
  <si>
    <t>https://github.com/FoelliX/AQL-WebService</t>
  </si>
  <si>
    <t>https://foellix.github.io/BREW</t>
  </si>
  <si>
    <t>https://github.com/FoelliX/NOAH</t>
  </si>
  <si>
    <t>https://github.com/FoelliX/PIM</t>
  </si>
  <si>
    <t>https://tinyurl.com/y4rw9w2n - real link: https://www.dropbox.com/scl/fo/6i394i9mt1o31lxr56lue/AKl2AYZfqfklPsioUfvy54Q?rlkey=6c1sp61ojzaawsjug67hyi743&amp;e=1&amp;dl=0</t>
  </si>
  <si>
    <t>https://github.com/mc-imperial/jfs</t>
  </si>
  <si>
    <t>https://github.com/mc-imperial/jfs-fse-2019-artifact</t>
  </si>
  <si>
    <t>https://github.com/ucla-pls/jreduce</t>
  </si>
  <si>
    <t>https://doi.org/10.5281/zenodo.2574326</t>
  </si>
  <si>
    <t>https://doi.org/10.5281/zenodo.3262201</t>
  </si>
  <si>
    <t>https://github.com/testrepo007/AggrePlay-Appendix</t>
  </si>
  <si>
    <t>https://github.com/testrepo007/AggrePlay</t>
  </si>
  <si>
    <t>http://www.dsc.ufcg.edu.br/~spg/fse2019.html - real link: https://github.com/non-conformances-research/fse2019</t>
  </si>
  <si>
    <t>https://figshare.com/s/a212932795a43c377a3f</t>
  </si>
  <si>
    <t>https://github.com/uber/NullAway</t>
  </si>
  <si>
    <t>https://github.com/subarnob/nullaway-eval</t>
  </si>
  <si>
    <t>https://doi.org/10.5281/zenodo.3265785</t>
  </si>
  <si>
    <t>https://doi.org/10.5281/zenodo.3265830</t>
  </si>
  <si>
    <t>https://github.com/umangm/ziptrack</t>
  </si>
  <si>
    <t>http://arxiv.org/abs/1807.08427</t>
  </si>
  <si>
    <t>https://github.com/cmu-mars/model-learner/tree/tutorial</t>
  </si>
  <si>
    <t>https://github.com/pooyanjamshidi/GenPerf</t>
  </si>
  <si>
    <t>https://github.com/pooyanjamshidi/L2S</t>
  </si>
  <si>
    <t>https://goo.gl/DdwU7u - real link: https://drive.google.com/drive/folders/1V1MUZ_dRjZ3eWrWnRvzBXHuxBxP6hXdO</t>
  </si>
  <si>
    <t>http://darwinianoptimiser.com/</t>
  </si>
  <si>
    <t>https://darwinianoptimiser.com/corpus</t>
  </si>
  <si>
    <t>https://doi.org/10.5281/zenodo.1297689</t>
  </si>
  <si>
    <t>https://github.com/jjhenkel/c2ocaml</t>
  </si>
  <si>
    <t>https://github.com/jjhenkel/lsee</t>
  </si>
  <si>
    <t>https://github.com/jjhenkel/code-vectors-artifact</t>
  </si>
  <si>
    <t>https://github.com/columbia/appflow</t>
  </si>
  <si>
    <t>https://github.com/columbia/appflow-dataset</t>
  </si>
  <si>
    <t>https://foellix.github.io/ReproDroid/</t>
  </si>
  <si>
    <t>https://foellix.github.io/AQL-System/</t>
  </si>
  <si>
    <t>https://foellix.github.io/BREW/</t>
  </si>
  <si>
    <t>http://tiny.cc/seacraft - real link: https://www.articles.co.il/cgi-sys/suspendedpage.cgi</t>
  </si>
  <si>
    <t>https://github.com/ai-se/FFT_Jack</t>
  </si>
  <si>
    <t>https://tinyurl.com/yadfpojd - real link: https://drive.google.com/drive/folders/1ZmDiBpasRBMvMDH3qk3riD_P4ZRvhUz7</t>
  </si>
  <si>
    <t>https://goo.gl/NTUqcK - real link: http://homepage.usask.ca/~masud.rahman/blizzard/</t>
  </si>
  <si>
    <t>https://www.stackoverflow.com/questions/:id</t>
  </si>
  <si>
    <t>http://stackoverflow.com/questions/1225726</t>
  </si>
  <si>
    <t>http://stackoverflow.com/questions/32831677</t>
  </si>
  <si>
    <t>http://stackoverflow.com/questions/28880386</t>
  </si>
  <si>
    <t>http://stackoverflow.com/questions/16686321</t>
  </si>
  <si>
    <t>http://stackoverflow.com/questions/20858493</t>
  </si>
  <si>
    <t>http://stackoverflow.com/questions/8783031</t>
  </si>
  <si>
    <t>http://stackoverflow.com/questions/4114098</t>
  </si>
  <si>
    <t>http://stackoverflow.com/questions/27417378</t>
  </si>
  <si>
    <t>http://stackoverflow.com/questions/5185870</t>
  </si>
  <si>
    <t>http://stackoverflow.com/questions/26192934</t>
  </si>
  <si>
    <t>http://stackoverflow.com/questions/26193030</t>
  </si>
  <si>
    <t>http://stackoverflow.com/questions/51962187</t>
  </si>
  <si>
    <t>http://stackoverflow.com/questions/5005384</t>
  </si>
  <si>
    <t>http://stackoverflow.com/questions/37835991</t>
  </si>
  <si>
    <t>http://stackoverflow.com/questions/2640747</t>
  </si>
  <si>
    <t>http://stackoverflow.com/questions/29189792</t>
  </si>
  <si>
    <t>http://stackoverflow.com/questions/17980660</t>
  </si>
  <si>
    <t>http://stackoverflow.com/questions/7316556</t>
  </si>
  <si>
    <t>http://stackoverflow.com/questions/2841668</t>
  </si>
  <si>
    <t>http://stackoverflow.com/questions/7329198</t>
  </si>
  <si>
    <t>http://stackoverflow.com/questions/7942848</t>
  </si>
  <si>
    <t>http://stackoverflow.com/questions/5013194</t>
  </si>
  <si>
    <t>http://stackoverflow.com/questions/36476599</t>
  </si>
  <si>
    <t>http://stackoverflow.com/questions/2858800</t>
  </si>
  <si>
    <t>http://stackoverflow.com/questions/11180128</t>
  </si>
  <si>
    <t>https://github.com/wangpeipei90/re2</t>
  </si>
  <si>
    <t>https://github.com/wangpeipei90/RegexTestingCoverageData</t>
  </si>
  <si>
    <t>https://github.com/rutgers-apl/TaskProf</t>
  </si>
  <si>
    <t>https://goo.gl/MzP4Tq - real link: https://drive.google.com/open?id=0B3345eAvaoMKSG5xMVdnY0dseU0</t>
  </si>
  <si>
    <t>https://goo.gl/svCcZH - real link: https://drive.google.com/open?id=0B3345eAvaoMKV09uXzRXc3pPeFk</t>
  </si>
  <si>
    <t>http://tiny.cc/3wpwly - real link: https://www.dropbox.com/scl/fi/nhqn5stbmvwakxhs6bwrp/Experimental-Setup.pdf?rlkey=95902uwrd0ym7hitne3sl5lcy&amp;e=1&amp;dl=0</t>
  </si>
  <si>
    <t>http://tiny.cc/bu14iy</t>
  </si>
  <si>
    <t>http://geekpic.net/pm-1GUTPZ.html</t>
  </si>
  <si>
    <t>https://github.com/ai-se/Reimplement/tree/cleaned_version</t>
  </si>
  <si>
    <t>http://tiny.cc/kgs2iy</t>
  </si>
  <si>
    <t>http://tiny.cc/rank-param - real link: https://s01.pic4net.com/di-7KCRP5.png</t>
  </si>
  <si>
    <t>https://github.com/d-bingham/wildcaughtmutants</t>
  </si>
  <si>
    <t>https://github.com/d-bingham/fse2017artifact</t>
  </si>
  <si>
    <t>DOI: 10.14324/000.ds.1561328 - real link: https://discovery.ucl.ac.uk/id/eprint/1561328/</t>
  </si>
  <si>
    <t>https://github.com/lpasquale/minorityReport</t>
  </si>
  <si>
    <t>https://github.com/lpasquale/kEEPER/tree/keeper_CLI</t>
  </si>
  <si>
    <t>http://www.lta.disco.unimib.it/tools/bdci/</t>
  </si>
  <si>
    <t>https://drive.google.com/drive/folders/0B8J_pv7c6buveTUxQkdnOXBoclk</t>
  </si>
  <si>
    <t>http://tiny.cc/letterbomb - real link: https://ics.uci.edu/~seal/projects/letterbomb/index.html</t>
  </si>
  <si>
    <t>http://www4.ncsu.edu/~bijohnso/esnpat.html</t>
  </si>
  <si>
    <t>http://tobias-baum.de/rp/detailedTable.pdf</t>
  </si>
  <si>
    <t>http://tobias-baum.de/rp/interviewGuideFirst.pdf</t>
  </si>
  <si>
    <t>http://tobias-baum.de/rp/interviewGuideLast.pdf</t>
  </si>
  <si>
    <t>https://github.com/saltlab/bugaid</t>
  </si>
  <si>
    <t>http://salt.ece.ubc.ca/software/bugaid/</t>
  </si>
  <si>
    <t>https://bitbucket.org/hjjandy/toydroid.bidtext</t>
  </si>
  <si>
    <t>https://github.com/hjjandy/FSE16-BidText-Artifacts</t>
  </si>
  <si>
    <t>https://github.com/deib-polimi/ecoware</t>
  </si>
  <si>
    <t>https://github.com/deib-polimi/ecoware-docker</t>
  </si>
  <si>
    <t>https://hub.docker.com/u/polimi/</t>
  </si>
  <si>
    <t>https://goo.gl/aqMsrs - real link: https://docs.google.com/spreadsheets/d/1DroetW701-wzbDH9SyzMI0o2XK9e6BKPkMHokgbN4QE/pubhtml?gid=0&amp;single=true</t>
  </si>
  <si>
    <t>http://loonwerks.com/tools/jkind.html</t>
  </si>
  <si>
    <t>https://github.com/elaghs/Working/tree/master/support/experiments</t>
  </si>
  <si>
    <r>
      <rPr>
        <rFont val="Arial"/>
        <color rgb="FF000000"/>
      </rPr>
      <t>http://sccpu2.cse.ust.hk/elite/</t>
    </r>
    <r>
      <rPr>
        <rFont val="Arial"/>
        <color rgb="FF000000"/>
      </rPr>
      <t xml:space="preserve"> ; http://sccpu2.cse.ust.hk/elite/dataset.html ; http://sccpu2.cse.ust.hk/elite/tool.html ; http://sccpu2.cse.ust.hk/elite/downloadApks.html ; http://sccpu2.cse.ust.hk/elite/files/wakelock_issues.xlsx</t>
    </r>
  </si>
  <si>
    <t>http://unsw-corg.github.io/SVF</t>
  </si>
  <si>
    <t>http://www.cse.unsw.edu.au/~corg/supa</t>
  </si>
  <si>
    <t>http://www.st.informatik.tu-darmstadt.de/artifacts/DLC/</t>
  </si>
  <si>
    <t>https://hub.docker.com/r/mreif/fse2016/</t>
  </si>
  <si>
    <t>http://www.ifi.uzh.ch/seal/people/panichella/tools/SURF.html</t>
  </si>
  <si>
    <t>http://dx.doi.org/10.5281/zenodo.47323</t>
  </si>
  <si>
    <t>http://www.ifi.uzh.ch/seal/people/panichella/tools/SURF/APPENDIX.pdf</t>
  </si>
  <si>
    <t>http://www.ifi.uzh.ch/seal/people/panichella/tools/SURF/stoneFlood_summary.zip</t>
  </si>
  <si>
    <t>http://www.ifi.uzh.ch/seal/people/panichella/tools/SURF/Survey.pdf</t>
  </si>
  <si>
    <t>https://www.youtube.com/watch?v=YVT5UU7xqCQ</t>
  </si>
  <si>
    <t>https://github.com/llmhyy/Refactoring-Navigator</t>
  </si>
  <si>
    <t>http://www.se.fudan.edu.cn/research/reflexactoring/user_study.xlsx</t>
  </si>
  <si>
    <t>http://www.se.fudan.edu.cn/research/reflexactoring/TestSystem.rar</t>
  </si>
  <si>
    <t>http://www.se.fudan.edu.cn/research/reflexactoring/one_participant_experiment.exe</t>
  </si>
  <si>
    <t>https://github.com/floatfeather/PSO
- https://github.com/floatfeather/PSO/tree/master/artifact</t>
  </si>
  <si>
    <t>http://parasol.tamu.edu/~jeff/echo/</t>
  </si>
  <si>
    <t>http://parasol.tamu.edu/~jeff/academic/echo-tr.pdf</t>
  </si>
  <si>
    <t>https://github.com/rutgers-apl/PTRacer</t>
  </si>
  <si>
    <r>
      <rPr>
        <rFont val="Arial"/>
        <color rgb="FF000000"/>
      </rPr>
      <t xml:space="preserve">http://bit.ly/29i3OYL - real link: </t>
    </r>
    <r>
      <rPr>
        <rFont val="Arial"/>
        <color rgb="FF000000"/>
      </rPr>
      <t>https://drive.google.com/open?id=0B3345eAvaoMKeV9yNEFOMXBxbTA</t>
    </r>
  </si>
  <si>
    <t>http://aserg-ufmg.github.io/why-we-refactor</t>
  </si>
  <si>
    <t>https://github.com/aserg-ufmg/why-we-refactor</t>
  </si>
  <si>
    <t>http://drona.csa.iisc.ac.in/~sss/tools/glider</t>
  </si>
  <si>
    <t>https://sourceforge.net/p/jfreechart/bugs/1147/</t>
  </si>
  <si>
    <t>http://www-scf.usc.edu/~gsafi/FSE2015Replication/</t>
  </si>
  <si>
    <r>
      <rPr>
        <rFont val="Arial"/>
        <color rgb="FF000000"/>
      </rPr>
      <t xml:space="preserve">Technical Report MIT-CSAIL-TR-2015-008 - </t>
    </r>
    <r>
      <rPr>
        <rFont val="Arial"/>
        <color rgb="FF000000"/>
      </rPr>
      <t>https://dspace.mit.edu/bitstream/handle/1721.1/95970/MIT-CSAIL-TR-2015-008.pdf</t>
    </r>
  </si>
  <si>
    <t>http://groups.csail.mit.edu/pac/spr/</t>
  </si>
  <si>
    <t>https://dexterjs.io/</t>
  </si>
  <si>
    <r>
      <rPr>
        <rFont val="Arial"/>
        <color rgb="FF000000"/>
      </rPr>
      <t>http://www.cc.gatech.edu/</t>
    </r>
    <r>
      <rPr>
        <rFont val="Arial"/>
        <color rgb="FF000000"/>
      </rPr>
      <t>~orso/software/scic-data</t>
    </r>
  </si>
  <si>
    <t>https://github.com/tianyin/configuration_datasets</t>
  </si>
  <si>
    <t>https://github.com/tianyin/cox</t>
  </si>
  <si>
    <t>Technical Report SRA-FCS-2015-001 - real link: https://manu.sridharan.net/files/MemInsightTR.pdf</t>
  </si>
  <si>
    <t>https://github.com/Samsung/meminsight</t>
  </si>
  <si>
    <t>https://github.com/Berkeley-Correctness-Group/JITProf</t>
  </si>
  <si>
    <r>
      <rPr>
        <rFont val="Arial"/>
        <color rgb="FF000000"/>
      </rPr>
      <t xml:space="preserve">Technical Report UCB/EECS-2014-144 - real link: </t>
    </r>
    <r>
      <rPr>
        <rFont val="Arial"/>
        <color rgb="FF000000"/>
      </rPr>
      <t>https://www2.eecs.berkeley.edu/Pubs/TechRpts/2014/EECS-2014-144.html</t>
    </r>
  </si>
  <si>
    <t>http://bit.ly/1O5GglJ - real link: http://msrc.ku.edu.tr/projects/detecting-javascript-races-that-matter/</t>
  </si>
  <si>
    <t>http://goo.gl/gCUofM - real link: http://www.ict.swin.edu.au/personal/huannguyen/guitar.html</t>
  </si>
  <si>
    <t>http://www.lta.disco.unimib.it/tools/hex/</t>
  </si>
  <si>
    <t>http://pietrobraione.github.io/jbse/</t>
  </si>
  <si>
    <t>http://tinyurl.com/DevActivities - real link: https://docs.google.com/forms/d/e/1FAIpQLSf3WzUU5OezYmQvp_Jk3pZMSaor8N0dDB5vySzLAea7TED2ww/viewform</t>
  </si>
  <si>
    <t>http://tinyurl.com/DevActivityAppendix - real link: https://drive.google.com/file/d/0B7rLZLW6uAZSZ0xGQmlJV2hqVzQ/view?usp=sharing</t>
  </si>
  <si>
    <t>https://passion-lab.org/projects/dataquality</t>
  </si>
  <si>
    <t>http://act-lab.org/artifacts/flexjava</t>
  </si>
  <si>
    <t>https://bitbucket.org/act-lab</t>
  </si>
  <si>
    <t>http://pexforfun.com/makingprogramsefficient</t>
  </si>
  <si>
    <t>CoRR, abs/1403.4064 - real link: https://arxiv.org/abs/1403.4064</t>
  </si>
  <si>
    <t>http://forsyte.at/static/people/radicek/fse14</t>
  </si>
  <si>
    <t>http://www.cse.ust.hk/~idagoo/autofix/regression_analysis.html</t>
  </si>
  <si>
    <t>http://pishon.cse.ust.hk/userstudy/</t>
  </si>
  <si>
    <t>http://softarch.usc.edu/wiki/doku.php?id=inference:start</t>
  </si>
  <si>
    <t>Technical Report CSSE-2013-509 - real link: https://citeseerx.ist.psu.edu/document?repid=rep1&amp;type=pdf&amp;doi=37454047fcf8fcf10efe00d31a95ed9559f2306a</t>
  </si>
  <si>
    <t>https://github.com/blackoutjack/jamweaver</t>
  </si>
  <si>
    <t>https://github.com/blackoutjack/jamscript</t>
  </si>
  <si>
    <t>http://tinyurl.com/fse14-arena - real link: http://www.cs.wayne.edu/~severe/fse2014/</t>
  </si>
  <si>
    <t>http://tinyurl.com/oelwef4 - real link: http://www.cs.wayne.edu/~severe/fse2014/study-ii/lucene-4.0.0.html</t>
  </si>
  <si>
    <t>Text file where the variable is located</t>
  </si>
  <si>
    <t>Variable name</t>
  </si>
  <si>
    <t>%Variables to copy to the tex file</t>
  </si>
  <si>
    <t>Value</t>
  </si>
  <si>
    <t>Value for checking</t>
  </si>
  <si>
    <t>F05-artifact-sharing-evolution.tex, F11-artifact-sharing-and-evaluation-rates.tex</t>
  </si>
  <si>
    <t>\varFSEArtifactSharingEvolutionEighteen</t>
  </si>
  <si>
    <t>83.6</t>
  </si>
  <si>
    <t>\varFSEArtifactSharingEvolutionFifteen</t>
  </si>
  <si>
    <t>64.9</t>
  </si>
  <si>
    <t>\varFSEArtifactSharingEvolutionFourteen</t>
  </si>
  <si>
    <t>57.4</t>
  </si>
  <si>
    <t>\varFSEArtifactSharingEvolutionNineteen</t>
  </si>
  <si>
    <t>83.8</t>
  </si>
  <si>
    <t>\varFSEArtifactSharingEvolutionSeventeen</t>
  </si>
  <si>
    <t>73.6</t>
  </si>
  <si>
    <t>\varFSEArtifactSharingEvolutionSixteen</t>
  </si>
  <si>
    <t>73.0</t>
  </si>
  <si>
    <t>\varFSEArtifactSharingEvolutionTwenty</t>
  </si>
  <si>
    <t>90.1</t>
  </si>
  <si>
    <t>\varFSEArtifactSharingEvolutionTwentyOne</t>
  </si>
  <si>
    <t>87.6</t>
  </si>
  <si>
    <t>\varFSEArtifactSharingEvolutionTwentyThree</t>
  </si>
  <si>
    <t>98.4</t>
  </si>
  <si>
    <t>\varFSEArtifactSharingEvolutionTwentyTwo</t>
  </si>
  <si>
    <t>91.9</t>
  </si>
  <si>
    <t>\varICSEArtifactSharingEvolutionEighteen</t>
  </si>
  <si>
    <t>79.0</t>
  </si>
  <si>
    <t>\varICSEArtifactSharingEvolutionFifteen</t>
  </si>
  <si>
    <t>58.3</t>
  </si>
  <si>
    <t>\varICSEArtifactSharingEvolutionFourteen</t>
  </si>
  <si>
    <t>63.3</t>
  </si>
  <si>
    <t>\varICSEArtifactSharingEvolutionNineteen</t>
  </si>
  <si>
    <t>72.5</t>
  </si>
  <si>
    <t>\varICSEArtifactSharingEvolutionSeventeen</t>
  </si>
  <si>
    <t>82.4</t>
  </si>
  <si>
    <t>\varICSEArtifactSharingEvolutionSixteen</t>
  </si>
  <si>
    <t>69.3</t>
  </si>
  <si>
    <t>\varICSEArtifactSharingEvolutionTwenty</t>
  </si>
  <si>
    <t>82.2</t>
  </si>
  <si>
    <t>\varICSEArtifactSharingEvolutionTwentyOne</t>
  </si>
  <si>
    <t>87.0</t>
  </si>
  <si>
    <t>\varICSEArtifactSharingEvolutionTwentyThree</t>
  </si>
  <si>
    <t>96.6</t>
  </si>
  <si>
    <t>\varICSEArtifactSharingEvolutionTwentyTwo</t>
  </si>
  <si>
    <t>89.3</t>
  </si>
  <si>
    <t>F06-disclosure-statements-evolution.tex</t>
  </si>
  <si>
    <t>\varPapersNotShareLinkFSEXIV</t>
  </si>
  <si>
    <t>3.8</t>
  </si>
  <si>
    <t>\varPapersNotShareLinkFSEXIX</t>
  </si>
  <si>
    <t>8.3</t>
  </si>
  <si>
    <t>\varPapersNotShareLinkFSEXV</t>
  </si>
  <si>
    <t>\varPapersNotShareLinkFSEXVI</t>
  </si>
  <si>
    <t>0.0</t>
  </si>
  <si>
    <t>\varPapersNotShareLinkFSEXVII</t>
  </si>
  <si>
    <t>\varPapersNotShareLinkFSEXVIII</t>
  </si>
  <si>
    <t>\varPapersNotShareLinkFSEXX</t>
  </si>
  <si>
    <t>10.0</t>
  </si>
  <si>
    <t>\varPapersNotShareLinkFSEXXI</t>
  </si>
  <si>
    <t>16.7</t>
  </si>
  <si>
    <t>\varPapersNotShareLinkFSEXXII</t>
  </si>
  <si>
    <t>\varPapersNotShareLinkFSEXXIII</t>
  </si>
  <si>
    <t>50.0</t>
  </si>
  <si>
    <t>\varPapersNotShareLinkICSEXIV</t>
  </si>
  <si>
    <t>5.6</t>
  </si>
  <si>
    <t>\varPapersNotShareLinkICSEXIX</t>
  </si>
  <si>
    <t>3.3</t>
  </si>
  <si>
    <t>\varPapersNotShareLinkICSEXV</t>
  </si>
  <si>
    <t>2.9</t>
  </si>
  <si>
    <t>\varPapersNotShareLinkICSEXVI</t>
  </si>
  <si>
    <t>12.9</t>
  </si>
  <si>
    <t>\varPapersNotShareLinkICSEXVII</t>
  </si>
  <si>
    <t>\varPapersNotShareLinkICSEXVIII</t>
  </si>
  <si>
    <t>9.1</t>
  </si>
  <si>
    <t>\varPapersNotShareLinkICSEXX</t>
  </si>
  <si>
    <t>\varPapersNotShareLinkICSEXXI</t>
  </si>
  <si>
    <t>\varPapersNotShareLinkICSEXXII</t>
  </si>
  <si>
    <t>19.0</t>
  </si>
  <si>
    <t>\varPapersNotShareLinkICSEXXIII</t>
  </si>
  <si>
    <t>14.3</t>
  </si>
  <si>
    <t>F07-papers-with-link-data-availability.tex</t>
  </si>
  <si>
    <t>\varEvolutionOfPapersWithLinkInSpecifSectionXIVFSE</t>
  </si>
  <si>
    <t>5.7</t>
  </si>
  <si>
    <t>\varEvolutionOfPapersWithLinkInSpecifSectionXIVICSE</t>
  </si>
  <si>
    <t>1.6</t>
  </si>
  <si>
    <t>\varEvolutionOfPapersWithLinkInSpecifSectionXIXFSE</t>
  </si>
  <si>
    <t>4.8</t>
  </si>
  <si>
    <t>\varEvolutionOfPapersWithLinkInSpecifSectionXIXICSE</t>
  </si>
  <si>
    <t>5.1</t>
  </si>
  <si>
    <t>\varEvolutionOfPapersWithLinkInSpecifSectionXVFSE</t>
  </si>
  <si>
    <t>22.9</t>
  </si>
  <si>
    <t>\varEvolutionOfPapersWithLinkInSpecifSectionXVICSE</t>
  </si>
  <si>
    <t>\varEvolutionOfPapersWithLinkInSpecifSectionXVIFSE</t>
  </si>
  <si>
    <t>33.3</t>
  </si>
  <si>
    <t>\varEvolutionOfPapersWithLinkInSpecifSectionXVIICSE</t>
  </si>
  <si>
    <t>\varEvolutionOfPapersWithLinkInSpecifSectionXVIIFSE</t>
  </si>
  <si>
    <t>15.1</t>
  </si>
  <si>
    <t>\varEvolutionOfPapersWithLinkInSpecifSectionXVIIICSE</t>
  </si>
  <si>
    <t>19.6</t>
  </si>
  <si>
    <t>\varEvolutionOfPapersWithLinkInSpecifSectionXVIIIFSE</t>
  </si>
  <si>
    <t>5.9</t>
  </si>
  <si>
    <t>\varEvolutionOfPapersWithLinkInSpecifSectionXVIIIICSE</t>
  </si>
  <si>
    <t>1.2</t>
  </si>
  <si>
    <t>\varEvolutionOfPapersWithLinkInSpecifSectionXXFSE</t>
  </si>
  <si>
    <t>7.7</t>
  </si>
  <si>
    <t>\varEvolutionOfPapersWithLinkInSpecifSectionXXICSE</t>
  </si>
  <si>
    <t>4.7</t>
  </si>
  <si>
    <t>\varEvolutionOfPapersWithLinkInSpecifSectionXXIFSE</t>
  </si>
  <si>
    <t>7.1</t>
  </si>
  <si>
    <t>\varEvolutionOfPapersWithLinkInSpecifSectionXXIICSE</t>
  </si>
  <si>
    <t>21.7</t>
  </si>
  <si>
    <t>\varEvolutionOfPapersWithLinkInSpecifSectionXXIIFSE</t>
  </si>
  <si>
    <t>25.3</t>
  </si>
  <si>
    <t>\varEvolutionOfPapersWithLinkInSpecifSectionXXIIICSE</t>
  </si>
  <si>
    <t>17.0</t>
  </si>
  <si>
    <t>\varEvolutionOfPapersWithLinkInSpecifSectionXXIIIFSE</t>
  </si>
  <si>
    <t>\varEvolutionOfPapersWithLinkInSpecifSectionXXIIIICSE</t>
  </si>
  <si>
    <t>24.5</t>
  </si>
  <si>
    <t>F08-artifact-links-by-unique-identifier.tex</t>
  </si>
  <si>
    <t>\varArtifactLocationEvolutionUniqueIdentifierXIVFSE</t>
  </si>
  <si>
    <t>\varArtifactLocationEvolutionUniqueIdentifierXIVICSE</t>
  </si>
  <si>
    <t>\varArtifactLocationEvolutionUniqueIdentifierXIXFSE</t>
  </si>
  <si>
    <t>24.2</t>
  </si>
  <si>
    <t>\varArtifactLocationEvolutionUniqueIdentifierXIXICSE</t>
  </si>
  <si>
    <t>\varArtifactLocationEvolutionUniqueIdentifierXVFSE</t>
  </si>
  <si>
    <t>\varArtifactLocationEvolutionUniqueIdentifierXVICSE</t>
  </si>
  <si>
    <t>2.0</t>
  </si>
  <si>
    <t>\varArtifactLocationEvolutionUniqueIdentifierXVIFSE</t>
  </si>
  <si>
    <t>1.9</t>
  </si>
  <si>
    <t>\varArtifactLocationEvolutionUniqueIdentifierXVIICSE</t>
  </si>
  <si>
    <t>\varArtifactLocationEvolutionUniqueIdentifierXVIIFSE</t>
  </si>
  <si>
    <t>\varArtifactLocationEvolutionUniqueIdentifierXVIIICSE</t>
  </si>
  <si>
    <t>3.6</t>
  </si>
  <si>
    <t>\varArtifactLocationEvolutionUniqueIdentifierXVIIIFSE</t>
  </si>
  <si>
    <t>13.7</t>
  </si>
  <si>
    <t>\varArtifactLocationEvolutionUniqueIdentifierXVIIIICSE</t>
  </si>
  <si>
    <t>13.3</t>
  </si>
  <si>
    <t>\varArtifactLocationEvolutionUniqueIdentifierXXFSE</t>
  </si>
  <si>
    <t>47.3</t>
  </si>
  <si>
    <t>\varArtifactLocationEvolutionUniqueIdentifierXXICSE</t>
  </si>
  <si>
    <t>\varArtifactLocationEvolutionUniqueIdentifierXXIFSE</t>
  </si>
  <si>
    <t>27.1</t>
  </si>
  <si>
    <t>\varArtifactLocationEvolutionUniqueIdentifierXXIICSE</t>
  </si>
  <si>
    <t>31.7</t>
  </si>
  <si>
    <t>\varArtifactLocationEvolutionUniqueIdentifierXXIIFSE</t>
  </si>
  <si>
    <t>46.2</t>
  </si>
  <si>
    <t>\varArtifactLocationEvolutionUniqueIdentifierXXIIICSE</t>
  </si>
  <si>
    <t>31.3</t>
  </si>
  <si>
    <t>\varArtifactLocationEvolutionUniqueIdentifierXXIIIFSE</t>
  </si>
  <si>
    <t>46.4</t>
  </si>
  <si>
    <t>\varArtifactLocationEvolutionUniqueIdentifierXXIIIICSE</t>
  </si>
  <si>
    <t>35.5</t>
  </si>
  <si>
    <t>F09-artifact-location-over-years.tex</t>
  </si>
  <si>
    <t>\FSEXIVInstitutionalPages</t>
  </si>
  <si>
    <t>65.7</t>
  </si>
  <si>
    <t>\FSEXIXInstitutionalPages</t>
  </si>
  <si>
    <t>\FSEXVIIIInstitutionalPages</t>
  </si>
  <si>
    <t>11.8</t>
  </si>
  <si>
    <t>\FSEXVIIInstitutionalPages</t>
  </si>
  <si>
    <t>39.6</t>
  </si>
  <si>
    <t>\FSEXVIInstitutionalPages</t>
  </si>
  <si>
    <t>38.9</t>
  </si>
  <si>
    <t>\FSEXVInstitutionalPages</t>
  </si>
  <si>
    <t>45.8</t>
  </si>
  <si>
    <t>\FSEXXIIIInstitutionalPages</t>
  </si>
  <si>
    <t>\FSEXXIIInstitutionalPages</t>
  </si>
  <si>
    <t>1.1</t>
  </si>
  <si>
    <t>\FSEXXIInstitutionalPages</t>
  </si>
  <si>
    <t>\FSEXXInstitutionalPages</t>
  </si>
  <si>
    <t>8.8</t>
  </si>
  <si>
    <t>\ICSEXIVInstitutionalPages</t>
  </si>
  <si>
    <t>64.5</t>
  </si>
  <si>
    <t>\ICSEXIXInstitutionalPages</t>
  </si>
  <si>
    <t>8.9</t>
  </si>
  <si>
    <t>\ICSEXVIIIInstitutionalPages</t>
  </si>
  <si>
    <t>20.5</t>
  </si>
  <si>
    <t>\ICSEXVIIInstitutionalPages</t>
  </si>
  <si>
    <t>37.5</t>
  </si>
  <si>
    <t>\ICSEXVIInstitutionalPages</t>
  </si>
  <si>
    <t>58.6</t>
  </si>
  <si>
    <t>\ICSEXVInstitutionalPages</t>
  </si>
  <si>
    <t>59.2</t>
  </si>
  <si>
    <t>\ICSEXXIIIInstitutionalPages</t>
  </si>
  <si>
    <t>2.5</t>
  </si>
  <si>
    <t>\ICSEXXIIInstitutionalPages</t>
  </si>
  <si>
    <t>\ICSEXXIInstitutionalPages</t>
  </si>
  <si>
    <t>5.0</t>
  </si>
  <si>
    <t>\ICSEXXInstitutionalPages</t>
  </si>
  <si>
    <t>\varFSEArchivalPlatEighteen</t>
  </si>
  <si>
    <t>\varFSEArchivalPlatFifteen</t>
  </si>
  <si>
    <t>\varFSEArchivalPlatFourteen</t>
  </si>
  <si>
    <t>\varFSEArchivalPlatNineteen</t>
  </si>
  <si>
    <t>\varFSEArchivalPlatSeventeen</t>
  </si>
  <si>
    <t>\varFSEArchivalPlatSixteen</t>
  </si>
  <si>
    <t>\varFSEArchivalPlatTwenty</t>
  </si>
  <si>
    <t>45.1</t>
  </si>
  <si>
    <t>\varFSEArchivalPlatTwentyOne</t>
  </si>
  <si>
    <t>\varFSEArchivalPlatTwentyThree</t>
  </si>
  <si>
    <t>\varFSEArchivalPlatTwentyTwo</t>
  </si>
  <si>
    <t>\varFSECodePlatEighteen</t>
  </si>
  <si>
    <t>58.8</t>
  </si>
  <si>
    <t>\varFSECodePlatFifteen</t>
  </si>
  <si>
    <t>29.2</t>
  </si>
  <si>
    <t>\varFSECodePlatFourteen</t>
  </si>
  <si>
    <t>\varFSECodePlatNineteen</t>
  </si>
  <si>
    <t>62.9</t>
  </si>
  <si>
    <t>\varFSECodePlatSeventeen</t>
  </si>
  <si>
    <t>49.1</t>
  </si>
  <si>
    <t>\varFSECodePlatSixteen</t>
  </si>
  <si>
    <t>40.7</t>
  </si>
  <si>
    <t>\varFSECodePlatTwenty</t>
  </si>
  <si>
    <t>53.8</t>
  </si>
  <si>
    <t>\varFSECodePlatTwentyOne</t>
  </si>
  <si>
    <t>81.2</t>
  </si>
  <si>
    <t>\varFSECodePlatTwentyThree</t>
  </si>
  <si>
    <t>64.8</t>
  </si>
  <si>
    <t>\varFSECodePlatTwentyTwo</t>
  </si>
  <si>
    <t>58.2</t>
  </si>
  <si>
    <t>\varFSEOtherAndGeneraPurposeEighteen</t>
  </si>
  <si>
    <t>21.6</t>
  </si>
  <si>
    <t>\varFSEOtherAndGeneraPurposeFifteen</t>
  </si>
  <si>
    <t>\varFSEOtherAndGeneraPurposeFourteen</t>
  </si>
  <si>
    <t>\varFSEOtherAndGeneraPurposeNineteen</t>
  </si>
  <si>
    <t>16.1</t>
  </si>
  <si>
    <t>\varFSEOtherAndGeneraPurposeSeventeen</t>
  </si>
  <si>
    <t>18.9</t>
  </si>
  <si>
    <t>\varFSEOtherAndGeneraPurposeSixteen</t>
  </si>
  <si>
    <t>35.2</t>
  </si>
  <si>
    <t>\varFSEOtherAndGeneraPurposeTwenty</t>
  </si>
  <si>
    <t>18.7</t>
  </si>
  <si>
    <t>\varFSEOtherAndGeneraPurposeTwentyOne</t>
  </si>
  <si>
    <t>\varFSEOtherAndGeneraPurposeTwentyThree</t>
  </si>
  <si>
    <t>12.8</t>
  </si>
  <si>
    <t>\varFSEOtherAndGeneraPurposeTwentyTwo</t>
  </si>
  <si>
    <t>15.4</t>
  </si>
  <si>
    <t>\varICSEArchivalPlatEighteen</t>
  </si>
  <si>
    <t>\varICSEArchivalPlatFifteen</t>
  </si>
  <si>
    <t>\varICSEArchivalPlatFourteen</t>
  </si>
  <si>
    <t>\varICSEArchivalPlatNineteen</t>
  </si>
  <si>
    <t>17.7</t>
  </si>
  <si>
    <t>\varICSEArchivalPlatSeventeen</t>
  </si>
  <si>
    <t>\varICSEArchivalPlatSixteen</t>
  </si>
  <si>
    <t>8.6</t>
  </si>
  <si>
    <t>\varICSEArchivalPlatTwenty</t>
  </si>
  <si>
    <t>20.8</t>
  </si>
  <si>
    <t>\varICSEArchivalPlatTwentyOne</t>
  </si>
  <si>
    <t>30.8</t>
  </si>
  <si>
    <t>\varICSEArchivalPlatTwentyThree</t>
  </si>
  <si>
    <t>36.0</t>
  </si>
  <si>
    <t>\varICSEArchivalPlatTwentyTwo</t>
  </si>
  <si>
    <t>31.8</t>
  </si>
  <si>
    <t>\varICSECodePlatEighteen</t>
  </si>
  <si>
    <t>49.4</t>
  </si>
  <si>
    <t>\varICSECodePlatFifteen</t>
  </si>
  <si>
    <t>16.3</t>
  </si>
  <si>
    <t>\varICSECodePlatFourteen</t>
  </si>
  <si>
    <t>\varICSECodePlatNineteen</t>
  </si>
  <si>
    <t>62.0</t>
  </si>
  <si>
    <t>\varICSECodePlatSeventeen</t>
  </si>
  <si>
    <t>42.9</t>
  </si>
  <si>
    <t>\varICSECodePlatSixteen</t>
  </si>
  <si>
    <t>18.6</t>
  </si>
  <si>
    <t>\varICSECodePlatTwenty</t>
  </si>
  <si>
    <t>69.8</t>
  </si>
  <si>
    <t>\varICSECodePlatTwentyOne</t>
  </si>
  <si>
    <t>66.7</t>
  </si>
  <si>
    <t>\varICSECodePlatTwentyThree</t>
  </si>
  <si>
    <t>68.5</t>
  </si>
  <si>
    <t>\varICSECodePlatTwentyTwo</t>
  </si>
  <si>
    <t>71.0</t>
  </si>
  <si>
    <t>\varICSEOtherAndGeneraPurposeEighteen</t>
  </si>
  <si>
    <t>27.7</t>
  </si>
  <si>
    <t>\varICSEOtherAndGeneraPurposeFifteen</t>
  </si>
  <si>
    <t>30.6</t>
  </si>
  <si>
    <t>\varICSEOtherAndGeneraPurposeFourteen</t>
  </si>
  <si>
    <t>38.7</t>
  </si>
  <si>
    <t>\varICSEOtherAndGeneraPurposeNineteen</t>
  </si>
  <si>
    <t>\varICSEOtherAndGeneraPurposeSeventeen</t>
  </si>
  <si>
    <t>26.8</t>
  </si>
  <si>
    <t>\varICSEOtherAndGeneraPurposeSixteen</t>
  </si>
  <si>
    <t>20.0</t>
  </si>
  <si>
    <t>\varICSEOtherAndGeneraPurposeTwenty</t>
  </si>
  <si>
    <t>14.2</t>
  </si>
  <si>
    <t>\varICSEOtherAndGeneraPurposeTwentyOne</t>
  </si>
  <si>
    <t>12.5</t>
  </si>
  <si>
    <t>\varICSEOtherAndGeneraPurposeTwentyThree</t>
  </si>
  <si>
    <t>10.5</t>
  </si>
  <si>
    <t>\varICSEOtherAndGeneraPurposeTwentyTwo</t>
  </si>
  <si>
    <t>8.5</t>
  </si>
  <si>
    <t>F10-artifacts-no-longer-available-per-paper.tex</t>
  </si>
  <si>
    <t>\varFSENotAvailablePerPaperXIV</t>
  </si>
  <si>
    <t>45.7</t>
  </si>
  <si>
    <t>\varFSENotAvailablePerPaperXIX</t>
  </si>
  <si>
    <t>14.5</t>
  </si>
  <si>
    <t>\varFSENotAvailablePerPaperXV</t>
  </si>
  <si>
    <t>43.8</t>
  </si>
  <si>
    <t>\varFSENotAvailablePerPaperXVI</t>
  </si>
  <si>
    <t>\varFSENotAvailablePerPaperXVII</t>
  </si>
  <si>
    <t>26.4</t>
  </si>
  <si>
    <t>\varFSENotAvailablePerPaperXVIII</t>
  </si>
  <si>
    <t>9.8</t>
  </si>
  <si>
    <t>\varFSENotAvailablePerPaperXX</t>
  </si>
  <si>
    <t>5.5</t>
  </si>
  <si>
    <t>\varFSENotAvailablePerPaperXXI</t>
  </si>
  <si>
    <t>2.4</t>
  </si>
  <si>
    <t>\varFSENotAvailablePerPaperXXII</t>
  </si>
  <si>
    <t>\varFSENotAvailablePerPaperXXIII</t>
  </si>
  <si>
    <t>3.2</t>
  </si>
  <si>
    <t>\varICSENotAvailablePerPaperEighteen</t>
  </si>
  <si>
    <t>\varICSENotAvailablePerPaperFifteen</t>
  </si>
  <si>
    <t>46.9</t>
  </si>
  <si>
    <t>\varICSENotAvailablePerPaperFourteen</t>
  </si>
  <si>
    <t>56.5</t>
  </si>
  <si>
    <t>\varICSENotAvailablePerPaperNineteen</t>
  </si>
  <si>
    <t>7.6</t>
  </si>
  <si>
    <t>\varICSENotAvailablePerPaperSeventeen</t>
  </si>
  <si>
    <t>35.7</t>
  </si>
  <si>
    <t>\varICSENotAvailablePerPaperSixteen</t>
  </si>
  <si>
    <t>52.9</t>
  </si>
  <si>
    <t>\varICSENotAvailablePerPaperTwenty</t>
  </si>
  <si>
    <t>6.6</t>
  </si>
  <si>
    <t>\varICSENotAvailablePerPaperTwentyOne</t>
  </si>
  <si>
    <t>\varICSENotAvailablePerPaperTwentyThree</t>
  </si>
  <si>
    <t>4.5</t>
  </si>
  <si>
    <t>\varICSENotAvailablePerPaperTwentyTwo</t>
  </si>
  <si>
    <t>2.8</t>
  </si>
  <si>
    <t>F11-artifact-sharing-and-evaluation-rates.tex</t>
  </si>
  <si>
    <t>\varFSEEvaluatedArtifactEighteen</t>
  </si>
  <si>
    <t>32.8</t>
  </si>
  <si>
    <t>\varFSEEvaluatedArtifactFifteen</t>
  </si>
  <si>
    <t>23.0</t>
  </si>
  <si>
    <t>\varFSEEvaluatedArtifactFourteen</t>
  </si>
  <si>
    <t>24.6</t>
  </si>
  <si>
    <t>\varFSEEvaluatedArtifactNineteen</t>
  </si>
  <si>
    <t>28.4</t>
  </si>
  <si>
    <t>\varFSEEvaluatedArtifactSeventeen</t>
  </si>
  <si>
    <t>15.3</t>
  </si>
  <si>
    <t>\varFSEEvaluatedArtifactSixteen</t>
  </si>
  <si>
    <t>\varFSEEvaluatedArtifactTwenty</t>
  </si>
  <si>
    <t>53.5</t>
  </si>
  <si>
    <t>\varFSEEvaluatedArtifactTwentyOne</t>
  </si>
  <si>
    <t>51.5</t>
  </si>
  <si>
    <t>\varFSEEvaluatedArtifactTwentyThree</t>
  </si>
  <si>
    <t>48.8</t>
  </si>
  <si>
    <t>\varFSEEvaluatedArtifactTwentyTwo</t>
  </si>
  <si>
    <t>41.4</t>
  </si>
  <si>
    <t>\varICSEEvaluatedArtifactNineteen</t>
  </si>
  <si>
    <t>41.3</t>
  </si>
  <si>
    <t>\varICSEEvaluatedArtifactTwenty</t>
  </si>
  <si>
    <t>41.9</t>
  </si>
  <si>
    <t>\varICSEEvaluatedArtifactTwentyOne</t>
  </si>
  <si>
    <t>36.2</t>
  </si>
  <si>
    <t>\varICSEEvaluatedArtifactTwentyThree</t>
  </si>
  <si>
    <t>\varICSEEvaluatedArtifactTwentyTwo</t>
  </si>
  <si>
    <t>32.0</t>
  </si>
  <si>
    <t>T01-collected-papers.tex</t>
  </si>
  <si>
    <t>\varCollectedPapersFSEEighteen</t>
  </si>
  <si>
    <t>\varCollectedPapersFSEFifteen</t>
  </si>
  <si>
    <t>\varCollectedPapersFSEFourteen</t>
  </si>
  <si>
    <t>\varCollectedPapersFSENineteen</t>
  </si>
  <si>
    <t>\varCollectedPapersFSESeventeen</t>
  </si>
  <si>
    <t>\varCollectedPapersFSESixteen</t>
  </si>
  <si>
    <t>\varCollectedPapersFSETwenty</t>
  </si>
  <si>
    <t>\varCollectedPapersFSETwentyOne</t>
  </si>
  <si>
    <t>\varCollectedPapersFSETwentyThree</t>
  </si>
  <si>
    <t>\varCollectedPapersFSETwentyTwo</t>
  </si>
  <si>
    <t>\varCollectedPapersICSEEighteen</t>
  </si>
  <si>
    <t>\varCollectedPapersICSEFifteen</t>
  </si>
  <si>
    <t>\varCollectedPapersICSEFourteen</t>
  </si>
  <si>
    <t>\varCollectedPapersICSENineteen</t>
  </si>
  <si>
    <t>\varCollectedPapersICSESeventeen</t>
  </si>
  <si>
    <t>\varCollectedPapersICSESixteen</t>
  </si>
  <si>
    <t>\varCollectedPapersICSETwenty</t>
  </si>
  <si>
    <t>\varCollectedPapersICSETwentyOne</t>
  </si>
  <si>
    <t>\varCollectedPapersICSETwentyThree</t>
  </si>
  <si>
    <t>\varCollectedPapersICSETwentyTwo</t>
  </si>
  <si>
    <t>\varTotalPapersXIVICSEFSE</t>
  </si>
  <si>
    <t>\varTotalPapersXIXICSEFSE</t>
  </si>
  <si>
    <t>\varTotalPapersXVICSEFSE</t>
  </si>
  <si>
    <t>\varTotalPapersXVIICSEFSE</t>
  </si>
  <si>
    <t>\varTotalPapersXVIIICSEFSE</t>
  </si>
  <si>
    <t>\varTotalPapersXVIIIICSEFSE</t>
  </si>
  <si>
    <t>\varTotalPapersXXICSEFSE</t>
  </si>
  <si>
    <t>\varTotalPapersXXIICSEFSE</t>
  </si>
  <si>
    <t>\varTotalPapersXXIIICSEFSE</t>
  </si>
  <si>
    <t>\varTotalPapersXXIIIICSEFSE</t>
  </si>
  <si>
    <t>T01-collected-papers.tex, T03-artifact-sharing-frequency.tex, T09-links-and-non-disclosure-frequency.tex</t>
  </si>
  <si>
    <t>\varTotalOfPapersFSE</t>
  </si>
  <si>
    <t>\varTotalOfPapersICSE</t>
  </si>
  <si>
    <t>\varTotalOfPapersICSEFSE</t>
  </si>
  <si>
    <t>T03-artifact-sharing-frequency.tex, T04-different-links-in-papers.tex, T05-artifact-link-location-distribution.tex, T06-artifact-link-statuses.tex</t>
  </si>
  <si>
    <t>\varTotalOfPapersWithLinkICSE</t>
  </si>
  <si>
    <t>\varTotalOfPapersWithLinkICSEFSE</t>
  </si>
  <si>
    <t>T03-artifact-sharing-frequency.tex, T05-artifact-link-location-distribution.tex</t>
  </si>
  <si>
    <t>\varTotalOfPapersWithLinkFSE</t>
  </si>
  <si>
    <t>T04-different-links-in-papers.tex</t>
  </si>
  <si>
    <t>\varPapersFourLinksAndMoreICSEFSE</t>
  </si>
  <si>
    <t>\varPapersOneLinkICSEFSE</t>
  </si>
  <si>
    <t>\varPapersThreeLinksICSEFSE</t>
  </si>
  <si>
    <t>\varPapersTwoLinksICSEFSE</t>
  </si>
  <si>
    <t>T05-artifact-link-location-distribution.tex</t>
  </si>
  <si>
    <t>\varLinkInConclusionAndMoreFSE</t>
  </si>
  <si>
    <t>\varLinkInConclusionAndMoreICSE</t>
  </si>
  <si>
    <t>\varLinkInConclusionAndMoreICSEFSE</t>
  </si>
  <si>
    <t>\varLinkInConclusionFSE</t>
  </si>
  <si>
    <t>\varLinkInConclusionICSE</t>
  </si>
  <si>
    <t>\varLinkInConclusionICSEFSE</t>
  </si>
  <si>
    <t>\varLinkInIntroductionAndMoreFSE</t>
  </si>
  <si>
    <t>\varLinkInIntroductionAndMoreICSE</t>
  </si>
  <si>
    <t>\varLinkInIntroductionAndMoreICSEFSE</t>
  </si>
  <si>
    <t>\varLinkInIntroductionFSE</t>
  </si>
  <si>
    <t>\varLinkInIntroductionICSE</t>
  </si>
  <si>
    <t>\varLinkInIntroductionICSEFSE</t>
  </si>
  <si>
    <t>\varLinkInOtherPlaceAndMoreFSE</t>
  </si>
  <si>
    <t>\varLinkInOtherPlaceAndMoreICSE</t>
  </si>
  <si>
    <t>\varLinkInOtherPlaceAndMoreICSEFSE</t>
  </si>
  <si>
    <t>\varLinkInOtherPlaceFSE</t>
  </si>
  <si>
    <t>\varLinkInOtherPlaceICSE</t>
  </si>
  <si>
    <t>\varLinkInOtherPlaceICSEFSE</t>
  </si>
  <si>
    <t>\varLinkInSpecificAndMoreFSE</t>
  </si>
  <si>
    <t>\varLinkInSpecificAndMoreICSE</t>
  </si>
  <si>
    <t>\varLinkInSpecificAndMoreICSEFSE</t>
  </si>
  <si>
    <t>\varLinkInSpecificFSE</t>
  </si>
  <si>
    <t>\varLinkInSpecificICSE</t>
  </si>
  <si>
    <t>\varLinkInSpecificICSEFSE</t>
  </si>
  <si>
    <t>\varLinkOnlyInConclusionFSE</t>
  </si>
  <si>
    <t>\varLinkOnlyInConclusionICSE</t>
  </si>
  <si>
    <t>\varLinkOnlyInConclusionICSEFSE</t>
  </si>
  <si>
    <t>\varLinkOnlyInIntroductionFSE</t>
  </si>
  <si>
    <t>\varLinkOnlyInIntroductionICSE</t>
  </si>
  <si>
    <t>\varLinkOnlyInIntroductionICSEFSE</t>
  </si>
  <si>
    <t>\varLinkOnlyInOtherPlacesFSE</t>
  </si>
  <si>
    <t>\varLinkOnlyInOtherPlacesICSE</t>
  </si>
  <si>
    <t>\varLinkOnlyInOtherPlacesICSEFSE</t>
  </si>
  <si>
    <t>\varLinkOnlyInSpecificFSE</t>
  </si>
  <si>
    <t>\varLinkOnlyInSpecificICSE</t>
  </si>
  <si>
    <t>\varLinkOnlyInSpecificICSEFSE</t>
  </si>
  <si>
    <t>T06-artifact-link-statuses.tex</t>
  </si>
  <si>
    <t>\varNumLinksNotAvailableICSEFSE</t>
  </si>
  <si>
    <t>\varNumLinksPublicAvailableICSEFSE</t>
  </si>
  <si>
    <t>\varNumLinksRestrictAccessICSEFSE</t>
  </si>
  <si>
    <t>\varNumPapersLinkNotAvailableICSEFSE</t>
  </si>
  <si>
    <t>\varNumPapersLinkPublicAvailableICSEFSE</t>
  </si>
  <si>
    <t>\varNumPapersLinkRestrictAccessICSEFSE</t>
  </si>
  <si>
    <t>\varPapersHaveOnlyNotAvailableLinksICSEFSE</t>
  </si>
  <si>
    <t>\varPapersHaveOnlyPubliclyAvailableLinksICSEFSE</t>
  </si>
  <si>
    <t>\varPapersHaveOnlyRestrictAccessLinksICSEFSE</t>
  </si>
  <si>
    <t>\varTotalPapersUniqueInCategoryICSEFSE</t>
  </si>
  <si>
    <t>T06-artifact-link-statuses.tex, T07-artifact-storage-platforms.tex</t>
  </si>
  <si>
    <t>\varTotalOfLinksICSEFSE</t>
  </si>
  <si>
    <t>T07-artifact-storage-platforms.tex</t>
  </si>
  <si>
    <t>\varArchivalPlatformsICSEFSE</t>
  </si>
  <si>
    <t>\varCodePlatICSEFSE</t>
  </si>
  <si>
    <t>\varGeneralPurposePlatICSEFSE</t>
  </si>
  <si>
    <t>\varInstPersProfesPagesICSEFSE</t>
  </si>
  <si>
    <t>\varOtherRepsICSEFSE</t>
  </si>
  <si>
    <t>T08-non-public-disclosure-statements.tex</t>
  </si>
  <si>
    <t>\varJustificationPapersICSEFSE</t>
  </si>
  <si>
    <t>\varStatementAccessThroughCredentialsICSEFSE</t>
  </si>
  <si>
    <t>\varStatementAccessUponRequestICSEFSE</t>
  </si>
  <si>
    <t>\varStatementAgreementsAndLegalRightsICSEFSE</t>
  </si>
  <si>
    <t>\varStatementConfidentialityAndPrivacyICSEFSE</t>
  </si>
  <si>
    <t>\varStatementFuturePlansICSEFSE</t>
  </si>
  <si>
    <t>\varStatementLimitedToPhysicalAccessICSEFSE</t>
  </si>
  <si>
    <t>\varStatementReasonNotExplainedICSEFSE</t>
  </si>
  <si>
    <t>\varStatementSecurityICSEFSE</t>
  </si>
  <si>
    <t>\varStatementTechnicalIssuesICSEFSE</t>
  </si>
  <si>
    <t>T09-links-and-non-disclosure-frequency.tex</t>
  </si>
  <si>
    <t>\varLinkNoStatementNoFSE</t>
  </si>
  <si>
    <t>\varLinkNoStatementNoICSE</t>
  </si>
  <si>
    <t>\varLinkNoStatementNoICSEFSE</t>
  </si>
  <si>
    <t>\varLinkNoStatementYesFSE</t>
  </si>
  <si>
    <t>\varLinkNoStatementYesICSE</t>
  </si>
  <si>
    <t>\varLinkNoStatementYesICSEFSE</t>
  </si>
  <si>
    <t>\varLinkYesStatementNoFSE</t>
  </si>
  <si>
    <t>\varLinkYesStatementNoICSE</t>
  </si>
  <si>
    <t>\varLinkYesStatementNoICSEFSE</t>
  </si>
  <si>
    <t>\varLinkYesStatementYesFSE</t>
  </si>
  <si>
    <t>\varLinkYesStatementYesICSE</t>
  </si>
  <si>
    <t>\varLinkYesStatementYesICSEFSE</t>
  </si>
  <si>
    <t>T10-artifacts-available-unique-identifier.tex</t>
  </si>
  <si>
    <t>\varEvolutionArtifactsAvailableBadgeANDUniqueIdentifierXIXFSE</t>
  </si>
  <si>
    <t>47.4</t>
  </si>
  <si>
    <t>\varEvolutionArtifactsAvailableBadgeANDUniqueIdentifierXIXICSE</t>
  </si>
  <si>
    <t>\varEvolutionArtifactsAvailableBadgeANDUniqueIdentifierXVIIFSE</t>
  </si>
  <si>
    <t>\varEvolutionArtifactsAvailableBadgeANDUniqueIdentifierXVIIIFSE</t>
  </si>
  <si>
    <t>22.2</t>
  </si>
  <si>
    <t>\varEvolutionArtifactsAvailableBadgeANDUniqueIdentifierXVIIIICSE</t>
  </si>
  <si>
    <t>\varEvolutionArtifactsAvailableBadgeANDUniqueIdentifierXXFSE</t>
  </si>
  <si>
    <t>68.6</t>
  </si>
  <si>
    <t>\varEvolutionArtifactsAvailableBadgeANDUniqueIdentifierXXICSE</t>
  </si>
  <si>
    <t>24.0</t>
  </si>
  <si>
    <t>\varEvolutionArtifactsAvailableBadgeANDUniqueIdentifierXXIFSE</t>
  </si>
  <si>
    <t>35.4</t>
  </si>
  <si>
    <t>\varEvolutionArtifactsAvailableBadgeANDUniqueIdentifierXXIICSE</t>
  </si>
  <si>
    <t>60.5</t>
  </si>
  <si>
    <t>\varEvolutionArtifactsAvailableBadgeANDUniqueIdentifierXXIIFSE</t>
  </si>
  <si>
    <t>78.0</t>
  </si>
  <si>
    <t>\varEvolutionArtifactsAvailableBadgeANDUniqueIdentifierXXIIICSE</t>
  </si>
  <si>
    <t>56.9</t>
  </si>
  <si>
    <t>\varEvolutionArtifactsAvailableBadgeANDUniqueIdentifierXXIIIFSE</t>
  </si>
  <si>
    <t>72.6</t>
  </si>
  <si>
    <t>\varEvolutionArtifactsAvailableBadgeANDUniqueIdentifierXXIIIICSE</t>
  </si>
  <si>
    <t>\varEvolutionArtifactsAvailableBadgeWithoutLinkXIXFSE</t>
  </si>
  <si>
    <t>5.3</t>
  </si>
  <si>
    <t>\varEvolutionArtifactsAvailableBadgeWithoutLinkXIXICSE</t>
  </si>
  <si>
    <t>5.4</t>
  </si>
  <si>
    <t>\varEvolutionArtifactsAvailableBadgeWithoutLinkXVIIFSE</t>
  </si>
  <si>
    <t>\varEvolutionArtifactsAvailableBadgeWithoutLinkXVIIIFSE</t>
  </si>
  <si>
    <t>\varEvolutionArtifactsAvailableBadgeWithoutLinkXVIIIICSE</t>
  </si>
  <si>
    <t>\varEvolutionArtifactsAvailableBadgeWithoutLinkXXFSE</t>
  </si>
  <si>
    <t>\varEvolutionArtifactsAvailableBadgeWithoutLinkXXICSE</t>
  </si>
  <si>
    <t>\varEvolutionArtifactsAvailableBadgeWithoutLinkXXIFSE</t>
  </si>
  <si>
    <t>4.2</t>
  </si>
  <si>
    <t>\varEvolutionArtifactsAvailableBadgeWithoutLinkXXIICSE</t>
  </si>
  <si>
    <t>2.6</t>
  </si>
  <si>
    <t>\varEvolutionArtifactsAvailableBadgeWithoutLinkXXIIFSE</t>
  </si>
  <si>
    <t>\varEvolutionArtifactsAvailableBadgeWithoutLinkXXIIICSE</t>
  </si>
  <si>
    <t>3.4</t>
  </si>
  <si>
    <t>\varEvolutionArtifactsAvailableBadgeWithoutLinkXXIIIFSE</t>
  </si>
  <si>
    <t>\varEvolutionArtifactsAvailableBadgeWithoutLinkXXIIIICSE</t>
  </si>
  <si>
    <t>\varEvolutionArtifactsAvailableBadgeWithoutUniqueIdentifierXIXFSE</t>
  </si>
  <si>
    <t>\varEvolutionArtifactsAvailableBadgeWithoutUniqueIdentifierXIXICSE</t>
  </si>
  <si>
    <t>\varEvolutionArtifactsAvailableBadgeWithoutUniqueIdentifierXVIIFSE</t>
  </si>
  <si>
    <t>100</t>
  </si>
  <si>
    <t>\varEvolutionArtifactsAvailableBadgeWithoutUniqueIdentifierXVIIIFSE</t>
  </si>
  <si>
    <t>61.1</t>
  </si>
  <si>
    <t>\varEvolutionArtifactsAvailableBadgeWithoutUniqueIdentifierXVIIIICSE</t>
  </si>
  <si>
    <t>\varEvolutionArtifactsAvailableBadgeWithoutUniqueIdentifierXXFSE</t>
  </si>
  <si>
    <t>29.4</t>
  </si>
  <si>
    <t>\varEvolutionArtifactsAvailableBadgeWithoutUniqueIdentifierXXICSE</t>
  </si>
  <si>
    <t>66.0</t>
  </si>
  <si>
    <t>\varEvolutionArtifactsAvailableBadgeWithoutUniqueIdentifierXXIFSE</t>
  </si>
  <si>
    <t>60.4</t>
  </si>
  <si>
    <t>\varEvolutionArtifactsAvailableBadgeWithoutUniqueIdentifierXXIICSE</t>
  </si>
  <si>
    <t>36.8</t>
  </si>
  <si>
    <t>\varEvolutionArtifactsAvailableBadgeWithoutUniqueIdentifierXXIIFSE</t>
  </si>
  <si>
    <t>22.0</t>
  </si>
  <si>
    <t>\varEvolutionArtifactsAvailableBadgeWithoutUniqueIdentifierXXIIICSE</t>
  </si>
  <si>
    <t>39.7</t>
  </si>
  <si>
    <t>\varEvolutionArtifactsAvailableBadgeWithoutUniqueIdentifierXXIIIFSE</t>
  </si>
  <si>
    <t>27.4</t>
  </si>
  <si>
    <t>\varEvolutionArtifactsAvailableBadgeWithoutUniqueIdentifierXXIIIICSE</t>
  </si>
  <si>
    <t>\varEvolutionBadgeArtifactAvailableXIXFSE</t>
  </si>
  <si>
    <t>\varEvolutionBadgeArtifactAvailableXIXICSE</t>
  </si>
  <si>
    <t>\varEvolutionBadgeArtifactAvailableXVIIFSE</t>
  </si>
  <si>
    <t>\varEvolutionBadgeArtifactAvailableXVIIICSE</t>
  </si>
  <si>
    <t>\varEvolutionBadgeArtifactAvailableXVIIIFSE</t>
  </si>
  <si>
    <t>\varEvolutionBadgeArtifactAvailableXVIIIICSE</t>
  </si>
  <si>
    <t>\varEvolutionBadgeArtifactAvailableXXFSE</t>
  </si>
  <si>
    <t>\varEvolutionBadgeArtifactAvailableXXICSE</t>
  </si>
  <si>
    <t>\varEvolutionBadgeArtifactAvailableXXIFSE</t>
  </si>
  <si>
    <t>\varEvolutionBadgeArtifactAvailableXXIICSE</t>
  </si>
  <si>
    <t>\varEvolutionBadgeArtifactAvailableXXIIFSE</t>
  </si>
  <si>
    <t>\varEvolutionBadgeArtifactAvailableXXIIICSE</t>
  </si>
  <si>
    <t>\varEvolutionBadgeArtifactAvailableXXIIIFSE</t>
  </si>
  <si>
    <t>\varEvolutionBadgeArtifactAvailableXXIIIICSE</t>
  </si>
  <si>
    <t>Body</t>
  </si>
  <si>
    <t>\EventFSEInviteResearchArtifacts</t>
  </si>
  <si>
    <t>F01</t>
  </si>
  <si>
    <t>\EventFSEInviteIndustrialArtifacts</t>
  </si>
  <si>
    <t>F02</t>
  </si>
  <si>
    <t>\EventFSEInvitePriorSEArtifacts</t>
  </si>
  <si>
    <t>F03</t>
  </si>
  <si>
    <t>\EventFSEArtifactScores</t>
  </si>
  <si>
    <t>F04</t>
  </si>
  <si>
    <t>\EventFSEBadgeOnFrontPage</t>
  </si>
  <si>
    <t>F05</t>
  </si>
  <si>
    <t>\EventFSEUseACMBadges</t>
  </si>
  <si>
    <t>F06</t>
  </si>
  <si>
    <t>\EventFSEArtifactVisibilityRewards</t>
  </si>
  <si>
    <t>F07</t>
  </si>
  <si>
    <t>\EventFSEBestArtifact</t>
  </si>
  <si>
    <t>F08</t>
  </si>
  <si>
    <t>\EventFSEExtraPresentationTime</t>
  </si>
  <si>
    <t>F09</t>
  </si>
  <si>
    <t>\EventFSEArtifactInACMDL</t>
  </si>
  <si>
    <t>F10</t>
  </si>
  <si>
    <t>\EventFSEExtraArtifactPage</t>
  </si>
  <si>
    <t>F11</t>
  </si>
  <si>
    <t>\EventFSEArtifactAbstractsProceedings</t>
  </si>
  <si>
    <t>F12</t>
  </si>
  <si>
    <t>\EventFSELightningTalksResultsValidated</t>
  </si>
  <si>
    <t>F13</t>
  </si>
  <si>
    <t>\EventFSELightningTalksArtifactsEvaluated</t>
  </si>
  <si>
    <t>F14</t>
  </si>
  <si>
    <t>\EventFSENoURLsDoubleAnonymous</t>
  </si>
  <si>
    <t>F15</t>
  </si>
  <si>
    <t>\EventFSEOptionalSupplementaryFile</t>
  </si>
  <si>
    <t>F16</t>
  </si>
  <si>
    <t>\EventFSEAnonymousArtifactLink</t>
  </si>
  <si>
    <t>F17</t>
  </si>
  <si>
    <t>\EventFSEDataAvailabilityRequest</t>
  </si>
  <si>
    <t>F18</t>
  </si>
  <si>
    <t>\EventFSEDeclareArtifactAvailability</t>
  </si>
  <si>
    <t>F19</t>
  </si>
  <si>
    <t>\EventFSEOptionalArtifactChecking</t>
  </si>
  <si>
    <t>F20</t>
  </si>
  <si>
    <t>\EventFSEOpenScienceWebsite</t>
  </si>
  <si>
    <t>F21</t>
  </si>
  <si>
    <t>\EventFSEAdhereSIGSOFTPolicies</t>
  </si>
  <si>
    <t>F22</t>
  </si>
  <si>
    <t>\EventFSEGuideDataDisclosure</t>
  </si>
  <si>
    <t>F23</t>
  </si>
  <si>
    <t>\EventFSEGuideArchiveGitHub</t>
  </si>
  <si>
    <t>F24</t>
  </si>
  <si>
    <t>\EventFSERoseFestival</t>
  </si>
  <si>
    <t>F25</t>
  </si>
  <si>
    <t>\EventICSEVerifiabilitySection</t>
  </si>
  <si>
    <t>I01</t>
  </si>
  <si>
    <t>\EventICSEVerifiabilityCriterionTechnical</t>
  </si>
  <si>
    <t>I02</t>
  </si>
  <si>
    <t>\EventICSEVerifiabilityCriterionSEET</t>
  </si>
  <si>
    <t>I03</t>
  </si>
  <si>
    <t>\EventICSEVerifiabilityCriterionNIER</t>
  </si>
  <si>
    <t>I04</t>
  </si>
  <si>
    <t>\EventICSEAvailabilityCriterionSEET</t>
  </si>
  <si>
    <t>I05</t>
  </si>
  <si>
    <t>\EventICSEArtifactCommitteeSEIS</t>
  </si>
  <si>
    <t>I06</t>
  </si>
  <si>
    <t>\EventICSEInviteTechnicalArtifacts</t>
  </si>
  <si>
    <t>I07</t>
  </si>
  <si>
    <t>\EventICSEUseACMBadges</t>
  </si>
  <si>
    <t>I08</t>
  </si>
  <si>
    <t>\EventICSEBadgeOnFrontPage</t>
  </si>
  <si>
    <t>I09</t>
  </si>
  <si>
    <t>\EventICSEBestArtifact</t>
  </si>
  <si>
    <t>I10</t>
  </si>
  <si>
    <t>\EventICSEInviteOtherTracksArtifacts</t>
  </si>
  <si>
    <t>I11</t>
  </si>
  <si>
    <t>\EventICSEInvitePriorSEArtifacts</t>
  </si>
  <si>
    <t>I12</t>
  </si>
  <si>
    <t>\EventICSELightningTalksResultsValidated</t>
  </si>
  <si>
    <t>I13</t>
  </si>
  <si>
    <t>\EventICSEArtifactAbstractsProceedings</t>
  </si>
  <si>
    <t>I14</t>
  </si>
  <si>
    <t>\EventICSENoURLsDoubleAnonymous</t>
  </si>
  <si>
    <t>I15</t>
  </si>
  <si>
    <t>\EventICSEOptionalSupplementaryFile</t>
  </si>
  <si>
    <t>I16</t>
  </si>
  <si>
    <t>\EventICSEAnonymousArtifactLink</t>
  </si>
  <si>
    <t>I17</t>
  </si>
  <si>
    <t>\EventICSEDataAvailabilityRequest</t>
  </si>
  <si>
    <t>I18</t>
  </si>
  <si>
    <t>\EventICSEDeclareArtifactAvailability</t>
  </si>
  <si>
    <t>I19</t>
  </si>
  <si>
    <t>\EventICSEOptionalArtifactChecking</t>
  </si>
  <si>
    <t>I20</t>
  </si>
  <si>
    <t>\EventICSELightweightArtifactCheck</t>
  </si>
  <si>
    <t>I21</t>
  </si>
  <si>
    <t>\EventICSEOpenScienceWebsite</t>
  </si>
  <si>
    <t>I22</t>
  </si>
  <si>
    <t>\EventICSEAdhereSIGSOFTPolicies</t>
  </si>
  <si>
    <t>I23</t>
  </si>
  <si>
    <t>\EventICSEGuideDataDisclosure</t>
  </si>
  <si>
    <t>I24</t>
  </si>
  <si>
    <t>\EventICSEGuideArchiveGitHub</t>
  </si>
  <si>
    <t>I25</t>
  </si>
  <si>
    <t>\EventICSERoseFestival</t>
  </si>
  <si>
    <t>I26</t>
  </si>
  <si>
    <t>\varEvolutionBadgeArtifactAvailableXIVFSE</t>
  </si>
  <si>
    <t>\varEvolutionBadgeArtifactAvailableXIVICSE</t>
  </si>
  <si>
    <t>\varEvolutionBadgeArtifactAvailableXVFSE</t>
  </si>
  <si>
    <t>\varEvolutionBadgeArtifactAvailableXVICSE</t>
  </si>
  <si>
    <t>\varEvolutionBadgeArtifactAvailableXVIFSE</t>
  </si>
  <si>
    <t>\varEvolutionBadgeArtifactAvailableXVIICSE</t>
  </si>
  <si>
    <t>\varStatementAccessThroughCredentialsFSE</t>
  </si>
  <si>
    <t>\varStatementLimitedToPhysicalAccessFSE</t>
  </si>
  <si>
    <t>\varStatementTechnicalIssuesFSE</t>
  </si>
  <si>
    <t>\varFSEBadgeReplicated</t>
  </si>
  <si>
    <t>\varFSEBadgeReproduced</t>
  </si>
  <si>
    <t>\varStatementAccessThroughCredentialsICSE</t>
  </si>
  <si>
    <t>\varStatementLimitedToPhysicalAccessICSE</t>
  </si>
  <si>
    <t>\varStatementReasonNotExplainedICSE</t>
  </si>
  <si>
    <t>\varStatementSecurityFSE</t>
  </si>
  <si>
    <t>\varStatementReasonNotExplainedFSE</t>
  </si>
  <si>
    <t>\varStatementSecurityICSE</t>
  </si>
  <si>
    <t>\varStatementTechnicalIssuesICSE</t>
  </si>
  <si>
    <t>\varStatementAccessUponRequestFSE</t>
  </si>
  <si>
    <t>\varStatementAccessUponRequestICSE</t>
  </si>
  <si>
    <t>\varStatementAgreementsAndLegalRightsFSE</t>
  </si>
  <si>
    <t>\varStatementFuturePlansFSE</t>
  </si>
  <si>
    <t>\varStatementConfidentialityAndPrivacyFSE</t>
  </si>
  <si>
    <t>\varStatementFuturePlansICSE</t>
  </si>
  <si>
    <t>\varStatementAgreementsAndLegalRightsICSE</t>
  </si>
  <si>
    <t>\varDataAvailabilitySectionFSEXXIINumber</t>
  </si>
  <si>
    <t>\varLiuFSEPapersLinkSpecificSectionNumber</t>
  </si>
  <si>
    <t>\varDataAvailabilitySectionICSEXXIINumber</t>
  </si>
  <si>
    <t>\varStatementConfidentialityAndPrivacyICSE</t>
  </si>
  <si>
    <t>\varArtifactLocationEvolutionShortLinkFSE</t>
  </si>
  <si>
    <t>\varJustificationPapersFSE</t>
  </si>
  <si>
    <t>\varArtifactLocationEvolutionShortLinkICSE</t>
  </si>
  <si>
    <t>\varLiuICSEPapersLinkSpecificSectionNumber</t>
  </si>
  <si>
    <t>\varJustificationPapersICSE</t>
  </si>
  <si>
    <t>\varArtifactLocationEvolutionShortLinkICSEFSE</t>
  </si>
  <si>
    <t>\varTotalOfPapersWithLinksXXIIFSE</t>
  </si>
  <si>
    <t>\varFSEBadgeFunctional</t>
  </si>
  <si>
    <t>\varICSEPapersXXItoXXIIIWithLinkInSpecificSection</t>
  </si>
  <si>
    <t>\varFSEPapersXXItoXXIIIWithLinkInSpecificSection</t>
  </si>
  <si>
    <t>\varFSEBadgeReusable</t>
  </si>
  <si>
    <t>\varArtifactLocationZenodoFSE</t>
  </si>
  <si>
    <t>\varArtifactLocationZenodoICSE</t>
  </si>
  <si>
    <t>\varTotalOfPapersWithLinksXXIIICSE</t>
  </si>
  <si>
    <t>\varArtifactLocationUniqueIdentifierFSE</t>
  </si>
  <si>
    <t>\varArtifactLocationArchivalPlatFSE</t>
  </si>
  <si>
    <t>\varFSEBadgeAvailable</t>
  </si>
  <si>
    <t>\varArtifactLocationUniqueIdentifierICSE</t>
  </si>
  <si>
    <t>\varArtifactLocationArchivalPlatICSE</t>
  </si>
  <si>
    <t>\varPapersHaveMoreThanOneLinkICSEFSE</t>
  </si>
  <si>
    <t>\varLiuFSETotalPapersLinkSpecificSection</t>
  </si>
  <si>
    <t>\varTotalFSEPapersXIXtoXXIIIOnlyWithLink</t>
  </si>
  <si>
    <t>\varLinkNoStatementYesAndNoWhateverICSEFSE</t>
  </si>
  <si>
    <t>\varTotalFSEPapersXIXtoXXIII</t>
  </si>
  <si>
    <t>\varTotalLinksArtifactLocationGitHubFSE</t>
  </si>
  <si>
    <t>\varTotalOfGithubLinksFSE</t>
  </si>
  <si>
    <t>\varCodePlatFSE</t>
  </si>
  <si>
    <t>\varLiuICSETotalPapersLinkSpecificSection</t>
  </si>
  <si>
    <t>\varArtifactLocationArchivalPlatICSEFSE</t>
  </si>
  <si>
    <t>\varTotalICSEPapersXXItoXXIIIOnlyWithLink</t>
  </si>
  <si>
    <t>\varTotalICSEPapersXXItoXXIII</t>
  </si>
  <si>
    <t>\varTotalLinksArtifactLocationGitHubICSE</t>
  </si>
  <si>
    <t>\varTotalOfGithubLinksICSE</t>
  </si>
  <si>
    <t>\varCodePlatICSE</t>
  </si>
  <si>
    <t>\varTotalOfPapersYearsWithAEFSE</t>
  </si>
  <si>
    <t>\varTotalOfLinksFSE</t>
  </si>
  <si>
    <t>\varTotalOfLinksICSE</t>
  </si>
  <si>
    <t>\varPercBrokenLinksSharedByUniqueIdentifiers</t>
  </si>
  <si>
    <t>1.3</t>
  </si>
  <si>
    <t>\varLiuICSEPapersLinkSpecificSection</t>
  </si>
  <si>
    <t>10.6</t>
  </si>
  <si>
    <t>\varDataAvailabilitySectionICSEXXII</t>
  </si>
  <si>
    <t>\varPapersDoNotProvideLinksICSEFSE</t>
  </si>
  <si>
    <t>18.3</t>
  </si>
  <si>
    <t>\varDataAvailabilitySectionFSEXXII</t>
  </si>
  <si>
    <t>\varLiuFSEPapersLinkSpecificSection</t>
  </si>
  <si>
    <t>7.9</t>
  </si>
  <si>
    <t>F05-artifact-sharing-evolution.tex</t>
  </si>
  <si>
    <t>T03-artifact-sharing-frequency.tex</t>
  </si>
  <si>
    <t># links</t>
  </si>
  <si>
    <t>Category of the link</t>
  </si>
  <si>
    <t># Total</t>
  </si>
  <si>
    <t>% Total</t>
  </si>
  <si>
    <t># ICSE</t>
  </si>
  <si>
    <t>% ICSE</t>
  </si>
  <si>
    <t># FSE</t>
  </si>
  <si>
    <t>% FSE</t>
  </si>
  <si>
    <t>- Zenodo</t>
  </si>
  <si>
    <t>- Figshare</t>
  </si>
  <si>
    <t>- arXiv</t>
  </si>
  <si>
    <t>- ACM Digital Library</t>
  </si>
  <si>
    <t>- Open Science Framework</t>
  </si>
  <si>
    <t>- SoftwareHeritage</t>
  </si>
  <si>
    <t>- Mendeley</t>
  </si>
  <si>
    <t>- Internet Archive</t>
  </si>
  <si>
    <t>- GitHub</t>
  </si>
  <si>
    <t>- Bitbucket</t>
  </si>
  <si>
    <t>- Docker</t>
  </si>
  <si>
    <t>- GitLab</t>
  </si>
  <si>
    <t>- Pypi</t>
  </si>
  <si>
    <t>- Crates</t>
  </si>
  <si>
    <t>Perc</t>
  </si>
  <si>
    <t>ICSE papers with link</t>
  </si>
  <si>
    <t>- Google Drive</t>
  </si>
  <si>
    <t>- Dropbox</t>
  </si>
  <si>
    <t>- Google sites</t>
  </si>
  <si>
    <t>- Google docs</t>
  </si>
  <si>
    <t>- Youtube</t>
  </si>
  <si>
    <t>- Google Code</t>
  </si>
  <si>
    <t>- Google Cloud</t>
  </si>
  <si>
    <t>- Kaggle</t>
  </si>
  <si>
    <t>- University</t>
  </si>
  <si>
    <t>- Microsoft</t>
  </si>
  <si>
    <t>- IBM</t>
  </si>
  <si>
    <t>- Other</t>
  </si>
  <si>
    <t>- Research Gate</t>
  </si>
  <si>
    <t>FSE papers with link</t>
  </si>
  <si>
    <t>Total of links</t>
  </si>
  <si>
    <t>Status of the links per paper</t>
  </si>
  <si>
    <t>Status</t>
  </si>
  <si>
    <t>Status of the unique links per paper</t>
  </si>
  <si>
    <t>Status of the links per link</t>
  </si>
  <si>
    <t>Papers unique in category</t>
  </si>
  <si>
    <t>Total of papers</t>
  </si>
  <si>
    <t xml:space="preserve"> </t>
  </si>
  <si>
    <t>Paper in all status (PA + NA + RA)</t>
  </si>
  <si>
    <t>Papers in more than one category</t>
  </si>
  <si>
    <t>Different links per paper</t>
  </si>
  <si>
    <t>&gt;=4</t>
  </si>
  <si>
    <t>Papers that share more than 1 link</t>
  </si>
  <si>
    <t># Links shared by unique identifiers</t>
  </si>
  <si>
    <t># Broken links shared by unique identifiers</t>
  </si>
  <si>
    <t>Broken links shared by unique identifiers %</t>
  </si>
  <si>
    <t># ICSE + FSE</t>
  </si>
  <si>
    <t>Papers with artifacts that have links in the "Data Availability" section or subsection</t>
  </si>
  <si>
    <t>Papers with artifacts that have links in the Introduction section</t>
  </si>
  <si>
    <t>Paper with links shared in a single category of section (unique section)</t>
  </si>
  <si>
    <t>Where the link appears</t>
  </si>
  <si>
    <t>Specific section/subsection [^1]</t>
  </si>
  <si>
    <t>Other sections [^2]</t>
  </si>
  <si>
    <t>Paper with links shared in multiple categories of sections (overlapped section)</t>
  </si>
  <si>
    <t>2021-2023</t>
  </si>
  <si>
    <t>2019-2023 - except 2022</t>
  </si>
  <si>
    <t>Years when a Data Availability section was asked</t>
  </si>
  <si>
    <t>Papers with artifacts that have links in the Conclusion section</t>
  </si>
  <si>
    <t>Total of papers with links in a Data Availability section in years when was asked</t>
  </si>
  <si>
    <t>Total of papers with links in a Data Availability section</t>
  </si>
  <si>
    <t>Total of accepted papers with links in a Data Availability section in years when was asked (we counted only papers with links)</t>
  </si>
  <si>
    <t>Where papers shared their links (any section)</t>
  </si>
  <si>
    <t>Total of accepted papers with links in a Data Availability section in years when was asked (all papers)</t>
  </si>
  <si>
    <t>% of papers that share links in specific section/subsection from 2017 to 2021 (to compare with Liu et al., 2024)</t>
  </si>
  <si>
    <t># of papers that share links in specific section/subsection from 2017 to 2021 (to compare with Liu et al., 2024)</t>
  </si>
  <si>
    <t>Total of accepted papers that share links in specific section/subsection from 2017 to 2021 (to compare with Liu et al., 2024) (we counted only papers with links)</t>
  </si>
  <si>
    <t>Highlight [^3]</t>
  </si>
  <si>
    <t>Papers with artifacts that have links in the other sections</t>
  </si>
  <si>
    <t>How artifact links are shared within papers</t>
  </si>
  <si>
    <t>Format of the link</t>
  </si>
  <si>
    <t>Reference</t>
  </si>
  <si>
    <t>[^1]: A specific section or subsection named Data Availability or similar, such as Artifacts, Reproducibility, Reliability, Source code, Open Science, Open data, Verifiability, Replication Package, Artifact availability, Supplement, etc.</t>
  </si>
  <si>
    <t>[^2]: Other sections refers to sections other than Introduction, Conclusion, or the dedicated sections [^1]. Examples include Threats to Validity, Study Design, Evaluation, Discussion, and even the Abstract.</t>
  </si>
  <si>
    <t>[^3]: A labeled highlight, such as Data Availability (or similar), included within a general section, such as the Introduction, Conclusion, or one of the Other sections (e.g., Threats to Validity, Study Design, Evaluation, Discussion, or the Abstract), that is not explicitly dedicated to artifact sharing.</t>
  </si>
  <si>
    <t>Statements</t>
  </si>
  <si>
    <t>Paper has statement</t>
  </si>
  <si>
    <t>Paper has no statement</t>
  </si>
  <si>
    <t># per sub-category</t>
  </si>
  <si>
    <t># per category</t>
  </si>
  <si>
    <t>Category (sub-category)</t>
  </si>
  <si>
    <t>Sub-category</t>
  </si>
  <si>
    <t>Barriers</t>
  </si>
  <si>
    <t>Confidentiality and privacy</t>
  </si>
  <si>
    <t>Agreements and legal rights</t>
  </si>
  <si>
    <t>Security issues</t>
  </si>
  <si>
    <t>Technical issues</t>
  </si>
  <si>
    <t>Limited access</t>
  </si>
  <si>
    <t>Request required</t>
  </si>
  <si>
    <t>Physical access</t>
  </si>
  <si>
    <t>Credentials required</t>
  </si>
  <si>
    <t>Future plans</t>
  </si>
  <si>
    <t>—</t>
  </si>
  <si>
    <t>No reason</t>
  </si>
  <si>
    <t>Link and statement</t>
  </si>
  <si>
    <t>No link but statement</t>
  </si>
  <si>
    <t>Link and no statement</t>
  </si>
  <si>
    <t>No link and no statement</t>
  </si>
  <si>
    <t>No link (statemente yes and no)</t>
  </si>
  <si>
    <t>Yes/No</t>
  </si>
  <si>
    <t>Future plans + no link</t>
  </si>
  <si>
    <t>Total of papers which does not share link</t>
  </si>
  <si>
    <t>Total of papers which provides statement</t>
  </si>
  <si>
    <t>Percentage of papers which do not share link, but provide statment</t>
  </si>
  <si>
    <t>Statement</t>
  </si>
  <si>
    <t>Status:</t>
  </si>
  <si>
    <t>ICSE + FSE</t>
  </si>
  <si>
    <t>Available Badge</t>
  </si>
  <si>
    <t>unique identifier per paper</t>
  </si>
  <si>
    <t>Available badge + unique identifier per paper</t>
  </si>
  <si>
    <t>Available badge without unique identifier per paper</t>
  </si>
  <si>
    <t>Available badge without link per paper</t>
  </si>
  <si>
    <t># ICSE papers</t>
  </si>
  <si>
    <t>% with unique identifier links</t>
  </si>
  <si>
    <t>% without unique identifier links</t>
  </si>
  <si>
    <t>% without links</t>
  </si>
  <si>
    <t># FSE papers</t>
  </si>
  <si>
    <t>Badges</t>
  </si>
  <si>
    <t># of ICSE papers</t>
  </si>
  <si>
    <t># of FSE papers</t>
  </si>
  <si>
    <t>Artifacts Available</t>
  </si>
  <si>
    <t>Artifacts Evaluated – Functional</t>
  </si>
  <si>
    <t>Badged papers in other repositories</t>
  </si>
  <si>
    <t>Artifacts Evaluated – Reusable</t>
  </si>
  <si>
    <t>Badged papers in github</t>
  </si>
  <si>
    <t>Results Validated  - Results Replicated</t>
  </si>
  <si>
    <t>Badged papers</t>
  </si>
  <si>
    <t>Results Validated  - Results Reproduced</t>
  </si>
  <si>
    <t>Event</t>
  </si>
  <si>
    <t>Years</t>
  </si>
  <si>
    <t>ID</t>
  </si>
  <si>
    <t>Text of the event</t>
  </si>
  <si>
    <t>Tex variables</t>
  </si>
  <si>
    <t>x</t>
  </si>
  <si>
    <t>CfA invites authors of accepted 
Research papers to submit artifacts.</t>
  </si>
  <si>
    <t>CfA invites authors of accepted 
Industrial papers to submit artifacts.</t>
  </si>
  <si>
    <t>CfA invites authors of any prior SE papers to submit 
artifacts whose results were validated in other studies.</t>
  </si>
  <si>
    <t>FSE classifies artifacts as Diamond, Platinum, and Gold.</t>
  </si>
  <si>
    <t>Artifact-evaluated badges are included
on the front page of the papers.</t>
  </si>
  <si>
    <t>FSE adopts ACM Badges.</t>
  </si>
  <si>
    <t>CfA announces visibility rewards 
for artifacts successfully evaluated.</t>
  </si>
  <si>
    <t>CfA announces Best Artifact Awards.</t>
  </si>
  <si>
    <t>Authors of papers with accepted artifacts benefit from 
five more minutes of presentation at the conference.</t>
  </si>
  <si>
    <t>CfA states that accepted artifacts are 
stored in the ACM Digital Library.</t>
  </si>
  <si>
    <t>CfA states that papers with accepted artifacts benefit from 
an extra page dedicated to the presentation of the artifacts.</t>
  </si>
  <si>
    <t>CfA states that abstracts documenting accepted 
artifacts are to be published in the proceedings.</t>
  </si>
  <si>
    <t>CfA states that authors of artifacts accepted as 
Results Validated may be invited to give lightning talks.</t>
  </si>
  <si>
    <t>CfA states that authors of artifacts accepted as 
Artifact Evaluated may be invited to give lightning talks.</t>
  </si>
  <si>
    <t>Research track CfP asks authors not to provide URLs to 
author-revealing sites due to the double-anonymous review process.</t>
  </si>
  <si>
    <t>Research track CfP states that authors can submit 
an additional file containing supplementary material.</t>
  </si>
  <si>
    <t>Research track CfP encourages authors 
to submit a link to anonymous artifacts.</t>
  </si>
  <si>
    <t>Research track CfP encourages authors to make artifacts 
available upon paper submission or explain why not.</t>
  </si>
  <si>
    <t>FSE asks authors to declare artifact availability in
the papers, ideally, in a section named Data Availability.</t>
  </si>
  <si>
    <t>Research track CfP states that reviewers will not ne-
cessarily consider any materials in the paper review process.</t>
  </si>
  <si>
    <t>Open Science policies are provided on the FSE website.</t>
  </si>
  <si>
    <t>FSE adheres to the ACM SIGSOFT Open Science Policies.</t>
  </si>
  <si>
    <t>FSE provides a guide to disclose data for double-anonymous
peer review and make it open upon paper acceptance.</t>
  </si>
  <si>
    <t>FSE provides a guide to automatically archive 
a GitHub repository to Zenodo or Figshare.</t>
  </si>
  <si>
    <t>FSE hosts a ROSE Festival edition.</t>
  </si>
  <si>
    <t>Technical track CfP encourages authors to discuss verifiability 
and provide links to artifacts in a Verifiability section in the paper.</t>
  </si>
  <si>
    <t>CfP states that Verifiability is an evaluation 
criterion for papers submitted to the Technical track.</t>
  </si>
  <si>
    <t>CfP states that Verifiability is an evaluation 
criterion for papers submitted to the SEET track.</t>
  </si>
  <si>
    <t>CfP states that Verifiability is an evaluation 
criterion for papers submitted to the NIER track.</t>
  </si>
  <si>
    <t>CfP states that Availability is an evaluation 
criterion for tool papers submitted to the SEET track.</t>
  </si>
  <si>
    <t>An Artifact Evaluation Committee
is mentioned in the CfP of the SEIS track.</t>
  </si>
  <si>
    <t>CfA invites authors of accepted 
Technical papers to submit artifacts.</t>
  </si>
  <si>
    <t>ICSE adopts ACM Badges.</t>
  </si>
  <si>
    <t>CfA invites authors of accepted SEIP, SEET, 
SEIS, and NIER papers to submit artifacts.</t>
  </si>
  <si>
    <t>ICSE asks authors not to provide URLs to author-revealing 
sites due to the double-anonymous review process.</t>
  </si>
  <si>
    <t>CfPs state that authors can submit an 
additional file containing supplementary material.</t>
  </si>
  <si>
    <t>CfPs encourage authors to 
submit a link to anonymous artifacts.</t>
  </si>
  <si>
    <t>ICSE encourages authors to make artifacts 
available upon paper submission or explain why not.</t>
  </si>
  <si>
    <t>ICSE asks authors to declare artifact availability in
the papers, ideally, in a section named Data Availability.</t>
  </si>
  <si>
    <t>ICSE states that reviewers will not necessarily 
consider any materials in the paper review process.</t>
  </si>
  <si>
    <t>Technical track CfP states that the shared artifact 
will undergo a lightweight check by a paper reviewer.</t>
  </si>
  <si>
    <t>Open Science policies are provided on the ICSE website.</t>
  </si>
  <si>
    <t>ICSE adheres to the ACM SIGSOFT Open Science Policies.</t>
  </si>
  <si>
    <t>ICSE provides a guide to disclose data for double-anonymous 
peer review and make it open upon paper acceptance.</t>
  </si>
  <si>
    <t>ICSE provides a guide to automatically archive 
a GitHub repository to Zenodo or Figshare.</t>
  </si>
  <si>
    <t>ICSE hosts a ROSE Festival edition.</t>
  </si>
  <si>
    <t>CfA invites authors of accepted papers to 
submit artifacts</t>
  </si>
  <si>
    <t>CfA invites authors of any prior SE papers to submit artifacts 
whose results were validated in other studies</t>
  </si>
  <si>
    <t>Conferences adopt ACM badges</t>
  </si>
  <si>
    <t>Artifact-evaluated badges are included 
on the front page of the papers</t>
  </si>
  <si>
    <t>CfA announces Best Artifact Awards</t>
  </si>
  <si>
    <t>CfA states that abstracts documenting accepted artifacts 
are to be published in the proceedings</t>
  </si>
  <si>
    <t>CfA states that authors of artifacts accepted as Results 
Validated may be invited to give lightning talks</t>
  </si>
  <si>
    <t>Conferences ask authors not to provide URLs to author-revealing 
sites due to the double-anonymous review process</t>
  </si>
  <si>
    <t>CfP states that authors can submit an additional 
file containing supplementary material</t>
  </si>
  <si>
    <t>CfP encourages authors to submit a 
link to anonymous artifacts</t>
  </si>
  <si>
    <t>CfP encourages authors to make artifacts  available upon 
paper submission or explain why not</t>
  </si>
  <si>
    <t>Conferences ask authors to declare artifact availability in the 
papers, ideally, in a section named Data Availability</t>
  </si>
  <si>
    <t>CfP states that reviewers will not necessarily consider any 
materials in the paper review process</t>
  </si>
  <si>
    <t>Open Science policies are provided on the 
websites of the conferences</t>
  </si>
  <si>
    <t>Conferences adhere to the ACM SIGSOFT 
Open Science Policies</t>
  </si>
  <si>
    <t>Conferences provide a guide to disclose data for double-anonymous 
peer review and make it open upon paper acceptance</t>
  </si>
  <si>
    <t>Conferences provide a guide to automatically archive a 
GitHub repository to Zenodo or Figshare</t>
  </si>
  <si>
    <t>Conferences host a ROSE Festival edition</t>
  </si>
  <si>
    <t>FSE Years</t>
  </si>
  <si>
    <t>FSE events</t>
  </si>
  <si>
    <t>Events common to both</t>
  </si>
  <si>
    <t>ICSE events</t>
  </si>
  <si>
    <t>ICSE Years</t>
  </si>
  <si>
    <t>ArtifactSharing</t>
  </si>
  <si>
    <t>EvaluationSuccess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</si>
</sst>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00"/>
    <numFmt numFmtId="165" formatCode="dd/mm/yyyy"/>
    <numFmt numFmtId="166" formatCode="[$R$ -416]#,##0.00"/>
    <numFmt numFmtId="167" formatCode="d/m/yyyy"/>
    <numFmt numFmtId="168" formatCode="#,##0.0"/>
    <numFmt numFmtId="169" formatCode="0.0"/>
    <numFmt numFmtId="170" formatCode="0.0%"/>
    <numFmt numFmtId="171" formatCode="0.0000"/>
    <numFmt numFmtId="172" formatCode="00"/>
  </numFmts>
  <fonts count="56">
    <font>
      <sz val="10.0"/>
      <color rgb="FF000000"/>
      <name val="Arial"/>
      <scheme val="minor"/>
    </font>
    <font>
      <sz val="10.0"/>
      <color theme="1"/>
      <name val="Arial"/>
      <scheme val="minor"/>
    </font>
    <font>
      <b/>
      <sz val="10.0"/>
      <color theme="1"/>
      <name val="Arial"/>
      <scheme val="minor"/>
    </font>
    <font>
      <b/>
      <sz val="10.0"/>
      <color rgb="FF6AA84F"/>
      <name val="Arial"/>
    </font>
    <font>
      <b/>
      <sz val="10.0"/>
      <color rgb="FFE06666"/>
      <name val="Arial"/>
    </font>
    <font>
      <b/>
      <sz val="10.0"/>
      <color rgb="FFFF0000"/>
      <name val="Arial"/>
    </font>
    <font>
      <b/>
      <sz val="10.0"/>
      <color rgb="FF4285F4"/>
      <name val="Arial"/>
    </font>
    <font>
      <b/>
      <sz val="10.0"/>
      <color rgb="FF0000FF"/>
      <name val="Arial"/>
    </font>
    <font>
      <b/>
      <sz val="10.0"/>
      <color theme="1"/>
      <name val="Arial"/>
    </font>
    <font>
      <sz val="10.0"/>
      <color theme="1"/>
      <name val="Arial"/>
    </font>
    <font>
      <b/>
      <color theme="1"/>
      <name val="Arial"/>
    </font>
    <font>
      <sz val="10.0"/>
      <color rgb="FF0000FF"/>
    </font>
    <font>
      <b/>
      <color rgb="FF6AA84F"/>
      <name val="Arial"/>
    </font>
    <font>
      <b/>
      <color rgb="FFE06666"/>
      <name val="Arial"/>
    </font>
    <font>
      <b/>
      <color rgb="FFFF0000"/>
      <name val="Arial"/>
    </font>
    <font>
      <b/>
      <color rgb="FF4285F4"/>
      <name val="Arial"/>
    </font>
    <font>
      <b/>
      <color rgb="FF0000FF"/>
      <name val="Arial"/>
    </font>
    <font>
      <color theme="1"/>
      <name val="Arial"/>
    </font>
    <font>
      <sz val="10.0"/>
    </font>
    <font>
      <u/>
      <sz val="10.0"/>
      <color rgb="FF0000FF"/>
    </font>
    <font>
      <u/>
      <sz val="10.0"/>
      <color rgb="FF0000FF"/>
    </font>
    <font>
      <u/>
      <sz val="10.0"/>
      <color rgb="FF0000FF"/>
    </font>
    <font>
      <b/>
      <sz val="7.0"/>
      <color theme="1"/>
      <name val="Arial"/>
      <scheme val="minor"/>
    </font>
    <font>
      <b/>
      <color theme="1"/>
      <name val="Arial"/>
      <scheme val="minor"/>
    </font>
    <font>
      <color theme="1"/>
      <name val="Arial"/>
      <scheme val="minor"/>
    </font>
    <font>
      <b/>
      <sz val="8.0"/>
      <color theme="1"/>
      <name val="Arial"/>
      <scheme val="minor"/>
    </font>
    <font>
      <sz val="8.0"/>
      <color theme="1"/>
      <name val="Arial"/>
      <scheme val="minor"/>
    </font>
    <font>
      <sz val="9.0"/>
      <color theme="1"/>
      <name val="Arial"/>
      <scheme val="minor"/>
    </font>
    <font>
      <sz val="7.0"/>
      <color theme="1"/>
      <name val="Arial"/>
      <scheme val="minor"/>
    </font>
    <font>
      <sz val="10.0"/>
      <color rgb="FF434343"/>
      <name val="Arial"/>
      <scheme val="minor"/>
    </font>
    <font>
      <sz val="10.0"/>
      <color rgb="FFFF0000"/>
      <name val="Arial"/>
      <scheme val="minor"/>
    </font>
    <font>
      <color rgb="FFFF0000"/>
      <name val="Arial"/>
    </font>
    <font>
      <b/>
      <sz val="10.0"/>
      <color rgb="FF000000"/>
      <name val="Arial"/>
      <scheme val="minor"/>
    </font>
    <font>
      <b/>
      <sz val="10.0"/>
      <color rgb="FFFF0000"/>
      <name val="Arial"/>
      <scheme val="minor"/>
    </font>
    <font>
      <sz val="10.0"/>
      <color rgb="FF666666"/>
      <name val="Arial"/>
      <scheme val="minor"/>
    </font>
    <font>
      <sz val="10.0"/>
      <color rgb="FF666666"/>
    </font>
    <font>
      <sz val="10.0"/>
      <color rgb="FF990000"/>
      <name val="Arial"/>
      <scheme val="minor"/>
    </font>
    <font>
      <sz val="11.0"/>
      <color rgb="FF000000"/>
      <name val="-apple-system"/>
    </font>
    <font>
      <i/>
      <sz val="10.0"/>
      <color rgb="FF000000"/>
      <name val="Arial"/>
      <scheme val="minor"/>
    </font>
    <font>
      <color rgb="FF000000"/>
      <name val="Arial"/>
    </font>
    <font>
      <color rgb="FF666666"/>
      <name val="Arial"/>
    </font>
    <font>
      <color rgb="FF990000"/>
      <name val="Arial"/>
    </font>
    <font>
      <b/>
      <sz val="9.0"/>
      <color theme="1"/>
      <name val="Arial"/>
      <scheme val="minor"/>
    </font>
    <font>
      <b/>
      <sz val="12.0"/>
      <color rgb="FFFF0000"/>
      <name val="Arial"/>
      <scheme val="minor"/>
    </font>
    <font>
      <sz val="5.0"/>
      <color theme="1"/>
      <name val="Arial"/>
      <scheme val="minor"/>
    </font>
    <font>
      <b/>
      <sz val="10.0"/>
    </font>
    <font>
      <b/>
      <color rgb="FFFFFFFF"/>
      <name val="Arial"/>
      <scheme val="minor"/>
    </font>
    <font/>
    <font>
      <color rgb="FF999999"/>
      <name val="Arial"/>
      <scheme val="minor"/>
    </font>
    <font>
      <color rgb="FF000000"/>
      <name val="Arial"/>
      <scheme val="minor"/>
    </font>
    <font>
      <sz val="9.0"/>
      <color rgb="FF000000"/>
      <name val="Menlo"/>
    </font>
    <font>
      <b/>
      <color rgb="FFEA9999"/>
      <name val="Arial"/>
    </font>
    <font>
      <b/>
      <color rgb="FF6D9EEB"/>
      <name val="Arial"/>
    </font>
    <font>
      <b/>
      <sz val="10.0"/>
      <color rgb="FF000000"/>
      <name val="Arial"/>
    </font>
    <font>
      <sz val="10.0"/>
      <color rgb="FF000000"/>
      <name val="Arial"/>
    </font>
    <font>
      <b/>
      <sz val="13.0"/>
      <color theme="1"/>
      <name val="Arial"/>
      <scheme val="minor"/>
    </font>
  </fonts>
  <fills count="30">
    <fill>
      <patternFill patternType="none"/>
    </fill>
    <fill>
      <patternFill patternType="lightGray"/>
    </fill>
    <fill>
      <patternFill patternType="solid">
        <fgColor rgb="FFBDBDBD"/>
        <bgColor rgb="FFBDBDBD"/>
      </patternFill>
    </fill>
    <fill>
      <patternFill patternType="solid">
        <fgColor rgb="FF93C47D"/>
        <bgColor rgb="FF93C47D"/>
      </patternFill>
    </fill>
    <fill>
      <patternFill patternType="solid">
        <fgColor rgb="FFFFFFFF"/>
        <bgColor rgb="FFFFFFFF"/>
      </patternFill>
    </fill>
    <fill>
      <patternFill patternType="solid">
        <fgColor rgb="FFF3F3F3"/>
        <bgColor rgb="FFF3F3F3"/>
      </patternFill>
    </fill>
    <fill>
      <patternFill patternType="solid">
        <fgColor rgb="FFCCCCCC"/>
        <bgColor rgb="FFCCCCCC"/>
      </patternFill>
    </fill>
    <fill>
      <patternFill patternType="solid">
        <fgColor rgb="FFEFEFEF"/>
        <bgColor rgb="FFEFEFEF"/>
      </patternFill>
    </fill>
    <fill>
      <patternFill patternType="solid">
        <fgColor rgb="FFD9EAD3"/>
        <bgColor rgb="FFD9EAD3"/>
      </patternFill>
    </fill>
    <fill>
      <patternFill patternType="solid">
        <fgColor rgb="FF9FC5E8"/>
        <bgColor rgb="FF9FC5E8"/>
      </patternFill>
    </fill>
    <fill>
      <patternFill patternType="solid">
        <fgColor rgb="FFD9D2E9"/>
        <bgColor rgb="FFD9D2E9"/>
      </patternFill>
    </fill>
    <fill>
      <patternFill patternType="solid">
        <fgColor rgb="FFFFF2CC"/>
        <bgColor rgb="FFFFF2CC"/>
      </patternFill>
    </fill>
    <fill>
      <patternFill patternType="solid">
        <fgColor rgb="FFF9CB9C"/>
        <bgColor rgb="FFF9CB9C"/>
      </patternFill>
    </fill>
    <fill>
      <patternFill patternType="solid">
        <fgColor rgb="FF3C78D8"/>
        <bgColor rgb="FF3C78D8"/>
      </patternFill>
    </fill>
    <fill>
      <patternFill patternType="solid">
        <fgColor rgb="FF666666"/>
        <bgColor rgb="FF666666"/>
      </patternFill>
    </fill>
    <fill>
      <patternFill patternType="solid">
        <fgColor rgb="FF00FFFF"/>
        <bgColor rgb="FF00FFFF"/>
      </patternFill>
    </fill>
    <fill>
      <patternFill patternType="solid">
        <fgColor rgb="FFB7E1CD"/>
        <bgColor rgb="FFB7E1CD"/>
      </patternFill>
    </fill>
    <fill>
      <patternFill patternType="solid">
        <fgColor rgb="FFD5A6BD"/>
        <bgColor rgb="FFD5A6BD"/>
      </patternFill>
    </fill>
    <fill>
      <patternFill patternType="solid">
        <fgColor rgb="FFEAD1DC"/>
        <bgColor rgb="FFEAD1DC"/>
      </patternFill>
    </fill>
    <fill>
      <patternFill patternType="solid">
        <fgColor rgb="FFD9D9D9"/>
        <bgColor rgb="FFD9D9D9"/>
      </patternFill>
    </fill>
    <fill>
      <patternFill patternType="solid">
        <fgColor rgb="FFFCE5CD"/>
        <bgColor rgb="FFFCE5CD"/>
      </patternFill>
    </fill>
    <fill>
      <patternFill patternType="solid">
        <fgColor rgb="FFA0C5E8"/>
        <bgColor rgb="FFA0C5E8"/>
      </patternFill>
    </fill>
    <fill>
      <patternFill patternType="solid">
        <fgColor rgb="FFFFF3CC"/>
        <bgColor rgb="FFFFF3CC"/>
      </patternFill>
    </fill>
    <fill>
      <patternFill patternType="solid">
        <fgColor rgb="FF000000"/>
        <bgColor rgb="FF000000"/>
      </patternFill>
    </fill>
    <fill>
      <patternFill patternType="solid">
        <fgColor rgb="FFB7B7B7"/>
        <bgColor rgb="FFB7B7B7"/>
      </patternFill>
    </fill>
    <fill>
      <patternFill patternType="solid">
        <fgColor rgb="FFB6D7A8"/>
        <bgColor rgb="FFB6D7A8"/>
      </patternFill>
    </fill>
    <fill>
      <patternFill patternType="solid">
        <fgColor rgb="FFC9DAF8"/>
        <bgColor rgb="FFC9DAF8"/>
      </patternFill>
    </fill>
    <fill>
      <patternFill patternType="solid">
        <fgColor rgb="FFF4CCCC"/>
        <bgColor rgb="FFF4CCCC"/>
      </patternFill>
    </fill>
    <fill>
      <patternFill patternType="solid">
        <fgColor rgb="FFDD7E6B"/>
        <bgColor rgb="FFDD7E6B"/>
      </patternFill>
    </fill>
    <fill>
      <patternFill patternType="solid">
        <fgColor rgb="FFE6B8AF"/>
        <bgColor rgb="FFE6B8AF"/>
      </patternFill>
    </fill>
  </fills>
  <borders count="10">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97">
    <xf borderId="0" fillId="0" fontId="0" numFmtId="0" xfId="0" applyAlignment="1" applyFont="1">
      <alignment readingOrder="0" shrinkToFit="0" vertical="bottom" wrapText="0"/>
    </xf>
    <xf borderId="0" fillId="2" fontId="1" numFmtId="164" xfId="0" applyAlignment="1" applyFill="1" applyFont="1" applyNumberFormat="1">
      <alignment readingOrder="0" vertical="center"/>
    </xf>
    <xf borderId="0" fillId="2" fontId="1" numFmtId="0" xfId="0" applyAlignment="1" applyFont="1">
      <alignment horizontal="center" readingOrder="0" shrinkToFit="0" vertical="center" wrapText="1"/>
    </xf>
    <xf borderId="0" fillId="2" fontId="2" numFmtId="0" xfId="0" applyAlignment="1" applyFont="1">
      <alignment horizontal="center" readingOrder="0" shrinkToFit="0" textRotation="0" vertical="center" wrapText="0"/>
    </xf>
    <xf borderId="1" fillId="2" fontId="2" numFmtId="0" xfId="0" applyAlignment="1" applyBorder="1" applyFont="1">
      <alignment horizontal="left" readingOrder="0" shrinkToFit="0" vertical="center" wrapText="1"/>
    </xf>
    <xf borderId="0" fillId="2" fontId="3" numFmtId="0" xfId="0" applyAlignment="1" applyFont="1">
      <alignment horizontal="left" readingOrder="0" shrinkToFit="0" vertical="center" wrapText="1"/>
    </xf>
    <xf borderId="0" fillId="2" fontId="4" numFmtId="0" xfId="0" applyAlignment="1" applyFont="1">
      <alignment horizontal="left" readingOrder="0" shrinkToFit="0" vertical="center" wrapText="1"/>
    </xf>
    <xf borderId="0" fillId="2" fontId="5" numFmtId="0" xfId="0" applyAlignment="1" applyFont="1">
      <alignment horizontal="left" readingOrder="0" shrinkToFit="0" vertical="center" wrapText="1"/>
    </xf>
    <xf borderId="0" fillId="2" fontId="6" numFmtId="0" xfId="0" applyAlignment="1" applyFont="1">
      <alignment horizontal="left" readingOrder="0" shrinkToFit="0" vertical="center" wrapText="1"/>
    </xf>
    <xf borderId="0" fillId="2" fontId="7" numFmtId="0" xfId="0" applyAlignment="1" applyFont="1">
      <alignment horizontal="left" readingOrder="0" shrinkToFit="0" vertical="center" wrapText="1"/>
    </xf>
    <xf borderId="2" fillId="2" fontId="1" numFmtId="0" xfId="0" applyAlignment="1" applyBorder="1" applyFont="1">
      <alignment readingOrder="0" shrinkToFit="0" vertical="center" wrapText="1"/>
    </xf>
    <xf borderId="0" fillId="2" fontId="2" numFmtId="0" xfId="0" applyAlignment="1" applyFont="1">
      <alignment horizontal="center" readingOrder="0" shrinkToFit="0" vertical="center" wrapText="1"/>
    </xf>
    <xf borderId="0" fillId="3" fontId="2" numFmtId="0" xfId="0" applyAlignment="1" applyFill="1" applyFont="1">
      <alignment horizontal="left" readingOrder="0" shrinkToFit="0" vertical="center" wrapText="1"/>
    </xf>
    <xf borderId="0" fillId="2" fontId="2" numFmtId="0" xfId="0" applyAlignment="1" applyFont="1">
      <alignment horizontal="center" readingOrder="0" shrinkToFit="0" vertical="center" wrapText="1"/>
    </xf>
    <xf borderId="0" fillId="2" fontId="8" numFmtId="0" xfId="0" applyAlignment="1" applyFont="1">
      <alignment horizontal="left" readingOrder="0" shrinkToFit="0" vertical="center" wrapText="1"/>
    </xf>
    <xf borderId="0" fillId="2" fontId="8" numFmtId="0" xfId="0" applyAlignment="1" applyFont="1">
      <alignment horizontal="left" readingOrder="0" shrinkToFit="0" vertical="center" wrapText="1"/>
    </xf>
    <xf borderId="0" fillId="2" fontId="9" numFmtId="0" xfId="0" applyAlignment="1" applyFont="1">
      <alignment horizontal="center" readingOrder="0" shrinkToFit="0" vertical="center" wrapText="1"/>
    </xf>
    <xf borderId="2" fillId="2" fontId="2" numFmtId="0" xfId="0" applyAlignment="1" applyBorder="1" applyFont="1">
      <alignment horizontal="left" readingOrder="0" shrinkToFit="0" vertical="center" wrapText="1"/>
    </xf>
    <xf borderId="0" fillId="2" fontId="10" numFmtId="0" xfId="0" applyAlignment="1" applyFont="1">
      <alignment horizontal="center" shrinkToFit="0" vertical="center" wrapText="1"/>
    </xf>
    <xf borderId="2" fillId="2" fontId="8" numFmtId="0" xfId="0" applyAlignment="1" applyBorder="1" applyFont="1">
      <alignment readingOrder="0" shrinkToFit="0" vertical="center" wrapText="1"/>
    </xf>
    <xf borderId="0" fillId="2" fontId="2" numFmtId="0" xfId="0" applyAlignment="1" applyFont="1">
      <alignment horizontal="center" readingOrder="0" shrinkToFit="0" textRotation="0" vertical="center" wrapText="1"/>
    </xf>
    <xf borderId="0" fillId="4" fontId="1" numFmtId="164" xfId="0" applyAlignment="1" applyFill="1" applyFont="1" applyNumberFormat="1">
      <alignment horizontal="center" readingOrder="0" textRotation="255" vertical="top"/>
    </xf>
    <xf borderId="0" fillId="4" fontId="1" numFmtId="0" xfId="0" applyAlignment="1" applyFont="1">
      <alignment readingOrder="0" shrinkToFit="0" vertical="top" wrapText="1"/>
    </xf>
    <xf borderId="0" fillId="4" fontId="1" numFmtId="0" xfId="0" applyAlignment="1" applyFont="1">
      <alignment horizontal="center" readingOrder="0" shrinkToFit="0" textRotation="0" vertical="top" wrapText="0"/>
    </xf>
    <xf borderId="1" fillId="4" fontId="1" numFmtId="0" xfId="0" applyAlignment="1" applyBorder="1" applyFont="1">
      <alignment readingOrder="0" shrinkToFit="0" vertical="top" wrapText="1"/>
    </xf>
    <xf borderId="0" fillId="4" fontId="1" numFmtId="0" xfId="0" applyAlignment="1" applyFont="1">
      <alignment horizontal="center" readingOrder="0" vertical="top"/>
    </xf>
    <xf borderId="2" fillId="4" fontId="1" numFmtId="0" xfId="0" applyAlignment="1" applyBorder="1" applyFont="1">
      <alignment readingOrder="0" shrinkToFit="0" vertical="top" wrapText="0"/>
    </xf>
    <xf borderId="0" fillId="4" fontId="1" numFmtId="0" xfId="0" applyAlignment="1" applyFont="1">
      <alignment horizontal="left" readingOrder="0" vertical="top"/>
    </xf>
    <xf borderId="0" fillId="4" fontId="1" numFmtId="0" xfId="0" applyAlignment="1" applyFont="1">
      <alignment horizontal="left" readingOrder="0" shrinkToFit="0" vertical="top" wrapText="1"/>
    </xf>
    <xf borderId="0" fillId="4" fontId="1" numFmtId="0" xfId="0" applyAlignment="1" applyFont="1">
      <alignment readingOrder="0" shrinkToFit="0" vertical="top" wrapText="0"/>
    </xf>
    <xf borderId="0" fillId="4" fontId="1" numFmtId="0" xfId="0" applyAlignment="1" applyFont="1">
      <alignment readingOrder="0" shrinkToFit="0" vertical="top" wrapText="0"/>
    </xf>
    <xf borderId="0" fillId="4" fontId="1" numFmtId="0" xfId="0" applyAlignment="1" applyFont="1">
      <alignment horizontal="left" readingOrder="0" shrinkToFit="0" vertical="top" wrapText="0"/>
    </xf>
    <xf borderId="0" fillId="4" fontId="1" numFmtId="0" xfId="0" applyAlignment="1" applyFont="1">
      <alignment horizontal="left" readingOrder="0" shrinkToFit="0" vertical="top" wrapText="0"/>
    </xf>
    <xf borderId="0" fillId="4" fontId="1" numFmtId="0" xfId="0" applyAlignment="1" applyFont="1">
      <alignment horizontal="center" readingOrder="0" shrinkToFit="0" vertical="top" wrapText="1"/>
    </xf>
    <xf borderId="0" fillId="4" fontId="1" numFmtId="0" xfId="0" applyAlignment="1" applyFont="1">
      <alignment horizontal="center" readingOrder="0" shrinkToFit="0" vertical="top" wrapText="0"/>
    </xf>
    <xf borderId="2" fillId="4" fontId="1" numFmtId="0" xfId="0" applyAlignment="1" applyBorder="1" applyFont="1">
      <alignment horizontal="left" readingOrder="0" vertical="top"/>
    </xf>
    <xf borderId="0" fillId="4" fontId="1" numFmtId="0" xfId="0" applyAlignment="1" applyFont="1">
      <alignment readingOrder="0" shrinkToFit="0" vertical="top" wrapText="1"/>
    </xf>
    <xf borderId="0" fillId="4" fontId="1" numFmtId="0" xfId="0" applyAlignment="1" applyFont="1">
      <alignment readingOrder="0" shrinkToFit="0" vertical="top" wrapText="0"/>
    </xf>
    <xf borderId="2" fillId="4" fontId="9" numFmtId="0" xfId="0" applyAlignment="1" applyBorder="1" applyFont="1">
      <alignment shrinkToFit="0" vertical="top" wrapText="1"/>
    </xf>
    <xf borderId="0" fillId="4" fontId="1" numFmtId="165" xfId="0" applyAlignment="1" applyFont="1" applyNumberFormat="1">
      <alignment horizontal="center" readingOrder="0" shrinkToFit="0" vertical="top" wrapText="1"/>
    </xf>
    <xf borderId="0" fillId="4" fontId="1" numFmtId="0" xfId="0" applyAlignment="1" applyFont="1">
      <alignment readingOrder="0" shrinkToFit="0" textRotation="0" vertical="top" wrapText="1"/>
    </xf>
    <xf borderId="0" fillId="5" fontId="1" numFmtId="164" xfId="0" applyAlignment="1" applyFill="1" applyFont="1" applyNumberFormat="1">
      <alignment horizontal="right" readingOrder="0" textRotation="255" vertical="top"/>
    </xf>
    <xf borderId="0" fillId="5" fontId="1" numFmtId="0" xfId="0" applyAlignment="1" applyFont="1">
      <alignment readingOrder="0" shrinkToFit="0" vertical="top" wrapText="1"/>
    </xf>
    <xf borderId="0" fillId="5" fontId="1" numFmtId="0" xfId="0" applyAlignment="1" applyFont="1">
      <alignment horizontal="center" readingOrder="0" shrinkToFit="0" textRotation="0" vertical="top" wrapText="0"/>
    </xf>
    <xf borderId="1" fillId="5" fontId="1" numFmtId="0" xfId="0" applyAlignment="1" applyBorder="1" applyFont="1">
      <alignment readingOrder="0" shrinkToFit="0" vertical="top" wrapText="1"/>
    </xf>
    <xf borderId="0" fillId="5" fontId="1" numFmtId="0" xfId="0" applyAlignment="1" applyFont="1">
      <alignment horizontal="center" readingOrder="0" vertical="top"/>
    </xf>
    <xf borderId="2" fillId="5" fontId="1" numFmtId="0" xfId="0" applyAlignment="1" applyBorder="1" applyFont="1">
      <alignment readingOrder="0" shrinkToFit="0" vertical="top" wrapText="0"/>
    </xf>
    <xf borderId="0" fillId="5" fontId="1" numFmtId="0" xfId="0" applyAlignment="1" applyFont="1">
      <alignment horizontal="left" readingOrder="0" vertical="top"/>
    </xf>
    <xf borderId="0" fillId="5" fontId="1" numFmtId="0" xfId="0" applyAlignment="1" applyFont="1">
      <alignment horizontal="left" readingOrder="0" shrinkToFit="0" vertical="top" wrapText="1"/>
    </xf>
    <xf borderId="0" fillId="5" fontId="1" numFmtId="0" xfId="0" applyAlignment="1" applyFont="1">
      <alignment readingOrder="0" shrinkToFit="0" vertical="top" wrapText="0"/>
    </xf>
    <xf borderId="0" fillId="5" fontId="1" numFmtId="0" xfId="0" applyAlignment="1" applyFont="1">
      <alignment readingOrder="0" shrinkToFit="0" vertical="top" wrapText="0"/>
    </xf>
    <xf borderId="0" fillId="5" fontId="1" numFmtId="0" xfId="0" applyAlignment="1" applyFont="1">
      <alignment horizontal="left" readingOrder="0" shrinkToFit="0" vertical="top" wrapText="0"/>
    </xf>
    <xf borderId="0" fillId="5" fontId="1" numFmtId="0" xfId="0" applyAlignment="1" applyFont="1">
      <alignment horizontal="left" readingOrder="0" shrinkToFit="0" vertical="top" wrapText="0"/>
    </xf>
    <xf borderId="0" fillId="5" fontId="1" numFmtId="0" xfId="0" applyAlignment="1" applyFont="1">
      <alignment horizontal="center" readingOrder="0" shrinkToFit="0" vertical="top" wrapText="1"/>
    </xf>
    <xf borderId="0" fillId="5" fontId="1" numFmtId="0" xfId="0" applyAlignment="1" applyFont="1">
      <alignment horizontal="center" readingOrder="0" shrinkToFit="0" vertical="top" wrapText="0"/>
    </xf>
    <xf borderId="2" fillId="5" fontId="1" numFmtId="0" xfId="0" applyAlignment="1" applyBorder="1" applyFont="1">
      <alignment horizontal="left" readingOrder="0" vertical="top"/>
    </xf>
    <xf borderId="0" fillId="5" fontId="1" numFmtId="0" xfId="0" applyAlignment="1" applyFont="1">
      <alignment readingOrder="0" shrinkToFit="0" vertical="top" wrapText="1"/>
    </xf>
    <xf borderId="0" fillId="5" fontId="1" numFmtId="0" xfId="0" applyAlignment="1" applyFont="1">
      <alignment readingOrder="0" shrinkToFit="0" vertical="top" wrapText="0"/>
    </xf>
    <xf borderId="2" fillId="5" fontId="9" numFmtId="0" xfId="0" applyAlignment="1" applyBorder="1" applyFont="1">
      <alignment shrinkToFit="0" vertical="top" wrapText="1"/>
    </xf>
    <xf borderId="0" fillId="5" fontId="1" numFmtId="165" xfId="0" applyAlignment="1" applyFont="1" applyNumberFormat="1">
      <alignment horizontal="center" readingOrder="0" shrinkToFit="0" vertical="top" wrapText="1"/>
    </xf>
    <xf borderId="0" fillId="5" fontId="1" numFmtId="0" xfId="0" applyAlignment="1" applyFont="1">
      <alignment readingOrder="0" shrinkToFit="0" textRotation="0" vertical="top" wrapText="1"/>
    </xf>
    <xf borderId="0" fillId="4" fontId="1" numFmtId="164" xfId="0" applyAlignment="1" applyFont="1" applyNumberFormat="1">
      <alignment horizontal="right" readingOrder="0" textRotation="255" vertical="top"/>
    </xf>
    <xf borderId="0" fillId="5" fontId="1" numFmtId="164" xfId="0" applyAlignment="1" applyFont="1" applyNumberFormat="1">
      <alignment horizontal="center" readingOrder="0" textRotation="255" vertical="top"/>
    </xf>
    <xf borderId="0" fillId="5" fontId="1" numFmtId="0" xfId="0" applyAlignment="1" applyFont="1">
      <alignment horizontal="left" readingOrder="0" shrinkToFit="0" vertical="top" wrapText="0"/>
    </xf>
    <xf borderId="0" fillId="5" fontId="1" numFmtId="0" xfId="0" applyAlignment="1" applyFont="1">
      <alignment readingOrder="0" vertical="top"/>
    </xf>
    <xf borderId="0" fillId="4" fontId="1" numFmtId="0" xfId="0" applyAlignment="1" applyFont="1">
      <alignment readingOrder="0" vertical="top"/>
    </xf>
    <xf borderId="0" fillId="4" fontId="1" numFmtId="0" xfId="0" applyAlignment="1" applyFont="1">
      <alignment horizontal="left" readingOrder="0" shrinkToFit="0" vertical="top" wrapText="0"/>
    </xf>
    <xf borderId="0" fillId="5" fontId="1" numFmtId="0" xfId="0" applyAlignment="1" applyFont="1">
      <alignment readingOrder="0" vertical="top"/>
    </xf>
    <xf borderId="0" fillId="4" fontId="1" numFmtId="0" xfId="0" applyAlignment="1" applyFont="1">
      <alignment readingOrder="0" shrinkToFit="0" vertical="top" wrapText="0"/>
    </xf>
    <xf borderId="0" fillId="4" fontId="1" numFmtId="0" xfId="0" applyAlignment="1" applyFont="1">
      <alignment readingOrder="0" shrinkToFit="0" vertical="top" wrapText="1"/>
    </xf>
    <xf borderId="0" fillId="4" fontId="1" numFmtId="0" xfId="0" applyAlignment="1" applyFont="1">
      <alignment horizontal="left" readingOrder="0" shrinkToFit="0" vertical="top" wrapText="1"/>
    </xf>
    <xf borderId="0" fillId="5" fontId="1" numFmtId="0" xfId="0" applyAlignment="1" applyFont="1">
      <alignment horizontal="left" readingOrder="0" shrinkToFit="0" vertical="top" wrapText="1"/>
    </xf>
    <xf borderId="0" fillId="5" fontId="1" numFmtId="0" xfId="0" applyAlignment="1" applyFont="1">
      <alignment readingOrder="0" shrinkToFit="0" vertical="top" wrapText="0"/>
    </xf>
    <xf borderId="0" fillId="5" fontId="1" numFmtId="166" xfId="0" applyAlignment="1" applyFont="1" applyNumberFormat="1">
      <alignment readingOrder="0" shrinkToFit="0" vertical="top" wrapText="0"/>
    </xf>
    <xf borderId="0" fillId="5" fontId="1" numFmtId="0" xfId="0" applyAlignment="1" applyFont="1">
      <alignment readingOrder="0" shrinkToFit="0" vertical="top" wrapText="1"/>
    </xf>
    <xf borderId="0" fillId="4" fontId="1" numFmtId="0" xfId="0" applyAlignment="1" applyFont="1">
      <alignment readingOrder="0" shrinkToFit="0" vertical="top" wrapText="1"/>
    </xf>
    <xf borderId="0" fillId="4" fontId="11" numFmtId="0" xfId="0" applyAlignment="1" applyFont="1">
      <alignment readingOrder="0" shrinkToFit="0" vertical="top" wrapText="0"/>
    </xf>
    <xf borderId="0" fillId="5" fontId="11" numFmtId="0" xfId="0" applyAlignment="1" applyFont="1">
      <alignment readingOrder="0" shrinkToFit="0" vertical="top" wrapText="1"/>
    </xf>
    <xf borderId="0" fillId="4" fontId="1" numFmtId="0" xfId="0" applyAlignment="1" applyFont="1">
      <alignment readingOrder="0"/>
    </xf>
    <xf borderId="0" fillId="5" fontId="9" numFmtId="0" xfId="0" applyAlignment="1" applyFont="1">
      <alignment readingOrder="0" vertical="top"/>
    </xf>
    <xf borderId="0" fillId="5" fontId="9" numFmtId="0" xfId="0" applyAlignment="1" applyFont="1">
      <alignment vertical="top"/>
    </xf>
    <xf borderId="0" fillId="4" fontId="9" numFmtId="0" xfId="0" applyAlignment="1" applyFont="1">
      <alignment readingOrder="0" vertical="top"/>
    </xf>
    <xf borderId="0" fillId="4" fontId="1" numFmtId="0" xfId="0" applyAlignment="1" applyFont="1">
      <alignment horizontal="left" readingOrder="0" shrinkToFit="0" vertical="top" wrapText="1"/>
    </xf>
    <xf borderId="0" fillId="5" fontId="1" numFmtId="0" xfId="0" applyAlignment="1" applyFont="1">
      <alignment horizontal="left" readingOrder="0" shrinkToFit="0" vertical="top" wrapText="1"/>
    </xf>
    <xf borderId="0" fillId="4" fontId="1" numFmtId="167" xfId="0" applyAlignment="1" applyFont="1" applyNumberFormat="1">
      <alignment horizontal="center" readingOrder="0" shrinkToFit="0" vertical="top" wrapText="1"/>
    </xf>
    <xf borderId="0" fillId="5" fontId="1" numFmtId="167" xfId="0" applyAlignment="1" applyFont="1" applyNumberFormat="1">
      <alignment horizontal="center" readingOrder="0" shrinkToFit="0" vertical="top" wrapText="1"/>
    </xf>
    <xf borderId="0" fillId="2" fontId="1" numFmtId="0" xfId="0" applyAlignment="1" applyFont="1">
      <alignment horizontal="center" readingOrder="0" shrinkToFit="0" vertical="center" wrapText="1"/>
    </xf>
    <xf borderId="0" fillId="2" fontId="2" numFmtId="0" xfId="0" applyAlignment="1" applyFont="1">
      <alignment horizontal="center" readingOrder="0" shrinkToFit="0" textRotation="0" vertical="center" wrapText="1"/>
    </xf>
    <xf borderId="0" fillId="2" fontId="12" numFmtId="0" xfId="0" applyAlignment="1" applyFont="1">
      <alignment horizontal="center" shrinkToFit="0" vertical="center" wrapText="1"/>
    </xf>
    <xf borderId="0" fillId="2" fontId="13" numFmtId="0" xfId="0" applyAlignment="1" applyFont="1">
      <alignment horizontal="center" shrinkToFit="0" vertical="center" wrapText="1"/>
    </xf>
    <xf borderId="0" fillId="2" fontId="14" numFmtId="0" xfId="0" applyAlignment="1" applyFont="1">
      <alignment horizontal="center" shrinkToFit="0" vertical="center" wrapText="1"/>
    </xf>
    <xf borderId="0" fillId="2" fontId="15" numFmtId="0" xfId="0" applyAlignment="1" applyFont="1">
      <alignment horizontal="center" shrinkToFit="0" vertical="center" wrapText="1"/>
    </xf>
    <xf borderId="0" fillId="2" fontId="16" numFmtId="0" xfId="0" applyAlignment="1" applyFont="1">
      <alignment horizontal="center" shrinkToFit="0" vertical="center" wrapText="1"/>
    </xf>
    <xf borderId="2" fillId="2" fontId="2" numFmtId="0" xfId="0" applyAlignment="1" applyBorder="1" applyFont="1">
      <alignment horizontal="center" readingOrder="0" shrinkToFit="0" vertical="center" wrapText="1"/>
    </xf>
    <xf borderId="0" fillId="3" fontId="2" numFmtId="0" xfId="0" applyAlignment="1" applyFont="1">
      <alignment horizontal="center" readingOrder="0" shrinkToFit="0" vertical="center" wrapText="1"/>
    </xf>
    <xf borderId="0" fillId="2" fontId="1" numFmtId="0" xfId="0" applyAlignment="1" applyFont="1">
      <alignment horizontal="center" readingOrder="0" shrinkToFit="0" vertical="center" wrapText="1"/>
    </xf>
    <xf borderId="0" fillId="2" fontId="10" numFmtId="0" xfId="0" applyAlignment="1" applyFont="1">
      <alignment readingOrder="0" shrinkToFit="0" vertical="center" wrapText="1"/>
    </xf>
    <xf borderId="0" fillId="2" fontId="10" numFmtId="0" xfId="0" applyAlignment="1" applyFont="1">
      <alignment shrinkToFit="0" vertical="center" wrapText="1"/>
    </xf>
    <xf borderId="2" fillId="2" fontId="2" numFmtId="0" xfId="0" applyAlignment="1" applyBorder="1" applyFont="1">
      <alignment horizontal="center" readingOrder="0" shrinkToFit="0" textRotation="0" vertical="center" wrapText="1"/>
    </xf>
    <xf borderId="0" fillId="2" fontId="2" numFmtId="0" xfId="0" applyAlignment="1" applyFont="1">
      <alignment horizontal="center" readingOrder="0" shrinkToFit="0" vertical="center" wrapText="1"/>
    </xf>
    <xf borderId="1" fillId="4" fontId="1" numFmtId="0" xfId="0" applyAlignment="1" applyBorder="1" applyFont="1">
      <alignment horizontal="center" readingOrder="0" vertical="top"/>
    </xf>
    <xf borderId="2" fillId="4" fontId="1" numFmtId="0" xfId="0" applyAlignment="1" applyBorder="1" applyFont="1">
      <alignment horizontal="center" readingOrder="0" shrinkToFit="0" vertical="top" wrapText="1"/>
    </xf>
    <xf borderId="0" fillId="4" fontId="1" numFmtId="0" xfId="0" applyAlignment="1" applyFont="1">
      <alignment horizontal="center" readingOrder="0" shrinkToFit="0" vertical="top" wrapText="1"/>
    </xf>
    <xf borderId="0" fillId="4" fontId="1" numFmtId="0" xfId="0" applyAlignment="1" applyFont="1">
      <alignment horizontal="center" readingOrder="0" shrinkToFit="0" vertical="top" wrapText="1"/>
    </xf>
    <xf borderId="0" fillId="4" fontId="1" numFmtId="0" xfId="0" applyAlignment="1" applyFont="1">
      <alignment readingOrder="0" shrinkToFit="0" vertical="top" wrapText="1"/>
    </xf>
    <xf borderId="0" fillId="4" fontId="17" numFmtId="0" xfId="0" applyAlignment="1" applyFont="1">
      <alignment vertical="top"/>
    </xf>
    <xf borderId="2" fillId="4" fontId="1" numFmtId="0" xfId="0" applyAlignment="1" applyBorder="1" applyFont="1">
      <alignment horizontal="center" readingOrder="0" shrinkToFit="0" textRotation="0" vertical="top" wrapText="1"/>
    </xf>
    <xf borderId="0" fillId="4" fontId="1" numFmtId="0" xfId="0" applyAlignment="1" applyFont="1">
      <alignment horizontal="left" readingOrder="0" textRotation="0" vertical="top"/>
    </xf>
    <xf borderId="2" fillId="4" fontId="1" numFmtId="0" xfId="0" applyAlignment="1" applyBorder="1" applyFont="1">
      <alignment readingOrder="0" shrinkToFit="0" vertical="top" wrapText="0"/>
    </xf>
    <xf borderId="0" fillId="4" fontId="1" numFmtId="0" xfId="0" applyAlignment="1" applyFont="1">
      <alignment horizontal="center" readingOrder="0" shrinkToFit="0" vertical="top" wrapText="1"/>
    </xf>
    <xf borderId="0" fillId="4" fontId="1" numFmtId="0" xfId="0" applyAlignment="1" applyFont="1">
      <alignment horizontal="center" readingOrder="0" shrinkToFit="0" textRotation="0" vertical="top" wrapText="1"/>
    </xf>
    <xf borderId="1" fillId="5" fontId="1" numFmtId="0" xfId="0" applyAlignment="1" applyBorder="1" applyFont="1">
      <alignment horizontal="center" readingOrder="0" vertical="top"/>
    </xf>
    <xf borderId="2" fillId="5" fontId="1" numFmtId="0" xfId="0" applyAlignment="1" applyBorder="1" applyFont="1">
      <alignment horizontal="center" readingOrder="0" shrinkToFit="0" vertical="top" wrapText="1"/>
    </xf>
    <xf borderId="0" fillId="5" fontId="1" numFmtId="0" xfId="0" applyAlignment="1" applyFont="1">
      <alignment horizontal="center" readingOrder="0" shrinkToFit="0" vertical="top" wrapText="1"/>
    </xf>
    <xf borderId="0" fillId="5" fontId="1" numFmtId="0" xfId="0" applyAlignment="1" applyFont="1">
      <alignment horizontal="center" readingOrder="0" shrinkToFit="0" vertical="top" wrapText="1"/>
    </xf>
    <xf borderId="0" fillId="5" fontId="1" numFmtId="0" xfId="0" applyAlignment="1" applyFont="1">
      <alignment readingOrder="0" shrinkToFit="0" vertical="top" wrapText="1"/>
    </xf>
    <xf borderId="0" fillId="5" fontId="17" numFmtId="0" xfId="0" applyAlignment="1" applyFont="1">
      <alignment vertical="top"/>
    </xf>
    <xf borderId="2" fillId="5" fontId="1" numFmtId="0" xfId="0" applyAlignment="1" applyBorder="1" applyFont="1">
      <alignment horizontal="center" readingOrder="0" shrinkToFit="0" textRotation="0" vertical="top" wrapText="1"/>
    </xf>
    <xf borderId="0" fillId="5" fontId="1" numFmtId="0" xfId="0" applyAlignment="1" applyFont="1">
      <alignment horizontal="left" readingOrder="0" textRotation="0" vertical="top"/>
    </xf>
    <xf borderId="2" fillId="5" fontId="1" numFmtId="0" xfId="0" applyAlignment="1" applyBorder="1" applyFont="1">
      <alignment readingOrder="0" shrinkToFit="0" vertical="top" wrapText="0"/>
    </xf>
    <xf borderId="0" fillId="5" fontId="1" numFmtId="0" xfId="0" applyAlignment="1" applyFont="1">
      <alignment horizontal="center" readingOrder="0" shrinkToFit="0" vertical="top" wrapText="1"/>
    </xf>
    <xf borderId="0" fillId="5" fontId="1" numFmtId="0" xfId="0" applyAlignment="1" applyFont="1">
      <alignment horizontal="center" readingOrder="0" shrinkToFit="0" textRotation="0" vertical="top" wrapText="1"/>
    </xf>
    <xf borderId="1" fillId="5" fontId="1" numFmtId="0" xfId="0" applyAlignment="1" applyBorder="1" applyFont="1">
      <alignment horizontal="center" readingOrder="0" vertical="top"/>
    </xf>
    <xf borderId="0" fillId="5" fontId="1" numFmtId="0" xfId="0" applyAlignment="1" applyFont="1">
      <alignment readingOrder="0" shrinkToFit="0" vertical="top" wrapText="1"/>
    </xf>
    <xf borderId="0" fillId="5" fontId="1" numFmtId="0" xfId="0" applyAlignment="1" applyFont="1">
      <alignment readingOrder="0" shrinkToFit="0" vertical="top" wrapText="0"/>
    </xf>
    <xf borderId="1" fillId="4" fontId="1" numFmtId="0" xfId="0" applyAlignment="1" applyBorder="1" applyFont="1">
      <alignment horizontal="center" readingOrder="0" vertical="top"/>
    </xf>
    <xf borderId="0" fillId="4" fontId="18" numFmtId="0" xfId="0" applyAlignment="1" applyFont="1">
      <alignment readingOrder="0" shrinkToFit="0" vertical="top" wrapText="0"/>
    </xf>
    <xf borderId="0" fillId="5" fontId="18" numFmtId="0" xfId="0" applyAlignment="1" applyFont="1">
      <alignment readingOrder="0" shrinkToFit="0" vertical="top" wrapText="0"/>
    </xf>
    <xf borderId="0" fillId="4" fontId="1" numFmtId="0" xfId="0" applyAlignment="1" applyFont="1">
      <alignment readingOrder="0" shrinkToFit="0" vertical="top" wrapText="1"/>
    </xf>
    <xf borderId="0" fillId="5" fontId="1" numFmtId="0" xfId="0" applyAlignment="1" applyFont="1">
      <alignment readingOrder="0" shrinkToFit="0" vertical="top" wrapText="1"/>
    </xf>
    <xf borderId="0" fillId="4" fontId="1" numFmtId="0" xfId="0" applyAlignment="1" applyFont="1">
      <alignment readingOrder="0" shrinkToFit="0" vertical="top" wrapText="0"/>
    </xf>
    <xf borderId="0" fillId="5" fontId="2" numFmtId="0" xfId="0" applyAlignment="1" applyFont="1">
      <alignment horizontal="center" readingOrder="0" shrinkToFit="0" vertical="top" wrapText="1"/>
    </xf>
    <xf borderId="0" fillId="4" fontId="19" numFmtId="0" xfId="0" applyAlignment="1" applyFont="1">
      <alignment readingOrder="0" shrinkToFit="0" vertical="top" wrapText="0"/>
    </xf>
    <xf borderId="0" fillId="4" fontId="2" numFmtId="0" xfId="0" applyAlignment="1" applyFont="1">
      <alignment horizontal="center" readingOrder="0" shrinkToFit="0" vertical="top" wrapText="1"/>
    </xf>
    <xf borderId="0" fillId="5" fontId="11" numFmtId="0" xfId="0" applyAlignment="1" applyFont="1">
      <alignment readingOrder="0" shrinkToFit="0" vertical="top" wrapText="0"/>
    </xf>
    <xf borderId="0" fillId="5" fontId="20" numFmtId="0" xfId="0" applyAlignment="1" applyFont="1">
      <alignment readingOrder="0" shrinkToFit="0" vertical="top" wrapText="1"/>
    </xf>
    <xf borderId="0" fillId="4" fontId="21" numFmtId="0" xfId="0" applyAlignment="1" applyFont="1">
      <alignment readingOrder="0" shrinkToFit="0" vertical="top" wrapText="1"/>
    </xf>
    <xf borderId="0" fillId="5" fontId="1" numFmtId="164" xfId="0" applyAlignment="1" applyFont="1" applyNumberFormat="1">
      <alignment readingOrder="0" shrinkToFit="0" vertical="top" wrapText="1"/>
    </xf>
    <xf borderId="0" fillId="5" fontId="1" numFmtId="0" xfId="0" applyAlignment="1" applyFont="1">
      <alignment readingOrder="0" shrinkToFit="0" wrapText="1"/>
    </xf>
    <xf borderId="0" fillId="6" fontId="22" numFmtId="0" xfId="0" applyAlignment="1" applyFill="1" applyFont="1">
      <alignment horizontal="center" readingOrder="0" shrinkToFit="0" vertical="center" wrapText="1"/>
    </xf>
    <xf borderId="0" fillId="6" fontId="23" numFmtId="0" xfId="0" applyAlignment="1" applyFont="1">
      <alignment horizontal="center" shrinkToFit="0" vertical="center" wrapText="1"/>
    </xf>
    <xf borderId="0" fillId="6" fontId="23" numFmtId="0" xfId="0" applyAlignment="1" applyFont="1">
      <alignment horizontal="center" readingOrder="0" shrinkToFit="0" vertical="center" wrapText="1"/>
    </xf>
    <xf borderId="0" fillId="6" fontId="23" numFmtId="0" xfId="0" applyAlignment="1" applyFont="1">
      <alignment horizontal="center"/>
    </xf>
    <xf borderId="0" fillId="6" fontId="23" numFmtId="0" xfId="0" applyAlignment="1" applyFont="1">
      <alignment horizontal="center" readingOrder="0"/>
    </xf>
    <xf borderId="0" fillId="0" fontId="24" numFmtId="0" xfId="0" applyAlignment="1" applyFont="1">
      <alignment horizontal="center"/>
    </xf>
    <xf borderId="0" fillId="0" fontId="24" numFmtId="3" xfId="0" applyFont="1" applyNumberFormat="1"/>
    <xf borderId="0" fillId="0" fontId="24" numFmtId="168" xfId="0" applyAlignment="1" applyFont="1" applyNumberFormat="1">
      <alignment horizontal="right"/>
    </xf>
    <xf borderId="0" fillId="5" fontId="24" numFmtId="0" xfId="0" applyAlignment="1" applyFont="1">
      <alignment horizontal="center"/>
    </xf>
    <xf borderId="0" fillId="5" fontId="24" numFmtId="3" xfId="0" applyFont="1" applyNumberFormat="1"/>
    <xf borderId="0" fillId="5" fontId="24" numFmtId="168" xfId="0" applyAlignment="1" applyFont="1" applyNumberFormat="1">
      <alignment horizontal="right"/>
    </xf>
    <xf borderId="0" fillId="0" fontId="24" numFmtId="3" xfId="0" applyAlignment="1" applyFont="1" applyNumberFormat="1">
      <alignment readingOrder="0"/>
    </xf>
    <xf borderId="0" fillId="0" fontId="23" numFmtId="3" xfId="0" applyAlignment="1" applyFont="1" applyNumberFormat="1">
      <alignment horizontal="right" readingOrder="0"/>
    </xf>
    <xf borderId="0" fillId="0" fontId="23" numFmtId="3" xfId="0" applyFont="1" applyNumberFormat="1"/>
    <xf borderId="0" fillId="0" fontId="25" numFmtId="3" xfId="0" applyAlignment="1" applyFont="1" applyNumberFormat="1">
      <alignment readingOrder="0" shrinkToFit="0" vertical="top" wrapText="1"/>
    </xf>
    <xf borderId="0" fillId="0" fontId="26" numFmtId="3" xfId="0" applyAlignment="1" applyFont="1" applyNumberFormat="1">
      <alignment readingOrder="0" shrinkToFit="0" vertical="top" wrapText="1"/>
    </xf>
    <xf borderId="0" fillId="0" fontId="27" numFmtId="0" xfId="0" applyAlignment="1" applyFont="1">
      <alignment horizontal="center" shrinkToFit="0" vertical="center" wrapText="1"/>
    </xf>
    <xf borderId="0" fillId="0" fontId="28" numFmtId="0" xfId="0" applyFont="1"/>
    <xf borderId="0" fillId="0" fontId="28" numFmtId="0" xfId="0" applyFont="1"/>
    <xf borderId="0" fillId="7" fontId="2" numFmtId="0" xfId="0" applyAlignment="1" applyFill="1" applyFont="1">
      <alignment readingOrder="0" vertical="center"/>
    </xf>
    <xf borderId="0" fillId="7" fontId="2" numFmtId="3" xfId="0" applyAlignment="1" applyFont="1" applyNumberFormat="1">
      <alignment readingOrder="0" vertical="center"/>
    </xf>
    <xf borderId="0" fillId="0" fontId="1" numFmtId="164" xfId="0" applyAlignment="1" applyFont="1" applyNumberFormat="1">
      <alignment readingOrder="0" vertical="center"/>
    </xf>
    <xf borderId="0" fillId="0" fontId="0" numFmtId="0" xfId="0" applyAlignment="1" applyFont="1">
      <alignment readingOrder="0" vertical="center"/>
    </xf>
    <xf borderId="0" fillId="7" fontId="2" numFmtId="0" xfId="0" applyAlignment="1" applyFont="1">
      <alignment horizontal="center" readingOrder="0" vertical="center"/>
    </xf>
    <xf borderId="0" fillId="0" fontId="1" numFmtId="0" xfId="0" applyAlignment="1" applyFont="1">
      <alignment horizontal="center" readingOrder="0" vertical="center"/>
    </xf>
    <xf borderId="1" fillId="8" fontId="1" numFmtId="0" xfId="0" applyAlignment="1" applyBorder="1" applyFill="1" applyFont="1">
      <alignment readingOrder="0" vertical="center"/>
    </xf>
    <xf borderId="0" fillId="8" fontId="1" numFmtId="0" xfId="0" applyAlignment="1" applyFont="1">
      <alignment readingOrder="0" vertical="center"/>
    </xf>
    <xf borderId="0" fillId="8" fontId="29" numFmtId="0" xfId="0" applyAlignment="1" applyFont="1">
      <alignment readingOrder="0" vertical="center"/>
    </xf>
    <xf borderId="0" fillId="9" fontId="1" numFmtId="0" xfId="0" applyAlignment="1" applyFill="1" applyFont="1">
      <alignment readingOrder="0" vertical="center"/>
    </xf>
    <xf borderId="0" fillId="10" fontId="1" numFmtId="0" xfId="0" applyAlignment="1" applyFill="1" applyFont="1">
      <alignment readingOrder="0" vertical="center"/>
    </xf>
    <xf borderId="0" fillId="11" fontId="1" numFmtId="0" xfId="0" applyAlignment="1" applyFill="1" applyFont="1">
      <alignment readingOrder="0" vertical="center"/>
    </xf>
    <xf borderId="0" fillId="6" fontId="1" numFmtId="0" xfId="0" applyAlignment="1" applyFont="1">
      <alignment readingOrder="0" vertical="center"/>
    </xf>
    <xf borderId="0" fillId="0" fontId="1" numFmtId="0" xfId="0" applyAlignment="1" applyFont="1">
      <alignment readingOrder="0" vertical="center"/>
    </xf>
    <xf borderId="0" fillId="12" fontId="1" numFmtId="0" xfId="0" applyAlignment="1" applyFill="1" applyFont="1">
      <alignment readingOrder="0" vertical="center"/>
    </xf>
    <xf borderId="0" fillId="0" fontId="30" numFmtId="0" xfId="0" applyAlignment="1" applyFont="1">
      <alignment readingOrder="0" vertical="center"/>
    </xf>
    <xf borderId="0" fillId="0" fontId="31" numFmtId="0" xfId="0" applyAlignment="1" applyFont="1">
      <alignment horizontal="right"/>
    </xf>
    <xf borderId="0" fillId="0" fontId="2" numFmtId="0" xfId="0" applyAlignment="1" applyFont="1">
      <alignment horizontal="center" readingOrder="0" vertical="center"/>
    </xf>
    <xf borderId="0" fillId="0" fontId="2" numFmtId="0" xfId="0" applyAlignment="1" applyFont="1">
      <alignment readingOrder="0" vertical="center"/>
    </xf>
    <xf borderId="0" fillId="0" fontId="2" numFmtId="164" xfId="0" applyAlignment="1" applyFont="1" applyNumberFormat="1">
      <alignment readingOrder="0" vertical="center"/>
    </xf>
    <xf borderId="0" fillId="0" fontId="32" numFmtId="0" xfId="0" applyAlignment="1" applyFont="1">
      <alignment readingOrder="0" vertical="center"/>
    </xf>
    <xf borderId="0" fillId="0" fontId="33" numFmtId="0" xfId="0" applyAlignment="1" applyFont="1">
      <alignment horizontal="center" readingOrder="0" vertical="center"/>
    </xf>
    <xf borderId="1" fillId="0" fontId="1" numFmtId="0" xfId="0" applyAlignment="1" applyBorder="1" applyFont="1">
      <alignment readingOrder="0" vertical="center"/>
    </xf>
    <xf borderId="0" fillId="0" fontId="1" numFmtId="0" xfId="0" applyAlignment="1" applyFont="1">
      <alignment readingOrder="0" vertical="center"/>
    </xf>
    <xf borderId="0" fillId="13" fontId="1" numFmtId="0" xfId="0" applyAlignment="1" applyFill="1" applyFont="1">
      <alignment readingOrder="0" vertical="center"/>
    </xf>
    <xf borderId="0" fillId="0" fontId="18" numFmtId="0" xfId="0" applyAlignment="1" applyFont="1">
      <alignment readingOrder="0" vertical="center"/>
    </xf>
    <xf borderId="0" fillId="3" fontId="1" numFmtId="0" xfId="0" applyAlignment="1" applyFont="1">
      <alignment readingOrder="0" vertical="center"/>
    </xf>
    <xf borderId="0" fillId="14" fontId="1" numFmtId="0" xfId="0" applyAlignment="1" applyFill="1" applyFont="1">
      <alignment readingOrder="0" vertical="center"/>
    </xf>
    <xf borderId="0" fillId="15" fontId="1" numFmtId="0" xfId="0" applyAlignment="1" applyFill="1" applyFont="1">
      <alignment readingOrder="0" vertical="center"/>
    </xf>
    <xf borderId="0" fillId="12" fontId="34" numFmtId="0" xfId="0" applyAlignment="1" applyFont="1">
      <alignment readingOrder="0" vertical="center"/>
    </xf>
    <xf borderId="0" fillId="12" fontId="34" numFmtId="0" xfId="0" applyAlignment="1" applyFont="1">
      <alignment readingOrder="0" vertical="center"/>
    </xf>
    <xf borderId="0" fillId="12" fontId="35" numFmtId="0" xfId="0" applyAlignment="1" applyFont="1">
      <alignment readingOrder="0" vertical="center"/>
    </xf>
    <xf borderId="0" fillId="3" fontId="30" numFmtId="0" xfId="0" applyAlignment="1" applyFont="1">
      <alignment readingOrder="0" vertical="center"/>
    </xf>
    <xf borderId="0" fillId="15" fontId="14" numFmtId="0" xfId="0" applyAlignment="1" applyFont="1">
      <alignment readingOrder="0"/>
    </xf>
    <xf borderId="0" fillId="8" fontId="2" numFmtId="0" xfId="0" applyAlignment="1" applyFont="1">
      <alignment readingOrder="0" vertical="center"/>
    </xf>
    <xf borderId="0" fillId="9" fontId="2" numFmtId="0" xfId="0" applyAlignment="1" applyFont="1">
      <alignment readingOrder="0" vertical="center"/>
    </xf>
    <xf borderId="0" fillId="10" fontId="2" numFmtId="0" xfId="0" applyAlignment="1" applyFont="1">
      <alignment readingOrder="0" vertical="center"/>
    </xf>
    <xf borderId="0" fillId="11" fontId="2" numFmtId="0" xfId="0" applyAlignment="1" applyFont="1">
      <alignment readingOrder="0" vertical="center"/>
    </xf>
    <xf borderId="0" fillId="6" fontId="2" numFmtId="0" xfId="0" applyAlignment="1" applyFont="1">
      <alignment readingOrder="0" vertical="center"/>
    </xf>
    <xf borderId="0" fillId="0" fontId="1" numFmtId="0" xfId="0" applyAlignment="1" applyFont="1">
      <alignment horizontal="left" vertical="center"/>
    </xf>
    <xf borderId="0" fillId="0" fontId="1" numFmtId="0" xfId="0" applyAlignment="1" applyFont="1">
      <alignment horizontal="left" readingOrder="0" vertical="center"/>
    </xf>
    <xf borderId="1" fillId="0" fontId="1" numFmtId="0" xfId="0" applyAlignment="1" applyBorder="1" applyFont="1">
      <alignment vertical="center"/>
    </xf>
    <xf borderId="0" fillId="0" fontId="1" numFmtId="0" xfId="0" applyAlignment="1" applyFont="1">
      <alignment vertical="center"/>
    </xf>
    <xf borderId="0" fillId="0" fontId="34" numFmtId="0" xfId="0" applyAlignment="1" applyFont="1">
      <alignment vertical="center"/>
    </xf>
    <xf borderId="0" fillId="0" fontId="31" numFmtId="0" xfId="0" applyAlignment="1" applyFont="1">
      <alignment horizontal="right"/>
    </xf>
    <xf borderId="0" fillId="0" fontId="0" numFmtId="164" xfId="0" applyAlignment="1" applyFont="1" applyNumberFormat="1">
      <alignment readingOrder="0" vertical="center"/>
    </xf>
    <xf borderId="0" fillId="16" fontId="31" numFmtId="0" xfId="0" applyAlignment="1" applyFill="1" applyFont="1">
      <alignment horizontal="right"/>
    </xf>
    <xf borderId="0" fillId="0" fontId="36" numFmtId="0" xfId="0" applyAlignment="1" applyFont="1">
      <alignment readingOrder="0" vertical="center"/>
    </xf>
    <xf borderId="0" fillId="0" fontId="17" numFmtId="0" xfId="0" applyAlignment="1" applyFont="1">
      <alignment readingOrder="0"/>
    </xf>
    <xf borderId="0" fillId="0" fontId="17" numFmtId="0" xfId="0" applyFont="1"/>
    <xf borderId="0" fillId="17" fontId="0" numFmtId="0" xfId="0" applyAlignment="1" applyFill="1" applyFont="1">
      <alignment readingOrder="0" vertical="center"/>
    </xf>
    <xf borderId="0" fillId="0" fontId="33" numFmtId="0" xfId="0" applyAlignment="1" applyFont="1">
      <alignment readingOrder="0" vertical="center"/>
    </xf>
    <xf borderId="0" fillId="0" fontId="37" numFmtId="0" xfId="0" applyAlignment="1" applyFont="1">
      <alignment readingOrder="0"/>
    </xf>
    <xf borderId="0" fillId="0" fontId="0" numFmtId="0" xfId="0" applyAlignment="1" applyFont="1">
      <alignment readingOrder="0" vertical="center"/>
    </xf>
    <xf borderId="0" fillId="0" fontId="38" numFmtId="0" xfId="0" applyAlignment="1" applyFont="1">
      <alignment readingOrder="0" vertical="center"/>
    </xf>
    <xf borderId="0" fillId="0" fontId="17" numFmtId="0" xfId="0" applyAlignment="1" applyFont="1">
      <alignment vertical="center"/>
    </xf>
    <xf borderId="0" fillId="0" fontId="17" numFmtId="164" xfId="0" applyAlignment="1" applyFont="1" applyNumberFormat="1">
      <alignment horizontal="right" vertical="center"/>
    </xf>
    <xf borderId="0" fillId="0" fontId="39" numFmtId="0" xfId="0" applyAlignment="1" applyFont="1">
      <alignment vertical="center"/>
    </xf>
    <xf borderId="0" fillId="18" fontId="39" numFmtId="0" xfId="0" applyAlignment="1" applyFill="1" applyFont="1">
      <alignment vertical="center"/>
    </xf>
    <xf borderId="0" fillId="0" fontId="39" numFmtId="0" xfId="0" applyAlignment="1" applyFont="1">
      <alignment readingOrder="0" vertical="center"/>
    </xf>
    <xf borderId="0" fillId="0" fontId="17" numFmtId="0" xfId="0" applyAlignment="1" applyFont="1">
      <alignment readingOrder="0" vertical="center"/>
    </xf>
    <xf borderId="0" fillId="0" fontId="17" numFmtId="164" xfId="0" applyAlignment="1" applyFont="1" applyNumberFormat="1">
      <alignment horizontal="right" readingOrder="0" vertical="center"/>
    </xf>
    <xf borderId="0" fillId="0" fontId="17" numFmtId="164" xfId="0" applyAlignment="1" applyFont="1" applyNumberFormat="1">
      <alignment readingOrder="0" vertical="center"/>
    </xf>
    <xf borderId="0" fillId="0" fontId="17" numFmtId="0" xfId="0" applyAlignment="1" applyFont="1">
      <alignment vertical="center"/>
    </xf>
    <xf borderId="0" fillId="0" fontId="17" numFmtId="0" xfId="0" applyAlignment="1" applyFont="1">
      <alignment horizontal="right" vertical="center"/>
    </xf>
    <xf borderId="0" fillId="0" fontId="31" numFmtId="0" xfId="0" applyAlignment="1" applyFont="1">
      <alignment horizontal="right" vertical="center"/>
    </xf>
    <xf borderId="0" fillId="0" fontId="39" numFmtId="0" xfId="0" applyAlignment="1" applyFont="1">
      <alignment readingOrder="0" vertical="center"/>
    </xf>
    <xf borderId="0" fillId="17" fontId="39" numFmtId="0" xfId="0" applyAlignment="1" applyFont="1">
      <alignment readingOrder="0" vertical="center"/>
    </xf>
    <xf borderId="0" fillId="0" fontId="17" numFmtId="0" xfId="0" applyAlignment="1" applyFont="1">
      <alignment readingOrder="0" vertical="center"/>
    </xf>
    <xf borderId="0" fillId="0" fontId="40" numFmtId="0" xfId="0" applyAlignment="1" applyFont="1">
      <alignment horizontal="right" vertical="center"/>
    </xf>
    <xf borderId="0" fillId="0" fontId="41" numFmtId="0" xfId="0" applyAlignment="1" applyFont="1">
      <alignment horizontal="right" vertical="center"/>
    </xf>
    <xf borderId="0" fillId="0" fontId="17" numFmtId="164" xfId="0" applyAlignment="1" applyFont="1" applyNumberFormat="1">
      <alignment vertical="center"/>
    </xf>
    <xf borderId="0" fillId="0" fontId="31" numFmtId="0" xfId="0" applyAlignment="1" applyFont="1">
      <alignment horizontal="right" readingOrder="0" vertical="center"/>
    </xf>
    <xf borderId="0" fillId="0" fontId="17" numFmtId="164" xfId="0" applyAlignment="1" applyFont="1" applyNumberFormat="1">
      <alignment horizontal="right"/>
    </xf>
    <xf borderId="0" fillId="0" fontId="17" numFmtId="0" xfId="0" applyFont="1"/>
    <xf borderId="0" fillId="2" fontId="42" numFmtId="0" xfId="0" applyAlignment="1" applyFont="1">
      <alignment horizontal="left" readingOrder="0" shrinkToFit="0" vertical="center" wrapText="1"/>
    </xf>
    <xf borderId="0" fillId="2" fontId="23" numFmtId="0" xfId="0" applyAlignment="1" applyFont="1">
      <alignment readingOrder="0" vertical="center"/>
    </xf>
    <xf borderId="0" fillId="2" fontId="23" numFmtId="0" xfId="0" applyAlignment="1" applyFont="1">
      <alignment horizontal="left" readingOrder="0" vertical="center"/>
    </xf>
    <xf borderId="0" fillId="2" fontId="43" numFmtId="0" xfId="0" applyAlignment="1" applyFont="1">
      <alignment horizontal="center" readingOrder="0" vertical="center"/>
    </xf>
    <xf borderId="0" fillId="4" fontId="27" numFmtId="0" xfId="0" applyAlignment="1" applyFont="1">
      <alignment horizontal="left" readingOrder="0" shrinkToFit="0" vertical="center" wrapText="1"/>
    </xf>
    <xf borderId="0" fillId="4" fontId="17" numFmtId="0" xfId="0" applyAlignment="1" applyFont="1">
      <alignment readingOrder="0" vertical="center"/>
    </xf>
    <xf borderId="0" fillId="4" fontId="24" numFmtId="0" xfId="0" applyAlignment="1" applyFont="1">
      <alignment vertical="center"/>
    </xf>
    <xf borderId="0" fillId="4" fontId="24" numFmtId="168" xfId="0" applyAlignment="1" applyFont="1" applyNumberFormat="1">
      <alignment horizontal="right" vertical="center"/>
    </xf>
    <xf borderId="0" fillId="11" fontId="10" numFmtId="168" xfId="0" applyAlignment="1" applyFont="1" applyNumberFormat="1">
      <alignment horizontal="right" vertical="center"/>
    </xf>
    <xf borderId="0" fillId="4" fontId="44" numFmtId="0" xfId="0" applyAlignment="1" applyFont="1">
      <alignment vertical="center"/>
    </xf>
    <xf borderId="0" fillId="5" fontId="27" numFmtId="0" xfId="0" applyAlignment="1" applyFont="1">
      <alignment horizontal="left" readingOrder="0" shrinkToFit="0" vertical="center" wrapText="1"/>
    </xf>
    <xf borderId="0" fillId="5" fontId="17" numFmtId="0" xfId="0" applyAlignment="1" applyFont="1">
      <alignment readingOrder="0" vertical="center"/>
    </xf>
    <xf borderId="0" fillId="5" fontId="24" numFmtId="0" xfId="0" applyAlignment="1" applyFont="1">
      <alignment vertical="center"/>
    </xf>
    <xf borderId="0" fillId="5" fontId="24" numFmtId="168" xfId="0" applyAlignment="1" applyFont="1" applyNumberFormat="1">
      <alignment horizontal="right" vertical="center"/>
    </xf>
    <xf borderId="0" fillId="5" fontId="44" numFmtId="0" xfId="0" applyAlignment="1" applyFont="1">
      <alignment vertical="center"/>
    </xf>
    <xf borderId="0" fillId="4" fontId="24" numFmtId="0" xfId="0" applyAlignment="1" applyFont="1">
      <alignment readingOrder="0" vertical="center"/>
    </xf>
    <xf borderId="0" fillId="5" fontId="24" numFmtId="0" xfId="0" applyAlignment="1" applyFont="1">
      <alignment readingOrder="0" vertical="center"/>
    </xf>
    <xf borderId="0" fillId="4" fontId="24" numFmtId="169" xfId="0" applyAlignment="1" applyFont="1" applyNumberFormat="1">
      <alignment horizontal="right" readingOrder="0" vertical="center"/>
    </xf>
    <xf borderId="0" fillId="11" fontId="10" numFmtId="169" xfId="0" applyAlignment="1" applyFont="1" applyNumberFormat="1">
      <alignment horizontal="right" readingOrder="0" vertical="center"/>
    </xf>
    <xf borderId="0" fillId="5" fontId="24" numFmtId="169" xfId="0" applyAlignment="1" applyFont="1" applyNumberFormat="1">
      <alignment horizontal="right" readingOrder="0" vertical="center"/>
    </xf>
    <xf borderId="0" fillId="4" fontId="24" numFmtId="0" xfId="0" applyAlignment="1" applyFont="1">
      <alignment horizontal="right" readingOrder="0" vertical="center"/>
    </xf>
    <xf borderId="0" fillId="11" fontId="10" numFmtId="0" xfId="0" applyAlignment="1" applyFont="1">
      <alignment horizontal="right" readingOrder="0" vertical="center"/>
    </xf>
    <xf borderId="0" fillId="5" fontId="24" numFmtId="0" xfId="0" applyAlignment="1" applyFont="1">
      <alignment horizontal="right" readingOrder="0" vertical="center"/>
    </xf>
    <xf borderId="0" fillId="4" fontId="17" numFmtId="0" xfId="0" applyAlignment="1" applyFont="1">
      <alignment vertical="center"/>
    </xf>
    <xf borderId="0" fillId="5" fontId="17" numFmtId="0" xfId="0" applyAlignment="1" applyFont="1">
      <alignment vertical="center"/>
    </xf>
    <xf borderId="0" fillId="4" fontId="17" numFmtId="0" xfId="0" applyAlignment="1" applyFont="1">
      <alignment horizontal="left" readingOrder="0" shrinkToFit="0" vertical="center" wrapText="1"/>
    </xf>
    <xf borderId="0" fillId="5" fontId="17" numFmtId="0" xfId="0" applyAlignment="1" applyFont="1">
      <alignment horizontal="left" readingOrder="0" shrinkToFit="0" vertical="center" wrapText="1"/>
    </xf>
    <xf borderId="0" fillId="4" fontId="24" numFmtId="168" xfId="0" applyAlignment="1" applyFont="1" applyNumberFormat="1">
      <alignment horizontal="right" readingOrder="0" vertical="center"/>
    </xf>
    <xf borderId="0" fillId="11" fontId="10" numFmtId="168" xfId="0" applyAlignment="1" applyFont="1" applyNumberFormat="1">
      <alignment horizontal="right" readingOrder="0" vertical="center"/>
    </xf>
    <xf borderId="0" fillId="5" fontId="24" numFmtId="168" xfId="0" applyAlignment="1" applyFont="1" applyNumberFormat="1">
      <alignment horizontal="right" readingOrder="0" vertical="center"/>
    </xf>
    <xf borderId="0" fillId="4" fontId="24" numFmtId="3" xfId="0" applyAlignment="1" applyFont="1" applyNumberFormat="1">
      <alignment horizontal="right" readingOrder="0" vertical="center"/>
    </xf>
    <xf borderId="0" fillId="5" fontId="24" numFmtId="3" xfId="0" applyAlignment="1" applyFont="1" applyNumberFormat="1">
      <alignment horizontal="right" readingOrder="0" vertical="center"/>
    </xf>
    <xf borderId="0" fillId="4" fontId="24" numFmtId="0" xfId="0" applyAlignment="1" applyFont="1">
      <alignment horizontal="left" readingOrder="0" shrinkToFit="0" vertical="center" wrapText="1"/>
    </xf>
    <xf borderId="0" fillId="5" fontId="24" numFmtId="0" xfId="0" applyAlignment="1" applyFont="1">
      <alignment horizontal="left" readingOrder="0" shrinkToFit="0" vertical="center" wrapText="1"/>
    </xf>
    <xf borderId="0" fillId="5" fontId="24" numFmtId="3" xfId="0" applyAlignment="1" applyFont="1" applyNumberFormat="1">
      <alignment horizontal="right" vertical="center"/>
    </xf>
    <xf borderId="0" fillId="11" fontId="10" numFmtId="3" xfId="0" applyAlignment="1" applyFont="1" applyNumberFormat="1">
      <alignment horizontal="right" vertical="center"/>
    </xf>
    <xf borderId="0" fillId="4" fontId="24" numFmtId="3" xfId="0" applyAlignment="1" applyFont="1" applyNumberFormat="1">
      <alignment horizontal="right" vertical="center"/>
    </xf>
    <xf borderId="0" fillId="11" fontId="10" numFmtId="3" xfId="0" applyAlignment="1" applyFont="1" applyNumberFormat="1">
      <alignment horizontal="right" readingOrder="0" vertical="center"/>
    </xf>
    <xf borderId="0" fillId="5" fontId="24" numFmtId="0" xfId="0" applyAlignment="1" applyFont="1">
      <alignment horizontal="right" vertical="center"/>
    </xf>
    <xf borderId="0" fillId="11" fontId="10" numFmtId="0" xfId="0" applyAlignment="1" applyFont="1">
      <alignment horizontal="right" vertical="center"/>
    </xf>
    <xf borderId="0" fillId="4" fontId="24" numFmtId="0" xfId="0" applyAlignment="1" applyFont="1">
      <alignment horizontal="right" vertical="center"/>
    </xf>
    <xf borderId="0" fillId="4" fontId="17" numFmtId="0" xfId="0" applyAlignment="1" applyFont="1">
      <alignment horizontal="right" vertical="center"/>
    </xf>
    <xf borderId="0" fillId="11" fontId="10" numFmtId="0" xfId="0" applyAlignment="1" applyFont="1">
      <alignment horizontal="right" vertical="center"/>
    </xf>
    <xf borderId="0" fillId="4" fontId="17" numFmtId="3" xfId="0" applyAlignment="1" applyFont="1" applyNumberFormat="1">
      <alignment horizontal="right" vertical="center"/>
    </xf>
    <xf borderId="0" fillId="5" fontId="27" numFmtId="0" xfId="0" applyAlignment="1" applyFont="1">
      <alignment horizontal="left" readingOrder="0" shrinkToFit="0" vertical="center" wrapText="1"/>
    </xf>
    <xf borderId="0" fillId="4" fontId="27" numFmtId="0" xfId="0" applyAlignment="1" applyFont="1">
      <alignment horizontal="left" readingOrder="0" shrinkToFit="0" vertical="center" wrapText="1"/>
    </xf>
    <xf borderId="0" fillId="4" fontId="24" numFmtId="0" xfId="0" applyAlignment="1" applyFont="1">
      <alignment horizontal="left" readingOrder="0" shrinkToFit="0" vertical="center" wrapText="1"/>
    </xf>
    <xf borderId="0" fillId="4" fontId="24" numFmtId="1" xfId="0" applyAlignment="1" applyFont="1" applyNumberFormat="1">
      <alignment horizontal="right" readingOrder="0" vertical="center"/>
    </xf>
    <xf borderId="0" fillId="11" fontId="10" numFmtId="1" xfId="0" applyAlignment="1" applyFont="1" applyNumberFormat="1">
      <alignment horizontal="right" readingOrder="0" vertical="center"/>
    </xf>
    <xf borderId="0" fillId="5" fontId="24" numFmtId="0" xfId="0" applyAlignment="1" applyFont="1">
      <alignment horizontal="left" readingOrder="0" shrinkToFit="0" vertical="center" wrapText="1"/>
    </xf>
    <xf borderId="0" fillId="5" fontId="24" numFmtId="1" xfId="0" applyAlignment="1" applyFont="1" applyNumberFormat="1">
      <alignment horizontal="right" readingOrder="0" vertical="center"/>
    </xf>
    <xf borderId="0" fillId="5" fontId="24" numFmtId="0" xfId="0" applyAlignment="1" applyFont="1">
      <alignment vertical="center"/>
    </xf>
    <xf borderId="0" fillId="4" fontId="24" numFmtId="0" xfId="0" applyAlignment="1" applyFont="1">
      <alignment vertical="center"/>
    </xf>
    <xf borderId="0" fillId="11" fontId="10" numFmtId="49" xfId="0" applyAlignment="1" applyFont="1" applyNumberFormat="1">
      <alignment horizontal="right" readingOrder="0" vertical="center"/>
    </xf>
    <xf borderId="0" fillId="5" fontId="17" numFmtId="0" xfId="0" applyAlignment="1" applyFont="1">
      <alignment horizontal="right" vertical="center"/>
    </xf>
    <xf borderId="0" fillId="5" fontId="17" numFmtId="0" xfId="0" applyAlignment="1" applyFont="1">
      <alignment vertical="center"/>
    </xf>
    <xf borderId="0" fillId="5" fontId="17" numFmtId="3" xfId="0" applyAlignment="1" applyFont="1" applyNumberFormat="1">
      <alignment horizontal="right" vertical="center"/>
    </xf>
    <xf borderId="0" fillId="4" fontId="24" numFmtId="2" xfId="0" applyAlignment="1" applyFont="1" applyNumberFormat="1">
      <alignment horizontal="right" readingOrder="0" vertical="center"/>
    </xf>
    <xf borderId="0" fillId="11" fontId="10" numFmtId="2" xfId="0" applyAlignment="1" applyFont="1" applyNumberFormat="1">
      <alignment horizontal="right" readingOrder="0" vertical="center"/>
    </xf>
    <xf borderId="0" fillId="19" fontId="23" numFmtId="0" xfId="0" applyAlignment="1" applyFill="1" applyFont="1">
      <alignment readingOrder="0"/>
    </xf>
    <xf borderId="0" fillId="0" fontId="24" numFmtId="0" xfId="0" applyFont="1"/>
    <xf borderId="0" fillId="0" fontId="17" numFmtId="0" xfId="0" applyAlignment="1" applyFont="1">
      <alignment horizontal="right" vertical="bottom"/>
    </xf>
    <xf borderId="0" fillId="0" fontId="17" numFmtId="0" xfId="0" applyAlignment="1" applyFont="1">
      <alignment horizontal="right" readingOrder="0" vertical="bottom"/>
    </xf>
    <xf borderId="0" fillId="0" fontId="23" numFmtId="0" xfId="0" applyAlignment="1" applyFont="1">
      <alignment horizontal="center"/>
    </xf>
    <xf borderId="0" fillId="8" fontId="2" numFmtId="0" xfId="0" applyAlignment="1" applyFont="1">
      <alignment horizontal="center" readingOrder="0" vertical="center"/>
    </xf>
    <xf borderId="0" fillId="9" fontId="2" numFmtId="0" xfId="0" applyAlignment="1" applyFont="1">
      <alignment horizontal="center" readingOrder="0" vertical="center"/>
    </xf>
    <xf borderId="0" fillId="10" fontId="2" numFmtId="0" xfId="0" applyAlignment="1" applyFont="1">
      <alignment horizontal="center" readingOrder="0" vertical="center"/>
    </xf>
    <xf borderId="0" fillId="6" fontId="2" numFmtId="0" xfId="0" applyAlignment="1" applyFont="1">
      <alignment horizontal="center" readingOrder="0" vertical="center"/>
    </xf>
    <xf borderId="0" fillId="11" fontId="2" numFmtId="0" xfId="0" applyAlignment="1" applyFont="1">
      <alignment horizontal="center" readingOrder="0" vertical="center"/>
    </xf>
    <xf borderId="0" fillId="0" fontId="24" numFmtId="0" xfId="0" applyFont="1"/>
    <xf borderId="0" fillId="0" fontId="23" numFmtId="0" xfId="0" applyFont="1"/>
    <xf borderId="0" fillId="8" fontId="45" numFmtId="0" xfId="0" applyAlignment="1" applyFont="1">
      <alignment readingOrder="0" vertical="center"/>
    </xf>
    <xf borderId="0" fillId="9" fontId="45" numFmtId="0" xfId="0" applyAlignment="1" applyFont="1">
      <alignment readingOrder="0" vertical="center"/>
    </xf>
    <xf borderId="0" fillId="20" fontId="2" numFmtId="0" xfId="0" applyAlignment="1" applyFill="1" applyFont="1">
      <alignment readingOrder="0" vertical="center"/>
    </xf>
    <xf borderId="0" fillId="12" fontId="2" numFmtId="0" xfId="0" applyAlignment="1" applyFont="1">
      <alignment readingOrder="0" vertical="center"/>
    </xf>
    <xf borderId="0" fillId="0" fontId="23" numFmtId="0" xfId="0" applyAlignment="1" applyFont="1">
      <alignment readingOrder="0"/>
    </xf>
    <xf borderId="0" fillId="8" fontId="24" numFmtId="0" xfId="0" applyFont="1"/>
    <xf borderId="0" fillId="8" fontId="24" numFmtId="0" xfId="0" applyFont="1"/>
    <xf borderId="0" fillId="21" fontId="24" numFmtId="0" xfId="0" applyFill="1" applyFont="1"/>
    <xf borderId="0" fillId="10" fontId="24" numFmtId="0" xfId="0" applyFont="1"/>
    <xf borderId="0" fillId="6" fontId="24" numFmtId="0" xfId="0" applyFont="1"/>
    <xf borderId="0" fillId="22" fontId="24" numFmtId="0" xfId="0" applyFill="1" applyFont="1"/>
    <xf borderId="0" fillId="20" fontId="24" numFmtId="0" xfId="0" applyFont="1"/>
    <xf borderId="0" fillId="12" fontId="24" numFmtId="0" xfId="0" applyFont="1"/>
    <xf borderId="3" fillId="6" fontId="23" numFmtId="0" xfId="0" applyAlignment="1" applyBorder="1" applyFont="1">
      <alignment readingOrder="0"/>
    </xf>
    <xf borderId="0" fillId="21" fontId="24" numFmtId="0" xfId="0" applyFont="1"/>
    <xf borderId="0" fillId="10" fontId="24" numFmtId="0" xfId="0" applyFont="1"/>
    <xf borderId="0" fillId="6" fontId="24" numFmtId="0" xfId="0" applyFont="1"/>
    <xf borderId="0" fillId="22" fontId="24" numFmtId="0" xfId="0" applyFont="1"/>
    <xf borderId="0" fillId="20" fontId="24" numFmtId="0" xfId="0" applyFont="1"/>
    <xf borderId="0" fillId="12" fontId="24" numFmtId="0" xfId="0" applyFont="1"/>
    <xf borderId="3" fillId="8" fontId="2" numFmtId="0" xfId="0" applyAlignment="1" applyBorder="1" applyFont="1">
      <alignment horizontal="left" readingOrder="0" vertical="center"/>
    </xf>
    <xf borderId="3" fillId="8" fontId="2" numFmtId="1" xfId="0" applyAlignment="1" applyBorder="1" applyFont="1" applyNumberFormat="1">
      <alignment horizontal="right" readingOrder="0" vertical="center"/>
    </xf>
    <xf borderId="3" fillId="8" fontId="2" numFmtId="0" xfId="0" applyAlignment="1" applyBorder="1" applyFont="1">
      <alignment horizontal="right" readingOrder="0" vertical="center"/>
    </xf>
    <xf borderId="3" fillId="0" fontId="24" numFmtId="0" xfId="0" applyAlignment="1" applyBorder="1" applyFont="1">
      <alignment horizontal="left" readingOrder="0"/>
    </xf>
    <xf borderId="3" fillId="0" fontId="24" numFmtId="0" xfId="0" applyBorder="1" applyFont="1"/>
    <xf borderId="3" fillId="0" fontId="24" numFmtId="0" xfId="0" applyAlignment="1" applyBorder="1" applyFont="1">
      <alignment horizontal="right"/>
    </xf>
    <xf borderId="0" fillId="0" fontId="24" numFmtId="0" xfId="0" applyAlignment="1" applyFont="1">
      <alignment readingOrder="0"/>
    </xf>
    <xf borderId="0" fillId="8" fontId="24" numFmtId="168" xfId="0" applyFont="1" applyNumberFormat="1"/>
    <xf borderId="0" fillId="21" fontId="24" numFmtId="168" xfId="0" applyFont="1" applyNumberFormat="1"/>
    <xf borderId="0" fillId="10" fontId="24" numFmtId="168" xfId="0" applyFont="1" applyNumberFormat="1"/>
    <xf borderId="0" fillId="6" fontId="24" numFmtId="168" xfId="0" applyFont="1" applyNumberFormat="1"/>
    <xf borderId="0" fillId="22" fontId="24" numFmtId="168" xfId="0" applyFont="1" applyNumberFormat="1"/>
    <xf borderId="0" fillId="20" fontId="24" numFmtId="168" xfId="0" applyFont="1" applyNumberFormat="1"/>
    <xf borderId="0" fillId="12" fontId="24" numFmtId="168" xfId="0" applyFont="1" applyNumberFormat="1"/>
    <xf borderId="0" fillId="8" fontId="1" numFmtId="1" xfId="0" applyAlignment="1" applyFont="1" applyNumberFormat="1">
      <alignment horizontal="center" readingOrder="0" vertical="center"/>
    </xf>
    <xf borderId="0" fillId="9" fontId="1" numFmtId="1" xfId="0" applyAlignment="1" applyFont="1" applyNumberFormat="1">
      <alignment horizontal="center" readingOrder="0" vertical="center"/>
    </xf>
    <xf borderId="0" fillId="10" fontId="1" numFmtId="1" xfId="0" applyAlignment="1" applyFont="1" applyNumberFormat="1">
      <alignment horizontal="center" readingOrder="0" vertical="center"/>
    </xf>
    <xf borderId="0" fillId="6" fontId="1" numFmtId="1" xfId="0" applyAlignment="1" applyFont="1" applyNumberFormat="1">
      <alignment horizontal="center" readingOrder="0" vertical="center"/>
    </xf>
    <xf borderId="0" fillId="11" fontId="1" numFmtId="1" xfId="0" applyAlignment="1" applyFont="1" applyNumberFormat="1">
      <alignment horizontal="center" readingOrder="0" vertical="center"/>
    </xf>
    <xf borderId="0" fillId="20" fontId="1" numFmtId="1" xfId="0" applyAlignment="1" applyFont="1" applyNumberFormat="1">
      <alignment horizontal="center" readingOrder="0" vertical="center"/>
    </xf>
    <xf borderId="0" fillId="12" fontId="1" numFmtId="1" xfId="0" applyAlignment="1" applyFont="1" applyNumberFormat="1">
      <alignment readingOrder="0" vertical="center"/>
    </xf>
    <xf borderId="3" fillId="9" fontId="2" numFmtId="0" xfId="0" applyAlignment="1" applyBorder="1" applyFont="1">
      <alignment horizontal="left" readingOrder="0" vertical="center"/>
    </xf>
    <xf borderId="3" fillId="9" fontId="2" numFmtId="3" xfId="0" applyAlignment="1" applyBorder="1" applyFont="1" applyNumberFormat="1">
      <alignment horizontal="right" readingOrder="0" vertical="center"/>
    </xf>
    <xf borderId="3" fillId="9" fontId="2" numFmtId="0" xfId="0" applyAlignment="1" applyBorder="1" applyFont="1">
      <alignment horizontal="right" readingOrder="0" vertical="center"/>
    </xf>
    <xf borderId="3" fillId="9" fontId="2" numFmtId="1" xfId="0" applyAlignment="1" applyBorder="1" applyFont="1" applyNumberFormat="1">
      <alignment horizontal="right" readingOrder="0" vertical="center"/>
    </xf>
    <xf borderId="0" fillId="8" fontId="1" numFmtId="169" xfId="0" applyAlignment="1" applyFont="1" applyNumberFormat="1">
      <alignment horizontal="center" readingOrder="0" vertical="center"/>
    </xf>
    <xf borderId="0" fillId="9" fontId="1" numFmtId="169" xfId="0" applyAlignment="1" applyFont="1" applyNumberFormat="1">
      <alignment horizontal="center" readingOrder="0" vertical="center"/>
    </xf>
    <xf borderId="0" fillId="10" fontId="1" numFmtId="169" xfId="0" applyAlignment="1" applyFont="1" applyNumberFormat="1">
      <alignment horizontal="center" readingOrder="0" vertical="center"/>
    </xf>
    <xf borderId="0" fillId="6" fontId="1" numFmtId="169" xfId="0" applyAlignment="1" applyFont="1" applyNumberFormat="1">
      <alignment horizontal="center" readingOrder="0" vertical="center"/>
    </xf>
    <xf borderId="0" fillId="11" fontId="1" numFmtId="169" xfId="0" applyAlignment="1" applyFont="1" applyNumberFormat="1">
      <alignment horizontal="center" readingOrder="0" vertical="center"/>
    </xf>
    <xf borderId="0" fillId="20" fontId="1" numFmtId="169" xfId="0" applyAlignment="1" applyFont="1" applyNumberFormat="1">
      <alignment horizontal="center" readingOrder="0" vertical="center"/>
    </xf>
    <xf borderId="0" fillId="12" fontId="1" numFmtId="169" xfId="0" applyAlignment="1" applyFont="1" applyNumberFormat="1">
      <alignment readingOrder="0" vertical="center"/>
    </xf>
    <xf borderId="0" fillId="14" fontId="46" numFmtId="0" xfId="0" applyAlignment="1" applyFont="1">
      <alignment horizontal="center" readingOrder="0"/>
    </xf>
    <xf borderId="0" fillId="8" fontId="24" numFmtId="0" xfId="0" applyAlignment="1" applyFont="1">
      <alignment horizontal="right"/>
    </xf>
    <xf borderId="0" fillId="0" fontId="24" numFmtId="0" xfId="0" applyAlignment="1" applyFont="1">
      <alignment horizontal="right"/>
    </xf>
    <xf borderId="0" fillId="9" fontId="24" numFmtId="0" xfId="0" applyAlignment="1" applyFont="1">
      <alignment horizontal="right"/>
    </xf>
    <xf borderId="0" fillId="0" fontId="23" numFmtId="0" xfId="0" applyAlignment="1" applyFont="1">
      <alignment horizontal="right" readingOrder="0"/>
    </xf>
    <xf borderId="3" fillId="10" fontId="2" numFmtId="0" xfId="0" applyAlignment="1" applyBorder="1" applyFont="1">
      <alignment horizontal="left" readingOrder="0" vertical="center"/>
    </xf>
    <xf borderId="3" fillId="10" fontId="2" numFmtId="1" xfId="0" applyAlignment="1" applyBorder="1" applyFont="1" applyNumberFormat="1">
      <alignment horizontal="right" readingOrder="0" vertical="center"/>
    </xf>
    <xf borderId="3" fillId="10" fontId="2" numFmtId="0" xfId="0" applyAlignment="1" applyBorder="1" applyFont="1">
      <alignment horizontal="right" readingOrder="0" vertical="center"/>
    </xf>
    <xf borderId="0" fillId="11" fontId="24" numFmtId="0" xfId="0" applyAlignment="1" applyFont="1">
      <alignment horizontal="right"/>
    </xf>
    <xf borderId="0" fillId="20" fontId="24" numFmtId="0" xfId="0" applyAlignment="1" applyFont="1">
      <alignment horizontal="right"/>
    </xf>
    <xf borderId="3" fillId="11" fontId="2" numFmtId="0" xfId="0" applyAlignment="1" applyBorder="1" applyFont="1">
      <alignment horizontal="left" readingOrder="0" vertical="center"/>
    </xf>
    <xf borderId="3" fillId="11" fontId="2" numFmtId="1" xfId="0" applyAlignment="1" applyBorder="1" applyFont="1" applyNumberFormat="1">
      <alignment horizontal="right" readingOrder="0" vertical="center"/>
    </xf>
    <xf borderId="3" fillId="11" fontId="2" numFmtId="0" xfId="0" applyAlignment="1" applyBorder="1" applyFont="1">
      <alignment horizontal="right" readingOrder="0" vertical="center"/>
    </xf>
    <xf borderId="0" fillId="0" fontId="23" numFmtId="3" xfId="0" applyAlignment="1" applyFont="1" applyNumberFormat="1">
      <alignment readingOrder="0"/>
    </xf>
    <xf borderId="3" fillId="6" fontId="2" numFmtId="0" xfId="0" applyAlignment="1" applyBorder="1" applyFont="1">
      <alignment horizontal="left" readingOrder="0" vertical="center"/>
    </xf>
    <xf borderId="3" fillId="6" fontId="2" numFmtId="1" xfId="0" applyAlignment="1" applyBorder="1" applyFont="1" applyNumberFormat="1">
      <alignment horizontal="right" readingOrder="0" vertical="center"/>
    </xf>
    <xf borderId="3" fillId="6" fontId="2" numFmtId="0" xfId="0" applyAlignment="1" applyBorder="1" applyFont="1">
      <alignment horizontal="right" readingOrder="0" vertical="center"/>
    </xf>
    <xf borderId="3" fillId="5" fontId="24" numFmtId="0" xfId="0" applyAlignment="1" applyBorder="1" applyFont="1">
      <alignment horizontal="left"/>
    </xf>
    <xf borderId="3" fillId="5" fontId="24" numFmtId="0" xfId="0" applyBorder="1" applyFont="1"/>
    <xf borderId="3" fillId="0" fontId="24" numFmtId="0" xfId="0" applyAlignment="1" applyBorder="1" applyFont="1">
      <alignment readingOrder="0"/>
    </xf>
    <xf borderId="0" fillId="0" fontId="23" numFmtId="0" xfId="0" applyAlignment="1" applyFont="1">
      <alignment horizontal="center" readingOrder="0"/>
    </xf>
    <xf borderId="3" fillId="0" fontId="23" numFmtId="0" xfId="0" applyAlignment="1" applyBorder="1" applyFont="1">
      <alignment readingOrder="0"/>
    </xf>
    <xf borderId="3" fillId="0" fontId="23" numFmtId="0" xfId="0" applyAlignment="1" applyBorder="1" applyFont="1">
      <alignment horizontal="center" readingOrder="0"/>
    </xf>
    <xf borderId="3" fillId="0" fontId="24" numFmtId="3" xfId="0" applyBorder="1" applyFont="1" applyNumberFormat="1"/>
    <xf borderId="3" fillId="0" fontId="23" numFmtId="3" xfId="0" applyBorder="1" applyFont="1" applyNumberFormat="1"/>
    <xf borderId="3" fillId="0" fontId="23" numFmtId="0" xfId="0" applyBorder="1" applyFont="1"/>
    <xf borderId="4" fillId="0" fontId="23" numFmtId="0" xfId="0" applyAlignment="1" applyBorder="1" applyFont="1">
      <alignment horizontal="center" readingOrder="0"/>
    </xf>
    <xf borderId="5" fillId="0" fontId="47" numFmtId="0" xfId="0" applyBorder="1" applyFont="1"/>
    <xf borderId="6" fillId="0" fontId="47" numFmtId="0" xfId="0" applyBorder="1" applyFont="1"/>
    <xf borderId="4" fillId="0" fontId="24" numFmtId="0" xfId="0" applyAlignment="1" applyBorder="1" applyFont="1">
      <alignment horizontal="center"/>
    </xf>
    <xf borderId="3" fillId="0" fontId="24" numFmtId="0" xfId="0" applyAlignment="1" applyBorder="1" applyFont="1">
      <alignment horizontal="center"/>
    </xf>
    <xf borderId="3" fillId="0" fontId="24" numFmtId="0" xfId="0" applyAlignment="1" applyBorder="1" applyFont="1">
      <alignment horizontal="right" readingOrder="0"/>
    </xf>
    <xf borderId="0" fillId="0" fontId="9" numFmtId="0" xfId="0" applyFont="1"/>
    <xf borderId="0" fillId="0" fontId="9" numFmtId="0" xfId="0" applyAlignment="1" applyFont="1">
      <alignment vertical="bottom"/>
    </xf>
    <xf borderId="0" fillId="0" fontId="9" numFmtId="164" xfId="0" applyAlignment="1" applyFont="1" applyNumberFormat="1">
      <alignment vertical="bottom"/>
    </xf>
    <xf borderId="0" fillId="0" fontId="48" numFmtId="0" xfId="0" applyAlignment="1" applyFont="1">
      <alignment horizontal="right" readingOrder="0"/>
    </xf>
    <xf borderId="0" fillId="0" fontId="48" numFmtId="0" xfId="0" applyFont="1"/>
    <xf borderId="3" fillId="0" fontId="9" numFmtId="0" xfId="0" applyAlignment="1" applyBorder="1" applyFont="1">
      <alignment vertical="bottom"/>
    </xf>
    <xf borderId="3" fillId="0" fontId="9" numFmtId="0" xfId="0" applyAlignment="1" applyBorder="1" applyFont="1">
      <alignment horizontal="center" vertical="bottom"/>
    </xf>
    <xf borderId="3" fillId="23" fontId="9" numFmtId="164" xfId="0" applyAlignment="1" applyBorder="1" applyFill="1" applyFont="1" applyNumberFormat="1">
      <alignment horizontal="center" vertical="bottom"/>
    </xf>
    <xf borderId="3" fillId="0" fontId="9" numFmtId="164" xfId="0" applyAlignment="1" applyBorder="1" applyFont="1" applyNumberFormat="1">
      <alignment horizontal="center" vertical="bottom"/>
    </xf>
    <xf borderId="3" fillId="23" fontId="9" numFmtId="0" xfId="0" applyAlignment="1" applyBorder="1" applyFont="1">
      <alignment horizontal="center" vertical="bottom"/>
    </xf>
    <xf borderId="4" fillId="0" fontId="9" numFmtId="0" xfId="0" applyAlignment="1" applyBorder="1" applyFont="1">
      <alignment horizontal="center" vertical="bottom"/>
    </xf>
    <xf borderId="3" fillId="0" fontId="9" numFmtId="0" xfId="0" applyAlignment="1" applyBorder="1" applyFont="1">
      <alignment readingOrder="0" vertical="bottom"/>
    </xf>
    <xf borderId="3" fillId="0" fontId="9" numFmtId="3" xfId="0" applyAlignment="1" applyBorder="1" applyFont="1" applyNumberFormat="1">
      <alignment horizontal="right" vertical="bottom"/>
    </xf>
    <xf borderId="3" fillId="23" fontId="9" numFmtId="164" xfId="0" applyAlignment="1" applyBorder="1" applyFont="1" applyNumberFormat="1">
      <alignment vertical="bottom"/>
    </xf>
    <xf borderId="3" fillId="23" fontId="9" numFmtId="0" xfId="0" applyAlignment="1" applyBorder="1" applyFont="1">
      <alignment vertical="bottom"/>
    </xf>
    <xf borderId="4" fillId="0" fontId="9" numFmtId="3" xfId="0" applyAlignment="1" applyBorder="1" applyFont="1" applyNumberFormat="1">
      <alignment horizontal="right" vertical="bottom"/>
    </xf>
    <xf borderId="0" fillId="0" fontId="8" numFmtId="0" xfId="0" applyAlignment="1" applyFont="1">
      <alignment readingOrder="0" vertical="bottom"/>
    </xf>
    <xf borderId="0" fillId="0" fontId="8" numFmtId="0" xfId="0" applyAlignment="1" applyFont="1">
      <alignment vertical="bottom"/>
    </xf>
    <xf borderId="3" fillId="4" fontId="9" numFmtId="0" xfId="0" applyAlignment="1" applyBorder="1" applyFont="1">
      <alignment vertical="bottom"/>
    </xf>
    <xf borderId="3" fillId="0" fontId="9" numFmtId="164" xfId="0" applyAlignment="1" applyBorder="1" applyFont="1" applyNumberFormat="1">
      <alignment vertical="bottom"/>
    </xf>
    <xf borderId="3" fillId="0" fontId="9" numFmtId="170" xfId="0" applyAlignment="1" applyBorder="1" applyFont="1" applyNumberFormat="1">
      <alignment horizontal="right" vertical="bottom"/>
    </xf>
    <xf borderId="3" fillId="0" fontId="9" numFmtId="0" xfId="0" applyAlignment="1" applyBorder="1" applyFont="1">
      <alignment horizontal="right" vertical="bottom"/>
    </xf>
    <xf borderId="0" fillId="0" fontId="9" numFmtId="170" xfId="0" applyAlignment="1" applyFont="1" applyNumberFormat="1">
      <alignment horizontal="right" vertical="bottom"/>
    </xf>
    <xf borderId="3" fillId="24" fontId="23" numFmtId="0" xfId="0" applyAlignment="1" applyBorder="1" applyFill="1" applyFont="1">
      <alignment horizontal="right"/>
    </xf>
    <xf borderId="3" fillId="0" fontId="9" numFmtId="0" xfId="0" applyBorder="1" applyFont="1"/>
    <xf borderId="3" fillId="0" fontId="23" numFmtId="0" xfId="0" applyAlignment="1" applyBorder="1" applyFont="1">
      <alignment horizontal="right"/>
    </xf>
    <xf borderId="0" fillId="0" fontId="49" numFmtId="0" xfId="0" applyAlignment="1" applyFont="1">
      <alignment horizontal="left" readingOrder="0"/>
    </xf>
    <xf borderId="0" fillId="0" fontId="8" numFmtId="0" xfId="0" applyFont="1"/>
    <xf borderId="0" fillId="24" fontId="23" numFmtId="0" xfId="0" applyAlignment="1" applyFont="1">
      <alignment horizontal="right"/>
    </xf>
    <xf borderId="0" fillId="0" fontId="48" numFmtId="0" xfId="0" applyAlignment="1" applyFont="1">
      <alignment horizontal="right"/>
    </xf>
    <xf borderId="0" fillId="24" fontId="23" numFmtId="3" xfId="0" applyAlignment="1" applyFont="1" applyNumberFormat="1">
      <alignment horizontal="right"/>
    </xf>
    <xf borderId="0" fillId="0" fontId="24" numFmtId="0" xfId="0" applyAlignment="1" applyFont="1">
      <alignment horizontal="left"/>
    </xf>
    <xf borderId="0" fillId="0" fontId="24" numFmtId="171" xfId="0" applyAlignment="1" applyFont="1" applyNumberFormat="1">
      <alignment horizontal="center"/>
    </xf>
    <xf borderId="0" fillId="19" fontId="23" numFmtId="2" xfId="0" applyAlignment="1" applyFont="1" applyNumberFormat="1">
      <alignment horizontal="center"/>
    </xf>
    <xf borderId="0" fillId="0" fontId="24" numFmtId="0" xfId="0" applyAlignment="1" applyFont="1">
      <alignment horizontal="left" readingOrder="0"/>
    </xf>
    <xf borderId="0" fillId="0" fontId="48" numFmtId="171" xfId="0" applyAlignment="1" applyFont="1" applyNumberFormat="1">
      <alignment horizontal="center"/>
    </xf>
    <xf borderId="0" fillId="24" fontId="23" numFmtId="0" xfId="0" applyAlignment="1" applyFont="1">
      <alignment horizontal="center"/>
    </xf>
    <xf borderId="0" fillId="24" fontId="23" numFmtId="3" xfId="0" applyAlignment="1" applyFont="1" applyNumberFormat="1">
      <alignment horizontal="center"/>
    </xf>
    <xf borderId="0" fillId="0" fontId="24" numFmtId="171" xfId="0" applyAlignment="1" applyFont="1" applyNumberFormat="1">
      <alignment horizontal="center" readingOrder="0"/>
    </xf>
    <xf borderId="0" fillId="0" fontId="24" numFmtId="0" xfId="0" applyAlignment="1" applyFont="1">
      <alignment horizontal="right" readingOrder="0"/>
    </xf>
    <xf borderId="0" fillId="0" fontId="24" numFmtId="1" xfId="0" applyAlignment="1" applyFont="1" applyNumberFormat="1">
      <alignment horizontal="center"/>
    </xf>
    <xf borderId="0" fillId="0" fontId="24" numFmtId="169" xfId="0" applyFont="1" applyNumberFormat="1"/>
    <xf borderId="0" fillId="0" fontId="24" numFmtId="1" xfId="0" applyFont="1" applyNumberFormat="1"/>
    <xf borderId="0" fillId="0" fontId="48" numFmtId="1" xfId="0" applyAlignment="1" applyFont="1" applyNumberFormat="1">
      <alignment horizontal="center"/>
    </xf>
    <xf borderId="0" fillId="4" fontId="50" numFmtId="0" xfId="0" applyAlignment="1" applyFont="1">
      <alignment readingOrder="0"/>
    </xf>
    <xf borderId="4" fillId="0" fontId="2" numFmtId="0" xfId="0" applyAlignment="1" applyBorder="1" applyFont="1">
      <alignment horizontal="center" readingOrder="0" vertical="center"/>
    </xf>
    <xf borderId="3" fillId="0" fontId="2" numFmtId="0" xfId="0" applyAlignment="1" applyBorder="1" applyFont="1">
      <alignment horizontal="center" readingOrder="0" shrinkToFit="0" vertical="center" wrapText="1"/>
    </xf>
    <xf borderId="0" fillId="0" fontId="2" numFmtId="0" xfId="0" applyAlignment="1" applyFont="1">
      <alignment horizontal="center" vertical="center"/>
    </xf>
    <xf borderId="3" fillId="0" fontId="1" numFmtId="0" xfId="0" applyAlignment="1" applyBorder="1" applyFont="1">
      <alignment readingOrder="0" vertical="center"/>
    </xf>
    <xf borderId="3" fillId="0" fontId="1" numFmtId="0" xfId="0" applyAlignment="1" applyBorder="1" applyFont="1">
      <alignment horizontal="right" readingOrder="0" shrinkToFit="0" vertical="center" wrapText="1"/>
    </xf>
    <xf borderId="3" fillId="0" fontId="1" numFmtId="0" xfId="0" applyAlignment="1" applyBorder="1" applyFont="1">
      <alignment horizontal="right" readingOrder="0" vertical="center"/>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3" fillId="0" fontId="2" numFmtId="0" xfId="0" applyAlignment="1" applyBorder="1" applyFont="1">
      <alignment readingOrder="0" vertical="center"/>
    </xf>
    <xf borderId="3" fillId="0" fontId="2" numFmtId="0" xfId="0" applyAlignment="1" applyBorder="1" applyFont="1">
      <alignment horizontal="center" readingOrder="0" vertical="center"/>
    </xf>
    <xf borderId="3" fillId="7" fontId="1" numFmtId="0" xfId="0" applyAlignment="1" applyBorder="1" applyFont="1">
      <alignment readingOrder="0" vertical="center"/>
    </xf>
    <xf borderId="3" fillId="7" fontId="1" numFmtId="0" xfId="0" applyAlignment="1" applyBorder="1" applyFont="1">
      <alignment horizontal="right" readingOrder="0" shrinkToFit="0" vertical="center" wrapText="1"/>
    </xf>
    <xf borderId="3" fillId="7" fontId="1" numFmtId="0" xfId="0" applyAlignment="1" applyBorder="1" applyFont="1">
      <alignment horizontal="right" readingOrder="0" vertical="center"/>
    </xf>
    <xf borderId="7" fillId="7" fontId="1" numFmtId="0" xfId="0" applyAlignment="1" applyBorder="1" applyFont="1">
      <alignment horizontal="right" readingOrder="0" vertical="center"/>
    </xf>
    <xf borderId="8" fillId="0" fontId="47" numFmtId="0" xfId="0" applyBorder="1" applyFont="1"/>
    <xf borderId="9" fillId="0" fontId="47" numFmtId="0" xfId="0" applyBorder="1" applyFont="1"/>
    <xf borderId="7" fillId="0" fontId="1" numFmtId="0" xfId="0" applyAlignment="1" applyBorder="1" applyFont="1">
      <alignment horizontal="right" readingOrder="0" vertical="center"/>
    </xf>
    <xf borderId="0" fillId="0" fontId="1" numFmtId="169" xfId="0" applyAlignment="1" applyFont="1" applyNumberFormat="1">
      <alignment horizontal="left" readingOrder="0" shrinkToFit="0" vertical="center" wrapText="1"/>
    </xf>
    <xf borderId="4" fillId="0" fontId="2" numFmtId="0" xfId="0" applyAlignment="1" applyBorder="1" applyFont="1">
      <alignment horizontal="center" readingOrder="0" shrinkToFit="0" vertical="center" wrapText="1"/>
    </xf>
    <xf borderId="3" fillId="0" fontId="1" numFmtId="0" xfId="0" applyAlignment="1" applyBorder="1" applyFont="1">
      <alignment horizontal="right" readingOrder="0" shrinkToFit="0" vertical="center" wrapText="0"/>
    </xf>
    <xf borderId="3" fillId="0" fontId="1" numFmtId="0" xfId="0" applyAlignment="1" applyBorder="1" applyFont="1">
      <alignment horizontal="right" vertical="center"/>
    </xf>
    <xf borderId="0" fillId="0" fontId="1" numFmtId="0" xfId="0" applyAlignment="1" applyFont="1">
      <alignment horizontal="center" vertical="center"/>
    </xf>
    <xf borderId="3" fillId="0" fontId="1" numFmtId="0" xfId="0" applyAlignment="1" applyBorder="1" applyFont="1">
      <alignment vertical="center"/>
    </xf>
    <xf borderId="4" fillId="0" fontId="1" numFmtId="0" xfId="0" applyAlignment="1" applyBorder="1" applyFont="1">
      <alignment horizontal="right" readingOrder="0" vertical="center"/>
    </xf>
    <xf borderId="0" fillId="25" fontId="24" numFmtId="0" xfId="0" applyAlignment="1" applyFill="1" applyFont="1">
      <alignment horizontal="center" readingOrder="0"/>
    </xf>
    <xf borderId="0" fillId="20" fontId="24" numFmtId="0" xfId="0" applyAlignment="1" applyFont="1">
      <alignment horizontal="center" readingOrder="0"/>
    </xf>
    <xf borderId="0" fillId="26" fontId="17" numFmtId="0" xfId="0" applyAlignment="1" applyFill="1" applyFont="1">
      <alignment horizontal="center" readingOrder="0" vertical="bottom"/>
    </xf>
    <xf borderId="0" fillId="27" fontId="17" numFmtId="0" xfId="0" applyAlignment="1" applyFill="1" applyFont="1">
      <alignment horizontal="center" readingOrder="0" vertical="bottom"/>
    </xf>
    <xf borderId="0" fillId="0" fontId="24" numFmtId="0" xfId="0" applyAlignment="1" applyFont="1">
      <alignment horizontal="center" shrinkToFit="0" vertical="center" wrapText="1"/>
    </xf>
    <xf borderId="0" fillId="10" fontId="23" numFmtId="0" xfId="0" applyAlignment="1" applyFont="1">
      <alignment horizontal="center" readingOrder="0" shrinkToFit="0" vertical="center" wrapText="1"/>
    </xf>
    <xf borderId="0" fillId="25" fontId="23" numFmtId="0" xfId="0" applyAlignment="1" applyFont="1">
      <alignment horizontal="center" readingOrder="0"/>
    </xf>
    <xf borderId="0" fillId="20" fontId="23" numFmtId="0" xfId="0" applyAlignment="1" applyFont="1">
      <alignment horizontal="center" readingOrder="0"/>
    </xf>
    <xf borderId="0" fillId="26" fontId="10" numFmtId="0" xfId="0" applyAlignment="1" applyFont="1">
      <alignment horizontal="center" readingOrder="0" vertical="bottom"/>
    </xf>
    <xf borderId="0" fillId="27" fontId="10" numFmtId="0" xfId="0" applyAlignment="1" applyFont="1">
      <alignment horizontal="center" readingOrder="0" vertical="bottom"/>
    </xf>
    <xf borderId="0" fillId="0" fontId="23" numFmtId="0" xfId="0" applyAlignment="1" applyFont="1">
      <alignment horizontal="center" readingOrder="0" shrinkToFit="0" vertical="center" wrapText="1"/>
    </xf>
    <xf borderId="3" fillId="25" fontId="23" numFmtId="0" xfId="0" applyAlignment="1" applyBorder="1" applyFont="1">
      <alignment horizontal="center"/>
    </xf>
    <xf borderId="3" fillId="20" fontId="23" numFmtId="0" xfId="0" applyAlignment="1" applyBorder="1" applyFont="1">
      <alignment horizontal="center" readingOrder="0"/>
    </xf>
    <xf borderId="3" fillId="26" fontId="10" numFmtId="0" xfId="0" applyAlignment="1" applyBorder="1" applyFont="1">
      <alignment horizontal="center" readingOrder="0" vertical="bottom"/>
    </xf>
    <xf borderId="3" fillId="27" fontId="10" numFmtId="0" xfId="0" applyAlignment="1" applyBorder="1" applyFont="1">
      <alignment horizontal="center" readingOrder="0" vertical="bottom"/>
    </xf>
    <xf borderId="3" fillId="10" fontId="23" numFmtId="0" xfId="0" applyAlignment="1" applyBorder="1" applyFont="1">
      <alignment horizontal="center" readingOrder="0" shrinkToFit="0" vertical="center" wrapText="1"/>
    </xf>
    <xf borderId="3" fillId="25" fontId="24" numFmtId="0" xfId="0" applyAlignment="1" applyBorder="1" applyFont="1">
      <alignment horizontal="right"/>
    </xf>
    <xf borderId="3" fillId="20" fontId="24" numFmtId="0" xfId="0" applyAlignment="1" applyBorder="1" applyFont="1">
      <alignment horizontal="right" readingOrder="0"/>
    </xf>
    <xf borderId="3" fillId="26" fontId="17" numFmtId="0" xfId="0" applyAlignment="1" applyBorder="1" applyFont="1">
      <alignment horizontal="right" readingOrder="0" vertical="bottom"/>
    </xf>
    <xf borderId="3" fillId="27" fontId="17" numFmtId="0" xfId="0" applyAlignment="1" applyBorder="1" applyFont="1">
      <alignment horizontal="right" readingOrder="0" vertical="bottom"/>
    </xf>
    <xf borderId="0" fillId="0" fontId="23" numFmtId="3" xfId="0" applyAlignment="1" applyFont="1" applyNumberFormat="1">
      <alignment horizontal="right" shrinkToFit="0" vertical="center" wrapText="1"/>
    </xf>
    <xf borderId="0" fillId="0" fontId="23" numFmtId="0" xfId="0" applyAlignment="1" applyFont="1">
      <alignment horizontal="right" shrinkToFit="0" vertical="center" wrapText="1"/>
    </xf>
    <xf borderId="3" fillId="10" fontId="17" numFmtId="1" xfId="0" applyAlignment="1" applyBorder="1" applyFont="1" applyNumberFormat="1">
      <alignment horizontal="right" shrinkToFit="0" wrapText="1"/>
    </xf>
    <xf borderId="3" fillId="10" fontId="17" numFmtId="0" xfId="0" applyAlignment="1" applyBorder="1" applyFont="1">
      <alignment horizontal="right" shrinkToFit="0" wrapText="1"/>
    </xf>
    <xf borderId="3" fillId="10" fontId="23" numFmtId="169" xfId="0" applyAlignment="1" applyBorder="1" applyFont="1" applyNumberFormat="1">
      <alignment horizontal="right" shrinkToFit="0" vertical="center" wrapText="1"/>
    </xf>
    <xf borderId="0" fillId="0" fontId="24" numFmtId="0" xfId="0" applyAlignment="1" applyFont="1">
      <alignment horizontal="center"/>
    </xf>
    <xf borderId="3" fillId="7" fontId="23" numFmtId="0" xfId="0" applyAlignment="1" applyBorder="1" applyFont="1">
      <alignment horizontal="center" readingOrder="0"/>
    </xf>
    <xf borderId="3" fillId="7" fontId="23" numFmtId="0" xfId="0" applyAlignment="1" applyBorder="1" applyFont="1">
      <alignment horizontal="right"/>
    </xf>
    <xf borderId="3" fillId="7" fontId="23" numFmtId="0" xfId="0" applyAlignment="1" applyBorder="1" applyFont="1">
      <alignment horizontal="right" readingOrder="0"/>
    </xf>
    <xf borderId="3" fillId="7" fontId="23" numFmtId="1" xfId="0" applyAlignment="1" applyBorder="1" applyFont="1" applyNumberFormat="1">
      <alignment horizontal="right"/>
    </xf>
    <xf borderId="0" fillId="0" fontId="24" numFmtId="0" xfId="0" applyAlignment="1" applyFont="1">
      <alignment horizontal="center" readingOrder="0"/>
    </xf>
    <xf borderId="3" fillId="25" fontId="23" numFmtId="0" xfId="0" applyAlignment="1" applyBorder="1" applyFont="1">
      <alignment horizontal="center" readingOrder="0"/>
    </xf>
    <xf borderId="3" fillId="7" fontId="24" numFmtId="0" xfId="0" applyAlignment="1" applyBorder="1" applyFont="1">
      <alignment horizontal="center"/>
    </xf>
    <xf borderId="4" fillId="24" fontId="23" numFmtId="0" xfId="0" applyAlignment="1" applyBorder="1" applyFont="1">
      <alignment horizontal="center" readingOrder="0"/>
    </xf>
    <xf borderId="0" fillId="18" fontId="24" numFmtId="0" xfId="0" applyAlignment="1" applyFont="1">
      <alignment readingOrder="0" shrinkToFit="0" vertical="center" wrapText="1"/>
    </xf>
    <xf borderId="0" fillId="0" fontId="24" numFmtId="0" xfId="0" applyAlignment="1" applyFont="1">
      <alignment shrinkToFit="0" vertical="center" wrapText="1"/>
    </xf>
    <xf borderId="3" fillId="20" fontId="24" numFmtId="0" xfId="0" applyAlignment="1" applyBorder="1" applyFont="1">
      <alignment readingOrder="0" shrinkToFit="0" vertical="center" wrapText="1"/>
    </xf>
    <xf borderId="3" fillId="0" fontId="24" numFmtId="0" xfId="0" applyAlignment="1" applyBorder="1" applyFont="1">
      <alignment readingOrder="0" shrinkToFit="0" vertical="center" wrapText="1"/>
    </xf>
    <xf borderId="3" fillId="8" fontId="24" numFmtId="0" xfId="0" applyAlignment="1" applyBorder="1" applyFont="1">
      <alignment readingOrder="0" shrinkToFit="0" vertical="center" wrapText="1"/>
    </xf>
    <xf borderId="3" fillId="27" fontId="24" numFmtId="0" xfId="0" applyAlignment="1" applyBorder="1" applyFont="1">
      <alignment readingOrder="0" shrinkToFit="0" vertical="center" wrapText="1"/>
    </xf>
    <xf borderId="3" fillId="26" fontId="24" numFmtId="0" xfId="0" applyAlignment="1" applyBorder="1" applyFont="1">
      <alignment readingOrder="0" shrinkToFit="0" vertical="center" wrapText="1"/>
    </xf>
    <xf borderId="0" fillId="0" fontId="23" numFmtId="0" xfId="0" applyAlignment="1" applyFont="1">
      <alignment readingOrder="0" shrinkToFit="0" vertical="center" wrapText="1"/>
    </xf>
    <xf borderId="3" fillId="0" fontId="23" numFmtId="0" xfId="0" applyAlignment="1" applyBorder="1" applyFont="1">
      <alignment horizontal="center" readingOrder="0" shrinkToFit="0" vertical="center" wrapText="1"/>
    </xf>
    <xf borderId="3" fillId="0" fontId="24" numFmtId="0" xfId="0" applyAlignment="1" applyBorder="1" applyFont="1">
      <alignment horizontal="center" shrinkToFit="0" vertical="center" wrapText="1"/>
    </xf>
    <xf borderId="3" fillId="14" fontId="24" numFmtId="0" xfId="0" applyAlignment="1" applyBorder="1" applyFont="1">
      <alignment horizontal="right"/>
    </xf>
    <xf borderId="3" fillId="14" fontId="24" numFmtId="0" xfId="0" applyBorder="1" applyFont="1"/>
    <xf borderId="0" fillId="7" fontId="23" numFmtId="0" xfId="0" applyAlignment="1" applyFont="1">
      <alignment readingOrder="0"/>
    </xf>
    <xf borderId="0" fillId="7" fontId="23" numFmtId="0" xfId="0" applyFont="1"/>
    <xf borderId="3" fillId="7" fontId="23" numFmtId="0" xfId="0" applyBorder="1" applyFont="1"/>
    <xf borderId="3" fillId="7" fontId="23" numFmtId="0" xfId="0" applyAlignment="1" applyBorder="1" applyFont="1">
      <alignment readingOrder="0"/>
    </xf>
    <xf borderId="4" fillId="0" fontId="10" numFmtId="0" xfId="0" applyAlignment="1" applyBorder="1" applyFont="1">
      <alignment horizontal="left" readingOrder="0" vertical="center"/>
    </xf>
    <xf borderId="3" fillId="0" fontId="10" numFmtId="0" xfId="0" applyAlignment="1" applyBorder="1" applyFont="1">
      <alignment horizontal="center" readingOrder="0" vertical="bottom"/>
    </xf>
    <xf borderId="4" fillId="0" fontId="12" numFmtId="0" xfId="0" applyAlignment="1" applyBorder="1" applyFont="1">
      <alignment horizontal="left"/>
    </xf>
    <xf borderId="3" fillId="0" fontId="17" numFmtId="0" xfId="0" applyAlignment="1" applyBorder="1" applyFont="1">
      <alignment horizontal="center" vertical="bottom"/>
    </xf>
    <xf borderId="4" fillId="0" fontId="24" numFmtId="0" xfId="0" applyAlignment="1" applyBorder="1" applyFont="1">
      <alignment horizontal="left" readingOrder="0"/>
    </xf>
    <xf borderId="4" fillId="0" fontId="51" numFmtId="0" xfId="0" applyAlignment="1" applyBorder="1" applyFont="1">
      <alignment horizontal="left"/>
    </xf>
    <xf borderId="5" fillId="0" fontId="24" numFmtId="0" xfId="0" applyBorder="1" applyFont="1"/>
    <xf borderId="5" fillId="0" fontId="51" numFmtId="0" xfId="0" applyAlignment="1" applyBorder="1" applyFont="1">
      <alignment horizontal="left"/>
    </xf>
    <xf borderId="6" fillId="0" fontId="51" numFmtId="0" xfId="0" applyAlignment="1" applyBorder="1" applyFont="1">
      <alignment horizontal="left"/>
    </xf>
    <xf borderId="3" fillId="0" fontId="24" numFmtId="0" xfId="0" applyBorder="1" applyFont="1"/>
    <xf borderId="4" fillId="0" fontId="14" numFmtId="0" xfId="0" applyAlignment="1" applyBorder="1" applyFont="1">
      <alignment horizontal="left"/>
    </xf>
    <xf borderId="5" fillId="0" fontId="14" numFmtId="0" xfId="0" applyAlignment="1" applyBorder="1" applyFont="1">
      <alignment horizontal="left"/>
    </xf>
    <xf borderId="6" fillId="0" fontId="14" numFmtId="0" xfId="0" applyAlignment="1" applyBorder="1" applyFont="1">
      <alignment horizontal="left"/>
    </xf>
    <xf borderId="4" fillId="0" fontId="52" numFmtId="0" xfId="0" applyAlignment="1" applyBorder="1" applyFont="1">
      <alignment horizontal="left" readingOrder="0"/>
    </xf>
    <xf borderId="5" fillId="0" fontId="52" numFmtId="0" xfId="0" applyAlignment="1" applyBorder="1" applyFont="1">
      <alignment horizontal="left" readingOrder="0"/>
    </xf>
    <xf borderId="6" fillId="0" fontId="52" numFmtId="0" xfId="0" applyAlignment="1" applyBorder="1" applyFont="1">
      <alignment horizontal="left" readingOrder="0"/>
    </xf>
    <xf borderId="4" fillId="0" fontId="16" numFmtId="0" xfId="0" applyAlignment="1" applyBorder="1" applyFont="1">
      <alignment horizontal="left" readingOrder="0"/>
    </xf>
    <xf borderId="5" fillId="0" fontId="16" numFmtId="0" xfId="0" applyAlignment="1" applyBorder="1" applyFont="1">
      <alignment horizontal="left" readingOrder="0"/>
    </xf>
    <xf borderId="6" fillId="0" fontId="16" numFmtId="0" xfId="0" applyAlignment="1" applyBorder="1" applyFont="1">
      <alignment horizontal="left" readingOrder="0"/>
    </xf>
    <xf borderId="4" fillId="0" fontId="23" numFmtId="0" xfId="0" applyAlignment="1" applyBorder="1" applyFont="1">
      <alignment horizontal="left" readingOrder="0"/>
    </xf>
    <xf borderId="3" fillId="24" fontId="53" numFmtId="0" xfId="0" applyAlignment="1" applyBorder="1" applyFont="1">
      <alignment horizontal="right" readingOrder="0" vertical="center"/>
    </xf>
    <xf borderId="3" fillId="24" fontId="53" numFmtId="0" xfId="0" applyAlignment="1" applyBorder="1" applyFont="1">
      <alignment horizontal="left" readingOrder="0" vertical="center"/>
    </xf>
    <xf borderId="3" fillId="24" fontId="53" numFmtId="0" xfId="0" applyAlignment="1" applyBorder="1" applyFont="1">
      <alignment horizontal="center" readingOrder="0" vertical="center"/>
    </xf>
    <xf borderId="3" fillId="23" fontId="53" numFmtId="0" xfId="0" applyAlignment="1" applyBorder="1" applyFont="1">
      <alignment horizontal="right" readingOrder="0" vertical="center"/>
    </xf>
    <xf borderId="3" fillId="11" fontId="54" numFmtId="0" xfId="0" applyAlignment="1" applyBorder="1" applyFont="1">
      <alignment horizontal="right" readingOrder="0" vertical="center"/>
    </xf>
    <xf borderId="3" fillId="11" fontId="54" numFmtId="0" xfId="0" applyAlignment="1" applyBorder="1" applyFont="1">
      <alignment horizontal="left" readingOrder="0" vertical="center"/>
    </xf>
    <xf borderId="3" fillId="11" fontId="54" numFmtId="0" xfId="0" applyAlignment="1" applyBorder="1" applyFont="1">
      <alignment horizontal="center" readingOrder="0" vertical="center"/>
    </xf>
    <xf borderId="3" fillId="23" fontId="54" numFmtId="0" xfId="0" applyAlignment="1" applyBorder="1" applyFont="1">
      <alignment horizontal="right" readingOrder="0" vertical="center"/>
    </xf>
    <xf borderId="3" fillId="26" fontId="54" numFmtId="0" xfId="0" applyAlignment="1" applyBorder="1" applyFont="1">
      <alignment horizontal="right" readingOrder="0" shrinkToFit="0" vertical="center" wrapText="0"/>
    </xf>
    <xf borderId="3" fillId="26" fontId="54" numFmtId="0" xfId="0" applyAlignment="1" applyBorder="1" applyFont="1">
      <alignment horizontal="left" readingOrder="0" shrinkToFit="0" vertical="center" wrapText="0"/>
    </xf>
    <xf borderId="3" fillId="26" fontId="54" numFmtId="0" xfId="0" applyAlignment="1" applyBorder="1" applyFont="1">
      <alignment horizontal="center" readingOrder="0" shrinkToFit="0" vertical="center" wrapText="0"/>
    </xf>
    <xf borderId="3" fillId="23" fontId="54" numFmtId="0" xfId="0" applyAlignment="1" applyBorder="1" applyFont="1">
      <alignment horizontal="right" readingOrder="0" shrinkToFit="0" vertical="center" wrapText="0"/>
    </xf>
    <xf borderId="3" fillId="12" fontId="54" numFmtId="0" xfId="0" applyAlignment="1" applyBorder="1" applyFont="1">
      <alignment horizontal="right" readingOrder="0" vertical="center"/>
    </xf>
    <xf borderId="3" fillId="12" fontId="54" numFmtId="0" xfId="0" applyAlignment="1" applyBorder="1" applyFont="1">
      <alignment horizontal="left" readingOrder="0" vertical="center"/>
    </xf>
    <xf borderId="3" fillId="12" fontId="54" numFmtId="0" xfId="0" applyAlignment="1" applyBorder="1" applyFont="1">
      <alignment horizontal="center" readingOrder="0" vertical="center"/>
    </xf>
    <xf borderId="3" fillId="8" fontId="54" numFmtId="0" xfId="0" applyAlignment="1" applyBorder="1" applyFont="1">
      <alignment horizontal="right" readingOrder="0" vertical="center"/>
    </xf>
    <xf borderId="3" fillId="8" fontId="54" numFmtId="0" xfId="0" applyAlignment="1" applyBorder="1" applyFont="1">
      <alignment horizontal="left" readingOrder="0" vertical="center"/>
    </xf>
    <xf borderId="3" fillId="8" fontId="54" numFmtId="0" xfId="0" applyAlignment="1" applyBorder="1" applyFont="1">
      <alignment horizontal="center" readingOrder="0" vertical="center"/>
    </xf>
    <xf borderId="3" fillId="10" fontId="54" numFmtId="0" xfId="0" applyAlignment="1" applyBorder="1" applyFont="1">
      <alignment horizontal="right" readingOrder="0" vertical="center"/>
    </xf>
    <xf borderId="3" fillId="10" fontId="54" numFmtId="0" xfId="0" applyAlignment="1" applyBorder="1" applyFont="1">
      <alignment horizontal="left" readingOrder="0" vertical="center"/>
    </xf>
    <xf borderId="3" fillId="10" fontId="54" numFmtId="0" xfId="0" applyAlignment="1" applyBorder="1" applyFont="1">
      <alignment horizontal="center" readingOrder="0" vertical="center"/>
    </xf>
    <xf borderId="3" fillId="18" fontId="54" numFmtId="0" xfId="0" applyAlignment="1" applyBorder="1" applyFont="1">
      <alignment horizontal="right" readingOrder="0" vertical="center"/>
    </xf>
    <xf borderId="3" fillId="18" fontId="54" numFmtId="0" xfId="0" applyAlignment="1" applyBorder="1" applyFont="1">
      <alignment horizontal="left" readingOrder="0" vertical="center"/>
    </xf>
    <xf borderId="3" fillId="18" fontId="54" numFmtId="0" xfId="0" applyAlignment="1" applyBorder="1" applyFont="1">
      <alignment horizontal="center" readingOrder="0" vertical="center"/>
    </xf>
    <xf borderId="3" fillId="26" fontId="54" numFmtId="0" xfId="0" applyAlignment="1" applyBorder="1" applyFont="1">
      <alignment horizontal="right" readingOrder="0" vertical="center"/>
    </xf>
    <xf borderId="3" fillId="26" fontId="54" numFmtId="0" xfId="0" applyAlignment="1" applyBorder="1" applyFont="1">
      <alignment horizontal="left" readingOrder="0" vertical="center"/>
    </xf>
    <xf borderId="3" fillId="26" fontId="54" numFmtId="0" xfId="0" applyAlignment="1" applyBorder="1" applyFont="1">
      <alignment horizontal="center" readingOrder="0" vertical="center"/>
    </xf>
    <xf borderId="3" fillId="0" fontId="2" numFmtId="172" xfId="0" applyAlignment="1" applyBorder="1" applyFont="1" applyNumberFormat="1">
      <alignment horizontal="center" readingOrder="0" vertical="center"/>
    </xf>
    <xf borderId="3" fillId="0" fontId="2" numFmtId="0" xfId="0" applyAlignment="1" applyBorder="1" applyFont="1">
      <alignment horizontal="center" readingOrder="0" vertical="center"/>
    </xf>
    <xf borderId="3" fillId="0" fontId="24" numFmtId="172" xfId="0" applyAlignment="1" applyBorder="1" applyFont="1" applyNumberFormat="1">
      <alignment horizontal="center" readingOrder="0" vertical="center"/>
    </xf>
    <xf borderId="3" fillId="0" fontId="24" numFmtId="0" xfId="0" applyAlignment="1" applyBorder="1" applyFont="1">
      <alignment horizontal="left" readingOrder="0" vertical="center"/>
    </xf>
    <xf borderId="3" fillId="0" fontId="24" numFmtId="0" xfId="0" applyAlignment="1" applyBorder="1" applyFont="1">
      <alignment horizontal="center" readingOrder="0" vertical="center"/>
    </xf>
    <xf borderId="3" fillId="0" fontId="24" numFmtId="49" xfId="0" applyAlignment="1" applyBorder="1" applyFont="1" applyNumberFormat="1">
      <alignment horizontal="left" readingOrder="0" vertical="center"/>
    </xf>
    <xf borderId="3" fillId="24" fontId="55" numFmtId="0" xfId="0" applyAlignment="1" applyBorder="1" applyFont="1">
      <alignment horizontal="right" readingOrder="0" shrinkToFit="0" vertical="center" wrapText="1"/>
    </xf>
    <xf borderId="3" fillId="24" fontId="55" numFmtId="0" xfId="0" applyAlignment="1" applyBorder="1" applyFont="1">
      <alignment horizontal="right" readingOrder="0" vertical="center"/>
    </xf>
    <xf borderId="3" fillId="28" fontId="55" numFmtId="0" xfId="0" applyAlignment="1" applyBorder="1" applyFill="1" applyFont="1">
      <alignment horizontal="center" readingOrder="0" vertical="center"/>
    </xf>
    <xf borderId="3" fillId="24" fontId="55" numFmtId="0" xfId="0" applyAlignment="1" applyBorder="1" applyFont="1">
      <alignment horizontal="left" readingOrder="0" vertical="center"/>
    </xf>
    <xf borderId="3" fillId="24" fontId="55" numFmtId="0" xfId="0" applyAlignment="1" applyBorder="1" applyFont="1">
      <alignment horizontal="left" readingOrder="0" shrinkToFit="0" vertical="center" wrapText="1"/>
    </xf>
    <xf borderId="3" fillId="0" fontId="24" numFmtId="0" xfId="0" applyAlignment="1" applyBorder="1" applyFont="1">
      <alignment horizontal="right" readingOrder="0" shrinkToFit="0" vertical="center" wrapText="1"/>
    </xf>
    <xf borderId="3" fillId="0" fontId="24" numFmtId="0" xfId="0" applyAlignment="1" applyBorder="1" applyFont="1">
      <alignment horizontal="right" readingOrder="0" vertical="center"/>
    </xf>
    <xf borderId="3" fillId="0" fontId="1" numFmtId="0" xfId="0" applyAlignment="1" applyBorder="1" applyFont="1">
      <alignment horizontal="center" readingOrder="0" vertical="center"/>
    </xf>
    <xf borderId="3" fillId="26" fontId="17" numFmtId="0" xfId="0" applyAlignment="1" applyBorder="1" applyFont="1">
      <alignment horizontal="left" readingOrder="0" vertical="center"/>
    </xf>
    <xf borderId="3" fillId="26" fontId="17" numFmtId="0" xfId="0" applyAlignment="1" applyBorder="1" applyFont="1">
      <alignment horizontal="left" readingOrder="0" shrinkToFit="0" vertical="center" wrapText="1"/>
    </xf>
    <xf borderId="3" fillId="11" fontId="24" numFmtId="0" xfId="0" applyAlignment="1" applyBorder="1" applyFont="1">
      <alignment horizontal="left" readingOrder="0" vertical="center"/>
    </xf>
    <xf borderId="3" fillId="11" fontId="24" numFmtId="0" xfId="0" applyAlignment="1" applyBorder="1" applyFont="1">
      <alignment horizontal="left" readingOrder="0" shrinkToFit="0" vertical="center" wrapText="1"/>
    </xf>
    <xf borderId="3" fillId="11" fontId="24" numFmtId="0" xfId="0" applyAlignment="1" applyBorder="1" applyFont="1">
      <alignment horizontal="right" readingOrder="0" shrinkToFit="0" vertical="center" wrapText="1"/>
    </xf>
    <xf borderId="3" fillId="11" fontId="24" numFmtId="0" xfId="0" applyAlignment="1" applyBorder="1" applyFont="1">
      <alignment horizontal="right" readingOrder="0" vertical="center"/>
    </xf>
    <xf borderId="7" fillId="29" fontId="1" numFmtId="0" xfId="0" applyAlignment="1" applyBorder="1" applyFill="1" applyFont="1">
      <alignment horizontal="center" readingOrder="0" vertical="center"/>
    </xf>
    <xf borderId="3" fillId="29" fontId="1" numFmtId="0" xfId="0" applyAlignment="1" applyBorder="1" applyFont="1">
      <alignment horizontal="center" readingOrder="0" vertical="center"/>
    </xf>
    <xf borderId="3" fillId="26" fontId="24" numFmtId="0" xfId="0" applyAlignment="1" applyBorder="1" applyFont="1">
      <alignment horizontal="right" readingOrder="0" shrinkToFit="0" vertical="center" wrapText="1"/>
    </xf>
    <xf borderId="3" fillId="26" fontId="24" numFmtId="0" xfId="0" applyAlignment="1" applyBorder="1" applyFont="1">
      <alignment horizontal="right" readingOrder="0" vertical="center"/>
    </xf>
    <xf borderId="3" fillId="0" fontId="24" numFmtId="0" xfId="0" applyAlignment="1" applyBorder="1" applyFont="1">
      <alignment horizontal="left" readingOrder="0" vertical="center"/>
    </xf>
    <xf borderId="3" fillId="0" fontId="24" numFmtId="0" xfId="0" applyAlignment="1" applyBorder="1" applyFont="1">
      <alignment horizontal="left" readingOrder="0" shrinkToFit="0" vertical="center" wrapText="1"/>
    </xf>
    <xf borderId="3" fillId="12" fontId="17" numFmtId="0" xfId="0" applyAlignment="1" applyBorder="1" applyFont="1">
      <alignment horizontal="right" readingOrder="0" shrinkToFit="0" vertical="center" wrapText="1"/>
    </xf>
    <xf borderId="3" fillId="12" fontId="17" numFmtId="0" xfId="0" applyAlignment="1" applyBorder="1" applyFont="1">
      <alignment horizontal="right" readingOrder="0" vertical="center"/>
    </xf>
    <xf borderId="3" fillId="8" fontId="17" numFmtId="0" xfId="0" applyAlignment="1" applyBorder="1" applyFont="1">
      <alignment horizontal="right" readingOrder="0" shrinkToFit="0" vertical="center" wrapText="1"/>
    </xf>
    <xf borderId="3" fillId="8" fontId="17" numFmtId="0" xfId="0" applyAlignment="1" applyBorder="1" applyFont="1">
      <alignment horizontal="right" readingOrder="0" vertical="center"/>
    </xf>
    <xf borderId="3" fillId="8" fontId="17" numFmtId="0" xfId="0" applyAlignment="1" applyBorder="1" applyFont="1">
      <alignment horizontal="left" readingOrder="0" vertical="center"/>
    </xf>
    <xf borderId="3" fillId="8" fontId="17" numFmtId="0" xfId="0" applyAlignment="1" applyBorder="1" applyFont="1">
      <alignment horizontal="left" readingOrder="0" shrinkToFit="0" vertical="center" wrapText="1"/>
    </xf>
    <xf borderId="3" fillId="10" fontId="17" numFmtId="0" xfId="0" applyAlignment="1" applyBorder="1" applyFont="1">
      <alignment horizontal="right" readingOrder="0" shrinkToFit="0" vertical="center" wrapText="1"/>
    </xf>
    <xf borderId="3" fillId="10" fontId="17" numFmtId="0" xfId="0" applyAlignment="1" applyBorder="1" applyFont="1">
      <alignment horizontal="right" readingOrder="0" vertical="center"/>
    </xf>
    <xf borderId="3" fillId="10" fontId="17" numFmtId="0" xfId="0" applyAlignment="1" applyBorder="1" applyFont="1">
      <alignment horizontal="left" readingOrder="0" vertical="center"/>
    </xf>
    <xf borderId="3" fillId="10" fontId="17" numFmtId="0" xfId="0" applyAlignment="1" applyBorder="1" applyFont="1">
      <alignment horizontal="left" readingOrder="0" shrinkToFit="0" vertical="center" wrapText="1"/>
    </xf>
    <xf borderId="3" fillId="18" fontId="17" numFmtId="0" xfId="0" applyAlignment="1" applyBorder="1" applyFont="1">
      <alignment horizontal="right" readingOrder="0" shrinkToFit="0" vertical="center" wrapText="1"/>
    </xf>
    <xf borderId="3" fillId="18" fontId="17" numFmtId="0" xfId="0" applyAlignment="1" applyBorder="1" applyFont="1">
      <alignment horizontal="right" readingOrder="0" vertical="center"/>
    </xf>
    <xf borderId="3" fillId="29" fontId="9" numFmtId="49" xfId="0" applyAlignment="1" applyBorder="1" applyFont="1" applyNumberFormat="1">
      <alignment horizontal="center" readingOrder="0" vertical="center"/>
    </xf>
    <xf borderId="3" fillId="18" fontId="17" numFmtId="0" xfId="0" applyAlignment="1" applyBorder="1" applyFont="1">
      <alignment horizontal="left" readingOrder="0" vertical="center"/>
    </xf>
    <xf borderId="3" fillId="18" fontId="17" numFmtId="0" xfId="0" applyAlignment="1" applyBorder="1" applyFont="1">
      <alignment horizontal="left" readingOrder="0" shrinkToFit="0" vertical="center" wrapText="1"/>
    </xf>
    <xf borderId="3" fillId="0" fontId="24" numFmtId="0" xfId="0" applyAlignment="1" applyBorder="1" applyFont="1">
      <alignment horizontal="center" readingOrder="0" vertical="center"/>
    </xf>
    <xf borderId="3" fillId="0" fontId="24" numFmtId="168" xfId="0" applyAlignment="1" applyBorder="1" applyFont="1" applyNumberFormat="1">
      <alignment horizontal="center" vertical="center"/>
    </xf>
  </cellXfs>
  <cellStyles count="1">
    <cellStyle xfId="0" name="Normal" builtinId="0"/>
  </cellStyles>
  <dxfs count="11">
    <dxf>
      <font/>
      <fill>
        <patternFill patternType="none"/>
      </fill>
      <border/>
    </dxf>
    <dxf>
      <font>
        <color rgb="FF999999"/>
      </font>
      <fill>
        <patternFill patternType="none"/>
      </fill>
      <border/>
    </dxf>
    <dxf>
      <font/>
      <fill>
        <patternFill patternType="solid">
          <fgColor rgb="FFFCE8B2"/>
          <bgColor rgb="FFFCE8B2"/>
        </patternFill>
      </fill>
      <border/>
    </dxf>
    <dxf>
      <font>
        <b/>
      </font>
      <fill>
        <patternFill patternType="solid">
          <fgColor rgb="FFB7E1CD"/>
          <bgColor rgb="FFB7E1CD"/>
        </patternFill>
      </fill>
      <border/>
    </dxf>
    <dxf>
      <font/>
      <fill>
        <patternFill patternType="solid">
          <fgColor rgb="FFB7E1CD"/>
          <bgColor rgb="FFB7E1CD"/>
        </patternFill>
      </fill>
      <border/>
    </dxf>
    <dxf>
      <font/>
      <fill>
        <patternFill patternType="solid">
          <fgColor rgb="FFF4CCCC"/>
          <bgColor rgb="FFF4CCCC"/>
        </patternFill>
      </fill>
      <border/>
    </dxf>
    <dxf>
      <font>
        <color rgb="FFFFFFFF"/>
      </font>
      <fill>
        <patternFill patternType="solid">
          <fgColor rgb="FF000000"/>
          <bgColor rgb="FF000000"/>
        </patternFill>
      </fill>
      <border/>
    </dxf>
    <dxf>
      <font/>
      <fill>
        <patternFill patternType="solid">
          <fgColor rgb="FFF4C7C3"/>
          <bgColor rgb="FFF4C7C3"/>
        </patternFill>
      </fill>
      <border/>
    </dxf>
    <dxf>
      <font/>
      <fill>
        <patternFill patternType="solid">
          <fgColor rgb="FFB7B7B7"/>
          <bgColor rgb="FFB7B7B7"/>
        </patternFill>
      </fill>
      <border/>
    </dxf>
    <dxf>
      <font/>
      <fill>
        <patternFill patternType="solid">
          <fgColor rgb="FFFFFFFF"/>
          <bgColor rgb="FFFFFFFF"/>
        </patternFill>
      </fill>
      <border/>
    </dxf>
    <dxf>
      <font/>
      <fill>
        <patternFill patternType="solid">
          <fgColor rgb="FFEFEFEF"/>
          <bgColor rgb="FFEFEFEF"/>
        </patternFill>
      </fill>
      <border/>
    </dxf>
  </dxfs>
  <tableStyles count="1">
    <tableStyle count="3" pivot="0" name="ICSEFSETimelineData-style">
      <tableStyleElement dxfId="8" type="headerRow"/>
      <tableStyleElement dxfId="9" type="firstRowStripe"/>
      <tableStyleElement dxfId="10"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F37" displayName="Table_1" name="Table_1" id="1">
  <tableColumns count="6">
    <tableColumn name="Column1" id="1"/>
    <tableColumn name="Column2" id="2"/>
    <tableColumn name="Column3" id="3"/>
    <tableColumn name="Column4" id="4"/>
    <tableColumn name="Column5" id="5"/>
    <tableColumn name="Column6" id="6"/>
  </tableColumns>
  <tableStyleInfo name="ICSEFSETimelineData-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hyperloop.cs.uchicago.edu/panorama" TargetMode="External"/><Relationship Id="rId2" Type="http://schemas.openxmlformats.org/officeDocument/2006/relationships/hyperlink" Target="https://github.com/yirugi/JSFlowTamper"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github.com/SerVal-DTF/iFixR" TargetMode="External"/><Relationship Id="rId22" Type="http://schemas.openxmlformats.org/officeDocument/2006/relationships/hyperlink" Target="https://tinyurl.com/y4rw9w2n." TargetMode="External"/><Relationship Id="rId21" Type="http://schemas.openxmlformats.org/officeDocument/2006/relationships/hyperlink" Target="http://cozy.ece.utexas.edu/trigit." TargetMode="External"/><Relationship Id="rId24" Type="http://schemas.openxmlformats.org/officeDocument/2006/relationships/hyperlink" Target="https://sites.google.com/view/deepstellar/home" TargetMode="External"/><Relationship Id="rId23" Type="http://schemas.openxmlformats.org/officeDocument/2006/relationships/hyperlink" Target="https://sites.google.com/view/deepstellar/home" TargetMode="External"/><Relationship Id="rId1" Type="http://schemas.openxmlformats.org/officeDocument/2006/relationships/hyperlink" Target="http://jsntsay.com/work/FSE2014.html" TargetMode="External"/><Relationship Id="rId2" Type="http://schemas.openxmlformats.org/officeDocument/2006/relationships/hyperlink" Target="http://jsntsay.com/work/FSE2014.html" TargetMode="External"/><Relationship Id="rId3" Type="http://schemas.openxmlformats.org/officeDocument/2006/relationships/hyperlink" Target="http://star.inf.usi.ch/sb-synthesis" TargetMode="External"/><Relationship Id="rId4" Type="http://schemas.openxmlformats.org/officeDocument/2006/relationships/hyperlink" Target="http://sccpu2.cse.ust.hk/elite/" TargetMode="External"/><Relationship Id="rId9" Type="http://schemas.openxmlformats.org/officeDocument/2006/relationships/hyperlink" Target="https://doi.org/10.5281/zenodo.1297689" TargetMode="External"/><Relationship Id="rId26" Type="http://schemas.openxmlformats.org/officeDocument/2006/relationships/hyperlink" Target="https://github.com/software-rebels/ReviewLinkageGraph" TargetMode="External"/><Relationship Id="rId25" Type="http://schemas.openxmlformats.org/officeDocument/2006/relationships/hyperlink" Target="https://github.com/software-rebels/ReviewLinkageGraph" TargetMode="External"/><Relationship Id="rId28" Type="http://schemas.openxmlformats.org/officeDocument/2006/relationships/hyperlink" Target="https://github.com/vrthra/mimid" TargetMode="External"/><Relationship Id="rId27" Type="http://schemas.openxmlformats.org/officeDocument/2006/relationships/hyperlink" Target="https://doi.org/10.5281/zenodo.3872902" TargetMode="External"/><Relationship Id="rId5" Type="http://schemas.openxmlformats.org/officeDocument/2006/relationships/hyperlink" Target="https://github.com/karthikp-ubc/Artinali" TargetMode="External"/><Relationship Id="rId6" Type="http://schemas.openxmlformats.org/officeDocument/2006/relationships/hyperlink" Target="https://github.com/karthikp-ubc/Artinali" TargetMode="External"/><Relationship Id="rId29" Type="http://schemas.openxmlformats.org/officeDocument/2006/relationships/hyperlink" Target="https://doi.org/10.5281/zenodo.3972736" TargetMode="External"/><Relationship Id="rId7" Type="http://schemas.openxmlformats.org/officeDocument/2006/relationships/hyperlink" Target="https://www2.eecs.berkeley.edu/Pubs/TechRpts/2017/EECS-2017-124.html" TargetMode="External"/><Relationship Id="rId8" Type="http://schemas.openxmlformats.org/officeDocument/2006/relationships/hyperlink" Target="https://www2.eecs.berkeley.edu/Pubs/TechRpts/2017/EECS-2017-124.html" TargetMode="External"/><Relationship Id="rId31" Type="http://schemas.openxmlformats.org/officeDocument/2006/relationships/hyperlink" Target="https://github.com/SunflowerPKU/FSE20Dataset." TargetMode="External"/><Relationship Id="rId30" Type="http://schemas.openxmlformats.org/officeDocument/2006/relationships/hyperlink" Target="https://github.com/xlab-uiuc/cdep-fse" TargetMode="External"/><Relationship Id="rId11" Type="http://schemas.openxmlformats.org/officeDocument/2006/relationships/hyperlink" Target="http://www.cs.le.ac.uk/people/llm11/" TargetMode="External"/><Relationship Id="rId33" Type="http://schemas.openxmlformats.org/officeDocument/2006/relationships/hyperlink" Target="https://doi.org/10.6084/m9.figshare.11911287." TargetMode="External"/><Relationship Id="rId10" Type="http://schemas.openxmlformats.org/officeDocument/2006/relationships/hyperlink" Target="http://www.cs.le.ac.uk/people/llm11/" TargetMode="External"/><Relationship Id="rId32" Type="http://schemas.openxmlformats.org/officeDocument/2006/relationships/hyperlink" Target="https://doi.org/10.6084/m9.figshare.12415622.v2." TargetMode="External"/><Relationship Id="rId13" Type="http://schemas.openxmlformats.org/officeDocument/2006/relationships/hyperlink" Target="http://www.tcse.cn/~wsdou/project/CREB/" TargetMode="External"/><Relationship Id="rId35" Type="http://schemas.openxmlformats.org/officeDocument/2006/relationships/hyperlink" Target="https://github.com/Lizn-zn/Op-QA." TargetMode="External"/><Relationship Id="rId12" Type="http://schemas.openxmlformats.org/officeDocument/2006/relationships/hyperlink" Target="http://www.tcse.cn/~wsdou/project/CREB/" TargetMode="External"/><Relationship Id="rId34" Type="http://schemas.openxmlformats.org/officeDocument/2006/relationships/hyperlink" Target="https://doi.org/10.5281/zenodo.4021473" TargetMode="External"/><Relationship Id="rId15" Type="http://schemas.openxmlformats.org/officeDocument/2006/relationships/hyperlink" Target="https://github.com/PAMSE/PAFAnalysis" TargetMode="External"/><Relationship Id="rId37" Type="http://schemas.openxmlformats.org/officeDocument/2006/relationships/hyperlink" Target="https://zenodo.org/record/3902142" TargetMode="External"/><Relationship Id="rId14" Type="http://schemas.openxmlformats.org/officeDocument/2006/relationships/hyperlink" Target="https://probfuzz.com/" TargetMode="External"/><Relationship Id="rId36" Type="http://schemas.openxmlformats.org/officeDocument/2006/relationships/hyperlink" Target="http://rebrand.ly/ExDataset." TargetMode="External"/><Relationship Id="rId17" Type="http://schemas.openxmlformats.org/officeDocument/2006/relationships/hyperlink" Target="https://github.com/4DataShare/AbbExpansion." TargetMode="External"/><Relationship Id="rId39" Type="http://schemas.openxmlformats.org/officeDocument/2006/relationships/drawing" Target="../drawings/drawing2.xml"/><Relationship Id="rId16" Type="http://schemas.openxmlformats.org/officeDocument/2006/relationships/hyperlink" Target="https://github.com/PAMSE/PAFAnalysis" TargetMode="External"/><Relationship Id="rId38" Type="http://schemas.openxmlformats.org/officeDocument/2006/relationships/hyperlink" Target="https://doi.org/10.5281/zenodo.7110095" TargetMode="External"/><Relationship Id="rId19" Type="http://schemas.openxmlformats.org/officeDocument/2006/relationships/hyperlink" Target="http://doi.org/10.6084/m9.figshare.7749356." TargetMode="External"/><Relationship Id="rId18" Type="http://schemas.openxmlformats.org/officeDocument/2006/relationships/hyperlink" Target="http://github.com/se2p/artifact-esecfse201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crates.io" TargetMode="External"/><Relationship Id="rId3" Type="http://schemas.openxmlformats.org/officeDocument/2006/relationships/hyperlink" Target="http://youtu.be" TargetMode="External"/><Relationship Id="rId4" Type="http://schemas.openxmlformats.org/officeDocument/2006/relationships/hyperlink" Target="https://sites.google.com/site/bingofse2016/" TargetMode="External"/><Relationship Id="rId5" Type="http://schemas.openxmlformats.org/officeDocument/2006/relationships/drawing" Target="../drawings/drawing4.xml"/><Relationship Id="rId6"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13"/>
    <col customWidth="1" min="2" max="2" width="18.88"/>
    <col customWidth="1" min="3" max="3" width="7.0"/>
    <col customWidth="1" min="4" max="4" width="14.38"/>
    <col customWidth="1" min="5" max="5" width="10.75"/>
    <col customWidth="1" min="6" max="6" width="11.88"/>
    <col customWidth="1" min="7" max="7" width="11.38"/>
    <col customWidth="1" min="8" max="9" width="10.88"/>
    <col customWidth="1" min="10" max="10" width="8.38"/>
    <col customWidth="1" min="11" max="11" width="9.38"/>
    <col customWidth="1" min="12" max="12" width="10.63"/>
    <col customWidth="1" min="13" max="13" width="12.5"/>
    <col customWidth="1" min="14" max="14" width="13.25"/>
    <col customWidth="1" min="15" max="15" width="12.63"/>
    <col customWidth="1" min="16" max="16" width="10.75"/>
    <col customWidth="1" min="17" max="17" width="16.13"/>
    <col customWidth="1" min="18" max="18" width="8.0"/>
    <col customWidth="1" min="19" max="19" width="59.25"/>
    <col customWidth="1" min="20" max="20" width="28.0"/>
    <col customWidth="1" min="21" max="21" width="47.5"/>
    <col customWidth="1" min="22" max="23" width="10.75"/>
    <col customWidth="1" min="24" max="24" width="9.75"/>
    <col customWidth="1" min="25" max="25" width="10.0"/>
    <col customWidth="1" min="26" max="26" width="18.88"/>
    <col customWidth="1" min="27" max="27" width="13.63"/>
    <col customWidth="1" min="28" max="28" width="11.63"/>
    <col customWidth="1" min="29" max="29" width="10.5"/>
    <col customWidth="1" min="30" max="30" width="12.38"/>
    <col customWidth="1" min="31" max="31" width="35.13"/>
    <col customWidth="1" min="32" max="34" width="14.5"/>
    <col customWidth="1" min="35" max="35" width="19.25"/>
    <col customWidth="1" min="36" max="36" width="25.75"/>
    <col customWidth="1" min="37" max="37" width="11.25"/>
    <col customWidth="1" min="38" max="38" width="8.0"/>
    <col customWidth="1" min="39" max="39" width="10.25"/>
  </cols>
  <sheetData>
    <row r="1" ht="26.25" customHeight="1">
      <c r="A1" s="1" t="s">
        <v>0</v>
      </c>
      <c r="B1" s="2" t="s">
        <v>1</v>
      </c>
      <c r="C1" s="3" t="s">
        <v>2</v>
      </c>
      <c r="D1" s="4" t="s">
        <v>3</v>
      </c>
      <c r="E1" s="5" t="s">
        <v>4</v>
      </c>
      <c r="F1" s="6" t="s">
        <v>5</v>
      </c>
      <c r="G1" s="7" t="s">
        <v>6</v>
      </c>
      <c r="H1" s="8" t="s">
        <v>7</v>
      </c>
      <c r="I1" s="9" t="s">
        <v>8</v>
      </c>
      <c r="J1" s="10" t="s">
        <v>9</v>
      </c>
      <c r="K1" s="11" t="s">
        <v>10</v>
      </c>
      <c r="L1" s="12" t="s">
        <v>11</v>
      </c>
      <c r="M1" s="12" t="s">
        <v>12</v>
      </c>
      <c r="N1" s="12" t="s">
        <v>13</v>
      </c>
      <c r="O1" s="12" t="s">
        <v>14</v>
      </c>
      <c r="P1" s="12" t="s">
        <v>15</v>
      </c>
      <c r="Q1" s="12" t="s">
        <v>16</v>
      </c>
      <c r="R1" s="12" t="s">
        <v>17</v>
      </c>
      <c r="S1" s="11" t="s">
        <v>18</v>
      </c>
      <c r="T1" s="13" t="s">
        <v>19</v>
      </c>
      <c r="U1" s="14" t="str">
        <f>"All artifact links whitout repetition - column "&amp;SUBSTITUTE(ADDRESS(ROW(T1),COLUMN(T1),4),1,"")&amp;" for artifact sharing (without real link)"</f>
        <v>All artifact links whitout repetition - column T for artifact sharing (without real link)</v>
      </c>
      <c r="V1" s="15" t="s">
        <v>20</v>
      </c>
      <c r="W1" s="15" t="s">
        <v>21</v>
      </c>
      <c r="X1" s="15" t="s">
        <v>22</v>
      </c>
      <c r="Y1" s="15" t="s">
        <v>23</v>
      </c>
      <c r="Z1" s="15" t="str">
        <f>"Status of the links in 02/24/2024 - "&amp;SUBSTITUTE(ADDRESS(ROW(U1),COLUMN(U1),4),1,"")</f>
        <v>Status of the links in 02/24/2024 - U</v>
      </c>
      <c r="AA1" s="16" t="s">
        <v>24</v>
      </c>
      <c r="AB1" s="11" t="s">
        <v>25</v>
      </c>
      <c r="AC1" s="17" t="s">
        <v>26</v>
      </c>
      <c r="AD1" s="11" t="s">
        <v>27</v>
      </c>
      <c r="AE1" s="11" t="s">
        <v>28</v>
      </c>
      <c r="AF1" s="18" t="s">
        <v>29</v>
      </c>
      <c r="AG1" s="18" t="s">
        <v>30</v>
      </c>
      <c r="AH1" s="18" t="s">
        <v>31</v>
      </c>
      <c r="AI1" s="11" t="str">
        <f>"All statement labels "&amp;SUBSTITUTE(ADDRESS(ROW(AF1),COLUMN(AF1),4),1,"")&amp;" + "&amp;SUBSTITUTE(ADDRESS(ROW(AG1),COLUMN(AG1),4),1,"")&amp;" + "&amp;SUBSTITUTE(ADDRESS(ROW(AH1),COLUMN(AH1),4),1,"")</f>
        <v>All statement labels AF + AG + AH</v>
      </c>
      <c r="AJ1" s="19" t="str">
        <f>"Link and statement analysis "&amp;SUBSTITUTE(ADDRESS(ROW(K1),COLUMN(K1),4),1,"")&amp;" and "&amp;SUBSTITUTE(ADDRESS(ROW(AD1),COLUMN(AD1),4),1,"")</f>
        <v>Link and statement analysis K and AD</v>
      </c>
      <c r="AK1" s="11" t="s">
        <v>32</v>
      </c>
      <c r="AL1" s="3" t="s">
        <v>33</v>
      </c>
      <c r="AM1" s="20" t="s">
        <v>0</v>
      </c>
    </row>
    <row r="2" ht="67.5" customHeight="1">
      <c r="A2" s="21">
        <v>1844.0</v>
      </c>
      <c r="B2" s="22" t="s">
        <v>34</v>
      </c>
      <c r="C2" s="23">
        <v>2014.0</v>
      </c>
      <c r="D2" s="24" t="s">
        <v>35</v>
      </c>
      <c r="E2" s="25" t="s">
        <v>36</v>
      </c>
      <c r="F2" s="25" t="s">
        <v>36</v>
      </c>
      <c r="G2" s="25" t="s">
        <v>36</v>
      </c>
      <c r="H2" s="25" t="s">
        <v>36</v>
      </c>
      <c r="I2" s="25" t="s">
        <v>36</v>
      </c>
      <c r="J2" s="26" t="s">
        <v>36</v>
      </c>
      <c r="K2" s="27" t="s">
        <v>37</v>
      </c>
      <c r="L2" s="28" t="s">
        <v>37</v>
      </c>
      <c r="M2" s="28" t="s">
        <v>37</v>
      </c>
      <c r="N2" s="28" t="s">
        <v>35</v>
      </c>
      <c r="O2" s="28" t="s">
        <v>35</v>
      </c>
      <c r="P2" s="28" t="s">
        <v>35</v>
      </c>
      <c r="Q2" s="28" t="s">
        <v>35</v>
      </c>
      <c r="R2" s="28" t="s">
        <v>37</v>
      </c>
      <c r="S2" s="29" t="s">
        <v>38</v>
      </c>
      <c r="T2" s="30" t="s">
        <v>39</v>
      </c>
      <c r="U2" s="31" t="s">
        <v>40</v>
      </c>
      <c r="V2" s="32">
        <f t="shared" ref="V2:X2" si="1">IF(lenb(SUBSTITUTE($Z2,V$1&amp;" (1)",""))&lt;lenb($Z2),1,IF(lenb(SUBSTITUTE($Z2,V$1&amp;" (2)",""))&lt;lenb($Z2),2,IF(lenb(SUBSTITUTE($Z2,V$1&amp;" (3)",""))&lt;lenb($Z2),3,IF(lenb(SUBSTITUTE($Z2,V$1&amp;" (4)",""))&lt;lenb($Z2),4,IF(lenb(SUBSTITUTE($Z2,V$1&amp;" (5)",""))&lt;lenb($Z2),5,IF(lenb(SUBSTITUTE($Z2,V$1&amp;" (6)",""))&lt;lenb($Z2),6,IF(lenb(SUBSTITUTE($Z2,V$1&amp;" (7)",""))&lt;lenb($Z2),1,IF(lenb(SUBSTITUTE($Z2,V$1&amp;" (8)",""))&lt;lenb($Z2),8,IF(lenb(SUBSTITUTE($Z2,V$1&amp;" (9)",""))&lt;lenb($Z2),9,IF(lenb(SUBSTITUTE($Z2,V$1&amp;" (10)",""))&lt;lenb($Z2),10,IF(lenb(SUBSTITUTE($Z2,V$1,""))&lt;lenb($Z2),"ERROR",IF($Z2=$Y$1,"-",0))))))))))))</f>
        <v>1</v>
      </c>
      <c r="W2" s="32">
        <f t="shared" si="1"/>
        <v>1</v>
      </c>
      <c r="X2" s="32">
        <f t="shared" si="1"/>
        <v>0</v>
      </c>
      <c r="Y2" s="32" t="str">
        <f t="shared" ref="Y2:Y1237" si="3">IF(Z2=Y$1,1,"-")</f>
        <v>-</v>
      </c>
      <c r="Z2" s="32" t="s">
        <v>41</v>
      </c>
      <c r="AA2" s="33">
        <f t="shared" ref="AA2:AA1237" si="4">ifs(U2="","",U2="-",0,U2="Erro",0,U2&lt;&gt;"",LEN(U2)-LEN(SUBSTITUTE(U2,CHAR(10),""))+1)</f>
        <v>2</v>
      </c>
      <c r="AB2" s="34">
        <f>COUNTIFS(Links!B:B,"ICSE",Links!C:C,A2,Links!AD:AD,1)</f>
        <v>1</v>
      </c>
      <c r="AC2" s="35" t="s">
        <v>35</v>
      </c>
      <c r="AD2" s="27" t="str">
        <f t="shared" ref="AD2:AD1237" si="5">ifs(AE2="None.","No",AE2="-","No",AND(AE2&lt;&gt;"None.",AE2&lt;&gt;"-"),"Yes")</f>
        <v>No</v>
      </c>
      <c r="AE2" s="36" t="s">
        <v>36</v>
      </c>
      <c r="AF2" s="37" t="s">
        <v>42</v>
      </c>
      <c r="AG2" s="37" t="s">
        <v>42</v>
      </c>
      <c r="AH2" s="37" t="s">
        <v>42</v>
      </c>
      <c r="AI2" s="29" t="str">
        <f t="shared" ref="AI2:AI652" si="6">IF(AH2="----",IF(AG2="----",IF(AF2="----","----",AF2),AF2&amp;CHAR(10)&amp;AG2),AF2&amp;CHAR(10)&amp;AG2&amp;CHAR(10)&amp;AH2)</f>
        <v>----</v>
      </c>
      <c r="AJ2" s="38" t="str">
        <f t="shared" ref="AJ2:AJ1237" si="7">IFERROR(
if(and(K2="Yes",AD2="No"),"Paper has link but no statement",
if(and(K2="No",AD2="No"),"Paper has no link and no statement",
if(and(K2="Yes",AD2="Yes"),"Paper has link and statement",
if(and(K2="No",AD2="Yes"),"Paper has no link but has statement","")))),"")</f>
        <v>Paper has link but no statement</v>
      </c>
      <c r="AK2" s="39">
        <v>45035.0</v>
      </c>
      <c r="AL2" s="23" t="s">
        <v>43</v>
      </c>
      <c r="AM2" s="40" t="str">
        <f t="shared" ref="AM2:AM1237" si="8">"[IP"&amp;TEXT(A2,"0000")&amp;"]"</f>
        <v>[IP1844]</v>
      </c>
    </row>
    <row r="3" ht="67.5" customHeight="1">
      <c r="A3" s="41">
        <v>1845.0</v>
      </c>
      <c r="B3" s="42" t="s">
        <v>44</v>
      </c>
      <c r="C3" s="43">
        <v>2014.0</v>
      </c>
      <c r="D3" s="44" t="s">
        <v>37</v>
      </c>
      <c r="E3" s="45" t="s">
        <v>35</v>
      </c>
      <c r="F3" s="45" t="s">
        <v>35</v>
      </c>
      <c r="G3" s="45" t="s">
        <v>35</v>
      </c>
      <c r="H3" s="45" t="s">
        <v>37</v>
      </c>
      <c r="I3" s="45" t="s">
        <v>35</v>
      </c>
      <c r="J3" s="46" t="s">
        <v>36</v>
      </c>
      <c r="K3" s="47" t="s">
        <v>37</v>
      </c>
      <c r="L3" s="48" t="s">
        <v>35</v>
      </c>
      <c r="M3" s="48" t="s">
        <v>37</v>
      </c>
      <c r="N3" s="48" t="s">
        <v>37</v>
      </c>
      <c r="O3" s="48" t="s">
        <v>37</v>
      </c>
      <c r="P3" s="48" t="s">
        <v>35</v>
      </c>
      <c r="Q3" s="48" t="s">
        <v>35</v>
      </c>
      <c r="R3" s="48" t="s">
        <v>37</v>
      </c>
      <c r="S3" s="49" t="s">
        <v>45</v>
      </c>
      <c r="T3" s="50" t="s">
        <v>46</v>
      </c>
      <c r="U3" s="51" t="s">
        <v>46</v>
      </c>
      <c r="V3" s="52">
        <f t="shared" ref="V3:X3" si="2">IF(lenb(SUBSTITUTE($Z3,V$1&amp;" (1)",""))&lt;lenb($Z3),1,IF(lenb(SUBSTITUTE($Z3,V$1&amp;" (2)",""))&lt;lenb($Z3),2,IF(lenb(SUBSTITUTE($Z3,V$1&amp;" (3)",""))&lt;lenb($Z3),3,IF(lenb(SUBSTITUTE($Z3,V$1&amp;" (4)",""))&lt;lenb($Z3),4,IF(lenb(SUBSTITUTE($Z3,V$1&amp;" (5)",""))&lt;lenb($Z3),5,IF(lenb(SUBSTITUTE($Z3,V$1&amp;" (6)",""))&lt;lenb($Z3),6,IF(lenb(SUBSTITUTE($Z3,V$1&amp;" (7)",""))&lt;lenb($Z3),1,IF(lenb(SUBSTITUTE($Z3,V$1&amp;" (8)",""))&lt;lenb($Z3),8,IF(lenb(SUBSTITUTE($Z3,V$1&amp;" (9)",""))&lt;lenb($Z3),9,IF(lenb(SUBSTITUTE($Z3,V$1&amp;" (10)",""))&lt;lenb($Z3),10,IF(lenb(SUBSTITUTE($Z3,V$1,""))&lt;lenb($Z3),"ERROR",IF($Z3=$Y$1,"-",0))))))))))))</f>
        <v>0</v>
      </c>
      <c r="W3" s="52">
        <f t="shared" si="2"/>
        <v>1</v>
      </c>
      <c r="X3" s="52">
        <f t="shared" si="2"/>
        <v>0</v>
      </c>
      <c r="Y3" s="52" t="str">
        <f t="shared" si="3"/>
        <v>-</v>
      </c>
      <c r="Z3" s="52" t="s">
        <v>47</v>
      </c>
      <c r="AA3" s="53">
        <f t="shared" si="4"/>
        <v>1</v>
      </c>
      <c r="AB3" s="54">
        <f>COUNTIFS(Links!B:B,"ICSE",Links!C:C,A3,Links!AD:AD,1)</f>
        <v>0</v>
      </c>
      <c r="AC3" s="55" t="s">
        <v>35</v>
      </c>
      <c r="AD3" s="47" t="str">
        <f t="shared" si="5"/>
        <v>No</v>
      </c>
      <c r="AE3" s="56" t="s">
        <v>36</v>
      </c>
      <c r="AF3" s="57" t="s">
        <v>42</v>
      </c>
      <c r="AG3" s="57" t="s">
        <v>42</v>
      </c>
      <c r="AH3" s="57" t="s">
        <v>42</v>
      </c>
      <c r="AI3" s="49" t="str">
        <f t="shared" si="6"/>
        <v>----</v>
      </c>
      <c r="AJ3" s="58" t="str">
        <f t="shared" si="7"/>
        <v>Paper has link but no statement</v>
      </c>
      <c r="AK3" s="59">
        <v>45035.0</v>
      </c>
      <c r="AL3" s="43" t="s">
        <v>43</v>
      </c>
      <c r="AM3" s="60" t="str">
        <f t="shared" si="8"/>
        <v>[IP1845]</v>
      </c>
    </row>
    <row r="4" ht="67.5" customHeight="1">
      <c r="A4" s="61">
        <v>1846.0</v>
      </c>
      <c r="B4" s="22" t="s">
        <v>48</v>
      </c>
      <c r="C4" s="23">
        <v>2014.0</v>
      </c>
      <c r="D4" s="24" t="s">
        <v>35</v>
      </c>
      <c r="E4" s="25" t="s">
        <v>36</v>
      </c>
      <c r="F4" s="25" t="s">
        <v>36</v>
      </c>
      <c r="G4" s="25" t="s">
        <v>36</v>
      </c>
      <c r="H4" s="25" t="s">
        <v>36</v>
      </c>
      <c r="I4" s="25" t="s">
        <v>36</v>
      </c>
      <c r="J4" s="26" t="s">
        <v>36</v>
      </c>
      <c r="K4" s="27" t="s">
        <v>35</v>
      </c>
      <c r="L4" s="28" t="s">
        <v>36</v>
      </c>
      <c r="M4" s="28" t="s">
        <v>36</v>
      </c>
      <c r="N4" s="28" t="s">
        <v>36</v>
      </c>
      <c r="O4" s="28" t="s">
        <v>36</v>
      </c>
      <c r="P4" s="28" t="s">
        <v>36</v>
      </c>
      <c r="Q4" s="28" t="s">
        <v>36</v>
      </c>
      <c r="R4" s="28" t="s">
        <v>36</v>
      </c>
      <c r="S4" s="29" t="s">
        <v>36</v>
      </c>
      <c r="T4" s="30" t="s">
        <v>36</v>
      </c>
      <c r="U4" s="31" t="s">
        <v>36</v>
      </c>
      <c r="V4" s="32" t="str">
        <f t="shared" ref="V4:X4" si="9">IF(lenb(SUBSTITUTE($Z4,V$1&amp;" (1)",""))&lt;lenb($Z4),1,IF(lenb(SUBSTITUTE($Z4,V$1&amp;" (2)",""))&lt;lenb($Z4),2,IF(lenb(SUBSTITUTE($Z4,V$1&amp;" (3)",""))&lt;lenb($Z4),3,IF(lenb(SUBSTITUTE($Z4,V$1&amp;" (4)",""))&lt;lenb($Z4),4,IF(lenb(SUBSTITUTE($Z4,V$1&amp;" (5)",""))&lt;lenb($Z4),5,IF(lenb(SUBSTITUTE($Z4,V$1&amp;" (6)",""))&lt;lenb($Z4),6,IF(lenb(SUBSTITUTE($Z4,V$1&amp;" (7)",""))&lt;lenb($Z4),1,IF(lenb(SUBSTITUTE($Z4,V$1&amp;" (8)",""))&lt;lenb($Z4),8,IF(lenb(SUBSTITUTE($Z4,V$1&amp;" (9)",""))&lt;lenb($Z4),9,IF(lenb(SUBSTITUTE($Z4,V$1&amp;" (10)",""))&lt;lenb($Z4),10,IF(lenb(SUBSTITUTE($Z4,V$1,""))&lt;lenb($Z4),"ERROR",IF($Z4=$Y$1,"-",0))))))))))))</f>
        <v>-</v>
      </c>
      <c r="W4" s="32" t="str">
        <f t="shared" si="9"/>
        <v>-</v>
      </c>
      <c r="X4" s="32" t="str">
        <f t="shared" si="9"/>
        <v>-</v>
      </c>
      <c r="Y4" s="32">
        <f t="shared" si="3"/>
        <v>1</v>
      </c>
      <c r="Z4" s="32" t="s">
        <v>23</v>
      </c>
      <c r="AA4" s="33">
        <f t="shared" si="4"/>
        <v>0</v>
      </c>
      <c r="AB4" s="34">
        <f>COUNTIFS(Links!B:B,"ICSE",Links!C:C,A4,Links!AD:AD,1)</f>
        <v>0</v>
      </c>
      <c r="AC4" s="35" t="s">
        <v>36</v>
      </c>
      <c r="AD4" s="27" t="str">
        <f t="shared" si="5"/>
        <v>No</v>
      </c>
      <c r="AE4" s="36" t="s">
        <v>36</v>
      </c>
      <c r="AF4" s="37" t="s">
        <v>42</v>
      </c>
      <c r="AG4" s="37" t="s">
        <v>42</v>
      </c>
      <c r="AH4" s="37" t="s">
        <v>42</v>
      </c>
      <c r="AI4" s="29" t="str">
        <f t="shared" si="6"/>
        <v>----</v>
      </c>
      <c r="AJ4" s="38" t="str">
        <f t="shared" si="7"/>
        <v>Paper has no link and no statement</v>
      </c>
      <c r="AK4" s="39">
        <v>45035.0</v>
      </c>
      <c r="AL4" s="23" t="s">
        <v>43</v>
      </c>
      <c r="AM4" s="40" t="str">
        <f t="shared" si="8"/>
        <v>[IP1846]</v>
      </c>
    </row>
    <row r="5" ht="67.5" customHeight="1">
      <c r="A5" s="62">
        <v>1847.0</v>
      </c>
      <c r="B5" s="42" t="s">
        <v>49</v>
      </c>
      <c r="C5" s="43">
        <v>2014.0</v>
      </c>
      <c r="D5" s="44" t="s">
        <v>35</v>
      </c>
      <c r="E5" s="45" t="s">
        <v>36</v>
      </c>
      <c r="F5" s="45" t="s">
        <v>36</v>
      </c>
      <c r="G5" s="45" t="s">
        <v>36</v>
      </c>
      <c r="H5" s="45" t="s">
        <v>36</v>
      </c>
      <c r="I5" s="45" t="s">
        <v>36</v>
      </c>
      <c r="J5" s="46" t="s">
        <v>36</v>
      </c>
      <c r="K5" s="47" t="s">
        <v>37</v>
      </c>
      <c r="L5" s="48" t="s">
        <v>37</v>
      </c>
      <c r="M5" s="48" t="s">
        <v>37</v>
      </c>
      <c r="N5" s="48" t="s">
        <v>35</v>
      </c>
      <c r="O5" s="48" t="s">
        <v>35</v>
      </c>
      <c r="P5" s="48" t="s">
        <v>35</v>
      </c>
      <c r="Q5" s="48" t="s">
        <v>35</v>
      </c>
      <c r="R5" s="48" t="s">
        <v>37</v>
      </c>
      <c r="S5" s="49" t="s">
        <v>50</v>
      </c>
      <c r="T5" s="50" t="s">
        <v>51</v>
      </c>
      <c r="U5" s="63" t="s">
        <v>52</v>
      </c>
      <c r="V5" s="52">
        <f t="shared" ref="V5:X5" si="10">IF(lenb(SUBSTITUTE($Z5,V$1&amp;" (1)",""))&lt;lenb($Z5),1,IF(lenb(SUBSTITUTE($Z5,V$1&amp;" (2)",""))&lt;lenb($Z5),2,IF(lenb(SUBSTITUTE($Z5,V$1&amp;" (3)",""))&lt;lenb($Z5),3,IF(lenb(SUBSTITUTE($Z5,V$1&amp;" (4)",""))&lt;lenb($Z5),4,IF(lenb(SUBSTITUTE($Z5,V$1&amp;" (5)",""))&lt;lenb($Z5),5,IF(lenb(SUBSTITUTE($Z5,V$1&amp;" (6)",""))&lt;lenb($Z5),6,IF(lenb(SUBSTITUTE($Z5,V$1&amp;" (7)",""))&lt;lenb($Z5),1,IF(lenb(SUBSTITUTE($Z5,V$1&amp;" (8)",""))&lt;lenb($Z5),8,IF(lenb(SUBSTITUTE($Z5,V$1&amp;" (9)",""))&lt;lenb($Z5),9,IF(lenb(SUBSTITUTE($Z5,V$1&amp;" (10)",""))&lt;lenb($Z5),10,IF(lenb(SUBSTITUTE($Z5,V$1,""))&lt;lenb($Z5),"ERROR",IF($Z5=$Y$1,"-",0))))))))))))</f>
        <v>1</v>
      </c>
      <c r="W5" s="52">
        <f t="shared" si="10"/>
        <v>1</v>
      </c>
      <c r="X5" s="52">
        <f t="shared" si="10"/>
        <v>0</v>
      </c>
      <c r="Y5" s="52" t="str">
        <f t="shared" si="3"/>
        <v>-</v>
      </c>
      <c r="Z5" s="52" t="s">
        <v>41</v>
      </c>
      <c r="AA5" s="53">
        <f t="shared" si="4"/>
        <v>2</v>
      </c>
      <c r="AB5" s="54">
        <f>COUNTIFS(Links!B:B,"ICSE",Links!C:C,A5,Links!AD:AD,1)</f>
        <v>1</v>
      </c>
      <c r="AC5" s="55" t="s">
        <v>35</v>
      </c>
      <c r="AD5" s="47" t="str">
        <f t="shared" si="5"/>
        <v>No</v>
      </c>
      <c r="AE5" s="56" t="s">
        <v>36</v>
      </c>
      <c r="AF5" s="57" t="s">
        <v>42</v>
      </c>
      <c r="AG5" s="57" t="s">
        <v>42</v>
      </c>
      <c r="AH5" s="57" t="s">
        <v>42</v>
      </c>
      <c r="AI5" s="49" t="str">
        <f t="shared" si="6"/>
        <v>----</v>
      </c>
      <c r="AJ5" s="58" t="str">
        <f t="shared" si="7"/>
        <v>Paper has link but no statement</v>
      </c>
      <c r="AK5" s="59">
        <v>45035.0</v>
      </c>
      <c r="AL5" s="43" t="s">
        <v>43</v>
      </c>
      <c r="AM5" s="60" t="str">
        <f t="shared" si="8"/>
        <v>[IP1847]</v>
      </c>
    </row>
    <row r="6" ht="67.5" customHeight="1">
      <c r="A6" s="61">
        <v>1848.0</v>
      </c>
      <c r="B6" s="22" t="s">
        <v>53</v>
      </c>
      <c r="C6" s="23">
        <v>2014.0</v>
      </c>
      <c r="D6" s="24" t="s">
        <v>35</v>
      </c>
      <c r="E6" s="25" t="s">
        <v>36</v>
      </c>
      <c r="F6" s="25" t="s">
        <v>36</v>
      </c>
      <c r="G6" s="25" t="s">
        <v>36</v>
      </c>
      <c r="H6" s="25" t="s">
        <v>36</v>
      </c>
      <c r="I6" s="25" t="s">
        <v>36</v>
      </c>
      <c r="J6" s="26" t="s">
        <v>36</v>
      </c>
      <c r="K6" s="27" t="s">
        <v>35</v>
      </c>
      <c r="L6" s="28" t="s">
        <v>36</v>
      </c>
      <c r="M6" s="28" t="s">
        <v>36</v>
      </c>
      <c r="N6" s="28" t="s">
        <v>36</v>
      </c>
      <c r="O6" s="28" t="s">
        <v>36</v>
      </c>
      <c r="P6" s="28" t="s">
        <v>36</v>
      </c>
      <c r="Q6" s="28" t="s">
        <v>36</v>
      </c>
      <c r="R6" s="28" t="s">
        <v>36</v>
      </c>
      <c r="S6" s="29" t="s">
        <v>36</v>
      </c>
      <c r="T6" s="30" t="s">
        <v>36</v>
      </c>
      <c r="U6" s="31" t="s">
        <v>36</v>
      </c>
      <c r="V6" s="32" t="str">
        <f t="shared" ref="V6:X6" si="11">IF(lenb(SUBSTITUTE($Z6,V$1&amp;" (1)",""))&lt;lenb($Z6),1,IF(lenb(SUBSTITUTE($Z6,V$1&amp;" (2)",""))&lt;lenb($Z6),2,IF(lenb(SUBSTITUTE($Z6,V$1&amp;" (3)",""))&lt;lenb($Z6),3,IF(lenb(SUBSTITUTE($Z6,V$1&amp;" (4)",""))&lt;lenb($Z6),4,IF(lenb(SUBSTITUTE($Z6,V$1&amp;" (5)",""))&lt;lenb($Z6),5,IF(lenb(SUBSTITUTE($Z6,V$1&amp;" (6)",""))&lt;lenb($Z6),6,IF(lenb(SUBSTITUTE($Z6,V$1&amp;" (7)",""))&lt;lenb($Z6),1,IF(lenb(SUBSTITUTE($Z6,V$1&amp;" (8)",""))&lt;lenb($Z6),8,IF(lenb(SUBSTITUTE($Z6,V$1&amp;" (9)",""))&lt;lenb($Z6),9,IF(lenb(SUBSTITUTE($Z6,V$1&amp;" (10)",""))&lt;lenb($Z6),10,IF(lenb(SUBSTITUTE($Z6,V$1,""))&lt;lenb($Z6),"ERROR",IF($Z6=$Y$1,"-",0))))))))))))</f>
        <v>-</v>
      </c>
      <c r="W6" s="32" t="str">
        <f t="shared" si="11"/>
        <v>-</v>
      </c>
      <c r="X6" s="32" t="str">
        <f t="shared" si="11"/>
        <v>-</v>
      </c>
      <c r="Y6" s="32">
        <f t="shared" si="3"/>
        <v>1</v>
      </c>
      <c r="Z6" s="32" t="s">
        <v>23</v>
      </c>
      <c r="AA6" s="33">
        <f t="shared" si="4"/>
        <v>0</v>
      </c>
      <c r="AB6" s="34">
        <f>COUNTIFS(Links!B:B,"ICSE",Links!C:C,A6,Links!AD:AD,1)</f>
        <v>0</v>
      </c>
      <c r="AC6" s="35" t="s">
        <v>36</v>
      </c>
      <c r="AD6" s="27" t="str">
        <f t="shared" si="5"/>
        <v>No</v>
      </c>
      <c r="AE6" s="36" t="s">
        <v>36</v>
      </c>
      <c r="AF6" s="37" t="s">
        <v>42</v>
      </c>
      <c r="AG6" s="37" t="s">
        <v>42</v>
      </c>
      <c r="AH6" s="37" t="s">
        <v>42</v>
      </c>
      <c r="AI6" s="29" t="str">
        <f t="shared" si="6"/>
        <v>----</v>
      </c>
      <c r="AJ6" s="38" t="str">
        <f t="shared" si="7"/>
        <v>Paper has no link and no statement</v>
      </c>
      <c r="AK6" s="39">
        <v>45035.0</v>
      </c>
      <c r="AL6" s="23" t="s">
        <v>43</v>
      </c>
      <c r="AM6" s="40" t="str">
        <f t="shared" si="8"/>
        <v>[IP1848]</v>
      </c>
    </row>
    <row r="7" ht="67.5" customHeight="1">
      <c r="A7" s="41">
        <v>1849.0</v>
      </c>
      <c r="B7" s="42" t="s">
        <v>54</v>
      </c>
      <c r="C7" s="43">
        <v>2014.0</v>
      </c>
      <c r="D7" s="44" t="s">
        <v>35</v>
      </c>
      <c r="E7" s="45" t="s">
        <v>36</v>
      </c>
      <c r="F7" s="45" t="s">
        <v>36</v>
      </c>
      <c r="G7" s="45" t="s">
        <v>36</v>
      </c>
      <c r="H7" s="45" t="s">
        <v>36</v>
      </c>
      <c r="I7" s="45" t="s">
        <v>36</v>
      </c>
      <c r="J7" s="46" t="s">
        <v>36</v>
      </c>
      <c r="K7" s="47" t="s">
        <v>37</v>
      </c>
      <c r="L7" s="48" t="s">
        <v>37</v>
      </c>
      <c r="M7" s="48" t="s">
        <v>35</v>
      </c>
      <c r="N7" s="48" t="s">
        <v>35</v>
      </c>
      <c r="O7" s="48" t="s">
        <v>37</v>
      </c>
      <c r="P7" s="48" t="s">
        <v>35</v>
      </c>
      <c r="Q7" s="48" t="s">
        <v>35</v>
      </c>
      <c r="R7" s="48" t="s">
        <v>37</v>
      </c>
      <c r="S7" s="49" t="s">
        <v>55</v>
      </c>
      <c r="T7" s="50" t="s">
        <v>56</v>
      </c>
      <c r="U7" s="51" t="s">
        <v>56</v>
      </c>
      <c r="V7" s="52">
        <f t="shared" ref="V7:X7" si="12">IF(lenb(SUBSTITUTE($Z7,V$1&amp;" (1)",""))&lt;lenb($Z7),1,IF(lenb(SUBSTITUTE($Z7,V$1&amp;" (2)",""))&lt;lenb($Z7),2,IF(lenb(SUBSTITUTE($Z7,V$1&amp;" (3)",""))&lt;lenb($Z7),3,IF(lenb(SUBSTITUTE($Z7,V$1&amp;" (4)",""))&lt;lenb($Z7),4,IF(lenb(SUBSTITUTE($Z7,V$1&amp;" (5)",""))&lt;lenb($Z7),5,IF(lenb(SUBSTITUTE($Z7,V$1&amp;" (6)",""))&lt;lenb($Z7),6,IF(lenb(SUBSTITUTE($Z7,V$1&amp;" (7)",""))&lt;lenb($Z7),1,IF(lenb(SUBSTITUTE($Z7,V$1&amp;" (8)",""))&lt;lenb($Z7),8,IF(lenb(SUBSTITUTE($Z7,V$1&amp;" (9)",""))&lt;lenb($Z7),9,IF(lenb(SUBSTITUTE($Z7,V$1&amp;" (10)",""))&lt;lenb($Z7),10,IF(lenb(SUBSTITUTE($Z7,V$1,""))&lt;lenb($Z7),"ERROR",IF($Z7=$Y$1,"-",0))))))))))))</f>
        <v>2</v>
      </c>
      <c r="W7" s="52">
        <f t="shared" si="12"/>
        <v>0</v>
      </c>
      <c r="X7" s="52">
        <f t="shared" si="12"/>
        <v>0</v>
      </c>
      <c r="Y7" s="52" t="str">
        <f t="shared" si="3"/>
        <v>-</v>
      </c>
      <c r="Z7" s="52" t="s">
        <v>57</v>
      </c>
      <c r="AA7" s="53">
        <f t="shared" si="4"/>
        <v>2</v>
      </c>
      <c r="AB7" s="54">
        <f>COUNTIFS(Links!B:B,"ICSE",Links!C:C,A7,Links!AD:AD,1)</f>
        <v>1</v>
      </c>
      <c r="AC7" s="55" t="s">
        <v>35</v>
      </c>
      <c r="AD7" s="47" t="str">
        <f t="shared" si="5"/>
        <v>No</v>
      </c>
      <c r="AE7" s="56" t="s">
        <v>36</v>
      </c>
      <c r="AF7" s="57" t="s">
        <v>42</v>
      </c>
      <c r="AG7" s="57" t="s">
        <v>42</v>
      </c>
      <c r="AH7" s="57" t="s">
        <v>42</v>
      </c>
      <c r="AI7" s="49" t="str">
        <f t="shared" si="6"/>
        <v>----</v>
      </c>
      <c r="AJ7" s="58" t="str">
        <f t="shared" si="7"/>
        <v>Paper has link but no statement</v>
      </c>
      <c r="AK7" s="59">
        <v>45035.0</v>
      </c>
      <c r="AL7" s="43" t="s">
        <v>43</v>
      </c>
      <c r="AM7" s="60" t="str">
        <f t="shared" si="8"/>
        <v>[IP1849]</v>
      </c>
    </row>
    <row r="8" ht="67.5" customHeight="1">
      <c r="A8" s="61">
        <v>1850.0</v>
      </c>
      <c r="B8" s="22" t="s">
        <v>58</v>
      </c>
      <c r="C8" s="23">
        <v>2014.0</v>
      </c>
      <c r="D8" s="24" t="s">
        <v>35</v>
      </c>
      <c r="E8" s="25" t="s">
        <v>36</v>
      </c>
      <c r="F8" s="25" t="s">
        <v>36</v>
      </c>
      <c r="G8" s="25" t="s">
        <v>36</v>
      </c>
      <c r="H8" s="25" t="s">
        <v>36</v>
      </c>
      <c r="I8" s="25" t="s">
        <v>36</v>
      </c>
      <c r="J8" s="26" t="s">
        <v>36</v>
      </c>
      <c r="K8" s="27" t="s">
        <v>37</v>
      </c>
      <c r="L8" s="28" t="s">
        <v>35</v>
      </c>
      <c r="M8" s="28" t="s">
        <v>37</v>
      </c>
      <c r="N8" s="28" t="s">
        <v>35</v>
      </c>
      <c r="O8" s="28" t="s">
        <v>35</v>
      </c>
      <c r="P8" s="28" t="s">
        <v>35</v>
      </c>
      <c r="Q8" s="28" t="s">
        <v>35</v>
      </c>
      <c r="R8" s="28" t="s">
        <v>37</v>
      </c>
      <c r="S8" s="29" t="s">
        <v>59</v>
      </c>
      <c r="T8" s="30" t="s">
        <v>60</v>
      </c>
      <c r="U8" s="31" t="s">
        <v>61</v>
      </c>
      <c r="V8" s="32">
        <f t="shared" ref="V8:X8" si="13">IF(lenb(SUBSTITUTE($Z8,V$1&amp;" (1)",""))&lt;lenb($Z8),1,IF(lenb(SUBSTITUTE($Z8,V$1&amp;" (2)",""))&lt;lenb($Z8),2,IF(lenb(SUBSTITUTE($Z8,V$1&amp;" (3)",""))&lt;lenb($Z8),3,IF(lenb(SUBSTITUTE($Z8,V$1&amp;" (4)",""))&lt;lenb($Z8),4,IF(lenb(SUBSTITUTE($Z8,V$1&amp;" (5)",""))&lt;lenb($Z8),5,IF(lenb(SUBSTITUTE($Z8,V$1&amp;" (6)",""))&lt;lenb($Z8),6,IF(lenb(SUBSTITUTE($Z8,V$1&amp;" (7)",""))&lt;lenb($Z8),1,IF(lenb(SUBSTITUTE($Z8,V$1&amp;" (8)",""))&lt;lenb($Z8),8,IF(lenb(SUBSTITUTE($Z8,V$1&amp;" (9)",""))&lt;lenb($Z8),9,IF(lenb(SUBSTITUTE($Z8,V$1&amp;" (10)",""))&lt;lenb($Z8),10,IF(lenb(SUBSTITUTE($Z8,V$1,""))&lt;lenb($Z8),"ERROR",IF($Z8=$Y$1,"-",0))))))))))))</f>
        <v>1</v>
      </c>
      <c r="W8" s="32">
        <f t="shared" si="13"/>
        <v>0</v>
      </c>
      <c r="X8" s="32">
        <f t="shared" si="13"/>
        <v>0</v>
      </c>
      <c r="Y8" s="32" t="str">
        <f t="shared" si="3"/>
        <v>-</v>
      </c>
      <c r="Z8" s="32" t="s">
        <v>62</v>
      </c>
      <c r="AA8" s="33">
        <f t="shared" si="4"/>
        <v>1</v>
      </c>
      <c r="AB8" s="34">
        <f>COUNTIFS(Links!B:B,"ICSE",Links!C:C,A8,Links!AD:AD,1)</f>
        <v>1</v>
      </c>
      <c r="AC8" s="35" t="s">
        <v>37</v>
      </c>
      <c r="AD8" s="27" t="str">
        <f t="shared" si="5"/>
        <v>No</v>
      </c>
      <c r="AE8" s="36" t="s">
        <v>36</v>
      </c>
      <c r="AF8" s="37" t="s">
        <v>42</v>
      </c>
      <c r="AG8" s="37" t="s">
        <v>42</v>
      </c>
      <c r="AH8" s="37" t="s">
        <v>42</v>
      </c>
      <c r="AI8" s="29" t="str">
        <f t="shared" si="6"/>
        <v>----</v>
      </c>
      <c r="AJ8" s="38" t="str">
        <f t="shared" si="7"/>
        <v>Paper has link but no statement</v>
      </c>
      <c r="AK8" s="39">
        <v>45035.0</v>
      </c>
      <c r="AL8" s="23" t="s">
        <v>43</v>
      </c>
      <c r="AM8" s="40" t="str">
        <f t="shared" si="8"/>
        <v>[IP1850]</v>
      </c>
    </row>
    <row r="9" ht="67.5" customHeight="1">
      <c r="A9" s="41">
        <v>1851.0</v>
      </c>
      <c r="B9" s="42" t="s">
        <v>63</v>
      </c>
      <c r="C9" s="43">
        <v>2014.0</v>
      </c>
      <c r="D9" s="44" t="s">
        <v>35</v>
      </c>
      <c r="E9" s="45" t="s">
        <v>36</v>
      </c>
      <c r="F9" s="45" t="s">
        <v>36</v>
      </c>
      <c r="G9" s="45" t="s">
        <v>36</v>
      </c>
      <c r="H9" s="45" t="s">
        <v>36</v>
      </c>
      <c r="I9" s="45" t="s">
        <v>36</v>
      </c>
      <c r="J9" s="46" t="s">
        <v>36</v>
      </c>
      <c r="K9" s="47" t="s">
        <v>37</v>
      </c>
      <c r="L9" s="48" t="s">
        <v>35</v>
      </c>
      <c r="M9" s="48" t="s">
        <v>37</v>
      </c>
      <c r="N9" s="48" t="s">
        <v>35</v>
      </c>
      <c r="O9" s="48" t="s">
        <v>35</v>
      </c>
      <c r="P9" s="48" t="s">
        <v>35</v>
      </c>
      <c r="Q9" s="48" t="s">
        <v>35</v>
      </c>
      <c r="R9" s="48" t="s">
        <v>37</v>
      </c>
      <c r="S9" s="49" t="s">
        <v>64</v>
      </c>
      <c r="T9" s="50" t="s">
        <v>65</v>
      </c>
      <c r="U9" s="51" t="s">
        <v>65</v>
      </c>
      <c r="V9" s="52">
        <f t="shared" ref="V9:X9" si="14">IF(lenb(SUBSTITUTE($Z9,V$1&amp;" (1)",""))&lt;lenb($Z9),1,IF(lenb(SUBSTITUTE($Z9,V$1&amp;" (2)",""))&lt;lenb($Z9),2,IF(lenb(SUBSTITUTE($Z9,V$1&amp;" (3)",""))&lt;lenb($Z9),3,IF(lenb(SUBSTITUTE($Z9,V$1&amp;" (4)",""))&lt;lenb($Z9),4,IF(lenb(SUBSTITUTE($Z9,V$1&amp;" (5)",""))&lt;lenb($Z9),5,IF(lenb(SUBSTITUTE($Z9,V$1&amp;" (6)",""))&lt;lenb($Z9),6,IF(lenb(SUBSTITUTE($Z9,V$1&amp;" (7)",""))&lt;lenb($Z9),1,IF(lenb(SUBSTITUTE($Z9,V$1&amp;" (8)",""))&lt;lenb($Z9),8,IF(lenb(SUBSTITUTE($Z9,V$1&amp;" (9)",""))&lt;lenb($Z9),9,IF(lenb(SUBSTITUTE($Z9,V$1&amp;" (10)",""))&lt;lenb($Z9),10,IF(lenb(SUBSTITUTE($Z9,V$1,""))&lt;lenb($Z9),"ERROR",IF($Z9=$Y$1,"-",0))))))))))))</f>
        <v>0</v>
      </c>
      <c r="W9" s="52">
        <f t="shared" si="14"/>
        <v>1</v>
      </c>
      <c r="X9" s="52">
        <f t="shared" si="14"/>
        <v>0</v>
      </c>
      <c r="Y9" s="52" t="str">
        <f t="shared" si="3"/>
        <v>-</v>
      </c>
      <c r="Z9" s="52" t="s">
        <v>47</v>
      </c>
      <c r="AA9" s="53">
        <f t="shared" si="4"/>
        <v>1</v>
      </c>
      <c r="AB9" s="54">
        <f>COUNTIFS(Links!B:B,"ICSE",Links!C:C,A9,Links!AD:AD,1)</f>
        <v>0</v>
      </c>
      <c r="AC9" s="55" t="s">
        <v>35</v>
      </c>
      <c r="AD9" s="47" t="str">
        <f t="shared" si="5"/>
        <v>No</v>
      </c>
      <c r="AE9" s="56" t="s">
        <v>36</v>
      </c>
      <c r="AF9" s="57" t="s">
        <v>42</v>
      </c>
      <c r="AG9" s="57" t="s">
        <v>42</v>
      </c>
      <c r="AH9" s="57" t="s">
        <v>42</v>
      </c>
      <c r="AI9" s="49" t="str">
        <f t="shared" si="6"/>
        <v>----</v>
      </c>
      <c r="AJ9" s="58" t="str">
        <f t="shared" si="7"/>
        <v>Paper has link but no statement</v>
      </c>
      <c r="AK9" s="59">
        <v>45035.0</v>
      </c>
      <c r="AL9" s="43" t="s">
        <v>43</v>
      </c>
      <c r="AM9" s="60" t="str">
        <f t="shared" si="8"/>
        <v>[IP1851]</v>
      </c>
    </row>
    <row r="10" ht="67.5" customHeight="1">
      <c r="A10" s="61">
        <v>1852.0</v>
      </c>
      <c r="B10" s="22" t="s">
        <v>66</v>
      </c>
      <c r="C10" s="23">
        <v>2014.0</v>
      </c>
      <c r="D10" s="24" t="s">
        <v>35</v>
      </c>
      <c r="E10" s="25" t="s">
        <v>36</v>
      </c>
      <c r="F10" s="25" t="s">
        <v>36</v>
      </c>
      <c r="G10" s="25" t="s">
        <v>36</v>
      </c>
      <c r="H10" s="25" t="s">
        <v>36</v>
      </c>
      <c r="I10" s="25" t="s">
        <v>36</v>
      </c>
      <c r="J10" s="26" t="s">
        <v>36</v>
      </c>
      <c r="K10" s="27" t="s">
        <v>37</v>
      </c>
      <c r="L10" s="28" t="s">
        <v>35</v>
      </c>
      <c r="M10" s="28" t="s">
        <v>37</v>
      </c>
      <c r="N10" s="28" t="s">
        <v>35</v>
      </c>
      <c r="O10" s="28" t="s">
        <v>35</v>
      </c>
      <c r="P10" s="28" t="s">
        <v>35</v>
      </c>
      <c r="Q10" s="28" t="s">
        <v>35</v>
      </c>
      <c r="R10" s="28" t="s">
        <v>37</v>
      </c>
      <c r="S10" s="29" t="s">
        <v>67</v>
      </c>
      <c r="T10" s="30" t="s">
        <v>68</v>
      </c>
      <c r="U10" s="31" t="s">
        <v>68</v>
      </c>
      <c r="V10" s="32">
        <f t="shared" ref="V10:X10" si="15">IF(lenb(SUBSTITUTE($Z10,V$1&amp;" (1)",""))&lt;lenb($Z10),1,IF(lenb(SUBSTITUTE($Z10,V$1&amp;" (2)",""))&lt;lenb($Z10),2,IF(lenb(SUBSTITUTE($Z10,V$1&amp;" (3)",""))&lt;lenb($Z10),3,IF(lenb(SUBSTITUTE($Z10,V$1&amp;" (4)",""))&lt;lenb($Z10),4,IF(lenb(SUBSTITUTE($Z10,V$1&amp;" (5)",""))&lt;lenb($Z10),5,IF(lenb(SUBSTITUTE($Z10,V$1&amp;" (6)",""))&lt;lenb($Z10),6,IF(lenb(SUBSTITUTE($Z10,V$1&amp;" (7)",""))&lt;lenb($Z10),1,IF(lenb(SUBSTITUTE($Z10,V$1&amp;" (8)",""))&lt;lenb($Z10),8,IF(lenb(SUBSTITUTE($Z10,V$1&amp;" (9)",""))&lt;lenb($Z10),9,IF(lenb(SUBSTITUTE($Z10,V$1&amp;" (10)",""))&lt;lenb($Z10),10,IF(lenb(SUBSTITUTE($Z10,V$1,""))&lt;lenb($Z10),"ERROR",IF($Z10=$Y$1,"-",0))))))))))))</f>
        <v>1</v>
      </c>
      <c r="W10" s="32">
        <f t="shared" si="15"/>
        <v>0</v>
      </c>
      <c r="X10" s="32">
        <f t="shared" si="15"/>
        <v>0</v>
      </c>
      <c r="Y10" s="32" t="str">
        <f t="shared" si="3"/>
        <v>-</v>
      </c>
      <c r="Z10" s="32" t="s">
        <v>62</v>
      </c>
      <c r="AA10" s="33">
        <f t="shared" si="4"/>
        <v>1</v>
      </c>
      <c r="AB10" s="34">
        <f>COUNTIFS(Links!B:B,"ICSE",Links!C:C,A10,Links!AD:AD,1)</f>
        <v>1</v>
      </c>
      <c r="AC10" s="35" t="s">
        <v>35</v>
      </c>
      <c r="AD10" s="27" t="str">
        <f t="shared" si="5"/>
        <v>No</v>
      </c>
      <c r="AE10" s="36" t="s">
        <v>36</v>
      </c>
      <c r="AF10" s="37" t="s">
        <v>42</v>
      </c>
      <c r="AG10" s="37" t="s">
        <v>42</v>
      </c>
      <c r="AH10" s="37" t="s">
        <v>42</v>
      </c>
      <c r="AI10" s="29" t="str">
        <f t="shared" si="6"/>
        <v>----</v>
      </c>
      <c r="AJ10" s="38" t="str">
        <f t="shared" si="7"/>
        <v>Paper has link but no statement</v>
      </c>
      <c r="AK10" s="39">
        <v>45035.0</v>
      </c>
      <c r="AL10" s="23" t="s">
        <v>43</v>
      </c>
      <c r="AM10" s="40" t="str">
        <f t="shared" si="8"/>
        <v>[IP1852]</v>
      </c>
    </row>
    <row r="11" ht="67.5" customHeight="1">
      <c r="A11" s="41">
        <v>1853.0</v>
      </c>
      <c r="B11" s="42" t="s">
        <v>69</v>
      </c>
      <c r="C11" s="43">
        <v>2014.0</v>
      </c>
      <c r="D11" s="44" t="s">
        <v>35</v>
      </c>
      <c r="E11" s="45" t="s">
        <v>36</v>
      </c>
      <c r="F11" s="45" t="s">
        <v>36</v>
      </c>
      <c r="G11" s="45" t="s">
        <v>36</v>
      </c>
      <c r="H11" s="45" t="s">
        <v>36</v>
      </c>
      <c r="I11" s="45" t="s">
        <v>36</v>
      </c>
      <c r="J11" s="46" t="s">
        <v>36</v>
      </c>
      <c r="K11" s="47" t="s">
        <v>37</v>
      </c>
      <c r="L11" s="48" t="s">
        <v>37</v>
      </c>
      <c r="M11" s="48" t="s">
        <v>35</v>
      </c>
      <c r="N11" s="48" t="s">
        <v>35</v>
      </c>
      <c r="O11" s="48" t="s">
        <v>35</v>
      </c>
      <c r="P11" s="48" t="s">
        <v>35</v>
      </c>
      <c r="Q11" s="48" t="s">
        <v>35</v>
      </c>
      <c r="R11" s="48" t="s">
        <v>37</v>
      </c>
      <c r="S11" s="49" t="s">
        <v>70</v>
      </c>
      <c r="T11" s="50" t="s">
        <v>71</v>
      </c>
      <c r="U11" s="51" t="s">
        <v>71</v>
      </c>
      <c r="V11" s="52">
        <f t="shared" ref="V11:X11" si="16">IF(lenb(SUBSTITUTE($Z11,V$1&amp;" (1)",""))&lt;lenb($Z11),1,IF(lenb(SUBSTITUTE($Z11,V$1&amp;" (2)",""))&lt;lenb($Z11),2,IF(lenb(SUBSTITUTE($Z11,V$1&amp;" (3)",""))&lt;lenb($Z11),3,IF(lenb(SUBSTITUTE($Z11,V$1&amp;" (4)",""))&lt;lenb($Z11),4,IF(lenb(SUBSTITUTE($Z11,V$1&amp;" (5)",""))&lt;lenb($Z11),5,IF(lenb(SUBSTITUTE($Z11,V$1&amp;" (6)",""))&lt;lenb($Z11),6,IF(lenb(SUBSTITUTE($Z11,V$1&amp;" (7)",""))&lt;lenb($Z11),1,IF(lenb(SUBSTITUTE($Z11,V$1&amp;" (8)",""))&lt;lenb($Z11),8,IF(lenb(SUBSTITUTE($Z11,V$1&amp;" (9)",""))&lt;lenb($Z11),9,IF(lenb(SUBSTITUTE($Z11,V$1&amp;" (10)",""))&lt;lenb($Z11),10,IF(lenb(SUBSTITUTE($Z11,V$1,""))&lt;lenb($Z11),"ERROR",IF($Z11=$Y$1,"-",0))))))))))))</f>
        <v>0</v>
      </c>
      <c r="W11" s="52">
        <f t="shared" si="16"/>
        <v>1</v>
      </c>
      <c r="X11" s="52">
        <f t="shared" si="16"/>
        <v>0</v>
      </c>
      <c r="Y11" s="52" t="str">
        <f t="shared" si="3"/>
        <v>-</v>
      </c>
      <c r="Z11" s="52" t="s">
        <v>47</v>
      </c>
      <c r="AA11" s="53">
        <f t="shared" si="4"/>
        <v>1</v>
      </c>
      <c r="AB11" s="54">
        <f>COUNTIFS(Links!B:B,"ICSE",Links!C:C,A11,Links!AD:AD,1)</f>
        <v>1</v>
      </c>
      <c r="AC11" s="55" t="s">
        <v>35</v>
      </c>
      <c r="AD11" s="47" t="str">
        <f t="shared" si="5"/>
        <v>No</v>
      </c>
      <c r="AE11" s="56" t="s">
        <v>36</v>
      </c>
      <c r="AF11" s="57" t="s">
        <v>42</v>
      </c>
      <c r="AG11" s="57" t="s">
        <v>42</v>
      </c>
      <c r="AH11" s="57" t="s">
        <v>42</v>
      </c>
      <c r="AI11" s="49" t="str">
        <f t="shared" si="6"/>
        <v>----</v>
      </c>
      <c r="AJ11" s="58" t="str">
        <f t="shared" si="7"/>
        <v>Paper has link but no statement</v>
      </c>
      <c r="AK11" s="59">
        <v>45035.0</v>
      </c>
      <c r="AL11" s="43" t="s">
        <v>43</v>
      </c>
      <c r="AM11" s="60" t="str">
        <f t="shared" si="8"/>
        <v>[IP1853]</v>
      </c>
    </row>
    <row r="12" ht="67.5" customHeight="1">
      <c r="A12" s="61">
        <v>1854.0</v>
      </c>
      <c r="B12" s="22" t="s">
        <v>72</v>
      </c>
      <c r="C12" s="23">
        <v>2014.0</v>
      </c>
      <c r="D12" s="24" t="s">
        <v>35</v>
      </c>
      <c r="E12" s="25" t="s">
        <v>36</v>
      </c>
      <c r="F12" s="25" t="s">
        <v>36</v>
      </c>
      <c r="G12" s="25" t="s">
        <v>36</v>
      </c>
      <c r="H12" s="25" t="s">
        <v>36</v>
      </c>
      <c r="I12" s="25" t="s">
        <v>36</v>
      </c>
      <c r="J12" s="26" t="s">
        <v>36</v>
      </c>
      <c r="K12" s="27" t="s">
        <v>35</v>
      </c>
      <c r="L12" s="28" t="s">
        <v>36</v>
      </c>
      <c r="M12" s="28" t="s">
        <v>36</v>
      </c>
      <c r="N12" s="28" t="s">
        <v>36</v>
      </c>
      <c r="O12" s="28" t="s">
        <v>36</v>
      </c>
      <c r="P12" s="28" t="s">
        <v>36</v>
      </c>
      <c r="Q12" s="28" t="s">
        <v>36</v>
      </c>
      <c r="R12" s="28" t="s">
        <v>36</v>
      </c>
      <c r="S12" s="29" t="s">
        <v>36</v>
      </c>
      <c r="T12" s="30" t="s">
        <v>36</v>
      </c>
      <c r="U12" s="31" t="s">
        <v>36</v>
      </c>
      <c r="V12" s="32" t="str">
        <f t="shared" ref="V12:X12" si="17">IF(lenb(SUBSTITUTE($Z12,V$1&amp;" (1)",""))&lt;lenb($Z12),1,IF(lenb(SUBSTITUTE($Z12,V$1&amp;" (2)",""))&lt;lenb($Z12),2,IF(lenb(SUBSTITUTE($Z12,V$1&amp;" (3)",""))&lt;lenb($Z12),3,IF(lenb(SUBSTITUTE($Z12,V$1&amp;" (4)",""))&lt;lenb($Z12),4,IF(lenb(SUBSTITUTE($Z12,V$1&amp;" (5)",""))&lt;lenb($Z12),5,IF(lenb(SUBSTITUTE($Z12,V$1&amp;" (6)",""))&lt;lenb($Z12),6,IF(lenb(SUBSTITUTE($Z12,V$1&amp;" (7)",""))&lt;lenb($Z12),1,IF(lenb(SUBSTITUTE($Z12,V$1&amp;" (8)",""))&lt;lenb($Z12),8,IF(lenb(SUBSTITUTE($Z12,V$1&amp;" (9)",""))&lt;lenb($Z12),9,IF(lenb(SUBSTITUTE($Z12,V$1&amp;" (10)",""))&lt;lenb($Z12),10,IF(lenb(SUBSTITUTE($Z12,V$1,""))&lt;lenb($Z12),"ERROR",IF($Z12=$Y$1,"-",0))))))))))))</f>
        <v>-</v>
      </c>
      <c r="W12" s="32" t="str">
        <f t="shared" si="17"/>
        <v>-</v>
      </c>
      <c r="X12" s="32" t="str">
        <f t="shared" si="17"/>
        <v>-</v>
      </c>
      <c r="Y12" s="32">
        <f t="shared" si="3"/>
        <v>1</v>
      </c>
      <c r="Z12" s="32" t="s">
        <v>23</v>
      </c>
      <c r="AA12" s="33">
        <f t="shared" si="4"/>
        <v>0</v>
      </c>
      <c r="AB12" s="34">
        <f>COUNTIFS(Links!B:B,"ICSE",Links!C:C,A12,Links!AD:AD,1)</f>
        <v>0</v>
      </c>
      <c r="AC12" s="35" t="s">
        <v>36</v>
      </c>
      <c r="AD12" s="27" t="str">
        <f t="shared" si="5"/>
        <v>No</v>
      </c>
      <c r="AE12" s="36" t="s">
        <v>36</v>
      </c>
      <c r="AF12" s="37" t="s">
        <v>42</v>
      </c>
      <c r="AG12" s="37" t="s">
        <v>42</v>
      </c>
      <c r="AH12" s="37" t="s">
        <v>42</v>
      </c>
      <c r="AI12" s="29" t="str">
        <f t="shared" si="6"/>
        <v>----</v>
      </c>
      <c r="AJ12" s="38" t="str">
        <f t="shared" si="7"/>
        <v>Paper has no link and no statement</v>
      </c>
      <c r="AK12" s="39">
        <v>45035.0</v>
      </c>
      <c r="AL12" s="23" t="s">
        <v>43</v>
      </c>
      <c r="AM12" s="40" t="str">
        <f t="shared" si="8"/>
        <v>[IP1854]</v>
      </c>
    </row>
    <row r="13" ht="67.5" customHeight="1">
      <c r="A13" s="41">
        <v>1855.0</v>
      </c>
      <c r="B13" s="42" t="s">
        <v>73</v>
      </c>
      <c r="C13" s="43">
        <v>2014.0</v>
      </c>
      <c r="D13" s="44" t="s">
        <v>35</v>
      </c>
      <c r="E13" s="45" t="s">
        <v>36</v>
      </c>
      <c r="F13" s="45" t="s">
        <v>36</v>
      </c>
      <c r="G13" s="45" t="s">
        <v>36</v>
      </c>
      <c r="H13" s="45" t="s">
        <v>36</v>
      </c>
      <c r="I13" s="45" t="s">
        <v>36</v>
      </c>
      <c r="J13" s="46" t="s">
        <v>36</v>
      </c>
      <c r="K13" s="47" t="s">
        <v>37</v>
      </c>
      <c r="L13" s="48" t="s">
        <v>35</v>
      </c>
      <c r="M13" s="48" t="s">
        <v>35</v>
      </c>
      <c r="N13" s="48" t="s">
        <v>35</v>
      </c>
      <c r="O13" s="48" t="s">
        <v>35</v>
      </c>
      <c r="P13" s="48" t="s">
        <v>35</v>
      </c>
      <c r="Q13" s="48" t="s">
        <v>35</v>
      </c>
      <c r="R13" s="48" t="s">
        <v>37</v>
      </c>
      <c r="S13" s="49" t="s">
        <v>74</v>
      </c>
      <c r="T13" s="50" t="s">
        <v>75</v>
      </c>
      <c r="U13" s="51" t="s">
        <v>75</v>
      </c>
      <c r="V13" s="52">
        <f t="shared" ref="V13:X13" si="18">IF(lenb(SUBSTITUTE($Z13,V$1&amp;" (1)",""))&lt;lenb($Z13),1,IF(lenb(SUBSTITUTE($Z13,V$1&amp;" (2)",""))&lt;lenb($Z13),2,IF(lenb(SUBSTITUTE($Z13,V$1&amp;" (3)",""))&lt;lenb($Z13),3,IF(lenb(SUBSTITUTE($Z13,V$1&amp;" (4)",""))&lt;lenb($Z13),4,IF(lenb(SUBSTITUTE($Z13,V$1&amp;" (5)",""))&lt;lenb($Z13),5,IF(lenb(SUBSTITUTE($Z13,V$1&amp;" (6)",""))&lt;lenb($Z13),6,IF(lenb(SUBSTITUTE($Z13,V$1&amp;" (7)",""))&lt;lenb($Z13),1,IF(lenb(SUBSTITUTE($Z13,V$1&amp;" (8)",""))&lt;lenb($Z13),8,IF(lenb(SUBSTITUTE($Z13,V$1&amp;" (9)",""))&lt;lenb($Z13),9,IF(lenb(SUBSTITUTE($Z13,V$1&amp;" (10)",""))&lt;lenb($Z13),10,IF(lenb(SUBSTITUTE($Z13,V$1,""))&lt;lenb($Z13),"ERROR",IF($Z13=$Y$1,"-",0))))))))))))</f>
        <v>1</v>
      </c>
      <c r="W13" s="52">
        <f t="shared" si="18"/>
        <v>0</v>
      </c>
      <c r="X13" s="52">
        <f t="shared" si="18"/>
        <v>0</v>
      </c>
      <c r="Y13" s="52" t="str">
        <f t="shared" si="3"/>
        <v>-</v>
      </c>
      <c r="Z13" s="52" t="s">
        <v>62</v>
      </c>
      <c r="AA13" s="53">
        <f t="shared" si="4"/>
        <v>1</v>
      </c>
      <c r="AB13" s="54">
        <f>COUNTIFS(Links!B:B,"ICSE",Links!C:C,A13,Links!AD:AD,1)</f>
        <v>1</v>
      </c>
      <c r="AC13" s="55" t="s">
        <v>35</v>
      </c>
      <c r="AD13" s="47" t="str">
        <f t="shared" si="5"/>
        <v>No</v>
      </c>
      <c r="AE13" s="56" t="s">
        <v>36</v>
      </c>
      <c r="AF13" s="57" t="s">
        <v>42</v>
      </c>
      <c r="AG13" s="57" t="s">
        <v>42</v>
      </c>
      <c r="AH13" s="57" t="s">
        <v>42</v>
      </c>
      <c r="AI13" s="49" t="str">
        <f t="shared" si="6"/>
        <v>----</v>
      </c>
      <c r="AJ13" s="58" t="str">
        <f t="shared" si="7"/>
        <v>Paper has link but no statement</v>
      </c>
      <c r="AK13" s="59">
        <v>45035.0</v>
      </c>
      <c r="AL13" s="43" t="s">
        <v>43</v>
      </c>
      <c r="AM13" s="60" t="str">
        <f t="shared" si="8"/>
        <v>[IP1855]</v>
      </c>
    </row>
    <row r="14" ht="67.5" customHeight="1">
      <c r="A14" s="61">
        <v>1856.0</v>
      </c>
      <c r="B14" s="22" t="s">
        <v>76</v>
      </c>
      <c r="C14" s="23">
        <v>2014.0</v>
      </c>
      <c r="D14" s="24" t="s">
        <v>35</v>
      </c>
      <c r="E14" s="25" t="s">
        <v>36</v>
      </c>
      <c r="F14" s="25" t="s">
        <v>36</v>
      </c>
      <c r="G14" s="25" t="s">
        <v>36</v>
      </c>
      <c r="H14" s="25" t="s">
        <v>36</v>
      </c>
      <c r="I14" s="25" t="s">
        <v>36</v>
      </c>
      <c r="J14" s="26" t="s">
        <v>36</v>
      </c>
      <c r="K14" s="27" t="s">
        <v>37</v>
      </c>
      <c r="L14" s="28" t="s">
        <v>35</v>
      </c>
      <c r="M14" s="28" t="s">
        <v>37</v>
      </c>
      <c r="N14" s="28" t="s">
        <v>35</v>
      </c>
      <c r="O14" s="28" t="s">
        <v>35</v>
      </c>
      <c r="P14" s="28" t="s">
        <v>35</v>
      </c>
      <c r="Q14" s="28" t="s">
        <v>35</v>
      </c>
      <c r="R14" s="28" t="s">
        <v>37</v>
      </c>
      <c r="S14" s="29" t="s">
        <v>77</v>
      </c>
      <c r="T14" s="30" t="s">
        <v>78</v>
      </c>
      <c r="U14" s="31" t="s">
        <v>78</v>
      </c>
      <c r="V14" s="32">
        <f t="shared" ref="V14:X14" si="19">IF(lenb(SUBSTITUTE($Z14,V$1&amp;" (1)",""))&lt;lenb($Z14),1,IF(lenb(SUBSTITUTE($Z14,V$1&amp;" (2)",""))&lt;lenb($Z14),2,IF(lenb(SUBSTITUTE($Z14,V$1&amp;" (3)",""))&lt;lenb($Z14),3,IF(lenb(SUBSTITUTE($Z14,V$1&amp;" (4)",""))&lt;lenb($Z14),4,IF(lenb(SUBSTITUTE($Z14,V$1&amp;" (5)",""))&lt;lenb($Z14),5,IF(lenb(SUBSTITUTE($Z14,V$1&amp;" (6)",""))&lt;lenb($Z14),6,IF(lenb(SUBSTITUTE($Z14,V$1&amp;" (7)",""))&lt;lenb($Z14),1,IF(lenb(SUBSTITUTE($Z14,V$1&amp;" (8)",""))&lt;lenb($Z14),8,IF(lenb(SUBSTITUTE($Z14,V$1&amp;" (9)",""))&lt;lenb($Z14),9,IF(lenb(SUBSTITUTE($Z14,V$1&amp;" (10)",""))&lt;lenb($Z14),10,IF(lenb(SUBSTITUTE($Z14,V$1,""))&lt;lenb($Z14),"ERROR",IF($Z14=$Y$1,"-",0))))))))))))</f>
        <v>1</v>
      </c>
      <c r="W14" s="32">
        <f t="shared" si="19"/>
        <v>1</v>
      </c>
      <c r="X14" s="32">
        <f t="shared" si="19"/>
        <v>0</v>
      </c>
      <c r="Y14" s="32" t="str">
        <f t="shared" si="3"/>
        <v>-</v>
      </c>
      <c r="Z14" s="32" t="s">
        <v>79</v>
      </c>
      <c r="AA14" s="33">
        <f t="shared" si="4"/>
        <v>2</v>
      </c>
      <c r="AB14" s="34">
        <f>COUNTIFS(Links!B:B,"ICSE",Links!C:C,A14,Links!AD:AD,1)</f>
        <v>1</v>
      </c>
      <c r="AC14" s="35" t="s">
        <v>35</v>
      </c>
      <c r="AD14" s="27" t="str">
        <f t="shared" si="5"/>
        <v>No</v>
      </c>
      <c r="AE14" s="36" t="s">
        <v>36</v>
      </c>
      <c r="AF14" s="37" t="s">
        <v>42</v>
      </c>
      <c r="AG14" s="37" t="s">
        <v>42</v>
      </c>
      <c r="AH14" s="37" t="s">
        <v>42</v>
      </c>
      <c r="AI14" s="29" t="str">
        <f t="shared" si="6"/>
        <v>----</v>
      </c>
      <c r="AJ14" s="38" t="str">
        <f t="shared" si="7"/>
        <v>Paper has link but no statement</v>
      </c>
      <c r="AK14" s="39">
        <v>45035.0</v>
      </c>
      <c r="AL14" s="23" t="s">
        <v>43</v>
      </c>
      <c r="AM14" s="40" t="str">
        <f t="shared" si="8"/>
        <v>[IP1856]</v>
      </c>
    </row>
    <row r="15" ht="67.5" customHeight="1">
      <c r="A15" s="41">
        <v>1857.0</v>
      </c>
      <c r="B15" s="42" t="s">
        <v>80</v>
      </c>
      <c r="C15" s="43">
        <v>2014.0</v>
      </c>
      <c r="D15" s="44" t="s">
        <v>35</v>
      </c>
      <c r="E15" s="45" t="s">
        <v>36</v>
      </c>
      <c r="F15" s="45" t="s">
        <v>36</v>
      </c>
      <c r="G15" s="45" t="s">
        <v>36</v>
      </c>
      <c r="H15" s="45" t="s">
        <v>36</v>
      </c>
      <c r="I15" s="45" t="s">
        <v>36</v>
      </c>
      <c r="J15" s="46" t="s">
        <v>36</v>
      </c>
      <c r="K15" s="47" t="s">
        <v>37</v>
      </c>
      <c r="L15" s="48" t="s">
        <v>35</v>
      </c>
      <c r="M15" s="48" t="s">
        <v>35</v>
      </c>
      <c r="N15" s="48" t="s">
        <v>37</v>
      </c>
      <c r="O15" s="48" t="s">
        <v>37</v>
      </c>
      <c r="P15" s="48" t="s">
        <v>35</v>
      </c>
      <c r="Q15" s="48" t="s">
        <v>35</v>
      </c>
      <c r="R15" s="48" t="s">
        <v>35</v>
      </c>
      <c r="S15" s="49" t="s">
        <v>81</v>
      </c>
      <c r="T15" s="50" t="s">
        <v>82</v>
      </c>
      <c r="U15" s="51" t="s">
        <v>82</v>
      </c>
      <c r="V15" s="52">
        <f t="shared" ref="V15:X15" si="20">IF(lenb(SUBSTITUTE($Z15,V$1&amp;" (1)",""))&lt;lenb($Z15),1,IF(lenb(SUBSTITUTE($Z15,V$1&amp;" (2)",""))&lt;lenb($Z15),2,IF(lenb(SUBSTITUTE($Z15,V$1&amp;" (3)",""))&lt;lenb($Z15),3,IF(lenb(SUBSTITUTE($Z15,V$1&amp;" (4)",""))&lt;lenb($Z15),4,IF(lenb(SUBSTITUTE($Z15,V$1&amp;" (5)",""))&lt;lenb($Z15),5,IF(lenb(SUBSTITUTE($Z15,V$1&amp;" (6)",""))&lt;lenb($Z15),6,IF(lenb(SUBSTITUTE($Z15,V$1&amp;" (7)",""))&lt;lenb($Z15),1,IF(lenb(SUBSTITUTE($Z15,V$1&amp;" (8)",""))&lt;lenb($Z15),8,IF(lenb(SUBSTITUTE($Z15,V$1&amp;" (9)",""))&lt;lenb($Z15),9,IF(lenb(SUBSTITUTE($Z15,V$1&amp;" (10)",""))&lt;lenb($Z15),10,IF(lenb(SUBSTITUTE($Z15,V$1,""))&lt;lenb($Z15),"ERROR",IF($Z15=$Y$1,"-",0))))))))))))</f>
        <v>0</v>
      </c>
      <c r="W15" s="52">
        <f t="shared" si="20"/>
        <v>1</v>
      </c>
      <c r="X15" s="52">
        <f t="shared" si="20"/>
        <v>0</v>
      </c>
      <c r="Y15" s="52" t="str">
        <f t="shared" si="3"/>
        <v>-</v>
      </c>
      <c r="Z15" s="52" t="s">
        <v>47</v>
      </c>
      <c r="AA15" s="53">
        <f t="shared" si="4"/>
        <v>1</v>
      </c>
      <c r="AB15" s="54">
        <f>COUNTIFS(Links!B:B,"ICSE",Links!C:C,A15,Links!AD:AD,1)</f>
        <v>0</v>
      </c>
      <c r="AC15" s="55" t="s">
        <v>35</v>
      </c>
      <c r="AD15" s="47" t="str">
        <f t="shared" si="5"/>
        <v>No</v>
      </c>
      <c r="AE15" s="56" t="s">
        <v>36</v>
      </c>
      <c r="AF15" s="57" t="s">
        <v>42</v>
      </c>
      <c r="AG15" s="57" t="s">
        <v>42</v>
      </c>
      <c r="AH15" s="57" t="s">
        <v>42</v>
      </c>
      <c r="AI15" s="49" t="str">
        <f t="shared" si="6"/>
        <v>----</v>
      </c>
      <c r="AJ15" s="58" t="str">
        <f t="shared" si="7"/>
        <v>Paper has link but no statement</v>
      </c>
      <c r="AK15" s="59">
        <v>45035.0</v>
      </c>
      <c r="AL15" s="43" t="s">
        <v>43</v>
      </c>
      <c r="AM15" s="60" t="str">
        <f t="shared" si="8"/>
        <v>[IP1857]</v>
      </c>
    </row>
    <row r="16" ht="67.5" customHeight="1">
      <c r="A16" s="61">
        <v>1858.0</v>
      </c>
      <c r="B16" s="22" t="s">
        <v>83</v>
      </c>
      <c r="C16" s="23">
        <v>2014.0</v>
      </c>
      <c r="D16" s="24" t="s">
        <v>35</v>
      </c>
      <c r="E16" s="25" t="s">
        <v>36</v>
      </c>
      <c r="F16" s="25" t="s">
        <v>36</v>
      </c>
      <c r="G16" s="25" t="s">
        <v>36</v>
      </c>
      <c r="H16" s="25" t="s">
        <v>36</v>
      </c>
      <c r="I16" s="25" t="s">
        <v>36</v>
      </c>
      <c r="J16" s="26" t="s">
        <v>36</v>
      </c>
      <c r="K16" s="27" t="s">
        <v>37</v>
      </c>
      <c r="L16" s="28" t="s">
        <v>35</v>
      </c>
      <c r="M16" s="28" t="s">
        <v>35</v>
      </c>
      <c r="N16" s="28" t="s">
        <v>37</v>
      </c>
      <c r="O16" s="28" t="s">
        <v>35</v>
      </c>
      <c r="P16" s="28" t="s">
        <v>35</v>
      </c>
      <c r="Q16" s="28" t="s">
        <v>35</v>
      </c>
      <c r="R16" s="28" t="s">
        <v>35</v>
      </c>
      <c r="S16" s="29" t="s">
        <v>84</v>
      </c>
      <c r="T16" s="30" t="s">
        <v>85</v>
      </c>
      <c r="U16" s="31" t="s">
        <v>85</v>
      </c>
      <c r="V16" s="32">
        <f t="shared" ref="V16:X16" si="21">IF(lenb(SUBSTITUTE($Z16,V$1&amp;" (1)",""))&lt;lenb($Z16),1,IF(lenb(SUBSTITUTE($Z16,V$1&amp;" (2)",""))&lt;lenb($Z16),2,IF(lenb(SUBSTITUTE($Z16,V$1&amp;" (3)",""))&lt;lenb($Z16),3,IF(lenb(SUBSTITUTE($Z16,V$1&amp;" (4)",""))&lt;lenb($Z16),4,IF(lenb(SUBSTITUTE($Z16,V$1&amp;" (5)",""))&lt;lenb($Z16),5,IF(lenb(SUBSTITUTE($Z16,V$1&amp;" (6)",""))&lt;lenb($Z16),6,IF(lenb(SUBSTITUTE($Z16,V$1&amp;" (7)",""))&lt;lenb($Z16),1,IF(lenb(SUBSTITUTE($Z16,V$1&amp;" (8)",""))&lt;lenb($Z16),8,IF(lenb(SUBSTITUTE($Z16,V$1&amp;" (9)",""))&lt;lenb($Z16),9,IF(lenb(SUBSTITUTE($Z16,V$1&amp;" (10)",""))&lt;lenb($Z16),10,IF(lenb(SUBSTITUTE($Z16,V$1,""))&lt;lenb($Z16),"ERROR",IF($Z16=$Y$1,"-",0))))))))))))</f>
        <v>0</v>
      </c>
      <c r="W16" s="32">
        <f t="shared" si="21"/>
        <v>1</v>
      </c>
      <c r="X16" s="32">
        <f t="shared" si="21"/>
        <v>0</v>
      </c>
      <c r="Y16" s="32" t="str">
        <f t="shared" si="3"/>
        <v>-</v>
      </c>
      <c r="Z16" s="32" t="s">
        <v>47</v>
      </c>
      <c r="AA16" s="33">
        <f t="shared" si="4"/>
        <v>1</v>
      </c>
      <c r="AB16" s="34">
        <f>COUNTIFS(Links!B:B,"ICSE",Links!C:C,A16,Links!AD:AD,1)</f>
        <v>1</v>
      </c>
      <c r="AC16" s="35" t="s">
        <v>35</v>
      </c>
      <c r="AD16" s="27" t="str">
        <f t="shared" si="5"/>
        <v>No</v>
      </c>
      <c r="AE16" s="36" t="s">
        <v>36</v>
      </c>
      <c r="AF16" s="37" t="s">
        <v>42</v>
      </c>
      <c r="AG16" s="37" t="s">
        <v>42</v>
      </c>
      <c r="AH16" s="37" t="s">
        <v>42</v>
      </c>
      <c r="AI16" s="29" t="str">
        <f t="shared" si="6"/>
        <v>----</v>
      </c>
      <c r="AJ16" s="38" t="str">
        <f t="shared" si="7"/>
        <v>Paper has link but no statement</v>
      </c>
      <c r="AK16" s="39">
        <v>45035.0</v>
      </c>
      <c r="AL16" s="23" t="s">
        <v>43</v>
      </c>
      <c r="AM16" s="40" t="str">
        <f t="shared" si="8"/>
        <v>[IP1858]</v>
      </c>
    </row>
    <row r="17" ht="67.5" customHeight="1">
      <c r="A17" s="41">
        <v>1859.0</v>
      </c>
      <c r="B17" s="42" t="s">
        <v>86</v>
      </c>
      <c r="C17" s="43">
        <v>2014.0</v>
      </c>
      <c r="D17" s="44" t="s">
        <v>35</v>
      </c>
      <c r="E17" s="45" t="s">
        <v>36</v>
      </c>
      <c r="F17" s="45" t="s">
        <v>36</v>
      </c>
      <c r="G17" s="45" t="s">
        <v>36</v>
      </c>
      <c r="H17" s="45" t="s">
        <v>36</v>
      </c>
      <c r="I17" s="45" t="s">
        <v>36</v>
      </c>
      <c r="J17" s="46" t="s">
        <v>36</v>
      </c>
      <c r="K17" s="47" t="s">
        <v>37</v>
      </c>
      <c r="L17" s="48" t="s">
        <v>35</v>
      </c>
      <c r="M17" s="48" t="s">
        <v>37</v>
      </c>
      <c r="N17" s="48" t="s">
        <v>35</v>
      </c>
      <c r="O17" s="48" t="s">
        <v>35</v>
      </c>
      <c r="P17" s="48" t="s">
        <v>35</v>
      </c>
      <c r="Q17" s="48" t="s">
        <v>35</v>
      </c>
      <c r="R17" s="48" t="s">
        <v>37</v>
      </c>
      <c r="S17" s="49" t="s">
        <v>87</v>
      </c>
      <c r="T17" s="64" t="s">
        <v>88</v>
      </c>
      <c r="U17" s="51" t="s">
        <v>88</v>
      </c>
      <c r="V17" s="52">
        <f t="shared" ref="V17:X17" si="22">IF(lenb(SUBSTITUTE($Z17,V$1&amp;" (1)",""))&lt;lenb($Z17),1,IF(lenb(SUBSTITUTE($Z17,V$1&amp;" (2)",""))&lt;lenb($Z17),2,IF(lenb(SUBSTITUTE($Z17,V$1&amp;" (3)",""))&lt;lenb($Z17),3,IF(lenb(SUBSTITUTE($Z17,V$1&amp;" (4)",""))&lt;lenb($Z17),4,IF(lenb(SUBSTITUTE($Z17,V$1&amp;" (5)",""))&lt;lenb($Z17),5,IF(lenb(SUBSTITUTE($Z17,V$1&amp;" (6)",""))&lt;lenb($Z17),6,IF(lenb(SUBSTITUTE($Z17,V$1&amp;" (7)",""))&lt;lenb($Z17),1,IF(lenb(SUBSTITUTE($Z17,V$1&amp;" (8)",""))&lt;lenb($Z17),8,IF(lenb(SUBSTITUTE($Z17,V$1&amp;" (9)",""))&lt;lenb($Z17),9,IF(lenb(SUBSTITUTE($Z17,V$1&amp;" (10)",""))&lt;lenb($Z17),10,IF(lenb(SUBSTITUTE($Z17,V$1,""))&lt;lenb($Z17),"ERROR",IF($Z17=$Y$1,"-",0))))))))))))</f>
        <v>1</v>
      </c>
      <c r="W17" s="52">
        <f t="shared" si="22"/>
        <v>0</v>
      </c>
      <c r="X17" s="52">
        <f t="shared" si="22"/>
        <v>0</v>
      </c>
      <c r="Y17" s="52" t="str">
        <f t="shared" si="3"/>
        <v>-</v>
      </c>
      <c r="Z17" s="52" t="s">
        <v>62</v>
      </c>
      <c r="AA17" s="53">
        <f t="shared" si="4"/>
        <v>1</v>
      </c>
      <c r="AB17" s="54">
        <f>COUNTIFS(Links!B:B,"ICSE",Links!C:C,A17,Links!AD:AD,1)</f>
        <v>1</v>
      </c>
      <c r="AC17" s="55" t="s">
        <v>35</v>
      </c>
      <c r="AD17" s="47" t="str">
        <f t="shared" si="5"/>
        <v>No</v>
      </c>
      <c r="AE17" s="56" t="s">
        <v>36</v>
      </c>
      <c r="AF17" s="57" t="s">
        <v>42</v>
      </c>
      <c r="AG17" s="57" t="s">
        <v>42</v>
      </c>
      <c r="AH17" s="57" t="s">
        <v>42</v>
      </c>
      <c r="AI17" s="49" t="str">
        <f t="shared" si="6"/>
        <v>----</v>
      </c>
      <c r="AJ17" s="58" t="str">
        <f t="shared" si="7"/>
        <v>Paper has link but no statement</v>
      </c>
      <c r="AK17" s="59">
        <v>45035.0</v>
      </c>
      <c r="AL17" s="43" t="s">
        <v>43</v>
      </c>
      <c r="AM17" s="60" t="str">
        <f t="shared" si="8"/>
        <v>[IP1859]</v>
      </c>
    </row>
    <row r="18" ht="67.5" customHeight="1">
      <c r="A18" s="61">
        <v>1860.0</v>
      </c>
      <c r="B18" s="22" t="s">
        <v>89</v>
      </c>
      <c r="C18" s="23">
        <v>2014.0</v>
      </c>
      <c r="D18" s="24" t="s">
        <v>35</v>
      </c>
      <c r="E18" s="25" t="s">
        <v>36</v>
      </c>
      <c r="F18" s="25" t="s">
        <v>36</v>
      </c>
      <c r="G18" s="25" t="s">
        <v>36</v>
      </c>
      <c r="H18" s="25" t="s">
        <v>36</v>
      </c>
      <c r="I18" s="25" t="s">
        <v>36</v>
      </c>
      <c r="J18" s="26" t="s">
        <v>36</v>
      </c>
      <c r="K18" s="27" t="s">
        <v>37</v>
      </c>
      <c r="L18" s="28" t="s">
        <v>35</v>
      </c>
      <c r="M18" s="28" t="s">
        <v>37</v>
      </c>
      <c r="N18" s="28" t="s">
        <v>35</v>
      </c>
      <c r="O18" s="28" t="s">
        <v>35</v>
      </c>
      <c r="P18" s="28" t="s">
        <v>35</v>
      </c>
      <c r="Q18" s="28" t="s">
        <v>35</v>
      </c>
      <c r="R18" s="28" t="s">
        <v>37</v>
      </c>
      <c r="S18" s="29" t="s">
        <v>90</v>
      </c>
      <c r="T18" s="65" t="s">
        <v>91</v>
      </c>
      <c r="U18" s="65" t="s">
        <v>91</v>
      </c>
      <c r="V18" s="32">
        <f t="shared" ref="V18:X18" si="23">IF(lenb(SUBSTITUTE($Z18,V$1&amp;" (1)",""))&lt;lenb($Z18),1,IF(lenb(SUBSTITUTE($Z18,V$1&amp;" (2)",""))&lt;lenb($Z18),2,IF(lenb(SUBSTITUTE($Z18,V$1&amp;" (3)",""))&lt;lenb($Z18),3,IF(lenb(SUBSTITUTE($Z18,V$1&amp;" (4)",""))&lt;lenb($Z18),4,IF(lenb(SUBSTITUTE($Z18,V$1&amp;" (5)",""))&lt;lenb($Z18),5,IF(lenb(SUBSTITUTE($Z18,V$1&amp;" (6)",""))&lt;lenb($Z18),6,IF(lenb(SUBSTITUTE($Z18,V$1&amp;" (7)",""))&lt;lenb($Z18),1,IF(lenb(SUBSTITUTE($Z18,V$1&amp;" (8)",""))&lt;lenb($Z18),8,IF(lenb(SUBSTITUTE($Z18,V$1&amp;" (9)",""))&lt;lenb($Z18),9,IF(lenb(SUBSTITUTE($Z18,V$1&amp;" (10)",""))&lt;lenb($Z18),10,IF(lenb(SUBSTITUTE($Z18,V$1,""))&lt;lenb($Z18),"ERROR",IF($Z18=$Y$1,"-",0))))))))))))</f>
        <v>1</v>
      </c>
      <c r="W18" s="32">
        <f t="shared" si="23"/>
        <v>0</v>
      </c>
      <c r="X18" s="32">
        <f t="shared" si="23"/>
        <v>0</v>
      </c>
      <c r="Y18" s="32" t="str">
        <f t="shared" si="3"/>
        <v>-</v>
      </c>
      <c r="Z18" s="32" t="s">
        <v>62</v>
      </c>
      <c r="AA18" s="33">
        <f t="shared" si="4"/>
        <v>1</v>
      </c>
      <c r="AB18" s="34">
        <f>COUNTIFS(Links!B:B,"ICSE",Links!C:C,A18,Links!AD:AD,1)</f>
        <v>0</v>
      </c>
      <c r="AC18" s="35" t="s">
        <v>35</v>
      </c>
      <c r="AD18" s="27" t="str">
        <f t="shared" si="5"/>
        <v>No</v>
      </c>
      <c r="AE18" s="36" t="s">
        <v>36</v>
      </c>
      <c r="AF18" s="37" t="s">
        <v>42</v>
      </c>
      <c r="AG18" s="37" t="s">
        <v>42</v>
      </c>
      <c r="AH18" s="37" t="s">
        <v>42</v>
      </c>
      <c r="AI18" s="29" t="str">
        <f t="shared" si="6"/>
        <v>----</v>
      </c>
      <c r="AJ18" s="38" t="str">
        <f t="shared" si="7"/>
        <v>Paper has link but no statement</v>
      </c>
      <c r="AK18" s="39">
        <v>45035.0</v>
      </c>
      <c r="AL18" s="23" t="s">
        <v>43</v>
      </c>
      <c r="AM18" s="40" t="str">
        <f t="shared" si="8"/>
        <v>[IP1860]</v>
      </c>
    </row>
    <row r="19" ht="67.5" customHeight="1">
      <c r="A19" s="41">
        <v>1861.0</v>
      </c>
      <c r="B19" s="42" t="s">
        <v>92</v>
      </c>
      <c r="C19" s="43">
        <v>2014.0</v>
      </c>
      <c r="D19" s="44" t="s">
        <v>35</v>
      </c>
      <c r="E19" s="45" t="s">
        <v>36</v>
      </c>
      <c r="F19" s="45" t="s">
        <v>36</v>
      </c>
      <c r="G19" s="45" t="s">
        <v>36</v>
      </c>
      <c r="H19" s="45" t="s">
        <v>36</v>
      </c>
      <c r="I19" s="45" t="s">
        <v>36</v>
      </c>
      <c r="J19" s="46" t="s">
        <v>36</v>
      </c>
      <c r="K19" s="47" t="s">
        <v>35</v>
      </c>
      <c r="L19" s="48" t="s">
        <v>36</v>
      </c>
      <c r="M19" s="48" t="s">
        <v>36</v>
      </c>
      <c r="N19" s="48" t="s">
        <v>36</v>
      </c>
      <c r="O19" s="48" t="s">
        <v>36</v>
      </c>
      <c r="P19" s="48" t="s">
        <v>36</v>
      </c>
      <c r="Q19" s="48" t="s">
        <v>36</v>
      </c>
      <c r="R19" s="48" t="s">
        <v>36</v>
      </c>
      <c r="S19" s="49" t="s">
        <v>36</v>
      </c>
      <c r="T19" s="64" t="s">
        <v>36</v>
      </c>
      <c r="U19" s="51" t="s">
        <v>36</v>
      </c>
      <c r="V19" s="52" t="str">
        <f t="shared" ref="V19:X19" si="24">IF(lenb(SUBSTITUTE($Z19,V$1&amp;" (1)",""))&lt;lenb($Z19),1,IF(lenb(SUBSTITUTE($Z19,V$1&amp;" (2)",""))&lt;lenb($Z19),2,IF(lenb(SUBSTITUTE($Z19,V$1&amp;" (3)",""))&lt;lenb($Z19),3,IF(lenb(SUBSTITUTE($Z19,V$1&amp;" (4)",""))&lt;lenb($Z19),4,IF(lenb(SUBSTITUTE($Z19,V$1&amp;" (5)",""))&lt;lenb($Z19),5,IF(lenb(SUBSTITUTE($Z19,V$1&amp;" (6)",""))&lt;lenb($Z19),6,IF(lenb(SUBSTITUTE($Z19,V$1&amp;" (7)",""))&lt;lenb($Z19),1,IF(lenb(SUBSTITUTE($Z19,V$1&amp;" (8)",""))&lt;lenb($Z19),8,IF(lenb(SUBSTITUTE($Z19,V$1&amp;" (9)",""))&lt;lenb($Z19),9,IF(lenb(SUBSTITUTE($Z19,V$1&amp;" (10)",""))&lt;lenb($Z19),10,IF(lenb(SUBSTITUTE($Z19,V$1,""))&lt;lenb($Z19),"ERROR",IF($Z19=$Y$1,"-",0))))))))))))</f>
        <v>-</v>
      </c>
      <c r="W19" s="52" t="str">
        <f t="shared" si="24"/>
        <v>-</v>
      </c>
      <c r="X19" s="52" t="str">
        <f t="shared" si="24"/>
        <v>-</v>
      </c>
      <c r="Y19" s="52">
        <f t="shared" si="3"/>
        <v>1</v>
      </c>
      <c r="Z19" s="52" t="s">
        <v>23</v>
      </c>
      <c r="AA19" s="53">
        <f t="shared" si="4"/>
        <v>0</v>
      </c>
      <c r="AB19" s="54">
        <f>COUNTIFS(Links!B:B,"ICSE",Links!C:C,A19,Links!AD:AD,1)</f>
        <v>0</v>
      </c>
      <c r="AC19" s="55" t="s">
        <v>36</v>
      </c>
      <c r="AD19" s="47" t="str">
        <f t="shared" si="5"/>
        <v>No</v>
      </c>
      <c r="AE19" s="56" t="s">
        <v>36</v>
      </c>
      <c r="AF19" s="57" t="s">
        <v>42</v>
      </c>
      <c r="AG19" s="57" t="s">
        <v>42</v>
      </c>
      <c r="AH19" s="57" t="s">
        <v>42</v>
      </c>
      <c r="AI19" s="49" t="str">
        <f t="shared" si="6"/>
        <v>----</v>
      </c>
      <c r="AJ19" s="58" t="str">
        <f t="shared" si="7"/>
        <v>Paper has no link and no statement</v>
      </c>
      <c r="AK19" s="59">
        <v>45035.0</v>
      </c>
      <c r="AL19" s="43" t="s">
        <v>43</v>
      </c>
      <c r="AM19" s="60" t="str">
        <f t="shared" si="8"/>
        <v>[IP1861]</v>
      </c>
    </row>
    <row r="20" ht="67.5" customHeight="1">
      <c r="A20" s="21">
        <v>1862.0</v>
      </c>
      <c r="B20" s="22" t="s">
        <v>93</v>
      </c>
      <c r="C20" s="23">
        <v>2014.0</v>
      </c>
      <c r="D20" s="24" t="s">
        <v>35</v>
      </c>
      <c r="E20" s="25" t="s">
        <v>36</v>
      </c>
      <c r="F20" s="25" t="s">
        <v>36</v>
      </c>
      <c r="G20" s="25" t="s">
        <v>36</v>
      </c>
      <c r="H20" s="25" t="s">
        <v>36</v>
      </c>
      <c r="I20" s="25" t="s">
        <v>36</v>
      </c>
      <c r="J20" s="26" t="s">
        <v>36</v>
      </c>
      <c r="K20" s="27" t="s">
        <v>37</v>
      </c>
      <c r="L20" s="28" t="s">
        <v>35</v>
      </c>
      <c r="M20" s="28" t="s">
        <v>37</v>
      </c>
      <c r="N20" s="28" t="s">
        <v>35</v>
      </c>
      <c r="O20" s="28" t="s">
        <v>35</v>
      </c>
      <c r="P20" s="28" t="s">
        <v>35</v>
      </c>
      <c r="Q20" s="28" t="s">
        <v>35</v>
      </c>
      <c r="R20" s="28" t="s">
        <v>37</v>
      </c>
      <c r="S20" s="29" t="s">
        <v>94</v>
      </c>
      <c r="T20" s="65" t="s">
        <v>95</v>
      </c>
      <c r="U20" s="66" t="s">
        <v>96</v>
      </c>
      <c r="V20" s="32">
        <f t="shared" ref="V20:X20" si="25">IF(lenb(SUBSTITUTE($Z20,V$1&amp;" (1)",""))&lt;lenb($Z20),1,IF(lenb(SUBSTITUTE($Z20,V$1&amp;" (2)",""))&lt;lenb($Z20),2,IF(lenb(SUBSTITUTE($Z20,V$1&amp;" (3)",""))&lt;lenb($Z20),3,IF(lenb(SUBSTITUTE($Z20,V$1&amp;" (4)",""))&lt;lenb($Z20),4,IF(lenb(SUBSTITUTE($Z20,V$1&amp;" (5)",""))&lt;lenb($Z20),5,IF(lenb(SUBSTITUTE($Z20,V$1&amp;" (6)",""))&lt;lenb($Z20),6,IF(lenb(SUBSTITUTE($Z20,V$1&amp;" (7)",""))&lt;lenb($Z20),1,IF(lenb(SUBSTITUTE($Z20,V$1&amp;" (8)",""))&lt;lenb($Z20),8,IF(lenb(SUBSTITUTE($Z20,V$1&amp;" (9)",""))&lt;lenb($Z20),9,IF(lenb(SUBSTITUTE($Z20,V$1&amp;" (10)",""))&lt;lenb($Z20),10,IF(lenb(SUBSTITUTE($Z20,V$1,""))&lt;lenb($Z20),"ERROR",IF($Z20=$Y$1,"-",0))))))))))))</f>
        <v>1</v>
      </c>
      <c r="W20" s="32">
        <f t="shared" si="25"/>
        <v>0</v>
      </c>
      <c r="X20" s="32">
        <f t="shared" si="25"/>
        <v>0</v>
      </c>
      <c r="Y20" s="32" t="str">
        <f t="shared" si="3"/>
        <v>-</v>
      </c>
      <c r="Z20" s="32" t="s">
        <v>62</v>
      </c>
      <c r="AA20" s="33">
        <f t="shared" si="4"/>
        <v>1</v>
      </c>
      <c r="AB20" s="34">
        <f>COUNTIFS(Links!B:B,"ICSE",Links!C:C,A20,Links!AD:AD,1)</f>
        <v>0</v>
      </c>
      <c r="AC20" s="35" t="s">
        <v>35</v>
      </c>
      <c r="AD20" s="27" t="str">
        <f t="shared" si="5"/>
        <v>No</v>
      </c>
      <c r="AE20" s="36" t="s">
        <v>36</v>
      </c>
      <c r="AF20" s="37" t="s">
        <v>42</v>
      </c>
      <c r="AG20" s="37" t="s">
        <v>42</v>
      </c>
      <c r="AH20" s="37" t="s">
        <v>42</v>
      </c>
      <c r="AI20" s="29" t="str">
        <f t="shared" si="6"/>
        <v>----</v>
      </c>
      <c r="AJ20" s="38" t="str">
        <f t="shared" si="7"/>
        <v>Paper has link but no statement</v>
      </c>
      <c r="AK20" s="39">
        <v>45035.0</v>
      </c>
      <c r="AL20" s="23" t="s">
        <v>43</v>
      </c>
      <c r="AM20" s="40" t="str">
        <f t="shared" si="8"/>
        <v>[IP1862]</v>
      </c>
    </row>
    <row r="21" ht="67.5" customHeight="1">
      <c r="A21" s="41">
        <v>1863.0</v>
      </c>
      <c r="B21" s="42" t="s">
        <v>97</v>
      </c>
      <c r="C21" s="43">
        <v>2014.0</v>
      </c>
      <c r="D21" s="44" t="s">
        <v>35</v>
      </c>
      <c r="E21" s="45" t="s">
        <v>36</v>
      </c>
      <c r="F21" s="45" t="s">
        <v>36</v>
      </c>
      <c r="G21" s="45" t="s">
        <v>36</v>
      </c>
      <c r="H21" s="45" t="s">
        <v>36</v>
      </c>
      <c r="I21" s="45" t="s">
        <v>36</v>
      </c>
      <c r="J21" s="46" t="s">
        <v>36</v>
      </c>
      <c r="K21" s="47" t="s">
        <v>37</v>
      </c>
      <c r="L21" s="48" t="s">
        <v>37</v>
      </c>
      <c r="M21" s="48" t="s">
        <v>35</v>
      </c>
      <c r="N21" s="48" t="s">
        <v>35</v>
      </c>
      <c r="O21" s="48" t="s">
        <v>35</v>
      </c>
      <c r="P21" s="48" t="s">
        <v>35</v>
      </c>
      <c r="Q21" s="48" t="s">
        <v>35</v>
      </c>
      <c r="R21" s="48" t="s">
        <v>37</v>
      </c>
      <c r="S21" s="49" t="s">
        <v>98</v>
      </c>
      <c r="T21" s="64" t="s">
        <v>99</v>
      </c>
      <c r="U21" s="64" t="s">
        <v>99</v>
      </c>
      <c r="V21" s="52">
        <f t="shared" ref="V21:X21" si="26">IF(lenb(SUBSTITUTE($Z21,V$1&amp;" (1)",""))&lt;lenb($Z21),1,IF(lenb(SUBSTITUTE($Z21,V$1&amp;" (2)",""))&lt;lenb($Z21),2,IF(lenb(SUBSTITUTE($Z21,V$1&amp;" (3)",""))&lt;lenb($Z21),3,IF(lenb(SUBSTITUTE($Z21,V$1&amp;" (4)",""))&lt;lenb($Z21),4,IF(lenb(SUBSTITUTE($Z21,V$1&amp;" (5)",""))&lt;lenb($Z21),5,IF(lenb(SUBSTITUTE($Z21,V$1&amp;" (6)",""))&lt;lenb($Z21),6,IF(lenb(SUBSTITUTE($Z21,V$1&amp;" (7)",""))&lt;lenb($Z21),1,IF(lenb(SUBSTITUTE($Z21,V$1&amp;" (8)",""))&lt;lenb($Z21),8,IF(lenb(SUBSTITUTE($Z21,V$1&amp;" (9)",""))&lt;lenb($Z21),9,IF(lenb(SUBSTITUTE($Z21,V$1&amp;" (10)",""))&lt;lenb($Z21),10,IF(lenb(SUBSTITUTE($Z21,V$1,""))&lt;lenb($Z21),"ERROR",IF($Z21=$Y$1,"-",0))))))))))))</f>
        <v>1</v>
      </c>
      <c r="W21" s="52">
        <f t="shared" si="26"/>
        <v>0</v>
      </c>
      <c r="X21" s="52">
        <f t="shared" si="26"/>
        <v>0</v>
      </c>
      <c r="Y21" s="52" t="str">
        <f t="shared" si="3"/>
        <v>-</v>
      </c>
      <c r="Z21" s="52" t="s">
        <v>62</v>
      </c>
      <c r="AA21" s="53">
        <f t="shared" si="4"/>
        <v>1</v>
      </c>
      <c r="AB21" s="54">
        <f>COUNTIFS(Links!B:B,"ICSE",Links!C:C,A21,Links!AD:AD,1)</f>
        <v>1</v>
      </c>
      <c r="AC21" s="55" t="s">
        <v>35</v>
      </c>
      <c r="AD21" s="47" t="str">
        <f t="shared" si="5"/>
        <v>No</v>
      </c>
      <c r="AE21" s="56" t="s">
        <v>36</v>
      </c>
      <c r="AF21" s="57" t="s">
        <v>42</v>
      </c>
      <c r="AG21" s="57" t="s">
        <v>42</v>
      </c>
      <c r="AH21" s="57" t="s">
        <v>42</v>
      </c>
      <c r="AI21" s="49" t="str">
        <f t="shared" si="6"/>
        <v>----</v>
      </c>
      <c r="AJ21" s="58" t="str">
        <f t="shared" si="7"/>
        <v>Paper has link but no statement</v>
      </c>
      <c r="AK21" s="59">
        <v>45035.0</v>
      </c>
      <c r="AL21" s="43" t="s">
        <v>43</v>
      </c>
      <c r="AM21" s="60" t="str">
        <f t="shared" si="8"/>
        <v>[IP1863]</v>
      </c>
    </row>
    <row r="22" ht="67.5" customHeight="1">
      <c r="A22" s="61">
        <v>1865.0</v>
      </c>
      <c r="B22" s="22" t="s">
        <v>100</v>
      </c>
      <c r="C22" s="23">
        <v>2014.0</v>
      </c>
      <c r="D22" s="24" t="s">
        <v>35</v>
      </c>
      <c r="E22" s="25" t="s">
        <v>36</v>
      </c>
      <c r="F22" s="25" t="s">
        <v>36</v>
      </c>
      <c r="G22" s="25" t="s">
        <v>36</v>
      </c>
      <c r="H22" s="25" t="s">
        <v>36</v>
      </c>
      <c r="I22" s="25" t="s">
        <v>36</v>
      </c>
      <c r="J22" s="26" t="s">
        <v>36</v>
      </c>
      <c r="K22" s="27" t="s">
        <v>37</v>
      </c>
      <c r="L22" s="28" t="s">
        <v>37</v>
      </c>
      <c r="M22" s="28" t="s">
        <v>37</v>
      </c>
      <c r="N22" s="28" t="s">
        <v>37</v>
      </c>
      <c r="O22" s="28" t="s">
        <v>35</v>
      </c>
      <c r="P22" s="28" t="s">
        <v>35</v>
      </c>
      <c r="Q22" s="28" t="s">
        <v>35</v>
      </c>
      <c r="R22" s="28" t="s">
        <v>37</v>
      </c>
      <c r="S22" s="29" t="s">
        <v>101</v>
      </c>
      <c r="T22" s="65" t="s">
        <v>102</v>
      </c>
      <c r="U22" s="65" t="s">
        <v>102</v>
      </c>
      <c r="V22" s="32">
        <f t="shared" ref="V22:X22" si="27">IF(lenb(SUBSTITUTE($Z22,V$1&amp;" (1)",""))&lt;lenb($Z22),1,IF(lenb(SUBSTITUTE($Z22,V$1&amp;" (2)",""))&lt;lenb($Z22),2,IF(lenb(SUBSTITUTE($Z22,V$1&amp;" (3)",""))&lt;lenb($Z22),3,IF(lenb(SUBSTITUTE($Z22,V$1&amp;" (4)",""))&lt;lenb($Z22),4,IF(lenb(SUBSTITUTE($Z22,V$1&amp;" (5)",""))&lt;lenb($Z22),5,IF(lenb(SUBSTITUTE($Z22,V$1&amp;" (6)",""))&lt;lenb($Z22),6,IF(lenb(SUBSTITUTE($Z22,V$1&amp;" (7)",""))&lt;lenb($Z22),1,IF(lenb(SUBSTITUTE($Z22,V$1&amp;" (8)",""))&lt;lenb($Z22),8,IF(lenb(SUBSTITUTE($Z22,V$1&amp;" (9)",""))&lt;lenb($Z22),9,IF(lenb(SUBSTITUTE($Z22,V$1&amp;" (10)",""))&lt;lenb($Z22),10,IF(lenb(SUBSTITUTE($Z22,V$1,""))&lt;lenb($Z22),"ERROR",IF($Z22=$Y$1,"-",0))))))))))))</f>
        <v>0</v>
      </c>
      <c r="W22" s="32">
        <f t="shared" si="27"/>
        <v>1</v>
      </c>
      <c r="X22" s="32">
        <f t="shared" si="27"/>
        <v>0</v>
      </c>
      <c r="Y22" s="32" t="str">
        <f t="shared" si="3"/>
        <v>-</v>
      </c>
      <c r="Z22" s="32" t="s">
        <v>47</v>
      </c>
      <c r="AA22" s="33">
        <f t="shared" si="4"/>
        <v>1</v>
      </c>
      <c r="AB22" s="34">
        <f>COUNTIFS(Links!B:B,"ICSE",Links!C:C,A22,Links!AD:AD,1)</f>
        <v>0</v>
      </c>
      <c r="AC22" s="35" t="s">
        <v>35</v>
      </c>
      <c r="AD22" s="27" t="str">
        <f t="shared" si="5"/>
        <v>No</v>
      </c>
      <c r="AE22" s="36" t="s">
        <v>36</v>
      </c>
      <c r="AF22" s="37" t="s">
        <v>42</v>
      </c>
      <c r="AG22" s="37" t="s">
        <v>42</v>
      </c>
      <c r="AH22" s="37" t="s">
        <v>42</v>
      </c>
      <c r="AI22" s="29" t="str">
        <f t="shared" si="6"/>
        <v>----</v>
      </c>
      <c r="AJ22" s="38" t="str">
        <f t="shared" si="7"/>
        <v>Paper has link but no statement</v>
      </c>
      <c r="AK22" s="39">
        <v>45035.0</v>
      </c>
      <c r="AL22" s="23" t="s">
        <v>43</v>
      </c>
      <c r="AM22" s="40" t="str">
        <f t="shared" si="8"/>
        <v>[IP1865]</v>
      </c>
    </row>
    <row r="23" ht="67.5" customHeight="1">
      <c r="A23" s="41">
        <v>1866.0</v>
      </c>
      <c r="B23" s="42" t="s">
        <v>103</v>
      </c>
      <c r="C23" s="43">
        <v>2014.0</v>
      </c>
      <c r="D23" s="44" t="s">
        <v>35</v>
      </c>
      <c r="E23" s="45" t="s">
        <v>36</v>
      </c>
      <c r="F23" s="45" t="s">
        <v>36</v>
      </c>
      <c r="G23" s="45" t="s">
        <v>36</v>
      </c>
      <c r="H23" s="45" t="s">
        <v>36</v>
      </c>
      <c r="I23" s="45" t="s">
        <v>36</v>
      </c>
      <c r="J23" s="46" t="s">
        <v>36</v>
      </c>
      <c r="K23" s="47" t="s">
        <v>37</v>
      </c>
      <c r="L23" s="48" t="s">
        <v>35</v>
      </c>
      <c r="M23" s="48" t="s">
        <v>35</v>
      </c>
      <c r="N23" s="48" t="s">
        <v>35</v>
      </c>
      <c r="O23" s="48" t="s">
        <v>37</v>
      </c>
      <c r="P23" s="48" t="s">
        <v>35</v>
      </c>
      <c r="Q23" s="48" t="s">
        <v>35</v>
      </c>
      <c r="R23" s="48" t="s">
        <v>35</v>
      </c>
      <c r="S23" s="49" t="s">
        <v>104</v>
      </c>
      <c r="T23" s="64" t="s">
        <v>105</v>
      </c>
      <c r="U23" s="51" t="s">
        <v>105</v>
      </c>
      <c r="V23" s="52">
        <f t="shared" ref="V23:X23" si="28">IF(lenb(SUBSTITUTE($Z23,V$1&amp;" (1)",""))&lt;lenb($Z23),1,IF(lenb(SUBSTITUTE($Z23,V$1&amp;" (2)",""))&lt;lenb($Z23),2,IF(lenb(SUBSTITUTE($Z23,V$1&amp;" (3)",""))&lt;lenb($Z23),3,IF(lenb(SUBSTITUTE($Z23,V$1&amp;" (4)",""))&lt;lenb($Z23),4,IF(lenb(SUBSTITUTE($Z23,V$1&amp;" (5)",""))&lt;lenb($Z23),5,IF(lenb(SUBSTITUTE($Z23,V$1&amp;" (6)",""))&lt;lenb($Z23),6,IF(lenb(SUBSTITUTE($Z23,V$1&amp;" (7)",""))&lt;lenb($Z23),1,IF(lenb(SUBSTITUTE($Z23,V$1&amp;" (8)",""))&lt;lenb($Z23),8,IF(lenb(SUBSTITUTE($Z23,V$1&amp;" (9)",""))&lt;lenb($Z23),9,IF(lenb(SUBSTITUTE($Z23,V$1&amp;" (10)",""))&lt;lenb($Z23),10,IF(lenb(SUBSTITUTE($Z23,V$1,""))&lt;lenb($Z23),"ERROR",IF($Z23=$Y$1,"-",0))))))))))))</f>
        <v>0</v>
      </c>
      <c r="W23" s="52">
        <f t="shared" si="28"/>
        <v>1</v>
      </c>
      <c r="X23" s="52">
        <f t="shared" si="28"/>
        <v>0</v>
      </c>
      <c r="Y23" s="52" t="str">
        <f t="shared" si="3"/>
        <v>-</v>
      </c>
      <c r="Z23" s="52" t="s">
        <v>47</v>
      </c>
      <c r="AA23" s="53">
        <f t="shared" si="4"/>
        <v>1</v>
      </c>
      <c r="AB23" s="54">
        <f>COUNTIFS(Links!B:B,"ICSE",Links!C:C,A23,Links!AD:AD,1)</f>
        <v>0</v>
      </c>
      <c r="AC23" s="55" t="s">
        <v>35</v>
      </c>
      <c r="AD23" s="47" t="str">
        <f t="shared" si="5"/>
        <v>No</v>
      </c>
      <c r="AE23" s="56" t="s">
        <v>36</v>
      </c>
      <c r="AF23" s="57" t="s">
        <v>42</v>
      </c>
      <c r="AG23" s="57" t="s">
        <v>42</v>
      </c>
      <c r="AH23" s="57" t="s">
        <v>42</v>
      </c>
      <c r="AI23" s="49" t="str">
        <f t="shared" si="6"/>
        <v>----</v>
      </c>
      <c r="AJ23" s="58" t="str">
        <f t="shared" si="7"/>
        <v>Paper has link but no statement</v>
      </c>
      <c r="AK23" s="59">
        <v>45035.0</v>
      </c>
      <c r="AL23" s="43" t="s">
        <v>43</v>
      </c>
      <c r="AM23" s="60" t="str">
        <f t="shared" si="8"/>
        <v>[IP1866]</v>
      </c>
    </row>
    <row r="24" ht="67.5" customHeight="1">
      <c r="A24" s="61">
        <v>1867.0</v>
      </c>
      <c r="B24" s="22" t="s">
        <v>106</v>
      </c>
      <c r="C24" s="23">
        <v>2014.0</v>
      </c>
      <c r="D24" s="24" t="s">
        <v>35</v>
      </c>
      <c r="E24" s="25" t="s">
        <v>36</v>
      </c>
      <c r="F24" s="25" t="s">
        <v>36</v>
      </c>
      <c r="G24" s="25" t="s">
        <v>36</v>
      </c>
      <c r="H24" s="25" t="s">
        <v>36</v>
      </c>
      <c r="I24" s="25" t="s">
        <v>36</v>
      </c>
      <c r="J24" s="26" t="s">
        <v>36</v>
      </c>
      <c r="K24" s="27" t="s">
        <v>35</v>
      </c>
      <c r="L24" s="28" t="s">
        <v>36</v>
      </c>
      <c r="M24" s="28" t="s">
        <v>36</v>
      </c>
      <c r="N24" s="28" t="s">
        <v>36</v>
      </c>
      <c r="O24" s="28" t="s">
        <v>36</v>
      </c>
      <c r="P24" s="28" t="s">
        <v>36</v>
      </c>
      <c r="Q24" s="28" t="s">
        <v>36</v>
      </c>
      <c r="R24" s="28" t="s">
        <v>36</v>
      </c>
      <c r="S24" s="29" t="s">
        <v>36</v>
      </c>
      <c r="T24" s="65" t="s">
        <v>36</v>
      </c>
      <c r="U24" s="31" t="s">
        <v>36</v>
      </c>
      <c r="V24" s="32" t="str">
        <f t="shared" ref="V24:X24" si="29">IF(lenb(SUBSTITUTE($Z24,V$1&amp;" (1)",""))&lt;lenb($Z24),1,IF(lenb(SUBSTITUTE($Z24,V$1&amp;" (2)",""))&lt;lenb($Z24),2,IF(lenb(SUBSTITUTE($Z24,V$1&amp;" (3)",""))&lt;lenb($Z24),3,IF(lenb(SUBSTITUTE($Z24,V$1&amp;" (4)",""))&lt;lenb($Z24),4,IF(lenb(SUBSTITUTE($Z24,V$1&amp;" (5)",""))&lt;lenb($Z24),5,IF(lenb(SUBSTITUTE($Z24,V$1&amp;" (6)",""))&lt;lenb($Z24),6,IF(lenb(SUBSTITUTE($Z24,V$1&amp;" (7)",""))&lt;lenb($Z24),1,IF(lenb(SUBSTITUTE($Z24,V$1&amp;" (8)",""))&lt;lenb($Z24),8,IF(lenb(SUBSTITUTE($Z24,V$1&amp;" (9)",""))&lt;lenb($Z24),9,IF(lenb(SUBSTITUTE($Z24,V$1&amp;" (10)",""))&lt;lenb($Z24),10,IF(lenb(SUBSTITUTE($Z24,V$1,""))&lt;lenb($Z24),"ERROR",IF($Z24=$Y$1,"-",0))))))))))))</f>
        <v>-</v>
      </c>
      <c r="W24" s="32" t="str">
        <f t="shared" si="29"/>
        <v>-</v>
      </c>
      <c r="X24" s="32" t="str">
        <f t="shared" si="29"/>
        <v>-</v>
      </c>
      <c r="Y24" s="32">
        <f t="shared" si="3"/>
        <v>1</v>
      </c>
      <c r="Z24" s="32" t="s">
        <v>23</v>
      </c>
      <c r="AA24" s="33">
        <f t="shared" si="4"/>
        <v>0</v>
      </c>
      <c r="AB24" s="34">
        <f>COUNTIFS(Links!B:B,"ICSE",Links!C:C,A24,Links!AD:AD,1)</f>
        <v>0</v>
      </c>
      <c r="AC24" s="35" t="s">
        <v>36</v>
      </c>
      <c r="AD24" s="27" t="str">
        <f t="shared" si="5"/>
        <v>No</v>
      </c>
      <c r="AE24" s="36" t="s">
        <v>36</v>
      </c>
      <c r="AF24" s="37" t="s">
        <v>42</v>
      </c>
      <c r="AG24" s="37" t="s">
        <v>42</v>
      </c>
      <c r="AH24" s="37" t="s">
        <v>42</v>
      </c>
      <c r="AI24" s="29" t="str">
        <f t="shared" si="6"/>
        <v>----</v>
      </c>
      <c r="AJ24" s="38" t="str">
        <f t="shared" si="7"/>
        <v>Paper has no link and no statement</v>
      </c>
      <c r="AK24" s="39">
        <v>45035.0</v>
      </c>
      <c r="AL24" s="23" t="s">
        <v>43</v>
      </c>
      <c r="AM24" s="40" t="str">
        <f t="shared" si="8"/>
        <v>[IP1867]</v>
      </c>
    </row>
    <row r="25" ht="67.5" customHeight="1">
      <c r="A25" s="41">
        <v>1868.0</v>
      </c>
      <c r="B25" s="42" t="s">
        <v>107</v>
      </c>
      <c r="C25" s="43">
        <v>2014.0</v>
      </c>
      <c r="D25" s="44" t="s">
        <v>35</v>
      </c>
      <c r="E25" s="45" t="s">
        <v>36</v>
      </c>
      <c r="F25" s="45" t="s">
        <v>36</v>
      </c>
      <c r="G25" s="45" t="s">
        <v>36</v>
      </c>
      <c r="H25" s="45" t="s">
        <v>36</v>
      </c>
      <c r="I25" s="45" t="s">
        <v>36</v>
      </c>
      <c r="J25" s="46" t="s">
        <v>36</v>
      </c>
      <c r="K25" s="47" t="s">
        <v>37</v>
      </c>
      <c r="L25" s="48" t="s">
        <v>37</v>
      </c>
      <c r="M25" s="48" t="s">
        <v>35</v>
      </c>
      <c r="N25" s="48" t="s">
        <v>35</v>
      </c>
      <c r="O25" s="48" t="s">
        <v>35</v>
      </c>
      <c r="P25" s="48" t="s">
        <v>35</v>
      </c>
      <c r="Q25" s="48" t="s">
        <v>35</v>
      </c>
      <c r="R25" s="48" t="s">
        <v>37</v>
      </c>
      <c r="S25" s="49" t="s">
        <v>108</v>
      </c>
      <c r="T25" s="64" t="s">
        <v>109</v>
      </c>
      <c r="U25" s="64" t="s">
        <v>109</v>
      </c>
      <c r="V25" s="52">
        <f t="shared" ref="V25:X25" si="30">IF(lenb(SUBSTITUTE($Z25,V$1&amp;" (1)",""))&lt;lenb($Z25),1,IF(lenb(SUBSTITUTE($Z25,V$1&amp;" (2)",""))&lt;lenb($Z25),2,IF(lenb(SUBSTITUTE($Z25,V$1&amp;" (3)",""))&lt;lenb($Z25),3,IF(lenb(SUBSTITUTE($Z25,V$1&amp;" (4)",""))&lt;lenb($Z25),4,IF(lenb(SUBSTITUTE($Z25,V$1&amp;" (5)",""))&lt;lenb($Z25),5,IF(lenb(SUBSTITUTE($Z25,V$1&amp;" (6)",""))&lt;lenb($Z25),6,IF(lenb(SUBSTITUTE($Z25,V$1&amp;" (7)",""))&lt;lenb($Z25),1,IF(lenb(SUBSTITUTE($Z25,V$1&amp;" (8)",""))&lt;lenb($Z25),8,IF(lenb(SUBSTITUTE($Z25,V$1&amp;" (9)",""))&lt;lenb($Z25),9,IF(lenb(SUBSTITUTE($Z25,V$1&amp;" (10)",""))&lt;lenb($Z25),10,IF(lenb(SUBSTITUTE($Z25,V$1,""))&lt;lenb($Z25),"ERROR",IF($Z25=$Y$1,"-",0))))))))))))</f>
        <v>0</v>
      </c>
      <c r="W25" s="52">
        <f t="shared" si="30"/>
        <v>1</v>
      </c>
      <c r="X25" s="52">
        <f t="shared" si="30"/>
        <v>0</v>
      </c>
      <c r="Y25" s="52" t="str">
        <f t="shared" si="3"/>
        <v>-</v>
      </c>
      <c r="Z25" s="52" t="s">
        <v>47</v>
      </c>
      <c r="AA25" s="53">
        <f t="shared" si="4"/>
        <v>1</v>
      </c>
      <c r="AB25" s="54">
        <f>COUNTIFS(Links!B:B,"ICSE",Links!C:C,A25,Links!AD:AD,1)</f>
        <v>0</v>
      </c>
      <c r="AC25" s="55" t="s">
        <v>35</v>
      </c>
      <c r="AD25" s="47" t="str">
        <f t="shared" si="5"/>
        <v>No</v>
      </c>
      <c r="AE25" s="56" t="s">
        <v>36</v>
      </c>
      <c r="AF25" s="57" t="s">
        <v>42</v>
      </c>
      <c r="AG25" s="57" t="s">
        <v>42</v>
      </c>
      <c r="AH25" s="57" t="s">
        <v>42</v>
      </c>
      <c r="AI25" s="49" t="str">
        <f t="shared" si="6"/>
        <v>----</v>
      </c>
      <c r="AJ25" s="58" t="str">
        <f t="shared" si="7"/>
        <v>Paper has link but no statement</v>
      </c>
      <c r="AK25" s="59">
        <v>45035.0</v>
      </c>
      <c r="AL25" s="43" t="s">
        <v>43</v>
      </c>
      <c r="AM25" s="60" t="str">
        <f t="shared" si="8"/>
        <v>[IP1868]</v>
      </c>
    </row>
    <row r="26" ht="67.5" customHeight="1">
      <c r="A26" s="61">
        <v>1869.0</v>
      </c>
      <c r="B26" s="22" t="s">
        <v>110</v>
      </c>
      <c r="C26" s="23">
        <v>2014.0</v>
      </c>
      <c r="D26" s="24" t="s">
        <v>35</v>
      </c>
      <c r="E26" s="25" t="s">
        <v>36</v>
      </c>
      <c r="F26" s="25" t="s">
        <v>36</v>
      </c>
      <c r="G26" s="25" t="s">
        <v>36</v>
      </c>
      <c r="H26" s="25" t="s">
        <v>36</v>
      </c>
      <c r="I26" s="25" t="s">
        <v>36</v>
      </c>
      <c r="J26" s="26" t="s">
        <v>36</v>
      </c>
      <c r="K26" s="27" t="s">
        <v>37</v>
      </c>
      <c r="L26" s="28" t="s">
        <v>35</v>
      </c>
      <c r="M26" s="28" t="s">
        <v>37</v>
      </c>
      <c r="N26" s="28" t="s">
        <v>37</v>
      </c>
      <c r="O26" s="28" t="s">
        <v>35</v>
      </c>
      <c r="P26" s="28" t="s">
        <v>35</v>
      </c>
      <c r="Q26" s="28" t="s">
        <v>35</v>
      </c>
      <c r="R26" s="28" t="s">
        <v>37</v>
      </c>
      <c r="S26" s="29" t="s">
        <v>111</v>
      </c>
      <c r="T26" s="65" t="s">
        <v>112</v>
      </c>
      <c r="U26" s="65" t="s">
        <v>112</v>
      </c>
      <c r="V26" s="32">
        <f t="shared" ref="V26:X26" si="31">IF(lenb(SUBSTITUTE($Z26,V$1&amp;" (1)",""))&lt;lenb($Z26),1,IF(lenb(SUBSTITUTE($Z26,V$1&amp;" (2)",""))&lt;lenb($Z26),2,IF(lenb(SUBSTITUTE($Z26,V$1&amp;" (3)",""))&lt;lenb($Z26),3,IF(lenb(SUBSTITUTE($Z26,V$1&amp;" (4)",""))&lt;lenb($Z26),4,IF(lenb(SUBSTITUTE($Z26,V$1&amp;" (5)",""))&lt;lenb($Z26),5,IF(lenb(SUBSTITUTE($Z26,V$1&amp;" (6)",""))&lt;lenb($Z26),6,IF(lenb(SUBSTITUTE($Z26,V$1&amp;" (7)",""))&lt;lenb($Z26),1,IF(lenb(SUBSTITUTE($Z26,V$1&amp;" (8)",""))&lt;lenb($Z26),8,IF(lenb(SUBSTITUTE($Z26,V$1&amp;" (9)",""))&lt;lenb($Z26),9,IF(lenb(SUBSTITUTE($Z26,V$1&amp;" (10)",""))&lt;lenb($Z26),10,IF(lenb(SUBSTITUTE($Z26,V$1,""))&lt;lenb($Z26),"ERROR",IF($Z26=$Y$1,"-",0))))))))))))</f>
        <v>1</v>
      </c>
      <c r="W26" s="32">
        <f t="shared" si="31"/>
        <v>1</v>
      </c>
      <c r="X26" s="32">
        <f t="shared" si="31"/>
        <v>0</v>
      </c>
      <c r="Y26" s="32" t="str">
        <f t="shared" si="3"/>
        <v>-</v>
      </c>
      <c r="Z26" s="32" t="s">
        <v>41</v>
      </c>
      <c r="AA26" s="33">
        <f t="shared" si="4"/>
        <v>2</v>
      </c>
      <c r="AB26" s="34">
        <f>COUNTIFS(Links!B:B,"ICSE",Links!C:C,A26,Links!AD:AD,1)</f>
        <v>0</v>
      </c>
      <c r="AC26" s="35" t="s">
        <v>35</v>
      </c>
      <c r="AD26" s="27" t="str">
        <f t="shared" si="5"/>
        <v>No</v>
      </c>
      <c r="AE26" s="36" t="s">
        <v>36</v>
      </c>
      <c r="AF26" s="37" t="s">
        <v>42</v>
      </c>
      <c r="AG26" s="37" t="s">
        <v>42</v>
      </c>
      <c r="AH26" s="37" t="s">
        <v>42</v>
      </c>
      <c r="AI26" s="29" t="str">
        <f t="shared" si="6"/>
        <v>----</v>
      </c>
      <c r="AJ26" s="38" t="str">
        <f t="shared" si="7"/>
        <v>Paper has link but no statement</v>
      </c>
      <c r="AK26" s="39">
        <v>45035.0</v>
      </c>
      <c r="AL26" s="23" t="s">
        <v>43</v>
      </c>
      <c r="AM26" s="40" t="str">
        <f t="shared" si="8"/>
        <v>[IP1869]</v>
      </c>
    </row>
    <row r="27" ht="67.5" customHeight="1">
      <c r="A27" s="41">
        <v>1870.0</v>
      </c>
      <c r="B27" s="42" t="s">
        <v>113</v>
      </c>
      <c r="C27" s="43">
        <v>2014.0</v>
      </c>
      <c r="D27" s="44" t="s">
        <v>35</v>
      </c>
      <c r="E27" s="45" t="s">
        <v>36</v>
      </c>
      <c r="F27" s="45" t="s">
        <v>36</v>
      </c>
      <c r="G27" s="45" t="s">
        <v>36</v>
      </c>
      <c r="H27" s="45" t="s">
        <v>36</v>
      </c>
      <c r="I27" s="45" t="s">
        <v>36</v>
      </c>
      <c r="J27" s="46" t="s">
        <v>36</v>
      </c>
      <c r="K27" s="47" t="s">
        <v>37</v>
      </c>
      <c r="L27" s="48" t="s">
        <v>37</v>
      </c>
      <c r="M27" s="48" t="s">
        <v>35</v>
      </c>
      <c r="N27" s="48" t="s">
        <v>35</v>
      </c>
      <c r="O27" s="48" t="s">
        <v>35</v>
      </c>
      <c r="P27" s="48" t="s">
        <v>35</v>
      </c>
      <c r="Q27" s="48" t="s">
        <v>35</v>
      </c>
      <c r="R27" s="48" t="s">
        <v>37</v>
      </c>
      <c r="S27" s="49" t="s">
        <v>114</v>
      </c>
      <c r="T27" s="64" t="s">
        <v>115</v>
      </c>
      <c r="U27" s="64" t="s">
        <v>115</v>
      </c>
      <c r="V27" s="52">
        <f t="shared" ref="V27:X27" si="32">IF(lenb(SUBSTITUTE($Z27,V$1&amp;" (1)",""))&lt;lenb($Z27),1,IF(lenb(SUBSTITUTE($Z27,V$1&amp;" (2)",""))&lt;lenb($Z27),2,IF(lenb(SUBSTITUTE($Z27,V$1&amp;" (3)",""))&lt;lenb($Z27),3,IF(lenb(SUBSTITUTE($Z27,V$1&amp;" (4)",""))&lt;lenb($Z27),4,IF(lenb(SUBSTITUTE($Z27,V$1&amp;" (5)",""))&lt;lenb($Z27),5,IF(lenb(SUBSTITUTE($Z27,V$1&amp;" (6)",""))&lt;lenb($Z27),6,IF(lenb(SUBSTITUTE($Z27,V$1&amp;" (7)",""))&lt;lenb($Z27),1,IF(lenb(SUBSTITUTE($Z27,V$1&amp;" (8)",""))&lt;lenb($Z27),8,IF(lenb(SUBSTITUTE($Z27,V$1&amp;" (9)",""))&lt;lenb($Z27),9,IF(lenb(SUBSTITUTE($Z27,V$1&amp;" (10)",""))&lt;lenb($Z27),10,IF(lenb(SUBSTITUTE($Z27,V$1,""))&lt;lenb($Z27),"ERROR",IF($Z27=$Y$1,"-",0))))))))))))</f>
        <v>0</v>
      </c>
      <c r="W27" s="52">
        <f t="shared" si="32"/>
        <v>1</v>
      </c>
      <c r="X27" s="52">
        <f t="shared" si="32"/>
        <v>0</v>
      </c>
      <c r="Y27" s="52" t="str">
        <f t="shared" si="3"/>
        <v>-</v>
      </c>
      <c r="Z27" s="52" t="s">
        <v>47</v>
      </c>
      <c r="AA27" s="53">
        <f t="shared" si="4"/>
        <v>1</v>
      </c>
      <c r="AB27" s="54">
        <f>COUNTIFS(Links!B:B,"ICSE",Links!C:C,A27,Links!AD:AD,1)</f>
        <v>1</v>
      </c>
      <c r="AC27" s="55" t="s">
        <v>35</v>
      </c>
      <c r="AD27" s="47" t="str">
        <f t="shared" si="5"/>
        <v>No</v>
      </c>
      <c r="AE27" s="56" t="s">
        <v>36</v>
      </c>
      <c r="AF27" s="57" t="s">
        <v>42</v>
      </c>
      <c r="AG27" s="57" t="s">
        <v>42</v>
      </c>
      <c r="AH27" s="57" t="s">
        <v>42</v>
      </c>
      <c r="AI27" s="49" t="str">
        <f t="shared" si="6"/>
        <v>----</v>
      </c>
      <c r="AJ27" s="58" t="str">
        <f t="shared" si="7"/>
        <v>Paper has link but no statement</v>
      </c>
      <c r="AK27" s="59">
        <v>45035.0</v>
      </c>
      <c r="AL27" s="43" t="s">
        <v>43</v>
      </c>
      <c r="AM27" s="60" t="str">
        <f t="shared" si="8"/>
        <v>[IP1870]</v>
      </c>
    </row>
    <row r="28" ht="67.5" customHeight="1">
      <c r="A28" s="61">
        <v>1871.0</v>
      </c>
      <c r="B28" s="22" t="s">
        <v>116</v>
      </c>
      <c r="C28" s="23">
        <v>2014.0</v>
      </c>
      <c r="D28" s="24" t="s">
        <v>35</v>
      </c>
      <c r="E28" s="25" t="s">
        <v>36</v>
      </c>
      <c r="F28" s="25" t="s">
        <v>36</v>
      </c>
      <c r="G28" s="25" t="s">
        <v>36</v>
      </c>
      <c r="H28" s="25" t="s">
        <v>36</v>
      </c>
      <c r="I28" s="25" t="s">
        <v>36</v>
      </c>
      <c r="J28" s="26" t="s">
        <v>36</v>
      </c>
      <c r="K28" s="27" t="s">
        <v>37</v>
      </c>
      <c r="L28" s="28" t="s">
        <v>35</v>
      </c>
      <c r="M28" s="28" t="s">
        <v>35</v>
      </c>
      <c r="N28" s="28" t="s">
        <v>35</v>
      </c>
      <c r="O28" s="28" t="s">
        <v>35</v>
      </c>
      <c r="P28" s="28" t="s">
        <v>35</v>
      </c>
      <c r="Q28" s="28" t="s">
        <v>35</v>
      </c>
      <c r="R28" s="28" t="s">
        <v>37</v>
      </c>
      <c r="S28" s="29" t="s">
        <v>117</v>
      </c>
      <c r="T28" s="65" t="s">
        <v>118</v>
      </c>
      <c r="U28" s="65" t="s">
        <v>118</v>
      </c>
      <c r="V28" s="32">
        <f t="shared" ref="V28:X28" si="33">IF(lenb(SUBSTITUTE($Z28,V$1&amp;" (1)",""))&lt;lenb($Z28),1,IF(lenb(SUBSTITUTE($Z28,V$1&amp;" (2)",""))&lt;lenb($Z28),2,IF(lenb(SUBSTITUTE($Z28,V$1&amp;" (3)",""))&lt;lenb($Z28),3,IF(lenb(SUBSTITUTE($Z28,V$1&amp;" (4)",""))&lt;lenb($Z28),4,IF(lenb(SUBSTITUTE($Z28,V$1&amp;" (5)",""))&lt;lenb($Z28),5,IF(lenb(SUBSTITUTE($Z28,V$1&amp;" (6)",""))&lt;lenb($Z28),6,IF(lenb(SUBSTITUTE($Z28,V$1&amp;" (7)",""))&lt;lenb($Z28),1,IF(lenb(SUBSTITUTE($Z28,V$1&amp;" (8)",""))&lt;lenb($Z28),8,IF(lenb(SUBSTITUTE($Z28,V$1&amp;" (9)",""))&lt;lenb($Z28),9,IF(lenb(SUBSTITUTE($Z28,V$1&amp;" (10)",""))&lt;lenb($Z28),10,IF(lenb(SUBSTITUTE($Z28,V$1,""))&lt;lenb($Z28),"ERROR",IF($Z28=$Y$1,"-",0))))))))))))</f>
        <v>0</v>
      </c>
      <c r="W28" s="32">
        <f t="shared" si="33"/>
        <v>1</v>
      </c>
      <c r="X28" s="32">
        <f t="shared" si="33"/>
        <v>0</v>
      </c>
      <c r="Y28" s="32" t="str">
        <f t="shared" si="3"/>
        <v>-</v>
      </c>
      <c r="Z28" s="32" t="s">
        <v>47</v>
      </c>
      <c r="AA28" s="33">
        <f t="shared" si="4"/>
        <v>1</v>
      </c>
      <c r="AB28" s="34">
        <f>COUNTIFS(Links!B:B,"ICSE",Links!C:C,A28,Links!AD:AD,1)</f>
        <v>1</v>
      </c>
      <c r="AC28" s="35" t="s">
        <v>35</v>
      </c>
      <c r="AD28" s="27" t="str">
        <f t="shared" si="5"/>
        <v>No</v>
      </c>
      <c r="AE28" s="36" t="s">
        <v>36</v>
      </c>
      <c r="AF28" s="37" t="s">
        <v>42</v>
      </c>
      <c r="AG28" s="37" t="s">
        <v>42</v>
      </c>
      <c r="AH28" s="37" t="s">
        <v>42</v>
      </c>
      <c r="AI28" s="29" t="str">
        <f t="shared" si="6"/>
        <v>----</v>
      </c>
      <c r="AJ28" s="38" t="str">
        <f t="shared" si="7"/>
        <v>Paper has link but no statement</v>
      </c>
      <c r="AK28" s="39">
        <v>45035.0</v>
      </c>
      <c r="AL28" s="23" t="s">
        <v>43</v>
      </c>
      <c r="AM28" s="40" t="str">
        <f t="shared" si="8"/>
        <v>[IP1871]</v>
      </c>
    </row>
    <row r="29" ht="67.5" customHeight="1">
      <c r="A29" s="41">
        <v>1872.0</v>
      </c>
      <c r="B29" s="42" t="s">
        <v>119</v>
      </c>
      <c r="C29" s="43">
        <v>2014.0</v>
      </c>
      <c r="D29" s="44" t="s">
        <v>35</v>
      </c>
      <c r="E29" s="45" t="s">
        <v>36</v>
      </c>
      <c r="F29" s="45" t="s">
        <v>36</v>
      </c>
      <c r="G29" s="45" t="s">
        <v>36</v>
      </c>
      <c r="H29" s="45" t="s">
        <v>36</v>
      </c>
      <c r="I29" s="45" t="s">
        <v>36</v>
      </c>
      <c r="J29" s="46" t="s">
        <v>36</v>
      </c>
      <c r="K29" s="47" t="s">
        <v>37</v>
      </c>
      <c r="L29" s="48" t="s">
        <v>37</v>
      </c>
      <c r="M29" s="48" t="s">
        <v>37</v>
      </c>
      <c r="N29" s="48" t="s">
        <v>37</v>
      </c>
      <c r="O29" s="48" t="s">
        <v>35</v>
      </c>
      <c r="P29" s="48" t="s">
        <v>37</v>
      </c>
      <c r="Q29" s="48" t="s">
        <v>35</v>
      </c>
      <c r="R29" s="48" t="s">
        <v>37</v>
      </c>
      <c r="S29" s="49" t="s">
        <v>120</v>
      </c>
      <c r="T29" s="64" t="s">
        <v>121</v>
      </c>
      <c r="U29" s="64" t="s">
        <v>121</v>
      </c>
      <c r="V29" s="52">
        <f t="shared" ref="V29:X29" si="34">IF(lenb(SUBSTITUTE($Z29,V$1&amp;" (1)",""))&lt;lenb($Z29),1,IF(lenb(SUBSTITUTE($Z29,V$1&amp;" (2)",""))&lt;lenb($Z29),2,IF(lenb(SUBSTITUTE($Z29,V$1&amp;" (3)",""))&lt;lenb($Z29),3,IF(lenb(SUBSTITUTE($Z29,V$1&amp;" (4)",""))&lt;lenb($Z29),4,IF(lenb(SUBSTITUTE($Z29,V$1&amp;" (5)",""))&lt;lenb($Z29),5,IF(lenb(SUBSTITUTE($Z29,V$1&amp;" (6)",""))&lt;lenb($Z29),6,IF(lenb(SUBSTITUTE($Z29,V$1&amp;" (7)",""))&lt;lenb($Z29),1,IF(lenb(SUBSTITUTE($Z29,V$1&amp;" (8)",""))&lt;lenb($Z29),8,IF(lenb(SUBSTITUTE($Z29,V$1&amp;" (9)",""))&lt;lenb($Z29),9,IF(lenb(SUBSTITUTE($Z29,V$1&amp;" (10)",""))&lt;lenb($Z29),10,IF(lenb(SUBSTITUTE($Z29,V$1,""))&lt;lenb($Z29),"ERROR",IF($Z29=$Y$1,"-",0))))))))))))</f>
        <v>1</v>
      </c>
      <c r="W29" s="52">
        <f t="shared" si="34"/>
        <v>2</v>
      </c>
      <c r="X29" s="52">
        <f t="shared" si="34"/>
        <v>0</v>
      </c>
      <c r="Y29" s="52" t="str">
        <f t="shared" si="3"/>
        <v>-</v>
      </c>
      <c r="Z29" s="52" t="s">
        <v>122</v>
      </c>
      <c r="AA29" s="53">
        <f t="shared" si="4"/>
        <v>3</v>
      </c>
      <c r="AB29" s="54">
        <f>COUNTIFS(Links!B:B,"ICSE",Links!C:C,A29,Links!AD:AD,1)</f>
        <v>1</v>
      </c>
      <c r="AC29" s="55" t="s">
        <v>35</v>
      </c>
      <c r="AD29" s="47" t="str">
        <f t="shared" si="5"/>
        <v>No</v>
      </c>
      <c r="AE29" s="56" t="s">
        <v>36</v>
      </c>
      <c r="AF29" s="57" t="s">
        <v>42</v>
      </c>
      <c r="AG29" s="57" t="s">
        <v>42</v>
      </c>
      <c r="AH29" s="57" t="s">
        <v>42</v>
      </c>
      <c r="AI29" s="49" t="str">
        <f t="shared" si="6"/>
        <v>----</v>
      </c>
      <c r="AJ29" s="58" t="str">
        <f t="shared" si="7"/>
        <v>Paper has link but no statement</v>
      </c>
      <c r="AK29" s="59">
        <v>45035.0</v>
      </c>
      <c r="AL29" s="43" t="s">
        <v>43</v>
      </c>
      <c r="AM29" s="60" t="str">
        <f t="shared" si="8"/>
        <v>[IP1872]</v>
      </c>
    </row>
    <row r="30" ht="67.5" customHeight="1">
      <c r="A30" s="61">
        <v>1873.0</v>
      </c>
      <c r="B30" s="22" t="s">
        <v>123</v>
      </c>
      <c r="C30" s="23">
        <v>2014.0</v>
      </c>
      <c r="D30" s="24" t="s">
        <v>35</v>
      </c>
      <c r="E30" s="25" t="s">
        <v>36</v>
      </c>
      <c r="F30" s="25" t="s">
        <v>36</v>
      </c>
      <c r="G30" s="25" t="s">
        <v>36</v>
      </c>
      <c r="H30" s="25" t="s">
        <v>36</v>
      </c>
      <c r="I30" s="25" t="s">
        <v>36</v>
      </c>
      <c r="J30" s="26" t="s">
        <v>36</v>
      </c>
      <c r="K30" s="27" t="s">
        <v>35</v>
      </c>
      <c r="L30" s="28" t="s">
        <v>36</v>
      </c>
      <c r="M30" s="28" t="s">
        <v>36</v>
      </c>
      <c r="N30" s="28" t="s">
        <v>36</v>
      </c>
      <c r="O30" s="28" t="s">
        <v>36</v>
      </c>
      <c r="P30" s="28" t="s">
        <v>36</v>
      </c>
      <c r="Q30" s="28" t="s">
        <v>36</v>
      </c>
      <c r="R30" s="28" t="s">
        <v>36</v>
      </c>
      <c r="S30" s="29" t="s">
        <v>36</v>
      </c>
      <c r="T30" s="65" t="s">
        <v>36</v>
      </c>
      <c r="U30" s="31" t="s">
        <v>36</v>
      </c>
      <c r="V30" s="32" t="str">
        <f t="shared" ref="V30:X30" si="35">IF(lenb(SUBSTITUTE($Z30,V$1&amp;" (1)",""))&lt;lenb($Z30),1,IF(lenb(SUBSTITUTE($Z30,V$1&amp;" (2)",""))&lt;lenb($Z30),2,IF(lenb(SUBSTITUTE($Z30,V$1&amp;" (3)",""))&lt;lenb($Z30),3,IF(lenb(SUBSTITUTE($Z30,V$1&amp;" (4)",""))&lt;lenb($Z30),4,IF(lenb(SUBSTITUTE($Z30,V$1&amp;" (5)",""))&lt;lenb($Z30),5,IF(lenb(SUBSTITUTE($Z30,V$1&amp;" (6)",""))&lt;lenb($Z30),6,IF(lenb(SUBSTITUTE($Z30,V$1&amp;" (7)",""))&lt;lenb($Z30),1,IF(lenb(SUBSTITUTE($Z30,V$1&amp;" (8)",""))&lt;lenb($Z30),8,IF(lenb(SUBSTITUTE($Z30,V$1&amp;" (9)",""))&lt;lenb($Z30),9,IF(lenb(SUBSTITUTE($Z30,V$1&amp;" (10)",""))&lt;lenb($Z30),10,IF(lenb(SUBSTITUTE($Z30,V$1,""))&lt;lenb($Z30),"ERROR",IF($Z30=$Y$1,"-",0))))))))))))</f>
        <v>-</v>
      </c>
      <c r="W30" s="32" t="str">
        <f t="shared" si="35"/>
        <v>-</v>
      </c>
      <c r="X30" s="32" t="str">
        <f t="shared" si="35"/>
        <v>-</v>
      </c>
      <c r="Y30" s="32">
        <f t="shared" si="3"/>
        <v>1</v>
      </c>
      <c r="Z30" s="32" t="s">
        <v>23</v>
      </c>
      <c r="AA30" s="33">
        <f t="shared" si="4"/>
        <v>0</v>
      </c>
      <c r="AB30" s="34">
        <f>COUNTIFS(Links!B:B,"ICSE",Links!C:C,A30,Links!AD:AD,1)</f>
        <v>0</v>
      </c>
      <c r="AC30" s="35" t="s">
        <v>36</v>
      </c>
      <c r="AD30" s="27" t="str">
        <f t="shared" si="5"/>
        <v>No</v>
      </c>
      <c r="AE30" s="36" t="s">
        <v>36</v>
      </c>
      <c r="AF30" s="37" t="s">
        <v>42</v>
      </c>
      <c r="AG30" s="37" t="s">
        <v>42</v>
      </c>
      <c r="AH30" s="37" t="s">
        <v>42</v>
      </c>
      <c r="AI30" s="29" t="str">
        <f t="shared" si="6"/>
        <v>----</v>
      </c>
      <c r="AJ30" s="38" t="str">
        <f t="shared" si="7"/>
        <v>Paper has no link and no statement</v>
      </c>
      <c r="AK30" s="39">
        <v>45035.0</v>
      </c>
      <c r="AL30" s="23" t="s">
        <v>43</v>
      </c>
      <c r="AM30" s="40" t="str">
        <f t="shared" si="8"/>
        <v>[IP1873]</v>
      </c>
    </row>
    <row r="31" ht="67.5" customHeight="1">
      <c r="A31" s="41">
        <v>1874.0</v>
      </c>
      <c r="B31" s="42" t="s">
        <v>124</v>
      </c>
      <c r="C31" s="43">
        <v>2014.0</v>
      </c>
      <c r="D31" s="44" t="s">
        <v>35</v>
      </c>
      <c r="E31" s="45" t="s">
        <v>36</v>
      </c>
      <c r="F31" s="45" t="s">
        <v>36</v>
      </c>
      <c r="G31" s="45" t="s">
        <v>36</v>
      </c>
      <c r="H31" s="45" t="s">
        <v>36</v>
      </c>
      <c r="I31" s="45" t="s">
        <v>36</v>
      </c>
      <c r="J31" s="46" t="s">
        <v>36</v>
      </c>
      <c r="K31" s="47" t="s">
        <v>37</v>
      </c>
      <c r="L31" s="48" t="s">
        <v>35</v>
      </c>
      <c r="M31" s="48" t="s">
        <v>35</v>
      </c>
      <c r="N31" s="48" t="s">
        <v>35</v>
      </c>
      <c r="O31" s="48" t="s">
        <v>37</v>
      </c>
      <c r="P31" s="48" t="s">
        <v>35</v>
      </c>
      <c r="Q31" s="48" t="s">
        <v>35</v>
      </c>
      <c r="R31" s="48" t="s">
        <v>35</v>
      </c>
      <c r="S31" s="49" t="s">
        <v>125</v>
      </c>
      <c r="T31" s="64" t="s">
        <v>126</v>
      </c>
      <c r="U31" s="64" t="s">
        <v>127</v>
      </c>
      <c r="V31" s="52">
        <f t="shared" ref="V31:X31" si="36">IF(lenb(SUBSTITUTE($Z31,V$1&amp;" (1)",""))&lt;lenb($Z31),1,IF(lenb(SUBSTITUTE($Z31,V$1&amp;" (2)",""))&lt;lenb($Z31),2,IF(lenb(SUBSTITUTE($Z31,V$1&amp;" (3)",""))&lt;lenb($Z31),3,IF(lenb(SUBSTITUTE($Z31,V$1&amp;" (4)",""))&lt;lenb($Z31),4,IF(lenb(SUBSTITUTE($Z31,V$1&amp;" (5)",""))&lt;lenb($Z31),5,IF(lenb(SUBSTITUTE($Z31,V$1&amp;" (6)",""))&lt;lenb($Z31),6,IF(lenb(SUBSTITUTE($Z31,V$1&amp;" (7)",""))&lt;lenb($Z31),1,IF(lenb(SUBSTITUTE($Z31,V$1&amp;" (8)",""))&lt;lenb($Z31),8,IF(lenb(SUBSTITUTE($Z31,V$1&amp;" (9)",""))&lt;lenb($Z31),9,IF(lenb(SUBSTITUTE($Z31,V$1&amp;" (10)",""))&lt;lenb($Z31),10,IF(lenb(SUBSTITUTE($Z31,V$1,""))&lt;lenb($Z31),"ERROR",IF($Z31=$Y$1,"-",0))))))))))))</f>
        <v>1</v>
      </c>
      <c r="W31" s="52">
        <f t="shared" si="36"/>
        <v>0</v>
      </c>
      <c r="X31" s="52">
        <f t="shared" si="36"/>
        <v>0</v>
      </c>
      <c r="Y31" s="52" t="str">
        <f t="shared" si="3"/>
        <v>-</v>
      </c>
      <c r="Z31" s="52" t="s">
        <v>62</v>
      </c>
      <c r="AA31" s="53">
        <f t="shared" si="4"/>
        <v>1</v>
      </c>
      <c r="AB31" s="54">
        <f>COUNTIFS(Links!B:B,"ICSE",Links!C:C,A31,Links!AD:AD,1)</f>
        <v>0</v>
      </c>
      <c r="AC31" s="55" t="s">
        <v>35</v>
      </c>
      <c r="AD31" s="47" t="str">
        <f t="shared" si="5"/>
        <v>No</v>
      </c>
      <c r="AE31" s="56" t="s">
        <v>36</v>
      </c>
      <c r="AF31" s="57" t="s">
        <v>42</v>
      </c>
      <c r="AG31" s="57" t="s">
        <v>42</v>
      </c>
      <c r="AH31" s="57" t="s">
        <v>42</v>
      </c>
      <c r="AI31" s="49" t="str">
        <f t="shared" si="6"/>
        <v>----</v>
      </c>
      <c r="AJ31" s="58" t="str">
        <f t="shared" si="7"/>
        <v>Paper has link but no statement</v>
      </c>
      <c r="AK31" s="59">
        <v>45035.0</v>
      </c>
      <c r="AL31" s="43" t="s">
        <v>43</v>
      </c>
      <c r="AM31" s="60" t="str">
        <f t="shared" si="8"/>
        <v>[IP1874]</v>
      </c>
    </row>
    <row r="32" ht="67.5" customHeight="1">
      <c r="A32" s="61">
        <v>1875.0</v>
      </c>
      <c r="B32" s="22" t="s">
        <v>128</v>
      </c>
      <c r="C32" s="23">
        <v>2014.0</v>
      </c>
      <c r="D32" s="24" t="s">
        <v>35</v>
      </c>
      <c r="E32" s="25" t="s">
        <v>36</v>
      </c>
      <c r="F32" s="25" t="s">
        <v>36</v>
      </c>
      <c r="G32" s="25" t="s">
        <v>36</v>
      </c>
      <c r="H32" s="25" t="s">
        <v>36</v>
      </c>
      <c r="I32" s="25" t="s">
        <v>36</v>
      </c>
      <c r="J32" s="26" t="s">
        <v>36</v>
      </c>
      <c r="K32" s="27" t="s">
        <v>35</v>
      </c>
      <c r="L32" s="28" t="s">
        <v>36</v>
      </c>
      <c r="M32" s="28" t="s">
        <v>36</v>
      </c>
      <c r="N32" s="28" t="s">
        <v>36</v>
      </c>
      <c r="O32" s="28" t="s">
        <v>36</v>
      </c>
      <c r="P32" s="28" t="s">
        <v>36</v>
      </c>
      <c r="Q32" s="28" t="s">
        <v>36</v>
      </c>
      <c r="R32" s="28" t="s">
        <v>36</v>
      </c>
      <c r="S32" s="29" t="s">
        <v>36</v>
      </c>
      <c r="T32" s="65" t="s">
        <v>36</v>
      </c>
      <c r="U32" s="31" t="s">
        <v>36</v>
      </c>
      <c r="V32" s="32" t="str">
        <f t="shared" ref="V32:X32" si="37">IF(lenb(SUBSTITUTE($Z32,V$1&amp;" (1)",""))&lt;lenb($Z32),1,IF(lenb(SUBSTITUTE($Z32,V$1&amp;" (2)",""))&lt;lenb($Z32),2,IF(lenb(SUBSTITUTE($Z32,V$1&amp;" (3)",""))&lt;lenb($Z32),3,IF(lenb(SUBSTITUTE($Z32,V$1&amp;" (4)",""))&lt;lenb($Z32),4,IF(lenb(SUBSTITUTE($Z32,V$1&amp;" (5)",""))&lt;lenb($Z32),5,IF(lenb(SUBSTITUTE($Z32,V$1&amp;" (6)",""))&lt;lenb($Z32),6,IF(lenb(SUBSTITUTE($Z32,V$1&amp;" (7)",""))&lt;lenb($Z32),1,IF(lenb(SUBSTITUTE($Z32,V$1&amp;" (8)",""))&lt;lenb($Z32),8,IF(lenb(SUBSTITUTE($Z32,V$1&amp;" (9)",""))&lt;lenb($Z32),9,IF(lenb(SUBSTITUTE($Z32,V$1&amp;" (10)",""))&lt;lenb($Z32),10,IF(lenb(SUBSTITUTE($Z32,V$1,""))&lt;lenb($Z32),"ERROR",IF($Z32=$Y$1,"-",0))))))))))))</f>
        <v>-</v>
      </c>
      <c r="W32" s="32" t="str">
        <f t="shared" si="37"/>
        <v>-</v>
      </c>
      <c r="X32" s="32" t="str">
        <f t="shared" si="37"/>
        <v>-</v>
      </c>
      <c r="Y32" s="32">
        <f t="shared" si="3"/>
        <v>1</v>
      </c>
      <c r="Z32" s="32" t="s">
        <v>23</v>
      </c>
      <c r="AA32" s="33">
        <f t="shared" si="4"/>
        <v>0</v>
      </c>
      <c r="AB32" s="34">
        <f>COUNTIFS(Links!B:B,"ICSE",Links!C:C,A32,Links!AD:AD,1)</f>
        <v>0</v>
      </c>
      <c r="AC32" s="35" t="s">
        <v>36</v>
      </c>
      <c r="AD32" s="27" t="str">
        <f t="shared" si="5"/>
        <v>No</v>
      </c>
      <c r="AE32" s="36" t="s">
        <v>36</v>
      </c>
      <c r="AF32" s="37" t="s">
        <v>42</v>
      </c>
      <c r="AG32" s="37" t="s">
        <v>42</v>
      </c>
      <c r="AH32" s="37" t="s">
        <v>42</v>
      </c>
      <c r="AI32" s="29" t="str">
        <f t="shared" si="6"/>
        <v>----</v>
      </c>
      <c r="AJ32" s="38" t="str">
        <f t="shared" si="7"/>
        <v>Paper has no link and no statement</v>
      </c>
      <c r="AK32" s="39">
        <v>45035.0</v>
      </c>
      <c r="AL32" s="23" t="s">
        <v>43</v>
      </c>
      <c r="AM32" s="40" t="str">
        <f t="shared" si="8"/>
        <v>[IP1875]</v>
      </c>
    </row>
    <row r="33" ht="67.5" customHeight="1">
      <c r="A33" s="41">
        <v>1876.0</v>
      </c>
      <c r="B33" s="42" t="s">
        <v>129</v>
      </c>
      <c r="C33" s="43">
        <v>2014.0</v>
      </c>
      <c r="D33" s="44" t="s">
        <v>35</v>
      </c>
      <c r="E33" s="45" t="s">
        <v>36</v>
      </c>
      <c r="F33" s="45" t="s">
        <v>36</v>
      </c>
      <c r="G33" s="45" t="s">
        <v>36</v>
      </c>
      <c r="H33" s="45" t="s">
        <v>36</v>
      </c>
      <c r="I33" s="45" t="s">
        <v>36</v>
      </c>
      <c r="J33" s="46" t="s">
        <v>36</v>
      </c>
      <c r="K33" s="47" t="s">
        <v>37</v>
      </c>
      <c r="L33" s="48" t="s">
        <v>35</v>
      </c>
      <c r="M33" s="48" t="s">
        <v>37</v>
      </c>
      <c r="N33" s="48" t="s">
        <v>37</v>
      </c>
      <c r="O33" s="48" t="s">
        <v>35</v>
      </c>
      <c r="P33" s="48" t="s">
        <v>37</v>
      </c>
      <c r="Q33" s="48" t="s">
        <v>35</v>
      </c>
      <c r="R33" s="48" t="s">
        <v>37</v>
      </c>
      <c r="S33" s="49" t="s">
        <v>130</v>
      </c>
      <c r="T33" s="64" t="s">
        <v>131</v>
      </c>
      <c r="U33" s="64" t="s">
        <v>132</v>
      </c>
      <c r="V33" s="52">
        <f t="shared" ref="V33:X33" si="38">IF(lenb(SUBSTITUTE($Z33,V$1&amp;" (1)",""))&lt;lenb($Z33),1,IF(lenb(SUBSTITUTE($Z33,V$1&amp;" (2)",""))&lt;lenb($Z33),2,IF(lenb(SUBSTITUTE($Z33,V$1&amp;" (3)",""))&lt;lenb($Z33),3,IF(lenb(SUBSTITUTE($Z33,V$1&amp;" (4)",""))&lt;lenb($Z33),4,IF(lenb(SUBSTITUTE($Z33,V$1&amp;" (5)",""))&lt;lenb($Z33),5,IF(lenb(SUBSTITUTE($Z33,V$1&amp;" (6)",""))&lt;lenb($Z33),6,IF(lenb(SUBSTITUTE($Z33,V$1&amp;" (7)",""))&lt;lenb($Z33),1,IF(lenb(SUBSTITUTE($Z33,V$1&amp;" (8)",""))&lt;lenb($Z33),8,IF(lenb(SUBSTITUTE($Z33,V$1&amp;" (9)",""))&lt;lenb($Z33),9,IF(lenb(SUBSTITUTE($Z33,V$1&amp;" (10)",""))&lt;lenb($Z33),10,IF(lenb(SUBSTITUTE($Z33,V$1,""))&lt;lenb($Z33),"ERROR",IF($Z33=$Y$1,"-",0))))))))))))</f>
        <v>1</v>
      </c>
      <c r="W33" s="52">
        <f t="shared" si="38"/>
        <v>0</v>
      </c>
      <c r="X33" s="52">
        <f t="shared" si="38"/>
        <v>0</v>
      </c>
      <c r="Y33" s="52" t="str">
        <f t="shared" si="3"/>
        <v>-</v>
      </c>
      <c r="Z33" s="52" t="s">
        <v>62</v>
      </c>
      <c r="AA33" s="53">
        <f t="shared" si="4"/>
        <v>1</v>
      </c>
      <c r="AB33" s="54">
        <f>COUNTIFS(Links!B:B,"ICSE",Links!C:C,A33,Links!AD:AD,1)</f>
        <v>1</v>
      </c>
      <c r="AC33" s="55" t="s">
        <v>35</v>
      </c>
      <c r="AD33" s="47" t="str">
        <f t="shared" si="5"/>
        <v>No</v>
      </c>
      <c r="AE33" s="56" t="s">
        <v>36</v>
      </c>
      <c r="AF33" s="57" t="s">
        <v>42</v>
      </c>
      <c r="AG33" s="57" t="s">
        <v>42</v>
      </c>
      <c r="AH33" s="57" t="s">
        <v>42</v>
      </c>
      <c r="AI33" s="49" t="str">
        <f t="shared" si="6"/>
        <v>----</v>
      </c>
      <c r="AJ33" s="58" t="str">
        <f t="shared" si="7"/>
        <v>Paper has link but no statement</v>
      </c>
      <c r="AK33" s="59">
        <v>45035.0</v>
      </c>
      <c r="AL33" s="43" t="s">
        <v>43</v>
      </c>
      <c r="AM33" s="60" t="str">
        <f t="shared" si="8"/>
        <v>[IP1876]</v>
      </c>
    </row>
    <row r="34" ht="67.5" customHeight="1">
      <c r="A34" s="61">
        <v>1877.0</v>
      </c>
      <c r="B34" s="22" t="s">
        <v>133</v>
      </c>
      <c r="C34" s="23">
        <v>2014.0</v>
      </c>
      <c r="D34" s="24" t="s">
        <v>35</v>
      </c>
      <c r="E34" s="25" t="s">
        <v>36</v>
      </c>
      <c r="F34" s="25" t="s">
        <v>36</v>
      </c>
      <c r="G34" s="25" t="s">
        <v>36</v>
      </c>
      <c r="H34" s="25" t="s">
        <v>36</v>
      </c>
      <c r="I34" s="25" t="s">
        <v>36</v>
      </c>
      <c r="J34" s="26" t="s">
        <v>36</v>
      </c>
      <c r="K34" s="27" t="s">
        <v>37</v>
      </c>
      <c r="L34" s="28" t="s">
        <v>37</v>
      </c>
      <c r="M34" s="28" t="s">
        <v>35</v>
      </c>
      <c r="N34" s="28" t="s">
        <v>35</v>
      </c>
      <c r="O34" s="28" t="s">
        <v>35</v>
      </c>
      <c r="P34" s="28" t="s">
        <v>35</v>
      </c>
      <c r="Q34" s="28" t="s">
        <v>35</v>
      </c>
      <c r="R34" s="28" t="s">
        <v>37</v>
      </c>
      <c r="S34" s="29" t="s">
        <v>134</v>
      </c>
      <c r="T34" s="65" t="s">
        <v>135</v>
      </c>
      <c r="U34" s="65" t="s">
        <v>136</v>
      </c>
      <c r="V34" s="32">
        <f t="shared" ref="V34:X34" si="39">IF(lenb(SUBSTITUTE($Z34,V$1&amp;" (1)",""))&lt;lenb($Z34),1,IF(lenb(SUBSTITUTE($Z34,V$1&amp;" (2)",""))&lt;lenb($Z34),2,IF(lenb(SUBSTITUTE($Z34,V$1&amp;" (3)",""))&lt;lenb($Z34),3,IF(lenb(SUBSTITUTE($Z34,V$1&amp;" (4)",""))&lt;lenb($Z34),4,IF(lenb(SUBSTITUTE($Z34,V$1&amp;" (5)",""))&lt;lenb($Z34),5,IF(lenb(SUBSTITUTE($Z34,V$1&amp;" (6)",""))&lt;lenb($Z34),6,IF(lenb(SUBSTITUTE($Z34,V$1&amp;" (7)",""))&lt;lenb($Z34),1,IF(lenb(SUBSTITUTE($Z34,V$1&amp;" (8)",""))&lt;lenb($Z34),8,IF(lenb(SUBSTITUTE($Z34,V$1&amp;" (9)",""))&lt;lenb($Z34),9,IF(lenb(SUBSTITUTE($Z34,V$1&amp;" (10)",""))&lt;lenb($Z34),10,IF(lenb(SUBSTITUTE($Z34,V$1,""))&lt;lenb($Z34),"ERROR",IF($Z34=$Y$1,"-",0))))))))))))</f>
        <v>1</v>
      </c>
      <c r="W34" s="32">
        <f t="shared" si="39"/>
        <v>0</v>
      </c>
      <c r="X34" s="32">
        <f t="shared" si="39"/>
        <v>0</v>
      </c>
      <c r="Y34" s="32" t="str">
        <f t="shared" si="3"/>
        <v>-</v>
      </c>
      <c r="Z34" s="32" t="s">
        <v>62</v>
      </c>
      <c r="AA34" s="33">
        <f t="shared" si="4"/>
        <v>1</v>
      </c>
      <c r="AB34" s="34">
        <f>COUNTIFS(Links!B:B,"ICSE",Links!C:C,A34,Links!AD:AD,1)</f>
        <v>1</v>
      </c>
      <c r="AC34" s="35" t="s">
        <v>35</v>
      </c>
      <c r="AD34" s="27" t="str">
        <f t="shared" si="5"/>
        <v>No</v>
      </c>
      <c r="AE34" s="36" t="s">
        <v>36</v>
      </c>
      <c r="AF34" s="37" t="s">
        <v>42</v>
      </c>
      <c r="AG34" s="37" t="s">
        <v>42</v>
      </c>
      <c r="AH34" s="37" t="s">
        <v>42</v>
      </c>
      <c r="AI34" s="29" t="str">
        <f t="shared" si="6"/>
        <v>----</v>
      </c>
      <c r="AJ34" s="38" t="str">
        <f t="shared" si="7"/>
        <v>Paper has link but no statement</v>
      </c>
      <c r="AK34" s="39">
        <v>45035.0</v>
      </c>
      <c r="AL34" s="23" t="s">
        <v>43</v>
      </c>
      <c r="AM34" s="40" t="str">
        <f t="shared" si="8"/>
        <v>[IP1877]</v>
      </c>
    </row>
    <row r="35" ht="67.5" customHeight="1">
      <c r="A35" s="41">
        <v>1878.0</v>
      </c>
      <c r="B35" s="42" t="s">
        <v>137</v>
      </c>
      <c r="C35" s="43">
        <v>2014.0</v>
      </c>
      <c r="D35" s="44" t="s">
        <v>35</v>
      </c>
      <c r="E35" s="45" t="s">
        <v>36</v>
      </c>
      <c r="F35" s="45" t="s">
        <v>36</v>
      </c>
      <c r="G35" s="45" t="s">
        <v>36</v>
      </c>
      <c r="H35" s="45" t="s">
        <v>36</v>
      </c>
      <c r="I35" s="45" t="s">
        <v>36</v>
      </c>
      <c r="J35" s="46" t="s">
        <v>36</v>
      </c>
      <c r="K35" s="47" t="s">
        <v>37</v>
      </c>
      <c r="L35" s="48" t="s">
        <v>35</v>
      </c>
      <c r="M35" s="48" t="s">
        <v>35</v>
      </c>
      <c r="N35" s="48" t="s">
        <v>35</v>
      </c>
      <c r="O35" s="48" t="s">
        <v>35</v>
      </c>
      <c r="P35" s="48" t="s">
        <v>35</v>
      </c>
      <c r="Q35" s="48" t="s">
        <v>37</v>
      </c>
      <c r="R35" s="48" t="s">
        <v>37</v>
      </c>
      <c r="S35" s="49" t="s">
        <v>138</v>
      </c>
      <c r="T35" s="64" t="s">
        <v>139</v>
      </c>
      <c r="U35" s="51" t="s">
        <v>139</v>
      </c>
      <c r="V35" s="52">
        <f t="shared" ref="V35:X35" si="40">IF(lenb(SUBSTITUTE($Z35,V$1&amp;" (1)",""))&lt;lenb($Z35),1,IF(lenb(SUBSTITUTE($Z35,V$1&amp;" (2)",""))&lt;lenb($Z35),2,IF(lenb(SUBSTITUTE($Z35,V$1&amp;" (3)",""))&lt;lenb($Z35),3,IF(lenb(SUBSTITUTE($Z35,V$1&amp;" (4)",""))&lt;lenb($Z35),4,IF(lenb(SUBSTITUTE($Z35,V$1&amp;" (5)",""))&lt;lenb($Z35),5,IF(lenb(SUBSTITUTE($Z35,V$1&amp;" (6)",""))&lt;lenb($Z35),6,IF(lenb(SUBSTITUTE($Z35,V$1&amp;" (7)",""))&lt;lenb($Z35),1,IF(lenb(SUBSTITUTE($Z35,V$1&amp;" (8)",""))&lt;lenb($Z35),8,IF(lenb(SUBSTITUTE($Z35,V$1&amp;" (9)",""))&lt;lenb($Z35),9,IF(lenb(SUBSTITUTE($Z35,V$1&amp;" (10)",""))&lt;lenb($Z35),10,IF(lenb(SUBSTITUTE($Z35,V$1,""))&lt;lenb($Z35),"ERROR",IF($Z35=$Y$1,"-",0))))))))))))</f>
        <v>0</v>
      </c>
      <c r="W35" s="52">
        <f t="shared" si="40"/>
        <v>1</v>
      </c>
      <c r="X35" s="52">
        <f t="shared" si="40"/>
        <v>0</v>
      </c>
      <c r="Y35" s="52" t="str">
        <f t="shared" si="3"/>
        <v>-</v>
      </c>
      <c r="Z35" s="52" t="s">
        <v>47</v>
      </c>
      <c r="AA35" s="53">
        <f t="shared" si="4"/>
        <v>1</v>
      </c>
      <c r="AB35" s="54">
        <f>COUNTIFS(Links!B:B,"ICSE",Links!C:C,A35,Links!AD:AD,1)</f>
        <v>1</v>
      </c>
      <c r="AC35" s="55" t="s">
        <v>35</v>
      </c>
      <c r="AD35" s="47" t="str">
        <f t="shared" si="5"/>
        <v>No</v>
      </c>
      <c r="AE35" s="56" t="s">
        <v>36</v>
      </c>
      <c r="AF35" s="57" t="s">
        <v>42</v>
      </c>
      <c r="AG35" s="57" t="s">
        <v>42</v>
      </c>
      <c r="AH35" s="57" t="s">
        <v>42</v>
      </c>
      <c r="AI35" s="49" t="str">
        <f t="shared" si="6"/>
        <v>----</v>
      </c>
      <c r="AJ35" s="58" t="str">
        <f t="shared" si="7"/>
        <v>Paper has link but no statement</v>
      </c>
      <c r="AK35" s="59">
        <v>45035.0</v>
      </c>
      <c r="AL35" s="43" t="s">
        <v>43</v>
      </c>
      <c r="AM35" s="60" t="str">
        <f t="shared" si="8"/>
        <v>[IP1878]</v>
      </c>
    </row>
    <row r="36" ht="67.5" customHeight="1">
      <c r="A36" s="61">
        <v>1879.0</v>
      </c>
      <c r="B36" s="22" t="s">
        <v>140</v>
      </c>
      <c r="C36" s="23">
        <v>2014.0</v>
      </c>
      <c r="D36" s="24" t="s">
        <v>35</v>
      </c>
      <c r="E36" s="25" t="s">
        <v>36</v>
      </c>
      <c r="F36" s="25" t="s">
        <v>36</v>
      </c>
      <c r="G36" s="25" t="s">
        <v>36</v>
      </c>
      <c r="H36" s="25" t="s">
        <v>36</v>
      </c>
      <c r="I36" s="25" t="s">
        <v>36</v>
      </c>
      <c r="J36" s="26" t="s">
        <v>36</v>
      </c>
      <c r="K36" s="27" t="s">
        <v>37</v>
      </c>
      <c r="L36" s="28" t="s">
        <v>37</v>
      </c>
      <c r="M36" s="28" t="s">
        <v>35</v>
      </c>
      <c r="N36" s="28" t="s">
        <v>35</v>
      </c>
      <c r="O36" s="28" t="s">
        <v>35</v>
      </c>
      <c r="P36" s="28" t="s">
        <v>35</v>
      </c>
      <c r="Q36" s="28" t="s">
        <v>35</v>
      </c>
      <c r="R36" s="28" t="s">
        <v>37</v>
      </c>
      <c r="S36" s="29" t="s">
        <v>141</v>
      </c>
      <c r="T36" s="65" t="s">
        <v>142</v>
      </c>
      <c r="U36" s="31" t="s">
        <v>142</v>
      </c>
      <c r="V36" s="32">
        <f t="shared" ref="V36:X36" si="41">IF(lenb(SUBSTITUTE($Z36,V$1&amp;" (1)",""))&lt;lenb($Z36),1,IF(lenb(SUBSTITUTE($Z36,V$1&amp;" (2)",""))&lt;lenb($Z36),2,IF(lenb(SUBSTITUTE($Z36,V$1&amp;" (3)",""))&lt;lenb($Z36),3,IF(lenb(SUBSTITUTE($Z36,V$1&amp;" (4)",""))&lt;lenb($Z36),4,IF(lenb(SUBSTITUTE($Z36,V$1&amp;" (5)",""))&lt;lenb($Z36),5,IF(lenb(SUBSTITUTE($Z36,V$1&amp;" (6)",""))&lt;lenb($Z36),6,IF(lenb(SUBSTITUTE($Z36,V$1&amp;" (7)",""))&lt;lenb($Z36),1,IF(lenb(SUBSTITUTE($Z36,V$1&amp;" (8)",""))&lt;lenb($Z36),8,IF(lenb(SUBSTITUTE($Z36,V$1&amp;" (9)",""))&lt;lenb($Z36),9,IF(lenb(SUBSTITUTE($Z36,V$1&amp;" (10)",""))&lt;lenb($Z36),10,IF(lenb(SUBSTITUTE($Z36,V$1,""))&lt;lenb($Z36),"ERROR",IF($Z36=$Y$1,"-",0))))))))))))</f>
        <v>0</v>
      </c>
      <c r="W36" s="32">
        <f t="shared" si="41"/>
        <v>1</v>
      </c>
      <c r="X36" s="32">
        <f t="shared" si="41"/>
        <v>0</v>
      </c>
      <c r="Y36" s="32" t="str">
        <f t="shared" si="3"/>
        <v>-</v>
      </c>
      <c r="Z36" s="32" t="s">
        <v>47</v>
      </c>
      <c r="AA36" s="33">
        <f t="shared" si="4"/>
        <v>1</v>
      </c>
      <c r="AB36" s="34">
        <f>COUNTIFS(Links!B:B,"ICSE",Links!C:C,A36,Links!AD:AD,1)</f>
        <v>0</v>
      </c>
      <c r="AC36" s="35" t="s">
        <v>35</v>
      </c>
      <c r="AD36" s="27" t="str">
        <f t="shared" si="5"/>
        <v>No</v>
      </c>
      <c r="AE36" s="36" t="s">
        <v>36</v>
      </c>
      <c r="AF36" s="37" t="s">
        <v>42</v>
      </c>
      <c r="AG36" s="37" t="s">
        <v>42</v>
      </c>
      <c r="AH36" s="37" t="s">
        <v>42</v>
      </c>
      <c r="AI36" s="29" t="str">
        <f t="shared" si="6"/>
        <v>----</v>
      </c>
      <c r="AJ36" s="38" t="str">
        <f t="shared" si="7"/>
        <v>Paper has link but no statement</v>
      </c>
      <c r="AK36" s="39">
        <v>45035.0</v>
      </c>
      <c r="AL36" s="23" t="s">
        <v>43</v>
      </c>
      <c r="AM36" s="40" t="str">
        <f t="shared" si="8"/>
        <v>[IP1879]</v>
      </c>
    </row>
    <row r="37" ht="67.5" customHeight="1">
      <c r="A37" s="41">
        <v>1880.0</v>
      </c>
      <c r="B37" s="42" t="s">
        <v>143</v>
      </c>
      <c r="C37" s="43">
        <v>2014.0</v>
      </c>
      <c r="D37" s="44" t="s">
        <v>35</v>
      </c>
      <c r="E37" s="45" t="s">
        <v>36</v>
      </c>
      <c r="F37" s="45" t="s">
        <v>36</v>
      </c>
      <c r="G37" s="45" t="s">
        <v>36</v>
      </c>
      <c r="H37" s="45" t="s">
        <v>36</v>
      </c>
      <c r="I37" s="45" t="s">
        <v>36</v>
      </c>
      <c r="J37" s="46" t="s">
        <v>36</v>
      </c>
      <c r="K37" s="47" t="s">
        <v>35</v>
      </c>
      <c r="L37" s="48" t="s">
        <v>36</v>
      </c>
      <c r="M37" s="48" t="s">
        <v>36</v>
      </c>
      <c r="N37" s="48" t="s">
        <v>36</v>
      </c>
      <c r="O37" s="48" t="s">
        <v>36</v>
      </c>
      <c r="P37" s="48" t="s">
        <v>36</v>
      </c>
      <c r="Q37" s="48" t="s">
        <v>36</v>
      </c>
      <c r="R37" s="48" t="s">
        <v>36</v>
      </c>
      <c r="S37" s="49" t="s">
        <v>36</v>
      </c>
      <c r="T37" s="64" t="s">
        <v>36</v>
      </c>
      <c r="U37" s="51" t="s">
        <v>36</v>
      </c>
      <c r="V37" s="52" t="str">
        <f t="shared" ref="V37:X37" si="42">IF(lenb(SUBSTITUTE($Z37,V$1&amp;" (1)",""))&lt;lenb($Z37),1,IF(lenb(SUBSTITUTE($Z37,V$1&amp;" (2)",""))&lt;lenb($Z37),2,IF(lenb(SUBSTITUTE($Z37,V$1&amp;" (3)",""))&lt;lenb($Z37),3,IF(lenb(SUBSTITUTE($Z37,V$1&amp;" (4)",""))&lt;lenb($Z37),4,IF(lenb(SUBSTITUTE($Z37,V$1&amp;" (5)",""))&lt;lenb($Z37),5,IF(lenb(SUBSTITUTE($Z37,V$1&amp;" (6)",""))&lt;lenb($Z37),6,IF(lenb(SUBSTITUTE($Z37,V$1&amp;" (7)",""))&lt;lenb($Z37),1,IF(lenb(SUBSTITUTE($Z37,V$1&amp;" (8)",""))&lt;lenb($Z37),8,IF(lenb(SUBSTITUTE($Z37,V$1&amp;" (9)",""))&lt;lenb($Z37),9,IF(lenb(SUBSTITUTE($Z37,V$1&amp;" (10)",""))&lt;lenb($Z37),10,IF(lenb(SUBSTITUTE($Z37,V$1,""))&lt;lenb($Z37),"ERROR",IF($Z37=$Y$1,"-",0))))))))))))</f>
        <v>-</v>
      </c>
      <c r="W37" s="52" t="str">
        <f t="shared" si="42"/>
        <v>-</v>
      </c>
      <c r="X37" s="52" t="str">
        <f t="shared" si="42"/>
        <v>-</v>
      </c>
      <c r="Y37" s="52">
        <f t="shared" si="3"/>
        <v>1</v>
      </c>
      <c r="Z37" s="52" t="s">
        <v>23</v>
      </c>
      <c r="AA37" s="53">
        <f t="shared" si="4"/>
        <v>0</v>
      </c>
      <c r="AB37" s="54">
        <f>COUNTIFS(Links!B:B,"ICSE",Links!C:C,A37,Links!AD:AD,1)</f>
        <v>0</v>
      </c>
      <c r="AC37" s="55" t="s">
        <v>36</v>
      </c>
      <c r="AD37" s="47" t="str">
        <f t="shared" si="5"/>
        <v>No</v>
      </c>
      <c r="AE37" s="56" t="s">
        <v>36</v>
      </c>
      <c r="AF37" s="57" t="s">
        <v>42</v>
      </c>
      <c r="AG37" s="57" t="s">
        <v>42</v>
      </c>
      <c r="AH37" s="57" t="s">
        <v>42</v>
      </c>
      <c r="AI37" s="49" t="str">
        <f t="shared" si="6"/>
        <v>----</v>
      </c>
      <c r="AJ37" s="58" t="str">
        <f t="shared" si="7"/>
        <v>Paper has no link and no statement</v>
      </c>
      <c r="AK37" s="59">
        <v>45035.0</v>
      </c>
      <c r="AL37" s="43" t="s">
        <v>43</v>
      </c>
      <c r="AM37" s="60" t="str">
        <f t="shared" si="8"/>
        <v>[IP1880]</v>
      </c>
    </row>
    <row r="38" ht="67.5" customHeight="1">
      <c r="A38" s="61">
        <v>1881.0</v>
      </c>
      <c r="B38" s="22" t="s">
        <v>144</v>
      </c>
      <c r="C38" s="23">
        <v>2014.0</v>
      </c>
      <c r="D38" s="24" t="s">
        <v>35</v>
      </c>
      <c r="E38" s="25" t="s">
        <v>36</v>
      </c>
      <c r="F38" s="25" t="s">
        <v>36</v>
      </c>
      <c r="G38" s="25" t="s">
        <v>36</v>
      </c>
      <c r="H38" s="25" t="s">
        <v>36</v>
      </c>
      <c r="I38" s="25" t="s">
        <v>36</v>
      </c>
      <c r="J38" s="26" t="s">
        <v>36</v>
      </c>
      <c r="K38" s="27" t="s">
        <v>35</v>
      </c>
      <c r="L38" s="28" t="s">
        <v>36</v>
      </c>
      <c r="M38" s="28" t="s">
        <v>36</v>
      </c>
      <c r="N38" s="28" t="s">
        <v>36</v>
      </c>
      <c r="O38" s="28" t="s">
        <v>36</v>
      </c>
      <c r="P38" s="28" t="s">
        <v>36</v>
      </c>
      <c r="Q38" s="28" t="s">
        <v>36</v>
      </c>
      <c r="R38" s="28" t="s">
        <v>36</v>
      </c>
      <c r="S38" s="29" t="s">
        <v>36</v>
      </c>
      <c r="T38" s="65" t="s">
        <v>36</v>
      </c>
      <c r="U38" s="31" t="s">
        <v>36</v>
      </c>
      <c r="V38" s="32" t="str">
        <f t="shared" ref="V38:X38" si="43">IF(lenb(SUBSTITUTE($Z38,V$1&amp;" (1)",""))&lt;lenb($Z38),1,IF(lenb(SUBSTITUTE($Z38,V$1&amp;" (2)",""))&lt;lenb($Z38),2,IF(lenb(SUBSTITUTE($Z38,V$1&amp;" (3)",""))&lt;lenb($Z38),3,IF(lenb(SUBSTITUTE($Z38,V$1&amp;" (4)",""))&lt;lenb($Z38),4,IF(lenb(SUBSTITUTE($Z38,V$1&amp;" (5)",""))&lt;lenb($Z38),5,IF(lenb(SUBSTITUTE($Z38,V$1&amp;" (6)",""))&lt;lenb($Z38),6,IF(lenb(SUBSTITUTE($Z38,V$1&amp;" (7)",""))&lt;lenb($Z38),1,IF(lenb(SUBSTITUTE($Z38,V$1&amp;" (8)",""))&lt;lenb($Z38),8,IF(lenb(SUBSTITUTE($Z38,V$1&amp;" (9)",""))&lt;lenb($Z38),9,IF(lenb(SUBSTITUTE($Z38,V$1&amp;" (10)",""))&lt;lenb($Z38),10,IF(lenb(SUBSTITUTE($Z38,V$1,""))&lt;lenb($Z38),"ERROR",IF($Z38=$Y$1,"-",0))))))))))))</f>
        <v>-</v>
      </c>
      <c r="W38" s="32" t="str">
        <f t="shared" si="43"/>
        <v>-</v>
      </c>
      <c r="X38" s="32" t="str">
        <f t="shared" si="43"/>
        <v>-</v>
      </c>
      <c r="Y38" s="32">
        <f t="shared" si="3"/>
        <v>1</v>
      </c>
      <c r="Z38" s="32" t="s">
        <v>23</v>
      </c>
      <c r="AA38" s="33">
        <f t="shared" si="4"/>
        <v>0</v>
      </c>
      <c r="AB38" s="34">
        <f>COUNTIFS(Links!B:B,"ICSE",Links!C:C,A38,Links!AD:AD,1)</f>
        <v>0</v>
      </c>
      <c r="AC38" s="35" t="s">
        <v>36</v>
      </c>
      <c r="AD38" s="27" t="str">
        <f t="shared" si="5"/>
        <v>Yes</v>
      </c>
      <c r="AE38" s="36" t="s">
        <v>145</v>
      </c>
      <c r="AF38" s="36" t="s">
        <v>146</v>
      </c>
      <c r="AG38" s="37" t="s">
        <v>42</v>
      </c>
      <c r="AH38" s="37" t="s">
        <v>42</v>
      </c>
      <c r="AI38" s="29" t="str">
        <f t="shared" si="6"/>
        <v>Future plans (—)</v>
      </c>
      <c r="AJ38" s="38" t="str">
        <f t="shared" si="7"/>
        <v>Paper has no link but has statement</v>
      </c>
      <c r="AK38" s="39">
        <v>45035.0</v>
      </c>
      <c r="AL38" s="23" t="s">
        <v>43</v>
      </c>
      <c r="AM38" s="40" t="str">
        <f t="shared" si="8"/>
        <v>[IP1881]</v>
      </c>
    </row>
    <row r="39" ht="67.5" customHeight="1">
      <c r="A39" s="41">
        <v>1882.0</v>
      </c>
      <c r="B39" s="42" t="s">
        <v>147</v>
      </c>
      <c r="C39" s="43">
        <v>2014.0</v>
      </c>
      <c r="D39" s="44" t="s">
        <v>35</v>
      </c>
      <c r="E39" s="45" t="s">
        <v>36</v>
      </c>
      <c r="F39" s="45" t="s">
        <v>36</v>
      </c>
      <c r="G39" s="45" t="s">
        <v>36</v>
      </c>
      <c r="H39" s="45" t="s">
        <v>36</v>
      </c>
      <c r="I39" s="45" t="s">
        <v>36</v>
      </c>
      <c r="J39" s="46" t="s">
        <v>36</v>
      </c>
      <c r="K39" s="47" t="s">
        <v>37</v>
      </c>
      <c r="L39" s="48" t="s">
        <v>37</v>
      </c>
      <c r="M39" s="48" t="s">
        <v>35</v>
      </c>
      <c r="N39" s="48" t="s">
        <v>35</v>
      </c>
      <c r="O39" s="48" t="s">
        <v>35</v>
      </c>
      <c r="P39" s="48" t="s">
        <v>35</v>
      </c>
      <c r="Q39" s="48" t="s">
        <v>35</v>
      </c>
      <c r="R39" s="48" t="s">
        <v>37</v>
      </c>
      <c r="S39" s="49" t="s">
        <v>148</v>
      </c>
      <c r="T39" s="64" t="s">
        <v>149</v>
      </c>
      <c r="U39" s="64" t="s">
        <v>149</v>
      </c>
      <c r="V39" s="52">
        <f t="shared" ref="V39:X39" si="44">IF(lenb(SUBSTITUTE($Z39,V$1&amp;" (1)",""))&lt;lenb($Z39),1,IF(lenb(SUBSTITUTE($Z39,V$1&amp;" (2)",""))&lt;lenb($Z39),2,IF(lenb(SUBSTITUTE($Z39,V$1&amp;" (3)",""))&lt;lenb($Z39),3,IF(lenb(SUBSTITUTE($Z39,V$1&amp;" (4)",""))&lt;lenb($Z39),4,IF(lenb(SUBSTITUTE($Z39,V$1&amp;" (5)",""))&lt;lenb($Z39),5,IF(lenb(SUBSTITUTE($Z39,V$1&amp;" (6)",""))&lt;lenb($Z39),6,IF(lenb(SUBSTITUTE($Z39,V$1&amp;" (7)",""))&lt;lenb($Z39),1,IF(lenb(SUBSTITUTE($Z39,V$1&amp;" (8)",""))&lt;lenb($Z39),8,IF(lenb(SUBSTITUTE($Z39,V$1&amp;" (9)",""))&lt;lenb($Z39),9,IF(lenb(SUBSTITUTE($Z39,V$1&amp;" (10)",""))&lt;lenb($Z39),10,IF(lenb(SUBSTITUTE($Z39,V$1,""))&lt;lenb($Z39),"ERROR",IF($Z39=$Y$1,"-",0))))))))))))</f>
        <v>1</v>
      </c>
      <c r="W39" s="52">
        <f t="shared" si="44"/>
        <v>0</v>
      </c>
      <c r="X39" s="52">
        <f t="shared" si="44"/>
        <v>0</v>
      </c>
      <c r="Y39" s="52" t="str">
        <f t="shared" si="3"/>
        <v>-</v>
      </c>
      <c r="Z39" s="52" t="s">
        <v>62</v>
      </c>
      <c r="AA39" s="53">
        <f t="shared" si="4"/>
        <v>1</v>
      </c>
      <c r="AB39" s="54">
        <f>COUNTIFS(Links!B:B,"ICSE",Links!C:C,A39,Links!AD:AD,1)</f>
        <v>0</v>
      </c>
      <c r="AC39" s="55" t="s">
        <v>35</v>
      </c>
      <c r="AD39" s="47" t="str">
        <f t="shared" si="5"/>
        <v>No</v>
      </c>
      <c r="AE39" s="56" t="s">
        <v>36</v>
      </c>
      <c r="AF39" s="57" t="s">
        <v>42</v>
      </c>
      <c r="AG39" s="57" t="s">
        <v>42</v>
      </c>
      <c r="AH39" s="57" t="s">
        <v>42</v>
      </c>
      <c r="AI39" s="49" t="str">
        <f t="shared" si="6"/>
        <v>----</v>
      </c>
      <c r="AJ39" s="58" t="str">
        <f t="shared" si="7"/>
        <v>Paper has link but no statement</v>
      </c>
      <c r="AK39" s="59">
        <v>45035.0</v>
      </c>
      <c r="AL39" s="43" t="s">
        <v>43</v>
      </c>
      <c r="AM39" s="60" t="str">
        <f t="shared" si="8"/>
        <v>[IP1882]</v>
      </c>
    </row>
    <row r="40" ht="67.5" customHeight="1">
      <c r="A40" s="61">
        <v>1883.0</v>
      </c>
      <c r="B40" s="22" t="s">
        <v>150</v>
      </c>
      <c r="C40" s="23">
        <v>2014.0</v>
      </c>
      <c r="D40" s="24" t="s">
        <v>35</v>
      </c>
      <c r="E40" s="25" t="s">
        <v>36</v>
      </c>
      <c r="F40" s="25" t="s">
        <v>36</v>
      </c>
      <c r="G40" s="25" t="s">
        <v>36</v>
      </c>
      <c r="H40" s="25" t="s">
        <v>36</v>
      </c>
      <c r="I40" s="25" t="s">
        <v>36</v>
      </c>
      <c r="J40" s="26" t="s">
        <v>36</v>
      </c>
      <c r="K40" s="27" t="s">
        <v>35</v>
      </c>
      <c r="L40" s="28" t="s">
        <v>36</v>
      </c>
      <c r="M40" s="28" t="s">
        <v>36</v>
      </c>
      <c r="N40" s="28" t="s">
        <v>36</v>
      </c>
      <c r="O40" s="28" t="s">
        <v>36</v>
      </c>
      <c r="P40" s="28" t="s">
        <v>36</v>
      </c>
      <c r="Q40" s="28" t="s">
        <v>36</v>
      </c>
      <c r="R40" s="28" t="s">
        <v>36</v>
      </c>
      <c r="S40" s="29" t="s">
        <v>36</v>
      </c>
      <c r="T40" s="65" t="s">
        <v>36</v>
      </c>
      <c r="U40" s="31" t="s">
        <v>36</v>
      </c>
      <c r="V40" s="32" t="str">
        <f t="shared" ref="V40:X40" si="45">IF(lenb(SUBSTITUTE($Z40,V$1&amp;" (1)",""))&lt;lenb($Z40),1,IF(lenb(SUBSTITUTE($Z40,V$1&amp;" (2)",""))&lt;lenb($Z40),2,IF(lenb(SUBSTITUTE($Z40,V$1&amp;" (3)",""))&lt;lenb($Z40),3,IF(lenb(SUBSTITUTE($Z40,V$1&amp;" (4)",""))&lt;lenb($Z40),4,IF(lenb(SUBSTITUTE($Z40,V$1&amp;" (5)",""))&lt;lenb($Z40),5,IF(lenb(SUBSTITUTE($Z40,V$1&amp;" (6)",""))&lt;lenb($Z40),6,IF(lenb(SUBSTITUTE($Z40,V$1&amp;" (7)",""))&lt;lenb($Z40),1,IF(lenb(SUBSTITUTE($Z40,V$1&amp;" (8)",""))&lt;lenb($Z40),8,IF(lenb(SUBSTITUTE($Z40,V$1&amp;" (9)",""))&lt;lenb($Z40),9,IF(lenb(SUBSTITUTE($Z40,V$1&amp;" (10)",""))&lt;lenb($Z40),10,IF(lenb(SUBSTITUTE($Z40,V$1,""))&lt;lenb($Z40),"ERROR",IF($Z40=$Y$1,"-",0))))))))))))</f>
        <v>-</v>
      </c>
      <c r="W40" s="32" t="str">
        <f t="shared" si="45"/>
        <v>-</v>
      </c>
      <c r="X40" s="32" t="str">
        <f t="shared" si="45"/>
        <v>-</v>
      </c>
      <c r="Y40" s="32">
        <f t="shared" si="3"/>
        <v>1</v>
      </c>
      <c r="Z40" s="32" t="s">
        <v>23</v>
      </c>
      <c r="AA40" s="33">
        <f t="shared" si="4"/>
        <v>0</v>
      </c>
      <c r="AB40" s="34">
        <f>COUNTIFS(Links!B:B,"ICSE",Links!C:C,A40,Links!AD:AD,1)</f>
        <v>0</v>
      </c>
      <c r="AC40" s="35" t="s">
        <v>36</v>
      </c>
      <c r="AD40" s="27" t="str">
        <f t="shared" si="5"/>
        <v>No</v>
      </c>
      <c r="AE40" s="36" t="s">
        <v>36</v>
      </c>
      <c r="AF40" s="37" t="s">
        <v>42</v>
      </c>
      <c r="AG40" s="37" t="s">
        <v>42</v>
      </c>
      <c r="AH40" s="37" t="s">
        <v>42</v>
      </c>
      <c r="AI40" s="29" t="str">
        <f t="shared" si="6"/>
        <v>----</v>
      </c>
      <c r="AJ40" s="38" t="str">
        <f t="shared" si="7"/>
        <v>Paper has no link and no statement</v>
      </c>
      <c r="AK40" s="39">
        <v>45035.0</v>
      </c>
      <c r="AL40" s="23" t="s">
        <v>43</v>
      </c>
      <c r="AM40" s="40" t="str">
        <f t="shared" si="8"/>
        <v>[IP1883]</v>
      </c>
    </row>
    <row r="41" ht="67.5" customHeight="1">
      <c r="A41" s="41">
        <v>1884.0</v>
      </c>
      <c r="B41" s="42" t="s">
        <v>151</v>
      </c>
      <c r="C41" s="43">
        <v>2014.0</v>
      </c>
      <c r="D41" s="44" t="s">
        <v>35</v>
      </c>
      <c r="E41" s="45" t="s">
        <v>36</v>
      </c>
      <c r="F41" s="45" t="s">
        <v>36</v>
      </c>
      <c r="G41" s="45" t="s">
        <v>36</v>
      </c>
      <c r="H41" s="45" t="s">
        <v>36</v>
      </c>
      <c r="I41" s="45" t="s">
        <v>36</v>
      </c>
      <c r="J41" s="46" t="s">
        <v>36</v>
      </c>
      <c r="K41" s="47" t="s">
        <v>35</v>
      </c>
      <c r="L41" s="48" t="s">
        <v>36</v>
      </c>
      <c r="M41" s="48" t="s">
        <v>36</v>
      </c>
      <c r="N41" s="48" t="s">
        <v>36</v>
      </c>
      <c r="O41" s="48" t="s">
        <v>36</v>
      </c>
      <c r="P41" s="48" t="s">
        <v>36</v>
      </c>
      <c r="Q41" s="48" t="s">
        <v>36</v>
      </c>
      <c r="R41" s="48" t="s">
        <v>36</v>
      </c>
      <c r="S41" s="49" t="s">
        <v>36</v>
      </c>
      <c r="T41" s="64" t="s">
        <v>36</v>
      </c>
      <c r="U41" s="51" t="s">
        <v>36</v>
      </c>
      <c r="V41" s="52" t="str">
        <f t="shared" ref="V41:X41" si="46">IF(lenb(SUBSTITUTE($Z41,V$1&amp;" (1)",""))&lt;lenb($Z41),1,IF(lenb(SUBSTITUTE($Z41,V$1&amp;" (2)",""))&lt;lenb($Z41),2,IF(lenb(SUBSTITUTE($Z41,V$1&amp;" (3)",""))&lt;lenb($Z41),3,IF(lenb(SUBSTITUTE($Z41,V$1&amp;" (4)",""))&lt;lenb($Z41),4,IF(lenb(SUBSTITUTE($Z41,V$1&amp;" (5)",""))&lt;lenb($Z41),5,IF(lenb(SUBSTITUTE($Z41,V$1&amp;" (6)",""))&lt;lenb($Z41),6,IF(lenb(SUBSTITUTE($Z41,V$1&amp;" (7)",""))&lt;lenb($Z41),1,IF(lenb(SUBSTITUTE($Z41,V$1&amp;" (8)",""))&lt;lenb($Z41),8,IF(lenb(SUBSTITUTE($Z41,V$1&amp;" (9)",""))&lt;lenb($Z41),9,IF(lenb(SUBSTITUTE($Z41,V$1&amp;" (10)",""))&lt;lenb($Z41),10,IF(lenb(SUBSTITUTE($Z41,V$1,""))&lt;lenb($Z41),"ERROR",IF($Z41=$Y$1,"-",0))))))))))))</f>
        <v>-</v>
      </c>
      <c r="W41" s="52" t="str">
        <f t="shared" si="46"/>
        <v>-</v>
      </c>
      <c r="X41" s="52" t="str">
        <f t="shared" si="46"/>
        <v>-</v>
      </c>
      <c r="Y41" s="52">
        <f t="shared" si="3"/>
        <v>1</v>
      </c>
      <c r="Z41" s="52" t="s">
        <v>23</v>
      </c>
      <c r="AA41" s="53">
        <f t="shared" si="4"/>
        <v>0</v>
      </c>
      <c r="AB41" s="54">
        <f>COUNTIFS(Links!B:B,"ICSE",Links!C:C,A41,Links!AD:AD,1)</f>
        <v>0</v>
      </c>
      <c r="AC41" s="55" t="s">
        <v>36</v>
      </c>
      <c r="AD41" s="47" t="str">
        <f t="shared" si="5"/>
        <v>No</v>
      </c>
      <c r="AE41" s="56" t="s">
        <v>36</v>
      </c>
      <c r="AF41" s="57" t="s">
        <v>42</v>
      </c>
      <c r="AG41" s="57" t="s">
        <v>42</v>
      </c>
      <c r="AH41" s="57" t="s">
        <v>42</v>
      </c>
      <c r="AI41" s="49" t="str">
        <f t="shared" si="6"/>
        <v>----</v>
      </c>
      <c r="AJ41" s="58" t="str">
        <f t="shared" si="7"/>
        <v>Paper has no link and no statement</v>
      </c>
      <c r="AK41" s="59">
        <v>45035.0</v>
      </c>
      <c r="AL41" s="43" t="s">
        <v>43</v>
      </c>
      <c r="AM41" s="60" t="str">
        <f t="shared" si="8"/>
        <v>[IP1884]</v>
      </c>
    </row>
    <row r="42" ht="67.5" customHeight="1">
      <c r="A42" s="61">
        <v>1885.0</v>
      </c>
      <c r="B42" s="22" t="s">
        <v>152</v>
      </c>
      <c r="C42" s="23">
        <v>2014.0</v>
      </c>
      <c r="D42" s="24" t="s">
        <v>35</v>
      </c>
      <c r="E42" s="25" t="s">
        <v>36</v>
      </c>
      <c r="F42" s="25" t="s">
        <v>36</v>
      </c>
      <c r="G42" s="25" t="s">
        <v>36</v>
      </c>
      <c r="H42" s="25" t="s">
        <v>36</v>
      </c>
      <c r="I42" s="25" t="s">
        <v>36</v>
      </c>
      <c r="J42" s="26" t="s">
        <v>36</v>
      </c>
      <c r="K42" s="27" t="s">
        <v>37</v>
      </c>
      <c r="L42" s="28" t="s">
        <v>37</v>
      </c>
      <c r="M42" s="28" t="s">
        <v>37</v>
      </c>
      <c r="N42" s="28" t="s">
        <v>35</v>
      </c>
      <c r="O42" s="28" t="s">
        <v>37</v>
      </c>
      <c r="P42" s="28" t="s">
        <v>35</v>
      </c>
      <c r="Q42" s="28" t="s">
        <v>35</v>
      </c>
      <c r="R42" s="28" t="s">
        <v>37</v>
      </c>
      <c r="S42" s="29" t="s">
        <v>153</v>
      </c>
      <c r="T42" s="65" t="s">
        <v>154</v>
      </c>
      <c r="U42" s="65" t="s">
        <v>154</v>
      </c>
      <c r="V42" s="32">
        <f t="shared" ref="V42:X42" si="47">IF(lenb(SUBSTITUTE($Z42,V$1&amp;" (1)",""))&lt;lenb($Z42),1,IF(lenb(SUBSTITUTE($Z42,V$1&amp;" (2)",""))&lt;lenb($Z42),2,IF(lenb(SUBSTITUTE($Z42,V$1&amp;" (3)",""))&lt;lenb($Z42),3,IF(lenb(SUBSTITUTE($Z42,V$1&amp;" (4)",""))&lt;lenb($Z42),4,IF(lenb(SUBSTITUTE($Z42,V$1&amp;" (5)",""))&lt;lenb($Z42),5,IF(lenb(SUBSTITUTE($Z42,V$1&amp;" (6)",""))&lt;lenb($Z42),6,IF(lenb(SUBSTITUTE($Z42,V$1&amp;" (7)",""))&lt;lenb($Z42),1,IF(lenb(SUBSTITUTE($Z42,V$1&amp;" (8)",""))&lt;lenb($Z42),8,IF(lenb(SUBSTITUTE($Z42,V$1&amp;" (9)",""))&lt;lenb($Z42),9,IF(lenb(SUBSTITUTE($Z42,V$1&amp;" (10)",""))&lt;lenb($Z42),10,IF(lenb(SUBSTITUTE($Z42,V$1,""))&lt;lenb($Z42),"ERROR",IF($Z42=$Y$1,"-",0))))))))))))</f>
        <v>1</v>
      </c>
      <c r="W42" s="32">
        <f t="shared" si="47"/>
        <v>3</v>
      </c>
      <c r="X42" s="32">
        <f t="shared" si="47"/>
        <v>0</v>
      </c>
      <c r="Y42" s="32" t="str">
        <f t="shared" si="3"/>
        <v>-</v>
      </c>
      <c r="Z42" s="32" t="s">
        <v>155</v>
      </c>
      <c r="AA42" s="33">
        <f t="shared" si="4"/>
        <v>4</v>
      </c>
      <c r="AB42" s="34">
        <f>COUNTIFS(Links!B:B,"ICSE",Links!C:C,A42,Links!AD:AD,1)</f>
        <v>0</v>
      </c>
      <c r="AC42" s="35" t="s">
        <v>35</v>
      </c>
      <c r="AD42" s="27" t="str">
        <f t="shared" si="5"/>
        <v>No</v>
      </c>
      <c r="AE42" s="36" t="s">
        <v>36</v>
      </c>
      <c r="AF42" s="37" t="s">
        <v>42</v>
      </c>
      <c r="AG42" s="37" t="s">
        <v>42</v>
      </c>
      <c r="AH42" s="37" t="s">
        <v>42</v>
      </c>
      <c r="AI42" s="29" t="str">
        <f t="shared" si="6"/>
        <v>----</v>
      </c>
      <c r="AJ42" s="38" t="str">
        <f t="shared" si="7"/>
        <v>Paper has link but no statement</v>
      </c>
      <c r="AK42" s="39">
        <v>45035.0</v>
      </c>
      <c r="AL42" s="23" t="s">
        <v>43</v>
      </c>
      <c r="AM42" s="40" t="str">
        <f t="shared" si="8"/>
        <v>[IP1885]</v>
      </c>
    </row>
    <row r="43" ht="67.5" customHeight="1">
      <c r="A43" s="41">
        <v>1886.0</v>
      </c>
      <c r="B43" s="42" t="s">
        <v>156</v>
      </c>
      <c r="C43" s="43">
        <v>2014.0</v>
      </c>
      <c r="D43" s="44" t="s">
        <v>35</v>
      </c>
      <c r="E43" s="45" t="s">
        <v>36</v>
      </c>
      <c r="F43" s="45" t="s">
        <v>36</v>
      </c>
      <c r="G43" s="45" t="s">
        <v>36</v>
      </c>
      <c r="H43" s="45" t="s">
        <v>36</v>
      </c>
      <c r="I43" s="45" t="s">
        <v>36</v>
      </c>
      <c r="J43" s="46" t="s">
        <v>36</v>
      </c>
      <c r="K43" s="47" t="s">
        <v>37</v>
      </c>
      <c r="L43" s="48" t="s">
        <v>37</v>
      </c>
      <c r="M43" s="48" t="s">
        <v>35</v>
      </c>
      <c r="N43" s="48" t="s">
        <v>35</v>
      </c>
      <c r="O43" s="48" t="s">
        <v>35</v>
      </c>
      <c r="P43" s="48" t="s">
        <v>35</v>
      </c>
      <c r="Q43" s="48" t="s">
        <v>35</v>
      </c>
      <c r="R43" s="48" t="s">
        <v>37</v>
      </c>
      <c r="S43" s="49" t="s">
        <v>157</v>
      </c>
      <c r="T43" s="64" t="s">
        <v>158</v>
      </c>
      <c r="U43" s="51" t="s">
        <v>158</v>
      </c>
      <c r="V43" s="52">
        <f t="shared" ref="V43:X43" si="48">IF(lenb(SUBSTITUTE($Z43,V$1&amp;" (1)",""))&lt;lenb($Z43),1,IF(lenb(SUBSTITUTE($Z43,V$1&amp;" (2)",""))&lt;lenb($Z43),2,IF(lenb(SUBSTITUTE($Z43,V$1&amp;" (3)",""))&lt;lenb($Z43),3,IF(lenb(SUBSTITUTE($Z43,V$1&amp;" (4)",""))&lt;lenb($Z43),4,IF(lenb(SUBSTITUTE($Z43,V$1&amp;" (5)",""))&lt;lenb($Z43),5,IF(lenb(SUBSTITUTE($Z43,V$1&amp;" (6)",""))&lt;lenb($Z43),6,IF(lenb(SUBSTITUTE($Z43,V$1&amp;" (7)",""))&lt;lenb($Z43),1,IF(lenb(SUBSTITUTE($Z43,V$1&amp;" (8)",""))&lt;lenb($Z43),8,IF(lenb(SUBSTITUTE($Z43,V$1&amp;" (9)",""))&lt;lenb($Z43),9,IF(lenb(SUBSTITUTE($Z43,V$1&amp;" (10)",""))&lt;lenb($Z43),10,IF(lenb(SUBSTITUTE($Z43,V$1,""))&lt;lenb($Z43),"ERROR",IF($Z43=$Y$1,"-",0))))))))))))</f>
        <v>1</v>
      </c>
      <c r="W43" s="52">
        <f t="shared" si="48"/>
        <v>0</v>
      </c>
      <c r="X43" s="52">
        <f t="shared" si="48"/>
        <v>0</v>
      </c>
      <c r="Y43" s="52" t="str">
        <f t="shared" si="3"/>
        <v>-</v>
      </c>
      <c r="Z43" s="52" t="s">
        <v>62</v>
      </c>
      <c r="AA43" s="53">
        <f t="shared" si="4"/>
        <v>1</v>
      </c>
      <c r="AB43" s="54">
        <f>COUNTIFS(Links!B:B,"ICSE",Links!C:C,A43,Links!AD:AD,1)</f>
        <v>1</v>
      </c>
      <c r="AC43" s="55" t="s">
        <v>35</v>
      </c>
      <c r="AD43" s="47" t="str">
        <f t="shared" si="5"/>
        <v>No</v>
      </c>
      <c r="AE43" s="56" t="s">
        <v>36</v>
      </c>
      <c r="AF43" s="57" t="s">
        <v>42</v>
      </c>
      <c r="AG43" s="57" t="s">
        <v>42</v>
      </c>
      <c r="AH43" s="57" t="s">
        <v>42</v>
      </c>
      <c r="AI43" s="49" t="str">
        <f t="shared" si="6"/>
        <v>----</v>
      </c>
      <c r="AJ43" s="58" t="str">
        <f t="shared" si="7"/>
        <v>Paper has link but no statement</v>
      </c>
      <c r="AK43" s="59">
        <v>45035.0</v>
      </c>
      <c r="AL43" s="43" t="s">
        <v>43</v>
      </c>
      <c r="AM43" s="60" t="str">
        <f t="shared" si="8"/>
        <v>[IP1886]</v>
      </c>
    </row>
    <row r="44" ht="67.5" customHeight="1">
      <c r="A44" s="61">
        <v>1887.0</v>
      </c>
      <c r="B44" s="22" t="s">
        <v>159</v>
      </c>
      <c r="C44" s="23">
        <v>2014.0</v>
      </c>
      <c r="D44" s="24" t="s">
        <v>35</v>
      </c>
      <c r="E44" s="25" t="s">
        <v>36</v>
      </c>
      <c r="F44" s="25" t="s">
        <v>36</v>
      </c>
      <c r="G44" s="25" t="s">
        <v>36</v>
      </c>
      <c r="H44" s="25" t="s">
        <v>36</v>
      </c>
      <c r="I44" s="25" t="s">
        <v>36</v>
      </c>
      <c r="J44" s="26" t="s">
        <v>36</v>
      </c>
      <c r="K44" s="27" t="s">
        <v>35</v>
      </c>
      <c r="L44" s="28" t="s">
        <v>36</v>
      </c>
      <c r="M44" s="28" t="s">
        <v>36</v>
      </c>
      <c r="N44" s="28" t="s">
        <v>36</v>
      </c>
      <c r="O44" s="28" t="s">
        <v>36</v>
      </c>
      <c r="P44" s="28" t="s">
        <v>36</v>
      </c>
      <c r="Q44" s="28" t="s">
        <v>36</v>
      </c>
      <c r="R44" s="28" t="s">
        <v>36</v>
      </c>
      <c r="S44" s="29" t="s">
        <v>36</v>
      </c>
      <c r="T44" s="65" t="s">
        <v>36</v>
      </c>
      <c r="U44" s="31" t="s">
        <v>36</v>
      </c>
      <c r="V44" s="32" t="str">
        <f t="shared" ref="V44:X44" si="49">IF(lenb(SUBSTITUTE($Z44,V$1&amp;" (1)",""))&lt;lenb($Z44),1,IF(lenb(SUBSTITUTE($Z44,V$1&amp;" (2)",""))&lt;lenb($Z44),2,IF(lenb(SUBSTITUTE($Z44,V$1&amp;" (3)",""))&lt;lenb($Z44),3,IF(lenb(SUBSTITUTE($Z44,V$1&amp;" (4)",""))&lt;lenb($Z44),4,IF(lenb(SUBSTITUTE($Z44,V$1&amp;" (5)",""))&lt;lenb($Z44),5,IF(lenb(SUBSTITUTE($Z44,V$1&amp;" (6)",""))&lt;lenb($Z44),6,IF(lenb(SUBSTITUTE($Z44,V$1&amp;" (7)",""))&lt;lenb($Z44),1,IF(lenb(SUBSTITUTE($Z44,V$1&amp;" (8)",""))&lt;lenb($Z44),8,IF(lenb(SUBSTITUTE($Z44,V$1&amp;" (9)",""))&lt;lenb($Z44),9,IF(lenb(SUBSTITUTE($Z44,V$1&amp;" (10)",""))&lt;lenb($Z44),10,IF(lenb(SUBSTITUTE($Z44,V$1,""))&lt;lenb($Z44),"ERROR",IF($Z44=$Y$1,"-",0))))))))))))</f>
        <v>-</v>
      </c>
      <c r="W44" s="32" t="str">
        <f t="shared" si="49"/>
        <v>-</v>
      </c>
      <c r="X44" s="32" t="str">
        <f t="shared" si="49"/>
        <v>-</v>
      </c>
      <c r="Y44" s="32">
        <f t="shared" si="3"/>
        <v>1</v>
      </c>
      <c r="Z44" s="32" t="s">
        <v>23</v>
      </c>
      <c r="AA44" s="33">
        <f t="shared" si="4"/>
        <v>0</v>
      </c>
      <c r="AB44" s="34">
        <f>COUNTIFS(Links!B:B,"ICSE",Links!C:C,A44,Links!AD:AD,1)</f>
        <v>0</v>
      </c>
      <c r="AC44" s="35" t="s">
        <v>36</v>
      </c>
      <c r="AD44" s="27" t="str">
        <f t="shared" si="5"/>
        <v>No</v>
      </c>
      <c r="AE44" s="36" t="s">
        <v>36</v>
      </c>
      <c r="AF44" s="37" t="s">
        <v>42</v>
      </c>
      <c r="AG44" s="37" t="s">
        <v>42</v>
      </c>
      <c r="AH44" s="37" t="s">
        <v>42</v>
      </c>
      <c r="AI44" s="29" t="str">
        <f t="shared" si="6"/>
        <v>----</v>
      </c>
      <c r="AJ44" s="38" t="str">
        <f t="shared" si="7"/>
        <v>Paper has no link and no statement</v>
      </c>
      <c r="AK44" s="39">
        <v>45035.0</v>
      </c>
      <c r="AL44" s="23" t="s">
        <v>43</v>
      </c>
      <c r="AM44" s="40" t="str">
        <f t="shared" si="8"/>
        <v>[IP1887]</v>
      </c>
    </row>
    <row r="45" ht="67.5" customHeight="1">
      <c r="A45" s="41">
        <v>1888.0</v>
      </c>
      <c r="B45" s="42" t="s">
        <v>160</v>
      </c>
      <c r="C45" s="43">
        <v>2014.0</v>
      </c>
      <c r="D45" s="44" t="s">
        <v>35</v>
      </c>
      <c r="E45" s="45" t="s">
        <v>36</v>
      </c>
      <c r="F45" s="45" t="s">
        <v>36</v>
      </c>
      <c r="G45" s="45" t="s">
        <v>36</v>
      </c>
      <c r="H45" s="45" t="s">
        <v>36</v>
      </c>
      <c r="I45" s="45" t="s">
        <v>36</v>
      </c>
      <c r="J45" s="46" t="s">
        <v>36</v>
      </c>
      <c r="K45" s="47" t="s">
        <v>35</v>
      </c>
      <c r="L45" s="48" t="s">
        <v>36</v>
      </c>
      <c r="M45" s="48" t="s">
        <v>36</v>
      </c>
      <c r="N45" s="48" t="s">
        <v>36</v>
      </c>
      <c r="O45" s="48" t="s">
        <v>36</v>
      </c>
      <c r="P45" s="48" t="s">
        <v>36</v>
      </c>
      <c r="Q45" s="48" t="s">
        <v>36</v>
      </c>
      <c r="R45" s="48" t="s">
        <v>36</v>
      </c>
      <c r="S45" s="49" t="s">
        <v>36</v>
      </c>
      <c r="T45" s="64" t="s">
        <v>36</v>
      </c>
      <c r="U45" s="51" t="s">
        <v>36</v>
      </c>
      <c r="V45" s="52" t="str">
        <f t="shared" ref="V45:X45" si="50">IF(lenb(SUBSTITUTE($Z45,V$1&amp;" (1)",""))&lt;lenb($Z45),1,IF(lenb(SUBSTITUTE($Z45,V$1&amp;" (2)",""))&lt;lenb($Z45),2,IF(lenb(SUBSTITUTE($Z45,V$1&amp;" (3)",""))&lt;lenb($Z45),3,IF(lenb(SUBSTITUTE($Z45,V$1&amp;" (4)",""))&lt;lenb($Z45),4,IF(lenb(SUBSTITUTE($Z45,V$1&amp;" (5)",""))&lt;lenb($Z45),5,IF(lenb(SUBSTITUTE($Z45,V$1&amp;" (6)",""))&lt;lenb($Z45),6,IF(lenb(SUBSTITUTE($Z45,V$1&amp;" (7)",""))&lt;lenb($Z45),1,IF(lenb(SUBSTITUTE($Z45,V$1&amp;" (8)",""))&lt;lenb($Z45),8,IF(lenb(SUBSTITUTE($Z45,V$1&amp;" (9)",""))&lt;lenb($Z45),9,IF(lenb(SUBSTITUTE($Z45,V$1&amp;" (10)",""))&lt;lenb($Z45),10,IF(lenb(SUBSTITUTE($Z45,V$1,""))&lt;lenb($Z45),"ERROR",IF($Z45=$Y$1,"-",0))))))))))))</f>
        <v>-</v>
      </c>
      <c r="W45" s="52" t="str">
        <f t="shared" si="50"/>
        <v>-</v>
      </c>
      <c r="X45" s="52" t="str">
        <f t="shared" si="50"/>
        <v>-</v>
      </c>
      <c r="Y45" s="52">
        <f t="shared" si="3"/>
        <v>1</v>
      </c>
      <c r="Z45" s="52" t="s">
        <v>23</v>
      </c>
      <c r="AA45" s="53">
        <f t="shared" si="4"/>
        <v>0</v>
      </c>
      <c r="AB45" s="54">
        <f>COUNTIFS(Links!B:B,"ICSE",Links!C:C,A45,Links!AD:AD,1)</f>
        <v>0</v>
      </c>
      <c r="AC45" s="55" t="s">
        <v>36</v>
      </c>
      <c r="AD45" s="47" t="str">
        <f t="shared" si="5"/>
        <v>No</v>
      </c>
      <c r="AE45" s="56" t="s">
        <v>36</v>
      </c>
      <c r="AF45" s="57" t="s">
        <v>42</v>
      </c>
      <c r="AG45" s="57" t="s">
        <v>42</v>
      </c>
      <c r="AH45" s="57" t="s">
        <v>42</v>
      </c>
      <c r="AI45" s="49" t="str">
        <f t="shared" si="6"/>
        <v>----</v>
      </c>
      <c r="AJ45" s="58" t="str">
        <f t="shared" si="7"/>
        <v>Paper has no link and no statement</v>
      </c>
      <c r="AK45" s="59">
        <v>45035.0</v>
      </c>
      <c r="AL45" s="43" t="s">
        <v>43</v>
      </c>
      <c r="AM45" s="60" t="str">
        <f t="shared" si="8"/>
        <v>[IP1888]</v>
      </c>
    </row>
    <row r="46" ht="67.5" customHeight="1">
      <c r="A46" s="61">
        <v>1889.0</v>
      </c>
      <c r="B46" s="22" t="s">
        <v>161</v>
      </c>
      <c r="C46" s="23">
        <v>2014.0</v>
      </c>
      <c r="D46" s="24" t="s">
        <v>35</v>
      </c>
      <c r="E46" s="25" t="s">
        <v>36</v>
      </c>
      <c r="F46" s="25" t="s">
        <v>36</v>
      </c>
      <c r="G46" s="25" t="s">
        <v>36</v>
      </c>
      <c r="H46" s="25" t="s">
        <v>36</v>
      </c>
      <c r="I46" s="25" t="s">
        <v>36</v>
      </c>
      <c r="J46" s="26" t="s">
        <v>36</v>
      </c>
      <c r="K46" s="27" t="s">
        <v>35</v>
      </c>
      <c r="L46" s="28" t="s">
        <v>36</v>
      </c>
      <c r="M46" s="28" t="s">
        <v>36</v>
      </c>
      <c r="N46" s="28" t="s">
        <v>36</v>
      </c>
      <c r="O46" s="28" t="s">
        <v>36</v>
      </c>
      <c r="P46" s="28" t="s">
        <v>36</v>
      </c>
      <c r="Q46" s="28" t="s">
        <v>36</v>
      </c>
      <c r="R46" s="28" t="s">
        <v>36</v>
      </c>
      <c r="S46" s="29" t="s">
        <v>36</v>
      </c>
      <c r="T46" s="65" t="s">
        <v>36</v>
      </c>
      <c r="U46" s="31" t="s">
        <v>36</v>
      </c>
      <c r="V46" s="32" t="str">
        <f t="shared" ref="V46:X46" si="51">IF(lenb(SUBSTITUTE($Z46,V$1&amp;" (1)",""))&lt;lenb($Z46),1,IF(lenb(SUBSTITUTE($Z46,V$1&amp;" (2)",""))&lt;lenb($Z46),2,IF(lenb(SUBSTITUTE($Z46,V$1&amp;" (3)",""))&lt;lenb($Z46),3,IF(lenb(SUBSTITUTE($Z46,V$1&amp;" (4)",""))&lt;lenb($Z46),4,IF(lenb(SUBSTITUTE($Z46,V$1&amp;" (5)",""))&lt;lenb($Z46),5,IF(lenb(SUBSTITUTE($Z46,V$1&amp;" (6)",""))&lt;lenb($Z46),6,IF(lenb(SUBSTITUTE($Z46,V$1&amp;" (7)",""))&lt;lenb($Z46),1,IF(lenb(SUBSTITUTE($Z46,V$1&amp;" (8)",""))&lt;lenb($Z46),8,IF(lenb(SUBSTITUTE($Z46,V$1&amp;" (9)",""))&lt;lenb($Z46),9,IF(lenb(SUBSTITUTE($Z46,V$1&amp;" (10)",""))&lt;lenb($Z46),10,IF(lenb(SUBSTITUTE($Z46,V$1,""))&lt;lenb($Z46),"ERROR",IF($Z46=$Y$1,"-",0))))))))))))</f>
        <v>-</v>
      </c>
      <c r="W46" s="32" t="str">
        <f t="shared" si="51"/>
        <v>-</v>
      </c>
      <c r="X46" s="32" t="str">
        <f t="shared" si="51"/>
        <v>-</v>
      </c>
      <c r="Y46" s="32">
        <f t="shared" si="3"/>
        <v>1</v>
      </c>
      <c r="Z46" s="32" t="s">
        <v>23</v>
      </c>
      <c r="AA46" s="33">
        <f t="shared" si="4"/>
        <v>0</v>
      </c>
      <c r="AB46" s="34">
        <f>COUNTIFS(Links!B:B,"ICSE",Links!C:C,A46,Links!AD:AD,1)</f>
        <v>0</v>
      </c>
      <c r="AC46" s="35" t="s">
        <v>36</v>
      </c>
      <c r="AD46" s="27" t="str">
        <f t="shared" si="5"/>
        <v>No</v>
      </c>
      <c r="AE46" s="36" t="s">
        <v>36</v>
      </c>
      <c r="AF46" s="37" t="s">
        <v>42</v>
      </c>
      <c r="AG46" s="37" t="s">
        <v>42</v>
      </c>
      <c r="AH46" s="37" t="s">
        <v>42</v>
      </c>
      <c r="AI46" s="29" t="str">
        <f t="shared" si="6"/>
        <v>----</v>
      </c>
      <c r="AJ46" s="38" t="str">
        <f t="shared" si="7"/>
        <v>Paper has no link and no statement</v>
      </c>
      <c r="AK46" s="39">
        <v>45035.0</v>
      </c>
      <c r="AL46" s="23" t="s">
        <v>43</v>
      </c>
      <c r="AM46" s="40" t="str">
        <f t="shared" si="8"/>
        <v>[IP1889]</v>
      </c>
    </row>
    <row r="47" ht="67.5" customHeight="1">
      <c r="A47" s="41">
        <v>1890.0</v>
      </c>
      <c r="B47" s="42" t="s">
        <v>162</v>
      </c>
      <c r="C47" s="43">
        <v>2014.0</v>
      </c>
      <c r="D47" s="44" t="s">
        <v>35</v>
      </c>
      <c r="E47" s="45" t="s">
        <v>36</v>
      </c>
      <c r="F47" s="45" t="s">
        <v>36</v>
      </c>
      <c r="G47" s="45" t="s">
        <v>36</v>
      </c>
      <c r="H47" s="45" t="s">
        <v>36</v>
      </c>
      <c r="I47" s="45" t="s">
        <v>36</v>
      </c>
      <c r="J47" s="46" t="s">
        <v>36</v>
      </c>
      <c r="K47" s="47" t="s">
        <v>37</v>
      </c>
      <c r="L47" s="48" t="s">
        <v>35</v>
      </c>
      <c r="M47" s="48" t="s">
        <v>37</v>
      </c>
      <c r="N47" s="48" t="s">
        <v>35</v>
      </c>
      <c r="O47" s="48" t="s">
        <v>35</v>
      </c>
      <c r="P47" s="48" t="s">
        <v>35</v>
      </c>
      <c r="Q47" s="48" t="s">
        <v>35</v>
      </c>
      <c r="R47" s="48" t="s">
        <v>37</v>
      </c>
      <c r="S47" s="49" t="s">
        <v>163</v>
      </c>
      <c r="T47" s="64" t="s">
        <v>164</v>
      </c>
      <c r="U47" s="51" t="s">
        <v>165</v>
      </c>
      <c r="V47" s="52">
        <f t="shared" ref="V47:X47" si="52">IF(lenb(SUBSTITUTE($Z47,V$1&amp;" (1)",""))&lt;lenb($Z47),1,IF(lenb(SUBSTITUTE($Z47,V$1&amp;" (2)",""))&lt;lenb($Z47),2,IF(lenb(SUBSTITUTE($Z47,V$1&amp;" (3)",""))&lt;lenb($Z47),3,IF(lenb(SUBSTITUTE($Z47,V$1&amp;" (4)",""))&lt;lenb($Z47),4,IF(lenb(SUBSTITUTE($Z47,V$1&amp;" (5)",""))&lt;lenb($Z47),5,IF(lenb(SUBSTITUTE($Z47,V$1&amp;" (6)",""))&lt;lenb($Z47),6,IF(lenb(SUBSTITUTE($Z47,V$1&amp;" (7)",""))&lt;lenb($Z47),1,IF(lenb(SUBSTITUTE($Z47,V$1&amp;" (8)",""))&lt;lenb($Z47),8,IF(lenb(SUBSTITUTE($Z47,V$1&amp;" (9)",""))&lt;lenb($Z47),9,IF(lenb(SUBSTITUTE($Z47,V$1&amp;" (10)",""))&lt;lenb($Z47),10,IF(lenb(SUBSTITUTE($Z47,V$1,""))&lt;lenb($Z47),"ERROR",IF($Z47=$Y$1,"-",0))))))))))))</f>
        <v>0</v>
      </c>
      <c r="W47" s="52">
        <f t="shared" si="52"/>
        <v>1</v>
      </c>
      <c r="X47" s="52">
        <f t="shared" si="52"/>
        <v>0</v>
      </c>
      <c r="Y47" s="52" t="str">
        <f t="shared" si="3"/>
        <v>-</v>
      </c>
      <c r="Z47" s="52" t="s">
        <v>47</v>
      </c>
      <c r="AA47" s="53">
        <f t="shared" si="4"/>
        <v>1</v>
      </c>
      <c r="AB47" s="54">
        <f>COUNTIFS(Links!B:B,"ICSE",Links!C:C,A47,Links!AD:AD,1)</f>
        <v>1</v>
      </c>
      <c r="AC47" s="55" t="s">
        <v>35</v>
      </c>
      <c r="AD47" s="47" t="str">
        <f t="shared" si="5"/>
        <v>No</v>
      </c>
      <c r="AE47" s="56" t="s">
        <v>36</v>
      </c>
      <c r="AF47" s="57" t="s">
        <v>42</v>
      </c>
      <c r="AG47" s="57" t="s">
        <v>42</v>
      </c>
      <c r="AH47" s="57" t="s">
        <v>42</v>
      </c>
      <c r="AI47" s="49" t="str">
        <f t="shared" si="6"/>
        <v>----</v>
      </c>
      <c r="AJ47" s="58" t="str">
        <f t="shared" si="7"/>
        <v>Paper has link but no statement</v>
      </c>
      <c r="AK47" s="59">
        <v>45035.0</v>
      </c>
      <c r="AL47" s="43" t="s">
        <v>43</v>
      </c>
      <c r="AM47" s="60" t="str">
        <f t="shared" si="8"/>
        <v>[IP1890]</v>
      </c>
    </row>
    <row r="48" ht="67.5" customHeight="1">
      <c r="A48" s="61">
        <v>1891.0</v>
      </c>
      <c r="B48" s="22" t="s">
        <v>166</v>
      </c>
      <c r="C48" s="23">
        <v>2014.0</v>
      </c>
      <c r="D48" s="24" t="s">
        <v>35</v>
      </c>
      <c r="E48" s="25" t="s">
        <v>36</v>
      </c>
      <c r="F48" s="25" t="s">
        <v>36</v>
      </c>
      <c r="G48" s="25" t="s">
        <v>36</v>
      </c>
      <c r="H48" s="25" t="s">
        <v>36</v>
      </c>
      <c r="I48" s="25" t="s">
        <v>36</v>
      </c>
      <c r="J48" s="26" t="s">
        <v>36</v>
      </c>
      <c r="K48" s="27" t="s">
        <v>35</v>
      </c>
      <c r="L48" s="28" t="s">
        <v>36</v>
      </c>
      <c r="M48" s="28" t="s">
        <v>36</v>
      </c>
      <c r="N48" s="28" t="s">
        <v>36</v>
      </c>
      <c r="O48" s="28" t="s">
        <v>36</v>
      </c>
      <c r="P48" s="28" t="s">
        <v>36</v>
      </c>
      <c r="Q48" s="28" t="s">
        <v>36</v>
      </c>
      <c r="R48" s="28" t="s">
        <v>36</v>
      </c>
      <c r="S48" s="29" t="s">
        <v>36</v>
      </c>
      <c r="T48" s="65" t="s">
        <v>36</v>
      </c>
      <c r="U48" s="31" t="s">
        <v>36</v>
      </c>
      <c r="V48" s="32" t="str">
        <f t="shared" ref="V48:X48" si="53">IF(lenb(SUBSTITUTE($Z48,V$1&amp;" (1)",""))&lt;lenb($Z48),1,IF(lenb(SUBSTITUTE($Z48,V$1&amp;" (2)",""))&lt;lenb($Z48),2,IF(lenb(SUBSTITUTE($Z48,V$1&amp;" (3)",""))&lt;lenb($Z48),3,IF(lenb(SUBSTITUTE($Z48,V$1&amp;" (4)",""))&lt;lenb($Z48),4,IF(lenb(SUBSTITUTE($Z48,V$1&amp;" (5)",""))&lt;lenb($Z48),5,IF(lenb(SUBSTITUTE($Z48,V$1&amp;" (6)",""))&lt;lenb($Z48),6,IF(lenb(SUBSTITUTE($Z48,V$1&amp;" (7)",""))&lt;lenb($Z48),1,IF(lenb(SUBSTITUTE($Z48,V$1&amp;" (8)",""))&lt;lenb($Z48),8,IF(lenb(SUBSTITUTE($Z48,V$1&amp;" (9)",""))&lt;lenb($Z48),9,IF(lenb(SUBSTITUTE($Z48,V$1&amp;" (10)",""))&lt;lenb($Z48),10,IF(lenb(SUBSTITUTE($Z48,V$1,""))&lt;lenb($Z48),"ERROR",IF($Z48=$Y$1,"-",0))))))))))))</f>
        <v>-</v>
      </c>
      <c r="W48" s="32" t="str">
        <f t="shared" si="53"/>
        <v>-</v>
      </c>
      <c r="X48" s="32" t="str">
        <f t="shared" si="53"/>
        <v>-</v>
      </c>
      <c r="Y48" s="32">
        <f t="shared" si="3"/>
        <v>1</v>
      </c>
      <c r="Z48" s="32" t="s">
        <v>23</v>
      </c>
      <c r="AA48" s="33">
        <f t="shared" si="4"/>
        <v>0</v>
      </c>
      <c r="AB48" s="34">
        <f>COUNTIFS(Links!B:B,"ICSE",Links!C:C,A48,Links!AD:AD,1)</f>
        <v>0</v>
      </c>
      <c r="AC48" s="35" t="s">
        <v>36</v>
      </c>
      <c r="AD48" s="27" t="str">
        <f t="shared" si="5"/>
        <v>No</v>
      </c>
      <c r="AE48" s="36" t="s">
        <v>36</v>
      </c>
      <c r="AF48" s="37" t="s">
        <v>42</v>
      </c>
      <c r="AG48" s="37" t="s">
        <v>42</v>
      </c>
      <c r="AH48" s="37" t="s">
        <v>42</v>
      </c>
      <c r="AI48" s="29" t="str">
        <f t="shared" si="6"/>
        <v>----</v>
      </c>
      <c r="AJ48" s="38" t="str">
        <f t="shared" si="7"/>
        <v>Paper has no link and no statement</v>
      </c>
      <c r="AK48" s="39">
        <v>45035.0</v>
      </c>
      <c r="AL48" s="23" t="s">
        <v>43</v>
      </c>
      <c r="AM48" s="40" t="str">
        <f t="shared" si="8"/>
        <v>[IP1891]</v>
      </c>
    </row>
    <row r="49" ht="67.5" customHeight="1">
      <c r="A49" s="41">
        <v>1892.0</v>
      </c>
      <c r="B49" s="42" t="s">
        <v>167</v>
      </c>
      <c r="C49" s="43">
        <v>2014.0</v>
      </c>
      <c r="D49" s="44" t="s">
        <v>35</v>
      </c>
      <c r="E49" s="45" t="s">
        <v>36</v>
      </c>
      <c r="F49" s="45" t="s">
        <v>36</v>
      </c>
      <c r="G49" s="45" t="s">
        <v>36</v>
      </c>
      <c r="H49" s="45" t="s">
        <v>36</v>
      </c>
      <c r="I49" s="45" t="s">
        <v>36</v>
      </c>
      <c r="J49" s="46" t="s">
        <v>36</v>
      </c>
      <c r="K49" s="47" t="s">
        <v>37</v>
      </c>
      <c r="L49" s="48" t="s">
        <v>35</v>
      </c>
      <c r="M49" s="48" t="s">
        <v>37</v>
      </c>
      <c r="N49" s="48" t="s">
        <v>37</v>
      </c>
      <c r="O49" s="48" t="s">
        <v>35</v>
      </c>
      <c r="P49" s="48" t="s">
        <v>35</v>
      </c>
      <c r="Q49" s="48" t="s">
        <v>35</v>
      </c>
      <c r="R49" s="48" t="s">
        <v>37</v>
      </c>
      <c r="S49" s="49" t="s">
        <v>168</v>
      </c>
      <c r="T49" s="64" t="s">
        <v>169</v>
      </c>
      <c r="U49" s="51" t="s">
        <v>170</v>
      </c>
      <c r="V49" s="52">
        <f t="shared" ref="V49:X49" si="54">IF(lenb(SUBSTITUTE($Z49,V$1&amp;" (1)",""))&lt;lenb($Z49),1,IF(lenb(SUBSTITUTE($Z49,V$1&amp;" (2)",""))&lt;lenb($Z49),2,IF(lenb(SUBSTITUTE($Z49,V$1&amp;" (3)",""))&lt;lenb($Z49),3,IF(lenb(SUBSTITUTE($Z49,V$1&amp;" (4)",""))&lt;lenb($Z49),4,IF(lenb(SUBSTITUTE($Z49,V$1&amp;" (5)",""))&lt;lenb($Z49),5,IF(lenb(SUBSTITUTE($Z49,V$1&amp;" (6)",""))&lt;lenb($Z49),6,IF(lenb(SUBSTITUTE($Z49,V$1&amp;" (7)",""))&lt;lenb($Z49),1,IF(lenb(SUBSTITUTE($Z49,V$1&amp;" (8)",""))&lt;lenb($Z49),8,IF(lenb(SUBSTITUTE($Z49,V$1&amp;" (9)",""))&lt;lenb($Z49),9,IF(lenb(SUBSTITUTE($Z49,V$1&amp;" (10)",""))&lt;lenb($Z49),10,IF(lenb(SUBSTITUTE($Z49,V$1,""))&lt;lenb($Z49),"ERROR",IF($Z49=$Y$1,"-",0))))))))))))</f>
        <v>2</v>
      </c>
      <c r="W49" s="52">
        <f t="shared" si="54"/>
        <v>0</v>
      </c>
      <c r="X49" s="52">
        <f t="shared" si="54"/>
        <v>0</v>
      </c>
      <c r="Y49" s="52" t="str">
        <f t="shared" si="3"/>
        <v>-</v>
      </c>
      <c r="Z49" s="52" t="s">
        <v>57</v>
      </c>
      <c r="AA49" s="53">
        <f t="shared" si="4"/>
        <v>2</v>
      </c>
      <c r="AB49" s="54">
        <f>COUNTIFS(Links!B:B,"ICSE",Links!C:C,A49,Links!AD:AD,1)</f>
        <v>1</v>
      </c>
      <c r="AC49" s="55" t="s">
        <v>35</v>
      </c>
      <c r="AD49" s="47" t="str">
        <f t="shared" si="5"/>
        <v>No</v>
      </c>
      <c r="AE49" s="56" t="s">
        <v>36</v>
      </c>
      <c r="AF49" s="57" t="s">
        <v>42</v>
      </c>
      <c r="AG49" s="57" t="s">
        <v>42</v>
      </c>
      <c r="AH49" s="57" t="s">
        <v>42</v>
      </c>
      <c r="AI49" s="49" t="str">
        <f t="shared" si="6"/>
        <v>----</v>
      </c>
      <c r="AJ49" s="58" t="str">
        <f t="shared" si="7"/>
        <v>Paper has link but no statement</v>
      </c>
      <c r="AK49" s="59">
        <v>45035.0</v>
      </c>
      <c r="AL49" s="43" t="s">
        <v>43</v>
      </c>
      <c r="AM49" s="60" t="str">
        <f t="shared" si="8"/>
        <v>[IP1892]</v>
      </c>
    </row>
    <row r="50" ht="67.5" customHeight="1">
      <c r="A50" s="61">
        <v>1893.0</v>
      </c>
      <c r="B50" s="22" t="s">
        <v>171</v>
      </c>
      <c r="C50" s="23">
        <v>2014.0</v>
      </c>
      <c r="D50" s="24" t="s">
        <v>35</v>
      </c>
      <c r="E50" s="25" t="s">
        <v>36</v>
      </c>
      <c r="F50" s="25" t="s">
        <v>36</v>
      </c>
      <c r="G50" s="25" t="s">
        <v>36</v>
      </c>
      <c r="H50" s="25" t="s">
        <v>36</v>
      </c>
      <c r="I50" s="25" t="s">
        <v>36</v>
      </c>
      <c r="J50" s="26" t="s">
        <v>36</v>
      </c>
      <c r="K50" s="27" t="s">
        <v>37</v>
      </c>
      <c r="L50" s="28" t="s">
        <v>35</v>
      </c>
      <c r="M50" s="28" t="s">
        <v>35</v>
      </c>
      <c r="N50" s="28" t="s">
        <v>35</v>
      </c>
      <c r="O50" s="28" t="s">
        <v>35</v>
      </c>
      <c r="P50" s="28" t="s">
        <v>35</v>
      </c>
      <c r="Q50" s="28" t="s">
        <v>35</v>
      </c>
      <c r="R50" s="28" t="s">
        <v>37</v>
      </c>
      <c r="S50" s="29" t="s">
        <v>172</v>
      </c>
      <c r="T50" s="65" t="s">
        <v>173</v>
      </c>
      <c r="U50" s="31" t="s">
        <v>173</v>
      </c>
      <c r="V50" s="32">
        <f t="shared" ref="V50:X50" si="55">IF(lenb(SUBSTITUTE($Z50,V$1&amp;" (1)",""))&lt;lenb($Z50),1,IF(lenb(SUBSTITUTE($Z50,V$1&amp;" (2)",""))&lt;lenb($Z50),2,IF(lenb(SUBSTITUTE($Z50,V$1&amp;" (3)",""))&lt;lenb($Z50),3,IF(lenb(SUBSTITUTE($Z50,V$1&amp;" (4)",""))&lt;lenb($Z50),4,IF(lenb(SUBSTITUTE($Z50,V$1&amp;" (5)",""))&lt;lenb($Z50),5,IF(lenb(SUBSTITUTE($Z50,V$1&amp;" (6)",""))&lt;lenb($Z50),6,IF(lenb(SUBSTITUTE($Z50,V$1&amp;" (7)",""))&lt;lenb($Z50),1,IF(lenb(SUBSTITUTE($Z50,V$1&amp;" (8)",""))&lt;lenb($Z50),8,IF(lenb(SUBSTITUTE($Z50,V$1&amp;" (9)",""))&lt;lenb($Z50),9,IF(lenb(SUBSTITUTE($Z50,V$1&amp;" (10)",""))&lt;lenb($Z50),10,IF(lenb(SUBSTITUTE($Z50,V$1,""))&lt;lenb($Z50),"ERROR",IF($Z50=$Y$1,"-",0))))))))))))</f>
        <v>0</v>
      </c>
      <c r="W50" s="32">
        <f t="shared" si="55"/>
        <v>2</v>
      </c>
      <c r="X50" s="32">
        <f t="shared" si="55"/>
        <v>0</v>
      </c>
      <c r="Y50" s="32" t="str">
        <f t="shared" si="3"/>
        <v>-</v>
      </c>
      <c r="Z50" s="32" t="s">
        <v>174</v>
      </c>
      <c r="AA50" s="33">
        <f t="shared" si="4"/>
        <v>2</v>
      </c>
      <c r="AB50" s="34">
        <f>COUNTIFS(Links!B:B,"ICSE",Links!C:C,A50,Links!AD:AD,1)</f>
        <v>0</v>
      </c>
      <c r="AC50" s="35" t="s">
        <v>35</v>
      </c>
      <c r="AD50" s="27" t="str">
        <f t="shared" si="5"/>
        <v>No</v>
      </c>
      <c r="AE50" s="36" t="s">
        <v>36</v>
      </c>
      <c r="AF50" s="37" t="s">
        <v>42</v>
      </c>
      <c r="AG50" s="37" t="s">
        <v>42</v>
      </c>
      <c r="AH50" s="37" t="s">
        <v>42</v>
      </c>
      <c r="AI50" s="29" t="str">
        <f t="shared" si="6"/>
        <v>----</v>
      </c>
      <c r="AJ50" s="38" t="str">
        <f t="shared" si="7"/>
        <v>Paper has link but no statement</v>
      </c>
      <c r="AK50" s="39">
        <v>45035.0</v>
      </c>
      <c r="AL50" s="23" t="s">
        <v>43</v>
      </c>
      <c r="AM50" s="40" t="str">
        <f t="shared" si="8"/>
        <v>[IP1893]</v>
      </c>
    </row>
    <row r="51" ht="67.5" customHeight="1">
      <c r="A51" s="41">
        <v>1894.0</v>
      </c>
      <c r="B51" s="42" t="s">
        <v>175</v>
      </c>
      <c r="C51" s="43">
        <v>2014.0</v>
      </c>
      <c r="D51" s="44" t="s">
        <v>35</v>
      </c>
      <c r="E51" s="45" t="s">
        <v>36</v>
      </c>
      <c r="F51" s="45" t="s">
        <v>36</v>
      </c>
      <c r="G51" s="45" t="s">
        <v>36</v>
      </c>
      <c r="H51" s="45" t="s">
        <v>36</v>
      </c>
      <c r="I51" s="45" t="s">
        <v>36</v>
      </c>
      <c r="J51" s="46" t="s">
        <v>36</v>
      </c>
      <c r="K51" s="47" t="s">
        <v>35</v>
      </c>
      <c r="L51" s="48" t="s">
        <v>36</v>
      </c>
      <c r="M51" s="48" t="s">
        <v>36</v>
      </c>
      <c r="N51" s="48" t="s">
        <v>36</v>
      </c>
      <c r="O51" s="48" t="s">
        <v>36</v>
      </c>
      <c r="P51" s="48" t="s">
        <v>36</v>
      </c>
      <c r="Q51" s="48" t="s">
        <v>36</v>
      </c>
      <c r="R51" s="48" t="s">
        <v>36</v>
      </c>
      <c r="S51" s="49" t="s">
        <v>36</v>
      </c>
      <c r="T51" s="64" t="s">
        <v>36</v>
      </c>
      <c r="U51" s="51" t="s">
        <v>36</v>
      </c>
      <c r="V51" s="52" t="str">
        <f t="shared" ref="V51:X51" si="56">IF(lenb(SUBSTITUTE($Z51,V$1&amp;" (1)",""))&lt;lenb($Z51),1,IF(lenb(SUBSTITUTE($Z51,V$1&amp;" (2)",""))&lt;lenb($Z51),2,IF(lenb(SUBSTITUTE($Z51,V$1&amp;" (3)",""))&lt;lenb($Z51),3,IF(lenb(SUBSTITUTE($Z51,V$1&amp;" (4)",""))&lt;lenb($Z51),4,IF(lenb(SUBSTITUTE($Z51,V$1&amp;" (5)",""))&lt;lenb($Z51),5,IF(lenb(SUBSTITUTE($Z51,V$1&amp;" (6)",""))&lt;lenb($Z51),6,IF(lenb(SUBSTITUTE($Z51,V$1&amp;" (7)",""))&lt;lenb($Z51),1,IF(lenb(SUBSTITUTE($Z51,V$1&amp;" (8)",""))&lt;lenb($Z51),8,IF(lenb(SUBSTITUTE($Z51,V$1&amp;" (9)",""))&lt;lenb($Z51),9,IF(lenb(SUBSTITUTE($Z51,V$1&amp;" (10)",""))&lt;lenb($Z51),10,IF(lenb(SUBSTITUTE($Z51,V$1,""))&lt;lenb($Z51),"ERROR",IF($Z51=$Y$1,"-",0))))))))))))</f>
        <v>-</v>
      </c>
      <c r="W51" s="52" t="str">
        <f t="shared" si="56"/>
        <v>-</v>
      </c>
      <c r="X51" s="52" t="str">
        <f t="shared" si="56"/>
        <v>-</v>
      </c>
      <c r="Y51" s="52">
        <f t="shared" si="3"/>
        <v>1</v>
      </c>
      <c r="Z51" s="52" t="s">
        <v>23</v>
      </c>
      <c r="AA51" s="53">
        <f t="shared" si="4"/>
        <v>0</v>
      </c>
      <c r="AB51" s="54">
        <f>COUNTIFS(Links!B:B,"ICSE",Links!C:C,A51,Links!AD:AD,1)</f>
        <v>0</v>
      </c>
      <c r="AC51" s="55" t="s">
        <v>36</v>
      </c>
      <c r="AD51" s="47" t="str">
        <f t="shared" si="5"/>
        <v>No</v>
      </c>
      <c r="AE51" s="56" t="s">
        <v>36</v>
      </c>
      <c r="AF51" s="57" t="s">
        <v>42</v>
      </c>
      <c r="AG51" s="57" t="s">
        <v>42</v>
      </c>
      <c r="AH51" s="57" t="s">
        <v>42</v>
      </c>
      <c r="AI51" s="49" t="str">
        <f t="shared" si="6"/>
        <v>----</v>
      </c>
      <c r="AJ51" s="58" t="str">
        <f t="shared" si="7"/>
        <v>Paper has no link and no statement</v>
      </c>
      <c r="AK51" s="59">
        <v>45035.0</v>
      </c>
      <c r="AL51" s="43" t="s">
        <v>43</v>
      </c>
      <c r="AM51" s="60" t="str">
        <f t="shared" si="8"/>
        <v>[IP1894]</v>
      </c>
    </row>
    <row r="52" ht="67.5" customHeight="1">
      <c r="A52" s="61">
        <v>1895.0</v>
      </c>
      <c r="B52" s="22" t="s">
        <v>176</v>
      </c>
      <c r="C52" s="23">
        <v>2014.0</v>
      </c>
      <c r="D52" s="24" t="s">
        <v>35</v>
      </c>
      <c r="E52" s="25" t="s">
        <v>36</v>
      </c>
      <c r="F52" s="25" t="s">
        <v>36</v>
      </c>
      <c r="G52" s="25" t="s">
        <v>36</v>
      </c>
      <c r="H52" s="25" t="s">
        <v>36</v>
      </c>
      <c r="I52" s="25" t="s">
        <v>36</v>
      </c>
      <c r="J52" s="26" t="s">
        <v>36</v>
      </c>
      <c r="K52" s="27" t="s">
        <v>37</v>
      </c>
      <c r="L52" s="28" t="s">
        <v>35</v>
      </c>
      <c r="M52" s="28" t="s">
        <v>37</v>
      </c>
      <c r="N52" s="28" t="s">
        <v>35</v>
      </c>
      <c r="O52" s="28" t="s">
        <v>35</v>
      </c>
      <c r="P52" s="28" t="s">
        <v>35</v>
      </c>
      <c r="Q52" s="28" t="s">
        <v>35</v>
      </c>
      <c r="R52" s="28" t="s">
        <v>37</v>
      </c>
      <c r="S52" s="29" t="s">
        <v>177</v>
      </c>
      <c r="T52" s="65" t="s">
        <v>178</v>
      </c>
      <c r="U52" s="65" t="s">
        <v>178</v>
      </c>
      <c r="V52" s="32">
        <f t="shared" ref="V52:X52" si="57">IF(lenb(SUBSTITUTE($Z52,V$1&amp;" (1)",""))&lt;lenb($Z52),1,IF(lenb(SUBSTITUTE($Z52,V$1&amp;" (2)",""))&lt;lenb($Z52),2,IF(lenb(SUBSTITUTE($Z52,V$1&amp;" (3)",""))&lt;lenb($Z52),3,IF(lenb(SUBSTITUTE($Z52,V$1&amp;" (4)",""))&lt;lenb($Z52),4,IF(lenb(SUBSTITUTE($Z52,V$1&amp;" (5)",""))&lt;lenb($Z52),5,IF(lenb(SUBSTITUTE($Z52,V$1&amp;" (6)",""))&lt;lenb($Z52),6,IF(lenb(SUBSTITUTE($Z52,V$1&amp;" (7)",""))&lt;lenb($Z52),1,IF(lenb(SUBSTITUTE($Z52,V$1&amp;" (8)",""))&lt;lenb($Z52),8,IF(lenb(SUBSTITUTE($Z52,V$1&amp;" (9)",""))&lt;lenb($Z52),9,IF(lenb(SUBSTITUTE($Z52,V$1&amp;" (10)",""))&lt;lenb($Z52),10,IF(lenb(SUBSTITUTE($Z52,V$1,""))&lt;lenb($Z52),"ERROR",IF($Z52=$Y$1,"-",0))))))))))))</f>
        <v>1</v>
      </c>
      <c r="W52" s="32">
        <f t="shared" si="57"/>
        <v>0</v>
      </c>
      <c r="X52" s="32">
        <f t="shared" si="57"/>
        <v>0</v>
      </c>
      <c r="Y52" s="32" t="str">
        <f t="shared" si="3"/>
        <v>-</v>
      </c>
      <c r="Z52" s="32" t="s">
        <v>62</v>
      </c>
      <c r="AA52" s="33">
        <f t="shared" si="4"/>
        <v>1</v>
      </c>
      <c r="AB52" s="34">
        <f>COUNTIFS(Links!B:B,"ICSE",Links!C:C,A52,Links!AD:AD,1)</f>
        <v>1</v>
      </c>
      <c r="AC52" s="35" t="s">
        <v>35</v>
      </c>
      <c r="AD52" s="27" t="str">
        <f t="shared" si="5"/>
        <v>No</v>
      </c>
      <c r="AE52" s="36" t="s">
        <v>36</v>
      </c>
      <c r="AF52" s="37" t="s">
        <v>42</v>
      </c>
      <c r="AG52" s="37" t="s">
        <v>42</v>
      </c>
      <c r="AH52" s="37" t="s">
        <v>42</v>
      </c>
      <c r="AI52" s="29" t="str">
        <f t="shared" si="6"/>
        <v>----</v>
      </c>
      <c r="AJ52" s="38" t="str">
        <f t="shared" si="7"/>
        <v>Paper has link but no statement</v>
      </c>
      <c r="AK52" s="39">
        <v>45035.0</v>
      </c>
      <c r="AL52" s="23" t="s">
        <v>43</v>
      </c>
      <c r="AM52" s="40" t="str">
        <f t="shared" si="8"/>
        <v>[IP1895]</v>
      </c>
    </row>
    <row r="53" ht="67.5" customHeight="1">
      <c r="A53" s="41">
        <v>1896.0</v>
      </c>
      <c r="B53" s="42" t="s">
        <v>179</v>
      </c>
      <c r="C53" s="43">
        <v>2014.0</v>
      </c>
      <c r="D53" s="44" t="s">
        <v>35</v>
      </c>
      <c r="E53" s="45" t="s">
        <v>36</v>
      </c>
      <c r="F53" s="45" t="s">
        <v>36</v>
      </c>
      <c r="G53" s="45" t="s">
        <v>36</v>
      </c>
      <c r="H53" s="45" t="s">
        <v>36</v>
      </c>
      <c r="I53" s="45" t="s">
        <v>36</v>
      </c>
      <c r="J53" s="46" t="s">
        <v>36</v>
      </c>
      <c r="K53" s="47" t="s">
        <v>37</v>
      </c>
      <c r="L53" s="48" t="s">
        <v>35</v>
      </c>
      <c r="M53" s="48" t="s">
        <v>35</v>
      </c>
      <c r="N53" s="48" t="s">
        <v>35</v>
      </c>
      <c r="O53" s="48" t="s">
        <v>37</v>
      </c>
      <c r="P53" s="48" t="s">
        <v>35</v>
      </c>
      <c r="Q53" s="48" t="s">
        <v>35</v>
      </c>
      <c r="R53" s="48" t="s">
        <v>37</v>
      </c>
      <c r="S53" s="49" t="s">
        <v>180</v>
      </c>
      <c r="T53" s="64" t="s">
        <v>181</v>
      </c>
      <c r="U53" s="51" t="s">
        <v>181</v>
      </c>
      <c r="V53" s="52">
        <f t="shared" ref="V53:X53" si="58">IF(lenb(SUBSTITUTE($Z53,V$1&amp;" (1)",""))&lt;lenb($Z53),1,IF(lenb(SUBSTITUTE($Z53,V$1&amp;" (2)",""))&lt;lenb($Z53),2,IF(lenb(SUBSTITUTE($Z53,V$1&amp;" (3)",""))&lt;lenb($Z53),3,IF(lenb(SUBSTITUTE($Z53,V$1&amp;" (4)",""))&lt;lenb($Z53),4,IF(lenb(SUBSTITUTE($Z53,V$1&amp;" (5)",""))&lt;lenb($Z53),5,IF(lenb(SUBSTITUTE($Z53,V$1&amp;" (6)",""))&lt;lenb($Z53),6,IF(lenb(SUBSTITUTE($Z53,V$1&amp;" (7)",""))&lt;lenb($Z53),1,IF(lenb(SUBSTITUTE($Z53,V$1&amp;" (8)",""))&lt;lenb($Z53),8,IF(lenb(SUBSTITUTE($Z53,V$1&amp;" (9)",""))&lt;lenb($Z53),9,IF(lenb(SUBSTITUTE($Z53,V$1&amp;" (10)",""))&lt;lenb($Z53),10,IF(lenb(SUBSTITUTE($Z53,V$1,""))&lt;lenb($Z53),"ERROR",IF($Z53=$Y$1,"-",0))))))))))))</f>
        <v>1</v>
      </c>
      <c r="W53" s="52">
        <f t="shared" si="58"/>
        <v>0</v>
      </c>
      <c r="X53" s="52">
        <f t="shared" si="58"/>
        <v>0</v>
      </c>
      <c r="Y53" s="52" t="str">
        <f t="shared" si="3"/>
        <v>-</v>
      </c>
      <c r="Z53" s="52" t="s">
        <v>62</v>
      </c>
      <c r="AA53" s="53">
        <f t="shared" si="4"/>
        <v>1</v>
      </c>
      <c r="AB53" s="54">
        <f>COUNTIFS(Links!B:B,"ICSE",Links!C:C,A53,Links!AD:AD,1)</f>
        <v>1</v>
      </c>
      <c r="AC53" s="55" t="s">
        <v>35</v>
      </c>
      <c r="AD53" s="47" t="str">
        <f t="shared" si="5"/>
        <v>No</v>
      </c>
      <c r="AE53" s="56" t="s">
        <v>36</v>
      </c>
      <c r="AF53" s="57" t="s">
        <v>42</v>
      </c>
      <c r="AG53" s="57" t="s">
        <v>42</v>
      </c>
      <c r="AH53" s="57" t="s">
        <v>42</v>
      </c>
      <c r="AI53" s="49" t="str">
        <f t="shared" si="6"/>
        <v>----</v>
      </c>
      <c r="AJ53" s="58" t="str">
        <f t="shared" si="7"/>
        <v>Paper has link but no statement</v>
      </c>
      <c r="AK53" s="59">
        <v>45035.0</v>
      </c>
      <c r="AL53" s="43" t="s">
        <v>43</v>
      </c>
      <c r="AM53" s="60" t="str">
        <f t="shared" si="8"/>
        <v>[IP1896]</v>
      </c>
    </row>
    <row r="54" ht="67.5" customHeight="1">
      <c r="A54" s="61">
        <v>1897.0</v>
      </c>
      <c r="B54" s="22" t="s">
        <v>182</v>
      </c>
      <c r="C54" s="23">
        <v>2014.0</v>
      </c>
      <c r="D54" s="24" t="s">
        <v>35</v>
      </c>
      <c r="E54" s="25" t="s">
        <v>36</v>
      </c>
      <c r="F54" s="25" t="s">
        <v>36</v>
      </c>
      <c r="G54" s="25" t="s">
        <v>36</v>
      </c>
      <c r="H54" s="25" t="s">
        <v>36</v>
      </c>
      <c r="I54" s="25" t="s">
        <v>36</v>
      </c>
      <c r="J54" s="26" t="s">
        <v>36</v>
      </c>
      <c r="K54" s="27" t="s">
        <v>35</v>
      </c>
      <c r="L54" s="28" t="s">
        <v>36</v>
      </c>
      <c r="M54" s="28" t="s">
        <v>36</v>
      </c>
      <c r="N54" s="28" t="s">
        <v>36</v>
      </c>
      <c r="O54" s="28" t="s">
        <v>36</v>
      </c>
      <c r="P54" s="28" t="s">
        <v>36</v>
      </c>
      <c r="Q54" s="28" t="s">
        <v>36</v>
      </c>
      <c r="R54" s="28" t="s">
        <v>36</v>
      </c>
      <c r="S54" s="29" t="s">
        <v>36</v>
      </c>
      <c r="T54" s="65" t="s">
        <v>36</v>
      </c>
      <c r="U54" s="31" t="s">
        <v>36</v>
      </c>
      <c r="V54" s="32" t="str">
        <f t="shared" ref="V54:X54" si="59">IF(lenb(SUBSTITUTE($Z54,V$1&amp;" (1)",""))&lt;lenb($Z54),1,IF(lenb(SUBSTITUTE($Z54,V$1&amp;" (2)",""))&lt;lenb($Z54),2,IF(lenb(SUBSTITUTE($Z54,V$1&amp;" (3)",""))&lt;lenb($Z54),3,IF(lenb(SUBSTITUTE($Z54,V$1&amp;" (4)",""))&lt;lenb($Z54),4,IF(lenb(SUBSTITUTE($Z54,V$1&amp;" (5)",""))&lt;lenb($Z54),5,IF(lenb(SUBSTITUTE($Z54,V$1&amp;" (6)",""))&lt;lenb($Z54),6,IF(lenb(SUBSTITUTE($Z54,V$1&amp;" (7)",""))&lt;lenb($Z54),1,IF(lenb(SUBSTITUTE($Z54,V$1&amp;" (8)",""))&lt;lenb($Z54),8,IF(lenb(SUBSTITUTE($Z54,V$1&amp;" (9)",""))&lt;lenb($Z54),9,IF(lenb(SUBSTITUTE($Z54,V$1&amp;" (10)",""))&lt;lenb($Z54),10,IF(lenb(SUBSTITUTE($Z54,V$1,""))&lt;lenb($Z54),"ERROR",IF($Z54=$Y$1,"-",0))))))))))))</f>
        <v>-</v>
      </c>
      <c r="W54" s="32" t="str">
        <f t="shared" si="59"/>
        <v>-</v>
      </c>
      <c r="X54" s="32" t="str">
        <f t="shared" si="59"/>
        <v>-</v>
      </c>
      <c r="Y54" s="32">
        <f t="shared" si="3"/>
        <v>1</v>
      </c>
      <c r="Z54" s="32" t="s">
        <v>23</v>
      </c>
      <c r="AA54" s="33">
        <f t="shared" si="4"/>
        <v>0</v>
      </c>
      <c r="AB54" s="34">
        <f>COUNTIFS(Links!B:B,"ICSE",Links!C:C,A54,Links!AD:AD,1)</f>
        <v>0</v>
      </c>
      <c r="AC54" s="35" t="s">
        <v>36</v>
      </c>
      <c r="AD54" s="27" t="str">
        <f t="shared" si="5"/>
        <v>No</v>
      </c>
      <c r="AE54" s="36" t="s">
        <v>36</v>
      </c>
      <c r="AF54" s="37" t="s">
        <v>42</v>
      </c>
      <c r="AG54" s="37" t="s">
        <v>42</v>
      </c>
      <c r="AH54" s="37" t="s">
        <v>42</v>
      </c>
      <c r="AI54" s="29" t="str">
        <f t="shared" si="6"/>
        <v>----</v>
      </c>
      <c r="AJ54" s="38" t="str">
        <f t="shared" si="7"/>
        <v>Paper has no link and no statement</v>
      </c>
      <c r="AK54" s="39">
        <v>45035.0</v>
      </c>
      <c r="AL54" s="23" t="s">
        <v>43</v>
      </c>
      <c r="AM54" s="40" t="str">
        <f t="shared" si="8"/>
        <v>[IP1897]</v>
      </c>
    </row>
    <row r="55" ht="67.5" customHeight="1">
      <c r="A55" s="41">
        <v>1898.0</v>
      </c>
      <c r="B55" s="42" t="s">
        <v>183</v>
      </c>
      <c r="C55" s="43">
        <v>2014.0</v>
      </c>
      <c r="D55" s="44" t="s">
        <v>35</v>
      </c>
      <c r="E55" s="45" t="s">
        <v>36</v>
      </c>
      <c r="F55" s="45" t="s">
        <v>36</v>
      </c>
      <c r="G55" s="45" t="s">
        <v>36</v>
      </c>
      <c r="H55" s="45" t="s">
        <v>36</v>
      </c>
      <c r="I55" s="45" t="s">
        <v>36</v>
      </c>
      <c r="J55" s="46" t="s">
        <v>36</v>
      </c>
      <c r="K55" s="47" t="s">
        <v>37</v>
      </c>
      <c r="L55" s="48" t="s">
        <v>35</v>
      </c>
      <c r="M55" s="48" t="s">
        <v>35</v>
      </c>
      <c r="N55" s="48" t="s">
        <v>35</v>
      </c>
      <c r="O55" s="48" t="s">
        <v>35</v>
      </c>
      <c r="P55" s="48" t="s">
        <v>35</v>
      </c>
      <c r="Q55" s="48" t="s">
        <v>35</v>
      </c>
      <c r="R55" s="48" t="s">
        <v>37</v>
      </c>
      <c r="S55" s="49" t="s">
        <v>184</v>
      </c>
      <c r="T55" s="64" t="s">
        <v>185</v>
      </c>
      <c r="U55" s="64" t="s">
        <v>185</v>
      </c>
      <c r="V55" s="52">
        <f t="shared" ref="V55:X55" si="60">IF(lenb(SUBSTITUTE($Z55,V$1&amp;" (1)",""))&lt;lenb($Z55),1,IF(lenb(SUBSTITUTE($Z55,V$1&amp;" (2)",""))&lt;lenb($Z55),2,IF(lenb(SUBSTITUTE($Z55,V$1&amp;" (3)",""))&lt;lenb($Z55),3,IF(lenb(SUBSTITUTE($Z55,V$1&amp;" (4)",""))&lt;lenb($Z55),4,IF(lenb(SUBSTITUTE($Z55,V$1&amp;" (5)",""))&lt;lenb($Z55),5,IF(lenb(SUBSTITUTE($Z55,V$1&amp;" (6)",""))&lt;lenb($Z55),6,IF(lenb(SUBSTITUTE($Z55,V$1&amp;" (7)",""))&lt;lenb($Z55),1,IF(lenb(SUBSTITUTE($Z55,V$1&amp;" (8)",""))&lt;lenb($Z55),8,IF(lenb(SUBSTITUTE($Z55,V$1&amp;" (9)",""))&lt;lenb($Z55),9,IF(lenb(SUBSTITUTE($Z55,V$1&amp;" (10)",""))&lt;lenb($Z55),10,IF(lenb(SUBSTITUTE($Z55,V$1,""))&lt;lenb($Z55),"ERROR",IF($Z55=$Y$1,"-",0))))))))))))</f>
        <v>1</v>
      </c>
      <c r="W55" s="52">
        <f t="shared" si="60"/>
        <v>0</v>
      </c>
      <c r="X55" s="52">
        <f t="shared" si="60"/>
        <v>0</v>
      </c>
      <c r="Y55" s="52" t="str">
        <f t="shared" si="3"/>
        <v>-</v>
      </c>
      <c r="Z55" s="52" t="s">
        <v>62</v>
      </c>
      <c r="AA55" s="53">
        <f t="shared" si="4"/>
        <v>1</v>
      </c>
      <c r="AB55" s="54">
        <f>COUNTIFS(Links!B:B,"ICSE",Links!C:C,A55,Links!AD:AD,1)</f>
        <v>0</v>
      </c>
      <c r="AC55" s="55" t="s">
        <v>35</v>
      </c>
      <c r="AD55" s="47" t="str">
        <f t="shared" si="5"/>
        <v>No</v>
      </c>
      <c r="AE55" s="56" t="s">
        <v>36</v>
      </c>
      <c r="AF55" s="57" t="s">
        <v>42</v>
      </c>
      <c r="AG55" s="57" t="s">
        <v>42</v>
      </c>
      <c r="AH55" s="57" t="s">
        <v>42</v>
      </c>
      <c r="AI55" s="49" t="str">
        <f t="shared" si="6"/>
        <v>----</v>
      </c>
      <c r="AJ55" s="58" t="str">
        <f t="shared" si="7"/>
        <v>Paper has link but no statement</v>
      </c>
      <c r="AK55" s="59">
        <v>45035.0</v>
      </c>
      <c r="AL55" s="43" t="s">
        <v>43</v>
      </c>
      <c r="AM55" s="60" t="str">
        <f t="shared" si="8"/>
        <v>[IP1898]</v>
      </c>
    </row>
    <row r="56" ht="67.5" customHeight="1">
      <c r="A56" s="61">
        <v>1899.0</v>
      </c>
      <c r="B56" s="22" t="s">
        <v>186</v>
      </c>
      <c r="C56" s="23">
        <v>2014.0</v>
      </c>
      <c r="D56" s="24" t="s">
        <v>35</v>
      </c>
      <c r="E56" s="25" t="s">
        <v>36</v>
      </c>
      <c r="F56" s="25" t="s">
        <v>36</v>
      </c>
      <c r="G56" s="25" t="s">
        <v>36</v>
      </c>
      <c r="H56" s="25" t="s">
        <v>36</v>
      </c>
      <c r="I56" s="25" t="s">
        <v>36</v>
      </c>
      <c r="J56" s="26" t="s">
        <v>36</v>
      </c>
      <c r="K56" s="27" t="s">
        <v>35</v>
      </c>
      <c r="L56" s="28" t="s">
        <v>36</v>
      </c>
      <c r="M56" s="28" t="s">
        <v>36</v>
      </c>
      <c r="N56" s="28" t="s">
        <v>36</v>
      </c>
      <c r="O56" s="28" t="s">
        <v>36</v>
      </c>
      <c r="P56" s="28" t="s">
        <v>36</v>
      </c>
      <c r="Q56" s="28" t="s">
        <v>36</v>
      </c>
      <c r="R56" s="28" t="s">
        <v>36</v>
      </c>
      <c r="S56" s="29" t="s">
        <v>36</v>
      </c>
      <c r="T56" s="65" t="s">
        <v>36</v>
      </c>
      <c r="U56" s="31" t="s">
        <v>36</v>
      </c>
      <c r="V56" s="32" t="str">
        <f t="shared" ref="V56:X56" si="61">IF(lenb(SUBSTITUTE($Z56,V$1&amp;" (1)",""))&lt;lenb($Z56),1,IF(lenb(SUBSTITUTE($Z56,V$1&amp;" (2)",""))&lt;lenb($Z56),2,IF(lenb(SUBSTITUTE($Z56,V$1&amp;" (3)",""))&lt;lenb($Z56),3,IF(lenb(SUBSTITUTE($Z56,V$1&amp;" (4)",""))&lt;lenb($Z56),4,IF(lenb(SUBSTITUTE($Z56,V$1&amp;" (5)",""))&lt;lenb($Z56),5,IF(lenb(SUBSTITUTE($Z56,V$1&amp;" (6)",""))&lt;lenb($Z56),6,IF(lenb(SUBSTITUTE($Z56,V$1&amp;" (7)",""))&lt;lenb($Z56),1,IF(lenb(SUBSTITUTE($Z56,V$1&amp;" (8)",""))&lt;lenb($Z56),8,IF(lenb(SUBSTITUTE($Z56,V$1&amp;" (9)",""))&lt;lenb($Z56),9,IF(lenb(SUBSTITUTE($Z56,V$1&amp;" (10)",""))&lt;lenb($Z56),10,IF(lenb(SUBSTITUTE($Z56,V$1,""))&lt;lenb($Z56),"ERROR",IF($Z56=$Y$1,"-",0))))))))))))</f>
        <v>-</v>
      </c>
      <c r="W56" s="32" t="str">
        <f t="shared" si="61"/>
        <v>-</v>
      </c>
      <c r="X56" s="32" t="str">
        <f t="shared" si="61"/>
        <v>-</v>
      </c>
      <c r="Y56" s="32">
        <f t="shared" si="3"/>
        <v>1</v>
      </c>
      <c r="Z56" s="32" t="s">
        <v>23</v>
      </c>
      <c r="AA56" s="33">
        <f t="shared" si="4"/>
        <v>0</v>
      </c>
      <c r="AB56" s="34">
        <f>COUNTIFS(Links!B:B,"ICSE",Links!C:C,A56,Links!AD:AD,1)</f>
        <v>0</v>
      </c>
      <c r="AC56" s="35" t="s">
        <v>36</v>
      </c>
      <c r="AD56" s="27" t="str">
        <f t="shared" si="5"/>
        <v>No</v>
      </c>
      <c r="AE56" s="36" t="s">
        <v>36</v>
      </c>
      <c r="AF56" s="37" t="s">
        <v>42</v>
      </c>
      <c r="AG56" s="37" t="s">
        <v>42</v>
      </c>
      <c r="AH56" s="37" t="s">
        <v>42</v>
      </c>
      <c r="AI56" s="29" t="str">
        <f t="shared" si="6"/>
        <v>----</v>
      </c>
      <c r="AJ56" s="38" t="str">
        <f t="shared" si="7"/>
        <v>Paper has no link and no statement</v>
      </c>
      <c r="AK56" s="39">
        <v>45035.0</v>
      </c>
      <c r="AL56" s="23" t="s">
        <v>43</v>
      </c>
      <c r="AM56" s="40" t="str">
        <f t="shared" si="8"/>
        <v>[IP1899]</v>
      </c>
    </row>
    <row r="57" ht="67.5" customHeight="1">
      <c r="A57" s="41">
        <v>1900.0</v>
      </c>
      <c r="B57" s="42" t="s">
        <v>187</v>
      </c>
      <c r="C57" s="43">
        <v>2014.0</v>
      </c>
      <c r="D57" s="44" t="s">
        <v>35</v>
      </c>
      <c r="E57" s="45" t="s">
        <v>36</v>
      </c>
      <c r="F57" s="45" t="s">
        <v>36</v>
      </c>
      <c r="G57" s="45" t="s">
        <v>36</v>
      </c>
      <c r="H57" s="45" t="s">
        <v>36</v>
      </c>
      <c r="I57" s="45" t="s">
        <v>36</v>
      </c>
      <c r="J57" s="46" t="s">
        <v>36</v>
      </c>
      <c r="K57" s="47" t="s">
        <v>37</v>
      </c>
      <c r="L57" s="48" t="s">
        <v>37</v>
      </c>
      <c r="M57" s="48" t="s">
        <v>35</v>
      </c>
      <c r="N57" s="48" t="s">
        <v>35</v>
      </c>
      <c r="O57" s="48" t="s">
        <v>35</v>
      </c>
      <c r="P57" s="48" t="s">
        <v>35</v>
      </c>
      <c r="Q57" s="48" t="s">
        <v>35</v>
      </c>
      <c r="R57" s="48" t="s">
        <v>37</v>
      </c>
      <c r="S57" s="49" t="s">
        <v>188</v>
      </c>
      <c r="T57" s="64" t="s">
        <v>189</v>
      </c>
      <c r="U57" s="64" t="s">
        <v>189</v>
      </c>
      <c r="V57" s="52">
        <f t="shared" ref="V57:X57" si="62">IF(lenb(SUBSTITUTE($Z57,V$1&amp;" (1)",""))&lt;lenb($Z57),1,IF(lenb(SUBSTITUTE($Z57,V$1&amp;" (2)",""))&lt;lenb($Z57),2,IF(lenb(SUBSTITUTE($Z57,V$1&amp;" (3)",""))&lt;lenb($Z57),3,IF(lenb(SUBSTITUTE($Z57,V$1&amp;" (4)",""))&lt;lenb($Z57),4,IF(lenb(SUBSTITUTE($Z57,V$1&amp;" (5)",""))&lt;lenb($Z57),5,IF(lenb(SUBSTITUTE($Z57,V$1&amp;" (6)",""))&lt;lenb($Z57),6,IF(lenb(SUBSTITUTE($Z57,V$1&amp;" (7)",""))&lt;lenb($Z57),1,IF(lenb(SUBSTITUTE($Z57,V$1&amp;" (8)",""))&lt;lenb($Z57),8,IF(lenb(SUBSTITUTE($Z57,V$1&amp;" (9)",""))&lt;lenb($Z57),9,IF(lenb(SUBSTITUTE($Z57,V$1&amp;" (10)",""))&lt;lenb($Z57),10,IF(lenb(SUBSTITUTE($Z57,V$1,""))&lt;lenb($Z57),"ERROR",IF($Z57=$Y$1,"-",0))))))))))))</f>
        <v>1</v>
      </c>
      <c r="W57" s="52">
        <f t="shared" si="62"/>
        <v>0</v>
      </c>
      <c r="X57" s="52">
        <f t="shared" si="62"/>
        <v>0</v>
      </c>
      <c r="Y57" s="52" t="str">
        <f t="shared" si="3"/>
        <v>-</v>
      </c>
      <c r="Z57" s="52" t="s">
        <v>62</v>
      </c>
      <c r="AA57" s="53">
        <f t="shared" si="4"/>
        <v>1</v>
      </c>
      <c r="AB57" s="54">
        <f>COUNTIFS(Links!B:B,"ICSE",Links!C:C,A57,Links!AD:AD,1)</f>
        <v>1</v>
      </c>
      <c r="AC57" s="55" t="s">
        <v>35</v>
      </c>
      <c r="AD57" s="47" t="str">
        <f t="shared" si="5"/>
        <v>No</v>
      </c>
      <c r="AE57" s="56" t="s">
        <v>36</v>
      </c>
      <c r="AF57" s="57" t="s">
        <v>42</v>
      </c>
      <c r="AG57" s="57" t="s">
        <v>42</v>
      </c>
      <c r="AH57" s="57" t="s">
        <v>42</v>
      </c>
      <c r="AI57" s="49" t="str">
        <f t="shared" si="6"/>
        <v>----</v>
      </c>
      <c r="AJ57" s="58" t="str">
        <f t="shared" si="7"/>
        <v>Paper has link but no statement</v>
      </c>
      <c r="AK57" s="59">
        <v>45035.0</v>
      </c>
      <c r="AL57" s="43" t="s">
        <v>43</v>
      </c>
      <c r="AM57" s="60" t="str">
        <f t="shared" si="8"/>
        <v>[IP1900]</v>
      </c>
    </row>
    <row r="58" ht="67.5" customHeight="1">
      <c r="A58" s="61">
        <v>1901.0</v>
      </c>
      <c r="B58" s="22" t="s">
        <v>190</v>
      </c>
      <c r="C58" s="23">
        <v>2014.0</v>
      </c>
      <c r="D58" s="24" t="s">
        <v>35</v>
      </c>
      <c r="E58" s="25" t="s">
        <v>36</v>
      </c>
      <c r="F58" s="25" t="s">
        <v>36</v>
      </c>
      <c r="G58" s="25" t="s">
        <v>36</v>
      </c>
      <c r="H58" s="25" t="s">
        <v>36</v>
      </c>
      <c r="I58" s="25" t="s">
        <v>36</v>
      </c>
      <c r="J58" s="26" t="s">
        <v>36</v>
      </c>
      <c r="K58" s="27" t="s">
        <v>37</v>
      </c>
      <c r="L58" s="28" t="s">
        <v>37</v>
      </c>
      <c r="M58" s="28" t="s">
        <v>35</v>
      </c>
      <c r="N58" s="28" t="s">
        <v>35</v>
      </c>
      <c r="O58" s="28" t="s">
        <v>35</v>
      </c>
      <c r="P58" s="28" t="s">
        <v>35</v>
      </c>
      <c r="Q58" s="28" t="s">
        <v>35</v>
      </c>
      <c r="R58" s="28" t="s">
        <v>37</v>
      </c>
      <c r="S58" s="29" t="s">
        <v>191</v>
      </c>
      <c r="T58" s="65" t="s">
        <v>192</v>
      </c>
      <c r="U58" s="65" t="s">
        <v>192</v>
      </c>
      <c r="V58" s="32">
        <f t="shared" ref="V58:X58" si="63">IF(lenb(SUBSTITUTE($Z58,V$1&amp;" (1)",""))&lt;lenb($Z58),1,IF(lenb(SUBSTITUTE($Z58,V$1&amp;" (2)",""))&lt;lenb($Z58),2,IF(lenb(SUBSTITUTE($Z58,V$1&amp;" (3)",""))&lt;lenb($Z58),3,IF(lenb(SUBSTITUTE($Z58,V$1&amp;" (4)",""))&lt;lenb($Z58),4,IF(lenb(SUBSTITUTE($Z58,V$1&amp;" (5)",""))&lt;lenb($Z58),5,IF(lenb(SUBSTITUTE($Z58,V$1&amp;" (6)",""))&lt;lenb($Z58),6,IF(lenb(SUBSTITUTE($Z58,V$1&amp;" (7)",""))&lt;lenb($Z58),1,IF(lenb(SUBSTITUTE($Z58,V$1&amp;" (8)",""))&lt;lenb($Z58),8,IF(lenb(SUBSTITUTE($Z58,V$1&amp;" (9)",""))&lt;lenb($Z58),9,IF(lenb(SUBSTITUTE($Z58,V$1&amp;" (10)",""))&lt;lenb($Z58),10,IF(lenb(SUBSTITUTE($Z58,V$1,""))&lt;lenb($Z58),"ERROR",IF($Z58=$Y$1,"-",0))))))))))))</f>
        <v>3</v>
      </c>
      <c r="W58" s="32">
        <f t="shared" si="63"/>
        <v>0</v>
      </c>
      <c r="X58" s="32">
        <f t="shared" si="63"/>
        <v>0</v>
      </c>
      <c r="Y58" s="32" t="str">
        <f t="shared" si="3"/>
        <v>-</v>
      </c>
      <c r="Z58" s="32" t="s">
        <v>193</v>
      </c>
      <c r="AA58" s="33">
        <f t="shared" si="4"/>
        <v>3</v>
      </c>
      <c r="AB58" s="34">
        <f>COUNTIFS(Links!B:B,"ICSE",Links!C:C,A58,Links!AD:AD,1)</f>
        <v>1</v>
      </c>
      <c r="AC58" s="35" t="s">
        <v>35</v>
      </c>
      <c r="AD58" s="27" t="str">
        <f t="shared" si="5"/>
        <v>No</v>
      </c>
      <c r="AE58" s="36" t="s">
        <v>36</v>
      </c>
      <c r="AF58" s="37" t="s">
        <v>42</v>
      </c>
      <c r="AG58" s="37" t="s">
        <v>42</v>
      </c>
      <c r="AH58" s="37" t="s">
        <v>42</v>
      </c>
      <c r="AI58" s="29" t="str">
        <f t="shared" si="6"/>
        <v>----</v>
      </c>
      <c r="AJ58" s="38" t="str">
        <f t="shared" si="7"/>
        <v>Paper has link but no statement</v>
      </c>
      <c r="AK58" s="39">
        <v>45035.0</v>
      </c>
      <c r="AL58" s="23" t="s">
        <v>43</v>
      </c>
      <c r="AM58" s="40" t="str">
        <f t="shared" si="8"/>
        <v>[IP1901]</v>
      </c>
    </row>
    <row r="59" ht="67.5" customHeight="1">
      <c r="A59" s="41">
        <v>1902.0</v>
      </c>
      <c r="B59" s="42" t="s">
        <v>194</v>
      </c>
      <c r="C59" s="43">
        <v>2014.0</v>
      </c>
      <c r="D59" s="44" t="s">
        <v>35</v>
      </c>
      <c r="E59" s="45" t="s">
        <v>36</v>
      </c>
      <c r="F59" s="45" t="s">
        <v>36</v>
      </c>
      <c r="G59" s="45" t="s">
        <v>36</v>
      </c>
      <c r="H59" s="45" t="s">
        <v>36</v>
      </c>
      <c r="I59" s="45" t="s">
        <v>36</v>
      </c>
      <c r="J59" s="46" t="s">
        <v>36</v>
      </c>
      <c r="K59" s="47" t="s">
        <v>35</v>
      </c>
      <c r="L59" s="48" t="s">
        <v>36</v>
      </c>
      <c r="M59" s="48" t="s">
        <v>36</v>
      </c>
      <c r="N59" s="48" t="s">
        <v>36</v>
      </c>
      <c r="O59" s="48" t="s">
        <v>36</v>
      </c>
      <c r="P59" s="48" t="s">
        <v>36</v>
      </c>
      <c r="Q59" s="48" t="s">
        <v>36</v>
      </c>
      <c r="R59" s="48" t="s">
        <v>36</v>
      </c>
      <c r="S59" s="49" t="s">
        <v>36</v>
      </c>
      <c r="T59" s="64" t="s">
        <v>36</v>
      </c>
      <c r="U59" s="51" t="s">
        <v>36</v>
      </c>
      <c r="V59" s="52" t="str">
        <f t="shared" ref="V59:X59" si="64">IF(lenb(SUBSTITUTE($Z59,V$1&amp;" (1)",""))&lt;lenb($Z59),1,IF(lenb(SUBSTITUTE($Z59,V$1&amp;" (2)",""))&lt;lenb($Z59),2,IF(lenb(SUBSTITUTE($Z59,V$1&amp;" (3)",""))&lt;lenb($Z59),3,IF(lenb(SUBSTITUTE($Z59,V$1&amp;" (4)",""))&lt;lenb($Z59),4,IF(lenb(SUBSTITUTE($Z59,V$1&amp;" (5)",""))&lt;lenb($Z59),5,IF(lenb(SUBSTITUTE($Z59,V$1&amp;" (6)",""))&lt;lenb($Z59),6,IF(lenb(SUBSTITUTE($Z59,V$1&amp;" (7)",""))&lt;lenb($Z59),1,IF(lenb(SUBSTITUTE($Z59,V$1&amp;" (8)",""))&lt;lenb($Z59),8,IF(lenb(SUBSTITUTE($Z59,V$1&amp;" (9)",""))&lt;lenb($Z59),9,IF(lenb(SUBSTITUTE($Z59,V$1&amp;" (10)",""))&lt;lenb($Z59),10,IF(lenb(SUBSTITUTE($Z59,V$1,""))&lt;lenb($Z59),"ERROR",IF($Z59=$Y$1,"-",0))))))))))))</f>
        <v>-</v>
      </c>
      <c r="W59" s="52" t="str">
        <f t="shared" si="64"/>
        <v>-</v>
      </c>
      <c r="X59" s="52" t="str">
        <f t="shared" si="64"/>
        <v>-</v>
      </c>
      <c r="Y59" s="52">
        <f t="shared" si="3"/>
        <v>1</v>
      </c>
      <c r="Z59" s="52" t="s">
        <v>23</v>
      </c>
      <c r="AA59" s="53">
        <f t="shared" si="4"/>
        <v>0</v>
      </c>
      <c r="AB59" s="54">
        <f>COUNTIFS(Links!B:B,"ICSE",Links!C:C,A59,Links!AD:AD,1)</f>
        <v>0</v>
      </c>
      <c r="AC59" s="55" t="s">
        <v>36</v>
      </c>
      <c r="AD59" s="47" t="str">
        <f t="shared" si="5"/>
        <v>No</v>
      </c>
      <c r="AE59" s="56" t="s">
        <v>36</v>
      </c>
      <c r="AF59" s="57" t="s">
        <v>42</v>
      </c>
      <c r="AG59" s="57" t="s">
        <v>42</v>
      </c>
      <c r="AH59" s="57" t="s">
        <v>42</v>
      </c>
      <c r="AI59" s="49" t="str">
        <f t="shared" si="6"/>
        <v>----</v>
      </c>
      <c r="AJ59" s="58" t="str">
        <f t="shared" si="7"/>
        <v>Paper has no link and no statement</v>
      </c>
      <c r="AK59" s="59">
        <v>45035.0</v>
      </c>
      <c r="AL59" s="43" t="s">
        <v>43</v>
      </c>
      <c r="AM59" s="60" t="str">
        <f t="shared" si="8"/>
        <v>[IP1902]</v>
      </c>
    </row>
    <row r="60" ht="67.5" customHeight="1">
      <c r="A60" s="61">
        <v>1903.0</v>
      </c>
      <c r="B60" s="22" t="s">
        <v>195</v>
      </c>
      <c r="C60" s="23">
        <v>2014.0</v>
      </c>
      <c r="D60" s="24" t="s">
        <v>35</v>
      </c>
      <c r="E60" s="25" t="s">
        <v>36</v>
      </c>
      <c r="F60" s="25" t="s">
        <v>36</v>
      </c>
      <c r="G60" s="25" t="s">
        <v>36</v>
      </c>
      <c r="H60" s="25" t="s">
        <v>36</v>
      </c>
      <c r="I60" s="25" t="s">
        <v>36</v>
      </c>
      <c r="J60" s="26" t="s">
        <v>36</v>
      </c>
      <c r="K60" s="27" t="s">
        <v>35</v>
      </c>
      <c r="L60" s="28" t="s">
        <v>36</v>
      </c>
      <c r="M60" s="28" t="s">
        <v>36</v>
      </c>
      <c r="N60" s="28" t="s">
        <v>36</v>
      </c>
      <c r="O60" s="28" t="s">
        <v>36</v>
      </c>
      <c r="P60" s="28" t="s">
        <v>36</v>
      </c>
      <c r="Q60" s="28" t="s">
        <v>36</v>
      </c>
      <c r="R60" s="28" t="s">
        <v>36</v>
      </c>
      <c r="S60" s="29" t="s">
        <v>36</v>
      </c>
      <c r="T60" s="65" t="s">
        <v>36</v>
      </c>
      <c r="U60" s="31" t="s">
        <v>36</v>
      </c>
      <c r="V60" s="32" t="str">
        <f t="shared" ref="V60:X60" si="65">IF(lenb(SUBSTITUTE($Z60,V$1&amp;" (1)",""))&lt;lenb($Z60),1,IF(lenb(SUBSTITUTE($Z60,V$1&amp;" (2)",""))&lt;lenb($Z60),2,IF(lenb(SUBSTITUTE($Z60,V$1&amp;" (3)",""))&lt;lenb($Z60),3,IF(lenb(SUBSTITUTE($Z60,V$1&amp;" (4)",""))&lt;lenb($Z60),4,IF(lenb(SUBSTITUTE($Z60,V$1&amp;" (5)",""))&lt;lenb($Z60),5,IF(lenb(SUBSTITUTE($Z60,V$1&amp;" (6)",""))&lt;lenb($Z60),6,IF(lenb(SUBSTITUTE($Z60,V$1&amp;" (7)",""))&lt;lenb($Z60),1,IF(lenb(SUBSTITUTE($Z60,V$1&amp;" (8)",""))&lt;lenb($Z60),8,IF(lenb(SUBSTITUTE($Z60,V$1&amp;" (9)",""))&lt;lenb($Z60),9,IF(lenb(SUBSTITUTE($Z60,V$1&amp;" (10)",""))&lt;lenb($Z60),10,IF(lenb(SUBSTITUTE($Z60,V$1,""))&lt;lenb($Z60),"ERROR",IF($Z60=$Y$1,"-",0))))))))))))</f>
        <v>-</v>
      </c>
      <c r="W60" s="32" t="str">
        <f t="shared" si="65"/>
        <v>-</v>
      </c>
      <c r="X60" s="32" t="str">
        <f t="shared" si="65"/>
        <v>-</v>
      </c>
      <c r="Y60" s="32">
        <f t="shared" si="3"/>
        <v>1</v>
      </c>
      <c r="Z60" s="32" t="s">
        <v>23</v>
      </c>
      <c r="AA60" s="33">
        <f t="shared" si="4"/>
        <v>0</v>
      </c>
      <c r="AB60" s="34">
        <f>COUNTIFS(Links!B:B,"ICSE",Links!C:C,A60,Links!AD:AD,1)</f>
        <v>0</v>
      </c>
      <c r="AC60" s="35" t="s">
        <v>36</v>
      </c>
      <c r="AD60" s="27" t="str">
        <f t="shared" si="5"/>
        <v>No</v>
      </c>
      <c r="AE60" s="36" t="s">
        <v>36</v>
      </c>
      <c r="AF60" s="37" t="s">
        <v>42</v>
      </c>
      <c r="AG60" s="37" t="s">
        <v>42</v>
      </c>
      <c r="AH60" s="37" t="s">
        <v>42</v>
      </c>
      <c r="AI60" s="29" t="str">
        <f t="shared" si="6"/>
        <v>----</v>
      </c>
      <c r="AJ60" s="38" t="str">
        <f t="shared" si="7"/>
        <v>Paper has no link and no statement</v>
      </c>
      <c r="AK60" s="39">
        <v>45035.0</v>
      </c>
      <c r="AL60" s="23" t="s">
        <v>43</v>
      </c>
      <c r="AM60" s="40" t="str">
        <f t="shared" si="8"/>
        <v>[IP1903]</v>
      </c>
    </row>
    <row r="61" ht="67.5" customHeight="1">
      <c r="A61" s="41">
        <v>1904.0</v>
      </c>
      <c r="B61" s="42" t="s">
        <v>196</v>
      </c>
      <c r="C61" s="43">
        <v>2014.0</v>
      </c>
      <c r="D61" s="44" t="s">
        <v>35</v>
      </c>
      <c r="E61" s="45" t="s">
        <v>36</v>
      </c>
      <c r="F61" s="45" t="s">
        <v>36</v>
      </c>
      <c r="G61" s="45" t="s">
        <v>36</v>
      </c>
      <c r="H61" s="45" t="s">
        <v>36</v>
      </c>
      <c r="I61" s="45" t="s">
        <v>36</v>
      </c>
      <c r="J61" s="46" t="s">
        <v>36</v>
      </c>
      <c r="K61" s="47" t="s">
        <v>37</v>
      </c>
      <c r="L61" s="48" t="s">
        <v>37</v>
      </c>
      <c r="M61" s="48" t="s">
        <v>37</v>
      </c>
      <c r="N61" s="48" t="s">
        <v>35</v>
      </c>
      <c r="O61" s="48" t="s">
        <v>35</v>
      </c>
      <c r="P61" s="48" t="s">
        <v>35</v>
      </c>
      <c r="Q61" s="48" t="s">
        <v>35</v>
      </c>
      <c r="R61" s="48" t="s">
        <v>37</v>
      </c>
      <c r="S61" s="49" t="s">
        <v>197</v>
      </c>
      <c r="T61" s="64" t="s">
        <v>198</v>
      </c>
      <c r="U61" s="51" t="s">
        <v>198</v>
      </c>
      <c r="V61" s="52">
        <f t="shared" ref="V61:X61" si="66">IF(lenb(SUBSTITUTE($Z61,V$1&amp;" (1)",""))&lt;lenb($Z61),1,IF(lenb(SUBSTITUTE($Z61,V$1&amp;" (2)",""))&lt;lenb($Z61),2,IF(lenb(SUBSTITUTE($Z61,V$1&amp;" (3)",""))&lt;lenb($Z61),3,IF(lenb(SUBSTITUTE($Z61,V$1&amp;" (4)",""))&lt;lenb($Z61),4,IF(lenb(SUBSTITUTE($Z61,V$1&amp;" (5)",""))&lt;lenb($Z61),5,IF(lenb(SUBSTITUTE($Z61,V$1&amp;" (6)",""))&lt;lenb($Z61),6,IF(lenb(SUBSTITUTE($Z61,V$1&amp;" (7)",""))&lt;lenb($Z61),1,IF(lenb(SUBSTITUTE($Z61,V$1&amp;" (8)",""))&lt;lenb($Z61),8,IF(lenb(SUBSTITUTE($Z61,V$1&amp;" (9)",""))&lt;lenb($Z61),9,IF(lenb(SUBSTITUTE($Z61,V$1&amp;" (10)",""))&lt;lenb($Z61),10,IF(lenb(SUBSTITUTE($Z61,V$1,""))&lt;lenb($Z61),"ERROR",IF($Z61=$Y$1,"-",0))))))))))))</f>
        <v>1</v>
      </c>
      <c r="W61" s="52">
        <f t="shared" si="66"/>
        <v>0</v>
      </c>
      <c r="X61" s="52">
        <f t="shared" si="66"/>
        <v>0</v>
      </c>
      <c r="Y61" s="52" t="str">
        <f t="shared" si="3"/>
        <v>-</v>
      </c>
      <c r="Z61" s="52" t="s">
        <v>62</v>
      </c>
      <c r="AA61" s="53">
        <f t="shared" si="4"/>
        <v>1</v>
      </c>
      <c r="AB61" s="54">
        <f>COUNTIFS(Links!B:B,"ICSE",Links!C:C,A61,Links!AD:AD,1)</f>
        <v>1</v>
      </c>
      <c r="AC61" s="55" t="s">
        <v>35</v>
      </c>
      <c r="AD61" s="47" t="str">
        <f t="shared" si="5"/>
        <v>No</v>
      </c>
      <c r="AE61" s="56" t="s">
        <v>36</v>
      </c>
      <c r="AF61" s="57" t="s">
        <v>42</v>
      </c>
      <c r="AG61" s="57" t="s">
        <v>42</v>
      </c>
      <c r="AH61" s="57" t="s">
        <v>42</v>
      </c>
      <c r="AI61" s="49" t="str">
        <f t="shared" si="6"/>
        <v>----</v>
      </c>
      <c r="AJ61" s="58" t="str">
        <f t="shared" si="7"/>
        <v>Paper has link but no statement</v>
      </c>
      <c r="AK61" s="59">
        <v>45035.0</v>
      </c>
      <c r="AL61" s="43" t="s">
        <v>43</v>
      </c>
      <c r="AM61" s="60" t="str">
        <f t="shared" si="8"/>
        <v>[IP1904]</v>
      </c>
    </row>
    <row r="62" ht="67.5" customHeight="1">
      <c r="A62" s="61">
        <v>1905.0</v>
      </c>
      <c r="B62" s="22" t="s">
        <v>199</v>
      </c>
      <c r="C62" s="23">
        <v>2014.0</v>
      </c>
      <c r="D62" s="24" t="s">
        <v>35</v>
      </c>
      <c r="E62" s="25" t="s">
        <v>36</v>
      </c>
      <c r="F62" s="25" t="s">
        <v>36</v>
      </c>
      <c r="G62" s="25" t="s">
        <v>36</v>
      </c>
      <c r="H62" s="25" t="s">
        <v>36</v>
      </c>
      <c r="I62" s="25" t="s">
        <v>36</v>
      </c>
      <c r="J62" s="26" t="s">
        <v>36</v>
      </c>
      <c r="K62" s="27" t="s">
        <v>37</v>
      </c>
      <c r="L62" s="28" t="s">
        <v>37</v>
      </c>
      <c r="M62" s="28" t="s">
        <v>35</v>
      </c>
      <c r="N62" s="28" t="s">
        <v>37</v>
      </c>
      <c r="O62" s="28" t="s">
        <v>35</v>
      </c>
      <c r="P62" s="28" t="s">
        <v>35</v>
      </c>
      <c r="Q62" s="28" t="s">
        <v>35</v>
      </c>
      <c r="R62" s="28" t="s">
        <v>35</v>
      </c>
      <c r="S62" s="29" t="s">
        <v>200</v>
      </c>
      <c r="T62" s="65" t="s">
        <v>201</v>
      </c>
      <c r="U62" s="31" t="s">
        <v>201</v>
      </c>
      <c r="V62" s="32">
        <f t="shared" ref="V62:X62" si="67">IF(lenb(SUBSTITUTE($Z62,V$1&amp;" (1)",""))&lt;lenb($Z62),1,IF(lenb(SUBSTITUTE($Z62,V$1&amp;" (2)",""))&lt;lenb($Z62),2,IF(lenb(SUBSTITUTE($Z62,V$1&amp;" (3)",""))&lt;lenb($Z62),3,IF(lenb(SUBSTITUTE($Z62,V$1&amp;" (4)",""))&lt;lenb($Z62),4,IF(lenb(SUBSTITUTE($Z62,V$1&amp;" (5)",""))&lt;lenb($Z62),5,IF(lenb(SUBSTITUTE($Z62,V$1&amp;" (6)",""))&lt;lenb($Z62),6,IF(lenb(SUBSTITUTE($Z62,V$1&amp;" (7)",""))&lt;lenb($Z62),1,IF(lenb(SUBSTITUTE($Z62,V$1&amp;" (8)",""))&lt;lenb($Z62),8,IF(lenb(SUBSTITUTE($Z62,V$1&amp;" (9)",""))&lt;lenb($Z62),9,IF(lenb(SUBSTITUTE($Z62,V$1&amp;" (10)",""))&lt;lenb($Z62),10,IF(lenb(SUBSTITUTE($Z62,V$1,""))&lt;lenb($Z62),"ERROR",IF($Z62=$Y$1,"-",0))))))))))))</f>
        <v>1</v>
      </c>
      <c r="W62" s="32">
        <f t="shared" si="67"/>
        <v>0</v>
      </c>
      <c r="X62" s="32">
        <f t="shared" si="67"/>
        <v>0</v>
      </c>
      <c r="Y62" s="32" t="str">
        <f t="shared" si="3"/>
        <v>-</v>
      </c>
      <c r="Z62" s="32" t="s">
        <v>62</v>
      </c>
      <c r="AA62" s="33">
        <f t="shared" si="4"/>
        <v>1</v>
      </c>
      <c r="AB62" s="34">
        <f>COUNTIFS(Links!B:B,"ICSE",Links!C:C,A62,Links!AD:AD,1)</f>
        <v>0</v>
      </c>
      <c r="AC62" s="35" t="s">
        <v>35</v>
      </c>
      <c r="AD62" s="27" t="str">
        <f t="shared" si="5"/>
        <v>No</v>
      </c>
      <c r="AE62" s="36" t="s">
        <v>36</v>
      </c>
      <c r="AF62" s="37" t="s">
        <v>42</v>
      </c>
      <c r="AG62" s="37" t="s">
        <v>42</v>
      </c>
      <c r="AH62" s="37" t="s">
        <v>42</v>
      </c>
      <c r="AI62" s="29" t="str">
        <f t="shared" si="6"/>
        <v>----</v>
      </c>
      <c r="AJ62" s="38" t="str">
        <f t="shared" si="7"/>
        <v>Paper has link but no statement</v>
      </c>
      <c r="AK62" s="39">
        <v>45035.0</v>
      </c>
      <c r="AL62" s="23" t="s">
        <v>43</v>
      </c>
      <c r="AM62" s="40" t="str">
        <f t="shared" si="8"/>
        <v>[IP1905]</v>
      </c>
    </row>
    <row r="63" ht="67.5" customHeight="1">
      <c r="A63" s="41">
        <v>1906.0</v>
      </c>
      <c r="B63" s="42" t="s">
        <v>202</v>
      </c>
      <c r="C63" s="43">
        <v>2014.0</v>
      </c>
      <c r="D63" s="44" t="s">
        <v>35</v>
      </c>
      <c r="E63" s="45" t="s">
        <v>36</v>
      </c>
      <c r="F63" s="45" t="s">
        <v>36</v>
      </c>
      <c r="G63" s="45" t="s">
        <v>36</v>
      </c>
      <c r="H63" s="45" t="s">
        <v>36</v>
      </c>
      <c r="I63" s="45" t="s">
        <v>36</v>
      </c>
      <c r="J63" s="46" t="s">
        <v>36</v>
      </c>
      <c r="K63" s="47" t="s">
        <v>37</v>
      </c>
      <c r="L63" s="48" t="s">
        <v>35</v>
      </c>
      <c r="M63" s="48" t="s">
        <v>37</v>
      </c>
      <c r="N63" s="48" t="s">
        <v>37</v>
      </c>
      <c r="O63" s="48" t="s">
        <v>35</v>
      </c>
      <c r="P63" s="48" t="s">
        <v>35</v>
      </c>
      <c r="Q63" s="48" t="s">
        <v>35</v>
      </c>
      <c r="R63" s="48" t="s">
        <v>37</v>
      </c>
      <c r="S63" s="49" t="s">
        <v>203</v>
      </c>
      <c r="T63" s="67" t="s">
        <v>204</v>
      </c>
      <c r="U63" s="51" t="s">
        <v>204</v>
      </c>
      <c r="V63" s="52">
        <f t="shared" ref="V63:X63" si="68">IF(lenb(SUBSTITUTE($Z63,V$1&amp;" (1)",""))&lt;lenb($Z63),1,IF(lenb(SUBSTITUTE($Z63,V$1&amp;" (2)",""))&lt;lenb($Z63),2,IF(lenb(SUBSTITUTE($Z63,V$1&amp;" (3)",""))&lt;lenb($Z63),3,IF(lenb(SUBSTITUTE($Z63,V$1&amp;" (4)",""))&lt;lenb($Z63),4,IF(lenb(SUBSTITUTE($Z63,V$1&amp;" (5)",""))&lt;lenb($Z63),5,IF(lenb(SUBSTITUTE($Z63,V$1&amp;" (6)",""))&lt;lenb($Z63),6,IF(lenb(SUBSTITUTE($Z63,V$1&amp;" (7)",""))&lt;lenb($Z63),1,IF(lenb(SUBSTITUTE($Z63,V$1&amp;" (8)",""))&lt;lenb($Z63),8,IF(lenb(SUBSTITUTE($Z63,V$1&amp;" (9)",""))&lt;lenb($Z63),9,IF(lenb(SUBSTITUTE($Z63,V$1&amp;" (10)",""))&lt;lenb($Z63),10,IF(lenb(SUBSTITUTE($Z63,V$1,""))&lt;lenb($Z63),"ERROR",IF($Z63=$Y$1,"-",0))))))))))))</f>
        <v>0</v>
      </c>
      <c r="W63" s="52">
        <f t="shared" si="68"/>
        <v>1</v>
      </c>
      <c r="X63" s="52">
        <f t="shared" si="68"/>
        <v>0</v>
      </c>
      <c r="Y63" s="52" t="str">
        <f t="shared" si="3"/>
        <v>-</v>
      </c>
      <c r="Z63" s="52" t="s">
        <v>47</v>
      </c>
      <c r="AA63" s="53">
        <f t="shared" si="4"/>
        <v>1</v>
      </c>
      <c r="AB63" s="54">
        <f>COUNTIFS(Links!B:B,"ICSE",Links!C:C,A63,Links!AD:AD,1)</f>
        <v>0</v>
      </c>
      <c r="AC63" s="55" t="s">
        <v>35</v>
      </c>
      <c r="AD63" s="47" t="str">
        <f t="shared" si="5"/>
        <v>No</v>
      </c>
      <c r="AE63" s="56" t="s">
        <v>36</v>
      </c>
      <c r="AF63" s="57" t="s">
        <v>42</v>
      </c>
      <c r="AG63" s="57" t="s">
        <v>42</v>
      </c>
      <c r="AH63" s="57" t="s">
        <v>42</v>
      </c>
      <c r="AI63" s="49" t="str">
        <f t="shared" si="6"/>
        <v>----</v>
      </c>
      <c r="AJ63" s="58" t="str">
        <f t="shared" si="7"/>
        <v>Paper has link but no statement</v>
      </c>
      <c r="AK63" s="59">
        <v>45035.0</v>
      </c>
      <c r="AL63" s="43" t="s">
        <v>43</v>
      </c>
      <c r="AM63" s="60" t="str">
        <f t="shared" si="8"/>
        <v>[IP1906]</v>
      </c>
    </row>
    <row r="64" ht="67.5" customHeight="1">
      <c r="A64" s="61">
        <v>1907.0</v>
      </c>
      <c r="B64" s="22" t="s">
        <v>205</v>
      </c>
      <c r="C64" s="23">
        <v>2014.0</v>
      </c>
      <c r="D64" s="24" t="s">
        <v>35</v>
      </c>
      <c r="E64" s="25" t="s">
        <v>36</v>
      </c>
      <c r="F64" s="25" t="s">
        <v>36</v>
      </c>
      <c r="G64" s="25" t="s">
        <v>36</v>
      </c>
      <c r="H64" s="25" t="s">
        <v>36</v>
      </c>
      <c r="I64" s="25" t="s">
        <v>36</v>
      </c>
      <c r="J64" s="26" t="s">
        <v>36</v>
      </c>
      <c r="K64" s="27" t="s">
        <v>35</v>
      </c>
      <c r="L64" s="28" t="s">
        <v>36</v>
      </c>
      <c r="M64" s="28" t="s">
        <v>36</v>
      </c>
      <c r="N64" s="28" t="s">
        <v>36</v>
      </c>
      <c r="O64" s="28" t="s">
        <v>36</v>
      </c>
      <c r="P64" s="28" t="s">
        <v>36</v>
      </c>
      <c r="Q64" s="28" t="s">
        <v>36</v>
      </c>
      <c r="R64" s="28" t="s">
        <v>36</v>
      </c>
      <c r="S64" s="29" t="s">
        <v>36</v>
      </c>
      <c r="T64" s="65" t="s">
        <v>36</v>
      </c>
      <c r="U64" s="31" t="s">
        <v>36</v>
      </c>
      <c r="V64" s="32" t="str">
        <f t="shared" ref="V64:X64" si="69">IF(lenb(SUBSTITUTE($Z64,V$1&amp;" (1)",""))&lt;lenb($Z64),1,IF(lenb(SUBSTITUTE($Z64,V$1&amp;" (2)",""))&lt;lenb($Z64),2,IF(lenb(SUBSTITUTE($Z64,V$1&amp;" (3)",""))&lt;lenb($Z64),3,IF(lenb(SUBSTITUTE($Z64,V$1&amp;" (4)",""))&lt;lenb($Z64),4,IF(lenb(SUBSTITUTE($Z64,V$1&amp;" (5)",""))&lt;lenb($Z64),5,IF(lenb(SUBSTITUTE($Z64,V$1&amp;" (6)",""))&lt;lenb($Z64),6,IF(lenb(SUBSTITUTE($Z64,V$1&amp;" (7)",""))&lt;lenb($Z64),1,IF(lenb(SUBSTITUTE($Z64,V$1&amp;" (8)",""))&lt;lenb($Z64),8,IF(lenb(SUBSTITUTE($Z64,V$1&amp;" (9)",""))&lt;lenb($Z64),9,IF(lenb(SUBSTITUTE($Z64,V$1&amp;" (10)",""))&lt;lenb($Z64),10,IF(lenb(SUBSTITUTE($Z64,V$1,""))&lt;lenb($Z64),"ERROR",IF($Z64=$Y$1,"-",0))))))))))))</f>
        <v>-</v>
      </c>
      <c r="W64" s="32" t="str">
        <f t="shared" si="69"/>
        <v>-</v>
      </c>
      <c r="X64" s="32" t="str">
        <f t="shared" si="69"/>
        <v>-</v>
      </c>
      <c r="Y64" s="32">
        <f t="shared" si="3"/>
        <v>1</v>
      </c>
      <c r="Z64" s="32" t="s">
        <v>23</v>
      </c>
      <c r="AA64" s="33">
        <f t="shared" si="4"/>
        <v>0</v>
      </c>
      <c r="AB64" s="34">
        <f>COUNTIFS(Links!B:B,"ICSE",Links!C:C,A64,Links!AD:AD,1)</f>
        <v>0</v>
      </c>
      <c r="AC64" s="35" t="s">
        <v>36</v>
      </c>
      <c r="AD64" s="27" t="str">
        <f t="shared" si="5"/>
        <v>No</v>
      </c>
      <c r="AE64" s="36" t="s">
        <v>36</v>
      </c>
      <c r="AF64" s="37" t="s">
        <v>42</v>
      </c>
      <c r="AG64" s="37" t="s">
        <v>42</v>
      </c>
      <c r="AH64" s="37" t="s">
        <v>42</v>
      </c>
      <c r="AI64" s="29" t="str">
        <f t="shared" si="6"/>
        <v>----</v>
      </c>
      <c r="AJ64" s="38" t="str">
        <f t="shared" si="7"/>
        <v>Paper has no link and no statement</v>
      </c>
      <c r="AK64" s="39">
        <v>45035.0</v>
      </c>
      <c r="AL64" s="23" t="s">
        <v>43</v>
      </c>
      <c r="AM64" s="40" t="str">
        <f t="shared" si="8"/>
        <v>[IP1907]</v>
      </c>
    </row>
    <row r="65" ht="67.5" customHeight="1">
      <c r="A65" s="41">
        <v>1908.0</v>
      </c>
      <c r="B65" s="42" t="s">
        <v>206</v>
      </c>
      <c r="C65" s="43">
        <v>2014.0</v>
      </c>
      <c r="D65" s="44" t="s">
        <v>35</v>
      </c>
      <c r="E65" s="45" t="s">
        <v>36</v>
      </c>
      <c r="F65" s="45" t="s">
        <v>36</v>
      </c>
      <c r="G65" s="45" t="s">
        <v>36</v>
      </c>
      <c r="H65" s="45" t="s">
        <v>36</v>
      </c>
      <c r="I65" s="45" t="s">
        <v>36</v>
      </c>
      <c r="J65" s="46" t="s">
        <v>36</v>
      </c>
      <c r="K65" s="47" t="s">
        <v>37</v>
      </c>
      <c r="L65" s="48" t="s">
        <v>35</v>
      </c>
      <c r="M65" s="48" t="s">
        <v>37</v>
      </c>
      <c r="N65" s="48" t="s">
        <v>35</v>
      </c>
      <c r="O65" s="48" t="s">
        <v>35</v>
      </c>
      <c r="P65" s="48" t="s">
        <v>35</v>
      </c>
      <c r="Q65" s="48" t="s">
        <v>35</v>
      </c>
      <c r="R65" s="48" t="s">
        <v>37</v>
      </c>
      <c r="S65" s="49" t="s">
        <v>207</v>
      </c>
      <c r="T65" s="64" t="s">
        <v>208</v>
      </c>
      <c r="U65" s="51" t="s">
        <v>208</v>
      </c>
      <c r="V65" s="52">
        <f t="shared" ref="V65:X65" si="70">IF(lenb(SUBSTITUTE($Z65,V$1&amp;" (1)",""))&lt;lenb($Z65),1,IF(lenb(SUBSTITUTE($Z65,V$1&amp;" (2)",""))&lt;lenb($Z65),2,IF(lenb(SUBSTITUTE($Z65,V$1&amp;" (3)",""))&lt;lenb($Z65),3,IF(lenb(SUBSTITUTE($Z65,V$1&amp;" (4)",""))&lt;lenb($Z65),4,IF(lenb(SUBSTITUTE($Z65,V$1&amp;" (5)",""))&lt;lenb($Z65),5,IF(lenb(SUBSTITUTE($Z65,V$1&amp;" (6)",""))&lt;lenb($Z65),6,IF(lenb(SUBSTITUTE($Z65,V$1&amp;" (7)",""))&lt;lenb($Z65),1,IF(lenb(SUBSTITUTE($Z65,V$1&amp;" (8)",""))&lt;lenb($Z65),8,IF(lenb(SUBSTITUTE($Z65,V$1&amp;" (9)",""))&lt;lenb($Z65),9,IF(lenb(SUBSTITUTE($Z65,V$1&amp;" (10)",""))&lt;lenb($Z65),10,IF(lenb(SUBSTITUTE($Z65,V$1,""))&lt;lenb($Z65),"ERROR",IF($Z65=$Y$1,"-",0))))))))))))</f>
        <v>0</v>
      </c>
      <c r="W65" s="52">
        <f t="shared" si="70"/>
        <v>1</v>
      </c>
      <c r="X65" s="52">
        <f t="shared" si="70"/>
        <v>0</v>
      </c>
      <c r="Y65" s="52" t="str">
        <f t="shared" si="3"/>
        <v>-</v>
      </c>
      <c r="Z65" s="52" t="s">
        <v>47</v>
      </c>
      <c r="AA65" s="53">
        <f t="shared" si="4"/>
        <v>1</v>
      </c>
      <c r="AB65" s="54">
        <f>COUNTIFS(Links!B:B,"ICSE",Links!C:C,A65,Links!AD:AD,1)</f>
        <v>0</v>
      </c>
      <c r="AC65" s="55" t="s">
        <v>35</v>
      </c>
      <c r="AD65" s="47" t="str">
        <f t="shared" si="5"/>
        <v>No</v>
      </c>
      <c r="AE65" s="56" t="s">
        <v>36</v>
      </c>
      <c r="AF65" s="57" t="s">
        <v>42</v>
      </c>
      <c r="AG65" s="57" t="s">
        <v>42</v>
      </c>
      <c r="AH65" s="57" t="s">
        <v>42</v>
      </c>
      <c r="AI65" s="49" t="str">
        <f t="shared" si="6"/>
        <v>----</v>
      </c>
      <c r="AJ65" s="58" t="str">
        <f t="shared" si="7"/>
        <v>Paper has link but no statement</v>
      </c>
      <c r="AK65" s="59">
        <v>45035.0</v>
      </c>
      <c r="AL65" s="43" t="s">
        <v>43</v>
      </c>
      <c r="AM65" s="60" t="str">
        <f t="shared" si="8"/>
        <v>[IP1908]</v>
      </c>
    </row>
    <row r="66" ht="67.5" customHeight="1">
      <c r="A66" s="61">
        <v>1909.0</v>
      </c>
      <c r="B66" s="22" t="s">
        <v>209</v>
      </c>
      <c r="C66" s="23">
        <v>2014.0</v>
      </c>
      <c r="D66" s="24" t="s">
        <v>35</v>
      </c>
      <c r="E66" s="25" t="s">
        <v>36</v>
      </c>
      <c r="F66" s="25" t="s">
        <v>36</v>
      </c>
      <c r="G66" s="25" t="s">
        <v>36</v>
      </c>
      <c r="H66" s="25" t="s">
        <v>36</v>
      </c>
      <c r="I66" s="25" t="s">
        <v>36</v>
      </c>
      <c r="J66" s="26" t="s">
        <v>36</v>
      </c>
      <c r="K66" s="27" t="s">
        <v>35</v>
      </c>
      <c r="L66" s="28" t="s">
        <v>36</v>
      </c>
      <c r="M66" s="28" t="s">
        <v>36</v>
      </c>
      <c r="N66" s="28" t="s">
        <v>36</v>
      </c>
      <c r="O66" s="28" t="s">
        <v>36</v>
      </c>
      <c r="P66" s="28" t="s">
        <v>36</v>
      </c>
      <c r="Q66" s="28" t="s">
        <v>36</v>
      </c>
      <c r="R66" s="28" t="s">
        <v>36</v>
      </c>
      <c r="S66" s="29" t="s">
        <v>36</v>
      </c>
      <c r="T66" s="65" t="s">
        <v>36</v>
      </c>
      <c r="U66" s="31" t="s">
        <v>36</v>
      </c>
      <c r="V66" s="32" t="str">
        <f t="shared" ref="V66:X66" si="71">IF(lenb(SUBSTITUTE($Z66,V$1&amp;" (1)",""))&lt;lenb($Z66),1,IF(lenb(SUBSTITUTE($Z66,V$1&amp;" (2)",""))&lt;lenb($Z66),2,IF(lenb(SUBSTITUTE($Z66,V$1&amp;" (3)",""))&lt;lenb($Z66),3,IF(lenb(SUBSTITUTE($Z66,V$1&amp;" (4)",""))&lt;lenb($Z66),4,IF(lenb(SUBSTITUTE($Z66,V$1&amp;" (5)",""))&lt;lenb($Z66),5,IF(lenb(SUBSTITUTE($Z66,V$1&amp;" (6)",""))&lt;lenb($Z66),6,IF(lenb(SUBSTITUTE($Z66,V$1&amp;" (7)",""))&lt;lenb($Z66),1,IF(lenb(SUBSTITUTE($Z66,V$1&amp;" (8)",""))&lt;lenb($Z66),8,IF(lenb(SUBSTITUTE($Z66,V$1&amp;" (9)",""))&lt;lenb($Z66),9,IF(lenb(SUBSTITUTE($Z66,V$1&amp;" (10)",""))&lt;lenb($Z66),10,IF(lenb(SUBSTITUTE($Z66,V$1,""))&lt;lenb($Z66),"ERROR",IF($Z66=$Y$1,"-",0))))))))))))</f>
        <v>-</v>
      </c>
      <c r="W66" s="32" t="str">
        <f t="shared" si="71"/>
        <v>-</v>
      </c>
      <c r="X66" s="32" t="str">
        <f t="shared" si="71"/>
        <v>-</v>
      </c>
      <c r="Y66" s="32">
        <f t="shared" si="3"/>
        <v>1</v>
      </c>
      <c r="Z66" s="32" t="s">
        <v>23</v>
      </c>
      <c r="AA66" s="33">
        <f t="shared" si="4"/>
        <v>0</v>
      </c>
      <c r="AB66" s="34">
        <f>COUNTIFS(Links!B:B,"ICSE",Links!C:C,A66,Links!AD:AD,1)</f>
        <v>0</v>
      </c>
      <c r="AC66" s="35" t="s">
        <v>36</v>
      </c>
      <c r="AD66" s="27" t="str">
        <f t="shared" si="5"/>
        <v>No</v>
      </c>
      <c r="AE66" s="36" t="s">
        <v>36</v>
      </c>
      <c r="AF66" s="37" t="s">
        <v>42</v>
      </c>
      <c r="AG66" s="37" t="s">
        <v>42</v>
      </c>
      <c r="AH66" s="37" t="s">
        <v>42</v>
      </c>
      <c r="AI66" s="29" t="str">
        <f t="shared" si="6"/>
        <v>----</v>
      </c>
      <c r="AJ66" s="38" t="str">
        <f t="shared" si="7"/>
        <v>Paper has no link and no statement</v>
      </c>
      <c r="AK66" s="39">
        <v>45035.0</v>
      </c>
      <c r="AL66" s="23" t="s">
        <v>43</v>
      </c>
      <c r="AM66" s="40" t="str">
        <f t="shared" si="8"/>
        <v>[IP1909]</v>
      </c>
    </row>
    <row r="67" ht="67.5" customHeight="1">
      <c r="A67" s="41">
        <v>1910.0</v>
      </c>
      <c r="B67" s="42" t="s">
        <v>210</v>
      </c>
      <c r="C67" s="43">
        <v>2014.0</v>
      </c>
      <c r="D67" s="44" t="s">
        <v>35</v>
      </c>
      <c r="E67" s="45" t="s">
        <v>36</v>
      </c>
      <c r="F67" s="45" t="s">
        <v>36</v>
      </c>
      <c r="G67" s="45" t="s">
        <v>36</v>
      </c>
      <c r="H67" s="45" t="s">
        <v>36</v>
      </c>
      <c r="I67" s="45" t="s">
        <v>36</v>
      </c>
      <c r="J67" s="46" t="s">
        <v>36</v>
      </c>
      <c r="K67" s="47" t="s">
        <v>37</v>
      </c>
      <c r="L67" s="48" t="s">
        <v>35</v>
      </c>
      <c r="M67" s="48" t="s">
        <v>35</v>
      </c>
      <c r="N67" s="48" t="s">
        <v>35</v>
      </c>
      <c r="O67" s="48" t="s">
        <v>37</v>
      </c>
      <c r="P67" s="48" t="s">
        <v>37</v>
      </c>
      <c r="Q67" s="48" t="s">
        <v>35</v>
      </c>
      <c r="R67" s="48" t="s">
        <v>35</v>
      </c>
      <c r="S67" s="49" t="s">
        <v>211</v>
      </c>
      <c r="T67" s="64" t="s">
        <v>212</v>
      </c>
      <c r="U67" s="51" t="s">
        <v>212</v>
      </c>
      <c r="V67" s="52">
        <f t="shared" ref="V67:X67" si="72">IF(lenb(SUBSTITUTE($Z67,V$1&amp;" (1)",""))&lt;lenb($Z67),1,IF(lenb(SUBSTITUTE($Z67,V$1&amp;" (2)",""))&lt;lenb($Z67),2,IF(lenb(SUBSTITUTE($Z67,V$1&amp;" (3)",""))&lt;lenb($Z67),3,IF(lenb(SUBSTITUTE($Z67,V$1&amp;" (4)",""))&lt;lenb($Z67),4,IF(lenb(SUBSTITUTE($Z67,V$1&amp;" (5)",""))&lt;lenb($Z67),5,IF(lenb(SUBSTITUTE($Z67,V$1&amp;" (6)",""))&lt;lenb($Z67),6,IF(lenb(SUBSTITUTE($Z67,V$1&amp;" (7)",""))&lt;lenb($Z67),1,IF(lenb(SUBSTITUTE($Z67,V$1&amp;" (8)",""))&lt;lenb($Z67),8,IF(lenb(SUBSTITUTE($Z67,V$1&amp;" (9)",""))&lt;lenb($Z67),9,IF(lenb(SUBSTITUTE($Z67,V$1&amp;" (10)",""))&lt;lenb($Z67),10,IF(lenb(SUBSTITUTE($Z67,V$1,""))&lt;lenb($Z67),"ERROR",IF($Z67=$Y$1,"-",0))))))))))))</f>
        <v>0</v>
      </c>
      <c r="W67" s="52">
        <f t="shared" si="72"/>
        <v>1</v>
      </c>
      <c r="X67" s="52">
        <f t="shared" si="72"/>
        <v>0</v>
      </c>
      <c r="Y67" s="52" t="str">
        <f t="shared" si="3"/>
        <v>-</v>
      </c>
      <c r="Z67" s="52" t="s">
        <v>47</v>
      </c>
      <c r="AA67" s="53">
        <f t="shared" si="4"/>
        <v>1</v>
      </c>
      <c r="AB67" s="54">
        <f>COUNTIFS(Links!B:B,"ICSE",Links!C:C,A67,Links!AD:AD,1)</f>
        <v>0</v>
      </c>
      <c r="AC67" s="55" t="s">
        <v>35</v>
      </c>
      <c r="AD67" s="47" t="str">
        <f t="shared" si="5"/>
        <v>No</v>
      </c>
      <c r="AE67" s="56" t="s">
        <v>36</v>
      </c>
      <c r="AF67" s="57" t="s">
        <v>42</v>
      </c>
      <c r="AG67" s="57" t="s">
        <v>42</v>
      </c>
      <c r="AH67" s="57" t="s">
        <v>42</v>
      </c>
      <c r="AI67" s="49" t="str">
        <f t="shared" si="6"/>
        <v>----</v>
      </c>
      <c r="AJ67" s="58" t="str">
        <f t="shared" si="7"/>
        <v>Paper has link but no statement</v>
      </c>
      <c r="AK67" s="59">
        <v>45035.0</v>
      </c>
      <c r="AL67" s="43" t="s">
        <v>43</v>
      </c>
      <c r="AM67" s="60" t="str">
        <f t="shared" si="8"/>
        <v>[IP1910]</v>
      </c>
    </row>
    <row r="68" ht="67.5" customHeight="1">
      <c r="A68" s="61">
        <v>1911.0</v>
      </c>
      <c r="B68" s="22" t="s">
        <v>213</v>
      </c>
      <c r="C68" s="23">
        <v>2014.0</v>
      </c>
      <c r="D68" s="24" t="s">
        <v>35</v>
      </c>
      <c r="E68" s="25" t="s">
        <v>36</v>
      </c>
      <c r="F68" s="25" t="s">
        <v>36</v>
      </c>
      <c r="G68" s="25" t="s">
        <v>36</v>
      </c>
      <c r="H68" s="25" t="s">
        <v>36</v>
      </c>
      <c r="I68" s="25" t="s">
        <v>36</v>
      </c>
      <c r="J68" s="26" t="s">
        <v>36</v>
      </c>
      <c r="K68" s="27" t="s">
        <v>37</v>
      </c>
      <c r="L68" s="28" t="s">
        <v>37</v>
      </c>
      <c r="M68" s="28" t="s">
        <v>35</v>
      </c>
      <c r="N68" s="28" t="s">
        <v>37</v>
      </c>
      <c r="O68" s="28" t="s">
        <v>35</v>
      </c>
      <c r="P68" s="28" t="s">
        <v>35</v>
      </c>
      <c r="Q68" s="28" t="s">
        <v>35</v>
      </c>
      <c r="R68" s="28" t="s">
        <v>35</v>
      </c>
      <c r="S68" s="29" t="s">
        <v>200</v>
      </c>
      <c r="T68" s="65" t="s">
        <v>214</v>
      </c>
      <c r="U68" s="65" t="s">
        <v>214</v>
      </c>
      <c r="V68" s="32">
        <f t="shared" ref="V68:X68" si="73">IF(lenb(SUBSTITUTE($Z68,V$1&amp;" (1)",""))&lt;lenb($Z68),1,IF(lenb(SUBSTITUTE($Z68,V$1&amp;" (2)",""))&lt;lenb($Z68),2,IF(lenb(SUBSTITUTE($Z68,V$1&amp;" (3)",""))&lt;lenb($Z68),3,IF(lenb(SUBSTITUTE($Z68,V$1&amp;" (4)",""))&lt;lenb($Z68),4,IF(lenb(SUBSTITUTE($Z68,V$1&amp;" (5)",""))&lt;lenb($Z68),5,IF(lenb(SUBSTITUTE($Z68,V$1&amp;" (6)",""))&lt;lenb($Z68),6,IF(lenb(SUBSTITUTE($Z68,V$1&amp;" (7)",""))&lt;lenb($Z68),1,IF(lenb(SUBSTITUTE($Z68,V$1&amp;" (8)",""))&lt;lenb($Z68),8,IF(lenb(SUBSTITUTE($Z68,V$1&amp;" (9)",""))&lt;lenb($Z68),9,IF(lenb(SUBSTITUTE($Z68,V$1&amp;" (10)",""))&lt;lenb($Z68),10,IF(lenb(SUBSTITUTE($Z68,V$1,""))&lt;lenb($Z68),"ERROR",IF($Z68=$Y$1,"-",0))))))))))))</f>
        <v>0</v>
      </c>
      <c r="W68" s="32">
        <f t="shared" si="73"/>
        <v>1</v>
      </c>
      <c r="X68" s="32">
        <f t="shared" si="73"/>
        <v>0</v>
      </c>
      <c r="Y68" s="32" t="str">
        <f t="shared" si="3"/>
        <v>-</v>
      </c>
      <c r="Z68" s="32" t="s">
        <v>47</v>
      </c>
      <c r="AA68" s="33">
        <f t="shared" si="4"/>
        <v>1</v>
      </c>
      <c r="AB68" s="34">
        <f>COUNTIFS(Links!B:B,"ICSE",Links!C:C,A68,Links!AD:AD,1)</f>
        <v>0</v>
      </c>
      <c r="AC68" s="35" t="s">
        <v>35</v>
      </c>
      <c r="AD68" s="27" t="str">
        <f t="shared" si="5"/>
        <v>No</v>
      </c>
      <c r="AE68" s="36" t="s">
        <v>36</v>
      </c>
      <c r="AF68" s="37" t="s">
        <v>42</v>
      </c>
      <c r="AG68" s="37" t="s">
        <v>42</v>
      </c>
      <c r="AH68" s="37" t="s">
        <v>42</v>
      </c>
      <c r="AI68" s="29" t="str">
        <f t="shared" si="6"/>
        <v>----</v>
      </c>
      <c r="AJ68" s="38" t="str">
        <f t="shared" si="7"/>
        <v>Paper has link but no statement</v>
      </c>
      <c r="AK68" s="39">
        <v>45035.0</v>
      </c>
      <c r="AL68" s="23" t="s">
        <v>43</v>
      </c>
      <c r="AM68" s="40" t="str">
        <f t="shared" si="8"/>
        <v>[IP1911]</v>
      </c>
    </row>
    <row r="69" ht="67.5" customHeight="1">
      <c r="A69" s="41">
        <v>1912.0</v>
      </c>
      <c r="B69" s="42" t="s">
        <v>215</v>
      </c>
      <c r="C69" s="43">
        <v>2014.0</v>
      </c>
      <c r="D69" s="44" t="s">
        <v>35</v>
      </c>
      <c r="E69" s="45" t="s">
        <v>36</v>
      </c>
      <c r="F69" s="45" t="s">
        <v>36</v>
      </c>
      <c r="G69" s="45" t="s">
        <v>36</v>
      </c>
      <c r="H69" s="45" t="s">
        <v>36</v>
      </c>
      <c r="I69" s="45" t="s">
        <v>36</v>
      </c>
      <c r="J69" s="46" t="s">
        <v>36</v>
      </c>
      <c r="K69" s="47" t="s">
        <v>37</v>
      </c>
      <c r="L69" s="48" t="s">
        <v>37</v>
      </c>
      <c r="M69" s="48" t="s">
        <v>35</v>
      </c>
      <c r="N69" s="48" t="s">
        <v>37</v>
      </c>
      <c r="O69" s="48" t="s">
        <v>35</v>
      </c>
      <c r="P69" s="48" t="s">
        <v>35</v>
      </c>
      <c r="Q69" s="48" t="s">
        <v>35</v>
      </c>
      <c r="R69" s="48" t="s">
        <v>35</v>
      </c>
      <c r="S69" s="49" t="s">
        <v>200</v>
      </c>
      <c r="T69" s="64" t="s">
        <v>216</v>
      </c>
      <c r="U69" s="51" t="s">
        <v>216</v>
      </c>
      <c r="V69" s="52">
        <f t="shared" ref="V69:X69" si="74">IF(lenb(SUBSTITUTE($Z69,V$1&amp;" (1)",""))&lt;lenb($Z69),1,IF(lenb(SUBSTITUTE($Z69,V$1&amp;" (2)",""))&lt;lenb($Z69),2,IF(lenb(SUBSTITUTE($Z69,V$1&amp;" (3)",""))&lt;lenb($Z69),3,IF(lenb(SUBSTITUTE($Z69,V$1&amp;" (4)",""))&lt;lenb($Z69),4,IF(lenb(SUBSTITUTE($Z69,V$1&amp;" (5)",""))&lt;lenb($Z69),5,IF(lenb(SUBSTITUTE($Z69,V$1&amp;" (6)",""))&lt;lenb($Z69),6,IF(lenb(SUBSTITUTE($Z69,V$1&amp;" (7)",""))&lt;lenb($Z69),1,IF(lenb(SUBSTITUTE($Z69,V$1&amp;" (8)",""))&lt;lenb($Z69),8,IF(lenb(SUBSTITUTE($Z69,V$1&amp;" (9)",""))&lt;lenb($Z69),9,IF(lenb(SUBSTITUTE($Z69,V$1&amp;" (10)",""))&lt;lenb($Z69),10,IF(lenb(SUBSTITUTE($Z69,V$1,""))&lt;lenb($Z69),"ERROR",IF($Z69=$Y$1,"-",0))))))))))))</f>
        <v>1</v>
      </c>
      <c r="W69" s="52">
        <f t="shared" si="74"/>
        <v>0</v>
      </c>
      <c r="X69" s="52">
        <f t="shared" si="74"/>
        <v>0</v>
      </c>
      <c r="Y69" s="52" t="str">
        <f t="shared" si="3"/>
        <v>-</v>
      </c>
      <c r="Z69" s="52" t="s">
        <v>62</v>
      </c>
      <c r="AA69" s="53">
        <f t="shared" si="4"/>
        <v>1</v>
      </c>
      <c r="AB69" s="54">
        <f>COUNTIFS(Links!B:B,"ICSE",Links!C:C,A69,Links!AD:AD,1)</f>
        <v>1</v>
      </c>
      <c r="AC69" s="55" t="s">
        <v>35</v>
      </c>
      <c r="AD69" s="47" t="str">
        <f t="shared" si="5"/>
        <v>No</v>
      </c>
      <c r="AE69" s="56" t="s">
        <v>36</v>
      </c>
      <c r="AF69" s="57" t="s">
        <v>42</v>
      </c>
      <c r="AG69" s="57" t="s">
        <v>42</v>
      </c>
      <c r="AH69" s="57" t="s">
        <v>42</v>
      </c>
      <c r="AI69" s="49" t="str">
        <f t="shared" si="6"/>
        <v>----</v>
      </c>
      <c r="AJ69" s="58" t="str">
        <f t="shared" si="7"/>
        <v>Paper has link but no statement</v>
      </c>
      <c r="AK69" s="59">
        <v>45035.0</v>
      </c>
      <c r="AL69" s="43" t="s">
        <v>43</v>
      </c>
      <c r="AM69" s="60" t="str">
        <f t="shared" si="8"/>
        <v>[IP1912]</v>
      </c>
    </row>
    <row r="70" ht="67.5" customHeight="1">
      <c r="A70" s="61">
        <v>1913.0</v>
      </c>
      <c r="B70" s="22" t="s">
        <v>217</v>
      </c>
      <c r="C70" s="23">
        <v>2014.0</v>
      </c>
      <c r="D70" s="24" t="s">
        <v>35</v>
      </c>
      <c r="E70" s="25" t="s">
        <v>36</v>
      </c>
      <c r="F70" s="25" t="s">
        <v>36</v>
      </c>
      <c r="G70" s="25" t="s">
        <v>36</v>
      </c>
      <c r="H70" s="25" t="s">
        <v>36</v>
      </c>
      <c r="I70" s="25" t="s">
        <v>36</v>
      </c>
      <c r="J70" s="26" t="s">
        <v>36</v>
      </c>
      <c r="K70" s="27" t="s">
        <v>35</v>
      </c>
      <c r="L70" s="28" t="s">
        <v>36</v>
      </c>
      <c r="M70" s="28" t="s">
        <v>36</v>
      </c>
      <c r="N70" s="28" t="s">
        <v>36</v>
      </c>
      <c r="O70" s="28" t="s">
        <v>36</v>
      </c>
      <c r="P70" s="28" t="s">
        <v>36</v>
      </c>
      <c r="Q70" s="28" t="s">
        <v>36</v>
      </c>
      <c r="R70" s="28" t="s">
        <v>36</v>
      </c>
      <c r="S70" s="29" t="s">
        <v>36</v>
      </c>
      <c r="T70" s="65" t="s">
        <v>36</v>
      </c>
      <c r="U70" s="31" t="s">
        <v>36</v>
      </c>
      <c r="V70" s="32" t="str">
        <f t="shared" ref="V70:X70" si="75">IF(lenb(SUBSTITUTE($Z70,V$1&amp;" (1)",""))&lt;lenb($Z70),1,IF(lenb(SUBSTITUTE($Z70,V$1&amp;" (2)",""))&lt;lenb($Z70),2,IF(lenb(SUBSTITUTE($Z70,V$1&amp;" (3)",""))&lt;lenb($Z70),3,IF(lenb(SUBSTITUTE($Z70,V$1&amp;" (4)",""))&lt;lenb($Z70),4,IF(lenb(SUBSTITUTE($Z70,V$1&amp;" (5)",""))&lt;lenb($Z70),5,IF(lenb(SUBSTITUTE($Z70,V$1&amp;" (6)",""))&lt;lenb($Z70),6,IF(lenb(SUBSTITUTE($Z70,V$1&amp;" (7)",""))&lt;lenb($Z70),1,IF(lenb(SUBSTITUTE($Z70,V$1&amp;" (8)",""))&lt;lenb($Z70),8,IF(lenb(SUBSTITUTE($Z70,V$1&amp;" (9)",""))&lt;lenb($Z70),9,IF(lenb(SUBSTITUTE($Z70,V$1&amp;" (10)",""))&lt;lenb($Z70),10,IF(lenb(SUBSTITUTE($Z70,V$1,""))&lt;lenb($Z70),"ERROR",IF($Z70=$Y$1,"-",0))))))))))))</f>
        <v>-</v>
      </c>
      <c r="W70" s="32" t="str">
        <f t="shared" si="75"/>
        <v>-</v>
      </c>
      <c r="X70" s="32" t="str">
        <f t="shared" si="75"/>
        <v>-</v>
      </c>
      <c r="Y70" s="32">
        <f t="shared" si="3"/>
        <v>1</v>
      </c>
      <c r="Z70" s="32" t="s">
        <v>23</v>
      </c>
      <c r="AA70" s="33">
        <f t="shared" si="4"/>
        <v>0</v>
      </c>
      <c r="AB70" s="34">
        <f>COUNTIFS(Links!B:B,"ICSE",Links!C:C,A70,Links!AD:AD,1)</f>
        <v>0</v>
      </c>
      <c r="AC70" s="35" t="s">
        <v>36</v>
      </c>
      <c r="AD70" s="27" t="str">
        <f t="shared" si="5"/>
        <v>No</v>
      </c>
      <c r="AE70" s="36" t="s">
        <v>36</v>
      </c>
      <c r="AF70" s="37" t="s">
        <v>42</v>
      </c>
      <c r="AG70" s="37" t="s">
        <v>42</v>
      </c>
      <c r="AH70" s="37" t="s">
        <v>42</v>
      </c>
      <c r="AI70" s="29" t="str">
        <f t="shared" si="6"/>
        <v>----</v>
      </c>
      <c r="AJ70" s="38" t="str">
        <f t="shared" si="7"/>
        <v>Paper has no link and no statement</v>
      </c>
      <c r="AK70" s="39">
        <v>45035.0</v>
      </c>
      <c r="AL70" s="23" t="s">
        <v>43</v>
      </c>
      <c r="AM70" s="40" t="str">
        <f t="shared" si="8"/>
        <v>[IP1913]</v>
      </c>
    </row>
    <row r="71" ht="67.5" customHeight="1">
      <c r="A71" s="41">
        <v>1914.0</v>
      </c>
      <c r="B71" s="42" t="s">
        <v>218</v>
      </c>
      <c r="C71" s="43">
        <v>2014.0</v>
      </c>
      <c r="D71" s="44" t="s">
        <v>35</v>
      </c>
      <c r="E71" s="45" t="s">
        <v>36</v>
      </c>
      <c r="F71" s="45" t="s">
        <v>36</v>
      </c>
      <c r="G71" s="45" t="s">
        <v>36</v>
      </c>
      <c r="H71" s="45" t="s">
        <v>36</v>
      </c>
      <c r="I71" s="45" t="s">
        <v>36</v>
      </c>
      <c r="J71" s="46" t="s">
        <v>36</v>
      </c>
      <c r="K71" s="47" t="s">
        <v>37</v>
      </c>
      <c r="L71" s="48" t="s">
        <v>35</v>
      </c>
      <c r="M71" s="48" t="s">
        <v>37</v>
      </c>
      <c r="N71" s="48" t="s">
        <v>37</v>
      </c>
      <c r="O71" s="48" t="s">
        <v>35</v>
      </c>
      <c r="P71" s="48" t="s">
        <v>35</v>
      </c>
      <c r="Q71" s="48" t="s">
        <v>35</v>
      </c>
      <c r="R71" s="48" t="s">
        <v>37</v>
      </c>
      <c r="S71" s="49" t="s">
        <v>219</v>
      </c>
      <c r="T71" s="64" t="s">
        <v>220</v>
      </c>
      <c r="U71" s="64" t="s">
        <v>221</v>
      </c>
      <c r="V71" s="52">
        <f t="shared" ref="V71:X71" si="76">IF(lenb(SUBSTITUTE($Z71,V$1&amp;" (1)",""))&lt;lenb($Z71),1,IF(lenb(SUBSTITUTE($Z71,V$1&amp;" (2)",""))&lt;lenb($Z71),2,IF(lenb(SUBSTITUTE($Z71,V$1&amp;" (3)",""))&lt;lenb($Z71),3,IF(lenb(SUBSTITUTE($Z71,V$1&amp;" (4)",""))&lt;lenb($Z71),4,IF(lenb(SUBSTITUTE($Z71,V$1&amp;" (5)",""))&lt;lenb($Z71),5,IF(lenb(SUBSTITUTE($Z71,V$1&amp;" (6)",""))&lt;lenb($Z71),6,IF(lenb(SUBSTITUTE($Z71,V$1&amp;" (7)",""))&lt;lenb($Z71),1,IF(lenb(SUBSTITUTE($Z71,V$1&amp;" (8)",""))&lt;lenb($Z71),8,IF(lenb(SUBSTITUTE($Z71,V$1&amp;" (9)",""))&lt;lenb($Z71),9,IF(lenb(SUBSTITUTE($Z71,V$1&amp;" (10)",""))&lt;lenb($Z71),10,IF(lenb(SUBSTITUTE($Z71,V$1,""))&lt;lenb($Z71),"ERROR",IF($Z71=$Y$1,"-",0))))))))))))</f>
        <v>1</v>
      </c>
      <c r="W71" s="52">
        <f t="shared" si="76"/>
        <v>1</v>
      </c>
      <c r="X71" s="52">
        <f t="shared" si="76"/>
        <v>0</v>
      </c>
      <c r="Y71" s="52" t="str">
        <f t="shared" si="3"/>
        <v>-</v>
      </c>
      <c r="Z71" s="52" t="s">
        <v>41</v>
      </c>
      <c r="AA71" s="53">
        <f t="shared" si="4"/>
        <v>2</v>
      </c>
      <c r="AB71" s="54">
        <f>COUNTIFS(Links!B:B,"ICSE",Links!C:C,A71,Links!AD:AD,1)</f>
        <v>1</v>
      </c>
      <c r="AC71" s="55" t="s">
        <v>35</v>
      </c>
      <c r="AD71" s="47" t="str">
        <f t="shared" si="5"/>
        <v>Yes</v>
      </c>
      <c r="AE71" s="56" t="s">
        <v>222</v>
      </c>
      <c r="AF71" s="56" t="s">
        <v>223</v>
      </c>
      <c r="AG71" s="57" t="s">
        <v>42</v>
      </c>
      <c r="AH71" s="57" t="s">
        <v>42</v>
      </c>
      <c r="AI71" s="49" t="str">
        <f t="shared" si="6"/>
        <v>Barriers (Agreements and legal rights)</v>
      </c>
      <c r="AJ71" s="58" t="str">
        <f t="shared" si="7"/>
        <v>Paper has link and statement</v>
      </c>
      <c r="AK71" s="59">
        <v>45035.0</v>
      </c>
      <c r="AL71" s="43" t="s">
        <v>43</v>
      </c>
      <c r="AM71" s="60" t="str">
        <f t="shared" si="8"/>
        <v>[IP1914]</v>
      </c>
    </row>
    <row r="72" ht="67.5" customHeight="1">
      <c r="A72" s="61">
        <v>1915.0</v>
      </c>
      <c r="B72" s="22" t="s">
        <v>224</v>
      </c>
      <c r="C72" s="23">
        <v>2014.0</v>
      </c>
      <c r="D72" s="24" t="s">
        <v>35</v>
      </c>
      <c r="E72" s="25" t="s">
        <v>36</v>
      </c>
      <c r="F72" s="25" t="s">
        <v>36</v>
      </c>
      <c r="G72" s="25" t="s">
        <v>36</v>
      </c>
      <c r="H72" s="25" t="s">
        <v>36</v>
      </c>
      <c r="I72" s="25" t="s">
        <v>36</v>
      </c>
      <c r="J72" s="26" t="s">
        <v>36</v>
      </c>
      <c r="K72" s="27" t="s">
        <v>35</v>
      </c>
      <c r="L72" s="28" t="s">
        <v>36</v>
      </c>
      <c r="M72" s="28" t="s">
        <v>36</v>
      </c>
      <c r="N72" s="28" t="s">
        <v>36</v>
      </c>
      <c r="O72" s="28" t="s">
        <v>36</v>
      </c>
      <c r="P72" s="28" t="s">
        <v>36</v>
      </c>
      <c r="Q72" s="28" t="s">
        <v>36</v>
      </c>
      <c r="R72" s="28" t="s">
        <v>36</v>
      </c>
      <c r="S72" s="29" t="s">
        <v>36</v>
      </c>
      <c r="T72" s="65" t="s">
        <v>36</v>
      </c>
      <c r="U72" s="31" t="s">
        <v>36</v>
      </c>
      <c r="V72" s="32" t="str">
        <f t="shared" ref="V72:X72" si="77">IF(lenb(SUBSTITUTE($Z72,V$1&amp;" (1)",""))&lt;lenb($Z72),1,IF(lenb(SUBSTITUTE($Z72,V$1&amp;" (2)",""))&lt;lenb($Z72),2,IF(lenb(SUBSTITUTE($Z72,V$1&amp;" (3)",""))&lt;lenb($Z72),3,IF(lenb(SUBSTITUTE($Z72,V$1&amp;" (4)",""))&lt;lenb($Z72),4,IF(lenb(SUBSTITUTE($Z72,V$1&amp;" (5)",""))&lt;lenb($Z72),5,IF(lenb(SUBSTITUTE($Z72,V$1&amp;" (6)",""))&lt;lenb($Z72),6,IF(lenb(SUBSTITUTE($Z72,V$1&amp;" (7)",""))&lt;lenb($Z72),1,IF(lenb(SUBSTITUTE($Z72,V$1&amp;" (8)",""))&lt;lenb($Z72),8,IF(lenb(SUBSTITUTE($Z72,V$1&amp;" (9)",""))&lt;lenb($Z72),9,IF(lenb(SUBSTITUTE($Z72,V$1&amp;" (10)",""))&lt;lenb($Z72),10,IF(lenb(SUBSTITUTE($Z72,V$1,""))&lt;lenb($Z72),"ERROR",IF($Z72=$Y$1,"-",0))))))))))))</f>
        <v>-</v>
      </c>
      <c r="W72" s="32" t="str">
        <f t="shared" si="77"/>
        <v>-</v>
      </c>
      <c r="X72" s="32" t="str">
        <f t="shared" si="77"/>
        <v>-</v>
      </c>
      <c r="Y72" s="32">
        <f t="shared" si="3"/>
        <v>1</v>
      </c>
      <c r="Z72" s="32" t="s">
        <v>23</v>
      </c>
      <c r="AA72" s="33">
        <f t="shared" si="4"/>
        <v>0</v>
      </c>
      <c r="AB72" s="34">
        <f>COUNTIFS(Links!B:B,"ICSE",Links!C:C,A72,Links!AD:AD,1)</f>
        <v>0</v>
      </c>
      <c r="AC72" s="35" t="s">
        <v>36</v>
      </c>
      <c r="AD72" s="27" t="str">
        <f t="shared" si="5"/>
        <v>No</v>
      </c>
      <c r="AE72" s="36" t="s">
        <v>36</v>
      </c>
      <c r="AF72" s="37" t="s">
        <v>42</v>
      </c>
      <c r="AG72" s="37" t="s">
        <v>42</v>
      </c>
      <c r="AH72" s="37" t="s">
        <v>42</v>
      </c>
      <c r="AI72" s="29" t="str">
        <f t="shared" si="6"/>
        <v>----</v>
      </c>
      <c r="AJ72" s="38" t="str">
        <f t="shared" si="7"/>
        <v>Paper has no link and no statement</v>
      </c>
      <c r="AK72" s="39">
        <v>45035.0</v>
      </c>
      <c r="AL72" s="23" t="s">
        <v>43</v>
      </c>
      <c r="AM72" s="40" t="str">
        <f t="shared" si="8"/>
        <v>[IP1915]</v>
      </c>
    </row>
    <row r="73" ht="67.5" customHeight="1">
      <c r="A73" s="41">
        <v>1916.0</v>
      </c>
      <c r="B73" s="42" t="s">
        <v>225</v>
      </c>
      <c r="C73" s="43">
        <v>2014.0</v>
      </c>
      <c r="D73" s="44" t="s">
        <v>35</v>
      </c>
      <c r="E73" s="45" t="s">
        <v>36</v>
      </c>
      <c r="F73" s="45" t="s">
        <v>36</v>
      </c>
      <c r="G73" s="45" t="s">
        <v>36</v>
      </c>
      <c r="H73" s="45" t="s">
        <v>36</v>
      </c>
      <c r="I73" s="45" t="s">
        <v>36</v>
      </c>
      <c r="J73" s="46" t="s">
        <v>36</v>
      </c>
      <c r="K73" s="47" t="s">
        <v>35</v>
      </c>
      <c r="L73" s="48" t="s">
        <v>36</v>
      </c>
      <c r="M73" s="48" t="s">
        <v>36</v>
      </c>
      <c r="N73" s="48" t="s">
        <v>36</v>
      </c>
      <c r="O73" s="48" t="s">
        <v>36</v>
      </c>
      <c r="P73" s="48" t="s">
        <v>36</v>
      </c>
      <c r="Q73" s="48" t="s">
        <v>36</v>
      </c>
      <c r="R73" s="48" t="s">
        <v>36</v>
      </c>
      <c r="S73" s="49" t="s">
        <v>36</v>
      </c>
      <c r="T73" s="64" t="s">
        <v>36</v>
      </c>
      <c r="U73" s="51" t="s">
        <v>36</v>
      </c>
      <c r="V73" s="52" t="str">
        <f t="shared" ref="V73:X73" si="78">IF(lenb(SUBSTITUTE($Z73,V$1&amp;" (1)",""))&lt;lenb($Z73),1,IF(lenb(SUBSTITUTE($Z73,V$1&amp;" (2)",""))&lt;lenb($Z73),2,IF(lenb(SUBSTITUTE($Z73,V$1&amp;" (3)",""))&lt;lenb($Z73),3,IF(lenb(SUBSTITUTE($Z73,V$1&amp;" (4)",""))&lt;lenb($Z73),4,IF(lenb(SUBSTITUTE($Z73,V$1&amp;" (5)",""))&lt;lenb($Z73),5,IF(lenb(SUBSTITUTE($Z73,V$1&amp;" (6)",""))&lt;lenb($Z73),6,IF(lenb(SUBSTITUTE($Z73,V$1&amp;" (7)",""))&lt;lenb($Z73),1,IF(lenb(SUBSTITUTE($Z73,V$1&amp;" (8)",""))&lt;lenb($Z73),8,IF(lenb(SUBSTITUTE($Z73,V$1&amp;" (9)",""))&lt;lenb($Z73),9,IF(lenb(SUBSTITUTE($Z73,V$1&amp;" (10)",""))&lt;lenb($Z73),10,IF(lenb(SUBSTITUTE($Z73,V$1,""))&lt;lenb($Z73),"ERROR",IF($Z73=$Y$1,"-",0))))))))))))</f>
        <v>-</v>
      </c>
      <c r="W73" s="52" t="str">
        <f t="shared" si="78"/>
        <v>-</v>
      </c>
      <c r="X73" s="52" t="str">
        <f t="shared" si="78"/>
        <v>-</v>
      </c>
      <c r="Y73" s="52">
        <f t="shared" si="3"/>
        <v>1</v>
      </c>
      <c r="Z73" s="52" t="s">
        <v>23</v>
      </c>
      <c r="AA73" s="53">
        <f t="shared" si="4"/>
        <v>0</v>
      </c>
      <c r="AB73" s="54">
        <f>COUNTIFS(Links!B:B,"ICSE",Links!C:C,A73,Links!AD:AD,1)</f>
        <v>0</v>
      </c>
      <c r="AC73" s="55" t="s">
        <v>36</v>
      </c>
      <c r="AD73" s="47" t="str">
        <f t="shared" si="5"/>
        <v>No</v>
      </c>
      <c r="AE73" s="56" t="s">
        <v>36</v>
      </c>
      <c r="AF73" s="57" t="s">
        <v>42</v>
      </c>
      <c r="AG73" s="57" t="s">
        <v>42</v>
      </c>
      <c r="AH73" s="57" t="s">
        <v>42</v>
      </c>
      <c r="AI73" s="49" t="str">
        <f t="shared" si="6"/>
        <v>----</v>
      </c>
      <c r="AJ73" s="58" t="str">
        <f t="shared" si="7"/>
        <v>Paper has no link and no statement</v>
      </c>
      <c r="AK73" s="59">
        <v>45035.0</v>
      </c>
      <c r="AL73" s="43" t="s">
        <v>43</v>
      </c>
      <c r="AM73" s="60" t="str">
        <f t="shared" si="8"/>
        <v>[IP1916]</v>
      </c>
    </row>
    <row r="74" ht="67.5" customHeight="1">
      <c r="A74" s="61">
        <v>1917.0</v>
      </c>
      <c r="B74" s="22" t="s">
        <v>226</v>
      </c>
      <c r="C74" s="23">
        <v>2014.0</v>
      </c>
      <c r="D74" s="24" t="s">
        <v>35</v>
      </c>
      <c r="E74" s="25" t="s">
        <v>36</v>
      </c>
      <c r="F74" s="25" t="s">
        <v>36</v>
      </c>
      <c r="G74" s="25" t="s">
        <v>36</v>
      </c>
      <c r="H74" s="25" t="s">
        <v>36</v>
      </c>
      <c r="I74" s="25" t="s">
        <v>36</v>
      </c>
      <c r="J74" s="26" t="s">
        <v>36</v>
      </c>
      <c r="K74" s="27" t="s">
        <v>37</v>
      </c>
      <c r="L74" s="28" t="s">
        <v>35</v>
      </c>
      <c r="M74" s="28" t="s">
        <v>37</v>
      </c>
      <c r="N74" s="28" t="s">
        <v>35</v>
      </c>
      <c r="O74" s="28" t="s">
        <v>35</v>
      </c>
      <c r="P74" s="28" t="s">
        <v>35</v>
      </c>
      <c r="Q74" s="28" t="s">
        <v>35</v>
      </c>
      <c r="R74" s="28" t="s">
        <v>37</v>
      </c>
      <c r="S74" s="29" t="s">
        <v>227</v>
      </c>
      <c r="T74" s="65" t="s">
        <v>228</v>
      </c>
      <c r="U74" s="31" t="s">
        <v>228</v>
      </c>
      <c r="V74" s="32">
        <f t="shared" ref="V74:X74" si="79">IF(lenb(SUBSTITUTE($Z74,V$1&amp;" (1)",""))&lt;lenb($Z74),1,IF(lenb(SUBSTITUTE($Z74,V$1&amp;" (2)",""))&lt;lenb($Z74),2,IF(lenb(SUBSTITUTE($Z74,V$1&amp;" (3)",""))&lt;lenb($Z74),3,IF(lenb(SUBSTITUTE($Z74,V$1&amp;" (4)",""))&lt;lenb($Z74),4,IF(lenb(SUBSTITUTE($Z74,V$1&amp;" (5)",""))&lt;lenb($Z74),5,IF(lenb(SUBSTITUTE($Z74,V$1&amp;" (6)",""))&lt;lenb($Z74),6,IF(lenb(SUBSTITUTE($Z74,V$1&amp;" (7)",""))&lt;lenb($Z74),1,IF(lenb(SUBSTITUTE($Z74,V$1&amp;" (8)",""))&lt;lenb($Z74),8,IF(lenb(SUBSTITUTE($Z74,V$1&amp;" (9)",""))&lt;lenb($Z74),9,IF(lenb(SUBSTITUTE($Z74,V$1&amp;" (10)",""))&lt;lenb($Z74),10,IF(lenb(SUBSTITUTE($Z74,V$1,""))&lt;lenb($Z74),"ERROR",IF($Z74=$Y$1,"-",0))))))))))))</f>
        <v>0</v>
      </c>
      <c r="W74" s="32">
        <f t="shared" si="79"/>
        <v>1</v>
      </c>
      <c r="X74" s="32">
        <f t="shared" si="79"/>
        <v>0</v>
      </c>
      <c r="Y74" s="32" t="str">
        <f t="shared" si="3"/>
        <v>-</v>
      </c>
      <c r="Z74" s="32" t="s">
        <v>47</v>
      </c>
      <c r="AA74" s="33">
        <f t="shared" si="4"/>
        <v>1</v>
      </c>
      <c r="AB74" s="34">
        <f>COUNTIFS(Links!B:B,"ICSE",Links!C:C,A74,Links!AD:AD,1)</f>
        <v>1</v>
      </c>
      <c r="AC74" s="35" t="s">
        <v>35</v>
      </c>
      <c r="AD74" s="27" t="str">
        <f t="shared" si="5"/>
        <v>No</v>
      </c>
      <c r="AE74" s="36" t="s">
        <v>36</v>
      </c>
      <c r="AF74" s="37" t="s">
        <v>42</v>
      </c>
      <c r="AG74" s="37" t="s">
        <v>42</v>
      </c>
      <c r="AH74" s="37" t="s">
        <v>42</v>
      </c>
      <c r="AI74" s="29" t="str">
        <f t="shared" si="6"/>
        <v>----</v>
      </c>
      <c r="AJ74" s="38" t="str">
        <f t="shared" si="7"/>
        <v>Paper has link but no statement</v>
      </c>
      <c r="AK74" s="39">
        <v>45035.0</v>
      </c>
      <c r="AL74" s="23" t="s">
        <v>43</v>
      </c>
      <c r="AM74" s="40" t="str">
        <f t="shared" si="8"/>
        <v>[IP1917]</v>
      </c>
    </row>
    <row r="75" ht="67.5" customHeight="1">
      <c r="A75" s="41">
        <v>1918.0</v>
      </c>
      <c r="B75" s="42" t="s">
        <v>229</v>
      </c>
      <c r="C75" s="43">
        <v>2014.0</v>
      </c>
      <c r="D75" s="44" t="s">
        <v>35</v>
      </c>
      <c r="E75" s="45" t="s">
        <v>36</v>
      </c>
      <c r="F75" s="45" t="s">
        <v>36</v>
      </c>
      <c r="G75" s="45" t="s">
        <v>36</v>
      </c>
      <c r="H75" s="45" t="s">
        <v>36</v>
      </c>
      <c r="I75" s="45" t="s">
        <v>36</v>
      </c>
      <c r="J75" s="46" t="s">
        <v>36</v>
      </c>
      <c r="K75" s="47" t="s">
        <v>35</v>
      </c>
      <c r="L75" s="48" t="s">
        <v>36</v>
      </c>
      <c r="M75" s="48" t="s">
        <v>36</v>
      </c>
      <c r="N75" s="48" t="s">
        <v>36</v>
      </c>
      <c r="O75" s="48" t="s">
        <v>36</v>
      </c>
      <c r="P75" s="48" t="s">
        <v>36</v>
      </c>
      <c r="Q75" s="48" t="s">
        <v>36</v>
      </c>
      <c r="R75" s="48" t="s">
        <v>36</v>
      </c>
      <c r="S75" s="49" t="s">
        <v>36</v>
      </c>
      <c r="T75" s="64" t="s">
        <v>36</v>
      </c>
      <c r="U75" s="51" t="s">
        <v>36</v>
      </c>
      <c r="V75" s="52" t="str">
        <f t="shared" ref="V75:X75" si="80">IF(lenb(SUBSTITUTE($Z75,V$1&amp;" (1)",""))&lt;lenb($Z75),1,IF(lenb(SUBSTITUTE($Z75,V$1&amp;" (2)",""))&lt;lenb($Z75),2,IF(lenb(SUBSTITUTE($Z75,V$1&amp;" (3)",""))&lt;lenb($Z75),3,IF(lenb(SUBSTITUTE($Z75,V$1&amp;" (4)",""))&lt;lenb($Z75),4,IF(lenb(SUBSTITUTE($Z75,V$1&amp;" (5)",""))&lt;lenb($Z75),5,IF(lenb(SUBSTITUTE($Z75,V$1&amp;" (6)",""))&lt;lenb($Z75),6,IF(lenb(SUBSTITUTE($Z75,V$1&amp;" (7)",""))&lt;lenb($Z75),1,IF(lenb(SUBSTITUTE($Z75,V$1&amp;" (8)",""))&lt;lenb($Z75),8,IF(lenb(SUBSTITUTE($Z75,V$1&amp;" (9)",""))&lt;lenb($Z75),9,IF(lenb(SUBSTITUTE($Z75,V$1&amp;" (10)",""))&lt;lenb($Z75),10,IF(lenb(SUBSTITUTE($Z75,V$1,""))&lt;lenb($Z75),"ERROR",IF($Z75=$Y$1,"-",0))))))))))))</f>
        <v>-</v>
      </c>
      <c r="W75" s="52" t="str">
        <f t="shared" si="80"/>
        <v>-</v>
      </c>
      <c r="X75" s="52" t="str">
        <f t="shared" si="80"/>
        <v>-</v>
      </c>
      <c r="Y75" s="52">
        <f t="shared" si="3"/>
        <v>1</v>
      </c>
      <c r="Z75" s="52" t="s">
        <v>23</v>
      </c>
      <c r="AA75" s="53">
        <f t="shared" si="4"/>
        <v>0</v>
      </c>
      <c r="AB75" s="54">
        <f>COUNTIFS(Links!B:B,"ICSE",Links!C:C,A75,Links!AD:AD,1)</f>
        <v>0</v>
      </c>
      <c r="AC75" s="55" t="s">
        <v>36</v>
      </c>
      <c r="AD75" s="47" t="str">
        <f t="shared" si="5"/>
        <v>No</v>
      </c>
      <c r="AE75" s="56" t="s">
        <v>36</v>
      </c>
      <c r="AF75" s="57" t="s">
        <v>42</v>
      </c>
      <c r="AG75" s="57" t="s">
        <v>42</v>
      </c>
      <c r="AH75" s="57" t="s">
        <v>42</v>
      </c>
      <c r="AI75" s="49" t="str">
        <f t="shared" si="6"/>
        <v>----</v>
      </c>
      <c r="AJ75" s="58" t="str">
        <f t="shared" si="7"/>
        <v>Paper has no link and no statement</v>
      </c>
      <c r="AK75" s="59">
        <v>45035.0</v>
      </c>
      <c r="AL75" s="43" t="s">
        <v>43</v>
      </c>
      <c r="AM75" s="60" t="str">
        <f t="shared" si="8"/>
        <v>[IP1918]</v>
      </c>
    </row>
    <row r="76" ht="67.5" customHeight="1">
      <c r="A76" s="61">
        <v>1919.0</v>
      </c>
      <c r="B76" s="22" t="s">
        <v>230</v>
      </c>
      <c r="C76" s="23">
        <v>2014.0</v>
      </c>
      <c r="D76" s="24" t="s">
        <v>35</v>
      </c>
      <c r="E76" s="25" t="s">
        <v>36</v>
      </c>
      <c r="F76" s="25" t="s">
        <v>36</v>
      </c>
      <c r="G76" s="25" t="s">
        <v>36</v>
      </c>
      <c r="H76" s="25" t="s">
        <v>36</v>
      </c>
      <c r="I76" s="25" t="s">
        <v>36</v>
      </c>
      <c r="J76" s="26" t="s">
        <v>36</v>
      </c>
      <c r="K76" s="27" t="s">
        <v>37</v>
      </c>
      <c r="L76" s="28" t="s">
        <v>37</v>
      </c>
      <c r="M76" s="28" t="s">
        <v>35</v>
      </c>
      <c r="N76" s="28" t="s">
        <v>35</v>
      </c>
      <c r="O76" s="28" t="s">
        <v>35</v>
      </c>
      <c r="P76" s="28" t="s">
        <v>35</v>
      </c>
      <c r="Q76" s="28" t="s">
        <v>35</v>
      </c>
      <c r="R76" s="28" t="s">
        <v>37</v>
      </c>
      <c r="S76" s="29" t="s">
        <v>231</v>
      </c>
      <c r="T76" s="65" t="s">
        <v>232</v>
      </c>
      <c r="U76" s="65" t="s">
        <v>232</v>
      </c>
      <c r="V76" s="32">
        <f t="shared" ref="V76:X76" si="81">IF(lenb(SUBSTITUTE($Z76,V$1&amp;" (1)",""))&lt;lenb($Z76),1,IF(lenb(SUBSTITUTE($Z76,V$1&amp;" (2)",""))&lt;lenb($Z76),2,IF(lenb(SUBSTITUTE($Z76,V$1&amp;" (3)",""))&lt;lenb($Z76),3,IF(lenb(SUBSTITUTE($Z76,V$1&amp;" (4)",""))&lt;lenb($Z76),4,IF(lenb(SUBSTITUTE($Z76,V$1&amp;" (5)",""))&lt;lenb($Z76),5,IF(lenb(SUBSTITUTE($Z76,V$1&amp;" (6)",""))&lt;lenb($Z76),6,IF(lenb(SUBSTITUTE($Z76,V$1&amp;" (7)",""))&lt;lenb($Z76),1,IF(lenb(SUBSTITUTE($Z76,V$1&amp;" (8)",""))&lt;lenb($Z76),8,IF(lenb(SUBSTITUTE($Z76,V$1&amp;" (9)",""))&lt;lenb($Z76),9,IF(lenb(SUBSTITUTE($Z76,V$1&amp;" (10)",""))&lt;lenb($Z76),10,IF(lenb(SUBSTITUTE($Z76,V$1,""))&lt;lenb($Z76),"ERROR",IF($Z76=$Y$1,"-",0))))))))))))</f>
        <v>0</v>
      </c>
      <c r="W76" s="32">
        <f t="shared" si="81"/>
        <v>1</v>
      </c>
      <c r="X76" s="32">
        <f t="shared" si="81"/>
        <v>0</v>
      </c>
      <c r="Y76" s="32" t="str">
        <f t="shared" si="3"/>
        <v>-</v>
      </c>
      <c r="Z76" s="32" t="s">
        <v>47</v>
      </c>
      <c r="AA76" s="33">
        <f t="shared" si="4"/>
        <v>1</v>
      </c>
      <c r="AB76" s="34">
        <f>COUNTIFS(Links!B:B,"ICSE",Links!C:C,A76,Links!AD:AD,1)</f>
        <v>1</v>
      </c>
      <c r="AC76" s="35" t="s">
        <v>35</v>
      </c>
      <c r="AD76" s="27" t="str">
        <f t="shared" si="5"/>
        <v>No</v>
      </c>
      <c r="AE76" s="36" t="s">
        <v>36</v>
      </c>
      <c r="AF76" s="37" t="s">
        <v>42</v>
      </c>
      <c r="AG76" s="37" t="s">
        <v>42</v>
      </c>
      <c r="AH76" s="37" t="s">
        <v>42</v>
      </c>
      <c r="AI76" s="29" t="str">
        <f t="shared" si="6"/>
        <v>----</v>
      </c>
      <c r="AJ76" s="38" t="str">
        <f t="shared" si="7"/>
        <v>Paper has link but no statement</v>
      </c>
      <c r="AK76" s="39">
        <v>45035.0</v>
      </c>
      <c r="AL76" s="23" t="s">
        <v>43</v>
      </c>
      <c r="AM76" s="40" t="str">
        <f t="shared" si="8"/>
        <v>[IP1919]</v>
      </c>
    </row>
    <row r="77" ht="67.5" customHeight="1">
      <c r="A77" s="41">
        <v>1920.0</v>
      </c>
      <c r="B77" s="42" t="s">
        <v>233</v>
      </c>
      <c r="C77" s="43">
        <v>2014.0</v>
      </c>
      <c r="D77" s="44" t="s">
        <v>35</v>
      </c>
      <c r="E77" s="45" t="s">
        <v>36</v>
      </c>
      <c r="F77" s="45" t="s">
        <v>36</v>
      </c>
      <c r="G77" s="45" t="s">
        <v>36</v>
      </c>
      <c r="H77" s="45" t="s">
        <v>36</v>
      </c>
      <c r="I77" s="45" t="s">
        <v>36</v>
      </c>
      <c r="J77" s="46" t="s">
        <v>36</v>
      </c>
      <c r="K77" s="47" t="s">
        <v>35</v>
      </c>
      <c r="L77" s="48" t="s">
        <v>36</v>
      </c>
      <c r="M77" s="48" t="s">
        <v>36</v>
      </c>
      <c r="N77" s="48" t="s">
        <v>36</v>
      </c>
      <c r="O77" s="48" t="s">
        <v>36</v>
      </c>
      <c r="P77" s="48" t="s">
        <v>36</v>
      </c>
      <c r="Q77" s="48" t="s">
        <v>36</v>
      </c>
      <c r="R77" s="48" t="s">
        <v>36</v>
      </c>
      <c r="S77" s="49" t="s">
        <v>36</v>
      </c>
      <c r="T77" s="64" t="s">
        <v>36</v>
      </c>
      <c r="U77" s="51" t="s">
        <v>36</v>
      </c>
      <c r="V77" s="52" t="str">
        <f t="shared" ref="V77:X77" si="82">IF(lenb(SUBSTITUTE($Z77,V$1&amp;" (1)",""))&lt;lenb($Z77),1,IF(lenb(SUBSTITUTE($Z77,V$1&amp;" (2)",""))&lt;lenb($Z77),2,IF(lenb(SUBSTITUTE($Z77,V$1&amp;" (3)",""))&lt;lenb($Z77),3,IF(lenb(SUBSTITUTE($Z77,V$1&amp;" (4)",""))&lt;lenb($Z77),4,IF(lenb(SUBSTITUTE($Z77,V$1&amp;" (5)",""))&lt;lenb($Z77),5,IF(lenb(SUBSTITUTE($Z77,V$1&amp;" (6)",""))&lt;lenb($Z77),6,IF(lenb(SUBSTITUTE($Z77,V$1&amp;" (7)",""))&lt;lenb($Z77),1,IF(lenb(SUBSTITUTE($Z77,V$1&amp;" (8)",""))&lt;lenb($Z77),8,IF(lenb(SUBSTITUTE($Z77,V$1&amp;" (9)",""))&lt;lenb($Z77),9,IF(lenb(SUBSTITUTE($Z77,V$1&amp;" (10)",""))&lt;lenb($Z77),10,IF(lenb(SUBSTITUTE($Z77,V$1,""))&lt;lenb($Z77),"ERROR",IF($Z77=$Y$1,"-",0))))))))))))</f>
        <v>-</v>
      </c>
      <c r="W77" s="52" t="str">
        <f t="shared" si="82"/>
        <v>-</v>
      </c>
      <c r="X77" s="52" t="str">
        <f t="shared" si="82"/>
        <v>-</v>
      </c>
      <c r="Y77" s="52">
        <f t="shared" si="3"/>
        <v>1</v>
      </c>
      <c r="Z77" s="52" t="s">
        <v>23</v>
      </c>
      <c r="AA77" s="53">
        <f t="shared" si="4"/>
        <v>0</v>
      </c>
      <c r="AB77" s="54">
        <f>COUNTIFS(Links!B:B,"ICSE",Links!C:C,A77,Links!AD:AD,1)</f>
        <v>0</v>
      </c>
      <c r="AC77" s="55" t="s">
        <v>36</v>
      </c>
      <c r="AD77" s="47" t="str">
        <f t="shared" si="5"/>
        <v>No</v>
      </c>
      <c r="AE77" s="56" t="s">
        <v>36</v>
      </c>
      <c r="AF77" s="57" t="s">
        <v>42</v>
      </c>
      <c r="AG77" s="57" t="s">
        <v>42</v>
      </c>
      <c r="AH77" s="57" t="s">
        <v>42</v>
      </c>
      <c r="AI77" s="49" t="str">
        <f t="shared" si="6"/>
        <v>----</v>
      </c>
      <c r="AJ77" s="58" t="str">
        <f t="shared" si="7"/>
        <v>Paper has no link and no statement</v>
      </c>
      <c r="AK77" s="59">
        <v>45035.0</v>
      </c>
      <c r="AL77" s="43" t="s">
        <v>43</v>
      </c>
      <c r="AM77" s="60" t="str">
        <f t="shared" si="8"/>
        <v>[IP1920]</v>
      </c>
    </row>
    <row r="78" ht="67.5" customHeight="1">
      <c r="A78" s="21">
        <v>1921.0</v>
      </c>
      <c r="B78" s="22" t="s">
        <v>234</v>
      </c>
      <c r="C78" s="23">
        <v>2014.0</v>
      </c>
      <c r="D78" s="24" t="s">
        <v>35</v>
      </c>
      <c r="E78" s="25" t="s">
        <v>36</v>
      </c>
      <c r="F78" s="25" t="s">
        <v>36</v>
      </c>
      <c r="G78" s="25" t="s">
        <v>36</v>
      </c>
      <c r="H78" s="25" t="s">
        <v>36</v>
      </c>
      <c r="I78" s="25" t="s">
        <v>36</v>
      </c>
      <c r="J78" s="26" t="s">
        <v>36</v>
      </c>
      <c r="K78" s="27" t="s">
        <v>37</v>
      </c>
      <c r="L78" s="28" t="s">
        <v>37</v>
      </c>
      <c r="M78" s="28" t="s">
        <v>37</v>
      </c>
      <c r="N78" s="28" t="s">
        <v>37</v>
      </c>
      <c r="O78" s="28" t="s">
        <v>35</v>
      </c>
      <c r="P78" s="28" t="s">
        <v>35</v>
      </c>
      <c r="Q78" s="28" t="s">
        <v>35</v>
      </c>
      <c r="R78" s="28" t="s">
        <v>37</v>
      </c>
      <c r="S78" s="29" t="s">
        <v>235</v>
      </c>
      <c r="T78" s="65" t="s">
        <v>236</v>
      </c>
      <c r="U78" s="65" t="s">
        <v>237</v>
      </c>
      <c r="V78" s="32">
        <f t="shared" ref="V78:X78" si="83">IF(lenb(SUBSTITUTE($Z78,V$1&amp;" (1)",""))&lt;lenb($Z78),1,IF(lenb(SUBSTITUTE($Z78,V$1&amp;" (2)",""))&lt;lenb($Z78),2,IF(lenb(SUBSTITUTE($Z78,V$1&amp;" (3)",""))&lt;lenb($Z78),3,IF(lenb(SUBSTITUTE($Z78,V$1&amp;" (4)",""))&lt;lenb($Z78),4,IF(lenb(SUBSTITUTE($Z78,V$1&amp;" (5)",""))&lt;lenb($Z78),5,IF(lenb(SUBSTITUTE($Z78,V$1&amp;" (6)",""))&lt;lenb($Z78),6,IF(lenb(SUBSTITUTE($Z78,V$1&amp;" (7)",""))&lt;lenb($Z78),1,IF(lenb(SUBSTITUTE($Z78,V$1&amp;" (8)",""))&lt;lenb($Z78),8,IF(lenb(SUBSTITUTE($Z78,V$1&amp;" (9)",""))&lt;lenb($Z78),9,IF(lenb(SUBSTITUTE($Z78,V$1&amp;" (10)",""))&lt;lenb($Z78),10,IF(lenb(SUBSTITUTE($Z78,V$1,""))&lt;lenb($Z78),"ERROR",IF($Z78=$Y$1,"-",0))))))))))))</f>
        <v>1</v>
      </c>
      <c r="W78" s="32">
        <f t="shared" si="83"/>
        <v>1</v>
      </c>
      <c r="X78" s="32">
        <f t="shared" si="83"/>
        <v>0</v>
      </c>
      <c r="Y78" s="32" t="str">
        <f t="shared" si="3"/>
        <v>-</v>
      </c>
      <c r="Z78" s="32" t="s">
        <v>41</v>
      </c>
      <c r="AA78" s="33">
        <f t="shared" si="4"/>
        <v>2</v>
      </c>
      <c r="AB78" s="34">
        <f>COUNTIFS(Links!B:B,"ICSE",Links!C:C,A78,Links!AD:AD,1)</f>
        <v>2</v>
      </c>
      <c r="AC78" s="35" t="s">
        <v>35</v>
      </c>
      <c r="AD78" s="27" t="str">
        <f t="shared" si="5"/>
        <v>No</v>
      </c>
      <c r="AE78" s="36" t="s">
        <v>36</v>
      </c>
      <c r="AF78" s="37" t="s">
        <v>42</v>
      </c>
      <c r="AG78" s="37" t="s">
        <v>42</v>
      </c>
      <c r="AH78" s="37" t="s">
        <v>42</v>
      </c>
      <c r="AI78" s="29" t="str">
        <f t="shared" si="6"/>
        <v>----</v>
      </c>
      <c r="AJ78" s="38" t="str">
        <f t="shared" si="7"/>
        <v>Paper has link but no statement</v>
      </c>
      <c r="AK78" s="39">
        <v>45035.0</v>
      </c>
      <c r="AL78" s="23" t="s">
        <v>43</v>
      </c>
      <c r="AM78" s="40" t="str">
        <f t="shared" si="8"/>
        <v>[IP1921]</v>
      </c>
    </row>
    <row r="79" ht="67.5" customHeight="1">
      <c r="A79" s="41">
        <v>1922.0</v>
      </c>
      <c r="B79" s="42" t="s">
        <v>238</v>
      </c>
      <c r="C79" s="43">
        <v>2014.0</v>
      </c>
      <c r="D79" s="44" t="s">
        <v>35</v>
      </c>
      <c r="E79" s="45" t="s">
        <v>36</v>
      </c>
      <c r="F79" s="45" t="s">
        <v>36</v>
      </c>
      <c r="G79" s="45" t="s">
        <v>36</v>
      </c>
      <c r="H79" s="45" t="s">
        <v>36</v>
      </c>
      <c r="I79" s="45" t="s">
        <v>36</v>
      </c>
      <c r="J79" s="46" t="s">
        <v>36</v>
      </c>
      <c r="K79" s="47" t="s">
        <v>35</v>
      </c>
      <c r="L79" s="48" t="s">
        <v>36</v>
      </c>
      <c r="M79" s="48" t="s">
        <v>36</v>
      </c>
      <c r="N79" s="48" t="s">
        <v>36</v>
      </c>
      <c r="O79" s="48" t="s">
        <v>36</v>
      </c>
      <c r="P79" s="48" t="s">
        <v>36</v>
      </c>
      <c r="Q79" s="48" t="s">
        <v>36</v>
      </c>
      <c r="R79" s="48" t="s">
        <v>36</v>
      </c>
      <c r="S79" s="49" t="s">
        <v>36</v>
      </c>
      <c r="T79" s="64" t="s">
        <v>36</v>
      </c>
      <c r="U79" s="51" t="s">
        <v>36</v>
      </c>
      <c r="V79" s="52" t="str">
        <f t="shared" ref="V79:X79" si="84">IF(lenb(SUBSTITUTE($Z79,V$1&amp;" (1)",""))&lt;lenb($Z79),1,IF(lenb(SUBSTITUTE($Z79,V$1&amp;" (2)",""))&lt;lenb($Z79),2,IF(lenb(SUBSTITUTE($Z79,V$1&amp;" (3)",""))&lt;lenb($Z79),3,IF(lenb(SUBSTITUTE($Z79,V$1&amp;" (4)",""))&lt;lenb($Z79),4,IF(lenb(SUBSTITUTE($Z79,V$1&amp;" (5)",""))&lt;lenb($Z79),5,IF(lenb(SUBSTITUTE($Z79,V$1&amp;" (6)",""))&lt;lenb($Z79),6,IF(lenb(SUBSTITUTE($Z79,V$1&amp;" (7)",""))&lt;lenb($Z79),1,IF(lenb(SUBSTITUTE($Z79,V$1&amp;" (8)",""))&lt;lenb($Z79),8,IF(lenb(SUBSTITUTE($Z79,V$1&amp;" (9)",""))&lt;lenb($Z79),9,IF(lenb(SUBSTITUTE($Z79,V$1&amp;" (10)",""))&lt;lenb($Z79),10,IF(lenb(SUBSTITUTE($Z79,V$1,""))&lt;lenb($Z79),"ERROR",IF($Z79=$Y$1,"-",0))))))))))))</f>
        <v>-</v>
      </c>
      <c r="W79" s="52" t="str">
        <f t="shared" si="84"/>
        <v>-</v>
      </c>
      <c r="X79" s="52" t="str">
        <f t="shared" si="84"/>
        <v>-</v>
      </c>
      <c r="Y79" s="52">
        <f t="shared" si="3"/>
        <v>1</v>
      </c>
      <c r="Z79" s="52" t="s">
        <v>23</v>
      </c>
      <c r="AA79" s="53">
        <f t="shared" si="4"/>
        <v>0</v>
      </c>
      <c r="AB79" s="54">
        <f>COUNTIFS(Links!B:B,"ICSE",Links!C:C,A79,Links!AD:AD,1)</f>
        <v>0</v>
      </c>
      <c r="AC79" s="55" t="s">
        <v>36</v>
      </c>
      <c r="AD79" s="47" t="str">
        <f t="shared" si="5"/>
        <v>No</v>
      </c>
      <c r="AE79" s="56" t="s">
        <v>36</v>
      </c>
      <c r="AF79" s="57" t="s">
        <v>42</v>
      </c>
      <c r="AG79" s="57" t="s">
        <v>42</v>
      </c>
      <c r="AH79" s="57" t="s">
        <v>42</v>
      </c>
      <c r="AI79" s="49" t="str">
        <f t="shared" si="6"/>
        <v>----</v>
      </c>
      <c r="AJ79" s="58" t="str">
        <f t="shared" si="7"/>
        <v>Paper has no link and no statement</v>
      </c>
      <c r="AK79" s="59">
        <v>45035.0</v>
      </c>
      <c r="AL79" s="43" t="s">
        <v>43</v>
      </c>
      <c r="AM79" s="60" t="str">
        <f t="shared" si="8"/>
        <v>[IP1922]</v>
      </c>
    </row>
    <row r="80" ht="67.5" customHeight="1">
      <c r="A80" s="61">
        <v>1923.0</v>
      </c>
      <c r="B80" s="22" t="s">
        <v>239</v>
      </c>
      <c r="C80" s="23">
        <v>2014.0</v>
      </c>
      <c r="D80" s="24" t="s">
        <v>35</v>
      </c>
      <c r="E80" s="25" t="s">
        <v>36</v>
      </c>
      <c r="F80" s="25" t="s">
        <v>36</v>
      </c>
      <c r="G80" s="25" t="s">
        <v>36</v>
      </c>
      <c r="H80" s="25" t="s">
        <v>36</v>
      </c>
      <c r="I80" s="25" t="s">
        <v>36</v>
      </c>
      <c r="J80" s="26" t="s">
        <v>36</v>
      </c>
      <c r="K80" s="27" t="s">
        <v>37</v>
      </c>
      <c r="L80" s="28" t="s">
        <v>35</v>
      </c>
      <c r="M80" s="28" t="s">
        <v>37</v>
      </c>
      <c r="N80" s="28" t="s">
        <v>35</v>
      </c>
      <c r="O80" s="28" t="s">
        <v>35</v>
      </c>
      <c r="P80" s="28" t="s">
        <v>35</v>
      </c>
      <c r="Q80" s="28" t="s">
        <v>35</v>
      </c>
      <c r="R80" s="28" t="s">
        <v>37</v>
      </c>
      <c r="S80" s="29" t="s">
        <v>240</v>
      </c>
      <c r="T80" s="65" t="s">
        <v>241</v>
      </c>
      <c r="U80" s="65" t="s">
        <v>241</v>
      </c>
      <c r="V80" s="32">
        <f t="shared" ref="V80:X80" si="85">IF(lenb(SUBSTITUTE($Z80,V$1&amp;" (1)",""))&lt;lenb($Z80),1,IF(lenb(SUBSTITUTE($Z80,V$1&amp;" (2)",""))&lt;lenb($Z80),2,IF(lenb(SUBSTITUTE($Z80,V$1&amp;" (3)",""))&lt;lenb($Z80),3,IF(lenb(SUBSTITUTE($Z80,V$1&amp;" (4)",""))&lt;lenb($Z80),4,IF(lenb(SUBSTITUTE($Z80,V$1&amp;" (5)",""))&lt;lenb($Z80),5,IF(lenb(SUBSTITUTE($Z80,V$1&amp;" (6)",""))&lt;lenb($Z80),6,IF(lenb(SUBSTITUTE($Z80,V$1&amp;" (7)",""))&lt;lenb($Z80),1,IF(lenb(SUBSTITUTE($Z80,V$1&amp;" (8)",""))&lt;lenb($Z80),8,IF(lenb(SUBSTITUTE($Z80,V$1&amp;" (9)",""))&lt;lenb($Z80),9,IF(lenb(SUBSTITUTE($Z80,V$1&amp;" (10)",""))&lt;lenb($Z80),10,IF(lenb(SUBSTITUTE($Z80,V$1,""))&lt;lenb($Z80),"ERROR",IF($Z80=$Y$1,"-",0))))))))))))</f>
        <v>0</v>
      </c>
      <c r="W80" s="32">
        <f t="shared" si="85"/>
        <v>1</v>
      </c>
      <c r="X80" s="32">
        <f t="shared" si="85"/>
        <v>0</v>
      </c>
      <c r="Y80" s="32" t="str">
        <f t="shared" si="3"/>
        <v>-</v>
      </c>
      <c r="Z80" s="32" t="s">
        <v>47</v>
      </c>
      <c r="AA80" s="33">
        <f t="shared" si="4"/>
        <v>1</v>
      </c>
      <c r="AB80" s="34">
        <f>COUNTIFS(Links!B:B,"ICSE",Links!C:C,A80,Links!AD:AD,1)</f>
        <v>1</v>
      </c>
      <c r="AC80" s="35" t="s">
        <v>35</v>
      </c>
      <c r="AD80" s="27" t="str">
        <f t="shared" si="5"/>
        <v>No</v>
      </c>
      <c r="AE80" s="36" t="s">
        <v>36</v>
      </c>
      <c r="AF80" s="37" t="s">
        <v>42</v>
      </c>
      <c r="AG80" s="37" t="s">
        <v>42</v>
      </c>
      <c r="AH80" s="37" t="s">
        <v>42</v>
      </c>
      <c r="AI80" s="29" t="str">
        <f t="shared" si="6"/>
        <v>----</v>
      </c>
      <c r="AJ80" s="38" t="str">
        <f t="shared" si="7"/>
        <v>Paper has link but no statement</v>
      </c>
      <c r="AK80" s="39">
        <v>45035.0</v>
      </c>
      <c r="AL80" s="23" t="s">
        <v>43</v>
      </c>
      <c r="AM80" s="40" t="str">
        <f t="shared" si="8"/>
        <v>[IP1923]</v>
      </c>
    </row>
    <row r="81" ht="67.5" customHeight="1">
      <c r="A81" s="41">
        <v>1924.0</v>
      </c>
      <c r="B81" s="42" t="s">
        <v>242</v>
      </c>
      <c r="C81" s="43">
        <v>2014.0</v>
      </c>
      <c r="D81" s="44" t="s">
        <v>35</v>
      </c>
      <c r="E81" s="45" t="s">
        <v>36</v>
      </c>
      <c r="F81" s="45" t="s">
        <v>36</v>
      </c>
      <c r="G81" s="45" t="s">
        <v>36</v>
      </c>
      <c r="H81" s="45" t="s">
        <v>36</v>
      </c>
      <c r="I81" s="45" t="s">
        <v>36</v>
      </c>
      <c r="J81" s="46" t="s">
        <v>36</v>
      </c>
      <c r="K81" s="47" t="s">
        <v>37</v>
      </c>
      <c r="L81" s="48" t="s">
        <v>35</v>
      </c>
      <c r="M81" s="48" t="s">
        <v>35</v>
      </c>
      <c r="N81" s="48" t="s">
        <v>35</v>
      </c>
      <c r="O81" s="48" t="s">
        <v>35</v>
      </c>
      <c r="P81" s="48" t="s">
        <v>35</v>
      </c>
      <c r="Q81" s="48" t="s">
        <v>35</v>
      </c>
      <c r="R81" s="48" t="s">
        <v>37</v>
      </c>
      <c r="S81" s="49" t="s">
        <v>243</v>
      </c>
      <c r="T81" s="64" t="s">
        <v>244</v>
      </c>
      <c r="U81" s="51" t="s">
        <v>244</v>
      </c>
      <c r="V81" s="52">
        <f t="shared" ref="V81:X81" si="86">IF(lenb(SUBSTITUTE($Z81,V$1&amp;" (1)",""))&lt;lenb($Z81),1,IF(lenb(SUBSTITUTE($Z81,V$1&amp;" (2)",""))&lt;lenb($Z81),2,IF(lenb(SUBSTITUTE($Z81,V$1&amp;" (3)",""))&lt;lenb($Z81),3,IF(lenb(SUBSTITUTE($Z81,V$1&amp;" (4)",""))&lt;lenb($Z81),4,IF(lenb(SUBSTITUTE($Z81,V$1&amp;" (5)",""))&lt;lenb($Z81),5,IF(lenb(SUBSTITUTE($Z81,V$1&amp;" (6)",""))&lt;lenb($Z81),6,IF(lenb(SUBSTITUTE($Z81,V$1&amp;" (7)",""))&lt;lenb($Z81),1,IF(lenb(SUBSTITUTE($Z81,V$1&amp;" (8)",""))&lt;lenb($Z81),8,IF(lenb(SUBSTITUTE($Z81,V$1&amp;" (9)",""))&lt;lenb($Z81),9,IF(lenb(SUBSTITUTE($Z81,V$1&amp;" (10)",""))&lt;lenb($Z81),10,IF(lenb(SUBSTITUTE($Z81,V$1,""))&lt;lenb($Z81),"ERROR",IF($Z81=$Y$1,"-",0))))))))))))</f>
        <v>0</v>
      </c>
      <c r="W81" s="52">
        <f t="shared" si="86"/>
        <v>1</v>
      </c>
      <c r="X81" s="52">
        <f t="shared" si="86"/>
        <v>0</v>
      </c>
      <c r="Y81" s="52" t="str">
        <f t="shared" si="3"/>
        <v>-</v>
      </c>
      <c r="Z81" s="52" t="s">
        <v>47</v>
      </c>
      <c r="AA81" s="53">
        <f t="shared" si="4"/>
        <v>1</v>
      </c>
      <c r="AB81" s="54">
        <f>COUNTIFS(Links!B:B,"ICSE",Links!C:C,A81,Links!AD:AD,1)</f>
        <v>1</v>
      </c>
      <c r="AC81" s="55" t="s">
        <v>35</v>
      </c>
      <c r="AD81" s="47" t="str">
        <f t="shared" si="5"/>
        <v>No</v>
      </c>
      <c r="AE81" s="56" t="s">
        <v>36</v>
      </c>
      <c r="AF81" s="57" t="s">
        <v>42</v>
      </c>
      <c r="AG81" s="57" t="s">
        <v>42</v>
      </c>
      <c r="AH81" s="57" t="s">
        <v>42</v>
      </c>
      <c r="AI81" s="49" t="str">
        <f t="shared" si="6"/>
        <v>----</v>
      </c>
      <c r="AJ81" s="58" t="str">
        <f t="shared" si="7"/>
        <v>Paper has link but no statement</v>
      </c>
      <c r="AK81" s="59">
        <v>45035.0</v>
      </c>
      <c r="AL81" s="43" t="s">
        <v>43</v>
      </c>
      <c r="AM81" s="60" t="str">
        <f t="shared" si="8"/>
        <v>[IP1924]</v>
      </c>
    </row>
    <row r="82" ht="67.5" customHeight="1">
      <c r="A82" s="61">
        <v>1925.0</v>
      </c>
      <c r="B82" s="22" t="s">
        <v>245</v>
      </c>
      <c r="C82" s="23">
        <v>2014.0</v>
      </c>
      <c r="D82" s="24" t="s">
        <v>35</v>
      </c>
      <c r="E82" s="25" t="s">
        <v>36</v>
      </c>
      <c r="F82" s="25" t="s">
        <v>36</v>
      </c>
      <c r="G82" s="25" t="s">
        <v>36</v>
      </c>
      <c r="H82" s="25" t="s">
        <v>36</v>
      </c>
      <c r="I82" s="25" t="s">
        <v>36</v>
      </c>
      <c r="J82" s="26" t="s">
        <v>36</v>
      </c>
      <c r="K82" s="27" t="s">
        <v>37</v>
      </c>
      <c r="L82" s="28" t="s">
        <v>37</v>
      </c>
      <c r="M82" s="28" t="s">
        <v>35</v>
      </c>
      <c r="N82" s="28" t="s">
        <v>35</v>
      </c>
      <c r="O82" s="28" t="s">
        <v>35</v>
      </c>
      <c r="P82" s="28" t="s">
        <v>35</v>
      </c>
      <c r="Q82" s="28" t="s">
        <v>35</v>
      </c>
      <c r="R82" s="28" t="s">
        <v>37</v>
      </c>
      <c r="S82" s="29" t="s">
        <v>246</v>
      </c>
      <c r="T82" s="65" t="s">
        <v>247</v>
      </c>
      <c r="U82" s="31" t="s">
        <v>247</v>
      </c>
      <c r="V82" s="32">
        <f t="shared" ref="V82:X82" si="87">IF(lenb(SUBSTITUTE($Z82,V$1&amp;" (1)",""))&lt;lenb($Z82),1,IF(lenb(SUBSTITUTE($Z82,V$1&amp;" (2)",""))&lt;lenb($Z82),2,IF(lenb(SUBSTITUTE($Z82,V$1&amp;" (3)",""))&lt;lenb($Z82),3,IF(lenb(SUBSTITUTE($Z82,V$1&amp;" (4)",""))&lt;lenb($Z82),4,IF(lenb(SUBSTITUTE($Z82,V$1&amp;" (5)",""))&lt;lenb($Z82),5,IF(lenb(SUBSTITUTE($Z82,V$1&amp;" (6)",""))&lt;lenb($Z82),6,IF(lenb(SUBSTITUTE($Z82,V$1&amp;" (7)",""))&lt;lenb($Z82),1,IF(lenb(SUBSTITUTE($Z82,V$1&amp;" (8)",""))&lt;lenb($Z82),8,IF(lenb(SUBSTITUTE($Z82,V$1&amp;" (9)",""))&lt;lenb($Z82),9,IF(lenb(SUBSTITUTE($Z82,V$1&amp;" (10)",""))&lt;lenb($Z82),10,IF(lenb(SUBSTITUTE($Z82,V$1,""))&lt;lenb($Z82),"ERROR",IF($Z82=$Y$1,"-",0))))))))))))</f>
        <v>1</v>
      </c>
      <c r="W82" s="32">
        <f t="shared" si="87"/>
        <v>0</v>
      </c>
      <c r="X82" s="32">
        <f t="shared" si="87"/>
        <v>0</v>
      </c>
      <c r="Y82" s="32" t="str">
        <f t="shared" si="3"/>
        <v>-</v>
      </c>
      <c r="Z82" s="32" t="s">
        <v>62</v>
      </c>
      <c r="AA82" s="33">
        <f t="shared" si="4"/>
        <v>1</v>
      </c>
      <c r="AB82" s="34">
        <f>COUNTIFS(Links!B:B,"ICSE",Links!C:C,A82,Links!AD:AD,1)</f>
        <v>1</v>
      </c>
      <c r="AC82" s="35" t="s">
        <v>35</v>
      </c>
      <c r="AD82" s="27" t="str">
        <f t="shared" si="5"/>
        <v>No</v>
      </c>
      <c r="AE82" s="36" t="s">
        <v>36</v>
      </c>
      <c r="AF82" s="37" t="s">
        <v>42</v>
      </c>
      <c r="AG82" s="37" t="s">
        <v>42</v>
      </c>
      <c r="AH82" s="37" t="s">
        <v>42</v>
      </c>
      <c r="AI82" s="29" t="str">
        <f t="shared" si="6"/>
        <v>----</v>
      </c>
      <c r="AJ82" s="38" t="str">
        <f t="shared" si="7"/>
        <v>Paper has link but no statement</v>
      </c>
      <c r="AK82" s="39">
        <v>45035.0</v>
      </c>
      <c r="AL82" s="23" t="s">
        <v>43</v>
      </c>
      <c r="AM82" s="40" t="str">
        <f t="shared" si="8"/>
        <v>[IP1925]</v>
      </c>
    </row>
    <row r="83" ht="67.5" customHeight="1">
      <c r="A83" s="41">
        <v>1926.0</v>
      </c>
      <c r="B83" s="42" t="s">
        <v>248</v>
      </c>
      <c r="C83" s="43">
        <v>2014.0</v>
      </c>
      <c r="D83" s="44" t="s">
        <v>35</v>
      </c>
      <c r="E83" s="45" t="s">
        <v>36</v>
      </c>
      <c r="F83" s="45" t="s">
        <v>36</v>
      </c>
      <c r="G83" s="45" t="s">
        <v>36</v>
      </c>
      <c r="H83" s="45" t="s">
        <v>36</v>
      </c>
      <c r="I83" s="45" t="s">
        <v>36</v>
      </c>
      <c r="J83" s="46" t="s">
        <v>36</v>
      </c>
      <c r="K83" s="47" t="s">
        <v>35</v>
      </c>
      <c r="L83" s="48" t="s">
        <v>36</v>
      </c>
      <c r="M83" s="48" t="s">
        <v>36</v>
      </c>
      <c r="N83" s="48" t="s">
        <v>36</v>
      </c>
      <c r="O83" s="48" t="s">
        <v>36</v>
      </c>
      <c r="P83" s="48" t="s">
        <v>36</v>
      </c>
      <c r="Q83" s="48" t="s">
        <v>36</v>
      </c>
      <c r="R83" s="48" t="s">
        <v>36</v>
      </c>
      <c r="S83" s="49" t="s">
        <v>36</v>
      </c>
      <c r="T83" s="64" t="s">
        <v>36</v>
      </c>
      <c r="U83" s="51" t="s">
        <v>36</v>
      </c>
      <c r="V83" s="52" t="str">
        <f t="shared" ref="V83:X83" si="88">IF(lenb(SUBSTITUTE($Z83,V$1&amp;" (1)",""))&lt;lenb($Z83),1,IF(lenb(SUBSTITUTE($Z83,V$1&amp;" (2)",""))&lt;lenb($Z83),2,IF(lenb(SUBSTITUTE($Z83,V$1&amp;" (3)",""))&lt;lenb($Z83),3,IF(lenb(SUBSTITUTE($Z83,V$1&amp;" (4)",""))&lt;lenb($Z83),4,IF(lenb(SUBSTITUTE($Z83,V$1&amp;" (5)",""))&lt;lenb($Z83),5,IF(lenb(SUBSTITUTE($Z83,V$1&amp;" (6)",""))&lt;lenb($Z83),6,IF(lenb(SUBSTITUTE($Z83,V$1&amp;" (7)",""))&lt;lenb($Z83),1,IF(lenb(SUBSTITUTE($Z83,V$1&amp;" (8)",""))&lt;lenb($Z83),8,IF(lenb(SUBSTITUTE($Z83,V$1&amp;" (9)",""))&lt;lenb($Z83),9,IF(lenb(SUBSTITUTE($Z83,V$1&amp;" (10)",""))&lt;lenb($Z83),10,IF(lenb(SUBSTITUTE($Z83,V$1,""))&lt;lenb($Z83),"ERROR",IF($Z83=$Y$1,"-",0))))))))))))</f>
        <v>-</v>
      </c>
      <c r="W83" s="52" t="str">
        <f t="shared" si="88"/>
        <v>-</v>
      </c>
      <c r="X83" s="52" t="str">
        <f t="shared" si="88"/>
        <v>-</v>
      </c>
      <c r="Y83" s="52">
        <f t="shared" si="3"/>
        <v>1</v>
      </c>
      <c r="Z83" s="52" t="s">
        <v>23</v>
      </c>
      <c r="AA83" s="53">
        <f t="shared" si="4"/>
        <v>0</v>
      </c>
      <c r="AB83" s="54">
        <f>COUNTIFS(Links!B:B,"ICSE",Links!C:C,A83,Links!AD:AD,1)</f>
        <v>0</v>
      </c>
      <c r="AC83" s="55" t="s">
        <v>36</v>
      </c>
      <c r="AD83" s="47" t="str">
        <f t="shared" si="5"/>
        <v>No</v>
      </c>
      <c r="AE83" s="56" t="s">
        <v>36</v>
      </c>
      <c r="AF83" s="57" t="s">
        <v>42</v>
      </c>
      <c r="AG83" s="57" t="s">
        <v>42</v>
      </c>
      <c r="AH83" s="57" t="s">
        <v>42</v>
      </c>
      <c r="AI83" s="49" t="str">
        <f t="shared" si="6"/>
        <v>----</v>
      </c>
      <c r="AJ83" s="58" t="str">
        <f t="shared" si="7"/>
        <v>Paper has no link and no statement</v>
      </c>
      <c r="AK83" s="59">
        <v>45035.0</v>
      </c>
      <c r="AL83" s="43" t="s">
        <v>43</v>
      </c>
      <c r="AM83" s="60" t="str">
        <f t="shared" si="8"/>
        <v>[IP1926]</v>
      </c>
    </row>
    <row r="84" ht="67.5" customHeight="1">
      <c r="A84" s="61">
        <v>1927.0</v>
      </c>
      <c r="B84" s="22" t="s">
        <v>249</v>
      </c>
      <c r="C84" s="23">
        <v>2014.0</v>
      </c>
      <c r="D84" s="24" t="s">
        <v>35</v>
      </c>
      <c r="E84" s="25" t="s">
        <v>36</v>
      </c>
      <c r="F84" s="25" t="s">
        <v>36</v>
      </c>
      <c r="G84" s="25" t="s">
        <v>36</v>
      </c>
      <c r="H84" s="25" t="s">
        <v>36</v>
      </c>
      <c r="I84" s="25" t="s">
        <v>36</v>
      </c>
      <c r="J84" s="26" t="s">
        <v>36</v>
      </c>
      <c r="K84" s="27" t="s">
        <v>37</v>
      </c>
      <c r="L84" s="28" t="s">
        <v>35</v>
      </c>
      <c r="M84" s="28" t="s">
        <v>37</v>
      </c>
      <c r="N84" s="28" t="s">
        <v>35</v>
      </c>
      <c r="O84" s="28" t="s">
        <v>37</v>
      </c>
      <c r="P84" s="28" t="s">
        <v>35</v>
      </c>
      <c r="Q84" s="28" t="s">
        <v>35</v>
      </c>
      <c r="R84" s="28" t="s">
        <v>37</v>
      </c>
      <c r="S84" s="29" t="s">
        <v>250</v>
      </c>
      <c r="T84" s="65" t="s">
        <v>251</v>
      </c>
      <c r="U84" s="65" t="s">
        <v>251</v>
      </c>
      <c r="V84" s="32">
        <f t="shared" ref="V84:X84" si="89">IF(lenb(SUBSTITUTE($Z84,V$1&amp;" (1)",""))&lt;lenb($Z84),1,IF(lenb(SUBSTITUTE($Z84,V$1&amp;" (2)",""))&lt;lenb($Z84),2,IF(lenb(SUBSTITUTE($Z84,V$1&amp;" (3)",""))&lt;lenb($Z84),3,IF(lenb(SUBSTITUTE($Z84,V$1&amp;" (4)",""))&lt;lenb($Z84),4,IF(lenb(SUBSTITUTE($Z84,V$1&amp;" (5)",""))&lt;lenb($Z84),5,IF(lenb(SUBSTITUTE($Z84,V$1&amp;" (6)",""))&lt;lenb($Z84),6,IF(lenb(SUBSTITUTE($Z84,V$1&amp;" (7)",""))&lt;lenb($Z84),1,IF(lenb(SUBSTITUTE($Z84,V$1&amp;" (8)",""))&lt;lenb($Z84),8,IF(lenb(SUBSTITUTE($Z84,V$1&amp;" (9)",""))&lt;lenb($Z84),9,IF(lenb(SUBSTITUTE($Z84,V$1&amp;" (10)",""))&lt;lenb($Z84),10,IF(lenb(SUBSTITUTE($Z84,V$1,""))&lt;lenb($Z84),"ERROR",IF($Z84=$Y$1,"-",0))))))))))))</f>
        <v>0</v>
      </c>
      <c r="W84" s="32">
        <f t="shared" si="89"/>
        <v>1</v>
      </c>
      <c r="X84" s="32">
        <f t="shared" si="89"/>
        <v>0</v>
      </c>
      <c r="Y84" s="32" t="str">
        <f t="shared" si="3"/>
        <v>-</v>
      </c>
      <c r="Z84" s="32" t="s">
        <v>47</v>
      </c>
      <c r="AA84" s="33">
        <f t="shared" si="4"/>
        <v>1</v>
      </c>
      <c r="AB84" s="34">
        <f>COUNTIFS(Links!B:B,"ICSE",Links!C:C,A84,Links!AD:AD,1)</f>
        <v>1</v>
      </c>
      <c r="AC84" s="35" t="s">
        <v>35</v>
      </c>
      <c r="AD84" s="27" t="str">
        <f t="shared" si="5"/>
        <v>No</v>
      </c>
      <c r="AE84" s="36" t="s">
        <v>36</v>
      </c>
      <c r="AF84" s="37" t="s">
        <v>42</v>
      </c>
      <c r="AG84" s="37" t="s">
        <v>42</v>
      </c>
      <c r="AH84" s="37" t="s">
        <v>42</v>
      </c>
      <c r="AI84" s="29" t="str">
        <f t="shared" si="6"/>
        <v>----</v>
      </c>
      <c r="AJ84" s="38" t="str">
        <f t="shared" si="7"/>
        <v>Paper has link but no statement</v>
      </c>
      <c r="AK84" s="39">
        <v>45035.0</v>
      </c>
      <c r="AL84" s="23" t="s">
        <v>43</v>
      </c>
      <c r="AM84" s="40" t="str">
        <f t="shared" si="8"/>
        <v>[IP1927]</v>
      </c>
    </row>
    <row r="85" ht="67.5" customHeight="1">
      <c r="A85" s="41">
        <v>1928.0</v>
      </c>
      <c r="B85" s="42" t="s">
        <v>252</v>
      </c>
      <c r="C85" s="43">
        <v>2014.0</v>
      </c>
      <c r="D85" s="44" t="s">
        <v>35</v>
      </c>
      <c r="E85" s="45" t="s">
        <v>36</v>
      </c>
      <c r="F85" s="45" t="s">
        <v>36</v>
      </c>
      <c r="G85" s="45" t="s">
        <v>36</v>
      </c>
      <c r="H85" s="45" t="s">
        <v>36</v>
      </c>
      <c r="I85" s="45" t="s">
        <v>36</v>
      </c>
      <c r="J85" s="46" t="s">
        <v>36</v>
      </c>
      <c r="K85" s="47" t="s">
        <v>35</v>
      </c>
      <c r="L85" s="48" t="s">
        <v>36</v>
      </c>
      <c r="M85" s="48" t="s">
        <v>36</v>
      </c>
      <c r="N85" s="48" t="s">
        <v>36</v>
      </c>
      <c r="O85" s="48" t="s">
        <v>36</v>
      </c>
      <c r="P85" s="48" t="s">
        <v>36</v>
      </c>
      <c r="Q85" s="48" t="s">
        <v>36</v>
      </c>
      <c r="R85" s="48" t="s">
        <v>36</v>
      </c>
      <c r="S85" s="49" t="s">
        <v>36</v>
      </c>
      <c r="T85" s="64" t="s">
        <v>36</v>
      </c>
      <c r="U85" s="51" t="s">
        <v>36</v>
      </c>
      <c r="V85" s="52" t="str">
        <f t="shared" ref="V85:X85" si="90">IF(lenb(SUBSTITUTE($Z85,V$1&amp;" (1)",""))&lt;lenb($Z85),1,IF(lenb(SUBSTITUTE($Z85,V$1&amp;" (2)",""))&lt;lenb($Z85),2,IF(lenb(SUBSTITUTE($Z85,V$1&amp;" (3)",""))&lt;lenb($Z85),3,IF(lenb(SUBSTITUTE($Z85,V$1&amp;" (4)",""))&lt;lenb($Z85),4,IF(lenb(SUBSTITUTE($Z85,V$1&amp;" (5)",""))&lt;lenb($Z85),5,IF(lenb(SUBSTITUTE($Z85,V$1&amp;" (6)",""))&lt;lenb($Z85),6,IF(lenb(SUBSTITUTE($Z85,V$1&amp;" (7)",""))&lt;lenb($Z85),1,IF(lenb(SUBSTITUTE($Z85,V$1&amp;" (8)",""))&lt;lenb($Z85),8,IF(lenb(SUBSTITUTE($Z85,V$1&amp;" (9)",""))&lt;lenb($Z85),9,IF(lenb(SUBSTITUTE($Z85,V$1&amp;" (10)",""))&lt;lenb($Z85),10,IF(lenb(SUBSTITUTE($Z85,V$1,""))&lt;lenb($Z85),"ERROR",IF($Z85=$Y$1,"-",0))))))))))))</f>
        <v>-</v>
      </c>
      <c r="W85" s="52" t="str">
        <f t="shared" si="90"/>
        <v>-</v>
      </c>
      <c r="X85" s="52" t="str">
        <f t="shared" si="90"/>
        <v>-</v>
      </c>
      <c r="Y85" s="52">
        <f t="shared" si="3"/>
        <v>1</v>
      </c>
      <c r="Z85" s="52" t="s">
        <v>23</v>
      </c>
      <c r="AA85" s="53">
        <f t="shared" si="4"/>
        <v>0</v>
      </c>
      <c r="AB85" s="54">
        <f>COUNTIFS(Links!B:B,"ICSE",Links!C:C,A85,Links!AD:AD,1)</f>
        <v>0</v>
      </c>
      <c r="AC85" s="55" t="s">
        <v>36</v>
      </c>
      <c r="AD85" s="47" t="str">
        <f t="shared" si="5"/>
        <v>No</v>
      </c>
      <c r="AE85" s="56" t="s">
        <v>36</v>
      </c>
      <c r="AF85" s="57" t="s">
        <v>42</v>
      </c>
      <c r="AG85" s="57" t="s">
        <v>42</v>
      </c>
      <c r="AH85" s="57" t="s">
        <v>42</v>
      </c>
      <c r="AI85" s="49" t="str">
        <f t="shared" si="6"/>
        <v>----</v>
      </c>
      <c r="AJ85" s="58" t="str">
        <f t="shared" si="7"/>
        <v>Paper has no link and no statement</v>
      </c>
      <c r="AK85" s="59">
        <v>45035.0</v>
      </c>
      <c r="AL85" s="43" t="s">
        <v>43</v>
      </c>
      <c r="AM85" s="60" t="str">
        <f t="shared" si="8"/>
        <v>[IP1928]</v>
      </c>
    </row>
    <row r="86" ht="67.5" customHeight="1">
      <c r="A86" s="61">
        <v>1929.0</v>
      </c>
      <c r="B86" s="22" t="s">
        <v>253</v>
      </c>
      <c r="C86" s="23">
        <v>2014.0</v>
      </c>
      <c r="D86" s="24" t="s">
        <v>35</v>
      </c>
      <c r="E86" s="25" t="s">
        <v>36</v>
      </c>
      <c r="F86" s="25" t="s">
        <v>36</v>
      </c>
      <c r="G86" s="25" t="s">
        <v>36</v>
      </c>
      <c r="H86" s="25" t="s">
        <v>36</v>
      </c>
      <c r="I86" s="25" t="s">
        <v>36</v>
      </c>
      <c r="J86" s="26" t="s">
        <v>36</v>
      </c>
      <c r="K86" s="27" t="s">
        <v>35</v>
      </c>
      <c r="L86" s="28" t="s">
        <v>36</v>
      </c>
      <c r="M86" s="28" t="s">
        <v>36</v>
      </c>
      <c r="N86" s="28" t="s">
        <v>36</v>
      </c>
      <c r="O86" s="28" t="s">
        <v>36</v>
      </c>
      <c r="P86" s="28" t="s">
        <v>36</v>
      </c>
      <c r="Q86" s="28" t="s">
        <v>36</v>
      </c>
      <c r="R86" s="28" t="s">
        <v>36</v>
      </c>
      <c r="S86" s="29" t="s">
        <v>36</v>
      </c>
      <c r="T86" s="65" t="s">
        <v>36</v>
      </c>
      <c r="U86" s="31" t="s">
        <v>36</v>
      </c>
      <c r="V86" s="32" t="str">
        <f t="shared" ref="V86:X86" si="91">IF(lenb(SUBSTITUTE($Z86,V$1&amp;" (1)",""))&lt;lenb($Z86),1,IF(lenb(SUBSTITUTE($Z86,V$1&amp;" (2)",""))&lt;lenb($Z86),2,IF(lenb(SUBSTITUTE($Z86,V$1&amp;" (3)",""))&lt;lenb($Z86),3,IF(lenb(SUBSTITUTE($Z86,V$1&amp;" (4)",""))&lt;lenb($Z86),4,IF(lenb(SUBSTITUTE($Z86,V$1&amp;" (5)",""))&lt;lenb($Z86),5,IF(lenb(SUBSTITUTE($Z86,V$1&amp;" (6)",""))&lt;lenb($Z86),6,IF(lenb(SUBSTITUTE($Z86,V$1&amp;" (7)",""))&lt;lenb($Z86),1,IF(lenb(SUBSTITUTE($Z86,V$1&amp;" (8)",""))&lt;lenb($Z86),8,IF(lenb(SUBSTITUTE($Z86,V$1&amp;" (9)",""))&lt;lenb($Z86),9,IF(lenb(SUBSTITUTE($Z86,V$1&amp;" (10)",""))&lt;lenb($Z86),10,IF(lenb(SUBSTITUTE($Z86,V$1,""))&lt;lenb($Z86),"ERROR",IF($Z86=$Y$1,"-",0))))))))))))</f>
        <v>-</v>
      </c>
      <c r="W86" s="32" t="str">
        <f t="shared" si="91"/>
        <v>-</v>
      </c>
      <c r="X86" s="32" t="str">
        <f t="shared" si="91"/>
        <v>-</v>
      </c>
      <c r="Y86" s="32">
        <f t="shared" si="3"/>
        <v>1</v>
      </c>
      <c r="Z86" s="32" t="s">
        <v>23</v>
      </c>
      <c r="AA86" s="33">
        <f t="shared" si="4"/>
        <v>0</v>
      </c>
      <c r="AB86" s="34">
        <f>COUNTIFS(Links!B:B,"ICSE",Links!C:C,A86,Links!AD:AD,1)</f>
        <v>0</v>
      </c>
      <c r="AC86" s="35" t="s">
        <v>36</v>
      </c>
      <c r="AD86" s="27" t="str">
        <f t="shared" si="5"/>
        <v>No</v>
      </c>
      <c r="AE86" s="36" t="s">
        <v>36</v>
      </c>
      <c r="AF86" s="37" t="s">
        <v>42</v>
      </c>
      <c r="AG86" s="37" t="s">
        <v>42</v>
      </c>
      <c r="AH86" s="37" t="s">
        <v>42</v>
      </c>
      <c r="AI86" s="29" t="str">
        <f t="shared" si="6"/>
        <v>----</v>
      </c>
      <c r="AJ86" s="38" t="str">
        <f t="shared" si="7"/>
        <v>Paper has no link and no statement</v>
      </c>
      <c r="AK86" s="39">
        <v>45035.0</v>
      </c>
      <c r="AL86" s="23" t="s">
        <v>43</v>
      </c>
      <c r="AM86" s="40" t="str">
        <f t="shared" si="8"/>
        <v>[IP1929]</v>
      </c>
    </row>
    <row r="87" ht="67.5" customHeight="1">
      <c r="A87" s="41">
        <v>1930.0</v>
      </c>
      <c r="B87" s="42" t="s">
        <v>254</v>
      </c>
      <c r="C87" s="43">
        <v>2014.0</v>
      </c>
      <c r="D87" s="44" t="s">
        <v>35</v>
      </c>
      <c r="E87" s="45" t="s">
        <v>36</v>
      </c>
      <c r="F87" s="45" t="s">
        <v>36</v>
      </c>
      <c r="G87" s="45" t="s">
        <v>36</v>
      </c>
      <c r="H87" s="45" t="s">
        <v>36</v>
      </c>
      <c r="I87" s="45" t="s">
        <v>36</v>
      </c>
      <c r="J87" s="46" t="s">
        <v>36</v>
      </c>
      <c r="K87" s="47" t="s">
        <v>37</v>
      </c>
      <c r="L87" s="48" t="s">
        <v>35</v>
      </c>
      <c r="M87" s="48" t="s">
        <v>35</v>
      </c>
      <c r="N87" s="48" t="s">
        <v>35</v>
      </c>
      <c r="O87" s="48" t="s">
        <v>35</v>
      </c>
      <c r="P87" s="48" t="s">
        <v>35</v>
      </c>
      <c r="Q87" s="48" t="s">
        <v>35</v>
      </c>
      <c r="R87" s="48" t="s">
        <v>37</v>
      </c>
      <c r="S87" s="49" t="s">
        <v>255</v>
      </c>
      <c r="T87" s="64" t="s">
        <v>256</v>
      </c>
      <c r="U87" s="64" t="s">
        <v>256</v>
      </c>
      <c r="V87" s="52">
        <f t="shared" ref="V87:X87" si="92">IF(lenb(SUBSTITUTE($Z87,V$1&amp;" (1)",""))&lt;lenb($Z87),1,IF(lenb(SUBSTITUTE($Z87,V$1&amp;" (2)",""))&lt;lenb($Z87),2,IF(lenb(SUBSTITUTE($Z87,V$1&amp;" (3)",""))&lt;lenb($Z87),3,IF(lenb(SUBSTITUTE($Z87,V$1&amp;" (4)",""))&lt;lenb($Z87),4,IF(lenb(SUBSTITUTE($Z87,V$1&amp;" (5)",""))&lt;lenb($Z87),5,IF(lenb(SUBSTITUTE($Z87,V$1&amp;" (6)",""))&lt;lenb($Z87),6,IF(lenb(SUBSTITUTE($Z87,V$1&amp;" (7)",""))&lt;lenb($Z87),1,IF(lenb(SUBSTITUTE($Z87,V$1&amp;" (8)",""))&lt;lenb($Z87),8,IF(lenb(SUBSTITUTE($Z87,V$1&amp;" (9)",""))&lt;lenb($Z87),9,IF(lenb(SUBSTITUTE($Z87,V$1&amp;" (10)",""))&lt;lenb($Z87),10,IF(lenb(SUBSTITUTE($Z87,V$1,""))&lt;lenb($Z87),"ERROR",IF($Z87=$Y$1,"-",0))))))))))))</f>
        <v>1</v>
      </c>
      <c r="W87" s="52">
        <f t="shared" si="92"/>
        <v>0</v>
      </c>
      <c r="X87" s="52">
        <f t="shared" si="92"/>
        <v>0</v>
      </c>
      <c r="Y87" s="52" t="str">
        <f t="shared" si="3"/>
        <v>-</v>
      </c>
      <c r="Z87" s="52" t="s">
        <v>62</v>
      </c>
      <c r="AA87" s="53">
        <f t="shared" si="4"/>
        <v>1</v>
      </c>
      <c r="AB87" s="54">
        <f>COUNTIFS(Links!B:B,"ICSE",Links!C:C,A87,Links!AD:AD,1)</f>
        <v>1</v>
      </c>
      <c r="AC87" s="55" t="s">
        <v>35</v>
      </c>
      <c r="AD87" s="47" t="str">
        <f t="shared" si="5"/>
        <v>No</v>
      </c>
      <c r="AE87" s="56" t="s">
        <v>36</v>
      </c>
      <c r="AF87" s="57" t="s">
        <v>42</v>
      </c>
      <c r="AG87" s="57" t="s">
        <v>42</v>
      </c>
      <c r="AH87" s="57" t="s">
        <v>42</v>
      </c>
      <c r="AI87" s="49" t="str">
        <f t="shared" si="6"/>
        <v>----</v>
      </c>
      <c r="AJ87" s="58" t="str">
        <f t="shared" si="7"/>
        <v>Paper has link but no statement</v>
      </c>
      <c r="AK87" s="59">
        <v>45035.0</v>
      </c>
      <c r="AL87" s="43" t="s">
        <v>43</v>
      </c>
      <c r="AM87" s="60" t="str">
        <f t="shared" si="8"/>
        <v>[IP1930]</v>
      </c>
    </row>
    <row r="88" ht="67.5" customHeight="1">
      <c r="A88" s="61">
        <v>1931.0</v>
      </c>
      <c r="B88" s="22" t="s">
        <v>257</v>
      </c>
      <c r="C88" s="23">
        <v>2014.0</v>
      </c>
      <c r="D88" s="24" t="s">
        <v>35</v>
      </c>
      <c r="E88" s="25" t="s">
        <v>36</v>
      </c>
      <c r="F88" s="25" t="s">
        <v>36</v>
      </c>
      <c r="G88" s="25" t="s">
        <v>36</v>
      </c>
      <c r="H88" s="25" t="s">
        <v>36</v>
      </c>
      <c r="I88" s="25" t="s">
        <v>36</v>
      </c>
      <c r="J88" s="26" t="s">
        <v>36</v>
      </c>
      <c r="K88" s="27" t="s">
        <v>35</v>
      </c>
      <c r="L88" s="28" t="s">
        <v>36</v>
      </c>
      <c r="M88" s="28" t="s">
        <v>36</v>
      </c>
      <c r="N88" s="28" t="s">
        <v>36</v>
      </c>
      <c r="O88" s="28" t="s">
        <v>36</v>
      </c>
      <c r="P88" s="28" t="s">
        <v>36</v>
      </c>
      <c r="Q88" s="28" t="s">
        <v>36</v>
      </c>
      <c r="R88" s="28" t="s">
        <v>36</v>
      </c>
      <c r="S88" s="29" t="s">
        <v>36</v>
      </c>
      <c r="T88" s="65" t="s">
        <v>36</v>
      </c>
      <c r="U88" s="31" t="s">
        <v>36</v>
      </c>
      <c r="V88" s="32" t="str">
        <f t="shared" ref="V88:X88" si="93">IF(lenb(SUBSTITUTE($Z88,V$1&amp;" (1)",""))&lt;lenb($Z88),1,IF(lenb(SUBSTITUTE($Z88,V$1&amp;" (2)",""))&lt;lenb($Z88),2,IF(lenb(SUBSTITUTE($Z88,V$1&amp;" (3)",""))&lt;lenb($Z88),3,IF(lenb(SUBSTITUTE($Z88,V$1&amp;" (4)",""))&lt;lenb($Z88),4,IF(lenb(SUBSTITUTE($Z88,V$1&amp;" (5)",""))&lt;lenb($Z88),5,IF(lenb(SUBSTITUTE($Z88,V$1&amp;" (6)",""))&lt;lenb($Z88),6,IF(lenb(SUBSTITUTE($Z88,V$1&amp;" (7)",""))&lt;lenb($Z88),1,IF(lenb(SUBSTITUTE($Z88,V$1&amp;" (8)",""))&lt;lenb($Z88),8,IF(lenb(SUBSTITUTE($Z88,V$1&amp;" (9)",""))&lt;lenb($Z88),9,IF(lenb(SUBSTITUTE($Z88,V$1&amp;" (10)",""))&lt;lenb($Z88),10,IF(lenb(SUBSTITUTE($Z88,V$1,""))&lt;lenb($Z88),"ERROR",IF($Z88=$Y$1,"-",0))))))))))))</f>
        <v>-</v>
      </c>
      <c r="W88" s="32" t="str">
        <f t="shared" si="93"/>
        <v>-</v>
      </c>
      <c r="X88" s="32" t="str">
        <f t="shared" si="93"/>
        <v>-</v>
      </c>
      <c r="Y88" s="32">
        <f t="shared" si="3"/>
        <v>1</v>
      </c>
      <c r="Z88" s="32" t="s">
        <v>23</v>
      </c>
      <c r="AA88" s="33">
        <f t="shared" si="4"/>
        <v>0</v>
      </c>
      <c r="AB88" s="34">
        <f>COUNTIFS(Links!B:B,"ICSE",Links!C:C,A88,Links!AD:AD,1)</f>
        <v>0</v>
      </c>
      <c r="AC88" s="35" t="s">
        <v>36</v>
      </c>
      <c r="AD88" s="27" t="str">
        <f t="shared" si="5"/>
        <v>Yes</v>
      </c>
      <c r="AE88" s="36" t="s">
        <v>258</v>
      </c>
      <c r="AF88" s="36" t="s">
        <v>223</v>
      </c>
      <c r="AG88" s="37" t="s">
        <v>42</v>
      </c>
      <c r="AH88" s="37" t="s">
        <v>42</v>
      </c>
      <c r="AI88" s="29" t="str">
        <f t="shared" si="6"/>
        <v>Barriers (Agreements and legal rights)</v>
      </c>
      <c r="AJ88" s="38" t="str">
        <f t="shared" si="7"/>
        <v>Paper has no link but has statement</v>
      </c>
      <c r="AK88" s="39">
        <v>45035.0</v>
      </c>
      <c r="AL88" s="23" t="s">
        <v>43</v>
      </c>
      <c r="AM88" s="40" t="str">
        <f t="shared" si="8"/>
        <v>[IP1931]</v>
      </c>
    </row>
    <row r="89" ht="67.5" customHeight="1">
      <c r="A89" s="41">
        <v>1932.0</v>
      </c>
      <c r="B89" s="42" t="s">
        <v>259</v>
      </c>
      <c r="C89" s="43">
        <v>2014.0</v>
      </c>
      <c r="D89" s="44" t="s">
        <v>35</v>
      </c>
      <c r="E89" s="45" t="s">
        <v>36</v>
      </c>
      <c r="F89" s="45" t="s">
        <v>36</v>
      </c>
      <c r="G89" s="45" t="s">
        <v>36</v>
      </c>
      <c r="H89" s="45" t="s">
        <v>36</v>
      </c>
      <c r="I89" s="45" t="s">
        <v>36</v>
      </c>
      <c r="J89" s="46" t="s">
        <v>36</v>
      </c>
      <c r="K89" s="47" t="s">
        <v>37</v>
      </c>
      <c r="L89" s="48" t="s">
        <v>37</v>
      </c>
      <c r="M89" s="48" t="s">
        <v>35</v>
      </c>
      <c r="N89" s="48" t="s">
        <v>35</v>
      </c>
      <c r="O89" s="48" t="s">
        <v>35</v>
      </c>
      <c r="P89" s="48" t="s">
        <v>35</v>
      </c>
      <c r="Q89" s="48" t="s">
        <v>35</v>
      </c>
      <c r="R89" s="48" t="s">
        <v>37</v>
      </c>
      <c r="S89" s="49" t="s">
        <v>260</v>
      </c>
      <c r="T89" s="64" t="s">
        <v>261</v>
      </c>
      <c r="U89" s="64" t="s">
        <v>261</v>
      </c>
      <c r="V89" s="52">
        <f t="shared" ref="V89:X89" si="94">IF(lenb(SUBSTITUTE($Z89,V$1&amp;" (1)",""))&lt;lenb($Z89),1,IF(lenb(SUBSTITUTE($Z89,V$1&amp;" (2)",""))&lt;lenb($Z89),2,IF(lenb(SUBSTITUTE($Z89,V$1&amp;" (3)",""))&lt;lenb($Z89),3,IF(lenb(SUBSTITUTE($Z89,V$1&amp;" (4)",""))&lt;lenb($Z89),4,IF(lenb(SUBSTITUTE($Z89,V$1&amp;" (5)",""))&lt;lenb($Z89),5,IF(lenb(SUBSTITUTE($Z89,V$1&amp;" (6)",""))&lt;lenb($Z89),6,IF(lenb(SUBSTITUTE($Z89,V$1&amp;" (7)",""))&lt;lenb($Z89),1,IF(lenb(SUBSTITUTE($Z89,V$1&amp;" (8)",""))&lt;lenb($Z89),8,IF(lenb(SUBSTITUTE($Z89,V$1&amp;" (9)",""))&lt;lenb($Z89),9,IF(lenb(SUBSTITUTE($Z89,V$1&amp;" (10)",""))&lt;lenb($Z89),10,IF(lenb(SUBSTITUTE($Z89,V$1,""))&lt;lenb($Z89),"ERROR",IF($Z89=$Y$1,"-",0))))))))))))</f>
        <v>0</v>
      </c>
      <c r="W89" s="52">
        <f t="shared" si="94"/>
        <v>1</v>
      </c>
      <c r="X89" s="52">
        <f t="shared" si="94"/>
        <v>0</v>
      </c>
      <c r="Y89" s="52" t="str">
        <f t="shared" si="3"/>
        <v>-</v>
      </c>
      <c r="Z89" s="52" t="s">
        <v>47</v>
      </c>
      <c r="AA89" s="53">
        <f t="shared" si="4"/>
        <v>1</v>
      </c>
      <c r="AB89" s="54">
        <f>COUNTIFS(Links!B:B,"ICSE",Links!C:C,A89,Links!AD:AD,1)</f>
        <v>1</v>
      </c>
      <c r="AC89" s="55" t="s">
        <v>35</v>
      </c>
      <c r="AD89" s="47" t="str">
        <f t="shared" si="5"/>
        <v>No</v>
      </c>
      <c r="AE89" s="56" t="s">
        <v>36</v>
      </c>
      <c r="AF89" s="57" t="s">
        <v>42</v>
      </c>
      <c r="AG89" s="57" t="s">
        <v>42</v>
      </c>
      <c r="AH89" s="57" t="s">
        <v>42</v>
      </c>
      <c r="AI89" s="49" t="str">
        <f t="shared" si="6"/>
        <v>----</v>
      </c>
      <c r="AJ89" s="58" t="str">
        <f t="shared" si="7"/>
        <v>Paper has link but no statement</v>
      </c>
      <c r="AK89" s="59">
        <v>45035.0</v>
      </c>
      <c r="AL89" s="43" t="s">
        <v>43</v>
      </c>
      <c r="AM89" s="60" t="str">
        <f t="shared" si="8"/>
        <v>[IP1932]</v>
      </c>
    </row>
    <row r="90" ht="67.5" customHeight="1">
      <c r="A90" s="61">
        <v>1933.0</v>
      </c>
      <c r="B90" s="22" t="s">
        <v>262</v>
      </c>
      <c r="C90" s="23">
        <v>2014.0</v>
      </c>
      <c r="D90" s="24" t="s">
        <v>35</v>
      </c>
      <c r="E90" s="25" t="s">
        <v>36</v>
      </c>
      <c r="F90" s="25" t="s">
        <v>36</v>
      </c>
      <c r="G90" s="25" t="s">
        <v>36</v>
      </c>
      <c r="H90" s="25" t="s">
        <v>36</v>
      </c>
      <c r="I90" s="25" t="s">
        <v>36</v>
      </c>
      <c r="J90" s="26" t="s">
        <v>36</v>
      </c>
      <c r="K90" s="27" t="s">
        <v>37</v>
      </c>
      <c r="L90" s="28" t="s">
        <v>35</v>
      </c>
      <c r="M90" s="28" t="s">
        <v>35</v>
      </c>
      <c r="N90" s="28" t="s">
        <v>35</v>
      </c>
      <c r="O90" s="28" t="s">
        <v>37</v>
      </c>
      <c r="P90" s="28" t="s">
        <v>35</v>
      </c>
      <c r="Q90" s="28" t="s">
        <v>35</v>
      </c>
      <c r="R90" s="28" t="s">
        <v>35</v>
      </c>
      <c r="S90" s="29" t="s">
        <v>263</v>
      </c>
      <c r="T90" s="65" t="s">
        <v>264</v>
      </c>
      <c r="U90" s="65" t="s">
        <v>264</v>
      </c>
      <c r="V90" s="32">
        <f t="shared" ref="V90:X90" si="95">IF(lenb(SUBSTITUTE($Z90,V$1&amp;" (1)",""))&lt;lenb($Z90),1,IF(lenb(SUBSTITUTE($Z90,V$1&amp;" (2)",""))&lt;lenb($Z90),2,IF(lenb(SUBSTITUTE($Z90,V$1&amp;" (3)",""))&lt;lenb($Z90),3,IF(lenb(SUBSTITUTE($Z90,V$1&amp;" (4)",""))&lt;lenb($Z90),4,IF(lenb(SUBSTITUTE($Z90,V$1&amp;" (5)",""))&lt;lenb($Z90),5,IF(lenb(SUBSTITUTE($Z90,V$1&amp;" (6)",""))&lt;lenb($Z90),6,IF(lenb(SUBSTITUTE($Z90,V$1&amp;" (7)",""))&lt;lenb($Z90),1,IF(lenb(SUBSTITUTE($Z90,V$1&amp;" (8)",""))&lt;lenb($Z90),8,IF(lenb(SUBSTITUTE($Z90,V$1&amp;" (9)",""))&lt;lenb($Z90),9,IF(lenb(SUBSTITUTE($Z90,V$1&amp;" (10)",""))&lt;lenb($Z90),10,IF(lenb(SUBSTITUTE($Z90,V$1,""))&lt;lenb($Z90),"ERROR",IF($Z90=$Y$1,"-",0))))))))))))</f>
        <v>1</v>
      </c>
      <c r="W90" s="32">
        <f t="shared" si="95"/>
        <v>0</v>
      </c>
      <c r="X90" s="32">
        <f t="shared" si="95"/>
        <v>0</v>
      </c>
      <c r="Y90" s="32" t="str">
        <f t="shared" si="3"/>
        <v>-</v>
      </c>
      <c r="Z90" s="32" t="s">
        <v>62</v>
      </c>
      <c r="AA90" s="33">
        <f t="shared" si="4"/>
        <v>1</v>
      </c>
      <c r="AB90" s="34">
        <f>COUNTIFS(Links!B:B,"ICSE",Links!C:C,A90,Links!AD:AD,1)</f>
        <v>1</v>
      </c>
      <c r="AC90" s="35" t="s">
        <v>35</v>
      </c>
      <c r="AD90" s="27" t="str">
        <f t="shared" si="5"/>
        <v>No</v>
      </c>
      <c r="AE90" s="36" t="s">
        <v>36</v>
      </c>
      <c r="AF90" s="37" t="s">
        <v>42</v>
      </c>
      <c r="AG90" s="37" t="s">
        <v>42</v>
      </c>
      <c r="AH90" s="37" t="s">
        <v>42</v>
      </c>
      <c r="AI90" s="29" t="str">
        <f t="shared" si="6"/>
        <v>----</v>
      </c>
      <c r="AJ90" s="38" t="str">
        <f t="shared" si="7"/>
        <v>Paper has link but no statement</v>
      </c>
      <c r="AK90" s="39">
        <v>45035.0</v>
      </c>
      <c r="AL90" s="23" t="s">
        <v>43</v>
      </c>
      <c r="AM90" s="40" t="str">
        <f t="shared" si="8"/>
        <v>[IP1933]</v>
      </c>
    </row>
    <row r="91" ht="67.5" customHeight="1">
      <c r="A91" s="41">
        <v>1934.0</v>
      </c>
      <c r="B91" s="42" t="s">
        <v>265</v>
      </c>
      <c r="C91" s="43">
        <v>2014.0</v>
      </c>
      <c r="D91" s="44" t="s">
        <v>35</v>
      </c>
      <c r="E91" s="45" t="s">
        <v>36</v>
      </c>
      <c r="F91" s="45" t="s">
        <v>36</v>
      </c>
      <c r="G91" s="45" t="s">
        <v>36</v>
      </c>
      <c r="H91" s="45" t="s">
        <v>36</v>
      </c>
      <c r="I91" s="45" t="s">
        <v>36</v>
      </c>
      <c r="J91" s="46" t="s">
        <v>36</v>
      </c>
      <c r="K91" s="47" t="s">
        <v>35</v>
      </c>
      <c r="L91" s="48" t="s">
        <v>36</v>
      </c>
      <c r="M91" s="48" t="s">
        <v>36</v>
      </c>
      <c r="N91" s="48" t="s">
        <v>36</v>
      </c>
      <c r="O91" s="48" t="s">
        <v>36</v>
      </c>
      <c r="P91" s="48" t="s">
        <v>36</v>
      </c>
      <c r="Q91" s="48" t="s">
        <v>36</v>
      </c>
      <c r="R91" s="48" t="s">
        <v>36</v>
      </c>
      <c r="S91" s="49" t="s">
        <v>36</v>
      </c>
      <c r="T91" s="64" t="s">
        <v>36</v>
      </c>
      <c r="U91" s="51" t="s">
        <v>36</v>
      </c>
      <c r="V91" s="52" t="str">
        <f t="shared" ref="V91:X91" si="96">IF(lenb(SUBSTITUTE($Z91,V$1&amp;" (1)",""))&lt;lenb($Z91),1,IF(lenb(SUBSTITUTE($Z91,V$1&amp;" (2)",""))&lt;lenb($Z91),2,IF(lenb(SUBSTITUTE($Z91,V$1&amp;" (3)",""))&lt;lenb($Z91),3,IF(lenb(SUBSTITUTE($Z91,V$1&amp;" (4)",""))&lt;lenb($Z91),4,IF(lenb(SUBSTITUTE($Z91,V$1&amp;" (5)",""))&lt;lenb($Z91),5,IF(lenb(SUBSTITUTE($Z91,V$1&amp;" (6)",""))&lt;lenb($Z91),6,IF(lenb(SUBSTITUTE($Z91,V$1&amp;" (7)",""))&lt;lenb($Z91),1,IF(lenb(SUBSTITUTE($Z91,V$1&amp;" (8)",""))&lt;lenb($Z91),8,IF(lenb(SUBSTITUTE($Z91,V$1&amp;" (9)",""))&lt;lenb($Z91),9,IF(lenb(SUBSTITUTE($Z91,V$1&amp;" (10)",""))&lt;lenb($Z91),10,IF(lenb(SUBSTITUTE($Z91,V$1,""))&lt;lenb($Z91),"ERROR",IF($Z91=$Y$1,"-",0))))))))))))</f>
        <v>-</v>
      </c>
      <c r="W91" s="52" t="str">
        <f t="shared" si="96"/>
        <v>-</v>
      </c>
      <c r="X91" s="52" t="str">
        <f t="shared" si="96"/>
        <v>-</v>
      </c>
      <c r="Y91" s="52">
        <f t="shared" si="3"/>
        <v>1</v>
      </c>
      <c r="Z91" s="52" t="s">
        <v>23</v>
      </c>
      <c r="AA91" s="53">
        <f t="shared" si="4"/>
        <v>0</v>
      </c>
      <c r="AB91" s="54">
        <f>COUNTIFS(Links!B:B,"ICSE",Links!C:C,A91,Links!AD:AD,1)</f>
        <v>0</v>
      </c>
      <c r="AC91" s="55" t="s">
        <v>36</v>
      </c>
      <c r="AD91" s="47" t="str">
        <f t="shared" si="5"/>
        <v>No</v>
      </c>
      <c r="AE91" s="56" t="s">
        <v>36</v>
      </c>
      <c r="AF91" s="57" t="s">
        <v>42</v>
      </c>
      <c r="AG91" s="57" t="s">
        <v>42</v>
      </c>
      <c r="AH91" s="57" t="s">
        <v>42</v>
      </c>
      <c r="AI91" s="49" t="str">
        <f t="shared" si="6"/>
        <v>----</v>
      </c>
      <c r="AJ91" s="58" t="str">
        <f t="shared" si="7"/>
        <v>Paper has no link and no statement</v>
      </c>
      <c r="AK91" s="59">
        <v>45035.0</v>
      </c>
      <c r="AL91" s="43" t="s">
        <v>43</v>
      </c>
      <c r="AM91" s="60" t="str">
        <f t="shared" si="8"/>
        <v>[IP1934]</v>
      </c>
    </row>
    <row r="92" ht="67.5" customHeight="1">
      <c r="A92" s="61">
        <v>1935.0</v>
      </c>
      <c r="B92" s="22" t="s">
        <v>266</v>
      </c>
      <c r="C92" s="23">
        <v>2014.0</v>
      </c>
      <c r="D92" s="24" t="s">
        <v>35</v>
      </c>
      <c r="E92" s="25" t="s">
        <v>36</v>
      </c>
      <c r="F92" s="25" t="s">
        <v>36</v>
      </c>
      <c r="G92" s="25" t="s">
        <v>36</v>
      </c>
      <c r="H92" s="25" t="s">
        <v>36</v>
      </c>
      <c r="I92" s="25" t="s">
        <v>36</v>
      </c>
      <c r="J92" s="26" t="s">
        <v>36</v>
      </c>
      <c r="K92" s="27" t="s">
        <v>35</v>
      </c>
      <c r="L92" s="28" t="s">
        <v>36</v>
      </c>
      <c r="M92" s="28" t="s">
        <v>36</v>
      </c>
      <c r="N92" s="28" t="s">
        <v>36</v>
      </c>
      <c r="O92" s="28" t="s">
        <v>36</v>
      </c>
      <c r="P92" s="28" t="s">
        <v>36</v>
      </c>
      <c r="Q92" s="28" t="s">
        <v>36</v>
      </c>
      <c r="R92" s="28" t="s">
        <v>36</v>
      </c>
      <c r="S92" s="29" t="s">
        <v>36</v>
      </c>
      <c r="T92" s="65" t="s">
        <v>36</v>
      </c>
      <c r="U92" s="31" t="s">
        <v>36</v>
      </c>
      <c r="V92" s="32" t="str">
        <f t="shared" ref="V92:X92" si="97">IF(lenb(SUBSTITUTE($Z92,V$1&amp;" (1)",""))&lt;lenb($Z92),1,IF(lenb(SUBSTITUTE($Z92,V$1&amp;" (2)",""))&lt;lenb($Z92),2,IF(lenb(SUBSTITUTE($Z92,V$1&amp;" (3)",""))&lt;lenb($Z92),3,IF(lenb(SUBSTITUTE($Z92,V$1&amp;" (4)",""))&lt;lenb($Z92),4,IF(lenb(SUBSTITUTE($Z92,V$1&amp;" (5)",""))&lt;lenb($Z92),5,IF(lenb(SUBSTITUTE($Z92,V$1&amp;" (6)",""))&lt;lenb($Z92),6,IF(lenb(SUBSTITUTE($Z92,V$1&amp;" (7)",""))&lt;lenb($Z92),1,IF(lenb(SUBSTITUTE($Z92,V$1&amp;" (8)",""))&lt;lenb($Z92),8,IF(lenb(SUBSTITUTE($Z92,V$1&amp;" (9)",""))&lt;lenb($Z92),9,IF(lenb(SUBSTITUTE($Z92,V$1&amp;" (10)",""))&lt;lenb($Z92),10,IF(lenb(SUBSTITUTE($Z92,V$1,""))&lt;lenb($Z92),"ERROR",IF($Z92=$Y$1,"-",0))))))))))))</f>
        <v>-</v>
      </c>
      <c r="W92" s="32" t="str">
        <f t="shared" si="97"/>
        <v>-</v>
      </c>
      <c r="X92" s="32" t="str">
        <f t="shared" si="97"/>
        <v>-</v>
      </c>
      <c r="Y92" s="32">
        <f t="shared" si="3"/>
        <v>1</v>
      </c>
      <c r="Z92" s="32" t="s">
        <v>23</v>
      </c>
      <c r="AA92" s="33">
        <f t="shared" si="4"/>
        <v>0</v>
      </c>
      <c r="AB92" s="34">
        <f>COUNTIFS(Links!B:B,"ICSE",Links!C:C,A92,Links!AD:AD,1)</f>
        <v>0</v>
      </c>
      <c r="AC92" s="35" t="s">
        <v>36</v>
      </c>
      <c r="AD92" s="27" t="str">
        <f t="shared" si="5"/>
        <v>No</v>
      </c>
      <c r="AE92" s="36" t="s">
        <v>36</v>
      </c>
      <c r="AF92" s="37" t="s">
        <v>42</v>
      </c>
      <c r="AG92" s="37" t="s">
        <v>42</v>
      </c>
      <c r="AH92" s="37" t="s">
        <v>42</v>
      </c>
      <c r="AI92" s="29" t="str">
        <f t="shared" si="6"/>
        <v>----</v>
      </c>
      <c r="AJ92" s="38" t="str">
        <f t="shared" si="7"/>
        <v>Paper has no link and no statement</v>
      </c>
      <c r="AK92" s="39">
        <v>45035.0</v>
      </c>
      <c r="AL92" s="23" t="s">
        <v>43</v>
      </c>
      <c r="AM92" s="40" t="str">
        <f t="shared" si="8"/>
        <v>[IP1935]</v>
      </c>
    </row>
    <row r="93" ht="67.5" customHeight="1">
      <c r="A93" s="41">
        <v>1936.0</v>
      </c>
      <c r="B93" s="42" t="s">
        <v>267</v>
      </c>
      <c r="C93" s="43">
        <v>2014.0</v>
      </c>
      <c r="D93" s="44" t="s">
        <v>35</v>
      </c>
      <c r="E93" s="45" t="s">
        <v>36</v>
      </c>
      <c r="F93" s="45" t="s">
        <v>36</v>
      </c>
      <c r="G93" s="45" t="s">
        <v>36</v>
      </c>
      <c r="H93" s="45" t="s">
        <v>36</v>
      </c>
      <c r="I93" s="45" t="s">
        <v>36</v>
      </c>
      <c r="J93" s="46" t="s">
        <v>36</v>
      </c>
      <c r="K93" s="47" t="s">
        <v>35</v>
      </c>
      <c r="L93" s="48" t="s">
        <v>36</v>
      </c>
      <c r="M93" s="48" t="s">
        <v>36</v>
      </c>
      <c r="N93" s="48" t="s">
        <v>36</v>
      </c>
      <c r="O93" s="48" t="s">
        <v>36</v>
      </c>
      <c r="P93" s="48" t="s">
        <v>36</v>
      </c>
      <c r="Q93" s="48" t="s">
        <v>36</v>
      </c>
      <c r="R93" s="48" t="s">
        <v>36</v>
      </c>
      <c r="S93" s="49" t="s">
        <v>36</v>
      </c>
      <c r="T93" s="64" t="s">
        <v>36</v>
      </c>
      <c r="U93" s="51" t="s">
        <v>36</v>
      </c>
      <c r="V93" s="52" t="str">
        <f t="shared" ref="V93:X93" si="98">IF(lenb(SUBSTITUTE($Z93,V$1&amp;" (1)",""))&lt;lenb($Z93),1,IF(lenb(SUBSTITUTE($Z93,V$1&amp;" (2)",""))&lt;lenb($Z93),2,IF(lenb(SUBSTITUTE($Z93,V$1&amp;" (3)",""))&lt;lenb($Z93),3,IF(lenb(SUBSTITUTE($Z93,V$1&amp;" (4)",""))&lt;lenb($Z93),4,IF(lenb(SUBSTITUTE($Z93,V$1&amp;" (5)",""))&lt;lenb($Z93),5,IF(lenb(SUBSTITUTE($Z93,V$1&amp;" (6)",""))&lt;lenb($Z93),6,IF(lenb(SUBSTITUTE($Z93,V$1&amp;" (7)",""))&lt;lenb($Z93),1,IF(lenb(SUBSTITUTE($Z93,V$1&amp;" (8)",""))&lt;lenb($Z93),8,IF(lenb(SUBSTITUTE($Z93,V$1&amp;" (9)",""))&lt;lenb($Z93),9,IF(lenb(SUBSTITUTE($Z93,V$1&amp;" (10)",""))&lt;lenb($Z93),10,IF(lenb(SUBSTITUTE($Z93,V$1,""))&lt;lenb($Z93),"ERROR",IF($Z93=$Y$1,"-",0))))))))))))</f>
        <v>-</v>
      </c>
      <c r="W93" s="52" t="str">
        <f t="shared" si="98"/>
        <v>-</v>
      </c>
      <c r="X93" s="52" t="str">
        <f t="shared" si="98"/>
        <v>-</v>
      </c>
      <c r="Y93" s="52">
        <f t="shared" si="3"/>
        <v>1</v>
      </c>
      <c r="Z93" s="52" t="s">
        <v>23</v>
      </c>
      <c r="AA93" s="53">
        <f t="shared" si="4"/>
        <v>0</v>
      </c>
      <c r="AB93" s="54">
        <f>COUNTIFS(Links!B:B,"ICSE",Links!C:C,A93,Links!AD:AD,1)</f>
        <v>0</v>
      </c>
      <c r="AC93" s="55" t="s">
        <v>36</v>
      </c>
      <c r="AD93" s="47" t="str">
        <f t="shared" si="5"/>
        <v>No</v>
      </c>
      <c r="AE93" s="56" t="s">
        <v>36</v>
      </c>
      <c r="AF93" s="57" t="s">
        <v>42</v>
      </c>
      <c r="AG93" s="57" t="s">
        <v>42</v>
      </c>
      <c r="AH93" s="57" t="s">
        <v>42</v>
      </c>
      <c r="AI93" s="49" t="str">
        <f t="shared" si="6"/>
        <v>----</v>
      </c>
      <c r="AJ93" s="58" t="str">
        <f t="shared" si="7"/>
        <v>Paper has no link and no statement</v>
      </c>
      <c r="AK93" s="59">
        <v>45035.0</v>
      </c>
      <c r="AL93" s="43" t="s">
        <v>43</v>
      </c>
      <c r="AM93" s="60" t="str">
        <f t="shared" si="8"/>
        <v>[IP1936]</v>
      </c>
    </row>
    <row r="94" ht="67.5" customHeight="1">
      <c r="A94" s="61">
        <v>1937.0</v>
      </c>
      <c r="B94" s="22" t="s">
        <v>268</v>
      </c>
      <c r="C94" s="23">
        <v>2014.0</v>
      </c>
      <c r="D94" s="24" t="s">
        <v>35</v>
      </c>
      <c r="E94" s="25" t="s">
        <v>36</v>
      </c>
      <c r="F94" s="25" t="s">
        <v>36</v>
      </c>
      <c r="G94" s="25" t="s">
        <v>36</v>
      </c>
      <c r="H94" s="25" t="s">
        <v>36</v>
      </c>
      <c r="I94" s="25" t="s">
        <v>36</v>
      </c>
      <c r="J94" s="26" t="s">
        <v>36</v>
      </c>
      <c r="K94" s="27" t="s">
        <v>35</v>
      </c>
      <c r="L94" s="28" t="s">
        <v>36</v>
      </c>
      <c r="M94" s="28" t="s">
        <v>36</v>
      </c>
      <c r="N94" s="28" t="s">
        <v>36</v>
      </c>
      <c r="O94" s="28" t="s">
        <v>36</v>
      </c>
      <c r="P94" s="28" t="s">
        <v>36</v>
      </c>
      <c r="Q94" s="28" t="s">
        <v>36</v>
      </c>
      <c r="R94" s="28" t="s">
        <v>36</v>
      </c>
      <c r="S94" s="29" t="s">
        <v>36</v>
      </c>
      <c r="T94" s="30" t="s">
        <v>36</v>
      </c>
      <c r="U94" s="31" t="s">
        <v>36</v>
      </c>
      <c r="V94" s="32" t="str">
        <f t="shared" ref="V94:X94" si="99">IF(lenb(SUBSTITUTE($Z94,V$1&amp;" (1)",""))&lt;lenb($Z94),1,IF(lenb(SUBSTITUTE($Z94,V$1&amp;" (2)",""))&lt;lenb($Z94),2,IF(lenb(SUBSTITUTE($Z94,V$1&amp;" (3)",""))&lt;lenb($Z94),3,IF(lenb(SUBSTITUTE($Z94,V$1&amp;" (4)",""))&lt;lenb($Z94),4,IF(lenb(SUBSTITUTE($Z94,V$1&amp;" (5)",""))&lt;lenb($Z94),5,IF(lenb(SUBSTITUTE($Z94,V$1&amp;" (6)",""))&lt;lenb($Z94),6,IF(lenb(SUBSTITUTE($Z94,V$1&amp;" (7)",""))&lt;lenb($Z94),1,IF(lenb(SUBSTITUTE($Z94,V$1&amp;" (8)",""))&lt;lenb($Z94),8,IF(lenb(SUBSTITUTE($Z94,V$1&amp;" (9)",""))&lt;lenb($Z94),9,IF(lenb(SUBSTITUTE($Z94,V$1&amp;" (10)",""))&lt;lenb($Z94),10,IF(lenb(SUBSTITUTE($Z94,V$1,""))&lt;lenb($Z94),"ERROR",IF($Z94=$Y$1,"-",0))))))))))))</f>
        <v>-</v>
      </c>
      <c r="W94" s="32" t="str">
        <f t="shared" si="99"/>
        <v>-</v>
      </c>
      <c r="X94" s="32" t="str">
        <f t="shared" si="99"/>
        <v>-</v>
      </c>
      <c r="Y94" s="32">
        <f t="shared" si="3"/>
        <v>1</v>
      </c>
      <c r="Z94" s="32" t="s">
        <v>23</v>
      </c>
      <c r="AA94" s="33">
        <f t="shared" si="4"/>
        <v>0</v>
      </c>
      <c r="AB94" s="34">
        <f>COUNTIFS(Links!B:B,"ICSE",Links!C:C,A94,Links!AD:AD,1)</f>
        <v>0</v>
      </c>
      <c r="AC94" s="35" t="s">
        <v>36</v>
      </c>
      <c r="AD94" s="27" t="str">
        <f t="shared" si="5"/>
        <v>No</v>
      </c>
      <c r="AE94" s="36" t="s">
        <v>36</v>
      </c>
      <c r="AF94" s="37" t="s">
        <v>42</v>
      </c>
      <c r="AG94" s="37" t="s">
        <v>42</v>
      </c>
      <c r="AH94" s="37" t="s">
        <v>42</v>
      </c>
      <c r="AI94" s="29" t="str">
        <f t="shared" si="6"/>
        <v>----</v>
      </c>
      <c r="AJ94" s="38" t="str">
        <f t="shared" si="7"/>
        <v>Paper has no link and no statement</v>
      </c>
      <c r="AK94" s="39">
        <v>45035.0</v>
      </c>
      <c r="AL94" s="23" t="s">
        <v>43</v>
      </c>
      <c r="AM94" s="40" t="str">
        <f t="shared" si="8"/>
        <v>[IP1937]</v>
      </c>
    </row>
    <row r="95" ht="67.5" customHeight="1">
      <c r="A95" s="41">
        <v>1938.0</v>
      </c>
      <c r="B95" s="42" t="s">
        <v>269</v>
      </c>
      <c r="C95" s="43">
        <v>2014.0</v>
      </c>
      <c r="D95" s="44" t="s">
        <v>35</v>
      </c>
      <c r="E95" s="45" t="s">
        <v>36</v>
      </c>
      <c r="F95" s="45" t="s">
        <v>36</v>
      </c>
      <c r="G95" s="45" t="s">
        <v>36</v>
      </c>
      <c r="H95" s="45" t="s">
        <v>36</v>
      </c>
      <c r="I95" s="45" t="s">
        <v>36</v>
      </c>
      <c r="J95" s="46" t="s">
        <v>36</v>
      </c>
      <c r="K95" s="47" t="s">
        <v>37</v>
      </c>
      <c r="L95" s="48" t="s">
        <v>35</v>
      </c>
      <c r="M95" s="48" t="s">
        <v>37</v>
      </c>
      <c r="N95" s="48" t="s">
        <v>37</v>
      </c>
      <c r="O95" s="48" t="s">
        <v>35</v>
      </c>
      <c r="P95" s="48" t="s">
        <v>35</v>
      </c>
      <c r="Q95" s="48" t="s">
        <v>35</v>
      </c>
      <c r="R95" s="48" t="s">
        <v>37</v>
      </c>
      <c r="S95" s="49" t="s">
        <v>270</v>
      </c>
      <c r="T95" s="50" t="s">
        <v>271</v>
      </c>
      <c r="U95" s="51" t="s">
        <v>271</v>
      </c>
      <c r="V95" s="52">
        <f t="shared" ref="V95:X95" si="100">IF(lenb(SUBSTITUTE($Z95,V$1&amp;" (1)",""))&lt;lenb($Z95),1,IF(lenb(SUBSTITUTE($Z95,V$1&amp;" (2)",""))&lt;lenb($Z95),2,IF(lenb(SUBSTITUTE($Z95,V$1&amp;" (3)",""))&lt;lenb($Z95),3,IF(lenb(SUBSTITUTE($Z95,V$1&amp;" (4)",""))&lt;lenb($Z95),4,IF(lenb(SUBSTITUTE($Z95,V$1&amp;" (5)",""))&lt;lenb($Z95),5,IF(lenb(SUBSTITUTE($Z95,V$1&amp;" (6)",""))&lt;lenb($Z95),6,IF(lenb(SUBSTITUTE($Z95,V$1&amp;" (7)",""))&lt;lenb($Z95),1,IF(lenb(SUBSTITUTE($Z95,V$1&amp;" (8)",""))&lt;lenb($Z95),8,IF(lenb(SUBSTITUTE($Z95,V$1&amp;" (9)",""))&lt;lenb($Z95),9,IF(lenb(SUBSTITUTE($Z95,V$1&amp;" (10)",""))&lt;lenb($Z95),10,IF(lenb(SUBSTITUTE($Z95,V$1,""))&lt;lenb($Z95),"ERROR",IF($Z95=$Y$1,"-",0))))))))))))</f>
        <v>1</v>
      </c>
      <c r="W95" s="52">
        <f t="shared" si="100"/>
        <v>1</v>
      </c>
      <c r="X95" s="52">
        <f t="shared" si="100"/>
        <v>0</v>
      </c>
      <c r="Y95" s="52" t="str">
        <f t="shared" si="3"/>
        <v>-</v>
      </c>
      <c r="Z95" s="52" t="s">
        <v>41</v>
      </c>
      <c r="AA95" s="53">
        <f t="shared" si="4"/>
        <v>2</v>
      </c>
      <c r="AB95" s="54">
        <f>COUNTIFS(Links!B:B,"ICSE",Links!C:C,A95,Links!AD:AD,1)</f>
        <v>0</v>
      </c>
      <c r="AC95" s="55" t="s">
        <v>35</v>
      </c>
      <c r="AD95" s="47" t="str">
        <f t="shared" si="5"/>
        <v>No</v>
      </c>
      <c r="AE95" s="56" t="s">
        <v>36</v>
      </c>
      <c r="AF95" s="57" t="s">
        <v>42</v>
      </c>
      <c r="AG95" s="57" t="s">
        <v>42</v>
      </c>
      <c r="AH95" s="57" t="s">
        <v>42</v>
      </c>
      <c r="AI95" s="49" t="str">
        <f t="shared" si="6"/>
        <v>----</v>
      </c>
      <c r="AJ95" s="58" t="str">
        <f t="shared" si="7"/>
        <v>Paper has link but no statement</v>
      </c>
      <c r="AK95" s="59">
        <v>45035.0</v>
      </c>
      <c r="AL95" s="43" t="s">
        <v>43</v>
      </c>
      <c r="AM95" s="60" t="str">
        <f t="shared" si="8"/>
        <v>[IP1938]</v>
      </c>
    </row>
    <row r="96" ht="67.5" customHeight="1">
      <c r="A96" s="61">
        <v>1939.0</v>
      </c>
      <c r="B96" s="22" t="s">
        <v>272</v>
      </c>
      <c r="C96" s="23">
        <v>2014.0</v>
      </c>
      <c r="D96" s="24" t="s">
        <v>35</v>
      </c>
      <c r="E96" s="25" t="s">
        <v>36</v>
      </c>
      <c r="F96" s="25" t="s">
        <v>36</v>
      </c>
      <c r="G96" s="25" t="s">
        <v>36</v>
      </c>
      <c r="H96" s="25" t="s">
        <v>36</v>
      </c>
      <c r="I96" s="25" t="s">
        <v>36</v>
      </c>
      <c r="J96" s="26" t="s">
        <v>36</v>
      </c>
      <c r="K96" s="27" t="s">
        <v>37</v>
      </c>
      <c r="L96" s="28" t="s">
        <v>37</v>
      </c>
      <c r="M96" s="28" t="s">
        <v>37</v>
      </c>
      <c r="N96" s="28" t="s">
        <v>35</v>
      </c>
      <c r="O96" s="28" t="s">
        <v>35</v>
      </c>
      <c r="P96" s="28" t="s">
        <v>35</v>
      </c>
      <c r="Q96" s="28" t="s">
        <v>35</v>
      </c>
      <c r="R96" s="28" t="s">
        <v>37</v>
      </c>
      <c r="S96" s="29" t="s">
        <v>273</v>
      </c>
      <c r="T96" s="30" t="s">
        <v>274</v>
      </c>
      <c r="U96" s="31" t="s">
        <v>275</v>
      </c>
      <c r="V96" s="32">
        <f t="shared" ref="V96:X96" si="101">IF(lenb(SUBSTITUTE($Z96,V$1&amp;" (1)",""))&lt;lenb($Z96),1,IF(lenb(SUBSTITUTE($Z96,V$1&amp;" (2)",""))&lt;lenb($Z96),2,IF(lenb(SUBSTITUTE($Z96,V$1&amp;" (3)",""))&lt;lenb($Z96),3,IF(lenb(SUBSTITUTE($Z96,V$1&amp;" (4)",""))&lt;lenb($Z96),4,IF(lenb(SUBSTITUTE($Z96,V$1&amp;" (5)",""))&lt;lenb($Z96),5,IF(lenb(SUBSTITUTE($Z96,V$1&amp;" (6)",""))&lt;lenb($Z96),6,IF(lenb(SUBSTITUTE($Z96,V$1&amp;" (7)",""))&lt;lenb($Z96),1,IF(lenb(SUBSTITUTE($Z96,V$1&amp;" (8)",""))&lt;lenb($Z96),8,IF(lenb(SUBSTITUTE($Z96,V$1&amp;" (9)",""))&lt;lenb($Z96),9,IF(lenb(SUBSTITUTE($Z96,V$1&amp;" (10)",""))&lt;lenb($Z96),10,IF(lenb(SUBSTITUTE($Z96,V$1,""))&lt;lenb($Z96),"ERROR",IF($Z96=$Y$1,"-",0))))))))))))</f>
        <v>1</v>
      </c>
      <c r="W96" s="32">
        <f t="shared" si="101"/>
        <v>1</v>
      </c>
      <c r="X96" s="32">
        <f t="shared" si="101"/>
        <v>1</v>
      </c>
      <c r="Y96" s="32" t="str">
        <f t="shared" si="3"/>
        <v>-</v>
      </c>
      <c r="Z96" s="32" t="s">
        <v>276</v>
      </c>
      <c r="AA96" s="33">
        <f t="shared" si="4"/>
        <v>3</v>
      </c>
      <c r="AB96" s="34">
        <f>COUNTIFS(Links!B:B,"ICSE",Links!C:C,A96,Links!AD:AD,1)</f>
        <v>0</v>
      </c>
      <c r="AC96" s="35" t="s">
        <v>35</v>
      </c>
      <c r="AD96" s="27" t="str">
        <f t="shared" si="5"/>
        <v>No</v>
      </c>
      <c r="AE96" s="36" t="s">
        <v>36</v>
      </c>
      <c r="AF96" s="37" t="s">
        <v>42</v>
      </c>
      <c r="AG96" s="37" t="s">
        <v>42</v>
      </c>
      <c r="AH96" s="37" t="s">
        <v>42</v>
      </c>
      <c r="AI96" s="29" t="str">
        <f t="shared" si="6"/>
        <v>----</v>
      </c>
      <c r="AJ96" s="38" t="str">
        <f t="shared" si="7"/>
        <v>Paper has link but no statement</v>
      </c>
      <c r="AK96" s="39">
        <v>45035.0</v>
      </c>
      <c r="AL96" s="23" t="s">
        <v>43</v>
      </c>
      <c r="AM96" s="40" t="str">
        <f t="shared" si="8"/>
        <v>[IP1939]</v>
      </c>
    </row>
    <row r="97" ht="67.5" customHeight="1">
      <c r="A97" s="41">
        <v>1940.0</v>
      </c>
      <c r="B97" s="42" t="s">
        <v>277</v>
      </c>
      <c r="C97" s="43">
        <v>2014.0</v>
      </c>
      <c r="D97" s="44" t="s">
        <v>35</v>
      </c>
      <c r="E97" s="45" t="s">
        <v>36</v>
      </c>
      <c r="F97" s="45" t="s">
        <v>36</v>
      </c>
      <c r="G97" s="45" t="s">
        <v>36</v>
      </c>
      <c r="H97" s="45" t="s">
        <v>36</v>
      </c>
      <c r="I97" s="45" t="s">
        <v>36</v>
      </c>
      <c r="J97" s="46" t="s">
        <v>36</v>
      </c>
      <c r="K97" s="47" t="s">
        <v>37</v>
      </c>
      <c r="L97" s="48" t="s">
        <v>35</v>
      </c>
      <c r="M97" s="48" t="s">
        <v>35</v>
      </c>
      <c r="N97" s="48" t="s">
        <v>35</v>
      </c>
      <c r="O97" s="48" t="s">
        <v>35</v>
      </c>
      <c r="P97" s="48" t="s">
        <v>35</v>
      </c>
      <c r="Q97" s="48" t="s">
        <v>35</v>
      </c>
      <c r="R97" s="48" t="s">
        <v>37</v>
      </c>
      <c r="S97" s="49" t="s">
        <v>278</v>
      </c>
      <c r="T97" s="50" t="s">
        <v>279</v>
      </c>
      <c r="U97" s="50" t="s">
        <v>279</v>
      </c>
      <c r="V97" s="52">
        <f t="shared" ref="V97:X97" si="102">IF(lenb(SUBSTITUTE($Z97,V$1&amp;" (1)",""))&lt;lenb($Z97),1,IF(lenb(SUBSTITUTE($Z97,V$1&amp;" (2)",""))&lt;lenb($Z97),2,IF(lenb(SUBSTITUTE($Z97,V$1&amp;" (3)",""))&lt;lenb($Z97),3,IF(lenb(SUBSTITUTE($Z97,V$1&amp;" (4)",""))&lt;lenb($Z97),4,IF(lenb(SUBSTITUTE($Z97,V$1&amp;" (5)",""))&lt;lenb($Z97),5,IF(lenb(SUBSTITUTE($Z97,V$1&amp;" (6)",""))&lt;lenb($Z97),6,IF(lenb(SUBSTITUTE($Z97,V$1&amp;" (7)",""))&lt;lenb($Z97),1,IF(lenb(SUBSTITUTE($Z97,V$1&amp;" (8)",""))&lt;lenb($Z97),8,IF(lenb(SUBSTITUTE($Z97,V$1&amp;" (9)",""))&lt;lenb($Z97),9,IF(lenb(SUBSTITUTE($Z97,V$1&amp;" (10)",""))&lt;lenb($Z97),10,IF(lenb(SUBSTITUTE($Z97,V$1,""))&lt;lenb($Z97),"ERROR",IF($Z97=$Y$1,"-",0))))))))))))</f>
        <v>1</v>
      </c>
      <c r="W97" s="52">
        <f t="shared" si="102"/>
        <v>0</v>
      </c>
      <c r="X97" s="52">
        <f t="shared" si="102"/>
        <v>0</v>
      </c>
      <c r="Y97" s="52" t="str">
        <f t="shared" si="3"/>
        <v>-</v>
      </c>
      <c r="Z97" s="52" t="s">
        <v>62</v>
      </c>
      <c r="AA97" s="53">
        <f t="shared" si="4"/>
        <v>1</v>
      </c>
      <c r="AB97" s="54">
        <f>COUNTIFS(Links!B:B,"ICSE",Links!C:C,A97,Links!AD:AD,1)</f>
        <v>0</v>
      </c>
      <c r="AC97" s="55" t="s">
        <v>35</v>
      </c>
      <c r="AD97" s="47" t="str">
        <f t="shared" si="5"/>
        <v>Yes</v>
      </c>
      <c r="AE97" s="56" t="s">
        <v>280</v>
      </c>
      <c r="AF97" s="56" t="s">
        <v>281</v>
      </c>
      <c r="AG97" s="57" t="s">
        <v>42</v>
      </c>
      <c r="AH97" s="57" t="s">
        <v>42</v>
      </c>
      <c r="AI97" s="49" t="str">
        <f t="shared" si="6"/>
        <v>Barriers (Confidentiality and privacy)</v>
      </c>
      <c r="AJ97" s="58" t="str">
        <f t="shared" si="7"/>
        <v>Paper has link and statement</v>
      </c>
      <c r="AK97" s="59">
        <v>45035.0</v>
      </c>
      <c r="AL97" s="43" t="s">
        <v>43</v>
      </c>
      <c r="AM97" s="60" t="str">
        <f t="shared" si="8"/>
        <v>[IP1940]</v>
      </c>
    </row>
    <row r="98" ht="67.5" customHeight="1">
      <c r="A98" s="61">
        <v>1941.0</v>
      </c>
      <c r="B98" s="22" t="s">
        <v>282</v>
      </c>
      <c r="C98" s="23">
        <v>2014.0</v>
      </c>
      <c r="D98" s="24" t="s">
        <v>35</v>
      </c>
      <c r="E98" s="25" t="s">
        <v>36</v>
      </c>
      <c r="F98" s="25" t="s">
        <v>36</v>
      </c>
      <c r="G98" s="25" t="s">
        <v>36</v>
      </c>
      <c r="H98" s="25" t="s">
        <v>36</v>
      </c>
      <c r="I98" s="25" t="s">
        <v>36</v>
      </c>
      <c r="J98" s="26" t="s">
        <v>36</v>
      </c>
      <c r="K98" s="27" t="s">
        <v>37</v>
      </c>
      <c r="L98" s="28" t="s">
        <v>37</v>
      </c>
      <c r="M98" s="28" t="s">
        <v>37</v>
      </c>
      <c r="N98" s="28" t="s">
        <v>37</v>
      </c>
      <c r="O98" s="28" t="s">
        <v>35</v>
      </c>
      <c r="P98" s="28" t="s">
        <v>37</v>
      </c>
      <c r="Q98" s="28" t="s">
        <v>35</v>
      </c>
      <c r="R98" s="28" t="s">
        <v>37</v>
      </c>
      <c r="S98" s="29" t="s">
        <v>283</v>
      </c>
      <c r="T98" s="30" t="s">
        <v>284</v>
      </c>
      <c r="U98" s="30" t="s">
        <v>284</v>
      </c>
      <c r="V98" s="32">
        <f t="shared" ref="V98:X98" si="103">IF(lenb(SUBSTITUTE($Z98,V$1&amp;" (1)",""))&lt;lenb($Z98),1,IF(lenb(SUBSTITUTE($Z98,V$1&amp;" (2)",""))&lt;lenb($Z98),2,IF(lenb(SUBSTITUTE($Z98,V$1&amp;" (3)",""))&lt;lenb($Z98),3,IF(lenb(SUBSTITUTE($Z98,V$1&amp;" (4)",""))&lt;lenb($Z98),4,IF(lenb(SUBSTITUTE($Z98,V$1&amp;" (5)",""))&lt;lenb($Z98),5,IF(lenb(SUBSTITUTE($Z98,V$1&amp;" (6)",""))&lt;lenb($Z98),6,IF(lenb(SUBSTITUTE($Z98,V$1&amp;" (7)",""))&lt;lenb($Z98),1,IF(lenb(SUBSTITUTE($Z98,V$1&amp;" (8)",""))&lt;lenb($Z98),8,IF(lenb(SUBSTITUTE($Z98,V$1&amp;" (9)",""))&lt;lenb($Z98),9,IF(lenb(SUBSTITUTE($Z98,V$1&amp;" (10)",""))&lt;lenb($Z98),10,IF(lenb(SUBSTITUTE($Z98,V$1,""))&lt;lenb($Z98),"ERROR",IF($Z98=$Y$1,"-",0))))))))))))</f>
        <v>0</v>
      </c>
      <c r="W98" s="32">
        <f t="shared" si="103"/>
        <v>2</v>
      </c>
      <c r="X98" s="32">
        <f t="shared" si="103"/>
        <v>0</v>
      </c>
      <c r="Y98" s="32" t="str">
        <f t="shared" si="3"/>
        <v>-</v>
      </c>
      <c r="Z98" s="32" t="s">
        <v>174</v>
      </c>
      <c r="AA98" s="33">
        <f t="shared" si="4"/>
        <v>2</v>
      </c>
      <c r="AB98" s="34">
        <f>COUNTIFS(Links!B:B,"ICSE",Links!C:C,A98,Links!AD:AD,1)</f>
        <v>0</v>
      </c>
      <c r="AC98" s="35" t="s">
        <v>35</v>
      </c>
      <c r="AD98" s="27" t="str">
        <f t="shared" si="5"/>
        <v>No</v>
      </c>
      <c r="AE98" s="36" t="s">
        <v>36</v>
      </c>
      <c r="AF98" s="37" t="s">
        <v>42</v>
      </c>
      <c r="AG98" s="37" t="s">
        <v>42</v>
      </c>
      <c r="AH98" s="37" t="s">
        <v>42</v>
      </c>
      <c r="AI98" s="29" t="str">
        <f t="shared" si="6"/>
        <v>----</v>
      </c>
      <c r="AJ98" s="38" t="str">
        <f t="shared" si="7"/>
        <v>Paper has link but no statement</v>
      </c>
      <c r="AK98" s="39">
        <v>45035.0</v>
      </c>
      <c r="AL98" s="23" t="s">
        <v>43</v>
      </c>
      <c r="AM98" s="40" t="str">
        <f t="shared" si="8"/>
        <v>[IP1941]</v>
      </c>
    </row>
    <row r="99" ht="67.5" customHeight="1">
      <c r="A99" s="41">
        <v>1942.0</v>
      </c>
      <c r="B99" s="42" t="s">
        <v>285</v>
      </c>
      <c r="C99" s="43">
        <v>2014.0</v>
      </c>
      <c r="D99" s="44" t="s">
        <v>35</v>
      </c>
      <c r="E99" s="45" t="s">
        <v>36</v>
      </c>
      <c r="F99" s="45" t="s">
        <v>36</v>
      </c>
      <c r="G99" s="45" t="s">
        <v>36</v>
      </c>
      <c r="H99" s="45" t="s">
        <v>36</v>
      </c>
      <c r="I99" s="45" t="s">
        <v>36</v>
      </c>
      <c r="J99" s="46" t="s">
        <v>36</v>
      </c>
      <c r="K99" s="47" t="s">
        <v>37</v>
      </c>
      <c r="L99" s="48" t="s">
        <v>35</v>
      </c>
      <c r="M99" s="48" t="s">
        <v>37</v>
      </c>
      <c r="N99" s="48" t="s">
        <v>35</v>
      </c>
      <c r="O99" s="48" t="s">
        <v>35</v>
      </c>
      <c r="P99" s="48" t="s">
        <v>35</v>
      </c>
      <c r="Q99" s="48" t="s">
        <v>35</v>
      </c>
      <c r="R99" s="48" t="s">
        <v>37</v>
      </c>
      <c r="S99" s="49" t="s">
        <v>286</v>
      </c>
      <c r="T99" s="50" t="s">
        <v>287</v>
      </c>
      <c r="U99" s="51" t="s">
        <v>287</v>
      </c>
      <c r="V99" s="52">
        <f t="shared" ref="V99:X99" si="104">IF(lenb(SUBSTITUTE($Z99,V$1&amp;" (1)",""))&lt;lenb($Z99),1,IF(lenb(SUBSTITUTE($Z99,V$1&amp;" (2)",""))&lt;lenb($Z99),2,IF(lenb(SUBSTITUTE($Z99,V$1&amp;" (3)",""))&lt;lenb($Z99),3,IF(lenb(SUBSTITUTE($Z99,V$1&amp;" (4)",""))&lt;lenb($Z99),4,IF(lenb(SUBSTITUTE($Z99,V$1&amp;" (5)",""))&lt;lenb($Z99),5,IF(lenb(SUBSTITUTE($Z99,V$1&amp;" (6)",""))&lt;lenb($Z99),6,IF(lenb(SUBSTITUTE($Z99,V$1&amp;" (7)",""))&lt;lenb($Z99),1,IF(lenb(SUBSTITUTE($Z99,V$1&amp;" (8)",""))&lt;lenb($Z99),8,IF(lenb(SUBSTITUTE($Z99,V$1&amp;" (9)",""))&lt;lenb($Z99),9,IF(lenb(SUBSTITUTE($Z99,V$1&amp;" (10)",""))&lt;lenb($Z99),10,IF(lenb(SUBSTITUTE($Z99,V$1,""))&lt;lenb($Z99),"ERROR",IF($Z99=$Y$1,"-",0))))))))))))</f>
        <v>1</v>
      </c>
      <c r="W99" s="52">
        <f t="shared" si="104"/>
        <v>0</v>
      </c>
      <c r="X99" s="52">
        <f t="shared" si="104"/>
        <v>0</v>
      </c>
      <c r="Y99" s="52" t="str">
        <f t="shared" si="3"/>
        <v>-</v>
      </c>
      <c r="Z99" s="52" t="s">
        <v>62</v>
      </c>
      <c r="AA99" s="53">
        <f t="shared" si="4"/>
        <v>1</v>
      </c>
      <c r="AB99" s="54">
        <f>COUNTIFS(Links!B:B,"ICSE",Links!C:C,A99,Links!AD:AD,1)</f>
        <v>0</v>
      </c>
      <c r="AC99" s="55" t="s">
        <v>35</v>
      </c>
      <c r="AD99" s="47" t="str">
        <f t="shared" si="5"/>
        <v>No</v>
      </c>
      <c r="AE99" s="56" t="s">
        <v>36</v>
      </c>
      <c r="AF99" s="57" t="s">
        <v>42</v>
      </c>
      <c r="AG99" s="57" t="s">
        <v>42</v>
      </c>
      <c r="AH99" s="57" t="s">
        <v>42</v>
      </c>
      <c r="AI99" s="49" t="str">
        <f t="shared" si="6"/>
        <v>----</v>
      </c>
      <c r="AJ99" s="58" t="str">
        <f t="shared" si="7"/>
        <v>Paper has link but no statement</v>
      </c>
      <c r="AK99" s="59">
        <v>45035.0</v>
      </c>
      <c r="AL99" s="43" t="s">
        <v>43</v>
      </c>
      <c r="AM99" s="60" t="str">
        <f t="shared" si="8"/>
        <v>[IP1942]</v>
      </c>
    </row>
    <row r="100" ht="67.5" customHeight="1">
      <c r="A100" s="61">
        <v>1670.0</v>
      </c>
      <c r="B100" s="22" t="s">
        <v>288</v>
      </c>
      <c r="C100" s="23">
        <v>2015.0</v>
      </c>
      <c r="D100" s="24" t="s">
        <v>35</v>
      </c>
      <c r="E100" s="25" t="s">
        <v>36</v>
      </c>
      <c r="F100" s="25" t="s">
        <v>36</v>
      </c>
      <c r="G100" s="25" t="s">
        <v>36</v>
      </c>
      <c r="H100" s="25" t="s">
        <v>36</v>
      </c>
      <c r="I100" s="25" t="s">
        <v>36</v>
      </c>
      <c r="J100" s="26" t="s">
        <v>36</v>
      </c>
      <c r="K100" s="27" t="s">
        <v>37</v>
      </c>
      <c r="L100" s="28" t="s">
        <v>35</v>
      </c>
      <c r="M100" s="28" t="s">
        <v>35</v>
      </c>
      <c r="N100" s="28" t="s">
        <v>37</v>
      </c>
      <c r="O100" s="28" t="s">
        <v>35</v>
      </c>
      <c r="P100" s="28" t="s">
        <v>35</v>
      </c>
      <c r="Q100" s="28" t="s">
        <v>35</v>
      </c>
      <c r="R100" s="28" t="s">
        <v>35</v>
      </c>
      <c r="S100" s="29" t="s">
        <v>289</v>
      </c>
      <c r="T100" s="65" t="s">
        <v>290</v>
      </c>
      <c r="U100" s="30" t="s">
        <v>290</v>
      </c>
      <c r="V100" s="32">
        <f t="shared" ref="V100:X100" si="105">IF(lenb(SUBSTITUTE($Z100,V$1&amp;" (1)",""))&lt;lenb($Z100),1,IF(lenb(SUBSTITUTE($Z100,V$1&amp;" (2)",""))&lt;lenb($Z100),2,IF(lenb(SUBSTITUTE($Z100,V$1&amp;" (3)",""))&lt;lenb($Z100),3,IF(lenb(SUBSTITUTE($Z100,V$1&amp;" (4)",""))&lt;lenb($Z100),4,IF(lenb(SUBSTITUTE($Z100,V$1&amp;" (5)",""))&lt;lenb($Z100),5,IF(lenb(SUBSTITUTE($Z100,V$1&amp;" (6)",""))&lt;lenb($Z100),6,IF(lenb(SUBSTITUTE($Z100,V$1&amp;" (7)",""))&lt;lenb($Z100),1,IF(lenb(SUBSTITUTE($Z100,V$1&amp;" (8)",""))&lt;lenb($Z100),8,IF(lenb(SUBSTITUTE($Z100,V$1&amp;" (9)",""))&lt;lenb($Z100),9,IF(lenb(SUBSTITUTE($Z100,V$1&amp;" (10)",""))&lt;lenb($Z100),10,IF(lenb(SUBSTITUTE($Z100,V$1,""))&lt;lenb($Z100),"ERROR",IF($Z100=$Y$1,"-",0))))))))))))</f>
        <v>1</v>
      </c>
      <c r="W100" s="32">
        <f t="shared" si="105"/>
        <v>0</v>
      </c>
      <c r="X100" s="32">
        <f t="shared" si="105"/>
        <v>0</v>
      </c>
      <c r="Y100" s="32" t="str">
        <f t="shared" si="3"/>
        <v>-</v>
      </c>
      <c r="Z100" s="32" t="s">
        <v>62</v>
      </c>
      <c r="AA100" s="33">
        <f t="shared" si="4"/>
        <v>1</v>
      </c>
      <c r="AB100" s="34">
        <f>COUNTIFS(Links!B:B,"ICSE",Links!C:C,A100,Links!AD:AD,1)</f>
        <v>1</v>
      </c>
      <c r="AC100" s="35" t="s">
        <v>35</v>
      </c>
      <c r="AD100" s="27" t="str">
        <f t="shared" si="5"/>
        <v>No</v>
      </c>
      <c r="AE100" s="36" t="s">
        <v>36</v>
      </c>
      <c r="AF100" s="37" t="s">
        <v>42</v>
      </c>
      <c r="AG100" s="37" t="s">
        <v>42</v>
      </c>
      <c r="AH100" s="37" t="s">
        <v>42</v>
      </c>
      <c r="AI100" s="29" t="str">
        <f t="shared" si="6"/>
        <v>----</v>
      </c>
      <c r="AJ100" s="38" t="str">
        <f t="shared" si="7"/>
        <v>Paper has link but no statement</v>
      </c>
      <c r="AK100" s="39">
        <v>45034.0</v>
      </c>
      <c r="AL100" s="23" t="s">
        <v>43</v>
      </c>
      <c r="AM100" s="40" t="str">
        <f t="shared" si="8"/>
        <v>[IP1670]</v>
      </c>
    </row>
    <row r="101" ht="67.5" customHeight="1">
      <c r="A101" s="41">
        <v>1671.0</v>
      </c>
      <c r="B101" s="42" t="s">
        <v>291</v>
      </c>
      <c r="C101" s="43">
        <v>2015.0</v>
      </c>
      <c r="D101" s="44" t="s">
        <v>35</v>
      </c>
      <c r="E101" s="45" t="s">
        <v>36</v>
      </c>
      <c r="F101" s="45" t="s">
        <v>36</v>
      </c>
      <c r="G101" s="45" t="s">
        <v>36</v>
      </c>
      <c r="H101" s="45" t="s">
        <v>36</v>
      </c>
      <c r="I101" s="45" t="s">
        <v>36</v>
      </c>
      <c r="J101" s="46" t="s">
        <v>36</v>
      </c>
      <c r="K101" s="47" t="s">
        <v>35</v>
      </c>
      <c r="L101" s="48" t="s">
        <v>36</v>
      </c>
      <c r="M101" s="48" t="s">
        <v>36</v>
      </c>
      <c r="N101" s="48" t="s">
        <v>36</v>
      </c>
      <c r="O101" s="48" t="s">
        <v>36</v>
      </c>
      <c r="P101" s="48" t="s">
        <v>36</v>
      </c>
      <c r="Q101" s="48" t="s">
        <v>36</v>
      </c>
      <c r="R101" s="48" t="s">
        <v>36</v>
      </c>
      <c r="S101" s="49" t="s">
        <v>36</v>
      </c>
      <c r="T101" s="64" t="s">
        <v>36</v>
      </c>
      <c r="U101" s="51" t="s">
        <v>36</v>
      </c>
      <c r="V101" s="52" t="str">
        <f t="shared" ref="V101:X101" si="106">IF(lenb(SUBSTITUTE($Z101,V$1&amp;" (1)",""))&lt;lenb($Z101),1,IF(lenb(SUBSTITUTE($Z101,V$1&amp;" (2)",""))&lt;lenb($Z101),2,IF(lenb(SUBSTITUTE($Z101,V$1&amp;" (3)",""))&lt;lenb($Z101),3,IF(lenb(SUBSTITUTE($Z101,V$1&amp;" (4)",""))&lt;lenb($Z101),4,IF(lenb(SUBSTITUTE($Z101,V$1&amp;" (5)",""))&lt;lenb($Z101),5,IF(lenb(SUBSTITUTE($Z101,V$1&amp;" (6)",""))&lt;lenb($Z101),6,IF(lenb(SUBSTITUTE($Z101,V$1&amp;" (7)",""))&lt;lenb($Z101),1,IF(lenb(SUBSTITUTE($Z101,V$1&amp;" (8)",""))&lt;lenb($Z101),8,IF(lenb(SUBSTITUTE($Z101,V$1&amp;" (9)",""))&lt;lenb($Z101),9,IF(lenb(SUBSTITUTE($Z101,V$1&amp;" (10)",""))&lt;lenb($Z101),10,IF(lenb(SUBSTITUTE($Z101,V$1,""))&lt;lenb($Z101),"ERROR",IF($Z101=$Y$1,"-",0))))))))))))</f>
        <v>-</v>
      </c>
      <c r="W101" s="52" t="str">
        <f t="shared" si="106"/>
        <v>-</v>
      </c>
      <c r="X101" s="52" t="str">
        <f t="shared" si="106"/>
        <v>-</v>
      </c>
      <c r="Y101" s="52">
        <f t="shared" si="3"/>
        <v>1</v>
      </c>
      <c r="Z101" s="52" t="s">
        <v>23</v>
      </c>
      <c r="AA101" s="53">
        <f t="shared" si="4"/>
        <v>0</v>
      </c>
      <c r="AB101" s="54">
        <f>COUNTIFS(Links!B:B,"ICSE",Links!C:C,A101,Links!AD:AD,1)</f>
        <v>0</v>
      </c>
      <c r="AC101" s="55" t="s">
        <v>36</v>
      </c>
      <c r="AD101" s="47" t="str">
        <f t="shared" si="5"/>
        <v>No</v>
      </c>
      <c r="AE101" s="56" t="s">
        <v>36</v>
      </c>
      <c r="AF101" s="57" t="s">
        <v>42</v>
      </c>
      <c r="AG101" s="57" t="s">
        <v>42</v>
      </c>
      <c r="AH101" s="57" t="s">
        <v>42</v>
      </c>
      <c r="AI101" s="49" t="str">
        <f t="shared" si="6"/>
        <v>----</v>
      </c>
      <c r="AJ101" s="58" t="str">
        <f t="shared" si="7"/>
        <v>Paper has no link and no statement</v>
      </c>
      <c r="AK101" s="59">
        <v>45034.0</v>
      </c>
      <c r="AL101" s="43" t="s">
        <v>43</v>
      </c>
      <c r="AM101" s="60" t="str">
        <f t="shared" si="8"/>
        <v>[IP1671]</v>
      </c>
    </row>
    <row r="102" ht="67.5" customHeight="1">
      <c r="A102" s="61">
        <v>1672.0</v>
      </c>
      <c r="B102" s="22" t="s">
        <v>292</v>
      </c>
      <c r="C102" s="23">
        <v>2015.0</v>
      </c>
      <c r="D102" s="24" t="s">
        <v>35</v>
      </c>
      <c r="E102" s="25" t="s">
        <v>36</v>
      </c>
      <c r="F102" s="25" t="s">
        <v>36</v>
      </c>
      <c r="G102" s="25" t="s">
        <v>36</v>
      </c>
      <c r="H102" s="25" t="s">
        <v>36</v>
      </c>
      <c r="I102" s="25" t="s">
        <v>36</v>
      </c>
      <c r="J102" s="26" t="s">
        <v>36</v>
      </c>
      <c r="K102" s="27" t="s">
        <v>37</v>
      </c>
      <c r="L102" s="28" t="s">
        <v>37</v>
      </c>
      <c r="M102" s="28" t="s">
        <v>35</v>
      </c>
      <c r="N102" s="28" t="s">
        <v>35</v>
      </c>
      <c r="O102" s="28" t="s">
        <v>35</v>
      </c>
      <c r="P102" s="28" t="s">
        <v>35</v>
      </c>
      <c r="Q102" s="28" t="s">
        <v>35</v>
      </c>
      <c r="R102" s="28" t="s">
        <v>37</v>
      </c>
      <c r="S102" s="29" t="s">
        <v>293</v>
      </c>
      <c r="T102" s="65" t="s">
        <v>294</v>
      </c>
      <c r="U102" s="30" t="s">
        <v>294</v>
      </c>
      <c r="V102" s="32">
        <f t="shared" ref="V102:X102" si="107">IF(lenb(SUBSTITUTE($Z102,V$1&amp;" (1)",""))&lt;lenb($Z102),1,IF(lenb(SUBSTITUTE($Z102,V$1&amp;" (2)",""))&lt;lenb($Z102),2,IF(lenb(SUBSTITUTE($Z102,V$1&amp;" (3)",""))&lt;lenb($Z102),3,IF(lenb(SUBSTITUTE($Z102,V$1&amp;" (4)",""))&lt;lenb($Z102),4,IF(lenb(SUBSTITUTE($Z102,V$1&amp;" (5)",""))&lt;lenb($Z102),5,IF(lenb(SUBSTITUTE($Z102,V$1&amp;" (6)",""))&lt;lenb($Z102),6,IF(lenb(SUBSTITUTE($Z102,V$1&amp;" (7)",""))&lt;lenb($Z102),1,IF(lenb(SUBSTITUTE($Z102,V$1&amp;" (8)",""))&lt;lenb($Z102),8,IF(lenb(SUBSTITUTE($Z102,V$1&amp;" (9)",""))&lt;lenb($Z102),9,IF(lenb(SUBSTITUTE($Z102,V$1&amp;" (10)",""))&lt;lenb($Z102),10,IF(lenb(SUBSTITUTE($Z102,V$1,""))&lt;lenb($Z102),"ERROR",IF($Z102=$Y$1,"-",0))))))))))))</f>
        <v>1</v>
      </c>
      <c r="W102" s="32">
        <f t="shared" si="107"/>
        <v>0</v>
      </c>
      <c r="X102" s="32">
        <f t="shared" si="107"/>
        <v>0</v>
      </c>
      <c r="Y102" s="32" t="str">
        <f t="shared" si="3"/>
        <v>-</v>
      </c>
      <c r="Z102" s="32" t="s">
        <v>62</v>
      </c>
      <c r="AA102" s="33">
        <f t="shared" si="4"/>
        <v>1</v>
      </c>
      <c r="AB102" s="34">
        <f>COUNTIFS(Links!B:B,"ICSE",Links!C:C,A102,Links!AD:AD,1)</f>
        <v>1</v>
      </c>
      <c r="AC102" s="35" t="s">
        <v>35</v>
      </c>
      <c r="AD102" s="27" t="str">
        <f t="shared" si="5"/>
        <v>No</v>
      </c>
      <c r="AE102" s="36" t="s">
        <v>36</v>
      </c>
      <c r="AF102" s="37" t="s">
        <v>42</v>
      </c>
      <c r="AG102" s="37" t="s">
        <v>42</v>
      </c>
      <c r="AH102" s="37" t="s">
        <v>42</v>
      </c>
      <c r="AI102" s="29" t="str">
        <f t="shared" si="6"/>
        <v>----</v>
      </c>
      <c r="AJ102" s="38" t="str">
        <f t="shared" si="7"/>
        <v>Paper has link but no statement</v>
      </c>
      <c r="AK102" s="39">
        <v>45034.0</v>
      </c>
      <c r="AL102" s="23" t="s">
        <v>43</v>
      </c>
      <c r="AM102" s="40" t="str">
        <f t="shared" si="8"/>
        <v>[IP1672]</v>
      </c>
    </row>
    <row r="103" ht="67.5" customHeight="1">
      <c r="A103" s="41">
        <v>1673.0</v>
      </c>
      <c r="B103" s="42" t="s">
        <v>295</v>
      </c>
      <c r="C103" s="43">
        <v>2015.0</v>
      </c>
      <c r="D103" s="44" t="s">
        <v>35</v>
      </c>
      <c r="E103" s="45" t="s">
        <v>36</v>
      </c>
      <c r="F103" s="45" t="s">
        <v>36</v>
      </c>
      <c r="G103" s="45" t="s">
        <v>36</v>
      </c>
      <c r="H103" s="45" t="s">
        <v>36</v>
      </c>
      <c r="I103" s="45" t="s">
        <v>36</v>
      </c>
      <c r="J103" s="46" t="s">
        <v>36</v>
      </c>
      <c r="K103" s="47" t="s">
        <v>37</v>
      </c>
      <c r="L103" s="48" t="s">
        <v>35</v>
      </c>
      <c r="M103" s="48" t="s">
        <v>35</v>
      </c>
      <c r="N103" s="48" t="s">
        <v>35</v>
      </c>
      <c r="O103" s="48" t="s">
        <v>35</v>
      </c>
      <c r="P103" s="48" t="s">
        <v>35</v>
      </c>
      <c r="Q103" s="48" t="s">
        <v>35</v>
      </c>
      <c r="R103" s="48" t="s">
        <v>37</v>
      </c>
      <c r="S103" s="49" t="s">
        <v>296</v>
      </c>
      <c r="T103" s="64" t="s">
        <v>297</v>
      </c>
      <c r="U103" s="50" t="s">
        <v>297</v>
      </c>
      <c r="V103" s="52">
        <f t="shared" ref="V103:X103" si="108">IF(lenb(SUBSTITUTE($Z103,V$1&amp;" (1)",""))&lt;lenb($Z103),1,IF(lenb(SUBSTITUTE($Z103,V$1&amp;" (2)",""))&lt;lenb($Z103),2,IF(lenb(SUBSTITUTE($Z103,V$1&amp;" (3)",""))&lt;lenb($Z103),3,IF(lenb(SUBSTITUTE($Z103,V$1&amp;" (4)",""))&lt;lenb($Z103),4,IF(lenb(SUBSTITUTE($Z103,V$1&amp;" (5)",""))&lt;lenb($Z103),5,IF(lenb(SUBSTITUTE($Z103,V$1&amp;" (6)",""))&lt;lenb($Z103),6,IF(lenb(SUBSTITUTE($Z103,V$1&amp;" (7)",""))&lt;lenb($Z103),1,IF(lenb(SUBSTITUTE($Z103,V$1&amp;" (8)",""))&lt;lenb($Z103),8,IF(lenb(SUBSTITUTE($Z103,V$1&amp;" (9)",""))&lt;lenb($Z103),9,IF(lenb(SUBSTITUTE($Z103,V$1&amp;" (10)",""))&lt;lenb($Z103),10,IF(lenb(SUBSTITUTE($Z103,V$1,""))&lt;lenb($Z103),"ERROR",IF($Z103=$Y$1,"-",0))))))))))))</f>
        <v>0</v>
      </c>
      <c r="W103" s="52">
        <f t="shared" si="108"/>
        <v>1</v>
      </c>
      <c r="X103" s="52">
        <f t="shared" si="108"/>
        <v>0</v>
      </c>
      <c r="Y103" s="52" t="str">
        <f t="shared" si="3"/>
        <v>-</v>
      </c>
      <c r="Z103" s="52" t="s">
        <v>47</v>
      </c>
      <c r="AA103" s="53">
        <f t="shared" si="4"/>
        <v>1</v>
      </c>
      <c r="AB103" s="54">
        <f>COUNTIFS(Links!B:B,"ICSE",Links!C:C,A103,Links!AD:AD,1)</f>
        <v>0</v>
      </c>
      <c r="AC103" s="55" t="s">
        <v>35</v>
      </c>
      <c r="AD103" s="47" t="str">
        <f t="shared" si="5"/>
        <v>No</v>
      </c>
      <c r="AE103" s="56" t="s">
        <v>36</v>
      </c>
      <c r="AF103" s="57" t="s">
        <v>42</v>
      </c>
      <c r="AG103" s="57" t="s">
        <v>42</v>
      </c>
      <c r="AH103" s="57" t="s">
        <v>42</v>
      </c>
      <c r="AI103" s="49" t="str">
        <f t="shared" si="6"/>
        <v>----</v>
      </c>
      <c r="AJ103" s="58" t="str">
        <f t="shared" si="7"/>
        <v>Paper has link but no statement</v>
      </c>
      <c r="AK103" s="59">
        <v>45034.0</v>
      </c>
      <c r="AL103" s="43" t="s">
        <v>43</v>
      </c>
      <c r="AM103" s="60" t="str">
        <f t="shared" si="8"/>
        <v>[IP1673]</v>
      </c>
    </row>
    <row r="104" ht="67.5" customHeight="1">
      <c r="A104" s="61">
        <v>1674.0</v>
      </c>
      <c r="B104" s="22" t="s">
        <v>298</v>
      </c>
      <c r="C104" s="23">
        <v>2015.0</v>
      </c>
      <c r="D104" s="24" t="s">
        <v>35</v>
      </c>
      <c r="E104" s="25" t="s">
        <v>36</v>
      </c>
      <c r="F104" s="25" t="s">
        <v>36</v>
      </c>
      <c r="G104" s="25" t="s">
        <v>36</v>
      </c>
      <c r="H104" s="25" t="s">
        <v>36</v>
      </c>
      <c r="I104" s="25" t="s">
        <v>36</v>
      </c>
      <c r="J104" s="26" t="s">
        <v>36</v>
      </c>
      <c r="K104" s="27" t="s">
        <v>37</v>
      </c>
      <c r="L104" s="28" t="s">
        <v>37</v>
      </c>
      <c r="M104" s="28" t="s">
        <v>35</v>
      </c>
      <c r="N104" s="28" t="s">
        <v>35</v>
      </c>
      <c r="O104" s="28" t="s">
        <v>35</v>
      </c>
      <c r="P104" s="28" t="s">
        <v>35</v>
      </c>
      <c r="Q104" s="28" t="s">
        <v>35</v>
      </c>
      <c r="R104" s="28" t="s">
        <v>37</v>
      </c>
      <c r="S104" s="29" t="s">
        <v>299</v>
      </c>
      <c r="T104" s="65" t="s">
        <v>300</v>
      </c>
      <c r="U104" s="30" t="s">
        <v>300</v>
      </c>
      <c r="V104" s="32">
        <f t="shared" ref="V104:X104" si="109">IF(lenb(SUBSTITUTE($Z104,V$1&amp;" (1)",""))&lt;lenb($Z104),1,IF(lenb(SUBSTITUTE($Z104,V$1&amp;" (2)",""))&lt;lenb($Z104),2,IF(lenb(SUBSTITUTE($Z104,V$1&amp;" (3)",""))&lt;lenb($Z104),3,IF(lenb(SUBSTITUTE($Z104,V$1&amp;" (4)",""))&lt;lenb($Z104),4,IF(lenb(SUBSTITUTE($Z104,V$1&amp;" (5)",""))&lt;lenb($Z104),5,IF(lenb(SUBSTITUTE($Z104,V$1&amp;" (6)",""))&lt;lenb($Z104),6,IF(lenb(SUBSTITUTE($Z104,V$1&amp;" (7)",""))&lt;lenb($Z104),1,IF(lenb(SUBSTITUTE($Z104,V$1&amp;" (8)",""))&lt;lenb($Z104),8,IF(lenb(SUBSTITUTE($Z104,V$1&amp;" (9)",""))&lt;lenb($Z104),9,IF(lenb(SUBSTITUTE($Z104,V$1&amp;" (10)",""))&lt;lenb($Z104),10,IF(lenb(SUBSTITUTE($Z104,V$1,""))&lt;lenb($Z104),"ERROR",IF($Z104=$Y$1,"-",0))))))))))))</f>
        <v>1</v>
      </c>
      <c r="W104" s="32">
        <f t="shared" si="109"/>
        <v>0</v>
      </c>
      <c r="X104" s="32">
        <f t="shared" si="109"/>
        <v>0</v>
      </c>
      <c r="Y104" s="32" t="str">
        <f t="shared" si="3"/>
        <v>-</v>
      </c>
      <c r="Z104" s="32" t="s">
        <v>62</v>
      </c>
      <c r="AA104" s="33">
        <f t="shared" si="4"/>
        <v>1</v>
      </c>
      <c r="AB104" s="34">
        <f>COUNTIFS(Links!B:B,"ICSE",Links!C:C,A104,Links!AD:AD,1)</f>
        <v>1</v>
      </c>
      <c r="AC104" s="35" t="s">
        <v>35</v>
      </c>
      <c r="AD104" s="27" t="str">
        <f t="shared" si="5"/>
        <v>No</v>
      </c>
      <c r="AE104" s="36" t="s">
        <v>36</v>
      </c>
      <c r="AF104" s="37" t="s">
        <v>42</v>
      </c>
      <c r="AG104" s="37" t="s">
        <v>42</v>
      </c>
      <c r="AH104" s="37" t="s">
        <v>42</v>
      </c>
      <c r="AI104" s="29" t="str">
        <f t="shared" si="6"/>
        <v>----</v>
      </c>
      <c r="AJ104" s="38" t="str">
        <f t="shared" si="7"/>
        <v>Paper has link but no statement</v>
      </c>
      <c r="AK104" s="39">
        <v>45034.0</v>
      </c>
      <c r="AL104" s="23" t="s">
        <v>43</v>
      </c>
      <c r="AM104" s="40" t="str">
        <f t="shared" si="8"/>
        <v>[IP1674]</v>
      </c>
    </row>
    <row r="105" ht="67.5" customHeight="1">
      <c r="A105" s="41">
        <v>1675.0</v>
      </c>
      <c r="B105" s="42" t="s">
        <v>301</v>
      </c>
      <c r="C105" s="43">
        <v>2015.0</v>
      </c>
      <c r="D105" s="44" t="s">
        <v>35</v>
      </c>
      <c r="E105" s="45" t="s">
        <v>36</v>
      </c>
      <c r="F105" s="45" t="s">
        <v>36</v>
      </c>
      <c r="G105" s="45" t="s">
        <v>36</v>
      </c>
      <c r="H105" s="45" t="s">
        <v>36</v>
      </c>
      <c r="I105" s="45" t="s">
        <v>36</v>
      </c>
      <c r="J105" s="46" t="s">
        <v>36</v>
      </c>
      <c r="K105" s="47" t="s">
        <v>35</v>
      </c>
      <c r="L105" s="48" t="s">
        <v>36</v>
      </c>
      <c r="M105" s="48" t="s">
        <v>36</v>
      </c>
      <c r="N105" s="48" t="s">
        <v>36</v>
      </c>
      <c r="O105" s="48" t="s">
        <v>36</v>
      </c>
      <c r="P105" s="48" t="s">
        <v>36</v>
      </c>
      <c r="Q105" s="48" t="s">
        <v>36</v>
      </c>
      <c r="R105" s="48" t="s">
        <v>36</v>
      </c>
      <c r="S105" s="49" t="s">
        <v>36</v>
      </c>
      <c r="T105" s="64" t="s">
        <v>36</v>
      </c>
      <c r="U105" s="51" t="s">
        <v>36</v>
      </c>
      <c r="V105" s="52" t="str">
        <f t="shared" ref="V105:X105" si="110">IF(lenb(SUBSTITUTE($Z105,V$1&amp;" (1)",""))&lt;lenb($Z105),1,IF(lenb(SUBSTITUTE($Z105,V$1&amp;" (2)",""))&lt;lenb($Z105),2,IF(lenb(SUBSTITUTE($Z105,V$1&amp;" (3)",""))&lt;lenb($Z105),3,IF(lenb(SUBSTITUTE($Z105,V$1&amp;" (4)",""))&lt;lenb($Z105),4,IF(lenb(SUBSTITUTE($Z105,V$1&amp;" (5)",""))&lt;lenb($Z105),5,IF(lenb(SUBSTITUTE($Z105,V$1&amp;" (6)",""))&lt;lenb($Z105),6,IF(lenb(SUBSTITUTE($Z105,V$1&amp;" (7)",""))&lt;lenb($Z105),1,IF(lenb(SUBSTITUTE($Z105,V$1&amp;" (8)",""))&lt;lenb($Z105),8,IF(lenb(SUBSTITUTE($Z105,V$1&amp;" (9)",""))&lt;lenb($Z105),9,IF(lenb(SUBSTITUTE($Z105,V$1&amp;" (10)",""))&lt;lenb($Z105),10,IF(lenb(SUBSTITUTE($Z105,V$1,""))&lt;lenb($Z105),"ERROR",IF($Z105=$Y$1,"-",0))))))))))))</f>
        <v>-</v>
      </c>
      <c r="W105" s="52" t="str">
        <f t="shared" si="110"/>
        <v>-</v>
      </c>
      <c r="X105" s="52" t="str">
        <f t="shared" si="110"/>
        <v>-</v>
      </c>
      <c r="Y105" s="52">
        <f t="shared" si="3"/>
        <v>1</v>
      </c>
      <c r="Z105" s="52" t="s">
        <v>23</v>
      </c>
      <c r="AA105" s="53">
        <f t="shared" si="4"/>
        <v>0</v>
      </c>
      <c r="AB105" s="54">
        <f>COUNTIFS(Links!B:B,"ICSE",Links!C:C,A105,Links!AD:AD,1)</f>
        <v>0</v>
      </c>
      <c r="AC105" s="55" t="s">
        <v>36</v>
      </c>
      <c r="AD105" s="47" t="str">
        <f t="shared" si="5"/>
        <v>No</v>
      </c>
      <c r="AE105" s="56" t="s">
        <v>36</v>
      </c>
      <c r="AF105" s="57" t="s">
        <v>42</v>
      </c>
      <c r="AG105" s="57" t="s">
        <v>42</v>
      </c>
      <c r="AH105" s="57" t="s">
        <v>42</v>
      </c>
      <c r="AI105" s="49" t="str">
        <f t="shared" si="6"/>
        <v>----</v>
      </c>
      <c r="AJ105" s="58" t="str">
        <f t="shared" si="7"/>
        <v>Paper has no link and no statement</v>
      </c>
      <c r="AK105" s="59">
        <v>45034.0</v>
      </c>
      <c r="AL105" s="43" t="s">
        <v>43</v>
      </c>
      <c r="AM105" s="60" t="str">
        <f t="shared" si="8"/>
        <v>[IP1675]</v>
      </c>
    </row>
    <row r="106" ht="67.5" customHeight="1">
      <c r="A106" s="61">
        <v>1676.0</v>
      </c>
      <c r="B106" s="22" t="s">
        <v>302</v>
      </c>
      <c r="C106" s="23">
        <v>2015.0</v>
      </c>
      <c r="D106" s="24" t="s">
        <v>35</v>
      </c>
      <c r="E106" s="25" t="s">
        <v>36</v>
      </c>
      <c r="F106" s="25" t="s">
        <v>36</v>
      </c>
      <c r="G106" s="25" t="s">
        <v>36</v>
      </c>
      <c r="H106" s="25" t="s">
        <v>36</v>
      </c>
      <c r="I106" s="25" t="s">
        <v>36</v>
      </c>
      <c r="J106" s="26" t="s">
        <v>36</v>
      </c>
      <c r="K106" s="27" t="s">
        <v>37</v>
      </c>
      <c r="L106" s="28" t="s">
        <v>35</v>
      </c>
      <c r="M106" s="28" t="s">
        <v>37</v>
      </c>
      <c r="N106" s="28" t="s">
        <v>37</v>
      </c>
      <c r="O106" s="28" t="s">
        <v>35</v>
      </c>
      <c r="P106" s="28" t="s">
        <v>35</v>
      </c>
      <c r="Q106" s="28" t="s">
        <v>35</v>
      </c>
      <c r="R106" s="28" t="s">
        <v>35</v>
      </c>
      <c r="S106" s="29" t="s">
        <v>303</v>
      </c>
      <c r="T106" s="65" t="s">
        <v>304</v>
      </c>
      <c r="U106" s="30" t="s">
        <v>304</v>
      </c>
      <c r="V106" s="32">
        <f t="shared" ref="V106:X106" si="111">IF(lenb(SUBSTITUTE($Z106,V$1&amp;" (1)",""))&lt;lenb($Z106),1,IF(lenb(SUBSTITUTE($Z106,V$1&amp;" (2)",""))&lt;lenb($Z106),2,IF(lenb(SUBSTITUTE($Z106,V$1&amp;" (3)",""))&lt;lenb($Z106),3,IF(lenb(SUBSTITUTE($Z106,V$1&amp;" (4)",""))&lt;lenb($Z106),4,IF(lenb(SUBSTITUTE($Z106,V$1&amp;" (5)",""))&lt;lenb($Z106),5,IF(lenb(SUBSTITUTE($Z106,V$1&amp;" (6)",""))&lt;lenb($Z106),6,IF(lenb(SUBSTITUTE($Z106,V$1&amp;" (7)",""))&lt;lenb($Z106),1,IF(lenb(SUBSTITUTE($Z106,V$1&amp;" (8)",""))&lt;lenb($Z106),8,IF(lenb(SUBSTITUTE($Z106,V$1&amp;" (9)",""))&lt;lenb($Z106),9,IF(lenb(SUBSTITUTE($Z106,V$1&amp;" (10)",""))&lt;lenb($Z106),10,IF(lenb(SUBSTITUTE($Z106,V$1,""))&lt;lenb($Z106),"ERROR",IF($Z106=$Y$1,"-",0))))))))))))</f>
        <v>0</v>
      </c>
      <c r="W106" s="32">
        <f t="shared" si="111"/>
        <v>2</v>
      </c>
      <c r="X106" s="32">
        <f t="shared" si="111"/>
        <v>0</v>
      </c>
      <c r="Y106" s="32" t="str">
        <f t="shared" si="3"/>
        <v>-</v>
      </c>
      <c r="Z106" s="32" t="s">
        <v>174</v>
      </c>
      <c r="AA106" s="33">
        <f t="shared" si="4"/>
        <v>2</v>
      </c>
      <c r="AB106" s="34">
        <f>COUNTIFS(Links!B:B,"ICSE",Links!C:C,A106,Links!AD:AD,1)</f>
        <v>2</v>
      </c>
      <c r="AC106" s="35" t="s">
        <v>35</v>
      </c>
      <c r="AD106" s="27" t="str">
        <f t="shared" si="5"/>
        <v>No</v>
      </c>
      <c r="AE106" s="36" t="s">
        <v>36</v>
      </c>
      <c r="AF106" s="37" t="s">
        <v>42</v>
      </c>
      <c r="AG106" s="37" t="s">
        <v>42</v>
      </c>
      <c r="AH106" s="37" t="s">
        <v>42</v>
      </c>
      <c r="AI106" s="29" t="str">
        <f t="shared" si="6"/>
        <v>----</v>
      </c>
      <c r="AJ106" s="38" t="str">
        <f t="shared" si="7"/>
        <v>Paper has link but no statement</v>
      </c>
      <c r="AK106" s="39">
        <v>45034.0</v>
      </c>
      <c r="AL106" s="23" t="s">
        <v>43</v>
      </c>
      <c r="AM106" s="40" t="str">
        <f t="shared" si="8"/>
        <v>[IP1676]</v>
      </c>
    </row>
    <row r="107" ht="67.5" customHeight="1">
      <c r="A107" s="41">
        <v>1677.0</v>
      </c>
      <c r="B107" s="42" t="s">
        <v>305</v>
      </c>
      <c r="C107" s="43">
        <v>2015.0</v>
      </c>
      <c r="D107" s="44" t="s">
        <v>35</v>
      </c>
      <c r="E107" s="45" t="s">
        <v>36</v>
      </c>
      <c r="F107" s="45" t="s">
        <v>36</v>
      </c>
      <c r="G107" s="45" t="s">
        <v>36</v>
      </c>
      <c r="H107" s="45" t="s">
        <v>36</v>
      </c>
      <c r="I107" s="45" t="s">
        <v>36</v>
      </c>
      <c r="J107" s="46" t="s">
        <v>36</v>
      </c>
      <c r="K107" s="47" t="s">
        <v>37</v>
      </c>
      <c r="L107" s="48" t="s">
        <v>35</v>
      </c>
      <c r="M107" s="48" t="s">
        <v>37</v>
      </c>
      <c r="N107" s="48" t="s">
        <v>37</v>
      </c>
      <c r="O107" s="48" t="s">
        <v>35</v>
      </c>
      <c r="P107" s="48" t="s">
        <v>35</v>
      </c>
      <c r="Q107" s="48" t="s">
        <v>35</v>
      </c>
      <c r="R107" s="48" t="s">
        <v>37</v>
      </c>
      <c r="S107" s="49" t="s">
        <v>306</v>
      </c>
      <c r="T107" s="64" t="s">
        <v>307</v>
      </c>
      <c r="U107" s="50" t="s">
        <v>307</v>
      </c>
      <c r="V107" s="52">
        <f t="shared" ref="V107:X107" si="112">IF(lenb(SUBSTITUTE($Z107,V$1&amp;" (1)",""))&lt;lenb($Z107),1,IF(lenb(SUBSTITUTE($Z107,V$1&amp;" (2)",""))&lt;lenb($Z107),2,IF(lenb(SUBSTITUTE($Z107,V$1&amp;" (3)",""))&lt;lenb($Z107),3,IF(lenb(SUBSTITUTE($Z107,V$1&amp;" (4)",""))&lt;lenb($Z107),4,IF(lenb(SUBSTITUTE($Z107,V$1&amp;" (5)",""))&lt;lenb($Z107),5,IF(lenb(SUBSTITUTE($Z107,V$1&amp;" (6)",""))&lt;lenb($Z107),6,IF(lenb(SUBSTITUTE($Z107,V$1&amp;" (7)",""))&lt;lenb($Z107),1,IF(lenb(SUBSTITUTE($Z107,V$1&amp;" (8)",""))&lt;lenb($Z107),8,IF(lenb(SUBSTITUTE($Z107,V$1&amp;" (9)",""))&lt;lenb($Z107),9,IF(lenb(SUBSTITUTE($Z107,V$1&amp;" (10)",""))&lt;lenb($Z107),10,IF(lenb(SUBSTITUTE($Z107,V$1,""))&lt;lenb($Z107),"ERROR",IF($Z107=$Y$1,"-",0))))))))))))</f>
        <v>1</v>
      </c>
      <c r="W107" s="52">
        <f t="shared" si="112"/>
        <v>0</v>
      </c>
      <c r="X107" s="52">
        <f t="shared" si="112"/>
        <v>0</v>
      </c>
      <c r="Y107" s="52" t="str">
        <f t="shared" si="3"/>
        <v>-</v>
      </c>
      <c r="Z107" s="52" t="s">
        <v>62</v>
      </c>
      <c r="AA107" s="53">
        <f t="shared" si="4"/>
        <v>1</v>
      </c>
      <c r="AB107" s="54">
        <f>COUNTIFS(Links!B:B,"ICSE",Links!C:C,A107,Links!AD:AD,1)</f>
        <v>1</v>
      </c>
      <c r="AC107" s="55" t="s">
        <v>35</v>
      </c>
      <c r="AD107" s="47" t="str">
        <f t="shared" si="5"/>
        <v>No</v>
      </c>
      <c r="AE107" s="56" t="s">
        <v>36</v>
      </c>
      <c r="AF107" s="57" t="s">
        <v>42</v>
      </c>
      <c r="AG107" s="57" t="s">
        <v>42</v>
      </c>
      <c r="AH107" s="57" t="s">
        <v>42</v>
      </c>
      <c r="AI107" s="49" t="str">
        <f t="shared" si="6"/>
        <v>----</v>
      </c>
      <c r="AJ107" s="58" t="str">
        <f t="shared" si="7"/>
        <v>Paper has link but no statement</v>
      </c>
      <c r="AK107" s="59">
        <v>45034.0</v>
      </c>
      <c r="AL107" s="43" t="s">
        <v>43</v>
      </c>
      <c r="AM107" s="60" t="str">
        <f t="shared" si="8"/>
        <v>[IP1677]</v>
      </c>
    </row>
    <row r="108" ht="67.5" customHeight="1">
      <c r="A108" s="61">
        <v>1678.0</v>
      </c>
      <c r="B108" s="22" t="s">
        <v>308</v>
      </c>
      <c r="C108" s="23">
        <v>2015.0</v>
      </c>
      <c r="D108" s="24" t="s">
        <v>35</v>
      </c>
      <c r="E108" s="25" t="s">
        <v>36</v>
      </c>
      <c r="F108" s="25" t="s">
        <v>36</v>
      </c>
      <c r="G108" s="25" t="s">
        <v>36</v>
      </c>
      <c r="H108" s="25" t="s">
        <v>36</v>
      </c>
      <c r="I108" s="25" t="s">
        <v>36</v>
      </c>
      <c r="J108" s="26" t="s">
        <v>36</v>
      </c>
      <c r="K108" s="27" t="s">
        <v>35</v>
      </c>
      <c r="L108" s="28" t="s">
        <v>36</v>
      </c>
      <c r="M108" s="28" t="s">
        <v>36</v>
      </c>
      <c r="N108" s="28" t="s">
        <v>36</v>
      </c>
      <c r="O108" s="28" t="s">
        <v>36</v>
      </c>
      <c r="P108" s="28" t="s">
        <v>36</v>
      </c>
      <c r="Q108" s="28" t="s">
        <v>36</v>
      </c>
      <c r="R108" s="28" t="s">
        <v>36</v>
      </c>
      <c r="S108" s="29" t="s">
        <v>36</v>
      </c>
      <c r="T108" s="65" t="s">
        <v>36</v>
      </c>
      <c r="U108" s="31" t="s">
        <v>36</v>
      </c>
      <c r="V108" s="32" t="str">
        <f t="shared" ref="V108:X108" si="113">IF(lenb(SUBSTITUTE($Z108,V$1&amp;" (1)",""))&lt;lenb($Z108),1,IF(lenb(SUBSTITUTE($Z108,V$1&amp;" (2)",""))&lt;lenb($Z108),2,IF(lenb(SUBSTITUTE($Z108,V$1&amp;" (3)",""))&lt;lenb($Z108),3,IF(lenb(SUBSTITUTE($Z108,V$1&amp;" (4)",""))&lt;lenb($Z108),4,IF(lenb(SUBSTITUTE($Z108,V$1&amp;" (5)",""))&lt;lenb($Z108),5,IF(lenb(SUBSTITUTE($Z108,V$1&amp;" (6)",""))&lt;lenb($Z108),6,IF(lenb(SUBSTITUTE($Z108,V$1&amp;" (7)",""))&lt;lenb($Z108),1,IF(lenb(SUBSTITUTE($Z108,V$1&amp;" (8)",""))&lt;lenb($Z108),8,IF(lenb(SUBSTITUTE($Z108,V$1&amp;" (9)",""))&lt;lenb($Z108),9,IF(lenb(SUBSTITUTE($Z108,V$1&amp;" (10)",""))&lt;lenb($Z108),10,IF(lenb(SUBSTITUTE($Z108,V$1,""))&lt;lenb($Z108),"ERROR",IF($Z108=$Y$1,"-",0))))))))))))</f>
        <v>-</v>
      </c>
      <c r="W108" s="32" t="str">
        <f t="shared" si="113"/>
        <v>-</v>
      </c>
      <c r="X108" s="32" t="str">
        <f t="shared" si="113"/>
        <v>-</v>
      </c>
      <c r="Y108" s="32">
        <f t="shared" si="3"/>
        <v>1</v>
      </c>
      <c r="Z108" s="32" t="s">
        <v>23</v>
      </c>
      <c r="AA108" s="33">
        <f t="shared" si="4"/>
        <v>0</v>
      </c>
      <c r="AB108" s="34">
        <f>COUNTIFS(Links!B:B,"ICSE",Links!C:C,A108,Links!AD:AD,1)</f>
        <v>0</v>
      </c>
      <c r="AC108" s="35" t="s">
        <v>36</v>
      </c>
      <c r="AD108" s="27" t="str">
        <f t="shared" si="5"/>
        <v>No</v>
      </c>
      <c r="AE108" s="36" t="s">
        <v>36</v>
      </c>
      <c r="AF108" s="37" t="s">
        <v>42</v>
      </c>
      <c r="AG108" s="37" t="s">
        <v>42</v>
      </c>
      <c r="AH108" s="37" t="s">
        <v>42</v>
      </c>
      <c r="AI108" s="29" t="str">
        <f t="shared" si="6"/>
        <v>----</v>
      </c>
      <c r="AJ108" s="38" t="str">
        <f t="shared" si="7"/>
        <v>Paper has no link and no statement</v>
      </c>
      <c r="AK108" s="39">
        <v>45034.0</v>
      </c>
      <c r="AL108" s="23" t="s">
        <v>43</v>
      </c>
      <c r="AM108" s="40" t="str">
        <f t="shared" si="8"/>
        <v>[IP1678]</v>
      </c>
    </row>
    <row r="109" ht="67.5" customHeight="1">
      <c r="A109" s="41">
        <v>1679.0</v>
      </c>
      <c r="B109" s="42" t="s">
        <v>309</v>
      </c>
      <c r="C109" s="43">
        <v>2015.0</v>
      </c>
      <c r="D109" s="44" t="s">
        <v>35</v>
      </c>
      <c r="E109" s="45" t="s">
        <v>36</v>
      </c>
      <c r="F109" s="45" t="s">
        <v>36</v>
      </c>
      <c r="G109" s="45" t="s">
        <v>36</v>
      </c>
      <c r="H109" s="45" t="s">
        <v>36</v>
      </c>
      <c r="I109" s="45" t="s">
        <v>36</v>
      </c>
      <c r="J109" s="46" t="s">
        <v>36</v>
      </c>
      <c r="K109" s="47" t="s">
        <v>37</v>
      </c>
      <c r="L109" s="48" t="s">
        <v>37</v>
      </c>
      <c r="M109" s="48" t="s">
        <v>35</v>
      </c>
      <c r="N109" s="48" t="s">
        <v>37</v>
      </c>
      <c r="O109" s="48" t="s">
        <v>35</v>
      </c>
      <c r="P109" s="48" t="s">
        <v>35</v>
      </c>
      <c r="Q109" s="48" t="s">
        <v>35</v>
      </c>
      <c r="R109" s="48" t="s">
        <v>35</v>
      </c>
      <c r="S109" s="49" t="s">
        <v>310</v>
      </c>
      <c r="T109" s="64" t="s">
        <v>311</v>
      </c>
      <c r="U109" s="50" t="s">
        <v>311</v>
      </c>
      <c r="V109" s="52">
        <f t="shared" ref="V109:X109" si="114">IF(lenb(SUBSTITUTE($Z109,V$1&amp;" (1)",""))&lt;lenb($Z109),1,IF(lenb(SUBSTITUTE($Z109,V$1&amp;" (2)",""))&lt;lenb($Z109),2,IF(lenb(SUBSTITUTE($Z109,V$1&amp;" (3)",""))&lt;lenb($Z109),3,IF(lenb(SUBSTITUTE($Z109,V$1&amp;" (4)",""))&lt;lenb($Z109),4,IF(lenb(SUBSTITUTE($Z109,V$1&amp;" (5)",""))&lt;lenb($Z109),5,IF(lenb(SUBSTITUTE($Z109,V$1&amp;" (6)",""))&lt;lenb($Z109),6,IF(lenb(SUBSTITUTE($Z109,V$1&amp;" (7)",""))&lt;lenb($Z109),1,IF(lenb(SUBSTITUTE($Z109,V$1&amp;" (8)",""))&lt;lenb($Z109),8,IF(lenb(SUBSTITUTE($Z109,V$1&amp;" (9)",""))&lt;lenb($Z109),9,IF(lenb(SUBSTITUTE($Z109,V$1&amp;" (10)",""))&lt;lenb($Z109),10,IF(lenb(SUBSTITUTE($Z109,V$1,""))&lt;lenb($Z109),"ERROR",IF($Z109=$Y$1,"-",0))))))))))))</f>
        <v>0</v>
      </c>
      <c r="W109" s="52">
        <f t="shared" si="114"/>
        <v>1</v>
      </c>
      <c r="X109" s="52">
        <f t="shared" si="114"/>
        <v>0</v>
      </c>
      <c r="Y109" s="52" t="str">
        <f t="shared" si="3"/>
        <v>-</v>
      </c>
      <c r="Z109" s="52" t="s">
        <v>47</v>
      </c>
      <c r="AA109" s="53">
        <f t="shared" si="4"/>
        <v>1</v>
      </c>
      <c r="AB109" s="54">
        <f>COUNTIFS(Links!B:B,"ICSE",Links!C:C,A109,Links!AD:AD,1)</f>
        <v>0</v>
      </c>
      <c r="AC109" s="55" t="s">
        <v>35</v>
      </c>
      <c r="AD109" s="47" t="str">
        <f t="shared" si="5"/>
        <v>No</v>
      </c>
      <c r="AE109" s="56" t="s">
        <v>36</v>
      </c>
      <c r="AF109" s="57" t="s">
        <v>42</v>
      </c>
      <c r="AG109" s="57" t="s">
        <v>42</v>
      </c>
      <c r="AH109" s="57" t="s">
        <v>42</v>
      </c>
      <c r="AI109" s="49" t="str">
        <f t="shared" si="6"/>
        <v>----</v>
      </c>
      <c r="AJ109" s="58" t="str">
        <f t="shared" si="7"/>
        <v>Paper has link but no statement</v>
      </c>
      <c r="AK109" s="59">
        <v>45034.0</v>
      </c>
      <c r="AL109" s="43" t="s">
        <v>43</v>
      </c>
      <c r="AM109" s="60" t="str">
        <f t="shared" si="8"/>
        <v>[IP1679]</v>
      </c>
    </row>
    <row r="110" ht="67.5" customHeight="1">
      <c r="A110" s="61">
        <v>1680.0</v>
      </c>
      <c r="B110" s="22" t="s">
        <v>312</v>
      </c>
      <c r="C110" s="23">
        <v>2015.0</v>
      </c>
      <c r="D110" s="24" t="s">
        <v>35</v>
      </c>
      <c r="E110" s="25" t="s">
        <v>36</v>
      </c>
      <c r="F110" s="25" t="s">
        <v>36</v>
      </c>
      <c r="G110" s="25" t="s">
        <v>36</v>
      </c>
      <c r="H110" s="25" t="s">
        <v>36</v>
      </c>
      <c r="I110" s="25" t="s">
        <v>36</v>
      </c>
      <c r="J110" s="26" t="s">
        <v>36</v>
      </c>
      <c r="K110" s="27" t="s">
        <v>37</v>
      </c>
      <c r="L110" s="28" t="s">
        <v>35</v>
      </c>
      <c r="M110" s="28" t="s">
        <v>37</v>
      </c>
      <c r="N110" s="28" t="s">
        <v>35</v>
      </c>
      <c r="O110" s="28" t="s">
        <v>35</v>
      </c>
      <c r="P110" s="28" t="s">
        <v>35</v>
      </c>
      <c r="Q110" s="28" t="s">
        <v>35</v>
      </c>
      <c r="R110" s="28" t="s">
        <v>37</v>
      </c>
      <c r="S110" s="29" t="s">
        <v>313</v>
      </c>
      <c r="T110" s="65" t="s">
        <v>314</v>
      </c>
      <c r="U110" s="30" t="s">
        <v>314</v>
      </c>
      <c r="V110" s="32">
        <f t="shared" ref="V110:X110" si="115">IF(lenb(SUBSTITUTE($Z110,V$1&amp;" (1)",""))&lt;lenb($Z110),1,IF(lenb(SUBSTITUTE($Z110,V$1&amp;" (2)",""))&lt;lenb($Z110),2,IF(lenb(SUBSTITUTE($Z110,V$1&amp;" (3)",""))&lt;lenb($Z110),3,IF(lenb(SUBSTITUTE($Z110,V$1&amp;" (4)",""))&lt;lenb($Z110),4,IF(lenb(SUBSTITUTE($Z110,V$1&amp;" (5)",""))&lt;lenb($Z110),5,IF(lenb(SUBSTITUTE($Z110,V$1&amp;" (6)",""))&lt;lenb($Z110),6,IF(lenb(SUBSTITUTE($Z110,V$1&amp;" (7)",""))&lt;lenb($Z110),1,IF(lenb(SUBSTITUTE($Z110,V$1&amp;" (8)",""))&lt;lenb($Z110),8,IF(lenb(SUBSTITUTE($Z110,V$1&amp;" (9)",""))&lt;lenb($Z110),9,IF(lenb(SUBSTITUTE($Z110,V$1&amp;" (10)",""))&lt;lenb($Z110),10,IF(lenb(SUBSTITUTE($Z110,V$1,""))&lt;lenb($Z110),"ERROR",IF($Z110=$Y$1,"-",0))))))))))))</f>
        <v>1</v>
      </c>
      <c r="W110" s="32">
        <f t="shared" si="115"/>
        <v>0</v>
      </c>
      <c r="X110" s="32">
        <f t="shared" si="115"/>
        <v>0</v>
      </c>
      <c r="Y110" s="32" t="str">
        <f t="shared" si="3"/>
        <v>-</v>
      </c>
      <c r="Z110" s="32" t="s">
        <v>62</v>
      </c>
      <c r="AA110" s="33">
        <f t="shared" si="4"/>
        <v>1</v>
      </c>
      <c r="AB110" s="34">
        <f>COUNTIFS(Links!B:B,"ICSE",Links!C:C,A110,Links!AD:AD,1)</f>
        <v>0</v>
      </c>
      <c r="AC110" s="35" t="s">
        <v>35</v>
      </c>
      <c r="AD110" s="27" t="str">
        <f t="shared" si="5"/>
        <v>Yes</v>
      </c>
      <c r="AE110" s="36" t="s">
        <v>315</v>
      </c>
      <c r="AF110" s="36" t="s">
        <v>281</v>
      </c>
      <c r="AG110" s="37" t="s">
        <v>42</v>
      </c>
      <c r="AH110" s="37" t="s">
        <v>42</v>
      </c>
      <c r="AI110" s="29" t="str">
        <f t="shared" si="6"/>
        <v>Barriers (Confidentiality and privacy)</v>
      </c>
      <c r="AJ110" s="38" t="str">
        <f t="shared" si="7"/>
        <v>Paper has link and statement</v>
      </c>
      <c r="AK110" s="39">
        <v>45034.0</v>
      </c>
      <c r="AL110" s="23" t="s">
        <v>43</v>
      </c>
      <c r="AM110" s="40" t="str">
        <f t="shared" si="8"/>
        <v>[IP1680]</v>
      </c>
    </row>
    <row r="111" ht="67.5" customHeight="1">
      <c r="A111" s="41">
        <v>1681.0</v>
      </c>
      <c r="B111" s="42" t="s">
        <v>316</v>
      </c>
      <c r="C111" s="43">
        <v>2015.0</v>
      </c>
      <c r="D111" s="44" t="s">
        <v>35</v>
      </c>
      <c r="E111" s="45" t="s">
        <v>36</v>
      </c>
      <c r="F111" s="45" t="s">
        <v>36</v>
      </c>
      <c r="G111" s="45" t="s">
        <v>36</v>
      </c>
      <c r="H111" s="45" t="s">
        <v>36</v>
      </c>
      <c r="I111" s="45" t="s">
        <v>36</v>
      </c>
      <c r="J111" s="46" t="s">
        <v>36</v>
      </c>
      <c r="K111" s="47" t="s">
        <v>35</v>
      </c>
      <c r="L111" s="48" t="s">
        <v>36</v>
      </c>
      <c r="M111" s="48" t="s">
        <v>36</v>
      </c>
      <c r="N111" s="48" t="s">
        <v>36</v>
      </c>
      <c r="O111" s="48" t="s">
        <v>36</v>
      </c>
      <c r="P111" s="48" t="s">
        <v>36</v>
      </c>
      <c r="Q111" s="48" t="s">
        <v>36</v>
      </c>
      <c r="R111" s="48" t="s">
        <v>36</v>
      </c>
      <c r="S111" s="49" t="s">
        <v>36</v>
      </c>
      <c r="T111" s="64" t="s">
        <v>36</v>
      </c>
      <c r="U111" s="51" t="s">
        <v>36</v>
      </c>
      <c r="V111" s="52" t="str">
        <f t="shared" ref="V111:X111" si="116">IF(lenb(SUBSTITUTE($Z111,V$1&amp;" (1)",""))&lt;lenb($Z111),1,IF(lenb(SUBSTITUTE($Z111,V$1&amp;" (2)",""))&lt;lenb($Z111),2,IF(lenb(SUBSTITUTE($Z111,V$1&amp;" (3)",""))&lt;lenb($Z111),3,IF(lenb(SUBSTITUTE($Z111,V$1&amp;" (4)",""))&lt;lenb($Z111),4,IF(lenb(SUBSTITUTE($Z111,V$1&amp;" (5)",""))&lt;lenb($Z111),5,IF(lenb(SUBSTITUTE($Z111,V$1&amp;" (6)",""))&lt;lenb($Z111),6,IF(lenb(SUBSTITUTE($Z111,V$1&amp;" (7)",""))&lt;lenb($Z111),1,IF(lenb(SUBSTITUTE($Z111,V$1&amp;" (8)",""))&lt;lenb($Z111),8,IF(lenb(SUBSTITUTE($Z111,V$1&amp;" (9)",""))&lt;lenb($Z111),9,IF(lenb(SUBSTITUTE($Z111,V$1&amp;" (10)",""))&lt;lenb($Z111),10,IF(lenb(SUBSTITUTE($Z111,V$1,""))&lt;lenb($Z111),"ERROR",IF($Z111=$Y$1,"-",0))))))))))))</f>
        <v>-</v>
      </c>
      <c r="W111" s="52" t="str">
        <f t="shared" si="116"/>
        <v>-</v>
      </c>
      <c r="X111" s="52" t="str">
        <f t="shared" si="116"/>
        <v>-</v>
      </c>
      <c r="Y111" s="52">
        <f t="shared" si="3"/>
        <v>1</v>
      </c>
      <c r="Z111" s="52" t="s">
        <v>23</v>
      </c>
      <c r="AA111" s="53">
        <f t="shared" si="4"/>
        <v>0</v>
      </c>
      <c r="AB111" s="54">
        <f>COUNTIFS(Links!B:B,"ICSE",Links!C:C,A111,Links!AD:AD,1)</f>
        <v>0</v>
      </c>
      <c r="AC111" s="55" t="s">
        <v>36</v>
      </c>
      <c r="AD111" s="47" t="str">
        <f t="shared" si="5"/>
        <v>No</v>
      </c>
      <c r="AE111" s="56" t="s">
        <v>36</v>
      </c>
      <c r="AF111" s="57" t="s">
        <v>42</v>
      </c>
      <c r="AG111" s="57" t="s">
        <v>42</v>
      </c>
      <c r="AH111" s="57" t="s">
        <v>42</v>
      </c>
      <c r="AI111" s="49" t="str">
        <f t="shared" si="6"/>
        <v>----</v>
      </c>
      <c r="AJ111" s="58" t="str">
        <f t="shared" si="7"/>
        <v>Paper has no link and no statement</v>
      </c>
      <c r="AK111" s="59">
        <v>45034.0</v>
      </c>
      <c r="AL111" s="43" t="s">
        <v>43</v>
      </c>
      <c r="AM111" s="60" t="str">
        <f t="shared" si="8"/>
        <v>[IP1681]</v>
      </c>
    </row>
    <row r="112" ht="67.5" customHeight="1">
      <c r="A112" s="61">
        <v>1682.0</v>
      </c>
      <c r="B112" s="22" t="s">
        <v>317</v>
      </c>
      <c r="C112" s="23">
        <v>2015.0</v>
      </c>
      <c r="D112" s="24" t="s">
        <v>35</v>
      </c>
      <c r="E112" s="25" t="s">
        <v>36</v>
      </c>
      <c r="F112" s="25" t="s">
        <v>36</v>
      </c>
      <c r="G112" s="25" t="s">
        <v>36</v>
      </c>
      <c r="H112" s="25" t="s">
        <v>36</v>
      </c>
      <c r="I112" s="25" t="s">
        <v>36</v>
      </c>
      <c r="J112" s="26" t="s">
        <v>36</v>
      </c>
      <c r="K112" s="27" t="s">
        <v>35</v>
      </c>
      <c r="L112" s="28" t="s">
        <v>36</v>
      </c>
      <c r="M112" s="28" t="s">
        <v>36</v>
      </c>
      <c r="N112" s="28" t="s">
        <v>36</v>
      </c>
      <c r="O112" s="28" t="s">
        <v>36</v>
      </c>
      <c r="P112" s="28" t="s">
        <v>36</v>
      </c>
      <c r="Q112" s="28" t="s">
        <v>36</v>
      </c>
      <c r="R112" s="28" t="s">
        <v>36</v>
      </c>
      <c r="S112" s="29" t="s">
        <v>36</v>
      </c>
      <c r="T112" s="65" t="s">
        <v>36</v>
      </c>
      <c r="U112" s="31" t="s">
        <v>36</v>
      </c>
      <c r="V112" s="32" t="str">
        <f t="shared" ref="V112:X112" si="117">IF(lenb(SUBSTITUTE($Z112,V$1&amp;" (1)",""))&lt;lenb($Z112),1,IF(lenb(SUBSTITUTE($Z112,V$1&amp;" (2)",""))&lt;lenb($Z112),2,IF(lenb(SUBSTITUTE($Z112,V$1&amp;" (3)",""))&lt;lenb($Z112),3,IF(lenb(SUBSTITUTE($Z112,V$1&amp;" (4)",""))&lt;lenb($Z112),4,IF(lenb(SUBSTITUTE($Z112,V$1&amp;" (5)",""))&lt;lenb($Z112),5,IF(lenb(SUBSTITUTE($Z112,V$1&amp;" (6)",""))&lt;lenb($Z112),6,IF(lenb(SUBSTITUTE($Z112,V$1&amp;" (7)",""))&lt;lenb($Z112),1,IF(lenb(SUBSTITUTE($Z112,V$1&amp;" (8)",""))&lt;lenb($Z112),8,IF(lenb(SUBSTITUTE($Z112,V$1&amp;" (9)",""))&lt;lenb($Z112),9,IF(lenb(SUBSTITUTE($Z112,V$1&amp;" (10)",""))&lt;lenb($Z112),10,IF(lenb(SUBSTITUTE($Z112,V$1,""))&lt;lenb($Z112),"ERROR",IF($Z112=$Y$1,"-",0))))))))))))</f>
        <v>-</v>
      </c>
      <c r="W112" s="32" t="str">
        <f t="shared" si="117"/>
        <v>-</v>
      </c>
      <c r="X112" s="32" t="str">
        <f t="shared" si="117"/>
        <v>-</v>
      </c>
      <c r="Y112" s="32">
        <f t="shared" si="3"/>
        <v>1</v>
      </c>
      <c r="Z112" s="32" t="s">
        <v>23</v>
      </c>
      <c r="AA112" s="33">
        <f t="shared" si="4"/>
        <v>0</v>
      </c>
      <c r="AB112" s="34">
        <f>COUNTIFS(Links!B:B,"ICSE",Links!C:C,A112,Links!AD:AD,1)</f>
        <v>0</v>
      </c>
      <c r="AC112" s="35" t="s">
        <v>36</v>
      </c>
      <c r="AD112" s="27" t="str">
        <f t="shared" si="5"/>
        <v>No</v>
      </c>
      <c r="AE112" s="36" t="s">
        <v>36</v>
      </c>
      <c r="AF112" s="37" t="s">
        <v>42</v>
      </c>
      <c r="AG112" s="37" t="s">
        <v>42</v>
      </c>
      <c r="AH112" s="37" t="s">
        <v>42</v>
      </c>
      <c r="AI112" s="29" t="str">
        <f t="shared" si="6"/>
        <v>----</v>
      </c>
      <c r="AJ112" s="38" t="str">
        <f t="shared" si="7"/>
        <v>Paper has no link and no statement</v>
      </c>
      <c r="AK112" s="39">
        <v>45034.0</v>
      </c>
      <c r="AL112" s="23" t="s">
        <v>43</v>
      </c>
      <c r="AM112" s="40" t="str">
        <f t="shared" si="8"/>
        <v>[IP1682]</v>
      </c>
    </row>
    <row r="113" ht="67.5" customHeight="1">
      <c r="A113" s="41">
        <v>1683.0</v>
      </c>
      <c r="B113" s="42" t="s">
        <v>318</v>
      </c>
      <c r="C113" s="43">
        <v>2015.0</v>
      </c>
      <c r="D113" s="44" t="s">
        <v>35</v>
      </c>
      <c r="E113" s="45" t="s">
        <v>36</v>
      </c>
      <c r="F113" s="45" t="s">
        <v>36</v>
      </c>
      <c r="G113" s="45" t="s">
        <v>36</v>
      </c>
      <c r="H113" s="45" t="s">
        <v>36</v>
      </c>
      <c r="I113" s="45" t="s">
        <v>36</v>
      </c>
      <c r="J113" s="46" t="s">
        <v>36</v>
      </c>
      <c r="K113" s="47" t="s">
        <v>35</v>
      </c>
      <c r="L113" s="48" t="s">
        <v>36</v>
      </c>
      <c r="M113" s="48" t="s">
        <v>36</v>
      </c>
      <c r="N113" s="48" t="s">
        <v>36</v>
      </c>
      <c r="O113" s="48" t="s">
        <v>36</v>
      </c>
      <c r="P113" s="48" t="s">
        <v>36</v>
      </c>
      <c r="Q113" s="48" t="s">
        <v>36</v>
      </c>
      <c r="R113" s="48" t="s">
        <v>36</v>
      </c>
      <c r="S113" s="49" t="s">
        <v>36</v>
      </c>
      <c r="T113" s="64" t="s">
        <v>36</v>
      </c>
      <c r="U113" s="51" t="s">
        <v>36</v>
      </c>
      <c r="V113" s="52" t="str">
        <f t="shared" ref="V113:X113" si="118">IF(lenb(SUBSTITUTE($Z113,V$1&amp;" (1)",""))&lt;lenb($Z113),1,IF(lenb(SUBSTITUTE($Z113,V$1&amp;" (2)",""))&lt;lenb($Z113),2,IF(lenb(SUBSTITUTE($Z113,V$1&amp;" (3)",""))&lt;lenb($Z113),3,IF(lenb(SUBSTITUTE($Z113,V$1&amp;" (4)",""))&lt;lenb($Z113),4,IF(lenb(SUBSTITUTE($Z113,V$1&amp;" (5)",""))&lt;lenb($Z113),5,IF(lenb(SUBSTITUTE($Z113,V$1&amp;" (6)",""))&lt;lenb($Z113),6,IF(lenb(SUBSTITUTE($Z113,V$1&amp;" (7)",""))&lt;lenb($Z113),1,IF(lenb(SUBSTITUTE($Z113,V$1&amp;" (8)",""))&lt;lenb($Z113),8,IF(lenb(SUBSTITUTE($Z113,V$1&amp;" (9)",""))&lt;lenb($Z113),9,IF(lenb(SUBSTITUTE($Z113,V$1&amp;" (10)",""))&lt;lenb($Z113),10,IF(lenb(SUBSTITUTE($Z113,V$1,""))&lt;lenb($Z113),"ERROR",IF($Z113=$Y$1,"-",0))))))))))))</f>
        <v>-</v>
      </c>
      <c r="W113" s="52" t="str">
        <f t="shared" si="118"/>
        <v>-</v>
      </c>
      <c r="X113" s="52" t="str">
        <f t="shared" si="118"/>
        <v>-</v>
      </c>
      <c r="Y113" s="52">
        <f t="shared" si="3"/>
        <v>1</v>
      </c>
      <c r="Z113" s="52" t="s">
        <v>23</v>
      </c>
      <c r="AA113" s="53">
        <f t="shared" si="4"/>
        <v>0</v>
      </c>
      <c r="AB113" s="54">
        <f>COUNTIFS(Links!B:B,"ICSE",Links!C:C,A113,Links!AD:AD,1)</f>
        <v>0</v>
      </c>
      <c r="AC113" s="55" t="s">
        <v>36</v>
      </c>
      <c r="AD113" s="47" t="str">
        <f t="shared" si="5"/>
        <v>No</v>
      </c>
      <c r="AE113" s="56" t="s">
        <v>36</v>
      </c>
      <c r="AF113" s="57" t="s">
        <v>42</v>
      </c>
      <c r="AG113" s="57" t="s">
        <v>42</v>
      </c>
      <c r="AH113" s="57" t="s">
        <v>42</v>
      </c>
      <c r="AI113" s="49" t="str">
        <f t="shared" si="6"/>
        <v>----</v>
      </c>
      <c r="AJ113" s="58" t="str">
        <f t="shared" si="7"/>
        <v>Paper has no link and no statement</v>
      </c>
      <c r="AK113" s="59">
        <v>45034.0</v>
      </c>
      <c r="AL113" s="43" t="s">
        <v>43</v>
      </c>
      <c r="AM113" s="60" t="str">
        <f t="shared" si="8"/>
        <v>[IP1683]</v>
      </c>
    </row>
    <row r="114" ht="67.5" customHeight="1">
      <c r="A114" s="61">
        <v>1684.0</v>
      </c>
      <c r="B114" s="22" t="s">
        <v>319</v>
      </c>
      <c r="C114" s="23">
        <v>2015.0</v>
      </c>
      <c r="D114" s="24" t="s">
        <v>35</v>
      </c>
      <c r="E114" s="25" t="s">
        <v>36</v>
      </c>
      <c r="F114" s="25" t="s">
        <v>36</v>
      </c>
      <c r="G114" s="25" t="s">
        <v>36</v>
      </c>
      <c r="H114" s="25" t="s">
        <v>36</v>
      </c>
      <c r="I114" s="25" t="s">
        <v>36</v>
      </c>
      <c r="J114" s="26" t="s">
        <v>36</v>
      </c>
      <c r="K114" s="27" t="s">
        <v>35</v>
      </c>
      <c r="L114" s="28" t="s">
        <v>36</v>
      </c>
      <c r="M114" s="28" t="s">
        <v>36</v>
      </c>
      <c r="N114" s="28" t="s">
        <v>36</v>
      </c>
      <c r="O114" s="28" t="s">
        <v>36</v>
      </c>
      <c r="P114" s="28" t="s">
        <v>36</v>
      </c>
      <c r="Q114" s="28" t="s">
        <v>36</v>
      </c>
      <c r="R114" s="28" t="s">
        <v>36</v>
      </c>
      <c r="S114" s="29" t="s">
        <v>36</v>
      </c>
      <c r="T114" s="65" t="s">
        <v>36</v>
      </c>
      <c r="U114" s="31" t="s">
        <v>36</v>
      </c>
      <c r="V114" s="32" t="str">
        <f t="shared" ref="V114:X114" si="119">IF(lenb(SUBSTITUTE($Z114,V$1&amp;" (1)",""))&lt;lenb($Z114),1,IF(lenb(SUBSTITUTE($Z114,V$1&amp;" (2)",""))&lt;lenb($Z114),2,IF(lenb(SUBSTITUTE($Z114,V$1&amp;" (3)",""))&lt;lenb($Z114),3,IF(lenb(SUBSTITUTE($Z114,V$1&amp;" (4)",""))&lt;lenb($Z114),4,IF(lenb(SUBSTITUTE($Z114,V$1&amp;" (5)",""))&lt;lenb($Z114),5,IF(lenb(SUBSTITUTE($Z114,V$1&amp;" (6)",""))&lt;lenb($Z114),6,IF(lenb(SUBSTITUTE($Z114,V$1&amp;" (7)",""))&lt;lenb($Z114),1,IF(lenb(SUBSTITUTE($Z114,V$1&amp;" (8)",""))&lt;lenb($Z114),8,IF(lenb(SUBSTITUTE($Z114,V$1&amp;" (9)",""))&lt;lenb($Z114),9,IF(lenb(SUBSTITUTE($Z114,V$1&amp;" (10)",""))&lt;lenb($Z114),10,IF(lenb(SUBSTITUTE($Z114,V$1,""))&lt;lenb($Z114),"ERROR",IF($Z114=$Y$1,"-",0))))))))))))</f>
        <v>-</v>
      </c>
      <c r="W114" s="32" t="str">
        <f t="shared" si="119"/>
        <v>-</v>
      </c>
      <c r="X114" s="32" t="str">
        <f t="shared" si="119"/>
        <v>-</v>
      </c>
      <c r="Y114" s="32">
        <f t="shared" si="3"/>
        <v>1</v>
      </c>
      <c r="Z114" s="32" t="s">
        <v>23</v>
      </c>
      <c r="AA114" s="33">
        <f t="shared" si="4"/>
        <v>0</v>
      </c>
      <c r="AB114" s="34">
        <f>COUNTIFS(Links!B:B,"ICSE",Links!C:C,A114,Links!AD:AD,1)</f>
        <v>0</v>
      </c>
      <c r="AC114" s="35" t="s">
        <v>36</v>
      </c>
      <c r="AD114" s="27" t="str">
        <f t="shared" si="5"/>
        <v>No</v>
      </c>
      <c r="AE114" s="36" t="s">
        <v>36</v>
      </c>
      <c r="AF114" s="37" t="s">
        <v>42</v>
      </c>
      <c r="AG114" s="37" t="s">
        <v>42</v>
      </c>
      <c r="AH114" s="37" t="s">
        <v>42</v>
      </c>
      <c r="AI114" s="29" t="str">
        <f t="shared" si="6"/>
        <v>----</v>
      </c>
      <c r="AJ114" s="38" t="str">
        <f t="shared" si="7"/>
        <v>Paper has no link and no statement</v>
      </c>
      <c r="AK114" s="39">
        <v>45034.0</v>
      </c>
      <c r="AL114" s="23" t="s">
        <v>43</v>
      </c>
      <c r="AM114" s="40" t="str">
        <f t="shared" si="8"/>
        <v>[IP1684]</v>
      </c>
    </row>
    <row r="115" ht="67.5" customHeight="1">
      <c r="A115" s="41">
        <v>1685.0</v>
      </c>
      <c r="B115" s="42" t="s">
        <v>320</v>
      </c>
      <c r="C115" s="43">
        <v>2015.0</v>
      </c>
      <c r="D115" s="44" t="s">
        <v>35</v>
      </c>
      <c r="E115" s="45" t="s">
        <v>36</v>
      </c>
      <c r="F115" s="45" t="s">
        <v>36</v>
      </c>
      <c r="G115" s="45" t="s">
        <v>36</v>
      </c>
      <c r="H115" s="45" t="s">
        <v>36</v>
      </c>
      <c r="I115" s="45" t="s">
        <v>36</v>
      </c>
      <c r="J115" s="46" t="s">
        <v>36</v>
      </c>
      <c r="K115" s="47" t="s">
        <v>37</v>
      </c>
      <c r="L115" s="48" t="s">
        <v>35</v>
      </c>
      <c r="M115" s="48" t="s">
        <v>35</v>
      </c>
      <c r="N115" s="48" t="s">
        <v>37</v>
      </c>
      <c r="O115" s="48" t="s">
        <v>35</v>
      </c>
      <c r="P115" s="48" t="s">
        <v>35</v>
      </c>
      <c r="Q115" s="48" t="s">
        <v>35</v>
      </c>
      <c r="R115" s="48" t="s">
        <v>35</v>
      </c>
      <c r="S115" s="49" t="s">
        <v>289</v>
      </c>
      <c r="T115" s="64" t="s">
        <v>321</v>
      </c>
      <c r="U115" s="50" t="s">
        <v>321</v>
      </c>
      <c r="V115" s="52">
        <f t="shared" ref="V115:X115" si="120">IF(lenb(SUBSTITUTE($Z115,V$1&amp;" (1)",""))&lt;lenb($Z115),1,IF(lenb(SUBSTITUTE($Z115,V$1&amp;" (2)",""))&lt;lenb($Z115),2,IF(lenb(SUBSTITUTE($Z115,V$1&amp;" (3)",""))&lt;lenb($Z115),3,IF(lenb(SUBSTITUTE($Z115,V$1&amp;" (4)",""))&lt;lenb($Z115),4,IF(lenb(SUBSTITUTE($Z115,V$1&amp;" (5)",""))&lt;lenb($Z115),5,IF(lenb(SUBSTITUTE($Z115,V$1&amp;" (6)",""))&lt;lenb($Z115),6,IF(lenb(SUBSTITUTE($Z115,V$1&amp;" (7)",""))&lt;lenb($Z115),1,IF(lenb(SUBSTITUTE($Z115,V$1&amp;" (8)",""))&lt;lenb($Z115),8,IF(lenb(SUBSTITUTE($Z115,V$1&amp;" (9)",""))&lt;lenb($Z115),9,IF(lenb(SUBSTITUTE($Z115,V$1&amp;" (10)",""))&lt;lenb($Z115),10,IF(lenb(SUBSTITUTE($Z115,V$1,""))&lt;lenb($Z115),"ERROR",IF($Z115=$Y$1,"-",0))))))))))))</f>
        <v>1</v>
      </c>
      <c r="W115" s="52">
        <f t="shared" si="120"/>
        <v>0</v>
      </c>
      <c r="X115" s="52">
        <f t="shared" si="120"/>
        <v>0</v>
      </c>
      <c r="Y115" s="52" t="str">
        <f t="shared" si="3"/>
        <v>-</v>
      </c>
      <c r="Z115" s="52" t="s">
        <v>62</v>
      </c>
      <c r="AA115" s="53">
        <f t="shared" si="4"/>
        <v>1</v>
      </c>
      <c r="AB115" s="54">
        <f>COUNTIFS(Links!B:B,"ICSE",Links!C:C,A115,Links!AD:AD,1)</f>
        <v>0</v>
      </c>
      <c r="AC115" s="55" t="s">
        <v>35</v>
      </c>
      <c r="AD115" s="47" t="str">
        <f t="shared" si="5"/>
        <v>No</v>
      </c>
      <c r="AE115" s="56" t="s">
        <v>36</v>
      </c>
      <c r="AF115" s="57" t="s">
        <v>42</v>
      </c>
      <c r="AG115" s="57" t="s">
        <v>42</v>
      </c>
      <c r="AH115" s="57" t="s">
        <v>42</v>
      </c>
      <c r="AI115" s="49" t="str">
        <f t="shared" si="6"/>
        <v>----</v>
      </c>
      <c r="AJ115" s="58" t="str">
        <f t="shared" si="7"/>
        <v>Paper has link but no statement</v>
      </c>
      <c r="AK115" s="59">
        <v>45034.0</v>
      </c>
      <c r="AL115" s="43" t="s">
        <v>43</v>
      </c>
      <c r="AM115" s="60" t="str">
        <f t="shared" si="8"/>
        <v>[IP1685]</v>
      </c>
    </row>
    <row r="116" ht="67.5" customHeight="1">
      <c r="A116" s="61">
        <v>1686.0</v>
      </c>
      <c r="B116" s="22" t="s">
        <v>322</v>
      </c>
      <c r="C116" s="23">
        <v>2015.0</v>
      </c>
      <c r="D116" s="24" t="s">
        <v>35</v>
      </c>
      <c r="E116" s="25" t="s">
        <v>36</v>
      </c>
      <c r="F116" s="25" t="s">
        <v>36</v>
      </c>
      <c r="G116" s="25" t="s">
        <v>36</v>
      </c>
      <c r="H116" s="25" t="s">
        <v>36</v>
      </c>
      <c r="I116" s="25" t="s">
        <v>36</v>
      </c>
      <c r="J116" s="26" t="s">
        <v>36</v>
      </c>
      <c r="K116" s="27" t="s">
        <v>35</v>
      </c>
      <c r="L116" s="28" t="s">
        <v>36</v>
      </c>
      <c r="M116" s="28" t="s">
        <v>36</v>
      </c>
      <c r="N116" s="28" t="s">
        <v>36</v>
      </c>
      <c r="O116" s="28" t="s">
        <v>36</v>
      </c>
      <c r="P116" s="28" t="s">
        <v>36</v>
      </c>
      <c r="Q116" s="28" t="s">
        <v>36</v>
      </c>
      <c r="R116" s="28" t="s">
        <v>36</v>
      </c>
      <c r="S116" s="29" t="s">
        <v>36</v>
      </c>
      <c r="T116" s="65" t="s">
        <v>36</v>
      </c>
      <c r="U116" s="31" t="s">
        <v>36</v>
      </c>
      <c r="V116" s="32" t="str">
        <f t="shared" ref="V116:X116" si="121">IF(lenb(SUBSTITUTE($Z116,V$1&amp;" (1)",""))&lt;lenb($Z116),1,IF(lenb(SUBSTITUTE($Z116,V$1&amp;" (2)",""))&lt;lenb($Z116),2,IF(lenb(SUBSTITUTE($Z116,V$1&amp;" (3)",""))&lt;lenb($Z116),3,IF(lenb(SUBSTITUTE($Z116,V$1&amp;" (4)",""))&lt;lenb($Z116),4,IF(lenb(SUBSTITUTE($Z116,V$1&amp;" (5)",""))&lt;lenb($Z116),5,IF(lenb(SUBSTITUTE($Z116,V$1&amp;" (6)",""))&lt;lenb($Z116),6,IF(lenb(SUBSTITUTE($Z116,V$1&amp;" (7)",""))&lt;lenb($Z116),1,IF(lenb(SUBSTITUTE($Z116,V$1&amp;" (8)",""))&lt;lenb($Z116),8,IF(lenb(SUBSTITUTE($Z116,V$1&amp;" (9)",""))&lt;lenb($Z116),9,IF(lenb(SUBSTITUTE($Z116,V$1&amp;" (10)",""))&lt;lenb($Z116),10,IF(lenb(SUBSTITUTE($Z116,V$1,""))&lt;lenb($Z116),"ERROR",IF($Z116=$Y$1,"-",0))))))))))))</f>
        <v>-</v>
      </c>
      <c r="W116" s="32" t="str">
        <f t="shared" si="121"/>
        <v>-</v>
      </c>
      <c r="X116" s="32" t="str">
        <f t="shared" si="121"/>
        <v>-</v>
      </c>
      <c r="Y116" s="32">
        <f t="shared" si="3"/>
        <v>1</v>
      </c>
      <c r="Z116" s="32" t="s">
        <v>23</v>
      </c>
      <c r="AA116" s="33">
        <f t="shared" si="4"/>
        <v>0</v>
      </c>
      <c r="AB116" s="34">
        <f>COUNTIFS(Links!B:B,"ICSE",Links!C:C,A116,Links!AD:AD,1)</f>
        <v>0</v>
      </c>
      <c r="AC116" s="35" t="s">
        <v>36</v>
      </c>
      <c r="AD116" s="27" t="str">
        <f t="shared" si="5"/>
        <v>No</v>
      </c>
      <c r="AE116" s="36" t="s">
        <v>36</v>
      </c>
      <c r="AF116" s="37" t="s">
        <v>42</v>
      </c>
      <c r="AG116" s="37" t="s">
        <v>42</v>
      </c>
      <c r="AH116" s="37" t="s">
        <v>42</v>
      </c>
      <c r="AI116" s="29" t="str">
        <f t="shared" si="6"/>
        <v>----</v>
      </c>
      <c r="AJ116" s="38" t="str">
        <f t="shared" si="7"/>
        <v>Paper has no link and no statement</v>
      </c>
      <c r="AK116" s="39">
        <v>45034.0</v>
      </c>
      <c r="AL116" s="23" t="s">
        <v>43</v>
      </c>
      <c r="AM116" s="40" t="str">
        <f t="shared" si="8"/>
        <v>[IP1686]</v>
      </c>
    </row>
    <row r="117" ht="67.5" customHeight="1">
      <c r="A117" s="41">
        <v>1687.0</v>
      </c>
      <c r="B117" s="42" t="s">
        <v>323</v>
      </c>
      <c r="C117" s="43">
        <v>2015.0</v>
      </c>
      <c r="D117" s="44" t="s">
        <v>35</v>
      </c>
      <c r="E117" s="45" t="s">
        <v>36</v>
      </c>
      <c r="F117" s="45" t="s">
        <v>36</v>
      </c>
      <c r="G117" s="45" t="s">
        <v>36</v>
      </c>
      <c r="H117" s="45" t="s">
        <v>36</v>
      </c>
      <c r="I117" s="45" t="s">
        <v>36</v>
      </c>
      <c r="J117" s="46" t="s">
        <v>36</v>
      </c>
      <c r="K117" s="47" t="s">
        <v>37</v>
      </c>
      <c r="L117" s="48" t="s">
        <v>35</v>
      </c>
      <c r="M117" s="48" t="s">
        <v>37</v>
      </c>
      <c r="N117" s="48" t="s">
        <v>37</v>
      </c>
      <c r="O117" s="48" t="s">
        <v>35</v>
      </c>
      <c r="P117" s="48" t="s">
        <v>35</v>
      </c>
      <c r="Q117" s="48" t="s">
        <v>35</v>
      </c>
      <c r="R117" s="48" t="s">
        <v>37</v>
      </c>
      <c r="S117" s="49" t="s">
        <v>324</v>
      </c>
      <c r="T117" s="64" t="s">
        <v>325</v>
      </c>
      <c r="U117" s="50" t="s">
        <v>325</v>
      </c>
      <c r="V117" s="52">
        <f t="shared" ref="V117:X117" si="122">IF(lenb(SUBSTITUTE($Z117,V$1&amp;" (1)",""))&lt;lenb($Z117),1,IF(lenb(SUBSTITUTE($Z117,V$1&amp;" (2)",""))&lt;lenb($Z117),2,IF(lenb(SUBSTITUTE($Z117,V$1&amp;" (3)",""))&lt;lenb($Z117),3,IF(lenb(SUBSTITUTE($Z117,V$1&amp;" (4)",""))&lt;lenb($Z117),4,IF(lenb(SUBSTITUTE($Z117,V$1&amp;" (5)",""))&lt;lenb($Z117),5,IF(lenb(SUBSTITUTE($Z117,V$1&amp;" (6)",""))&lt;lenb($Z117),6,IF(lenb(SUBSTITUTE($Z117,V$1&amp;" (7)",""))&lt;lenb($Z117),1,IF(lenb(SUBSTITUTE($Z117,V$1&amp;" (8)",""))&lt;lenb($Z117),8,IF(lenb(SUBSTITUTE($Z117,V$1&amp;" (9)",""))&lt;lenb($Z117),9,IF(lenb(SUBSTITUTE($Z117,V$1&amp;" (10)",""))&lt;lenb($Z117),10,IF(lenb(SUBSTITUTE($Z117,V$1,""))&lt;lenb($Z117),"ERROR",IF($Z117=$Y$1,"-",0))))))))))))</f>
        <v>1</v>
      </c>
      <c r="W117" s="52">
        <f t="shared" si="122"/>
        <v>0</v>
      </c>
      <c r="X117" s="52">
        <f t="shared" si="122"/>
        <v>0</v>
      </c>
      <c r="Y117" s="52" t="str">
        <f t="shared" si="3"/>
        <v>-</v>
      </c>
      <c r="Z117" s="52" t="s">
        <v>62</v>
      </c>
      <c r="AA117" s="53">
        <f t="shared" si="4"/>
        <v>1</v>
      </c>
      <c r="AB117" s="54">
        <f>COUNTIFS(Links!B:B,"ICSE",Links!C:C,A117,Links!AD:AD,1)</f>
        <v>0</v>
      </c>
      <c r="AC117" s="55" t="s">
        <v>35</v>
      </c>
      <c r="AD117" s="47" t="str">
        <f t="shared" si="5"/>
        <v>No</v>
      </c>
      <c r="AE117" s="56" t="s">
        <v>36</v>
      </c>
      <c r="AF117" s="57" t="s">
        <v>42</v>
      </c>
      <c r="AG117" s="57" t="s">
        <v>42</v>
      </c>
      <c r="AH117" s="57" t="s">
        <v>42</v>
      </c>
      <c r="AI117" s="49" t="str">
        <f t="shared" si="6"/>
        <v>----</v>
      </c>
      <c r="AJ117" s="58" t="str">
        <f t="shared" si="7"/>
        <v>Paper has link but no statement</v>
      </c>
      <c r="AK117" s="59">
        <v>45034.0</v>
      </c>
      <c r="AL117" s="43" t="s">
        <v>43</v>
      </c>
      <c r="AM117" s="60" t="str">
        <f t="shared" si="8"/>
        <v>[IP1687]</v>
      </c>
    </row>
    <row r="118" ht="67.5" customHeight="1">
      <c r="A118" s="21">
        <v>1688.0</v>
      </c>
      <c r="B118" s="22" t="s">
        <v>326</v>
      </c>
      <c r="C118" s="23">
        <v>2015.0</v>
      </c>
      <c r="D118" s="24" t="s">
        <v>35</v>
      </c>
      <c r="E118" s="25" t="s">
        <v>36</v>
      </c>
      <c r="F118" s="25" t="s">
        <v>36</v>
      </c>
      <c r="G118" s="25" t="s">
        <v>36</v>
      </c>
      <c r="H118" s="25" t="s">
        <v>36</v>
      </c>
      <c r="I118" s="25" t="s">
        <v>36</v>
      </c>
      <c r="J118" s="26" t="s">
        <v>36</v>
      </c>
      <c r="K118" s="27" t="s">
        <v>37</v>
      </c>
      <c r="L118" s="28" t="s">
        <v>35</v>
      </c>
      <c r="M118" s="28" t="s">
        <v>37</v>
      </c>
      <c r="N118" s="28" t="s">
        <v>37</v>
      </c>
      <c r="O118" s="28" t="s">
        <v>35</v>
      </c>
      <c r="P118" s="28" t="s">
        <v>35</v>
      </c>
      <c r="Q118" s="28" t="s">
        <v>35</v>
      </c>
      <c r="R118" s="28" t="s">
        <v>37</v>
      </c>
      <c r="S118" s="29" t="s">
        <v>327</v>
      </c>
      <c r="T118" s="65" t="s">
        <v>328</v>
      </c>
      <c r="U118" s="30" t="s">
        <v>328</v>
      </c>
      <c r="V118" s="32">
        <f t="shared" ref="V118:X118" si="123">IF(lenb(SUBSTITUTE($Z118,V$1&amp;" (1)",""))&lt;lenb($Z118),1,IF(lenb(SUBSTITUTE($Z118,V$1&amp;" (2)",""))&lt;lenb($Z118),2,IF(lenb(SUBSTITUTE($Z118,V$1&amp;" (3)",""))&lt;lenb($Z118),3,IF(lenb(SUBSTITUTE($Z118,V$1&amp;" (4)",""))&lt;lenb($Z118),4,IF(lenb(SUBSTITUTE($Z118,V$1&amp;" (5)",""))&lt;lenb($Z118),5,IF(lenb(SUBSTITUTE($Z118,V$1&amp;" (6)",""))&lt;lenb($Z118),6,IF(lenb(SUBSTITUTE($Z118,V$1&amp;" (7)",""))&lt;lenb($Z118),1,IF(lenb(SUBSTITUTE($Z118,V$1&amp;" (8)",""))&lt;lenb($Z118),8,IF(lenb(SUBSTITUTE($Z118,V$1&amp;" (9)",""))&lt;lenb($Z118),9,IF(lenb(SUBSTITUTE($Z118,V$1&amp;" (10)",""))&lt;lenb($Z118),10,IF(lenb(SUBSTITUTE($Z118,V$1,""))&lt;lenb($Z118),"ERROR",IF($Z118=$Y$1,"-",0))))))))))))</f>
        <v>2</v>
      </c>
      <c r="W118" s="32">
        <f t="shared" si="123"/>
        <v>0</v>
      </c>
      <c r="X118" s="32">
        <f t="shared" si="123"/>
        <v>0</v>
      </c>
      <c r="Y118" s="32" t="str">
        <f t="shared" si="3"/>
        <v>-</v>
      </c>
      <c r="Z118" s="32" t="s">
        <v>57</v>
      </c>
      <c r="AA118" s="33">
        <f t="shared" si="4"/>
        <v>2</v>
      </c>
      <c r="AB118" s="34">
        <f>COUNTIFS(Links!B:B,"ICSE",Links!C:C,A118,Links!AD:AD,1)</f>
        <v>2</v>
      </c>
      <c r="AC118" s="35" t="s">
        <v>35</v>
      </c>
      <c r="AD118" s="27" t="str">
        <f t="shared" si="5"/>
        <v>No</v>
      </c>
      <c r="AE118" s="36" t="s">
        <v>36</v>
      </c>
      <c r="AF118" s="37" t="s">
        <v>42</v>
      </c>
      <c r="AG118" s="37" t="s">
        <v>42</v>
      </c>
      <c r="AH118" s="37" t="s">
        <v>42</v>
      </c>
      <c r="AI118" s="29" t="str">
        <f t="shared" si="6"/>
        <v>----</v>
      </c>
      <c r="AJ118" s="38" t="str">
        <f t="shared" si="7"/>
        <v>Paper has link but no statement</v>
      </c>
      <c r="AK118" s="39">
        <v>45034.0</v>
      </c>
      <c r="AL118" s="23" t="s">
        <v>43</v>
      </c>
      <c r="AM118" s="40" t="str">
        <f t="shared" si="8"/>
        <v>[IP1688]</v>
      </c>
    </row>
    <row r="119" ht="67.5" customHeight="1">
      <c r="A119" s="41">
        <v>1689.0</v>
      </c>
      <c r="B119" s="42" t="s">
        <v>329</v>
      </c>
      <c r="C119" s="43">
        <v>2015.0</v>
      </c>
      <c r="D119" s="44" t="s">
        <v>35</v>
      </c>
      <c r="E119" s="45" t="s">
        <v>36</v>
      </c>
      <c r="F119" s="45" t="s">
        <v>36</v>
      </c>
      <c r="G119" s="45" t="s">
        <v>36</v>
      </c>
      <c r="H119" s="45" t="s">
        <v>36</v>
      </c>
      <c r="I119" s="45" t="s">
        <v>36</v>
      </c>
      <c r="J119" s="46" t="s">
        <v>36</v>
      </c>
      <c r="K119" s="47" t="s">
        <v>37</v>
      </c>
      <c r="L119" s="48" t="s">
        <v>37</v>
      </c>
      <c r="M119" s="48" t="s">
        <v>35</v>
      </c>
      <c r="N119" s="48" t="s">
        <v>37</v>
      </c>
      <c r="O119" s="48" t="s">
        <v>37</v>
      </c>
      <c r="P119" s="48" t="s">
        <v>35</v>
      </c>
      <c r="Q119" s="48" t="s">
        <v>35</v>
      </c>
      <c r="R119" s="48" t="s">
        <v>35</v>
      </c>
      <c r="S119" s="49" t="s">
        <v>330</v>
      </c>
      <c r="T119" s="64" t="s">
        <v>331</v>
      </c>
      <c r="U119" s="50" t="s">
        <v>331</v>
      </c>
      <c r="V119" s="52">
        <f t="shared" ref="V119:X119" si="124">IF(lenb(SUBSTITUTE($Z119,V$1&amp;" (1)",""))&lt;lenb($Z119),1,IF(lenb(SUBSTITUTE($Z119,V$1&amp;" (2)",""))&lt;lenb($Z119),2,IF(lenb(SUBSTITUTE($Z119,V$1&amp;" (3)",""))&lt;lenb($Z119),3,IF(lenb(SUBSTITUTE($Z119,V$1&amp;" (4)",""))&lt;lenb($Z119),4,IF(lenb(SUBSTITUTE($Z119,V$1&amp;" (5)",""))&lt;lenb($Z119),5,IF(lenb(SUBSTITUTE($Z119,V$1&amp;" (6)",""))&lt;lenb($Z119),6,IF(lenb(SUBSTITUTE($Z119,V$1&amp;" (7)",""))&lt;lenb($Z119),1,IF(lenb(SUBSTITUTE($Z119,V$1&amp;" (8)",""))&lt;lenb($Z119),8,IF(lenb(SUBSTITUTE($Z119,V$1&amp;" (9)",""))&lt;lenb($Z119),9,IF(lenb(SUBSTITUTE($Z119,V$1&amp;" (10)",""))&lt;lenb($Z119),10,IF(lenb(SUBSTITUTE($Z119,V$1,""))&lt;lenb($Z119),"ERROR",IF($Z119=$Y$1,"-",0))))))))))))</f>
        <v>1</v>
      </c>
      <c r="W119" s="52">
        <f t="shared" si="124"/>
        <v>0</v>
      </c>
      <c r="X119" s="52">
        <f t="shared" si="124"/>
        <v>0</v>
      </c>
      <c r="Y119" s="52" t="str">
        <f t="shared" si="3"/>
        <v>-</v>
      </c>
      <c r="Z119" s="52" t="s">
        <v>62</v>
      </c>
      <c r="AA119" s="53">
        <f t="shared" si="4"/>
        <v>1</v>
      </c>
      <c r="AB119" s="54">
        <f>COUNTIFS(Links!B:B,"ICSE",Links!C:C,A119,Links!AD:AD,1)</f>
        <v>1</v>
      </c>
      <c r="AC119" s="55" t="s">
        <v>35</v>
      </c>
      <c r="AD119" s="47" t="str">
        <f t="shared" si="5"/>
        <v>No</v>
      </c>
      <c r="AE119" s="56" t="s">
        <v>36</v>
      </c>
      <c r="AF119" s="57" t="s">
        <v>42</v>
      </c>
      <c r="AG119" s="57" t="s">
        <v>42</v>
      </c>
      <c r="AH119" s="57" t="s">
        <v>42</v>
      </c>
      <c r="AI119" s="49" t="str">
        <f t="shared" si="6"/>
        <v>----</v>
      </c>
      <c r="AJ119" s="58" t="str">
        <f t="shared" si="7"/>
        <v>Paper has link but no statement</v>
      </c>
      <c r="AK119" s="59">
        <v>45034.0</v>
      </c>
      <c r="AL119" s="43" t="s">
        <v>43</v>
      </c>
      <c r="AM119" s="60" t="str">
        <f t="shared" si="8"/>
        <v>[IP1689]</v>
      </c>
    </row>
    <row r="120" ht="67.5" customHeight="1">
      <c r="A120" s="61">
        <v>1690.0</v>
      </c>
      <c r="B120" s="22" t="s">
        <v>332</v>
      </c>
      <c r="C120" s="23">
        <v>2015.0</v>
      </c>
      <c r="D120" s="24" t="s">
        <v>35</v>
      </c>
      <c r="E120" s="25" t="s">
        <v>36</v>
      </c>
      <c r="F120" s="25" t="s">
        <v>36</v>
      </c>
      <c r="G120" s="25" t="s">
        <v>36</v>
      </c>
      <c r="H120" s="25" t="s">
        <v>36</v>
      </c>
      <c r="I120" s="25" t="s">
        <v>36</v>
      </c>
      <c r="J120" s="26" t="s">
        <v>36</v>
      </c>
      <c r="K120" s="27" t="s">
        <v>37</v>
      </c>
      <c r="L120" s="28" t="s">
        <v>35</v>
      </c>
      <c r="M120" s="28" t="s">
        <v>37</v>
      </c>
      <c r="N120" s="28" t="s">
        <v>37</v>
      </c>
      <c r="O120" s="28" t="s">
        <v>35</v>
      </c>
      <c r="P120" s="28" t="s">
        <v>35</v>
      </c>
      <c r="Q120" s="28" t="s">
        <v>35</v>
      </c>
      <c r="R120" s="28" t="s">
        <v>37</v>
      </c>
      <c r="S120" s="29" t="s">
        <v>333</v>
      </c>
      <c r="T120" s="65" t="s">
        <v>334</v>
      </c>
      <c r="U120" s="30" t="s">
        <v>334</v>
      </c>
      <c r="V120" s="32">
        <f t="shared" ref="V120:X120" si="125">IF(lenb(SUBSTITUTE($Z120,V$1&amp;" (1)",""))&lt;lenb($Z120),1,IF(lenb(SUBSTITUTE($Z120,V$1&amp;" (2)",""))&lt;lenb($Z120),2,IF(lenb(SUBSTITUTE($Z120,V$1&amp;" (3)",""))&lt;lenb($Z120),3,IF(lenb(SUBSTITUTE($Z120,V$1&amp;" (4)",""))&lt;lenb($Z120),4,IF(lenb(SUBSTITUTE($Z120,V$1&amp;" (5)",""))&lt;lenb($Z120),5,IF(lenb(SUBSTITUTE($Z120,V$1&amp;" (6)",""))&lt;lenb($Z120),6,IF(lenb(SUBSTITUTE($Z120,V$1&amp;" (7)",""))&lt;lenb($Z120),1,IF(lenb(SUBSTITUTE($Z120,V$1&amp;" (8)",""))&lt;lenb($Z120),8,IF(lenb(SUBSTITUTE($Z120,V$1&amp;" (9)",""))&lt;lenb($Z120),9,IF(lenb(SUBSTITUTE($Z120,V$1&amp;" (10)",""))&lt;lenb($Z120),10,IF(lenb(SUBSTITUTE($Z120,V$1,""))&lt;lenb($Z120),"ERROR",IF($Z120=$Y$1,"-",0))))))))))))</f>
        <v>2</v>
      </c>
      <c r="W120" s="32">
        <f t="shared" si="125"/>
        <v>0</v>
      </c>
      <c r="X120" s="32">
        <f t="shared" si="125"/>
        <v>0</v>
      </c>
      <c r="Y120" s="32" t="str">
        <f t="shared" si="3"/>
        <v>-</v>
      </c>
      <c r="Z120" s="32" t="s">
        <v>57</v>
      </c>
      <c r="AA120" s="33">
        <f t="shared" si="4"/>
        <v>2</v>
      </c>
      <c r="AB120" s="34">
        <f>COUNTIFS(Links!B:B,"ICSE",Links!C:C,A120,Links!AD:AD,1)</f>
        <v>0</v>
      </c>
      <c r="AC120" s="35" t="s">
        <v>35</v>
      </c>
      <c r="AD120" s="27" t="str">
        <f t="shared" si="5"/>
        <v>No</v>
      </c>
      <c r="AE120" s="36" t="s">
        <v>36</v>
      </c>
      <c r="AF120" s="37" t="s">
        <v>42</v>
      </c>
      <c r="AG120" s="37" t="s">
        <v>42</v>
      </c>
      <c r="AH120" s="37" t="s">
        <v>42</v>
      </c>
      <c r="AI120" s="29" t="str">
        <f t="shared" si="6"/>
        <v>----</v>
      </c>
      <c r="AJ120" s="38" t="str">
        <f t="shared" si="7"/>
        <v>Paper has link but no statement</v>
      </c>
      <c r="AK120" s="39">
        <v>45034.0</v>
      </c>
      <c r="AL120" s="23" t="s">
        <v>43</v>
      </c>
      <c r="AM120" s="40" t="str">
        <f t="shared" si="8"/>
        <v>[IP1690]</v>
      </c>
    </row>
    <row r="121" ht="67.5" customHeight="1">
      <c r="A121" s="41">
        <v>1691.0</v>
      </c>
      <c r="B121" s="42" t="s">
        <v>335</v>
      </c>
      <c r="C121" s="43">
        <v>2015.0</v>
      </c>
      <c r="D121" s="44" t="s">
        <v>35</v>
      </c>
      <c r="E121" s="45" t="s">
        <v>36</v>
      </c>
      <c r="F121" s="45" t="s">
        <v>36</v>
      </c>
      <c r="G121" s="45" t="s">
        <v>36</v>
      </c>
      <c r="H121" s="45" t="s">
        <v>36</v>
      </c>
      <c r="I121" s="45" t="s">
        <v>36</v>
      </c>
      <c r="J121" s="46" t="s">
        <v>36</v>
      </c>
      <c r="K121" s="47" t="s">
        <v>37</v>
      </c>
      <c r="L121" s="48" t="s">
        <v>37</v>
      </c>
      <c r="M121" s="48" t="s">
        <v>35</v>
      </c>
      <c r="N121" s="48" t="s">
        <v>35</v>
      </c>
      <c r="O121" s="48" t="s">
        <v>35</v>
      </c>
      <c r="P121" s="48" t="s">
        <v>35</v>
      </c>
      <c r="Q121" s="48" t="s">
        <v>35</v>
      </c>
      <c r="R121" s="48" t="s">
        <v>37</v>
      </c>
      <c r="S121" s="49" t="s">
        <v>336</v>
      </c>
      <c r="T121" s="64" t="s">
        <v>337</v>
      </c>
      <c r="U121" s="50" t="s">
        <v>337</v>
      </c>
      <c r="V121" s="52">
        <f t="shared" ref="V121:X121" si="126">IF(lenb(SUBSTITUTE($Z121,V$1&amp;" (1)",""))&lt;lenb($Z121),1,IF(lenb(SUBSTITUTE($Z121,V$1&amp;" (2)",""))&lt;lenb($Z121),2,IF(lenb(SUBSTITUTE($Z121,V$1&amp;" (3)",""))&lt;lenb($Z121),3,IF(lenb(SUBSTITUTE($Z121,V$1&amp;" (4)",""))&lt;lenb($Z121),4,IF(lenb(SUBSTITUTE($Z121,V$1&amp;" (5)",""))&lt;lenb($Z121),5,IF(lenb(SUBSTITUTE($Z121,V$1&amp;" (6)",""))&lt;lenb($Z121),6,IF(lenb(SUBSTITUTE($Z121,V$1&amp;" (7)",""))&lt;lenb($Z121),1,IF(lenb(SUBSTITUTE($Z121,V$1&amp;" (8)",""))&lt;lenb($Z121),8,IF(lenb(SUBSTITUTE($Z121,V$1&amp;" (9)",""))&lt;lenb($Z121),9,IF(lenb(SUBSTITUTE($Z121,V$1&amp;" (10)",""))&lt;lenb($Z121),10,IF(lenb(SUBSTITUTE($Z121,V$1,""))&lt;lenb($Z121),"ERROR",IF($Z121=$Y$1,"-",0))))))))))))</f>
        <v>0</v>
      </c>
      <c r="W121" s="52">
        <f t="shared" si="126"/>
        <v>1</v>
      </c>
      <c r="X121" s="52">
        <f t="shared" si="126"/>
        <v>0</v>
      </c>
      <c r="Y121" s="52" t="str">
        <f t="shared" si="3"/>
        <v>-</v>
      </c>
      <c r="Z121" s="52" t="s">
        <v>47</v>
      </c>
      <c r="AA121" s="53">
        <f t="shared" si="4"/>
        <v>1</v>
      </c>
      <c r="AB121" s="54">
        <f>COUNTIFS(Links!B:B,"ICSE",Links!C:C,A121,Links!AD:AD,1)</f>
        <v>1</v>
      </c>
      <c r="AC121" s="55" t="s">
        <v>35</v>
      </c>
      <c r="AD121" s="47" t="str">
        <f t="shared" si="5"/>
        <v>No</v>
      </c>
      <c r="AE121" s="56" t="s">
        <v>36</v>
      </c>
      <c r="AF121" s="57" t="s">
        <v>42</v>
      </c>
      <c r="AG121" s="57" t="s">
        <v>42</v>
      </c>
      <c r="AH121" s="57" t="s">
        <v>42</v>
      </c>
      <c r="AI121" s="49" t="str">
        <f t="shared" si="6"/>
        <v>----</v>
      </c>
      <c r="AJ121" s="58" t="str">
        <f t="shared" si="7"/>
        <v>Paper has link but no statement</v>
      </c>
      <c r="AK121" s="59">
        <v>45034.0</v>
      </c>
      <c r="AL121" s="43" t="s">
        <v>43</v>
      </c>
      <c r="AM121" s="60" t="str">
        <f t="shared" si="8"/>
        <v>[IP1691]</v>
      </c>
    </row>
    <row r="122" ht="67.5" customHeight="1">
      <c r="A122" s="61">
        <v>1692.0</v>
      </c>
      <c r="B122" s="22" t="s">
        <v>338</v>
      </c>
      <c r="C122" s="23">
        <v>2015.0</v>
      </c>
      <c r="D122" s="24" t="s">
        <v>35</v>
      </c>
      <c r="E122" s="25" t="s">
        <v>36</v>
      </c>
      <c r="F122" s="25" t="s">
        <v>36</v>
      </c>
      <c r="G122" s="25" t="s">
        <v>36</v>
      </c>
      <c r="H122" s="25" t="s">
        <v>36</v>
      </c>
      <c r="I122" s="25" t="s">
        <v>36</v>
      </c>
      <c r="J122" s="26" t="s">
        <v>36</v>
      </c>
      <c r="K122" s="27" t="s">
        <v>35</v>
      </c>
      <c r="L122" s="28" t="s">
        <v>36</v>
      </c>
      <c r="M122" s="28" t="s">
        <v>36</v>
      </c>
      <c r="N122" s="28" t="s">
        <v>36</v>
      </c>
      <c r="O122" s="28" t="s">
        <v>36</v>
      </c>
      <c r="P122" s="28" t="s">
        <v>36</v>
      </c>
      <c r="Q122" s="28" t="s">
        <v>36</v>
      </c>
      <c r="R122" s="28" t="s">
        <v>36</v>
      </c>
      <c r="S122" s="29" t="s">
        <v>36</v>
      </c>
      <c r="T122" s="65" t="s">
        <v>36</v>
      </c>
      <c r="U122" s="31" t="s">
        <v>36</v>
      </c>
      <c r="V122" s="32" t="str">
        <f t="shared" ref="V122:X122" si="127">IF(lenb(SUBSTITUTE($Z122,V$1&amp;" (1)",""))&lt;lenb($Z122),1,IF(lenb(SUBSTITUTE($Z122,V$1&amp;" (2)",""))&lt;lenb($Z122),2,IF(lenb(SUBSTITUTE($Z122,V$1&amp;" (3)",""))&lt;lenb($Z122),3,IF(lenb(SUBSTITUTE($Z122,V$1&amp;" (4)",""))&lt;lenb($Z122),4,IF(lenb(SUBSTITUTE($Z122,V$1&amp;" (5)",""))&lt;lenb($Z122),5,IF(lenb(SUBSTITUTE($Z122,V$1&amp;" (6)",""))&lt;lenb($Z122),6,IF(lenb(SUBSTITUTE($Z122,V$1&amp;" (7)",""))&lt;lenb($Z122),1,IF(lenb(SUBSTITUTE($Z122,V$1&amp;" (8)",""))&lt;lenb($Z122),8,IF(lenb(SUBSTITUTE($Z122,V$1&amp;" (9)",""))&lt;lenb($Z122),9,IF(lenb(SUBSTITUTE($Z122,V$1&amp;" (10)",""))&lt;lenb($Z122),10,IF(lenb(SUBSTITUTE($Z122,V$1,""))&lt;lenb($Z122),"ERROR",IF($Z122=$Y$1,"-",0))))))))))))</f>
        <v>-</v>
      </c>
      <c r="W122" s="32" t="str">
        <f t="shared" si="127"/>
        <v>-</v>
      </c>
      <c r="X122" s="32" t="str">
        <f t="shared" si="127"/>
        <v>-</v>
      </c>
      <c r="Y122" s="32">
        <f t="shared" si="3"/>
        <v>1</v>
      </c>
      <c r="Z122" s="32" t="s">
        <v>23</v>
      </c>
      <c r="AA122" s="33">
        <f t="shared" si="4"/>
        <v>0</v>
      </c>
      <c r="AB122" s="34">
        <f>COUNTIFS(Links!B:B,"ICSE",Links!C:C,A122,Links!AD:AD,1)</f>
        <v>0</v>
      </c>
      <c r="AC122" s="35" t="s">
        <v>36</v>
      </c>
      <c r="AD122" s="27" t="str">
        <f t="shared" si="5"/>
        <v>No</v>
      </c>
      <c r="AE122" s="36" t="s">
        <v>36</v>
      </c>
      <c r="AF122" s="37" t="s">
        <v>42</v>
      </c>
      <c r="AG122" s="37" t="s">
        <v>42</v>
      </c>
      <c r="AH122" s="37" t="s">
        <v>42</v>
      </c>
      <c r="AI122" s="29" t="str">
        <f t="shared" si="6"/>
        <v>----</v>
      </c>
      <c r="AJ122" s="38" t="str">
        <f t="shared" si="7"/>
        <v>Paper has no link and no statement</v>
      </c>
      <c r="AK122" s="39">
        <v>45034.0</v>
      </c>
      <c r="AL122" s="23" t="s">
        <v>43</v>
      </c>
      <c r="AM122" s="40" t="str">
        <f t="shared" si="8"/>
        <v>[IP1692]</v>
      </c>
    </row>
    <row r="123" ht="67.5" customHeight="1">
      <c r="A123" s="41">
        <v>1693.0</v>
      </c>
      <c r="B123" s="42" t="s">
        <v>339</v>
      </c>
      <c r="C123" s="43">
        <v>2015.0</v>
      </c>
      <c r="D123" s="44" t="s">
        <v>35</v>
      </c>
      <c r="E123" s="45" t="s">
        <v>36</v>
      </c>
      <c r="F123" s="45" t="s">
        <v>36</v>
      </c>
      <c r="G123" s="45" t="s">
        <v>36</v>
      </c>
      <c r="H123" s="45" t="s">
        <v>36</v>
      </c>
      <c r="I123" s="45" t="s">
        <v>36</v>
      </c>
      <c r="J123" s="46" t="s">
        <v>36</v>
      </c>
      <c r="K123" s="47" t="s">
        <v>37</v>
      </c>
      <c r="L123" s="48" t="s">
        <v>37</v>
      </c>
      <c r="M123" s="48" t="s">
        <v>35</v>
      </c>
      <c r="N123" s="48" t="s">
        <v>37</v>
      </c>
      <c r="O123" s="48" t="s">
        <v>35</v>
      </c>
      <c r="P123" s="48" t="s">
        <v>35</v>
      </c>
      <c r="Q123" s="48" t="s">
        <v>35</v>
      </c>
      <c r="R123" s="48" t="s">
        <v>35</v>
      </c>
      <c r="S123" s="49" t="s">
        <v>340</v>
      </c>
      <c r="T123" s="64" t="s">
        <v>341</v>
      </c>
      <c r="U123" s="50" t="s">
        <v>341</v>
      </c>
      <c r="V123" s="52">
        <f t="shared" ref="V123:X123" si="128">IF(lenb(SUBSTITUTE($Z123,V$1&amp;" (1)",""))&lt;lenb($Z123),1,IF(lenb(SUBSTITUTE($Z123,V$1&amp;" (2)",""))&lt;lenb($Z123),2,IF(lenb(SUBSTITUTE($Z123,V$1&amp;" (3)",""))&lt;lenb($Z123),3,IF(lenb(SUBSTITUTE($Z123,V$1&amp;" (4)",""))&lt;lenb($Z123),4,IF(lenb(SUBSTITUTE($Z123,V$1&amp;" (5)",""))&lt;lenb($Z123),5,IF(lenb(SUBSTITUTE($Z123,V$1&amp;" (6)",""))&lt;lenb($Z123),6,IF(lenb(SUBSTITUTE($Z123,V$1&amp;" (7)",""))&lt;lenb($Z123),1,IF(lenb(SUBSTITUTE($Z123,V$1&amp;" (8)",""))&lt;lenb($Z123),8,IF(lenb(SUBSTITUTE($Z123,V$1&amp;" (9)",""))&lt;lenb($Z123),9,IF(lenb(SUBSTITUTE($Z123,V$1&amp;" (10)",""))&lt;lenb($Z123),10,IF(lenb(SUBSTITUTE($Z123,V$1,""))&lt;lenb($Z123),"ERROR",IF($Z123=$Y$1,"-",0))))))))))))</f>
        <v>0</v>
      </c>
      <c r="W123" s="52">
        <f t="shared" si="128"/>
        <v>1</v>
      </c>
      <c r="X123" s="52">
        <f t="shared" si="128"/>
        <v>0</v>
      </c>
      <c r="Y123" s="52" t="str">
        <f t="shared" si="3"/>
        <v>-</v>
      </c>
      <c r="Z123" s="52" t="s">
        <v>47</v>
      </c>
      <c r="AA123" s="53">
        <f t="shared" si="4"/>
        <v>1</v>
      </c>
      <c r="AB123" s="54">
        <f>COUNTIFS(Links!B:B,"ICSE",Links!C:C,A123,Links!AD:AD,1)</f>
        <v>1</v>
      </c>
      <c r="AC123" s="55" t="s">
        <v>35</v>
      </c>
      <c r="AD123" s="47" t="str">
        <f t="shared" si="5"/>
        <v>No</v>
      </c>
      <c r="AE123" s="56" t="s">
        <v>36</v>
      </c>
      <c r="AF123" s="57" t="s">
        <v>42</v>
      </c>
      <c r="AG123" s="57" t="s">
        <v>42</v>
      </c>
      <c r="AH123" s="57" t="s">
        <v>42</v>
      </c>
      <c r="AI123" s="49" t="str">
        <f t="shared" si="6"/>
        <v>----</v>
      </c>
      <c r="AJ123" s="58" t="str">
        <f t="shared" si="7"/>
        <v>Paper has link but no statement</v>
      </c>
      <c r="AK123" s="59">
        <v>45034.0</v>
      </c>
      <c r="AL123" s="43" t="s">
        <v>43</v>
      </c>
      <c r="AM123" s="60" t="str">
        <f t="shared" si="8"/>
        <v>[IP1693]</v>
      </c>
    </row>
    <row r="124" ht="67.5" customHeight="1">
      <c r="A124" s="61">
        <v>1694.0</v>
      </c>
      <c r="B124" s="22" t="s">
        <v>342</v>
      </c>
      <c r="C124" s="23">
        <v>2015.0</v>
      </c>
      <c r="D124" s="24" t="s">
        <v>35</v>
      </c>
      <c r="E124" s="25" t="s">
        <v>36</v>
      </c>
      <c r="F124" s="25" t="s">
        <v>36</v>
      </c>
      <c r="G124" s="25" t="s">
        <v>36</v>
      </c>
      <c r="H124" s="25" t="s">
        <v>36</v>
      </c>
      <c r="I124" s="25" t="s">
        <v>36</v>
      </c>
      <c r="J124" s="26" t="s">
        <v>36</v>
      </c>
      <c r="K124" s="27" t="s">
        <v>37</v>
      </c>
      <c r="L124" s="28" t="s">
        <v>35</v>
      </c>
      <c r="M124" s="28" t="s">
        <v>35</v>
      </c>
      <c r="N124" s="28" t="s">
        <v>37</v>
      </c>
      <c r="O124" s="28" t="s">
        <v>35</v>
      </c>
      <c r="P124" s="28" t="s">
        <v>35</v>
      </c>
      <c r="Q124" s="28" t="s">
        <v>35</v>
      </c>
      <c r="R124" s="28" t="s">
        <v>35</v>
      </c>
      <c r="S124" s="29" t="s">
        <v>343</v>
      </c>
      <c r="T124" s="65" t="s">
        <v>344</v>
      </c>
      <c r="U124" s="30" t="s">
        <v>344</v>
      </c>
      <c r="V124" s="32">
        <f t="shared" ref="V124:X124" si="129">IF(lenb(SUBSTITUTE($Z124,V$1&amp;" (1)",""))&lt;lenb($Z124),1,IF(lenb(SUBSTITUTE($Z124,V$1&amp;" (2)",""))&lt;lenb($Z124),2,IF(lenb(SUBSTITUTE($Z124,V$1&amp;" (3)",""))&lt;lenb($Z124),3,IF(lenb(SUBSTITUTE($Z124,V$1&amp;" (4)",""))&lt;lenb($Z124),4,IF(lenb(SUBSTITUTE($Z124,V$1&amp;" (5)",""))&lt;lenb($Z124),5,IF(lenb(SUBSTITUTE($Z124,V$1&amp;" (6)",""))&lt;lenb($Z124),6,IF(lenb(SUBSTITUTE($Z124,V$1&amp;" (7)",""))&lt;lenb($Z124),1,IF(lenb(SUBSTITUTE($Z124,V$1&amp;" (8)",""))&lt;lenb($Z124),8,IF(lenb(SUBSTITUTE($Z124,V$1&amp;" (9)",""))&lt;lenb($Z124),9,IF(lenb(SUBSTITUTE($Z124,V$1&amp;" (10)",""))&lt;lenb($Z124),10,IF(lenb(SUBSTITUTE($Z124,V$1,""))&lt;lenb($Z124),"ERROR",IF($Z124=$Y$1,"-",0))))))))))))</f>
        <v>0</v>
      </c>
      <c r="W124" s="32">
        <f t="shared" si="129"/>
        <v>1</v>
      </c>
      <c r="X124" s="32">
        <f t="shared" si="129"/>
        <v>0</v>
      </c>
      <c r="Y124" s="32" t="str">
        <f t="shared" si="3"/>
        <v>-</v>
      </c>
      <c r="Z124" s="32" t="s">
        <v>47</v>
      </c>
      <c r="AA124" s="33">
        <f t="shared" si="4"/>
        <v>1</v>
      </c>
      <c r="AB124" s="34">
        <f>COUNTIFS(Links!B:B,"ICSE",Links!C:C,A124,Links!AD:AD,1)</f>
        <v>0</v>
      </c>
      <c r="AC124" s="35" t="s">
        <v>35</v>
      </c>
      <c r="AD124" s="27" t="str">
        <f t="shared" si="5"/>
        <v>No</v>
      </c>
      <c r="AE124" s="36" t="s">
        <v>36</v>
      </c>
      <c r="AF124" s="37" t="s">
        <v>42</v>
      </c>
      <c r="AG124" s="37" t="s">
        <v>42</v>
      </c>
      <c r="AH124" s="37" t="s">
        <v>42</v>
      </c>
      <c r="AI124" s="29" t="str">
        <f t="shared" si="6"/>
        <v>----</v>
      </c>
      <c r="AJ124" s="38" t="str">
        <f t="shared" si="7"/>
        <v>Paper has link but no statement</v>
      </c>
      <c r="AK124" s="39">
        <v>45034.0</v>
      </c>
      <c r="AL124" s="23" t="s">
        <v>43</v>
      </c>
      <c r="AM124" s="40" t="str">
        <f t="shared" si="8"/>
        <v>[IP1694]</v>
      </c>
    </row>
    <row r="125" ht="67.5" customHeight="1">
      <c r="A125" s="41">
        <v>1695.0</v>
      </c>
      <c r="B125" s="42" t="s">
        <v>345</v>
      </c>
      <c r="C125" s="43">
        <v>2015.0</v>
      </c>
      <c r="D125" s="44" t="s">
        <v>35</v>
      </c>
      <c r="E125" s="45" t="s">
        <v>36</v>
      </c>
      <c r="F125" s="45" t="s">
        <v>36</v>
      </c>
      <c r="G125" s="45" t="s">
        <v>36</v>
      </c>
      <c r="H125" s="45" t="s">
        <v>36</v>
      </c>
      <c r="I125" s="45" t="s">
        <v>36</v>
      </c>
      <c r="J125" s="46" t="s">
        <v>36</v>
      </c>
      <c r="K125" s="47" t="s">
        <v>37</v>
      </c>
      <c r="L125" s="48" t="s">
        <v>35</v>
      </c>
      <c r="M125" s="48" t="s">
        <v>37</v>
      </c>
      <c r="N125" s="48" t="s">
        <v>35</v>
      </c>
      <c r="O125" s="48" t="s">
        <v>35</v>
      </c>
      <c r="P125" s="48" t="s">
        <v>35</v>
      </c>
      <c r="Q125" s="48" t="s">
        <v>35</v>
      </c>
      <c r="R125" s="48" t="s">
        <v>37</v>
      </c>
      <c r="S125" s="49" t="s">
        <v>346</v>
      </c>
      <c r="T125" s="64" t="s">
        <v>347</v>
      </c>
      <c r="U125" s="50" t="s">
        <v>347</v>
      </c>
      <c r="V125" s="52">
        <f t="shared" ref="V125:X125" si="130">IF(lenb(SUBSTITUTE($Z125,V$1&amp;" (1)",""))&lt;lenb($Z125),1,IF(lenb(SUBSTITUTE($Z125,V$1&amp;" (2)",""))&lt;lenb($Z125),2,IF(lenb(SUBSTITUTE($Z125,V$1&amp;" (3)",""))&lt;lenb($Z125),3,IF(lenb(SUBSTITUTE($Z125,V$1&amp;" (4)",""))&lt;lenb($Z125),4,IF(lenb(SUBSTITUTE($Z125,V$1&amp;" (5)",""))&lt;lenb($Z125),5,IF(lenb(SUBSTITUTE($Z125,V$1&amp;" (6)",""))&lt;lenb($Z125),6,IF(lenb(SUBSTITUTE($Z125,V$1&amp;" (7)",""))&lt;lenb($Z125),1,IF(lenb(SUBSTITUTE($Z125,V$1&amp;" (8)",""))&lt;lenb($Z125),8,IF(lenb(SUBSTITUTE($Z125,V$1&amp;" (9)",""))&lt;lenb($Z125),9,IF(lenb(SUBSTITUTE($Z125,V$1&amp;" (10)",""))&lt;lenb($Z125),10,IF(lenb(SUBSTITUTE($Z125,V$1,""))&lt;lenb($Z125),"ERROR",IF($Z125=$Y$1,"-",0))))))))))))</f>
        <v>1</v>
      </c>
      <c r="W125" s="52">
        <f t="shared" si="130"/>
        <v>0</v>
      </c>
      <c r="X125" s="52">
        <f t="shared" si="130"/>
        <v>0</v>
      </c>
      <c r="Y125" s="52" t="str">
        <f t="shared" si="3"/>
        <v>-</v>
      </c>
      <c r="Z125" s="52" t="s">
        <v>62</v>
      </c>
      <c r="AA125" s="53">
        <f t="shared" si="4"/>
        <v>1</v>
      </c>
      <c r="AB125" s="54">
        <f>COUNTIFS(Links!B:B,"ICSE",Links!C:C,A125,Links!AD:AD,1)</f>
        <v>1</v>
      </c>
      <c r="AC125" s="55" t="s">
        <v>35</v>
      </c>
      <c r="AD125" s="47" t="str">
        <f t="shared" si="5"/>
        <v>No</v>
      </c>
      <c r="AE125" s="56" t="s">
        <v>36</v>
      </c>
      <c r="AF125" s="57" t="s">
        <v>42</v>
      </c>
      <c r="AG125" s="57" t="s">
        <v>42</v>
      </c>
      <c r="AH125" s="57" t="s">
        <v>42</v>
      </c>
      <c r="AI125" s="49" t="str">
        <f t="shared" si="6"/>
        <v>----</v>
      </c>
      <c r="AJ125" s="58" t="str">
        <f t="shared" si="7"/>
        <v>Paper has link but no statement</v>
      </c>
      <c r="AK125" s="59">
        <v>45034.0</v>
      </c>
      <c r="AL125" s="43" t="s">
        <v>43</v>
      </c>
      <c r="AM125" s="60" t="str">
        <f t="shared" si="8"/>
        <v>[IP1695]</v>
      </c>
    </row>
    <row r="126" ht="67.5" customHeight="1">
      <c r="A126" s="61">
        <v>1696.0</v>
      </c>
      <c r="B126" s="22" t="s">
        <v>348</v>
      </c>
      <c r="C126" s="23">
        <v>2015.0</v>
      </c>
      <c r="D126" s="24" t="s">
        <v>35</v>
      </c>
      <c r="E126" s="25" t="s">
        <v>36</v>
      </c>
      <c r="F126" s="25" t="s">
        <v>36</v>
      </c>
      <c r="G126" s="25" t="s">
        <v>36</v>
      </c>
      <c r="H126" s="25" t="s">
        <v>36</v>
      </c>
      <c r="I126" s="25" t="s">
        <v>36</v>
      </c>
      <c r="J126" s="26" t="s">
        <v>36</v>
      </c>
      <c r="K126" s="27" t="s">
        <v>37</v>
      </c>
      <c r="L126" s="28" t="s">
        <v>35</v>
      </c>
      <c r="M126" s="28" t="s">
        <v>37</v>
      </c>
      <c r="N126" s="28" t="s">
        <v>35</v>
      </c>
      <c r="O126" s="28" t="s">
        <v>35</v>
      </c>
      <c r="P126" s="28" t="s">
        <v>35</v>
      </c>
      <c r="Q126" s="28" t="s">
        <v>35</v>
      </c>
      <c r="R126" s="28" t="s">
        <v>37</v>
      </c>
      <c r="S126" s="29" t="s">
        <v>349</v>
      </c>
      <c r="T126" s="65" t="s">
        <v>350</v>
      </c>
      <c r="U126" s="30" t="s">
        <v>350</v>
      </c>
      <c r="V126" s="32">
        <f t="shared" ref="V126:X126" si="131">IF(lenb(SUBSTITUTE($Z126,V$1&amp;" (1)",""))&lt;lenb($Z126),1,IF(lenb(SUBSTITUTE($Z126,V$1&amp;" (2)",""))&lt;lenb($Z126),2,IF(lenb(SUBSTITUTE($Z126,V$1&amp;" (3)",""))&lt;lenb($Z126),3,IF(lenb(SUBSTITUTE($Z126,V$1&amp;" (4)",""))&lt;lenb($Z126),4,IF(lenb(SUBSTITUTE($Z126,V$1&amp;" (5)",""))&lt;lenb($Z126),5,IF(lenb(SUBSTITUTE($Z126,V$1&amp;" (6)",""))&lt;lenb($Z126),6,IF(lenb(SUBSTITUTE($Z126,V$1&amp;" (7)",""))&lt;lenb($Z126),1,IF(lenb(SUBSTITUTE($Z126,V$1&amp;" (8)",""))&lt;lenb($Z126),8,IF(lenb(SUBSTITUTE($Z126,V$1&amp;" (9)",""))&lt;lenb($Z126),9,IF(lenb(SUBSTITUTE($Z126,V$1&amp;" (10)",""))&lt;lenb($Z126),10,IF(lenb(SUBSTITUTE($Z126,V$1,""))&lt;lenb($Z126),"ERROR",IF($Z126=$Y$1,"-",0))))))))))))</f>
        <v>1</v>
      </c>
      <c r="W126" s="32">
        <f t="shared" si="131"/>
        <v>0</v>
      </c>
      <c r="X126" s="32">
        <f t="shared" si="131"/>
        <v>0</v>
      </c>
      <c r="Y126" s="32" t="str">
        <f t="shared" si="3"/>
        <v>-</v>
      </c>
      <c r="Z126" s="32" t="s">
        <v>62</v>
      </c>
      <c r="AA126" s="33">
        <f t="shared" si="4"/>
        <v>1</v>
      </c>
      <c r="AB126" s="34">
        <f>COUNTIFS(Links!B:B,"ICSE",Links!C:C,A126,Links!AD:AD,1)</f>
        <v>0</v>
      </c>
      <c r="AC126" s="35" t="s">
        <v>35</v>
      </c>
      <c r="AD126" s="27" t="str">
        <f t="shared" si="5"/>
        <v>No</v>
      </c>
      <c r="AE126" s="36" t="s">
        <v>36</v>
      </c>
      <c r="AF126" s="37" t="s">
        <v>42</v>
      </c>
      <c r="AG126" s="37" t="s">
        <v>42</v>
      </c>
      <c r="AH126" s="37" t="s">
        <v>42</v>
      </c>
      <c r="AI126" s="29" t="str">
        <f t="shared" si="6"/>
        <v>----</v>
      </c>
      <c r="AJ126" s="38" t="str">
        <f t="shared" si="7"/>
        <v>Paper has link but no statement</v>
      </c>
      <c r="AK126" s="39">
        <v>45034.0</v>
      </c>
      <c r="AL126" s="23" t="s">
        <v>43</v>
      </c>
      <c r="AM126" s="40" t="str">
        <f t="shared" si="8"/>
        <v>[IP1696]</v>
      </c>
    </row>
    <row r="127" ht="67.5" customHeight="1">
      <c r="A127" s="41">
        <v>1697.0</v>
      </c>
      <c r="B127" s="42" t="s">
        <v>351</v>
      </c>
      <c r="C127" s="43">
        <v>2015.0</v>
      </c>
      <c r="D127" s="44" t="s">
        <v>35</v>
      </c>
      <c r="E127" s="45" t="s">
        <v>36</v>
      </c>
      <c r="F127" s="45" t="s">
        <v>36</v>
      </c>
      <c r="G127" s="45" t="s">
        <v>36</v>
      </c>
      <c r="H127" s="45" t="s">
        <v>36</v>
      </c>
      <c r="I127" s="45" t="s">
        <v>36</v>
      </c>
      <c r="J127" s="46" t="s">
        <v>36</v>
      </c>
      <c r="K127" s="47" t="s">
        <v>37</v>
      </c>
      <c r="L127" s="48" t="s">
        <v>35</v>
      </c>
      <c r="M127" s="48" t="s">
        <v>35</v>
      </c>
      <c r="N127" s="48" t="s">
        <v>35</v>
      </c>
      <c r="O127" s="48" t="s">
        <v>35</v>
      </c>
      <c r="P127" s="48" t="s">
        <v>35</v>
      </c>
      <c r="Q127" s="48" t="s">
        <v>35</v>
      </c>
      <c r="R127" s="48" t="s">
        <v>37</v>
      </c>
      <c r="S127" s="49" t="s">
        <v>352</v>
      </c>
      <c r="T127" s="64" t="s">
        <v>353</v>
      </c>
      <c r="U127" s="50" t="s">
        <v>353</v>
      </c>
      <c r="V127" s="52">
        <f t="shared" ref="V127:X127" si="132">IF(lenb(SUBSTITUTE($Z127,V$1&amp;" (1)",""))&lt;lenb($Z127),1,IF(lenb(SUBSTITUTE($Z127,V$1&amp;" (2)",""))&lt;lenb($Z127),2,IF(lenb(SUBSTITUTE($Z127,V$1&amp;" (3)",""))&lt;lenb($Z127),3,IF(lenb(SUBSTITUTE($Z127,V$1&amp;" (4)",""))&lt;lenb($Z127),4,IF(lenb(SUBSTITUTE($Z127,V$1&amp;" (5)",""))&lt;lenb($Z127),5,IF(lenb(SUBSTITUTE($Z127,V$1&amp;" (6)",""))&lt;lenb($Z127),6,IF(lenb(SUBSTITUTE($Z127,V$1&amp;" (7)",""))&lt;lenb($Z127),1,IF(lenb(SUBSTITUTE($Z127,V$1&amp;" (8)",""))&lt;lenb($Z127),8,IF(lenb(SUBSTITUTE($Z127,V$1&amp;" (9)",""))&lt;lenb($Z127),9,IF(lenb(SUBSTITUTE($Z127,V$1&amp;" (10)",""))&lt;lenb($Z127),10,IF(lenb(SUBSTITUTE($Z127,V$1,""))&lt;lenb($Z127),"ERROR",IF($Z127=$Y$1,"-",0))))))))))))</f>
        <v>0</v>
      </c>
      <c r="W127" s="52">
        <f t="shared" si="132"/>
        <v>1</v>
      </c>
      <c r="X127" s="52">
        <f t="shared" si="132"/>
        <v>0</v>
      </c>
      <c r="Y127" s="52" t="str">
        <f t="shared" si="3"/>
        <v>-</v>
      </c>
      <c r="Z127" s="52" t="s">
        <v>47</v>
      </c>
      <c r="AA127" s="53">
        <f t="shared" si="4"/>
        <v>1</v>
      </c>
      <c r="AB127" s="54">
        <f>COUNTIFS(Links!B:B,"ICSE",Links!C:C,A127,Links!AD:AD,1)</f>
        <v>0</v>
      </c>
      <c r="AC127" s="55" t="s">
        <v>35</v>
      </c>
      <c r="AD127" s="47" t="str">
        <f t="shared" si="5"/>
        <v>No</v>
      </c>
      <c r="AE127" s="56" t="s">
        <v>36</v>
      </c>
      <c r="AF127" s="57" t="s">
        <v>42</v>
      </c>
      <c r="AG127" s="57" t="s">
        <v>42</v>
      </c>
      <c r="AH127" s="57" t="s">
        <v>42</v>
      </c>
      <c r="AI127" s="49" t="str">
        <f t="shared" si="6"/>
        <v>----</v>
      </c>
      <c r="AJ127" s="58" t="str">
        <f t="shared" si="7"/>
        <v>Paper has link but no statement</v>
      </c>
      <c r="AK127" s="59">
        <v>45034.0</v>
      </c>
      <c r="AL127" s="43" t="s">
        <v>43</v>
      </c>
      <c r="AM127" s="60" t="str">
        <f t="shared" si="8"/>
        <v>[IP1697]</v>
      </c>
    </row>
    <row r="128" ht="67.5" customHeight="1">
      <c r="A128" s="61">
        <v>1698.0</v>
      </c>
      <c r="B128" s="22" t="s">
        <v>354</v>
      </c>
      <c r="C128" s="23">
        <v>2015.0</v>
      </c>
      <c r="D128" s="24" t="s">
        <v>35</v>
      </c>
      <c r="E128" s="25" t="s">
        <v>36</v>
      </c>
      <c r="F128" s="25" t="s">
        <v>36</v>
      </c>
      <c r="G128" s="25" t="s">
        <v>36</v>
      </c>
      <c r="H128" s="25" t="s">
        <v>36</v>
      </c>
      <c r="I128" s="25" t="s">
        <v>36</v>
      </c>
      <c r="J128" s="26" t="s">
        <v>36</v>
      </c>
      <c r="K128" s="27" t="s">
        <v>37</v>
      </c>
      <c r="L128" s="28" t="s">
        <v>35</v>
      </c>
      <c r="M128" s="28" t="s">
        <v>37</v>
      </c>
      <c r="N128" s="28" t="s">
        <v>35</v>
      </c>
      <c r="O128" s="28" t="s">
        <v>35</v>
      </c>
      <c r="P128" s="28" t="s">
        <v>35</v>
      </c>
      <c r="Q128" s="28" t="s">
        <v>35</v>
      </c>
      <c r="R128" s="28" t="s">
        <v>37</v>
      </c>
      <c r="S128" s="29" t="s">
        <v>355</v>
      </c>
      <c r="T128" s="65" t="s">
        <v>356</v>
      </c>
      <c r="U128" s="30" t="s">
        <v>356</v>
      </c>
      <c r="V128" s="32">
        <f t="shared" ref="V128:X128" si="133">IF(lenb(SUBSTITUTE($Z128,V$1&amp;" (1)",""))&lt;lenb($Z128),1,IF(lenb(SUBSTITUTE($Z128,V$1&amp;" (2)",""))&lt;lenb($Z128),2,IF(lenb(SUBSTITUTE($Z128,V$1&amp;" (3)",""))&lt;lenb($Z128),3,IF(lenb(SUBSTITUTE($Z128,V$1&amp;" (4)",""))&lt;lenb($Z128),4,IF(lenb(SUBSTITUTE($Z128,V$1&amp;" (5)",""))&lt;lenb($Z128),5,IF(lenb(SUBSTITUTE($Z128,V$1&amp;" (6)",""))&lt;lenb($Z128),6,IF(lenb(SUBSTITUTE($Z128,V$1&amp;" (7)",""))&lt;lenb($Z128),1,IF(lenb(SUBSTITUTE($Z128,V$1&amp;" (8)",""))&lt;lenb($Z128),8,IF(lenb(SUBSTITUTE($Z128,V$1&amp;" (9)",""))&lt;lenb($Z128),9,IF(lenb(SUBSTITUTE($Z128,V$1&amp;" (10)",""))&lt;lenb($Z128),10,IF(lenb(SUBSTITUTE($Z128,V$1,""))&lt;lenb($Z128),"ERROR",IF($Z128=$Y$1,"-",0))))))))))))</f>
        <v>0</v>
      </c>
      <c r="W128" s="32">
        <f t="shared" si="133"/>
        <v>1</v>
      </c>
      <c r="X128" s="32">
        <f t="shared" si="133"/>
        <v>0</v>
      </c>
      <c r="Y128" s="32" t="str">
        <f t="shared" si="3"/>
        <v>-</v>
      </c>
      <c r="Z128" s="32" t="s">
        <v>47</v>
      </c>
      <c r="AA128" s="33">
        <f t="shared" si="4"/>
        <v>1</v>
      </c>
      <c r="AB128" s="34">
        <f>COUNTIFS(Links!B:B,"ICSE",Links!C:C,A128,Links!AD:AD,1)</f>
        <v>1</v>
      </c>
      <c r="AC128" s="35" t="s">
        <v>35</v>
      </c>
      <c r="AD128" s="27" t="str">
        <f t="shared" si="5"/>
        <v>No</v>
      </c>
      <c r="AE128" s="36" t="s">
        <v>36</v>
      </c>
      <c r="AF128" s="37" t="s">
        <v>42</v>
      </c>
      <c r="AG128" s="37" t="s">
        <v>42</v>
      </c>
      <c r="AH128" s="37" t="s">
        <v>42</v>
      </c>
      <c r="AI128" s="29" t="str">
        <f t="shared" si="6"/>
        <v>----</v>
      </c>
      <c r="AJ128" s="38" t="str">
        <f t="shared" si="7"/>
        <v>Paper has link but no statement</v>
      </c>
      <c r="AK128" s="39">
        <v>45034.0</v>
      </c>
      <c r="AL128" s="23" t="s">
        <v>43</v>
      </c>
      <c r="AM128" s="40" t="str">
        <f t="shared" si="8"/>
        <v>[IP1698]</v>
      </c>
    </row>
    <row r="129" ht="67.5" customHeight="1">
      <c r="A129" s="41">
        <v>1699.0</v>
      </c>
      <c r="B129" s="42" t="s">
        <v>357</v>
      </c>
      <c r="C129" s="43">
        <v>2015.0</v>
      </c>
      <c r="D129" s="44" t="s">
        <v>35</v>
      </c>
      <c r="E129" s="45" t="s">
        <v>36</v>
      </c>
      <c r="F129" s="45" t="s">
        <v>36</v>
      </c>
      <c r="G129" s="45" t="s">
        <v>36</v>
      </c>
      <c r="H129" s="45" t="s">
        <v>36</v>
      </c>
      <c r="I129" s="45" t="s">
        <v>36</v>
      </c>
      <c r="J129" s="46" t="s">
        <v>36</v>
      </c>
      <c r="K129" s="47" t="s">
        <v>37</v>
      </c>
      <c r="L129" s="48" t="s">
        <v>35</v>
      </c>
      <c r="M129" s="48" t="s">
        <v>35</v>
      </c>
      <c r="N129" s="48" t="s">
        <v>37</v>
      </c>
      <c r="O129" s="48" t="s">
        <v>35</v>
      </c>
      <c r="P129" s="48" t="s">
        <v>35</v>
      </c>
      <c r="Q129" s="48" t="s">
        <v>35</v>
      </c>
      <c r="R129" s="48" t="s">
        <v>35</v>
      </c>
      <c r="S129" s="49" t="s">
        <v>343</v>
      </c>
      <c r="T129" s="64" t="s">
        <v>358</v>
      </c>
      <c r="U129" s="50" t="s">
        <v>358</v>
      </c>
      <c r="V129" s="52">
        <f t="shared" ref="V129:X129" si="134">IF(lenb(SUBSTITUTE($Z129,V$1&amp;" (1)",""))&lt;lenb($Z129),1,IF(lenb(SUBSTITUTE($Z129,V$1&amp;" (2)",""))&lt;lenb($Z129),2,IF(lenb(SUBSTITUTE($Z129,V$1&amp;" (3)",""))&lt;lenb($Z129),3,IF(lenb(SUBSTITUTE($Z129,V$1&amp;" (4)",""))&lt;lenb($Z129),4,IF(lenb(SUBSTITUTE($Z129,V$1&amp;" (5)",""))&lt;lenb($Z129),5,IF(lenb(SUBSTITUTE($Z129,V$1&amp;" (6)",""))&lt;lenb($Z129),6,IF(lenb(SUBSTITUTE($Z129,V$1&amp;" (7)",""))&lt;lenb($Z129),1,IF(lenb(SUBSTITUTE($Z129,V$1&amp;" (8)",""))&lt;lenb($Z129),8,IF(lenb(SUBSTITUTE($Z129,V$1&amp;" (9)",""))&lt;lenb($Z129),9,IF(lenb(SUBSTITUTE($Z129,V$1&amp;" (10)",""))&lt;lenb($Z129),10,IF(lenb(SUBSTITUTE($Z129,V$1,""))&lt;lenb($Z129),"ERROR",IF($Z129=$Y$1,"-",0))))))))))))</f>
        <v>1</v>
      </c>
      <c r="W129" s="52">
        <f t="shared" si="134"/>
        <v>0</v>
      </c>
      <c r="X129" s="52">
        <f t="shared" si="134"/>
        <v>0</v>
      </c>
      <c r="Y129" s="52" t="str">
        <f t="shared" si="3"/>
        <v>-</v>
      </c>
      <c r="Z129" s="52" t="s">
        <v>62</v>
      </c>
      <c r="AA129" s="53">
        <f t="shared" si="4"/>
        <v>1</v>
      </c>
      <c r="AB129" s="54">
        <f>COUNTIFS(Links!B:B,"ICSE",Links!C:C,A129,Links!AD:AD,1)</f>
        <v>1</v>
      </c>
      <c r="AC129" s="55" t="s">
        <v>35</v>
      </c>
      <c r="AD129" s="47" t="str">
        <f t="shared" si="5"/>
        <v>No</v>
      </c>
      <c r="AE129" s="56" t="s">
        <v>36</v>
      </c>
      <c r="AF129" s="57" t="s">
        <v>42</v>
      </c>
      <c r="AG129" s="57" t="s">
        <v>42</v>
      </c>
      <c r="AH129" s="57" t="s">
        <v>42</v>
      </c>
      <c r="AI129" s="49" t="str">
        <f t="shared" si="6"/>
        <v>----</v>
      </c>
      <c r="AJ129" s="58" t="str">
        <f t="shared" si="7"/>
        <v>Paper has link but no statement</v>
      </c>
      <c r="AK129" s="59">
        <v>45034.0</v>
      </c>
      <c r="AL129" s="43" t="s">
        <v>43</v>
      </c>
      <c r="AM129" s="60" t="str">
        <f t="shared" si="8"/>
        <v>[IP1699]</v>
      </c>
    </row>
    <row r="130" ht="67.5" customHeight="1">
      <c r="A130" s="21">
        <v>1700.0</v>
      </c>
      <c r="B130" s="22" t="s">
        <v>359</v>
      </c>
      <c r="C130" s="23">
        <v>2015.0</v>
      </c>
      <c r="D130" s="24" t="s">
        <v>35</v>
      </c>
      <c r="E130" s="25" t="s">
        <v>36</v>
      </c>
      <c r="F130" s="25" t="s">
        <v>36</v>
      </c>
      <c r="G130" s="25" t="s">
        <v>36</v>
      </c>
      <c r="H130" s="25" t="s">
        <v>36</v>
      </c>
      <c r="I130" s="25" t="s">
        <v>36</v>
      </c>
      <c r="J130" s="26" t="s">
        <v>36</v>
      </c>
      <c r="K130" s="27" t="s">
        <v>35</v>
      </c>
      <c r="L130" s="28" t="s">
        <v>36</v>
      </c>
      <c r="M130" s="28" t="s">
        <v>36</v>
      </c>
      <c r="N130" s="28" t="s">
        <v>36</v>
      </c>
      <c r="O130" s="28" t="s">
        <v>36</v>
      </c>
      <c r="P130" s="28" t="s">
        <v>36</v>
      </c>
      <c r="Q130" s="28" t="s">
        <v>36</v>
      </c>
      <c r="R130" s="28" t="s">
        <v>36</v>
      </c>
      <c r="S130" s="68" t="s">
        <v>36</v>
      </c>
      <c r="T130" s="65" t="s">
        <v>36</v>
      </c>
      <c r="U130" s="30" t="s">
        <v>36</v>
      </c>
      <c r="V130" s="32" t="str">
        <f t="shared" ref="V130:X130" si="135">IF(lenb(SUBSTITUTE($Z130,V$1&amp;" (1)",""))&lt;lenb($Z130),1,IF(lenb(SUBSTITUTE($Z130,V$1&amp;" (2)",""))&lt;lenb($Z130),2,IF(lenb(SUBSTITUTE($Z130,V$1&amp;" (3)",""))&lt;lenb($Z130),3,IF(lenb(SUBSTITUTE($Z130,V$1&amp;" (4)",""))&lt;lenb($Z130),4,IF(lenb(SUBSTITUTE($Z130,V$1&amp;" (5)",""))&lt;lenb($Z130),5,IF(lenb(SUBSTITUTE($Z130,V$1&amp;" (6)",""))&lt;lenb($Z130),6,IF(lenb(SUBSTITUTE($Z130,V$1&amp;" (7)",""))&lt;lenb($Z130),1,IF(lenb(SUBSTITUTE($Z130,V$1&amp;" (8)",""))&lt;lenb($Z130),8,IF(lenb(SUBSTITUTE($Z130,V$1&amp;" (9)",""))&lt;lenb($Z130),9,IF(lenb(SUBSTITUTE($Z130,V$1&amp;" (10)",""))&lt;lenb($Z130),10,IF(lenb(SUBSTITUTE($Z130,V$1,""))&lt;lenb($Z130),"ERROR",IF($Z130=$Y$1,"-",0))))))))))))</f>
        <v>-</v>
      </c>
      <c r="W130" s="32" t="str">
        <f t="shared" si="135"/>
        <v>-</v>
      </c>
      <c r="X130" s="32" t="str">
        <f t="shared" si="135"/>
        <v>-</v>
      </c>
      <c r="Y130" s="32">
        <f t="shared" si="3"/>
        <v>1</v>
      </c>
      <c r="Z130" s="32" t="s">
        <v>23</v>
      </c>
      <c r="AA130" s="33">
        <f t="shared" si="4"/>
        <v>0</v>
      </c>
      <c r="AB130" s="34">
        <f>COUNTIFS(Links!B:B,"ICSE",Links!C:C,A130,Links!AD:AD,1)</f>
        <v>0</v>
      </c>
      <c r="AC130" s="35" t="s">
        <v>36</v>
      </c>
      <c r="AD130" s="27" t="str">
        <f t="shared" si="5"/>
        <v>No</v>
      </c>
      <c r="AE130" s="36" t="s">
        <v>36</v>
      </c>
      <c r="AF130" s="37" t="s">
        <v>42</v>
      </c>
      <c r="AG130" s="37" t="s">
        <v>42</v>
      </c>
      <c r="AH130" s="37" t="s">
        <v>42</v>
      </c>
      <c r="AI130" s="29" t="str">
        <f t="shared" si="6"/>
        <v>----</v>
      </c>
      <c r="AJ130" s="38" t="str">
        <f t="shared" si="7"/>
        <v>Paper has no link and no statement</v>
      </c>
      <c r="AK130" s="39">
        <v>45034.0</v>
      </c>
      <c r="AL130" s="23" t="s">
        <v>43</v>
      </c>
      <c r="AM130" s="40" t="str">
        <f t="shared" si="8"/>
        <v>[IP1700]</v>
      </c>
    </row>
    <row r="131" ht="67.5" customHeight="1">
      <c r="A131" s="41">
        <v>1701.0</v>
      </c>
      <c r="B131" s="42" t="s">
        <v>360</v>
      </c>
      <c r="C131" s="43">
        <v>2015.0</v>
      </c>
      <c r="D131" s="44" t="s">
        <v>35</v>
      </c>
      <c r="E131" s="45" t="s">
        <v>36</v>
      </c>
      <c r="F131" s="45" t="s">
        <v>36</v>
      </c>
      <c r="G131" s="45" t="s">
        <v>36</v>
      </c>
      <c r="H131" s="45" t="s">
        <v>36</v>
      </c>
      <c r="I131" s="45" t="s">
        <v>36</v>
      </c>
      <c r="J131" s="46" t="s">
        <v>36</v>
      </c>
      <c r="K131" s="47" t="s">
        <v>37</v>
      </c>
      <c r="L131" s="48" t="s">
        <v>37</v>
      </c>
      <c r="M131" s="48" t="s">
        <v>35</v>
      </c>
      <c r="N131" s="48" t="s">
        <v>35</v>
      </c>
      <c r="O131" s="48" t="s">
        <v>37</v>
      </c>
      <c r="P131" s="48" t="s">
        <v>35</v>
      </c>
      <c r="Q131" s="48" t="s">
        <v>35</v>
      </c>
      <c r="R131" s="48" t="s">
        <v>37</v>
      </c>
      <c r="S131" s="49" t="s">
        <v>361</v>
      </c>
      <c r="T131" s="64" t="s">
        <v>362</v>
      </c>
      <c r="U131" s="64" t="s">
        <v>362</v>
      </c>
      <c r="V131" s="52">
        <f t="shared" ref="V131:X131" si="136">IF(lenb(SUBSTITUTE($Z131,V$1&amp;" (1)",""))&lt;lenb($Z131),1,IF(lenb(SUBSTITUTE($Z131,V$1&amp;" (2)",""))&lt;lenb($Z131),2,IF(lenb(SUBSTITUTE($Z131,V$1&amp;" (3)",""))&lt;lenb($Z131),3,IF(lenb(SUBSTITUTE($Z131,V$1&amp;" (4)",""))&lt;lenb($Z131),4,IF(lenb(SUBSTITUTE($Z131,V$1&amp;" (5)",""))&lt;lenb($Z131),5,IF(lenb(SUBSTITUTE($Z131,V$1&amp;" (6)",""))&lt;lenb($Z131),6,IF(lenb(SUBSTITUTE($Z131,V$1&amp;" (7)",""))&lt;lenb($Z131),1,IF(lenb(SUBSTITUTE($Z131,V$1&amp;" (8)",""))&lt;lenb($Z131),8,IF(lenb(SUBSTITUTE($Z131,V$1&amp;" (9)",""))&lt;lenb($Z131),9,IF(lenb(SUBSTITUTE($Z131,V$1&amp;" (10)",""))&lt;lenb($Z131),10,IF(lenb(SUBSTITUTE($Z131,V$1,""))&lt;lenb($Z131),"ERROR",IF($Z131=$Y$1,"-",0))))))))))))</f>
        <v>0</v>
      </c>
      <c r="W131" s="52">
        <f t="shared" si="136"/>
        <v>2</v>
      </c>
      <c r="X131" s="52">
        <f t="shared" si="136"/>
        <v>0</v>
      </c>
      <c r="Y131" s="52" t="str">
        <f t="shared" si="3"/>
        <v>-</v>
      </c>
      <c r="Z131" s="52" t="s">
        <v>174</v>
      </c>
      <c r="AA131" s="53">
        <f t="shared" si="4"/>
        <v>2</v>
      </c>
      <c r="AB131" s="54">
        <f>COUNTIFS(Links!B:B,"ICSE",Links!C:C,A131,Links!AD:AD,1)</f>
        <v>0</v>
      </c>
      <c r="AC131" s="55" t="s">
        <v>35</v>
      </c>
      <c r="AD131" s="47" t="str">
        <f t="shared" si="5"/>
        <v>No</v>
      </c>
      <c r="AE131" s="56" t="s">
        <v>36</v>
      </c>
      <c r="AF131" s="57" t="s">
        <v>42</v>
      </c>
      <c r="AG131" s="57" t="s">
        <v>42</v>
      </c>
      <c r="AH131" s="57" t="s">
        <v>42</v>
      </c>
      <c r="AI131" s="49" t="str">
        <f t="shared" si="6"/>
        <v>----</v>
      </c>
      <c r="AJ131" s="58" t="str">
        <f t="shared" si="7"/>
        <v>Paper has link but no statement</v>
      </c>
      <c r="AK131" s="59">
        <v>45034.0</v>
      </c>
      <c r="AL131" s="43" t="s">
        <v>43</v>
      </c>
      <c r="AM131" s="60" t="str">
        <f t="shared" si="8"/>
        <v>[IP1701]</v>
      </c>
    </row>
    <row r="132" ht="67.5" customHeight="1">
      <c r="A132" s="61">
        <v>1702.0</v>
      </c>
      <c r="B132" s="22" t="s">
        <v>363</v>
      </c>
      <c r="C132" s="23">
        <v>2015.0</v>
      </c>
      <c r="D132" s="24" t="s">
        <v>35</v>
      </c>
      <c r="E132" s="25" t="s">
        <v>36</v>
      </c>
      <c r="F132" s="25" t="s">
        <v>36</v>
      </c>
      <c r="G132" s="25" t="s">
        <v>36</v>
      </c>
      <c r="H132" s="25" t="s">
        <v>36</v>
      </c>
      <c r="I132" s="25" t="s">
        <v>36</v>
      </c>
      <c r="J132" s="26" t="s">
        <v>36</v>
      </c>
      <c r="K132" s="27" t="s">
        <v>37</v>
      </c>
      <c r="L132" s="28" t="s">
        <v>35</v>
      </c>
      <c r="M132" s="28" t="s">
        <v>37</v>
      </c>
      <c r="N132" s="28" t="s">
        <v>35</v>
      </c>
      <c r="O132" s="28" t="s">
        <v>35</v>
      </c>
      <c r="P132" s="28" t="s">
        <v>35</v>
      </c>
      <c r="Q132" s="28" t="s">
        <v>35</v>
      </c>
      <c r="R132" s="28" t="s">
        <v>37</v>
      </c>
      <c r="S132" s="29" t="s">
        <v>364</v>
      </c>
      <c r="T132" s="65" t="s">
        <v>365</v>
      </c>
      <c r="U132" s="30" t="s">
        <v>365</v>
      </c>
      <c r="V132" s="32">
        <f t="shared" ref="V132:X132" si="137">IF(lenb(SUBSTITUTE($Z132,V$1&amp;" (1)",""))&lt;lenb($Z132),1,IF(lenb(SUBSTITUTE($Z132,V$1&amp;" (2)",""))&lt;lenb($Z132),2,IF(lenb(SUBSTITUTE($Z132,V$1&amp;" (3)",""))&lt;lenb($Z132),3,IF(lenb(SUBSTITUTE($Z132,V$1&amp;" (4)",""))&lt;lenb($Z132),4,IF(lenb(SUBSTITUTE($Z132,V$1&amp;" (5)",""))&lt;lenb($Z132),5,IF(lenb(SUBSTITUTE($Z132,V$1&amp;" (6)",""))&lt;lenb($Z132),6,IF(lenb(SUBSTITUTE($Z132,V$1&amp;" (7)",""))&lt;lenb($Z132),1,IF(lenb(SUBSTITUTE($Z132,V$1&amp;" (8)",""))&lt;lenb($Z132),8,IF(lenb(SUBSTITUTE($Z132,V$1&amp;" (9)",""))&lt;lenb($Z132),9,IF(lenb(SUBSTITUTE($Z132,V$1&amp;" (10)",""))&lt;lenb($Z132),10,IF(lenb(SUBSTITUTE($Z132,V$1,""))&lt;lenb($Z132),"ERROR",IF($Z132=$Y$1,"-",0))))))))))))</f>
        <v>1</v>
      </c>
      <c r="W132" s="32">
        <f t="shared" si="137"/>
        <v>0</v>
      </c>
      <c r="X132" s="32">
        <f t="shared" si="137"/>
        <v>0</v>
      </c>
      <c r="Y132" s="32" t="str">
        <f t="shared" si="3"/>
        <v>-</v>
      </c>
      <c r="Z132" s="32" t="s">
        <v>62</v>
      </c>
      <c r="AA132" s="33">
        <f t="shared" si="4"/>
        <v>1</v>
      </c>
      <c r="AB132" s="34">
        <f>COUNTIFS(Links!B:B,"ICSE",Links!C:C,A132,Links!AD:AD,1)</f>
        <v>0</v>
      </c>
      <c r="AC132" s="35" t="s">
        <v>35</v>
      </c>
      <c r="AD132" s="27" t="str">
        <f t="shared" si="5"/>
        <v>Yes</v>
      </c>
      <c r="AE132" s="69" t="s">
        <v>366</v>
      </c>
      <c r="AF132" s="36" t="s">
        <v>223</v>
      </c>
      <c r="AG132" s="37" t="s">
        <v>42</v>
      </c>
      <c r="AH132" s="37" t="s">
        <v>42</v>
      </c>
      <c r="AI132" s="29" t="str">
        <f t="shared" si="6"/>
        <v>Barriers (Agreements and legal rights)</v>
      </c>
      <c r="AJ132" s="38" t="str">
        <f t="shared" si="7"/>
        <v>Paper has link and statement</v>
      </c>
      <c r="AK132" s="39">
        <v>45034.0</v>
      </c>
      <c r="AL132" s="23" t="s">
        <v>43</v>
      </c>
      <c r="AM132" s="40" t="str">
        <f t="shared" si="8"/>
        <v>[IP1702]</v>
      </c>
    </row>
    <row r="133" ht="67.5" customHeight="1">
      <c r="A133" s="41">
        <v>1703.0</v>
      </c>
      <c r="B133" s="42" t="s">
        <v>367</v>
      </c>
      <c r="C133" s="43">
        <v>2015.0</v>
      </c>
      <c r="D133" s="44" t="s">
        <v>35</v>
      </c>
      <c r="E133" s="45" t="s">
        <v>36</v>
      </c>
      <c r="F133" s="45" t="s">
        <v>36</v>
      </c>
      <c r="G133" s="45" t="s">
        <v>36</v>
      </c>
      <c r="H133" s="45" t="s">
        <v>36</v>
      </c>
      <c r="I133" s="45" t="s">
        <v>36</v>
      </c>
      <c r="J133" s="46" t="s">
        <v>36</v>
      </c>
      <c r="K133" s="47" t="s">
        <v>37</v>
      </c>
      <c r="L133" s="48" t="s">
        <v>35</v>
      </c>
      <c r="M133" s="48" t="s">
        <v>35</v>
      </c>
      <c r="N133" s="48" t="s">
        <v>37</v>
      </c>
      <c r="O133" s="48" t="s">
        <v>35</v>
      </c>
      <c r="P133" s="48" t="s">
        <v>35</v>
      </c>
      <c r="Q133" s="48" t="s">
        <v>35</v>
      </c>
      <c r="R133" s="48" t="s">
        <v>35</v>
      </c>
      <c r="S133" s="49" t="s">
        <v>343</v>
      </c>
      <c r="T133" s="64" t="s">
        <v>368</v>
      </c>
      <c r="U133" s="50" t="s">
        <v>368</v>
      </c>
      <c r="V133" s="52">
        <f t="shared" ref="V133:X133" si="138">IF(lenb(SUBSTITUTE($Z133,V$1&amp;" (1)",""))&lt;lenb($Z133),1,IF(lenb(SUBSTITUTE($Z133,V$1&amp;" (2)",""))&lt;lenb($Z133),2,IF(lenb(SUBSTITUTE($Z133,V$1&amp;" (3)",""))&lt;lenb($Z133),3,IF(lenb(SUBSTITUTE($Z133,V$1&amp;" (4)",""))&lt;lenb($Z133),4,IF(lenb(SUBSTITUTE($Z133,V$1&amp;" (5)",""))&lt;lenb($Z133),5,IF(lenb(SUBSTITUTE($Z133,V$1&amp;" (6)",""))&lt;lenb($Z133),6,IF(lenb(SUBSTITUTE($Z133,V$1&amp;" (7)",""))&lt;lenb($Z133),1,IF(lenb(SUBSTITUTE($Z133,V$1&amp;" (8)",""))&lt;lenb($Z133),8,IF(lenb(SUBSTITUTE($Z133,V$1&amp;" (9)",""))&lt;lenb($Z133),9,IF(lenb(SUBSTITUTE($Z133,V$1&amp;" (10)",""))&lt;lenb($Z133),10,IF(lenb(SUBSTITUTE($Z133,V$1,""))&lt;lenb($Z133),"ERROR",IF($Z133=$Y$1,"-",0))))))))))))</f>
        <v>1</v>
      </c>
      <c r="W133" s="52">
        <f t="shared" si="138"/>
        <v>0</v>
      </c>
      <c r="X133" s="52">
        <f t="shared" si="138"/>
        <v>0</v>
      </c>
      <c r="Y133" s="52" t="str">
        <f t="shared" si="3"/>
        <v>-</v>
      </c>
      <c r="Z133" s="52" t="s">
        <v>62</v>
      </c>
      <c r="AA133" s="53">
        <f t="shared" si="4"/>
        <v>1</v>
      </c>
      <c r="AB133" s="54">
        <f>COUNTIFS(Links!B:B,"ICSE",Links!C:C,A133,Links!AD:AD,1)</f>
        <v>0</v>
      </c>
      <c r="AC133" s="55" t="s">
        <v>35</v>
      </c>
      <c r="AD133" s="47" t="str">
        <f t="shared" si="5"/>
        <v>No</v>
      </c>
      <c r="AE133" s="56" t="s">
        <v>36</v>
      </c>
      <c r="AF133" s="57" t="s">
        <v>42</v>
      </c>
      <c r="AG133" s="57" t="s">
        <v>42</v>
      </c>
      <c r="AH133" s="57" t="s">
        <v>42</v>
      </c>
      <c r="AI133" s="49" t="str">
        <f t="shared" si="6"/>
        <v>----</v>
      </c>
      <c r="AJ133" s="58" t="str">
        <f t="shared" si="7"/>
        <v>Paper has link but no statement</v>
      </c>
      <c r="AK133" s="59">
        <v>45034.0</v>
      </c>
      <c r="AL133" s="43" t="s">
        <v>43</v>
      </c>
      <c r="AM133" s="60" t="str">
        <f t="shared" si="8"/>
        <v>[IP1703]</v>
      </c>
    </row>
    <row r="134" ht="67.5" customHeight="1">
      <c r="A134" s="61">
        <v>1704.0</v>
      </c>
      <c r="B134" s="22" t="s">
        <v>369</v>
      </c>
      <c r="C134" s="23">
        <v>2015.0</v>
      </c>
      <c r="D134" s="24" t="s">
        <v>35</v>
      </c>
      <c r="E134" s="25" t="s">
        <v>36</v>
      </c>
      <c r="F134" s="25" t="s">
        <v>36</v>
      </c>
      <c r="G134" s="25" t="s">
        <v>36</v>
      </c>
      <c r="H134" s="25" t="s">
        <v>36</v>
      </c>
      <c r="I134" s="25" t="s">
        <v>36</v>
      </c>
      <c r="J134" s="26" t="s">
        <v>36</v>
      </c>
      <c r="K134" s="27" t="s">
        <v>37</v>
      </c>
      <c r="L134" s="28" t="s">
        <v>35</v>
      </c>
      <c r="M134" s="28" t="s">
        <v>35</v>
      </c>
      <c r="N134" s="28" t="s">
        <v>35</v>
      </c>
      <c r="O134" s="28" t="s">
        <v>35</v>
      </c>
      <c r="P134" s="28" t="s">
        <v>35</v>
      </c>
      <c r="Q134" s="28" t="s">
        <v>35</v>
      </c>
      <c r="R134" s="28" t="s">
        <v>37</v>
      </c>
      <c r="S134" s="29" t="s">
        <v>370</v>
      </c>
      <c r="T134" s="65" t="s">
        <v>371</v>
      </c>
      <c r="U134" s="30" t="s">
        <v>371</v>
      </c>
      <c r="V134" s="32">
        <f t="shared" ref="V134:X134" si="139">IF(lenb(SUBSTITUTE($Z134,V$1&amp;" (1)",""))&lt;lenb($Z134),1,IF(lenb(SUBSTITUTE($Z134,V$1&amp;" (2)",""))&lt;lenb($Z134),2,IF(lenb(SUBSTITUTE($Z134,V$1&amp;" (3)",""))&lt;lenb($Z134),3,IF(lenb(SUBSTITUTE($Z134,V$1&amp;" (4)",""))&lt;lenb($Z134),4,IF(lenb(SUBSTITUTE($Z134,V$1&amp;" (5)",""))&lt;lenb($Z134),5,IF(lenb(SUBSTITUTE($Z134,V$1&amp;" (6)",""))&lt;lenb($Z134),6,IF(lenb(SUBSTITUTE($Z134,V$1&amp;" (7)",""))&lt;lenb($Z134),1,IF(lenb(SUBSTITUTE($Z134,V$1&amp;" (8)",""))&lt;lenb($Z134),8,IF(lenb(SUBSTITUTE($Z134,V$1&amp;" (9)",""))&lt;lenb($Z134),9,IF(lenb(SUBSTITUTE($Z134,V$1&amp;" (10)",""))&lt;lenb($Z134),10,IF(lenb(SUBSTITUTE($Z134,V$1,""))&lt;lenb($Z134),"ERROR",IF($Z134=$Y$1,"-",0))))))))))))</f>
        <v>0</v>
      </c>
      <c r="W134" s="32">
        <f t="shared" si="139"/>
        <v>1</v>
      </c>
      <c r="X134" s="32">
        <f t="shared" si="139"/>
        <v>0</v>
      </c>
      <c r="Y134" s="32" t="str">
        <f t="shared" si="3"/>
        <v>-</v>
      </c>
      <c r="Z134" s="32" t="s">
        <v>47</v>
      </c>
      <c r="AA134" s="33">
        <f t="shared" si="4"/>
        <v>1</v>
      </c>
      <c r="AB134" s="34">
        <f>COUNTIFS(Links!B:B,"ICSE",Links!C:C,A134,Links!AD:AD,1)</f>
        <v>1</v>
      </c>
      <c r="AC134" s="35" t="s">
        <v>35</v>
      </c>
      <c r="AD134" s="27" t="str">
        <f t="shared" si="5"/>
        <v>No</v>
      </c>
      <c r="AE134" s="36" t="s">
        <v>36</v>
      </c>
      <c r="AF134" s="37" t="s">
        <v>42</v>
      </c>
      <c r="AG134" s="37" t="s">
        <v>42</v>
      </c>
      <c r="AH134" s="37" t="s">
        <v>42</v>
      </c>
      <c r="AI134" s="29" t="str">
        <f t="shared" si="6"/>
        <v>----</v>
      </c>
      <c r="AJ134" s="38" t="str">
        <f t="shared" si="7"/>
        <v>Paper has link but no statement</v>
      </c>
      <c r="AK134" s="39">
        <v>45034.0</v>
      </c>
      <c r="AL134" s="23" t="s">
        <v>43</v>
      </c>
      <c r="AM134" s="40" t="str">
        <f t="shared" si="8"/>
        <v>[IP1704]</v>
      </c>
    </row>
    <row r="135" ht="67.5" customHeight="1">
      <c r="A135" s="41">
        <v>1705.0</v>
      </c>
      <c r="B135" s="42" t="s">
        <v>372</v>
      </c>
      <c r="C135" s="43">
        <v>2015.0</v>
      </c>
      <c r="D135" s="44" t="s">
        <v>35</v>
      </c>
      <c r="E135" s="45" t="s">
        <v>36</v>
      </c>
      <c r="F135" s="45" t="s">
        <v>36</v>
      </c>
      <c r="G135" s="45" t="s">
        <v>36</v>
      </c>
      <c r="H135" s="45" t="s">
        <v>36</v>
      </c>
      <c r="I135" s="45" t="s">
        <v>36</v>
      </c>
      <c r="J135" s="46" t="s">
        <v>36</v>
      </c>
      <c r="K135" s="47" t="s">
        <v>37</v>
      </c>
      <c r="L135" s="48" t="s">
        <v>35</v>
      </c>
      <c r="M135" s="48" t="s">
        <v>37</v>
      </c>
      <c r="N135" s="48" t="s">
        <v>35</v>
      </c>
      <c r="O135" s="48" t="s">
        <v>35</v>
      </c>
      <c r="P135" s="48" t="s">
        <v>35</v>
      </c>
      <c r="Q135" s="48" t="s">
        <v>35</v>
      </c>
      <c r="R135" s="48" t="s">
        <v>37</v>
      </c>
      <c r="S135" s="49" t="s">
        <v>373</v>
      </c>
      <c r="T135" s="64" t="s">
        <v>374</v>
      </c>
      <c r="U135" s="50" t="s">
        <v>375</v>
      </c>
      <c r="V135" s="52">
        <f t="shared" ref="V135:X135" si="140">IF(lenb(SUBSTITUTE($Z135,V$1&amp;" (1)",""))&lt;lenb($Z135),1,IF(lenb(SUBSTITUTE($Z135,V$1&amp;" (2)",""))&lt;lenb($Z135),2,IF(lenb(SUBSTITUTE($Z135,V$1&amp;" (3)",""))&lt;lenb($Z135),3,IF(lenb(SUBSTITUTE($Z135,V$1&amp;" (4)",""))&lt;lenb($Z135),4,IF(lenb(SUBSTITUTE($Z135,V$1&amp;" (5)",""))&lt;lenb($Z135),5,IF(lenb(SUBSTITUTE($Z135,V$1&amp;" (6)",""))&lt;lenb($Z135),6,IF(lenb(SUBSTITUTE($Z135,V$1&amp;" (7)",""))&lt;lenb($Z135),1,IF(lenb(SUBSTITUTE($Z135,V$1&amp;" (8)",""))&lt;lenb($Z135),8,IF(lenb(SUBSTITUTE($Z135,V$1&amp;" (9)",""))&lt;lenb($Z135),9,IF(lenb(SUBSTITUTE($Z135,V$1&amp;" (10)",""))&lt;lenb($Z135),10,IF(lenb(SUBSTITUTE($Z135,V$1,""))&lt;lenb($Z135),"ERROR",IF($Z135=$Y$1,"-",0))))))))))))</f>
        <v>0</v>
      </c>
      <c r="W135" s="52">
        <f t="shared" si="140"/>
        <v>1</v>
      </c>
      <c r="X135" s="52">
        <f t="shared" si="140"/>
        <v>0</v>
      </c>
      <c r="Y135" s="52" t="str">
        <f t="shared" si="3"/>
        <v>-</v>
      </c>
      <c r="Z135" s="52" t="s">
        <v>47</v>
      </c>
      <c r="AA135" s="53">
        <f t="shared" si="4"/>
        <v>1</v>
      </c>
      <c r="AB135" s="54">
        <f>COUNTIFS(Links!B:B,"ICSE",Links!C:C,A135,Links!AD:AD,1)</f>
        <v>1</v>
      </c>
      <c r="AC135" s="55" t="s">
        <v>35</v>
      </c>
      <c r="AD135" s="47" t="str">
        <f t="shared" si="5"/>
        <v>No</v>
      </c>
      <c r="AE135" s="56" t="s">
        <v>36</v>
      </c>
      <c r="AF135" s="57" t="s">
        <v>42</v>
      </c>
      <c r="AG135" s="57" t="s">
        <v>42</v>
      </c>
      <c r="AH135" s="57" t="s">
        <v>42</v>
      </c>
      <c r="AI135" s="49" t="str">
        <f t="shared" si="6"/>
        <v>----</v>
      </c>
      <c r="AJ135" s="58" t="str">
        <f t="shared" si="7"/>
        <v>Paper has link but no statement</v>
      </c>
      <c r="AK135" s="59">
        <v>45034.0</v>
      </c>
      <c r="AL135" s="43" t="s">
        <v>43</v>
      </c>
      <c r="AM135" s="60" t="str">
        <f t="shared" si="8"/>
        <v>[IP1705]</v>
      </c>
    </row>
    <row r="136" ht="67.5" customHeight="1">
      <c r="A136" s="61">
        <v>1706.0</v>
      </c>
      <c r="B136" s="22" t="s">
        <v>376</v>
      </c>
      <c r="C136" s="23">
        <v>2015.0</v>
      </c>
      <c r="D136" s="24" t="s">
        <v>35</v>
      </c>
      <c r="E136" s="25" t="s">
        <v>36</v>
      </c>
      <c r="F136" s="25" t="s">
        <v>36</v>
      </c>
      <c r="G136" s="25" t="s">
        <v>36</v>
      </c>
      <c r="H136" s="25" t="s">
        <v>36</v>
      </c>
      <c r="I136" s="25" t="s">
        <v>36</v>
      </c>
      <c r="J136" s="26" t="s">
        <v>36</v>
      </c>
      <c r="K136" s="27" t="s">
        <v>37</v>
      </c>
      <c r="L136" s="28" t="s">
        <v>37</v>
      </c>
      <c r="M136" s="28" t="s">
        <v>37</v>
      </c>
      <c r="N136" s="28" t="s">
        <v>37</v>
      </c>
      <c r="O136" s="28" t="s">
        <v>35</v>
      </c>
      <c r="P136" s="28" t="s">
        <v>35</v>
      </c>
      <c r="Q136" s="28" t="s">
        <v>35</v>
      </c>
      <c r="R136" s="28" t="s">
        <v>37</v>
      </c>
      <c r="S136" s="29" t="s">
        <v>377</v>
      </c>
      <c r="T136" s="65" t="s">
        <v>378</v>
      </c>
      <c r="U136" s="30" t="s">
        <v>378</v>
      </c>
      <c r="V136" s="32">
        <f t="shared" ref="V136:X136" si="141">IF(lenb(SUBSTITUTE($Z136,V$1&amp;" (1)",""))&lt;lenb($Z136),1,IF(lenb(SUBSTITUTE($Z136,V$1&amp;" (2)",""))&lt;lenb($Z136),2,IF(lenb(SUBSTITUTE($Z136,V$1&amp;" (3)",""))&lt;lenb($Z136),3,IF(lenb(SUBSTITUTE($Z136,V$1&amp;" (4)",""))&lt;lenb($Z136),4,IF(lenb(SUBSTITUTE($Z136,V$1&amp;" (5)",""))&lt;lenb($Z136),5,IF(lenb(SUBSTITUTE($Z136,V$1&amp;" (6)",""))&lt;lenb($Z136),6,IF(lenb(SUBSTITUTE($Z136,V$1&amp;" (7)",""))&lt;lenb($Z136),1,IF(lenb(SUBSTITUTE($Z136,V$1&amp;" (8)",""))&lt;lenb($Z136),8,IF(lenb(SUBSTITUTE($Z136,V$1&amp;" (9)",""))&lt;lenb($Z136),9,IF(lenb(SUBSTITUTE($Z136,V$1&amp;" (10)",""))&lt;lenb($Z136),10,IF(lenb(SUBSTITUTE($Z136,V$1,""))&lt;lenb($Z136),"ERROR",IF($Z136=$Y$1,"-",0))))))))))))</f>
        <v>0</v>
      </c>
      <c r="W136" s="32">
        <f t="shared" si="141"/>
        <v>1</v>
      </c>
      <c r="X136" s="32">
        <f t="shared" si="141"/>
        <v>0</v>
      </c>
      <c r="Y136" s="32" t="str">
        <f t="shared" si="3"/>
        <v>-</v>
      </c>
      <c r="Z136" s="32" t="s">
        <v>47</v>
      </c>
      <c r="AA136" s="33">
        <f t="shared" si="4"/>
        <v>1</v>
      </c>
      <c r="AB136" s="34">
        <f>COUNTIFS(Links!B:B,"ICSE",Links!C:C,A136,Links!AD:AD,1)</f>
        <v>0</v>
      </c>
      <c r="AC136" s="35" t="s">
        <v>35</v>
      </c>
      <c r="AD136" s="27" t="str">
        <f t="shared" si="5"/>
        <v>No</v>
      </c>
      <c r="AE136" s="36" t="s">
        <v>36</v>
      </c>
      <c r="AF136" s="37" t="s">
        <v>42</v>
      </c>
      <c r="AG136" s="37" t="s">
        <v>42</v>
      </c>
      <c r="AH136" s="37" t="s">
        <v>42</v>
      </c>
      <c r="AI136" s="29" t="str">
        <f t="shared" si="6"/>
        <v>----</v>
      </c>
      <c r="AJ136" s="38" t="str">
        <f t="shared" si="7"/>
        <v>Paper has link but no statement</v>
      </c>
      <c r="AK136" s="39">
        <v>45034.0</v>
      </c>
      <c r="AL136" s="23" t="s">
        <v>43</v>
      </c>
      <c r="AM136" s="40" t="str">
        <f t="shared" si="8"/>
        <v>[IP1706]</v>
      </c>
    </row>
    <row r="137" ht="67.5" customHeight="1">
      <c r="A137" s="41">
        <v>1707.0</v>
      </c>
      <c r="B137" s="42" t="s">
        <v>379</v>
      </c>
      <c r="C137" s="43">
        <v>2015.0</v>
      </c>
      <c r="D137" s="44" t="s">
        <v>35</v>
      </c>
      <c r="E137" s="45" t="s">
        <v>36</v>
      </c>
      <c r="F137" s="45" t="s">
        <v>36</v>
      </c>
      <c r="G137" s="45" t="s">
        <v>36</v>
      </c>
      <c r="H137" s="45" t="s">
        <v>36</v>
      </c>
      <c r="I137" s="45" t="s">
        <v>36</v>
      </c>
      <c r="J137" s="46" t="s">
        <v>36</v>
      </c>
      <c r="K137" s="47" t="s">
        <v>37</v>
      </c>
      <c r="L137" s="48" t="s">
        <v>35</v>
      </c>
      <c r="M137" s="48" t="s">
        <v>35</v>
      </c>
      <c r="N137" s="48" t="s">
        <v>35</v>
      </c>
      <c r="O137" s="48" t="s">
        <v>37</v>
      </c>
      <c r="P137" s="48" t="s">
        <v>35</v>
      </c>
      <c r="Q137" s="48" t="s">
        <v>35</v>
      </c>
      <c r="R137" s="48" t="s">
        <v>35</v>
      </c>
      <c r="S137" s="49" t="s">
        <v>380</v>
      </c>
      <c r="T137" s="64" t="s">
        <v>381</v>
      </c>
      <c r="U137" s="50" t="s">
        <v>381</v>
      </c>
      <c r="V137" s="52">
        <f t="shared" ref="V137:X137" si="142">IF(lenb(SUBSTITUTE($Z137,V$1&amp;" (1)",""))&lt;lenb($Z137),1,IF(lenb(SUBSTITUTE($Z137,V$1&amp;" (2)",""))&lt;lenb($Z137),2,IF(lenb(SUBSTITUTE($Z137,V$1&amp;" (3)",""))&lt;lenb($Z137),3,IF(lenb(SUBSTITUTE($Z137,V$1&amp;" (4)",""))&lt;lenb($Z137),4,IF(lenb(SUBSTITUTE($Z137,V$1&amp;" (5)",""))&lt;lenb($Z137),5,IF(lenb(SUBSTITUTE($Z137,V$1&amp;" (6)",""))&lt;lenb($Z137),6,IF(lenb(SUBSTITUTE($Z137,V$1&amp;" (7)",""))&lt;lenb($Z137),1,IF(lenb(SUBSTITUTE($Z137,V$1&amp;" (8)",""))&lt;lenb($Z137),8,IF(lenb(SUBSTITUTE($Z137,V$1&amp;" (9)",""))&lt;lenb($Z137),9,IF(lenb(SUBSTITUTE($Z137,V$1&amp;" (10)",""))&lt;lenb($Z137),10,IF(lenb(SUBSTITUTE($Z137,V$1,""))&lt;lenb($Z137),"ERROR",IF($Z137=$Y$1,"-",0))))))))))))</f>
        <v>1</v>
      </c>
      <c r="W137" s="52">
        <f t="shared" si="142"/>
        <v>0</v>
      </c>
      <c r="X137" s="52">
        <f t="shared" si="142"/>
        <v>0</v>
      </c>
      <c r="Y137" s="52" t="str">
        <f t="shared" si="3"/>
        <v>-</v>
      </c>
      <c r="Z137" s="52" t="s">
        <v>62</v>
      </c>
      <c r="AA137" s="53">
        <f t="shared" si="4"/>
        <v>1</v>
      </c>
      <c r="AB137" s="54">
        <f>COUNTIFS(Links!B:B,"ICSE",Links!C:C,A137,Links!AD:AD,1)</f>
        <v>1</v>
      </c>
      <c r="AC137" s="55" t="s">
        <v>35</v>
      </c>
      <c r="AD137" s="47" t="str">
        <f t="shared" si="5"/>
        <v>No</v>
      </c>
      <c r="AE137" s="56" t="s">
        <v>36</v>
      </c>
      <c r="AF137" s="57" t="s">
        <v>42</v>
      </c>
      <c r="AG137" s="57" t="s">
        <v>42</v>
      </c>
      <c r="AH137" s="57" t="s">
        <v>42</v>
      </c>
      <c r="AI137" s="49" t="str">
        <f t="shared" si="6"/>
        <v>----</v>
      </c>
      <c r="AJ137" s="58" t="str">
        <f t="shared" si="7"/>
        <v>Paper has link but no statement</v>
      </c>
      <c r="AK137" s="59">
        <v>45034.0</v>
      </c>
      <c r="AL137" s="43" t="s">
        <v>43</v>
      </c>
      <c r="AM137" s="60" t="str">
        <f t="shared" si="8"/>
        <v>[IP1707]</v>
      </c>
    </row>
    <row r="138" ht="67.5" customHeight="1">
      <c r="A138" s="61">
        <v>1708.0</v>
      </c>
      <c r="B138" s="22" t="s">
        <v>382</v>
      </c>
      <c r="C138" s="23">
        <v>2015.0</v>
      </c>
      <c r="D138" s="24" t="s">
        <v>35</v>
      </c>
      <c r="E138" s="25" t="s">
        <v>36</v>
      </c>
      <c r="F138" s="25" t="s">
        <v>36</v>
      </c>
      <c r="G138" s="25" t="s">
        <v>36</v>
      </c>
      <c r="H138" s="25" t="s">
        <v>36</v>
      </c>
      <c r="I138" s="25" t="s">
        <v>36</v>
      </c>
      <c r="J138" s="26" t="s">
        <v>36</v>
      </c>
      <c r="K138" s="27" t="s">
        <v>37</v>
      </c>
      <c r="L138" s="28" t="s">
        <v>35</v>
      </c>
      <c r="M138" s="28" t="s">
        <v>35</v>
      </c>
      <c r="N138" s="28" t="s">
        <v>35</v>
      </c>
      <c r="O138" s="28" t="s">
        <v>35</v>
      </c>
      <c r="P138" s="28" t="s">
        <v>35</v>
      </c>
      <c r="Q138" s="28" t="s">
        <v>35</v>
      </c>
      <c r="R138" s="28" t="s">
        <v>37</v>
      </c>
      <c r="S138" s="29" t="s">
        <v>383</v>
      </c>
      <c r="T138" s="65" t="s">
        <v>384</v>
      </c>
      <c r="U138" s="30" t="s">
        <v>384</v>
      </c>
      <c r="V138" s="32">
        <f t="shared" ref="V138:X138" si="143">IF(lenb(SUBSTITUTE($Z138,V$1&amp;" (1)",""))&lt;lenb($Z138),1,IF(lenb(SUBSTITUTE($Z138,V$1&amp;" (2)",""))&lt;lenb($Z138),2,IF(lenb(SUBSTITUTE($Z138,V$1&amp;" (3)",""))&lt;lenb($Z138),3,IF(lenb(SUBSTITUTE($Z138,V$1&amp;" (4)",""))&lt;lenb($Z138),4,IF(lenb(SUBSTITUTE($Z138,V$1&amp;" (5)",""))&lt;lenb($Z138),5,IF(lenb(SUBSTITUTE($Z138,V$1&amp;" (6)",""))&lt;lenb($Z138),6,IF(lenb(SUBSTITUTE($Z138,V$1&amp;" (7)",""))&lt;lenb($Z138),1,IF(lenb(SUBSTITUTE($Z138,V$1&amp;" (8)",""))&lt;lenb($Z138),8,IF(lenb(SUBSTITUTE($Z138,V$1&amp;" (9)",""))&lt;lenb($Z138),9,IF(lenb(SUBSTITUTE($Z138,V$1&amp;" (10)",""))&lt;lenb($Z138),10,IF(lenb(SUBSTITUTE($Z138,V$1,""))&lt;lenb($Z138),"ERROR",IF($Z138=$Y$1,"-",0))))))))))))</f>
        <v>1</v>
      </c>
      <c r="W138" s="32">
        <f t="shared" si="143"/>
        <v>0</v>
      </c>
      <c r="X138" s="32">
        <f t="shared" si="143"/>
        <v>0</v>
      </c>
      <c r="Y138" s="32" t="str">
        <f t="shared" si="3"/>
        <v>-</v>
      </c>
      <c r="Z138" s="32" t="s">
        <v>62</v>
      </c>
      <c r="AA138" s="33">
        <f t="shared" si="4"/>
        <v>1</v>
      </c>
      <c r="AB138" s="34">
        <f>COUNTIFS(Links!B:B,"ICSE",Links!C:C,A138,Links!AD:AD,1)</f>
        <v>0</v>
      </c>
      <c r="AC138" s="35" t="s">
        <v>35</v>
      </c>
      <c r="AD138" s="27" t="str">
        <f t="shared" si="5"/>
        <v>No</v>
      </c>
      <c r="AE138" s="36" t="s">
        <v>36</v>
      </c>
      <c r="AF138" s="37" t="s">
        <v>42</v>
      </c>
      <c r="AG138" s="37" t="s">
        <v>42</v>
      </c>
      <c r="AH138" s="37" t="s">
        <v>42</v>
      </c>
      <c r="AI138" s="29" t="str">
        <f t="shared" si="6"/>
        <v>----</v>
      </c>
      <c r="AJ138" s="38" t="str">
        <f t="shared" si="7"/>
        <v>Paper has link but no statement</v>
      </c>
      <c r="AK138" s="39">
        <v>45034.0</v>
      </c>
      <c r="AL138" s="23" t="s">
        <v>43</v>
      </c>
      <c r="AM138" s="40" t="str">
        <f t="shared" si="8"/>
        <v>[IP1708]</v>
      </c>
    </row>
    <row r="139" ht="67.5" customHeight="1">
      <c r="A139" s="41">
        <v>1709.0</v>
      </c>
      <c r="B139" s="42" t="s">
        <v>385</v>
      </c>
      <c r="C139" s="43">
        <v>2015.0</v>
      </c>
      <c r="D139" s="44" t="s">
        <v>35</v>
      </c>
      <c r="E139" s="45" t="s">
        <v>36</v>
      </c>
      <c r="F139" s="45" t="s">
        <v>36</v>
      </c>
      <c r="G139" s="45" t="s">
        <v>36</v>
      </c>
      <c r="H139" s="45" t="s">
        <v>36</v>
      </c>
      <c r="I139" s="45" t="s">
        <v>36</v>
      </c>
      <c r="J139" s="46" t="s">
        <v>36</v>
      </c>
      <c r="K139" s="47" t="s">
        <v>35</v>
      </c>
      <c r="L139" s="48" t="s">
        <v>36</v>
      </c>
      <c r="M139" s="48" t="s">
        <v>36</v>
      </c>
      <c r="N139" s="48" t="s">
        <v>36</v>
      </c>
      <c r="O139" s="48" t="s">
        <v>36</v>
      </c>
      <c r="P139" s="48" t="s">
        <v>36</v>
      </c>
      <c r="Q139" s="48" t="s">
        <v>36</v>
      </c>
      <c r="R139" s="48" t="s">
        <v>36</v>
      </c>
      <c r="S139" s="49" t="s">
        <v>36</v>
      </c>
      <c r="T139" s="64" t="s">
        <v>36</v>
      </c>
      <c r="U139" s="51" t="s">
        <v>36</v>
      </c>
      <c r="V139" s="52" t="str">
        <f t="shared" ref="V139:X139" si="144">IF(lenb(SUBSTITUTE($Z139,V$1&amp;" (1)",""))&lt;lenb($Z139),1,IF(lenb(SUBSTITUTE($Z139,V$1&amp;" (2)",""))&lt;lenb($Z139),2,IF(lenb(SUBSTITUTE($Z139,V$1&amp;" (3)",""))&lt;lenb($Z139),3,IF(lenb(SUBSTITUTE($Z139,V$1&amp;" (4)",""))&lt;lenb($Z139),4,IF(lenb(SUBSTITUTE($Z139,V$1&amp;" (5)",""))&lt;lenb($Z139),5,IF(lenb(SUBSTITUTE($Z139,V$1&amp;" (6)",""))&lt;lenb($Z139),6,IF(lenb(SUBSTITUTE($Z139,V$1&amp;" (7)",""))&lt;lenb($Z139),1,IF(lenb(SUBSTITUTE($Z139,V$1&amp;" (8)",""))&lt;lenb($Z139),8,IF(lenb(SUBSTITUTE($Z139,V$1&amp;" (9)",""))&lt;lenb($Z139),9,IF(lenb(SUBSTITUTE($Z139,V$1&amp;" (10)",""))&lt;lenb($Z139),10,IF(lenb(SUBSTITUTE($Z139,V$1,""))&lt;lenb($Z139),"ERROR",IF($Z139=$Y$1,"-",0))))))))))))</f>
        <v>-</v>
      </c>
      <c r="W139" s="52" t="str">
        <f t="shared" si="144"/>
        <v>-</v>
      </c>
      <c r="X139" s="52" t="str">
        <f t="shared" si="144"/>
        <v>-</v>
      </c>
      <c r="Y139" s="52">
        <f t="shared" si="3"/>
        <v>1</v>
      </c>
      <c r="Z139" s="52" t="s">
        <v>23</v>
      </c>
      <c r="AA139" s="53">
        <f t="shared" si="4"/>
        <v>0</v>
      </c>
      <c r="AB139" s="54">
        <f>COUNTIFS(Links!B:B,"ICSE",Links!C:C,A139,Links!AD:AD,1)</f>
        <v>0</v>
      </c>
      <c r="AC139" s="55" t="s">
        <v>36</v>
      </c>
      <c r="AD139" s="47" t="str">
        <f t="shared" si="5"/>
        <v>No</v>
      </c>
      <c r="AE139" s="56" t="s">
        <v>36</v>
      </c>
      <c r="AF139" s="57" t="s">
        <v>42</v>
      </c>
      <c r="AG139" s="57" t="s">
        <v>42</v>
      </c>
      <c r="AH139" s="57" t="s">
        <v>42</v>
      </c>
      <c r="AI139" s="49" t="str">
        <f t="shared" si="6"/>
        <v>----</v>
      </c>
      <c r="AJ139" s="58" t="str">
        <f t="shared" si="7"/>
        <v>Paper has no link and no statement</v>
      </c>
      <c r="AK139" s="59">
        <v>45034.0</v>
      </c>
      <c r="AL139" s="43" t="s">
        <v>43</v>
      </c>
      <c r="AM139" s="60" t="str">
        <f t="shared" si="8"/>
        <v>[IP1709]</v>
      </c>
    </row>
    <row r="140" ht="67.5" customHeight="1">
      <c r="A140" s="61">
        <v>1710.0</v>
      </c>
      <c r="B140" s="22" t="s">
        <v>386</v>
      </c>
      <c r="C140" s="23">
        <v>2015.0</v>
      </c>
      <c r="D140" s="24" t="s">
        <v>35</v>
      </c>
      <c r="E140" s="25" t="s">
        <v>36</v>
      </c>
      <c r="F140" s="25" t="s">
        <v>36</v>
      </c>
      <c r="G140" s="25" t="s">
        <v>36</v>
      </c>
      <c r="H140" s="25" t="s">
        <v>36</v>
      </c>
      <c r="I140" s="25" t="s">
        <v>36</v>
      </c>
      <c r="J140" s="26" t="s">
        <v>36</v>
      </c>
      <c r="K140" s="27" t="s">
        <v>37</v>
      </c>
      <c r="L140" s="28" t="s">
        <v>37</v>
      </c>
      <c r="M140" s="28" t="s">
        <v>35</v>
      </c>
      <c r="N140" s="28" t="s">
        <v>35</v>
      </c>
      <c r="O140" s="28" t="s">
        <v>35</v>
      </c>
      <c r="P140" s="28" t="s">
        <v>35</v>
      </c>
      <c r="Q140" s="28" t="s">
        <v>35</v>
      </c>
      <c r="R140" s="28" t="s">
        <v>37</v>
      </c>
      <c r="S140" s="29" t="s">
        <v>387</v>
      </c>
      <c r="T140" s="65" t="s">
        <v>388</v>
      </c>
      <c r="U140" s="30" t="s">
        <v>388</v>
      </c>
      <c r="V140" s="32">
        <f t="shared" ref="V140:X140" si="145">IF(lenb(SUBSTITUTE($Z140,V$1&amp;" (1)",""))&lt;lenb($Z140),1,IF(lenb(SUBSTITUTE($Z140,V$1&amp;" (2)",""))&lt;lenb($Z140),2,IF(lenb(SUBSTITUTE($Z140,V$1&amp;" (3)",""))&lt;lenb($Z140),3,IF(lenb(SUBSTITUTE($Z140,V$1&amp;" (4)",""))&lt;lenb($Z140),4,IF(lenb(SUBSTITUTE($Z140,V$1&amp;" (5)",""))&lt;lenb($Z140),5,IF(lenb(SUBSTITUTE($Z140,V$1&amp;" (6)",""))&lt;lenb($Z140),6,IF(lenb(SUBSTITUTE($Z140,V$1&amp;" (7)",""))&lt;lenb($Z140),1,IF(lenb(SUBSTITUTE($Z140,V$1&amp;" (8)",""))&lt;lenb($Z140),8,IF(lenb(SUBSTITUTE($Z140,V$1&amp;" (9)",""))&lt;lenb($Z140),9,IF(lenb(SUBSTITUTE($Z140,V$1&amp;" (10)",""))&lt;lenb($Z140),10,IF(lenb(SUBSTITUTE($Z140,V$1,""))&lt;lenb($Z140),"ERROR",IF($Z140=$Y$1,"-",0))))))))))))</f>
        <v>0</v>
      </c>
      <c r="W140" s="32">
        <f t="shared" si="145"/>
        <v>1</v>
      </c>
      <c r="X140" s="32">
        <f t="shared" si="145"/>
        <v>0</v>
      </c>
      <c r="Y140" s="32" t="str">
        <f t="shared" si="3"/>
        <v>-</v>
      </c>
      <c r="Z140" s="32" t="s">
        <v>47</v>
      </c>
      <c r="AA140" s="33">
        <f t="shared" si="4"/>
        <v>1</v>
      </c>
      <c r="AB140" s="34">
        <f>COUNTIFS(Links!B:B,"ICSE",Links!C:C,A140,Links!AD:AD,1)</f>
        <v>1</v>
      </c>
      <c r="AC140" s="35" t="s">
        <v>35</v>
      </c>
      <c r="AD140" s="27" t="str">
        <f t="shared" si="5"/>
        <v>No</v>
      </c>
      <c r="AE140" s="36" t="s">
        <v>36</v>
      </c>
      <c r="AF140" s="37" t="s">
        <v>42</v>
      </c>
      <c r="AG140" s="37" t="s">
        <v>42</v>
      </c>
      <c r="AH140" s="37" t="s">
        <v>42</v>
      </c>
      <c r="AI140" s="29" t="str">
        <f t="shared" si="6"/>
        <v>----</v>
      </c>
      <c r="AJ140" s="38" t="str">
        <f t="shared" si="7"/>
        <v>Paper has link but no statement</v>
      </c>
      <c r="AK140" s="39">
        <v>45034.0</v>
      </c>
      <c r="AL140" s="23" t="s">
        <v>43</v>
      </c>
      <c r="AM140" s="40" t="str">
        <f t="shared" si="8"/>
        <v>[IP1710]</v>
      </c>
    </row>
    <row r="141" ht="67.5" customHeight="1">
      <c r="A141" s="41">
        <v>1711.0</v>
      </c>
      <c r="B141" s="42" t="s">
        <v>389</v>
      </c>
      <c r="C141" s="43">
        <v>2015.0</v>
      </c>
      <c r="D141" s="44" t="s">
        <v>35</v>
      </c>
      <c r="E141" s="45" t="s">
        <v>36</v>
      </c>
      <c r="F141" s="45" t="s">
        <v>36</v>
      </c>
      <c r="G141" s="45" t="s">
        <v>36</v>
      </c>
      <c r="H141" s="45" t="s">
        <v>36</v>
      </c>
      <c r="I141" s="45" t="s">
        <v>36</v>
      </c>
      <c r="J141" s="46" t="s">
        <v>36</v>
      </c>
      <c r="K141" s="47" t="s">
        <v>35</v>
      </c>
      <c r="L141" s="48" t="s">
        <v>36</v>
      </c>
      <c r="M141" s="48" t="s">
        <v>36</v>
      </c>
      <c r="N141" s="48" t="s">
        <v>36</v>
      </c>
      <c r="O141" s="48" t="s">
        <v>36</v>
      </c>
      <c r="P141" s="48" t="s">
        <v>36</v>
      </c>
      <c r="Q141" s="48" t="s">
        <v>36</v>
      </c>
      <c r="R141" s="48" t="s">
        <v>36</v>
      </c>
      <c r="S141" s="49" t="s">
        <v>36</v>
      </c>
      <c r="T141" s="64" t="s">
        <v>36</v>
      </c>
      <c r="U141" s="51" t="s">
        <v>36</v>
      </c>
      <c r="V141" s="52" t="str">
        <f t="shared" ref="V141:X141" si="146">IF(lenb(SUBSTITUTE($Z141,V$1&amp;" (1)",""))&lt;lenb($Z141),1,IF(lenb(SUBSTITUTE($Z141,V$1&amp;" (2)",""))&lt;lenb($Z141),2,IF(lenb(SUBSTITUTE($Z141,V$1&amp;" (3)",""))&lt;lenb($Z141),3,IF(lenb(SUBSTITUTE($Z141,V$1&amp;" (4)",""))&lt;lenb($Z141),4,IF(lenb(SUBSTITUTE($Z141,V$1&amp;" (5)",""))&lt;lenb($Z141),5,IF(lenb(SUBSTITUTE($Z141,V$1&amp;" (6)",""))&lt;lenb($Z141),6,IF(lenb(SUBSTITUTE($Z141,V$1&amp;" (7)",""))&lt;lenb($Z141),1,IF(lenb(SUBSTITUTE($Z141,V$1&amp;" (8)",""))&lt;lenb($Z141),8,IF(lenb(SUBSTITUTE($Z141,V$1&amp;" (9)",""))&lt;lenb($Z141),9,IF(lenb(SUBSTITUTE($Z141,V$1&amp;" (10)",""))&lt;lenb($Z141),10,IF(lenb(SUBSTITUTE($Z141,V$1,""))&lt;lenb($Z141),"ERROR",IF($Z141=$Y$1,"-",0))))))))))))</f>
        <v>-</v>
      </c>
      <c r="W141" s="52" t="str">
        <f t="shared" si="146"/>
        <v>-</v>
      </c>
      <c r="X141" s="52" t="str">
        <f t="shared" si="146"/>
        <v>-</v>
      </c>
      <c r="Y141" s="52">
        <f t="shared" si="3"/>
        <v>1</v>
      </c>
      <c r="Z141" s="52" t="s">
        <v>23</v>
      </c>
      <c r="AA141" s="53">
        <f t="shared" si="4"/>
        <v>0</v>
      </c>
      <c r="AB141" s="54">
        <f>COUNTIFS(Links!B:B,"ICSE",Links!C:C,A141,Links!AD:AD,1)</f>
        <v>0</v>
      </c>
      <c r="AC141" s="55" t="s">
        <v>36</v>
      </c>
      <c r="AD141" s="47" t="str">
        <f t="shared" si="5"/>
        <v>No</v>
      </c>
      <c r="AE141" s="56" t="s">
        <v>36</v>
      </c>
      <c r="AF141" s="57" t="s">
        <v>42</v>
      </c>
      <c r="AG141" s="57" t="s">
        <v>42</v>
      </c>
      <c r="AH141" s="57" t="s">
        <v>42</v>
      </c>
      <c r="AI141" s="49" t="str">
        <f t="shared" si="6"/>
        <v>----</v>
      </c>
      <c r="AJ141" s="58" t="str">
        <f t="shared" si="7"/>
        <v>Paper has no link and no statement</v>
      </c>
      <c r="AK141" s="59">
        <v>45034.0</v>
      </c>
      <c r="AL141" s="43" t="s">
        <v>43</v>
      </c>
      <c r="AM141" s="60" t="str">
        <f t="shared" si="8"/>
        <v>[IP1711]</v>
      </c>
    </row>
    <row r="142" ht="67.5" customHeight="1">
      <c r="A142" s="61">
        <v>1712.0</v>
      </c>
      <c r="B142" s="22" t="s">
        <v>390</v>
      </c>
      <c r="C142" s="23">
        <v>2015.0</v>
      </c>
      <c r="D142" s="24" t="s">
        <v>35</v>
      </c>
      <c r="E142" s="25" t="s">
        <v>36</v>
      </c>
      <c r="F142" s="25" t="s">
        <v>36</v>
      </c>
      <c r="G142" s="25" t="s">
        <v>36</v>
      </c>
      <c r="H142" s="25" t="s">
        <v>36</v>
      </c>
      <c r="I142" s="25" t="s">
        <v>36</v>
      </c>
      <c r="J142" s="26" t="s">
        <v>36</v>
      </c>
      <c r="K142" s="27" t="s">
        <v>35</v>
      </c>
      <c r="L142" s="28" t="s">
        <v>36</v>
      </c>
      <c r="M142" s="28" t="s">
        <v>36</v>
      </c>
      <c r="N142" s="28" t="s">
        <v>36</v>
      </c>
      <c r="O142" s="28" t="s">
        <v>36</v>
      </c>
      <c r="P142" s="28" t="s">
        <v>36</v>
      </c>
      <c r="Q142" s="28" t="s">
        <v>36</v>
      </c>
      <c r="R142" s="28" t="s">
        <v>36</v>
      </c>
      <c r="S142" s="29" t="s">
        <v>36</v>
      </c>
      <c r="T142" s="65" t="s">
        <v>36</v>
      </c>
      <c r="U142" s="31" t="s">
        <v>36</v>
      </c>
      <c r="V142" s="32" t="str">
        <f t="shared" ref="V142:X142" si="147">IF(lenb(SUBSTITUTE($Z142,V$1&amp;" (1)",""))&lt;lenb($Z142),1,IF(lenb(SUBSTITUTE($Z142,V$1&amp;" (2)",""))&lt;lenb($Z142),2,IF(lenb(SUBSTITUTE($Z142,V$1&amp;" (3)",""))&lt;lenb($Z142),3,IF(lenb(SUBSTITUTE($Z142,V$1&amp;" (4)",""))&lt;lenb($Z142),4,IF(lenb(SUBSTITUTE($Z142,V$1&amp;" (5)",""))&lt;lenb($Z142),5,IF(lenb(SUBSTITUTE($Z142,V$1&amp;" (6)",""))&lt;lenb($Z142),6,IF(lenb(SUBSTITUTE($Z142,V$1&amp;" (7)",""))&lt;lenb($Z142),1,IF(lenb(SUBSTITUTE($Z142,V$1&amp;" (8)",""))&lt;lenb($Z142),8,IF(lenb(SUBSTITUTE($Z142,V$1&amp;" (9)",""))&lt;lenb($Z142),9,IF(lenb(SUBSTITUTE($Z142,V$1&amp;" (10)",""))&lt;lenb($Z142),10,IF(lenb(SUBSTITUTE($Z142,V$1,""))&lt;lenb($Z142),"ERROR",IF($Z142=$Y$1,"-",0))))))))))))</f>
        <v>-</v>
      </c>
      <c r="W142" s="32" t="str">
        <f t="shared" si="147"/>
        <v>-</v>
      </c>
      <c r="X142" s="32" t="str">
        <f t="shared" si="147"/>
        <v>-</v>
      </c>
      <c r="Y142" s="32">
        <f t="shared" si="3"/>
        <v>1</v>
      </c>
      <c r="Z142" s="32" t="s">
        <v>23</v>
      </c>
      <c r="AA142" s="33">
        <f t="shared" si="4"/>
        <v>0</v>
      </c>
      <c r="AB142" s="34">
        <f>COUNTIFS(Links!B:B,"ICSE",Links!C:C,A142,Links!AD:AD,1)</f>
        <v>0</v>
      </c>
      <c r="AC142" s="35" t="s">
        <v>36</v>
      </c>
      <c r="AD142" s="27" t="str">
        <f t="shared" si="5"/>
        <v>Yes</v>
      </c>
      <c r="AE142" s="36" t="s">
        <v>391</v>
      </c>
      <c r="AF142" s="36" t="s">
        <v>281</v>
      </c>
      <c r="AG142" s="37" t="s">
        <v>42</v>
      </c>
      <c r="AH142" s="37" t="s">
        <v>42</v>
      </c>
      <c r="AI142" s="29" t="str">
        <f t="shared" si="6"/>
        <v>Barriers (Confidentiality and privacy)</v>
      </c>
      <c r="AJ142" s="38" t="str">
        <f t="shared" si="7"/>
        <v>Paper has no link but has statement</v>
      </c>
      <c r="AK142" s="39">
        <v>45034.0</v>
      </c>
      <c r="AL142" s="23" t="s">
        <v>43</v>
      </c>
      <c r="AM142" s="40" t="str">
        <f t="shared" si="8"/>
        <v>[IP1712]</v>
      </c>
    </row>
    <row r="143" ht="67.5" customHeight="1">
      <c r="A143" s="41">
        <v>1713.0</v>
      </c>
      <c r="B143" s="42" t="s">
        <v>392</v>
      </c>
      <c r="C143" s="43">
        <v>2015.0</v>
      </c>
      <c r="D143" s="44" t="s">
        <v>35</v>
      </c>
      <c r="E143" s="45" t="s">
        <v>36</v>
      </c>
      <c r="F143" s="45" t="s">
        <v>36</v>
      </c>
      <c r="G143" s="45" t="s">
        <v>36</v>
      </c>
      <c r="H143" s="45" t="s">
        <v>36</v>
      </c>
      <c r="I143" s="45" t="s">
        <v>36</v>
      </c>
      <c r="J143" s="46" t="s">
        <v>36</v>
      </c>
      <c r="K143" s="47" t="s">
        <v>37</v>
      </c>
      <c r="L143" s="48" t="s">
        <v>35</v>
      </c>
      <c r="M143" s="48" t="s">
        <v>37</v>
      </c>
      <c r="N143" s="48" t="s">
        <v>35</v>
      </c>
      <c r="O143" s="48" t="s">
        <v>35</v>
      </c>
      <c r="P143" s="48" t="s">
        <v>35</v>
      </c>
      <c r="Q143" s="48" t="s">
        <v>35</v>
      </c>
      <c r="R143" s="48" t="s">
        <v>37</v>
      </c>
      <c r="S143" s="49" t="s">
        <v>393</v>
      </c>
      <c r="T143" s="64" t="s">
        <v>394</v>
      </c>
      <c r="U143" s="51" t="s">
        <v>394</v>
      </c>
      <c r="V143" s="52">
        <f t="shared" ref="V143:X143" si="148">IF(lenb(SUBSTITUTE($Z143,V$1&amp;" (1)",""))&lt;lenb($Z143),1,IF(lenb(SUBSTITUTE($Z143,V$1&amp;" (2)",""))&lt;lenb($Z143),2,IF(lenb(SUBSTITUTE($Z143,V$1&amp;" (3)",""))&lt;lenb($Z143),3,IF(lenb(SUBSTITUTE($Z143,V$1&amp;" (4)",""))&lt;lenb($Z143),4,IF(lenb(SUBSTITUTE($Z143,V$1&amp;" (5)",""))&lt;lenb($Z143),5,IF(lenb(SUBSTITUTE($Z143,V$1&amp;" (6)",""))&lt;lenb($Z143),6,IF(lenb(SUBSTITUTE($Z143,V$1&amp;" (7)",""))&lt;lenb($Z143),1,IF(lenb(SUBSTITUTE($Z143,V$1&amp;" (8)",""))&lt;lenb($Z143),8,IF(lenb(SUBSTITUTE($Z143,V$1&amp;" (9)",""))&lt;lenb($Z143),9,IF(lenb(SUBSTITUTE($Z143,V$1&amp;" (10)",""))&lt;lenb($Z143),10,IF(lenb(SUBSTITUTE($Z143,V$1,""))&lt;lenb($Z143),"ERROR",IF($Z143=$Y$1,"-",0))))))))))))</f>
        <v>1</v>
      </c>
      <c r="W143" s="52">
        <f t="shared" si="148"/>
        <v>0</v>
      </c>
      <c r="X143" s="52">
        <f t="shared" si="148"/>
        <v>0</v>
      </c>
      <c r="Y143" s="52" t="str">
        <f t="shared" si="3"/>
        <v>-</v>
      </c>
      <c r="Z143" s="52" t="s">
        <v>62</v>
      </c>
      <c r="AA143" s="53">
        <f t="shared" si="4"/>
        <v>1</v>
      </c>
      <c r="AB143" s="54">
        <f>COUNTIFS(Links!B:B,"ICSE",Links!C:C,A143,Links!AD:AD,1)</f>
        <v>0</v>
      </c>
      <c r="AC143" s="55" t="s">
        <v>35</v>
      </c>
      <c r="AD143" s="47" t="str">
        <f t="shared" si="5"/>
        <v>No</v>
      </c>
      <c r="AE143" s="56" t="s">
        <v>36</v>
      </c>
      <c r="AF143" s="57" t="s">
        <v>42</v>
      </c>
      <c r="AG143" s="57" t="s">
        <v>42</v>
      </c>
      <c r="AH143" s="57" t="s">
        <v>42</v>
      </c>
      <c r="AI143" s="49" t="str">
        <f t="shared" si="6"/>
        <v>----</v>
      </c>
      <c r="AJ143" s="58" t="str">
        <f t="shared" si="7"/>
        <v>Paper has link but no statement</v>
      </c>
      <c r="AK143" s="59">
        <v>45034.0</v>
      </c>
      <c r="AL143" s="43" t="s">
        <v>43</v>
      </c>
      <c r="AM143" s="60" t="str">
        <f t="shared" si="8"/>
        <v>[IP1713]</v>
      </c>
    </row>
    <row r="144" ht="67.5" customHeight="1">
      <c r="A144" s="61">
        <v>1714.0</v>
      </c>
      <c r="B144" s="22" t="s">
        <v>395</v>
      </c>
      <c r="C144" s="23">
        <v>2015.0</v>
      </c>
      <c r="D144" s="24" t="s">
        <v>35</v>
      </c>
      <c r="E144" s="25" t="s">
        <v>36</v>
      </c>
      <c r="F144" s="25" t="s">
        <v>36</v>
      </c>
      <c r="G144" s="25" t="s">
        <v>36</v>
      </c>
      <c r="H144" s="25" t="s">
        <v>36</v>
      </c>
      <c r="I144" s="25" t="s">
        <v>36</v>
      </c>
      <c r="J144" s="26" t="s">
        <v>36</v>
      </c>
      <c r="K144" s="27" t="s">
        <v>35</v>
      </c>
      <c r="L144" s="28" t="s">
        <v>36</v>
      </c>
      <c r="M144" s="28" t="s">
        <v>36</v>
      </c>
      <c r="N144" s="28" t="s">
        <v>36</v>
      </c>
      <c r="O144" s="28" t="s">
        <v>36</v>
      </c>
      <c r="P144" s="28" t="s">
        <v>36</v>
      </c>
      <c r="Q144" s="28" t="s">
        <v>36</v>
      </c>
      <c r="R144" s="28" t="s">
        <v>36</v>
      </c>
      <c r="S144" s="29" t="s">
        <v>36</v>
      </c>
      <c r="T144" s="65" t="s">
        <v>36</v>
      </c>
      <c r="U144" s="31" t="s">
        <v>36</v>
      </c>
      <c r="V144" s="32" t="str">
        <f t="shared" ref="V144:X144" si="149">IF(lenb(SUBSTITUTE($Z144,V$1&amp;" (1)",""))&lt;lenb($Z144),1,IF(lenb(SUBSTITUTE($Z144,V$1&amp;" (2)",""))&lt;lenb($Z144),2,IF(lenb(SUBSTITUTE($Z144,V$1&amp;" (3)",""))&lt;lenb($Z144),3,IF(lenb(SUBSTITUTE($Z144,V$1&amp;" (4)",""))&lt;lenb($Z144),4,IF(lenb(SUBSTITUTE($Z144,V$1&amp;" (5)",""))&lt;lenb($Z144),5,IF(lenb(SUBSTITUTE($Z144,V$1&amp;" (6)",""))&lt;lenb($Z144),6,IF(lenb(SUBSTITUTE($Z144,V$1&amp;" (7)",""))&lt;lenb($Z144),1,IF(lenb(SUBSTITUTE($Z144,V$1&amp;" (8)",""))&lt;lenb($Z144),8,IF(lenb(SUBSTITUTE($Z144,V$1&amp;" (9)",""))&lt;lenb($Z144),9,IF(lenb(SUBSTITUTE($Z144,V$1&amp;" (10)",""))&lt;lenb($Z144),10,IF(lenb(SUBSTITUTE($Z144,V$1,""))&lt;lenb($Z144),"ERROR",IF($Z144=$Y$1,"-",0))))))))))))</f>
        <v>-</v>
      </c>
      <c r="W144" s="32" t="str">
        <f t="shared" si="149"/>
        <v>-</v>
      </c>
      <c r="X144" s="32" t="str">
        <f t="shared" si="149"/>
        <v>-</v>
      </c>
      <c r="Y144" s="32">
        <f t="shared" si="3"/>
        <v>1</v>
      </c>
      <c r="Z144" s="32" t="s">
        <v>23</v>
      </c>
      <c r="AA144" s="33">
        <f t="shared" si="4"/>
        <v>0</v>
      </c>
      <c r="AB144" s="34">
        <f>COUNTIFS(Links!B:B,"ICSE",Links!C:C,A144,Links!AD:AD,1)</f>
        <v>0</v>
      </c>
      <c r="AC144" s="35" t="s">
        <v>36</v>
      </c>
      <c r="AD144" s="27" t="str">
        <f t="shared" si="5"/>
        <v>No</v>
      </c>
      <c r="AE144" s="36" t="s">
        <v>36</v>
      </c>
      <c r="AF144" s="37" t="s">
        <v>42</v>
      </c>
      <c r="AG144" s="37" t="s">
        <v>42</v>
      </c>
      <c r="AH144" s="37" t="s">
        <v>42</v>
      </c>
      <c r="AI144" s="29" t="str">
        <f t="shared" si="6"/>
        <v>----</v>
      </c>
      <c r="AJ144" s="38" t="str">
        <f t="shared" si="7"/>
        <v>Paper has no link and no statement</v>
      </c>
      <c r="AK144" s="39">
        <v>45034.0</v>
      </c>
      <c r="AL144" s="23" t="s">
        <v>43</v>
      </c>
      <c r="AM144" s="40" t="str">
        <f t="shared" si="8"/>
        <v>[IP1714]</v>
      </c>
    </row>
    <row r="145" ht="67.5" customHeight="1">
      <c r="A145" s="41">
        <v>1715.0</v>
      </c>
      <c r="B145" s="42" t="s">
        <v>396</v>
      </c>
      <c r="C145" s="43">
        <v>2015.0</v>
      </c>
      <c r="D145" s="44" t="s">
        <v>35</v>
      </c>
      <c r="E145" s="45" t="s">
        <v>36</v>
      </c>
      <c r="F145" s="45" t="s">
        <v>36</v>
      </c>
      <c r="G145" s="45" t="s">
        <v>36</v>
      </c>
      <c r="H145" s="45" t="s">
        <v>36</v>
      </c>
      <c r="I145" s="45" t="s">
        <v>36</v>
      </c>
      <c r="J145" s="46" t="s">
        <v>36</v>
      </c>
      <c r="K145" s="47" t="s">
        <v>37</v>
      </c>
      <c r="L145" s="48" t="s">
        <v>35</v>
      </c>
      <c r="M145" s="48" t="s">
        <v>35</v>
      </c>
      <c r="N145" s="48" t="s">
        <v>35</v>
      </c>
      <c r="O145" s="48" t="s">
        <v>37</v>
      </c>
      <c r="P145" s="48" t="s">
        <v>35</v>
      </c>
      <c r="Q145" s="48" t="s">
        <v>35</v>
      </c>
      <c r="R145" s="48" t="s">
        <v>35</v>
      </c>
      <c r="S145" s="49" t="s">
        <v>397</v>
      </c>
      <c r="T145" s="64" t="s">
        <v>398</v>
      </c>
      <c r="U145" s="51" t="s">
        <v>398</v>
      </c>
      <c r="V145" s="52">
        <f t="shared" ref="V145:X145" si="150">IF(lenb(SUBSTITUTE($Z145,V$1&amp;" (1)",""))&lt;lenb($Z145),1,IF(lenb(SUBSTITUTE($Z145,V$1&amp;" (2)",""))&lt;lenb($Z145),2,IF(lenb(SUBSTITUTE($Z145,V$1&amp;" (3)",""))&lt;lenb($Z145),3,IF(lenb(SUBSTITUTE($Z145,V$1&amp;" (4)",""))&lt;lenb($Z145),4,IF(lenb(SUBSTITUTE($Z145,V$1&amp;" (5)",""))&lt;lenb($Z145),5,IF(lenb(SUBSTITUTE($Z145,V$1&amp;" (6)",""))&lt;lenb($Z145),6,IF(lenb(SUBSTITUTE($Z145,V$1&amp;" (7)",""))&lt;lenb($Z145),1,IF(lenb(SUBSTITUTE($Z145,V$1&amp;" (8)",""))&lt;lenb($Z145),8,IF(lenb(SUBSTITUTE($Z145,V$1&amp;" (9)",""))&lt;lenb($Z145),9,IF(lenb(SUBSTITUTE($Z145,V$1&amp;" (10)",""))&lt;lenb($Z145),10,IF(lenb(SUBSTITUTE($Z145,V$1,""))&lt;lenb($Z145),"ERROR",IF($Z145=$Y$1,"-",0))))))))))))</f>
        <v>1</v>
      </c>
      <c r="W145" s="52">
        <f t="shared" si="150"/>
        <v>0</v>
      </c>
      <c r="X145" s="52">
        <f t="shared" si="150"/>
        <v>0</v>
      </c>
      <c r="Y145" s="52" t="str">
        <f t="shared" si="3"/>
        <v>-</v>
      </c>
      <c r="Z145" s="52" t="s">
        <v>62</v>
      </c>
      <c r="AA145" s="53">
        <f t="shared" si="4"/>
        <v>1</v>
      </c>
      <c r="AB145" s="54">
        <f>COUNTIFS(Links!B:B,"ICSE",Links!C:C,A145,Links!AD:AD,1)</f>
        <v>0</v>
      </c>
      <c r="AC145" s="55" t="s">
        <v>35</v>
      </c>
      <c r="AD145" s="47" t="str">
        <f t="shared" si="5"/>
        <v>No</v>
      </c>
      <c r="AE145" s="56" t="s">
        <v>36</v>
      </c>
      <c r="AF145" s="57" t="s">
        <v>42</v>
      </c>
      <c r="AG145" s="57" t="s">
        <v>42</v>
      </c>
      <c r="AH145" s="57" t="s">
        <v>42</v>
      </c>
      <c r="AI145" s="49" t="str">
        <f t="shared" si="6"/>
        <v>----</v>
      </c>
      <c r="AJ145" s="58" t="str">
        <f t="shared" si="7"/>
        <v>Paper has link but no statement</v>
      </c>
      <c r="AK145" s="59">
        <v>45034.0</v>
      </c>
      <c r="AL145" s="43" t="s">
        <v>43</v>
      </c>
      <c r="AM145" s="60" t="str">
        <f t="shared" si="8"/>
        <v>[IP1715]</v>
      </c>
    </row>
    <row r="146" ht="67.5" customHeight="1">
      <c r="A146" s="61">
        <v>1716.0</v>
      </c>
      <c r="B146" s="22" t="s">
        <v>399</v>
      </c>
      <c r="C146" s="23">
        <v>2015.0</v>
      </c>
      <c r="D146" s="24" t="s">
        <v>35</v>
      </c>
      <c r="E146" s="25" t="s">
        <v>36</v>
      </c>
      <c r="F146" s="25" t="s">
        <v>36</v>
      </c>
      <c r="G146" s="25" t="s">
        <v>36</v>
      </c>
      <c r="H146" s="25" t="s">
        <v>36</v>
      </c>
      <c r="I146" s="25" t="s">
        <v>36</v>
      </c>
      <c r="J146" s="26" t="s">
        <v>36</v>
      </c>
      <c r="K146" s="27" t="s">
        <v>37</v>
      </c>
      <c r="L146" s="28" t="s">
        <v>37</v>
      </c>
      <c r="M146" s="28" t="s">
        <v>35</v>
      </c>
      <c r="N146" s="28" t="s">
        <v>35</v>
      </c>
      <c r="O146" s="28" t="s">
        <v>35</v>
      </c>
      <c r="P146" s="28" t="s">
        <v>35</v>
      </c>
      <c r="Q146" s="28" t="s">
        <v>35</v>
      </c>
      <c r="R146" s="28" t="s">
        <v>37</v>
      </c>
      <c r="S146" s="29" t="s">
        <v>400</v>
      </c>
      <c r="T146" s="65" t="s">
        <v>401</v>
      </c>
      <c r="U146" s="31" t="s">
        <v>401</v>
      </c>
      <c r="V146" s="32">
        <f t="shared" ref="V146:X146" si="151">IF(lenb(SUBSTITUTE($Z146,V$1&amp;" (1)",""))&lt;lenb($Z146),1,IF(lenb(SUBSTITUTE($Z146,V$1&amp;" (2)",""))&lt;lenb($Z146),2,IF(lenb(SUBSTITUTE($Z146,V$1&amp;" (3)",""))&lt;lenb($Z146),3,IF(lenb(SUBSTITUTE($Z146,V$1&amp;" (4)",""))&lt;lenb($Z146),4,IF(lenb(SUBSTITUTE($Z146,V$1&amp;" (5)",""))&lt;lenb($Z146),5,IF(lenb(SUBSTITUTE($Z146,V$1&amp;" (6)",""))&lt;lenb($Z146),6,IF(lenb(SUBSTITUTE($Z146,V$1&amp;" (7)",""))&lt;lenb($Z146),1,IF(lenb(SUBSTITUTE($Z146,V$1&amp;" (8)",""))&lt;lenb($Z146),8,IF(lenb(SUBSTITUTE($Z146,V$1&amp;" (9)",""))&lt;lenb($Z146),9,IF(lenb(SUBSTITUTE($Z146,V$1&amp;" (10)",""))&lt;lenb($Z146),10,IF(lenb(SUBSTITUTE($Z146,V$1,""))&lt;lenb($Z146),"ERROR",IF($Z146=$Y$1,"-",0))))))))))))</f>
        <v>0</v>
      </c>
      <c r="W146" s="32">
        <f t="shared" si="151"/>
        <v>1</v>
      </c>
      <c r="X146" s="32">
        <f t="shared" si="151"/>
        <v>0</v>
      </c>
      <c r="Y146" s="32" t="str">
        <f t="shared" si="3"/>
        <v>-</v>
      </c>
      <c r="Z146" s="32" t="s">
        <v>47</v>
      </c>
      <c r="AA146" s="33">
        <f t="shared" si="4"/>
        <v>1</v>
      </c>
      <c r="AB146" s="34">
        <f>COUNTIFS(Links!B:B,"ICSE",Links!C:C,A146,Links!AD:AD,1)</f>
        <v>1</v>
      </c>
      <c r="AC146" s="35" t="s">
        <v>35</v>
      </c>
      <c r="AD146" s="27" t="str">
        <f t="shared" si="5"/>
        <v>No</v>
      </c>
      <c r="AE146" s="36" t="s">
        <v>36</v>
      </c>
      <c r="AF146" s="37" t="s">
        <v>42</v>
      </c>
      <c r="AG146" s="37" t="s">
        <v>42</v>
      </c>
      <c r="AH146" s="37" t="s">
        <v>42</v>
      </c>
      <c r="AI146" s="29" t="str">
        <f t="shared" si="6"/>
        <v>----</v>
      </c>
      <c r="AJ146" s="38" t="str">
        <f t="shared" si="7"/>
        <v>Paper has link but no statement</v>
      </c>
      <c r="AK146" s="39">
        <v>45034.0</v>
      </c>
      <c r="AL146" s="23" t="s">
        <v>43</v>
      </c>
      <c r="AM146" s="40" t="str">
        <f t="shared" si="8"/>
        <v>[IP1716]</v>
      </c>
    </row>
    <row r="147" ht="67.5" customHeight="1">
      <c r="A147" s="41">
        <v>1717.0</v>
      </c>
      <c r="B147" s="42" t="s">
        <v>402</v>
      </c>
      <c r="C147" s="43">
        <v>2015.0</v>
      </c>
      <c r="D147" s="44" t="s">
        <v>35</v>
      </c>
      <c r="E147" s="45" t="s">
        <v>36</v>
      </c>
      <c r="F147" s="45" t="s">
        <v>36</v>
      </c>
      <c r="G147" s="45" t="s">
        <v>36</v>
      </c>
      <c r="H147" s="45" t="s">
        <v>36</v>
      </c>
      <c r="I147" s="45" t="s">
        <v>36</v>
      </c>
      <c r="J147" s="46" t="s">
        <v>36</v>
      </c>
      <c r="K147" s="47" t="s">
        <v>37</v>
      </c>
      <c r="L147" s="48" t="s">
        <v>37</v>
      </c>
      <c r="M147" s="48" t="s">
        <v>35</v>
      </c>
      <c r="N147" s="48" t="s">
        <v>35</v>
      </c>
      <c r="O147" s="48" t="s">
        <v>35</v>
      </c>
      <c r="P147" s="48" t="s">
        <v>35</v>
      </c>
      <c r="Q147" s="48" t="s">
        <v>35</v>
      </c>
      <c r="R147" s="48" t="s">
        <v>37</v>
      </c>
      <c r="S147" s="49" t="s">
        <v>403</v>
      </c>
      <c r="T147" s="64" t="s">
        <v>404</v>
      </c>
      <c r="U147" s="51" t="s">
        <v>404</v>
      </c>
      <c r="V147" s="52">
        <f t="shared" ref="V147:X147" si="152">IF(lenb(SUBSTITUTE($Z147,V$1&amp;" (1)",""))&lt;lenb($Z147),1,IF(lenb(SUBSTITUTE($Z147,V$1&amp;" (2)",""))&lt;lenb($Z147),2,IF(lenb(SUBSTITUTE($Z147,V$1&amp;" (3)",""))&lt;lenb($Z147),3,IF(lenb(SUBSTITUTE($Z147,V$1&amp;" (4)",""))&lt;lenb($Z147),4,IF(lenb(SUBSTITUTE($Z147,V$1&amp;" (5)",""))&lt;lenb($Z147),5,IF(lenb(SUBSTITUTE($Z147,V$1&amp;" (6)",""))&lt;lenb($Z147),6,IF(lenb(SUBSTITUTE($Z147,V$1&amp;" (7)",""))&lt;lenb($Z147),1,IF(lenb(SUBSTITUTE($Z147,V$1&amp;" (8)",""))&lt;lenb($Z147),8,IF(lenb(SUBSTITUTE($Z147,V$1&amp;" (9)",""))&lt;lenb($Z147),9,IF(lenb(SUBSTITUTE($Z147,V$1&amp;" (10)",""))&lt;lenb($Z147),10,IF(lenb(SUBSTITUTE($Z147,V$1,""))&lt;lenb($Z147),"ERROR",IF($Z147=$Y$1,"-",0))))))))))))</f>
        <v>1</v>
      </c>
      <c r="W147" s="52">
        <f t="shared" si="152"/>
        <v>0</v>
      </c>
      <c r="X147" s="52">
        <f t="shared" si="152"/>
        <v>0</v>
      </c>
      <c r="Y147" s="52" t="str">
        <f t="shared" si="3"/>
        <v>-</v>
      </c>
      <c r="Z147" s="52" t="s">
        <v>62</v>
      </c>
      <c r="AA147" s="53">
        <f t="shared" si="4"/>
        <v>1</v>
      </c>
      <c r="AB147" s="54">
        <f>COUNTIFS(Links!B:B,"ICSE",Links!C:C,A147,Links!AD:AD,1)</f>
        <v>1</v>
      </c>
      <c r="AC147" s="55" t="s">
        <v>35</v>
      </c>
      <c r="AD147" s="47" t="str">
        <f t="shared" si="5"/>
        <v>No</v>
      </c>
      <c r="AE147" s="56" t="s">
        <v>36</v>
      </c>
      <c r="AF147" s="57" t="s">
        <v>42</v>
      </c>
      <c r="AG147" s="57" t="s">
        <v>42</v>
      </c>
      <c r="AH147" s="57" t="s">
        <v>42</v>
      </c>
      <c r="AI147" s="49" t="str">
        <f t="shared" si="6"/>
        <v>----</v>
      </c>
      <c r="AJ147" s="58" t="str">
        <f t="shared" si="7"/>
        <v>Paper has link but no statement</v>
      </c>
      <c r="AK147" s="59">
        <v>45034.0</v>
      </c>
      <c r="AL147" s="43" t="s">
        <v>43</v>
      </c>
      <c r="AM147" s="60" t="str">
        <f t="shared" si="8"/>
        <v>[IP1717]</v>
      </c>
    </row>
    <row r="148" ht="67.5" customHeight="1">
      <c r="A148" s="61">
        <v>1718.0</v>
      </c>
      <c r="B148" s="22" t="s">
        <v>405</v>
      </c>
      <c r="C148" s="23">
        <v>2015.0</v>
      </c>
      <c r="D148" s="24" t="s">
        <v>35</v>
      </c>
      <c r="E148" s="25" t="s">
        <v>36</v>
      </c>
      <c r="F148" s="25" t="s">
        <v>36</v>
      </c>
      <c r="G148" s="25" t="s">
        <v>36</v>
      </c>
      <c r="H148" s="25" t="s">
        <v>36</v>
      </c>
      <c r="I148" s="25" t="s">
        <v>36</v>
      </c>
      <c r="J148" s="26" t="s">
        <v>36</v>
      </c>
      <c r="K148" s="27" t="s">
        <v>37</v>
      </c>
      <c r="L148" s="28" t="s">
        <v>37</v>
      </c>
      <c r="M148" s="28" t="s">
        <v>35</v>
      </c>
      <c r="N148" s="28" t="s">
        <v>35</v>
      </c>
      <c r="O148" s="28" t="s">
        <v>35</v>
      </c>
      <c r="P148" s="28" t="s">
        <v>35</v>
      </c>
      <c r="Q148" s="28" t="s">
        <v>35</v>
      </c>
      <c r="R148" s="28" t="s">
        <v>37</v>
      </c>
      <c r="S148" s="29" t="s">
        <v>406</v>
      </c>
      <c r="T148" s="65" t="s">
        <v>407</v>
      </c>
      <c r="U148" s="31" t="s">
        <v>407</v>
      </c>
      <c r="V148" s="32">
        <f t="shared" ref="V148:X148" si="153">IF(lenb(SUBSTITUTE($Z148,V$1&amp;" (1)",""))&lt;lenb($Z148),1,IF(lenb(SUBSTITUTE($Z148,V$1&amp;" (2)",""))&lt;lenb($Z148),2,IF(lenb(SUBSTITUTE($Z148,V$1&amp;" (3)",""))&lt;lenb($Z148),3,IF(lenb(SUBSTITUTE($Z148,V$1&amp;" (4)",""))&lt;lenb($Z148),4,IF(lenb(SUBSTITUTE($Z148,V$1&amp;" (5)",""))&lt;lenb($Z148),5,IF(lenb(SUBSTITUTE($Z148,V$1&amp;" (6)",""))&lt;lenb($Z148),6,IF(lenb(SUBSTITUTE($Z148,V$1&amp;" (7)",""))&lt;lenb($Z148),1,IF(lenb(SUBSTITUTE($Z148,V$1&amp;" (8)",""))&lt;lenb($Z148),8,IF(lenb(SUBSTITUTE($Z148,V$1&amp;" (9)",""))&lt;lenb($Z148),9,IF(lenb(SUBSTITUTE($Z148,V$1&amp;" (10)",""))&lt;lenb($Z148),10,IF(lenb(SUBSTITUTE($Z148,V$1,""))&lt;lenb($Z148),"ERROR",IF($Z148=$Y$1,"-",0))))))))))))</f>
        <v>0</v>
      </c>
      <c r="W148" s="32">
        <f t="shared" si="153"/>
        <v>1</v>
      </c>
      <c r="X148" s="32">
        <f t="shared" si="153"/>
        <v>0</v>
      </c>
      <c r="Y148" s="32" t="str">
        <f t="shared" si="3"/>
        <v>-</v>
      </c>
      <c r="Z148" s="32" t="s">
        <v>47</v>
      </c>
      <c r="AA148" s="33">
        <f t="shared" si="4"/>
        <v>1</v>
      </c>
      <c r="AB148" s="34">
        <f>COUNTIFS(Links!B:B,"ICSE",Links!C:C,A148,Links!AD:AD,1)</f>
        <v>1</v>
      </c>
      <c r="AC148" s="35" t="s">
        <v>35</v>
      </c>
      <c r="AD148" s="27" t="str">
        <f t="shared" si="5"/>
        <v>No</v>
      </c>
      <c r="AE148" s="36" t="s">
        <v>36</v>
      </c>
      <c r="AF148" s="37" t="s">
        <v>42</v>
      </c>
      <c r="AG148" s="37" t="s">
        <v>42</v>
      </c>
      <c r="AH148" s="37" t="s">
        <v>42</v>
      </c>
      <c r="AI148" s="29" t="str">
        <f t="shared" si="6"/>
        <v>----</v>
      </c>
      <c r="AJ148" s="38" t="str">
        <f t="shared" si="7"/>
        <v>Paper has link but no statement</v>
      </c>
      <c r="AK148" s="39">
        <v>45034.0</v>
      </c>
      <c r="AL148" s="23" t="s">
        <v>43</v>
      </c>
      <c r="AM148" s="40" t="str">
        <f t="shared" si="8"/>
        <v>[IP1718]</v>
      </c>
    </row>
    <row r="149" ht="67.5" customHeight="1">
      <c r="A149" s="41">
        <v>1719.0</v>
      </c>
      <c r="B149" s="42" t="s">
        <v>408</v>
      </c>
      <c r="C149" s="43">
        <v>2015.0</v>
      </c>
      <c r="D149" s="44" t="s">
        <v>35</v>
      </c>
      <c r="E149" s="45" t="s">
        <v>36</v>
      </c>
      <c r="F149" s="45" t="s">
        <v>36</v>
      </c>
      <c r="G149" s="45" t="s">
        <v>36</v>
      </c>
      <c r="H149" s="45" t="s">
        <v>36</v>
      </c>
      <c r="I149" s="45" t="s">
        <v>36</v>
      </c>
      <c r="J149" s="46" t="s">
        <v>36</v>
      </c>
      <c r="K149" s="47" t="s">
        <v>37</v>
      </c>
      <c r="L149" s="48" t="s">
        <v>35</v>
      </c>
      <c r="M149" s="48" t="s">
        <v>35</v>
      </c>
      <c r="N149" s="48" t="s">
        <v>37</v>
      </c>
      <c r="O149" s="48" t="s">
        <v>35</v>
      </c>
      <c r="P149" s="48" t="s">
        <v>35</v>
      </c>
      <c r="Q149" s="48" t="s">
        <v>35</v>
      </c>
      <c r="R149" s="48" t="s">
        <v>35</v>
      </c>
      <c r="S149" s="49" t="s">
        <v>289</v>
      </c>
      <c r="T149" s="64" t="s">
        <v>409</v>
      </c>
      <c r="U149" s="51" t="s">
        <v>409</v>
      </c>
      <c r="V149" s="52">
        <f t="shared" ref="V149:X149" si="154">IF(lenb(SUBSTITUTE($Z149,V$1&amp;" (1)",""))&lt;lenb($Z149),1,IF(lenb(SUBSTITUTE($Z149,V$1&amp;" (2)",""))&lt;lenb($Z149),2,IF(lenb(SUBSTITUTE($Z149,V$1&amp;" (3)",""))&lt;lenb($Z149),3,IF(lenb(SUBSTITUTE($Z149,V$1&amp;" (4)",""))&lt;lenb($Z149),4,IF(lenb(SUBSTITUTE($Z149,V$1&amp;" (5)",""))&lt;lenb($Z149),5,IF(lenb(SUBSTITUTE($Z149,V$1&amp;" (6)",""))&lt;lenb($Z149),6,IF(lenb(SUBSTITUTE($Z149,V$1&amp;" (7)",""))&lt;lenb($Z149),1,IF(lenb(SUBSTITUTE($Z149,V$1&amp;" (8)",""))&lt;lenb($Z149),8,IF(lenb(SUBSTITUTE($Z149,V$1&amp;" (9)",""))&lt;lenb($Z149),9,IF(lenb(SUBSTITUTE($Z149,V$1&amp;" (10)",""))&lt;lenb($Z149),10,IF(lenb(SUBSTITUTE($Z149,V$1,""))&lt;lenb($Z149),"ERROR",IF($Z149=$Y$1,"-",0))))))))))))</f>
        <v>1</v>
      </c>
      <c r="W149" s="52">
        <f t="shared" si="154"/>
        <v>0</v>
      </c>
      <c r="X149" s="52">
        <f t="shared" si="154"/>
        <v>0</v>
      </c>
      <c r="Y149" s="52" t="str">
        <f t="shared" si="3"/>
        <v>-</v>
      </c>
      <c r="Z149" s="52" t="s">
        <v>62</v>
      </c>
      <c r="AA149" s="53">
        <f t="shared" si="4"/>
        <v>1</v>
      </c>
      <c r="AB149" s="54">
        <f>COUNTIFS(Links!B:B,"ICSE",Links!C:C,A149,Links!AD:AD,1)</f>
        <v>0</v>
      </c>
      <c r="AC149" s="55" t="s">
        <v>35</v>
      </c>
      <c r="AD149" s="47" t="str">
        <f t="shared" si="5"/>
        <v>No</v>
      </c>
      <c r="AE149" s="56" t="s">
        <v>36</v>
      </c>
      <c r="AF149" s="57" t="s">
        <v>42</v>
      </c>
      <c r="AG149" s="57" t="s">
        <v>42</v>
      </c>
      <c r="AH149" s="57" t="s">
        <v>42</v>
      </c>
      <c r="AI149" s="49" t="str">
        <f t="shared" si="6"/>
        <v>----</v>
      </c>
      <c r="AJ149" s="58" t="str">
        <f t="shared" si="7"/>
        <v>Paper has link but no statement</v>
      </c>
      <c r="AK149" s="59">
        <v>45034.0</v>
      </c>
      <c r="AL149" s="43" t="s">
        <v>43</v>
      </c>
      <c r="AM149" s="60" t="str">
        <f t="shared" si="8"/>
        <v>[IP1719]</v>
      </c>
    </row>
    <row r="150" ht="67.5" customHeight="1">
      <c r="A150" s="61">
        <v>1720.0</v>
      </c>
      <c r="B150" s="22" t="s">
        <v>410</v>
      </c>
      <c r="C150" s="23">
        <v>2015.0</v>
      </c>
      <c r="D150" s="24" t="s">
        <v>35</v>
      </c>
      <c r="E150" s="25" t="s">
        <v>36</v>
      </c>
      <c r="F150" s="25" t="s">
        <v>36</v>
      </c>
      <c r="G150" s="25" t="s">
        <v>36</v>
      </c>
      <c r="H150" s="25" t="s">
        <v>36</v>
      </c>
      <c r="I150" s="25" t="s">
        <v>36</v>
      </c>
      <c r="J150" s="26" t="s">
        <v>36</v>
      </c>
      <c r="K150" s="27" t="s">
        <v>35</v>
      </c>
      <c r="L150" s="28" t="s">
        <v>36</v>
      </c>
      <c r="M150" s="28" t="s">
        <v>36</v>
      </c>
      <c r="N150" s="28" t="s">
        <v>36</v>
      </c>
      <c r="O150" s="28" t="s">
        <v>36</v>
      </c>
      <c r="P150" s="28" t="s">
        <v>36</v>
      </c>
      <c r="Q150" s="28" t="s">
        <v>36</v>
      </c>
      <c r="R150" s="28" t="s">
        <v>36</v>
      </c>
      <c r="S150" s="29" t="s">
        <v>36</v>
      </c>
      <c r="T150" s="65" t="s">
        <v>36</v>
      </c>
      <c r="U150" s="31" t="s">
        <v>36</v>
      </c>
      <c r="V150" s="32" t="str">
        <f t="shared" ref="V150:X150" si="155">IF(lenb(SUBSTITUTE($Z150,V$1&amp;" (1)",""))&lt;lenb($Z150),1,IF(lenb(SUBSTITUTE($Z150,V$1&amp;" (2)",""))&lt;lenb($Z150),2,IF(lenb(SUBSTITUTE($Z150,V$1&amp;" (3)",""))&lt;lenb($Z150),3,IF(lenb(SUBSTITUTE($Z150,V$1&amp;" (4)",""))&lt;lenb($Z150),4,IF(lenb(SUBSTITUTE($Z150,V$1&amp;" (5)",""))&lt;lenb($Z150),5,IF(lenb(SUBSTITUTE($Z150,V$1&amp;" (6)",""))&lt;lenb($Z150),6,IF(lenb(SUBSTITUTE($Z150,V$1&amp;" (7)",""))&lt;lenb($Z150),1,IF(lenb(SUBSTITUTE($Z150,V$1&amp;" (8)",""))&lt;lenb($Z150),8,IF(lenb(SUBSTITUTE($Z150,V$1&amp;" (9)",""))&lt;lenb($Z150),9,IF(lenb(SUBSTITUTE($Z150,V$1&amp;" (10)",""))&lt;lenb($Z150),10,IF(lenb(SUBSTITUTE($Z150,V$1,""))&lt;lenb($Z150),"ERROR",IF($Z150=$Y$1,"-",0))))))))))))</f>
        <v>-</v>
      </c>
      <c r="W150" s="32" t="str">
        <f t="shared" si="155"/>
        <v>-</v>
      </c>
      <c r="X150" s="32" t="str">
        <f t="shared" si="155"/>
        <v>-</v>
      </c>
      <c r="Y150" s="32">
        <f t="shared" si="3"/>
        <v>1</v>
      </c>
      <c r="Z150" s="32" t="s">
        <v>23</v>
      </c>
      <c r="AA150" s="33">
        <f t="shared" si="4"/>
        <v>0</v>
      </c>
      <c r="AB150" s="34">
        <f>COUNTIFS(Links!B:B,"ICSE",Links!C:C,A150,Links!AD:AD,1)</f>
        <v>0</v>
      </c>
      <c r="AC150" s="35" t="s">
        <v>36</v>
      </c>
      <c r="AD150" s="27" t="str">
        <f t="shared" si="5"/>
        <v>No</v>
      </c>
      <c r="AE150" s="36" t="s">
        <v>36</v>
      </c>
      <c r="AF150" s="37" t="s">
        <v>42</v>
      </c>
      <c r="AG150" s="37" t="s">
        <v>42</v>
      </c>
      <c r="AH150" s="37" t="s">
        <v>42</v>
      </c>
      <c r="AI150" s="29" t="str">
        <f t="shared" si="6"/>
        <v>----</v>
      </c>
      <c r="AJ150" s="38" t="str">
        <f t="shared" si="7"/>
        <v>Paper has no link and no statement</v>
      </c>
      <c r="AK150" s="39">
        <v>45034.0</v>
      </c>
      <c r="AL150" s="23" t="s">
        <v>43</v>
      </c>
      <c r="AM150" s="40" t="str">
        <f t="shared" si="8"/>
        <v>[IP1720]</v>
      </c>
    </row>
    <row r="151" ht="67.5" customHeight="1">
      <c r="A151" s="41">
        <v>1721.0</v>
      </c>
      <c r="B151" s="42" t="s">
        <v>411</v>
      </c>
      <c r="C151" s="43">
        <v>2015.0</v>
      </c>
      <c r="D151" s="44" t="s">
        <v>35</v>
      </c>
      <c r="E151" s="45" t="s">
        <v>36</v>
      </c>
      <c r="F151" s="45" t="s">
        <v>36</v>
      </c>
      <c r="G151" s="45" t="s">
        <v>36</v>
      </c>
      <c r="H151" s="45" t="s">
        <v>36</v>
      </c>
      <c r="I151" s="45" t="s">
        <v>36</v>
      </c>
      <c r="J151" s="46" t="s">
        <v>36</v>
      </c>
      <c r="K151" s="47" t="s">
        <v>35</v>
      </c>
      <c r="L151" s="48" t="s">
        <v>36</v>
      </c>
      <c r="M151" s="48" t="s">
        <v>36</v>
      </c>
      <c r="N151" s="48" t="s">
        <v>36</v>
      </c>
      <c r="O151" s="48" t="s">
        <v>36</v>
      </c>
      <c r="P151" s="48" t="s">
        <v>36</v>
      </c>
      <c r="Q151" s="48" t="s">
        <v>36</v>
      </c>
      <c r="R151" s="48" t="s">
        <v>36</v>
      </c>
      <c r="S151" s="49" t="s">
        <v>36</v>
      </c>
      <c r="T151" s="64" t="s">
        <v>36</v>
      </c>
      <c r="U151" s="51" t="s">
        <v>36</v>
      </c>
      <c r="V151" s="52" t="str">
        <f t="shared" ref="V151:X151" si="156">IF(lenb(SUBSTITUTE($Z151,V$1&amp;" (1)",""))&lt;lenb($Z151),1,IF(lenb(SUBSTITUTE($Z151,V$1&amp;" (2)",""))&lt;lenb($Z151),2,IF(lenb(SUBSTITUTE($Z151,V$1&amp;" (3)",""))&lt;lenb($Z151),3,IF(lenb(SUBSTITUTE($Z151,V$1&amp;" (4)",""))&lt;lenb($Z151),4,IF(lenb(SUBSTITUTE($Z151,V$1&amp;" (5)",""))&lt;lenb($Z151),5,IF(lenb(SUBSTITUTE($Z151,V$1&amp;" (6)",""))&lt;lenb($Z151),6,IF(lenb(SUBSTITUTE($Z151,V$1&amp;" (7)",""))&lt;lenb($Z151),1,IF(lenb(SUBSTITUTE($Z151,V$1&amp;" (8)",""))&lt;lenb($Z151),8,IF(lenb(SUBSTITUTE($Z151,V$1&amp;" (9)",""))&lt;lenb($Z151),9,IF(lenb(SUBSTITUTE($Z151,V$1&amp;" (10)",""))&lt;lenb($Z151),10,IF(lenb(SUBSTITUTE($Z151,V$1,""))&lt;lenb($Z151),"ERROR",IF($Z151=$Y$1,"-",0))))))))))))</f>
        <v>-</v>
      </c>
      <c r="W151" s="52" t="str">
        <f t="shared" si="156"/>
        <v>-</v>
      </c>
      <c r="X151" s="52" t="str">
        <f t="shared" si="156"/>
        <v>-</v>
      </c>
      <c r="Y151" s="52">
        <f t="shared" si="3"/>
        <v>1</v>
      </c>
      <c r="Z151" s="52" t="s">
        <v>23</v>
      </c>
      <c r="AA151" s="53">
        <f t="shared" si="4"/>
        <v>0</v>
      </c>
      <c r="AB151" s="54">
        <f>COUNTIFS(Links!B:B,"ICSE",Links!C:C,A151,Links!AD:AD,1)</f>
        <v>0</v>
      </c>
      <c r="AC151" s="55" t="s">
        <v>36</v>
      </c>
      <c r="AD151" s="47" t="str">
        <f t="shared" si="5"/>
        <v>No</v>
      </c>
      <c r="AE151" s="56" t="s">
        <v>36</v>
      </c>
      <c r="AF151" s="57" t="s">
        <v>42</v>
      </c>
      <c r="AG151" s="57" t="s">
        <v>42</v>
      </c>
      <c r="AH151" s="57" t="s">
        <v>42</v>
      </c>
      <c r="AI151" s="49" t="str">
        <f t="shared" si="6"/>
        <v>----</v>
      </c>
      <c r="AJ151" s="58" t="str">
        <f t="shared" si="7"/>
        <v>Paper has no link and no statement</v>
      </c>
      <c r="AK151" s="59">
        <v>45034.0</v>
      </c>
      <c r="AL151" s="43" t="s">
        <v>43</v>
      </c>
      <c r="AM151" s="60" t="str">
        <f t="shared" si="8"/>
        <v>[IP1721]</v>
      </c>
    </row>
    <row r="152" ht="67.5" customHeight="1">
      <c r="A152" s="61">
        <v>1722.0</v>
      </c>
      <c r="B152" s="22" t="s">
        <v>412</v>
      </c>
      <c r="C152" s="23">
        <v>2015.0</v>
      </c>
      <c r="D152" s="24" t="s">
        <v>35</v>
      </c>
      <c r="E152" s="25" t="s">
        <v>36</v>
      </c>
      <c r="F152" s="25" t="s">
        <v>36</v>
      </c>
      <c r="G152" s="25" t="s">
        <v>36</v>
      </c>
      <c r="H152" s="25" t="s">
        <v>36</v>
      </c>
      <c r="I152" s="25" t="s">
        <v>36</v>
      </c>
      <c r="J152" s="26" t="s">
        <v>36</v>
      </c>
      <c r="K152" s="27" t="s">
        <v>35</v>
      </c>
      <c r="L152" s="28" t="s">
        <v>36</v>
      </c>
      <c r="M152" s="28" t="s">
        <v>36</v>
      </c>
      <c r="N152" s="28" t="s">
        <v>36</v>
      </c>
      <c r="O152" s="28" t="s">
        <v>36</v>
      </c>
      <c r="P152" s="28" t="s">
        <v>36</v>
      </c>
      <c r="Q152" s="28" t="s">
        <v>36</v>
      </c>
      <c r="R152" s="28" t="s">
        <v>36</v>
      </c>
      <c r="S152" s="29" t="s">
        <v>36</v>
      </c>
      <c r="T152" s="65" t="s">
        <v>36</v>
      </c>
      <c r="U152" s="31" t="s">
        <v>36</v>
      </c>
      <c r="V152" s="32" t="str">
        <f t="shared" ref="V152:X152" si="157">IF(lenb(SUBSTITUTE($Z152,V$1&amp;" (1)",""))&lt;lenb($Z152),1,IF(lenb(SUBSTITUTE($Z152,V$1&amp;" (2)",""))&lt;lenb($Z152),2,IF(lenb(SUBSTITUTE($Z152,V$1&amp;" (3)",""))&lt;lenb($Z152),3,IF(lenb(SUBSTITUTE($Z152,V$1&amp;" (4)",""))&lt;lenb($Z152),4,IF(lenb(SUBSTITUTE($Z152,V$1&amp;" (5)",""))&lt;lenb($Z152),5,IF(lenb(SUBSTITUTE($Z152,V$1&amp;" (6)",""))&lt;lenb($Z152),6,IF(lenb(SUBSTITUTE($Z152,V$1&amp;" (7)",""))&lt;lenb($Z152),1,IF(lenb(SUBSTITUTE($Z152,V$1&amp;" (8)",""))&lt;lenb($Z152),8,IF(lenb(SUBSTITUTE($Z152,V$1&amp;" (9)",""))&lt;lenb($Z152),9,IF(lenb(SUBSTITUTE($Z152,V$1&amp;" (10)",""))&lt;lenb($Z152),10,IF(lenb(SUBSTITUTE($Z152,V$1,""))&lt;lenb($Z152),"ERROR",IF($Z152=$Y$1,"-",0))))))))))))</f>
        <v>-</v>
      </c>
      <c r="W152" s="32" t="str">
        <f t="shared" si="157"/>
        <v>-</v>
      </c>
      <c r="X152" s="32" t="str">
        <f t="shared" si="157"/>
        <v>-</v>
      </c>
      <c r="Y152" s="32">
        <f t="shared" si="3"/>
        <v>1</v>
      </c>
      <c r="Z152" s="32" t="s">
        <v>23</v>
      </c>
      <c r="AA152" s="33">
        <f t="shared" si="4"/>
        <v>0</v>
      </c>
      <c r="AB152" s="34">
        <f>COUNTIFS(Links!B:B,"ICSE",Links!C:C,A152,Links!AD:AD,1)</f>
        <v>0</v>
      </c>
      <c r="AC152" s="35" t="s">
        <v>36</v>
      </c>
      <c r="AD152" s="27" t="str">
        <f t="shared" si="5"/>
        <v>No</v>
      </c>
      <c r="AE152" s="36" t="s">
        <v>36</v>
      </c>
      <c r="AF152" s="37" t="s">
        <v>42</v>
      </c>
      <c r="AG152" s="37" t="s">
        <v>42</v>
      </c>
      <c r="AH152" s="37" t="s">
        <v>42</v>
      </c>
      <c r="AI152" s="29" t="str">
        <f t="shared" si="6"/>
        <v>----</v>
      </c>
      <c r="AJ152" s="38" t="str">
        <f t="shared" si="7"/>
        <v>Paper has no link and no statement</v>
      </c>
      <c r="AK152" s="39">
        <v>45034.0</v>
      </c>
      <c r="AL152" s="23" t="s">
        <v>43</v>
      </c>
      <c r="AM152" s="40" t="str">
        <f t="shared" si="8"/>
        <v>[IP1722]</v>
      </c>
    </row>
    <row r="153" ht="67.5" customHeight="1">
      <c r="A153" s="41">
        <v>1723.0</v>
      </c>
      <c r="B153" s="42" t="s">
        <v>413</v>
      </c>
      <c r="C153" s="43">
        <v>2015.0</v>
      </c>
      <c r="D153" s="44" t="s">
        <v>35</v>
      </c>
      <c r="E153" s="45" t="s">
        <v>36</v>
      </c>
      <c r="F153" s="45" t="s">
        <v>36</v>
      </c>
      <c r="G153" s="45" t="s">
        <v>36</v>
      </c>
      <c r="H153" s="45" t="s">
        <v>36</v>
      </c>
      <c r="I153" s="45" t="s">
        <v>36</v>
      </c>
      <c r="J153" s="46" t="s">
        <v>36</v>
      </c>
      <c r="K153" s="47" t="s">
        <v>37</v>
      </c>
      <c r="L153" s="48" t="s">
        <v>35</v>
      </c>
      <c r="M153" s="48" t="s">
        <v>37</v>
      </c>
      <c r="N153" s="48" t="s">
        <v>37</v>
      </c>
      <c r="O153" s="48" t="s">
        <v>35</v>
      </c>
      <c r="P153" s="48" t="s">
        <v>35</v>
      </c>
      <c r="Q153" s="48" t="s">
        <v>35</v>
      </c>
      <c r="R153" s="48" t="s">
        <v>37</v>
      </c>
      <c r="S153" s="49" t="s">
        <v>414</v>
      </c>
      <c r="T153" s="64" t="s">
        <v>415</v>
      </c>
      <c r="U153" s="51" t="s">
        <v>415</v>
      </c>
      <c r="V153" s="52">
        <f t="shared" ref="V153:X153" si="158">IF(lenb(SUBSTITUTE($Z153,V$1&amp;" (1)",""))&lt;lenb($Z153),1,IF(lenb(SUBSTITUTE($Z153,V$1&amp;" (2)",""))&lt;lenb($Z153),2,IF(lenb(SUBSTITUTE($Z153,V$1&amp;" (3)",""))&lt;lenb($Z153),3,IF(lenb(SUBSTITUTE($Z153,V$1&amp;" (4)",""))&lt;lenb($Z153),4,IF(lenb(SUBSTITUTE($Z153,V$1&amp;" (5)",""))&lt;lenb($Z153),5,IF(lenb(SUBSTITUTE($Z153,V$1&amp;" (6)",""))&lt;lenb($Z153),6,IF(lenb(SUBSTITUTE($Z153,V$1&amp;" (7)",""))&lt;lenb($Z153),1,IF(lenb(SUBSTITUTE($Z153,V$1&amp;" (8)",""))&lt;lenb($Z153),8,IF(lenb(SUBSTITUTE($Z153,V$1&amp;" (9)",""))&lt;lenb($Z153),9,IF(lenb(SUBSTITUTE($Z153,V$1&amp;" (10)",""))&lt;lenb($Z153),10,IF(lenb(SUBSTITUTE($Z153,V$1,""))&lt;lenb($Z153),"ERROR",IF($Z153=$Y$1,"-",0))))))))))))</f>
        <v>1</v>
      </c>
      <c r="W153" s="52">
        <f t="shared" si="158"/>
        <v>1</v>
      </c>
      <c r="X153" s="52">
        <f t="shared" si="158"/>
        <v>0</v>
      </c>
      <c r="Y153" s="52" t="str">
        <f t="shared" si="3"/>
        <v>-</v>
      </c>
      <c r="Z153" s="52" t="s">
        <v>41</v>
      </c>
      <c r="AA153" s="53">
        <f t="shared" si="4"/>
        <v>2</v>
      </c>
      <c r="AB153" s="54">
        <f>COUNTIFS(Links!B:B,"ICSE",Links!C:C,A153,Links!AD:AD,1)</f>
        <v>1</v>
      </c>
      <c r="AC153" s="55" t="s">
        <v>35</v>
      </c>
      <c r="AD153" s="47" t="str">
        <f t="shared" si="5"/>
        <v>No</v>
      </c>
      <c r="AE153" s="56" t="s">
        <v>36</v>
      </c>
      <c r="AF153" s="57" t="s">
        <v>42</v>
      </c>
      <c r="AG153" s="57" t="s">
        <v>42</v>
      </c>
      <c r="AH153" s="57" t="s">
        <v>42</v>
      </c>
      <c r="AI153" s="49" t="str">
        <f t="shared" si="6"/>
        <v>----</v>
      </c>
      <c r="AJ153" s="58" t="str">
        <f t="shared" si="7"/>
        <v>Paper has link but no statement</v>
      </c>
      <c r="AK153" s="59">
        <v>45034.0</v>
      </c>
      <c r="AL153" s="43" t="s">
        <v>43</v>
      </c>
      <c r="AM153" s="60" t="str">
        <f t="shared" si="8"/>
        <v>[IP1723]</v>
      </c>
    </row>
    <row r="154" ht="67.5" customHeight="1">
      <c r="A154" s="61">
        <v>1724.0</v>
      </c>
      <c r="B154" s="22" t="s">
        <v>416</v>
      </c>
      <c r="C154" s="23">
        <v>2015.0</v>
      </c>
      <c r="D154" s="24" t="s">
        <v>35</v>
      </c>
      <c r="E154" s="25" t="s">
        <v>36</v>
      </c>
      <c r="F154" s="25" t="s">
        <v>36</v>
      </c>
      <c r="G154" s="25" t="s">
        <v>36</v>
      </c>
      <c r="H154" s="25" t="s">
        <v>36</v>
      </c>
      <c r="I154" s="25" t="s">
        <v>36</v>
      </c>
      <c r="J154" s="26" t="s">
        <v>36</v>
      </c>
      <c r="K154" s="27" t="s">
        <v>35</v>
      </c>
      <c r="L154" s="28" t="s">
        <v>36</v>
      </c>
      <c r="M154" s="28" t="s">
        <v>36</v>
      </c>
      <c r="N154" s="28" t="s">
        <v>36</v>
      </c>
      <c r="O154" s="28" t="s">
        <v>36</v>
      </c>
      <c r="P154" s="28" t="s">
        <v>36</v>
      </c>
      <c r="Q154" s="28" t="s">
        <v>36</v>
      </c>
      <c r="R154" s="28" t="s">
        <v>36</v>
      </c>
      <c r="S154" s="29" t="s">
        <v>36</v>
      </c>
      <c r="T154" s="65" t="s">
        <v>36</v>
      </c>
      <c r="U154" s="31" t="s">
        <v>36</v>
      </c>
      <c r="V154" s="32" t="str">
        <f t="shared" ref="V154:X154" si="159">IF(lenb(SUBSTITUTE($Z154,V$1&amp;" (1)",""))&lt;lenb($Z154),1,IF(lenb(SUBSTITUTE($Z154,V$1&amp;" (2)",""))&lt;lenb($Z154),2,IF(lenb(SUBSTITUTE($Z154,V$1&amp;" (3)",""))&lt;lenb($Z154),3,IF(lenb(SUBSTITUTE($Z154,V$1&amp;" (4)",""))&lt;lenb($Z154),4,IF(lenb(SUBSTITUTE($Z154,V$1&amp;" (5)",""))&lt;lenb($Z154),5,IF(lenb(SUBSTITUTE($Z154,V$1&amp;" (6)",""))&lt;lenb($Z154),6,IF(lenb(SUBSTITUTE($Z154,V$1&amp;" (7)",""))&lt;lenb($Z154),1,IF(lenb(SUBSTITUTE($Z154,V$1&amp;" (8)",""))&lt;lenb($Z154),8,IF(lenb(SUBSTITUTE($Z154,V$1&amp;" (9)",""))&lt;lenb($Z154),9,IF(lenb(SUBSTITUTE($Z154,V$1&amp;" (10)",""))&lt;lenb($Z154),10,IF(lenb(SUBSTITUTE($Z154,V$1,""))&lt;lenb($Z154),"ERROR",IF($Z154=$Y$1,"-",0))))))))))))</f>
        <v>-</v>
      </c>
      <c r="W154" s="32" t="str">
        <f t="shared" si="159"/>
        <v>-</v>
      </c>
      <c r="X154" s="32" t="str">
        <f t="shared" si="159"/>
        <v>-</v>
      </c>
      <c r="Y154" s="32">
        <f t="shared" si="3"/>
        <v>1</v>
      </c>
      <c r="Z154" s="32" t="s">
        <v>23</v>
      </c>
      <c r="AA154" s="33">
        <f t="shared" si="4"/>
        <v>0</v>
      </c>
      <c r="AB154" s="34">
        <f>COUNTIFS(Links!B:B,"ICSE",Links!C:C,A154,Links!AD:AD,1)</f>
        <v>0</v>
      </c>
      <c r="AC154" s="35" t="s">
        <v>36</v>
      </c>
      <c r="AD154" s="27" t="str">
        <f t="shared" si="5"/>
        <v>No</v>
      </c>
      <c r="AE154" s="36" t="s">
        <v>36</v>
      </c>
      <c r="AF154" s="37" t="s">
        <v>42</v>
      </c>
      <c r="AG154" s="37" t="s">
        <v>42</v>
      </c>
      <c r="AH154" s="37" t="s">
        <v>42</v>
      </c>
      <c r="AI154" s="29" t="str">
        <f t="shared" si="6"/>
        <v>----</v>
      </c>
      <c r="AJ154" s="38" t="str">
        <f t="shared" si="7"/>
        <v>Paper has no link and no statement</v>
      </c>
      <c r="AK154" s="39">
        <v>45034.0</v>
      </c>
      <c r="AL154" s="23" t="s">
        <v>43</v>
      </c>
      <c r="AM154" s="40" t="str">
        <f t="shared" si="8"/>
        <v>[IP1724]</v>
      </c>
    </row>
    <row r="155" ht="67.5" customHeight="1">
      <c r="A155" s="41">
        <v>1725.0</v>
      </c>
      <c r="B155" s="42" t="s">
        <v>417</v>
      </c>
      <c r="C155" s="43">
        <v>2015.0</v>
      </c>
      <c r="D155" s="44" t="s">
        <v>35</v>
      </c>
      <c r="E155" s="45" t="s">
        <v>36</v>
      </c>
      <c r="F155" s="45" t="s">
        <v>36</v>
      </c>
      <c r="G155" s="45" t="s">
        <v>36</v>
      </c>
      <c r="H155" s="45" t="s">
        <v>36</v>
      </c>
      <c r="I155" s="45" t="s">
        <v>36</v>
      </c>
      <c r="J155" s="46" t="s">
        <v>36</v>
      </c>
      <c r="K155" s="47" t="s">
        <v>35</v>
      </c>
      <c r="L155" s="48" t="s">
        <v>36</v>
      </c>
      <c r="M155" s="48" t="s">
        <v>36</v>
      </c>
      <c r="N155" s="48" t="s">
        <v>36</v>
      </c>
      <c r="O155" s="48" t="s">
        <v>36</v>
      </c>
      <c r="P155" s="48" t="s">
        <v>36</v>
      </c>
      <c r="Q155" s="48" t="s">
        <v>36</v>
      </c>
      <c r="R155" s="48" t="s">
        <v>36</v>
      </c>
      <c r="S155" s="49" t="s">
        <v>36</v>
      </c>
      <c r="T155" s="64" t="s">
        <v>36</v>
      </c>
      <c r="U155" s="51" t="s">
        <v>36</v>
      </c>
      <c r="V155" s="52" t="str">
        <f t="shared" ref="V155:X155" si="160">IF(lenb(SUBSTITUTE($Z155,V$1&amp;" (1)",""))&lt;lenb($Z155),1,IF(lenb(SUBSTITUTE($Z155,V$1&amp;" (2)",""))&lt;lenb($Z155),2,IF(lenb(SUBSTITUTE($Z155,V$1&amp;" (3)",""))&lt;lenb($Z155),3,IF(lenb(SUBSTITUTE($Z155,V$1&amp;" (4)",""))&lt;lenb($Z155),4,IF(lenb(SUBSTITUTE($Z155,V$1&amp;" (5)",""))&lt;lenb($Z155),5,IF(lenb(SUBSTITUTE($Z155,V$1&amp;" (6)",""))&lt;lenb($Z155),6,IF(lenb(SUBSTITUTE($Z155,V$1&amp;" (7)",""))&lt;lenb($Z155),1,IF(lenb(SUBSTITUTE($Z155,V$1&amp;" (8)",""))&lt;lenb($Z155),8,IF(lenb(SUBSTITUTE($Z155,V$1&amp;" (9)",""))&lt;lenb($Z155),9,IF(lenb(SUBSTITUTE($Z155,V$1&amp;" (10)",""))&lt;lenb($Z155),10,IF(lenb(SUBSTITUTE($Z155,V$1,""))&lt;lenb($Z155),"ERROR",IF($Z155=$Y$1,"-",0))))))))))))</f>
        <v>-</v>
      </c>
      <c r="W155" s="52" t="str">
        <f t="shared" si="160"/>
        <v>-</v>
      </c>
      <c r="X155" s="52" t="str">
        <f t="shared" si="160"/>
        <v>-</v>
      </c>
      <c r="Y155" s="52">
        <f t="shared" si="3"/>
        <v>1</v>
      </c>
      <c r="Z155" s="52" t="s">
        <v>23</v>
      </c>
      <c r="AA155" s="53">
        <f t="shared" si="4"/>
        <v>0</v>
      </c>
      <c r="AB155" s="54">
        <f>COUNTIFS(Links!B:B,"ICSE",Links!C:C,A155,Links!AD:AD,1)</f>
        <v>0</v>
      </c>
      <c r="AC155" s="55" t="s">
        <v>36</v>
      </c>
      <c r="AD155" s="47" t="str">
        <f t="shared" si="5"/>
        <v>No</v>
      </c>
      <c r="AE155" s="56" t="s">
        <v>36</v>
      </c>
      <c r="AF155" s="57" t="s">
        <v>42</v>
      </c>
      <c r="AG155" s="57" t="s">
        <v>42</v>
      </c>
      <c r="AH155" s="57" t="s">
        <v>42</v>
      </c>
      <c r="AI155" s="49" t="str">
        <f t="shared" si="6"/>
        <v>----</v>
      </c>
      <c r="AJ155" s="58" t="str">
        <f t="shared" si="7"/>
        <v>Paper has no link and no statement</v>
      </c>
      <c r="AK155" s="59">
        <v>45034.0</v>
      </c>
      <c r="AL155" s="43" t="s">
        <v>43</v>
      </c>
      <c r="AM155" s="60" t="str">
        <f t="shared" si="8"/>
        <v>[IP1725]</v>
      </c>
    </row>
    <row r="156" ht="67.5" customHeight="1">
      <c r="A156" s="61">
        <v>1726.0</v>
      </c>
      <c r="B156" s="22" t="s">
        <v>418</v>
      </c>
      <c r="C156" s="23">
        <v>2015.0</v>
      </c>
      <c r="D156" s="24" t="s">
        <v>35</v>
      </c>
      <c r="E156" s="25" t="s">
        <v>36</v>
      </c>
      <c r="F156" s="25" t="s">
        <v>36</v>
      </c>
      <c r="G156" s="25" t="s">
        <v>36</v>
      </c>
      <c r="H156" s="25" t="s">
        <v>36</v>
      </c>
      <c r="I156" s="25" t="s">
        <v>36</v>
      </c>
      <c r="J156" s="26" t="s">
        <v>36</v>
      </c>
      <c r="K156" s="27" t="s">
        <v>35</v>
      </c>
      <c r="L156" s="28" t="s">
        <v>36</v>
      </c>
      <c r="M156" s="28" t="s">
        <v>36</v>
      </c>
      <c r="N156" s="28" t="s">
        <v>36</v>
      </c>
      <c r="O156" s="28" t="s">
        <v>36</v>
      </c>
      <c r="P156" s="28" t="s">
        <v>36</v>
      </c>
      <c r="Q156" s="28" t="s">
        <v>36</v>
      </c>
      <c r="R156" s="28" t="s">
        <v>36</v>
      </c>
      <c r="S156" s="29" t="s">
        <v>36</v>
      </c>
      <c r="T156" s="65" t="s">
        <v>36</v>
      </c>
      <c r="U156" s="31" t="s">
        <v>36</v>
      </c>
      <c r="V156" s="32" t="str">
        <f t="shared" ref="V156:X156" si="161">IF(lenb(SUBSTITUTE($Z156,V$1&amp;" (1)",""))&lt;lenb($Z156),1,IF(lenb(SUBSTITUTE($Z156,V$1&amp;" (2)",""))&lt;lenb($Z156),2,IF(lenb(SUBSTITUTE($Z156,V$1&amp;" (3)",""))&lt;lenb($Z156),3,IF(lenb(SUBSTITUTE($Z156,V$1&amp;" (4)",""))&lt;lenb($Z156),4,IF(lenb(SUBSTITUTE($Z156,V$1&amp;" (5)",""))&lt;lenb($Z156),5,IF(lenb(SUBSTITUTE($Z156,V$1&amp;" (6)",""))&lt;lenb($Z156),6,IF(lenb(SUBSTITUTE($Z156,V$1&amp;" (7)",""))&lt;lenb($Z156),1,IF(lenb(SUBSTITUTE($Z156,V$1&amp;" (8)",""))&lt;lenb($Z156),8,IF(lenb(SUBSTITUTE($Z156,V$1&amp;" (9)",""))&lt;lenb($Z156),9,IF(lenb(SUBSTITUTE($Z156,V$1&amp;" (10)",""))&lt;lenb($Z156),10,IF(lenb(SUBSTITUTE($Z156,V$1,""))&lt;lenb($Z156),"ERROR",IF($Z156=$Y$1,"-",0))))))))))))</f>
        <v>-</v>
      </c>
      <c r="W156" s="32" t="str">
        <f t="shared" si="161"/>
        <v>-</v>
      </c>
      <c r="X156" s="32" t="str">
        <f t="shared" si="161"/>
        <v>-</v>
      </c>
      <c r="Y156" s="32">
        <f t="shared" si="3"/>
        <v>1</v>
      </c>
      <c r="Z156" s="32" t="s">
        <v>23</v>
      </c>
      <c r="AA156" s="33">
        <f t="shared" si="4"/>
        <v>0</v>
      </c>
      <c r="AB156" s="34">
        <f>COUNTIFS(Links!B:B,"ICSE",Links!C:C,A156,Links!AD:AD,1)</f>
        <v>0</v>
      </c>
      <c r="AC156" s="35" t="s">
        <v>36</v>
      </c>
      <c r="AD156" s="27" t="str">
        <f t="shared" si="5"/>
        <v>No</v>
      </c>
      <c r="AE156" s="36" t="s">
        <v>36</v>
      </c>
      <c r="AF156" s="37" t="s">
        <v>42</v>
      </c>
      <c r="AG156" s="37" t="s">
        <v>42</v>
      </c>
      <c r="AH156" s="37" t="s">
        <v>42</v>
      </c>
      <c r="AI156" s="29" t="str">
        <f t="shared" si="6"/>
        <v>----</v>
      </c>
      <c r="AJ156" s="38" t="str">
        <f t="shared" si="7"/>
        <v>Paper has no link and no statement</v>
      </c>
      <c r="AK156" s="39">
        <v>45034.0</v>
      </c>
      <c r="AL156" s="23" t="s">
        <v>43</v>
      </c>
      <c r="AM156" s="40" t="str">
        <f t="shared" si="8"/>
        <v>[IP1726]</v>
      </c>
    </row>
    <row r="157" ht="67.5" customHeight="1">
      <c r="A157" s="41">
        <v>1727.0</v>
      </c>
      <c r="B157" s="42" t="s">
        <v>419</v>
      </c>
      <c r="C157" s="43">
        <v>2015.0</v>
      </c>
      <c r="D157" s="44" t="s">
        <v>35</v>
      </c>
      <c r="E157" s="45" t="s">
        <v>36</v>
      </c>
      <c r="F157" s="45" t="s">
        <v>36</v>
      </c>
      <c r="G157" s="45" t="s">
        <v>36</v>
      </c>
      <c r="H157" s="45" t="s">
        <v>36</v>
      </c>
      <c r="I157" s="45" t="s">
        <v>36</v>
      </c>
      <c r="J157" s="46" t="s">
        <v>36</v>
      </c>
      <c r="K157" s="47" t="s">
        <v>35</v>
      </c>
      <c r="L157" s="48" t="s">
        <v>36</v>
      </c>
      <c r="M157" s="48" t="s">
        <v>36</v>
      </c>
      <c r="N157" s="48" t="s">
        <v>36</v>
      </c>
      <c r="O157" s="48" t="s">
        <v>36</v>
      </c>
      <c r="P157" s="48" t="s">
        <v>36</v>
      </c>
      <c r="Q157" s="48" t="s">
        <v>36</v>
      </c>
      <c r="R157" s="48" t="s">
        <v>36</v>
      </c>
      <c r="S157" s="49" t="s">
        <v>36</v>
      </c>
      <c r="T157" s="64" t="s">
        <v>36</v>
      </c>
      <c r="U157" s="51" t="s">
        <v>36</v>
      </c>
      <c r="V157" s="52" t="str">
        <f t="shared" ref="V157:X157" si="162">IF(lenb(SUBSTITUTE($Z157,V$1&amp;" (1)",""))&lt;lenb($Z157),1,IF(lenb(SUBSTITUTE($Z157,V$1&amp;" (2)",""))&lt;lenb($Z157),2,IF(lenb(SUBSTITUTE($Z157,V$1&amp;" (3)",""))&lt;lenb($Z157),3,IF(lenb(SUBSTITUTE($Z157,V$1&amp;" (4)",""))&lt;lenb($Z157),4,IF(lenb(SUBSTITUTE($Z157,V$1&amp;" (5)",""))&lt;lenb($Z157),5,IF(lenb(SUBSTITUTE($Z157,V$1&amp;" (6)",""))&lt;lenb($Z157),6,IF(lenb(SUBSTITUTE($Z157,V$1&amp;" (7)",""))&lt;lenb($Z157),1,IF(lenb(SUBSTITUTE($Z157,V$1&amp;" (8)",""))&lt;lenb($Z157),8,IF(lenb(SUBSTITUTE($Z157,V$1&amp;" (9)",""))&lt;lenb($Z157),9,IF(lenb(SUBSTITUTE($Z157,V$1&amp;" (10)",""))&lt;lenb($Z157),10,IF(lenb(SUBSTITUTE($Z157,V$1,""))&lt;lenb($Z157),"ERROR",IF($Z157=$Y$1,"-",0))))))))))))</f>
        <v>-</v>
      </c>
      <c r="W157" s="52" t="str">
        <f t="shared" si="162"/>
        <v>-</v>
      </c>
      <c r="X157" s="52" t="str">
        <f t="shared" si="162"/>
        <v>-</v>
      </c>
      <c r="Y157" s="52">
        <f t="shared" si="3"/>
        <v>1</v>
      </c>
      <c r="Z157" s="52" t="s">
        <v>23</v>
      </c>
      <c r="AA157" s="53">
        <f t="shared" si="4"/>
        <v>0</v>
      </c>
      <c r="AB157" s="54">
        <f>COUNTIFS(Links!B:B,"ICSE",Links!C:C,A157,Links!AD:AD,1)</f>
        <v>0</v>
      </c>
      <c r="AC157" s="55" t="s">
        <v>36</v>
      </c>
      <c r="AD157" s="47" t="str">
        <f t="shared" si="5"/>
        <v>No</v>
      </c>
      <c r="AE157" s="56" t="s">
        <v>36</v>
      </c>
      <c r="AF157" s="57" t="s">
        <v>42</v>
      </c>
      <c r="AG157" s="57" t="s">
        <v>42</v>
      </c>
      <c r="AH157" s="57" t="s">
        <v>42</v>
      </c>
      <c r="AI157" s="49" t="str">
        <f t="shared" si="6"/>
        <v>----</v>
      </c>
      <c r="AJ157" s="58" t="str">
        <f t="shared" si="7"/>
        <v>Paper has no link and no statement</v>
      </c>
      <c r="AK157" s="59">
        <v>45034.0</v>
      </c>
      <c r="AL157" s="43" t="s">
        <v>43</v>
      </c>
      <c r="AM157" s="60" t="str">
        <f t="shared" si="8"/>
        <v>[IP1727]</v>
      </c>
    </row>
    <row r="158" ht="67.5" customHeight="1">
      <c r="A158" s="61">
        <v>1728.0</v>
      </c>
      <c r="B158" s="22" t="s">
        <v>420</v>
      </c>
      <c r="C158" s="23">
        <v>2015.0</v>
      </c>
      <c r="D158" s="24" t="s">
        <v>35</v>
      </c>
      <c r="E158" s="25" t="s">
        <v>36</v>
      </c>
      <c r="F158" s="25" t="s">
        <v>36</v>
      </c>
      <c r="G158" s="25" t="s">
        <v>36</v>
      </c>
      <c r="H158" s="25" t="s">
        <v>36</v>
      </c>
      <c r="I158" s="25" t="s">
        <v>36</v>
      </c>
      <c r="J158" s="26" t="s">
        <v>36</v>
      </c>
      <c r="K158" s="27" t="s">
        <v>37</v>
      </c>
      <c r="L158" s="28" t="s">
        <v>35</v>
      </c>
      <c r="M158" s="28" t="s">
        <v>37</v>
      </c>
      <c r="N158" s="28" t="s">
        <v>35</v>
      </c>
      <c r="O158" s="28" t="s">
        <v>35</v>
      </c>
      <c r="P158" s="28" t="s">
        <v>35</v>
      </c>
      <c r="Q158" s="28" t="s">
        <v>35</v>
      </c>
      <c r="R158" s="28" t="s">
        <v>37</v>
      </c>
      <c r="S158" s="29" t="s">
        <v>421</v>
      </c>
      <c r="T158" s="65" t="s">
        <v>422</v>
      </c>
      <c r="U158" s="31" t="s">
        <v>422</v>
      </c>
      <c r="V158" s="32">
        <f t="shared" ref="V158:X158" si="163">IF(lenb(SUBSTITUTE($Z158,V$1&amp;" (1)",""))&lt;lenb($Z158),1,IF(lenb(SUBSTITUTE($Z158,V$1&amp;" (2)",""))&lt;lenb($Z158),2,IF(lenb(SUBSTITUTE($Z158,V$1&amp;" (3)",""))&lt;lenb($Z158),3,IF(lenb(SUBSTITUTE($Z158,V$1&amp;" (4)",""))&lt;lenb($Z158),4,IF(lenb(SUBSTITUTE($Z158,V$1&amp;" (5)",""))&lt;lenb($Z158),5,IF(lenb(SUBSTITUTE($Z158,V$1&amp;" (6)",""))&lt;lenb($Z158),6,IF(lenb(SUBSTITUTE($Z158,V$1&amp;" (7)",""))&lt;lenb($Z158),1,IF(lenb(SUBSTITUTE($Z158,V$1&amp;" (8)",""))&lt;lenb($Z158),8,IF(lenb(SUBSTITUTE($Z158,V$1&amp;" (9)",""))&lt;lenb($Z158),9,IF(lenb(SUBSTITUTE($Z158,V$1&amp;" (10)",""))&lt;lenb($Z158),10,IF(lenb(SUBSTITUTE($Z158,V$1,""))&lt;lenb($Z158),"ERROR",IF($Z158=$Y$1,"-",0))))))))))))</f>
        <v>1</v>
      </c>
      <c r="W158" s="32">
        <f t="shared" si="163"/>
        <v>1</v>
      </c>
      <c r="X158" s="32">
        <f t="shared" si="163"/>
        <v>0</v>
      </c>
      <c r="Y158" s="32" t="str">
        <f t="shared" si="3"/>
        <v>-</v>
      </c>
      <c r="Z158" s="32" t="s">
        <v>41</v>
      </c>
      <c r="AA158" s="33">
        <f t="shared" si="4"/>
        <v>2</v>
      </c>
      <c r="AB158" s="34">
        <f>COUNTIFS(Links!B:B,"ICSE",Links!C:C,A158,Links!AD:AD,1)</f>
        <v>0</v>
      </c>
      <c r="AC158" s="35" t="s">
        <v>35</v>
      </c>
      <c r="AD158" s="27" t="str">
        <f t="shared" si="5"/>
        <v>No</v>
      </c>
      <c r="AE158" s="36" t="s">
        <v>36</v>
      </c>
      <c r="AF158" s="37" t="s">
        <v>42</v>
      </c>
      <c r="AG158" s="37" t="s">
        <v>42</v>
      </c>
      <c r="AH158" s="37" t="s">
        <v>42</v>
      </c>
      <c r="AI158" s="29" t="str">
        <f t="shared" si="6"/>
        <v>----</v>
      </c>
      <c r="AJ158" s="38" t="str">
        <f t="shared" si="7"/>
        <v>Paper has link but no statement</v>
      </c>
      <c r="AK158" s="39">
        <v>45034.0</v>
      </c>
      <c r="AL158" s="23" t="s">
        <v>43</v>
      </c>
      <c r="AM158" s="40" t="str">
        <f t="shared" si="8"/>
        <v>[IP1728]</v>
      </c>
    </row>
    <row r="159" ht="67.5" customHeight="1">
      <c r="A159" s="41">
        <v>1729.0</v>
      </c>
      <c r="B159" s="42" t="s">
        <v>423</v>
      </c>
      <c r="C159" s="43">
        <v>2015.0</v>
      </c>
      <c r="D159" s="44" t="s">
        <v>35</v>
      </c>
      <c r="E159" s="45" t="s">
        <v>36</v>
      </c>
      <c r="F159" s="45" t="s">
        <v>36</v>
      </c>
      <c r="G159" s="45" t="s">
        <v>36</v>
      </c>
      <c r="H159" s="45" t="s">
        <v>36</v>
      </c>
      <c r="I159" s="45" t="s">
        <v>36</v>
      </c>
      <c r="J159" s="46" t="s">
        <v>36</v>
      </c>
      <c r="K159" s="47" t="s">
        <v>35</v>
      </c>
      <c r="L159" s="48" t="s">
        <v>36</v>
      </c>
      <c r="M159" s="48" t="s">
        <v>36</v>
      </c>
      <c r="N159" s="48" t="s">
        <v>36</v>
      </c>
      <c r="O159" s="48" t="s">
        <v>36</v>
      </c>
      <c r="P159" s="48" t="s">
        <v>36</v>
      </c>
      <c r="Q159" s="48" t="s">
        <v>36</v>
      </c>
      <c r="R159" s="48" t="s">
        <v>36</v>
      </c>
      <c r="S159" s="49" t="s">
        <v>36</v>
      </c>
      <c r="T159" s="64" t="s">
        <v>36</v>
      </c>
      <c r="U159" s="51" t="s">
        <v>36</v>
      </c>
      <c r="V159" s="52" t="str">
        <f t="shared" ref="V159:X159" si="164">IF(lenb(SUBSTITUTE($Z159,V$1&amp;" (1)",""))&lt;lenb($Z159),1,IF(lenb(SUBSTITUTE($Z159,V$1&amp;" (2)",""))&lt;lenb($Z159),2,IF(lenb(SUBSTITUTE($Z159,V$1&amp;" (3)",""))&lt;lenb($Z159),3,IF(lenb(SUBSTITUTE($Z159,V$1&amp;" (4)",""))&lt;lenb($Z159),4,IF(lenb(SUBSTITUTE($Z159,V$1&amp;" (5)",""))&lt;lenb($Z159),5,IF(lenb(SUBSTITUTE($Z159,V$1&amp;" (6)",""))&lt;lenb($Z159),6,IF(lenb(SUBSTITUTE($Z159,V$1&amp;" (7)",""))&lt;lenb($Z159),1,IF(lenb(SUBSTITUTE($Z159,V$1&amp;" (8)",""))&lt;lenb($Z159),8,IF(lenb(SUBSTITUTE($Z159,V$1&amp;" (9)",""))&lt;lenb($Z159),9,IF(lenb(SUBSTITUTE($Z159,V$1&amp;" (10)",""))&lt;lenb($Z159),10,IF(lenb(SUBSTITUTE($Z159,V$1,""))&lt;lenb($Z159),"ERROR",IF($Z159=$Y$1,"-",0))))))))))))</f>
        <v>-</v>
      </c>
      <c r="W159" s="52" t="str">
        <f t="shared" si="164"/>
        <v>-</v>
      </c>
      <c r="X159" s="52" t="str">
        <f t="shared" si="164"/>
        <v>-</v>
      </c>
      <c r="Y159" s="52">
        <f t="shared" si="3"/>
        <v>1</v>
      </c>
      <c r="Z159" s="52" t="s">
        <v>23</v>
      </c>
      <c r="AA159" s="53">
        <f t="shared" si="4"/>
        <v>0</v>
      </c>
      <c r="AB159" s="54">
        <f>COUNTIFS(Links!B:B,"ICSE",Links!C:C,A159,Links!AD:AD,1)</f>
        <v>0</v>
      </c>
      <c r="AC159" s="55" t="s">
        <v>36</v>
      </c>
      <c r="AD159" s="47" t="str">
        <f t="shared" si="5"/>
        <v>No</v>
      </c>
      <c r="AE159" s="56" t="s">
        <v>36</v>
      </c>
      <c r="AF159" s="57" t="s">
        <v>42</v>
      </c>
      <c r="AG159" s="57" t="s">
        <v>42</v>
      </c>
      <c r="AH159" s="57" t="s">
        <v>42</v>
      </c>
      <c r="AI159" s="49" t="str">
        <f t="shared" si="6"/>
        <v>----</v>
      </c>
      <c r="AJ159" s="58" t="str">
        <f t="shared" si="7"/>
        <v>Paper has no link and no statement</v>
      </c>
      <c r="AK159" s="59">
        <v>45034.0</v>
      </c>
      <c r="AL159" s="43" t="s">
        <v>43</v>
      </c>
      <c r="AM159" s="60" t="str">
        <f t="shared" si="8"/>
        <v>[IP1729]</v>
      </c>
    </row>
    <row r="160" ht="67.5" customHeight="1">
      <c r="A160" s="61">
        <v>1730.0</v>
      </c>
      <c r="B160" s="22" t="s">
        <v>424</v>
      </c>
      <c r="C160" s="23">
        <v>2015.0</v>
      </c>
      <c r="D160" s="24" t="s">
        <v>35</v>
      </c>
      <c r="E160" s="25" t="s">
        <v>36</v>
      </c>
      <c r="F160" s="25" t="s">
        <v>36</v>
      </c>
      <c r="G160" s="25" t="s">
        <v>36</v>
      </c>
      <c r="H160" s="25" t="s">
        <v>36</v>
      </c>
      <c r="I160" s="25" t="s">
        <v>36</v>
      </c>
      <c r="J160" s="26" t="s">
        <v>36</v>
      </c>
      <c r="K160" s="27" t="s">
        <v>37</v>
      </c>
      <c r="L160" s="28" t="s">
        <v>37</v>
      </c>
      <c r="M160" s="28" t="s">
        <v>35</v>
      </c>
      <c r="N160" s="28" t="s">
        <v>35</v>
      </c>
      <c r="O160" s="28" t="s">
        <v>35</v>
      </c>
      <c r="P160" s="28" t="s">
        <v>35</v>
      </c>
      <c r="Q160" s="28" t="s">
        <v>35</v>
      </c>
      <c r="R160" s="28" t="s">
        <v>37</v>
      </c>
      <c r="S160" s="29" t="s">
        <v>425</v>
      </c>
      <c r="T160" s="65" t="s">
        <v>426</v>
      </c>
      <c r="U160" s="31" t="s">
        <v>426</v>
      </c>
      <c r="V160" s="32">
        <f t="shared" ref="V160:X160" si="165">IF(lenb(SUBSTITUTE($Z160,V$1&amp;" (1)",""))&lt;lenb($Z160),1,IF(lenb(SUBSTITUTE($Z160,V$1&amp;" (2)",""))&lt;lenb($Z160),2,IF(lenb(SUBSTITUTE($Z160,V$1&amp;" (3)",""))&lt;lenb($Z160),3,IF(lenb(SUBSTITUTE($Z160,V$1&amp;" (4)",""))&lt;lenb($Z160),4,IF(lenb(SUBSTITUTE($Z160,V$1&amp;" (5)",""))&lt;lenb($Z160),5,IF(lenb(SUBSTITUTE($Z160,V$1&amp;" (6)",""))&lt;lenb($Z160),6,IF(lenb(SUBSTITUTE($Z160,V$1&amp;" (7)",""))&lt;lenb($Z160),1,IF(lenb(SUBSTITUTE($Z160,V$1&amp;" (8)",""))&lt;lenb($Z160),8,IF(lenb(SUBSTITUTE($Z160,V$1&amp;" (9)",""))&lt;lenb($Z160),9,IF(lenb(SUBSTITUTE($Z160,V$1&amp;" (10)",""))&lt;lenb($Z160),10,IF(lenb(SUBSTITUTE($Z160,V$1,""))&lt;lenb($Z160),"ERROR",IF($Z160=$Y$1,"-",0))))))))))))</f>
        <v>0</v>
      </c>
      <c r="W160" s="32">
        <f t="shared" si="165"/>
        <v>1</v>
      </c>
      <c r="X160" s="32">
        <f t="shared" si="165"/>
        <v>0</v>
      </c>
      <c r="Y160" s="32" t="str">
        <f t="shared" si="3"/>
        <v>-</v>
      </c>
      <c r="Z160" s="32" t="s">
        <v>47</v>
      </c>
      <c r="AA160" s="33">
        <f t="shared" si="4"/>
        <v>1</v>
      </c>
      <c r="AB160" s="34">
        <f>COUNTIFS(Links!B:B,"ICSE",Links!C:C,A160,Links!AD:AD,1)</f>
        <v>1</v>
      </c>
      <c r="AC160" s="35" t="s">
        <v>35</v>
      </c>
      <c r="AD160" s="27" t="str">
        <f t="shared" si="5"/>
        <v>No</v>
      </c>
      <c r="AE160" s="36" t="s">
        <v>36</v>
      </c>
      <c r="AF160" s="37" t="s">
        <v>42</v>
      </c>
      <c r="AG160" s="37" t="s">
        <v>42</v>
      </c>
      <c r="AH160" s="37" t="s">
        <v>42</v>
      </c>
      <c r="AI160" s="29" t="str">
        <f t="shared" si="6"/>
        <v>----</v>
      </c>
      <c r="AJ160" s="38" t="str">
        <f t="shared" si="7"/>
        <v>Paper has link but no statement</v>
      </c>
      <c r="AK160" s="39">
        <v>45034.0</v>
      </c>
      <c r="AL160" s="23" t="s">
        <v>43</v>
      </c>
      <c r="AM160" s="40" t="str">
        <f t="shared" si="8"/>
        <v>[IP1730]</v>
      </c>
    </row>
    <row r="161" ht="67.5" customHeight="1">
      <c r="A161" s="41">
        <v>1731.0</v>
      </c>
      <c r="B161" s="42" t="s">
        <v>427</v>
      </c>
      <c r="C161" s="43">
        <v>2015.0</v>
      </c>
      <c r="D161" s="44" t="s">
        <v>35</v>
      </c>
      <c r="E161" s="45" t="s">
        <v>36</v>
      </c>
      <c r="F161" s="45" t="s">
        <v>36</v>
      </c>
      <c r="G161" s="45" t="s">
        <v>36</v>
      </c>
      <c r="H161" s="45" t="s">
        <v>36</v>
      </c>
      <c r="I161" s="45" t="s">
        <v>36</v>
      </c>
      <c r="J161" s="46" t="s">
        <v>36</v>
      </c>
      <c r="K161" s="47" t="s">
        <v>35</v>
      </c>
      <c r="L161" s="48" t="s">
        <v>36</v>
      </c>
      <c r="M161" s="48" t="s">
        <v>36</v>
      </c>
      <c r="N161" s="48" t="s">
        <v>36</v>
      </c>
      <c r="O161" s="48" t="s">
        <v>36</v>
      </c>
      <c r="P161" s="48" t="s">
        <v>36</v>
      </c>
      <c r="Q161" s="48" t="s">
        <v>36</v>
      </c>
      <c r="R161" s="48" t="s">
        <v>36</v>
      </c>
      <c r="S161" s="49" t="s">
        <v>36</v>
      </c>
      <c r="T161" s="64" t="s">
        <v>36</v>
      </c>
      <c r="U161" s="51" t="s">
        <v>36</v>
      </c>
      <c r="V161" s="52" t="str">
        <f t="shared" ref="V161:X161" si="166">IF(lenb(SUBSTITUTE($Z161,V$1&amp;" (1)",""))&lt;lenb($Z161),1,IF(lenb(SUBSTITUTE($Z161,V$1&amp;" (2)",""))&lt;lenb($Z161),2,IF(lenb(SUBSTITUTE($Z161,V$1&amp;" (3)",""))&lt;lenb($Z161),3,IF(lenb(SUBSTITUTE($Z161,V$1&amp;" (4)",""))&lt;lenb($Z161),4,IF(lenb(SUBSTITUTE($Z161,V$1&amp;" (5)",""))&lt;lenb($Z161),5,IF(lenb(SUBSTITUTE($Z161,V$1&amp;" (6)",""))&lt;lenb($Z161),6,IF(lenb(SUBSTITUTE($Z161,V$1&amp;" (7)",""))&lt;lenb($Z161),1,IF(lenb(SUBSTITUTE($Z161,V$1&amp;" (8)",""))&lt;lenb($Z161),8,IF(lenb(SUBSTITUTE($Z161,V$1&amp;" (9)",""))&lt;lenb($Z161),9,IF(lenb(SUBSTITUTE($Z161,V$1&amp;" (10)",""))&lt;lenb($Z161),10,IF(lenb(SUBSTITUTE($Z161,V$1,""))&lt;lenb($Z161),"ERROR",IF($Z161=$Y$1,"-",0))))))))))))</f>
        <v>-</v>
      </c>
      <c r="W161" s="52" t="str">
        <f t="shared" si="166"/>
        <v>-</v>
      </c>
      <c r="X161" s="52" t="str">
        <f t="shared" si="166"/>
        <v>-</v>
      </c>
      <c r="Y161" s="52">
        <f t="shared" si="3"/>
        <v>1</v>
      </c>
      <c r="Z161" s="52" t="s">
        <v>23</v>
      </c>
      <c r="AA161" s="53">
        <f t="shared" si="4"/>
        <v>0</v>
      </c>
      <c r="AB161" s="54">
        <f>COUNTIFS(Links!B:B,"ICSE",Links!C:C,A161,Links!AD:AD,1)</f>
        <v>0</v>
      </c>
      <c r="AC161" s="55" t="s">
        <v>36</v>
      </c>
      <c r="AD161" s="47" t="str">
        <f t="shared" si="5"/>
        <v>No</v>
      </c>
      <c r="AE161" s="56" t="s">
        <v>36</v>
      </c>
      <c r="AF161" s="57" t="s">
        <v>42</v>
      </c>
      <c r="AG161" s="57" t="s">
        <v>42</v>
      </c>
      <c r="AH161" s="57" t="s">
        <v>42</v>
      </c>
      <c r="AI161" s="49" t="str">
        <f t="shared" si="6"/>
        <v>----</v>
      </c>
      <c r="AJ161" s="58" t="str">
        <f t="shared" si="7"/>
        <v>Paper has no link and no statement</v>
      </c>
      <c r="AK161" s="59">
        <v>45034.0</v>
      </c>
      <c r="AL161" s="43" t="s">
        <v>43</v>
      </c>
      <c r="AM161" s="60" t="str">
        <f t="shared" si="8"/>
        <v>[IP1731]</v>
      </c>
    </row>
    <row r="162" ht="67.5" customHeight="1">
      <c r="A162" s="61">
        <v>1732.0</v>
      </c>
      <c r="B162" s="22" t="s">
        <v>428</v>
      </c>
      <c r="C162" s="23">
        <v>2015.0</v>
      </c>
      <c r="D162" s="24" t="s">
        <v>35</v>
      </c>
      <c r="E162" s="25" t="s">
        <v>36</v>
      </c>
      <c r="F162" s="25" t="s">
        <v>36</v>
      </c>
      <c r="G162" s="25" t="s">
        <v>36</v>
      </c>
      <c r="H162" s="25" t="s">
        <v>36</v>
      </c>
      <c r="I162" s="25" t="s">
        <v>36</v>
      </c>
      <c r="J162" s="26" t="s">
        <v>36</v>
      </c>
      <c r="K162" s="27" t="s">
        <v>37</v>
      </c>
      <c r="L162" s="28" t="s">
        <v>37</v>
      </c>
      <c r="M162" s="28" t="s">
        <v>35</v>
      </c>
      <c r="N162" s="28" t="s">
        <v>35</v>
      </c>
      <c r="O162" s="28" t="s">
        <v>35</v>
      </c>
      <c r="P162" s="28" t="s">
        <v>35</v>
      </c>
      <c r="Q162" s="28" t="s">
        <v>35</v>
      </c>
      <c r="R162" s="28" t="s">
        <v>37</v>
      </c>
      <c r="S162" s="29" t="s">
        <v>429</v>
      </c>
      <c r="T162" s="65" t="s">
        <v>430</v>
      </c>
      <c r="U162" s="31" t="s">
        <v>430</v>
      </c>
      <c r="V162" s="32">
        <f t="shared" ref="V162:X162" si="167">IF(lenb(SUBSTITUTE($Z162,V$1&amp;" (1)",""))&lt;lenb($Z162),1,IF(lenb(SUBSTITUTE($Z162,V$1&amp;" (2)",""))&lt;lenb($Z162),2,IF(lenb(SUBSTITUTE($Z162,V$1&amp;" (3)",""))&lt;lenb($Z162),3,IF(lenb(SUBSTITUTE($Z162,V$1&amp;" (4)",""))&lt;lenb($Z162),4,IF(lenb(SUBSTITUTE($Z162,V$1&amp;" (5)",""))&lt;lenb($Z162),5,IF(lenb(SUBSTITUTE($Z162,V$1&amp;" (6)",""))&lt;lenb($Z162),6,IF(lenb(SUBSTITUTE($Z162,V$1&amp;" (7)",""))&lt;lenb($Z162),1,IF(lenb(SUBSTITUTE($Z162,V$1&amp;" (8)",""))&lt;lenb($Z162),8,IF(lenb(SUBSTITUTE($Z162,V$1&amp;" (9)",""))&lt;lenb($Z162),9,IF(lenb(SUBSTITUTE($Z162,V$1&amp;" (10)",""))&lt;lenb($Z162),10,IF(lenb(SUBSTITUTE($Z162,V$1,""))&lt;lenb($Z162),"ERROR",IF($Z162=$Y$1,"-",0))))))))))))</f>
        <v>0</v>
      </c>
      <c r="W162" s="32">
        <f t="shared" si="167"/>
        <v>0</v>
      </c>
      <c r="X162" s="32">
        <f t="shared" si="167"/>
        <v>1</v>
      </c>
      <c r="Y162" s="32" t="str">
        <f t="shared" si="3"/>
        <v>-</v>
      </c>
      <c r="Z162" s="32" t="s">
        <v>431</v>
      </c>
      <c r="AA162" s="33">
        <f t="shared" si="4"/>
        <v>1</v>
      </c>
      <c r="AB162" s="34">
        <f>COUNTIFS(Links!B:B,"ICSE",Links!C:C,A162,Links!AD:AD,1)</f>
        <v>1</v>
      </c>
      <c r="AC162" s="35" t="s">
        <v>35</v>
      </c>
      <c r="AD162" s="27" t="str">
        <f t="shared" si="5"/>
        <v>No</v>
      </c>
      <c r="AE162" s="36" t="s">
        <v>36</v>
      </c>
      <c r="AF162" s="37" t="s">
        <v>42</v>
      </c>
      <c r="AG162" s="37" t="s">
        <v>42</v>
      </c>
      <c r="AH162" s="37" t="s">
        <v>42</v>
      </c>
      <c r="AI162" s="29" t="str">
        <f t="shared" si="6"/>
        <v>----</v>
      </c>
      <c r="AJ162" s="38" t="str">
        <f t="shared" si="7"/>
        <v>Paper has link but no statement</v>
      </c>
      <c r="AK162" s="39">
        <v>45034.0</v>
      </c>
      <c r="AL162" s="23" t="s">
        <v>43</v>
      </c>
      <c r="AM162" s="40" t="str">
        <f t="shared" si="8"/>
        <v>[IP1732]</v>
      </c>
    </row>
    <row r="163" ht="67.5" customHeight="1">
      <c r="A163" s="41">
        <v>1733.0</v>
      </c>
      <c r="B163" s="42" t="s">
        <v>432</v>
      </c>
      <c r="C163" s="43">
        <v>2015.0</v>
      </c>
      <c r="D163" s="44" t="s">
        <v>35</v>
      </c>
      <c r="E163" s="45" t="s">
        <v>36</v>
      </c>
      <c r="F163" s="45" t="s">
        <v>36</v>
      </c>
      <c r="G163" s="45" t="s">
        <v>36</v>
      </c>
      <c r="H163" s="45" t="s">
        <v>36</v>
      </c>
      <c r="I163" s="45" t="s">
        <v>36</v>
      </c>
      <c r="J163" s="46" t="s">
        <v>36</v>
      </c>
      <c r="K163" s="47" t="s">
        <v>35</v>
      </c>
      <c r="L163" s="48" t="s">
        <v>36</v>
      </c>
      <c r="M163" s="48" t="s">
        <v>36</v>
      </c>
      <c r="N163" s="48" t="s">
        <v>36</v>
      </c>
      <c r="O163" s="48" t="s">
        <v>36</v>
      </c>
      <c r="P163" s="48" t="s">
        <v>36</v>
      </c>
      <c r="Q163" s="48" t="s">
        <v>36</v>
      </c>
      <c r="R163" s="48" t="s">
        <v>36</v>
      </c>
      <c r="S163" s="49" t="s">
        <v>36</v>
      </c>
      <c r="T163" s="64" t="s">
        <v>36</v>
      </c>
      <c r="U163" s="51" t="s">
        <v>36</v>
      </c>
      <c r="V163" s="52" t="str">
        <f t="shared" ref="V163:X163" si="168">IF(lenb(SUBSTITUTE($Z163,V$1&amp;" (1)",""))&lt;lenb($Z163),1,IF(lenb(SUBSTITUTE($Z163,V$1&amp;" (2)",""))&lt;lenb($Z163),2,IF(lenb(SUBSTITUTE($Z163,V$1&amp;" (3)",""))&lt;lenb($Z163),3,IF(lenb(SUBSTITUTE($Z163,V$1&amp;" (4)",""))&lt;lenb($Z163),4,IF(lenb(SUBSTITUTE($Z163,V$1&amp;" (5)",""))&lt;lenb($Z163),5,IF(lenb(SUBSTITUTE($Z163,V$1&amp;" (6)",""))&lt;lenb($Z163),6,IF(lenb(SUBSTITUTE($Z163,V$1&amp;" (7)",""))&lt;lenb($Z163),1,IF(lenb(SUBSTITUTE($Z163,V$1&amp;" (8)",""))&lt;lenb($Z163),8,IF(lenb(SUBSTITUTE($Z163,V$1&amp;" (9)",""))&lt;lenb($Z163),9,IF(lenb(SUBSTITUTE($Z163,V$1&amp;" (10)",""))&lt;lenb($Z163),10,IF(lenb(SUBSTITUTE($Z163,V$1,""))&lt;lenb($Z163),"ERROR",IF($Z163=$Y$1,"-",0))))))))))))</f>
        <v>-</v>
      </c>
      <c r="W163" s="52" t="str">
        <f t="shared" si="168"/>
        <v>-</v>
      </c>
      <c r="X163" s="52" t="str">
        <f t="shared" si="168"/>
        <v>-</v>
      </c>
      <c r="Y163" s="52">
        <f t="shared" si="3"/>
        <v>1</v>
      </c>
      <c r="Z163" s="52" t="s">
        <v>23</v>
      </c>
      <c r="AA163" s="53">
        <f t="shared" si="4"/>
        <v>0</v>
      </c>
      <c r="AB163" s="54">
        <f>COUNTIFS(Links!B:B,"ICSE",Links!C:C,A163,Links!AD:AD,1)</f>
        <v>0</v>
      </c>
      <c r="AC163" s="55" t="s">
        <v>36</v>
      </c>
      <c r="AD163" s="47" t="str">
        <f t="shared" si="5"/>
        <v>No</v>
      </c>
      <c r="AE163" s="56" t="s">
        <v>36</v>
      </c>
      <c r="AF163" s="57" t="s">
        <v>42</v>
      </c>
      <c r="AG163" s="57" t="s">
        <v>42</v>
      </c>
      <c r="AH163" s="57" t="s">
        <v>42</v>
      </c>
      <c r="AI163" s="49" t="str">
        <f t="shared" si="6"/>
        <v>----</v>
      </c>
      <c r="AJ163" s="58" t="str">
        <f t="shared" si="7"/>
        <v>Paper has no link and no statement</v>
      </c>
      <c r="AK163" s="59">
        <v>45034.0</v>
      </c>
      <c r="AL163" s="43" t="s">
        <v>43</v>
      </c>
      <c r="AM163" s="60" t="str">
        <f t="shared" si="8"/>
        <v>[IP1733]</v>
      </c>
    </row>
    <row r="164" ht="67.5" customHeight="1">
      <c r="A164" s="61">
        <v>1734.0</v>
      </c>
      <c r="B164" s="22" t="s">
        <v>433</v>
      </c>
      <c r="C164" s="23">
        <v>2015.0</v>
      </c>
      <c r="D164" s="24" t="s">
        <v>35</v>
      </c>
      <c r="E164" s="25" t="s">
        <v>36</v>
      </c>
      <c r="F164" s="25" t="s">
        <v>36</v>
      </c>
      <c r="G164" s="25" t="s">
        <v>36</v>
      </c>
      <c r="H164" s="25" t="s">
        <v>36</v>
      </c>
      <c r="I164" s="25" t="s">
        <v>36</v>
      </c>
      <c r="J164" s="26" t="s">
        <v>36</v>
      </c>
      <c r="K164" s="27" t="s">
        <v>37</v>
      </c>
      <c r="L164" s="28" t="s">
        <v>35</v>
      </c>
      <c r="M164" s="28" t="s">
        <v>37</v>
      </c>
      <c r="N164" s="28" t="s">
        <v>37</v>
      </c>
      <c r="O164" s="28" t="s">
        <v>37</v>
      </c>
      <c r="P164" s="28" t="s">
        <v>35</v>
      </c>
      <c r="Q164" s="28" t="s">
        <v>35</v>
      </c>
      <c r="R164" s="28" t="s">
        <v>37</v>
      </c>
      <c r="S164" s="29" t="s">
        <v>434</v>
      </c>
      <c r="T164" s="65" t="s">
        <v>435</v>
      </c>
      <c r="U164" s="65" t="s">
        <v>435</v>
      </c>
      <c r="V164" s="32">
        <f t="shared" ref="V164:X164" si="169">IF(lenb(SUBSTITUTE($Z164,V$1&amp;" (1)",""))&lt;lenb($Z164),1,IF(lenb(SUBSTITUTE($Z164,V$1&amp;" (2)",""))&lt;lenb($Z164),2,IF(lenb(SUBSTITUTE($Z164,V$1&amp;" (3)",""))&lt;lenb($Z164),3,IF(lenb(SUBSTITUTE($Z164,V$1&amp;" (4)",""))&lt;lenb($Z164),4,IF(lenb(SUBSTITUTE($Z164,V$1&amp;" (5)",""))&lt;lenb($Z164),5,IF(lenb(SUBSTITUTE($Z164,V$1&amp;" (6)",""))&lt;lenb($Z164),6,IF(lenb(SUBSTITUTE($Z164,V$1&amp;" (7)",""))&lt;lenb($Z164),1,IF(lenb(SUBSTITUTE($Z164,V$1&amp;" (8)",""))&lt;lenb($Z164),8,IF(lenb(SUBSTITUTE($Z164,V$1&amp;" (9)",""))&lt;lenb($Z164),9,IF(lenb(SUBSTITUTE($Z164,V$1&amp;" (10)",""))&lt;lenb($Z164),10,IF(lenb(SUBSTITUTE($Z164,V$1,""))&lt;lenb($Z164),"ERROR",IF($Z164=$Y$1,"-",0))))))))))))</f>
        <v>1</v>
      </c>
      <c r="W164" s="32">
        <f t="shared" si="169"/>
        <v>1</v>
      </c>
      <c r="X164" s="32">
        <f t="shared" si="169"/>
        <v>0</v>
      </c>
      <c r="Y164" s="32" t="str">
        <f t="shared" si="3"/>
        <v>-</v>
      </c>
      <c r="Z164" s="32" t="s">
        <v>41</v>
      </c>
      <c r="AA164" s="33">
        <f t="shared" si="4"/>
        <v>2</v>
      </c>
      <c r="AB164" s="34">
        <f>COUNTIFS(Links!B:B,"ICSE",Links!C:C,A164,Links!AD:AD,1)</f>
        <v>1</v>
      </c>
      <c r="AC164" s="35" t="s">
        <v>35</v>
      </c>
      <c r="AD164" s="27" t="str">
        <f t="shared" si="5"/>
        <v>No</v>
      </c>
      <c r="AE164" s="36" t="s">
        <v>36</v>
      </c>
      <c r="AF164" s="37" t="s">
        <v>42</v>
      </c>
      <c r="AG164" s="37" t="s">
        <v>42</v>
      </c>
      <c r="AH164" s="37" t="s">
        <v>42</v>
      </c>
      <c r="AI164" s="29" t="str">
        <f t="shared" si="6"/>
        <v>----</v>
      </c>
      <c r="AJ164" s="38" t="str">
        <f t="shared" si="7"/>
        <v>Paper has link but no statement</v>
      </c>
      <c r="AK164" s="39">
        <v>45034.0</v>
      </c>
      <c r="AL164" s="23" t="s">
        <v>43</v>
      </c>
      <c r="AM164" s="40" t="str">
        <f t="shared" si="8"/>
        <v>[IP1734]</v>
      </c>
    </row>
    <row r="165" ht="67.5" customHeight="1">
      <c r="A165" s="41">
        <v>1735.0</v>
      </c>
      <c r="B165" s="42" t="s">
        <v>436</v>
      </c>
      <c r="C165" s="43">
        <v>2015.0</v>
      </c>
      <c r="D165" s="44" t="s">
        <v>35</v>
      </c>
      <c r="E165" s="45" t="s">
        <v>36</v>
      </c>
      <c r="F165" s="45" t="s">
        <v>36</v>
      </c>
      <c r="G165" s="45" t="s">
        <v>36</v>
      </c>
      <c r="H165" s="45" t="s">
        <v>36</v>
      </c>
      <c r="I165" s="45" t="s">
        <v>36</v>
      </c>
      <c r="J165" s="46" t="s">
        <v>36</v>
      </c>
      <c r="K165" s="47" t="s">
        <v>37</v>
      </c>
      <c r="L165" s="48" t="s">
        <v>35</v>
      </c>
      <c r="M165" s="48" t="s">
        <v>35</v>
      </c>
      <c r="N165" s="48" t="s">
        <v>35</v>
      </c>
      <c r="O165" s="48" t="s">
        <v>35</v>
      </c>
      <c r="P165" s="48" t="s">
        <v>35</v>
      </c>
      <c r="Q165" s="48" t="s">
        <v>35</v>
      </c>
      <c r="R165" s="48" t="s">
        <v>37</v>
      </c>
      <c r="S165" s="49" t="s">
        <v>437</v>
      </c>
      <c r="T165" s="64" t="s">
        <v>185</v>
      </c>
      <c r="U165" s="51" t="s">
        <v>185</v>
      </c>
      <c r="V165" s="52">
        <f t="shared" ref="V165:X165" si="170">IF(lenb(SUBSTITUTE($Z165,V$1&amp;" (1)",""))&lt;lenb($Z165),1,IF(lenb(SUBSTITUTE($Z165,V$1&amp;" (2)",""))&lt;lenb($Z165),2,IF(lenb(SUBSTITUTE($Z165,V$1&amp;" (3)",""))&lt;lenb($Z165),3,IF(lenb(SUBSTITUTE($Z165,V$1&amp;" (4)",""))&lt;lenb($Z165),4,IF(lenb(SUBSTITUTE($Z165,V$1&amp;" (5)",""))&lt;lenb($Z165),5,IF(lenb(SUBSTITUTE($Z165,V$1&amp;" (6)",""))&lt;lenb($Z165),6,IF(lenb(SUBSTITUTE($Z165,V$1&amp;" (7)",""))&lt;lenb($Z165),1,IF(lenb(SUBSTITUTE($Z165,V$1&amp;" (8)",""))&lt;lenb($Z165),8,IF(lenb(SUBSTITUTE($Z165,V$1&amp;" (9)",""))&lt;lenb($Z165),9,IF(lenb(SUBSTITUTE($Z165,V$1&amp;" (10)",""))&lt;lenb($Z165),10,IF(lenb(SUBSTITUTE($Z165,V$1,""))&lt;lenb($Z165),"ERROR",IF($Z165=$Y$1,"-",0))))))))))))</f>
        <v>1</v>
      </c>
      <c r="W165" s="52">
        <f t="shared" si="170"/>
        <v>0</v>
      </c>
      <c r="X165" s="52">
        <f t="shared" si="170"/>
        <v>0</v>
      </c>
      <c r="Y165" s="52" t="str">
        <f t="shared" si="3"/>
        <v>-</v>
      </c>
      <c r="Z165" s="52" t="s">
        <v>62</v>
      </c>
      <c r="AA165" s="53">
        <f t="shared" si="4"/>
        <v>1</v>
      </c>
      <c r="AB165" s="54">
        <f>COUNTIFS(Links!B:B,"ICSE",Links!C:C,A165,Links!AD:AD,1)</f>
        <v>0</v>
      </c>
      <c r="AC165" s="55" t="s">
        <v>35</v>
      </c>
      <c r="AD165" s="47" t="str">
        <f t="shared" si="5"/>
        <v>No</v>
      </c>
      <c r="AE165" s="56" t="s">
        <v>36</v>
      </c>
      <c r="AF165" s="57" t="s">
        <v>42</v>
      </c>
      <c r="AG165" s="57" t="s">
        <v>42</v>
      </c>
      <c r="AH165" s="57" t="s">
        <v>42</v>
      </c>
      <c r="AI165" s="49" t="str">
        <f t="shared" si="6"/>
        <v>----</v>
      </c>
      <c r="AJ165" s="58" t="str">
        <f t="shared" si="7"/>
        <v>Paper has link but no statement</v>
      </c>
      <c r="AK165" s="59">
        <v>45034.0</v>
      </c>
      <c r="AL165" s="43" t="s">
        <v>43</v>
      </c>
      <c r="AM165" s="60" t="str">
        <f t="shared" si="8"/>
        <v>[IP1735]</v>
      </c>
    </row>
    <row r="166" ht="67.5" customHeight="1">
      <c r="A166" s="61">
        <v>1736.0</v>
      </c>
      <c r="B166" s="22" t="s">
        <v>438</v>
      </c>
      <c r="C166" s="23">
        <v>2015.0</v>
      </c>
      <c r="D166" s="24" t="s">
        <v>35</v>
      </c>
      <c r="E166" s="25" t="s">
        <v>36</v>
      </c>
      <c r="F166" s="25" t="s">
        <v>36</v>
      </c>
      <c r="G166" s="25" t="s">
        <v>36</v>
      </c>
      <c r="H166" s="25" t="s">
        <v>36</v>
      </c>
      <c r="I166" s="25" t="s">
        <v>36</v>
      </c>
      <c r="J166" s="26" t="s">
        <v>36</v>
      </c>
      <c r="K166" s="27" t="s">
        <v>35</v>
      </c>
      <c r="L166" s="28" t="s">
        <v>36</v>
      </c>
      <c r="M166" s="28" t="s">
        <v>36</v>
      </c>
      <c r="N166" s="28" t="s">
        <v>36</v>
      </c>
      <c r="O166" s="28" t="s">
        <v>36</v>
      </c>
      <c r="P166" s="28" t="s">
        <v>36</v>
      </c>
      <c r="Q166" s="28" t="s">
        <v>36</v>
      </c>
      <c r="R166" s="28" t="s">
        <v>36</v>
      </c>
      <c r="S166" s="29" t="s">
        <v>36</v>
      </c>
      <c r="T166" s="65" t="s">
        <v>36</v>
      </c>
      <c r="U166" s="31" t="s">
        <v>36</v>
      </c>
      <c r="V166" s="32" t="str">
        <f t="shared" ref="V166:X166" si="171">IF(lenb(SUBSTITUTE($Z166,V$1&amp;" (1)",""))&lt;lenb($Z166),1,IF(lenb(SUBSTITUTE($Z166,V$1&amp;" (2)",""))&lt;lenb($Z166),2,IF(lenb(SUBSTITUTE($Z166,V$1&amp;" (3)",""))&lt;lenb($Z166),3,IF(lenb(SUBSTITUTE($Z166,V$1&amp;" (4)",""))&lt;lenb($Z166),4,IF(lenb(SUBSTITUTE($Z166,V$1&amp;" (5)",""))&lt;lenb($Z166),5,IF(lenb(SUBSTITUTE($Z166,V$1&amp;" (6)",""))&lt;lenb($Z166),6,IF(lenb(SUBSTITUTE($Z166,V$1&amp;" (7)",""))&lt;lenb($Z166),1,IF(lenb(SUBSTITUTE($Z166,V$1&amp;" (8)",""))&lt;lenb($Z166),8,IF(lenb(SUBSTITUTE($Z166,V$1&amp;" (9)",""))&lt;lenb($Z166),9,IF(lenb(SUBSTITUTE($Z166,V$1&amp;" (10)",""))&lt;lenb($Z166),10,IF(lenb(SUBSTITUTE($Z166,V$1,""))&lt;lenb($Z166),"ERROR",IF($Z166=$Y$1,"-",0))))))))))))</f>
        <v>-</v>
      </c>
      <c r="W166" s="32" t="str">
        <f t="shared" si="171"/>
        <v>-</v>
      </c>
      <c r="X166" s="32" t="str">
        <f t="shared" si="171"/>
        <v>-</v>
      </c>
      <c r="Y166" s="32">
        <f t="shared" si="3"/>
        <v>1</v>
      </c>
      <c r="Z166" s="32" t="s">
        <v>23</v>
      </c>
      <c r="AA166" s="33">
        <f t="shared" si="4"/>
        <v>0</v>
      </c>
      <c r="AB166" s="34">
        <f>COUNTIFS(Links!B:B,"ICSE",Links!C:C,A166,Links!AD:AD,1)</f>
        <v>0</v>
      </c>
      <c r="AC166" s="35" t="s">
        <v>36</v>
      </c>
      <c r="AD166" s="27" t="str">
        <f t="shared" si="5"/>
        <v>No</v>
      </c>
      <c r="AE166" s="36" t="s">
        <v>36</v>
      </c>
      <c r="AF166" s="37" t="s">
        <v>42</v>
      </c>
      <c r="AG166" s="37" t="s">
        <v>42</v>
      </c>
      <c r="AH166" s="37" t="s">
        <v>42</v>
      </c>
      <c r="AI166" s="29" t="str">
        <f t="shared" si="6"/>
        <v>----</v>
      </c>
      <c r="AJ166" s="38" t="str">
        <f t="shared" si="7"/>
        <v>Paper has no link and no statement</v>
      </c>
      <c r="AK166" s="39">
        <v>45034.0</v>
      </c>
      <c r="AL166" s="23" t="s">
        <v>43</v>
      </c>
      <c r="AM166" s="40" t="str">
        <f t="shared" si="8"/>
        <v>[IP1736]</v>
      </c>
    </row>
    <row r="167" ht="67.5" customHeight="1">
      <c r="A167" s="41">
        <v>1737.0</v>
      </c>
      <c r="B167" s="42" t="s">
        <v>439</v>
      </c>
      <c r="C167" s="43">
        <v>2015.0</v>
      </c>
      <c r="D167" s="44" t="s">
        <v>35</v>
      </c>
      <c r="E167" s="45" t="s">
        <v>36</v>
      </c>
      <c r="F167" s="45" t="s">
        <v>36</v>
      </c>
      <c r="G167" s="45" t="s">
        <v>36</v>
      </c>
      <c r="H167" s="45" t="s">
        <v>36</v>
      </c>
      <c r="I167" s="45" t="s">
        <v>36</v>
      </c>
      <c r="J167" s="46" t="s">
        <v>36</v>
      </c>
      <c r="K167" s="47" t="s">
        <v>37</v>
      </c>
      <c r="L167" s="48" t="s">
        <v>35</v>
      </c>
      <c r="M167" s="48" t="s">
        <v>37</v>
      </c>
      <c r="N167" s="48" t="s">
        <v>37</v>
      </c>
      <c r="O167" s="48" t="s">
        <v>35</v>
      </c>
      <c r="P167" s="48" t="s">
        <v>35</v>
      </c>
      <c r="Q167" s="48" t="s">
        <v>35</v>
      </c>
      <c r="R167" s="48" t="s">
        <v>37</v>
      </c>
      <c r="S167" s="49" t="s">
        <v>440</v>
      </c>
      <c r="T167" s="64" t="s">
        <v>441</v>
      </c>
      <c r="U167" s="51" t="s">
        <v>441</v>
      </c>
      <c r="V167" s="52">
        <f t="shared" ref="V167:X167" si="172">IF(lenb(SUBSTITUTE($Z167,V$1&amp;" (1)",""))&lt;lenb($Z167),1,IF(lenb(SUBSTITUTE($Z167,V$1&amp;" (2)",""))&lt;lenb($Z167),2,IF(lenb(SUBSTITUTE($Z167,V$1&amp;" (3)",""))&lt;lenb($Z167),3,IF(lenb(SUBSTITUTE($Z167,V$1&amp;" (4)",""))&lt;lenb($Z167),4,IF(lenb(SUBSTITUTE($Z167,V$1&amp;" (5)",""))&lt;lenb($Z167),5,IF(lenb(SUBSTITUTE($Z167,V$1&amp;" (6)",""))&lt;lenb($Z167),6,IF(lenb(SUBSTITUTE($Z167,V$1&amp;" (7)",""))&lt;lenb($Z167),1,IF(lenb(SUBSTITUTE($Z167,V$1&amp;" (8)",""))&lt;lenb($Z167),8,IF(lenb(SUBSTITUTE($Z167,V$1&amp;" (9)",""))&lt;lenb($Z167),9,IF(lenb(SUBSTITUTE($Z167,V$1&amp;" (10)",""))&lt;lenb($Z167),10,IF(lenb(SUBSTITUTE($Z167,V$1,""))&lt;lenb($Z167),"ERROR",IF($Z167=$Y$1,"-",0))))))))))))</f>
        <v>1</v>
      </c>
      <c r="W167" s="52">
        <f t="shared" si="172"/>
        <v>0</v>
      </c>
      <c r="X167" s="52">
        <f t="shared" si="172"/>
        <v>0</v>
      </c>
      <c r="Y167" s="52" t="str">
        <f t="shared" si="3"/>
        <v>-</v>
      </c>
      <c r="Z167" s="52" t="s">
        <v>62</v>
      </c>
      <c r="AA167" s="53">
        <f t="shared" si="4"/>
        <v>1</v>
      </c>
      <c r="AB167" s="54">
        <f>COUNTIFS(Links!B:B,"ICSE",Links!C:C,A167,Links!AD:AD,1)</f>
        <v>0</v>
      </c>
      <c r="AC167" s="55" t="s">
        <v>35</v>
      </c>
      <c r="AD167" s="47" t="str">
        <f t="shared" si="5"/>
        <v>No</v>
      </c>
      <c r="AE167" s="56" t="s">
        <v>36</v>
      </c>
      <c r="AF167" s="57" t="s">
        <v>42</v>
      </c>
      <c r="AG167" s="57" t="s">
        <v>42</v>
      </c>
      <c r="AH167" s="57" t="s">
        <v>42</v>
      </c>
      <c r="AI167" s="49" t="str">
        <f t="shared" si="6"/>
        <v>----</v>
      </c>
      <c r="AJ167" s="58" t="str">
        <f t="shared" si="7"/>
        <v>Paper has link but no statement</v>
      </c>
      <c r="AK167" s="59">
        <v>45034.0</v>
      </c>
      <c r="AL167" s="43" t="s">
        <v>43</v>
      </c>
      <c r="AM167" s="60" t="str">
        <f t="shared" si="8"/>
        <v>[IP1737]</v>
      </c>
    </row>
    <row r="168" ht="67.5" customHeight="1">
      <c r="A168" s="61">
        <v>1738.0</v>
      </c>
      <c r="B168" s="22" t="s">
        <v>442</v>
      </c>
      <c r="C168" s="23">
        <v>2015.0</v>
      </c>
      <c r="D168" s="24" t="s">
        <v>35</v>
      </c>
      <c r="E168" s="25" t="s">
        <v>36</v>
      </c>
      <c r="F168" s="25" t="s">
        <v>36</v>
      </c>
      <c r="G168" s="25" t="s">
        <v>36</v>
      </c>
      <c r="H168" s="25" t="s">
        <v>36</v>
      </c>
      <c r="I168" s="25" t="s">
        <v>36</v>
      </c>
      <c r="J168" s="26" t="s">
        <v>36</v>
      </c>
      <c r="K168" s="27" t="s">
        <v>37</v>
      </c>
      <c r="L168" s="28" t="s">
        <v>37</v>
      </c>
      <c r="M168" s="28" t="s">
        <v>37</v>
      </c>
      <c r="N168" s="28" t="s">
        <v>37</v>
      </c>
      <c r="O168" s="28" t="s">
        <v>35</v>
      </c>
      <c r="P168" s="28" t="s">
        <v>35</v>
      </c>
      <c r="Q168" s="28" t="s">
        <v>35</v>
      </c>
      <c r="R168" s="28" t="s">
        <v>35</v>
      </c>
      <c r="S168" s="29" t="s">
        <v>443</v>
      </c>
      <c r="T168" s="65" t="s">
        <v>444</v>
      </c>
      <c r="U168" s="31" t="s">
        <v>444</v>
      </c>
      <c r="V168" s="32">
        <f t="shared" ref="V168:X168" si="173">IF(lenb(SUBSTITUTE($Z168,V$1&amp;" (1)",""))&lt;lenb($Z168),1,IF(lenb(SUBSTITUTE($Z168,V$1&amp;" (2)",""))&lt;lenb($Z168),2,IF(lenb(SUBSTITUTE($Z168,V$1&amp;" (3)",""))&lt;lenb($Z168),3,IF(lenb(SUBSTITUTE($Z168,V$1&amp;" (4)",""))&lt;lenb($Z168),4,IF(lenb(SUBSTITUTE($Z168,V$1&amp;" (5)",""))&lt;lenb($Z168),5,IF(lenb(SUBSTITUTE($Z168,V$1&amp;" (6)",""))&lt;lenb($Z168),6,IF(lenb(SUBSTITUTE($Z168,V$1&amp;" (7)",""))&lt;lenb($Z168),1,IF(lenb(SUBSTITUTE($Z168,V$1&amp;" (8)",""))&lt;lenb($Z168),8,IF(lenb(SUBSTITUTE($Z168,V$1&amp;" (9)",""))&lt;lenb($Z168),9,IF(lenb(SUBSTITUTE($Z168,V$1&amp;" (10)",""))&lt;lenb($Z168),10,IF(lenb(SUBSTITUTE($Z168,V$1,""))&lt;lenb($Z168),"ERROR",IF($Z168=$Y$1,"-",0))))))))))))</f>
        <v>2</v>
      </c>
      <c r="W168" s="32">
        <f t="shared" si="173"/>
        <v>0</v>
      </c>
      <c r="X168" s="32">
        <f t="shared" si="173"/>
        <v>0</v>
      </c>
      <c r="Y168" s="32" t="str">
        <f t="shared" si="3"/>
        <v>-</v>
      </c>
      <c r="Z168" s="32" t="s">
        <v>57</v>
      </c>
      <c r="AA168" s="33">
        <f t="shared" si="4"/>
        <v>2</v>
      </c>
      <c r="AB168" s="34">
        <f>COUNTIFS(Links!B:B,"ICSE",Links!C:C,A168,Links!AD:AD,1)</f>
        <v>0</v>
      </c>
      <c r="AC168" s="35" t="s">
        <v>37</v>
      </c>
      <c r="AD168" s="27" t="str">
        <f t="shared" si="5"/>
        <v>No</v>
      </c>
      <c r="AE168" s="36" t="s">
        <v>36</v>
      </c>
      <c r="AF168" s="37" t="s">
        <v>42</v>
      </c>
      <c r="AG168" s="37" t="s">
        <v>42</v>
      </c>
      <c r="AH168" s="37" t="s">
        <v>42</v>
      </c>
      <c r="AI168" s="29" t="str">
        <f t="shared" si="6"/>
        <v>----</v>
      </c>
      <c r="AJ168" s="38" t="str">
        <f t="shared" si="7"/>
        <v>Paper has link but no statement</v>
      </c>
      <c r="AK168" s="39">
        <v>45034.0</v>
      </c>
      <c r="AL168" s="23" t="s">
        <v>43</v>
      </c>
      <c r="AM168" s="40" t="str">
        <f t="shared" si="8"/>
        <v>[IP1738]</v>
      </c>
    </row>
    <row r="169" ht="67.5" customHeight="1">
      <c r="A169" s="41">
        <v>1739.0</v>
      </c>
      <c r="B169" s="42" t="s">
        <v>445</v>
      </c>
      <c r="C169" s="43">
        <v>2015.0</v>
      </c>
      <c r="D169" s="44" t="s">
        <v>35</v>
      </c>
      <c r="E169" s="45" t="s">
        <v>36</v>
      </c>
      <c r="F169" s="45" t="s">
        <v>36</v>
      </c>
      <c r="G169" s="45" t="s">
        <v>36</v>
      </c>
      <c r="H169" s="45" t="s">
        <v>36</v>
      </c>
      <c r="I169" s="45" t="s">
        <v>36</v>
      </c>
      <c r="J169" s="46" t="s">
        <v>36</v>
      </c>
      <c r="K169" s="47" t="s">
        <v>35</v>
      </c>
      <c r="L169" s="48" t="s">
        <v>36</v>
      </c>
      <c r="M169" s="48" t="s">
        <v>36</v>
      </c>
      <c r="N169" s="48" t="s">
        <v>36</v>
      </c>
      <c r="O169" s="48" t="s">
        <v>36</v>
      </c>
      <c r="P169" s="48" t="s">
        <v>36</v>
      </c>
      <c r="Q169" s="48" t="s">
        <v>36</v>
      </c>
      <c r="R169" s="48" t="s">
        <v>36</v>
      </c>
      <c r="S169" s="49" t="s">
        <v>36</v>
      </c>
      <c r="T169" s="64" t="s">
        <v>36</v>
      </c>
      <c r="U169" s="51" t="s">
        <v>36</v>
      </c>
      <c r="V169" s="52" t="str">
        <f t="shared" ref="V169:X169" si="174">IF(lenb(SUBSTITUTE($Z169,V$1&amp;" (1)",""))&lt;lenb($Z169),1,IF(lenb(SUBSTITUTE($Z169,V$1&amp;" (2)",""))&lt;lenb($Z169),2,IF(lenb(SUBSTITUTE($Z169,V$1&amp;" (3)",""))&lt;lenb($Z169),3,IF(lenb(SUBSTITUTE($Z169,V$1&amp;" (4)",""))&lt;lenb($Z169),4,IF(lenb(SUBSTITUTE($Z169,V$1&amp;" (5)",""))&lt;lenb($Z169),5,IF(lenb(SUBSTITUTE($Z169,V$1&amp;" (6)",""))&lt;lenb($Z169),6,IF(lenb(SUBSTITUTE($Z169,V$1&amp;" (7)",""))&lt;lenb($Z169),1,IF(lenb(SUBSTITUTE($Z169,V$1&amp;" (8)",""))&lt;lenb($Z169),8,IF(lenb(SUBSTITUTE($Z169,V$1&amp;" (9)",""))&lt;lenb($Z169),9,IF(lenb(SUBSTITUTE($Z169,V$1&amp;" (10)",""))&lt;lenb($Z169),10,IF(lenb(SUBSTITUTE($Z169,V$1,""))&lt;lenb($Z169),"ERROR",IF($Z169=$Y$1,"-",0))))))))))))</f>
        <v>-</v>
      </c>
      <c r="W169" s="52" t="str">
        <f t="shared" si="174"/>
        <v>-</v>
      </c>
      <c r="X169" s="52" t="str">
        <f t="shared" si="174"/>
        <v>-</v>
      </c>
      <c r="Y169" s="52">
        <f t="shared" si="3"/>
        <v>1</v>
      </c>
      <c r="Z169" s="52" t="s">
        <v>23</v>
      </c>
      <c r="AA169" s="53">
        <f t="shared" si="4"/>
        <v>0</v>
      </c>
      <c r="AB169" s="54">
        <f>COUNTIFS(Links!B:B,"ICSE",Links!C:C,A169,Links!AD:AD,1)</f>
        <v>0</v>
      </c>
      <c r="AC169" s="55" t="s">
        <v>36</v>
      </c>
      <c r="AD169" s="47" t="str">
        <f t="shared" si="5"/>
        <v>No</v>
      </c>
      <c r="AE169" s="56" t="s">
        <v>36</v>
      </c>
      <c r="AF169" s="57" t="s">
        <v>42</v>
      </c>
      <c r="AG169" s="57" t="s">
        <v>42</v>
      </c>
      <c r="AH169" s="57" t="s">
        <v>42</v>
      </c>
      <c r="AI169" s="49" t="str">
        <f t="shared" si="6"/>
        <v>----</v>
      </c>
      <c r="AJ169" s="58" t="str">
        <f t="shared" si="7"/>
        <v>Paper has no link and no statement</v>
      </c>
      <c r="AK169" s="59">
        <v>45034.0</v>
      </c>
      <c r="AL169" s="43" t="s">
        <v>43</v>
      </c>
      <c r="AM169" s="60" t="str">
        <f t="shared" si="8"/>
        <v>[IP1739]</v>
      </c>
    </row>
    <row r="170" ht="67.5" customHeight="1">
      <c r="A170" s="61">
        <v>1740.0</v>
      </c>
      <c r="B170" s="22" t="s">
        <v>446</v>
      </c>
      <c r="C170" s="23">
        <v>2015.0</v>
      </c>
      <c r="D170" s="24" t="s">
        <v>35</v>
      </c>
      <c r="E170" s="25" t="s">
        <v>36</v>
      </c>
      <c r="F170" s="25" t="s">
        <v>36</v>
      </c>
      <c r="G170" s="25" t="s">
        <v>36</v>
      </c>
      <c r="H170" s="25" t="s">
        <v>36</v>
      </c>
      <c r="I170" s="25" t="s">
        <v>36</v>
      </c>
      <c r="J170" s="26" t="s">
        <v>36</v>
      </c>
      <c r="K170" s="27" t="s">
        <v>35</v>
      </c>
      <c r="L170" s="28" t="s">
        <v>36</v>
      </c>
      <c r="M170" s="28" t="s">
        <v>36</v>
      </c>
      <c r="N170" s="28" t="s">
        <v>36</v>
      </c>
      <c r="O170" s="28" t="s">
        <v>36</v>
      </c>
      <c r="P170" s="28" t="s">
        <v>36</v>
      </c>
      <c r="Q170" s="28" t="s">
        <v>36</v>
      </c>
      <c r="R170" s="28" t="s">
        <v>36</v>
      </c>
      <c r="S170" s="29" t="s">
        <v>36</v>
      </c>
      <c r="T170" s="65" t="s">
        <v>36</v>
      </c>
      <c r="U170" s="31" t="s">
        <v>36</v>
      </c>
      <c r="V170" s="32" t="str">
        <f t="shared" ref="V170:X170" si="175">IF(lenb(SUBSTITUTE($Z170,V$1&amp;" (1)",""))&lt;lenb($Z170),1,IF(lenb(SUBSTITUTE($Z170,V$1&amp;" (2)",""))&lt;lenb($Z170),2,IF(lenb(SUBSTITUTE($Z170,V$1&amp;" (3)",""))&lt;lenb($Z170),3,IF(lenb(SUBSTITUTE($Z170,V$1&amp;" (4)",""))&lt;lenb($Z170),4,IF(lenb(SUBSTITUTE($Z170,V$1&amp;" (5)",""))&lt;lenb($Z170),5,IF(lenb(SUBSTITUTE($Z170,V$1&amp;" (6)",""))&lt;lenb($Z170),6,IF(lenb(SUBSTITUTE($Z170,V$1&amp;" (7)",""))&lt;lenb($Z170),1,IF(lenb(SUBSTITUTE($Z170,V$1&amp;" (8)",""))&lt;lenb($Z170),8,IF(lenb(SUBSTITUTE($Z170,V$1&amp;" (9)",""))&lt;lenb($Z170),9,IF(lenb(SUBSTITUTE($Z170,V$1&amp;" (10)",""))&lt;lenb($Z170),10,IF(lenb(SUBSTITUTE($Z170,V$1,""))&lt;lenb($Z170),"ERROR",IF($Z170=$Y$1,"-",0))))))))))))</f>
        <v>-</v>
      </c>
      <c r="W170" s="32" t="str">
        <f t="shared" si="175"/>
        <v>-</v>
      </c>
      <c r="X170" s="32" t="str">
        <f t="shared" si="175"/>
        <v>-</v>
      </c>
      <c r="Y170" s="32">
        <f t="shared" si="3"/>
        <v>1</v>
      </c>
      <c r="Z170" s="32" t="s">
        <v>23</v>
      </c>
      <c r="AA170" s="33">
        <f t="shared" si="4"/>
        <v>0</v>
      </c>
      <c r="AB170" s="34">
        <f>COUNTIFS(Links!B:B,"ICSE",Links!C:C,A170,Links!AD:AD,1)</f>
        <v>0</v>
      </c>
      <c r="AC170" s="35" t="s">
        <v>36</v>
      </c>
      <c r="AD170" s="27" t="str">
        <f t="shared" si="5"/>
        <v>No</v>
      </c>
      <c r="AE170" s="36" t="s">
        <v>36</v>
      </c>
      <c r="AF170" s="37" t="s">
        <v>42</v>
      </c>
      <c r="AG170" s="37" t="s">
        <v>42</v>
      </c>
      <c r="AH170" s="37" t="s">
        <v>42</v>
      </c>
      <c r="AI170" s="29" t="str">
        <f t="shared" si="6"/>
        <v>----</v>
      </c>
      <c r="AJ170" s="38" t="str">
        <f t="shared" si="7"/>
        <v>Paper has no link and no statement</v>
      </c>
      <c r="AK170" s="39">
        <v>45034.0</v>
      </c>
      <c r="AL170" s="23" t="s">
        <v>43</v>
      </c>
      <c r="AM170" s="40" t="str">
        <f t="shared" si="8"/>
        <v>[IP1740]</v>
      </c>
    </row>
    <row r="171" ht="67.5" customHeight="1">
      <c r="A171" s="41">
        <v>1741.0</v>
      </c>
      <c r="B171" s="42" t="s">
        <v>447</v>
      </c>
      <c r="C171" s="43">
        <v>2015.0</v>
      </c>
      <c r="D171" s="44" t="s">
        <v>35</v>
      </c>
      <c r="E171" s="45" t="s">
        <v>36</v>
      </c>
      <c r="F171" s="45" t="s">
        <v>36</v>
      </c>
      <c r="G171" s="45" t="s">
        <v>36</v>
      </c>
      <c r="H171" s="45" t="s">
        <v>36</v>
      </c>
      <c r="I171" s="45" t="s">
        <v>36</v>
      </c>
      <c r="J171" s="46" t="s">
        <v>36</v>
      </c>
      <c r="K171" s="47" t="s">
        <v>35</v>
      </c>
      <c r="L171" s="48" t="s">
        <v>36</v>
      </c>
      <c r="M171" s="48" t="s">
        <v>36</v>
      </c>
      <c r="N171" s="48" t="s">
        <v>36</v>
      </c>
      <c r="O171" s="48" t="s">
        <v>36</v>
      </c>
      <c r="P171" s="48" t="s">
        <v>36</v>
      </c>
      <c r="Q171" s="48" t="s">
        <v>36</v>
      </c>
      <c r="R171" s="48" t="s">
        <v>36</v>
      </c>
      <c r="S171" s="49" t="s">
        <v>36</v>
      </c>
      <c r="T171" s="64" t="s">
        <v>36</v>
      </c>
      <c r="U171" s="51" t="s">
        <v>36</v>
      </c>
      <c r="V171" s="52" t="str">
        <f t="shared" ref="V171:X171" si="176">IF(lenb(SUBSTITUTE($Z171,V$1&amp;" (1)",""))&lt;lenb($Z171),1,IF(lenb(SUBSTITUTE($Z171,V$1&amp;" (2)",""))&lt;lenb($Z171),2,IF(lenb(SUBSTITUTE($Z171,V$1&amp;" (3)",""))&lt;lenb($Z171),3,IF(lenb(SUBSTITUTE($Z171,V$1&amp;" (4)",""))&lt;lenb($Z171),4,IF(lenb(SUBSTITUTE($Z171,V$1&amp;" (5)",""))&lt;lenb($Z171),5,IF(lenb(SUBSTITUTE($Z171,V$1&amp;" (6)",""))&lt;lenb($Z171),6,IF(lenb(SUBSTITUTE($Z171,V$1&amp;" (7)",""))&lt;lenb($Z171),1,IF(lenb(SUBSTITUTE($Z171,V$1&amp;" (8)",""))&lt;lenb($Z171),8,IF(lenb(SUBSTITUTE($Z171,V$1&amp;" (9)",""))&lt;lenb($Z171),9,IF(lenb(SUBSTITUTE($Z171,V$1&amp;" (10)",""))&lt;lenb($Z171),10,IF(lenb(SUBSTITUTE($Z171,V$1,""))&lt;lenb($Z171),"ERROR",IF($Z171=$Y$1,"-",0))))))))))))</f>
        <v>-</v>
      </c>
      <c r="W171" s="52" t="str">
        <f t="shared" si="176"/>
        <v>-</v>
      </c>
      <c r="X171" s="52" t="str">
        <f t="shared" si="176"/>
        <v>-</v>
      </c>
      <c r="Y171" s="52">
        <f t="shared" si="3"/>
        <v>1</v>
      </c>
      <c r="Z171" s="52" t="s">
        <v>23</v>
      </c>
      <c r="AA171" s="53">
        <f t="shared" si="4"/>
        <v>0</v>
      </c>
      <c r="AB171" s="54">
        <f>COUNTIFS(Links!B:B,"ICSE",Links!C:C,A171,Links!AD:AD,1)</f>
        <v>0</v>
      </c>
      <c r="AC171" s="55" t="s">
        <v>36</v>
      </c>
      <c r="AD171" s="47" t="str">
        <f t="shared" si="5"/>
        <v>No</v>
      </c>
      <c r="AE171" s="56" t="s">
        <v>36</v>
      </c>
      <c r="AF171" s="57" t="s">
        <v>42</v>
      </c>
      <c r="AG171" s="57" t="s">
        <v>42</v>
      </c>
      <c r="AH171" s="57" t="s">
        <v>42</v>
      </c>
      <c r="AI171" s="49" t="str">
        <f t="shared" si="6"/>
        <v>----</v>
      </c>
      <c r="AJ171" s="58" t="str">
        <f t="shared" si="7"/>
        <v>Paper has no link and no statement</v>
      </c>
      <c r="AK171" s="59">
        <v>45034.0</v>
      </c>
      <c r="AL171" s="43" t="s">
        <v>43</v>
      </c>
      <c r="AM171" s="60" t="str">
        <f t="shared" si="8"/>
        <v>[IP1741]</v>
      </c>
    </row>
    <row r="172" ht="67.5" customHeight="1">
      <c r="A172" s="61">
        <v>1742.0</v>
      </c>
      <c r="B172" s="22" t="s">
        <v>448</v>
      </c>
      <c r="C172" s="23">
        <v>2015.0</v>
      </c>
      <c r="D172" s="24" t="s">
        <v>35</v>
      </c>
      <c r="E172" s="25" t="s">
        <v>36</v>
      </c>
      <c r="F172" s="25" t="s">
        <v>36</v>
      </c>
      <c r="G172" s="25" t="s">
        <v>36</v>
      </c>
      <c r="H172" s="25" t="s">
        <v>36</v>
      </c>
      <c r="I172" s="25" t="s">
        <v>36</v>
      </c>
      <c r="J172" s="26" t="s">
        <v>36</v>
      </c>
      <c r="K172" s="27" t="s">
        <v>35</v>
      </c>
      <c r="L172" s="28" t="s">
        <v>36</v>
      </c>
      <c r="M172" s="28" t="s">
        <v>36</v>
      </c>
      <c r="N172" s="28" t="s">
        <v>36</v>
      </c>
      <c r="O172" s="28" t="s">
        <v>36</v>
      </c>
      <c r="P172" s="28" t="s">
        <v>36</v>
      </c>
      <c r="Q172" s="28" t="s">
        <v>36</v>
      </c>
      <c r="R172" s="28" t="s">
        <v>36</v>
      </c>
      <c r="S172" s="29" t="s">
        <v>36</v>
      </c>
      <c r="T172" s="65" t="s">
        <v>36</v>
      </c>
      <c r="U172" s="31" t="s">
        <v>36</v>
      </c>
      <c r="V172" s="32" t="str">
        <f t="shared" ref="V172:X172" si="177">IF(lenb(SUBSTITUTE($Z172,V$1&amp;" (1)",""))&lt;lenb($Z172),1,IF(lenb(SUBSTITUTE($Z172,V$1&amp;" (2)",""))&lt;lenb($Z172),2,IF(lenb(SUBSTITUTE($Z172,V$1&amp;" (3)",""))&lt;lenb($Z172),3,IF(lenb(SUBSTITUTE($Z172,V$1&amp;" (4)",""))&lt;lenb($Z172),4,IF(lenb(SUBSTITUTE($Z172,V$1&amp;" (5)",""))&lt;lenb($Z172),5,IF(lenb(SUBSTITUTE($Z172,V$1&amp;" (6)",""))&lt;lenb($Z172),6,IF(lenb(SUBSTITUTE($Z172,V$1&amp;" (7)",""))&lt;lenb($Z172),1,IF(lenb(SUBSTITUTE($Z172,V$1&amp;" (8)",""))&lt;lenb($Z172),8,IF(lenb(SUBSTITUTE($Z172,V$1&amp;" (9)",""))&lt;lenb($Z172),9,IF(lenb(SUBSTITUTE($Z172,V$1&amp;" (10)",""))&lt;lenb($Z172),10,IF(lenb(SUBSTITUTE($Z172,V$1,""))&lt;lenb($Z172),"ERROR",IF($Z172=$Y$1,"-",0))))))))))))</f>
        <v>-</v>
      </c>
      <c r="W172" s="32" t="str">
        <f t="shared" si="177"/>
        <v>-</v>
      </c>
      <c r="X172" s="32" t="str">
        <f t="shared" si="177"/>
        <v>-</v>
      </c>
      <c r="Y172" s="32">
        <f t="shared" si="3"/>
        <v>1</v>
      </c>
      <c r="Z172" s="32" t="s">
        <v>23</v>
      </c>
      <c r="AA172" s="33">
        <f t="shared" si="4"/>
        <v>0</v>
      </c>
      <c r="AB172" s="34">
        <f>COUNTIFS(Links!B:B,"ICSE",Links!C:C,A172,Links!AD:AD,1)</f>
        <v>0</v>
      </c>
      <c r="AC172" s="35" t="s">
        <v>36</v>
      </c>
      <c r="AD172" s="27" t="str">
        <f t="shared" si="5"/>
        <v>No</v>
      </c>
      <c r="AE172" s="36" t="s">
        <v>36</v>
      </c>
      <c r="AF172" s="37" t="s">
        <v>42</v>
      </c>
      <c r="AG172" s="37" t="s">
        <v>42</v>
      </c>
      <c r="AH172" s="37" t="s">
        <v>42</v>
      </c>
      <c r="AI172" s="29" t="str">
        <f t="shared" si="6"/>
        <v>----</v>
      </c>
      <c r="AJ172" s="38" t="str">
        <f t="shared" si="7"/>
        <v>Paper has no link and no statement</v>
      </c>
      <c r="AK172" s="39">
        <v>45034.0</v>
      </c>
      <c r="AL172" s="23" t="s">
        <v>43</v>
      </c>
      <c r="AM172" s="40" t="str">
        <f t="shared" si="8"/>
        <v>[IP1742]</v>
      </c>
    </row>
    <row r="173" ht="67.5" customHeight="1">
      <c r="A173" s="41">
        <v>1743.0</v>
      </c>
      <c r="B173" s="42" t="s">
        <v>449</v>
      </c>
      <c r="C173" s="43">
        <v>2015.0</v>
      </c>
      <c r="D173" s="44" t="s">
        <v>35</v>
      </c>
      <c r="E173" s="45" t="s">
        <v>36</v>
      </c>
      <c r="F173" s="45" t="s">
        <v>36</v>
      </c>
      <c r="G173" s="45" t="s">
        <v>36</v>
      </c>
      <c r="H173" s="45" t="s">
        <v>36</v>
      </c>
      <c r="I173" s="45" t="s">
        <v>36</v>
      </c>
      <c r="J173" s="46" t="s">
        <v>36</v>
      </c>
      <c r="K173" s="47" t="s">
        <v>35</v>
      </c>
      <c r="L173" s="48" t="s">
        <v>36</v>
      </c>
      <c r="M173" s="48" t="s">
        <v>36</v>
      </c>
      <c r="N173" s="48" t="s">
        <v>36</v>
      </c>
      <c r="O173" s="48" t="s">
        <v>36</v>
      </c>
      <c r="P173" s="48" t="s">
        <v>36</v>
      </c>
      <c r="Q173" s="48" t="s">
        <v>36</v>
      </c>
      <c r="R173" s="48" t="s">
        <v>36</v>
      </c>
      <c r="S173" s="49" t="s">
        <v>36</v>
      </c>
      <c r="T173" s="64" t="s">
        <v>36</v>
      </c>
      <c r="U173" s="51" t="s">
        <v>36</v>
      </c>
      <c r="V173" s="52" t="str">
        <f t="shared" ref="V173:X173" si="178">IF(lenb(SUBSTITUTE($Z173,V$1&amp;" (1)",""))&lt;lenb($Z173),1,IF(lenb(SUBSTITUTE($Z173,V$1&amp;" (2)",""))&lt;lenb($Z173),2,IF(lenb(SUBSTITUTE($Z173,V$1&amp;" (3)",""))&lt;lenb($Z173),3,IF(lenb(SUBSTITUTE($Z173,V$1&amp;" (4)",""))&lt;lenb($Z173),4,IF(lenb(SUBSTITUTE($Z173,V$1&amp;" (5)",""))&lt;lenb($Z173),5,IF(lenb(SUBSTITUTE($Z173,V$1&amp;" (6)",""))&lt;lenb($Z173),6,IF(lenb(SUBSTITUTE($Z173,V$1&amp;" (7)",""))&lt;lenb($Z173),1,IF(lenb(SUBSTITUTE($Z173,V$1&amp;" (8)",""))&lt;lenb($Z173),8,IF(lenb(SUBSTITUTE($Z173,V$1&amp;" (9)",""))&lt;lenb($Z173),9,IF(lenb(SUBSTITUTE($Z173,V$1&amp;" (10)",""))&lt;lenb($Z173),10,IF(lenb(SUBSTITUTE($Z173,V$1,""))&lt;lenb($Z173),"ERROR",IF($Z173=$Y$1,"-",0))))))))))))</f>
        <v>-</v>
      </c>
      <c r="W173" s="52" t="str">
        <f t="shared" si="178"/>
        <v>-</v>
      </c>
      <c r="X173" s="52" t="str">
        <f t="shared" si="178"/>
        <v>-</v>
      </c>
      <c r="Y173" s="52">
        <f t="shared" si="3"/>
        <v>1</v>
      </c>
      <c r="Z173" s="52" t="s">
        <v>23</v>
      </c>
      <c r="AA173" s="53">
        <f t="shared" si="4"/>
        <v>0</v>
      </c>
      <c r="AB173" s="54">
        <f>COUNTIFS(Links!B:B,"ICSE",Links!C:C,A173,Links!AD:AD,1)</f>
        <v>0</v>
      </c>
      <c r="AC173" s="55" t="s">
        <v>36</v>
      </c>
      <c r="AD173" s="47" t="str">
        <f t="shared" si="5"/>
        <v>No</v>
      </c>
      <c r="AE173" s="56" t="s">
        <v>36</v>
      </c>
      <c r="AF173" s="57" t="s">
        <v>42</v>
      </c>
      <c r="AG173" s="57" t="s">
        <v>42</v>
      </c>
      <c r="AH173" s="57" t="s">
        <v>42</v>
      </c>
      <c r="AI173" s="49" t="str">
        <f t="shared" si="6"/>
        <v>----</v>
      </c>
      <c r="AJ173" s="58" t="str">
        <f t="shared" si="7"/>
        <v>Paper has no link and no statement</v>
      </c>
      <c r="AK173" s="59">
        <v>45034.0</v>
      </c>
      <c r="AL173" s="43" t="s">
        <v>43</v>
      </c>
      <c r="AM173" s="60" t="str">
        <f t="shared" si="8"/>
        <v>[IP1743]</v>
      </c>
    </row>
    <row r="174" ht="67.5" customHeight="1">
      <c r="A174" s="61">
        <v>1744.0</v>
      </c>
      <c r="B174" s="22" t="s">
        <v>450</v>
      </c>
      <c r="C174" s="23">
        <v>2015.0</v>
      </c>
      <c r="D174" s="24" t="s">
        <v>35</v>
      </c>
      <c r="E174" s="25" t="s">
        <v>36</v>
      </c>
      <c r="F174" s="25" t="s">
        <v>36</v>
      </c>
      <c r="G174" s="25" t="s">
        <v>36</v>
      </c>
      <c r="H174" s="25" t="s">
        <v>36</v>
      </c>
      <c r="I174" s="25" t="s">
        <v>36</v>
      </c>
      <c r="J174" s="26" t="s">
        <v>36</v>
      </c>
      <c r="K174" s="27" t="s">
        <v>37</v>
      </c>
      <c r="L174" s="28" t="s">
        <v>35</v>
      </c>
      <c r="M174" s="28" t="s">
        <v>35</v>
      </c>
      <c r="N174" s="28" t="s">
        <v>35</v>
      </c>
      <c r="O174" s="28" t="s">
        <v>35</v>
      </c>
      <c r="P174" s="28" t="s">
        <v>35</v>
      </c>
      <c r="Q174" s="28" t="s">
        <v>35</v>
      </c>
      <c r="R174" s="28" t="s">
        <v>37</v>
      </c>
      <c r="S174" s="29" t="s">
        <v>352</v>
      </c>
      <c r="T174" s="65" t="s">
        <v>451</v>
      </c>
      <c r="U174" s="31" t="s">
        <v>451</v>
      </c>
      <c r="V174" s="32">
        <f t="shared" ref="V174:X174" si="179">IF(lenb(SUBSTITUTE($Z174,V$1&amp;" (1)",""))&lt;lenb($Z174),1,IF(lenb(SUBSTITUTE($Z174,V$1&amp;" (2)",""))&lt;lenb($Z174),2,IF(lenb(SUBSTITUTE($Z174,V$1&amp;" (3)",""))&lt;lenb($Z174),3,IF(lenb(SUBSTITUTE($Z174,V$1&amp;" (4)",""))&lt;lenb($Z174),4,IF(lenb(SUBSTITUTE($Z174,V$1&amp;" (5)",""))&lt;lenb($Z174),5,IF(lenb(SUBSTITUTE($Z174,V$1&amp;" (6)",""))&lt;lenb($Z174),6,IF(lenb(SUBSTITUTE($Z174,V$1&amp;" (7)",""))&lt;lenb($Z174),1,IF(lenb(SUBSTITUTE($Z174,V$1&amp;" (8)",""))&lt;lenb($Z174),8,IF(lenb(SUBSTITUTE($Z174,V$1&amp;" (9)",""))&lt;lenb($Z174),9,IF(lenb(SUBSTITUTE($Z174,V$1&amp;" (10)",""))&lt;lenb($Z174),10,IF(lenb(SUBSTITUTE($Z174,V$1,""))&lt;lenb($Z174),"ERROR",IF($Z174=$Y$1,"-",0))))))))))))</f>
        <v>0</v>
      </c>
      <c r="W174" s="32">
        <f t="shared" si="179"/>
        <v>1</v>
      </c>
      <c r="X174" s="32">
        <f t="shared" si="179"/>
        <v>0</v>
      </c>
      <c r="Y174" s="32" t="str">
        <f t="shared" si="3"/>
        <v>-</v>
      </c>
      <c r="Z174" s="32" t="s">
        <v>47</v>
      </c>
      <c r="AA174" s="33">
        <f t="shared" si="4"/>
        <v>1</v>
      </c>
      <c r="AB174" s="34">
        <f>COUNTIFS(Links!B:B,"ICSE",Links!C:C,A174,Links!AD:AD,1)</f>
        <v>1</v>
      </c>
      <c r="AC174" s="35" t="s">
        <v>35</v>
      </c>
      <c r="AD174" s="27" t="str">
        <f t="shared" si="5"/>
        <v>No</v>
      </c>
      <c r="AE174" s="36" t="s">
        <v>36</v>
      </c>
      <c r="AF174" s="37" t="s">
        <v>42</v>
      </c>
      <c r="AG174" s="37" t="s">
        <v>42</v>
      </c>
      <c r="AH174" s="37" t="s">
        <v>42</v>
      </c>
      <c r="AI174" s="29" t="str">
        <f t="shared" si="6"/>
        <v>----</v>
      </c>
      <c r="AJ174" s="38" t="str">
        <f t="shared" si="7"/>
        <v>Paper has link but no statement</v>
      </c>
      <c r="AK174" s="39">
        <v>45034.0</v>
      </c>
      <c r="AL174" s="23" t="s">
        <v>43</v>
      </c>
      <c r="AM174" s="40" t="str">
        <f t="shared" si="8"/>
        <v>[IP1744]</v>
      </c>
    </row>
    <row r="175" ht="67.5" customHeight="1">
      <c r="A175" s="41">
        <v>1745.0</v>
      </c>
      <c r="B175" s="42" t="s">
        <v>452</v>
      </c>
      <c r="C175" s="43">
        <v>2015.0</v>
      </c>
      <c r="D175" s="44" t="s">
        <v>35</v>
      </c>
      <c r="E175" s="45" t="s">
        <v>36</v>
      </c>
      <c r="F175" s="45" t="s">
        <v>36</v>
      </c>
      <c r="G175" s="45" t="s">
        <v>36</v>
      </c>
      <c r="H175" s="45" t="s">
        <v>36</v>
      </c>
      <c r="I175" s="45" t="s">
        <v>36</v>
      </c>
      <c r="J175" s="46" t="s">
        <v>36</v>
      </c>
      <c r="K175" s="47" t="s">
        <v>37</v>
      </c>
      <c r="L175" s="48" t="s">
        <v>35</v>
      </c>
      <c r="M175" s="48" t="s">
        <v>37</v>
      </c>
      <c r="N175" s="48" t="s">
        <v>35</v>
      </c>
      <c r="O175" s="48" t="s">
        <v>35</v>
      </c>
      <c r="P175" s="48" t="s">
        <v>35</v>
      </c>
      <c r="Q175" s="48" t="s">
        <v>35</v>
      </c>
      <c r="R175" s="48" t="s">
        <v>37</v>
      </c>
      <c r="S175" s="49" t="s">
        <v>453</v>
      </c>
      <c r="T175" s="64" t="s">
        <v>454</v>
      </c>
      <c r="U175" s="51" t="s">
        <v>454</v>
      </c>
      <c r="V175" s="52">
        <f t="shared" ref="V175:X175" si="180">IF(lenb(SUBSTITUTE($Z175,V$1&amp;" (1)",""))&lt;lenb($Z175),1,IF(lenb(SUBSTITUTE($Z175,V$1&amp;" (2)",""))&lt;lenb($Z175),2,IF(lenb(SUBSTITUTE($Z175,V$1&amp;" (3)",""))&lt;lenb($Z175),3,IF(lenb(SUBSTITUTE($Z175,V$1&amp;" (4)",""))&lt;lenb($Z175),4,IF(lenb(SUBSTITUTE($Z175,V$1&amp;" (5)",""))&lt;lenb($Z175),5,IF(lenb(SUBSTITUTE($Z175,V$1&amp;" (6)",""))&lt;lenb($Z175),6,IF(lenb(SUBSTITUTE($Z175,V$1&amp;" (7)",""))&lt;lenb($Z175),1,IF(lenb(SUBSTITUTE($Z175,V$1&amp;" (8)",""))&lt;lenb($Z175),8,IF(lenb(SUBSTITUTE($Z175,V$1&amp;" (9)",""))&lt;lenb($Z175),9,IF(lenb(SUBSTITUTE($Z175,V$1&amp;" (10)",""))&lt;lenb($Z175),10,IF(lenb(SUBSTITUTE($Z175,V$1,""))&lt;lenb($Z175),"ERROR",IF($Z175=$Y$1,"-",0))))))))))))</f>
        <v>0</v>
      </c>
      <c r="W175" s="52">
        <f t="shared" si="180"/>
        <v>1</v>
      </c>
      <c r="X175" s="52">
        <f t="shared" si="180"/>
        <v>0</v>
      </c>
      <c r="Y175" s="52" t="str">
        <f t="shared" si="3"/>
        <v>-</v>
      </c>
      <c r="Z175" s="52" t="s">
        <v>47</v>
      </c>
      <c r="AA175" s="53">
        <f t="shared" si="4"/>
        <v>1</v>
      </c>
      <c r="AB175" s="54">
        <f>COUNTIFS(Links!B:B,"ICSE",Links!C:C,A175,Links!AD:AD,1)</f>
        <v>1</v>
      </c>
      <c r="AC175" s="55" t="s">
        <v>35</v>
      </c>
      <c r="AD175" s="47" t="str">
        <f t="shared" si="5"/>
        <v>No</v>
      </c>
      <c r="AE175" s="56" t="s">
        <v>36</v>
      </c>
      <c r="AF175" s="57" t="s">
        <v>42</v>
      </c>
      <c r="AG175" s="57" t="s">
        <v>42</v>
      </c>
      <c r="AH175" s="57" t="s">
        <v>42</v>
      </c>
      <c r="AI175" s="49" t="str">
        <f t="shared" si="6"/>
        <v>----</v>
      </c>
      <c r="AJ175" s="58" t="str">
        <f t="shared" si="7"/>
        <v>Paper has link but no statement</v>
      </c>
      <c r="AK175" s="59">
        <v>45034.0</v>
      </c>
      <c r="AL175" s="43" t="s">
        <v>43</v>
      </c>
      <c r="AM175" s="60" t="str">
        <f t="shared" si="8"/>
        <v>[IP1745]</v>
      </c>
    </row>
    <row r="176" ht="67.5" customHeight="1">
      <c r="A176" s="21">
        <v>1746.0</v>
      </c>
      <c r="B176" s="22" t="s">
        <v>455</v>
      </c>
      <c r="C176" s="23">
        <v>2015.0</v>
      </c>
      <c r="D176" s="24" t="s">
        <v>35</v>
      </c>
      <c r="E176" s="25" t="s">
        <v>36</v>
      </c>
      <c r="F176" s="25" t="s">
        <v>36</v>
      </c>
      <c r="G176" s="25" t="s">
        <v>36</v>
      </c>
      <c r="H176" s="25" t="s">
        <v>36</v>
      </c>
      <c r="I176" s="25" t="s">
        <v>36</v>
      </c>
      <c r="J176" s="26" t="s">
        <v>36</v>
      </c>
      <c r="K176" s="27" t="s">
        <v>37</v>
      </c>
      <c r="L176" s="28" t="s">
        <v>37</v>
      </c>
      <c r="M176" s="28" t="s">
        <v>35</v>
      </c>
      <c r="N176" s="28" t="s">
        <v>37</v>
      </c>
      <c r="O176" s="28" t="s">
        <v>35</v>
      </c>
      <c r="P176" s="28" t="s">
        <v>35</v>
      </c>
      <c r="Q176" s="28" t="s">
        <v>35</v>
      </c>
      <c r="R176" s="28" t="s">
        <v>35</v>
      </c>
      <c r="S176" s="29" t="s">
        <v>340</v>
      </c>
      <c r="T176" s="65" t="s">
        <v>456</v>
      </c>
      <c r="U176" s="65" t="s">
        <v>456</v>
      </c>
      <c r="V176" s="32">
        <f t="shared" ref="V176:X176" si="181">IF(lenb(SUBSTITUTE($Z176,V$1&amp;" (1)",""))&lt;lenb($Z176),1,IF(lenb(SUBSTITUTE($Z176,V$1&amp;" (2)",""))&lt;lenb($Z176),2,IF(lenb(SUBSTITUTE($Z176,V$1&amp;" (3)",""))&lt;lenb($Z176),3,IF(lenb(SUBSTITUTE($Z176,V$1&amp;" (4)",""))&lt;lenb($Z176),4,IF(lenb(SUBSTITUTE($Z176,V$1&amp;" (5)",""))&lt;lenb($Z176),5,IF(lenb(SUBSTITUTE($Z176,V$1&amp;" (6)",""))&lt;lenb($Z176),6,IF(lenb(SUBSTITUTE($Z176,V$1&amp;" (7)",""))&lt;lenb($Z176),1,IF(lenb(SUBSTITUTE($Z176,V$1&amp;" (8)",""))&lt;lenb($Z176),8,IF(lenb(SUBSTITUTE($Z176,V$1&amp;" (9)",""))&lt;lenb($Z176),9,IF(lenb(SUBSTITUTE($Z176,V$1&amp;" (10)",""))&lt;lenb($Z176),10,IF(lenb(SUBSTITUTE($Z176,V$1,""))&lt;lenb($Z176),"ERROR",IF($Z176=$Y$1,"-",0))))))))))))</f>
        <v>1</v>
      </c>
      <c r="W176" s="32">
        <f t="shared" si="181"/>
        <v>0</v>
      </c>
      <c r="X176" s="32">
        <f t="shared" si="181"/>
        <v>0</v>
      </c>
      <c r="Y176" s="32" t="str">
        <f t="shared" si="3"/>
        <v>-</v>
      </c>
      <c r="Z176" s="32" t="s">
        <v>62</v>
      </c>
      <c r="AA176" s="33">
        <f t="shared" si="4"/>
        <v>1</v>
      </c>
      <c r="AB176" s="34">
        <f>COUNTIFS(Links!B:B,"ICSE",Links!C:C,A176,Links!AD:AD,1)</f>
        <v>1</v>
      </c>
      <c r="AC176" s="35" t="s">
        <v>35</v>
      </c>
      <c r="AD176" s="27" t="str">
        <f t="shared" si="5"/>
        <v>No</v>
      </c>
      <c r="AE176" s="36" t="s">
        <v>36</v>
      </c>
      <c r="AF176" s="37" t="s">
        <v>42</v>
      </c>
      <c r="AG176" s="37" t="s">
        <v>42</v>
      </c>
      <c r="AH176" s="37" t="s">
        <v>42</v>
      </c>
      <c r="AI176" s="29" t="str">
        <f t="shared" si="6"/>
        <v>----</v>
      </c>
      <c r="AJ176" s="38" t="str">
        <f t="shared" si="7"/>
        <v>Paper has link but no statement</v>
      </c>
      <c r="AK176" s="39">
        <v>45034.0</v>
      </c>
      <c r="AL176" s="23" t="s">
        <v>43</v>
      </c>
      <c r="AM176" s="40" t="str">
        <f t="shared" si="8"/>
        <v>[IP1746]</v>
      </c>
    </row>
    <row r="177" ht="67.5" customHeight="1">
      <c r="A177" s="41">
        <v>1747.0</v>
      </c>
      <c r="B177" s="42" t="s">
        <v>457</v>
      </c>
      <c r="C177" s="43">
        <v>2015.0</v>
      </c>
      <c r="D177" s="44" t="s">
        <v>35</v>
      </c>
      <c r="E177" s="45" t="s">
        <v>36</v>
      </c>
      <c r="F177" s="45" t="s">
        <v>36</v>
      </c>
      <c r="G177" s="45" t="s">
        <v>36</v>
      </c>
      <c r="H177" s="45" t="s">
        <v>36</v>
      </c>
      <c r="I177" s="45" t="s">
        <v>36</v>
      </c>
      <c r="J177" s="46" t="s">
        <v>36</v>
      </c>
      <c r="K177" s="47" t="s">
        <v>37</v>
      </c>
      <c r="L177" s="48" t="s">
        <v>35</v>
      </c>
      <c r="M177" s="48" t="s">
        <v>37</v>
      </c>
      <c r="N177" s="48" t="s">
        <v>37</v>
      </c>
      <c r="O177" s="48" t="s">
        <v>35</v>
      </c>
      <c r="P177" s="48" t="s">
        <v>35</v>
      </c>
      <c r="Q177" s="48" t="s">
        <v>35</v>
      </c>
      <c r="R177" s="48" t="s">
        <v>37</v>
      </c>
      <c r="S177" s="49" t="s">
        <v>458</v>
      </c>
      <c r="T177" s="64" t="s">
        <v>459</v>
      </c>
      <c r="U177" s="51" t="s">
        <v>460</v>
      </c>
      <c r="V177" s="52">
        <f t="shared" ref="V177:X177" si="182">IF(lenb(SUBSTITUTE($Z177,V$1&amp;" (1)",""))&lt;lenb($Z177),1,IF(lenb(SUBSTITUTE($Z177,V$1&amp;" (2)",""))&lt;lenb($Z177),2,IF(lenb(SUBSTITUTE($Z177,V$1&amp;" (3)",""))&lt;lenb($Z177),3,IF(lenb(SUBSTITUTE($Z177,V$1&amp;" (4)",""))&lt;lenb($Z177),4,IF(lenb(SUBSTITUTE($Z177,V$1&amp;" (5)",""))&lt;lenb($Z177),5,IF(lenb(SUBSTITUTE($Z177,V$1&amp;" (6)",""))&lt;lenb($Z177),6,IF(lenb(SUBSTITUTE($Z177,V$1&amp;" (7)",""))&lt;lenb($Z177),1,IF(lenb(SUBSTITUTE($Z177,V$1&amp;" (8)",""))&lt;lenb($Z177),8,IF(lenb(SUBSTITUTE($Z177,V$1&amp;" (9)",""))&lt;lenb($Z177),9,IF(lenb(SUBSTITUTE($Z177,V$1&amp;" (10)",""))&lt;lenb($Z177),10,IF(lenb(SUBSTITUTE($Z177,V$1,""))&lt;lenb($Z177),"ERROR",IF($Z177=$Y$1,"-",0))))))))))))</f>
        <v>0</v>
      </c>
      <c r="W177" s="52">
        <f t="shared" si="182"/>
        <v>2</v>
      </c>
      <c r="X177" s="52">
        <f t="shared" si="182"/>
        <v>0</v>
      </c>
      <c r="Y177" s="52" t="str">
        <f t="shared" si="3"/>
        <v>-</v>
      </c>
      <c r="Z177" s="52" t="s">
        <v>174</v>
      </c>
      <c r="AA177" s="53">
        <f t="shared" si="4"/>
        <v>2</v>
      </c>
      <c r="AB177" s="54">
        <f>COUNTIFS(Links!B:B,"ICSE",Links!C:C,A177,Links!AD:AD,1)</f>
        <v>2</v>
      </c>
      <c r="AC177" s="55" t="s">
        <v>35</v>
      </c>
      <c r="AD177" s="47" t="str">
        <f t="shared" si="5"/>
        <v>No</v>
      </c>
      <c r="AE177" s="56" t="s">
        <v>36</v>
      </c>
      <c r="AF177" s="57" t="s">
        <v>42</v>
      </c>
      <c r="AG177" s="57" t="s">
        <v>42</v>
      </c>
      <c r="AH177" s="57" t="s">
        <v>42</v>
      </c>
      <c r="AI177" s="49" t="str">
        <f t="shared" si="6"/>
        <v>----</v>
      </c>
      <c r="AJ177" s="58" t="str">
        <f t="shared" si="7"/>
        <v>Paper has link but no statement</v>
      </c>
      <c r="AK177" s="59">
        <v>45034.0</v>
      </c>
      <c r="AL177" s="43" t="s">
        <v>43</v>
      </c>
      <c r="AM177" s="60" t="str">
        <f t="shared" si="8"/>
        <v>[IP1747]</v>
      </c>
    </row>
    <row r="178" ht="67.5" customHeight="1">
      <c r="A178" s="61">
        <v>1748.0</v>
      </c>
      <c r="B178" s="22" t="s">
        <v>461</v>
      </c>
      <c r="C178" s="23">
        <v>2015.0</v>
      </c>
      <c r="D178" s="24" t="s">
        <v>35</v>
      </c>
      <c r="E178" s="25" t="s">
        <v>36</v>
      </c>
      <c r="F178" s="25" t="s">
        <v>36</v>
      </c>
      <c r="G178" s="25" t="s">
        <v>36</v>
      </c>
      <c r="H178" s="25" t="s">
        <v>36</v>
      </c>
      <c r="I178" s="25" t="s">
        <v>36</v>
      </c>
      <c r="J178" s="26" t="s">
        <v>36</v>
      </c>
      <c r="K178" s="27" t="s">
        <v>35</v>
      </c>
      <c r="L178" s="28" t="s">
        <v>36</v>
      </c>
      <c r="M178" s="28" t="s">
        <v>36</v>
      </c>
      <c r="N178" s="28" t="s">
        <v>36</v>
      </c>
      <c r="O178" s="28" t="s">
        <v>36</v>
      </c>
      <c r="P178" s="28" t="s">
        <v>36</v>
      </c>
      <c r="Q178" s="28" t="s">
        <v>36</v>
      </c>
      <c r="R178" s="28" t="s">
        <v>36</v>
      </c>
      <c r="S178" s="29" t="s">
        <v>36</v>
      </c>
      <c r="T178" s="65" t="s">
        <v>36</v>
      </c>
      <c r="U178" s="31" t="s">
        <v>36</v>
      </c>
      <c r="V178" s="32" t="str">
        <f t="shared" ref="V178:X178" si="183">IF(lenb(SUBSTITUTE($Z178,V$1&amp;" (1)",""))&lt;lenb($Z178),1,IF(lenb(SUBSTITUTE($Z178,V$1&amp;" (2)",""))&lt;lenb($Z178),2,IF(lenb(SUBSTITUTE($Z178,V$1&amp;" (3)",""))&lt;lenb($Z178),3,IF(lenb(SUBSTITUTE($Z178,V$1&amp;" (4)",""))&lt;lenb($Z178),4,IF(lenb(SUBSTITUTE($Z178,V$1&amp;" (5)",""))&lt;lenb($Z178),5,IF(lenb(SUBSTITUTE($Z178,V$1&amp;" (6)",""))&lt;lenb($Z178),6,IF(lenb(SUBSTITUTE($Z178,V$1&amp;" (7)",""))&lt;lenb($Z178),1,IF(lenb(SUBSTITUTE($Z178,V$1&amp;" (8)",""))&lt;lenb($Z178),8,IF(lenb(SUBSTITUTE($Z178,V$1&amp;" (9)",""))&lt;lenb($Z178),9,IF(lenb(SUBSTITUTE($Z178,V$1&amp;" (10)",""))&lt;lenb($Z178),10,IF(lenb(SUBSTITUTE($Z178,V$1,""))&lt;lenb($Z178),"ERROR",IF($Z178=$Y$1,"-",0))))))))))))</f>
        <v>-</v>
      </c>
      <c r="W178" s="32" t="str">
        <f t="shared" si="183"/>
        <v>-</v>
      </c>
      <c r="X178" s="32" t="str">
        <f t="shared" si="183"/>
        <v>-</v>
      </c>
      <c r="Y178" s="32">
        <f t="shared" si="3"/>
        <v>1</v>
      </c>
      <c r="Z178" s="32" t="s">
        <v>23</v>
      </c>
      <c r="AA178" s="33">
        <f t="shared" si="4"/>
        <v>0</v>
      </c>
      <c r="AB178" s="34">
        <f>COUNTIFS(Links!B:B,"ICSE",Links!C:C,A178,Links!AD:AD,1)</f>
        <v>0</v>
      </c>
      <c r="AC178" s="35" t="s">
        <v>36</v>
      </c>
      <c r="AD178" s="27" t="str">
        <f t="shared" si="5"/>
        <v>No</v>
      </c>
      <c r="AE178" s="36" t="s">
        <v>36</v>
      </c>
      <c r="AF178" s="37" t="s">
        <v>42</v>
      </c>
      <c r="AG178" s="37" t="s">
        <v>42</v>
      </c>
      <c r="AH178" s="37" t="s">
        <v>42</v>
      </c>
      <c r="AI178" s="29" t="str">
        <f t="shared" si="6"/>
        <v>----</v>
      </c>
      <c r="AJ178" s="38" t="str">
        <f t="shared" si="7"/>
        <v>Paper has no link and no statement</v>
      </c>
      <c r="AK178" s="39">
        <v>45034.0</v>
      </c>
      <c r="AL178" s="23" t="s">
        <v>43</v>
      </c>
      <c r="AM178" s="40" t="str">
        <f t="shared" si="8"/>
        <v>[IP1748]</v>
      </c>
    </row>
    <row r="179" ht="67.5" customHeight="1">
      <c r="A179" s="41">
        <v>1749.0</v>
      </c>
      <c r="B179" s="42" t="s">
        <v>462</v>
      </c>
      <c r="C179" s="43">
        <v>2015.0</v>
      </c>
      <c r="D179" s="44" t="s">
        <v>35</v>
      </c>
      <c r="E179" s="45" t="s">
        <v>36</v>
      </c>
      <c r="F179" s="45" t="s">
        <v>36</v>
      </c>
      <c r="G179" s="45" t="s">
        <v>36</v>
      </c>
      <c r="H179" s="45" t="s">
        <v>36</v>
      </c>
      <c r="I179" s="45" t="s">
        <v>36</v>
      </c>
      <c r="J179" s="46" t="s">
        <v>36</v>
      </c>
      <c r="K179" s="47" t="s">
        <v>35</v>
      </c>
      <c r="L179" s="48" t="s">
        <v>36</v>
      </c>
      <c r="M179" s="48" t="s">
        <v>36</v>
      </c>
      <c r="N179" s="48" t="s">
        <v>36</v>
      </c>
      <c r="O179" s="48" t="s">
        <v>36</v>
      </c>
      <c r="P179" s="48" t="s">
        <v>36</v>
      </c>
      <c r="Q179" s="48" t="s">
        <v>36</v>
      </c>
      <c r="R179" s="48" t="s">
        <v>36</v>
      </c>
      <c r="S179" s="49" t="s">
        <v>36</v>
      </c>
      <c r="T179" s="64" t="s">
        <v>36</v>
      </c>
      <c r="U179" s="51" t="s">
        <v>36</v>
      </c>
      <c r="V179" s="52" t="str">
        <f t="shared" ref="V179:X179" si="184">IF(lenb(SUBSTITUTE($Z179,V$1&amp;" (1)",""))&lt;lenb($Z179),1,IF(lenb(SUBSTITUTE($Z179,V$1&amp;" (2)",""))&lt;lenb($Z179),2,IF(lenb(SUBSTITUTE($Z179,V$1&amp;" (3)",""))&lt;lenb($Z179),3,IF(lenb(SUBSTITUTE($Z179,V$1&amp;" (4)",""))&lt;lenb($Z179),4,IF(lenb(SUBSTITUTE($Z179,V$1&amp;" (5)",""))&lt;lenb($Z179),5,IF(lenb(SUBSTITUTE($Z179,V$1&amp;" (6)",""))&lt;lenb($Z179),6,IF(lenb(SUBSTITUTE($Z179,V$1&amp;" (7)",""))&lt;lenb($Z179),1,IF(lenb(SUBSTITUTE($Z179,V$1&amp;" (8)",""))&lt;lenb($Z179),8,IF(lenb(SUBSTITUTE($Z179,V$1&amp;" (9)",""))&lt;lenb($Z179),9,IF(lenb(SUBSTITUTE($Z179,V$1&amp;" (10)",""))&lt;lenb($Z179),10,IF(lenb(SUBSTITUTE($Z179,V$1,""))&lt;lenb($Z179),"ERROR",IF($Z179=$Y$1,"-",0))))))))))))</f>
        <v>-</v>
      </c>
      <c r="W179" s="52" t="str">
        <f t="shared" si="184"/>
        <v>-</v>
      </c>
      <c r="X179" s="52" t="str">
        <f t="shared" si="184"/>
        <v>-</v>
      </c>
      <c r="Y179" s="52">
        <f t="shared" si="3"/>
        <v>1</v>
      </c>
      <c r="Z179" s="52" t="s">
        <v>23</v>
      </c>
      <c r="AA179" s="53">
        <f t="shared" si="4"/>
        <v>0</v>
      </c>
      <c r="AB179" s="54">
        <f>COUNTIFS(Links!B:B,"ICSE",Links!C:C,A179,Links!AD:AD,1)</f>
        <v>0</v>
      </c>
      <c r="AC179" s="55" t="s">
        <v>36</v>
      </c>
      <c r="AD179" s="47" t="str">
        <f t="shared" si="5"/>
        <v>No</v>
      </c>
      <c r="AE179" s="56" t="s">
        <v>36</v>
      </c>
      <c r="AF179" s="57" t="s">
        <v>42</v>
      </c>
      <c r="AG179" s="57" t="s">
        <v>42</v>
      </c>
      <c r="AH179" s="57" t="s">
        <v>42</v>
      </c>
      <c r="AI179" s="49" t="str">
        <f t="shared" si="6"/>
        <v>----</v>
      </c>
      <c r="AJ179" s="58" t="str">
        <f t="shared" si="7"/>
        <v>Paper has no link and no statement</v>
      </c>
      <c r="AK179" s="59">
        <v>45034.0</v>
      </c>
      <c r="AL179" s="43" t="s">
        <v>43</v>
      </c>
      <c r="AM179" s="60" t="str">
        <f t="shared" si="8"/>
        <v>[IP1749]</v>
      </c>
    </row>
    <row r="180" ht="67.5" customHeight="1">
      <c r="A180" s="61">
        <v>1750.0</v>
      </c>
      <c r="B180" s="22" t="s">
        <v>463</v>
      </c>
      <c r="C180" s="23">
        <v>2015.0</v>
      </c>
      <c r="D180" s="24" t="s">
        <v>35</v>
      </c>
      <c r="E180" s="25" t="s">
        <v>36</v>
      </c>
      <c r="F180" s="25" t="s">
        <v>36</v>
      </c>
      <c r="G180" s="25" t="s">
        <v>36</v>
      </c>
      <c r="H180" s="25" t="s">
        <v>36</v>
      </c>
      <c r="I180" s="25" t="s">
        <v>36</v>
      </c>
      <c r="J180" s="26" t="s">
        <v>36</v>
      </c>
      <c r="K180" s="27" t="s">
        <v>35</v>
      </c>
      <c r="L180" s="28" t="s">
        <v>36</v>
      </c>
      <c r="M180" s="28" t="s">
        <v>36</v>
      </c>
      <c r="N180" s="28" t="s">
        <v>36</v>
      </c>
      <c r="O180" s="28" t="s">
        <v>36</v>
      </c>
      <c r="P180" s="28" t="s">
        <v>36</v>
      </c>
      <c r="Q180" s="28" t="s">
        <v>36</v>
      </c>
      <c r="R180" s="28" t="s">
        <v>36</v>
      </c>
      <c r="S180" s="29" t="s">
        <v>36</v>
      </c>
      <c r="T180" s="65" t="s">
        <v>36</v>
      </c>
      <c r="U180" s="31" t="s">
        <v>36</v>
      </c>
      <c r="V180" s="32" t="str">
        <f t="shared" ref="V180:X180" si="185">IF(lenb(SUBSTITUTE($Z180,V$1&amp;" (1)",""))&lt;lenb($Z180),1,IF(lenb(SUBSTITUTE($Z180,V$1&amp;" (2)",""))&lt;lenb($Z180),2,IF(lenb(SUBSTITUTE($Z180,V$1&amp;" (3)",""))&lt;lenb($Z180),3,IF(lenb(SUBSTITUTE($Z180,V$1&amp;" (4)",""))&lt;lenb($Z180),4,IF(lenb(SUBSTITUTE($Z180,V$1&amp;" (5)",""))&lt;lenb($Z180),5,IF(lenb(SUBSTITUTE($Z180,V$1&amp;" (6)",""))&lt;lenb($Z180),6,IF(lenb(SUBSTITUTE($Z180,V$1&amp;" (7)",""))&lt;lenb($Z180),1,IF(lenb(SUBSTITUTE($Z180,V$1&amp;" (8)",""))&lt;lenb($Z180),8,IF(lenb(SUBSTITUTE($Z180,V$1&amp;" (9)",""))&lt;lenb($Z180),9,IF(lenb(SUBSTITUTE($Z180,V$1&amp;" (10)",""))&lt;lenb($Z180),10,IF(lenb(SUBSTITUTE($Z180,V$1,""))&lt;lenb($Z180),"ERROR",IF($Z180=$Y$1,"-",0))))))))))))</f>
        <v>-</v>
      </c>
      <c r="W180" s="32" t="str">
        <f t="shared" si="185"/>
        <v>-</v>
      </c>
      <c r="X180" s="32" t="str">
        <f t="shared" si="185"/>
        <v>-</v>
      </c>
      <c r="Y180" s="32">
        <f t="shared" si="3"/>
        <v>1</v>
      </c>
      <c r="Z180" s="32" t="s">
        <v>23</v>
      </c>
      <c r="AA180" s="33">
        <f t="shared" si="4"/>
        <v>0</v>
      </c>
      <c r="AB180" s="34">
        <f>COUNTIFS(Links!B:B,"ICSE",Links!C:C,A180,Links!AD:AD,1)</f>
        <v>0</v>
      </c>
      <c r="AC180" s="35" t="s">
        <v>36</v>
      </c>
      <c r="AD180" s="27" t="str">
        <f t="shared" si="5"/>
        <v>No</v>
      </c>
      <c r="AE180" s="36" t="s">
        <v>36</v>
      </c>
      <c r="AF180" s="37" t="s">
        <v>42</v>
      </c>
      <c r="AG180" s="37" t="s">
        <v>42</v>
      </c>
      <c r="AH180" s="37" t="s">
        <v>42</v>
      </c>
      <c r="AI180" s="29" t="str">
        <f t="shared" si="6"/>
        <v>----</v>
      </c>
      <c r="AJ180" s="38" t="str">
        <f t="shared" si="7"/>
        <v>Paper has no link and no statement</v>
      </c>
      <c r="AK180" s="39">
        <v>45034.0</v>
      </c>
      <c r="AL180" s="23" t="s">
        <v>43</v>
      </c>
      <c r="AM180" s="40" t="str">
        <f t="shared" si="8"/>
        <v>[IP1750]</v>
      </c>
    </row>
    <row r="181" ht="67.5" customHeight="1">
      <c r="A181" s="41">
        <v>1751.0</v>
      </c>
      <c r="B181" s="42" t="s">
        <v>464</v>
      </c>
      <c r="C181" s="43">
        <v>2015.0</v>
      </c>
      <c r="D181" s="44" t="s">
        <v>35</v>
      </c>
      <c r="E181" s="45" t="s">
        <v>36</v>
      </c>
      <c r="F181" s="45" t="s">
        <v>36</v>
      </c>
      <c r="G181" s="45" t="s">
        <v>36</v>
      </c>
      <c r="H181" s="45" t="s">
        <v>36</v>
      </c>
      <c r="I181" s="45" t="s">
        <v>36</v>
      </c>
      <c r="J181" s="46" t="s">
        <v>36</v>
      </c>
      <c r="K181" s="47" t="s">
        <v>35</v>
      </c>
      <c r="L181" s="48" t="s">
        <v>36</v>
      </c>
      <c r="M181" s="48" t="s">
        <v>36</v>
      </c>
      <c r="N181" s="48" t="s">
        <v>36</v>
      </c>
      <c r="O181" s="48" t="s">
        <v>36</v>
      </c>
      <c r="P181" s="48" t="s">
        <v>36</v>
      </c>
      <c r="Q181" s="48" t="s">
        <v>36</v>
      </c>
      <c r="R181" s="48" t="s">
        <v>36</v>
      </c>
      <c r="S181" s="49" t="s">
        <v>36</v>
      </c>
      <c r="T181" s="64" t="s">
        <v>36</v>
      </c>
      <c r="U181" s="51" t="s">
        <v>36</v>
      </c>
      <c r="V181" s="52" t="str">
        <f t="shared" ref="V181:X181" si="186">IF(lenb(SUBSTITUTE($Z181,V$1&amp;" (1)",""))&lt;lenb($Z181),1,IF(lenb(SUBSTITUTE($Z181,V$1&amp;" (2)",""))&lt;lenb($Z181),2,IF(lenb(SUBSTITUTE($Z181,V$1&amp;" (3)",""))&lt;lenb($Z181),3,IF(lenb(SUBSTITUTE($Z181,V$1&amp;" (4)",""))&lt;lenb($Z181),4,IF(lenb(SUBSTITUTE($Z181,V$1&amp;" (5)",""))&lt;lenb($Z181),5,IF(lenb(SUBSTITUTE($Z181,V$1&amp;" (6)",""))&lt;lenb($Z181),6,IF(lenb(SUBSTITUTE($Z181,V$1&amp;" (7)",""))&lt;lenb($Z181),1,IF(lenb(SUBSTITUTE($Z181,V$1&amp;" (8)",""))&lt;lenb($Z181),8,IF(lenb(SUBSTITUTE($Z181,V$1&amp;" (9)",""))&lt;lenb($Z181),9,IF(lenb(SUBSTITUTE($Z181,V$1&amp;" (10)",""))&lt;lenb($Z181),10,IF(lenb(SUBSTITUTE($Z181,V$1,""))&lt;lenb($Z181),"ERROR",IF($Z181=$Y$1,"-",0))))))))))))</f>
        <v>-</v>
      </c>
      <c r="W181" s="52" t="str">
        <f t="shared" si="186"/>
        <v>-</v>
      </c>
      <c r="X181" s="52" t="str">
        <f t="shared" si="186"/>
        <v>-</v>
      </c>
      <c r="Y181" s="52">
        <f t="shared" si="3"/>
        <v>1</v>
      </c>
      <c r="Z181" s="52" t="s">
        <v>23</v>
      </c>
      <c r="AA181" s="53">
        <f t="shared" si="4"/>
        <v>0</v>
      </c>
      <c r="AB181" s="54">
        <f>COUNTIFS(Links!B:B,"ICSE",Links!C:C,A181,Links!AD:AD,1)</f>
        <v>0</v>
      </c>
      <c r="AC181" s="55" t="s">
        <v>36</v>
      </c>
      <c r="AD181" s="47" t="str">
        <f t="shared" si="5"/>
        <v>No</v>
      </c>
      <c r="AE181" s="56" t="s">
        <v>36</v>
      </c>
      <c r="AF181" s="57" t="s">
        <v>42</v>
      </c>
      <c r="AG181" s="57" t="s">
        <v>42</v>
      </c>
      <c r="AH181" s="57" t="s">
        <v>42</v>
      </c>
      <c r="AI181" s="49" t="str">
        <f t="shared" si="6"/>
        <v>----</v>
      </c>
      <c r="AJ181" s="58" t="str">
        <f t="shared" si="7"/>
        <v>Paper has no link and no statement</v>
      </c>
      <c r="AK181" s="59">
        <v>45034.0</v>
      </c>
      <c r="AL181" s="43" t="s">
        <v>43</v>
      </c>
      <c r="AM181" s="60" t="str">
        <f t="shared" si="8"/>
        <v>[IP1751]</v>
      </c>
    </row>
    <row r="182" ht="67.5" customHeight="1">
      <c r="A182" s="61">
        <v>1752.0</v>
      </c>
      <c r="B182" s="22" t="s">
        <v>465</v>
      </c>
      <c r="C182" s="23">
        <v>2015.0</v>
      </c>
      <c r="D182" s="24" t="s">
        <v>35</v>
      </c>
      <c r="E182" s="25" t="s">
        <v>36</v>
      </c>
      <c r="F182" s="25" t="s">
        <v>36</v>
      </c>
      <c r="G182" s="25" t="s">
        <v>36</v>
      </c>
      <c r="H182" s="25" t="s">
        <v>36</v>
      </c>
      <c r="I182" s="25" t="s">
        <v>36</v>
      </c>
      <c r="J182" s="26" t="s">
        <v>36</v>
      </c>
      <c r="K182" s="27" t="s">
        <v>37</v>
      </c>
      <c r="L182" s="28" t="s">
        <v>37</v>
      </c>
      <c r="M182" s="28" t="s">
        <v>35</v>
      </c>
      <c r="N182" s="28" t="s">
        <v>35</v>
      </c>
      <c r="O182" s="28" t="s">
        <v>35</v>
      </c>
      <c r="P182" s="28" t="s">
        <v>35</v>
      </c>
      <c r="Q182" s="28" t="s">
        <v>35</v>
      </c>
      <c r="R182" s="28" t="s">
        <v>37</v>
      </c>
      <c r="S182" s="29" t="s">
        <v>466</v>
      </c>
      <c r="T182" s="65" t="s">
        <v>467</v>
      </c>
      <c r="U182" s="31" t="s">
        <v>467</v>
      </c>
      <c r="V182" s="32">
        <f t="shared" ref="V182:X182" si="187">IF(lenb(SUBSTITUTE($Z182,V$1&amp;" (1)",""))&lt;lenb($Z182),1,IF(lenb(SUBSTITUTE($Z182,V$1&amp;" (2)",""))&lt;lenb($Z182),2,IF(lenb(SUBSTITUTE($Z182,V$1&amp;" (3)",""))&lt;lenb($Z182),3,IF(lenb(SUBSTITUTE($Z182,V$1&amp;" (4)",""))&lt;lenb($Z182),4,IF(lenb(SUBSTITUTE($Z182,V$1&amp;" (5)",""))&lt;lenb($Z182),5,IF(lenb(SUBSTITUTE($Z182,V$1&amp;" (6)",""))&lt;lenb($Z182),6,IF(lenb(SUBSTITUTE($Z182,V$1&amp;" (7)",""))&lt;lenb($Z182),1,IF(lenb(SUBSTITUTE($Z182,V$1&amp;" (8)",""))&lt;lenb($Z182),8,IF(lenb(SUBSTITUTE($Z182,V$1&amp;" (9)",""))&lt;lenb($Z182),9,IF(lenb(SUBSTITUTE($Z182,V$1&amp;" (10)",""))&lt;lenb($Z182),10,IF(lenb(SUBSTITUTE($Z182,V$1,""))&lt;lenb($Z182),"ERROR",IF($Z182=$Y$1,"-",0))))))))))))</f>
        <v>0</v>
      </c>
      <c r="W182" s="32">
        <f t="shared" si="187"/>
        <v>1</v>
      </c>
      <c r="X182" s="32">
        <f t="shared" si="187"/>
        <v>0</v>
      </c>
      <c r="Y182" s="32" t="str">
        <f t="shared" si="3"/>
        <v>-</v>
      </c>
      <c r="Z182" s="32" t="s">
        <v>47</v>
      </c>
      <c r="AA182" s="33">
        <f t="shared" si="4"/>
        <v>1</v>
      </c>
      <c r="AB182" s="34">
        <f>COUNTIFS(Links!B:B,"ICSE",Links!C:C,A182,Links!AD:AD,1)</f>
        <v>1</v>
      </c>
      <c r="AC182" s="35" t="s">
        <v>35</v>
      </c>
      <c r="AD182" s="27" t="str">
        <f t="shared" si="5"/>
        <v>No</v>
      </c>
      <c r="AE182" s="36" t="s">
        <v>36</v>
      </c>
      <c r="AF182" s="37" t="s">
        <v>42</v>
      </c>
      <c r="AG182" s="37" t="s">
        <v>42</v>
      </c>
      <c r="AH182" s="37" t="s">
        <v>42</v>
      </c>
      <c r="AI182" s="29" t="str">
        <f t="shared" si="6"/>
        <v>----</v>
      </c>
      <c r="AJ182" s="38" t="str">
        <f t="shared" si="7"/>
        <v>Paper has link but no statement</v>
      </c>
      <c r="AK182" s="39">
        <v>45034.0</v>
      </c>
      <c r="AL182" s="23" t="s">
        <v>43</v>
      </c>
      <c r="AM182" s="40" t="str">
        <f t="shared" si="8"/>
        <v>[IP1752]</v>
      </c>
    </row>
    <row r="183" ht="67.5" customHeight="1">
      <c r="A183" s="41">
        <v>1753.0</v>
      </c>
      <c r="B183" s="42" t="s">
        <v>468</v>
      </c>
      <c r="C183" s="43">
        <v>2015.0</v>
      </c>
      <c r="D183" s="44" t="s">
        <v>35</v>
      </c>
      <c r="E183" s="45" t="s">
        <v>36</v>
      </c>
      <c r="F183" s="45" t="s">
        <v>36</v>
      </c>
      <c r="G183" s="45" t="s">
        <v>36</v>
      </c>
      <c r="H183" s="45" t="s">
        <v>36</v>
      </c>
      <c r="I183" s="45" t="s">
        <v>36</v>
      </c>
      <c r="J183" s="46" t="s">
        <v>36</v>
      </c>
      <c r="K183" s="47" t="s">
        <v>35</v>
      </c>
      <c r="L183" s="48" t="s">
        <v>36</v>
      </c>
      <c r="M183" s="48" t="s">
        <v>36</v>
      </c>
      <c r="N183" s="48" t="s">
        <v>36</v>
      </c>
      <c r="O183" s="48" t="s">
        <v>36</v>
      </c>
      <c r="P183" s="48" t="s">
        <v>36</v>
      </c>
      <c r="Q183" s="48" t="s">
        <v>36</v>
      </c>
      <c r="R183" s="48" t="s">
        <v>36</v>
      </c>
      <c r="S183" s="49" t="s">
        <v>36</v>
      </c>
      <c r="T183" s="64" t="s">
        <v>36</v>
      </c>
      <c r="U183" s="51" t="s">
        <v>36</v>
      </c>
      <c r="V183" s="52" t="str">
        <f t="shared" ref="V183:X183" si="188">IF(lenb(SUBSTITUTE($Z183,V$1&amp;" (1)",""))&lt;lenb($Z183),1,IF(lenb(SUBSTITUTE($Z183,V$1&amp;" (2)",""))&lt;lenb($Z183),2,IF(lenb(SUBSTITUTE($Z183,V$1&amp;" (3)",""))&lt;lenb($Z183),3,IF(lenb(SUBSTITUTE($Z183,V$1&amp;" (4)",""))&lt;lenb($Z183),4,IF(lenb(SUBSTITUTE($Z183,V$1&amp;" (5)",""))&lt;lenb($Z183),5,IF(lenb(SUBSTITUTE($Z183,V$1&amp;" (6)",""))&lt;lenb($Z183),6,IF(lenb(SUBSTITUTE($Z183,V$1&amp;" (7)",""))&lt;lenb($Z183),1,IF(lenb(SUBSTITUTE($Z183,V$1&amp;" (8)",""))&lt;lenb($Z183),8,IF(lenb(SUBSTITUTE($Z183,V$1&amp;" (9)",""))&lt;lenb($Z183),9,IF(lenb(SUBSTITUTE($Z183,V$1&amp;" (10)",""))&lt;lenb($Z183),10,IF(lenb(SUBSTITUTE($Z183,V$1,""))&lt;lenb($Z183),"ERROR",IF($Z183=$Y$1,"-",0))))))))))))</f>
        <v>-</v>
      </c>
      <c r="W183" s="52" t="str">
        <f t="shared" si="188"/>
        <v>-</v>
      </c>
      <c r="X183" s="52" t="str">
        <f t="shared" si="188"/>
        <v>-</v>
      </c>
      <c r="Y183" s="52">
        <f t="shared" si="3"/>
        <v>1</v>
      </c>
      <c r="Z183" s="52" t="s">
        <v>23</v>
      </c>
      <c r="AA183" s="53">
        <f t="shared" si="4"/>
        <v>0</v>
      </c>
      <c r="AB183" s="54">
        <f>COUNTIFS(Links!B:B,"ICSE",Links!C:C,A183,Links!AD:AD,1)</f>
        <v>0</v>
      </c>
      <c r="AC183" s="55" t="s">
        <v>36</v>
      </c>
      <c r="AD183" s="47" t="str">
        <f t="shared" si="5"/>
        <v>No</v>
      </c>
      <c r="AE183" s="56" t="s">
        <v>36</v>
      </c>
      <c r="AF183" s="57" t="s">
        <v>42</v>
      </c>
      <c r="AG183" s="57" t="s">
        <v>42</v>
      </c>
      <c r="AH183" s="57" t="s">
        <v>42</v>
      </c>
      <c r="AI183" s="49" t="str">
        <f t="shared" si="6"/>
        <v>----</v>
      </c>
      <c r="AJ183" s="58" t="str">
        <f t="shared" si="7"/>
        <v>Paper has no link and no statement</v>
      </c>
      <c r="AK183" s="59">
        <v>45034.0</v>
      </c>
      <c r="AL183" s="43" t="s">
        <v>43</v>
      </c>
      <c r="AM183" s="60" t="str">
        <f t="shared" si="8"/>
        <v>[IP1753]</v>
      </c>
    </row>
    <row r="184" ht="67.5" customHeight="1">
      <c r="A184" s="61">
        <v>1506.0</v>
      </c>
      <c r="B184" s="22" t="s">
        <v>469</v>
      </c>
      <c r="C184" s="23">
        <v>2016.0</v>
      </c>
      <c r="D184" s="24" t="s">
        <v>35</v>
      </c>
      <c r="E184" s="25" t="s">
        <v>36</v>
      </c>
      <c r="F184" s="25" t="s">
        <v>36</v>
      </c>
      <c r="G184" s="25" t="s">
        <v>36</v>
      </c>
      <c r="H184" s="25" t="s">
        <v>36</v>
      </c>
      <c r="I184" s="25" t="s">
        <v>36</v>
      </c>
      <c r="J184" s="26" t="s">
        <v>36</v>
      </c>
      <c r="K184" s="27" t="s">
        <v>35</v>
      </c>
      <c r="L184" s="28" t="s">
        <v>36</v>
      </c>
      <c r="M184" s="28" t="s">
        <v>36</v>
      </c>
      <c r="N184" s="28" t="s">
        <v>36</v>
      </c>
      <c r="O184" s="28" t="s">
        <v>36</v>
      </c>
      <c r="P184" s="28" t="s">
        <v>36</v>
      </c>
      <c r="Q184" s="28" t="s">
        <v>36</v>
      </c>
      <c r="R184" s="28" t="s">
        <v>36</v>
      </c>
      <c r="S184" s="29" t="s">
        <v>36</v>
      </c>
      <c r="T184" s="30" t="s">
        <v>36</v>
      </c>
      <c r="U184" s="31" t="s">
        <v>36</v>
      </c>
      <c r="V184" s="32" t="str">
        <f t="shared" ref="V184:X184" si="189">IF(lenb(SUBSTITUTE($Z184,V$1&amp;" (1)",""))&lt;lenb($Z184),1,IF(lenb(SUBSTITUTE($Z184,V$1&amp;" (2)",""))&lt;lenb($Z184),2,IF(lenb(SUBSTITUTE($Z184,V$1&amp;" (3)",""))&lt;lenb($Z184),3,IF(lenb(SUBSTITUTE($Z184,V$1&amp;" (4)",""))&lt;lenb($Z184),4,IF(lenb(SUBSTITUTE($Z184,V$1&amp;" (5)",""))&lt;lenb($Z184),5,IF(lenb(SUBSTITUTE($Z184,V$1&amp;" (6)",""))&lt;lenb($Z184),6,IF(lenb(SUBSTITUTE($Z184,V$1&amp;" (7)",""))&lt;lenb($Z184),1,IF(lenb(SUBSTITUTE($Z184,V$1&amp;" (8)",""))&lt;lenb($Z184),8,IF(lenb(SUBSTITUTE($Z184,V$1&amp;" (9)",""))&lt;lenb($Z184),9,IF(lenb(SUBSTITUTE($Z184,V$1&amp;" (10)",""))&lt;lenb($Z184),10,IF(lenb(SUBSTITUTE($Z184,V$1,""))&lt;lenb($Z184),"ERROR",IF($Z184=$Y$1,"-",0))))))))))))</f>
        <v>-</v>
      </c>
      <c r="W184" s="32" t="str">
        <f t="shared" si="189"/>
        <v>-</v>
      </c>
      <c r="X184" s="32" t="str">
        <f t="shared" si="189"/>
        <v>-</v>
      </c>
      <c r="Y184" s="32">
        <f t="shared" si="3"/>
        <v>1</v>
      </c>
      <c r="Z184" s="32" t="s">
        <v>23</v>
      </c>
      <c r="AA184" s="33">
        <f t="shared" si="4"/>
        <v>0</v>
      </c>
      <c r="AB184" s="34">
        <f>COUNTIFS(Links!B:B,"ICSE",Links!C:C,A184,Links!AD:AD,1)</f>
        <v>0</v>
      </c>
      <c r="AC184" s="35" t="s">
        <v>35</v>
      </c>
      <c r="AD184" s="27" t="str">
        <f t="shared" si="5"/>
        <v>Yes</v>
      </c>
      <c r="AE184" s="36" t="s">
        <v>470</v>
      </c>
      <c r="AF184" s="36" t="s">
        <v>146</v>
      </c>
      <c r="AG184" s="36" t="s">
        <v>281</v>
      </c>
      <c r="AH184" s="37" t="s">
        <v>42</v>
      </c>
      <c r="AI184" s="29" t="str">
        <f t="shared" si="6"/>
        <v>Future plans (—)
Barriers (Confidentiality and privacy)</v>
      </c>
      <c r="AJ184" s="38" t="str">
        <f t="shared" si="7"/>
        <v>Paper has no link but has statement</v>
      </c>
      <c r="AK184" s="39">
        <v>45034.0</v>
      </c>
      <c r="AL184" s="23" t="s">
        <v>43</v>
      </c>
      <c r="AM184" s="40" t="str">
        <f t="shared" si="8"/>
        <v>[IP1506]</v>
      </c>
    </row>
    <row r="185" ht="67.5" customHeight="1">
      <c r="A185" s="41">
        <v>1507.0</v>
      </c>
      <c r="B185" s="42" t="s">
        <v>471</v>
      </c>
      <c r="C185" s="43">
        <v>2016.0</v>
      </c>
      <c r="D185" s="44" t="s">
        <v>35</v>
      </c>
      <c r="E185" s="45" t="s">
        <v>36</v>
      </c>
      <c r="F185" s="45" t="s">
        <v>36</v>
      </c>
      <c r="G185" s="45" t="s">
        <v>36</v>
      </c>
      <c r="H185" s="45" t="s">
        <v>36</v>
      </c>
      <c r="I185" s="45" t="s">
        <v>36</v>
      </c>
      <c r="J185" s="46" t="s">
        <v>36</v>
      </c>
      <c r="K185" s="47" t="s">
        <v>37</v>
      </c>
      <c r="L185" s="48" t="s">
        <v>35</v>
      </c>
      <c r="M185" s="48" t="s">
        <v>37</v>
      </c>
      <c r="N185" s="48" t="s">
        <v>35</v>
      </c>
      <c r="O185" s="48" t="s">
        <v>35</v>
      </c>
      <c r="P185" s="48" t="s">
        <v>35</v>
      </c>
      <c r="Q185" s="48" t="s">
        <v>35</v>
      </c>
      <c r="R185" s="48" t="s">
        <v>37</v>
      </c>
      <c r="S185" s="49" t="s">
        <v>472</v>
      </c>
      <c r="T185" s="50" t="s">
        <v>473</v>
      </c>
      <c r="U185" s="51" t="s">
        <v>473</v>
      </c>
      <c r="V185" s="52">
        <f t="shared" ref="V185:X185" si="190">IF(lenb(SUBSTITUTE($Z185,V$1&amp;" (1)",""))&lt;lenb($Z185),1,IF(lenb(SUBSTITUTE($Z185,V$1&amp;" (2)",""))&lt;lenb($Z185),2,IF(lenb(SUBSTITUTE($Z185,V$1&amp;" (3)",""))&lt;lenb($Z185),3,IF(lenb(SUBSTITUTE($Z185,V$1&amp;" (4)",""))&lt;lenb($Z185),4,IF(lenb(SUBSTITUTE($Z185,V$1&amp;" (5)",""))&lt;lenb($Z185),5,IF(lenb(SUBSTITUTE($Z185,V$1&amp;" (6)",""))&lt;lenb($Z185),6,IF(lenb(SUBSTITUTE($Z185,V$1&amp;" (7)",""))&lt;lenb($Z185),1,IF(lenb(SUBSTITUTE($Z185,V$1&amp;" (8)",""))&lt;lenb($Z185),8,IF(lenb(SUBSTITUTE($Z185,V$1&amp;" (9)",""))&lt;lenb($Z185),9,IF(lenb(SUBSTITUTE($Z185,V$1&amp;" (10)",""))&lt;lenb($Z185),10,IF(lenb(SUBSTITUTE($Z185,V$1,""))&lt;lenb($Z185),"ERROR",IF($Z185=$Y$1,"-",0))))))))))))</f>
        <v>0</v>
      </c>
      <c r="W185" s="52">
        <f t="shared" si="190"/>
        <v>1</v>
      </c>
      <c r="X185" s="52">
        <f t="shared" si="190"/>
        <v>0</v>
      </c>
      <c r="Y185" s="52" t="str">
        <f t="shared" si="3"/>
        <v>-</v>
      </c>
      <c r="Z185" s="52" t="s">
        <v>47</v>
      </c>
      <c r="AA185" s="53">
        <f t="shared" si="4"/>
        <v>1</v>
      </c>
      <c r="AB185" s="54">
        <f>COUNTIFS(Links!B:B,"ICSE",Links!C:C,A185,Links!AD:AD,1)</f>
        <v>1</v>
      </c>
      <c r="AC185" s="55" t="s">
        <v>35</v>
      </c>
      <c r="AD185" s="47" t="str">
        <f t="shared" si="5"/>
        <v>No</v>
      </c>
      <c r="AE185" s="56" t="s">
        <v>36</v>
      </c>
      <c r="AF185" s="57" t="s">
        <v>42</v>
      </c>
      <c r="AG185" s="57" t="s">
        <v>42</v>
      </c>
      <c r="AH185" s="57" t="s">
        <v>42</v>
      </c>
      <c r="AI185" s="49" t="str">
        <f t="shared" si="6"/>
        <v>----</v>
      </c>
      <c r="AJ185" s="58" t="str">
        <f t="shared" si="7"/>
        <v>Paper has link but no statement</v>
      </c>
      <c r="AK185" s="59">
        <v>45034.0</v>
      </c>
      <c r="AL185" s="43" t="s">
        <v>43</v>
      </c>
      <c r="AM185" s="60" t="str">
        <f t="shared" si="8"/>
        <v>[IP1507]</v>
      </c>
    </row>
    <row r="186" ht="67.5" customHeight="1">
      <c r="A186" s="61">
        <v>1508.0</v>
      </c>
      <c r="B186" s="22" t="s">
        <v>474</v>
      </c>
      <c r="C186" s="23">
        <v>2016.0</v>
      </c>
      <c r="D186" s="24" t="s">
        <v>35</v>
      </c>
      <c r="E186" s="25" t="s">
        <v>36</v>
      </c>
      <c r="F186" s="25" t="s">
        <v>36</v>
      </c>
      <c r="G186" s="25" t="s">
        <v>36</v>
      </c>
      <c r="H186" s="25" t="s">
        <v>36</v>
      </c>
      <c r="I186" s="25" t="s">
        <v>36</v>
      </c>
      <c r="J186" s="26" t="s">
        <v>36</v>
      </c>
      <c r="K186" s="27" t="s">
        <v>37</v>
      </c>
      <c r="L186" s="28" t="s">
        <v>37</v>
      </c>
      <c r="M186" s="28" t="s">
        <v>35</v>
      </c>
      <c r="N186" s="28" t="s">
        <v>35</v>
      </c>
      <c r="O186" s="28" t="s">
        <v>35</v>
      </c>
      <c r="P186" s="28" t="s">
        <v>35</v>
      </c>
      <c r="Q186" s="28" t="s">
        <v>35</v>
      </c>
      <c r="R186" s="28" t="s">
        <v>37</v>
      </c>
      <c r="S186" s="29" t="s">
        <v>475</v>
      </c>
      <c r="T186" s="30" t="s">
        <v>476</v>
      </c>
      <c r="U186" s="31" t="s">
        <v>476</v>
      </c>
      <c r="V186" s="32">
        <f t="shared" ref="V186:X186" si="191">IF(lenb(SUBSTITUTE($Z186,V$1&amp;" (1)",""))&lt;lenb($Z186),1,IF(lenb(SUBSTITUTE($Z186,V$1&amp;" (2)",""))&lt;lenb($Z186),2,IF(lenb(SUBSTITUTE($Z186,V$1&amp;" (3)",""))&lt;lenb($Z186),3,IF(lenb(SUBSTITUTE($Z186,V$1&amp;" (4)",""))&lt;lenb($Z186),4,IF(lenb(SUBSTITUTE($Z186,V$1&amp;" (5)",""))&lt;lenb($Z186),5,IF(lenb(SUBSTITUTE($Z186,V$1&amp;" (6)",""))&lt;lenb($Z186),6,IF(lenb(SUBSTITUTE($Z186,V$1&amp;" (7)",""))&lt;lenb($Z186),1,IF(lenb(SUBSTITUTE($Z186,V$1&amp;" (8)",""))&lt;lenb($Z186),8,IF(lenb(SUBSTITUTE($Z186,V$1&amp;" (9)",""))&lt;lenb($Z186),9,IF(lenb(SUBSTITUTE($Z186,V$1&amp;" (10)",""))&lt;lenb($Z186),10,IF(lenb(SUBSTITUTE($Z186,V$1,""))&lt;lenb($Z186),"ERROR",IF($Z186=$Y$1,"-",0))))))))))))</f>
        <v>0</v>
      </c>
      <c r="W186" s="32">
        <f t="shared" si="191"/>
        <v>1</v>
      </c>
      <c r="X186" s="32">
        <f t="shared" si="191"/>
        <v>0</v>
      </c>
      <c r="Y186" s="32" t="str">
        <f t="shared" si="3"/>
        <v>-</v>
      </c>
      <c r="Z186" s="32" t="s">
        <v>47</v>
      </c>
      <c r="AA186" s="33">
        <f t="shared" si="4"/>
        <v>1</v>
      </c>
      <c r="AB186" s="34">
        <f>COUNTIFS(Links!B:B,"ICSE",Links!C:C,A186,Links!AD:AD,1)</f>
        <v>1</v>
      </c>
      <c r="AC186" s="35" t="s">
        <v>35</v>
      </c>
      <c r="AD186" s="27" t="str">
        <f t="shared" si="5"/>
        <v>No</v>
      </c>
      <c r="AE186" s="36" t="s">
        <v>36</v>
      </c>
      <c r="AF186" s="37" t="s">
        <v>42</v>
      </c>
      <c r="AG186" s="37" t="s">
        <v>42</v>
      </c>
      <c r="AH186" s="37" t="s">
        <v>42</v>
      </c>
      <c r="AI186" s="29" t="str">
        <f t="shared" si="6"/>
        <v>----</v>
      </c>
      <c r="AJ186" s="38" t="str">
        <f t="shared" si="7"/>
        <v>Paper has link but no statement</v>
      </c>
      <c r="AK186" s="39">
        <v>45034.0</v>
      </c>
      <c r="AL186" s="23" t="s">
        <v>43</v>
      </c>
      <c r="AM186" s="40" t="str">
        <f t="shared" si="8"/>
        <v>[IP1508]</v>
      </c>
    </row>
    <row r="187" ht="67.5" customHeight="1">
      <c r="A187" s="41">
        <v>1509.0</v>
      </c>
      <c r="B187" s="42" t="s">
        <v>477</v>
      </c>
      <c r="C187" s="43">
        <v>2016.0</v>
      </c>
      <c r="D187" s="44" t="s">
        <v>35</v>
      </c>
      <c r="E187" s="45" t="s">
        <v>36</v>
      </c>
      <c r="F187" s="45" t="s">
        <v>36</v>
      </c>
      <c r="G187" s="45" t="s">
        <v>36</v>
      </c>
      <c r="H187" s="45" t="s">
        <v>36</v>
      </c>
      <c r="I187" s="45" t="s">
        <v>36</v>
      </c>
      <c r="J187" s="46" t="s">
        <v>36</v>
      </c>
      <c r="K187" s="47" t="s">
        <v>37</v>
      </c>
      <c r="L187" s="48" t="s">
        <v>35</v>
      </c>
      <c r="M187" s="48" t="s">
        <v>35</v>
      </c>
      <c r="N187" s="48" t="s">
        <v>35</v>
      </c>
      <c r="O187" s="48" t="s">
        <v>37</v>
      </c>
      <c r="P187" s="48" t="s">
        <v>35</v>
      </c>
      <c r="Q187" s="48" t="s">
        <v>35</v>
      </c>
      <c r="R187" s="48" t="s">
        <v>35</v>
      </c>
      <c r="S187" s="49" t="s">
        <v>478</v>
      </c>
      <c r="T187" s="50" t="s">
        <v>479</v>
      </c>
      <c r="U187" s="51" t="s">
        <v>479</v>
      </c>
      <c r="V187" s="52">
        <f t="shared" ref="V187:X187" si="192">IF(lenb(SUBSTITUTE($Z187,V$1&amp;" (1)",""))&lt;lenb($Z187),1,IF(lenb(SUBSTITUTE($Z187,V$1&amp;" (2)",""))&lt;lenb($Z187),2,IF(lenb(SUBSTITUTE($Z187,V$1&amp;" (3)",""))&lt;lenb($Z187),3,IF(lenb(SUBSTITUTE($Z187,V$1&amp;" (4)",""))&lt;lenb($Z187),4,IF(lenb(SUBSTITUTE($Z187,V$1&amp;" (5)",""))&lt;lenb($Z187),5,IF(lenb(SUBSTITUTE($Z187,V$1&amp;" (6)",""))&lt;lenb($Z187),6,IF(lenb(SUBSTITUTE($Z187,V$1&amp;" (7)",""))&lt;lenb($Z187),1,IF(lenb(SUBSTITUTE($Z187,V$1&amp;" (8)",""))&lt;lenb($Z187),8,IF(lenb(SUBSTITUTE($Z187,V$1&amp;" (9)",""))&lt;lenb($Z187),9,IF(lenb(SUBSTITUTE($Z187,V$1&amp;" (10)",""))&lt;lenb($Z187),10,IF(lenb(SUBSTITUTE($Z187,V$1,""))&lt;lenb($Z187),"ERROR",IF($Z187=$Y$1,"-",0))))))))))))</f>
        <v>0</v>
      </c>
      <c r="W187" s="52">
        <f t="shared" si="192"/>
        <v>1</v>
      </c>
      <c r="X187" s="52">
        <f t="shared" si="192"/>
        <v>0</v>
      </c>
      <c r="Y187" s="52" t="str">
        <f t="shared" si="3"/>
        <v>-</v>
      </c>
      <c r="Z187" s="52" t="s">
        <v>47</v>
      </c>
      <c r="AA187" s="53">
        <f t="shared" si="4"/>
        <v>1</v>
      </c>
      <c r="AB187" s="54">
        <f>COUNTIFS(Links!B:B,"ICSE",Links!C:C,A187,Links!AD:AD,1)</f>
        <v>0</v>
      </c>
      <c r="AC187" s="55" t="s">
        <v>35</v>
      </c>
      <c r="AD187" s="47" t="str">
        <f t="shared" si="5"/>
        <v>No</v>
      </c>
      <c r="AE187" s="56" t="s">
        <v>36</v>
      </c>
      <c r="AF187" s="57" t="s">
        <v>42</v>
      </c>
      <c r="AG187" s="57" t="s">
        <v>42</v>
      </c>
      <c r="AH187" s="57" t="s">
        <v>42</v>
      </c>
      <c r="AI187" s="49" t="str">
        <f t="shared" si="6"/>
        <v>----</v>
      </c>
      <c r="AJ187" s="58" t="str">
        <f t="shared" si="7"/>
        <v>Paper has link but no statement</v>
      </c>
      <c r="AK187" s="59">
        <v>45034.0</v>
      </c>
      <c r="AL187" s="43" t="s">
        <v>43</v>
      </c>
      <c r="AM187" s="60" t="str">
        <f t="shared" si="8"/>
        <v>[IP1509]</v>
      </c>
    </row>
    <row r="188" ht="67.5" customHeight="1">
      <c r="A188" s="61">
        <v>1510.0</v>
      </c>
      <c r="B188" s="22" t="s">
        <v>480</v>
      </c>
      <c r="C188" s="23">
        <v>2016.0</v>
      </c>
      <c r="D188" s="24" t="s">
        <v>35</v>
      </c>
      <c r="E188" s="25" t="s">
        <v>36</v>
      </c>
      <c r="F188" s="25" t="s">
        <v>36</v>
      </c>
      <c r="G188" s="25" t="s">
        <v>36</v>
      </c>
      <c r="H188" s="25" t="s">
        <v>36</v>
      </c>
      <c r="I188" s="25" t="s">
        <v>36</v>
      </c>
      <c r="J188" s="26" t="s">
        <v>36</v>
      </c>
      <c r="K188" s="27" t="s">
        <v>37</v>
      </c>
      <c r="L188" s="28" t="s">
        <v>35</v>
      </c>
      <c r="M188" s="28" t="s">
        <v>37</v>
      </c>
      <c r="N188" s="28" t="s">
        <v>35</v>
      </c>
      <c r="O188" s="28" t="s">
        <v>35</v>
      </c>
      <c r="P188" s="28" t="s">
        <v>35</v>
      </c>
      <c r="Q188" s="28" t="s">
        <v>35</v>
      </c>
      <c r="R188" s="28" t="s">
        <v>37</v>
      </c>
      <c r="S188" s="29" t="s">
        <v>481</v>
      </c>
      <c r="T188" s="30" t="s">
        <v>482</v>
      </c>
      <c r="U188" s="31" t="s">
        <v>482</v>
      </c>
      <c r="V188" s="32">
        <f t="shared" ref="V188:X188" si="193">IF(lenb(SUBSTITUTE($Z188,V$1&amp;" (1)",""))&lt;lenb($Z188),1,IF(lenb(SUBSTITUTE($Z188,V$1&amp;" (2)",""))&lt;lenb($Z188),2,IF(lenb(SUBSTITUTE($Z188,V$1&amp;" (3)",""))&lt;lenb($Z188),3,IF(lenb(SUBSTITUTE($Z188,V$1&amp;" (4)",""))&lt;lenb($Z188),4,IF(lenb(SUBSTITUTE($Z188,V$1&amp;" (5)",""))&lt;lenb($Z188),5,IF(lenb(SUBSTITUTE($Z188,V$1&amp;" (6)",""))&lt;lenb($Z188),6,IF(lenb(SUBSTITUTE($Z188,V$1&amp;" (7)",""))&lt;lenb($Z188),1,IF(lenb(SUBSTITUTE($Z188,V$1&amp;" (8)",""))&lt;lenb($Z188),8,IF(lenb(SUBSTITUTE($Z188,V$1&amp;" (9)",""))&lt;lenb($Z188),9,IF(lenb(SUBSTITUTE($Z188,V$1&amp;" (10)",""))&lt;lenb($Z188),10,IF(lenb(SUBSTITUTE($Z188,V$1,""))&lt;lenb($Z188),"ERROR",IF($Z188=$Y$1,"-",0))))))))))))</f>
        <v>0</v>
      </c>
      <c r="W188" s="32">
        <f t="shared" si="193"/>
        <v>1</v>
      </c>
      <c r="X188" s="32">
        <f t="shared" si="193"/>
        <v>0</v>
      </c>
      <c r="Y188" s="32" t="str">
        <f t="shared" si="3"/>
        <v>-</v>
      </c>
      <c r="Z188" s="32" t="s">
        <v>47</v>
      </c>
      <c r="AA188" s="33">
        <f t="shared" si="4"/>
        <v>1</v>
      </c>
      <c r="AB188" s="34">
        <f>COUNTIFS(Links!B:B,"ICSE",Links!C:C,A188,Links!AD:AD,1)</f>
        <v>1</v>
      </c>
      <c r="AC188" s="35" t="s">
        <v>35</v>
      </c>
      <c r="AD188" s="27" t="str">
        <f t="shared" si="5"/>
        <v>No</v>
      </c>
      <c r="AE188" s="36" t="s">
        <v>36</v>
      </c>
      <c r="AF188" s="37" t="s">
        <v>42</v>
      </c>
      <c r="AG188" s="37" t="s">
        <v>42</v>
      </c>
      <c r="AH188" s="37" t="s">
        <v>42</v>
      </c>
      <c r="AI188" s="29" t="str">
        <f t="shared" si="6"/>
        <v>----</v>
      </c>
      <c r="AJ188" s="38" t="str">
        <f t="shared" si="7"/>
        <v>Paper has link but no statement</v>
      </c>
      <c r="AK188" s="39">
        <v>45034.0</v>
      </c>
      <c r="AL188" s="23" t="s">
        <v>43</v>
      </c>
      <c r="AM188" s="40" t="str">
        <f t="shared" si="8"/>
        <v>[IP1510]</v>
      </c>
    </row>
    <row r="189" ht="67.5" customHeight="1">
      <c r="A189" s="41">
        <v>1511.0</v>
      </c>
      <c r="B189" s="42" t="s">
        <v>483</v>
      </c>
      <c r="C189" s="43">
        <v>2016.0</v>
      </c>
      <c r="D189" s="44" t="s">
        <v>35</v>
      </c>
      <c r="E189" s="45" t="s">
        <v>36</v>
      </c>
      <c r="F189" s="45" t="s">
        <v>36</v>
      </c>
      <c r="G189" s="45" t="s">
        <v>36</v>
      </c>
      <c r="H189" s="45" t="s">
        <v>36</v>
      </c>
      <c r="I189" s="45" t="s">
        <v>36</v>
      </c>
      <c r="J189" s="46" t="s">
        <v>36</v>
      </c>
      <c r="K189" s="47" t="s">
        <v>37</v>
      </c>
      <c r="L189" s="48" t="s">
        <v>37</v>
      </c>
      <c r="M189" s="48" t="s">
        <v>35</v>
      </c>
      <c r="N189" s="48" t="s">
        <v>37</v>
      </c>
      <c r="O189" s="48" t="s">
        <v>35</v>
      </c>
      <c r="P189" s="48" t="s">
        <v>35</v>
      </c>
      <c r="Q189" s="48" t="s">
        <v>35</v>
      </c>
      <c r="R189" s="48" t="s">
        <v>37</v>
      </c>
      <c r="S189" s="49" t="s">
        <v>484</v>
      </c>
      <c r="T189" s="50" t="s">
        <v>485</v>
      </c>
      <c r="U189" s="51" t="s">
        <v>485</v>
      </c>
      <c r="V189" s="52">
        <f t="shared" ref="V189:X189" si="194">IF(lenb(SUBSTITUTE($Z189,V$1&amp;" (1)",""))&lt;lenb($Z189),1,IF(lenb(SUBSTITUTE($Z189,V$1&amp;" (2)",""))&lt;lenb($Z189),2,IF(lenb(SUBSTITUTE($Z189,V$1&amp;" (3)",""))&lt;lenb($Z189),3,IF(lenb(SUBSTITUTE($Z189,V$1&amp;" (4)",""))&lt;lenb($Z189),4,IF(lenb(SUBSTITUTE($Z189,V$1&amp;" (5)",""))&lt;lenb($Z189),5,IF(lenb(SUBSTITUTE($Z189,V$1&amp;" (6)",""))&lt;lenb($Z189),6,IF(lenb(SUBSTITUTE($Z189,V$1&amp;" (7)",""))&lt;lenb($Z189),1,IF(lenb(SUBSTITUTE($Z189,V$1&amp;" (8)",""))&lt;lenb($Z189),8,IF(lenb(SUBSTITUTE($Z189,V$1&amp;" (9)",""))&lt;lenb($Z189),9,IF(lenb(SUBSTITUTE($Z189,V$1&amp;" (10)",""))&lt;lenb($Z189),10,IF(lenb(SUBSTITUTE($Z189,V$1,""))&lt;lenb($Z189),"ERROR",IF($Z189=$Y$1,"-",0))))))))))))</f>
        <v>1</v>
      </c>
      <c r="W189" s="52">
        <f t="shared" si="194"/>
        <v>0</v>
      </c>
      <c r="X189" s="52">
        <f t="shared" si="194"/>
        <v>0</v>
      </c>
      <c r="Y189" s="52" t="str">
        <f t="shared" si="3"/>
        <v>-</v>
      </c>
      <c r="Z189" s="52" t="s">
        <v>62</v>
      </c>
      <c r="AA189" s="53">
        <f t="shared" si="4"/>
        <v>1</v>
      </c>
      <c r="AB189" s="54">
        <f>COUNTIFS(Links!B:B,"ICSE",Links!C:C,A189,Links!AD:AD,1)</f>
        <v>0</v>
      </c>
      <c r="AC189" s="55" t="s">
        <v>35</v>
      </c>
      <c r="AD189" s="47" t="str">
        <f t="shared" si="5"/>
        <v>No</v>
      </c>
      <c r="AE189" s="56" t="s">
        <v>36</v>
      </c>
      <c r="AF189" s="57" t="s">
        <v>42</v>
      </c>
      <c r="AG189" s="57" t="s">
        <v>42</v>
      </c>
      <c r="AH189" s="57" t="s">
        <v>42</v>
      </c>
      <c r="AI189" s="49" t="str">
        <f t="shared" si="6"/>
        <v>----</v>
      </c>
      <c r="AJ189" s="58" t="str">
        <f t="shared" si="7"/>
        <v>Paper has link but no statement</v>
      </c>
      <c r="AK189" s="59">
        <v>45034.0</v>
      </c>
      <c r="AL189" s="43" t="s">
        <v>43</v>
      </c>
      <c r="AM189" s="60" t="str">
        <f t="shared" si="8"/>
        <v>[IP1511]</v>
      </c>
    </row>
    <row r="190" ht="67.5" customHeight="1">
      <c r="A190" s="61">
        <v>1512.0</v>
      </c>
      <c r="B190" s="22" t="s">
        <v>486</v>
      </c>
      <c r="C190" s="23">
        <v>2016.0</v>
      </c>
      <c r="D190" s="24" t="s">
        <v>35</v>
      </c>
      <c r="E190" s="25" t="s">
        <v>36</v>
      </c>
      <c r="F190" s="25" t="s">
        <v>36</v>
      </c>
      <c r="G190" s="25" t="s">
        <v>36</v>
      </c>
      <c r="H190" s="25" t="s">
        <v>36</v>
      </c>
      <c r="I190" s="25" t="s">
        <v>36</v>
      </c>
      <c r="J190" s="26" t="s">
        <v>36</v>
      </c>
      <c r="K190" s="27" t="s">
        <v>37</v>
      </c>
      <c r="L190" s="28" t="s">
        <v>37</v>
      </c>
      <c r="M190" s="28" t="s">
        <v>35</v>
      </c>
      <c r="N190" s="28" t="s">
        <v>35</v>
      </c>
      <c r="O190" s="28" t="s">
        <v>35</v>
      </c>
      <c r="P190" s="28" t="s">
        <v>35</v>
      </c>
      <c r="Q190" s="28" t="s">
        <v>35</v>
      </c>
      <c r="R190" s="28" t="s">
        <v>37</v>
      </c>
      <c r="S190" s="29" t="s">
        <v>487</v>
      </c>
      <c r="T190" s="30" t="s">
        <v>488</v>
      </c>
      <c r="U190" s="31" t="s">
        <v>488</v>
      </c>
      <c r="V190" s="32">
        <f t="shared" ref="V190:X190" si="195">IF(lenb(SUBSTITUTE($Z190,V$1&amp;" (1)",""))&lt;lenb($Z190),1,IF(lenb(SUBSTITUTE($Z190,V$1&amp;" (2)",""))&lt;lenb($Z190),2,IF(lenb(SUBSTITUTE($Z190,V$1&amp;" (3)",""))&lt;lenb($Z190),3,IF(lenb(SUBSTITUTE($Z190,V$1&amp;" (4)",""))&lt;lenb($Z190),4,IF(lenb(SUBSTITUTE($Z190,V$1&amp;" (5)",""))&lt;lenb($Z190),5,IF(lenb(SUBSTITUTE($Z190,V$1&amp;" (6)",""))&lt;lenb($Z190),6,IF(lenb(SUBSTITUTE($Z190,V$1&amp;" (7)",""))&lt;lenb($Z190),1,IF(lenb(SUBSTITUTE($Z190,V$1&amp;" (8)",""))&lt;lenb($Z190),8,IF(lenb(SUBSTITUTE($Z190,V$1&amp;" (9)",""))&lt;lenb($Z190),9,IF(lenb(SUBSTITUTE($Z190,V$1&amp;" (10)",""))&lt;lenb($Z190),10,IF(lenb(SUBSTITUTE($Z190,V$1,""))&lt;lenb($Z190),"ERROR",IF($Z190=$Y$1,"-",0))))))))))))</f>
        <v>0</v>
      </c>
      <c r="W190" s="32">
        <f t="shared" si="195"/>
        <v>1</v>
      </c>
      <c r="X190" s="32">
        <f t="shared" si="195"/>
        <v>0</v>
      </c>
      <c r="Y190" s="32" t="str">
        <f t="shared" si="3"/>
        <v>-</v>
      </c>
      <c r="Z190" s="32" t="s">
        <v>47</v>
      </c>
      <c r="AA190" s="33">
        <f t="shared" si="4"/>
        <v>1</v>
      </c>
      <c r="AB190" s="34">
        <f>COUNTIFS(Links!B:B,"ICSE",Links!C:C,A190,Links!AD:AD,1)</f>
        <v>1</v>
      </c>
      <c r="AC190" s="35" t="s">
        <v>35</v>
      </c>
      <c r="AD190" s="27" t="str">
        <f t="shared" si="5"/>
        <v>No</v>
      </c>
      <c r="AE190" s="36" t="s">
        <v>36</v>
      </c>
      <c r="AF190" s="37" t="s">
        <v>42</v>
      </c>
      <c r="AG190" s="37" t="s">
        <v>42</v>
      </c>
      <c r="AH190" s="37" t="s">
        <v>42</v>
      </c>
      <c r="AI190" s="29" t="str">
        <f t="shared" si="6"/>
        <v>----</v>
      </c>
      <c r="AJ190" s="38" t="str">
        <f t="shared" si="7"/>
        <v>Paper has link but no statement</v>
      </c>
      <c r="AK190" s="39">
        <v>45034.0</v>
      </c>
      <c r="AL190" s="23" t="s">
        <v>43</v>
      </c>
      <c r="AM190" s="40" t="str">
        <f t="shared" si="8"/>
        <v>[IP1512]</v>
      </c>
    </row>
    <row r="191" ht="67.5" customHeight="1">
      <c r="A191" s="41">
        <v>1513.0</v>
      </c>
      <c r="B191" s="42" t="s">
        <v>489</v>
      </c>
      <c r="C191" s="43">
        <v>2016.0</v>
      </c>
      <c r="D191" s="44" t="s">
        <v>35</v>
      </c>
      <c r="E191" s="45" t="s">
        <v>36</v>
      </c>
      <c r="F191" s="45" t="s">
        <v>36</v>
      </c>
      <c r="G191" s="45" t="s">
        <v>36</v>
      </c>
      <c r="H191" s="45" t="s">
        <v>36</v>
      </c>
      <c r="I191" s="45" t="s">
        <v>36</v>
      </c>
      <c r="J191" s="46" t="s">
        <v>36</v>
      </c>
      <c r="K191" s="47" t="s">
        <v>35</v>
      </c>
      <c r="L191" s="48" t="s">
        <v>36</v>
      </c>
      <c r="M191" s="48" t="s">
        <v>36</v>
      </c>
      <c r="N191" s="48" t="s">
        <v>36</v>
      </c>
      <c r="O191" s="48" t="s">
        <v>36</v>
      </c>
      <c r="P191" s="48" t="s">
        <v>36</v>
      </c>
      <c r="Q191" s="48" t="s">
        <v>36</v>
      </c>
      <c r="R191" s="48" t="s">
        <v>36</v>
      </c>
      <c r="S191" s="49" t="s">
        <v>36</v>
      </c>
      <c r="T191" s="50" t="s">
        <v>36</v>
      </c>
      <c r="U191" s="51" t="s">
        <v>36</v>
      </c>
      <c r="V191" s="52" t="str">
        <f t="shared" ref="V191:X191" si="196">IF(lenb(SUBSTITUTE($Z191,V$1&amp;" (1)",""))&lt;lenb($Z191),1,IF(lenb(SUBSTITUTE($Z191,V$1&amp;" (2)",""))&lt;lenb($Z191),2,IF(lenb(SUBSTITUTE($Z191,V$1&amp;" (3)",""))&lt;lenb($Z191),3,IF(lenb(SUBSTITUTE($Z191,V$1&amp;" (4)",""))&lt;lenb($Z191),4,IF(lenb(SUBSTITUTE($Z191,V$1&amp;" (5)",""))&lt;lenb($Z191),5,IF(lenb(SUBSTITUTE($Z191,V$1&amp;" (6)",""))&lt;lenb($Z191),6,IF(lenb(SUBSTITUTE($Z191,V$1&amp;" (7)",""))&lt;lenb($Z191),1,IF(lenb(SUBSTITUTE($Z191,V$1&amp;" (8)",""))&lt;lenb($Z191),8,IF(lenb(SUBSTITUTE($Z191,V$1&amp;" (9)",""))&lt;lenb($Z191),9,IF(lenb(SUBSTITUTE($Z191,V$1&amp;" (10)",""))&lt;lenb($Z191),10,IF(lenb(SUBSTITUTE($Z191,V$1,""))&lt;lenb($Z191),"ERROR",IF($Z191=$Y$1,"-",0))))))))))))</f>
        <v>-</v>
      </c>
      <c r="W191" s="52" t="str">
        <f t="shared" si="196"/>
        <v>-</v>
      </c>
      <c r="X191" s="52" t="str">
        <f t="shared" si="196"/>
        <v>-</v>
      </c>
      <c r="Y191" s="52">
        <f t="shared" si="3"/>
        <v>1</v>
      </c>
      <c r="Z191" s="52" t="s">
        <v>23</v>
      </c>
      <c r="AA191" s="53">
        <f t="shared" si="4"/>
        <v>0</v>
      </c>
      <c r="AB191" s="54">
        <f>COUNTIFS(Links!B:B,"ICSE",Links!C:C,A191,Links!AD:AD,1)</f>
        <v>0</v>
      </c>
      <c r="AC191" s="55" t="s">
        <v>36</v>
      </c>
      <c r="AD191" s="47" t="str">
        <f t="shared" si="5"/>
        <v>No</v>
      </c>
      <c r="AE191" s="56" t="s">
        <v>36</v>
      </c>
      <c r="AF191" s="57" t="s">
        <v>42</v>
      </c>
      <c r="AG191" s="57" t="s">
        <v>42</v>
      </c>
      <c r="AH191" s="57" t="s">
        <v>42</v>
      </c>
      <c r="AI191" s="49" t="str">
        <f t="shared" si="6"/>
        <v>----</v>
      </c>
      <c r="AJ191" s="58" t="str">
        <f t="shared" si="7"/>
        <v>Paper has no link and no statement</v>
      </c>
      <c r="AK191" s="59">
        <v>45034.0</v>
      </c>
      <c r="AL191" s="43" t="s">
        <v>43</v>
      </c>
      <c r="AM191" s="60" t="str">
        <f t="shared" si="8"/>
        <v>[IP1513]</v>
      </c>
    </row>
    <row r="192" ht="67.5" customHeight="1">
      <c r="A192" s="61">
        <v>1514.0</v>
      </c>
      <c r="B192" s="22" t="s">
        <v>490</v>
      </c>
      <c r="C192" s="23">
        <v>2016.0</v>
      </c>
      <c r="D192" s="24" t="s">
        <v>35</v>
      </c>
      <c r="E192" s="25" t="s">
        <v>36</v>
      </c>
      <c r="F192" s="25" t="s">
        <v>36</v>
      </c>
      <c r="G192" s="25" t="s">
        <v>36</v>
      </c>
      <c r="H192" s="25" t="s">
        <v>36</v>
      </c>
      <c r="I192" s="25" t="s">
        <v>36</v>
      </c>
      <c r="J192" s="26" t="s">
        <v>36</v>
      </c>
      <c r="K192" s="27" t="s">
        <v>37</v>
      </c>
      <c r="L192" s="28" t="s">
        <v>35</v>
      </c>
      <c r="M192" s="28" t="s">
        <v>37</v>
      </c>
      <c r="N192" s="28" t="s">
        <v>35</v>
      </c>
      <c r="O192" s="28" t="s">
        <v>35</v>
      </c>
      <c r="P192" s="28" t="s">
        <v>35</v>
      </c>
      <c r="Q192" s="28" t="s">
        <v>35</v>
      </c>
      <c r="R192" s="28" t="s">
        <v>37</v>
      </c>
      <c r="S192" s="29" t="s">
        <v>491</v>
      </c>
      <c r="T192" s="30" t="s">
        <v>492</v>
      </c>
      <c r="U192" s="31" t="s">
        <v>492</v>
      </c>
      <c r="V192" s="32">
        <f t="shared" ref="V192:X192" si="197">IF(lenb(SUBSTITUTE($Z192,V$1&amp;" (1)",""))&lt;lenb($Z192),1,IF(lenb(SUBSTITUTE($Z192,V$1&amp;" (2)",""))&lt;lenb($Z192),2,IF(lenb(SUBSTITUTE($Z192,V$1&amp;" (3)",""))&lt;lenb($Z192),3,IF(lenb(SUBSTITUTE($Z192,V$1&amp;" (4)",""))&lt;lenb($Z192),4,IF(lenb(SUBSTITUTE($Z192,V$1&amp;" (5)",""))&lt;lenb($Z192),5,IF(lenb(SUBSTITUTE($Z192,V$1&amp;" (6)",""))&lt;lenb($Z192),6,IF(lenb(SUBSTITUTE($Z192,V$1&amp;" (7)",""))&lt;lenb($Z192),1,IF(lenb(SUBSTITUTE($Z192,V$1&amp;" (8)",""))&lt;lenb($Z192),8,IF(lenb(SUBSTITUTE($Z192,V$1&amp;" (9)",""))&lt;lenb($Z192),9,IF(lenb(SUBSTITUTE($Z192,V$1&amp;" (10)",""))&lt;lenb($Z192),10,IF(lenb(SUBSTITUTE($Z192,V$1,""))&lt;lenb($Z192),"ERROR",IF($Z192=$Y$1,"-",0))))))))))))</f>
        <v>0</v>
      </c>
      <c r="W192" s="32">
        <f t="shared" si="197"/>
        <v>1</v>
      </c>
      <c r="X192" s="32">
        <f t="shared" si="197"/>
        <v>0</v>
      </c>
      <c r="Y192" s="32" t="str">
        <f t="shared" si="3"/>
        <v>-</v>
      </c>
      <c r="Z192" s="32" t="s">
        <v>47</v>
      </c>
      <c r="AA192" s="33">
        <f t="shared" si="4"/>
        <v>1</v>
      </c>
      <c r="AB192" s="34">
        <f>COUNTIFS(Links!B:B,"ICSE",Links!C:C,A192,Links!AD:AD,1)</f>
        <v>0</v>
      </c>
      <c r="AC192" s="35" t="s">
        <v>35</v>
      </c>
      <c r="AD192" s="27" t="str">
        <f t="shared" si="5"/>
        <v>No</v>
      </c>
      <c r="AE192" s="36" t="s">
        <v>36</v>
      </c>
      <c r="AF192" s="37" t="s">
        <v>42</v>
      </c>
      <c r="AG192" s="37" t="s">
        <v>42</v>
      </c>
      <c r="AH192" s="37" t="s">
        <v>42</v>
      </c>
      <c r="AI192" s="29" t="str">
        <f t="shared" si="6"/>
        <v>----</v>
      </c>
      <c r="AJ192" s="38" t="str">
        <f t="shared" si="7"/>
        <v>Paper has link but no statement</v>
      </c>
      <c r="AK192" s="39">
        <v>45034.0</v>
      </c>
      <c r="AL192" s="23" t="s">
        <v>43</v>
      </c>
      <c r="AM192" s="40" t="str">
        <f t="shared" si="8"/>
        <v>[IP1514]</v>
      </c>
    </row>
    <row r="193" ht="67.5" customHeight="1">
      <c r="A193" s="41">
        <v>1515.0</v>
      </c>
      <c r="B193" s="42" t="s">
        <v>493</v>
      </c>
      <c r="C193" s="43">
        <v>2016.0</v>
      </c>
      <c r="D193" s="44" t="s">
        <v>35</v>
      </c>
      <c r="E193" s="45" t="s">
        <v>36</v>
      </c>
      <c r="F193" s="45" t="s">
        <v>36</v>
      </c>
      <c r="G193" s="45" t="s">
        <v>36</v>
      </c>
      <c r="H193" s="45" t="s">
        <v>36</v>
      </c>
      <c r="I193" s="45" t="s">
        <v>36</v>
      </c>
      <c r="J193" s="46" t="s">
        <v>36</v>
      </c>
      <c r="K193" s="47" t="s">
        <v>35</v>
      </c>
      <c r="L193" s="48" t="s">
        <v>36</v>
      </c>
      <c r="M193" s="48" t="s">
        <v>36</v>
      </c>
      <c r="N193" s="48" t="s">
        <v>36</v>
      </c>
      <c r="O193" s="48" t="s">
        <v>36</v>
      </c>
      <c r="P193" s="48" t="s">
        <v>36</v>
      </c>
      <c r="Q193" s="48" t="s">
        <v>36</v>
      </c>
      <c r="R193" s="48" t="s">
        <v>36</v>
      </c>
      <c r="S193" s="49" t="s">
        <v>36</v>
      </c>
      <c r="T193" s="50" t="s">
        <v>36</v>
      </c>
      <c r="U193" s="51" t="s">
        <v>36</v>
      </c>
      <c r="V193" s="52" t="str">
        <f t="shared" ref="V193:X193" si="198">IF(lenb(SUBSTITUTE($Z193,V$1&amp;" (1)",""))&lt;lenb($Z193),1,IF(lenb(SUBSTITUTE($Z193,V$1&amp;" (2)",""))&lt;lenb($Z193),2,IF(lenb(SUBSTITUTE($Z193,V$1&amp;" (3)",""))&lt;lenb($Z193),3,IF(lenb(SUBSTITUTE($Z193,V$1&amp;" (4)",""))&lt;lenb($Z193),4,IF(lenb(SUBSTITUTE($Z193,V$1&amp;" (5)",""))&lt;lenb($Z193),5,IF(lenb(SUBSTITUTE($Z193,V$1&amp;" (6)",""))&lt;lenb($Z193),6,IF(lenb(SUBSTITUTE($Z193,V$1&amp;" (7)",""))&lt;lenb($Z193),1,IF(lenb(SUBSTITUTE($Z193,V$1&amp;" (8)",""))&lt;lenb($Z193),8,IF(lenb(SUBSTITUTE($Z193,V$1&amp;" (9)",""))&lt;lenb($Z193),9,IF(lenb(SUBSTITUTE($Z193,V$1&amp;" (10)",""))&lt;lenb($Z193),10,IF(lenb(SUBSTITUTE($Z193,V$1,""))&lt;lenb($Z193),"ERROR",IF($Z193=$Y$1,"-",0))))))))))))</f>
        <v>-</v>
      </c>
      <c r="W193" s="52" t="str">
        <f t="shared" si="198"/>
        <v>-</v>
      </c>
      <c r="X193" s="52" t="str">
        <f t="shared" si="198"/>
        <v>-</v>
      </c>
      <c r="Y193" s="52">
        <f t="shared" si="3"/>
        <v>1</v>
      </c>
      <c r="Z193" s="52" t="s">
        <v>23</v>
      </c>
      <c r="AA193" s="53">
        <f t="shared" si="4"/>
        <v>0</v>
      </c>
      <c r="AB193" s="54">
        <f>COUNTIFS(Links!B:B,"ICSE",Links!C:C,A193,Links!AD:AD,1)</f>
        <v>0</v>
      </c>
      <c r="AC193" s="55" t="s">
        <v>36</v>
      </c>
      <c r="AD193" s="47" t="str">
        <f t="shared" si="5"/>
        <v>No</v>
      </c>
      <c r="AE193" s="56" t="s">
        <v>36</v>
      </c>
      <c r="AF193" s="57" t="s">
        <v>42</v>
      </c>
      <c r="AG193" s="57" t="s">
        <v>42</v>
      </c>
      <c r="AH193" s="57" t="s">
        <v>42</v>
      </c>
      <c r="AI193" s="49" t="str">
        <f t="shared" si="6"/>
        <v>----</v>
      </c>
      <c r="AJ193" s="58" t="str">
        <f t="shared" si="7"/>
        <v>Paper has no link and no statement</v>
      </c>
      <c r="AK193" s="59">
        <v>45034.0</v>
      </c>
      <c r="AL193" s="43" t="s">
        <v>43</v>
      </c>
      <c r="AM193" s="60" t="str">
        <f t="shared" si="8"/>
        <v>[IP1515]</v>
      </c>
    </row>
    <row r="194" ht="67.5" customHeight="1">
      <c r="A194" s="21">
        <v>1516.0</v>
      </c>
      <c r="B194" s="22" t="s">
        <v>494</v>
      </c>
      <c r="C194" s="23">
        <v>2016.0</v>
      </c>
      <c r="D194" s="24" t="s">
        <v>35</v>
      </c>
      <c r="E194" s="25" t="s">
        <v>36</v>
      </c>
      <c r="F194" s="25" t="s">
        <v>36</v>
      </c>
      <c r="G194" s="25" t="s">
        <v>36</v>
      </c>
      <c r="H194" s="25" t="s">
        <v>36</v>
      </c>
      <c r="I194" s="25" t="s">
        <v>36</v>
      </c>
      <c r="J194" s="26" t="s">
        <v>36</v>
      </c>
      <c r="K194" s="27" t="s">
        <v>35</v>
      </c>
      <c r="L194" s="70" t="s">
        <v>36</v>
      </c>
      <c r="M194" s="70" t="s">
        <v>36</v>
      </c>
      <c r="N194" s="70" t="s">
        <v>36</v>
      </c>
      <c r="O194" s="70" t="s">
        <v>36</v>
      </c>
      <c r="P194" s="70" t="s">
        <v>36</v>
      </c>
      <c r="Q194" s="70" t="s">
        <v>36</v>
      </c>
      <c r="R194" s="70" t="s">
        <v>36</v>
      </c>
      <c r="S194" s="37" t="s">
        <v>36</v>
      </c>
      <c r="T194" s="30" t="s">
        <v>36</v>
      </c>
      <c r="U194" s="31" t="s">
        <v>36</v>
      </c>
      <c r="V194" s="32" t="str">
        <f t="shared" ref="V194:X194" si="199">IF(lenb(SUBSTITUTE($Z194,V$1&amp;" (1)",""))&lt;lenb($Z194),1,IF(lenb(SUBSTITUTE($Z194,V$1&amp;" (2)",""))&lt;lenb($Z194),2,IF(lenb(SUBSTITUTE($Z194,V$1&amp;" (3)",""))&lt;lenb($Z194),3,IF(lenb(SUBSTITUTE($Z194,V$1&amp;" (4)",""))&lt;lenb($Z194),4,IF(lenb(SUBSTITUTE($Z194,V$1&amp;" (5)",""))&lt;lenb($Z194),5,IF(lenb(SUBSTITUTE($Z194,V$1&amp;" (6)",""))&lt;lenb($Z194),6,IF(lenb(SUBSTITUTE($Z194,V$1&amp;" (7)",""))&lt;lenb($Z194),1,IF(lenb(SUBSTITUTE($Z194,V$1&amp;" (8)",""))&lt;lenb($Z194),8,IF(lenb(SUBSTITUTE($Z194,V$1&amp;" (9)",""))&lt;lenb($Z194),9,IF(lenb(SUBSTITUTE($Z194,V$1&amp;" (10)",""))&lt;lenb($Z194),10,IF(lenb(SUBSTITUTE($Z194,V$1,""))&lt;lenb($Z194),"ERROR",IF($Z194=$Y$1,"-",0))))))))))))</f>
        <v>-</v>
      </c>
      <c r="W194" s="32" t="str">
        <f t="shared" si="199"/>
        <v>-</v>
      </c>
      <c r="X194" s="32" t="str">
        <f t="shared" si="199"/>
        <v>-</v>
      </c>
      <c r="Y194" s="32">
        <f t="shared" si="3"/>
        <v>1</v>
      </c>
      <c r="Z194" s="32" t="s">
        <v>23</v>
      </c>
      <c r="AA194" s="33">
        <f t="shared" si="4"/>
        <v>0</v>
      </c>
      <c r="AB194" s="34">
        <f>COUNTIFS(Links!B:B,"ICSE",Links!C:C,A194,Links!AD:AD,1)</f>
        <v>0</v>
      </c>
      <c r="AC194" s="35" t="s">
        <v>36</v>
      </c>
      <c r="AD194" s="27" t="str">
        <f t="shared" si="5"/>
        <v>No</v>
      </c>
      <c r="AE194" s="36" t="s">
        <v>36</v>
      </c>
      <c r="AF194" s="37" t="s">
        <v>42</v>
      </c>
      <c r="AG194" s="37" t="s">
        <v>42</v>
      </c>
      <c r="AH194" s="37" t="s">
        <v>42</v>
      </c>
      <c r="AI194" s="29" t="str">
        <f t="shared" si="6"/>
        <v>----</v>
      </c>
      <c r="AJ194" s="38" t="str">
        <f t="shared" si="7"/>
        <v>Paper has no link and no statement</v>
      </c>
      <c r="AK194" s="39">
        <v>45034.0</v>
      </c>
      <c r="AL194" s="23" t="s">
        <v>43</v>
      </c>
      <c r="AM194" s="40" t="str">
        <f t="shared" si="8"/>
        <v>[IP1516]</v>
      </c>
    </row>
    <row r="195" ht="67.5" customHeight="1">
      <c r="A195" s="41">
        <v>1517.0</v>
      </c>
      <c r="B195" s="42" t="s">
        <v>495</v>
      </c>
      <c r="C195" s="43">
        <v>2016.0</v>
      </c>
      <c r="D195" s="44" t="s">
        <v>35</v>
      </c>
      <c r="E195" s="45" t="s">
        <v>36</v>
      </c>
      <c r="F195" s="45" t="s">
        <v>36</v>
      </c>
      <c r="G195" s="45" t="s">
        <v>36</v>
      </c>
      <c r="H195" s="45" t="s">
        <v>36</v>
      </c>
      <c r="I195" s="45" t="s">
        <v>36</v>
      </c>
      <c r="J195" s="46" t="s">
        <v>36</v>
      </c>
      <c r="K195" s="47" t="s">
        <v>37</v>
      </c>
      <c r="L195" s="48" t="s">
        <v>37</v>
      </c>
      <c r="M195" s="48" t="s">
        <v>35</v>
      </c>
      <c r="N195" s="48" t="s">
        <v>35</v>
      </c>
      <c r="O195" s="48" t="s">
        <v>35</v>
      </c>
      <c r="P195" s="48" t="s">
        <v>35</v>
      </c>
      <c r="Q195" s="48" t="s">
        <v>35</v>
      </c>
      <c r="R195" s="48" t="s">
        <v>37</v>
      </c>
      <c r="S195" s="49" t="s">
        <v>496</v>
      </c>
      <c r="T195" s="50" t="s">
        <v>497</v>
      </c>
      <c r="U195" s="51" t="s">
        <v>498</v>
      </c>
      <c r="V195" s="52">
        <f t="shared" ref="V195:X195" si="200">IF(lenb(SUBSTITUTE($Z195,V$1&amp;" (1)",""))&lt;lenb($Z195),1,IF(lenb(SUBSTITUTE($Z195,V$1&amp;" (2)",""))&lt;lenb($Z195),2,IF(lenb(SUBSTITUTE($Z195,V$1&amp;" (3)",""))&lt;lenb($Z195),3,IF(lenb(SUBSTITUTE($Z195,V$1&amp;" (4)",""))&lt;lenb($Z195),4,IF(lenb(SUBSTITUTE($Z195,V$1&amp;" (5)",""))&lt;lenb($Z195),5,IF(lenb(SUBSTITUTE($Z195,V$1&amp;" (6)",""))&lt;lenb($Z195),6,IF(lenb(SUBSTITUTE($Z195,V$1&amp;" (7)",""))&lt;lenb($Z195),1,IF(lenb(SUBSTITUTE($Z195,V$1&amp;" (8)",""))&lt;lenb($Z195),8,IF(lenb(SUBSTITUTE($Z195,V$1&amp;" (9)",""))&lt;lenb($Z195),9,IF(lenb(SUBSTITUTE($Z195,V$1&amp;" (10)",""))&lt;lenb($Z195),10,IF(lenb(SUBSTITUTE($Z195,V$1,""))&lt;lenb($Z195),"ERROR",IF($Z195=$Y$1,"-",0))))))))))))</f>
        <v>1</v>
      </c>
      <c r="W195" s="52">
        <f t="shared" si="200"/>
        <v>0</v>
      </c>
      <c r="X195" s="52">
        <f t="shared" si="200"/>
        <v>0</v>
      </c>
      <c r="Y195" s="52" t="str">
        <f t="shared" si="3"/>
        <v>-</v>
      </c>
      <c r="Z195" s="52" t="s">
        <v>62</v>
      </c>
      <c r="AA195" s="53">
        <f t="shared" si="4"/>
        <v>1</v>
      </c>
      <c r="AB195" s="54">
        <f>COUNTIFS(Links!B:B,"ICSE",Links!C:C,A195,Links!AD:AD,1)</f>
        <v>0</v>
      </c>
      <c r="AC195" s="55" t="s">
        <v>35</v>
      </c>
      <c r="AD195" s="47" t="str">
        <f t="shared" si="5"/>
        <v>No</v>
      </c>
      <c r="AE195" s="56" t="s">
        <v>36</v>
      </c>
      <c r="AF195" s="57" t="s">
        <v>42</v>
      </c>
      <c r="AG195" s="57" t="s">
        <v>42</v>
      </c>
      <c r="AH195" s="57" t="s">
        <v>42</v>
      </c>
      <c r="AI195" s="49" t="str">
        <f t="shared" si="6"/>
        <v>----</v>
      </c>
      <c r="AJ195" s="58" t="str">
        <f t="shared" si="7"/>
        <v>Paper has link but no statement</v>
      </c>
      <c r="AK195" s="59">
        <v>45034.0</v>
      </c>
      <c r="AL195" s="43" t="s">
        <v>43</v>
      </c>
      <c r="AM195" s="60" t="str">
        <f t="shared" si="8"/>
        <v>[IP1517]</v>
      </c>
    </row>
    <row r="196" ht="67.5" customHeight="1">
      <c r="A196" s="21">
        <v>1518.0</v>
      </c>
      <c r="B196" s="22" t="s">
        <v>499</v>
      </c>
      <c r="C196" s="23">
        <v>2016.0</v>
      </c>
      <c r="D196" s="24" t="s">
        <v>35</v>
      </c>
      <c r="E196" s="25" t="s">
        <v>36</v>
      </c>
      <c r="F196" s="25" t="s">
        <v>36</v>
      </c>
      <c r="G196" s="25" t="s">
        <v>36</v>
      </c>
      <c r="H196" s="25" t="s">
        <v>36</v>
      </c>
      <c r="I196" s="25" t="s">
        <v>36</v>
      </c>
      <c r="J196" s="26" t="s">
        <v>36</v>
      </c>
      <c r="K196" s="27" t="s">
        <v>35</v>
      </c>
      <c r="L196" s="28" t="s">
        <v>36</v>
      </c>
      <c r="M196" s="28" t="s">
        <v>36</v>
      </c>
      <c r="N196" s="28" t="s">
        <v>36</v>
      </c>
      <c r="O196" s="28" t="s">
        <v>36</v>
      </c>
      <c r="P196" s="28" t="s">
        <v>36</v>
      </c>
      <c r="Q196" s="28" t="s">
        <v>36</v>
      </c>
      <c r="R196" s="28" t="s">
        <v>36</v>
      </c>
      <c r="S196" s="29" t="s">
        <v>36</v>
      </c>
      <c r="T196" s="30" t="s">
        <v>36</v>
      </c>
      <c r="U196" s="31" t="s">
        <v>36</v>
      </c>
      <c r="V196" s="32" t="str">
        <f t="shared" ref="V196:X196" si="201">IF(lenb(SUBSTITUTE($Z196,V$1&amp;" (1)",""))&lt;lenb($Z196),1,IF(lenb(SUBSTITUTE($Z196,V$1&amp;" (2)",""))&lt;lenb($Z196),2,IF(lenb(SUBSTITUTE($Z196,V$1&amp;" (3)",""))&lt;lenb($Z196),3,IF(lenb(SUBSTITUTE($Z196,V$1&amp;" (4)",""))&lt;lenb($Z196),4,IF(lenb(SUBSTITUTE($Z196,V$1&amp;" (5)",""))&lt;lenb($Z196),5,IF(lenb(SUBSTITUTE($Z196,V$1&amp;" (6)",""))&lt;lenb($Z196),6,IF(lenb(SUBSTITUTE($Z196,V$1&amp;" (7)",""))&lt;lenb($Z196),1,IF(lenb(SUBSTITUTE($Z196,V$1&amp;" (8)",""))&lt;lenb($Z196),8,IF(lenb(SUBSTITUTE($Z196,V$1&amp;" (9)",""))&lt;lenb($Z196),9,IF(lenb(SUBSTITUTE($Z196,V$1&amp;" (10)",""))&lt;lenb($Z196),10,IF(lenb(SUBSTITUTE($Z196,V$1,""))&lt;lenb($Z196),"ERROR",IF($Z196=$Y$1,"-",0))))))))))))</f>
        <v>-</v>
      </c>
      <c r="W196" s="32" t="str">
        <f t="shared" si="201"/>
        <v>-</v>
      </c>
      <c r="X196" s="32" t="str">
        <f t="shared" si="201"/>
        <v>-</v>
      </c>
      <c r="Y196" s="32">
        <f t="shared" si="3"/>
        <v>1</v>
      </c>
      <c r="Z196" s="32" t="s">
        <v>23</v>
      </c>
      <c r="AA196" s="33">
        <f t="shared" si="4"/>
        <v>0</v>
      </c>
      <c r="AB196" s="34">
        <f>COUNTIFS(Links!B:B,"ICSE",Links!C:C,A196,Links!AD:AD,1)</f>
        <v>0</v>
      </c>
      <c r="AC196" s="35" t="s">
        <v>36</v>
      </c>
      <c r="AD196" s="27" t="str">
        <f t="shared" si="5"/>
        <v>No</v>
      </c>
      <c r="AE196" s="36" t="s">
        <v>36</v>
      </c>
      <c r="AF196" s="37" t="s">
        <v>42</v>
      </c>
      <c r="AG196" s="37" t="s">
        <v>42</v>
      </c>
      <c r="AH196" s="37" t="s">
        <v>42</v>
      </c>
      <c r="AI196" s="29" t="str">
        <f t="shared" si="6"/>
        <v>----</v>
      </c>
      <c r="AJ196" s="38" t="str">
        <f t="shared" si="7"/>
        <v>Paper has no link and no statement</v>
      </c>
      <c r="AK196" s="39">
        <v>45034.0</v>
      </c>
      <c r="AL196" s="23" t="s">
        <v>43</v>
      </c>
      <c r="AM196" s="40" t="str">
        <f t="shared" si="8"/>
        <v>[IP1518]</v>
      </c>
    </row>
    <row r="197" ht="67.5" customHeight="1">
      <c r="A197" s="41">
        <v>1519.0</v>
      </c>
      <c r="B197" s="42" t="s">
        <v>500</v>
      </c>
      <c r="C197" s="43">
        <v>2016.0</v>
      </c>
      <c r="D197" s="44" t="s">
        <v>35</v>
      </c>
      <c r="E197" s="45" t="s">
        <v>36</v>
      </c>
      <c r="F197" s="45" t="s">
        <v>36</v>
      </c>
      <c r="G197" s="45" t="s">
        <v>36</v>
      </c>
      <c r="H197" s="45" t="s">
        <v>36</v>
      </c>
      <c r="I197" s="45" t="s">
        <v>36</v>
      </c>
      <c r="J197" s="46" t="s">
        <v>36</v>
      </c>
      <c r="K197" s="47" t="s">
        <v>37</v>
      </c>
      <c r="L197" s="48" t="s">
        <v>37</v>
      </c>
      <c r="M197" s="48" t="s">
        <v>35</v>
      </c>
      <c r="N197" s="48" t="s">
        <v>35</v>
      </c>
      <c r="O197" s="48" t="s">
        <v>35</v>
      </c>
      <c r="P197" s="48" t="s">
        <v>35</v>
      </c>
      <c r="Q197" s="48" t="s">
        <v>35</v>
      </c>
      <c r="R197" s="48" t="s">
        <v>37</v>
      </c>
      <c r="S197" s="49" t="s">
        <v>501</v>
      </c>
      <c r="T197" s="50" t="s">
        <v>502</v>
      </c>
      <c r="U197" s="51" t="s">
        <v>502</v>
      </c>
      <c r="V197" s="52">
        <f t="shared" ref="V197:X197" si="202">IF(lenb(SUBSTITUTE($Z197,V$1&amp;" (1)",""))&lt;lenb($Z197),1,IF(lenb(SUBSTITUTE($Z197,V$1&amp;" (2)",""))&lt;lenb($Z197),2,IF(lenb(SUBSTITUTE($Z197,V$1&amp;" (3)",""))&lt;lenb($Z197),3,IF(lenb(SUBSTITUTE($Z197,V$1&amp;" (4)",""))&lt;lenb($Z197),4,IF(lenb(SUBSTITUTE($Z197,V$1&amp;" (5)",""))&lt;lenb($Z197),5,IF(lenb(SUBSTITUTE($Z197,V$1&amp;" (6)",""))&lt;lenb($Z197),6,IF(lenb(SUBSTITUTE($Z197,V$1&amp;" (7)",""))&lt;lenb($Z197),1,IF(lenb(SUBSTITUTE($Z197,V$1&amp;" (8)",""))&lt;lenb($Z197),8,IF(lenb(SUBSTITUTE($Z197,V$1&amp;" (9)",""))&lt;lenb($Z197),9,IF(lenb(SUBSTITUTE($Z197,V$1&amp;" (10)",""))&lt;lenb($Z197),10,IF(lenb(SUBSTITUTE($Z197,V$1,""))&lt;lenb($Z197),"ERROR",IF($Z197=$Y$1,"-",0))))))))))))</f>
        <v>1</v>
      </c>
      <c r="W197" s="52">
        <f t="shared" si="202"/>
        <v>0</v>
      </c>
      <c r="X197" s="52">
        <f t="shared" si="202"/>
        <v>0</v>
      </c>
      <c r="Y197" s="52" t="str">
        <f t="shared" si="3"/>
        <v>-</v>
      </c>
      <c r="Z197" s="52" t="s">
        <v>62</v>
      </c>
      <c r="AA197" s="53">
        <f t="shared" si="4"/>
        <v>1</v>
      </c>
      <c r="AB197" s="54">
        <f>COUNTIFS(Links!B:B,"ICSE",Links!C:C,A197,Links!AD:AD,1)</f>
        <v>0</v>
      </c>
      <c r="AC197" s="55" t="s">
        <v>35</v>
      </c>
      <c r="AD197" s="47" t="str">
        <f t="shared" si="5"/>
        <v>No</v>
      </c>
      <c r="AE197" s="56" t="s">
        <v>36</v>
      </c>
      <c r="AF197" s="57" t="s">
        <v>42</v>
      </c>
      <c r="AG197" s="57" t="s">
        <v>42</v>
      </c>
      <c r="AH197" s="57" t="s">
        <v>42</v>
      </c>
      <c r="AI197" s="49" t="str">
        <f t="shared" si="6"/>
        <v>----</v>
      </c>
      <c r="AJ197" s="58" t="str">
        <f t="shared" si="7"/>
        <v>Paper has link but no statement</v>
      </c>
      <c r="AK197" s="59">
        <v>45034.0</v>
      </c>
      <c r="AL197" s="43" t="s">
        <v>43</v>
      </c>
      <c r="AM197" s="60" t="str">
        <f t="shared" si="8"/>
        <v>[IP1519]</v>
      </c>
    </row>
    <row r="198" ht="67.5" customHeight="1">
      <c r="A198" s="61">
        <v>1520.0</v>
      </c>
      <c r="B198" s="22" t="s">
        <v>503</v>
      </c>
      <c r="C198" s="23">
        <v>2016.0</v>
      </c>
      <c r="D198" s="24" t="s">
        <v>35</v>
      </c>
      <c r="E198" s="25" t="s">
        <v>36</v>
      </c>
      <c r="F198" s="25" t="s">
        <v>36</v>
      </c>
      <c r="G198" s="25" t="s">
        <v>36</v>
      </c>
      <c r="H198" s="25" t="s">
        <v>36</v>
      </c>
      <c r="I198" s="25" t="s">
        <v>36</v>
      </c>
      <c r="J198" s="26" t="s">
        <v>36</v>
      </c>
      <c r="K198" s="27" t="s">
        <v>35</v>
      </c>
      <c r="L198" s="28" t="s">
        <v>36</v>
      </c>
      <c r="M198" s="28" t="s">
        <v>36</v>
      </c>
      <c r="N198" s="28" t="s">
        <v>36</v>
      </c>
      <c r="O198" s="28" t="s">
        <v>36</v>
      </c>
      <c r="P198" s="28" t="s">
        <v>36</v>
      </c>
      <c r="Q198" s="28" t="s">
        <v>36</v>
      </c>
      <c r="R198" s="28" t="s">
        <v>36</v>
      </c>
      <c r="S198" s="29" t="s">
        <v>36</v>
      </c>
      <c r="T198" s="30" t="s">
        <v>36</v>
      </c>
      <c r="U198" s="31" t="s">
        <v>36</v>
      </c>
      <c r="V198" s="32" t="str">
        <f t="shared" ref="V198:X198" si="203">IF(lenb(SUBSTITUTE($Z198,V$1&amp;" (1)",""))&lt;lenb($Z198),1,IF(lenb(SUBSTITUTE($Z198,V$1&amp;" (2)",""))&lt;lenb($Z198),2,IF(lenb(SUBSTITUTE($Z198,V$1&amp;" (3)",""))&lt;lenb($Z198),3,IF(lenb(SUBSTITUTE($Z198,V$1&amp;" (4)",""))&lt;lenb($Z198),4,IF(lenb(SUBSTITUTE($Z198,V$1&amp;" (5)",""))&lt;lenb($Z198),5,IF(lenb(SUBSTITUTE($Z198,V$1&amp;" (6)",""))&lt;lenb($Z198),6,IF(lenb(SUBSTITUTE($Z198,V$1&amp;" (7)",""))&lt;lenb($Z198),1,IF(lenb(SUBSTITUTE($Z198,V$1&amp;" (8)",""))&lt;lenb($Z198),8,IF(lenb(SUBSTITUTE($Z198,V$1&amp;" (9)",""))&lt;lenb($Z198),9,IF(lenb(SUBSTITUTE($Z198,V$1&amp;" (10)",""))&lt;lenb($Z198),10,IF(lenb(SUBSTITUTE($Z198,V$1,""))&lt;lenb($Z198),"ERROR",IF($Z198=$Y$1,"-",0))))))))))))</f>
        <v>-</v>
      </c>
      <c r="W198" s="32" t="str">
        <f t="shared" si="203"/>
        <v>-</v>
      </c>
      <c r="X198" s="32" t="str">
        <f t="shared" si="203"/>
        <v>-</v>
      </c>
      <c r="Y198" s="32">
        <f t="shared" si="3"/>
        <v>1</v>
      </c>
      <c r="Z198" s="32" t="s">
        <v>23</v>
      </c>
      <c r="AA198" s="33">
        <f t="shared" si="4"/>
        <v>0</v>
      </c>
      <c r="AB198" s="34">
        <f>COUNTIFS(Links!B:B,"ICSE",Links!C:C,A198,Links!AD:AD,1)</f>
        <v>0</v>
      </c>
      <c r="AC198" s="35" t="s">
        <v>36</v>
      </c>
      <c r="AD198" s="27" t="str">
        <f t="shared" si="5"/>
        <v>No</v>
      </c>
      <c r="AE198" s="36" t="s">
        <v>36</v>
      </c>
      <c r="AF198" s="37" t="s">
        <v>42</v>
      </c>
      <c r="AG198" s="37" t="s">
        <v>42</v>
      </c>
      <c r="AH198" s="37" t="s">
        <v>42</v>
      </c>
      <c r="AI198" s="29" t="str">
        <f t="shared" si="6"/>
        <v>----</v>
      </c>
      <c r="AJ198" s="38" t="str">
        <f t="shared" si="7"/>
        <v>Paper has no link and no statement</v>
      </c>
      <c r="AK198" s="39">
        <v>45034.0</v>
      </c>
      <c r="AL198" s="23" t="s">
        <v>43</v>
      </c>
      <c r="AM198" s="40" t="str">
        <f t="shared" si="8"/>
        <v>[IP1520]</v>
      </c>
    </row>
    <row r="199" ht="67.5" customHeight="1">
      <c r="A199" s="41">
        <v>1521.0</v>
      </c>
      <c r="B199" s="42" t="s">
        <v>504</v>
      </c>
      <c r="C199" s="43">
        <v>2016.0</v>
      </c>
      <c r="D199" s="44" t="s">
        <v>35</v>
      </c>
      <c r="E199" s="45" t="s">
        <v>36</v>
      </c>
      <c r="F199" s="45" t="s">
        <v>36</v>
      </c>
      <c r="G199" s="45" t="s">
        <v>36</v>
      </c>
      <c r="H199" s="45" t="s">
        <v>36</v>
      </c>
      <c r="I199" s="45" t="s">
        <v>36</v>
      </c>
      <c r="J199" s="46" t="s">
        <v>36</v>
      </c>
      <c r="K199" s="47" t="s">
        <v>37</v>
      </c>
      <c r="L199" s="48" t="s">
        <v>37</v>
      </c>
      <c r="M199" s="48" t="s">
        <v>35</v>
      </c>
      <c r="N199" s="48" t="s">
        <v>35</v>
      </c>
      <c r="O199" s="48" t="s">
        <v>35</v>
      </c>
      <c r="P199" s="48" t="s">
        <v>35</v>
      </c>
      <c r="Q199" s="48" t="s">
        <v>35</v>
      </c>
      <c r="R199" s="48" t="s">
        <v>37</v>
      </c>
      <c r="S199" s="49" t="s">
        <v>505</v>
      </c>
      <c r="T199" s="50" t="s">
        <v>506</v>
      </c>
      <c r="U199" s="51" t="s">
        <v>506</v>
      </c>
      <c r="V199" s="52">
        <f t="shared" ref="V199:X199" si="204">IF(lenb(SUBSTITUTE($Z199,V$1&amp;" (1)",""))&lt;lenb($Z199),1,IF(lenb(SUBSTITUTE($Z199,V$1&amp;" (2)",""))&lt;lenb($Z199),2,IF(lenb(SUBSTITUTE($Z199,V$1&amp;" (3)",""))&lt;lenb($Z199),3,IF(lenb(SUBSTITUTE($Z199,V$1&amp;" (4)",""))&lt;lenb($Z199),4,IF(lenb(SUBSTITUTE($Z199,V$1&amp;" (5)",""))&lt;lenb($Z199),5,IF(lenb(SUBSTITUTE($Z199,V$1&amp;" (6)",""))&lt;lenb($Z199),6,IF(lenb(SUBSTITUTE($Z199,V$1&amp;" (7)",""))&lt;lenb($Z199),1,IF(lenb(SUBSTITUTE($Z199,V$1&amp;" (8)",""))&lt;lenb($Z199),8,IF(lenb(SUBSTITUTE($Z199,V$1&amp;" (9)",""))&lt;lenb($Z199),9,IF(lenb(SUBSTITUTE($Z199,V$1&amp;" (10)",""))&lt;lenb($Z199),10,IF(lenb(SUBSTITUTE($Z199,V$1,""))&lt;lenb($Z199),"ERROR",IF($Z199=$Y$1,"-",0))))))))))))</f>
        <v>1</v>
      </c>
      <c r="W199" s="52">
        <f t="shared" si="204"/>
        <v>0</v>
      </c>
      <c r="X199" s="52">
        <f t="shared" si="204"/>
        <v>0</v>
      </c>
      <c r="Y199" s="52" t="str">
        <f t="shared" si="3"/>
        <v>-</v>
      </c>
      <c r="Z199" s="52" t="s">
        <v>62</v>
      </c>
      <c r="AA199" s="53">
        <f t="shared" si="4"/>
        <v>1</v>
      </c>
      <c r="AB199" s="54">
        <f>COUNTIFS(Links!B:B,"ICSE",Links!C:C,A199,Links!AD:AD,1)</f>
        <v>0</v>
      </c>
      <c r="AC199" s="55" t="s">
        <v>35</v>
      </c>
      <c r="AD199" s="47" t="str">
        <f t="shared" si="5"/>
        <v>No</v>
      </c>
      <c r="AE199" s="56" t="s">
        <v>36</v>
      </c>
      <c r="AF199" s="57" t="s">
        <v>42</v>
      </c>
      <c r="AG199" s="57" t="s">
        <v>42</v>
      </c>
      <c r="AH199" s="57" t="s">
        <v>42</v>
      </c>
      <c r="AI199" s="49" t="str">
        <f t="shared" si="6"/>
        <v>----</v>
      </c>
      <c r="AJ199" s="58" t="str">
        <f t="shared" si="7"/>
        <v>Paper has link but no statement</v>
      </c>
      <c r="AK199" s="59">
        <v>45034.0</v>
      </c>
      <c r="AL199" s="43" t="s">
        <v>43</v>
      </c>
      <c r="AM199" s="60" t="str">
        <f t="shared" si="8"/>
        <v>[IP1521]</v>
      </c>
    </row>
    <row r="200" ht="67.5" customHeight="1">
      <c r="A200" s="61">
        <v>1522.0</v>
      </c>
      <c r="B200" s="22" t="s">
        <v>507</v>
      </c>
      <c r="C200" s="23">
        <v>2016.0</v>
      </c>
      <c r="D200" s="24" t="s">
        <v>35</v>
      </c>
      <c r="E200" s="25" t="s">
        <v>36</v>
      </c>
      <c r="F200" s="25" t="s">
        <v>36</v>
      </c>
      <c r="G200" s="25" t="s">
        <v>36</v>
      </c>
      <c r="H200" s="25" t="s">
        <v>36</v>
      </c>
      <c r="I200" s="25" t="s">
        <v>36</v>
      </c>
      <c r="J200" s="26" t="s">
        <v>36</v>
      </c>
      <c r="K200" s="27" t="s">
        <v>35</v>
      </c>
      <c r="L200" s="28" t="s">
        <v>36</v>
      </c>
      <c r="M200" s="28" t="s">
        <v>36</v>
      </c>
      <c r="N200" s="28" t="s">
        <v>36</v>
      </c>
      <c r="O200" s="28" t="s">
        <v>36</v>
      </c>
      <c r="P200" s="28" t="s">
        <v>36</v>
      </c>
      <c r="Q200" s="28" t="s">
        <v>36</v>
      </c>
      <c r="R200" s="28" t="s">
        <v>36</v>
      </c>
      <c r="S200" s="29" t="s">
        <v>36</v>
      </c>
      <c r="T200" s="30" t="s">
        <v>36</v>
      </c>
      <c r="U200" s="31" t="s">
        <v>36</v>
      </c>
      <c r="V200" s="32" t="str">
        <f t="shared" ref="V200:X200" si="205">IF(lenb(SUBSTITUTE($Z200,V$1&amp;" (1)",""))&lt;lenb($Z200),1,IF(lenb(SUBSTITUTE($Z200,V$1&amp;" (2)",""))&lt;lenb($Z200),2,IF(lenb(SUBSTITUTE($Z200,V$1&amp;" (3)",""))&lt;lenb($Z200),3,IF(lenb(SUBSTITUTE($Z200,V$1&amp;" (4)",""))&lt;lenb($Z200),4,IF(lenb(SUBSTITUTE($Z200,V$1&amp;" (5)",""))&lt;lenb($Z200),5,IF(lenb(SUBSTITUTE($Z200,V$1&amp;" (6)",""))&lt;lenb($Z200),6,IF(lenb(SUBSTITUTE($Z200,V$1&amp;" (7)",""))&lt;lenb($Z200),1,IF(lenb(SUBSTITUTE($Z200,V$1&amp;" (8)",""))&lt;lenb($Z200),8,IF(lenb(SUBSTITUTE($Z200,V$1&amp;" (9)",""))&lt;lenb($Z200),9,IF(lenb(SUBSTITUTE($Z200,V$1&amp;" (10)",""))&lt;lenb($Z200),10,IF(lenb(SUBSTITUTE($Z200,V$1,""))&lt;lenb($Z200),"ERROR",IF($Z200=$Y$1,"-",0))))))))))))</f>
        <v>-</v>
      </c>
      <c r="W200" s="32" t="str">
        <f t="shared" si="205"/>
        <v>-</v>
      </c>
      <c r="X200" s="32" t="str">
        <f t="shared" si="205"/>
        <v>-</v>
      </c>
      <c r="Y200" s="32">
        <f t="shared" si="3"/>
        <v>1</v>
      </c>
      <c r="Z200" s="32" t="s">
        <v>23</v>
      </c>
      <c r="AA200" s="33">
        <f t="shared" si="4"/>
        <v>0</v>
      </c>
      <c r="AB200" s="34">
        <f>COUNTIFS(Links!B:B,"ICSE",Links!C:C,A200,Links!AD:AD,1)</f>
        <v>0</v>
      </c>
      <c r="AC200" s="35" t="s">
        <v>36</v>
      </c>
      <c r="AD200" s="27" t="str">
        <f t="shared" si="5"/>
        <v>No</v>
      </c>
      <c r="AE200" s="36" t="s">
        <v>36</v>
      </c>
      <c r="AF200" s="37" t="s">
        <v>42</v>
      </c>
      <c r="AG200" s="37" t="s">
        <v>42</v>
      </c>
      <c r="AH200" s="37" t="s">
        <v>42</v>
      </c>
      <c r="AI200" s="29" t="str">
        <f t="shared" si="6"/>
        <v>----</v>
      </c>
      <c r="AJ200" s="38" t="str">
        <f t="shared" si="7"/>
        <v>Paper has no link and no statement</v>
      </c>
      <c r="AK200" s="39">
        <v>45034.0</v>
      </c>
      <c r="AL200" s="23" t="s">
        <v>43</v>
      </c>
      <c r="AM200" s="40" t="str">
        <f t="shared" si="8"/>
        <v>[IP1522]</v>
      </c>
    </row>
    <row r="201" ht="67.5" customHeight="1">
      <c r="A201" s="41">
        <v>1523.0</v>
      </c>
      <c r="B201" s="42" t="s">
        <v>508</v>
      </c>
      <c r="C201" s="43">
        <v>2016.0</v>
      </c>
      <c r="D201" s="44" t="s">
        <v>35</v>
      </c>
      <c r="E201" s="45" t="s">
        <v>36</v>
      </c>
      <c r="F201" s="45" t="s">
        <v>36</v>
      </c>
      <c r="G201" s="45" t="s">
        <v>36</v>
      </c>
      <c r="H201" s="45" t="s">
        <v>36</v>
      </c>
      <c r="I201" s="45" t="s">
        <v>36</v>
      </c>
      <c r="J201" s="46" t="s">
        <v>36</v>
      </c>
      <c r="K201" s="47" t="s">
        <v>37</v>
      </c>
      <c r="L201" s="48" t="s">
        <v>35</v>
      </c>
      <c r="M201" s="48" t="s">
        <v>35</v>
      </c>
      <c r="N201" s="48" t="s">
        <v>35</v>
      </c>
      <c r="O201" s="48" t="s">
        <v>37</v>
      </c>
      <c r="P201" s="48" t="s">
        <v>35</v>
      </c>
      <c r="Q201" s="48" t="s">
        <v>35</v>
      </c>
      <c r="R201" s="48" t="s">
        <v>35</v>
      </c>
      <c r="S201" s="49" t="s">
        <v>509</v>
      </c>
      <c r="T201" s="50" t="s">
        <v>510</v>
      </c>
      <c r="U201" s="51" t="s">
        <v>510</v>
      </c>
      <c r="V201" s="52">
        <f t="shared" ref="V201:X201" si="206">IF(lenb(SUBSTITUTE($Z201,V$1&amp;" (1)",""))&lt;lenb($Z201),1,IF(lenb(SUBSTITUTE($Z201,V$1&amp;" (2)",""))&lt;lenb($Z201),2,IF(lenb(SUBSTITUTE($Z201,V$1&amp;" (3)",""))&lt;lenb($Z201),3,IF(lenb(SUBSTITUTE($Z201,V$1&amp;" (4)",""))&lt;lenb($Z201),4,IF(lenb(SUBSTITUTE($Z201,V$1&amp;" (5)",""))&lt;lenb($Z201),5,IF(lenb(SUBSTITUTE($Z201,V$1&amp;" (6)",""))&lt;lenb($Z201),6,IF(lenb(SUBSTITUTE($Z201,V$1&amp;" (7)",""))&lt;lenb($Z201),1,IF(lenb(SUBSTITUTE($Z201,V$1&amp;" (8)",""))&lt;lenb($Z201),8,IF(lenb(SUBSTITUTE($Z201,V$1&amp;" (9)",""))&lt;lenb($Z201),9,IF(lenb(SUBSTITUTE($Z201,V$1&amp;" (10)",""))&lt;lenb($Z201),10,IF(lenb(SUBSTITUTE($Z201,V$1,""))&lt;lenb($Z201),"ERROR",IF($Z201=$Y$1,"-",0))))))))))))</f>
        <v>0</v>
      </c>
      <c r="W201" s="52">
        <f t="shared" si="206"/>
        <v>1</v>
      </c>
      <c r="X201" s="52">
        <f t="shared" si="206"/>
        <v>0</v>
      </c>
      <c r="Y201" s="52" t="str">
        <f t="shared" si="3"/>
        <v>-</v>
      </c>
      <c r="Z201" s="52" t="s">
        <v>47</v>
      </c>
      <c r="AA201" s="53">
        <f t="shared" si="4"/>
        <v>1</v>
      </c>
      <c r="AB201" s="54">
        <f>COUNTIFS(Links!B:B,"ICSE",Links!C:C,A201,Links!AD:AD,1)</f>
        <v>0</v>
      </c>
      <c r="AC201" s="55" t="s">
        <v>35</v>
      </c>
      <c r="AD201" s="47" t="str">
        <f t="shared" si="5"/>
        <v>No</v>
      </c>
      <c r="AE201" s="56" t="s">
        <v>36</v>
      </c>
      <c r="AF201" s="57" t="s">
        <v>42</v>
      </c>
      <c r="AG201" s="57" t="s">
        <v>42</v>
      </c>
      <c r="AH201" s="57" t="s">
        <v>42</v>
      </c>
      <c r="AI201" s="49" t="str">
        <f t="shared" si="6"/>
        <v>----</v>
      </c>
      <c r="AJ201" s="58" t="str">
        <f t="shared" si="7"/>
        <v>Paper has link but no statement</v>
      </c>
      <c r="AK201" s="59">
        <v>45034.0</v>
      </c>
      <c r="AL201" s="43" t="s">
        <v>43</v>
      </c>
      <c r="AM201" s="60" t="str">
        <f t="shared" si="8"/>
        <v>[IP1523]</v>
      </c>
    </row>
    <row r="202" ht="67.5" customHeight="1">
      <c r="A202" s="61">
        <v>1524.0</v>
      </c>
      <c r="B202" s="22" t="s">
        <v>511</v>
      </c>
      <c r="C202" s="23">
        <v>2016.0</v>
      </c>
      <c r="D202" s="24" t="s">
        <v>35</v>
      </c>
      <c r="E202" s="25" t="s">
        <v>36</v>
      </c>
      <c r="F202" s="25" t="s">
        <v>36</v>
      </c>
      <c r="G202" s="25" t="s">
        <v>36</v>
      </c>
      <c r="H202" s="25" t="s">
        <v>36</v>
      </c>
      <c r="I202" s="25" t="s">
        <v>36</v>
      </c>
      <c r="J202" s="26" t="s">
        <v>36</v>
      </c>
      <c r="K202" s="27" t="s">
        <v>35</v>
      </c>
      <c r="L202" s="28" t="s">
        <v>36</v>
      </c>
      <c r="M202" s="28" t="s">
        <v>36</v>
      </c>
      <c r="N202" s="28" t="s">
        <v>36</v>
      </c>
      <c r="O202" s="28" t="s">
        <v>36</v>
      </c>
      <c r="P202" s="28" t="s">
        <v>36</v>
      </c>
      <c r="Q202" s="28" t="s">
        <v>36</v>
      </c>
      <c r="R202" s="28" t="s">
        <v>36</v>
      </c>
      <c r="S202" s="29" t="s">
        <v>36</v>
      </c>
      <c r="T202" s="30" t="s">
        <v>36</v>
      </c>
      <c r="U202" s="31" t="s">
        <v>36</v>
      </c>
      <c r="V202" s="32" t="str">
        <f t="shared" ref="V202:X202" si="207">IF(lenb(SUBSTITUTE($Z202,V$1&amp;" (1)",""))&lt;lenb($Z202),1,IF(lenb(SUBSTITUTE($Z202,V$1&amp;" (2)",""))&lt;lenb($Z202),2,IF(lenb(SUBSTITUTE($Z202,V$1&amp;" (3)",""))&lt;lenb($Z202),3,IF(lenb(SUBSTITUTE($Z202,V$1&amp;" (4)",""))&lt;lenb($Z202),4,IF(lenb(SUBSTITUTE($Z202,V$1&amp;" (5)",""))&lt;lenb($Z202),5,IF(lenb(SUBSTITUTE($Z202,V$1&amp;" (6)",""))&lt;lenb($Z202),6,IF(lenb(SUBSTITUTE($Z202,V$1&amp;" (7)",""))&lt;lenb($Z202),1,IF(lenb(SUBSTITUTE($Z202,V$1&amp;" (8)",""))&lt;lenb($Z202),8,IF(lenb(SUBSTITUTE($Z202,V$1&amp;" (9)",""))&lt;lenb($Z202),9,IF(lenb(SUBSTITUTE($Z202,V$1&amp;" (10)",""))&lt;lenb($Z202),10,IF(lenb(SUBSTITUTE($Z202,V$1,""))&lt;lenb($Z202),"ERROR",IF($Z202=$Y$1,"-",0))))))))))))</f>
        <v>-</v>
      </c>
      <c r="W202" s="32" t="str">
        <f t="shared" si="207"/>
        <v>-</v>
      </c>
      <c r="X202" s="32" t="str">
        <f t="shared" si="207"/>
        <v>-</v>
      </c>
      <c r="Y202" s="32">
        <f t="shared" si="3"/>
        <v>1</v>
      </c>
      <c r="Z202" s="32" t="s">
        <v>23</v>
      </c>
      <c r="AA202" s="33">
        <f t="shared" si="4"/>
        <v>0</v>
      </c>
      <c r="AB202" s="34">
        <f>COUNTIFS(Links!B:B,"ICSE",Links!C:C,A202,Links!AD:AD,1)</f>
        <v>0</v>
      </c>
      <c r="AC202" s="35" t="s">
        <v>36</v>
      </c>
      <c r="AD202" s="27" t="str">
        <f t="shared" si="5"/>
        <v>Yes</v>
      </c>
      <c r="AE202" s="36" t="s">
        <v>512</v>
      </c>
      <c r="AF202" s="36" t="s">
        <v>281</v>
      </c>
      <c r="AG202" s="37" t="s">
        <v>42</v>
      </c>
      <c r="AH202" s="37" t="s">
        <v>42</v>
      </c>
      <c r="AI202" s="29" t="str">
        <f t="shared" si="6"/>
        <v>Barriers (Confidentiality and privacy)</v>
      </c>
      <c r="AJ202" s="38" t="str">
        <f t="shared" si="7"/>
        <v>Paper has no link but has statement</v>
      </c>
      <c r="AK202" s="39">
        <v>45034.0</v>
      </c>
      <c r="AL202" s="23" t="s">
        <v>43</v>
      </c>
      <c r="AM202" s="40" t="str">
        <f t="shared" si="8"/>
        <v>[IP1524]</v>
      </c>
    </row>
    <row r="203" ht="67.5" customHeight="1">
      <c r="A203" s="41">
        <v>1525.0</v>
      </c>
      <c r="B203" s="42" t="s">
        <v>513</v>
      </c>
      <c r="C203" s="43">
        <v>2016.0</v>
      </c>
      <c r="D203" s="44" t="s">
        <v>35</v>
      </c>
      <c r="E203" s="45" t="s">
        <v>36</v>
      </c>
      <c r="F203" s="45" t="s">
        <v>36</v>
      </c>
      <c r="G203" s="45" t="s">
        <v>36</v>
      </c>
      <c r="H203" s="45" t="s">
        <v>36</v>
      </c>
      <c r="I203" s="45" t="s">
        <v>36</v>
      </c>
      <c r="J203" s="46" t="s">
        <v>36</v>
      </c>
      <c r="K203" s="47" t="s">
        <v>37</v>
      </c>
      <c r="L203" s="48" t="s">
        <v>35</v>
      </c>
      <c r="M203" s="48" t="s">
        <v>35</v>
      </c>
      <c r="N203" s="48" t="s">
        <v>35</v>
      </c>
      <c r="O203" s="48" t="s">
        <v>37</v>
      </c>
      <c r="P203" s="48" t="s">
        <v>35</v>
      </c>
      <c r="Q203" s="48" t="s">
        <v>35</v>
      </c>
      <c r="R203" s="48" t="s">
        <v>37</v>
      </c>
      <c r="S203" s="49" t="s">
        <v>514</v>
      </c>
      <c r="T203" s="50" t="s">
        <v>515</v>
      </c>
      <c r="U203" s="51" t="s">
        <v>515</v>
      </c>
      <c r="V203" s="52">
        <f t="shared" ref="V203:X203" si="208">IF(lenb(SUBSTITUTE($Z203,V$1&amp;" (1)",""))&lt;lenb($Z203),1,IF(lenb(SUBSTITUTE($Z203,V$1&amp;" (2)",""))&lt;lenb($Z203),2,IF(lenb(SUBSTITUTE($Z203,V$1&amp;" (3)",""))&lt;lenb($Z203),3,IF(lenb(SUBSTITUTE($Z203,V$1&amp;" (4)",""))&lt;lenb($Z203),4,IF(lenb(SUBSTITUTE($Z203,V$1&amp;" (5)",""))&lt;lenb($Z203),5,IF(lenb(SUBSTITUTE($Z203,V$1&amp;" (6)",""))&lt;lenb($Z203),6,IF(lenb(SUBSTITUTE($Z203,V$1&amp;" (7)",""))&lt;lenb($Z203),1,IF(lenb(SUBSTITUTE($Z203,V$1&amp;" (8)",""))&lt;lenb($Z203),8,IF(lenb(SUBSTITUTE($Z203,V$1&amp;" (9)",""))&lt;lenb($Z203),9,IF(lenb(SUBSTITUTE($Z203,V$1&amp;" (10)",""))&lt;lenb($Z203),10,IF(lenb(SUBSTITUTE($Z203,V$1,""))&lt;lenb($Z203),"ERROR",IF($Z203=$Y$1,"-",0))))))))))))</f>
        <v>0</v>
      </c>
      <c r="W203" s="52">
        <f t="shared" si="208"/>
        <v>1</v>
      </c>
      <c r="X203" s="52">
        <f t="shared" si="208"/>
        <v>0</v>
      </c>
      <c r="Y203" s="52" t="str">
        <f t="shared" si="3"/>
        <v>-</v>
      </c>
      <c r="Z203" s="52" t="s">
        <v>47</v>
      </c>
      <c r="AA203" s="53">
        <f t="shared" si="4"/>
        <v>1</v>
      </c>
      <c r="AB203" s="54">
        <f>COUNTIFS(Links!B:B,"ICSE",Links!C:C,A203,Links!AD:AD,1)</f>
        <v>0</v>
      </c>
      <c r="AC203" s="55" t="s">
        <v>35</v>
      </c>
      <c r="AD203" s="47" t="str">
        <f t="shared" si="5"/>
        <v>No</v>
      </c>
      <c r="AE203" s="56" t="s">
        <v>36</v>
      </c>
      <c r="AF203" s="57" t="s">
        <v>42</v>
      </c>
      <c r="AG203" s="57" t="s">
        <v>42</v>
      </c>
      <c r="AH203" s="57" t="s">
        <v>42</v>
      </c>
      <c r="AI203" s="49" t="str">
        <f t="shared" si="6"/>
        <v>----</v>
      </c>
      <c r="AJ203" s="58" t="str">
        <f t="shared" si="7"/>
        <v>Paper has link but no statement</v>
      </c>
      <c r="AK203" s="59">
        <v>45034.0</v>
      </c>
      <c r="AL203" s="43" t="s">
        <v>43</v>
      </c>
      <c r="AM203" s="60" t="str">
        <f t="shared" si="8"/>
        <v>[IP1525]</v>
      </c>
    </row>
    <row r="204" ht="67.5" customHeight="1">
      <c r="A204" s="61">
        <v>1526.0</v>
      </c>
      <c r="B204" s="22" t="s">
        <v>516</v>
      </c>
      <c r="C204" s="23">
        <v>2016.0</v>
      </c>
      <c r="D204" s="24" t="s">
        <v>35</v>
      </c>
      <c r="E204" s="25" t="s">
        <v>36</v>
      </c>
      <c r="F204" s="25" t="s">
        <v>36</v>
      </c>
      <c r="G204" s="25" t="s">
        <v>36</v>
      </c>
      <c r="H204" s="25" t="s">
        <v>36</v>
      </c>
      <c r="I204" s="25" t="s">
        <v>36</v>
      </c>
      <c r="J204" s="26" t="s">
        <v>36</v>
      </c>
      <c r="K204" s="27" t="s">
        <v>37</v>
      </c>
      <c r="L204" s="28" t="s">
        <v>37</v>
      </c>
      <c r="M204" s="28" t="s">
        <v>35</v>
      </c>
      <c r="N204" s="28" t="s">
        <v>35</v>
      </c>
      <c r="O204" s="28" t="s">
        <v>35</v>
      </c>
      <c r="P204" s="28" t="s">
        <v>35</v>
      </c>
      <c r="Q204" s="28" t="s">
        <v>35</v>
      </c>
      <c r="R204" s="28" t="s">
        <v>37</v>
      </c>
      <c r="S204" s="29" t="s">
        <v>517</v>
      </c>
      <c r="T204" s="30" t="s">
        <v>518</v>
      </c>
      <c r="U204" s="31" t="s">
        <v>518</v>
      </c>
      <c r="V204" s="32">
        <f t="shared" ref="V204:X204" si="209">IF(lenb(SUBSTITUTE($Z204,V$1&amp;" (1)",""))&lt;lenb($Z204),1,IF(lenb(SUBSTITUTE($Z204,V$1&amp;" (2)",""))&lt;lenb($Z204),2,IF(lenb(SUBSTITUTE($Z204,V$1&amp;" (3)",""))&lt;lenb($Z204),3,IF(lenb(SUBSTITUTE($Z204,V$1&amp;" (4)",""))&lt;lenb($Z204),4,IF(lenb(SUBSTITUTE($Z204,V$1&amp;" (5)",""))&lt;lenb($Z204),5,IF(lenb(SUBSTITUTE($Z204,V$1&amp;" (6)",""))&lt;lenb($Z204),6,IF(lenb(SUBSTITUTE($Z204,V$1&amp;" (7)",""))&lt;lenb($Z204),1,IF(lenb(SUBSTITUTE($Z204,V$1&amp;" (8)",""))&lt;lenb($Z204),8,IF(lenb(SUBSTITUTE($Z204,V$1&amp;" (9)",""))&lt;lenb($Z204),9,IF(lenb(SUBSTITUTE($Z204,V$1&amp;" (10)",""))&lt;lenb($Z204),10,IF(lenb(SUBSTITUTE($Z204,V$1,""))&lt;lenb($Z204),"ERROR",IF($Z204=$Y$1,"-",0))))))))))))</f>
        <v>0</v>
      </c>
      <c r="W204" s="32">
        <f t="shared" si="209"/>
        <v>1</v>
      </c>
      <c r="X204" s="32">
        <f t="shared" si="209"/>
        <v>0</v>
      </c>
      <c r="Y204" s="32" t="str">
        <f t="shared" si="3"/>
        <v>-</v>
      </c>
      <c r="Z204" s="32" t="s">
        <v>47</v>
      </c>
      <c r="AA204" s="33">
        <f t="shared" si="4"/>
        <v>1</v>
      </c>
      <c r="AB204" s="34">
        <f>COUNTIFS(Links!B:B,"ICSE",Links!C:C,A204,Links!AD:AD,1)</f>
        <v>0</v>
      </c>
      <c r="AC204" s="35" t="s">
        <v>35</v>
      </c>
      <c r="AD204" s="27" t="str">
        <f t="shared" si="5"/>
        <v>Yes</v>
      </c>
      <c r="AE204" s="36" t="s">
        <v>519</v>
      </c>
      <c r="AF204" s="36" t="s">
        <v>281</v>
      </c>
      <c r="AG204" s="37" t="s">
        <v>42</v>
      </c>
      <c r="AH204" s="37" t="s">
        <v>42</v>
      </c>
      <c r="AI204" s="29" t="str">
        <f t="shared" si="6"/>
        <v>Barriers (Confidentiality and privacy)</v>
      </c>
      <c r="AJ204" s="38" t="str">
        <f t="shared" si="7"/>
        <v>Paper has link and statement</v>
      </c>
      <c r="AK204" s="39">
        <v>45034.0</v>
      </c>
      <c r="AL204" s="23" t="s">
        <v>43</v>
      </c>
      <c r="AM204" s="40" t="str">
        <f t="shared" si="8"/>
        <v>[IP1526]</v>
      </c>
    </row>
    <row r="205" ht="67.5" customHeight="1">
      <c r="A205" s="41">
        <v>1527.0</v>
      </c>
      <c r="B205" s="42" t="s">
        <v>520</v>
      </c>
      <c r="C205" s="43">
        <v>2016.0</v>
      </c>
      <c r="D205" s="44" t="s">
        <v>35</v>
      </c>
      <c r="E205" s="45" t="s">
        <v>36</v>
      </c>
      <c r="F205" s="45" t="s">
        <v>36</v>
      </c>
      <c r="G205" s="45" t="s">
        <v>36</v>
      </c>
      <c r="H205" s="45" t="s">
        <v>36</v>
      </c>
      <c r="I205" s="45" t="s">
        <v>36</v>
      </c>
      <c r="J205" s="46" t="s">
        <v>36</v>
      </c>
      <c r="K205" s="47" t="s">
        <v>35</v>
      </c>
      <c r="L205" s="48" t="s">
        <v>36</v>
      </c>
      <c r="M205" s="48" t="s">
        <v>36</v>
      </c>
      <c r="N205" s="48" t="s">
        <v>36</v>
      </c>
      <c r="O205" s="48" t="s">
        <v>36</v>
      </c>
      <c r="P205" s="48" t="s">
        <v>36</v>
      </c>
      <c r="Q205" s="48" t="s">
        <v>36</v>
      </c>
      <c r="R205" s="48" t="s">
        <v>36</v>
      </c>
      <c r="S205" s="49" t="s">
        <v>36</v>
      </c>
      <c r="T205" s="50" t="s">
        <v>36</v>
      </c>
      <c r="U205" s="51" t="s">
        <v>36</v>
      </c>
      <c r="V205" s="52" t="str">
        <f t="shared" ref="V205:X205" si="210">IF(lenb(SUBSTITUTE($Z205,V$1&amp;" (1)",""))&lt;lenb($Z205),1,IF(lenb(SUBSTITUTE($Z205,V$1&amp;" (2)",""))&lt;lenb($Z205),2,IF(lenb(SUBSTITUTE($Z205,V$1&amp;" (3)",""))&lt;lenb($Z205),3,IF(lenb(SUBSTITUTE($Z205,V$1&amp;" (4)",""))&lt;lenb($Z205),4,IF(lenb(SUBSTITUTE($Z205,V$1&amp;" (5)",""))&lt;lenb($Z205),5,IF(lenb(SUBSTITUTE($Z205,V$1&amp;" (6)",""))&lt;lenb($Z205),6,IF(lenb(SUBSTITUTE($Z205,V$1&amp;" (7)",""))&lt;lenb($Z205),1,IF(lenb(SUBSTITUTE($Z205,V$1&amp;" (8)",""))&lt;lenb($Z205),8,IF(lenb(SUBSTITUTE($Z205,V$1&amp;" (9)",""))&lt;lenb($Z205),9,IF(lenb(SUBSTITUTE($Z205,V$1&amp;" (10)",""))&lt;lenb($Z205),10,IF(lenb(SUBSTITUTE($Z205,V$1,""))&lt;lenb($Z205),"ERROR",IF($Z205=$Y$1,"-",0))))))))))))</f>
        <v>-</v>
      </c>
      <c r="W205" s="52" t="str">
        <f t="shared" si="210"/>
        <v>-</v>
      </c>
      <c r="X205" s="52" t="str">
        <f t="shared" si="210"/>
        <v>-</v>
      </c>
      <c r="Y205" s="52">
        <f t="shared" si="3"/>
        <v>1</v>
      </c>
      <c r="Z205" s="52" t="s">
        <v>23</v>
      </c>
      <c r="AA205" s="53">
        <f t="shared" si="4"/>
        <v>0</v>
      </c>
      <c r="AB205" s="54">
        <f>COUNTIFS(Links!B:B,"ICSE",Links!C:C,A205,Links!AD:AD,1)</f>
        <v>0</v>
      </c>
      <c r="AC205" s="55" t="s">
        <v>36</v>
      </c>
      <c r="AD205" s="47" t="str">
        <f t="shared" si="5"/>
        <v>No</v>
      </c>
      <c r="AE205" s="56" t="s">
        <v>36</v>
      </c>
      <c r="AF205" s="57" t="s">
        <v>42</v>
      </c>
      <c r="AG205" s="57" t="s">
        <v>42</v>
      </c>
      <c r="AH205" s="57" t="s">
        <v>42</v>
      </c>
      <c r="AI205" s="49" t="str">
        <f t="shared" si="6"/>
        <v>----</v>
      </c>
      <c r="AJ205" s="58" t="str">
        <f t="shared" si="7"/>
        <v>Paper has no link and no statement</v>
      </c>
      <c r="AK205" s="59">
        <v>45034.0</v>
      </c>
      <c r="AL205" s="43" t="s">
        <v>43</v>
      </c>
      <c r="AM205" s="60" t="str">
        <f t="shared" si="8"/>
        <v>[IP1527]</v>
      </c>
    </row>
    <row r="206" ht="67.5" customHeight="1">
      <c r="A206" s="61">
        <v>1528.0</v>
      </c>
      <c r="B206" s="22" t="s">
        <v>521</v>
      </c>
      <c r="C206" s="23">
        <v>2016.0</v>
      </c>
      <c r="D206" s="24" t="s">
        <v>35</v>
      </c>
      <c r="E206" s="25" t="s">
        <v>36</v>
      </c>
      <c r="F206" s="25" t="s">
        <v>36</v>
      </c>
      <c r="G206" s="25" t="s">
        <v>36</v>
      </c>
      <c r="H206" s="25" t="s">
        <v>36</v>
      </c>
      <c r="I206" s="25" t="s">
        <v>36</v>
      </c>
      <c r="J206" s="26" t="s">
        <v>36</v>
      </c>
      <c r="K206" s="27" t="s">
        <v>37</v>
      </c>
      <c r="L206" s="28" t="s">
        <v>37</v>
      </c>
      <c r="M206" s="28" t="s">
        <v>35</v>
      </c>
      <c r="N206" s="28" t="s">
        <v>35</v>
      </c>
      <c r="O206" s="28" t="s">
        <v>37</v>
      </c>
      <c r="P206" s="28" t="s">
        <v>35</v>
      </c>
      <c r="Q206" s="28" t="s">
        <v>35</v>
      </c>
      <c r="R206" s="28" t="s">
        <v>37</v>
      </c>
      <c r="S206" s="29" t="s">
        <v>522</v>
      </c>
      <c r="T206" s="30" t="s">
        <v>523</v>
      </c>
      <c r="U206" s="30" t="s">
        <v>524</v>
      </c>
      <c r="V206" s="32">
        <f t="shared" ref="V206:X206" si="211">IF(lenb(SUBSTITUTE($Z206,V$1&amp;" (1)",""))&lt;lenb($Z206),1,IF(lenb(SUBSTITUTE($Z206,V$1&amp;" (2)",""))&lt;lenb($Z206),2,IF(lenb(SUBSTITUTE($Z206,V$1&amp;" (3)",""))&lt;lenb($Z206),3,IF(lenb(SUBSTITUTE($Z206,V$1&amp;" (4)",""))&lt;lenb($Z206),4,IF(lenb(SUBSTITUTE($Z206,V$1&amp;" (5)",""))&lt;lenb($Z206),5,IF(lenb(SUBSTITUTE($Z206,V$1&amp;" (6)",""))&lt;lenb($Z206),6,IF(lenb(SUBSTITUTE($Z206,V$1&amp;" (7)",""))&lt;lenb($Z206),1,IF(lenb(SUBSTITUTE($Z206,V$1&amp;" (8)",""))&lt;lenb($Z206),8,IF(lenb(SUBSTITUTE($Z206,V$1&amp;" (9)",""))&lt;lenb($Z206),9,IF(lenb(SUBSTITUTE($Z206,V$1&amp;" (10)",""))&lt;lenb($Z206),10,IF(lenb(SUBSTITUTE($Z206,V$1,""))&lt;lenb($Z206),"ERROR",IF($Z206=$Y$1,"-",0))))))))))))</f>
        <v>3</v>
      </c>
      <c r="W206" s="32">
        <f t="shared" si="211"/>
        <v>3</v>
      </c>
      <c r="X206" s="32">
        <f t="shared" si="211"/>
        <v>0</v>
      </c>
      <c r="Y206" s="32" t="str">
        <f t="shared" si="3"/>
        <v>-</v>
      </c>
      <c r="Z206" s="32" t="s">
        <v>525</v>
      </c>
      <c r="AA206" s="33">
        <f t="shared" si="4"/>
        <v>6</v>
      </c>
      <c r="AB206" s="34">
        <f>COUNTIFS(Links!B:B,"ICSE",Links!C:C,A206,Links!AD:AD,1)</f>
        <v>6</v>
      </c>
      <c r="AC206" s="35" t="s">
        <v>35</v>
      </c>
      <c r="AD206" s="27" t="str">
        <f t="shared" si="5"/>
        <v>No</v>
      </c>
      <c r="AE206" s="36" t="s">
        <v>36</v>
      </c>
      <c r="AF206" s="37" t="s">
        <v>42</v>
      </c>
      <c r="AG206" s="37" t="s">
        <v>42</v>
      </c>
      <c r="AH206" s="37" t="s">
        <v>42</v>
      </c>
      <c r="AI206" s="29" t="str">
        <f t="shared" si="6"/>
        <v>----</v>
      </c>
      <c r="AJ206" s="38" t="str">
        <f t="shared" si="7"/>
        <v>Paper has link but no statement</v>
      </c>
      <c r="AK206" s="39">
        <v>45034.0</v>
      </c>
      <c r="AL206" s="23" t="s">
        <v>43</v>
      </c>
      <c r="AM206" s="40" t="str">
        <f t="shared" si="8"/>
        <v>[IP1528]</v>
      </c>
    </row>
    <row r="207" ht="67.5" customHeight="1">
      <c r="A207" s="41">
        <v>1529.0</v>
      </c>
      <c r="B207" s="42" t="s">
        <v>526</v>
      </c>
      <c r="C207" s="43">
        <v>2016.0</v>
      </c>
      <c r="D207" s="44" t="s">
        <v>35</v>
      </c>
      <c r="E207" s="45" t="s">
        <v>36</v>
      </c>
      <c r="F207" s="45" t="s">
        <v>36</v>
      </c>
      <c r="G207" s="45" t="s">
        <v>36</v>
      </c>
      <c r="H207" s="45" t="s">
        <v>36</v>
      </c>
      <c r="I207" s="45" t="s">
        <v>36</v>
      </c>
      <c r="J207" s="46" t="s">
        <v>36</v>
      </c>
      <c r="K207" s="47" t="s">
        <v>35</v>
      </c>
      <c r="L207" s="48" t="s">
        <v>36</v>
      </c>
      <c r="M207" s="48" t="s">
        <v>36</v>
      </c>
      <c r="N207" s="48" t="s">
        <v>36</v>
      </c>
      <c r="O207" s="48" t="s">
        <v>36</v>
      </c>
      <c r="P207" s="48" t="s">
        <v>36</v>
      </c>
      <c r="Q207" s="48" t="s">
        <v>36</v>
      </c>
      <c r="R207" s="48" t="s">
        <v>36</v>
      </c>
      <c r="S207" s="49" t="s">
        <v>36</v>
      </c>
      <c r="T207" s="50" t="s">
        <v>36</v>
      </c>
      <c r="U207" s="51" t="s">
        <v>36</v>
      </c>
      <c r="V207" s="52" t="str">
        <f t="shared" ref="V207:X207" si="212">IF(lenb(SUBSTITUTE($Z207,V$1&amp;" (1)",""))&lt;lenb($Z207),1,IF(lenb(SUBSTITUTE($Z207,V$1&amp;" (2)",""))&lt;lenb($Z207),2,IF(lenb(SUBSTITUTE($Z207,V$1&amp;" (3)",""))&lt;lenb($Z207),3,IF(lenb(SUBSTITUTE($Z207,V$1&amp;" (4)",""))&lt;lenb($Z207),4,IF(lenb(SUBSTITUTE($Z207,V$1&amp;" (5)",""))&lt;lenb($Z207),5,IF(lenb(SUBSTITUTE($Z207,V$1&amp;" (6)",""))&lt;lenb($Z207),6,IF(lenb(SUBSTITUTE($Z207,V$1&amp;" (7)",""))&lt;lenb($Z207),1,IF(lenb(SUBSTITUTE($Z207,V$1&amp;" (8)",""))&lt;lenb($Z207),8,IF(lenb(SUBSTITUTE($Z207,V$1&amp;" (9)",""))&lt;lenb($Z207),9,IF(lenb(SUBSTITUTE($Z207,V$1&amp;" (10)",""))&lt;lenb($Z207),10,IF(lenb(SUBSTITUTE($Z207,V$1,""))&lt;lenb($Z207),"ERROR",IF($Z207=$Y$1,"-",0))))))))))))</f>
        <v>-</v>
      </c>
      <c r="W207" s="52" t="str">
        <f t="shared" si="212"/>
        <v>-</v>
      </c>
      <c r="X207" s="52" t="str">
        <f t="shared" si="212"/>
        <v>-</v>
      </c>
      <c r="Y207" s="52">
        <f t="shared" si="3"/>
        <v>1</v>
      </c>
      <c r="Z207" s="52" t="s">
        <v>23</v>
      </c>
      <c r="AA207" s="53">
        <f t="shared" si="4"/>
        <v>0</v>
      </c>
      <c r="AB207" s="54">
        <f>COUNTIFS(Links!B:B,"ICSE",Links!C:C,A207,Links!AD:AD,1)</f>
        <v>0</v>
      </c>
      <c r="AC207" s="55" t="s">
        <v>36</v>
      </c>
      <c r="AD207" s="47" t="str">
        <f t="shared" si="5"/>
        <v>No</v>
      </c>
      <c r="AE207" s="56" t="s">
        <v>36</v>
      </c>
      <c r="AF207" s="57" t="s">
        <v>42</v>
      </c>
      <c r="AG207" s="57" t="s">
        <v>42</v>
      </c>
      <c r="AH207" s="57" t="s">
        <v>42</v>
      </c>
      <c r="AI207" s="49" t="str">
        <f t="shared" si="6"/>
        <v>----</v>
      </c>
      <c r="AJ207" s="58" t="str">
        <f t="shared" si="7"/>
        <v>Paper has no link and no statement</v>
      </c>
      <c r="AK207" s="59">
        <v>45034.0</v>
      </c>
      <c r="AL207" s="43" t="s">
        <v>43</v>
      </c>
      <c r="AM207" s="60" t="str">
        <f t="shared" si="8"/>
        <v>[IP1529]</v>
      </c>
    </row>
    <row r="208" ht="67.5" customHeight="1">
      <c r="A208" s="61">
        <v>1530.0</v>
      </c>
      <c r="B208" s="22" t="s">
        <v>527</v>
      </c>
      <c r="C208" s="23">
        <v>2016.0</v>
      </c>
      <c r="D208" s="24" t="s">
        <v>35</v>
      </c>
      <c r="E208" s="25" t="s">
        <v>36</v>
      </c>
      <c r="F208" s="25" t="s">
        <v>36</v>
      </c>
      <c r="G208" s="25" t="s">
        <v>36</v>
      </c>
      <c r="H208" s="25" t="s">
        <v>36</v>
      </c>
      <c r="I208" s="25" t="s">
        <v>36</v>
      </c>
      <c r="J208" s="26" t="s">
        <v>36</v>
      </c>
      <c r="K208" s="27" t="s">
        <v>37</v>
      </c>
      <c r="L208" s="28" t="s">
        <v>37</v>
      </c>
      <c r="M208" s="28" t="s">
        <v>37</v>
      </c>
      <c r="N208" s="28" t="s">
        <v>35</v>
      </c>
      <c r="O208" s="28" t="s">
        <v>37</v>
      </c>
      <c r="P208" s="28" t="s">
        <v>35</v>
      </c>
      <c r="Q208" s="28" t="s">
        <v>35</v>
      </c>
      <c r="R208" s="28" t="s">
        <v>37</v>
      </c>
      <c r="S208" s="29" t="s">
        <v>528</v>
      </c>
      <c r="T208" s="30" t="s">
        <v>529</v>
      </c>
      <c r="U208" s="31" t="s">
        <v>529</v>
      </c>
      <c r="V208" s="32">
        <f t="shared" ref="V208:X208" si="213">IF(lenb(SUBSTITUTE($Z208,V$1&amp;" (1)",""))&lt;lenb($Z208),1,IF(lenb(SUBSTITUTE($Z208,V$1&amp;" (2)",""))&lt;lenb($Z208),2,IF(lenb(SUBSTITUTE($Z208,V$1&amp;" (3)",""))&lt;lenb($Z208),3,IF(lenb(SUBSTITUTE($Z208,V$1&amp;" (4)",""))&lt;lenb($Z208),4,IF(lenb(SUBSTITUTE($Z208,V$1&amp;" (5)",""))&lt;lenb($Z208),5,IF(lenb(SUBSTITUTE($Z208,V$1&amp;" (6)",""))&lt;lenb($Z208),6,IF(lenb(SUBSTITUTE($Z208,V$1&amp;" (7)",""))&lt;lenb($Z208),1,IF(lenb(SUBSTITUTE($Z208,V$1&amp;" (8)",""))&lt;lenb($Z208),8,IF(lenb(SUBSTITUTE($Z208,V$1&amp;" (9)",""))&lt;lenb($Z208),9,IF(lenb(SUBSTITUTE($Z208,V$1&amp;" (10)",""))&lt;lenb($Z208),10,IF(lenb(SUBSTITUTE($Z208,V$1,""))&lt;lenb($Z208),"ERROR",IF($Z208=$Y$1,"-",0))))))))))))</f>
        <v>1</v>
      </c>
      <c r="W208" s="32">
        <f t="shared" si="213"/>
        <v>1</v>
      </c>
      <c r="X208" s="32">
        <f t="shared" si="213"/>
        <v>0</v>
      </c>
      <c r="Y208" s="32" t="str">
        <f t="shared" si="3"/>
        <v>-</v>
      </c>
      <c r="Z208" s="32" t="s">
        <v>79</v>
      </c>
      <c r="AA208" s="33">
        <f t="shared" si="4"/>
        <v>2</v>
      </c>
      <c r="AB208" s="34">
        <f>COUNTIFS(Links!B:B,"ICSE",Links!C:C,A208,Links!AD:AD,1)</f>
        <v>0</v>
      </c>
      <c r="AC208" s="35" t="s">
        <v>37</v>
      </c>
      <c r="AD208" s="27" t="str">
        <f t="shared" si="5"/>
        <v>No</v>
      </c>
      <c r="AE208" s="36" t="s">
        <v>36</v>
      </c>
      <c r="AF208" s="37" t="s">
        <v>42</v>
      </c>
      <c r="AG208" s="37" t="s">
        <v>42</v>
      </c>
      <c r="AH208" s="37" t="s">
        <v>42</v>
      </c>
      <c r="AI208" s="29" t="str">
        <f t="shared" si="6"/>
        <v>----</v>
      </c>
      <c r="AJ208" s="38" t="str">
        <f t="shared" si="7"/>
        <v>Paper has link but no statement</v>
      </c>
      <c r="AK208" s="39">
        <v>45034.0</v>
      </c>
      <c r="AL208" s="23" t="s">
        <v>43</v>
      </c>
      <c r="AM208" s="40" t="str">
        <f t="shared" si="8"/>
        <v>[IP1530]</v>
      </c>
    </row>
    <row r="209" ht="67.5" customHeight="1">
      <c r="A209" s="41">
        <v>1531.0</v>
      </c>
      <c r="B209" s="42" t="s">
        <v>530</v>
      </c>
      <c r="C209" s="43">
        <v>2016.0</v>
      </c>
      <c r="D209" s="44" t="s">
        <v>35</v>
      </c>
      <c r="E209" s="45" t="s">
        <v>36</v>
      </c>
      <c r="F209" s="45" t="s">
        <v>36</v>
      </c>
      <c r="G209" s="45" t="s">
        <v>36</v>
      </c>
      <c r="H209" s="45" t="s">
        <v>36</v>
      </c>
      <c r="I209" s="45" t="s">
        <v>36</v>
      </c>
      <c r="J209" s="46" t="s">
        <v>36</v>
      </c>
      <c r="K209" s="47" t="s">
        <v>35</v>
      </c>
      <c r="L209" s="48" t="s">
        <v>36</v>
      </c>
      <c r="M209" s="48" t="s">
        <v>36</v>
      </c>
      <c r="N209" s="48" t="s">
        <v>36</v>
      </c>
      <c r="O209" s="48" t="s">
        <v>36</v>
      </c>
      <c r="P209" s="48" t="s">
        <v>36</v>
      </c>
      <c r="Q209" s="48" t="s">
        <v>36</v>
      </c>
      <c r="R209" s="48" t="s">
        <v>36</v>
      </c>
      <c r="S209" s="49" t="s">
        <v>36</v>
      </c>
      <c r="T209" s="50" t="s">
        <v>36</v>
      </c>
      <c r="U209" s="51" t="s">
        <v>36</v>
      </c>
      <c r="V209" s="52" t="str">
        <f t="shared" ref="V209:X209" si="214">IF(lenb(SUBSTITUTE($Z209,V$1&amp;" (1)",""))&lt;lenb($Z209),1,IF(lenb(SUBSTITUTE($Z209,V$1&amp;" (2)",""))&lt;lenb($Z209),2,IF(lenb(SUBSTITUTE($Z209,V$1&amp;" (3)",""))&lt;lenb($Z209),3,IF(lenb(SUBSTITUTE($Z209,V$1&amp;" (4)",""))&lt;lenb($Z209),4,IF(lenb(SUBSTITUTE($Z209,V$1&amp;" (5)",""))&lt;lenb($Z209),5,IF(lenb(SUBSTITUTE($Z209,V$1&amp;" (6)",""))&lt;lenb($Z209),6,IF(lenb(SUBSTITUTE($Z209,V$1&amp;" (7)",""))&lt;lenb($Z209),1,IF(lenb(SUBSTITUTE($Z209,V$1&amp;" (8)",""))&lt;lenb($Z209),8,IF(lenb(SUBSTITUTE($Z209,V$1&amp;" (9)",""))&lt;lenb($Z209),9,IF(lenb(SUBSTITUTE($Z209,V$1&amp;" (10)",""))&lt;lenb($Z209),10,IF(lenb(SUBSTITUTE($Z209,V$1,""))&lt;lenb($Z209),"ERROR",IF($Z209=$Y$1,"-",0))))))))))))</f>
        <v>-</v>
      </c>
      <c r="W209" s="52" t="str">
        <f t="shared" si="214"/>
        <v>-</v>
      </c>
      <c r="X209" s="52" t="str">
        <f t="shared" si="214"/>
        <v>-</v>
      </c>
      <c r="Y209" s="52">
        <f t="shared" si="3"/>
        <v>1</v>
      </c>
      <c r="Z209" s="52" t="s">
        <v>23</v>
      </c>
      <c r="AA209" s="53">
        <f t="shared" si="4"/>
        <v>0</v>
      </c>
      <c r="AB209" s="54">
        <f>COUNTIFS(Links!B:B,"ICSE",Links!C:C,A209,Links!AD:AD,1)</f>
        <v>0</v>
      </c>
      <c r="AC209" s="55" t="s">
        <v>36</v>
      </c>
      <c r="AD209" s="47" t="str">
        <f t="shared" si="5"/>
        <v>No</v>
      </c>
      <c r="AE209" s="56" t="s">
        <v>36</v>
      </c>
      <c r="AF209" s="57" t="s">
        <v>42</v>
      </c>
      <c r="AG209" s="57" t="s">
        <v>42</v>
      </c>
      <c r="AH209" s="57" t="s">
        <v>42</v>
      </c>
      <c r="AI209" s="49" t="str">
        <f t="shared" si="6"/>
        <v>----</v>
      </c>
      <c r="AJ209" s="58" t="str">
        <f t="shared" si="7"/>
        <v>Paper has no link and no statement</v>
      </c>
      <c r="AK209" s="59">
        <v>45034.0</v>
      </c>
      <c r="AL209" s="43" t="s">
        <v>43</v>
      </c>
      <c r="AM209" s="60" t="str">
        <f t="shared" si="8"/>
        <v>[IP1531]</v>
      </c>
    </row>
    <row r="210" ht="67.5" customHeight="1">
      <c r="A210" s="61">
        <v>1532.0</v>
      </c>
      <c r="B210" s="22" t="s">
        <v>531</v>
      </c>
      <c r="C210" s="23">
        <v>2016.0</v>
      </c>
      <c r="D210" s="24" t="s">
        <v>35</v>
      </c>
      <c r="E210" s="25" t="s">
        <v>36</v>
      </c>
      <c r="F210" s="25" t="s">
        <v>36</v>
      </c>
      <c r="G210" s="25" t="s">
        <v>36</v>
      </c>
      <c r="H210" s="25" t="s">
        <v>36</v>
      </c>
      <c r="I210" s="25" t="s">
        <v>36</v>
      </c>
      <c r="J210" s="26" t="s">
        <v>36</v>
      </c>
      <c r="K210" s="27" t="s">
        <v>35</v>
      </c>
      <c r="L210" s="28" t="s">
        <v>36</v>
      </c>
      <c r="M210" s="28" t="s">
        <v>36</v>
      </c>
      <c r="N210" s="28" t="s">
        <v>36</v>
      </c>
      <c r="O210" s="28" t="s">
        <v>36</v>
      </c>
      <c r="P210" s="28" t="s">
        <v>36</v>
      </c>
      <c r="Q210" s="28" t="s">
        <v>36</v>
      </c>
      <c r="R210" s="28" t="s">
        <v>36</v>
      </c>
      <c r="S210" s="29" t="s">
        <v>36</v>
      </c>
      <c r="T210" s="30" t="s">
        <v>36</v>
      </c>
      <c r="U210" s="31" t="s">
        <v>36</v>
      </c>
      <c r="V210" s="32" t="str">
        <f t="shared" ref="V210:X210" si="215">IF(lenb(SUBSTITUTE($Z210,V$1&amp;" (1)",""))&lt;lenb($Z210),1,IF(lenb(SUBSTITUTE($Z210,V$1&amp;" (2)",""))&lt;lenb($Z210),2,IF(lenb(SUBSTITUTE($Z210,V$1&amp;" (3)",""))&lt;lenb($Z210),3,IF(lenb(SUBSTITUTE($Z210,V$1&amp;" (4)",""))&lt;lenb($Z210),4,IF(lenb(SUBSTITUTE($Z210,V$1&amp;" (5)",""))&lt;lenb($Z210),5,IF(lenb(SUBSTITUTE($Z210,V$1&amp;" (6)",""))&lt;lenb($Z210),6,IF(lenb(SUBSTITUTE($Z210,V$1&amp;" (7)",""))&lt;lenb($Z210),1,IF(lenb(SUBSTITUTE($Z210,V$1&amp;" (8)",""))&lt;lenb($Z210),8,IF(lenb(SUBSTITUTE($Z210,V$1&amp;" (9)",""))&lt;lenb($Z210),9,IF(lenb(SUBSTITUTE($Z210,V$1&amp;" (10)",""))&lt;lenb($Z210),10,IF(lenb(SUBSTITUTE($Z210,V$1,""))&lt;lenb($Z210),"ERROR",IF($Z210=$Y$1,"-",0))))))))))))</f>
        <v>-</v>
      </c>
      <c r="W210" s="32" t="str">
        <f t="shared" si="215"/>
        <v>-</v>
      </c>
      <c r="X210" s="32" t="str">
        <f t="shared" si="215"/>
        <v>-</v>
      </c>
      <c r="Y210" s="32">
        <f t="shared" si="3"/>
        <v>1</v>
      </c>
      <c r="Z210" s="32" t="s">
        <v>23</v>
      </c>
      <c r="AA210" s="33">
        <f t="shared" si="4"/>
        <v>0</v>
      </c>
      <c r="AB210" s="34">
        <f>COUNTIFS(Links!B:B,"ICSE",Links!C:C,A210,Links!AD:AD,1)</f>
        <v>0</v>
      </c>
      <c r="AC210" s="35" t="s">
        <v>36</v>
      </c>
      <c r="AD210" s="27" t="str">
        <f t="shared" si="5"/>
        <v>No</v>
      </c>
      <c r="AE210" s="36" t="s">
        <v>36</v>
      </c>
      <c r="AF210" s="37" t="s">
        <v>42</v>
      </c>
      <c r="AG210" s="37" t="s">
        <v>42</v>
      </c>
      <c r="AH210" s="37" t="s">
        <v>42</v>
      </c>
      <c r="AI210" s="29" t="str">
        <f t="shared" si="6"/>
        <v>----</v>
      </c>
      <c r="AJ210" s="38" t="str">
        <f t="shared" si="7"/>
        <v>Paper has no link and no statement</v>
      </c>
      <c r="AK210" s="39">
        <v>45034.0</v>
      </c>
      <c r="AL210" s="23" t="s">
        <v>43</v>
      </c>
      <c r="AM210" s="40" t="str">
        <f t="shared" si="8"/>
        <v>[IP1532]</v>
      </c>
    </row>
    <row r="211" ht="67.5" customHeight="1">
      <c r="A211" s="41">
        <v>1533.0</v>
      </c>
      <c r="B211" s="42" t="s">
        <v>532</v>
      </c>
      <c r="C211" s="43">
        <v>2016.0</v>
      </c>
      <c r="D211" s="44" t="s">
        <v>35</v>
      </c>
      <c r="E211" s="45" t="s">
        <v>36</v>
      </c>
      <c r="F211" s="45" t="s">
        <v>36</v>
      </c>
      <c r="G211" s="45" t="s">
        <v>36</v>
      </c>
      <c r="H211" s="45" t="s">
        <v>36</v>
      </c>
      <c r="I211" s="45" t="s">
        <v>36</v>
      </c>
      <c r="J211" s="46" t="s">
        <v>36</v>
      </c>
      <c r="K211" s="47" t="s">
        <v>35</v>
      </c>
      <c r="L211" s="48" t="s">
        <v>36</v>
      </c>
      <c r="M211" s="48" t="s">
        <v>36</v>
      </c>
      <c r="N211" s="48" t="s">
        <v>36</v>
      </c>
      <c r="O211" s="48" t="s">
        <v>36</v>
      </c>
      <c r="P211" s="48" t="s">
        <v>36</v>
      </c>
      <c r="Q211" s="48" t="s">
        <v>36</v>
      </c>
      <c r="R211" s="48" t="s">
        <v>36</v>
      </c>
      <c r="S211" s="49" t="s">
        <v>36</v>
      </c>
      <c r="T211" s="50" t="s">
        <v>36</v>
      </c>
      <c r="U211" s="51" t="s">
        <v>36</v>
      </c>
      <c r="V211" s="52" t="str">
        <f t="shared" ref="V211:X211" si="216">IF(lenb(SUBSTITUTE($Z211,V$1&amp;" (1)",""))&lt;lenb($Z211),1,IF(lenb(SUBSTITUTE($Z211,V$1&amp;" (2)",""))&lt;lenb($Z211),2,IF(lenb(SUBSTITUTE($Z211,V$1&amp;" (3)",""))&lt;lenb($Z211),3,IF(lenb(SUBSTITUTE($Z211,V$1&amp;" (4)",""))&lt;lenb($Z211),4,IF(lenb(SUBSTITUTE($Z211,V$1&amp;" (5)",""))&lt;lenb($Z211),5,IF(lenb(SUBSTITUTE($Z211,V$1&amp;" (6)",""))&lt;lenb($Z211),6,IF(lenb(SUBSTITUTE($Z211,V$1&amp;" (7)",""))&lt;lenb($Z211),1,IF(lenb(SUBSTITUTE($Z211,V$1&amp;" (8)",""))&lt;lenb($Z211),8,IF(lenb(SUBSTITUTE($Z211,V$1&amp;" (9)",""))&lt;lenb($Z211),9,IF(lenb(SUBSTITUTE($Z211,V$1&amp;" (10)",""))&lt;lenb($Z211),10,IF(lenb(SUBSTITUTE($Z211,V$1,""))&lt;lenb($Z211),"ERROR",IF($Z211=$Y$1,"-",0))))))))))))</f>
        <v>-</v>
      </c>
      <c r="W211" s="52" t="str">
        <f t="shared" si="216"/>
        <v>-</v>
      </c>
      <c r="X211" s="52" t="str">
        <f t="shared" si="216"/>
        <v>-</v>
      </c>
      <c r="Y211" s="52">
        <f t="shared" si="3"/>
        <v>1</v>
      </c>
      <c r="Z211" s="52" t="s">
        <v>23</v>
      </c>
      <c r="AA211" s="53">
        <f t="shared" si="4"/>
        <v>0</v>
      </c>
      <c r="AB211" s="54">
        <f>COUNTIFS(Links!B:B,"ICSE",Links!C:C,A211,Links!AD:AD,1)</f>
        <v>0</v>
      </c>
      <c r="AC211" s="55" t="s">
        <v>36</v>
      </c>
      <c r="AD211" s="47" t="str">
        <f t="shared" si="5"/>
        <v>No</v>
      </c>
      <c r="AE211" s="56" t="s">
        <v>36</v>
      </c>
      <c r="AF211" s="57" t="s">
        <v>42</v>
      </c>
      <c r="AG211" s="57" t="s">
        <v>42</v>
      </c>
      <c r="AH211" s="57" t="s">
        <v>42</v>
      </c>
      <c r="AI211" s="49" t="str">
        <f t="shared" si="6"/>
        <v>----</v>
      </c>
      <c r="AJ211" s="58" t="str">
        <f t="shared" si="7"/>
        <v>Paper has no link and no statement</v>
      </c>
      <c r="AK211" s="59">
        <v>45034.0</v>
      </c>
      <c r="AL211" s="43" t="s">
        <v>43</v>
      </c>
      <c r="AM211" s="60" t="str">
        <f t="shared" si="8"/>
        <v>[IP1533]</v>
      </c>
    </row>
    <row r="212" ht="67.5" customHeight="1">
      <c r="A212" s="61">
        <v>1534.0</v>
      </c>
      <c r="B212" s="22" t="s">
        <v>533</v>
      </c>
      <c r="C212" s="23">
        <v>2016.0</v>
      </c>
      <c r="D212" s="24" t="s">
        <v>35</v>
      </c>
      <c r="E212" s="25" t="s">
        <v>36</v>
      </c>
      <c r="F212" s="25" t="s">
        <v>36</v>
      </c>
      <c r="G212" s="25" t="s">
        <v>36</v>
      </c>
      <c r="H212" s="25" t="s">
        <v>36</v>
      </c>
      <c r="I212" s="25" t="s">
        <v>36</v>
      </c>
      <c r="J212" s="26" t="s">
        <v>36</v>
      </c>
      <c r="K212" s="27" t="s">
        <v>35</v>
      </c>
      <c r="L212" s="28" t="s">
        <v>36</v>
      </c>
      <c r="M212" s="28" t="s">
        <v>36</v>
      </c>
      <c r="N212" s="28" t="s">
        <v>36</v>
      </c>
      <c r="O212" s="28" t="s">
        <v>36</v>
      </c>
      <c r="P212" s="28" t="s">
        <v>36</v>
      </c>
      <c r="Q212" s="28" t="s">
        <v>36</v>
      </c>
      <c r="R212" s="28" t="s">
        <v>36</v>
      </c>
      <c r="S212" s="29" t="s">
        <v>36</v>
      </c>
      <c r="T212" s="30" t="s">
        <v>36</v>
      </c>
      <c r="U212" s="31" t="s">
        <v>36</v>
      </c>
      <c r="V212" s="32" t="str">
        <f t="shared" ref="V212:X212" si="217">IF(lenb(SUBSTITUTE($Z212,V$1&amp;" (1)",""))&lt;lenb($Z212),1,IF(lenb(SUBSTITUTE($Z212,V$1&amp;" (2)",""))&lt;lenb($Z212),2,IF(lenb(SUBSTITUTE($Z212,V$1&amp;" (3)",""))&lt;lenb($Z212),3,IF(lenb(SUBSTITUTE($Z212,V$1&amp;" (4)",""))&lt;lenb($Z212),4,IF(lenb(SUBSTITUTE($Z212,V$1&amp;" (5)",""))&lt;lenb($Z212),5,IF(lenb(SUBSTITUTE($Z212,V$1&amp;" (6)",""))&lt;lenb($Z212),6,IF(lenb(SUBSTITUTE($Z212,V$1&amp;" (7)",""))&lt;lenb($Z212),1,IF(lenb(SUBSTITUTE($Z212,V$1&amp;" (8)",""))&lt;lenb($Z212),8,IF(lenb(SUBSTITUTE($Z212,V$1&amp;" (9)",""))&lt;lenb($Z212),9,IF(lenb(SUBSTITUTE($Z212,V$1&amp;" (10)",""))&lt;lenb($Z212),10,IF(lenb(SUBSTITUTE($Z212,V$1,""))&lt;lenb($Z212),"ERROR",IF($Z212=$Y$1,"-",0))))))))))))</f>
        <v>-</v>
      </c>
      <c r="W212" s="32" t="str">
        <f t="shared" si="217"/>
        <v>-</v>
      </c>
      <c r="X212" s="32" t="str">
        <f t="shared" si="217"/>
        <v>-</v>
      </c>
      <c r="Y212" s="32">
        <f t="shared" si="3"/>
        <v>1</v>
      </c>
      <c r="Z212" s="32" t="s">
        <v>23</v>
      </c>
      <c r="AA212" s="33">
        <f t="shared" si="4"/>
        <v>0</v>
      </c>
      <c r="AB212" s="34">
        <f>COUNTIFS(Links!B:B,"ICSE",Links!C:C,A212,Links!AD:AD,1)</f>
        <v>0</v>
      </c>
      <c r="AC212" s="35" t="s">
        <v>36</v>
      </c>
      <c r="AD212" s="27" t="str">
        <f t="shared" si="5"/>
        <v>No</v>
      </c>
      <c r="AE212" s="36" t="s">
        <v>36</v>
      </c>
      <c r="AF212" s="37" t="s">
        <v>42</v>
      </c>
      <c r="AG212" s="37" t="s">
        <v>42</v>
      </c>
      <c r="AH212" s="37" t="s">
        <v>42</v>
      </c>
      <c r="AI212" s="29" t="str">
        <f t="shared" si="6"/>
        <v>----</v>
      </c>
      <c r="AJ212" s="38" t="str">
        <f t="shared" si="7"/>
        <v>Paper has no link and no statement</v>
      </c>
      <c r="AK212" s="39">
        <v>45034.0</v>
      </c>
      <c r="AL212" s="23" t="s">
        <v>43</v>
      </c>
      <c r="AM212" s="40" t="str">
        <f t="shared" si="8"/>
        <v>[IP1534]</v>
      </c>
    </row>
    <row r="213" ht="67.5" customHeight="1">
      <c r="A213" s="41">
        <v>1535.0</v>
      </c>
      <c r="B213" s="42" t="s">
        <v>534</v>
      </c>
      <c r="C213" s="43">
        <v>2016.0</v>
      </c>
      <c r="D213" s="44" t="s">
        <v>35</v>
      </c>
      <c r="E213" s="45" t="s">
        <v>36</v>
      </c>
      <c r="F213" s="45" t="s">
        <v>36</v>
      </c>
      <c r="G213" s="45" t="s">
        <v>36</v>
      </c>
      <c r="H213" s="45" t="s">
        <v>36</v>
      </c>
      <c r="I213" s="45" t="s">
        <v>36</v>
      </c>
      <c r="J213" s="46" t="s">
        <v>36</v>
      </c>
      <c r="K213" s="47" t="s">
        <v>37</v>
      </c>
      <c r="L213" s="48" t="s">
        <v>35</v>
      </c>
      <c r="M213" s="48" t="s">
        <v>37</v>
      </c>
      <c r="N213" s="48" t="s">
        <v>37</v>
      </c>
      <c r="O213" s="48" t="s">
        <v>35</v>
      </c>
      <c r="P213" s="48" t="s">
        <v>35</v>
      </c>
      <c r="Q213" s="48" t="s">
        <v>35</v>
      </c>
      <c r="R213" s="48" t="s">
        <v>37</v>
      </c>
      <c r="S213" s="49" t="s">
        <v>535</v>
      </c>
      <c r="T213" s="50" t="s">
        <v>536</v>
      </c>
      <c r="U213" s="51" t="s">
        <v>536</v>
      </c>
      <c r="V213" s="52">
        <f t="shared" ref="V213:X213" si="218">IF(lenb(SUBSTITUTE($Z213,V$1&amp;" (1)",""))&lt;lenb($Z213),1,IF(lenb(SUBSTITUTE($Z213,V$1&amp;" (2)",""))&lt;lenb($Z213),2,IF(lenb(SUBSTITUTE($Z213,V$1&amp;" (3)",""))&lt;lenb($Z213),3,IF(lenb(SUBSTITUTE($Z213,V$1&amp;" (4)",""))&lt;lenb($Z213),4,IF(lenb(SUBSTITUTE($Z213,V$1&amp;" (5)",""))&lt;lenb($Z213),5,IF(lenb(SUBSTITUTE($Z213,V$1&amp;" (6)",""))&lt;lenb($Z213),6,IF(lenb(SUBSTITUTE($Z213,V$1&amp;" (7)",""))&lt;lenb($Z213),1,IF(lenb(SUBSTITUTE($Z213,V$1&amp;" (8)",""))&lt;lenb($Z213),8,IF(lenb(SUBSTITUTE($Z213,V$1&amp;" (9)",""))&lt;lenb($Z213),9,IF(lenb(SUBSTITUTE($Z213,V$1&amp;" (10)",""))&lt;lenb($Z213),10,IF(lenb(SUBSTITUTE($Z213,V$1,""))&lt;lenb($Z213),"ERROR",IF($Z213=$Y$1,"-",0))))))))))))</f>
        <v>0</v>
      </c>
      <c r="W213" s="52">
        <f t="shared" si="218"/>
        <v>1</v>
      </c>
      <c r="X213" s="52">
        <f t="shared" si="218"/>
        <v>0</v>
      </c>
      <c r="Y213" s="52" t="str">
        <f t="shared" si="3"/>
        <v>-</v>
      </c>
      <c r="Z213" s="52" t="s">
        <v>47</v>
      </c>
      <c r="AA213" s="53">
        <f t="shared" si="4"/>
        <v>1</v>
      </c>
      <c r="AB213" s="54">
        <f>COUNTIFS(Links!B:B,"ICSE",Links!C:C,A213,Links!AD:AD,1)</f>
        <v>0</v>
      </c>
      <c r="AC213" s="55" t="s">
        <v>35</v>
      </c>
      <c r="AD213" s="47" t="str">
        <f t="shared" si="5"/>
        <v>No</v>
      </c>
      <c r="AE213" s="56" t="s">
        <v>36</v>
      </c>
      <c r="AF213" s="57" t="s">
        <v>42</v>
      </c>
      <c r="AG213" s="57" t="s">
        <v>42</v>
      </c>
      <c r="AH213" s="57" t="s">
        <v>42</v>
      </c>
      <c r="AI213" s="49" t="str">
        <f t="shared" si="6"/>
        <v>----</v>
      </c>
      <c r="AJ213" s="58" t="str">
        <f t="shared" si="7"/>
        <v>Paper has link but no statement</v>
      </c>
      <c r="AK213" s="59">
        <v>45034.0</v>
      </c>
      <c r="AL213" s="43" t="s">
        <v>43</v>
      </c>
      <c r="AM213" s="60" t="str">
        <f t="shared" si="8"/>
        <v>[IP1535]</v>
      </c>
    </row>
    <row r="214" ht="67.5" customHeight="1">
      <c r="A214" s="61">
        <v>1536.0</v>
      </c>
      <c r="B214" s="22" t="s">
        <v>537</v>
      </c>
      <c r="C214" s="23">
        <v>2016.0</v>
      </c>
      <c r="D214" s="24" t="s">
        <v>35</v>
      </c>
      <c r="E214" s="25" t="s">
        <v>36</v>
      </c>
      <c r="F214" s="25" t="s">
        <v>36</v>
      </c>
      <c r="G214" s="25" t="s">
        <v>36</v>
      </c>
      <c r="H214" s="25" t="s">
        <v>36</v>
      </c>
      <c r="I214" s="25" t="s">
        <v>36</v>
      </c>
      <c r="J214" s="26" t="s">
        <v>36</v>
      </c>
      <c r="K214" s="27" t="s">
        <v>37</v>
      </c>
      <c r="L214" s="28" t="s">
        <v>35</v>
      </c>
      <c r="M214" s="28" t="s">
        <v>35</v>
      </c>
      <c r="N214" s="28" t="s">
        <v>35</v>
      </c>
      <c r="O214" s="28" t="s">
        <v>35</v>
      </c>
      <c r="P214" s="28" t="s">
        <v>35</v>
      </c>
      <c r="Q214" s="28" t="s">
        <v>35</v>
      </c>
      <c r="R214" s="28" t="s">
        <v>37</v>
      </c>
      <c r="S214" s="29" t="s">
        <v>538</v>
      </c>
      <c r="T214" s="30" t="s">
        <v>539</v>
      </c>
      <c r="U214" s="31" t="s">
        <v>539</v>
      </c>
      <c r="V214" s="32">
        <f t="shared" ref="V214:X214" si="219">IF(lenb(SUBSTITUTE($Z214,V$1&amp;" (1)",""))&lt;lenb($Z214),1,IF(lenb(SUBSTITUTE($Z214,V$1&amp;" (2)",""))&lt;lenb($Z214),2,IF(lenb(SUBSTITUTE($Z214,V$1&amp;" (3)",""))&lt;lenb($Z214),3,IF(lenb(SUBSTITUTE($Z214,V$1&amp;" (4)",""))&lt;lenb($Z214),4,IF(lenb(SUBSTITUTE($Z214,V$1&amp;" (5)",""))&lt;lenb($Z214),5,IF(lenb(SUBSTITUTE($Z214,V$1&amp;" (6)",""))&lt;lenb($Z214),6,IF(lenb(SUBSTITUTE($Z214,V$1&amp;" (7)",""))&lt;lenb($Z214),1,IF(lenb(SUBSTITUTE($Z214,V$1&amp;" (8)",""))&lt;lenb($Z214),8,IF(lenb(SUBSTITUTE($Z214,V$1&amp;" (9)",""))&lt;lenb($Z214),9,IF(lenb(SUBSTITUTE($Z214,V$1&amp;" (10)",""))&lt;lenb($Z214),10,IF(lenb(SUBSTITUTE($Z214,V$1,""))&lt;lenb($Z214),"ERROR",IF($Z214=$Y$1,"-",0))))))))))))</f>
        <v>0</v>
      </c>
      <c r="W214" s="32">
        <f t="shared" si="219"/>
        <v>1</v>
      </c>
      <c r="X214" s="32">
        <f t="shared" si="219"/>
        <v>0</v>
      </c>
      <c r="Y214" s="32" t="str">
        <f t="shared" si="3"/>
        <v>-</v>
      </c>
      <c r="Z214" s="32" t="s">
        <v>47</v>
      </c>
      <c r="AA214" s="33">
        <f t="shared" si="4"/>
        <v>1</v>
      </c>
      <c r="AB214" s="34">
        <f>COUNTIFS(Links!B:B,"ICSE",Links!C:C,A214,Links!AD:AD,1)</f>
        <v>0</v>
      </c>
      <c r="AC214" s="35" t="s">
        <v>37</v>
      </c>
      <c r="AD214" s="27" t="str">
        <f t="shared" si="5"/>
        <v>No</v>
      </c>
      <c r="AE214" s="36" t="s">
        <v>36</v>
      </c>
      <c r="AF214" s="37" t="s">
        <v>42</v>
      </c>
      <c r="AG214" s="37" t="s">
        <v>42</v>
      </c>
      <c r="AH214" s="37" t="s">
        <v>42</v>
      </c>
      <c r="AI214" s="29" t="str">
        <f t="shared" si="6"/>
        <v>----</v>
      </c>
      <c r="AJ214" s="38" t="str">
        <f t="shared" si="7"/>
        <v>Paper has link but no statement</v>
      </c>
      <c r="AK214" s="39">
        <v>45034.0</v>
      </c>
      <c r="AL214" s="23" t="s">
        <v>43</v>
      </c>
      <c r="AM214" s="40" t="str">
        <f t="shared" si="8"/>
        <v>[IP1536]</v>
      </c>
    </row>
    <row r="215" ht="67.5" customHeight="1">
      <c r="A215" s="41">
        <v>1537.0</v>
      </c>
      <c r="B215" s="42" t="s">
        <v>540</v>
      </c>
      <c r="C215" s="43">
        <v>2016.0</v>
      </c>
      <c r="D215" s="44" t="s">
        <v>35</v>
      </c>
      <c r="E215" s="45" t="s">
        <v>36</v>
      </c>
      <c r="F215" s="45" t="s">
        <v>36</v>
      </c>
      <c r="G215" s="45" t="s">
        <v>36</v>
      </c>
      <c r="H215" s="45" t="s">
        <v>36</v>
      </c>
      <c r="I215" s="45" t="s">
        <v>36</v>
      </c>
      <c r="J215" s="46" t="s">
        <v>36</v>
      </c>
      <c r="K215" s="47" t="s">
        <v>35</v>
      </c>
      <c r="L215" s="48" t="s">
        <v>36</v>
      </c>
      <c r="M215" s="48" t="s">
        <v>36</v>
      </c>
      <c r="N215" s="48" t="s">
        <v>36</v>
      </c>
      <c r="O215" s="48" t="s">
        <v>36</v>
      </c>
      <c r="P215" s="48" t="s">
        <v>36</v>
      </c>
      <c r="Q215" s="48" t="s">
        <v>36</v>
      </c>
      <c r="R215" s="48" t="s">
        <v>36</v>
      </c>
      <c r="S215" s="49" t="s">
        <v>36</v>
      </c>
      <c r="T215" s="50" t="s">
        <v>36</v>
      </c>
      <c r="U215" s="51" t="s">
        <v>36</v>
      </c>
      <c r="V215" s="52" t="str">
        <f t="shared" ref="V215:X215" si="220">IF(lenb(SUBSTITUTE($Z215,V$1&amp;" (1)",""))&lt;lenb($Z215),1,IF(lenb(SUBSTITUTE($Z215,V$1&amp;" (2)",""))&lt;lenb($Z215),2,IF(lenb(SUBSTITUTE($Z215,V$1&amp;" (3)",""))&lt;lenb($Z215),3,IF(lenb(SUBSTITUTE($Z215,V$1&amp;" (4)",""))&lt;lenb($Z215),4,IF(lenb(SUBSTITUTE($Z215,V$1&amp;" (5)",""))&lt;lenb($Z215),5,IF(lenb(SUBSTITUTE($Z215,V$1&amp;" (6)",""))&lt;lenb($Z215),6,IF(lenb(SUBSTITUTE($Z215,V$1&amp;" (7)",""))&lt;lenb($Z215),1,IF(lenb(SUBSTITUTE($Z215,V$1&amp;" (8)",""))&lt;lenb($Z215),8,IF(lenb(SUBSTITUTE($Z215,V$1&amp;" (9)",""))&lt;lenb($Z215),9,IF(lenb(SUBSTITUTE($Z215,V$1&amp;" (10)",""))&lt;lenb($Z215),10,IF(lenb(SUBSTITUTE($Z215,V$1,""))&lt;lenb($Z215),"ERROR",IF($Z215=$Y$1,"-",0))))))))))))</f>
        <v>-</v>
      </c>
      <c r="W215" s="52" t="str">
        <f t="shared" si="220"/>
        <v>-</v>
      </c>
      <c r="X215" s="52" t="str">
        <f t="shared" si="220"/>
        <v>-</v>
      </c>
      <c r="Y215" s="52">
        <f t="shared" si="3"/>
        <v>1</v>
      </c>
      <c r="Z215" s="52" t="s">
        <v>23</v>
      </c>
      <c r="AA215" s="53">
        <f t="shared" si="4"/>
        <v>0</v>
      </c>
      <c r="AB215" s="54">
        <f>COUNTIFS(Links!B:B,"ICSE",Links!C:C,A215,Links!AD:AD,1)</f>
        <v>0</v>
      </c>
      <c r="AC215" s="55" t="s">
        <v>36</v>
      </c>
      <c r="AD215" s="47" t="str">
        <f t="shared" si="5"/>
        <v>No</v>
      </c>
      <c r="AE215" s="56" t="s">
        <v>36</v>
      </c>
      <c r="AF215" s="57" t="s">
        <v>42</v>
      </c>
      <c r="AG215" s="57" t="s">
        <v>42</v>
      </c>
      <c r="AH215" s="57" t="s">
        <v>42</v>
      </c>
      <c r="AI215" s="49" t="str">
        <f t="shared" si="6"/>
        <v>----</v>
      </c>
      <c r="AJ215" s="58" t="str">
        <f t="shared" si="7"/>
        <v>Paper has no link and no statement</v>
      </c>
      <c r="AK215" s="59">
        <v>45034.0</v>
      </c>
      <c r="AL215" s="43" t="s">
        <v>43</v>
      </c>
      <c r="AM215" s="60" t="str">
        <f t="shared" si="8"/>
        <v>[IP1537]</v>
      </c>
    </row>
    <row r="216" ht="67.5" customHeight="1">
      <c r="A216" s="61">
        <v>1538.0</v>
      </c>
      <c r="B216" s="22" t="s">
        <v>541</v>
      </c>
      <c r="C216" s="23">
        <v>2016.0</v>
      </c>
      <c r="D216" s="24" t="s">
        <v>35</v>
      </c>
      <c r="E216" s="25" t="s">
        <v>36</v>
      </c>
      <c r="F216" s="25" t="s">
        <v>36</v>
      </c>
      <c r="G216" s="25" t="s">
        <v>36</v>
      </c>
      <c r="H216" s="25" t="s">
        <v>36</v>
      </c>
      <c r="I216" s="25" t="s">
        <v>36</v>
      </c>
      <c r="J216" s="26" t="s">
        <v>36</v>
      </c>
      <c r="K216" s="27" t="s">
        <v>35</v>
      </c>
      <c r="L216" s="28" t="s">
        <v>36</v>
      </c>
      <c r="M216" s="28" t="s">
        <v>36</v>
      </c>
      <c r="N216" s="28" t="s">
        <v>36</v>
      </c>
      <c r="O216" s="28" t="s">
        <v>36</v>
      </c>
      <c r="P216" s="28" t="s">
        <v>36</v>
      </c>
      <c r="Q216" s="28" t="s">
        <v>36</v>
      </c>
      <c r="R216" s="28" t="s">
        <v>36</v>
      </c>
      <c r="S216" s="29" t="s">
        <v>36</v>
      </c>
      <c r="T216" s="30" t="s">
        <v>36</v>
      </c>
      <c r="U216" s="31" t="s">
        <v>36</v>
      </c>
      <c r="V216" s="32" t="str">
        <f t="shared" ref="V216:X216" si="221">IF(lenb(SUBSTITUTE($Z216,V$1&amp;" (1)",""))&lt;lenb($Z216),1,IF(lenb(SUBSTITUTE($Z216,V$1&amp;" (2)",""))&lt;lenb($Z216),2,IF(lenb(SUBSTITUTE($Z216,V$1&amp;" (3)",""))&lt;lenb($Z216),3,IF(lenb(SUBSTITUTE($Z216,V$1&amp;" (4)",""))&lt;lenb($Z216),4,IF(lenb(SUBSTITUTE($Z216,V$1&amp;" (5)",""))&lt;lenb($Z216),5,IF(lenb(SUBSTITUTE($Z216,V$1&amp;" (6)",""))&lt;lenb($Z216),6,IF(lenb(SUBSTITUTE($Z216,V$1&amp;" (7)",""))&lt;lenb($Z216),1,IF(lenb(SUBSTITUTE($Z216,V$1&amp;" (8)",""))&lt;lenb($Z216),8,IF(lenb(SUBSTITUTE($Z216,V$1&amp;" (9)",""))&lt;lenb($Z216),9,IF(lenb(SUBSTITUTE($Z216,V$1&amp;" (10)",""))&lt;lenb($Z216),10,IF(lenb(SUBSTITUTE($Z216,V$1,""))&lt;lenb($Z216),"ERROR",IF($Z216=$Y$1,"-",0))))))))))))</f>
        <v>-</v>
      </c>
      <c r="W216" s="32" t="str">
        <f t="shared" si="221"/>
        <v>-</v>
      </c>
      <c r="X216" s="32" t="str">
        <f t="shared" si="221"/>
        <v>-</v>
      </c>
      <c r="Y216" s="32">
        <f t="shared" si="3"/>
        <v>1</v>
      </c>
      <c r="Z216" s="32" t="s">
        <v>23</v>
      </c>
      <c r="AA216" s="33">
        <f t="shared" si="4"/>
        <v>0</v>
      </c>
      <c r="AB216" s="34">
        <f>COUNTIFS(Links!B:B,"ICSE",Links!C:C,A216,Links!AD:AD,1)</f>
        <v>0</v>
      </c>
      <c r="AC216" s="35" t="s">
        <v>36</v>
      </c>
      <c r="AD216" s="27" t="str">
        <f t="shared" si="5"/>
        <v>No</v>
      </c>
      <c r="AE216" s="36" t="s">
        <v>36</v>
      </c>
      <c r="AF216" s="37" t="s">
        <v>42</v>
      </c>
      <c r="AG216" s="37" t="s">
        <v>42</v>
      </c>
      <c r="AH216" s="37" t="s">
        <v>42</v>
      </c>
      <c r="AI216" s="29" t="str">
        <f t="shared" si="6"/>
        <v>----</v>
      </c>
      <c r="AJ216" s="38" t="str">
        <f t="shared" si="7"/>
        <v>Paper has no link and no statement</v>
      </c>
      <c r="AK216" s="39">
        <v>45034.0</v>
      </c>
      <c r="AL216" s="23" t="s">
        <v>43</v>
      </c>
      <c r="AM216" s="40" t="str">
        <f t="shared" si="8"/>
        <v>[IP1538]</v>
      </c>
    </row>
    <row r="217" ht="67.5" customHeight="1">
      <c r="A217" s="41">
        <v>1539.0</v>
      </c>
      <c r="B217" s="42" t="s">
        <v>542</v>
      </c>
      <c r="C217" s="43">
        <v>2016.0</v>
      </c>
      <c r="D217" s="44" t="s">
        <v>35</v>
      </c>
      <c r="E217" s="45" t="s">
        <v>36</v>
      </c>
      <c r="F217" s="45" t="s">
        <v>36</v>
      </c>
      <c r="G217" s="45" t="s">
        <v>36</v>
      </c>
      <c r="H217" s="45" t="s">
        <v>36</v>
      </c>
      <c r="I217" s="45" t="s">
        <v>36</v>
      </c>
      <c r="J217" s="46" t="s">
        <v>36</v>
      </c>
      <c r="K217" s="47" t="s">
        <v>37</v>
      </c>
      <c r="L217" s="48" t="s">
        <v>37</v>
      </c>
      <c r="M217" s="48" t="s">
        <v>35</v>
      </c>
      <c r="N217" s="48" t="s">
        <v>35</v>
      </c>
      <c r="O217" s="48" t="s">
        <v>35</v>
      </c>
      <c r="P217" s="48" t="s">
        <v>35</v>
      </c>
      <c r="Q217" s="48" t="s">
        <v>35</v>
      </c>
      <c r="R217" s="48" t="s">
        <v>37</v>
      </c>
      <c r="S217" s="49" t="s">
        <v>543</v>
      </c>
      <c r="T217" s="50" t="s">
        <v>544</v>
      </c>
      <c r="U217" s="51" t="s">
        <v>544</v>
      </c>
      <c r="V217" s="52">
        <f t="shared" ref="V217:X217" si="222">IF(lenb(SUBSTITUTE($Z217,V$1&amp;" (1)",""))&lt;lenb($Z217),1,IF(lenb(SUBSTITUTE($Z217,V$1&amp;" (2)",""))&lt;lenb($Z217),2,IF(lenb(SUBSTITUTE($Z217,V$1&amp;" (3)",""))&lt;lenb($Z217),3,IF(lenb(SUBSTITUTE($Z217,V$1&amp;" (4)",""))&lt;lenb($Z217),4,IF(lenb(SUBSTITUTE($Z217,V$1&amp;" (5)",""))&lt;lenb($Z217),5,IF(lenb(SUBSTITUTE($Z217,V$1&amp;" (6)",""))&lt;lenb($Z217),6,IF(lenb(SUBSTITUTE($Z217,V$1&amp;" (7)",""))&lt;lenb($Z217),1,IF(lenb(SUBSTITUTE($Z217,V$1&amp;" (8)",""))&lt;lenb($Z217),8,IF(lenb(SUBSTITUTE($Z217,V$1&amp;" (9)",""))&lt;lenb($Z217),9,IF(lenb(SUBSTITUTE($Z217,V$1&amp;" (10)",""))&lt;lenb($Z217),10,IF(lenb(SUBSTITUTE($Z217,V$1,""))&lt;lenb($Z217),"ERROR",IF($Z217=$Y$1,"-",0))))))))))))</f>
        <v>1</v>
      </c>
      <c r="W217" s="52">
        <f t="shared" si="222"/>
        <v>0</v>
      </c>
      <c r="X217" s="52">
        <f t="shared" si="222"/>
        <v>0</v>
      </c>
      <c r="Y217" s="52" t="str">
        <f t="shared" si="3"/>
        <v>-</v>
      </c>
      <c r="Z217" s="52" t="s">
        <v>62</v>
      </c>
      <c r="AA217" s="53">
        <f t="shared" si="4"/>
        <v>1</v>
      </c>
      <c r="AB217" s="54">
        <f>COUNTIFS(Links!B:B,"ICSE",Links!C:C,A217,Links!AD:AD,1)</f>
        <v>1</v>
      </c>
      <c r="AC217" s="55" t="s">
        <v>35</v>
      </c>
      <c r="AD217" s="47" t="str">
        <f t="shared" si="5"/>
        <v>No</v>
      </c>
      <c r="AE217" s="56" t="s">
        <v>36</v>
      </c>
      <c r="AF217" s="57" t="s">
        <v>42</v>
      </c>
      <c r="AG217" s="57" t="s">
        <v>42</v>
      </c>
      <c r="AH217" s="57" t="s">
        <v>42</v>
      </c>
      <c r="AI217" s="49" t="str">
        <f t="shared" si="6"/>
        <v>----</v>
      </c>
      <c r="AJ217" s="58" t="str">
        <f t="shared" si="7"/>
        <v>Paper has link but no statement</v>
      </c>
      <c r="AK217" s="59">
        <v>45034.0</v>
      </c>
      <c r="AL217" s="43" t="s">
        <v>43</v>
      </c>
      <c r="AM217" s="60" t="str">
        <f t="shared" si="8"/>
        <v>[IP1539]</v>
      </c>
    </row>
    <row r="218" ht="67.5" customHeight="1">
      <c r="A218" s="61">
        <v>1540.0</v>
      </c>
      <c r="B218" s="22" t="s">
        <v>545</v>
      </c>
      <c r="C218" s="23">
        <v>2016.0</v>
      </c>
      <c r="D218" s="24" t="s">
        <v>35</v>
      </c>
      <c r="E218" s="25" t="s">
        <v>36</v>
      </c>
      <c r="F218" s="25" t="s">
        <v>36</v>
      </c>
      <c r="G218" s="25" t="s">
        <v>36</v>
      </c>
      <c r="H218" s="25" t="s">
        <v>36</v>
      </c>
      <c r="I218" s="25" t="s">
        <v>36</v>
      </c>
      <c r="J218" s="26" t="s">
        <v>36</v>
      </c>
      <c r="K218" s="27" t="s">
        <v>35</v>
      </c>
      <c r="L218" s="28" t="s">
        <v>36</v>
      </c>
      <c r="M218" s="28" t="s">
        <v>36</v>
      </c>
      <c r="N218" s="28" t="s">
        <v>36</v>
      </c>
      <c r="O218" s="28" t="s">
        <v>36</v>
      </c>
      <c r="P218" s="28" t="s">
        <v>36</v>
      </c>
      <c r="Q218" s="28" t="s">
        <v>36</v>
      </c>
      <c r="R218" s="28" t="s">
        <v>36</v>
      </c>
      <c r="S218" s="29" t="s">
        <v>36</v>
      </c>
      <c r="T218" s="30" t="s">
        <v>36</v>
      </c>
      <c r="U218" s="31" t="s">
        <v>36</v>
      </c>
      <c r="V218" s="32" t="str">
        <f t="shared" ref="V218:X218" si="223">IF(lenb(SUBSTITUTE($Z218,V$1&amp;" (1)",""))&lt;lenb($Z218),1,IF(lenb(SUBSTITUTE($Z218,V$1&amp;" (2)",""))&lt;lenb($Z218),2,IF(lenb(SUBSTITUTE($Z218,V$1&amp;" (3)",""))&lt;lenb($Z218),3,IF(lenb(SUBSTITUTE($Z218,V$1&amp;" (4)",""))&lt;lenb($Z218),4,IF(lenb(SUBSTITUTE($Z218,V$1&amp;" (5)",""))&lt;lenb($Z218),5,IF(lenb(SUBSTITUTE($Z218,V$1&amp;" (6)",""))&lt;lenb($Z218),6,IF(lenb(SUBSTITUTE($Z218,V$1&amp;" (7)",""))&lt;lenb($Z218),1,IF(lenb(SUBSTITUTE($Z218,V$1&amp;" (8)",""))&lt;lenb($Z218),8,IF(lenb(SUBSTITUTE($Z218,V$1&amp;" (9)",""))&lt;lenb($Z218),9,IF(lenb(SUBSTITUTE($Z218,V$1&amp;" (10)",""))&lt;lenb($Z218),10,IF(lenb(SUBSTITUTE($Z218,V$1,""))&lt;lenb($Z218),"ERROR",IF($Z218=$Y$1,"-",0))))))))))))</f>
        <v>-</v>
      </c>
      <c r="W218" s="32" t="str">
        <f t="shared" si="223"/>
        <v>-</v>
      </c>
      <c r="X218" s="32" t="str">
        <f t="shared" si="223"/>
        <v>-</v>
      </c>
      <c r="Y218" s="32">
        <f t="shared" si="3"/>
        <v>1</v>
      </c>
      <c r="Z218" s="32" t="s">
        <v>23</v>
      </c>
      <c r="AA218" s="33">
        <f t="shared" si="4"/>
        <v>0</v>
      </c>
      <c r="AB218" s="34">
        <f>COUNTIFS(Links!B:B,"ICSE",Links!C:C,A218,Links!AD:AD,1)</f>
        <v>0</v>
      </c>
      <c r="AC218" s="35" t="s">
        <v>36</v>
      </c>
      <c r="AD218" s="27" t="str">
        <f t="shared" si="5"/>
        <v>No</v>
      </c>
      <c r="AE218" s="36" t="s">
        <v>36</v>
      </c>
      <c r="AF218" s="37" t="s">
        <v>42</v>
      </c>
      <c r="AG218" s="37" t="s">
        <v>42</v>
      </c>
      <c r="AH218" s="37" t="s">
        <v>42</v>
      </c>
      <c r="AI218" s="29" t="str">
        <f t="shared" si="6"/>
        <v>----</v>
      </c>
      <c r="AJ218" s="38" t="str">
        <f t="shared" si="7"/>
        <v>Paper has no link and no statement</v>
      </c>
      <c r="AK218" s="39">
        <v>45034.0</v>
      </c>
      <c r="AL218" s="23" t="s">
        <v>43</v>
      </c>
      <c r="AM218" s="40" t="str">
        <f t="shared" si="8"/>
        <v>[IP1540]</v>
      </c>
    </row>
    <row r="219" ht="67.5" customHeight="1">
      <c r="A219" s="41">
        <v>1541.0</v>
      </c>
      <c r="B219" s="42" t="s">
        <v>546</v>
      </c>
      <c r="C219" s="43">
        <v>2016.0</v>
      </c>
      <c r="D219" s="44" t="s">
        <v>35</v>
      </c>
      <c r="E219" s="45" t="s">
        <v>36</v>
      </c>
      <c r="F219" s="45" t="s">
        <v>36</v>
      </c>
      <c r="G219" s="45" t="s">
        <v>36</v>
      </c>
      <c r="H219" s="45" t="s">
        <v>36</v>
      </c>
      <c r="I219" s="45" t="s">
        <v>36</v>
      </c>
      <c r="J219" s="46" t="s">
        <v>36</v>
      </c>
      <c r="K219" s="47" t="s">
        <v>35</v>
      </c>
      <c r="L219" s="48" t="s">
        <v>36</v>
      </c>
      <c r="M219" s="48" t="s">
        <v>36</v>
      </c>
      <c r="N219" s="48" t="s">
        <v>36</v>
      </c>
      <c r="O219" s="48" t="s">
        <v>36</v>
      </c>
      <c r="P219" s="48" t="s">
        <v>36</v>
      </c>
      <c r="Q219" s="48" t="s">
        <v>36</v>
      </c>
      <c r="R219" s="48" t="s">
        <v>36</v>
      </c>
      <c r="S219" s="49" t="s">
        <v>36</v>
      </c>
      <c r="T219" s="50" t="s">
        <v>36</v>
      </c>
      <c r="U219" s="51" t="s">
        <v>36</v>
      </c>
      <c r="V219" s="52" t="str">
        <f t="shared" ref="V219:X219" si="224">IF(lenb(SUBSTITUTE($Z219,V$1&amp;" (1)",""))&lt;lenb($Z219),1,IF(lenb(SUBSTITUTE($Z219,V$1&amp;" (2)",""))&lt;lenb($Z219),2,IF(lenb(SUBSTITUTE($Z219,V$1&amp;" (3)",""))&lt;lenb($Z219),3,IF(lenb(SUBSTITUTE($Z219,V$1&amp;" (4)",""))&lt;lenb($Z219),4,IF(lenb(SUBSTITUTE($Z219,V$1&amp;" (5)",""))&lt;lenb($Z219),5,IF(lenb(SUBSTITUTE($Z219,V$1&amp;" (6)",""))&lt;lenb($Z219),6,IF(lenb(SUBSTITUTE($Z219,V$1&amp;" (7)",""))&lt;lenb($Z219),1,IF(lenb(SUBSTITUTE($Z219,V$1&amp;" (8)",""))&lt;lenb($Z219),8,IF(lenb(SUBSTITUTE($Z219,V$1&amp;" (9)",""))&lt;lenb($Z219),9,IF(lenb(SUBSTITUTE($Z219,V$1&amp;" (10)",""))&lt;lenb($Z219),10,IF(lenb(SUBSTITUTE($Z219,V$1,""))&lt;lenb($Z219),"ERROR",IF($Z219=$Y$1,"-",0))))))))))))</f>
        <v>-</v>
      </c>
      <c r="W219" s="52" t="str">
        <f t="shared" si="224"/>
        <v>-</v>
      </c>
      <c r="X219" s="52" t="str">
        <f t="shared" si="224"/>
        <v>-</v>
      </c>
      <c r="Y219" s="52">
        <f t="shared" si="3"/>
        <v>1</v>
      </c>
      <c r="Z219" s="52" t="s">
        <v>23</v>
      </c>
      <c r="AA219" s="53">
        <f t="shared" si="4"/>
        <v>0</v>
      </c>
      <c r="AB219" s="54">
        <f>COUNTIFS(Links!B:B,"ICSE",Links!C:C,A219,Links!AD:AD,1)</f>
        <v>0</v>
      </c>
      <c r="AC219" s="55" t="s">
        <v>36</v>
      </c>
      <c r="AD219" s="47" t="str">
        <f t="shared" si="5"/>
        <v>No</v>
      </c>
      <c r="AE219" s="56" t="s">
        <v>36</v>
      </c>
      <c r="AF219" s="57" t="s">
        <v>42</v>
      </c>
      <c r="AG219" s="57" t="s">
        <v>42</v>
      </c>
      <c r="AH219" s="57" t="s">
        <v>42</v>
      </c>
      <c r="AI219" s="49" t="str">
        <f t="shared" si="6"/>
        <v>----</v>
      </c>
      <c r="AJ219" s="58" t="str">
        <f t="shared" si="7"/>
        <v>Paper has no link and no statement</v>
      </c>
      <c r="AK219" s="59">
        <v>45034.0</v>
      </c>
      <c r="AL219" s="43" t="s">
        <v>43</v>
      </c>
      <c r="AM219" s="60" t="str">
        <f t="shared" si="8"/>
        <v>[IP1541]</v>
      </c>
    </row>
    <row r="220" ht="67.5" customHeight="1">
      <c r="A220" s="61">
        <v>1542.0</v>
      </c>
      <c r="B220" s="22" t="s">
        <v>547</v>
      </c>
      <c r="C220" s="23">
        <v>2016.0</v>
      </c>
      <c r="D220" s="24" t="s">
        <v>35</v>
      </c>
      <c r="E220" s="25" t="s">
        <v>36</v>
      </c>
      <c r="F220" s="25" t="s">
        <v>36</v>
      </c>
      <c r="G220" s="25" t="s">
        <v>36</v>
      </c>
      <c r="H220" s="25" t="s">
        <v>36</v>
      </c>
      <c r="I220" s="25" t="s">
        <v>36</v>
      </c>
      <c r="J220" s="26" t="s">
        <v>36</v>
      </c>
      <c r="K220" s="27" t="s">
        <v>37</v>
      </c>
      <c r="L220" s="28" t="s">
        <v>35</v>
      </c>
      <c r="M220" s="28" t="s">
        <v>35</v>
      </c>
      <c r="N220" s="28" t="s">
        <v>35</v>
      </c>
      <c r="O220" s="28" t="s">
        <v>35</v>
      </c>
      <c r="P220" s="28" t="s">
        <v>35</v>
      </c>
      <c r="Q220" s="28" t="s">
        <v>35</v>
      </c>
      <c r="R220" s="28" t="s">
        <v>37</v>
      </c>
      <c r="S220" s="29" t="s">
        <v>278</v>
      </c>
      <c r="T220" s="30" t="s">
        <v>548</v>
      </c>
      <c r="U220" s="31" t="s">
        <v>548</v>
      </c>
      <c r="V220" s="32">
        <f t="shared" ref="V220:X220" si="225">IF(lenb(SUBSTITUTE($Z220,V$1&amp;" (1)",""))&lt;lenb($Z220),1,IF(lenb(SUBSTITUTE($Z220,V$1&amp;" (2)",""))&lt;lenb($Z220),2,IF(lenb(SUBSTITUTE($Z220,V$1&amp;" (3)",""))&lt;lenb($Z220),3,IF(lenb(SUBSTITUTE($Z220,V$1&amp;" (4)",""))&lt;lenb($Z220),4,IF(lenb(SUBSTITUTE($Z220,V$1&amp;" (5)",""))&lt;lenb($Z220),5,IF(lenb(SUBSTITUTE($Z220,V$1&amp;" (6)",""))&lt;lenb($Z220),6,IF(lenb(SUBSTITUTE($Z220,V$1&amp;" (7)",""))&lt;lenb($Z220),1,IF(lenb(SUBSTITUTE($Z220,V$1&amp;" (8)",""))&lt;lenb($Z220),8,IF(lenb(SUBSTITUTE($Z220,V$1&amp;" (9)",""))&lt;lenb($Z220),9,IF(lenb(SUBSTITUTE($Z220,V$1&amp;" (10)",""))&lt;lenb($Z220),10,IF(lenb(SUBSTITUTE($Z220,V$1,""))&lt;lenb($Z220),"ERROR",IF($Z220=$Y$1,"-",0))))))))))))</f>
        <v>1</v>
      </c>
      <c r="W220" s="32">
        <f t="shared" si="225"/>
        <v>0</v>
      </c>
      <c r="X220" s="32">
        <f t="shared" si="225"/>
        <v>0</v>
      </c>
      <c r="Y220" s="32" t="str">
        <f t="shared" si="3"/>
        <v>-</v>
      </c>
      <c r="Z220" s="32" t="s">
        <v>62</v>
      </c>
      <c r="AA220" s="33">
        <f t="shared" si="4"/>
        <v>1</v>
      </c>
      <c r="AB220" s="34">
        <f>COUNTIFS(Links!B:B,"ICSE",Links!C:C,A220,Links!AD:AD,1)</f>
        <v>0</v>
      </c>
      <c r="AC220" s="35" t="s">
        <v>35</v>
      </c>
      <c r="AD220" s="27" t="str">
        <f t="shared" si="5"/>
        <v>No</v>
      </c>
      <c r="AE220" s="36" t="s">
        <v>36</v>
      </c>
      <c r="AF220" s="37" t="s">
        <v>42</v>
      </c>
      <c r="AG220" s="37" t="s">
        <v>42</v>
      </c>
      <c r="AH220" s="37" t="s">
        <v>42</v>
      </c>
      <c r="AI220" s="29" t="str">
        <f t="shared" si="6"/>
        <v>----</v>
      </c>
      <c r="AJ220" s="38" t="str">
        <f t="shared" si="7"/>
        <v>Paper has link but no statement</v>
      </c>
      <c r="AK220" s="39">
        <v>45034.0</v>
      </c>
      <c r="AL220" s="23" t="s">
        <v>43</v>
      </c>
      <c r="AM220" s="40" t="str">
        <f t="shared" si="8"/>
        <v>[IP1542]</v>
      </c>
    </row>
    <row r="221" ht="67.5" customHeight="1">
      <c r="A221" s="41">
        <v>1543.0</v>
      </c>
      <c r="B221" s="42" t="s">
        <v>549</v>
      </c>
      <c r="C221" s="43">
        <v>2016.0</v>
      </c>
      <c r="D221" s="44" t="s">
        <v>35</v>
      </c>
      <c r="E221" s="45" t="s">
        <v>36</v>
      </c>
      <c r="F221" s="45" t="s">
        <v>36</v>
      </c>
      <c r="G221" s="45" t="s">
        <v>36</v>
      </c>
      <c r="H221" s="45" t="s">
        <v>36</v>
      </c>
      <c r="I221" s="45" t="s">
        <v>36</v>
      </c>
      <c r="J221" s="46" t="s">
        <v>36</v>
      </c>
      <c r="K221" s="47" t="s">
        <v>37</v>
      </c>
      <c r="L221" s="48" t="s">
        <v>35</v>
      </c>
      <c r="M221" s="48" t="s">
        <v>37</v>
      </c>
      <c r="N221" s="48" t="s">
        <v>35</v>
      </c>
      <c r="O221" s="48" t="s">
        <v>35</v>
      </c>
      <c r="P221" s="48" t="s">
        <v>35</v>
      </c>
      <c r="Q221" s="48" t="s">
        <v>35</v>
      </c>
      <c r="R221" s="48" t="s">
        <v>37</v>
      </c>
      <c r="S221" s="49" t="s">
        <v>550</v>
      </c>
      <c r="T221" s="50" t="s">
        <v>551</v>
      </c>
      <c r="U221" s="51" t="s">
        <v>551</v>
      </c>
      <c r="V221" s="52">
        <f t="shared" ref="V221:X221" si="226">IF(lenb(SUBSTITUTE($Z221,V$1&amp;" (1)",""))&lt;lenb($Z221),1,IF(lenb(SUBSTITUTE($Z221,V$1&amp;" (2)",""))&lt;lenb($Z221),2,IF(lenb(SUBSTITUTE($Z221,V$1&amp;" (3)",""))&lt;lenb($Z221),3,IF(lenb(SUBSTITUTE($Z221,V$1&amp;" (4)",""))&lt;lenb($Z221),4,IF(lenb(SUBSTITUTE($Z221,V$1&amp;" (5)",""))&lt;lenb($Z221),5,IF(lenb(SUBSTITUTE($Z221,V$1&amp;" (6)",""))&lt;lenb($Z221),6,IF(lenb(SUBSTITUTE($Z221,V$1&amp;" (7)",""))&lt;lenb($Z221),1,IF(lenb(SUBSTITUTE($Z221,V$1&amp;" (8)",""))&lt;lenb($Z221),8,IF(lenb(SUBSTITUTE($Z221,V$1&amp;" (9)",""))&lt;lenb($Z221),9,IF(lenb(SUBSTITUTE($Z221,V$1&amp;" (10)",""))&lt;lenb($Z221),10,IF(lenb(SUBSTITUTE($Z221,V$1,""))&lt;lenb($Z221),"ERROR",IF($Z221=$Y$1,"-",0))))))))))))</f>
        <v>0</v>
      </c>
      <c r="W221" s="52">
        <f t="shared" si="226"/>
        <v>1</v>
      </c>
      <c r="X221" s="52">
        <f t="shared" si="226"/>
        <v>0</v>
      </c>
      <c r="Y221" s="52" t="str">
        <f t="shared" si="3"/>
        <v>-</v>
      </c>
      <c r="Z221" s="52" t="s">
        <v>47</v>
      </c>
      <c r="AA221" s="53">
        <f t="shared" si="4"/>
        <v>1</v>
      </c>
      <c r="AB221" s="54">
        <f>COUNTIFS(Links!B:B,"ICSE",Links!C:C,A221,Links!AD:AD,1)</f>
        <v>1</v>
      </c>
      <c r="AC221" s="55" t="s">
        <v>35</v>
      </c>
      <c r="AD221" s="47" t="str">
        <f t="shared" si="5"/>
        <v>Yes</v>
      </c>
      <c r="AE221" s="56" t="s">
        <v>552</v>
      </c>
      <c r="AF221" s="56" t="s">
        <v>223</v>
      </c>
      <c r="AG221" s="57" t="s">
        <v>42</v>
      </c>
      <c r="AH221" s="57" t="s">
        <v>42</v>
      </c>
      <c r="AI221" s="49" t="str">
        <f t="shared" si="6"/>
        <v>Barriers (Agreements and legal rights)</v>
      </c>
      <c r="AJ221" s="58" t="str">
        <f t="shared" si="7"/>
        <v>Paper has link and statement</v>
      </c>
      <c r="AK221" s="59">
        <v>45034.0</v>
      </c>
      <c r="AL221" s="43" t="s">
        <v>43</v>
      </c>
      <c r="AM221" s="60" t="str">
        <f t="shared" si="8"/>
        <v>[IP1543]</v>
      </c>
    </row>
    <row r="222" ht="67.5" customHeight="1">
      <c r="A222" s="61">
        <v>1544.0</v>
      </c>
      <c r="B222" s="22" t="s">
        <v>553</v>
      </c>
      <c r="C222" s="23">
        <v>2016.0</v>
      </c>
      <c r="D222" s="24" t="s">
        <v>35</v>
      </c>
      <c r="E222" s="25" t="s">
        <v>36</v>
      </c>
      <c r="F222" s="25" t="s">
        <v>36</v>
      </c>
      <c r="G222" s="25" t="s">
        <v>36</v>
      </c>
      <c r="H222" s="25" t="s">
        <v>36</v>
      </c>
      <c r="I222" s="25" t="s">
        <v>36</v>
      </c>
      <c r="J222" s="26" t="s">
        <v>36</v>
      </c>
      <c r="K222" s="27" t="s">
        <v>37</v>
      </c>
      <c r="L222" s="28" t="s">
        <v>35</v>
      </c>
      <c r="M222" s="28" t="s">
        <v>37</v>
      </c>
      <c r="N222" s="28" t="s">
        <v>35</v>
      </c>
      <c r="O222" s="28" t="s">
        <v>35</v>
      </c>
      <c r="P222" s="28" t="s">
        <v>35</v>
      </c>
      <c r="Q222" s="28" t="s">
        <v>35</v>
      </c>
      <c r="R222" s="28" t="s">
        <v>37</v>
      </c>
      <c r="S222" s="29" t="s">
        <v>554</v>
      </c>
      <c r="T222" s="30" t="s">
        <v>555</v>
      </c>
      <c r="U222" s="31" t="s">
        <v>555</v>
      </c>
      <c r="V222" s="32">
        <f t="shared" ref="V222:X222" si="227">IF(lenb(SUBSTITUTE($Z222,V$1&amp;" (1)",""))&lt;lenb($Z222),1,IF(lenb(SUBSTITUTE($Z222,V$1&amp;" (2)",""))&lt;lenb($Z222),2,IF(lenb(SUBSTITUTE($Z222,V$1&amp;" (3)",""))&lt;lenb($Z222),3,IF(lenb(SUBSTITUTE($Z222,V$1&amp;" (4)",""))&lt;lenb($Z222),4,IF(lenb(SUBSTITUTE($Z222,V$1&amp;" (5)",""))&lt;lenb($Z222),5,IF(lenb(SUBSTITUTE($Z222,V$1&amp;" (6)",""))&lt;lenb($Z222),6,IF(lenb(SUBSTITUTE($Z222,V$1&amp;" (7)",""))&lt;lenb($Z222),1,IF(lenb(SUBSTITUTE($Z222,V$1&amp;" (8)",""))&lt;lenb($Z222),8,IF(lenb(SUBSTITUTE($Z222,V$1&amp;" (9)",""))&lt;lenb($Z222),9,IF(lenb(SUBSTITUTE($Z222,V$1&amp;" (10)",""))&lt;lenb($Z222),10,IF(lenb(SUBSTITUTE($Z222,V$1,""))&lt;lenb($Z222),"ERROR",IF($Z222=$Y$1,"-",0))))))))))))</f>
        <v>0</v>
      </c>
      <c r="W222" s="32">
        <f t="shared" si="227"/>
        <v>0</v>
      </c>
      <c r="X222" s="32">
        <f t="shared" si="227"/>
        <v>1</v>
      </c>
      <c r="Y222" s="32" t="str">
        <f t="shared" si="3"/>
        <v>-</v>
      </c>
      <c r="Z222" s="32" t="s">
        <v>556</v>
      </c>
      <c r="AA222" s="33">
        <f t="shared" si="4"/>
        <v>1</v>
      </c>
      <c r="AB222" s="34">
        <f>COUNTIFS(Links!B:B,"ICSE",Links!C:C,A222,Links!AD:AD,1)</f>
        <v>1</v>
      </c>
      <c r="AC222" s="35" t="s">
        <v>35</v>
      </c>
      <c r="AD222" s="27" t="str">
        <f t="shared" si="5"/>
        <v>Yes</v>
      </c>
      <c r="AE222" s="36" t="s">
        <v>557</v>
      </c>
      <c r="AF222" s="36" t="s">
        <v>281</v>
      </c>
      <c r="AG222" s="37" t="s">
        <v>42</v>
      </c>
      <c r="AH222" s="37" t="s">
        <v>42</v>
      </c>
      <c r="AI222" s="29" t="str">
        <f t="shared" si="6"/>
        <v>Barriers (Confidentiality and privacy)</v>
      </c>
      <c r="AJ222" s="38" t="str">
        <f t="shared" si="7"/>
        <v>Paper has link and statement</v>
      </c>
      <c r="AK222" s="39">
        <v>45034.0</v>
      </c>
      <c r="AL222" s="23" t="s">
        <v>43</v>
      </c>
      <c r="AM222" s="40" t="str">
        <f t="shared" si="8"/>
        <v>[IP1544]</v>
      </c>
    </row>
    <row r="223" ht="67.5" customHeight="1">
      <c r="A223" s="41">
        <v>1545.0</v>
      </c>
      <c r="B223" s="42" t="s">
        <v>558</v>
      </c>
      <c r="C223" s="43">
        <v>2016.0</v>
      </c>
      <c r="D223" s="44" t="s">
        <v>35</v>
      </c>
      <c r="E223" s="45" t="s">
        <v>36</v>
      </c>
      <c r="F223" s="45" t="s">
        <v>36</v>
      </c>
      <c r="G223" s="45" t="s">
        <v>36</v>
      </c>
      <c r="H223" s="45" t="s">
        <v>36</v>
      </c>
      <c r="I223" s="45" t="s">
        <v>36</v>
      </c>
      <c r="J223" s="46" t="s">
        <v>36</v>
      </c>
      <c r="K223" s="47" t="s">
        <v>37</v>
      </c>
      <c r="L223" s="48" t="s">
        <v>35</v>
      </c>
      <c r="M223" s="48" t="s">
        <v>37</v>
      </c>
      <c r="N223" s="48" t="s">
        <v>35</v>
      </c>
      <c r="O223" s="48" t="s">
        <v>35</v>
      </c>
      <c r="P223" s="48" t="s">
        <v>35</v>
      </c>
      <c r="Q223" s="48" t="s">
        <v>35</v>
      </c>
      <c r="R223" s="48" t="s">
        <v>37</v>
      </c>
      <c r="S223" s="49" t="s">
        <v>559</v>
      </c>
      <c r="T223" s="50" t="s">
        <v>560</v>
      </c>
      <c r="U223" s="51" t="s">
        <v>560</v>
      </c>
      <c r="V223" s="52">
        <f t="shared" ref="V223:X223" si="228">IF(lenb(SUBSTITUTE($Z223,V$1&amp;" (1)",""))&lt;lenb($Z223),1,IF(lenb(SUBSTITUTE($Z223,V$1&amp;" (2)",""))&lt;lenb($Z223),2,IF(lenb(SUBSTITUTE($Z223,V$1&amp;" (3)",""))&lt;lenb($Z223),3,IF(lenb(SUBSTITUTE($Z223,V$1&amp;" (4)",""))&lt;lenb($Z223),4,IF(lenb(SUBSTITUTE($Z223,V$1&amp;" (5)",""))&lt;lenb($Z223),5,IF(lenb(SUBSTITUTE($Z223,V$1&amp;" (6)",""))&lt;lenb($Z223),6,IF(lenb(SUBSTITUTE($Z223,V$1&amp;" (7)",""))&lt;lenb($Z223),1,IF(lenb(SUBSTITUTE($Z223,V$1&amp;" (8)",""))&lt;lenb($Z223),8,IF(lenb(SUBSTITUTE($Z223,V$1&amp;" (9)",""))&lt;lenb($Z223),9,IF(lenb(SUBSTITUTE($Z223,V$1&amp;" (10)",""))&lt;lenb($Z223),10,IF(lenb(SUBSTITUTE($Z223,V$1,""))&lt;lenb($Z223),"ERROR",IF($Z223=$Y$1,"-",0))))))))))))</f>
        <v>0</v>
      </c>
      <c r="W223" s="52">
        <f t="shared" si="228"/>
        <v>1</v>
      </c>
      <c r="X223" s="52">
        <f t="shared" si="228"/>
        <v>0</v>
      </c>
      <c r="Y223" s="52" t="str">
        <f t="shared" si="3"/>
        <v>-</v>
      </c>
      <c r="Z223" s="52" t="s">
        <v>47</v>
      </c>
      <c r="AA223" s="53">
        <f t="shared" si="4"/>
        <v>1</v>
      </c>
      <c r="AB223" s="54">
        <f>COUNTIFS(Links!B:B,"ICSE",Links!C:C,A223,Links!AD:AD,1)</f>
        <v>1</v>
      </c>
      <c r="AC223" s="55" t="s">
        <v>35</v>
      </c>
      <c r="AD223" s="47" t="str">
        <f t="shared" si="5"/>
        <v>No</v>
      </c>
      <c r="AE223" s="56" t="s">
        <v>36</v>
      </c>
      <c r="AF223" s="57" t="s">
        <v>42</v>
      </c>
      <c r="AG223" s="57" t="s">
        <v>42</v>
      </c>
      <c r="AH223" s="57" t="s">
        <v>42</v>
      </c>
      <c r="AI223" s="49" t="str">
        <f t="shared" si="6"/>
        <v>----</v>
      </c>
      <c r="AJ223" s="58" t="str">
        <f t="shared" si="7"/>
        <v>Paper has link but no statement</v>
      </c>
      <c r="AK223" s="59">
        <v>45034.0</v>
      </c>
      <c r="AL223" s="43" t="s">
        <v>43</v>
      </c>
      <c r="AM223" s="60" t="str">
        <f t="shared" si="8"/>
        <v>[IP1545]</v>
      </c>
    </row>
    <row r="224" ht="67.5" customHeight="1">
      <c r="A224" s="61">
        <v>1546.0</v>
      </c>
      <c r="B224" s="22" t="s">
        <v>561</v>
      </c>
      <c r="C224" s="23">
        <v>2016.0</v>
      </c>
      <c r="D224" s="24" t="s">
        <v>35</v>
      </c>
      <c r="E224" s="25" t="s">
        <v>36</v>
      </c>
      <c r="F224" s="25" t="s">
        <v>36</v>
      </c>
      <c r="G224" s="25" t="s">
        <v>36</v>
      </c>
      <c r="H224" s="25" t="s">
        <v>36</v>
      </c>
      <c r="I224" s="25" t="s">
        <v>36</v>
      </c>
      <c r="J224" s="26" t="s">
        <v>36</v>
      </c>
      <c r="K224" s="27" t="s">
        <v>35</v>
      </c>
      <c r="L224" s="28" t="s">
        <v>36</v>
      </c>
      <c r="M224" s="28" t="s">
        <v>36</v>
      </c>
      <c r="N224" s="28" t="s">
        <v>36</v>
      </c>
      <c r="O224" s="28" t="s">
        <v>36</v>
      </c>
      <c r="P224" s="28" t="s">
        <v>36</v>
      </c>
      <c r="Q224" s="28" t="s">
        <v>36</v>
      </c>
      <c r="R224" s="28" t="s">
        <v>36</v>
      </c>
      <c r="S224" s="29" t="s">
        <v>36</v>
      </c>
      <c r="T224" s="30" t="s">
        <v>36</v>
      </c>
      <c r="U224" s="31" t="s">
        <v>36</v>
      </c>
      <c r="V224" s="32" t="str">
        <f t="shared" ref="V224:X224" si="229">IF(lenb(SUBSTITUTE($Z224,V$1&amp;" (1)",""))&lt;lenb($Z224),1,IF(lenb(SUBSTITUTE($Z224,V$1&amp;" (2)",""))&lt;lenb($Z224),2,IF(lenb(SUBSTITUTE($Z224,V$1&amp;" (3)",""))&lt;lenb($Z224),3,IF(lenb(SUBSTITUTE($Z224,V$1&amp;" (4)",""))&lt;lenb($Z224),4,IF(lenb(SUBSTITUTE($Z224,V$1&amp;" (5)",""))&lt;lenb($Z224),5,IF(lenb(SUBSTITUTE($Z224,V$1&amp;" (6)",""))&lt;lenb($Z224),6,IF(lenb(SUBSTITUTE($Z224,V$1&amp;" (7)",""))&lt;lenb($Z224),1,IF(lenb(SUBSTITUTE($Z224,V$1&amp;" (8)",""))&lt;lenb($Z224),8,IF(lenb(SUBSTITUTE($Z224,V$1&amp;" (9)",""))&lt;lenb($Z224),9,IF(lenb(SUBSTITUTE($Z224,V$1&amp;" (10)",""))&lt;lenb($Z224),10,IF(lenb(SUBSTITUTE($Z224,V$1,""))&lt;lenb($Z224),"ERROR",IF($Z224=$Y$1,"-",0))))))))))))</f>
        <v>-</v>
      </c>
      <c r="W224" s="32" t="str">
        <f t="shared" si="229"/>
        <v>-</v>
      </c>
      <c r="X224" s="32" t="str">
        <f t="shared" si="229"/>
        <v>-</v>
      </c>
      <c r="Y224" s="32">
        <f t="shared" si="3"/>
        <v>1</v>
      </c>
      <c r="Z224" s="32" t="s">
        <v>23</v>
      </c>
      <c r="AA224" s="33">
        <f t="shared" si="4"/>
        <v>0</v>
      </c>
      <c r="AB224" s="34">
        <f>COUNTIFS(Links!B:B,"ICSE",Links!C:C,A224,Links!AD:AD,1)</f>
        <v>0</v>
      </c>
      <c r="AC224" s="35" t="s">
        <v>36</v>
      </c>
      <c r="AD224" s="27" t="str">
        <f t="shared" si="5"/>
        <v>No</v>
      </c>
      <c r="AE224" s="36" t="s">
        <v>36</v>
      </c>
      <c r="AF224" s="37" t="s">
        <v>42</v>
      </c>
      <c r="AG224" s="37" t="s">
        <v>42</v>
      </c>
      <c r="AH224" s="37" t="s">
        <v>42</v>
      </c>
      <c r="AI224" s="29" t="str">
        <f t="shared" si="6"/>
        <v>----</v>
      </c>
      <c r="AJ224" s="38" t="str">
        <f t="shared" si="7"/>
        <v>Paper has no link and no statement</v>
      </c>
      <c r="AK224" s="39">
        <v>45034.0</v>
      </c>
      <c r="AL224" s="23" t="s">
        <v>43</v>
      </c>
      <c r="AM224" s="40" t="str">
        <f t="shared" si="8"/>
        <v>[IP1546]</v>
      </c>
    </row>
    <row r="225" ht="67.5" customHeight="1">
      <c r="A225" s="41">
        <v>1547.0</v>
      </c>
      <c r="B225" s="42" t="s">
        <v>562</v>
      </c>
      <c r="C225" s="43">
        <v>2016.0</v>
      </c>
      <c r="D225" s="44" t="s">
        <v>35</v>
      </c>
      <c r="E225" s="45" t="s">
        <v>36</v>
      </c>
      <c r="F225" s="45" t="s">
        <v>36</v>
      </c>
      <c r="G225" s="45" t="s">
        <v>36</v>
      </c>
      <c r="H225" s="45" t="s">
        <v>36</v>
      </c>
      <c r="I225" s="45" t="s">
        <v>36</v>
      </c>
      <c r="J225" s="46" t="s">
        <v>36</v>
      </c>
      <c r="K225" s="47" t="s">
        <v>37</v>
      </c>
      <c r="L225" s="48" t="s">
        <v>37</v>
      </c>
      <c r="M225" s="48" t="s">
        <v>35</v>
      </c>
      <c r="N225" s="48" t="s">
        <v>35</v>
      </c>
      <c r="O225" s="48" t="s">
        <v>35</v>
      </c>
      <c r="P225" s="48" t="s">
        <v>35</v>
      </c>
      <c r="Q225" s="48" t="s">
        <v>35</v>
      </c>
      <c r="R225" s="48" t="s">
        <v>37</v>
      </c>
      <c r="S225" s="49" t="s">
        <v>563</v>
      </c>
      <c r="T225" s="50" t="s">
        <v>564</v>
      </c>
      <c r="U225" s="51" t="s">
        <v>564</v>
      </c>
      <c r="V225" s="52">
        <f t="shared" ref="V225:X225" si="230">IF(lenb(SUBSTITUTE($Z225,V$1&amp;" (1)",""))&lt;lenb($Z225),1,IF(lenb(SUBSTITUTE($Z225,V$1&amp;" (2)",""))&lt;lenb($Z225),2,IF(lenb(SUBSTITUTE($Z225,V$1&amp;" (3)",""))&lt;lenb($Z225),3,IF(lenb(SUBSTITUTE($Z225,V$1&amp;" (4)",""))&lt;lenb($Z225),4,IF(lenb(SUBSTITUTE($Z225,V$1&amp;" (5)",""))&lt;lenb($Z225),5,IF(lenb(SUBSTITUTE($Z225,V$1&amp;" (6)",""))&lt;lenb($Z225),6,IF(lenb(SUBSTITUTE($Z225,V$1&amp;" (7)",""))&lt;lenb($Z225),1,IF(lenb(SUBSTITUTE($Z225,V$1&amp;" (8)",""))&lt;lenb($Z225),8,IF(lenb(SUBSTITUTE($Z225,V$1&amp;" (9)",""))&lt;lenb($Z225),9,IF(lenb(SUBSTITUTE($Z225,V$1&amp;" (10)",""))&lt;lenb($Z225),10,IF(lenb(SUBSTITUTE($Z225,V$1,""))&lt;lenb($Z225),"ERROR",IF($Z225=$Y$1,"-",0))))))))))))</f>
        <v>0</v>
      </c>
      <c r="W225" s="52">
        <f t="shared" si="230"/>
        <v>1</v>
      </c>
      <c r="X225" s="52">
        <f t="shared" si="230"/>
        <v>0</v>
      </c>
      <c r="Y225" s="52" t="str">
        <f t="shared" si="3"/>
        <v>-</v>
      </c>
      <c r="Z225" s="52" t="s">
        <v>47</v>
      </c>
      <c r="AA225" s="53">
        <f t="shared" si="4"/>
        <v>1</v>
      </c>
      <c r="AB225" s="54">
        <f>COUNTIFS(Links!B:B,"ICSE",Links!C:C,A225,Links!AD:AD,1)</f>
        <v>1</v>
      </c>
      <c r="AC225" s="55" t="s">
        <v>35</v>
      </c>
      <c r="AD225" s="47" t="str">
        <f t="shared" si="5"/>
        <v>No</v>
      </c>
      <c r="AE225" s="56" t="s">
        <v>36</v>
      </c>
      <c r="AF225" s="57" t="s">
        <v>42</v>
      </c>
      <c r="AG225" s="57" t="s">
        <v>42</v>
      </c>
      <c r="AH225" s="57" t="s">
        <v>42</v>
      </c>
      <c r="AI225" s="49" t="str">
        <f t="shared" si="6"/>
        <v>----</v>
      </c>
      <c r="AJ225" s="58" t="str">
        <f t="shared" si="7"/>
        <v>Paper has link but no statement</v>
      </c>
      <c r="AK225" s="59">
        <v>45034.0</v>
      </c>
      <c r="AL225" s="43" t="s">
        <v>43</v>
      </c>
      <c r="AM225" s="60" t="str">
        <f t="shared" si="8"/>
        <v>[IP1547]</v>
      </c>
    </row>
    <row r="226" ht="67.5" customHeight="1">
      <c r="A226" s="61">
        <v>1548.0</v>
      </c>
      <c r="B226" s="22" t="s">
        <v>565</v>
      </c>
      <c r="C226" s="23">
        <v>2016.0</v>
      </c>
      <c r="D226" s="24" t="s">
        <v>35</v>
      </c>
      <c r="E226" s="25" t="s">
        <v>36</v>
      </c>
      <c r="F226" s="25" t="s">
        <v>36</v>
      </c>
      <c r="G226" s="25" t="s">
        <v>36</v>
      </c>
      <c r="H226" s="25" t="s">
        <v>36</v>
      </c>
      <c r="I226" s="25" t="s">
        <v>36</v>
      </c>
      <c r="J226" s="26" t="s">
        <v>36</v>
      </c>
      <c r="K226" s="27" t="s">
        <v>37</v>
      </c>
      <c r="L226" s="28" t="s">
        <v>37</v>
      </c>
      <c r="M226" s="28" t="s">
        <v>35</v>
      </c>
      <c r="N226" s="28" t="s">
        <v>35</v>
      </c>
      <c r="O226" s="28" t="s">
        <v>35</v>
      </c>
      <c r="P226" s="28" t="s">
        <v>35</v>
      </c>
      <c r="Q226" s="28" t="s">
        <v>35</v>
      </c>
      <c r="R226" s="28" t="s">
        <v>37</v>
      </c>
      <c r="S226" s="29" t="s">
        <v>566</v>
      </c>
      <c r="T226" s="30" t="s">
        <v>567</v>
      </c>
      <c r="U226" s="31" t="s">
        <v>567</v>
      </c>
      <c r="V226" s="32">
        <f t="shared" ref="V226:X226" si="231">IF(lenb(SUBSTITUTE($Z226,V$1&amp;" (1)",""))&lt;lenb($Z226),1,IF(lenb(SUBSTITUTE($Z226,V$1&amp;" (2)",""))&lt;lenb($Z226),2,IF(lenb(SUBSTITUTE($Z226,V$1&amp;" (3)",""))&lt;lenb($Z226),3,IF(lenb(SUBSTITUTE($Z226,V$1&amp;" (4)",""))&lt;lenb($Z226),4,IF(lenb(SUBSTITUTE($Z226,V$1&amp;" (5)",""))&lt;lenb($Z226),5,IF(lenb(SUBSTITUTE($Z226,V$1&amp;" (6)",""))&lt;lenb($Z226),6,IF(lenb(SUBSTITUTE($Z226,V$1&amp;" (7)",""))&lt;lenb($Z226),1,IF(lenb(SUBSTITUTE($Z226,V$1&amp;" (8)",""))&lt;lenb($Z226),8,IF(lenb(SUBSTITUTE($Z226,V$1&amp;" (9)",""))&lt;lenb($Z226),9,IF(lenb(SUBSTITUTE($Z226,V$1&amp;" (10)",""))&lt;lenb($Z226),10,IF(lenb(SUBSTITUTE($Z226,V$1,""))&lt;lenb($Z226),"ERROR",IF($Z226=$Y$1,"-",0))))))))))))</f>
        <v>0</v>
      </c>
      <c r="W226" s="32">
        <f t="shared" si="231"/>
        <v>1</v>
      </c>
      <c r="X226" s="32">
        <f t="shared" si="231"/>
        <v>0</v>
      </c>
      <c r="Y226" s="32" t="str">
        <f t="shared" si="3"/>
        <v>-</v>
      </c>
      <c r="Z226" s="32" t="s">
        <v>47</v>
      </c>
      <c r="AA226" s="33">
        <f t="shared" si="4"/>
        <v>1</v>
      </c>
      <c r="AB226" s="34">
        <f>COUNTIFS(Links!B:B,"ICSE",Links!C:C,A226,Links!AD:AD,1)</f>
        <v>1</v>
      </c>
      <c r="AC226" s="35" t="s">
        <v>35</v>
      </c>
      <c r="AD226" s="27" t="str">
        <f t="shared" si="5"/>
        <v>No</v>
      </c>
      <c r="AE226" s="36" t="s">
        <v>36</v>
      </c>
      <c r="AF226" s="37" t="s">
        <v>42</v>
      </c>
      <c r="AG226" s="37" t="s">
        <v>42</v>
      </c>
      <c r="AH226" s="37" t="s">
        <v>42</v>
      </c>
      <c r="AI226" s="29" t="str">
        <f t="shared" si="6"/>
        <v>----</v>
      </c>
      <c r="AJ226" s="38" t="str">
        <f t="shared" si="7"/>
        <v>Paper has link but no statement</v>
      </c>
      <c r="AK226" s="39">
        <v>45034.0</v>
      </c>
      <c r="AL226" s="23" t="s">
        <v>43</v>
      </c>
      <c r="AM226" s="40" t="str">
        <f t="shared" si="8"/>
        <v>[IP1548]</v>
      </c>
    </row>
    <row r="227" ht="67.5" customHeight="1">
      <c r="A227" s="41">
        <v>1549.0</v>
      </c>
      <c r="B227" s="42" t="s">
        <v>568</v>
      </c>
      <c r="C227" s="43">
        <v>2016.0</v>
      </c>
      <c r="D227" s="44" t="s">
        <v>35</v>
      </c>
      <c r="E227" s="45" t="s">
        <v>36</v>
      </c>
      <c r="F227" s="45" t="s">
        <v>36</v>
      </c>
      <c r="G227" s="45" t="s">
        <v>36</v>
      </c>
      <c r="H227" s="45" t="s">
        <v>36</v>
      </c>
      <c r="I227" s="45" t="s">
        <v>36</v>
      </c>
      <c r="J227" s="46" t="s">
        <v>36</v>
      </c>
      <c r="K227" s="47" t="s">
        <v>37</v>
      </c>
      <c r="L227" s="48" t="s">
        <v>35</v>
      </c>
      <c r="M227" s="48" t="s">
        <v>37</v>
      </c>
      <c r="N227" s="48" t="s">
        <v>37</v>
      </c>
      <c r="O227" s="48" t="s">
        <v>35</v>
      </c>
      <c r="P227" s="48" t="s">
        <v>35</v>
      </c>
      <c r="Q227" s="48" t="s">
        <v>35</v>
      </c>
      <c r="R227" s="48" t="s">
        <v>35</v>
      </c>
      <c r="S227" s="49" t="s">
        <v>569</v>
      </c>
      <c r="T227" s="50" t="s">
        <v>570</v>
      </c>
      <c r="U227" s="51" t="s">
        <v>570</v>
      </c>
      <c r="V227" s="52">
        <f t="shared" ref="V227:X227" si="232">IF(lenb(SUBSTITUTE($Z227,V$1&amp;" (1)",""))&lt;lenb($Z227),1,IF(lenb(SUBSTITUTE($Z227,V$1&amp;" (2)",""))&lt;lenb($Z227),2,IF(lenb(SUBSTITUTE($Z227,V$1&amp;" (3)",""))&lt;lenb($Z227),3,IF(lenb(SUBSTITUTE($Z227,V$1&amp;" (4)",""))&lt;lenb($Z227),4,IF(lenb(SUBSTITUTE($Z227,V$1&amp;" (5)",""))&lt;lenb($Z227),5,IF(lenb(SUBSTITUTE($Z227,V$1&amp;" (6)",""))&lt;lenb($Z227),6,IF(lenb(SUBSTITUTE($Z227,V$1&amp;" (7)",""))&lt;lenb($Z227),1,IF(lenb(SUBSTITUTE($Z227,V$1&amp;" (8)",""))&lt;lenb($Z227),8,IF(lenb(SUBSTITUTE($Z227,V$1&amp;" (9)",""))&lt;lenb($Z227),9,IF(lenb(SUBSTITUTE($Z227,V$1&amp;" (10)",""))&lt;lenb($Z227),10,IF(lenb(SUBSTITUTE($Z227,V$1,""))&lt;lenb($Z227),"ERROR",IF($Z227=$Y$1,"-",0))))))))))))</f>
        <v>0</v>
      </c>
      <c r="W227" s="52">
        <f t="shared" si="232"/>
        <v>1</v>
      </c>
      <c r="X227" s="52">
        <f t="shared" si="232"/>
        <v>0</v>
      </c>
      <c r="Y227" s="52" t="str">
        <f t="shared" si="3"/>
        <v>-</v>
      </c>
      <c r="Z227" s="52" t="s">
        <v>47</v>
      </c>
      <c r="AA227" s="53">
        <f t="shared" si="4"/>
        <v>1</v>
      </c>
      <c r="AB227" s="54">
        <f>COUNTIFS(Links!B:B,"ICSE",Links!C:C,A227,Links!AD:AD,1)</f>
        <v>0</v>
      </c>
      <c r="AC227" s="55" t="s">
        <v>35</v>
      </c>
      <c r="AD227" s="47" t="str">
        <f t="shared" si="5"/>
        <v>No</v>
      </c>
      <c r="AE227" s="56" t="s">
        <v>36</v>
      </c>
      <c r="AF227" s="57" t="s">
        <v>42</v>
      </c>
      <c r="AG227" s="57" t="s">
        <v>42</v>
      </c>
      <c r="AH227" s="57" t="s">
        <v>42</v>
      </c>
      <c r="AI227" s="49" t="str">
        <f t="shared" si="6"/>
        <v>----</v>
      </c>
      <c r="AJ227" s="58" t="str">
        <f t="shared" si="7"/>
        <v>Paper has link but no statement</v>
      </c>
      <c r="AK227" s="59">
        <v>45034.0</v>
      </c>
      <c r="AL227" s="43" t="s">
        <v>43</v>
      </c>
      <c r="AM227" s="60" t="str">
        <f t="shared" si="8"/>
        <v>[IP1549]</v>
      </c>
    </row>
    <row r="228" ht="67.5" customHeight="1">
      <c r="A228" s="61">
        <v>1550.0</v>
      </c>
      <c r="B228" s="22" t="s">
        <v>571</v>
      </c>
      <c r="C228" s="23">
        <v>2016.0</v>
      </c>
      <c r="D228" s="24" t="s">
        <v>35</v>
      </c>
      <c r="E228" s="25" t="s">
        <v>36</v>
      </c>
      <c r="F228" s="25" t="s">
        <v>36</v>
      </c>
      <c r="G228" s="25" t="s">
        <v>36</v>
      </c>
      <c r="H228" s="25" t="s">
        <v>36</v>
      </c>
      <c r="I228" s="25" t="s">
        <v>36</v>
      </c>
      <c r="J228" s="26" t="s">
        <v>36</v>
      </c>
      <c r="K228" s="27" t="s">
        <v>37</v>
      </c>
      <c r="L228" s="28" t="s">
        <v>35</v>
      </c>
      <c r="M228" s="28" t="s">
        <v>35</v>
      </c>
      <c r="N228" s="28" t="s">
        <v>35</v>
      </c>
      <c r="O228" s="28" t="s">
        <v>35</v>
      </c>
      <c r="P228" s="28" t="s">
        <v>35</v>
      </c>
      <c r="Q228" s="28" t="s">
        <v>35</v>
      </c>
      <c r="R228" s="28" t="s">
        <v>37</v>
      </c>
      <c r="S228" s="29" t="s">
        <v>572</v>
      </c>
      <c r="T228" s="30" t="s">
        <v>573</v>
      </c>
      <c r="U228" s="31" t="s">
        <v>573</v>
      </c>
      <c r="V228" s="32">
        <f t="shared" ref="V228:X228" si="233">IF(lenb(SUBSTITUTE($Z228,V$1&amp;" (1)",""))&lt;lenb($Z228),1,IF(lenb(SUBSTITUTE($Z228,V$1&amp;" (2)",""))&lt;lenb($Z228),2,IF(lenb(SUBSTITUTE($Z228,V$1&amp;" (3)",""))&lt;lenb($Z228),3,IF(lenb(SUBSTITUTE($Z228,V$1&amp;" (4)",""))&lt;lenb($Z228),4,IF(lenb(SUBSTITUTE($Z228,V$1&amp;" (5)",""))&lt;lenb($Z228),5,IF(lenb(SUBSTITUTE($Z228,V$1&amp;" (6)",""))&lt;lenb($Z228),6,IF(lenb(SUBSTITUTE($Z228,V$1&amp;" (7)",""))&lt;lenb($Z228),1,IF(lenb(SUBSTITUTE($Z228,V$1&amp;" (8)",""))&lt;lenb($Z228),8,IF(lenb(SUBSTITUTE($Z228,V$1&amp;" (9)",""))&lt;lenb($Z228),9,IF(lenb(SUBSTITUTE($Z228,V$1&amp;" (10)",""))&lt;lenb($Z228),10,IF(lenb(SUBSTITUTE($Z228,V$1,""))&lt;lenb($Z228),"ERROR",IF($Z228=$Y$1,"-",0))))))))))))</f>
        <v>1</v>
      </c>
      <c r="W228" s="32">
        <f t="shared" si="233"/>
        <v>0</v>
      </c>
      <c r="X228" s="32">
        <f t="shared" si="233"/>
        <v>0</v>
      </c>
      <c r="Y228" s="32" t="str">
        <f t="shared" si="3"/>
        <v>-</v>
      </c>
      <c r="Z228" s="32" t="s">
        <v>62</v>
      </c>
      <c r="AA228" s="33">
        <f t="shared" si="4"/>
        <v>1</v>
      </c>
      <c r="AB228" s="34">
        <f>COUNTIFS(Links!B:B,"ICSE",Links!C:C,A228,Links!AD:AD,1)</f>
        <v>0</v>
      </c>
      <c r="AC228" s="35" t="s">
        <v>35</v>
      </c>
      <c r="AD228" s="27" t="str">
        <f t="shared" si="5"/>
        <v>No</v>
      </c>
      <c r="AE228" s="36" t="s">
        <v>36</v>
      </c>
      <c r="AF228" s="37" t="s">
        <v>42</v>
      </c>
      <c r="AG228" s="37" t="s">
        <v>42</v>
      </c>
      <c r="AH228" s="37" t="s">
        <v>42</v>
      </c>
      <c r="AI228" s="29" t="str">
        <f t="shared" si="6"/>
        <v>----</v>
      </c>
      <c r="AJ228" s="38" t="str">
        <f t="shared" si="7"/>
        <v>Paper has link but no statement</v>
      </c>
      <c r="AK228" s="39">
        <v>45034.0</v>
      </c>
      <c r="AL228" s="23" t="s">
        <v>43</v>
      </c>
      <c r="AM228" s="40" t="str">
        <f t="shared" si="8"/>
        <v>[IP1550]</v>
      </c>
    </row>
    <row r="229" ht="67.5" customHeight="1">
      <c r="A229" s="41">
        <v>1551.0</v>
      </c>
      <c r="B229" s="42" t="s">
        <v>574</v>
      </c>
      <c r="C229" s="43">
        <v>2016.0</v>
      </c>
      <c r="D229" s="44" t="s">
        <v>35</v>
      </c>
      <c r="E229" s="45" t="s">
        <v>36</v>
      </c>
      <c r="F229" s="45" t="s">
        <v>36</v>
      </c>
      <c r="G229" s="45" t="s">
        <v>36</v>
      </c>
      <c r="H229" s="45" t="s">
        <v>36</v>
      </c>
      <c r="I229" s="45" t="s">
        <v>36</v>
      </c>
      <c r="J229" s="46" t="s">
        <v>36</v>
      </c>
      <c r="K229" s="47" t="s">
        <v>37</v>
      </c>
      <c r="L229" s="48" t="s">
        <v>37</v>
      </c>
      <c r="M229" s="48" t="s">
        <v>35</v>
      </c>
      <c r="N229" s="48" t="s">
        <v>35</v>
      </c>
      <c r="O229" s="48" t="s">
        <v>35</v>
      </c>
      <c r="P229" s="48" t="s">
        <v>35</v>
      </c>
      <c r="Q229" s="48" t="s">
        <v>35</v>
      </c>
      <c r="R229" s="48" t="s">
        <v>37</v>
      </c>
      <c r="S229" s="49" t="s">
        <v>575</v>
      </c>
      <c r="T229" s="50" t="s">
        <v>576</v>
      </c>
      <c r="U229" s="51" t="s">
        <v>576</v>
      </c>
      <c r="V229" s="52">
        <f t="shared" ref="V229:X229" si="234">IF(lenb(SUBSTITUTE($Z229,V$1&amp;" (1)",""))&lt;lenb($Z229),1,IF(lenb(SUBSTITUTE($Z229,V$1&amp;" (2)",""))&lt;lenb($Z229),2,IF(lenb(SUBSTITUTE($Z229,V$1&amp;" (3)",""))&lt;lenb($Z229),3,IF(lenb(SUBSTITUTE($Z229,V$1&amp;" (4)",""))&lt;lenb($Z229),4,IF(lenb(SUBSTITUTE($Z229,V$1&amp;" (5)",""))&lt;lenb($Z229),5,IF(lenb(SUBSTITUTE($Z229,V$1&amp;" (6)",""))&lt;lenb($Z229),6,IF(lenb(SUBSTITUTE($Z229,V$1&amp;" (7)",""))&lt;lenb($Z229),1,IF(lenb(SUBSTITUTE($Z229,V$1&amp;" (8)",""))&lt;lenb($Z229),8,IF(lenb(SUBSTITUTE($Z229,V$1&amp;" (9)",""))&lt;lenb($Z229),9,IF(lenb(SUBSTITUTE($Z229,V$1&amp;" (10)",""))&lt;lenb($Z229),10,IF(lenb(SUBSTITUTE($Z229,V$1,""))&lt;lenb($Z229),"ERROR",IF($Z229=$Y$1,"-",0))))))))))))</f>
        <v>0</v>
      </c>
      <c r="W229" s="52">
        <f t="shared" si="234"/>
        <v>1</v>
      </c>
      <c r="X229" s="52">
        <f t="shared" si="234"/>
        <v>0</v>
      </c>
      <c r="Y229" s="52" t="str">
        <f t="shared" si="3"/>
        <v>-</v>
      </c>
      <c r="Z229" s="52" t="s">
        <v>47</v>
      </c>
      <c r="AA229" s="53">
        <f t="shared" si="4"/>
        <v>1</v>
      </c>
      <c r="AB229" s="54">
        <f>COUNTIFS(Links!B:B,"ICSE",Links!C:C,A229,Links!AD:AD,1)</f>
        <v>1</v>
      </c>
      <c r="AC229" s="55" t="s">
        <v>35</v>
      </c>
      <c r="AD229" s="47" t="str">
        <f t="shared" si="5"/>
        <v>No</v>
      </c>
      <c r="AE229" s="56" t="s">
        <v>36</v>
      </c>
      <c r="AF229" s="57" t="s">
        <v>42</v>
      </c>
      <c r="AG229" s="57" t="s">
        <v>42</v>
      </c>
      <c r="AH229" s="57" t="s">
        <v>42</v>
      </c>
      <c r="AI229" s="49" t="str">
        <f t="shared" si="6"/>
        <v>----</v>
      </c>
      <c r="AJ229" s="58" t="str">
        <f t="shared" si="7"/>
        <v>Paper has link but no statement</v>
      </c>
      <c r="AK229" s="59">
        <v>45034.0</v>
      </c>
      <c r="AL229" s="43" t="s">
        <v>43</v>
      </c>
      <c r="AM229" s="60" t="str">
        <f t="shared" si="8"/>
        <v>[IP1551]</v>
      </c>
    </row>
    <row r="230" ht="67.5" customHeight="1">
      <c r="A230" s="61">
        <v>1552.0</v>
      </c>
      <c r="B230" s="22" t="s">
        <v>577</v>
      </c>
      <c r="C230" s="23">
        <v>2016.0</v>
      </c>
      <c r="D230" s="24" t="s">
        <v>35</v>
      </c>
      <c r="E230" s="25" t="s">
        <v>36</v>
      </c>
      <c r="F230" s="25" t="s">
        <v>36</v>
      </c>
      <c r="G230" s="25" t="s">
        <v>36</v>
      </c>
      <c r="H230" s="25" t="s">
        <v>36</v>
      </c>
      <c r="I230" s="25" t="s">
        <v>36</v>
      </c>
      <c r="J230" s="26" t="s">
        <v>36</v>
      </c>
      <c r="K230" s="27" t="s">
        <v>37</v>
      </c>
      <c r="L230" s="28" t="s">
        <v>37</v>
      </c>
      <c r="M230" s="28" t="s">
        <v>35</v>
      </c>
      <c r="N230" s="28" t="s">
        <v>37</v>
      </c>
      <c r="O230" s="28" t="s">
        <v>35</v>
      </c>
      <c r="P230" s="28" t="s">
        <v>35</v>
      </c>
      <c r="Q230" s="28" t="s">
        <v>35</v>
      </c>
      <c r="R230" s="28" t="s">
        <v>37</v>
      </c>
      <c r="S230" s="29" t="s">
        <v>578</v>
      </c>
      <c r="T230" s="31" t="s">
        <v>579</v>
      </c>
      <c r="U230" s="31" t="s">
        <v>580</v>
      </c>
      <c r="V230" s="32">
        <f t="shared" ref="V230:X230" si="235">IF(lenb(SUBSTITUTE($Z230,V$1&amp;" (1)",""))&lt;lenb($Z230),1,IF(lenb(SUBSTITUTE($Z230,V$1&amp;" (2)",""))&lt;lenb($Z230),2,IF(lenb(SUBSTITUTE($Z230,V$1&amp;" (3)",""))&lt;lenb($Z230),3,IF(lenb(SUBSTITUTE($Z230,V$1&amp;" (4)",""))&lt;lenb($Z230),4,IF(lenb(SUBSTITUTE($Z230,V$1&amp;" (5)",""))&lt;lenb($Z230),5,IF(lenb(SUBSTITUTE($Z230,V$1&amp;" (6)",""))&lt;lenb($Z230),6,IF(lenb(SUBSTITUTE($Z230,V$1&amp;" (7)",""))&lt;lenb($Z230),1,IF(lenb(SUBSTITUTE($Z230,V$1&amp;" (8)",""))&lt;lenb($Z230),8,IF(lenb(SUBSTITUTE($Z230,V$1&amp;" (9)",""))&lt;lenb($Z230),9,IF(lenb(SUBSTITUTE($Z230,V$1&amp;" (10)",""))&lt;lenb($Z230),10,IF(lenb(SUBSTITUTE($Z230,V$1,""))&lt;lenb($Z230),"ERROR",IF($Z230=$Y$1,"-",0))))))))))))</f>
        <v>3</v>
      </c>
      <c r="W230" s="32">
        <f t="shared" si="235"/>
        <v>0</v>
      </c>
      <c r="X230" s="32">
        <f t="shared" si="235"/>
        <v>0</v>
      </c>
      <c r="Y230" s="32" t="str">
        <f t="shared" si="3"/>
        <v>-</v>
      </c>
      <c r="Z230" s="32" t="s">
        <v>193</v>
      </c>
      <c r="AA230" s="33">
        <f t="shared" si="4"/>
        <v>3</v>
      </c>
      <c r="AB230" s="34">
        <f>COUNTIFS(Links!B:B,"ICSE",Links!C:C,A230,Links!AD:AD,1)</f>
        <v>2</v>
      </c>
      <c r="AC230" s="35" t="s">
        <v>37</v>
      </c>
      <c r="AD230" s="27" t="str">
        <f t="shared" si="5"/>
        <v>No</v>
      </c>
      <c r="AE230" s="36" t="s">
        <v>36</v>
      </c>
      <c r="AF230" s="37" t="s">
        <v>42</v>
      </c>
      <c r="AG230" s="37" t="s">
        <v>42</v>
      </c>
      <c r="AH230" s="37" t="s">
        <v>42</v>
      </c>
      <c r="AI230" s="29" t="str">
        <f t="shared" si="6"/>
        <v>----</v>
      </c>
      <c r="AJ230" s="38" t="str">
        <f t="shared" si="7"/>
        <v>Paper has link but no statement</v>
      </c>
      <c r="AK230" s="39">
        <v>45034.0</v>
      </c>
      <c r="AL230" s="23" t="s">
        <v>43</v>
      </c>
      <c r="AM230" s="40" t="str">
        <f t="shared" si="8"/>
        <v>[IP1552]</v>
      </c>
    </row>
    <row r="231" ht="67.5" customHeight="1">
      <c r="A231" s="41">
        <v>1553.0</v>
      </c>
      <c r="B231" s="42" t="s">
        <v>581</v>
      </c>
      <c r="C231" s="43">
        <v>2016.0</v>
      </c>
      <c r="D231" s="44" t="s">
        <v>35</v>
      </c>
      <c r="E231" s="45" t="s">
        <v>36</v>
      </c>
      <c r="F231" s="45" t="s">
        <v>36</v>
      </c>
      <c r="G231" s="45" t="s">
        <v>36</v>
      </c>
      <c r="H231" s="45" t="s">
        <v>36</v>
      </c>
      <c r="I231" s="45" t="s">
        <v>36</v>
      </c>
      <c r="J231" s="46" t="s">
        <v>36</v>
      </c>
      <c r="K231" s="47" t="s">
        <v>37</v>
      </c>
      <c r="L231" s="48" t="s">
        <v>35</v>
      </c>
      <c r="M231" s="48" t="s">
        <v>37</v>
      </c>
      <c r="N231" s="48" t="s">
        <v>35</v>
      </c>
      <c r="O231" s="48" t="s">
        <v>35</v>
      </c>
      <c r="P231" s="48" t="s">
        <v>35</v>
      </c>
      <c r="Q231" s="48" t="s">
        <v>35</v>
      </c>
      <c r="R231" s="48" t="s">
        <v>37</v>
      </c>
      <c r="S231" s="49" t="s">
        <v>582</v>
      </c>
      <c r="T231" s="50" t="s">
        <v>583</v>
      </c>
      <c r="U231" s="51" t="s">
        <v>583</v>
      </c>
      <c r="V231" s="52">
        <f t="shared" ref="V231:X231" si="236">IF(lenb(SUBSTITUTE($Z231,V$1&amp;" (1)",""))&lt;lenb($Z231),1,IF(lenb(SUBSTITUTE($Z231,V$1&amp;" (2)",""))&lt;lenb($Z231),2,IF(lenb(SUBSTITUTE($Z231,V$1&amp;" (3)",""))&lt;lenb($Z231),3,IF(lenb(SUBSTITUTE($Z231,V$1&amp;" (4)",""))&lt;lenb($Z231),4,IF(lenb(SUBSTITUTE($Z231,V$1&amp;" (5)",""))&lt;lenb($Z231),5,IF(lenb(SUBSTITUTE($Z231,V$1&amp;" (6)",""))&lt;lenb($Z231),6,IF(lenb(SUBSTITUTE($Z231,V$1&amp;" (7)",""))&lt;lenb($Z231),1,IF(lenb(SUBSTITUTE($Z231,V$1&amp;" (8)",""))&lt;lenb($Z231),8,IF(lenb(SUBSTITUTE($Z231,V$1&amp;" (9)",""))&lt;lenb($Z231),9,IF(lenb(SUBSTITUTE($Z231,V$1&amp;" (10)",""))&lt;lenb($Z231),10,IF(lenb(SUBSTITUTE($Z231,V$1,""))&lt;lenb($Z231),"ERROR",IF($Z231=$Y$1,"-",0))))))))))))</f>
        <v>1</v>
      </c>
      <c r="W231" s="52">
        <f t="shared" si="236"/>
        <v>0</v>
      </c>
      <c r="X231" s="52">
        <f t="shared" si="236"/>
        <v>0</v>
      </c>
      <c r="Y231" s="52" t="str">
        <f t="shared" si="3"/>
        <v>-</v>
      </c>
      <c r="Z231" s="52" t="s">
        <v>62</v>
      </c>
      <c r="AA231" s="53">
        <f t="shared" si="4"/>
        <v>1</v>
      </c>
      <c r="AB231" s="54">
        <f>COUNTIFS(Links!B:B,"ICSE",Links!C:C,A231,Links!AD:AD,1)</f>
        <v>1</v>
      </c>
      <c r="AC231" s="55" t="s">
        <v>35</v>
      </c>
      <c r="AD231" s="47" t="str">
        <f t="shared" si="5"/>
        <v>No</v>
      </c>
      <c r="AE231" s="56" t="s">
        <v>36</v>
      </c>
      <c r="AF231" s="57" t="s">
        <v>42</v>
      </c>
      <c r="AG231" s="57" t="s">
        <v>42</v>
      </c>
      <c r="AH231" s="57" t="s">
        <v>42</v>
      </c>
      <c r="AI231" s="49" t="str">
        <f t="shared" si="6"/>
        <v>----</v>
      </c>
      <c r="AJ231" s="58" t="str">
        <f t="shared" si="7"/>
        <v>Paper has link but no statement</v>
      </c>
      <c r="AK231" s="59">
        <v>45034.0</v>
      </c>
      <c r="AL231" s="43" t="s">
        <v>43</v>
      </c>
      <c r="AM231" s="60" t="str">
        <f t="shared" si="8"/>
        <v>[IP1553]</v>
      </c>
    </row>
    <row r="232" ht="67.5" customHeight="1">
      <c r="A232" s="61">
        <v>1554.0</v>
      </c>
      <c r="B232" s="22" t="s">
        <v>584</v>
      </c>
      <c r="C232" s="23">
        <v>2016.0</v>
      </c>
      <c r="D232" s="24" t="s">
        <v>35</v>
      </c>
      <c r="E232" s="25" t="s">
        <v>36</v>
      </c>
      <c r="F232" s="25" t="s">
        <v>36</v>
      </c>
      <c r="G232" s="25" t="s">
        <v>36</v>
      </c>
      <c r="H232" s="25" t="s">
        <v>36</v>
      </c>
      <c r="I232" s="25" t="s">
        <v>36</v>
      </c>
      <c r="J232" s="26" t="s">
        <v>36</v>
      </c>
      <c r="K232" s="27" t="s">
        <v>35</v>
      </c>
      <c r="L232" s="28" t="s">
        <v>36</v>
      </c>
      <c r="M232" s="28" t="s">
        <v>36</v>
      </c>
      <c r="N232" s="28" t="s">
        <v>36</v>
      </c>
      <c r="O232" s="28" t="s">
        <v>36</v>
      </c>
      <c r="P232" s="28" t="s">
        <v>36</v>
      </c>
      <c r="Q232" s="28" t="s">
        <v>36</v>
      </c>
      <c r="R232" s="28" t="s">
        <v>36</v>
      </c>
      <c r="S232" s="29" t="s">
        <v>36</v>
      </c>
      <c r="T232" s="30" t="s">
        <v>36</v>
      </c>
      <c r="U232" s="31" t="s">
        <v>36</v>
      </c>
      <c r="V232" s="32" t="str">
        <f t="shared" ref="V232:X232" si="237">IF(lenb(SUBSTITUTE($Z232,V$1&amp;" (1)",""))&lt;lenb($Z232),1,IF(lenb(SUBSTITUTE($Z232,V$1&amp;" (2)",""))&lt;lenb($Z232),2,IF(lenb(SUBSTITUTE($Z232,V$1&amp;" (3)",""))&lt;lenb($Z232),3,IF(lenb(SUBSTITUTE($Z232,V$1&amp;" (4)",""))&lt;lenb($Z232),4,IF(lenb(SUBSTITUTE($Z232,V$1&amp;" (5)",""))&lt;lenb($Z232),5,IF(lenb(SUBSTITUTE($Z232,V$1&amp;" (6)",""))&lt;lenb($Z232),6,IF(lenb(SUBSTITUTE($Z232,V$1&amp;" (7)",""))&lt;lenb($Z232),1,IF(lenb(SUBSTITUTE($Z232,V$1&amp;" (8)",""))&lt;lenb($Z232),8,IF(lenb(SUBSTITUTE($Z232,V$1&amp;" (9)",""))&lt;lenb($Z232),9,IF(lenb(SUBSTITUTE($Z232,V$1&amp;" (10)",""))&lt;lenb($Z232),10,IF(lenb(SUBSTITUTE($Z232,V$1,""))&lt;lenb($Z232),"ERROR",IF($Z232=$Y$1,"-",0))))))))))))</f>
        <v>-</v>
      </c>
      <c r="W232" s="32" t="str">
        <f t="shared" si="237"/>
        <v>-</v>
      </c>
      <c r="X232" s="32" t="str">
        <f t="shared" si="237"/>
        <v>-</v>
      </c>
      <c r="Y232" s="32">
        <f t="shared" si="3"/>
        <v>1</v>
      </c>
      <c r="Z232" s="32" t="s">
        <v>23</v>
      </c>
      <c r="AA232" s="33">
        <f t="shared" si="4"/>
        <v>0</v>
      </c>
      <c r="AB232" s="34">
        <f>COUNTIFS(Links!B:B,"ICSE",Links!C:C,A232,Links!AD:AD,1)</f>
        <v>0</v>
      </c>
      <c r="AC232" s="35" t="s">
        <v>36</v>
      </c>
      <c r="AD232" s="27" t="str">
        <f t="shared" si="5"/>
        <v>No</v>
      </c>
      <c r="AE232" s="36" t="s">
        <v>36</v>
      </c>
      <c r="AF232" s="37" t="s">
        <v>42</v>
      </c>
      <c r="AG232" s="37" t="s">
        <v>42</v>
      </c>
      <c r="AH232" s="37" t="s">
        <v>42</v>
      </c>
      <c r="AI232" s="29" t="str">
        <f t="shared" si="6"/>
        <v>----</v>
      </c>
      <c r="AJ232" s="38" t="str">
        <f t="shared" si="7"/>
        <v>Paper has no link and no statement</v>
      </c>
      <c r="AK232" s="39">
        <v>45034.0</v>
      </c>
      <c r="AL232" s="23" t="s">
        <v>43</v>
      </c>
      <c r="AM232" s="40" t="str">
        <f t="shared" si="8"/>
        <v>[IP1554]</v>
      </c>
    </row>
    <row r="233" ht="67.5" customHeight="1">
      <c r="A233" s="41">
        <v>1555.0</v>
      </c>
      <c r="B233" s="42" t="s">
        <v>585</v>
      </c>
      <c r="C233" s="43">
        <v>2016.0</v>
      </c>
      <c r="D233" s="44" t="s">
        <v>35</v>
      </c>
      <c r="E233" s="45" t="s">
        <v>36</v>
      </c>
      <c r="F233" s="45" t="s">
        <v>36</v>
      </c>
      <c r="G233" s="45" t="s">
        <v>36</v>
      </c>
      <c r="H233" s="45" t="s">
        <v>36</v>
      </c>
      <c r="I233" s="45" t="s">
        <v>36</v>
      </c>
      <c r="J233" s="46" t="s">
        <v>36</v>
      </c>
      <c r="K233" s="47" t="s">
        <v>37</v>
      </c>
      <c r="L233" s="48" t="s">
        <v>37</v>
      </c>
      <c r="M233" s="48" t="s">
        <v>35</v>
      </c>
      <c r="N233" s="48" t="s">
        <v>35</v>
      </c>
      <c r="O233" s="48" t="s">
        <v>35</v>
      </c>
      <c r="P233" s="48" t="s">
        <v>35</v>
      </c>
      <c r="Q233" s="48" t="s">
        <v>35</v>
      </c>
      <c r="R233" s="48" t="s">
        <v>37</v>
      </c>
      <c r="S233" s="49" t="s">
        <v>586</v>
      </c>
      <c r="T233" s="50" t="s">
        <v>587</v>
      </c>
      <c r="U233" s="51" t="s">
        <v>587</v>
      </c>
      <c r="V233" s="52">
        <f t="shared" ref="V233:X233" si="238">IF(lenb(SUBSTITUTE($Z233,V$1&amp;" (1)",""))&lt;lenb($Z233),1,IF(lenb(SUBSTITUTE($Z233,V$1&amp;" (2)",""))&lt;lenb($Z233),2,IF(lenb(SUBSTITUTE($Z233,V$1&amp;" (3)",""))&lt;lenb($Z233),3,IF(lenb(SUBSTITUTE($Z233,V$1&amp;" (4)",""))&lt;lenb($Z233),4,IF(lenb(SUBSTITUTE($Z233,V$1&amp;" (5)",""))&lt;lenb($Z233),5,IF(lenb(SUBSTITUTE($Z233,V$1&amp;" (6)",""))&lt;lenb($Z233),6,IF(lenb(SUBSTITUTE($Z233,V$1&amp;" (7)",""))&lt;lenb($Z233),1,IF(lenb(SUBSTITUTE($Z233,V$1&amp;" (8)",""))&lt;lenb($Z233),8,IF(lenb(SUBSTITUTE($Z233,V$1&amp;" (9)",""))&lt;lenb($Z233),9,IF(lenb(SUBSTITUTE($Z233,V$1&amp;" (10)",""))&lt;lenb($Z233),10,IF(lenb(SUBSTITUTE($Z233,V$1,""))&lt;lenb($Z233),"ERROR",IF($Z233=$Y$1,"-",0))))))))))))</f>
        <v>0</v>
      </c>
      <c r="W233" s="52">
        <f t="shared" si="238"/>
        <v>1</v>
      </c>
      <c r="X233" s="52">
        <f t="shared" si="238"/>
        <v>0</v>
      </c>
      <c r="Y233" s="52" t="str">
        <f t="shared" si="3"/>
        <v>-</v>
      </c>
      <c r="Z233" s="52" t="s">
        <v>47</v>
      </c>
      <c r="AA233" s="53">
        <f t="shared" si="4"/>
        <v>1</v>
      </c>
      <c r="AB233" s="54">
        <f>COUNTIFS(Links!B:B,"ICSE",Links!C:C,A233,Links!AD:AD,1)</f>
        <v>1</v>
      </c>
      <c r="AC233" s="55" t="s">
        <v>35</v>
      </c>
      <c r="AD233" s="47" t="str">
        <f t="shared" si="5"/>
        <v>No</v>
      </c>
      <c r="AE233" s="56" t="s">
        <v>36</v>
      </c>
      <c r="AF233" s="57" t="s">
        <v>42</v>
      </c>
      <c r="AG233" s="57" t="s">
        <v>42</v>
      </c>
      <c r="AH233" s="57" t="s">
        <v>42</v>
      </c>
      <c r="AI233" s="49" t="str">
        <f t="shared" si="6"/>
        <v>----</v>
      </c>
      <c r="AJ233" s="58" t="str">
        <f t="shared" si="7"/>
        <v>Paper has link but no statement</v>
      </c>
      <c r="AK233" s="59">
        <v>45034.0</v>
      </c>
      <c r="AL233" s="43" t="s">
        <v>43</v>
      </c>
      <c r="AM233" s="60" t="str">
        <f t="shared" si="8"/>
        <v>[IP1555]</v>
      </c>
    </row>
    <row r="234" ht="67.5" customHeight="1">
      <c r="A234" s="61">
        <v>1556.0</v>
      </c>
      <c r="B234" s="22" t="s">
        <v>588</v>
      </c>
      <c r="C234" s="23">
        <v>2016.0</v>
      </c>
      <c r="D234" s="24" t="s">
        <v>35</v>
      </c>
      <c r="E234" s="25" t="s">
        <v>36</v>
      </c>
      <c r="F234" s="25" t="s">
        <v>36</v>
      </c>
      <c r="G234" s="25" t="s">
        <v>36</v>
      </c>
      <c r="H234" s="25" t="s">
        <v>36</v>
      </c>
      <c r="I234" s="25" t="s">
        <v>36</v>
      </c>
      <c r="J234" s="26" t="s">
        <v>36</v>
      </c>
      <c r="K234" s="27" t="s">
        <v>37</v>
      </c>
      <c r="L234" s="28" t="s">
        <v>35</v>
      </c>
      <c r="M234" s="28" t="s">
        <v>37</v>
      </c>
      <c r="N234" s="28" t="s">
        <v>35</v>
      </c>
      <c r="O234" s="28" t="s">
        <v>35</v>
      </c>
      <c r="P234" s="28" t="s">
        <v>35</v>
      </c>
      <c r="Q234" s="28" t="s">
        <v>35</v>
      </c>
      <c r="R234" s="28" t="s">
        <v>37</v>
      </c>
      <c r="S234" s="29" t="s">
        <v>589</v>
      </c>
      <c r="T234" s="30" t="s">
        <v>590</v>
      </c>
      <c r="U234" s="31" t="s">
        <v>590</v>
      </c>
      <c r="V234" s="32">
        <f t="shared" ref="V234:X234" si="239">IF(lenb(SUBSTITUTE($Z234,V$1&amp;" (1)",""))&lt;lenb($Z234),1,IF(lenb(SUBSTITUTE($Z234,V$1&amp;" (2)",""))&lt;lenb($Z234),2,IF(lenb(SUBSTITUTE($Z234,V$1&amp;" (3)",""))&lt;lenb($Z234),3,IF(lenb(SUBSTITUTE($Z234,V$1&amp;" (4)",""))&lt;lenb($Z234),4,IF(lenb(SUBSTITUTE($Z234,V$1&amp;" (5)",""))&lt;lenb($Z234),5,IF(lenb(SUBSTITUTE($Z234,V$1&amp;" (6)",""))&lt;lenb($Z234),6,IF(lenb(SUBSTITUTE($Z234,V$1&amp;" (7)",""))&lt;lenb($Z234),1,IF(lenb(SUBSTITUTE($Z234,V$1&amp;" (8)",""))&lt;lenb($Z234),8,IF(lenb(SUBSTITUTE($Z234,V$1&amp;" (9)",""))&lt;lenb($Z234),9,IF(lenb(SUBSTITUTE($Z234,V$1&amp;" (10)",""))&lt;lenb($Z234),10,IF(lenb(SUBSTITUTE($Z234,V$1,""))&lt;lenb($Z234),"ERROR",IF($Z234=$Y$1,"-",0))))))))))))</f>
        <v>0</v>
      </c>
      <c r="W234" s="32">
        <f t="shared" si="239"/>
        <v>1</v>
      </c>
      <c r="X234" s="32">
        <f t="shared" si="239"/>
        <v>0</v>
      </c>
      <c r="Y234" s="32" t="str">
        <f t="shared" si="3"/>
        <v>-</v>
      </c>
      <c r="Z234" s="32" t="s">
        <v>47</v>
      </c>
      <c r="AA234" s="33">
        <f t="shared" si="4"/>
        <v>1</v>
      </c>
      <c r="AB234" s="34">
        <f>COUNTIFS(Links!B:B,"ICSE",Links!C:C,A234,Links!AD:AD,1)</f>
        <v>0</v>
      </c>
      <c r="AC234" s="35" t="s">
        <v>35</v>
      </c>
      <c r="AD234" s="27" t="str">
        <f t="shared" si="5"/>
        <v>No</v>
      </c>
      <c r="AE234" s="36" t="s">
        <v>36</v>
      </c>
      <c r="AF234" s="37" t="s">
        <v>42</v>
      </c>
      <c r="AG234" s="37" t="s">
        <v>42</v>
      </c>
      <c r="AH234" s="37" t="s">
        <v>42</v>
      </c>
      <c r="AI234" s="29" t="str">
        <f t="shared" si="6"/>
        <v>----</v>
      </c>
      <c r="AJ234" s="38" t="str">
        <f t="shared" si="7"/>
        <v>Paper has link but no statement</v>
      </c>
      <c r="AK234" s="39">
        <v>45034.0</v>
      </c>
      <c r="AL234" s="23" t="s">
        <v>43</v>
      </c>
      <c r="AM234" s="40" t="str">
        <f t="shared" si="8"/>
        <v>[IP1556]</v>
      </c>
    </row>
    <row r="235" ht="67.5" customHeight="1">
      <c r="A235" s="41">
        <v>1557.0</v>
      </c>
      <c r="B235" s="42" t="s">
        <v>591</v>
      </c>
      <c r="C235" s="43">
        <v>2016.0</v>
      </c>
      <c r="D235" s="44" t="s">
        <v>35</v>
      </c>
      <c r="E235" s="45" t="s">
        <v>36</v>
      </c>
      <c r="F235" s="45" t="s">
        <v>36</v>
      </c>
      <c r="G235" s="45" t="s">
        <v>36</v>
      </c>
      <c r="H235" s="45" t="s">
        <v>36</v>
      </c>
      <c r="I235" s="45" t="s">
        <v>36</v>
      </c>
      <c r="J235" s="46" t="s">
        <v>36</v>
      </c>
      <c r="K235" s="47" t="s">
        <v>37</v>
      </c>
      <c r="L235" s="48" t="s">
        <v>37</v>
      </c>
      <c r="M235" s="48" t="s">
        <v>35</v>
      </c>
      <c r="N235" s="48" t="s">
        <v>35</v>
      </c>
      <c r="O235" s="48" t="s">
        <v>35</v>
      </c>
      <c r="P235" s="48" t="s">
        <v>35</v>
      </c>
      <c r="Q235" s="48" t="s">
        <v>35</v>
      </c>
      <c r="R235" s="48" t="s">
        <v>37</v>
      </c>
      <c r="S235" s="49" t="s">
        <v>592</v>
      </c>
      <c r="T235" s="50" t="s">
        <v>593</v>
      </c>
      <c r="U235" s="51" t="s">
        <v>593</v>
      </c>
      <c r="V235" s="52">
        <f t="shared" ref="V235:X235" si="240">IF(lenb(SUBSTITUTE($Z235,V$1&amp;" (1)",""))&lt;lenb($Z235),1,IF(lenb(SUBSTITUTE($Z235,V$1&amp;" (2)",""))&lt;lenb($Z235),2,IF(lenb(SUBSTITUTE($Z235,V$1&amp;" (3)",""))&lt;lenb($Z235),3,IF(lenb(SUBSTITUTE($Z235,V$1&amp;" (4)",""))&lt;lenb($Z235),4,IF(lenb(SUBSTITUTE($Z235,V$1&amp;" (5)",""))&lt;lenb($Z235),5,IF(lenb(SUBSTITUTE($Z235,V$1&amp;" (6)",""))&lt;lenb($Z235),6,IF(lenb(SUBSTITUTE($Z235,V$1&amp;" (7)",""))&lt;lenb($Z235),1,IF(lenb(SUBSTITUTE($Z235,V$1&amp;" (8)",""))&lt;lenb($Z235),8,IF(lenb(SUBSTITUTE($Z235,V$1&amp;" (9)",""))&lt;lenb($Z235),9,IF(lenb(SUBSTITUTE($Z235,V$1&amp;" (10)",""))&lt;lenb($Z235),10,IF(lenb(SUBSTITUTE($Z235,V$1,""))&lt;lenb($Z235),"ERROR",IF($Z235=$Y$1,"-",0))))))))))))</f>
        <v>0</v>
      </c>
      <c r="W235" s="52">
        <f t="shared" si="240"/>
        <v>1</v>
      </c>
      <c r="X235" s="52">
        <f t="shared" si="240"/>
        <v>0</v>
      </c>
      <c r="Y235" s="52" t="str">
        <f t="shared" si="3"/>
        <v>-</v>
      </c>
      <c r="Z235" s="52" t="s">
        <v>47</v>
      </c>
      <c r="AA235" s="53">
        <f t="shared" si="4"/>
        <v>1</v>
      </c>
      <c r="AB235" s="54">
        <f>COUNTIFS(Links!B:B,"ICSE",Links!C:C,A235,Links!AD:AD,1)</f>
        <v>0</v>
      </c>
      <c r="AC235" s="55" t="s">
        <v>35</v>
      </c>
      <c r="AD235" s="47" t="str">
        <f t="shared" si="5"/>
        <v>No</v>
      </c>
      <c r="AE235" s="56" t="s">
        <v>36</v>
      </c>
      <c r="AF235" s="57" t="s">
        <v>42</v>
      </c>
      <c r="AG235" s="57" t="s">
        <v>42</v>
      </c>
      <c r="AH235" s="57" t="s">
        <v>42</v>
      </c>
      <c r="AI235" s="49" t="str">
        <f t="shared" si="6"/>
        <v>----</v>
      </c>
      <c r="AJ235" s="58" t="str">
        <f t="shared" si="7"/>
        <v>Paper has link but no statement</v>
      </c>
      <c r="AK235" s="59">
        <v>45034.0</v>
      </c>
      <c r="AL235" s="43" t="s">
        <v>43</v>
      </c>
      <c r="AM235" s="60" t="str">
        <f t="shared" si="8"/>
        <v>[IP1557]</v>
      </c>
    </row>
    <row r="236" ht="67.5" customHeight="1">
      <c r="A236" s="61">
        <v>1558.0</v>
      </c>
      <c r="B236" s="22" t="s">
        <v>594</v>
      </c>
      <c r="C236" s="23">
        <v>2016.0</v>
      </c>
      <c r="D236" s="24" t="s">
        <v>35</v>
      </c>
      <c r="E236" s="25" t="s">
        <v>36</v>
      </c>
      <c r="F236" s="25" t="s">
        <v>36</v>
      </c>
      <c r="G236" s="25" t="s">
        <v>36</v>
      </c>
      <c r="H236" s="25" t="s">
        <v>36</v>
      </c>
      <c r="I236" s="25" t="s">
        <v>36</v>
      </c>
      <c r="J236" s="26" t="s">
        <v>36</v>
      </c>
      <c r="K236" s="27" t="s">
        <v>37</v>
      </c>
      <c r="L236" s="28" t="s">
        <v>37</v>
      </c>
      <c r="M236" s="28" t="s">
        <v>35</v>
      </c>
      <c r="N236" s="28" t="s">
        <v>35</v>
      </c>
      <c r="O236" s="28" t="s">
        <v>35</v>
      </c>
      <c r="P236" s="28" t="s">
        <v>35</v>
      </c>
      <c r="Q236" s="28" t="s">
        <v>35</v>
      </c>
      <c r="R236" s="28" t="s">
        <v>37</v>
      </c>
      <c r="S236" s="29" t="s">
        <v>595</v>
      </c>
      <c r="T236" s="30" t="s">
        <v>596</v>
      </c>
      <c r="U236" s="31" t="s">
        <v>596</v>
      </c>
      <c r="V236" s="32">
        <f t="shared" ref="V236:X236" si="241">IF(lenb(SUBSTITUTE($Z236,V$1&amp;" (1)",""))&lt;lenb($Z236),1,IF(lenb(SUBSTITUTE($Z236,V$1&amp;" (2)",""))&lt;lenb($Z236),2,IF(lenb(SUBSTITUTE($Z236,V$1&amp;" (3)",""))&lt;lenb($Z236),3,IF(lenb(SUBSTITUTE($Z236,V$1&amp;" (4)",""))&lt;lenb($Z236),4,IF(lenb(SUBSTITUTE($Z236,V$1&amp;" (5)",""))&lt;lenb($Z236),5,IF(lenb(SUBSTITUTE($Z236,V$1&amp;" (6)",""))&lt;lenb($Z236),6,IF(lenb(SUBSTITUTE($Z236,V$1&amp;" (7)",""))&lt;lenb($Z236),1,IF(lenb(SUBSTITUTE($Z236,V$1&amp;" (8)",""))&lt;lenb($Z236),8,IF(lenb(SUBSTITUTE($Z236,V$1&amp;" (9)",""))&lt;lenb($Z236),9,IF(lenb(SUBSTITUTE($Z236,V$1&amp;" (10)",""))&lt;lenb($Z236),10,IF(lenb(SUBSTITUTE($Z236,V$1,""))&lt;lenb($Z236),"ERROR",IF($Z236=$Y$1,"-",0))))))))))))</f>
        <v>1</v>
      </c>
      <c r="W236" s="32">
        <f t="shared" si="241"/>
        <v>0</v>
      </c>
      <c r="X236" s="32">
        <f t="shared" si="241"/>
        <v>0</v>
      </c>
      <c r="Y236" s="32" t="str">
        <f t="shared" si="3"/>
        <v>-</v>
      </c>
      <c r="Z236" s="32" t="s">
        <v>62</v>
      </c>
      <c r="AA236" s="33">
        <f t="shared" si="4"/>
        <v>1</v>
      </c>
      <c r="AB236" s="34">
        <f>COUNTIFS(Links!B:B,"ICSE",Links!C:C,A236,Links!AD:AD,1)</f>
        <v>1</v>
      </c>
      <c r="AC236" s="35" t="s">
        <v>35</v>
      </c>
      <c r="AD236" s="27" t="str">
        <f t="shared" si="5"/>
        <v>No</v>
      </c>
      <c r="AE236" s="36" t="s">
        <v>36</v>
      </c>
      <c r="AF236" s="37" t="s">
        <v>42</v>
      </c>
      <c r="AG236" s="37" t="s">
        <v>42</v>
      </c>
      <c r="AH236" s="37" t="s">
        <v>42</v>
      </c>
      <c r="AI236" s="29" t="str">
        <f t="shared" si="6"/>
        <v>----</v>
      </c>
      <c r="AJ236" s="38" t="str">
        <f t="shared" si="7"/>
        <v>Paper has link but no statement</v>
      </c>
      <c r="AK236" s="39">
        <v>45034.0</v>
      </c>
      <c r="AL236" s="23" t="s">
        <v>43</v>
      </c>
      <c r="AM236" s="40" t="str">
        <f t="shared" si="8"/>
        <v>[IP1558]</v>
      </c>
    </row>
    <row r="237" ht="67.5" customHeight="1">
      <c r="A237" s="41">
        <v>1559.0</v>
      </c>
      <c r="B237" s="42" t="s">
        <v>597</v>
      </c>
      <c r="C237" s="43">
        <v>2016.0</v>
      </c>
      <c r="D237" s="44" t="s">
        <v>35</v>
      </c>
      <c r="E237" s="45" t="s">
        <v>36</v>
      </c>
      <c r="F237" s="45" t="s">
        <v>36</v>
      </c>
      <c r="G237" s="45" t="s">
        <v>36</v>
      </c>
      <c r="H237" s="45" t="s">
        <v>36</v>
      </c>
      <c r="I237" s="45" t="s">
        <v>36</v>
      </c>
      <c r="J237" s="46" t="s">
        <v>36</v>
      </c>
      <c r="K237" s="47" t="s">
        <v>37</v>
      </c>
      <c r="L237" s="48" t="s">
        <v>37</v>
      </c>
      <c r="M237" s="48" t="s">
        <v>35</v>
      </c>
      <c r="N237" s="48" t="s">
        <v>35</v>
      </c>
      <c r="O237" s="48" t="s">
        <v>35</v>
      </c>
      <c r="P237" s="48" t="s">
        <v>35</v>
      </c>
      <c r="Q237" s="48" t="s">
        <v>35</v>
      </c>
      <c r="R237" s="48" t="s">
        <v>37</v>
      </c>
      <c r="S237" s="49" t="s">
        <v>598</v>
      </c>
      <c r="T237" s="50" t="s">
        <v>599</v>
      </c>
      <c r="U237" s="51" t="s">
        <v>599</v>
      </c>
      <c r="V237" s="52">
        <f t="shared" ref="V237:X237" si="242">IF(lenb(SUBSTITUTE($Z237,V$1&amp;" (1)",""))&lt;lenb($Z237),1,IF(lenb(SUBSTITUTE($Z237,V$1&amp;" (2)",""))&lt;lenb($Z237),2,IF(lenb(SUBSTITUTE($Z237,V$1&amp;" (3)",""))&lt;lenb($Z237),3,IF(lenb(SUBSTITUTE($Z237,V$1&amp;" (4)",""))&lt;lenb($Z237),4,IF(lenb(SUBSTITUTE($Z237,V$1&amp;" (5)",""))&lt;lenb($Z237),5,IF(lenb(SUBSTITUTE($Z237,V$1&amp;" (6)",""))&lt;lenb($Z237),6,IF(lenb(SUBSTITUTE($Z237,V$1&amp;" (7)",""))&lt;lenb($Z237),1,IF(lenb(SUBSTITUTE($Z237,V$1&amp;" (8)",""))&lt;lenb($Z237),8,IF(lenb(SUBSTITUTE($Z237,V$1&amp;" (9)",""))&lt;lenb($Z237),9,IF(lenb(SUBSTITUTE($Z237,V$1&amp;" (10)",""))&lt;lenb($Z237),10,IF(lenb(SUBSTITUTE($Z237,V$1,""))&lt;lenb($Z237),"ERROR",IF($Z237=$Y$1,"-",0))))))))))))</f>
        <v>0</v>
      </c>
      <c r="W237" s="52">
        <f t="shared" si="242"/>
        <v>1</v>
      </c>
      <c r="X237" s="52">
        <f t="shared" si="242"/>
        <v>0</v>
      </c>
      <c r="Y237" s="52" t="str">
        <f t="shared" si="3"/>
        <v>-</v>
      </c>
      <c r="Z237" s="52" t="s">
        <v>47</v>
      </c>
      <c r="AA237" s="53">
        <f t="shared" si="4"/>
        <v>1</v>
      </c>
      <c r="AB237" s="54">
        <f>COUNTIFS(Links!B:B,"ICSE",Links!C:C,A237,Links!AD:AD,1)</f>
        <v>0</v>
      </c>
      <c r="AC237" s="55" t="s">
        <v>35</v>
      </c>
      <c r="AD237" s="47" t="str">
        <f t="shared" si="5"/>
        <v>No</v>
      </c>
      <c r="AE237" s="56" t="s">
        <v>36</v>
      </c>
      <c r="AF237" s="57" t="s">
        <v>42</v>
      </c>
      <c r="AG237" s="57" t="s">
        <v>42</v>
      </c>
      <c r="AH237" s="57" t="s">
        <v>42</v>
      </c>
      <c r="AI237" s="49" t="str">
        <f t="shared" si="6"/>
        <v>----</v>
      </c>
      <c r="AJ237" s="58" t="str">
        <f t="shared" si="7"/>
        <v>Paper has link but no statement</v>
      </c>
      <c r="AK237" s="59">
        <v>45034.0</v>
      </c>
      <c r="AL237" s="43" t="s">
        <v>43</v>
      </c>
      <c r="AM237" s="60" t="str">
        <f t="shared" si="8"/>
        <v>[IP1559]</v>
      </c>
    </row>
    <row r="238" ht="67.5" customHeight="1">
      <c r="A238" s="21">
        <v>1560.0</v>
      </c>
      <c r="B238" s="22" t="s">
        <v>600</v>
      </c>
      <c r="C238" s="23">
        <v>2016.0</v>
      </c>
      <c r="D238" s="24" t="s">
        <v>35</v>
      </c>
      <c r="E238" s="25" t="s">
        <v>36</v>
      </c>
      <c r="F238" s="25" t="s">
        <v>36</v>
      </c>
      <c r="G238" s="25" t="s">
        <v>36</v>
      </c>
      <c r="H238" s="25" t="s">
        <v>36</v>
      </c>
      <c r="I238" s="25" t="s">
        <v>36</v>
      </c>
      <c r="J238" s="26" t="s">
        <v>36</v>
      </c>
      <c r="K238" s="27" t="s">
        <v>37</v>
      </c>
      <c r="L238" s="28" t="s">
        <v>37</v>
      </c>
      <c r="M238" s="28" t="s">
        <v>37</v>
      </c>
      <c r="N238" s="28" t="s">
        <v>37</v>
      </c>
      <c r="O238" s="28" t="s">
        <v>35</v>
      </c>
      <c r="P238" s="28" t="s">
        <v>35</v>
      </c>
      <c r="Q238" s="28" t="s">
        <v>35</v>
      </c>
      <c r="R238" s="28" t="s">
        <v>37</v>
      </c>
      <c r="S238" s="29" t="s">
        <v>601</v>
      </c>
      <c r="T238" s="30" t="s">
        <v>602</v>
      </c>
      <c r="U238" s="66" t="s">
        <v>603</v>
      </c>
      <c r="V238" s="32">
        <f t="shared" ref="V238:X238" si="243">IF(lenb(SUBSTITUTE($Z238,V$1&amp;" (1)",""))&lt;lenb($Z238),1,IF(lenb(SUBSTITUTE($Z238,V$1&amp;" (2)",""))&lt;lenb($Z238),2,IF(lenb(SUBSTITUTE($Z238,V$1&amp;" (3)",""))&lt;lenb($Z238),3,IF(lenb(SUBSTITUTE($Z238,V$1&amp;" (4)",""))&lt;lenb($Z238),4,IF(lenb(SUBSTITUTE($Z238,V$1&amp;" (5)",""))&lt;lenb($Z238),5,IF(lenb(SUBSTITUTE($Z238,V$1&amp;" (6)",""))&lt;lenb($Z238),6,IF(lenb(SUBSTITUTE($Z238,V$1&amp;" (7)",""))&lt;lenb($Z238),1,IF(lenb(SUBSTITUTE($Z238,V$1&amp;" (8)",""))&lt;lenb($Z238),8,IF(lenb(SUBSTITUTE($Z238,V$1&amp;" (9)",""))&lt;lenb($Z238),9,IF(lenb(SUBSTITUTE($Z238,V$1&amp;" (10)",""))&lt;lenb($Z238),10,IF(lenb(SUBSTITUTE($Z238,V$1,""))&lt;lenb($Z238),"ERROR",IF($Z238=$Y$1,"-",0))))))))))))</f>
        <v>2</v>
      </c>
      <c r="W238" s="32">
        <f t="shared" si="243"/>
        <v>0</v>
      </c>
      <c r="X238" s="32">
        <f t="shared" si="243"/>
        <v>0</v>
      </c>
      <c r="Y238" s="32" t="str">
        <f t="shared" si="3"/>
        <v>-</v>
      </c>
      <c r="Z238" s="32" t="s">
        <v>57</v>
      </c>
      <c r="AA238" s="33">
        <f t="shared" si="4"/>
        <v>2</v>
      </c>
      <c r="AB238" s="34">
        <f>COUNTIFS(Links!B:B,"ICSE",Links!C:C,A238,Links!AD:AD,1)</f>
        <v>1</v>
      </c>
      <c r="AC238" s="35" t="s">
        <v>37</v>
      </c>
      <c r="AD238" s="27" t="str">
        <f t="shared" si="5"/>
        <v>No</v>
      </c>
      <c r="AE238" s="36" t="s">
        <v>36</v>
      </c>
      <c r="AF238" s="37" t="s">
        <v>42</v>
      </c>
      <c r="AG238" s="37" t="s">
        <v>42</v>
      </c>
      <c r="AH238" s="37" t="s">
        <v>42</v>
      </c>
      <c r="AI238" s="29" t="str">
        <f t="shared" si="6"/>
        <v>----</v>
      </c>
      <c r="AJ238" s="38" t="str">
        <f t="shared" si="7"/>
        <v>Paper has link but no statement</v>
      </c>
      <c r="AK238" s="39">
        <v>45034.0</v>
      </c>
      <c r="AL238" s="23" t="s">
        <v>43</v>
      </c>
      <c r="AM238" s="40" t="str">
        <f t="shared" si="8"/>
        <v>[IP1560]</v>
      </c>
    </row>
    <row r="239" ht="67.5" customHeight="1">
      <c r="A239" s="41">
        <v>1561.0</v>
      </c>
      <c r="B239" s="42" t="s">
        <v>604</v>
      </c>
      <c r="C239" s="43">
        <v>2016.0</v>
      </c>
      <c r="D239" s="44" t="s">
        <v>35</v>
      </c>
      <c r="E239" s="45" t="s">
        <v>36</v>
      </c>
      <c r="F239" s="45" t="s">
        <v>36</v>
      </c>
      <c r="G239" s="45" t="s">
        <v>36</v>
      </c>
      <c r="H239" s="45" t="s">
        <v>36</v>
      </c>
      <c r="I239" s="45" t="s">
        <v>36</v>
      </c>
      <c r="J239" s="46" t="s">
        <v>36</v>
      </c>
      <c r="K239" s="47" t="s">
        <v>37</v>
      </c>
      <c r="L239" s="48" t="s">
        <v>35</v>
      </c>
      <c r="M239" s="48" t="s">
        <v>37</v>
      </c>
      <c r="N239" s="48" t="s">
        <v>37</v>
      </c>
      <c r="O239" s="48" t="s">
        <v>35</v>
      </c>
      <c r="P239" s="48" t="s">
        <v>35</v>
      </c>
      <c r="Q239" s="48" t="s">
        <v>35</v>
      </c>
      <c r="R239" s="48" t="s">
        <v>37</v>
      </c>
      <c r="S239" s="49" t="s">
        <v>605</v>
      </c>
      <c r="T239" s="50" t="s">
        <v>606</v>
      </c>
      <c r="U239" s="51" t="s">
        <v>606</v>
      </c>
      <c r="V239" s="52">
        <f t="shared" ref="V239:X239" si="244">IF(lenb(SUBSTITUTE($Z239,V$1&amp;" (1)",""))&lt;lenb($Z239),1,IF(lenb(SUBSTITUTE($Z239,V$1&amp;" (2)",""))&lt;lenb($Z239),2,IF(lenb(SUBSTITUTE($Z239,V$1&amp;" (3)",""))&lt;lenb($Z239),3,IF(lenb(SUBSTITUTE($Z239,V$1&amp;" (4)",""))&lt;lenb($Z239),4,IF(lenb(SUBSTITUTE($Z239,V$1&amp;" (5)",""))&lt;lenb($Z239),5,IF(lenb(SUBSTITUTE($Z239,V$1&amp;" (6)",""))&lt;lenb($Z239),6,IF(lenb(SUBSTITUTE($Z239,V$1&amp;" (7)",""))&lt;lenb($Z239),1,IF(lenb(SUBSTITUTE($Z239,V$1&amp;" (8)",""))&lt;lenb($Z239),8,IF(lenb(SUBSTITUTE($Z239,V$1&amp;" (9)",""))&lt;lenb($Z239),9,IF(lenb(SUBSTITUTE($Z239,V$1&amp;" (10)",""))&lt;lenb($Z239),10,IF(lenb(SUBSTITUTE($Z239,V$1,""))&lt;lenb($Z239),"ERROR",IF($Z239=$Y$1,"-",0))))))))))))</f>
        <v>1</v>
      </c>
      <c r="W239" s="52">
        <f t="shared" si="244"/>
        <v>0</v>
      </c>
      <c r="X239" s="52">
        <f t="shared" si="244"/>
        <v>0</v>
      </c>
      <c r="Y239" s="52" t="str">
        <f t="shared" si="3"/>
        <v>-</v>
      </c>
      <c r="Z239" s="52" t="s">
        <v>62</v>
      </c>
      <c r="AA239" s="53">
        <f t="shared" si="4"/>
        <v>1</v>
      </c>
      <c r="AB239" s="54">
        <f>COUNTIFS(Links!B:B,"ICSE",Links!C:C,A239,Links!AD:AD,1)</f>
        <v>1</v>
      </c>
      <c r="AC239" s="55" t="s">
        <v>35</v>
      </c>
      <c r="AD239" s="47" t="str">
        <f t="shared" si="5"/>
        <v>No</v>
      </c>
      <c r="AE239" s="56" t="s">
        <v>36</v>
      </c>
      <c r="AF239" s="57" t="s">
        <v>42</v>
      </c>
      <c r="AG239" s="57" t="s">
        <v>42</v>
      </c>
      <c r="AH239" s="57" t="s">
        <v>42</v>
      </c>
      <c r="AI239" s="49" t="str">
        <f t="shared" si="6"/>
        <v>----</v>
      </c>
      <c r="AJ239" s="58" t="str">
        <f t="shared" si="7"/>
        <v>Paper has link but no statement</v>
      </c>
      <c r="AK239" s="59">
        <v>45034.0</v>
      </c>
      <c r="AL239" s="43" t="s">
        <v>43</v>
      </c>
      <c r="AM239" s="60" t="str">
        <f t="shared" si="8"/>
        <v>[IP1561]</v>
      </c>
    </row>
    <row r="240" ht="67.5" customHeight="1">
      <c r="A240" s="21">
        <v>1562.0</v>
      </c>
      <c r="B240" s="22" t="s">
        <v>607</v>
      </c>
      <c r="C240" s="23">
        <v>2016.0</v>
      </c>
      <c r="D240" s="24" t="s">
        <v>35</v>
      </c>
      <c r="E240" s="25" t="s">
        <v>36</v>
      </c>
      <c r="F240" s="25" t="s">
        <v>36</v>
      </c>
      <c r="G240" s="25" t="s">
        <v>36</v>
      </c>
      <c r="H240" s="25" t="s">
        <v>36</v>
      </c>
      <c r="I240" s="25" t="s">
        <v>36</v>
      </c>
      <c r="J240" s="26" t="s">
        <v>36</v>
      </c>
      <c r="K240" s="27" t="s">
        <v>37</v>
      </c>
      <c r="L240" s="28" t="s">
        <v>35</v>
      </c>
      <c r="M240" s="28" t="s">
        <v>37</v>
      </c>
      <c r="N240" s="28" t="s">
        <v>35</v>
      </c>
      <c r="O240" s="28" t="s">
        <v>35</v>
      </c>
      <c r="P240" s="28" t="s">
        <v>35</v>
      </c>
      <c r="Q240" s="28" t="s">
        <v>35</v>
      </c>
      <c r="R240" s="28" t="s">
        <v>37</v>
      </c>
      <c r="S240" s="29" t="s">
        <v>608</v>
      </c>
      <c r="T240" s="30" t="s">
        <v>609</v>
      </c>
      <c r="U240" s="31" t="s">
        <v>610</v>
      </c>
      <c r="V240" s="32">
        <f t="shared" ref="V240:X240" si="245">IF(lenb(SUBSTITUTE($Z240,V$1&amp;" (1)",""))&lt;lenb($Z240),1,IF(lenb(SUBSTITUTE($Z240,V$1&amp;" (2)",""))&lt;lenb($Z240),2,IF(lenb(SUBSTITUTE($Z240,V$1&amp;" (3)",""))&lt;lenb($Z240),3,IF(lenb(SUBSTITUTE($Z240,V$1&amp;" (4)",""))&lt;lenb($Z240),4,IF(lenb(SUBSTITUTE($Z240,V$1&amp;" (5)",""))&lt;lenb($Z240),5,IF(lenb(SUBSTITUTE($Z240,V$1&amp;" (6)",""))&lt;lenb($Z240),6,IF(lenb(SUBSTITUTE($Z240,V$1&amp;" (7)",""))&lt;lenb($Z240),1,IF(lenb(SUBSTITUTE($Z240,V$1&amp;" (8)",""))&lt;lenb($Z240),8,IF(lenb(SUBSTITUTE($Z240,V$1&amp;" (9)",""))&lt;lenb($Z240),9,IF(lenb(SUBSTITUTE($Z240,V$1&amp;" (10)",""))&lt;lenb($Z240),10,IF(lenb(SUBSTITUTE($Z240,V$1,""))&lt;lenb($Z240),"ERROR",IF($Z240=$Y$1,"-",0))))))))))))</f>
        <v>1</v>
      </c>
      <c r="W240" s="32">
        <f t="shared" si="245"/>
        <v>0</v>
      </c>
      <c r="X240" s="32">
        <f t="shared" si="245"/>
        <v>0</v>
      </c>
      <c r="Y240" s="32" t="str">
        <f t="shared" si="3"/>
        <v>-</v>
      </c>
      <c r="Z240" s="32" t="s">
        <v>62</v>
      </c>
      <c r="AA240" s="33">
        <f t="shared" si="4"/>
        <v>1</v>
      </c>
      <c r="AB240" s="34">
        <f>COUNTIFS(Links!B:B,"ICSE",Links!C:C,A240,Links!AD:AD,1)</f>
        <v>1</v>
      </c>
      <c r="AC240" s="35" t="s">
        <v>35</v>
      </c>
      <c r="AD240" s="27" t="str">
        <f t="shared" si="5"/>
        <v>No</v>
      </c>
      <c r="AE240" s="36" t="s">
        <v>36</v>
      </c>
      <c r="AF240" s="37" t="s">
        <v>42</v>
      </c>
      <c r="AG240" s="37" t="s">
        <v>42</v>
      </c>
      <c r="AH240" s="37" t="s">
        <v>42</v>
      </c>
      <c r="AI240" s="29" t="str">
        <f t="shared" si="6"/>
        <v>----</v>
      </c>
      <c r="AJ240" s="38" t="str">
        <f t="shared" si="7"/>
        <v>Paper has link but no statement</v>
      </c>
      <c r="AK240" s="39">
        <v>45034.0</v>
      </c>
      <c r="AL240" s="23" t="s">
        <v>43</v>
      </c>
      <c r="AM240" s="40" t="str">
        <f t="shared" si="8"/>
        <v>[IP1562]</v>
      </c>
    </row>
    <row r="241" ht="67.5" customHeight="1">
      <c r="A241" s="41">
        <v>1563.0</v>
      </c>
      <c r="B241" s="42" t="s">
        <v>611</v>
      </c>
      <c r="C241" s="43">
        <v>2016.0</v>
      </c>
      <c r="D241" s="44" t="s">
        <v>35</v>
      </c>
      <c r="E241" s="45" t="s">
        <v>36</v>
      </c>
      <c r="F241" s="45" t="s">
        <v>36</v>
      </c>
      <c r="G241" s="45" t="s">
        <v>36</v>
      </c>
      <c r="H241" s="45" t="s">
        <v>36</v>
      </c>
      <c r="I241" s="45" t="s">
        <v>36</v>
      </c>
      <c r="J241" s="46" t="s">
        <v>36</v>
      </c>
      <c r="K241" s="47" t="s">
        <v>37</v>
      </c>
      <c r="L241" s="48" t="s">
        <v>35</v>
      </c>
      <c r="M241" s="48" t="s">
        <v>35</v>
      </c>
      <c r="N241" s="48" t="s">
        <v>35</v>
      </c>
      <c r="O241" s="48" t="s">
        <v>35</v>
      </c>
      <c r="P241" s="48" t="s">
        <v>35</v>
      </c>
      <c r="Q241" s="48" t="s">
        <v>35</v>
      </c>
      <c r="R241" s="48" t="s">
        <v>37</v>
      </c>
      <c r="S241" s="49" t="s">
        <v>612</v>
      </c>
      <c r="T241" s="50" t="s">
        <v>613</v>
      </c>
      <c r="U241" s="51" t="s">
        <v>613</v>
      </c>
      <c r="V241" s="52">
        <f t="shared" ref="V241:X241" si="246">IF(lenb(SUBSTITUTE($Z241,V$1&amp;" (1)",""))&lt;lenb($Z241),1,IF(lenb(SUBSTITUTE($Z241,V$1&amp;" (2)",""))&lt;lenb($Z241),2,IF(lenb(SUBSTITUTE($Z241,V$1&amp;" (3)",""))&lt;lenb($Z241),3,IF(lenb(SUBSTITUTE($Z241,V$1&amp;" (4)",""))&lt;lenb($Z241),4,IF(lenb(SUBSTITUTE($Z241,V$1&amp;" (5)",""))&lt;lenb($Z241),5,IF(lenb(SUBSTITUTE($Z241,V$1&amp;" (6)",""))&lt;lenb($Z241),6,IF(lenb(SUBSTITUTE($Z241,V$1&amp;" (7)",""))&lt;lenb($Z241),1,IF(lenb(SUBSTITUTE($Z241,V$1&amp;" (8)",""))&lt;lenb($Z241),8,IF(lenb(SUBSTITUTE($Z241,V$1&amp;" (9)",""))&lt;lenb($Z241),9,IF(lenb(SUBSTITUTE($Z241,V$1&amp;" (10)",""))&lt;lenb($Z241),10,IF(lenb(SUBSTITUTE($Z241,V$1,""))&lt;lenb($Z241),"ERROR",IF($Z241=$Y$1,"-",0))))))))))))</f>
        <v>0</v>
      </c>
      <c r="W241" s="52">
        <f t="shared" si="246"/>
        <v>1</v>
      </c>
      <c r="X241" s="52">
        <f t="shared" si="246"/>
        <v>0</v>
      </c>
      <c r="Y241" s="52" t="str">
        <f t="shared" si="3"/>
        <v>-</v>
      </c>
      <c r="Z241" s="52" t="s">
        <v>47</v>
      </c>
      <c r="AA241" s="53">
        <f t="shared" si="4"/>
        <v>1</v>
      </c>
      <c r="AB241" s="54">
        <f>COUNTIFS(Links!B:B,"ICSE",Links!C:C,A241,Links!AD:AD,1)</f>
        <v>1</v>
      </c>
      <c r="AC241" s="55" t="s">
        <v>35</v>
      </c>
      <c r="AD241" s="47" t="str">
        <f t="shared" si="5"/>
        <v>No</v>
      </c>
      <c r="AE241" s="56" t="s">
        <v>36</v>
      </c>
      <c r="AF241" s="57" t="s">
        <v>42</v>
      </c>
      <c r="AG241" s="57" t="s">
        <v>42</v>
      </c>
      <c r="AH241" s="57" t="s">
        <v>42</v>
      </c>
      <c r="AI241" s="49" t="str">
        <f t="shared" si="6"/>
        <v>----</v>
      </c>
      <c r="AJ241" s="58" t="str">
        <f t="shared" si="7"/>
        <v>Paper has link but no statement</v>
      </c>
      <c r="AK241" s="59">
        <v>45034.0</v>
      </c>
      <c r="AL241" s="43" t="s">
        <v>43</v>
      </c>
      <c r="AM241" s="60" t="str">
        <f t="shared" si="8"/>
        <v>[IP1563]</v>
      </c>
    </row>
    <row r="242" ht="67.5" customHeight="1">
      <c r="A242" s="61">
        <v>1564.0</v>
      </c>
      <c r="B242" s="22" t="s">
        <v>614</v>
      </c>
      <c r="C242" s="23">
        <v>2016.0</v>
      </c>
      <c r="D242" s="24" t="s">
        <v>35</v>
      </c>
      <c r="E242" s="25" t="s">
        <v>36</v>
      </c>
      <c r="F242" s="25" t="s">
        <v>36</v>
      </c>
      <c r="G242" s="25" t="s">
        <v>36</v>
      </c>
      <c r="H242" s="25" t="s">
        <v>36</v>
      </c>
      <c r="I242" s="25" t="s">
        <v>36</v>
      </c>
      <c r="J242" s="26" t="s">
        <v>36</v>
      </c>
      <c r="K242" s="27" t="s">
        <v>37</v>
      </c>
      <c r="L242" s="28" t="s">
        <v>35</v>
      </c>
      <c r="M242" s="28" t="s">
        <v>35</v>
      </c>
      <c r="N242" s="28" t="s">
        <v>37</v>
      </c>
      <c r="O242" s="28" t="s">
        <v>35</v>
      </c>
      <c r="P242" s="28" t="s">
        <v>35</v>
      </c>
      <c r="Q242" s="28" t="s">
        <v>35</v>
      </c>
      <c r="R242" s="28" t="s">
        <v>35</v>
      </c>
      <c r="S242" s="29" t="s">
        <v>615</v>
      </c>
      <c r="T242" s="30" t="s">
        <v>616</v>
      </c>
      <c r="U242" s="31" t="s">
        <v>616</v>
      </c>
      <c r="V242" s="32">
        <f t="shared" ref="V242:X242" si="247">IF(lenb(SUBSTITUTE($Z242,V$1&amp;" (1)",""))&lt;lenb($Z242),1,IF(lenb(SUBSTITUTE($Z242,V$1&amp;" (2)",""))&lt;lenb($Z242),2,IF(lenb(SUBSTITUTE($Z242,V$1&amp;" (3)",""))&lt;lenb($Z242),3,IF(lenb(SUBSTITUTE($Z242,V$1&amp;" (4)",""))&lt;lenb($Z242),4,IF(lenb(SUBSTITUTE($Z242,V$1&amp;" (5)",""))&lt;lenb($Z242),5,IF(lenb(SUBSTITUTE($Z242,V$1&amp;" (6)",""))&lt;lenb($Z242),6,IF(lenb(SUBSTITUTE($Z242,V$1&amp;" (7)",""))&lt;lenb($Z242),1,IF(lenb(SUBSTITUTE($Z242,V$1&amp;" (8)",""))&lt;lenb($Z242),8,IF(lenb(SUBSTITUTE($Z242,V$1&amp;" (9)",""))&lt;lenb($Z242),9,IF(lenb(SUBSTITUTE($Z242,V$1&amp;" (10)",""))&lt;lenb($Z242),10,IF(lenb(SUBSTITUTE($Z242,V$1,""))&lt;lenb($Z242),"ERROR",IF($Z242=$Y$1,"-",0))))))))))))</f>
        <v>1</v>
      </c>
      <c r="W242" s="32">
        <f t="shared" si="247"/>
        <v>0</v>
      </c>
      <c r="X242" s="32">
        <f t="shared" si="247"/>
        <v>0</v>
      </c>
      <c r="Y242" s="32" t="str">
        <f t="shared" si="3"/>
        <v>-</v>
      </c>
      <c r="Z242" s="32" t="s">
        <v>62</v>
      </c>
      <c r="AA242" s="33">
        <f t="shared" si="4"/>
        <v>1</v>
      </c>
      <c r="AB242" s="34">
        <f>COUNTIFS(Links!B:B,"ICSE",Links!C:C,A242,Links!AD:AD,1)</f>
        <v>1</v>
      </c>
      <c r="AC242" s="35" t="s">
        <v>35</v>
      </c>
      <c r="AD242" s="27" t="str">
        <f t="shared" si="5"/>
        <v>No</v>
      </c>
      <c r="AE242" s="36" t="s">
        <v>36</v>
      </c>
      <c r="AF242" s="37" t="s">
        <v>42</v>
      </c>
      <c r="AG242" s="37" t="s">
        <v>42</v>
      </c>
      <c r="AH242" s="37" t="s">
        <v>42</v>
      </c>
      <c r="AI242" s="29" t="str">
        <f t="shared" si="6"/>
        <v>----</v>
      </c>
      <c r="AJ242" s="38" t="str">
        <f t="shared" si="7"/>
        <v>Paper has link but no statement</v>
      </c>
      <c r="AK242" s="39">
        <v>45034.0</v>
      </c>
      <c r="AL242" s="23" t="s">
        <v>43</v>
      </c>
      <c r="AM242" s="40" t="str">
        <f t="shared" si="8"/>
        <v>[IP1564]</v>
      </c>
    </row>
    <row r="243" ht="67.5" customHeight="1">
      <c r="A243" s="62">
        <v>1565.0</v>
      </c>
      <c r="B243" s="42" t="s">
        <v>617</v>
      </c>
      <c r="C243" s="43">
        <v>2016.0</v>
      </c>
      <c r="D243" s="44" t="s">
        <v>35</v>
      </c>
      <c r="E243" s="45" t="s">
        <v>36</v>
      </c>
      <c r="F243" s="45" t="s">
        <v>36</v>
      </c>
      <c r="G243" s="45" t="s">
        <v>36</v>
      </c>
      <c r="H243" s="45" t="s">
        <v>36</v>
      </c>
      <c r="I243" s="45" t="s">
        <v>36</v>
      </c>
      <c r="J243" s="46" t="s">
        <v>36</v>
      </c>
      <c r="K243" s="47" t="s">
        <v>37</v>
      </c>
      <c r="L243" s="48" t="s">
        <v>35</v>
      </c>
      <c r="M243" s="48" t="s">
        <v>37</v>
      </c>
      <c r="N243" s="48" t="s">
        <v>35</v>
      </c>
      <c r="O243" s="48" t="s">
        <v>35</v>
      </c>
      <c r="P243" s="48" t="s">
        <v>35</v>
      </c>
      <c r="Q243" s="48" t="s">
        <v>35</v>
      </c>
      <c r="R243" s="48" t="s">
        <v>37</v>
      </c>
      <c r="S243" s="49" t="s">
        <v>618</v>
      </c>
      <c r="T243" s="50" t="s">
        <v>619</v>
      </c>
      <c r="U243" s="51" t="s">
        <v>620</v>
      </c>
      <c r="V243" s="52">
        <f t="shared" ref="V243:X243" si="248">IF(lenb(SUBSTITUTE($Z243,V$1&amp;" (1)",""))&lt;lenb($Z243),1,IF(lenb(SUBSTITUTE($Z243,V$1&amp;" (2)",""))&lt;lenb($Z243),2,IF(lenb(SUBSTITUTE($Z243,V$1&amp;" (3)",""))&lt;lenb($Z243),3,IF(lenb(SUBSTITUTE($Z243,V$1&amp;" (4)",""))&lt;lenb($Z243),4,IF(lenb(SUBSTITUTE($Z243,V$1&amp;" (5)",""))&lt;lenb($Z243),5,IF(lenb(SUBSTITUTE($Z243,V$1&amp;" (6)",""))&lt;lenb($Z243),6,IF(lenb(SUBSTITUTE($Z243,V$1&amp;" (7)",""))&lt;lenb($Z243),1,IF(lenb(SUBSTITUTE($Z243,V$1&amp;" (8)",""))&lt;lenb($Z243),8,IF(lenb(SUBSTITUTE($Z243,V$1&amp;" (9)",""))&lt;lenb($Z243),9,IF(lenb(SUBSTITUTE($Z243,V$1&amp;" (10)",""))&lt;lenb($Z243),10,IF(lenb(SUBSTITUTE($Z243,V$1,""))&lt;lenb($Z243),"ERROR",IF($Z243=$Y$1,"-",0))))))))))))</f>
        <v>1</v>
      </c>
      <c r="W243" s="52">
        <f t="shared" si="248"/>
        <v>0</v>
      </c>
      <c r="X243" s="52">
        <f t="shared" si="248"/>
        <v>0</v>
      </c>
      <c r="Y243" s="52" t="str">
        <f t="shared" si="3"/>
        <v>-</v>
      </c>
      <c r="Z243" s="52" t="s">
        <v>62</v>
      </c>
      <c r="AA243" s="53">
        <f t="shared" si="4"/>
        <v>1</v>
      </c>
      <c r="AB243" s="54">
        <f>COUNTIFS(Links!B:B,"ICSE",Links!C:C,A243,Links!AD:AD,1)</f>
        <v>1</v>
      </c>
      <c r="AC243" s="55" t="s">
        <v>35</v>
      </c>
      <c r="AD243" s="47" t="str">
        <f t="shared" si="5"/>
        <v>No</v>
      </c>
      <c r="AE243" s="56" t="s">
        <v>36</v>
      </c>
      <c r="AF243" s="57" t="s">
        <v>42</v>
      </c>
      <c r="AG243" s="57" t="s">
        <v>42</v>
      </c>
      <c r="AH243" s="57" t="s">
        <v>42</v>
      </c>
      <c r="AI243" s="49" t="str">
        <f t="shared" si="6"/>
        <v>----</v>
      </c>
      <c r="AJ243" s="58" t="str">
        <f t="shared" si="7"/>
        <v>Paper has link but no statement</v>
      </c>
      <c r="AK243" s="59">
        <v>45034.0</v>
      </c>
      <c r="AL243" s="43" t="s">
        <v>43</v>
      </c>
      <c r="AM243" s="60" t="str">
        <f t="shared" si="8"/>
        <v>[IP1565]</v>
      </c>
    </row>
    <row r="244" ht="67.5" customHeight="1">
      <c r="A244" s="61">
        <v>1566.0</v>
      </c>
      <c r="B244" s="22" t="s">
        <v>621</v>
      </c>
      <c r="C244" s="23">
        <v>2016.0</v>
      </c>
      <c r="D244" s="24" t="s">
        <v>35</v>
      </c>
      <c r="E244" s="25" t="s">
        <v>36</v>
      </c>
      <c r="F244" s="25" t="s">
        <v>36</v>
      </c>
      <c r="G244" s="25" t="s">
        <v>36</v>
      </c>
      <c r="H244" s="25" t="s">
        <v>36</v>
      </c>
      <c r="I244" s="25" t="s">
        <v>36</v>
      </c>
      <c r="J244" s="26" t="s">
        <v>36</v>
      </c>
      <c r="K244" s="27" t="s">
        <v>35</v>
      </c>
      <c r="L244" s="28" t="s">
        <v>36</v>
      </c>
      <c r="M244" s="28" t="s">
        <v>36</v>
      </c>
      <c r="N244" s="28" t="s">
        <v>36</v>
      </c>
      <c r="O244" s="28" t="s">
        <v>36</v>
      </c>
      <c r="P244" s="28" t="s">
        <v>36</v>
      </c>
      <c r="Q244" s="28" t="s">
        <v>36</v>
      </c>
      <c r="R244" s="28" t="s">
        <v>36</v>
      </c>
      <c r="S244" s="29" t="s">
        <v>36</v>
      </c>
      <c r="T244" s="30" t="s">
        <v>36</v>
      </c>
      <c r="U244" s="31" t="s">
        <v>36</v>
      </c>
      <c r="V244" s="32" t="str">
        <f t="shared" ref="V244:X244" si="249">IF(lenb(SUBSTITUTE($Z244,V$1&amp;" (1)",""))&lt;lenb($Z244),1,IF(lenb(SUBSTITUTE($Z244,V$1&amp;" (2)",""))&lt;lenb($Z244),2,IF(lenb(SUBSTITUTE($Z244,V$1&amp;" (3)",""))&lt;lenb($Z244),3,IF(lenb(SUBSTITUTE($Z244,V$1&amp;" (4)",""))&lt;lenb($Z244),4,IF(lenb(SUBSTITUTE($Z244,V$1&amp;" (5)",""))&lt;lenb($Z244),5,IF(lenb(SUBSTITUTE($Z244,V$1&amp;" (6)",""))&lt;lenb($Z244),6,IF(lenb(SUBSTITUTE($Z244,V$1&amp;" (7)",""))&lt;lenb($Z244),1,IF(lenb(SUBSTITUTE($Z244,V$1&amp;" (8)",""))&lt;lenb($Z244),8,IF(lenb(SUBSTITUTE($Z244,V$1&amp;" (9)",""))&lt;lenb($Z244),9,IF(lenb(SUBSTITUTE($Z244,V$1&amp;" (10)",""))&lt;lenb($Z244),10,IF(lenb(SUBSTITUTE($Z244,V$1,""))&lt;lenb($Z244),"ERROR",IF($Z244=$Y$1,"-",0))))))))))))</f>
        <v>-</v>
      </c>
      <c r="W244" s="32" t="str">
        <f t="shared" si="249"/>
        <v>-</v>
      </c>
      <c r="X244" s="32" t="str">
        <f t="shared" si="249"/>
        <v>-</v>
      </c>
      <c r="Y244" s="32">
        <f t="shared" si="3"/>
        <v>1</v>
      </c>
      <c r="Z244" s="32" t="s">
        <v>23</v>
      </c>
      <c r="AA244" s="33">
        <f t="shared" si="4"/>
        <v>0</v>
      </c>
      <c r="AB244" s="34">
        <f>COUNTIFS(Links!B:B,"ICSE",Links!C:C,A244,Links!AD:AD,1)</f>
        <v>0</v>
      </c>
      <c r="AC244" s="35" t="s">
        <v>36</v>
      </c>
      <c r="AD244" s="27" t="str">
        <f t="shared" si="5"/>
        <v>No</v>
      </c>
      <c r="AE244" s="36" t="s">
        <v>36</v>
      </c>
      <c r="AF244" s="37" t="s">
        <v>42</v>
      </c>
      <c r="AG244" s="37" t="s">
        <v>42</v>
      </c>
      <c r="AH244" s="37" t="s">
        <v>42</v>
      </c>
      <c r="AI244" s="29" t="str">
        <f t="shared" si="6"/>
        <v>----</v>
      </c>
      <c r="AJ244" s="38" t="str">
        <f t="shared" si="7"/>
        <v>Paper has no link and no statement</v>
      </c>
      <c r="AK244" s="39">
        <v>45034.0</v>
      </c>
      <c r="AL244" s="23" t="s">
        <v>43</v>
      </c>
      <c r="AM244" s="40" t="str">
        <f t="shared" si="8"/>
        <v>[IP1566]</v>
      </c>
    </row>
    <row r="245" ht="67.5" customHeight="1">
      <c r="A245" s="41">
        <v>1567.0</v>
      </c>
      <c r="B245" s="42" t="s">
        <v>622</v>
      </c>
      <c r="C245" s="43">
        <v>2016.0</v>
      </c>
      <c r="D245" s="44" t="s">
        <v>35</v>
      </c>
      <c r="E245" s="45" t="s">
        <v>36</v>
      </c>
      <c r="F245" s="45" t="s">
        <v>36</v>
      </c>
      <c r="G245" s="45" t="s">
        <v>36</v>
      </c>
      <c r="H245" s="45" t="s">
        <v>36</v>
      </c>
      <c r="I245" s="45" t="s">
        <v>36</v>
      </c>
      <c r="J245" s="46" t="s">
        <v>36</v>
      </c>
      <c r="K245" s="47" t="s">
        <v>37</v>
      </c>
      <c r="L245" s="48" t="s">
        <v>35</v>
      </c>
      <c r="M245" s="48" t="s">
        <v>35</v>
      </c>
      <c r="N245" s="48" t="s">
        <v>37</v>
      </c>
      <c r="O245" s="48" t="s">
        <v>35</v>
      </c>
      <c r="P245" s="48" t="s">
        <v>35</v>
      </c>
      <c r="Q245" s="48" t="s">
        <v>35</v>
      </c>
      <c r="R245" s="48" t="s">
        <v>35</v>
      </c>
      <c r="S245" s="49" t="s">
        <v>84</v>
      </c>
      <c r="T245" s="50" t="s">
        <v>623</v>
      </c>
      <c r="U245" s="51" t="s">
        <v>623</v>
      </c>
      <c r="V245" s="52">
        <f t="shared" ref="V245:X245" si="250">IF(lenb(SUBSTITUTE($Z245,V$1&amp;" (1)",""))&lt;lenb($Z245),1,IF(lenb(SUBSTITUTE($Z245,V$1&amp;" (2)",""))&lt;lenb($Z245),2,IF(lenb(SUBSTITUTE($Z245,V$1&amp;" (3)",""))&lt;lenb($Z245),3,IF(lenb(SUBSTITUTE($Z245,V$1&amp;" (4)",""))&lt;lenb($Z245),4,IF(lenb(SUBSTITUTE($Z245,V$1&amp;" (5)",""))&lt;lenb($Z245),5,IF(lenb(SUBSTITUTE($Z245,V$1&amp;" (6)",""))&lt;lenb($Z245),6,IF(lenb(SUBSTITUTE($Z245,V$1&amp;" (7)",""))&lt;lenb($Z245),1,IF(lenb(SUBSTITUTE($Z245,V$1&amp;" (8)",""))&lt;lenb($Z245),8,IF(lenb(SUBSTITUTE($Z245,V$1&amp;" (9)",""))&lt;lenb($Z245),9,IF(lenb(SUBSTITUTE($Z245,V$1&amp;" (10)",""))&lt;lenb($Z245),10,IF(lenb(SUBSTITUTE($Z245,V$1,""))&lt;lenb($Z245),"ERROR",IF($Z245=$Y$1,"-",0))))))))))))</f>
        <v>1</v>
      </c>
      <c r="W245" s="52">
        <f t="shared" si="250"/>
        <v>0</v>
      </c>
      <c r="X245" s="52">
        <f t="shared" si="250"/>
        <v>0</v>
      </c>
      <c r="Y245" s="52" t="str">
        <f t="shared" si="3"/>
        <v>-</v>
      </c>
      <c r="Z245" s="52" t="s">
        <v>62</v>
      </c>
      <c r="AA245" s="53">
        <f t="shared" si="4"/>
        <v>1</v>
      </c>
      <c r="AB245" s="54">
        <f>COUNTIFS(Links!B:B,"ICSE",Links!C:C,A245,Links!AD:AD,1)</f>
        <v>1</v>
      </c>
      <c r="AC245" s="55" t="s">
        <v>35</v>
      </c>
      <c r="AD245" s="47" t="str">
        <f t="shared" si="5"/>
        <v>No</v>
      </c>
      <c r="AE245" s="56" t="s">
        <v>36</v>
      </c>
      <c r="AF245" s="57" t="s">
        <v>42</v>
      </c>
      <c r="AG245" s="57" t="s">
        <v>42</v>
      </c>
      <c r="AH245" s="57" t="s">
        <v>42</v>
      </c>
      <c r="AI245" s="49" t="str">
        <f t="shared" si="6"/>
        <v>----</v>
      </c>
      <c r="AJ245" s="58" t="str">
        <f t="shared" si="7"/>
        <v>Paper has link but no statement</v>
      </c>
      <c r="AK245" s="59">
        <v>45034.0</v>
      </c>
      <c r="AL245" s="43" t="s">
        <v>43</v>
      </c>
      <c r="AM245" s="60" t="str">
        <f t="shared" si="8"/>
        <v>[IP1567]</v>
      </c>
    </row>
    <row r="246" ht="67.5" customHeight="1">
      <c r="A246" s="21">
        <v>1568.0</v>
      </c>
      <c r="B246" s="22" t="s">
        <v>624</v>
      </c>
      <c r="C246" s="23">
        <v>2016.0</v>
      </c>
      <c r="D246" s="24" t="s">
        <v>35</v>
      </c>
      <c r="E246" s="25" t="s">
        <v>36</v>
      </c>
      <c r="F246" s="25" t="s">
        <v>36</v>
      </c>
      <c r="G246" s="25" t="s">
        <v>36</v>
      </c>
      <c r="H246" s="25" t="s">
        <v>36</v>
      </c>
      <c r="I246" s="25" t="s">
        <v>36</v>
      </c>
      <c r="J246" s="26" t="s">
        <v>36</v>
      </c>
      <c r="K246" s="27" t="s">
        <v>37</v>
      </c>
      <c r="L246" s="28" t="s">
        <v>35</v>
      </c>
      <c r="M246" s="28" t="s">
        <v>37</v>
      </c>
      <c r="N246" s="28" t="s">
        <v>35</v>
      </c>
      <c r="O246" s="28" t="s">
        <v>35</v>
      </c>
      <c r="P246" s="28" t="s">
        <v>35</v>
      </c>
      <c r="Q246" s="28" t="s">
        <v>35</v>
      </c>
      <c r="R246" s="28" t="s">
        <v>37</v>
      </c>
      <c r="S246" s="29" t="s">
        <v>625</v>
      </c>
      <c r="T246" s="30" t="s">
        <v>626</v>
      </c>
      <c r="U246" s="31" t="s">
        <v>627</v>
      </c>
      <c r="V246" s="32">
        <f t="shared" ref="V246:X246" si="251">IF(lenb(SUBSTITUTE($Z246,V$1&amp;" (1)",""))&lt;lenb($Z246),1,IF(lenb(SUBSTITUTE($Z246,V$1&amp;" (2)",""))&lt;lenb($Z246),2,IF(lenb(SUBSTITUTE($Z246,V$1&amp;" (3)",""))&lt;lenb($Z246),3,IF(lenb(SUBSTITUTE($Z246,V$1&amp;" (4)",""))&lt;lenb($Z246),4,IF(lenb(SUBSTITUTE($Z246,V$1&amp;" (5)",""))&lt;lenb($Z246),5,IF(lenb(SUBSTITUTE($Z246,V$1&amp;" (6)",""))&lt;lenb($Z246),6,IF(lenb(SUBSTITUTE($Z246,V$1&amp;" (7)",""))&lt;lenb($Z246),1,IF(lenb(SUBSTITUTE($Z246,V$1&amp;" (8)",""))&lt;lenb($Z246),8,IF(lenb(SUBSTITUTE($Z246,V$1&amp;" (9)",""))&lt;lenb($Z246),9,IF(lenb(SUBSTITUTE($Z246,V$1&amp;" (10)",""))&lt;lenb($Z246),10,IF(lenb(SUBSTITUTE($Z246,V$1,""))&lt;lenb($Z246),"ERROR",IF($Z246=$Y$1,"-",0))))))))))))</f>
        <v>1</v>
      </c>
      <c r="W246" s="32">
        <f t="shared" si="251"/>
        <v>0</v>
      </c>
      <c r="X246" s="32">
        <f t="shared" si="251"/>
        <v>0</v>
      </c>
      <c r="Y246" s="32" t="str">
        <f t="shared" si="3"/>
        <v>-</v>
      </c>
      <c r="Z246" s="32" t="s">
        <v>62</v>
      </c>
      <c r="AA246" s="33">
        <f t="shared" si="4"/>
        <v>1</v>
      </c>
      <c r="AB246" s="34">
        <f>COUNTIFS(Links!B:B,"ICSE",Links!C:C,A246,Links!AD:AD,1)</f>
        <v>1</v>
      </c>
      <c r="AC246" s="35" t="s">
        <v>35</v>
      </c>
      <c r="AD246" s="27" t="str">
        <f t="shared" si="5"/>
        <v>No</v>
      </c>
      <c r="AE246" s="36" t="s">
        <v>36</v>
      </c>
      <c r="AF246" s="37" t="s">
        <v>42</v>
      </c>
      <c r="AG246" s="37" t="s">
        <v>42</v>
      </c>
      <c r="AH246" s="37" t="s">
        <v>42</v>
      </c>
      <c r="AI246" s="29" t="str">
        <f t="shared" si="6"/>
        <v>----</v>
      </c>
      <c r="AJ246" s="38" t="str">
        <f t="shared" si="7"/>
        <v>Paper has link but no statement</v>
      </c>
      <c r="AK246" s="39">
        <v>45034.0</v>
      </c>
      <c r="AL246" s="23" t="s">
        <v>43</v>
      </c>
      <c r="AM246" s="40" t="str">
        <f t="shared" si="8"/>
        <v>[IP1568]</v>
      </c>
    </row>
    <row r="247" ht="67.5" customHeight="1">
      <c r="A247" s="41">
        <v>1569.0</v>
      </c>
      <c r="B247" s="42" t="s">
        <v>628</v>
      </c>
      <c r="C247" s="43">
        <v>2016.0</v>
      </c>
      <c r="D247" s="44" t="s">
        <v>35</v>
      </c>
      <c r="E247" s="45" t="s">
        <v>36</v>
      </c>
      <c r="F247" s="45" t="s">
        <v>36</v>
      </c>
      <c r="G247" s="45" t="s">
        <v>36</v>
      </c>
      <c r="H247" s="45" t="s">
        <v>36</v>
      </c>
      <c r="I247" s="45" t="s">
        <v>36</v>
      </c>
      <c r="J247" s="46" t="s">
        <v>36</v>
      </c>
      <c r="K247" s="47" t="s">
        <v>37</v>
      </c>
      <c r="L247" s="48" t="s">
        <v>37</v>
      </c>
      <c r="M247" s="48" t="s">
        <v>35</v>
      </c>
      <c r="N247" s="48" t="s">
        <v>35</v>
      </c>
      <c r="O247" s="48" t="s">
        <v>35</v>
      </c>
      <c r="P247" s="48" t="s">
        <v>35</v>
      </c>
      <c r="Q247" s="48" t="s">
        <v>35</v>
      </c>
      <c r="R247" s="48" t="s">
        <v>37</v>
      </c>
      <c r="S247" s="49" t="s">
        <v>629</v>
      </c>
      <c r="T247" s="50" t="s">
        <v>630</v>
      </c>
      <c r="U247" s="51" t="s">
        <v>630</v>
      </c>
      <c r="V247" s="52">
        <f t="shared" ref="V247:X247" si="252">IF(lenb(SUBSTITUTE($Z247,V$1&amp;" (1)",""))&lt;lenb($Z247),1,IF(lenb(SUBSTITUTE($Z247,V$1&amp;" (2)",""))&lt;lenb($Z247),2,IF(lenb(SUBSTITUTE($Z247,V$1&amp;" (3)",""))&lt;lenb($Z247),3,IF(lenb(SUBSTITUTE($Z247,V$1&amp;" (4)",""))&lt;lenb($Z247),4,IF(lenb(SUBSTITUTE($Z247,V$1&amp;" (5)",""))&lt;lenb($Z247),5,IF(lenb(SUBSTITUTE($Z247,V$1&amp;" (6)",""))&lt;lenb($Z247),6,IF(lenb(SUBSTITUTE($Z247,V$1&amp;" (7)",""))&lt;lenb($Z247),1,IF(lenb(SUBSTITUTE($Z247,V$1&amp;" (8)",""))&lt;lenb($Z247),8,IF(lenb(SUBSTITUTE($Z247,V$1&amp;" (9)",""))&lt;lenb($Z247),9,IF(lenb(SUBSTITUTE($Z247,V$1&amp;" (10)",""))&lt;lenb($Z247),10,IF(lenb(SUBSTITUTE($Z247,V$1,""))&lt;lenb($Z247),"ERROR",IF($Z247=$Y$1,"-",0))))))))))))</f>
        <v>1</v>
      </c>
      <c r="W247" s="52">
        <f t="shared" si="252"/>
        <v>0</v>
      </c>
      <c r="X247" s="52">
        <f t="shared" si="252"/>
        <v>0</v>
      </c>
      <c r="Y247" s="52" t="str">
        <f t="shared" si="3"/>
        <v>-</v>
      </c>
      <c r="Z247" s="52" t="s">
        <v>62</v>
      </c>
      <c r="AA247" s="53">
        <f t="shared" si="4"/>
        <v>1</v>
      </c>
      <c r="AB247" s="54">
        <f>COUNTIFS(Links!B:B,"ICSE",Links!C:C,A247,Links!AD:AD,1)</f>
        <v>0</v>
      </c>
      <c r="AC247" s="55" t="s">
        <v>35</v>
      </c>
      <c r="AD247" s="47" t="str">
        <f t="shared" si="5"/>
        <v>No</v>
      </c>
      <c r="AE247" s="56" t="s">
        <v>36</v>
      </c>
      <c r="AF247" s="57" t="s">
        <v>42</v>
      </c>
      <c r="AG247" s="57" t="s">
        <v>42</v>
      </c>
      <c r="AH247" s="57" t="s">
        <v>42</v>
      </c>
      <c r="AI247" s="49" t="str">
        <f t="shared" si="6"/>
        <v>----</v>
      </c>
      <c r="AJ247" s="58" t="str">
        <f t="shared" si="7"/>
        <v>Paper has link but no statement</v>
      </c>
      <c r="AK247" s="59">
        <v>45034.0</v>
      </c>
      <c r="AL247" s="43" t="s">
        <v>43</v>
      </c>
      <c r="AM247" s="60" t="str">
        <f t="shared" si="8"/>
        <v>[IP1569]</v>
      </c>
    </row>
    <row r="248" ht="67.5" customHeight="1">
      <c r="A248" s="21">
        <v>1570.0</v>
      </c>
      <c r="B248" s="22" t="s">
        <v>631</v>
      </c>
      <c r="C248" s="23">
        <v>2016.0</v>
      </c>
      <c r="D248" s="24" t="s">
        <v>35</v>
      </c>
      <c r="E248" s="25" t="s">
        <v>36</v>
      </c>
      <c r="F248" s="25" t="s">
        <v>36</v>
      </c>
      <c r="G248" s="25" t="s">
        <v>36</v>
      </c>
      <c r="H248" s="25" t="s">
        <v>36</v>
      </c>
      <c r="I248" s="25" t="s">
        <v>36</v>
      </c>
      <c r="J248" s="26" t="s">
        <v>36</v>
      </c>
      <c r="K248" s="27" t="s">
        <v>35</v>
      </c>
      <c r="L248" s="28" t="s">
        <v>36</v>
      </c>
      <c r="M248" s="28" t="s">
        <v>36</v>
      </c>
      <c r="N248" s="28" t="s">
        <v>36</v>
      </c>
      <c r="O248" s="28" t="s">
        <v>36</v>
      </c>
      <c r="P248" s="28" t="s">
        <v>36</v>
      </c>
      <c r="Q248" s="28" t="s">
        <v>36</v>
      </c>
      <c r="R248" s="28" t="s">
        <v>36</v>
      </c>
      <c r="S248" s="29" t="s">
        <v>36</v>
      </c>
      <c r="T248" s="30" t="s">
        <v>36</v>
      </c>
      <c r="U248" s="31" t="s">
        <v>36</v>
      </c>
      <c r="V248" s="32" t="str">
        <f t="shared" ref="V248:X248" si="253">IF(lenb(SUBSTITUTE($Z248,V$1&amp;" (1)",""))&lt;lenb($Z248),1,IF(lenb(SUBSTITUTE($Z248,V$1&amp;" (2)",""))&lt;lenb($Z248),2,IF(lenb(SUBSTITUTE($Z248,V$1&amp;" (3)",""))&lt;lenb($Z248),3,IF(lenb(SUBSTITUTE($Z248,V$1&amp;" (4)",""))&lt;lenb($Z248),4,IF(lenb(SUBSTITUTE($Z248,V$1&amp;" (5)",""))&lt;lenb($Z248),5,IF(lenb(SUBSTITUTE($Z248,V$1&amp;" (6)",""))&lt;lenb($Z248),6,IF(lenb(SUBSTITUTE($Z248,V$1&amp;" (7)",""))&lt;lenb($Z248),1,IF(lenb(SUBSTITUTE($Z248,V$1&amp;" (8)",""))&lt;lenb($Z248),8,IF(lenb(SUBSTITUTE($Z248,V$1&amp;" (9)",""))&lt;lenb($Z248),9,IF(lenb(SUBSTITUTE($Z248,V$1&amp;" (10)",""))&lt;lenb($Z248),10,IF(lenb(SUBSTITUTE($Z248,V$1,""))&lt;lenb($Z248),"ERROR",IF($Z248=$Y$1,"-",0))))))))))))</f>
        <v>-</v>
      </c>
      <c r="W248" s="32" t="str">
        <f t="shared" si="253"/>
        <v>-</v>
      </c>
      <c r="X248" s="32" t="str">
        <f t="shared" si="253"/>
        <v>-</v>
      </c>
      <c r="Y248" s="32">
        <f t="shared" si="3"/>
        <v>1</v>
      </c>
      <c r="Z248" s="32" t="s">
        <v>23</v>
      </c>
      <c r="AA248" s="33">
        <f t="shared" si="4"/>
        <v>0</v>
      </c>
      <c r="AB248" s="34">
        <f>COUNTIFS(Links!B:B,"ICSE",Links!C:C,A248,Links!AD:AD,1)</f>
        <v>0</v>
      </c>
      <c r="AC248" s="35" t="s">
        <v>36</v>
      </c>
      <c r="AD248" s="27" t="str">
        <f t="shared" si="5"/>
        <v>Yes</v>
      </c>
      <c r="AE248" s="36" t="s">
        <v>632</v>
      </c>
      <c r="AF248" s="36" t="s">
        <v>146</v>
      </c>
      <c r="AG248" s="37" t="s">
        <v>42</v>
      </c>
      <c r="AH248" s="37" t="s">
        <v>42</v>
      </c>
      <c r="AI248" s="29" t="str">
        <f t="shared" si="6"/>
        <v>Future plans (—)</v>
      </c>
      <c r="AJ248" s="38" t="str">
        <f t="shared" si="7"/>
        <v>Paper has no link but has statement</v>
      </c>
      <c r="AK248" s="39">
        <v>45034.0</v>
      </c>
      <c r="AL248" s="23" t="s">
        <v>43</v>
      </c>
      <c r="AM248" s="40" t="str">
        <f t="shared" si="8"/>
        <v>[IP1570]</v>
      </c>
    </row>
    <row r="249" ht="67.5" customHeight="1">
      <c r="A249" s="41">
        <v>1571.0</v>
      </c>
      <c r="B249" s="42" t="s">
        <v>633</v>
      </c>
      <c r="C249" s="43">
        <v>2016.0</v>
      </c>
      <c r="D249" s="44" t="s">
        <v>35</v>
      </c>
      <c r="E249" s="45" t="s">
        <v>36</v>
      </c>
      <c r="F249" s="45" t="s">
        <v>36</v>
      </c>
      <c r="G249" s="45" t="s">
        <v>36</v>
      </c>
      <c r="H249" s="45" t="s">
        <v>36</v>
      </c>
      <c r="I249" s="45" t="s">
        <v>36</v>
      </c>
      <c r="J249" s="46" t="s">
        <v>36</v>
      </c>
      <c r="K249" s="47" t="s">
        <v>37</v>
      </c>
      <c r="L249" s="48" t="s">
        <v>35</v>
      </c>
      <c r="M249" s="48" t="s">
        <v>35</v>
      </c>
      <c r="N249" s="48" t="s">
        <v>35</v>
      </c>
      <c r="O249" s="48" t="s">
        <v>35</v>
      </c>
      <c r="P249" s="48" t="s">
        <v>35</v>
      </c>
      <c r="Q249" s="48" t="s">
        <v>35</v>
      </c>
      <c r="R249" s="48" t="s">
        <v>37</v>
      </c>
      <c r="S249" s="49" t="s">
        <v>634</v>
      </c>
      <c r="T249" s="50" t="s">
        <v>635</v>
      </c>
      <c r="U249" s="51" t="s">
        <v>635</v>
      </c>
      <c r="V249" s="52">
        <f t="shared" ref="V249:X249" si="254">IF(lenb(SUBSTITUTE($Z249,V$1&amp;" (1)",""))&lt;lenb($Z249),1,IF(lenb(SUBSTITUTE($Z249,V$1&amp;" (2)",""))&lt;lenb($Z249),2,IF(lenb(SUBSTITUTE($Z249,V$1&amp;" (3)",""))&lt;lenb($Z249),3,IF(lenb(SUBSTITUTE($Z249,V$1&amp;" (4)",""))&lt;lenb($Z249),4,IF(lenb(SUBSTITUTE($Z249,V$1&amp;" (5)",""))&lt;lenb($Z249),5,IF(lenb(SUBSTITUTE($Z249,V$1&amp;" (6)",""))&lt;lenb($Z249),6,IF(lenb(SUBSTITUTE($Z249,V$1&amp;" (7)",""))&lt;lenb($Z249),1,IF(lenb(SUBSTITUTE($Z249,V$1&amp;" (8)",""))&lt;lenb($Z249),8,IF(lenb(SUBSTITUTE($Z249,V$1&amp;" (9)",""))&lt;lenb($Z249),9,IF(lenb(SUBSTITUTE($Z249,V$1&amp;" (10)",""))&lt;lenb($Z249),10,IF(lenb(SUBSTITUTE($Z249,V$1,""))&lt;lenb($Z249),"ERROR",IF($Z249=$Y$1,"-",0))))))))))))</f>
        <v>0</v>
      </c>
      <c r="W249" s="52">
        <f t="shared" si="254"/>
        <v>1</v>
      </c>
      <c r="X249" s="52">
        <f t="shared" si="254"/>
        <v>0</v>
      </c>
      <c r="Y249" s="52" t="str">
        <f t="shared" si="3"/>
        <v>-</v>
      </c>
      <c r="Z249" s="52" t="s">
        <v>47</v>
      </c>
      <c r="AA249" s="53">
        <f t="shared" si="4"/>
        <v>1</v>
      </c>
      <c r="AB249" s="54">
        <f>COUNTIFS(Links!B:B,"ICSE",Links!C:C,A249,Links!AD:AD,1)</f>
        <v>0</v>
      </c>
      <c r="AC249" s="55" t="s">
        <v>35</v>
      </c>
      <c r="AD249" s="47" t="str">
        <f t="shared" si="5"/>
        <v>No</v>
      </c>
      <c r="AE249" s="56" t="s">
        <v>36</v>
      </c>
      <c r="AF249" s="57" t="s">
        <v>42</v>
      </c>
      <c r="AG249" s="57" t="s">
        <v>42</v>
      </c>
      <c r="AH249" s="57" t="s">
        <v>42</v>
      </c>
      <c r="AI249" s="49" t="str">
        <f t="shared" si="6"/>
        <v>----</v>
      </c>
      <c r="AJ249" s="58" t="str">
        <f t="shared" si="7"/>
        <v>Paper has link but no statement</v>
      </c>
      <c r="AK249" s="59">
        <v>45034.0</v>
      </c>
      <c r="AL249" s="43" t="s">
        <v>43</v>
      </c>
      <c r="AM249" s="60" t="str">
        <f t="shared" si="8"/>
        <v>[IP1571]</v>
      </c>
    </row>
    <row r="250" ht="67.5" customHeight="1">
      <c r="A250" s="61">
        <v>1572.0</v>
      </c>
      <c r="B250" s="22" t="s">
        <v>636</v>
      </c>
      <c r="C250" s="23">
        <v>2016.0</v>
      </c>
      <c r="D250" s="24" t="s">
        <v>35</v>
      </c>
      <c r="E250" s="25" t="s">
        <v>36</v>
      </c>
      <c r="F250" s="25" t="s">
        <v>36</v>
      </c>
      <c r="G250" s="25" t="s">
        <v>36</v>
      </c>
      <c r="H250" s="25" t="s">
        <v>36</v>
      </c>
      <c r="I250" s="25" t="s">
        <v>36</v>
      </c>
      <c r="J250" s="26" t="s">
        <v>36</v>
      </c>
      <c r="K250" s="27" t="s">
        <v>37</v>
      </c>
      <c r="L250" s="28" t="s">
        <v>35</v>
      </c>
      <c r="M250" s="28" t="s">
        <v>35</v>
      </c>
      <c r="N250" s="28" t="s">
        <v>37</v>
      </c>
      <c r="O250" s="28" t="s">
        <v>35</v>
      </c>
      <c r="P250" s="28" t="s">
        <v>35</v>
      </c>
      <c r="Q250" s="28" t="s">
        <v>35</v>
      </c>
      <c r="R250" s="28" t="s">
        <v>35</v>
      </c>
      <c r="S250" s="29" t="s">
        <v>637</v>
      </c>
      <c r="T250" s="30" t="s">
        <v>638</v>
      </c>
      <c r="U250" s="31" t="s">
        <v>638</v>
      </c>
      <c r="V250" s="32">
        <f t="shared" ref="V250:X250" si="255">IF(lenb(SUBSTITUTE($Z250,V$1&amp;" (1)",""))&lt;lenb($Z250),1,IF(lenb(SUBSTITUTE($Z250,V$1&amp;" (2)",""))&lt;lenb($Z250),2,IF(lenb(SUBSTITUTE($Z250,V$1&amp;" (3)",""))&lt;lenb($Z250),3,IF(lenb(SUBSTITUTE($Z250,V$1&amp;" (4)",""))&lt;lenb($Z250),4,IF(lenb(SUBSTITUTE($Z250,V$1&amp;" (5)",""))&lt;lenb($Z250),5,IF(lenb(SUBSTITUTE($Z250,V$1&amp;" (6)",""))&lt;lenb($Z250),6,IF(lenb(SUBSTITUTE($Z250,V$1&amp;" (7)",""))&lt;lenb($Z250),1,IF(lenb(SUBSTITUTE($Z250,V$1&amp;" (8)",""))&lt;lenb($Z250),8,IF(lenb(SUBSTITUTE($Z250,V$1&amp;" (9)",""))&lt;lenb($Z250),9,IF(lenb(SUBSTITUTE($Z250,V$1&amp;" (10)",""))&lt;lenb($Z250),10,IF(lenb(SUBSTITUTE($Z250,V$1,""))&lt;lenb($Z250),"ERROR",IF($Z250=$Y$1,"-",0))))))))))))</f>
        <v>1</v>
      </c>
      <c r="W250" s="32">
        <f t="shared" si="255"/>
        <v>0</v>
      </c>
      <c r="X250" s="32">
        <f t="shared" si="255"/>
        <v>0</v>
      </c>
      <c r="Y250" s="32" t="str">
        <f t="shared" si="3"/>
        <v>-</v>
      </c>
      <c r="Z250" s="32" t="s">
        <v>62</v>
      </c>
      <c r="AA250" s="33">
        <f t="shared" si="4"/>
        <v>1</v>
      </c>
      <c r="AB250" s="34">
        <f>COUNTIFS(Links!B:B,"ICSE",Links!C:C,A250,Links!AD:AD,1)</f>
        <v>1</v>
      </c>
      <c r="AC250" s="35" t="s">
        <v>35</v>
      </c>
      <c r="AD250" s="27" t="str">
        <f t="shared" si="5"/>
        <v>Yes</v>
      </c>
      <c r="AE250" s="36" t="s">
        <v>632</v>
      </c>
      <c r="AF250" s="36" t="s">
        <v>146</v>
      </c>
      <c r="AG250" s="37" t="s">
        <v>42</v>
      </c>
      <c r="AH250" s="37" t="s">
        <v>42</v>
      </c>
      <c r="AI250" s="29" t="str">
        <f t="shared" si="6"/>
        <v>Future plans (—)</v>
      </c>
      <c r="AJ250" s="38" t="str">
        <f t="shared" si="7"/>
        <v>Paper has link and statement</v>
      </c>
      <c r="AK250" s="39">
        <v>45034.0</v>
      </c>
      <c r="AL250" s="23" t="s">
        <v>43</v>
      </c>
      <c r="AM250" s="40" t="str">
        <f t="shared" si="8"/>
        <v>[IP1572]</v>
      </c>
    </row>
    <row r="251" ht="67.5" customHeight="1">
      <c r="A251" s="41">
        <v>1573.0</v>
      </c>
      <c r="B251" s="42" t="s">
        <v>639</v>
      </c>
      <c r="C251" s="43">
        <v>2016.0</v>
      </c>
      <c r="D251" s="44" t="s">
        <v>35</v>
      </c>
      <c r="E251" s="45" t="s">
        <v>36</v>
      </c>
      <c r="F251" s="45" t="s">
        <v>36</v>
      </c>
      <c r="G251" s="45" t="s">
        <v>36</v>
      </c>
      <c r="H251" s="45" t="s">
        <v>36</v>
      </c>
      <c r="I251" s="45" t="s">
        <v>36</v>
      </c>
      <c r="J251" s="46" t="s">
        <v>36</v>
      </c>
      <c r="K251" s="47" t="s">
        <v>37</v>
      </c>
      <c r="L251" s="48" t="s">
        <v>37</v>
      </c>
      <c r="M251" s="48" t="s">
        <v>35</v>
      </c>
      <c r="N251" s="48" t="s">
        <v>37</v>
      </c>
      <c r="O251" s="48" t="s">
        <v>35</v>
      </c>
      <c r="P251" s="48" t="s">
        <v>35</v>
      </c>
      <c r="Q251" s="48" t="s">
        <v>35</v>
      </c>
      <c r="R251" s="48" t="s">
        <v>35</v>
      </c>
      <c r="S251" s="49" t="s">
        <v>200</v>
      </c>
      <c r="T251" s="50" t="s">
        <v>640</v>
      </c>
      <c r="U251" s="51" t="s">
        <v>640</v>
      </c>
      <c r="V251" s="52">
        <f t="shared" ref="V251:X251" si="256">IF(lenb(SUBSTITUTE($Z251,V$1&amp;" (1)",""))&lt;lenb($Z251),1,IF(lenb(SUBSTITUTE($Z251,V$1&amp;" (2)",""))&lt;lenb($Z251),2,IF(lenb(SUBSTITUTE($Z251,V$1&amp;" (3)",""))&lt;lenb($Z251),3,IF(lenb(SUBSTITUTE($Z251,V$1&amp;" (4)",""))&lt;lenb($Z251),4,IF(lenb(SUBSTITUTE($Z251,V$1&amp;" (5)",""))&lt;lenb($Z251),5,IF(lenb(SUBSTITUTE($Z251,V$1&amp;" (6)",""))&lt;lenb($Z251),6,IF(lenb(SUBSTITUTE($Z251,V$1&amp;" (7)",""))&lt;lenb($Z251),1,IF(lenb(SUBSTITUTE($Z251,V$1&amp;" (8)",""))&lt;lenb($Z251),8,IF(lenb(SUBSTITUTE($Z251,V$1&amp;" (9)",""))&lt;lenb($Z251),9,IF(lenb(SUBSTITUTE($Z251,V$1&amp;" (10)",""))&lt;lenb($Z251),10,IF(lenb(SUBSTITUTE($Z251,V$1,""))&lt;lenb($Z251),"ERROR",IF($Z251=$Y$1,"-",0))))))))))))</f>
        <v>1</v>
      </c>
      <c r="W251" s="52">
        <f t="shared" si="256"/>
        <v>0</v>
      </c>
      <c r="X251" s="52">
        <f t="shared" si="256"/>
        <v>0</v>
      </c>
      <c r="Y251" s="52" t="str">
        <f t="shared" si="3"/>
        <v>-</v>
      </c>
      <c r="Z251" s="52" t="s">
        <v>62</v>
      </c>
      <c r="AA251" s="53">
        <f t="shared" si="4"/>
        <v>1</v>
      </c>
      <c r="AB251" s="54">
        <f>COUNTIFS(Links!B:B,"ICSE",Links!C:C,A251,Links!AD:AD,1)</f>
        <v>0</v>
      </c>
      <c r="AC251" s="55" t="s">
        <v>35</v>
      </c>
      <c r="AD251" s="47" t="str">
        <f t="shared" si="5"/>
        <v>No</v>
      </c>
      <c r="AE251" s="56" t="s">
        <v>36</v>
      </c>
      <c r="AF251" s="57" t="s">
        <v>42</v>
      </c>
      <c r="AG251" s="57" t="s">
        <v>42</v>
      </c>
      <c r="AH251" s="57" t="s">
        <v>42</v>
      </c>
      <c r="AI251" s="49" t="str">
        <f t="shared" si="6"/>
        <v>----</v>
      </c>
      <c r="AJ251" s="58" t="str">
        <f t="shared" si="7"/>
        <v>Paper has link but no statement</v>
      </c>
      <c r="AK251" s="59">
        <v>45034.0</v>
      </c>
      <c r="AL251" s="43" t="s">
        <v>43</v>
      </c>
      <c r="AM251" s="60" t="str">
        <f t="shared" si="8"/>
        <v>[IP1573]</v>
      </c>
    </row>
    <row r="252" ht="67.5" customHeight="1">
      <c r="A252" s="61">
        <v>1574.0</v>
      </c>
      <c r="B252" s="22" t="s">
        <v>641</v>
      </c>
      <c r="C252" s="23">
        <v>2016.0</v>
      </c>
      <c r="D252" s="24" t="s">
        <v>35</v>
      </c>
      <c r="E252" s="25" t="s">
        <v>36</v>
      </c>
      <c r="F252" s="25" t="s">
        <v>36</v>
      </c>
      <c r="G252" s="25" t="s">
        <v>36</v>
      </c>
      <c r="H252" s="25" t="s">
        <v>36</v>
      </c>
      <c r="I252" s="25" t="s">
        <v>36</v>
      </c>
      <c r="J252" s="26" t="s">
        <v>36</v>
      </c>
      <c r="K252" s="27" t="s">
        <v>37</v>
      </c>
      <c r="L252" s="28" t="s">
        <v>37</v>
      </c>
      <c r="M252" s="28" t="s">
        <v>37</v>
      </c>
      <c r="N252" s="28" t="s">
        <v>37</v>
      </c>
      <c r="O252" s="28" t="s">
        <v>35</v>
      </c>
      <c r="P252" s="28" t="s">
        <v>35</v>
      </c>
      <c r="Q252" s="28" t="s">
        <v>35</v>
      </c>
      <c r="R252" s="28" t="s">
        <v>37</v>
      </c>
      <c r="S252" s="29" t="s">
        <v>642</v>
      </c>
      <c r="T252" s="30" t="s">
        <v>643</v>
      </c>
      <c r="U252" s="31" t="s">
        <v>644</v>
      </c>
      <c r="V252" s="32">
        <f t="shared" ref="V252:X252" si="257">IF(lenb(SUBSTITUTE($Z252,V$1&amp;" (1)",""))&lt;lenb($Z252),1,IF(lenb(SUBSTITUTE($Z252,V$1&amp;" (2)",""))&lt;lenb($Z252),2,IF(lenb(SUBSTITUTE($Z252,V$1&amp;" (3)",""))&lt;lenb($Z252),3,IF(lenb(SUBSTITUTE($Z252,V$1&amp;" (4)",""))&lt;lenb($Z252),4,IF(lenb(SUBSTITUTE($Z252,V$1&amp;" (5)",""))&lt;lenb($Z252),5,IF(lenb(SUBSTITUTE($Z252,V$1&amp;" (6)",""))&lt;lenb($Z252),6,IF(lenb(SUBSTITUTE($Z252,V$1&amp;" (7)",""))&lt;lenb($Z252),1,IF(lenb(SUBSTITUTE($Z252,V$1&amp;" (8)",""))&lt;lenb($Z252),8,IF(lenb(SUBSTITUTE($Z252,V$1&amp;" (9)",""))&lt;lenb($Z252),9,IF(lenb(SUBSTITUTE($Z252,V$1&amp;" (10)",""))&lt;lenb($Z252),10,IF(lenb(SUBSTITUTE($Z252,V$1,""))&lt;lenb($Z252),"ERROR",IF($Z252=$Y$1,"-",0))))))))))))</f>
        <v>0</v>
      </c>
      <c r="W252" s="32">
        <f t="shared" si="257"/>
        <v>1</v>
      </c>
      <c r="X252" s="32">
        <f t="shared" si="257"/>
        <v>0</v>
      </c>
      <c r="Y252" s="32" t="str">
        <f t="shared" si="3"/>
        <v>-</v>
      </c>
      <c r="Z252" s="32" t="s">
        <v>47</v>
      </c>
      <c r="AA252" s="33">
        <f t="shared" si="4"/>
        <v>1</v>
      </c>
      <c r="AB252" s="34">
        <f>COUNTIFS(Links!B:B,"ICSE",Links!C:C,A252,Links!AD:AD,1)</f>
        <v>0</v>
      </c>
      <c r="AC252" s="35" t="s">
        <v>35</v>
      </c>
      <c r="AD252" s="27" t="str">
        <f t="shared" si="5"/>
        <v>No</v>
      </c>
      <c r="AE252" s="36" t="s">
        <v>36</v>
      </c>
      <c r="AF252" s="37" t="s">
        <v>42</v>
      </c>
      <c r="AG252" s="37" t="s">
        <v>42</v>
      </c>
      <c r="AH252" s="37" t="s">
        <v>42</v>
      </c>
      <c r="AI252" s="29" t="str">
        <f t="shared" si="6"/>
        <v>----</v>
      </c>
      <c r="AJ252" s="38" t="str">
        <f t="shared" si="7"/>
        <v>Paper has link but no statement</v>
      </c>
      <c r="AK252" s="39">
        <v>45034.0</v>
      </c>
      <c r="AL252" s="23" t="s">
        <v>43</v>
      </c>
      <c r="AM252" s="40" t="str">
        <f t="shared" si="8"/>
        <v>[IP1574]</v>
      </c>
    </row>
    <row r="253" ht="67.5" customHeight="1">
      <c r="A253" s="41">
        <v>1575.0</v>
      </c>
      <c r="B253" s="42" t="s">
        <v>645</v>
      </c>
      <c r="C253" s="43">
        <v>2016.0</v>
      </c>
      <c r="D253" s="44" t="s">
        <v>35</v>
      </c>
      <c r="E253" s="45" t="s">
        <v>36</v>
      </c>
      <c r="F253" s="45" t="s">
        <v>36</v>
      </c>
      <c r="G253" s="45" t="s">
        <v>36</v>
      </c>
      <c r="H253" s="45" t="s">
        <v>36</v>
      </c>
      <c r="I253" s="45" t="s">
        <v>36</v>
      </c>
      <c r="J253" s="46" t="s">
        <v>36</v>
      </c>
      <c r="K253" s="47" t="s">
        <v>35</v>
      </c>
      <c r="L253" s="48" t="s">
        <v>36</v>
      </c>
      <c r="M253" s="48" t="s">
        <v>36</v>
      </c>
      <c r="N253" s="48" t="s">
        <v>36</v>
      </c>
      <c r="O253" s="48" t="s">
        <v>36</v>
      </c>
      <c r="P253" s="48" t="s">
        <v>36</v>
      </c>
      <c r="Q253" s="48" t="s">
        <v>36</v>
      </c>
      <c r="R253" s="48" t="s">
        <v>36</v>
      </c>
      <c r="S253" s="49" t="s">
        <v>36</v>
      </c>
      <c r="T253" s="50" t="s">
        <v>36</v>
      </c>
      <c r="U253" s="51" t="s">
        <v>36</v>
      </c>
      <c r="V253" s="52" t="str">
        <f t="shared" ref="V253:X253" si="258">IF(lenb(SUBSTITUTE($Z253,V$1&amp;" (1)",""))&lt;lenb($Z253),1,IF(lenb(SUBSTITUTE($Z253,V$1&amp;" (2)",""))&lt;lenb($Z253),2,IF(lenb(SUBSTITUTE($Z253,V$1&amp;" (3)",""))&lt;lenb($Z253),3,IF(lenb(SUBSTITUTE($Z253,V$1&amp;" (4)",""))&lt;lenb($Z253),4,IF(lenb(SUBSTITUTE($Z253,V$1&amp;" (5)",""))&lt;lenb($Z253),5,IF(lenb(SUBSTITUTE($Z253,V$1&amp;" (6)",""))&lt;lenb($Z253),6,IF(lenb(SUBSTITUTE($Z253,V$1&amp;" (7)",""))&lt;lenb($Z253),1,IF(lenb(SUBSTITUTE($Z253,V$1&amp;" (8)",""))&lt;lenb($Z253),8,IF(lenb(SUBSTITUTE($Z253,V$1&amp;" (9)",""))&lt;lenb($Z253),9,IF(lenb(SUBSTITUTE($Z253,V$1&amp;" (10)",""))&lt;lenb($Z253),10,IF(lenb(SUBSTITUTE($Z253,V$1,""))&lt;lenb($Z253),"ERROR",IF($Z253=$Y$1,"-",0))))))))))))</f>
        <v>-</v>
      </c>
      <c r="W253" s="52" t="str">
        <f t="shared" si="258"/>
        <v>-</v>
      </c>
      <c r="X253" s="52" t="str">
        <f t="shared" si="258"/>
        <v>-</v>
      </c>
      <c r="Y253" s="52">
        <f t="shared" si="3"/>
        <v>1</v>
      </c>
      <c r="Z253" s="52" t="s">
        <v>23</v>
      </c>
      <c r="AA253" s="53">
        <f t="shared" si="4"/>
        <v>0</v>
      </c>
      <c r="AB253" s="54">
        <f>COUNTIFS(Links!B:B,"ICSE",Links!C:C,A253,Links!AD:AD,1)</f>
        <v>0</v>
      </c>
      <c r="AC253" s="55" t="s">
        <v>36</v>
      </c>
      <c r="AD253" s="47" t="str">
        <f t="shared" si="5"/>
        <v>No</v>
      </c>
      <c r="AE253" s="56" t="s">
        <v>36</v>
      </c>
      <c r="AF253" s="57" t="s">
        <v>42</v>
      </c>
      <c r="AG253" s="57" t="s">
        <v>42</v>
      </c>
      <c r="AH253" s="57" t="s">
        <v>42</v>
      </c>
      <c r="AI253" s="49" t="str">
        <f t="shared" si="6"/>
        <v>----</v>
      </c>
      <c r="AJ253" s="58" t="str">
        <f t="shared" si="7"/>
        <v>Paper has no link and no statement</v>
      </c>
      <c r="AK253" s="59">
        <v>45034.0</v>
      </c>
      <c r="AL253" s="43" t="s">
        <v>43</v>
      </c>
      <c r="AM253" s="60" t="str">
        <f t="shared" si="8"/>
        <v>[IP1575]</v>
      </c>
    </row>
    <row r="254" ht="67.5" customHeight="1">
      <c r="A254" s="61">
        <v>1576.0</v>
      </c>
      <c r="B254" s="22" t="s">
        <v>646</v>
      </c>
      <c r="C254" s="23">
        <v>2016.0</v>
      </c>
      <c r="D254" s="24" t="s">
        <v>35</v>
      </c>
      <c r="E254" s="25" t="s">
        <v>36</v>
      </c>
      <c r="F254" s="25" t="s">
        <v>36</v>
      </c>
      <c r="G254" s="25" t="s">
        <v>36</v>
      </c>
      <c r="H254" s="25" t="s">
        <v>36</v>
      </c>
      <c r="I254" s="25" t="s">
        <v>36</v>
      </c>
      <c r="J254" s="26" t="s">
        <v>36</v>
      </c>
      <c r="K254" s="27" t="s">
        <v>37</v>
      </c>
      <c r="L254" s="28" t="s">
        <v>37</v>
      </c>
      <c r="M254" s="28" t="s">
        <v>35</v>
      </c>
      <c r="N254" s="28" t="s">
        <v>35</v>
      </c>
      <c r="O254" s="28" t="s">
        <v>35</v>
      </c>
      <c r="P254" s="28" t="s">
        <v>35</v>
      </c>
      <c r="Q254" s="28" t="s">
        <v>35</v>
      </c>
      <c r="R254" s="28" t="s">
        <v>37</v>
      </c>
      <c r="S254" s="29" t="s">
        <v>647</v>
      </c>
      <c r="T254" s="30" t="s">
        <v>648</v>
      </c>
      <c r="U254" s="31" t="s">
        <v>649</v>
      </c>
      <c r="V254" s="32">
        <f t="shared" ref="V254:X254" si="259">IF(lenb(SUBSTITUTE($Z254,V$1&amp;" (1)",""))&lt;lenb($Z254),1,IF(lenb(SUBSTITUTE($Z254,V$1&amp;" (2)",""))&lt;lenb($Z254),2,IF(lenb(SUBSTITUTE($Z254,V$1&amp;" (3)",""))&lt;lenb($Z254),3,IF(lenb(SUBSTITUTE($Z254,V$1&amp;" (4)",""))&lt;lenb($Z254),4,IF(lenb(SUBSTITUTE($Z254,V$1&amp;" (5)",""))&lt;lenb($Z254),5,IF(lenb(SUBSTITUTE($Z254,V$1&amp;" (6)",""))&lt;lenb($Z254),6,IF(lenb(SUBSTITUTE($Z254,V$1&amp;" (7)",""))&lt;lenb($Z254),1,IF(lenb(SUBSTITUTE($Z254,V$1&amp;" (8)",""))&lt;lenb($Z254),8,IF(lenb(SUBSTITUTE($Z254,V$1&amp;" (9)",""))&lt;lenb($Z254),9,IF(lenb(SUBSTITUTE($Z254,V$1&amp;" (10)",""))&lt;lenb($Z254),10,IF(lenb(SUBSTITUTE($Z254,V$1,""))&lt;lenb($Z254),"ERROR",IF($Z254=$Y$1,"-",0))))))))))))</f>
        <v>0</v>
      </c>
      <c r="W254" s="32">
        <f t="shared" si="259"/>
        <v>2</v>
      </c>
      <c r="X254" s="32">
        <f t="shared" si="259"/>
        <v>0</v>
      </c>
      <c r="Y254" s="32" t="str">
        <f t="shared" si="3"/>
        <v>-</v>
      </c>
      <c r="Z254" s="32" t="s">
        <v>174</v>
      </c>
      <c r="AA254" s="33">
        <f t="shared" si="4"/>
        <v>2</v>
      </c>
      <c r="AB254" s="34">
        <f>COUNTIFS(Links!B:B,"ICSE",Links!C:C,A254,Links!AD:AD,1)</f>
        <v>2</v>
      </c>
      <c r="AC254" s="35" t="s">
        <v>35</v>
      </c>
      <c r="AD254" s="27" t="str">
        <f t="shared" si="5"/>
        <v>Yes</v>
      </c>
      <c r="AE254" s="36" t="s">
        <v>650</v>
      </c>
      <c r="AF254" s="36" t="s">
        <v>281</v>
      </c>
      <c r="AG254" s="36" t="s">
        <v>223</v>
      </c>
      <c r="AH254" s="37" t="s">
        <v>42</v>
      </c>
      <c r="AI254" s="29" t="str">
        <f t="shared" si="6"/>
        <v>Barriers (Confidentiality and privacy)
Barriers (Agreements and legal rights)</v>
      </c>
      <c r="AJ254" s="38" t="str">
        <f t="shared" si="7"/>
        <v>Paper has link and statement</v>
      </c>
      <c r="AK254" s="39">
        <v>45034.0</v>
      </c>
      <c r="AL254" s="23" t="s">
        <v>43</v>
      </c>
      <c r="AM254" s="40" t="str">
        <f t="shared" si="8"/>
        <v>[IP1576]</v>
      </c>
    </row>
    <row r="255" ht="67.5" customHeight="1">
      <c r="A255" s="41">
        <v>1577.0</v>
      </c>
      <c r="B255" s="42" t="s">
        <v>651</v>
      </c>
      <c r="C255" s="43">
        <v>2016.0</v>
      </c>
      <c r="D255" s="44" t="s">
        <v>35</v>
      </c>
      <c r="E255" s="45" t="s">
        <v>36</v>
      </c>
      <c r="F255" s="45" t="s">
        <v>36</v>
      </c>
      <c r="G255" s="45" t="s">
        <v>36</v>
      </c>
      <c r="H255" s="45" t="s">
        <v>36</v>
      </c>
      <c r="I255" s="45" t="s">
        <v>36</v>
      </c>
      <c r="J255" s="46" t="s">
        <v>36</v>
      </c>
      <c r="K255" s="47" t="s">
        <v>37</v>
      </c>
      <c r="L255" s="48" t="s">
        <v>35</v>
      </c>
      <c r="M255" s="48" t="s">
        <v>35</v>
      </c>
      <c r="N255" s="48" t="s">
        <v>35</v>
      </c>
      <c r="O255" s="48" t="s">
        <v>35</v>
      </c>
      <c r="P255" s="48" t="s">
        <v>35</v>
      </c>
      <c r="Q255" s="48" t="s">
        <v>35</v>
      </c>
      <c r="R255" s="48" t="s">
        <v>37</v>
      </c>
      <c r="S255" s="49" t="s">
        <v>652</v>
      </c>
      <c r="T255" s="50" t="s">
        <v>653</v>
      </c>
      <c r="U255" s="51" t="s">
        <v>653</v>
      </c>
      <c r="V255" s="52">
        <f t="shared" ref="V255:X255" si="260">IF(lenb(SUBSTITUTE($Z255,V$1&amp;" (1)",""))&lt;lenb($Z255),1,IF(lenb(SUBSTITUTE($Z255,V$1&amp;" (2)",""))&lt;lenb($Z255),2,IF(lenb(SUBSTITUTE($Z255,V$1&amp;" (3)",""))&lt;lenb($Z255),3,IF(lenb(SUBSTITUTE($Z255,V$1&amp;" (4)",""))&lt;lenb($Z255),4,IF(lenb(SUBSTITUTE($Z255,V$1&amp;" (5)",""))&lt;lenb($Z255),5,IF(lenb(SUBSTITUTE($Z255,V$1&amp;" (6)",""))&lt;lenb($Z255),6,IF(lenb(SUBSTITUTE($Z255,V$1&amp;" (7)",""))&lt;lenb($Z255),1,IF(lenb(SUBSTITUTE($Z255,V$1&amp;" (8)",""))&lt;lenb($Z255),8,IF(lenb(SUBSTITUTE($Z255,V$1&amp;" (9)",""))&lt;lenb($Z255),9,IF(lenb(SUBSTITUTE($Z255,V$1&amp;" (10)",""))&lt;lenb($Z255),10,IF(lenb(SUBSTITUTE($Z255,V$1,""))&lt;lenb($Z255),"ERROR",IF($Z255=$Y$1,"-",0))))))))))))</f>
        <v>0</v>
      </c>
      <c r="W255" s="52">
        <f t="shared" si="260"/>
        <v>1</v>
      </c>
      <c r="X255" s="52">
        <f t="shared" si="260"/>
        <v>0</v>
      </c>
      <c r="Y255" s="52" t="str">
        <f t="shared" si="3"/>
        <v>-</v>
      </c>
      <c r="Z255" s="52" t="s">
        <v>47</v>
      </c>
      <c r="AA255" s="53">
        <f t="shared" si="4"/>
        <v>1</v>
      </c>
      <c r="AB255" s="54">
        <f>COUNTIFS(Links!B:B,"ICSE",Links!C:C,A255,Links!AD:AD,1)</f>
        <v>1</v>
      </c>
      <c r="AC255" s="55" t="s">
        <v>35</v>
      </c>
      <c r="AD255" s="47" t="str">
        <f t="shared" si="5"/>
        <v>Yes</v>
      </c>
      <c r="AE255" s="56" t="s">
        <v>654</v>
      </c>
      <c r="AF255" s="56" t="s">
        <v>281</v>
      </c>
      <c r="AG255" s="57" t="s">
        <v>42</v>
      </c>
      <c r="AH255" s="57" t="s">
        <v>42</v>
      </c>
      <c r="AI255" s="49" t="str">
        <f t="shared" si="6"/>
        <v>Barriers (Confidentiality and privacy)</v>
      </c>
      <c r="AJ255" s="58" t="str">
        <f t="shared" si="7"/>
        <v>Paper has link and statement</v>
      </c>
      <c r="AK255" s="59">
        <v>45034.0</v>
      </c>
      <c r="AL255" s="43" t="s">
        <v>43</v>
      </c>
      <c r="AM255" s="60" t="str">
        <f t="shared" si="8"/>
        <v>[IP1577]</v>
      </c>
    </row>
    <row r="256" ht="67.5" customHeight="1">
      <c r="A256" s="61">
        <v>1578.0</v>
      </c>
      <c r="B256" s="22" t="s">
        <v>655</v>
      </c>
      <c r="C256" s="23">
        <v>2016.0</v>
      </c>
      <c r="D256" s="24" t="s">
        <v>35</v>
      </c>
      <c r="E256" s="25" t="s">
        <v>36</v>
      </c>
      <c r="F256" s="25" t="s">
        <v>36</v>
      </c>
      <c r="G256" s="25" t="s">
        <v>36</v>
      </c>
      <c r="H256" s="25" t="s">
        <v>36</v>
      </c>
      <c r="I256" s="25" t="s">
        <v>36</v>
      </c>
      <c r="J256" s="26" t="s">
        <v>36</v>
      </c>
      <c r="K256" s="27" t="s">
        <v>37</v>
      </c>
      <c r="L256" s="28" t="s">
        <v>37</v>
      </c>
      <c r="M256" s="28" t="s">
        <v>35</v>
      </c>
      <c r="N256" s="28" t="s">
        <v>35</v>
      </c>
      <c r="O256" s="28" t="s">
        <v>35</v>
      </c>
      <c r="P256" s="28" t="s">
        <v>35</v>
      </c>
      <c r="Q256" s="28" t="s">
        <v>35</v>
      </c>
      <c r="R256" s="28" t="s">
        <v>37</v>
      </c>
      <c r="S256" s="29" t="s">
        <v>656</v>
      </c>
      <c r="T256" s="30" t="s">
        <v>657</v>
      </c>
      <c r="U256" s="31" t="s">
        <v>657</v>
      </c>
      <c r="V256" s="32">
        <f t="shared" ref="V256:X256" si="261">IF(lenb(SUBSTITUTE($Z256,V$1&amp;" (1)",""))&lt;lenb($Z256),1,IF(lenb(SUBSTITUTE($Z256,V$1&amp;" (2)",""))&lt;lenb($Z256),2,IF(lenb(SUBSTITUTE($Z256,V$1&amp;" (3)",""))&lt;lenb($Z256),3,IF(lenb(SUBSTITUTE($Z256,V$1&amp;" (4)",""))&lt;lenb($Z256),4,IF(lenb(SUBSTITUTE($Z256,V$1&amp;" (5)",""))&lt;lenb($Z256),5,IF(lenb(SUBSTITUTE($Z256,V$1&amp;" (6)",""))&lt;lenb($Z256),6,IF(lenb(SUBSTITUTE($Z256,V$1&amp;" (7)",""))&lt;lenb($Z256),1,IF(lenb(SUBSTITUTE($Z256,V$1&amp;" (8)",""))&lt;lenb($Z256),8,IF(lenb(SUBSTITUTE($Z256,V$1&amp;" (9)",""))&lt;lenb($Z256),9,IF(lenb(SUBSTITUTE($Z256,V$1&amp;" (10)",""))&lt;lenb($Z256),10,IF(lenb(SUBSTITUTE($Z256,V$1,""))&lt;lenb($Z256),"ERROR",IF($Z256=$Y$1,"-",0))))))))))))</f>
        <v>0</v>
      </c>
      <c r="W256" s="32">
        <f t="shared" si="261"/>
        <v>1</v>
      </c>
      <c r="X256" s="32">
        <f t="shared" si="261"/>
        <v>0</v>
      </c>
      <c r="Y256" s="32" t="str">
        <f t="shared" si="3"/>
        <v>-</v>
      </c>
      <c r="Z256" s="32" t="s">
        <v>47</v>
      </c>
      <c r="AA256" s="33">
        <f t="shared" si="4"/>
        <v>1</v>
      </c>
      <c r="AB256" s="34">
        <f>COUNTIFS(Links!B:B,"ICSE",Links!C:C,A256,Links!AD:AD,1)</f>
        <v>1</v>
      </c>
      <c r="AC256" s="35" t="s">
        <v>35</v>
      </c>
      <c r="AD256" s="27" t="str">
        <f t="shared" si="5"/>
        <v>No</v>
      </c>
      <c r="AE256" s="36" t="s">
        <v>36</v>
      </c>
      <c r="AF256" s="37" t="s">
        <v>42</v>
      </c>
      <c r="AG256" s="37" t="s">
        <v>42</v>
      </c>
      <c r="AH256" s="37" t="s">
        <v>42</v>
      </c>
      <c r="AI256" s="29" t="str">
        <f t="shared" si="6"/>
        <v>----</v>
      </c>
      <c r="AJ256" s="38" t="str">
        <f t="shared" si="7"/>
        <v>Paper has link but no statement</v>
      </c>
      <c r="AK256" s="39">
        <v>45034.0</v>
      </c>
      <c r="AL256" s="23" t="s">
        <v>43</v>
      </c>
      <c r="AM256" s="40" t="str">
        <f t="shared" si="8"/>
        <v>[IP1578]</v>
      </c>
    </row>
    <row r="257" ht="67.5" customHeight="1">
      <c r="A257" s="41">
        <v>1579.0</v>
      </c>
      <c r="B257" s="42" t="s">
        <v>658</v>
      </c>
      <c r="C257" s="43">
        <v>2016.0</v>
      </c>
      <c r="D257" s="44" t="s">
        <v>35</v>
      </c>
      <c r="E257" s="45" t="s">
        <v>36</v>
      </c>
      <c r="F257" s="45" t="s">
        <v>36</v>
      </c>
      <c r="G257" s="45" t="s">
        <v>36</v>
      </c>
      <c r="H257" s="45" t="s">
        <v>36</v>
      </c>
      <c r="I257" s="45" t="s">
        <v>36</v>
      </c>
      <c r="J257" s="46" t="s">
        <v>36</v>
      </c>
      <c r="K257" s="47" t="s">
        <v>37</v>
      </c>
      <c r="L257" s="48" t="s">
        <v>35</v>
      </c>
      <c r="M257" s="48" t="s">
        <v>35</v>
      </c>
      <c r="N257" s="48" t="s">
        <v>35</v>
      </c>
      <c r="O257" s="48" t="s">
        <v>35</v>
      </c>
      <c r="P257" s="48" t="s">
        <v>35</v>
      </c>
      <c r="Q257" s="48" t="s">
        <v>35</v>
      </c>
      <c r="R257" s="48" t="s">
        <v>37</v>
      </c>
      <c r="S257" s="49" t="s">
        <v>659</v>
      </c>
      <c r="T257" s="50" t="s">
        <v>660</v>
      </c>
      <c r="U257" s="51" t="s">
        <v>661</v>
      </c>
      <c r="V257" s="52">
        <f t="shared" ref="V257:X257" si="262">IF(lenb(SUBSTITUTE($Z257,V$1&amp;" (1)",""))&lt;lenb($Z257),1,IF(lenb(SUBSTITUTE($Z257,V$1&amp;" (2)",""))&lt;lenb($Z257),2,IF(lenb(SUBSTITUTE($Z257,V$1&amp;" (3)",""))&lt;lenb($Z257),3,IF(lenb(SUBSTITUTE($Z257,V$1&amp;" (4)",""))&lt;lenb($Z257),4,IF(lenb(SUBSTITUTE($Z257,V$1&amp;" (5)",""))&lt;lenb($Z257),5,IF(lenb(SUBSTITUTE($Z257,V$1&amp;" (6)",""))&lt;lenb($Z257),6,IF(lenb(SUBSTITUTE($Z257,V$1&amp;" (7)",""))&lt;lenb($Z257),1,IF(lenb(SUBSTITUTE($Z257,V$1&amp;" (8)",""))&lt;lenb($Z257),8,IF(lenb(SUBSTITUTE($Z257,V$1&amp;" (9)",""))&lt;lenb($Z257),9,IF(lenb(SUBSTITUTE($Z257,V$1&amp;" (10)",""))&lt;lenb($Z257),10,IF(lenb(SUBSTITUTE($Z257,V$1,""))&lt;lenb($Z257),"ERROR",IF($Z257=$Y$1,"-",0))))))))))))</f>
        <v>1</v>
      </c>
      <c r="W257" s="52">
        <f t="shared" si="262"/>
        <v>0</v>
      </c>
      <c r="X257" s="52">
        <f t="shared" si="262"/>
        <v>0</v>
      </c>
      <c r="Y257" s="52" t="str">
        <f t="shared" si="3"/>
        <v>-</v>
      </c>
      <c r="Z257" s="52" t="s">
        <v>62</v>
      </c>
      <c r="AA257" s="53">
        <f t="shared" si="4"/>
        <v>1</v>
      </c>
      <c r="AB257" s="54">
        <f>COUNTIFS(Links!B:B,"ICSE",Links!C:C,A257,Links!AD:AD,1)</f>
        <v>1</v>
      </c>
      <c r="AC257" s="55" t="s">
        <v>37</v>
      </c>
      <c r="AD257" s="47" t="str">
        <f t="shared" si="5"/>
        <v>No</v>
      </c>
      <c r="AE257" s="56" t="s">
        <v>36</v>
      </c>
      <c r="AF257" s="57" t="s">
        <v>42</v>
      </c>
      <c r="AG257" s="57" t="s">
        <v>42</v>
      </c>
      <c r="AH257" s="57" t="s">
        <v>42</v>
      </c>
      <c r="AI257" s="49" t="str">
        <f t="shared" si="6"/>
        <v>----</v>
      </c>
      <c r="AJ257" s="58" t="str">
        <f t="shared" si="7"/>
        <v>Paper has link but no statement</v>
      </c>
      <c r="AK257" s="59">
        <v>45034.0</v>
      </c>
      <c r="AL257" s="43" t="s">
        <v>43</v>
      </c>
      <c r="AM257" s="60" t="str">
        <f t="shared" si="8"/>
        <v>[IP1579]</v>
      </c>
    </row>
    <row r="258" ht="67.5" customHeight="1">
      <c r="A258" s="61">
        <v>1580.0</v>
      </c>
      <c r="B258" s="22" t="s">
        <v>662</v>
      </c>
      <c r="C258" s="23">
        <v>2016.0</v>
      </c>
      <c r="D258" s="24" t="s">
        <v>35</v>
      </c>
      <c r="E258" s="25" t="s">
        <v>36</v>
      </c>
      <c r="F258" s="25" t="s">
        <v>36</v>
      </c>
      <c r="G258" s="25" t="s">
        <v>36</v>
      </c>
      <c r="H258" s="25" t="s">
        <v>36</v>
      </c>
      <c r="I258" s="25" t="s">
        <v>36</v>
      </c>
      <c r="J258" s="26" t="s">
        <v>36</v>
      </c>
      <c r="K258" s="27" t="s">
        <v>35</v>
      </c>
      <c r="L258" s="28" t="s">
        <v>36</v>
      </c>
      <c r="M258" s="28" t="s">
        <v>36</v>
      </c>
      <c r="N258" s="28" t="s">
        <v>36</v>
      </c>
      <c r="O258" s="28" t="s">
        <v>36</v>
      </c>
      <c r="P258" s="28" t="s">
        <v>36</v>
      </c>
      <c r="Q258" s="28" t="s">
        <v>36</v>
      </c>
      <c r="R258" s="28" t="s">
        <v>36</v>
      </c>
      <c r="S258" s="29" t="s">
        <v>36</v>
      </c>
      <c r="T258" s="30" t="s">
        <v>36</v>
      </c>
      <c r="U258" s="31" t="s">
        <v>36</v>
      </c>
      <c r="V258" s="32" t="str">
        <f t="shared" ref="V258:X258" si="263">IF(lenb(SUBSTITUTE($Z258,V$1&amp;" (1)",""))&lt;lenb($Z258),1,IF(lenb(SUBSTITUTE($Z258,V$1&amp;" (2)",""))&lt;lenb($Z258),2,IF(lenb(SUBSTITUTE($Z258,V$1&amp;" (3)",""))&lt;lenb($Z258),3,IF(lenb(SUBSTITUTE($Z258,V$1&amp;" (4)",""))&lt;lenb($Z258),4,IF(lenb(SUBSTITUTE($Z258,V$1&amp;" (5)",""))&lt;lenb($Z258),5,IF(lenb(SUBSTITUTE($Z258,V$1&amp;" (6)",""))&lt;lenb($Z258),6,IF(lenb(SUBSTITUTE($Z258,V$1&amp;" (7)",""))&lt;lenb($Z258),1,IF(lenb(SUBSTITUTE($Z258,V$1&amp;" (8)",""))&lt;lenb($Z258),8,IF(lenb(SUBSTITUTE($Z258,V$1&amp;" (9)",""))&lt;lenb($Z258),9,IF(lenb(SUBSTITUTE($Z258,V$1&amp;" (10)",""))&lt;lenb($Z258),10,IF(lenb(SUBSTITUTE($Z258,V$1,""))&lt;lenb($Z258),"ERROR",IF($Z258=$Y$1,"-",0))))))))))))</f>
        <v>-</v>
      </c>
      <c r="W258" s="32" t="str">
        <f t="shared" si="263"/>
        <v>-</v>
      </c>
      <c r="X258" s="32" t="str">
        <f t="shared" si="263"/>
        <v>-</v>
      </c>
      <c r="Y258" s="32">
        <f t="shared" si="3"/>
        <v>1</v>
      </c>
      <c r="Z258" s="32" t="s">
        <v>23</v>
      </c>
      <c r="AA258" s="33">
        <f t="shared" si="4"/>
        <v>0</v>
      </c>
      <c r="AB258" s="34">
        <f>COUNTIFS(Links!B:B,"ICSE",Links!C:C,A258,Links!AD:AD,1)</f>
        <v>0</v>
      </c>
      <c r="AC258" s="35" t="s">
        <v>36</v>
      </c>
      <c r="AD258" s="27" t="str">
        <f t="shared" si="5"/>
        <v>No</v>
      </c>
      <c r="AE258" s="36" t="s">
        <v>36</v>
      </c>
      <c r="AF258" s="37" t="s">
        <v>42</v>
      </c>
      <c r="AG258" s="37" t="s">
        <v>42</v>
      </c>
      <c r="AH258" s="37" t="s">
        <v>42</v>
      </c>
      <c r="AI258" s="29" t="str">
        <f t="shared" si="6"/>
        <v>----</v>
      </c>
      <c r="AJ258" s="38" t="str">
        <f t="shared" si="7"/>
        <v>Paper has no link and no statement</v>
      </c>
      <c r="AK258" s="39">
        <v>45034.0</v>
      </c>
      <c r="AL258" s="23" t="s">
        <v>43</v>
      </c>
      <c r="AM258" s="40" t="str">
        <f t="shared" si="8"/>
        <v>[IP1580]</v>
      </c>
    </row>
    <row r="259" ht="67.5" customHeight="1">
      <c r="A259" s="41">
        <v>1581.0</v>
      </c>
      <c r="B259" s="42" t="s">
        <v>663</v>
      </c>
      <c r="C259" s="43">
        <v>2016.0</v>
      </c>
      <c r="D259" s="44" t="s">
        <v>35</v>
      </c>
      <c r="E259" s="45" t="s">
        <v>36</v>
      </c>
      <c r="F259" s="45" t="s">
        <v>36</v>
      </c>
      <c r="G259" s="45" t="s">
        <v>36</v>
      </c>
      <c r="H259" s="45" t="s">
        <v>36</v>
      </c>
      <c r="I259" s="45" t="s">
        <v>36</v>
      </c>
      <c r="J259" s="46" t="s">
        <v>36</v>
      </c>
      <c r="K259" s="47" t="s">
        <v>37</v>
      </c>
      <c r="L259" s="48" t="s">
        <v>35</v>
      </c>
      <c r="M259" s="48" t="s">
        <v>37</v>
      </c>
      <c r="N259" s="48" t="s">
        <v>37</v>
      </c>
      <c r="O259" s="48" t="s">
        <v>35</v>
      </c>
      <c r="P259" s="48" t="s">
        <v>35</v>
      </c>
      <c r="Q259" s="48" t="s">
        <v>35</v>
      </c>
      <c r="R259" s="48" t="s">
        <v>37</v>
      </c>
      <c r="S259" s="49" t="s">
        <v>664</v>
      </c>
      <c r="T259" s="50" t="s">
        <v>665</v>
      </c>
      <c r="U259" s="51" t="s">
        <v>665</v>
      </c>
      <c r="V259" s="52">
        <f t="shared" ref="V259:X259" si="264">IF(lenb(SUBSTITUTE($Z259,V$1&amp;" (1)",""))&lt;lenb($Z259),1,IF(lenb(SUBSTITUTE($Z259,V$1&amp;" (2)",""))&lt;lenb($Z259),2,IF(lenb(SUBSTITUTE($Z259,V$1&amp;" (3)",""))&lt;lenb($Z259),3,IF(lenb(SUBSTITUTE($Z259,V$1&amp;" (4)",""))&lt;lenb($Z259),4,IF(lenb(SUBSTITUTE($Z259,V$1&amp;" (5)",""))&lt;lenb($Z259),5,IF(lenb(SUBSTITUTE($Z259,V$1&amp;" (6)",""))&lt;lenb($Z259),6,IF(lenb(SUBSTITUTE($Z259,V$1&amp;" (7)",""))&lt;lenb($Z259),1,IF(lenb(SUBSTITUTE($Z259,V$1&amp;" (8)",""))&lt;lenb($Z259),8,IF(lenb(SUBSTITUTE($Z259,V$1&amp;" (9)",""))&lt;lenb($Z259),9,IF(lenb(SUBSTITUTE($Z259,V$1&amp;" (10)",""))&lt;lenb($Z259),10,IF(lenb(SUBSTITUTE($Z259,V$1,""))&lt;lenb($Z259),"ERROR",IF($Z259=$Y$1,"-",0))))))))))))</f>
        <v>2</v>
      </c>
      <c r="W259" s="52">
        <f t="shared" si="264"/>
        <v>0</v>
      </c>
      <c r="X259" s="52">
        <f t="shared" si="264"/>
        <v>0</v>
      </c>
      <c r="Y259" s="52" t="str">
        <f t="shared" si="3"/>
        <v>-</v>
      </c>
      <c r="Z259" s="52" t="s">
        <v>57</v>
      </c>
      <c r="AA259" s="53">
        <f t="shared" si="4"/>
        <v>2</v>
      </c>
      <c r="AB259" s="54">
        <f>COUNTIFS(Links!B:B,"ICSE",Links!C:C,A259,Links!AD:AD,1)</f>
        <v>0</v>
      </c>
      <c r="AC259" s="55" t="s">
        <v>37</v>
      </c>
      <c r="AD259" s="47" t="str">
        <f t="shared" si="5"/>
        <v>No</v>
      </c>
      <c r="AE259" s="56" t="s">
        <v>36</v>
      </c>
      <c r="AF259" s="57" t="s">
        <v>42</v>
      </c>
      <c r="AG259" s="57" t="s">
        <v>42</v>
      </c>
      <c r="AH259" s="57" t="s">
        <v>42</v>
      </c>
      <c r="AI259" s="49" t="str">
        <f t="shared" si="6"/>
        <v>----</v>
      </c>
      <c r="AJ259" s="58" t="str">
        <f t="shared" si="7"/>
        <v>Paper has link but no statement</v>
      </c>
      <c r="AK259" s="59">
        <v>45034.0</v>
      </c>
      <c r="AL259" s="43" t="s">
        <v>43</v>
      </c>
      <c r="AM259" s="60" t="str">
        <f t="shared" si="8"/>
        <v>[IP1581]</v>
      </c>
    </row>
    <row r="260" ht="67.5" customHeight="1">
      <c r="A260" s="61">
        <v>1582.0</v>
      </c>
      <c r="B260" s="22" t="s">
        <v>666</v>
      </c>
      <c r="C260" s="23">
        <v>2016.0</v>
      </c>
      <c r="D260" s="24" t="s">
        <v>35</v>
      </c>
      <c r="E260" s="25" t="s">
        <v>36</v>
      </c>
      <c r="F260" s="25" t="s">
        <v>36</v>
      </c>
      <c r="G260" s="25" t="s">
        <v>36</v>
      </c>
      <c r="H260" s="25" t="s">
        <v>36</v>
      </c>
      <c r="I260" s="25" t="s">
        <v>36</v>
      </c>
      <c r="J260" s="26" t="s">
        <v>36</v>
      </c>
      <c r="K260" s="27" t="s">
        <v>37</v>
      </c>
      <c r="L260" s="28" t="s">
        <v>35</v>
      </c>
      <c r="M260" s="28" t="s">
        <v>37</v>
      </c>
      <c r="N260" s="28" t="s">
        <v>35</v>
      </c>
      <c r="O260" s="28" t="s">
        <v>35</v>
      </c>
      <c r="P260" s="28" t="s">
        <v>35</v>
      </c>
      <c r="Q260" s="28" t="s">
        <v>35</v>
      </c>
      <c r="R260" s="28" t="s">
        <v>37</v>
      </c>
      <c r="S260" s="29" t="s">
        <v>667</v>
      </c>
      <c r="T260" s="30" t="s">
        <v>668</v>
      </c>
      <c r="U260" s="31" t="s">
        <v>668</v>
      </c>
      <c r="V260" s="32">
        <f t="shared" ref="V260:X260" si="265">IF(lenb(SUBSTITUTE($Z260,V$1&amp;" (1)",""))&lt;lenb($Z260),1,IF(lenb(SUBSTITUTE($Z260,V$1&amp;" (2)",""))&lt;lenb($Z260),2,IF(lenb(SUBSTITUTE($Z260,V$1&amp;" (3)",""))&lt;lenb($Z260),3,IF(lenb(SUBSTITUTE($Z260,V$1&amp;" (4)",""))&lt;lenb($Z260),4,IF(lenb(SUBSTITUTE($Z260,V$1&amp;" (5)",""))&lt;lenb($Z260),5,IF(lenb(SUBSTITUTE($Z260,V$1&amp;" (6)",""))&lt;lenb($Z260),6,IF(lenb(SUBSTITUTE($Z260,V$1&amp;" (7)",""))&lt;lenb($Z260),1,IF(lenb(SUBSTITUTE($Z260,V$1&amp;" (8)",""))&lt;lenb($Z260),8,IF(lenb(SUBSTITUTE($Z260,V$1&amp;" (9)",""))&lt;lenb($Z260),9,IF(lenb(SUBSTITUTE($Z260,V$1&amp;" (10)",""))&lt;lenb($Z260),10,IF(lenb(SUBSTITUTE($Z260,V$1,""))&lt;lenb($Z260),"ERROR",IF($Z260=$Y$1,"-",0))))))))))))</f>
        <v>0</v>
      </c>
      <c r="W260" s="32">
        <f t="shared" si="265"/>
        <v>1</v>
      </c>
      <c r="X260" s="32">
        <f t="shared" si="265"/>
        <v>0</v>
      </c>
      <c r="Y260" s="32" t="str">
        <f t="shared" si="3"/>
        <v>-</v>
      </c>
      <c r="Z260" s="32" t="s">
        <v>47</v>
      </c>
      <c r="AA260" s="33">
        <f t="shared" si="4"/>
        <v>1</v>
      </c>
      <c r="AB260" s="34">
        <f>COUNTIFS(Links!B:B,"ICSE",Links!C:C,A260,Links!AD:AD,1)</f>
        <v>1</v>
      </c>
      <c r="AC260" s="35" t="s">
        <v>35</v>
      </c>
      <c r="AD260" s="27" t="str">
        <f t="shared" si="5"/>
        <v>No</v>
      </c>
      <c r="AE260" s="36" t="s">
        <v>36</v>
      </c>
      <c r="AF260" s="37" t="s">
        <v>42</v>
      </c>
      <c r="AG260" s="37" t="s">
        <v>42</v>
      </c>
      <c r="AH260" s="37" t="s">
        <v>42</v>
      </c>
      <c r="AI260" s="29" t="str">
        <f t="shared" si="6"/>
        <v>----</v>
      </c>
      <c r="AJ260" s="38" t="str">
        <f t="shared" si="7"/>
        <v>Paper has link but no statement</v>
      </c>
      <c r="AK260" s="39">
        <v>45034.0</v>
      </c>
      <c r="AL260" s="23" t="s">
        <v>43</v>
      </c>
      <c r="AM260" s="40" t="str">
        <f t="shared" si="8"/>
        <v>[IP1582]</v>
      </c>
    </row>
    <row r="261" ht="67.5" customHeight="1">
      <c r="A261" s="41">
        <v>1583.0</v>
      </c>
      <c r="B261" s="42" t="s">
        <v>669</v>
      </c>
      <c r="C261" s="43">
        <v>2016.0</v>
      </c>
      <c r="D261" s="44" t="s">
        <v>35</v>
      </c>
      <c r="E261" s="45" t="s">
        <v>36</v>
      </c>
      <c r="F261" s="45" t="s">
        <v>36</v>
      </c>
      <c r="G261" s="45" t="s">
        <v>36</v>
      </c>
      <c r="H261" s="45" t="s">
        <v>36</v>
      </c>
      <c r="I261" s="45" t="s">
        <v>36</v>
      </c>
      <c r="J261" s="46" t="s">
        <v>36</v>
      </c>
      <c r="K261" s="47" t="s">
        <v>37</v>
      </c>
      <c r="L261" s="48" t="s">
        <v>35</v>
      </c>
      <c r="M261" s="48" t="s">
        <v>35</v>
      </c>
      <c r="N261" s="48" t="s">
        <v>35</v>
      </c>
      <c r="O261" s="48" t="s">
        <v>37</v>
      </c>
      <c r="P261" s="48" t="s">
        <v>35</v>
      </c>
      <c r="Q261" s="48" t="s">
        <v>35</v>
      </c>
      <c r="R261" s="48" t="s">
        <v>35</v>
      </c>
      <c r="S261" s="49" t="s">
        <v>670</v>
      </c>
      <c r="T261" s="50" t="s">
        <v>671</v>
      </c>
      <c r="U261" s="51" t="s">
        <v>671</v>
      </c>
      <c r="V261" s="52">
        <f t="shared" ref="V261:X261" si="266">IF(lenb(SUBSTITUTE($Z261,V$1&amp;" (1)",""))&lt;lenb($Z261),1,IF(lenb(SUBSTITUTE($Z261,V$1&amp;" (2)",""))&lt;lenb($Z261),2,IF(lenb(SUBSTITUTE($Z261,V$1&amp;" (3)",""))&lt;lenb($Z261),3,IF(lenb(SUBSTITUTE($Z261,V$1&amp;" (4)",""))&lt;lenb($Z261),4,IF(lenb(SUBSTITUTE($Z261,V$1&amp;" (5)",""))&lt;lenb($Z261),5,IF(lenb(SUBSTITUTE($Z261,V$1&amp;" (6)",""))&lt;lenb($Z261),6,IF(lenb(SUBSTITUTE($Z261,V$1&amp;" (7)",""))&lt;lenb($Z261),1,IF(lenb(SUBSTITUTE($Z261,V$1&amp;" (8)",""))&lt;lenb($Z261),8,IF(lenb(SUBSTITUTE($Z261,V$1&amp;" (9)",""))&lt;lenb($Z261),9,IF(lenb(SUBSTITUTE($Z261,V$1&amp;" (10)",""))&lt;lenb($Z261),10,IF(lenb(SUBSTITUTE($Z261,V$1,""))&lt;lenb($Z261),"ERROR",IF($Z261=$Y$1,"-",0))))))))))))</f>
        <v>1</v>
      </c>
      <c r="W261" s="52">
        <f t="shared" si="266"/>
        <v>0</v>
      </c>
      <c r="X261" s="52">
        <f t="shared" si="266"/>
        <v>0</v>
      </c>
      <c r="Y261" s="52" t="str">
        <f t="shared" si="3"/>
        <v>-</v>
      </c>
      <c r="Z261" s="52" t="s">
        <v>62</v>
      </c>
      <c r="AA261" s="53">
        <f t="shared" si="4"/>
        <v>1</v>
      </c>
      <c r="AB261" s="54">
        <f>COUNTIFS(Links!B:B,"ICSE",Links!C:C,A261,Links!AD:AD,1)</f>
        <v>0</v>
      </c>
      <c r="AC261" s="55" t="s">
        <v>35</v>
      </c>
      <c r="AD261" s="47" t="str">
        <f t="shared" si="5"/>
        <v>No</v>
      </c>
      <c r="AE261" s="56" t="s">
        <v>36</v>
      </c>
      <c r="AF261" s="57" t="s">
        <v>42</v>
      </c>
      <c r="AG261" s="57" t="s">
        <v>42</v>
      </c>
      <c r="AH261" s="57" t="s">
        <v>42</v>
      </c>
      <c r="AI261" s="49" t="str">
        <f t="shared" si="6"/>
        <v>----</v>
      </c>
      <c r="AJ261" s="58" t="str">
        <f t="shared" si="7"/>
        <v>Paper has link but no statement</v>
      </c>
      <c r="AK261" s="59">
        <v>45034.0</v>
      </c>
      <c r="AL261" s="43" t="s">
        <v>43</v>
      </c>
      <c r="AM261" s="60" t="str">
        <f t="shared" si="8"/>
        <v>[IP1583]</v>
      </c>
    </row>
    <row r="262" ht="67.5" customHeight="1">
      <c r="A262" s="61">
        <v>1584.0</v>
      </c>
      <c r="B262" s="22" t="s">
        <v>672</v>
      </c>
      <c r="C262" s="23">
        <v>2016.0</v>
      </c>
      <c r="D262" s="24" t="s">
        <v>35</v>
      </c>
      <c r="E262" s="25" t="s">
        <v>36</v>
      </c>
      <c r="F262" s="25" t="s">
        <v>36</v>
      </c>
      <c r="G262" s="25" t="s">
        <v>36</v>
      </c>
      <c r="H262" s="25" t="s">
        <v>36</v>
      </c>
      <c r="I262" s="25" t="s">
        <v>36</v>
      </c>
      <c r="J262" s="26" t="s">
        <v>36</v>
      </c>
      <c r="K262" s="27" t="s">
        <v>35</v>
      </c>
      <c r="L262" s="28" t="s">
        <v>36</v>
      </c>
      <c r="M262" s="28" t="s">
        <v>36</v>
      </c>
      <c r="N262" s="28" t="s">
        <v>36</v>
      </c>
      <c r="O262" s="28" t="s">
        <v>36</v>
      </c>
      <c r="P262" s="28" t="s">
        <v>36</v>
      </c>
      <c r="Q262" s="28" t="s">
        <v>36</v>
      </c>
      <c r="R262" s="28" t="s">
        <v>36</v>
      </c>
      <c r="S262" s="29" t="s">
        <v>36</v>
      </c>
      <c r="T262" s="30" t="s">
        <v>36</v>
      </c>
      <c r="U262" s="31" t="s">
        <v>36</v>
      </c>
      <c r="V262" s="32" t="str">
        <f t="shared" ref="V262:X262" si="267">IF(lenb(SUBSTITUTE($Z262,V$1&amp;" (1)",""))&lt;lenb($Z262),1,IF(lenb(SUBSTITUTE($Z262,V$1&amp;" (2)",""))&lt;lenb($Z262),2,IF(lenb(SUBSTITUTE($Z262,V$1&amp;" (3)",""))&lt;lenb($Z262),3,IF(lenb(SUBSTITUTE($Z262,V$1&amp;" (4)",""))&lt;lenb($Z262),4,IF(lenb(SUBSTITUTE($Z262,V$1&amp;" (5)",""))&lt;lenb($Z262),5,IF(lenb(SUBSTITUTE($Z262,V$1&amp;" (6)",""))&lt;lenb($Z262),6,IF(lenb(SUBSTITUTE($Z262,V$1&amp;" (7)",""))&lt;lenb($Z262),1,IF(lenb(SUBSTITUTE($Z262,V$1&amp;" (8)",""))&lt;lenb($Z262),8,IF(lenb(SUBSTITUTE($Z262,V$1&amp;" (9)",""))&lt;lenb($Z262),9,IF(lenb(SUBSTITUTE($Z262,V$1&amp;" (10)",""))&lt;lenb($Z262),10,IF(lenb(SUBSTITUTE($Z262,V$1,""))&lt;lenb($Z262),"ERROR",IF($Z262=$Y$1,"-",0))))))))))))</f>
        <v>-</v>
      </c>
      <c r="W262" s="32" t="str">
        <f t="shared" si="267"/>
        <v>-</v>
      </c>
      <c r="X262" s="32" t="str">
        <f t="shared" si="267"/>
        <v>-</v>
      </c>
      <c r="Y262" s="32">
        <f t="shared" si="3"/>
        <v>1</v>
      </c>
      <c r="Z262" s="32" t="s">
        <v>23</v>
      </c>
      <c r="AA262" s="33">
        <f t="shared" si="4"/>
        <v>0</v>
      </c>
      <c r="AB262" s="34">
        <f>COUNTIFS(Links!B:B,"ICSE",Links!C:C,A262,Links!AD:AD,1)</f>
        <v>0</v>
      </c>
      <c r="AC262" s="35" t="s">
        <v>36</v>
      </c>
      <c r="AD262" s="27" t="str">
        <f t="shared" si="5"/>
        <v>No</v>
      </c>
      <c r="AE262" s="36" t="s">
        <v>36</v>
      </c>
      <c r="AF262" s="37" t="s">
        <v>42</v>
      </c>
      <c r="AG262" s="37" t="s">
        <v>42</v>
      </c>
      <c r="AH262" s="37" t="s">
        <v>42</v>
      </c>
      <c r="AI262" s="29" t="str">
        <f t="shared" si="6"/>
        <v>----</v>
      </c>
      <c r="AJ262" s="38" t="str">
        <f t="shared" si="7"/>
        <v>Paper has no link and no statement</v>
      </c>
      <c r="AK262" s="39">
        <v>45034.0</v>
      </c>
      <c r="AL262" s="23" t="s">
        <v>43</v>
      </c>
      <c r="AM262" s="40" t="str">
        <f t="shared" si="8"/>
        <v>[IP1584]</v>
      </c>
    </row>
    <row r="263" ht="67.5" customHeight="1">
      <c r="A263" s="41">
        <v>1585.0</v>
      </c>
      <c r="B263" s="42" t="s">
        <v>673</v>
      </c>
      <c r="C263" s="43">
        <v>2016.0</v>
      </c>
      <c r="D263" s="44" t="s">
        <v>35</v>
      </c>
      <c r="E263" s="45" t="s">
        <v>36</v>
      </c>
      <c r="F263" s="45" t="s">
        <v>36</v>
      </c>
      <c r="G263" s="45" t="s">
        <v>36</v>
      </c>
      <c r="H263" s="45" t="s">
        <v>36</v>
      </c>
      <c r="I263" s="45" t="s">
        <v>36</v>
      </c>
      <c r="J263" s="46" t="s">
        <v>36</v>
      </c>
      <c r="K263" s="47" t="s">
        <v>37</v>
      </c>
      <c r="L263" s="48" t="s">
        <v>35</v>
      </c>
      <c r="M263" s="48" t="s">
        <v>37</v>
      </c>
      <c r="N263" s="48" t="s">
        <v>37</v>
      </c>
      <c r="O263" s="48" t="s">
        <v>35</v>
      </c>
      <c r="P263" s="48" t="s">
        <v>35</v>
      </c>
      <c r="Q263" s="48" t="s">
        <v>35</v>
      </c>
      <c r="R263" s="48" t="s">
        <v>37</v>
      </c>
      <c r="S263" s="49" t="s">
        <v>674</v>
      </c>
      <c r="T263" s="50" t="s">
        <v>675</v>
      </c>
      <c r="U263" s="51" t="s">
        <v>675</v>
      </c>
      <c r="V263" s="52">
        <f t="shared" ref="V263:X263" si="268">IF(lenb(SUBSTITUTE($Z263,V$1&amp;" (1)",""))&lt;lenb($Z263),1,IF(lenb(SUBSTITUTE($Z263,V$1&amp;" (2)",""))&lt;lenb($Z263),2,IF(lenb(SUBSTITUTE($Z263,V$1&amp;" (3)",""))&lt;lenb($Z263),3,IF(lenb(SUBSTITUTE($Z263,V$1&amp;" (4)",""))&lt;lenb($Z263),4,IF(lenb(SUBSTITUTE($Z263,V$1&amp;" (5)",""))&lt;lenb($Z263),5,IF(lenb(SUBSTITUTE($Z263,V$1&amp;" (6)",""))&lt;lenb($Z263),6,IF(lenb(SUBSTITUTE($Z263,V$1&amp;" (7)",""))&lt;lenb($Z263),1,IF(lenb(SUBSTITUTE($Z263,V$1&amp;" (8)",""))&lt;lenb($Z263),8,IF(lenb(SUBSTITUTE($Z263,V$1&amp;" (9)",""))&lt;lenb($Z263),9,IF(lenb(SUBSTITUTE($Z263,V$1&amp;" (10)",""))&lt;lenb($Z263),10,IF(lenb(SUBSTITUTE($Z263,V$1,""))&lt;lenb($Z263),"ERROR",IF($Z263=$Y$1,"-",0))))))))))))</f>
        <v>0</v>
      </c>
      <c r="W263" s="52">
        <f t="shared" si="268"/>
        <v>1</v>
      </c>
      <c r="X263" s="52">
        <f t="shared" si="268"/>
        <v>0</v>
      </c>
      <c r="Y263" s="52" t="str">
        <f t="shared" si="3"/>
        <v>-</v>
      </c>
      <c r="Z263" s="52" t="s">
        <v>47</v>
      </c>
      <c r="AA263" s="53">
        <f t="shared" si="4"/>
        <v>1</v>
      </c>
      <c r="AB263" s="54">
        <f>COUNTIFS(Links!B:B,"ICSE",Links!C:C,A263,Links!AD:AD,1)</f>
        <v>1</v>
      </c>
      <c r="AC263" s="55" t="s">
        <v>35</v>
      </c>
      <c r="AD263" s="47" t="str">
        <f t="shared" si="5"/>
        <v>No</v>
      </c>
      <c r="AE263" s="56" t="s">
        <v>36</v>
      </c>
      <c r="AF263" s="57" t="s">
        <v>42</v>
      </c>
      <c r="AG263" s="57" t="s">
        <v>42</v>
      </c>
      <c r="AH263" s="57" t="s">
        <v>42</v>
      </c>
      <c r="AI263" s="49" t="str">
        <f t="shared" si="6"/>
        <v>----</v>
      </c>
      <c r="AJ263" s="58" t="str">
        <f t="shared" si="7"/>
        <v>Paper has link but no statement</v>
      </c>
      <c r="AK263" s="59">
        <v>45034.0</v>
      </c>
      <c r="AL263" s="43" t="s">
        <v>43</v>
      </c>
      <c r="AM263" s="60" t="str">
        <f t="shared" si="8"/>
        <v>[IP1585]</v>
      </c>
    </row>
    <row r="264" ht="67.5" customHeight="1">
      <c r="A264" s="61">
        <v>1586.0</v>
      </c>
      <c r="B264" s="22" t="s">
        <v>676</v>
      </c>
      <c r="C264" s="23">
        <v>2016.0</v>
      </c>
      <c r="D264" s="24" t="s">
        <v>35</v>
      </c>
      <c r="E264" s="25" t="s">
        <v>36</v>
      </c>
      <c r="F264" s="25" t="s">
        <v>36</v>
      </c>
      <c r="G264" s="25" t="s">
        <v>36</v>
      </c>
      <c r="H264" s="25" t="s">
        <v>36</v>
      </c>
      <c r="I264" s="25" t="s">
        <v>36</v>
      </c>
      <c r="J264" s="26" t="s">
        <v>36</v>
      </c>
      <c r="K264" s="27" t="s">
        <v>37</v>
      </c>
      <c r="L264" s="28" t="s">
        <v>37</v>
      </c>
      <c r="M264" s="28" t="s">
        <v>35</v>
      </c>
      <c r="N264" s="28" t="s">
        <v>37</v>
      </c>
      <c r="O264" s="28" t="s">
        <v>35</v>
      </c>
      <c r="P264" s="28" t="s">
        <v>35</v>
      </c>
      <c r="Q264" s="28" t="s">
        <v>35</v>
      </c>
      <c r="R264" s="28" t="s">
        <v>35</v>
      </c>
      <c r="S264" s="29" t="s">
        <v>677</v>
      </c>
      <c r="T264" s="30" t="s">
        <v>678</v>
      </c>
      <c r="U264" s="31" t="s">
        <v>678</v>
      </c>
      <c r="V264" s="32">
        <f t="shared" ref="V264:X264" si="269">IF(lenb(SUBSTITUTE($Z264,V$1&amp;" (1)",""))&lt;lenb($Z264),1,IF(lenb(SUBSTITUTE($Z264,V$1&amp;" (2)",""))&lt;lenb($Z264),2,IF(lenb(SUBSTITUTE($Z264,V$1&amp;" (3)",""))&lt;lenb($Z264),3,IF(lenb(SUBSTITUTE($Z264,V$1&amp;" (4)",""))&lt;lenb($Z264),4,IF(lenb(SUBSTITUTE($Z264,V$1&amp;" (5)",""))&lt;lenb($Z264),5,IF(lenb(SUBSTITUTE($Z264,V$1&amp;" (6)",""))&lt;lenb($Z264),6,IF(lenb(SUBSTITUTE($Z264,V$1&amp;" (7)",""))&lt;lenb($Z264),1,IF(lenb(SUBSTITUTE($Z264,V$1&amp;" (8)",""))&lt;lenb($Z264),8,IF(lenb(SUBSTITUTE($Z264,V$1&amp;" (9)",""))&lt;lenb($Z264),9,IF(lenb(SUBSTITUTE($Z264,V$1&amp;" (10)",""))&lt;lenb($Z264),10,IF(lenb(SUBSTITUTE($Z264,V$1,""))&lt;lenb($Z264),"ERROR",IF($Z264=$Y$1,"-",0))))))))))))</f>
        <v>0</v>
      </c>
      <c r="W264" s="32">
        <f t="shared" si="269"/>
        <v>1</v>
      </c>
      <c r="X264" s="32">
        <f t="shared" si="269"/>
        <v>0</v>
      </c>
      <c r="Y264" s="32" t="str">
        <f t="shared" si="3"/>
        <v>-</v>
      </c>
      <c r="Z264" s="32" t="s">
        <v>47</v>
      </c>
      <c r="AA264" s="33">
        <f t="shared" si="4"/>
        <v>1</v>
      </c>
      <c r="AB264" s="34">
        <f>COUNTIFS(Links!B:B,"ICSE",Links!C:C,A264,Links!AD:AD,1)</f>
        <v>1</v>
      </c>
      <c r="AC264" s="35" t="s">
        <v>35</v>
      </c>
      <c r="AD264" s="27" t="str">
        <f t="shared" si="5"/>
        <v>No</v>
      </c>
      <c r="AE264" s="36" t="s">
        <v>36</v>
      </c>
      <c r="AF264" s="37" t="s">
        <v>42</v>
      </c>
      <c r="AG264" s="37" t="s">
        <v>42</v>
      </c>
      <c r="AH264" s="37" t="s">
        <v>42</v>
      </c>
      <c r="AI264" s="29" t="str">
        <f t="shared" si="6"/>
        <v>----</v>
      </c>
      <c r="AJ264" s="38" t="str">
        <f t="shared" si="7"/>
        <v>Paper has link but no statement</v>
      </c>
      <c r="AK264" s="39">
        <v>45034.0</v>
      </c>
      <c r="AL264" s="23" t="s">
        <v>43</v>
      </c>
      <c r="AM264" s="40" t="str">
        <f t="shared" si="8"/>
        <v>[IP1586]</v>
      </c>
    </row>
    <row r="265" ht="67.5" customHeight="1">
      <c r="A265" s="41">
        <v>1587.0</v>
      </c>
      <c r="B265" s="42" t="s">
        <v>679</v>
      </c>
      <c r="C265" s="43">
        <v>2016.0</v>
      </c>
      <c r="D265" s="44" t="s">
        <v>35</v>
      </c>
      <c r="E265" s="45" t="s">
        <v>36</v>
      </c>
      <c r="F265" s="45" t="s">
        <v>36</v>
      </c>
      <c r="G265" s="45" t="s">
        <v>36</v>
      </c>
      <c r="H265" s="45" t="s">
        <v>36</v>
      </c>
      <c r="I265" s="45" t="s">
        <v>36</v>
      </c>
      <c r="J265" s="46" t="s">
        <v>36</v>
      </c>
      <c r="K265" s="47" t="s">
        <v>37</v>
      </c>
      <c r="L265" s="48" t="s">
        <v>37</v>
      </c>
      <c r="M265" s="48" t="s">
        <v>35</v>
      </c>
      <c r="N265" s="48" t="s">
        <v>35</v>
      </c>
      <c r="O265" s="48" t="s">
        <v>35</v>
      </c>
      <c r="P265" s="48" t="s">
        <v>35</v>
      </c>
      <c r="Q265" s="48" t="s">
        <v>35</v>
      </c>
      <c r="R265" s="48" t="s">
        <v>37</v>
      </c>
      <c r="S265" s="49" t="s">
        <v>680</v>
      </c>
      <c r="T265" s="50" t="s">
        <v>681</v>
      </c>
      <c r="U265" s="51" t="s">
        <v>681</v>
      </c>
      <c r="V265" s="52">
        <f t="shared" ref="V265:X265" si="270">IF(lenb(SUBSTITUTE($Z265,V$1&amp;" (1)",""))&lt;lenb($Z265),1,IF(lenb(SUBSTITUTE($Z265,V$1&amp;" (2)",""))&lt;lenb($Z265),2,IF(lenb(SUBSTITUTE($Z265,V$1&amp;" (3)",""))&lt;lenb($Z265),3,IF(lenb(SUBSTITUTE($Z265,V$1&amp;" (4)",""))&lt;lenb($Z265),4,IF(lenb(SUBSTITUTE($Z265,V$1&amp;" (5)",""))&lt;lenb($Z265),5,IF(lenb(SUBSTITUTE($Z265,V$1&amp;" (6)",""))&lt;lenb($Z265),6,IF(lenb(SUBSTITUTE($Z265,V$1&amp;" (7)",""))&lt;lenb($Z265),1,IF(lenb(SUBSTITUTE($Z265,V$1&amp;" (8)",""))&lt;lenb($Z265),8,IF(lenb(SUBSTITUTE($Z265,V$1&amp;" (9)",""))&lt;lenb($Z265),9,IF(lenb(SUBSTITUTE($Z265,V$1&amp;" (10)",""))&lt;lenb($Z265),10,IF(lenb(SUBSTITUTE($Z265,V$1,""))&lt;lenb($Z265),"ERROR",IF($Z265=$Y$1,"-",0))))))))))))</f>
        <v>0</v>
      </c>
      <c r="W265" s="52">
        <f t="shared" si="270"/>
        <v>2</v>
      </c>
      <c r="X265" s="52">
        <f t="shared" si="270"/>
        <v>0</v>
      </c>
      <c r="Y265" s="52" t="str">
        <f t="shared" si="3"/>
        <v>-</v>
      </c>
      <c r="Z265" s="52" t="s">
        <v>174</v>
      </c>
      <c r="AA265" s="53">
        <f t="shared" si="4"/>
        <v>2</v>
      </c>
      <c r="AB265" s="54">
        <f>COUNTIFS(Links!B:B,"ICSE",Links!C:C,A265,Links!AD:AD,1)</f>
        <v>2</v>
      </c>
      <c r="AC265" s="55" t="s">
        <v>35</v>
      </c>
      <c r="AD265" s="47" t="str">
        <f t="shared" si="5"/>
        <v>No</v>
      </c>
      <c r="AE265" s="56" t="s">
        <v>36</v>
      </c>
      <c r="AF265" s="57" t="s">
        <v>42</v>
      </c>
      <c r="AG265" s="57" t="s">
        <v>42</v>
      </c>
      <c r="AH265" s="57" t="s">
        <v>42</v>
      </c>
      <c r="AI265" s="49" t="str">
        <f t="shared" si="6"/>
        <v>----</v>
      </c>
      <c r="AJ265" s="58" t="str">
        <f t="shared" si="7"/>
        <v>Paper has link but no statement</v>
      </c>
      <c r="AK265" s="59">
        <v>45034.0</v>
      </c>
      <c r="AL265" s="43" t="s">
        <v>43</v>
      </c>
      <c r="AM265" s="60" t="str">
        <f t="shared" si="8"/>
        <v>[IP1587]</v>
      </c>
    </row>
    <row r="266" ht="67.5" customHeight="1">
      <c r="A266" s="61">
        <v>1588.0</v>
      </c>
      <c r="B266" s="22" t="s">
        <v>682</v>
      </c>
      <c r="C266" s="23">
        <v>2016.0</v>
      </c>
      <c r="D266" s="24" t="s">
        <v>35</v>
      </c>
      <c r="E266" s="25" t="s">
        <v>36</v>
      </c>
      <c r="F266" s="25" t="s">
        <v>36</v>
      </c>
      <c r="G266" s="25" t="s">
        <v>36</v>
      </c>
      <c r="H266" s="25" t="s">
        <v>36</v>
      </c>
      <c r="I266" s="25" t="s">
        <v>36</v>
      </c>
      <c r="J266" s="26" t="s">
        <v>36</v>
      </c>
      <c r="K266" s="27" t="s">
        <v>37</v>
      </c>
      <c r="L266" s="28" t="s">
        <v>35</v>
      </c>
      <c r="M266" s="28" t="s">
        <v>35</v>
      </c>
      <c r="N266" s="28" t="s">
        <v>35</v>
      </c>
      <c r="O266" s="28" t="s">
        <v>35</v>
      </c>
      <c r="P266" s="28" t="s">
        <v>35</v>
      </c>
      <c r="Q266" s="28" t="s">
        <v>35</v>
      </c>
      <c r="R266" s="28" t="s">
        <v>37</v>
      </c>
      <c r="S266" s="29" t="s">
        <v>683</v>
      </c>
      <c r="T266" s="30" t="s">
        <v>684</v>
      </c>
      <c r="U266" s="31" t="s">
        <v>685</v>
      </c>
      <c r="V266" s="32">
        <f t="shared" ref="V266:X266" si="271">IF(lenb(SUBSTITUTE($Z266,V$1&amp;" (1)",""))&lt;lenb($Z266),1,IF(lenb(SUBSTITUTE($Z266,V$1&amp;" (2)",""))&lt;lenb($Z266),2,IF(lenb(SUBSTITUTE($Z266,V$1&amp;" (3)",""))&lt;lenb($Z266),3,IF(lenb(SUBSTITUTE($Z266,V$1&amp;" (4)",""))&lt;lenb($Z266),4,IF(lenb(SUBSTITUTE($Z266,V$1&amp;" (5)",""))&lt;lenb($Z266),5,IF(lenb(SUBSTITUTE($Z266,V$1&amp;" (6)",""))&lt;lenb($Z266),6,IF(lenb(SUBSTITUTE($Z266,V$1&amp;" (7)",""))&lt;lenb($Z266),1,IF(lenb(SUBSTITUTE($Z266,V$1&amp;" (8)",""))&lt;lenb($Z266),8,IF(lenb(SUBSTITUTE($Z266,V$1&amp;" (9)",""))&lt;lenb($Z266),9,IF(lenb(SUBSTITUTE($Z266,V$1&amp;" (10)",""))&lt;lenb($Z266),10,IF(lenb(SUBSTITUTE($Z266,V$1,""))&lt;lenb($Z266),"ERROR",IF($Z266=$Y$1,"-",0))))))))))))</f>
        <v>1</v>
      </c>
      <c r="W266" s="32">
        <f t="shared" si="271"/>
        <v>0</v>
      </c>
      <c r="X266" s="32">
        <f t="shared" si="271"/>
        <v>0</v>
      </c>
      <c r="Y266" s="32" t="str">
        <f t="shared" si="3"/>
        <v>-</v>
      </c>
      <c r="Z266" s="32" t="s">
        <v>62</v>
      </c>
      <c r="AA266" s="33">
        <f t="shared" si="4"/>
        <v>1</v>
      </c>
      <c r="AB266" s="34">
        <f>COUNTIFS(Links!B:B,"ICSE",Links!C:C,A266,Links!AD:AD,1)</f>
        <v>0</v>
      </c>
      <c r="AC266" s="35" t="s">
        <v>35</v>
      </c>
      <c r="AD266" s="27" t="str">
        <f t="shared" si="5"/>
        <v>No</v>
      </c>
      <c r="AE266" s="36" t="s">
        <v>36</v>
      </c>
      <c r="AF266" s="37" t="s">
        <v>42</v>
      </c>
      <c r="AG266" s="37" t="s">
        <v>42</v>
      </c>
      <c r="AH266" s="37" t="s">
        <v>42</v>
      </c>
      <c r="AI266" s="29" t="str">
        <f t="shared" si="6"/>
        <v>----</v>
      </c>
      <c r="AJ266" s="38" t="str">
        <f t="shared" si="7"/>
        <v>Paper has link but no statement</v>
      </c>
      <c r="AK266" s="39">
        <v>45034.0</v>
      </c>
      <c r="AL266" s="23" t="s">
        <v>43</v>
      </c>
      <c r="AM266" s="40" t="str">
        <f t="shared" si="8"/>
        <v>[IP1588]</v>
      </c>
    </row>
    <row r="267" ht="67.5" customHeight="1">
      <c r="A267" s="41">
        <v>1589.0</v>
      </c>
      <c r="B267" s="42" t="s">
        <v>686</v>
      </c>
      <c r="C267" s="43">
        <v>2016.0</v>
      </c>
      <c r="D267" s="44" t="s">
        <v>35</v>
      </c>
      <c r="E267" s="45" t="s">
        <v>36</v>
      </c>
      <c r="F267" s="45" t="s">
        <v>36</v>
      </c>
      <c r="G267" s="45" t="s">
        <v>36</v>
      </c>
      <c r="H267" s="45" t="s">
        <v>36</v>
      </c>
      <c r="I267" s="45" t="s">
        <v>36</v>
      </c>
      <c r="J267" s="46" t="s">
        <v>36</v>
      </c>
      <c r="K267" s="47" t="s">
        <v>35</v>
      </c>
      <c r="L267" s="48" t="s">
        <v>36</v>
      </c>
      <c r="M267" s="48" t="s">
        <v>36</v>
      </c>
      <c r="N267" s="48" t="s">
        <v>36</v>
      </c>
      <c r="O267" s="48" t="s">
        <v>36</v>
      </c>
      <c r="P267" s="48" t="s">
        <v>36</v>
      </c>
      <c r="Q267" s="48" t="s">
        <v>36</v>
      </c>
      <c r="R267" s="48" t="s">
        <v>36</v>
      </c>
      <c r="S267" s="49" t="s">
        <v>36</v>
      </c>
      <c r="T267" s="50" t="s">
        <v>36</v>
      </c>
      <c r="U267" s="51" t="s">
        <v>36</v>
      </c>
      <c r="V267" s="52" t="str">
        <f t="shared" ref="V267:X267" si="272">IF(lenb(SUBSTITUTE($Z267,V$1&amp;" (1)",""))&lt;lenb($Z267),1,IF(lenb(SUBSTITUTE($Z267,V$1&amp;" (2)",""))&lt;lenb($Z267),2,IF(lenb(SUBSTITUTE($Z267,V$1&amp;" (3)",""))&lt;lenb($Z267),3,IF(lenb(SUBSTITUTE($Z267,V$1&amp;" (4)",""))&lt;lenb($Z267),4,IF(lenb(SUBSTITUTE($Z267,V$1&amp;" (5)",""))&lt;lenb($Z267),5,IF(lenb(SUBSTITUTE($Z267,V$1&amp;" (6)",""))&lt;lenb($Z267),6,IF(lenb(SUBSTITUTE($Z267,V$1&amp;" (7)",""))&lt;lenb($Z267),1,IF(lenb(SUBSTITUTE($Z267,V$1&amp;" (8)",""))&lt;lenb($Z267),8,IF(lenb(SUBSTITUTE($Z267,V$1&amp;" (9)",""))&lt;lenb($Z267),9,IF(lenb(SUBSTITUTE($Z267,V$1&amp;" (10)",""))&lt;lenb($Z267),10,IF(lenb(SUBSTITUTE($Z267,V$1,""))&lt;lenb($Z267),"ERROR",IF($Z267=$Y$1,"-",0))))))))))))</f>
        <v>-</v>
      </c>
      <c r="W267" s="52" t="str">
        <f t="shared" si="272"/>
        <v>-</v>
      </c>
      <c r="X267" s="52" t="str">
        <f t="shared" si="272"/>
        <v>-</v>
      </c>
      <c r="Y267" s="52">
        <f t="shared" si="3"/>
        <v>1</v>
      </c>
      <c r="Z267" s="52" t="s">
        <v>23</v>
      </c>
      <c r="AA267" s="53">
        <f t="shared" si="4"/>
        <v>0</v>
      </c>
      <c r="AB267" s="54">
        <f>COUNTIFS(Links!B:B,"ICSE",Links!C:C,A267,Links!AD:AD,1)</f>
        <v>0</v>
      </c>
      <c r="AC267" s="55" t="s">
        <v>36</v>
      </c>
      <c r="AD267" s="47" t="str">
        <f t="shared" si="5"/>
        <v>No</v>
      </c>
      <c r="AE267" s="56" t="s">
        <v>36</v>
      </c>
      <c r="AF267" s="57" t="s">
        <v>42</v>
      </c>
      <c r="AG267" s="57" t="s">
        <v>42</v>
      </c>
      <c r="AH267" s="57" t="s">
        <v>42</v>
      </c>
      <c r="AI267" s="49" t="str">
        <f t="shared" si="6"/>
        <v>----</v>
      </c>
      <c r="AJ267" s="58" t="str">
        <f t="shared" si="7"/>
        <v>Paper has no link and no statement</v>
      </c>
      <c r="AK267" s="59">
        <v>45034.0</v>
      </c>
      <c r="AL267" s="43" t="s">
        <v>43</v>
      </c>
      <c r="AM267" s="60" t="str">
        <f t="shared" si="8"/>
        <v>[IP1589]</v>
      </c>
    </row>
    <row r="268" ht="67.5" customHeight="1">
      <c r="A268" s="61">
        <v>1590.0</v>
      </c>
      <c r="B268" s="22" t="s">
        <v>687</v>
      </c>
      <c r="C268" s="23">
        <v>2016.0</v>
      </c>
      <c r="D268" s="24" t="s">
        <v>35</v>
      </c>
      <c r="E268" s="25" t="s">
        <v>36</v>
      </c>
      <c r="F268" s="25" t="s">
        <v>36</v>
      </c>
      <c r="G268" s="25" t="s">
        <v>36</v>
      </c>
      <c r="H268" s="25" t="s">
        <v>36</v>
      </c>
      <c r="I268" s="25" t="s">
        <v>36</v>
      </c>
      <c r="J268" s="26" t="s">
        <v>36</v>
      </c>
      <c r="K268" s="27" t="s">
        <v>37</v>
      </c>
      <c r="L268" s="28" t="s">
        <v>37</v>
      </c>
      <c r="M268" s="28" t="s">
        <v>35</v>
      </c>
      <c r="N268" s="28" t="s">
        <v>35</v>
      </c>
      <c r="O268" s="28" t="s">
        <v>35</v>
      </c>
      <c r="P268" s="28" t="s">
        <v>35</v>
      </c>
      <c r="Q268" s="28" t="s">
        <v>35</v>
      </c>
      <c r="R268" s="28" t="s">
        <v>37</v>
      </c>
      <c r="S268" s="29" t="s">
        <v>688</v>
      </c>
      <c r="T268" s="30" t="s">
        <v>689</v>
      </c>
      <c r="U268" s="31" t="s">
        <v>689</v>
      </c>
      <c r="V268" s="32">
        <f t="shared" ref="V268:X268" si="273">IF(lenb(SUBSTITUTE($Z268,V$1&amp;" (1)",""))&lt;lenb($Z268),1,IF(lenb(SUBSTITUTE($Z268,V$1&amp;" (2)",""))&lt;lenb($Z268),2,IF(lenb(SUBSTITUTE($Z268,V$1&amp;" (3)",""))&lt;lenb($Z268),3,IF(lenb(SUBSTITUTE($Z268,V$1&amp;" (4)",""))&lt;lenb($Z268),4,IF(lenb(SUBSTITUTE($Z268,V$1&amp;" (5)",""))&lt;lenb($Z268),5,IF(lenb(SUBSTITUTE($Z268,V$1&amp;" (6)",""))&lt;lenb($Z268),6,IF(lenb(SUBSTITUTE($Z268,V$1&amp;" (7)",""))&lt;lenb($Z268),1,IF(lenb(SUBSTITUTE($Z268,V$1&amp;" (8)",""))&lt;lenb($Z268),8,IF(lenb(SUBSTITUTE($Z268,V$1&amp;" (9)",""))&lt;lenb($Z268),9,IF(lenb(SUBSTITUTE($Z268,V$1&amp;" (10)",""))&lt;lenb($Z268),10,IF(lenb(SUBSTITUTE($Z268,V$1,""))&lt;lenb($Z268),"ERROR",IF($Z268=$Y$1,"-",0))))))))))))</f>
        <v>1</v>
      </c>
      <c r="W268" s="32">
        <f t="shared" si="273"/>
        <v>0</v>
      </c>
      <c r="X268" s="32">
        <f t="shared" si="273"/>
        <v>0</v>
      </c>
      <c r="Y268" s="32" t="str">
        <f t="shared" si="3"/>
        <v>-</v>
      </c>
      <c r="Z268" s="32" t="s">
        <v>62</v>
      </c>
      <c r="AA268" s="33">
        <f t="shared" si="4"/>
        <v>1</v>
      </c>
      <c r="AB268" s="34">
        <f>COUNTIFS(Links!B:B,"ICSE",Links!C:C,A268,Links!AD:AD,1)</f>
        <v>0</v>
      </c>
      <c r="AC268" s="35" t="s">
        <v>35</v>
      </c>
      <c r="AD268" s="27" t="str">
        <f t="shared" si="5"/>
        <v>No</v>
      </c>
      <c r="AE268" s="36" t="s">
        <v>36</v>
      </c>
      <c r="AF268" s="37" t="s">
        <v>42</v>
      </c>
      <c r="AG268" s="37" t="s">
        <v>42</v>
      </c>
      <c r="AH268" s="37" t="s">
        <v>42</v>
      </c>
      <c r="AI268" s="29" t="str">
        <f t="shared" si="6"/>
        <v>----</v>
      </c>
      <c r="AJ268" s="38" t="str">
        <f t="shared" si="7"/>
        <v>Paper has link but no statement</v>
      </c>
      <c r="AK268" s="39">
        <v>45034.0</v>
      </c>
      <c r="AL268" s="23" t="s">
        <v>43</v>
      </c>
      <c r="AM268" s="40" t="str">
        <f t="shared" si="8"/>
        <v>[IP1590]</v>
      </c>
    </row>
    <row r="269" ht="67.5" customHeight="1">
      <c r="A269" s="41">
        <v>1591.0</v>
      </c>
      <c r="B269" s="42" t="s">
        <v>690</v>
      </c>
      <c r="C269" s="43">
        <v>2016.0</v>
      </c>
      <c r="D269" s="44" t="s">
        <v>35</v>
      </c>
      <c r="E269" s="45" t="s">
        <v>36</v>
      </c>
      <c r="F269" s="45" t="s">
        <v>36</v>
      </c>
      <c r="G269" s="45" t="s">
        <v>36</v>
      </c>
      <c r="H269" s="45" t="s">
        <v>36</v>
      </c>
      <c r="I269" s="45" t="s">
        <v>36</v>
      </c>
      <c r="J269" s="46" t="s">
        <v>36</v>
      </c>
      <c r="K269" s="47" t="s">
        <v>35</v>
      </c>
      <c r="L269" s="48" t="s">
        <v>36</v>
      </c>
      <c r="M269" s="48" t="s">
        <v>36</v>
      </c>
      <c r="N269" s="48" t="s">
        <v>36</v>
      </c>
      <c r="O269" s="48" t="s">
        <v>36</v>
      </c>
      <c r="P269" s="48" t="s">
        <v>36</v>
      </c>
      <c r="Q269" s="48" t="s">
        <v>36</v>
      </c>
      <c r="R269" s="48" t="s">
        <v>36</v>
      </c>
      <c r="S269" s="49" t="s">
        <v>36</v>
      </c>
      <c r="T269" s="50" t="s">
        <v>36</v>
      </c>
      <c r="U269" s="51" t="s">
        <v>36</v>
      </c>
      <c r="V269" s="52" t="str">
        <f t="shared" ref="V269:X269" si="274">IF(lenb(SUBSTITUTE($Z269,V$1&amp;" (1)",""))&lt;lenb($Z269),1,IF(lenb(SUBSTITUTE($Z269,V$1&amp;" (2)",""))&lt;lenb($Z269),2,IF(lenb(SUBSTITUTE($Z269,V$1&amp;" (3)",""))&lt;lenb($Z269),3,IF(lenb(SUBSTITUTE($Z269,V$1&amp;" (4)",""))&lt;lenb($Z269),4,IF(lenb(SUBSTITUTE($Z269,V$1&amp;" (5)",""))&lt;lenb($Z269),5,IF(lenb(SUBSTITUTE($Z269,V$1&amp;" (6)",""))&lt;lenb($Z269),6,IF(lenb(SUBSTITUTE($Z269,V$1&amp;" (7)",""))&lt;lenb($Z269),1,IF(lenb(SUBSTITUTE($Z269,V$1&amp;" (8)",""))&lt;lenb($Z269),8,IF(lenb(SUBSTITUTE($Z269,V$1&amp;" (9)",""))&lt;lenb($Z269),9,IF(lenb(SUBSTITUTE($Z269,V$1&amp;" (10)",""))&lt;lenb($Z269),10,IF(lenb(SUBSTITUTE($Z269,V$1,""))&lt;lenb($Z269),"ERROR",IF($Z269=$Y$1,"-",0))))))))))))</f>
        <v>-</v>
      </c>
      <c r="W269" s="52" t="str">
        <f t="shared" si="274"/>
        <v>-</v>
      </c>
      <c r="X269" s="52" t="str">
        <f t="shared" si="274"/>
        <v>-</v>
      </c>
      <c r="Y269" s="52">
        <f t="shared" si="3"/>
        <v>1</v>
      </c>
      <c r="Z269" s="52" t="s">
        <v>23</v>
      </c>
      <c r="AA269" s="53">
        <f t="shared" si="4"/>
        <v>0</v>
      </c>
      <c r="AB269" s="54">
        <f>COUNTIFS(Links!B:B,"ICSE",Links!C:C,A269,Links!AD:AD,1)</f>
        <v>0</v>
      </c>
      <c r="AC269" s="55" t="s">
        <v>36</v>
      </c>
      <c r="AD269" s="47" t="str">
        <f t="shared" si="5"/>
        <v>No</v>
      </c>
      <c r="AE269" s="56" t="s">
        <v>36</v>
      </c>
      <c r="AF269" s="57" t="s">
        <v>42</v>
      </c>
      <c r="AG269" s="57" t="s">
        <v>42</v>
      </c>
      <c r="AH269" s="57" t="s">
        <v>42</v>
      </c>
      <c r="AI269" s="49" t="str">
        <f t="shared" si="6"/>
        <v>----</v>
      </c>
      <c r="AJ269" s="58" t="str">
        <f t="shared" si="7"/>
        <v>Paper has no link and no statement</v>
      </c>
      <c r="AK269" s="59">
        <v>45034.0</v>
      </c>
      <c r="AL269" s="43" t="s">
        <v>43</v>
      </c>
      <c r="AM269" s="60" t="str">
        <f t="shared" si="8"/>
        <v>[IP1591]</v>
      </c>
    </row>
    <row r="270" ht="67.5" customHeight="1">
      <c r="A270" s="61">
        <v>1592.0</v>
      </c>
      <c r="B270" s="22" t="s">
        <v>691</v>
      </c>
      <c r="C270" s="23">
        <v>2016.0</v>
      </c>
      <c r="D270" s="24" t="s">
        <v>35</v>
      </c>
      <c r="E270" s="25" t="s">
        <v>36</v>
      </c>
      <c r="F270" s="25" t="s">
        <v>36</v>
      </c>
      <c r="G270" s="25" t="s">
        <v>36</v>
      </c>
      <c r="H270" s="25" t="s">
        <v>36</v>
      </c>
      <c r="I270" s="25" t="s">
        <v>36</v>
      </c>
      <c r="J270" s="26" t="s">
        <v>36</v>
      </c>
      <c r="K270" s="27" t="s">
        <v>35</v>
      </c>
      <c r="L270" s="28" t="s">
        <v>36</v>
      </c>
      <c r="M270" s="28" t="s">
        <v>36</v>
      </c>
      <c r="N270" s="28" t="s">
        <v>36</v>
      </c>
      <c r="O270" s="28" t="s">
        <v>36</v>
      </c>
      <c r="P270" s="28" t="s">
        <v>36</v>
      </c>
      <c r="Q270" s="28" t="s">
        <v>36</v>
      </c>
      <c r="R270" s="28" t="s">
        <v>36</v>
      </c>
      <c r="S270" s="29" t="s">
        <v>36</v>
      </c>
      <c r="T270" s="30" t="s">
        <v>36</v>
      </c>
      <c r="U270" s="31" t="s">
        <v>36</v>
      </c>
      <c r="V270" s="32" t="str">
        <f t="shared" ref="V270:X270" si="275">IF(lenb(SUBSTITUTE($Z270,V$1&amp;" (1)",""))&lt;lenb($Z270),1,IF(lenb(SUBSTITUTE($Z270,V$1&amp;" (2)",""))&lt;lenb($Z270),2,IF(lenb(SUBSTITUTE($Z270,V$1&amp;" (3)",""))&lt;lenb($Z270),3,IF(lenb(SUBSTITUTE($Z270,V$1&amp;" (4)",""))&lt;lenb($Z270),4,IF(lenb(SUBSTITUTE($Z270,V$1&amp;" (5)",""))&lt;lenb($Z270),5,IF(lenb(SUBSTITUTE($Z270,V$1&amp;" (6)",""))&lt;lenb($Z270),6,IF(lenb(SUBSTITUTE($Z270,V$1&amp;" (7)",""))&lt;lenb($Z270),1,IF(lenb(SUBSTITUTE($Z270,V$1&amp;" (8)",""))&lt;lenb($Z270),8,IF(lenb(SUBSTITUTE($Z270,V$1&amp;" (9)",""))&lt;lenb($Z270),9,IF(lenb(SUBSTITUTE($Z270,V$1&amp;" (10)",""))&lt;lenb($Z270),10,IF(lenb(SUBSTITUTE($Z270,V$1,""))&lt;lenb($Z270),"ERROR",IF($Z270=$Y$1,"-",0))))))))))))</f>
        <v>-</v>
      </c>
      <c r="W270" s="32" t="str">
        <f t="shared" si="275"/>
        <v>-</v>
      </c>
      <c r="X270" s="32" t="str">
        <f t="shared" si="275"/>
        <v>-</v>
      </c>
      <c r="Y270" s="32">
        <f t="shared" si="3"/>
        <v>1</v>
      </c>
      <c r="Z270" s="32" t="s">
        <v>23</v>
      </c>
      <c r="AA270" s="33">
        <f t="shared" si="4"/>
        <v>0</v>
      </c>
      <c r="AB270" s="34">
        <f>COUNTIFS(Links!B:B,"ICSE",Links!C:C,A270,Links!AD:AD,1)</f>
        <v>0</v>
      </c>
      <c r="AC270" s="35" t="s">
        <v>36</v>
      </c>
      <c r="AD270" s="27" t="str">
        <f t="shared" si="5"/>
        <v>Yes</v>
      </c>
      <c r="AE270" s="36" t="s">
        <v>692</v>
      </c>
      <c r="AF270" s="36" t="s">
        <v>223</v>
      </c>
      <c r="AG270" s="36" t="s">
        <v>693</v>
      </c>
      <c r="AH270" s="37" t="s">
        <v>42</v>
      </c>
      <c r="AI270" s="29" t="str">
        <f t="shared" si="6"/>
        <v>Barriers (Agreements and legal rights)
Limited access (Physical access)</v>
      </c>
      <c r="AJ270" s="38" t="str">
        <f t="shared" si="7"/>
        <v>Paper has no link but has statement</v>
      </c>
      <c r="AK270" s="39">
        <v>45034.0</v>
      </c>
      <c r="AL270" s="23" t="s">
        <v>43</v>
      </c>
      <c r="AM270" s="40" t="str">
        <f t="shared" si="8"/>
        <v>[IP1592]</v>
      </c>
    </row>
    <row r="271" ht="67.5" customHeight="1">
      <c r="A271" s="62">
        <v>1593.0</v>
      </c>
      <c r="B271" s="42" t="s">
        <v>694</v>
      </c>
      <c r="C271" s="43">
        <v>2016.0</v>
      </c>
      <c r="D271" s="44" t="s">
        <v>35</v>
      </c>
      <c r="E271" s="45" t="s">
        <v>36</v>
      </c>
      <c r="F271" s="45" t="s">
        <v>36</v>
      </c>
      <c r="G271" s="45" t="s">
        <v>36</v>
      </c>
      <c r="H271" s="45" t="s">
        <v>36</v>
      </c>
      <c r="I271" s="45" t="s">
        <v>36</v>
      </c>
      <c r="J271" s="46" t="s">
        <v>36</v>
      </c>
      <c r="K271" s="47" t="s">
        <v>37</v>
      </c>
      <c r="L271" s="48" t="s">
        <v>37</v>
      </c>
      <c r="M271" s="48" t="s">
        <v>37</v>
      </c>
      <c r="N271" s="48" t="s">
        <v>35</v>
      </c>
      <c r="O271" s="48" t="s">
        <v>35</v>
      </c>
      <c r="P271" s="48" t="s">
        <v>35</v>
      </c>
      <c r="Q271" s="48" t="s">
        <v>35</v>
      </c>
      <c r="R271" s="48" t="s">
        <v>37</v>
      </c>
      <c r="S271" s="49" t="s">
        <v>695</v>
      </c>
      <c r="T271" s="50" t="s">
        <v>696</v>
      </c>
      <c r="U271" s="51" t="s">
        <v>697</v>
      </c>
      <c r="V271" s="52">
        <f t="shared" ref="V271:X271" si="276">IF(lenb(SUBSTITUTE($Z271,V$1&amp;" (1)",""))&lt;lenb($Z271),1,IF(lenb(SUBSTITUTE($Z271,V$1&amp;" (2)",""))&lt;lenb($Z271),2,IF(lenb(SUBSTITUTE($Z271,V$1&amp;" (3)",""))&lt;lenb($Z271),3,IF(lenb(SUBSTITUTE($Z271,V$1&amp;" (4)",""))&lt;lenb($Z271),4,IF(lenb(SUBSTITUTE($Z271,V$1&amp;" (5)",""))&lt;lenb($Z271),5,IF(lenb(SUBSTITUTE($Z271,V$1&amp;" (6)",""))&lt;lenb($Z271),6,IF(lenb(SUBSTITUTE($Z271,V$1&amp;" (7)",""))&lt;lenb($Z271),1,IF(lenb(SUBSTITUTE($Z271,V$1&amp;" (8)",""))&lt;lenb($Z271),8,IF(lenb(SUBSTITUTE($Z271,V$1&amp;" (9)",""))&lt;lenb($Z271),9,IF(lenb(SUBSTITUTE($Z271,V$1&amp;" (10)",""))&lt;lenb($Z271),10,IF(lenb(SUBSTITUTE($Z271,V$1,""))&lt;lenb($Z271),"ERROR",IF($Z271=$Y$1,"-",0))))))))))))</f>
        <v>1</v>
      </c>
      <c r="W271" s="52">
        <f t="shared" si="276"/>
        <v>1</v>
      </c>
      <c r="X271" s="52">
        <f t="shared" si="276"/>
        <v>0</v>
      </c>
      <c r="Y271" s="52" t="str">
        <f t="shared" si="3"/>
        <v>-</v>
      </c>
      <c r="Z271" s="52" t="s">
        <v>41</v>
      </c>
      <c r="AA271" s="53">
        <f t="shared" si="4"/>
        <v>2</v>
      </c>
      <c r="AB271" s="54">
        <f>COUNTIFS(Links!B:B,"ICSE",Links!C:C,A271,Links!AD:AD,1)</f>
        <v>2</v>
      </c>
      <c r="AC271" s="55" t="s">
        <v>35</v>
      </c>
      <c r="AD271" s="47" t="str">
        <f t="shared" si="5"/>
        <v>No</v>
      </c>
      <c r="AE271" s="56" t="s">
        <v>36</v>
      </c>
      <c r="AF271" s="57" t="s">
        <v>42</v>
      </c>
      <c r="AG271" s="57" t="s">
        <v>42</v>
      </c>
      <c r="AH271" s="57" t="s">
        <v>42</v>
      </c>
      <c r="AI271" s="49" t="str">
        <f t="shared" si="6"/>
        <v>----</v>
      </c>
      <c r="AJ271" s="58" t="str">
        <f t="shared" si="7"/>
        <v>Paper has link but no statement</v>
      </c>
      <c r="AK271" s="59">
        <v>45034.0</v>
      </c>
      <c r="AL271" s="43" t="s">
        <v>43</v>
      </c>
      <c r="AM271" s="60" t="str">
        <f t="shared" si="8"/>
        <v>[IP1593]</v>
      </c>
    </row>
    <row r="272" ht="67.5" customHeight="1">
      <c r="A272" s="61">
        <v>1594.0</v>
      </c>
      <c r="B272" s="22" t="s">
        <v>698</v>
      </c>
      <c r="C272" s="23">
        <v>2016.0</v>
      </c>
      <c r="D272" s="24" t="s">
        <v>35</v>
      </c>
      <c r="E272" s="25" t="s">
        <v>36</v>
      </c>
      <c r="F272" s="25" t="s">
        <v>36</v>
      </c>
      <c r="G272" s="25" t="s">
        <v>36</v>
      </c>
      <c r="H272" s="25" t="s">
        <v>36</v>
      </c>
      <c r="I272" s="25" t="s">
        <v>36</v>
      </c>
      <c r="J272" s="26" t="s">
        <v>36</v>
      </c>
      <c r="K272" s="27" t="s">
        <v>35</v>
      </c>
      <c r="L272" s="28" t="s">
        <v>36</v>
      </c>
      <c r="M272" s="28" t="s">
        <v>36</v>
      </c>
      <c r="N272" s="28" t="s">
        <v>36</v>
      </c>
      <c r="O272" s="28" t="s">
        <v>36</v>
      </c>
      <c r="P272" s="28" t="s">
        <v>36</v>
      </c>
      <c r="Q272" s="28" t="s">
        <v>36</v>
      </c>
      <c r="R272" s="28" t="s">
        <v>36</v>
      </c>
      <c r="S272" s="29" t="s">
        <v>36</v>
      </c>
      <c r="T272" s="30" t="s">
        <v>36</v>
      </c>
      <c r="U272" s="31" t="s">
        <v>36</v>
      </c>
      <c r="V272" s="32" t="str">
        <f t="shared" ref="V272:X272" si="277">IF(lenb(SUBSTITUTE($Z272,V$1&amp;" (1)",""))&lt;lenb($Z272),1,IF(lenb(SUBSTITUTE($Z272,V$1&amp;" (2)",""))&lt;lenb($Z272),2,IF(lenb(SUBSTITUTE($Z272,V$1&amp;" (3)",""))&lt;lenb($Z272),3,IF(lenb(SUBSTITUTE($Z272,V$1&amp;" (4)",""))&lt;lenb($Z272),4,IF(lenb(SUBSTITUTE($Z272,V$1&amp;" (5)",""))&lt;lenb($Z272),5,IF(lenb(SUBSTITUTE($Z272,V$1&amp;" (6)",""))&lt;lenb($Z272),6,IF(lenb(SUBSTITUTE($Z272,V$1&amp;" (7)",""))&lt;lenb($Z272),1,IF(lenb(SUBSTITUTE($Z272,V$1&amp;" (8)",""))&lt;lenb($Z272),8,IF(lenb(SUBSTITUTE($Z272,V$1&amp;" (9)",""))&lt;lenb($Z272),9,IF(lenb(SUBSTITUTE($Z272,V$1&amp;" (10)",""))&lt;lenb($Z272),10,IF(lenb(SUBSTITUTE($Z272,V$1,""))&lt;lenb($Z272),"ERROR",IF($Z272=$Y$1,"-",0))))))))))))</f>
        <v>-</v>
      </c>
      <c r="W272" s="32" t="str">
        <f t="shared" si="277"/>
        <v>-</v>
      </c>
      <c r="X272" s="32" t="str">
        <f t="shared" si="277"/>
        <v>-</v>
      </c>
      <c r="Y272" s="32">
        <f t="shared" si="3"/>
        <v>1</v>
      </c>
      <c r="Z272" s="32" t="s">
        <v>23</v>
      </c>
      <c r="AA272" s="33">
        <f t="shared" si="4"/>
        <v>0</v>
      </c>
      <c r="AB272" s="34">
        <f>COUNTIFS(Links!B:B,"ICSE",Links!C:C,A272,Links!AD:AD,1)</f>
        <v>0</v>
      </c>
      <c r="AC272" s="35" t="s">
        <v>36</v>
      </c>
      <c r="AD272" s="27" t="str">
        <f t="shared" si="5"/>
        <v>No</v>
      </c>
      <c r="AE272" s="36" t="s">
        <v>36</v>
      </c>
      <c r="AF272" s="37" t="s">
        <v>42</v>
      </c>
      <c r="AG272" s="37" t="s">
        <v>42</v>
      </c>
      <c r="AH272" s="37" t="s">
        <v>42</v>
      </c>
      <c r="AI272" s="29" t="str">
        <f t="shared" si="6"/>
        <v>----</v>
      </c>
      <c r="AJ272" s="38" t="str">
        <f t="shared" si="7"/>
        <v>Paper has no link and no statement</v>
      </c>
      <c r="AK272" s="39">
        <v>45034.0</v>
      </c>
      <c r="AL272" s="23" t="s">
        <v>43</v>
      </c>
      <c r="AM272" s="40" t="str">
        <f t="shared" si="8"/>
        <v>[IP1594]</v>
      </c>
    </row>
    <row r="273" ht="67.5" customHeight="1">
      <c r="A273" s="41">
        <v>1595.0</v>
      </c>
      <c r="B273" s="42" t="s">
        <v>699</v>
      </c>
      <c r="C273" s="43">
        <v>2016.0</v>
      </c>
      <c r="D273" s="44" t="s">
        <v>35</v>
      </c>
      <c r="E273" s="45" t="s">
        <v>36</v>
      </c>
      <c r="F273" s="45" t="s">
        <v>36</v>
      </c>
      <c r="G273" s="45" t="s">
        <v>36</v>
      </c>
      <c r="H273" s="45" t="s">
        <v>36</v>
      </c>
      <c r="I273" s="45" t="s">
        <v>36</v>
      </c>
      <c r="J273" s="46" t="s">
        <v>36</v>
      </c>
      <c r="K273" s="47" t="s">
        <v>37</v>
      </c>
      <c r="L273" s="48" t="s">
        <v>35</v>
      </c>
      <c r="M273" s="48" t="s">
        <v>35</v>
      </c>
      <c r="N273" s="48" t="s">
        <v>35</v>
      </c>
      <c r="O273" s="48" t="s">
        <v>37</v>
      </c>
      <c r="P273" s="48" t="s">
        <v>35</v>
      </c>
      <c r="Q273" s="48" t="s">
        <v>35</v>
      </c>
      <c r="R273" s="48" t="s">
        <v>35</v>
      </c>
      <c r="S273" s="49" t="s">
        <v>700</v>
      </c>
      <c r="T273" s="50" t="s">
        <v>701</v>
      </c>
      <c r="U273" s="51" t="s">
        <v>701</v>
      </c>
      <c r="V273" s="52">
        <f t="shared" ref="V273:X273" si="278">IF(lenb(SUBSTITUTE($Z273,V$1&amp;" (1)",""))&lt;lenb($Z273),1,IF(lenb(SUBSTITUTE($Z273,V$1&amp;" (2)",""))&lt;lenb($Z273),2,IF(lenb(SUBSTITUTE($Z273,V$1&amp;" (3)",""))&lt;lenb($Z273),3,IF(lenb(SUBSTITUTE($Z273,V$1&amp;" (4)",""))&lt;lenb($Z273),4,IF(lenb(SUBSTITUTE($Z273,V$1&amp;" (5)",""))&lt;lenb($Z273),5,IF(lenb(SUBSTITUTE($Z273,V$1&amp;" (6)",""))&lt;lenb($Z273),6,IF(lenb(SUBSTITUTE($Z273,V$1&amp;" (7)",""))&lt;lenb($Z273),1,IF(lenb(SUBSTITUTE($Z273,V$1&amp;" (8)",""))&lt;lenb($Z273),8,IF(lenb(SUBSTITUTE($Z273,V$1&amp;" (9)",""))&lt;lenb($Z273),9,IF(lenb(SUBSTITUTE($Z273,V$1&amp;" (10)",""))&lt;lenb($Z273),10,IF(lenb(SUBSTITUTE($Z273,V$1,""))&lt;lenb($Z273),"ERROR",IF($Z273=$Y$1,"-",0))))))))))))</f>
        <v>0</v>
      </c>
      <c r="W273" s="52">
        <f t="shared" si="278"/>
        <v>1</v>
      </c>
      <c r="X273" s="52">
        <f t="shared" si="278"/>
        <v>0</v>
      </c>
      <c r="Y273" s="52" t="str">
        <f t="shared" si="3"/>
        <v>-</v>
      </c>
      <c r="Z273" s="52" t="s">
        <v>47</v>
      </c>
      <c r="AA273" s="53">
        <f t="shared" si="4"/>
        <v>1</v>
      </c>
      <c r="AB273" s="54">
        <f>COUNTIFS(Links!B:B,"ICSE",Links!C:C,A273,Links!AD:AD,1)</f>
        <v>0</v>
      </c>
      <c r="AC273" s="55" t="s">
        <v>35</v>
      </c>
      <c r="AD273" s="47" t="str">
        <f t="shared" si="5"/>
        <v>No</v>
      </c>
      <c r="AE273" s="56" t="s">
        <v>36</v>
      </c>
      <c r="AF273" s="57" t="s">
        <v>42</v>
      </c>
      <c r="AG273" s="57" t="s">
        <v>42</v>
      </c>
      <c r="AH273" s="57" t="s">
        <v>42</v>
      </c>
      <c r="AI273" s="49" t="str">
        <f t="shared" si="6"/>
        <v>----</v>
      </c>
      <c r="AJ273" s="58" t="str">
        <f t="shared" si="7"/>
        <v>Paper has link but no statement</v>
      </c>
      <c r="AK273" s="59">
        <v>45034.0</v>
      </c>
      <c r="AL273" s="43" t="s">
        <v>43</v>
      </c>
      <c r="AM273" s="60" t="str">
        <f t="shared" si="8"/>
        <v>[IP1595]</v>
      </c>
    </row>
    <row r="274" ht="67.5" customHeight="1">
      <c r="A274" s="61">
        <v>1596.0</v>
      </c>
      <c r="B274" s="22" t="s">
        <v>702</v>
      </c>
      <c r="C274" s="23">
        <v>2016.0</v>
      </c>
      <c r="D274" s="24" t="s">
        <v>35</v>
      </c>
      <c r="E274" s="25" t="s">
        <v>36</v>
      </c>
      <c r="F274" s="25" t="s">
        <v>36</v>
      </c>
      <c r="G274" s="25" t="s">
        <v>36</v>
      </c>
      <c r="H274" s="25" t="s">
        <v>36</v>
      </c>
      <c r="I274" s="25" t="s">
        <v>36</v>
      </c>
      <c r="J274" s="26" t="s">
        <v>36</v>
      </c>
      <c r="K274" s="27" t="s">
        <v>35</v>
      </c>
      <c r="L274" s="28" t="s">
        <v>36</v>
      </c>
      <c r="M274" s="28" t="s">
        <v>36</v>
      </c>
      <c r="N274" s="28" t="s">
        <v>36</v>
      </c>
      <c r="O274" s="28" t="s">
        <v>36</v>
      </c>
      <c r="P274" s="28" t="s">
        <v>36</v>
      </c>
      <c r="Q274" s="28" t="s">
        <v>36</v>
      </c>
      <c r="R274" s="28" t="s">
        <v>36</v>
      </c>
      <c r="S274" s="29" t="s">
        <v>36</v>
      </c>
      <c r="T274" s="30" t="s">
        <v>36</v>
      </c>
      <c r="U274" s="31" t="s">
        <v>36</v>
      </c>
      <c r="V274" s="32" t="str">
        <f t="shared" ref="V274:X274" si="279">IF(lenb(SUBSTITUTE($Z274,V$1&amp;" (1)",""))&lt;lenb($Z274),1,IF(lenb(SUBSTITUTE($Z274,V$1&amp;" (2)",""))&lt;lenb($Z274),2,IF(lenb(SUBSTITUTE($Z274,V$1&amp;" (3)",""))&lt;lenb($Z274),3,IF(lenb(SUBSTITUTE($Z274,V$1&amp;" (4)",""))&lt;lenb($Z274),4,IF(lenb(SUBSTITUTE($Z274,V$1&amp;" (5)",""))&lt;lenb($Z274),5,IF(lenb(SUBSTITUTE($Z274,V$1&amp;" (6)",""))&lt;lenb($Z274),6,IF(lenb(SUBSTITUTE($Z274,V$1&amp;" (7)",""))&lt;lenb($Z274),1,IF(lenb(SUBSTITUTE($Z274,V$1&amp;" (8)",""))&lt;lenb($Z274),8,IF(lenb(SUBSTITUTE($Z274,V$1&amp;" (9)",""))&lt;lenb($Z274),9,IF(lenb(SUBSTITUTE($Z274,V$1&amp;" (10)",""))&lt;lenb($Z274),10,IF(lenb(SUBSTITUTE($Z274,V$1,""))&lt;lenb($Z274),"ERROR",IF($Z274=$Y$1,"-",0))))))))))))</f>
        <v>-</v>
      </c>
      <c r="W274" s="32" t="str">
        <f t="shared" si="279"/>
        <v>-</v>
      </c>
      <c r="X274" s="32" t="str">
        <f t="shared" si="279"/>
        <v>-</v>
      </c>
      <c r="Y274" s="32">
        <f t="shared" si="3"/>
        <v>1</v>
      </c>
      <c r="Z274" s="32" t="s">
        <v>23</v>
      </c>
      <c r="AA274" s="33">
        <f t="shared" si="4"/>
        <v>0</v>
      </c>
      <c r="AB274" s="34">
        <f>COUNTIFS(Links!B:B,"ICSE",Links!C:C,A274,Links!AD:AD,1)</f>
        <v>0</v>
      </c>
      <c r="AC274" s="35" t="s">
        <v>36</v>
      </c>
      <c r="AD274" s="27" t="str">
        <f t="shared" si="5"/>
        <v>No</v>
      </c>
      <c r="AE274" s="36" t="s">
        <v>36</v>
      </c>
      <c r="AF274" s="37" t="s">
        <v>42</v>
      </c>
      <c r="AG274" s="37" t="s">
        <v>42</v>
      </c>
      <c r="AH274" s="37" t="s">
        <v>42</v>
      </c>
      <c r="AI274" s="29" t="str">
        <f t="shared" si="6"/>
        <v>----</v>
      </c>
      <c r="AJ274" s="38" t="str">
        <f t="shared" si="7"/>
        <v>Paper has no link and no statement</v>
      </c>
      <c r="AK274" s="39">
        <v>45034.0</v>
      </c>
      <c r="AL274" s="23" t="s">
        <v>43</v>
      </c>
      <c r="AM274" s="40" t="str">
        <f t="shared" si="8"/>
        <v>[IP1596]</v>
      </c>
    </row>
    <row r="275" ht="67.5" customHeight="1">
      <c r="A275" s="41">
        <v>1597.0</v>
      </c>
      <c r="B275" s="42" t="s">
        <v>703</v>
      </c>
      <c r="C275" s="43">
        <v>2016.0</v>
      </c>
      <c r="D275" s="44" t="s">
        <v>35</v>
      </c>
      <c r="E275" s="45" t="s">
        <v>36</v>
      </c>
      <c r="F275" s="45" t="s">
        <v>36</v>
      </c>
      <c r="G275" s="45" t="s">
        <v>36</v>
      </c>
      <c r="H275" s="45" t="s">
        <v>36</v>
      </c>
      <c r="I275" s="45" t="s">
        <v>36</v>
      </c>
      <c r="J275" s="46" t="s">
        <v>36</v>
      </c>
      <c r="K275" s="47" t="s">
        <v>37</v>
      </c>
      <c r="L275" s="48" t="s">
        <v>37</v>
      </c>
      <c r="M275" s="48" t="s">
        <v>35</v>
      </c>
      <c r="N275" s="48" t="s">
        <v>35</v>
      </c>
      <c r="O275" s="48" t="s">
        <v>37</v>
      </c>
      <c r="P275" s="48" t="s">
        <v>35</v>
      </c>
      <c r="Q275" s="48" t="s">
        <v>35</v>
      </c>
      <c r="R275" s="48" t="s">
        <v>35</v>
      </c>
      <c r="S275" s="49" t="s">
        <v>704</v>
      </c>
      <c r="T275" s="50" t="s">
        <v>705</v>
      </c>
      <c r="U275" s="51" t="s">
        <v>705</v>
      </c>
      <c r="V275" s="52">
        <f t="shared" ref="V275:X275" si="280">IF(lenb(SUBSTITUTE($Z275,V$1&amp;" (1)",""))&lt;lenb($Z275),1,IF(lenb(SUBSTITUTE($Z275,V$1&amp;" (2)",""))&lt;lenb($Z275),2,IF(lenb(SUBSTITUTE($Z275,V$1&amp;" (3)",""))&lt;lenb($Z275),3,IF(lenb(SUBSTITUTE($Z275,V$1&amp;" (4)",""))&lt;lenb($Z275),4,IF(lenb(SUBSTITUTE($Z275,V$1&amp;" (5)",""))&lt;lenb($Z275),5,IF(lenb(SUBSTITUTE($Z275,V$1&amp;" (6)",""))&lt;lenb($Z275),6,IF(lenb(SUBSTITUTE($Z275,V$1&amp;" (7)",""))&lt;lenb($Z275),1,IF(lenb(SUBSTITUTE($Z275,V$1&amp;" (8)",""))&lt;lenb($Z275),8,IF(lenb(SUBSTITUTE($Z275,V$1&amp;" (9)",""))&lt;lenb($Z275),9,IF(lenb(SUBSTITUTE($Z275,V$1&amp;" (10)",""))&lt;lenb($Z275),10,IF(lenb(SUBSTITUTE($Z275,V$1,""))&lt;lenb($Z275),"ERROR",IF($Z275=$Y$1,"-",0))))))))))))</f>
        <v>1</v>
      </c>
      <c r="W275" s="52">
        <f t="shared" si="280"/>
        <v>0</v>
      </c>
      <c r="X275" s="52">
        <f t="shared" si="280"/>
        <v>0</v>
      </c>
      <c r="Y275" s="52" t="str">
        <f t="shared" si="3"/>
        <v>-</v>
      </c>
      <c r="Z275" s="52" t="s">
        <v>62</v>
      </c>
      <c r="AA275" s="53">
        <f t="shared" si="4"/>
        <v>1</v>
      </c>
      <c r="AB275" s="54">
        <f>COUNTIFS(Links!B:B,"ICSE",Links!C:C,A275,Links!AD:AD,1)</f>
        <v>0</v>
      </c>
      <c r="AC275" s="55" t="s">
        <v>35</v>
      </c>
      <c r="AD275" s="47" t="str">
        <f t="shared" si="5"/>
        <v>No</v>
      </c>
      <c r="AE275" s="56" t="s">
        <v>36</v>
      </c>
      <c r="AF275" s="57" t="s">
        <v>42</v>
      </c>
      <c r="AG275" s="57" t="s">
        <v>42</v>
      </c>
      <c r="AH275" s="57" t="s">
        <v>42</v>
      </c>
      <c r="AI275" s="49" t="str">
        <f t="shared" si="6"/>
        <v>----</v>
      </c>
      <c r="AJ275" s="58" t="str">
        <f t="shared" si="7"/>
        <v>Paper has link but no statement</v>
      </c>
      <c r="AK275" s="59">
        <v>45034.0</v>
      </c>
      <c r="AL275" s="43" t="s">
        <v>43</v>
      </c>
      <c r="AM275" s="60" t="str">
        <f t="shared" si="8"/>
        <v>[IP1597]</v>
      </c>
    </row>
    <row r="276" ht="67.5" customHeight="1">
      <c r="A276" s="61">
        <v>1598.0</v>
      </c>
      <c r="B276" s="22" t="s">
        <v>706</v>
      </c>
      <c r="C276" s="23">
        <v>2016.0</v>
      </c>
      <c r="D276" s="24" t="s">
        <v>35</v>
      </c>
      <c r="E276" s="25" t="s">
        <v>36</v>
      </c>
      <c r="F276" s="25" t="s">
        <v>36</v>
      </c>
      <c r="G276" s="25" t="s">
        <v>36</v>
      </c>
      <c r="H276" s="25" t="s">
        <v>36</v>
      </c>
      <c r="I276" s="25" t="s">
        <v>36</v>
      </c>
      <c r="J276" s="26" t="s">
        <v>36</v>
      </c>
      <c r="K276" s="27" t="s">
        <v>37</v>
      </c>
      <c r="L276" s="28" t="s">
        <v>35</v>
      </c>
      <c r="M276" s="28" t="s">
        <v>35</v>
      </c>
      <c r="N276" s="28" t="s">
        <v>35</v>
      </c>
      <c r="O276" s="28" t="s">
        <v>35</v>
      </c>
      <c r="P276" s="28" t="s">
        <v>35</v>
      </c>
      <c r="Q276" s="28" t="s">
        <v>35</v>
      </c>
      <c r="R276" s="28" t="s">
        <v>37</v>
      </c>
      <c r="S276" s="29" t="s">
        <v>707</v>
      </c>
      <c r="T276" s="30" t="s">
        <v>708</v>
      </c>
      <c r="U276" s="31" t="s">
        <v>708</v>
      </c>
      <c r="V276" s="32">
        <f t="shared" ref="V276:X276" si="281">IF(lenb(SUBSTITUTE($Z276,V$1&amp;" (1)",""))&lt;lenb($Z276),1,IF(lenb(SUBSTITUTE($Z276,V$1&amp;" (2)",""))&lt;lenb($Z276),2,IF(lenb(SUBSTITUTE($Z276,V$1&amp;" (3)",""))&lt;lenb($Z276),3,IF(lenb(SUBSTITUTE($Z276,V$1&amp;" (4)",""))&lt;lenb($Z276),4,IF(lenb(SUBSTITUTE($Z276,V$1&amp;" (5)",""))&lt;lenb($Z276),5,IF(lenb(SUBSTITUTE($Z276,V$1&amp;" (6)",""))&lt;lenb($Z276),6,IF(lenb(SUBSTITUTE($Z276,V$1&amp;" (7)",""))&lt;lenb($Z276),1,IF(lenb(SUBSTITUTE($Z276,V$1&amp;" (8)",""))&lt;lenb($Z276),8,IF(lenb(SUBSTITUTE($Z276,V$1&amp;" (9)",""))&lt;lenb($Z276),9,IF(lenb(SUBSTITUTE($Z276,V$1&amp;" (10)",""))&lt;lenb($Z276),10,IF(lenb(SUBSTITUTE($Z276,V$1,""))&lt;lenb($Z276),"ERROR",IF($Z276=$Y$1,"-",0))))))))))))</f>
        <v>0</v>
      </c>
      <c r="W276" s="32">
        <f t="shared" si="281"/>
        <v>1</v>
      </c>
      <c r="X276" s="32">
        <f t="shared" si="281"/>
        <v>0</v>
      </c>
      <c r="Y276" s="32" t="str">
        <f t="shared" si="3"/>
        <v>-</v>
      </c>
      <c r="Z276" s="32" t="s">
        <v>47</v>
      </c>
      <c r="AA276" s="33">
        <f t="shared" si="4"/>
        <v>1</v>
      </c>
      <c r="AB276" s="34">
        <f>COUNTIFS(Links!B:B,"ICSE",Links!C:C,A276,Links!AD:AD,1)</f>
        <v>0</v>
      </c>
      <c r="AC276" s="35" t="s">
        <v>35</v>
      </c>
      <c r="AD276" s="27" t="str">
        <f t="shared" si="5"/>
        <v>No</v>
      </c>
      <c r="AE276" s="36" t="s">
        <v>36</v>
      </c>
      <c r="AF276" s="37" t="s">
        <v>42</v>
      </c>
      <c r="AG276" s="37" t="s">
        <v>42</v>
      </c>
      <c r="AH276" s="37" t="s">
        <v>42</v>
      </c>
      <c r="AI276" s="29" t="str">
        <f t="shared" si="6"/>
        <v>----</v>
      </c>
      <c r="AJ276" s="38" t="str">
        <f t="shared" si="7"/>
        <v>Paper has link but no statement</v>
      </c>
      <c r="AK276" s="39">
        <v>45034.0</v>
      </c>
      <c r="AL276" s="23" t="s">
        <v>43</v>
      </c>
      <c r="AM276" s="40" t="str">
        <f t="shared" si="8"/>
        <v>[IP1598]</v>
      </c>
    </row>
    <row r="277" ht="67.5" customHeight="1">
      <c r="A277" s="41">
        <v>1599.0</v>
      </c>
      <c r="B277" s="42" t="s">
        <v>709</v>
      </c>
      <c r="C277" s="43">
        <v>2016.0</v>
      </c>
      <c r="D277" s="44" t="s">
        <v>35</v>
      </c>
      <c r="E277" s="45" t="s">
        <v>36</v>
      </c>
      <c r="F277" s="45" t="s">
        <v>36</v>
      </c>
      <c r="G277" s="45" t="s">
        <v>36</v>
      </c>
      <c r="H277" s="45" t="s">
        <v>36</v>
      </c>
      <c r="I277" s="45" t="s">
        <v>36</v>
      </c>
      <c r="J277" s="46" t="s">
        <v>36</v>
      </c>
      <c r="K277" s="47" t="s">
        <v>37</v>
      </c>
      <c r="L277" s="48" t="s">
        <v>35</v>
      </c>
      <c r="M277" s="48" t="s">
        <v>35</v>
      </c>
      <c r="N277" s="48" t="s">
        <v>37</v>
      </c>
      <c r="O277" s="48" t="s">
        <v>35</v>
      </c>
      <c r="P277" s="48" t="s">
        <v>35</v>
      </c>
      <c r="Q277" s="48" t="s">
        <v>35</v>
      </c>
      <c r="R277" s="48" t="s">
        <v>35</v>
      </c>
      <c r="S277" s="49" t="s">
        <v>84</v>
      </c>
      <c r="T277" s="50" t="s">
        <v>710</v>
      </c>
      <c r="U277" s="51" t="s">
        <v>710</v>
      </c>
      <c r="V277" s="52">
        <f t="shared" ref="V277:X277" si="282">IF(lenb(SUBSTITUTE($Z277,V$1&amp;" (1)",""))&lt;lenb($Z277),1,IF(lenb(SUBSTITUTE($Z277,V$1&amp;" (2)",""))&lt;lenb($Z277),2,IF(lenb(SUBSTITUTE($Z277,V$1&amp;" (3)",""))&lt;lenb($Z277),3,IF(lenb(SUBSTITUTE($Z277,V$1&amp;" (4)",""))&lt;lenb($Z277),4,IF(lenb(SUBSTITUTE($Z277,V$1&amp;" (5)",""))&lt;lenb($Z277),5,IF(lenb(SUBSTITUTE($Z277,V$1&amp;" (6)",""))&lt;lenb($Z277),6,IF(lenb(SUBSTITUTE($Z277,V$1&amp;" (7)",""))&lt;lenb($Z277),1,IF(lenb(SUBSTITUTE($Z277,V$1&amp;" (8)",""))&lt;lenb($Z277),8,IF(lenb(SUBSTITUTE($Z277,V$1&amp;" (9)",""))&lt;lenb($Z277),9,IF(lenb(SUBSTITUTE($Z277,V$1&amp;" (10)",""))&lt;lenb($Z277),10,IF(lenb(SUBSTITUTE($Z277,V$1,""))&lt;lenb($Z277),"ERROR",IF($Z277=$Y$1,"-",0))))))))))))</f>
        <v>1</v>
      </c>
      <c r="W277" s="52">
        <f t="shared" si="282"/>
        <v>0</v>
      </c>
      <c r="X277" s="52">
        <f t="shared" si="282"/>
        <v>0</v>
      </c>
      <c r="Y277" s="52" t="str">
        <f t="shared" si="3"/>
        <v>-</v>
      </c>
      <c r="Z277" s="52" t="s">
        <v>62</v>
      </c>
      <c r="AA277" s="53">
        <f t="shared" si="4"/>
        <v>1</v>
      </c>
      <c r="AB277" s="54">
        <f>COUNTIFS(Links!B:B,"ICSE",Links!C:C,A277,Links!AD:AD,1)</f>
        <v>0</v>
      </c>
      <c r="AC277" s="55" t="s">
        <v>35</v>
      </c>
      <c r="AD277" s="47" t="str">
        <f t="shared" si="5"/>
        <v>No</v>
      </c>
      <c r="AE277" s="56" t="s">
        <v>36</v>
      </c>
      <c r="AF277" s="57" t="s">
        <v>42</v>
      </c>
      <c r="AG277" s="57" t="s">
        <v>42</v>
      </c>
      <c r="AH277" s="57" t="s">
        <v>42</v>
      </c>
      <c r="AI277" s="49" t="str">
        <f t="shared" si="6"/>
        <v>----</v>
      </c>
      <c r="AJ277" s="58" t="str">
        <f t="shared" si="7"/>
        <v>Paper has link but no statement</v>
      </c>
      <c r="AK277" s="59">
        <v>45034.0</v>
      </c>
      <c r="AL277" s="43" t="s">
        <v>43</v>
      </c>
      <c r="AM277" s="60" t="str">
        <f t="shared" si="8"/>
        <v>[IP1599]</v>
      </c>
    </row>
    <row r="278" ht="67.5" customHeight="1">
      <c r="A278" s="61">
        <v>1600.0</v>
      </c>
      <c r="B278" s="22" t="s">
        <v>711</v>
      </c>
      <c r="C278" s="23">
        <v>2016.0</v>
      </c>
      <c r="D278" s="24" t="s">
        <v>35</v>
      </c>
      <c r="E278" s="25" t="s">
        <v>36</v>
      </c>
      <c r="F278" s="25" t="s">
        <v>36</v>
      </c>
      <c r="G278" s="25" t="s">
        <v>36</v>
      </c>
      <c r="H278" s="25" t="s">
        <v>36</v>
      </c>
      <c r="I278" s="25" t="s">
        <v>36</v>
      </c>
      <c r="J278" s="26" t="s">
        <v>36</v>
      </c>
      <c r="K278" s="27" t="s">
        <v>37</v>
      </c>
      <c r="L278" s="28" t="s">
        <v>35</v>
      </c>
      <c r="M278" s="28" t="s">
        <v>35</v>
      </c>
      <c r="N278" s="28" t="s">
        <v>37</v>
      </c>
      <c r="O278" s="28" t="s">
        <v>35</v>
      </c>
      <c r="P278" s="28" t="s">
        <v>35</v>
      </c>
      <c r="Q278" s="28" t="s">
        <v>35</v>
      </c>
      <c r="R278" s="28" t="s">
        <v>37</v>
      </c>
      <c r="S278" s="29" t="s">
        <v>712</v>
      </c>
      <c r="T278" s="30" t="s">
        <v>713</v>
      </c>
      <c r="U278" s="31" t="s">
        <v>713</v>
      </c>
      <c r="V278" s="32">
        <f t="shared" ref="V278:X278" si="283">IF(lenb(SUBSTITUTE($Z278,V$1&amp;" (1)",""))&lt;lenb($Z278),1,IF(lenb(SUBSTITUTE($Z278,V$1&amp;" (2)",""))&lt;lenb($Z278),2,IF(lenb(SUBSTITUTE($Z278,V$1&amp;" (3)",""))&lt;lenb($Z278),3,IF(lenb(SUBSTITUTE($Z278,V$1&amp;" (4)",""))&lt;lenb($Z278),4,IF(lenb(SUBSTITUTE($Z278,V$1&amp;" (5)",""))&lt;lenb($Z278),5,IF(lenb(SUBSTITUTE($Z278,V$1&amp;" (6)",""))&lt;lenb($Z278),6,IF(lenb(SUBSTITUTE($Z278,V$1&amp;" (7)",""))&lt;lenb($Z278),1,IF(lenb(SUBSTITUTE($Z278,V$1&amp;" (8)",""))&lt;lenb($Z278),8,IF(lenb(SUBSTITUTE($Z278,V$1&amp;" (9)",""))&lt;lenb($Z278),9,IF(lenb(SUBSTITUTE($Z278,V$1&amp;" (10)",""))&lt;lenb($Z278),10,IF(lenb(SUBSTITUTE($Z278,V$1,""))&lt;lenb($Z278),"ERROR",IF($Z278=$Y$1,"-",0))))))))))))</f>
        <v>1</v>
      </c>
      <c r="W278" s="32">
        <f t="shared" si="283"/>
        <v>0</v>
      </c>
      <c r="X278" s="32">
        <f t="shared" si="283"/>
        <v>0</v>
      </c>
      <c r="Y278" s="32" t="str">
        <f t="shared" si="3"/>
        <v>-</v>
      </c>
      <c r="Z278" s="32" t="s">
        <v>62</v>
      </c>
      <c r="AA278" s="33">
        <f t="shared" si="4"/>
        <v>1</v>
      </c>
      <c r="AB278" s="34">
        <f>COUNTIFS(Links!B:B,"ICSE",Links!C:C,A278,Links!AD:AD,1)</f>
        <v>1</v>
      </c>
      <c r="AC278" s="35" t="s">
        <v>35</v>
      </c>
      <c r="AD278" s="27" t="str">
        <f t="shared" si="5"/>
        <v>No</v>
      </c>
      <c r="AE278" s="36" t="s">
        <v>36</v>
      </c>
      <c r="AF278" s="37" t="s">
        <v>42</v>
      </c>
      <c r="AG278" s="37" t="s">
        <v>42</v>
      </c>
      <c r="AH278" s="37" t="s">
        <v>42</v>
      </c>
      <c r="AI278" s="29" t="str">
        <f t="shared" si="6"/>
        <v>----</v>
      </c>
      <c r="AJ278" s="38" t="str">
        <f t="shared" si="7"/>
        <v>Paper has link but no statement</v>
      </c>
      <c r="AK278" s="39">
        <v>45034.0</v>
      </c>
      <c r="AL278" s="23" t="s">
        <v>43</v>
      </c>
      <c r="AM278" s="40" t="str">
        <f t="shared" si="8"/>
        <v>[IP1600]</v>
      </c>
    </row>
    <row r="279" ht="67.5" customHeight="1">
      <c r="A279" s="41">
        <v>1601.0</v>
      </c>
      <c r="B279" s="42" t="s">
        <v>714</v>
      </c>
      <c r="C279" s="43">
        <v>2016.0</v>
      </c>
      <c r="D279" s="44" t="s">
        <v>35</v>
      </c>
      <c r="E279" s="45" t="s">
        <v>36</v>
      </c>
      <c r="F279" s="45" t="s">
        <v>36</v>
      </c>
      <c r="G279" s="45" t="s">
        <v>36</v>
      </c>
      <c r="H279" s="45" t="s">
        <v>36</v>
      </c>
      <c r="I279" s="45" t="s">
        <v>36</v>
      </c>
      <c r="J279" s="46" t="s">
        <v>36</v>
      </c>
      <c r="K279" s="47" t="s">
        <v>35</v>
      </c>
      <c r="L279" s="48" t="s">
        <v>36</v>
      </c>
      <c r="M279" s="48" t="s">
        <v>36</v>
      </c>
      <c r="N279" s="48" t="s">
        <v>36</v>
      </c>
      <c r="O279" s="48" t="s">
        <v>36</v>
      </c>
      <c r="P279" s="48" t="s">
        <v>36</v>
      </c>
      <c r="Q279" s="48" t="s">
        <v>36</v>
      </c>
      <c r="R279" s="48" t="s">
        <v>36</v>
      </c>
      <c r="S279" s="49" t="s">
        <v>36</v>
      </c>
      <c r="T279" s="50" t="s">
        <v>36</v>
      </c>
      <c r="U279" s="51" t="s">
        <v>36</v>
      </c>
      <c r="V279" s="52" t="str">
        <f t="shared" ref="V279:X279" si="284">IF(lenb(SUBSTITUTE($Z279,V$1&amp;" (1)",""))&lt;lenb($Z279),1,IF(lenb(SUBSTITUTE($Z279,V$1&amp;" (2)",""))&lt;lenb($Z279),2,IF(lenb(SUBSTITUTE($Z279,V$1&amp;" (3)",""))&lt;lenb($Z279),3,IF(lenb(SUBSTITUTE($Z279,V$1&amp;" (4)",""))&lt;lenb($Z279),4,IF(lenb(SUBSTITUTE($Z279,V$1&amp;" (5)",""))&lt;lenb($Z279),5,IF(lenb(SUBSTITUTE($Z279,V$1&amp;" (6)",""))&lt;lenb($Z279),6,IF(lenb(SUBSTITUTE($Z279,V$1&amp;" (7)",""))&lt;lenb($Z279),1,IF(lenb(SUBSTITUTE($Z279,V$1&amp;" (8)",""))&lt;lenb($Z279),8,IF(lenb(SUBSTITUTE($Z279,V$1&amp;" (9)",""))&lt;lenb($Z279),9,IF(lenb(SUBSTITUTE($Z279,V$1&amp;" (10)",""))&lt;lenb($Z279),10,IF(lenb(SUBSTITUTE($Z279,V$1,""))&lt;lenb($Z279),"ERROR",IF($Z279=$Y$1,"-",0))))))))))))</f>
        <v>-</v>
      </c>
      <c r="W279" s="52" t="str">
        <f t="shared" si="284"/>
        <v>-</v>
      </c>
      <c r="X279" s="52" t="str">
        <f t="shared" si="284"/>
        <v>-</v>
      </c>
      <c r="Y279" s="52">
        <f t="shared" si="3"/>
        <v>1</v>
      </c>
      <c r="Z279" s="52" t="s">
        <v>23</v>
      </c>
      <c r="AA279" s="53">
        <f t="shared" si="4"/>
        <v>0</v>
      </c>
      <c r="AB279" s="54">
        <f>COUNTIFS(Links!B:B,"ICSE",Links!C:C,A279,Links!AD:AD,1)</f>
        <v>0</v>
      </c>
      <c r="AC279" s="55" t="s">
        <v>36</v>
      </c>
      <c r="AD279" s="47" t="str">
        <f t="shared" si="5"/>
        <v>No</v>
      </c>
      <c r="AE279" s="56" t="s">
        <v>36</v>
      </c>
      <c r="AF279" s="57" t="s">
        <v>42</v>
      </c>
      <c r="AG279" s="57" t="s">
        <v>42</v>
      </c>
      <c r="AH279" s="57" t="s">
        <v>42</v>
      </c>
      <c r="AI279" s="49" t="str">
        <f t="shared" si="6"/>
        <v>----</v>
      </c>
      <c r="AJ279" s="58" t="str">
        <f t="shared" si="7"/>
        <v>Paper has no link and no statement</v>
      </c>
      <c r="AK279" s="59">
        <v>45034.0</v>
      </c>
      <c r="AL279" s="43" t="s">
        <v>43</v>
      </c>
      <c r="AM279" s="60" t="str">
        <f t="shared" si="8"/>
        <v>[IP1601]</v>
      </c>
    </row>
    <row r="280" ht="67.5" customHeight="1">
      <c r="A280" s="61">
        <v>1602.0</v>
      </c>
      <c r="B280" s="22" t="s">
        <v>715</v>
      </c>
      <c r="C280" s="23">
        <v>2016.0</v>
      </c>
      <c r="D280" s="24" t="s">
        <v>35</v>
      </c>
      <c r="E280" s="25" t="s">
        <v>36</v>
      </c>
      <c r="F280" s="25" t="s">
        <v>36</v>
      </c>
      <c r="G280" s="25" t="s">
        <v>36</v>
      </c>
      <c r="H280" s="25" t="s">
        <v>36</v>
      </c>
      <c r="I280" s="25" t="s">
        <v>36</v>
      </c>
      <c r="J280" s="26" t="s">
        <v>36</v>
      </c>
      <c r="K280" s="27" t="s">
        <v>37</v>
      </c>
      <c r="L280" s="28" t="s">
        <v>35</v>
      </c>
      <c r="M280" s="28" t="s">
        <v>37</v>
      </c>
      <c r="N280" s="28" t="s">
        <v>37</v>
      </c>
      <c r="O280" s="28" t="s">
        <v>35</v>
      </c>
      <c r="P280" s="28" t="s">
        <v>35</v>
      </c>
      <c r="Q280" s="28" t="s">
        <v>35</v>
      </c>
      <c r="R280" s="28" t="s">
        <v>37</v>
      </c>
      <c r="S280" s="29" t="s">
        <v>716</v>
      </c>
      <c r="T280" s="30" t="s">
        <v>717</v>
      </c>
      <c r="U280" s="30" t="s">
        <v>718</v>
      </c>
      <c r="V280" s="32">
        <f t="shared" ref="V280:X280" si="285">IF(lenb(SUBSTITUTE($Z280,V$1&amp;" (1)",""))&lt;lenb($Z280),1,IF(lenb(SUBSTITUTE($Z280,V$1&amp;" (2)",""))&lt;lenb($Z280),2,IF(lenb(SUBSTITUTE($Z280,V$1&amp;" (3)",""))&lt;lenb($Z280),3,IF(lenb(SUBSTITUTE($Z280,V$1&amp;" (4)",""))&lt;lenb($Z280),4,IF(lenb(SUBSTITUTE($Z280,V$1&amp;" (5)",""))&lt;lenb($Z280),5,IF(lenb(SUBSTITUTE($Z280,V$1&amp;" (6)",""))&lt;lenb($Z280),6,IF(lenb(SUBSTITUTE($Z280,V$1&amp;" (7)",""))&lt;lenb($Z280),1,IF(lenb(SUBSTITUTE($Z280,V$1&amp;" (8)",""))&lt;lenb($Z280),8,IF(lenb(SUBSTITUTE($Z280,V$1&amp;" (9)",""))&lt;lenb($Z280),9,IF(lenb(SUBSTITUTE($Z280,V$1&amp;" (10)",""))&lt;lenb($Z280),10,IF(lenb(SUBSTITUTE($Z280,V$1,""))&lt;lenb($Z280),"ERROR",IF($Z280=$Y$1,"-",0))))))))))))</f>
        <v>1</v>
      </c>
      <c r="W280" s="32">
        <f t="shared" si="285"/>
        <v>0</v>
      </c>
      <c r="X280" s="32">
        <f t="shared" si="285"/>
        <v>0</v>
      </c>
      <c r="Y280" s="32" t="str">
        <f t="shared" si="3"/>
        <v>-</v>
      </c>
      <c r="Z280" s="32" t="s">
        <v>62</v>
      </c>
      <c r="AA280" s="33">
        <f t="shared" si="4"/>
        <v>1</v>
      </c>
      <c r="AB280" s="34">
        <f>COUNTIFS(Links!B:B,"ICSE",Links!C:C,A280,Links!AD:AD,1)</f>
        <v>0</v>
      </c>
      <c r="AC280" s="35" t="s">
        <v>37</v>
      </c>
      <c r="AD280" s="27" t="str">
        <f t="shared" si="5"/>
        <v>No</v>
      </c>
      <c r="AE280" s="36" t="s">
        <v>36</v>
      </c>
      <c r="AF280" s="37" t="s">
        <v>42</v>
      </c>
      <c r="AG280" s="37" t="s">
        <v>42</v>
      </c>
      <c r="AH280" s="37" t="s">
        <v>42</v>
      </c>
      <c r="AI280" s="29" t="str">
        <f t="shared" si="6"/>
        <v>----</v>
      </c>
      <c r="AJ280" s="38" t="str">
        <f t="shared" si="7"/>
        <v>Paper has link but no statement</v>
      </c>
      <c r="AK280" s="39">
        <v>45034.0</v>
      </c>
      <c r="AL280" s="23" t="s">
        <v>43</v>
      </c>
      <c r="AM280" s="40" t="str">
        <f t="shared" si="8"/>
        <v>[IP1602]</v>
      </c>
    </row>
    <row r="281" ht="67.5" customHeight="1">
      <c r="A281" s="41">
        <v>1603.0</v>
      </c>
      <c r="B281" s="42" t="s">
        <v>719</v>
      </c>
      <c r="C281" s="43">
        <v>2016.0</v>
      </c>
      <c r="D281" s="44" t="s">
        <v>35</v>
      </c>
      <c r="E281" s="45" t="s">
        <v>36</v>
      </c>
      <c r="F281" s="45" t="s">
        <v>36</v>
      </c>
      <c r="G281" s="45" t="s">
        <v>36</v>
      </c>
      <c r="H281" s="45" t="s">
        <v>36</v>
      </c>
      <c r="I281" s="45" t="s">
        <v>36</v>
      </c>
      <c r="J281" s="46" t="s">
        <v>36</v>
      </c>
      <c r="K281" s="47" t="s">
        <v>37</v>
      </c>
      <c r="L281" s="48" t="s">
        <v>35</v>
      </c>
      <c r="M281" s="48" t="s">
        <v>37</v>
      </c>
      <c r="N281" s="71" t="s">
        <v>37</v>
      </c>
      <c r="O281" s="48" t="s">
        <v>35</v>
      </c>
      <c r="P281" s="48" t="s">
        <v>35</v>
      </c>
      <c r="Q281" s="48" t="s">
        <v>35</v>
      </c>
      <c r="R281" s="48" t="s">
        <v>37</v>
      </c>
      <c r="S281" s="49" t="s">
        <v>720</v>
      </c>
      <c r="T281" s="50" t="s">
        <v>721</v>
      </c>
      <c r="U281" s="51" t="s">
        <v>721</v>
      </c>
      <c r="V281" s="52">
        <f t="shared" ref="V281:X281" si="286">IF(lenb(SUBSTITUTE($Z281,V$1&amp;" (1)",""))&lt;lenb($Z281),1,IF(lenb(SUBSTITUTE($Z281,V$1&amp;" (2)",""))&lt;lenb($Z281),2,IF(lenb(SUBSTITUTE($Z281,V$1&amp;" (3)",""))&lt;lenb($Z281),3,IF(lenb(SUBSTITUTE($Z281,V$1&amp;" (4)",""))&lt;lenb($Z281),4,IF(lenb(SUBSTITUTE($Z281,V$1&amp;" (5)",""))&lt;lenb($Z281),5,IF(lenb(SUBSTITUTE($Z281,V$1&amp;" (6)",""))&lt;lenb($Z281),6,IF(lenb(SUBSTITUTE($Z281,V$1&amp;" (7)",""))&lt;lenb($Z281),1,IF(lenb(SUBSTITUTE($Z281,V$1&amp;" (8)",""))&lt;lenb($Z281),8,IF(lenb(SUBSTITUTE($Z281,V$1&amp;" (9)",""))&lt;lenb($Z281),9,IF(lenb(SUBSTITUTE($Z281,V$1&amp;" (10)",""))&lt;lenb($Z281),10,IF(lenb(SUBSTITUTE($Z281,V$1,""))&lt;lenb($Z281),"ERROR",IF($Z281=$Y$1,"-",0))))))))))))</f>
        <v>0</v>
      </c>
      <c r="W281" s="52">
        <f t="shared" si="286"/>
        <v>2</v>
      </c>
      <c r="X281" s="52">
        <f t="shared" si="286"/>
        <v>0</v>
      </c>
      <c r="Y281" s="52" t="str">
        <f t="shared" si="3"/>
        <v>-</v>
      </c>
      <c r="Z281" s="52" t="s">
        <v>174</v>
      </c>
      <c r="AA281" s="53">
        <f t="shared" si="4"/>
        <v>2</v>
      </c>
      <c r="AB281" s="54">
        <f>COUNTIFS(Links!B:B,"ICSE",Links!C:C,A281,Links!AD:AD,1)</f>
        <v>2</v>
      </c>
      <c r="AC281" s="55" t="s">
        <v>35</v>
      </c>
      <c r="AD281" s="47" t="str">
        <f t="shared" si="5"/>
        <v>No</v>
      </c>
      <c r="AE281" s="56" t="s">
        <v>36</v>
      </c>
      <c r="AF281" s="57" t="s">
        <v>42</v>
      </c>
      <c r="AG281" s="57" t="s">
        <v>42</v>
      </c>
      <c r="AH281" s="57" t="s">
        <v>42</v>
      </c>
      <c r="AI281" s="49" t="str">
        <f t="shared" si="6"/>
        <v>----</v>
      </c>
      <c r="AJ281" s="58" t="str">
        <f t="shared" si="7"/>
        <v>Paper has link but no statement</v>
      </c>
      <c r="AK281" s="59">
        <v>45034.0</v>
      </c>
      <c r="AL281" s="43" t="s">
        <v>43</v>
      </c>
      <c r="AM281" s="60" t="str">
        <f t="shared" si="8"/>
        <v>[IP1603]</v>
      </c>
    </row>
    <row r="282" ht="67.5" customHeight="1">
      <c r="A282" s="61">
        <v>1604.0</v>
      </c>
      <c r="B282" s="22" t="s">
        <v>722</v>
      </c>
      <c r="C282" s="23">
        <v>2016.0</v>
      </c>
      <c r="D282" s="24" t="s">
        <v>35</v>
      </c>
      <c r="E282" s="25" t="s">
        <v>36</v>
      </c>
      <c r="F282" s="25" t="s">
        <v>36</v>
      </c>
      <c r="G282" s="25" t="s">
        <v>36</v>
      </c>
      <c r="H282" s="25" t="s">
        <v>36</v>
      </c>
      <c r="I282" s="25" t="s">
        <v>36</v>
      </c>
      <c r="J282" s="26" t="s">
        <v>36</v>
      </c>
      <c r="K282" s="27" t="s">
        <v>37</v>
      </c>
      <c r="L282" s="28" t="s">
        <v>37</v>
      </c>
      <c r="M282" s="28" t="s">
        <v>35</v>
      </c>
      <c r="N282" s="28" t="s">
        <v>35</v>
      </c>
      <c r="O282" s="28" t="s">
        <v>37</v>
      </c>
      <c r="P282" s="28" t="s">
        <v>35</v>
      </c>
      <c r="Q282" s="28" t="s">
        <v>35</v>
      </c>
      <c r="R282" s="28" t="s">
        <v>37</v>
      </c>
      <c r="S282" s="29" t="s">
        <v>723</v>
      </c>
      <c r="T282" s="30" t="s">
        <v>724</v>
      </c>
      <c r="U282" s="31" t="s">
        <v>724</v>
      </c>
      <c r="V282" s="32">
        <f t="shared" ref="V282:X282" si="287">IF(lenb(SUBSTITUTE($Z282,V$1&amp;" (1)",""))&lt;lenb($Z282),1,IF(lenb(SUBSTITUTE($Z282,V$1&amp;" (2)",""))&lt;lenb($Z282),2,IF(lenb(SUBSTITUTE($Z282,V$1&amp;" (3)",""))&lt;lenb($Z282),3,IF(lenb(SUBSTITUTE($Z282,V$1&amp;" (4)",""))&lt;lenb($Z282),4,IF(lenb(SUBSTITUTE($Z282,V$1&amp;" (5)",""))&lt;lenb($Z282),5,IF(lenb(SUBSTITUTE($Z282,V$1&amp;" (6)",""))&lt;lenb($Z282),6,IF(lenb(SUBSTITUTE($Z282,V$1&amp;" (7)",""))&lt;lenb($Z282),1,IF(lenb(SUBSTITUTE($Z282,V$1&amp;" (8)",""))&lt;lenb($Z282),8,IF(lenb(SUBSTITUTE($Z282,V$1&amp;" (9)",""))&lt;lenb($Z282),9,IF(lenb(SUBSTITUTE($Z282,V$1&amp;" (10)",""))&lt;lenb($Z282),10,IF(lenb(SUBSTITUTE($Z282,V$1,""))&lt;lenb($Z282),"ERROR",IF($Z282=$Y$1,"-",0))))))))))))</f>
        <v>1</v>
      </c>
      <c r="W282" s="32">
        <f t="shared" si="287"/>
        <v>0</v>
      </c>
      <c r="X282" s="32">
        <f t="shared" si="287"/>
        <v>0</v>
      </c>
      <c r="Y282" s="32" t="str">
        <f t="shared" si="3"/>
        <v>-</v>
      </c>
      <c r="Z282" s="32" t="s">
        <v>62</v>
      </c>
      <c r="AA282" s="33">
        <f t="shared" si="4"/>
        <v>1</v>
      </c>
      <c r="AB282" s="34">
        <f>COUNTIFS(Links!B:B,"ICSE",Links!C:C,A282,Links!AD:AD,1)</f>
        <v>1</v>
      </c>
      <c r="AC282" s="35" t="s">
        <v>35</v>
      </c>
      <c r="AD282" s="27" t="str">
        <f t="shared" si="5"/>
        <v>No</v>
      </c>
      <c r="AE282" s="36" t="s">
        <v>36</v>
      </c>
      <c r="AF282" s="37" t="s">
        <v>42</v>
      </c>
      <c r="AG282" s="37" t="s">
        <v>42</v>
      </c>
      <c r="AH282" s="37" t="s">
        <v>42</v>
      </c>
      <c r="AI282" s="29" t="str">
        <f t="shared" si="6"/>
        <v>----</v>
      </c>
      <c r="AJ282" s="38" t="str">
        <f t="shared" si="7"/>
        <v>Paper has link but no statement</v>
      </c>
      <c r="AK282" s="39">
        <v>45034.0</v>
      </c>
      <c r="AL282" s="23" t="s">
        <v>43</v>
      </c>
      <c r="AM282" s="40" t="str">
        <f t="shared" si="8"/>
        <v>[IP1604]</v>
      </c>
    </row>
    <row r="283" ht="67.5" customHeight="1">
      <c r="A283" s="41">
        <v>1605.0</v>
      </c>
      <c r="B283" s="42" t="s">
        <v>725</v>
      </c>
      <c r="C283" s="43">
        <v>2016.0</v>
      </c>
      <c r="D283" s="44" t="s">
        <v>35</v>
      </c>
      <c r="E283" s="45" t="s">
        <v>36</v>
      </c>
      <c r="F283" s="45" t="s">
        <v>36</v>
      </c>
      <c r="G283" s="45" t="s">
        <v>36</v>
      </c>
      <c r="H283" s="45" t="s">
        <v>36</v>
      </c>
      <c r="I283" s="45" t="s">
        <v>36</v>
      </c>
      <c r="J283" s="46" t="s">
        <v>36</v>
      </c>
      <c r="K283" s="47" t="s">
        <v>37</v>
      </c>
      <c r="L283" s="48" t="s">
        <v>35</v>
      </c>
      <c r="M283" s="48" t="s">
        <v>37</v>
      </c>
      <c r="N283" s="48" t="s">
        <v>37</v>
      </c>
      <c r="O283" s="48" t="s">
        <v>37</v>
      </c>
      <c r="P283" s="48" t="s">
        <v>35</v>
      </c>
      <c r="Q283" s="48" t="s">
        <v>35</v>
      </c>
      <c r="R283" s="48" t="s">
        <v>37</v>
      </c>
      <c r="S283" s="49" t="s">
        <v>726</v>
      </c>
      <c r="T283" s="50" t="s">
        <v>727</v>
      </c>
      <c r="U283" s="51" t="s">
        <v>727</v>
      </c>
      <c r="V283" s="52">
        <f t="shared" ref="V283:X283" si="288">IF(lenb(SUBSTITUTE($Z283,V$1&amp;" (1)",""))&lt;lenb($Z283),1,IF(lenb(SUBSTITUTE($Z283,V$1&amp;" (2)",""))&lt;lenb($Z283),2,IF(lenb(SUBSTITUTE($Z283,V$1&amp;" (3)",""))&lt;lenb($Z283),3,IF(lenb(SUBSTITUTE($Z283,V$1&amp;" (4)",""))&lt;lenb($Z283),4,IF(lenb(SUBSTITUTE($Z283,V$1&amp;" (5)",""))&lt;lenb($Z283),5,IF(lenb(SUBSTITUTE($Z283,V$1&amp;" (6)",""))&lt;lenb($Z283),6,IF(lenb(SUBSTITUTE($Z283,V$1&amp;" (7)",""))&lt;lenb($Z283),1,IF(lenb(SUBSTITUTE($Z283,V$1&amp;" (8)",""))&lt;lenb($Z283),8,IF(lenb(SUBSTITUTE($Z283,V$1&amp;" (9)",""))&lt;lenb($Z283),9,IF(lenb(SUBSTITUTE($Z283,V$1&amp;" (10)",""))&lt;lenb($Z283),10,IF(lenb(SUBSTITUTE($Z283,V$1,""))&lt;lenb($Z283),"ERROR",IF($Z283=$Y$1,"-",0))))))))))))</f>
        <v>1</v>
      </c>
      <c r="W283" s="52">
        <f t="shared" si="288"/>
        <v>0</v>
      </c>
      <c r="X283" s="52">
        <f t="shared" si="288"/>
        <v>0</v>
      </c>
      <c r="Y283" s="52" t="str">
        <f t="shared" si="3"/>
        <v>-</v>
      </c>
      <c r="Z283" s="52" t="s">
        <v>62</v>
      </c>
      <c r="AA283" s="53">
        <f t="shared" si="4"/>
        <v>1</v>
      </c>
      <c r="AB283" s="54">
        <f>COUNTIFS(Links!B:B,"ICSE",Links!C:C,A283,Links!AD:AD,1)</f>
        <v>1</v>
      </c>
      <c r="AC283" s="55" t="s">
        <v>35</v>
      </c>
      <c r="AD283" s="47" t="str">
        <f t="shared" si="5"/>
        <v>No</v>
      </c>
      <c r="AE283" s="56" t="s">
        <v>36</v>
      </c>
      <c r="AF283" s="57" t="s">
        <v>42</v>
      </c>
      <c r="AG283" s="57" t="s">
        <v>42</v>
      </c>
      <c r="AH283" s="57" t="s">
        <v>42</v>
      </c>
      <c r="AI283" s="49" t="str">
        <f t="shared" si="6"/>
        <v>----</v>
      </c>
      <c r="AJ283" s="58" t="str">
        <f t="shared" si="7"/>
        <v>Paper has link but no statement</v>
      </c>
      <c r="AK283" s="59">
        <v>45034.0</v>
      </c>
      <c r="AL283" s="43" t="s">
        <v>43</v>
      </c>
      <c r="AM283" s="60" t="str">
        <f t="shared" si="8"/>
        <v>[IP1605]</v>
      </c>
    </row>
    <row r="284" ht="67.5" customHeight="1">
      <c r="A284" s="61">
        <v>1606.0</v>
      </c>
      <c r="B284" s="22" t="s">
        <v>728</v>
      </c>
      <c r="C284" s="23">
        <v>2016.0</v>
      </c>
      <c r="D284" s="24" t="s">
        <v>35</v>
      </c>
      <c r="E284" s="25" t="s">
        <v>36</v>
      </c>
      <c r="F284" s="25" t="s">
        <v>36</v>
      </c>
      <c r="G284" s="25" t="s">
        <v>36</v>
      </c>
      <c r="H284" s="25" t="s">
        <v>36</v>
      </c>
      <c r="I284" s="25" t="s">
        <v>36</v>
      </c>
      <c r="J284" s="26" t="s">
        <v>36</v>
      </c>
      <c r="K284" s="27" t="s">
        <v>37</v>
      </c>
      <c r="L284" s="28" t="s">
        <v>37</v>
      </c>
      <c r="M284" s="28" t="s">
        <v>35</v>
      </c>
      <c r="N284" s="28" t="s">
        <v>35</v>
      </c>
      <c r="O284" s="28" t="s">
        <v>37</v>
      </c>
      <c r="P284" s="28" t="s">
        <v>35</v>
      </c>
      <c r="Q284" s="28" t="s">
        <v>35</v>
      </c>
      <c r="R284" s="28" t="s">
        <v>37</v>
      </c>
      <c r="S284" s="29" t="s">
        <v>729</v>
      </c>
      <c r="T284" s="30" t="s">
        <v>730</v>
      </c>
      <c r="U284" s="31" t="s">
        <v>730</v>
      </c>
      <c r="V284" s="32">
        <f t="shared" ref="V284:X284" si="289">IF(lenb(SUBSTITUTE($Z284,V$1&amp;" (1)",""))&lt;lenb($Z284),1,IF(lenb(SUBSTITUTE($Z284,V$1&amp;" (2)",""))&lt;lenb($Z284),2,IF(lenb(SUBSTITUTE($Z284,V$1&amp;" (3)",""))&lt;lenb($Z284),3,IF(lenb(SUBSTITUTE($Z284,V$1&amp;" (4)",""))&lt;lenb($Z284),4,IF(lenb(SUBSTITUTE($Z284,V$1&amp;" (5)",""))&lt;lenb($Z284),5,IF(lenb(SUBSTITUTE($Z284,V$1&amp;" (6)",""))&lt;lenb($Z284),6,IF(lenb(SUBSTITUTE($Z284,V$1&amp;" (7)",""))&lt;lenb($Z284),1,IF(lenb(SUBSTITUTE($Z284,V$1&amp;" (8)",""))&lt;lenb($Z284),8,IF(lenb(SUBSTITUTE($Z284,V$1&amp;" (9)",""))&lt;lenb($Z284),9,IF(lenb(SUBSTITUTE($Z284,V$1&amp;" (10)",""))&lt;lenb($Z284),10,IF(lenb(SUBSTITUTE($Z284,V$1,""))&lt;lenb($Z284),"ERROR",IF($Z284=$Y$1,"-",0))))))))))))</f>
        <v>1</v>
      </c>
      <c r="W284" s="32">
        <f t="shared" si="289"/>
        <v>0</v>
      </c>
      <c r="X284" s="32">
        <f t="shared" si="289"/>
        <v>0</v>
      </c>
      <c r="Y284" s="32" t="str">
        <f t="shared" si="3"/>
        <v>-</v>
      </c>
      <c r="Z284" s="32" t="s">
        <v>62</v>
      </c>
      <c r="AA284" s="33">
        <f t="shared" si="4"/>
        <v>1</v>
      </c>
      <c r="AB284" s="34">
        <f>COUNTIFS(Links!B:B,"ICSE",Links!C:C,A284,Links!AD:AD,1)</f>
        <v>1</v>
      </c>
      <c r="AC284" s="35" t="s">
        <v>35</v>
      </c>
      <c r="AD284" s="27" t="str">
        <f t="shared" si="5"/>
        <v>No</v>
      </c>
      <c r="AE284" s="36" t="s">
        <v>36</v>
      </c>
      <c r="AF284" s="37" t="s">
        <v>42</v>
      </c>
      <c r="AG284" s="37" t="s">
        <v>42</v>
      </c>
      <c r="AH284" s="37" t="s">
        <v>42</v>
      </c>
      <c r="AI284" s="29" t="str">
        <f t="shared" si="6"/>
        <v>----</v>
      </c>
      <c r="AJ284" s="38" t="str">
        <f t="shared" si="7"/>
        <v>Paper has link but no statement</v>
      </c>
      <c r="AK284" s="39">
        <v>45034.0</v>
      </c>
      <c r="AL284" s="23" t="s">
        <v>43</v>
      </c>
      <c r="AM284" s="40" t="str">
        <f t="shared" si="8"/>
        <v>[IP1606]</v>
      </c>
    </row>
    <row r="285" ht="67.5" customHeight="1">
      <c r="A285" s="41">
        <v>1364.0</v>
      </c>
      <c r="B285" s="42" t="s">
        <v>731</v>
      </c>
      <c r="C285" s="43">
        <v>2017.0</v>
      </c>
      <c r="D285" s="44" t="s">
        <v>35</v>
      </c>
      <c r="E285" s="45" t="s">
        <v>36</v>
      </c>
      <c r="F285" s="45" t="s">
        <v>36</v>
      </c>
      <c r="G285" s="45" t="s">
        <v>36</v>
      </c>
      <c r="H285" s="45" t="s">
        <v>36</v>
      </c>
      <c r="I285" s="45" t="s">
        <v>36</v>
      </c>
      <c r="J285" s="46" t="s">
        <v>36</v>
      </c>
      <c r="K285" s="47" t="s">
        <v>37</v>
      </c>
      <c r="L285" s="48" t="s">
        <v>35</v>
      </c>
      <c r="M285" s="48" t="s">
        <v>35</v>
      </c>
      <c r="N285" s="48" t="s">
        <v>35</v>
      </c>
      <c r="O285" s="48" t="s">
        <v>35</v>
      </c>
      <c r="P285" s="48" t="s">
        <v>35</v>
      </c>
      <c r="Q285" s="48" t="s">
        <v>35</v>
      </c>
      <c r="R285" s="48" t="s">
        <v>37</v>
      </c>
      <c r="S285" s="49" t="s">
        <v>732</v>
      </c>
      <c r="T285" s="50" t="s">
        <v>733</v>
      </c>
      <c r="U285" s="51" t="s">
        <v>733</v>
      </c>
      <c r="V285" s="52">
        <f t="shared" ref="V285:X285" si="290">IF(lenb(SUBSTITUTE($Z285,V$1&amp;" (1)",""))&lt;lenb($Z285),1,IF(lenb(SUBSTITUTE($Z285,V$1&amp;" (2)",""))&lt;lenb($Z285),2,IF(lenb(SUBSTITUTE($Z285,V$1&amp;" (3)",""))&lt;lenb($Z285),3,IF(lenb(SUBSTITUTE($Z285,V$1&amp;" (4)",""))&lt;lenb($Z285),4,IF(lenb(SUBSTITUTE($Z285,V$1&amp;" (5)",""))&lt;lenb($Z285),5,IF(lenb(SUBSTITUTE($Z285,V$1&amp;" (6)",""))&lt;lenb($Z285),6,IF(lenb(SUBSTITUTE($Z285,V$1&amp;" (7)",""))&lt;lenb($Z285),1,IF(lenb(SUBSTITUTE($Z285,V$1&amp;" (8)",""))&lt;lenb($Z285),8,IF(lenb(SUBSTITUTE($Z285,V$1&amp;" (9)",""))&lt;lenb($Z285),9,IF(lenb(SUBSTITUTE($Z285,V$1&amp;" (10)",""))&lt;lenb($Z285),10,IF(lenb(SUBSTITUTE($Z285,V$1,""))&lt;lenb($Z285),"ERROR",IF($Z285=$Y$1,"-",0))))))))))))</f>
        <v>1</v>
      </c>
      <c r="W285" s="52">
        <f t="shared" si="290"/>
        <v>0</v>
      </c>
      <c r="X285" s="52">
        <f t="shared" si="290"/>
        <v>0</v>
      </c>
      <c r="Y285" s="52" t="str">
        <f t="shared" si="3"/>
        <v>-</v>
      </c>
      <c r="Z285" s="52" t="s">
        <v>62</v>
      </c>
      <c r="AA285" s="53">
        <f t="shared" si="4"/>
        <v>1</v>
      </c>
      <c r="AB285" s="54">
        <f>COUNTIFS(Links!B:B,"ICSE",Links!C:C,A285,Links!AD:AD,1)</f>
        <v>0</v>
      </c>
      <c r="AC285" s="55" t="s">
        <v>35</v>
      </c>
      <c r="AD285" s="47" t="str">
        <f t="shared" si="5"/>
        <v>No</v>
      </c>
      <c r="AE285" s="56" t="s">
        <v>36</v>
      </c>
      <c r="AF285" s="57" t="s">
        <v>42</v>
      </c>
      <c r="AG285" s="57" t="s">
        <v>42</v>
      </c>
      <c r="AH285" s="57" t="s">
        <v>42</v>
      </c>
      <c r="AI285" s="49" t="str">
        <f t="shared" si="6"/>
        <v>----</v>
      </c>
      <c r="AJ285" s="58" t="str">
        <f t="shared" si="7"/>
        <v>Paper has link but no statement</v>
      </c>
      <c r="AK285" s="59">
        <v>45034.0</v>
      </c>
      <c r="AL285" s="43" t="s">
        <v>43</v>
      </c>
      <c r="AM285" s="60" t="str">
        <f t="shared" si="8"/>
        <v>[IP1364]</v>
      </c>
    </row>
    <row r="286" ht="67.5" customHeight="1">
      <c r="A286" s="61">
        <v>1365.0</v>
      </c>
      <c r="B286" s="22" t="s">
        <v>734</v>
      </c>
      <c r="C286" s="23">
        <v>2017.0</v>
      </c>
      <c r="D286" s="24" t="s">
        <v>35</v>
      </c>
      <c r="E286" s="25" t="s">
        <v>36</v>
      </c>
      <c r="F286" s="25" t="s">
        <v>36</v>
      </c>
      <c r="G286" s="25" t="s">
        <v>36</v>
      </c>
      <c r="H286" s="25" t="s">
        <v>36</v>
      </c>
      <c r="I286" s="25" t="s">
        <v>36</v>
      </c>
      <c r="J286" s="26" t="s">
        <v>36</v>
      </c>
      <c r="K286" s="27" t="s">
        <v>35</v>
      </c>
      <c r="L286" s="28" t="s">
        <v>36</v>
      </c>
      <c r="M286" s="28" t="s">
        <v>36</v>
      </c>
      <c r="N286" s="28" t="s">
        <v>36</v>
      </c>
      <c r="O286" s="28" t="s">
        <v>36</v>
      </c>
      <c r="P286" s="28" t="s">
        <v>36</v>
      </c>
      <c r="Q286" s="28" t="s">
        <v>36</v>
      </c>
      <c r="R286" s="28" t="s">
        <v>36</v>
      </c>
      <c r="S286" s="29" t="s">
        <v>36</v>
      </c>
      <c r="T286" s="30" t="s">
        <v>36</v>
      </c>
      <c r="U286" s="31" t="s">
        <v>36</v>
      </c>
      <c r="V286" s="32" t="str">
        <f t="shared" ref="V286:X286" si="291">IF(lenb(SUBSTITUTE($Z286,V$1&amp;" (1)",""))&lt;lenb($Z286),1,IF(lenb(SUBSTITUTE($Z286,V$1&amp;" (2)",""))&lt;lenb($Z286),2,IF(lenb(SUBSTITUTE($Z286,V$1&amp;" (3)",""))&lt;lenb($Z286),3,IF(lenb(SUBSTITUTE($Z286,V$1&amp;" (4)",""))&lt;lenb($Z286),4,IF(lenb(SUBSTITUTE($Z286,V$1&amp;" (5)",""))&lt;lenb($Z286),5,IF(lenb(SUBSTITUTE($Z286,V$1&amp;" (6)",""))&lt;lenb($Z286),6,IF(lenb(SUBSTITUTE($Z286,V$1&amp;" (7)",""))&lt;lenb($Z286),1,IF(lenb(SUBSTITUTE($Z286,V$1&amp;" (8)",""))&lt;lenb($Z286),8,IF(lenb(SUBSTITUTE($Z286,V$1&amp;" (9)",""))&lt;lenb($Z286),9,IF(lenb(SUBSTITUTE($Z286,V$1&amp;" (10)",""))&lt;lenb($Z286),10,IF(lenb(SUBSTITUTE($Z286,V$1,""))&lt;lenb($Z286),"ERROR",IF($Z286=$Y$1,"-",0))))))))))))</f>
        <v>-</v>
      </c>
      <c r="W286" s="32" t="str">
        <f t="shared" si="291"/>
        <v>-</v>
      </c>
      <c r="X286" s="32" t="str">
        <f t="shared" si="291"/>
        <v>-</v>
      </c>
      <c r="Y286" s="32">
        <f t="shared" si="3"/>
        <v>1</v>
      </c>
      <c r="Z286" s="32" t="s">
        <v>23</v>
      </c>
      <c r="AA286" s="33">
        <f t="shared" si="4"/>
        <v>0</v>
      </c>
      <c r="AB286" s="34">
        <f>COUNTIFS(Links!B:B,"ICSE",Links!C:C,A286,Links!AD:AD,1)</f>
        <v>0</v>
      </c>
      <c r="AC286" s="35" t="s">
        <v>36</v>
      </c>
      <c r="AD286" s="27" t="str">
        <f t="shared" si="5"/>
        <v>No</v>
      </c>
      <c r="AE286" s="36" t="s">
        <v>36</v>
      </c>
      <c r="AF286" s="37" t="s">
        <v>42</v>
      </c>
      <c r="AG286" s="37" t="s">
        <v>42</v>
      </c>
      <c r="AH286" s="37" t="s">
        <v>42</v>
      </c>
      <c r="AI286" s="29" t="str">
        <f t="shared" si="6"/>
        <v>----</v>
      </c>
      <c r="AJ286" s="38" t="str">
        <f t="shared" si="7"/>
        <v>Paper has no link and no statement</v>
      </c>
      <c r="AK286" s="39">
        <v>45034.0</v>
      </c>
      <c r="AL286" s="23" t="s">
        <v>43</v>
      </c>
      <c r="AM286" s="40" t="str">
        <f t="shared" si="8"/>
        <v>[IP1365]</v>
      </c>
    </row>
    <row r="287" ht="67.5" customHeight="1">
      <c r="A287" s="41">
        <v>1366.0</v>
      </c>
      <c r="B287" s="42" t="s">
        <v>735</v>
      </c>
      <c r="C287" s="43">
        <v>2017.0</v>
      </c>
      <c r="D287" s="44" t="s">
        <v>35</v>
      </c>
      <c r="E287" s="45" t="s">
        <v>36</v>
      </c>
      <c r="F287" s="45" t="s">
        <v>36</v>
      </c>
      <c r="G287" s="45" t="s">
        <v>36</v>
      </c>
      <c r="H287" s="45" t="s">
        <v>36</v>
      </c>
      <c r="I287" s="45" t="s">
        <v>36</v>
      </c>
      <c r="J287" s="46" t="s">
        <v>36</v>
      </c>
      <c r="K287" s="47" t="s">
        <v>37</v>
      </c>
      <c r="L287" s="48" t="s">
        <v>37</v>
      </c>
      <c r="M287" s="48" t="s">
        <v>35</v>
      </c>
      <c r="N287" s="48" t="s">
        <v>35</v>
      </c>
      <c r="O287" s="48" t="s">
        <v>35</v>
      </c>
      <c r="P287" s="48" t="s">
        <v>37</v>
      </c>
      <c r="Q287" s="48" t="s">
        <v>35</v>
      </c>
      <c r="R287" s="48" t="s">
        <v>37</v>
      </c>
      <c r="S287" s="49" t="s">
        <v>736</v>
      </c>
      <c r="T287" s="50" t="s">
        <v>737</v>
      </c>
      <c r="U287" s="51" t="s">
        <v>737</v>
      </c>
      <c r="V287" s="52">
        <f t="shared" ref="V287:X287" si="292">IF(lenb(SUBSTITUTE($Z287,V$1&amp;" (1)",""))&lt;lenb($Z287),1,IF(lenb(SUBSTITUTE($Z287,V$1&amp;" (2)",""))&lt;lenb($Z287),2,IF(lenb(SUBSTITUTE($Z287,V$1&amp;" (3)",""))&lt;lenb($Z287),3,IF(lenb(SUBSTITUTE($Z287,V$1&amp;" (4)",""))&lt;lenb($Z287),4,IF(lenb(SUBSTITUTE($Z287,V$1&amp;" (5)",""))&lt;lenb($Z287),5,IF(lenb(SUBSTITUTE($Z287,V$1&amp;" (6)",""))&lt;lenb($Z287),6,IF(lenb(SUBSTITUTE($Z287,V$1&amp;" (7)",""))&lt;lenb($Z287),1,IF(lenb(SUBSTITUTE($Z287,V$1&amp;" (8)",""))&lt;lenb($Z287),8,IF(lenb(SUBSTITUTE($Z287,V$1&amp;" (9)",""))&lt;lenb($Z287),9,IF(lenb(SUBSTITUTE($Z287,V$1&amp;" (10)",""))&lt;lenb($Z287),10,IF(lenb(SUBSTITUTE($Z287,V$1,""))&lt;lenb($Z287),"ERROR",IF($Z287=$Y$1,"-",0))))))))))))</f>
        <v>0</v>
      </c>
      <c r="W287" s="52">
        <f t="shared" si="292"/>
        <v>1</v>
      </c>
      <c r="X287" s="52">
        <f t="shared" si="292"/>
        <v>0</v>
      </c>
      <c r="Y287" s="52" t="str">
        <f t="shared" si="3"/>
        <v>-</v>
      </c>
      <c r="Z287" s="52" t="s">
        <v>47</v>
      </c>
      <c r="AA287" s="53">
        <f t="shared" si="4"/>
        <v>1</v>
      </c>
      <c r="AB287" s="54">
        <f>COUNTIFS(Links!B:B,"ICSE",Links!C:C,A287,Links!AD:AD,1)</f>
        <v>1</v>
      </c>
      <c r="AC287" s="55" t="s">
        <v>35</v>
      </c>
      <c r="AD287" s="47" t="str">
        <f t="shared" si="5"/>
        <v>No</v>
      </c>
      <c r="AE287" s="56" t="s">
        <v>36</v>
      </c>
      <c r="AF287" s="57" t="s">
        <v>42</v>
      </c>
      <c r="AG287" s="57" t="s">
        <v>42</v>
      </c>
      <c r="AH287" s="57" t="s">
        <v>42</v>
      </c>
      <c r="AI287" s="49" t="str">
        <f t="shared" si="6"/>
        <v>----</v>
      </c>
      <c r="AJ287" s="58" t="str">
        <f t="shared" si="7"/>
        <v>Paper has link but no statement</v>
      </c>
      <c r="AK287" s="59">
        <v>45034.0</v>
      </c>
      <c r="AL287" s="43" t="s">
        <v>43</v>
      </c>
      <c r="AM287" s="60" t="str">
        <f t="shared" si="8"/>
        <v>[IP1366]</v>
      </c>
    </row>
    <row r="288" ht="67.5" customHeight="1">
      <c r="A288" s="61">
        <v>1367.0</v>
      </c>
      <c r="B288" s="22" t="s">
        <v>738</v>
      </c>
      <c r="C288" s="23">
        <v>2017.0</v>
      </c>
      <c r="D288" s="24" t="s">
        <v>35</v>
      </c>
      <c r="E288" s="25" t="s">
        <v>36</v>
      </c>
      <c r="F288" s="25" t="s">
        <v>36</v>
      </c>
      <c r="G288" s="25" t="s">
        <v>36</v>
      </c>
      <c r="H288" s="25" t="s">
        <v>36</v>
      </c>
      <c r="I288" s="25" t="s">
        <v>36</v>
      </c>
      <c r="J288" s="26" t="s">
        <v>36</v>
      </c>
      <c r="K288" s="27" t="s">
        <v>37</v>
      </c>
      <c r="L288" s="28" t="s">
        <v>35</v>
      </c>
      <c r="M288" s="28" t="s">
        <v>35</v>
      </c>
      <c r="N288" s="28" t="s">
        <v>37</v>
      </c>
      <c r="O288" s="28" t="s">
        <v>35</v>
      </c>
      <c r="P288" s="28" t="s">
        <v>35</v>
      </c>
      <c r="Q288" s="28" t="s">
        <v>35</v>
      </c>
      <c r="R288" s="28" t="s">
        <v>35</v>
      </c>
      <c r="S288" s="29" t="s">
        <v>289</v>
      </c>
      <c r="T288" s="30" t="s">
        <v>739</v>
      </c>
      <c r="U288" s="31" t="s">
        <v>739</v>
      </c>
      <c r="V288" s="32">
        <f t="shared" ref="V288:X288" si="293">IF(lenb(SUBSTITUTE($Z288,V$1&amp;" (1)",""))&lt;lenb($Z288),1,IF(lenb(SUBSTITUTE($Z288,V$1&amp;" (2)",""))&lt;lenb($Z288),2,IF(lenb(SUBSTITUTE($Z288,V$1&amp;" (3)",""))&lt;lenb($Z288),3,IF(lenb(SUBSTITUTE($Z288,V$1&amp;" (4)",""))&lt;lenb($Z288),4,IF(lenb(SUBSTITUTE($Z288,V$1&amp;" (5)",""))&lt;lenb($Z288),5,IF(lenb(SUBSTITUTE($Z288,V$1&amp;" (6)",""))&lt;lenb($Z288),6,IF(lenb(SUBSTITUTE($Z288,V$1&amp;" (7)",""))&lt;lenb($Z288),1,IF(lenb(SUBSTITUTE($Z288,V$1&amp;" (8)",""))&lt;lenb($Z288),8,IF(lenb(SUBSTITUTE($Z288,V$1&amp;" (9)",""))&lt;lenb($Z288),9,IF(lenb(SUBSTITUTE($Z288,V$1&amp;" (10)",""))&lt;lenb($Z288),10,IF(lenb(SUBSTITUTE($Z288,V$1,""))&lt;lenb($Z288),"ERROR",IF($Z288=$Y$1,"-",0))))))))))))</f>
        <v>1</v>
      </c>
      <c r="W288" s="32">
        <f t="shared" si="293"/>
        <v>0</v>
      </c>
      <c r="X288" s="32">
        <f t="shared" si="293"/>
        <v>0</v>
      </c>
      <c r="Y288" s="32" t="str">
        <f t="shared" si="3"/>
        <v>-</v>
      </c>
      <c r="Z288" s="32" t="s">
        <v>62</v>
      </c>
      <c r="AA288" s="33">
        <f t="shared" si="4"/>
        <v>1</v>
      </c>
      <c r="AB288" s="34">
        <f>COUNTIFS(Links!B:B,"ICSE",Links!C:C,A288,Links!AD:AD,1)</f>
        <v>0</v>
      </c>
      <c r="AC288" s="35" t="s">
        <v>35</v>
      </c>
      <c r="AD288" s="27" t="str">
        <f t="shared" si="5"/>
        <v>No</v>
      </c>
      <c r="AE288" s="36" t="s">
        <v>36</v>
      </c>
      <c r="AF288" s="37" t="s">
        <v>42</v>
      </c>
      <c r="AG288" s="37" t="s">
        <v>42</v>
      </c>
      <c r="AH288" s="37" t="s">
        <v>42</v>
      </c>
      <c r="AI288" s="29" t="str">
        <f t="shared" si="6"/>
        <v>----</v>
      </c>
      <c r="AJ288" s="38" t="str">
        <f t="shared" si="7"/>
        <v>Paper has link but no statement</v>
      </c>
      <c r="AK288" s="39">
        <v>45034.0</v>
      </c>
      <c r="AL288" s="23" t="s">
        <v>43</v>
      </c>
      <c r="AM288" s="40" t="str">
        <f t="shared" si="8"/>
        <v>[IP1367]</v>
      </c>
    </row>
    <row r="289" ht="67.5" customHeight="1">
      <c r="A289" s="41">
        <v>1368.0</v>
      </c>
      <c r="B289" s="42" t="s">
        <v>740</v>
      </c>
      <c r="C289" s="43">
        <v>2017.0</v>
      </c>
      <c r="D289" s="44" t="s">
        <v>35</v>
      </c>
      <c r="E289" s="45" t="s">
        <v>36</v>
      </c>
      <c r="F289" s="45" t="s">
        <v>36</v>
      </c>
      <c r="G289" s="45" t="s">
        <v>36</v>
      </c>
      <c r="H289" s="45" t="s">
        <v>36</v>
      </c>
      <c r="I289" s="45" t="s">
        <v>36</v>
      </c>
      <c r="J289" s="46" t="s">
        <v>36</v>
      </c>
      <c r="K289" s="47" t="s">
        <v>37</v>
      </c>
      <c r="L289" s="48" t="s">
        <v>37</v>
      </c>
      <c r="M289" s="48" t="s">
        <v>35</v>
      </c>
      <c r="N289" s="48" t="s">
        <v>37</v>
      </c>
      <c r="O289" s="48" t="s">
        <v>35</v>
      </c>
      <c r="P289" s="48" t="s">
        <v>35</v>
      </c>
      <c r="Q289" s="48" t="s">
        <v>37</v>
      </c>
      <c r="R289" s="48" t="s">
        <v>37</v>
      </c>
      <c r="S289" s="49" t="s">
        <v>741</v>
      </c>
      <c r="T289" s="50" t="s">
        <v>742</v>
      </c>
      <c r="U289" s="51" t="s">
        <v>742</v>
      </c>
      <c r="V289" s="52">
        <f t="shared" ref="V289:X289" si="294">IF(lenb(SUBSTITUTE($Z289,V$1&amp;" (1)",""))&lt;lenb($Z289),1,IF(lenb(SUBSTITUTE($Z289,V$1&amp;" (2)",""))&lt;lenb($Z289),2,IF(lenb(SUBSTITUTE($Z289,V$1&amp;" (3)",""))&lt;lenb($Z289),3,IF(lenb(SUBSTITUTE($Z289,V$1&amp;" (4)",""))&lt;lenb($Z289),4,IF(lenb(SUBSTITUTE($Z289,V$1&amp;" (5)",""))&lt;lenb($Z289),5,IF(lenb(SUBSTITUTE($Z289,V$1&amp;" (6)",""))&lt;lenb($Z289),6,IF(lenb(SUBSTITUTE($Z289,V$1&amp;" (7)",""))&lt;lenb($Z289),1,IF(lenb(SUBSTITUTE($Z289,V$1&amp;" (8)",""))&lt;lenb($Z289),8,IF(lenb(SUBSTITUTE($Z289,V$1&amp;" (9)",""))&lt;lenb($Z289),9,IF(lenb(SUBSTITUTE($Z289,V$1&amp;" (10)",""))&lt;lenb($Z289),10,IF(lenb(SUBSTITUTE($Z289,V$1,""))&lt;lenb($Z289),"ERROR",IF($Z289=$Y$1,"-",0))))))))))))</f>
        <v>0</v>
      </c>
      <c r="W289" s="52">
        <f t="shared" si="294"/>
        <v>1</v>
      </c>
      <c r="X289" s="52">
        <f t="shared" si="294"/>
        <v>0</v>
      </c>
      <c r="Y289" s="52" t="str">
        <f t="shared" si="3"/>
        <v>-</v>
      </c>
      <c r="Z289" s="52" t="s">
        <v>47</v>
      </c>
      <c r="AA289" s="53">
        <f t="shared" si="4"/>
        <v>1</v>
      </c>
      <c r="AB289" s="54">
        <f>COUNTIFS(Links!B:B,"ICSE",Links!C:C,A289,Links!AD:AD,1)</f>
        <v>1</v>
      </c>
      <c r="AC289" s="55" t="s">
        <v>35</v>
      </c>
      <c r="AD289" s="47" t="str">
        <f t="shared" si="5"/>
        <v>Yes</v>
      </c>
      <c r="AE289" s="56" t="s">
        <v>743</v>
      </c>
      <c r="AF289" s="56" t="s">
        <v>281</v>
      </c>
      <c r="AG289" s="57" t="s">
        <v>42</v>
      </c>
      <c r="AH289" s="57" t="s">
        <v>42</v>
      </c>
      <c r="AI289" s="49" t="str">
        <f t="shared" si="6"/>
        <v>Barriers (Confidentiality and privacy)</v>
      </c>
      <c r="AJ289" s="58" t="str">
        <f t="shared" si="7"/>
        <v>Paper has link and statement</v>
      </c>
      <c r="AK289" s="59">
        <v>45034.0</v>
      </c>
      <c r="AL289" s="43" t="s">
        <v>43</v>
      </c>
      <c r="AM289" s="60" t="str">
        <f t="shared" si="8"/>
        <v>[IP1368]</v>
      </c>
    </row>
    <row r="290" ht="67.5" customHeight="1">
      <c r="A290" s="61">
        <v>1369.0</v>
      </c>
      <c r="B290" s="22" t="s">
        <v>744</v>
      </c>
      <c r="C290" s="23">
        <v>2017.0</v>
      </c>
      <c r="D290" s="24" t="s">
        <v>35</v>
      </c>
      <c r="E290" s="25" t="s">
        <v>36</v>
      </c>
      <c r="F290" s="25" t="s">
        <v>36</v>
      </c>
      <c r="G290" s="25" t="s">
        <v>36</v>
      </c>
      <c r="H290" s="25" t="s">
        <v>36</v>
      </c>
      <c r="I290" s="25" t="s">
        <v>36</v>
      </c>
      <c r="J290" s="26" t="s">
        <v>36</v>
      </c>
      <c r="K290" s="27" t="s">
        <v>37</v>
      </c>
      <c r="L290" s="28" t="s">
        <v>35</v>
      </c>
      <c r="M290" s="28" t="s">
        <v>37</v>
      </c>
      <c r="N290" s="28" t="s">
        <v>37</v>
      </c>
      <c r="O290" s="28" t="s">
        <v>35</v>
      </c>
      <c r="P290" s="28" t="s">
        <v>37</v>
      </c>
      <c r="Q290" s="28" t="s">
        <v>35</v>
      </c>
      <c r="R290" s="28" t="s">
        <v>37</v>
      </c>
      <c r="S290" s="29" t="s">
        <v>745</v>
      </c>
      <c r="T290" s="30" t="s">
        <v>746</v>
      </c>
      <c r="U290" s="31" t="s">
        <v>747</v>
      </c>
      <c r="V290" s="32">
        <f t="shared" ref="V290:X290" si="295">IF(lenb(SUBSTITUTE($Z290,V$1&amp;" (1)",""))&lt;lenb($Z290),1,IF(lenb(SUBSTITUTE($Z290,V$1&amp;" (2)",""))&lt;lenb($Z290),2,IF(lenb(SUBSTITUTE($Z290,V$1&amp;" (3)",""))&lt;lenb($Z290),3,IF(lenb(SUBSTITUTE($Z290,V$1&amp;" (4)",""))&lt;lenb($Z290),4,IF(lenb(SUBSTITUTE($Z290,V$1&amp;" (5)",""))&lt;lenb($Z290),5,IF(lenb(SUBSTITUTE($Z290,V$1&amp;" (6)",""))&lt;lenb($Z290),6,IF(lenb(SUBSTITUTE($Z290,V$1&amp;" (7)",""))&lt;lenb($Z290),1,IF(lenb(SUBSTITUTE($Z290,V$1&amp;" (8)",""))&lt;lenb($Z290),8,IF(lenb(SUBSTITUTE($Z290,V$1&amp;" (9)",""))&lt;lenb($Z290),9,IF(lenb(SUBSTITUTE($Z290,V$1&amp;" (10)",""))&lt;lenb($Z290),10,IF(lenb(SUBSTITUTE($Z290,V$1,""))&lt;lenb($Z290),"ERROR",IF($Z290=$Y$1,"-",0))))))))))))</f>
        <v>3</v>
      </c>
      <c r="W290" s="32">
        <f t="shared" si="295"/>
        <v>0</v>
      </c>
      <c r="X290" s="32">
        <f t="shared" si="295"/>
        <v>0</v>
      </c>
      <c r="Y290" s="32" t="str">
        <f t="shared" si="3"/>
        <v>-</v>
      </c>
      <c r="Z290" s="32" t="s">
        <v>193</v>
      </c>
      <c r="AA290" s="33">
        <f t="shared" si="4"/>
        <v>3</v>
      </c>
      <c r="AB290" s="34">
        <f>COUNTIFS(Links!B:B,"ICSE",Links!C:C,A290,Links!AD:AD,1)</f>
        <v>1</v>
      </c>
      <c r="AC290" s="35" t="s">
        <v>35</v>
      </c>
      <c r="AD290" s="27" t="str">
        <f t="shared" si="5"/>
        <v>No</v>
      </c>
      <c r="AE290" s="36" t="s">
        <v>36</v>
      </c>
      <c r="AF290" s="37" t="s">
        <v>42</v>
      </c>
      <c r="AG290" s="37" t="s">
        <v>42</v>
      </c>
      <c r="AH290" s="37" t="s">
        <v>42</v>
      </c>
      <c r="AI290" s="29" t="str">
        <f t="shared" si="6"/>
        <v>----</v>
      </c>
      <c r="AJ290" s="38" t="str">
        <f t="shared" si="7"/>
        <v>Paper has link but no statement</v>
      </c>
      <c r="AK290" s="39">
        <v>45034.0</v>
      </c>
      <c r="AL290" s="23" t="s">
        <v>43</v>
      </c>
      <c r="AM290" s="40" t="str">
        <f t="shared" si="8"/>
        <v>[IP1369]</v>
      </c>
    </row>
    <row r="291" ht="67.5" customHeight="1">
      <c r="A291" s="41">
        <v>1370.0</v>
      </c>
      <c r="B291" s="42" t="s">
        <v>748</v>
      </c>
      <c r="C291" s="43">
        <v>2017.0</v>
      </c>
      <c r="D291" s="44" t="s">
        <v>35</v>
      </c>
      <c r="E291" s="45" t="s">
        <v>36</v>
      </c>
      <c r="F291" s="45" t="s">
        <v>36</v>
      </c>
      <c r="G291" s="45" t="s">
        <v>36</v>
      </c>
      <c r="H291" s="45" t="s">
        <v>36</v>
      </c>
      <c r="I291" s="45" t="s">
        <v>36</v>
      </c>
      <c r="J291" s="46" t="s">
        <v>36</v>
      </c>
      <c r="K291" s="47" t="s">
        <v>37</v>
      </c>
      <c r="L291" s="48" t="s">
        <v>35</v>
      </c>
      <c r="M291" s="48" t="s">
        <v>37</v>
      </c>
      <c r="N291" s="48" t="s">
        <v>37</v>
      </c>
      <c r="O291" s="48" t="s">
        <v>37</v>
      </c>
      <c r="P291" s="48" t="s">
        <v>37</v>
      </c>
      <c r="Q291" s="48" t="s">
        <v>35</v>
      </c>
      <c r="R291" s="48" t="s">
        <v>35</v>
      </c>
      <c r="S291" s="49" t="s">
        <v>749</v>
      </c>
      <c r="T291" s="50" t="s">
        <v>750</v>
      </c>
      <c r="U291" s="50" t="s">
        <v>750</v>
      </c>
      <c r="V291" s="52">
        <f t="shared" ref="V291:X291" si="296">IF(lenb(SUBSTITUTE($Z291,V$1&amp;" (1)",""))&lt;lenb($Z291),1,IF(lenb(SUBSTITUTE($Z291,V$1&amp;" (2)",""))&lt;lenb($Z291),2,IF(lenb(SUBSTITUTE($Z291,V$1&amp;" (3)",""))&lt;lenb($Z291),3,IF(lenb(SUBSTITUTE($Z291,V$1&amp;" (4)",""))&lt;lenb($Z291),4,IF(lenb(SUBSTITUTE($Z291,V$1&amp;" (5)",""))&lt;lenb($Z291),5,IF(lenb(SUBSTITUTE($Z291,V$1&amp;" (6)",""))&lt;lenb($Z291),6,IF(lenb(SUBSTITUTE($Z291,V$1&amp;" (7)",""))&lt;lenb($Z291),1,IF(lenb(SUBSTITUTE($Z291,V$1&amp;" (8)",""))&lt;lenb($Z291),8,IF(lenb(SUBSTITUTE($Z291,V$1&amp;" (9)",""))&lt;lenb($Z291),9,IF(lenb(SUBSTITUTE($Z291,V$1&amp;" (10)",""))&lt;lenb($Z291),10,IF(lenb(SUBSTITUTE($Z291,V$1,""))&lt;lenb($Z291),"ERROR",IF($Z291=$Y$1,"-",0))))))))))))</f>
        <v>0</v>
      </c>
      <c r="W291" s="52">
        <f t="shared" si="296"/>
        <v>1</v>
      </c>
      <c r="X291" s="52">
        <f t="shared" si="296"/>
        <v>0</v>
      </c>
      <c r="Y291" s="52" t="str">
        <f t="shared" si="3"/>
        <v>-</v>
      </c>
      <c r="Z291" s="52" t="s">
        <v>47</v>
      </c>
      <c r="AA291" s="53">
        <f t="shared" si="4"/>
        <v>1</v>
      </c>
      <c r="AB291" s="54">
        <f>COUNTIFS(Links!B:B,"ICSE",Links!C:C,A291,Links!AD:AD,1)</f>
        <v>0</v>
      </c>
      <c r="AC291" s="55" t="s">
        <v>35</v>
      </c>
      <c r="AD291" s="47" t="str">
        <f t="shared" si="5"/>
        <v>No</v>
      </c>
      <c r="AE291" s="56" t="s">
        <v>36</v>
      </c>
      <c r="AF291" s="57" t="s">
        <v>42</v>
      </c>
      <c r="AG291" s="57" t="s">
        <v>42</v>
      </c>
      <c r="AH291" s="57" t="s">
        <v>42</v>
      </c>
      <c r="AI291" s="49" t="str">
        <f t="shared" si="6"/>
        <v>----</v>
      </c>
      <c r="AJ291" s="58" t="str">
        <f t="shared" si="7"/>
        <v>Paper has link but no statement</v>
      </c>
      <c r="AK291" s="59">
        <v>45034.0</v>
      </c>
      <c r="AL291" s="43" t="s">
        <v>43</v>
      </c>
      <c r="AM291" s="60" t="str">
        <f t="shared" si="8"/>
        <v>[IP1370]</v>
      </c>
    </row>
    <row r="292" ht="67.5" customHeight="1">
      <c r="A292" s="61">
        <v>1371.0</v>
      </c>
      <c r="B292" s="22" t="s">
        <v>751</v>
      </c>
      <c r="C292" s="23">
        <v>2017.0</v>
      </c>
      <c r="D292" s="24" t="s">
        <v>35</v>
      </c>
      <c r="E292" s="25" t="s">
        <v>36</v>
      </c>
      <c r="F292" s="25" t="s">
        <v>36</v>
      </c>
      <c r="G292" s="25" t="s">
        <v>36</v>
      </c>
      <c r="H292" s="25" t="s">
        <v>36</v>
      </c>
      <c r="I292" s="25" t="s">
        <v>36</v>
      </c>
      <c r="J292" s="26" t="s">
        <v>36</v>
      </c>
      <c r="K292" s="27" t="s">
        <v>37</v>
      </c>
      <c r="L292" s="28" t="s">
        <v>35</v>
      </c>
      <c r="M292" s="28" t="s">
        <v>35</v>
      </c>
      <c r="N292" s="28" t="s">
        <v>35</v>
      </c>
      <c r="O292" s="28" t="s">
        <v>35</v>
      </c>
      <c r="P292" s="28" t="s">
        <v>37</v>
      </c>
      <c r="Q292" s="28" t="s">
        <v>35</v>
      </c>
      <c r="R292" s="28" t="s">
        <v>37</v>
      </c>
      <c r="S292" s="29" t="s">
        <v>752</v>
      </c>
      <c r="T292" s="30" t="s">
        <v>753</v>
      </c>
      <c r="U292" s="31" t="s">
        <v>754</v>
      </c>
      <c r="V292" s="32">
        <f t="shared" ref="V292:X292" si="297">IF(lenb(SUBSTITUTE($Z292,V$1&amp;" (1)",""))&lt;lenb($Z292),1,IF(lenb(SUBSTITUTE($Z292,V$1&amp;" (2)",""))&lt;lenb($Z292),2,IF(lenb(SUBSTITUTE($Z292,V$1&amp;" (3)",""))&lt;lenb($Z292),3,IF(lenb(SUBSTITUTE($Z292,V$1&amp;" (4)",""))&lt;lenb($Z292),4,IF(lenb(SUBSTITUTE($Z292,V$1&amp;" (5)",""))&lt;lenb($Z292),5,IF(lenb(SUBSTITUTE($Z292,V$1&amp;" (6)",""))&lt;lenb($Z292),6,IF(lenb(SUBSTITUTE($Z292,V$1&amp;" (7)",""))&lt;lenb($Z292),1,IF(lenb(SUBSTITUTE($Z292,V$1&amp;" (8)",""))&lt;lenb($Z292),8,IF(lenb(SUBSTITUTE($Z292,V$1&amp;" (9)",""))&lt;lenb($Z292),9,IF(lenb(SUBSTITUTE($Z292,V$1&amp;" (10)",""))&lt;lenb($Z292),10,IF(lenb(SUBSTITUTE($Z292,V$1,""))&lt;lenb($Z292),"ERROR",IF($Z292=$Y$1,"-",0))))))))))))</f>
        <v>2</v>
      </c>
      <c r="W292" s="32">
        <f t="shared" si="297"/>
        <v>0</v>
      </c>
      <c r="X292" s="32">
        <f t="shared" si="297"/>
        <v>0</v>
      </c>
      <c r="Y292" s="32" t="str">
        <f t="shared" si="3"/>
        <v>-</v>
      </c>
      <c r="Z292" s="32" t="s">
        <v>57</v>
      </c>
      <c r="AA292" s="33">
        <f t="shared" si="4"/>
        <v>2</v>
      </c>
      <c r="AB292" s="34">
        <f>COUNTIFS(Links!B:B,"ICSE",Links!C:C,A292,Links!AD:AD,1)</f>
        <v>0</v>
      </c>
      <c r="AC292" s="35" t="s">
        <v>35</v>
      </c>
      <c r="AD292" s="27" t="str">
        <f t="shared" si="5"/>
        <v>No</v>
      </c>
      <c r="AE292" s="36" t="s">
        <v>36</v>
      </c>
      <c r="AF292" s="37" t="s">
        <v>42</v>
      </c>
      <c r="AG292" s="37" t="s">
        <v>42</v>
      </c>
      <c r="AH292" s="37" t="s">
        <v>42</v>
      </c>
      <c r="AI292" s="29" t="str">
        <f t="shared" si="6"/>
        <v>----</v>
      </c>
      <c r="AJ292" s="38" t="str">
        <f t="shared" si="7"/>
        <v>Paper has link but no statement</v>
      </c>
      <c r="AK292" s="39">
        <v>45034.0</v>
      </c>
      <c r="AL292" s="23" t="s">
        <v>43</v>
      </c>
      <c r="AM292" s="40" t="str">
        <f t="shared" si="8"/>
        <v>[IP1371]</v>
      </c>
    </row>
    <row r="293" ht="67.5" customHeight="1">
      <c r="A293" s="41">
        <v>1372.0</v>
      </c>
      <c r="B293" s="42" t="s">
        <v>755</v>
      </c>
      <c r="C293" s="43">
        <v>2017.0</v>
      </c>
      <c r="D293" s="44" t="s">
        <v>35</v>
      </c>
      <c r="E293" s="45" t="s">
        <v>36</v>
      </c>
      <c r="F293" s="45" t="s">
        <v>36</v>
      </c>
      <c r="G293" s="45" t="s">
        <v>36</v>
      </c>
      <c r="H293" s="45" t="s">
        <v>36</v>
      </c>
      <c r="I293" s="45" t="s">
        <v>36</v>
      </c>
      <c r="J293" s="46" t="s">
        <v>36</v>
      </c>
      <c r="K293" s="47" t="s">
        <v>37</v>
      </c>
      <c r="L293" s="48" t="s">
        <v>37</v>
      </c>
      <c r="M293" s="48" t="s">
        <v>37</v>
      </c>
      <c r="N293" s="48" t="s">
        <v>35</v>
      </c>
      <c r="O293" s="48" t="s">
        <v>37</v>
      </c>
      <c r="P293" s="48" t="s">
        <v>37</v>
      </c>
      <c r="Q293" s="48" t="s">
        <v>35</v>
      </c>
      <c r="R293" s="48" t="s">
        <v>37</v>
      </c>
      <c r="S293" s="49" t="s">
        <v>756</v>
      </c>
      <c r="T293" s="50" t="s">
        <v>757</v>
      </c>
      <c r="U293" s="51" t="s">
        <v>757</v>
      </c>
      <c r="V293" s="52">
        <f t="shared" ref="V293:X293" si="298">IF(lenb(SUBSTITUTE($Z293,V$1&amp;" (1)",""))&lt;lenb($Z293),1,IF(lenb(SUBSTITUTE($Z293,V$1&amp;" (2)",""))&lt;lenb($Z293),2,IF(lenb(SUBSTITUTE($Z293,V$1&amp;" (3)",""))&lt;lenb($Z293),3,IF(lenb(SUBSTITUTE($Z293,V$1&amp;" (4)",""))&lt;lenb($Z293),4,IF(lenb(SUBSTITUTE($Z293,V$1&amp;" (5)",""))&lt;lenb($Z293),5,IF(lenb(SUBSTITUTE($Z293,V$1&amp;" (6)",""))&lt;lenb($Z293),6,IF(lenb(SUBSTITUTE($Z293,V$1&amp;" (7)",""))&lt;lenb($Z293),1,IF(lenb(SUBSTITUTE($Z293,V$1&amp;" (8)",""))&lt;lenb($Z293),8,IF(lenb(SUBSTITUTE($Z293,V$1&amp;" (9)",""))&lt;lenb($Z293),9,IF(lenb(SUBSTITUTE($Z293,V$1&amp;" (10)",""))&lt;lenb($Z293),10,IF(lenb(SUBSTITUTE($Z293,V$1,""))&lt;lenb($Z293),"ERROR",IF($Z293=$Y$1,"-",0))))))))))))</f>
        <v>1</v>
      </c>
      <c r="W293" s="52">
        <f t="shared" si="298"/>
        <v>0</v>
      </c>
      <c r="X293" s="52">
        <f t="shared" si="298"/>
        <v>0</v>
      </c>
      <c r="Y293" s="52" t="str">
        <f t="shared" si="3"/>
        <v>-</v>
      </c>
      <c r="Z293" s="52" t="s">
        <v>62</v>
      </c>
      <c r="AA293" s="53">
        <f t="shared" si="4"/>
        <v>1</v>
      </c>
      <c r="AB293" s="54">
        <f>COUNTIFS(Links!B:B,"ICSE",Links!C:C,A293,Links!AD:AD,1)</f>
        <v>1</v>
      </c>
      <c r="AC293" s="55" t="s">
        <v>35</v>
      </c>
      <c r="AD293" s="47" t="str">
        <f t="shared" si="5"/>
        <v>No</v>
      </c>
      <c r="AE293" s="56" t="s">
        <v>36</v>
      </c>
      <c r="AF293" s="57" t="s">
        <v>42</v>
      </c>
      <c r="AG293" s="57" t="s">
        <v>42</v>
      </c>
      <c r="AH293" s="57" t="s">
        <v>42</v>
      </c>
      <c r="AI293" s="49" t="str">
        <f t="shared" si="6"/>
        <v>----</v>
      </c>
      <c r="AJ293" s="58" t="str">
        <f t="shared" si="7"/>
        <v>Paper has link but no statement</v>
      </c>
      <c r="AK293" s="59">
        <v>45034.0</v>
      </c>
      <c r="AL293" s="43" t="s">
        <v>43</v>
      </c>
      <c r="AM293" s="60" t="str">
        <f t="shared" si="8"/>
        <v>[IP1372]</v>
      </c>
    </row>
    <row r="294" ht="67.5" customHeight="1">
      <c r="A294" s="61">
        <v>1373.0</v>
      </c>
      <c r="B294" s="22" t="s">
        <v>758</v>
      </c>
      <c r="C294" s="23">
        <v>2017.0</v>
      </c>
      <c r="D294" s="24" t="s">
        <v>35</v>
      </c>
      <c r="E294" s="25" t="s">
        <v>36</v>
      </c>
      <c r="F294" s="25" t="s">
        <v>36</v>
      </c>
      <c r="G294" s="25" t="s">
        <v>36</v>
      </c>
      <c r="H294" s="25" t="s">
        <v>36</v>
      </c>
      <c r="I294" s="25" t="s">
        <v>36</v>
      </c>
      <c r="J294" s="26" t="s">
        <v>36</v>
      </c>
      <c r="K294" s="27" t="s">
        <v>37</v>
      </c>
      <c r="L294" s="28" t="s">
        <v>35</v>
      </c>
      <c r="M294" s="28" t="s">
        <v>37</v>
      </c>
      <c r="N294" s="28" t="s">
        <v>37</v>
      </c>
      <c r="O294" s="28" t="s">
        <v>35</v>
      </c>
      <c r="P294" s="28" t="s">
        <v>37</v>
      </c>
      <c r="Q294" s="28" t="s">
        <v>35</v>
      </c>
      <c r="R294" s="28" t="s">
        <v>37</v>
      </c>
      <c r="S294" s="29" t="s">
        <v>759</v>
      </c>
      <c r="T294" s="30" t="s">
        <v>760</v>
      </c>
      <c r="U294" s="31" t="s">
        <v>760</v>
      </c>
      <c r="V294" s="32">
        <f t="shared" ref="V294:X294" si="299">IF(lenb(SUBSTITUTE($Z294,V$1&amp;" (1)",""))&lt;lenb($Z294),1,IF(lenb(SUBSTITUTE($Z294,V$1&amp;" (2)",""))&lt;lenb($Z294),2,IF(lenb(SUBSTITUTE($Z294,V$1&amp;" (3)",""))&lt;lenb($Z294),3,IF(lenb(SUBSTITUTE($Z294,V$1&amp;" (4)",""))&lt;lenb($Z294),4,IF(lenb(SUBSTITUTE($Z294,V$1&amp;" (5)",""))&lt;lenb($Z294),5,IF(lenb(SUBSTITUTE($Z294,V$1&amp;" (6)",""))&lt;lenb($Z294),6,IF(lenb(SUBSTITUTE($Z294,V$1&amp;" (7)",""))&lt;lenb($Z294),1,IF(lenb(SUBSTITUTE($Z294,V$1&amp;" (8)",""))&lt;lenb($Z294),8,IF(lenb(SUBSTITUTE($Z294,V$1&amp;" (9)",""))&lt;lenb($Z294),9,IF(lenb(SUBSTITUTE($Z294,V$1&amp;" (10)",""))&lt;lenb($Z294),10,IF(lenb(SUBSTITUTE($Z294,V$1,""))&lt;lenb($Z294),"ERROR",IF($Z294=$Y$1,"-",0))))))))))))</f>
        <v>1</v>
      </c>
      <c r="W294" s="32">
        <f t="shared" si="299"/>
        <v>0</v>
      </c>
      <c r="X294" s="32">
        <f t="shared" si="299"/>
        <v>0</v>
      </c>
      <c r="Y294" s="32" t="str">
        <f t="shared" si="3"/>
        <v>-</v>
      </c>
      <c r="Z294" s="32" t="s">
        <v>62</v>
      </c>
      <c r="AA294" s="33">
        <f t="shared" si="4"/>
        <v>1</v>
      </c>
      <c r="AB294" s="34">
        <f>COUNTIFS(Links!B:B,"ICSE",Links!C:C,A294,Links!AD:AD,1)</f>
        <v>0</v>
      </c>
      <c r="AC294" s="35" t="s">
        <v>35</v>
      </c>
      <c r="AD294" s="27" t="str">
        <f t="shared" si="5"/>
        <v>No</v>
      </c>
      <c r="AE294" s="36" t="s">
        <v>36</v>
      </c>
      <c r="AF294" s="37" t="s">
        <v>42</v>
      </c>
      <c r="AG294" s="37" t="s">
        <v>42</v>
      </c>
      <c r="AH294" s="37" t="s">
        <v>42</v>
      </c>
      <c r="AI294" s="29" t="str">
        <f t="shared" si="6"/>
        <v>----</v>
      </c>
      <c r="AJ294" s="38" t="str">
        <f t="shared" si="7"/>
        <v>Paper has link but no statement</v>
      </c>
      <c r="AK294" s="39">
        <v>45034.0</v>
      </c>
      <c r="AL294" s="23" t="s">
        <v>43</v>
      </c>
      <c r="AM294" s="40" t="str">
        <f t="shared" si="8"/>
        <v>[IP1373]</v>
      </c>
    </row>
    <row r="295" ht="67.5" customHeight="1">
      <c r="A295" s="41">
        <v>1374.0</v>
      </c>
      <c r="B295" s="42" t="s">
        <v>761</v>
      </c>
      <c r="C295" s="43">
        <v>2017.0</v>
      </c>
      <c r="D295" s="44" t="s">
        <v>35</v>
      </c>
      <c r="E295" s="45" t="s">
        <v>36</v>
      </c>
      <c r="F295" s="45" t="s">
        <v>36</v>
      </c>
      <c r="G295" s="45" t="s">
        <v>36</v>
      </c>
      <c r="H295" s="45" t="s">
        <v>36</v>
      </c>
      <c r="I295" s="45" t="s">
        <v>36</v>
      </c>
      <c r="J295" s="46" t="s">
        <v>36</v>
      </c>
      <c r="K295" s="47" t="s">
        <v>37</v>
      </c>
      <c r="L295" s="48" t="s">
        <v>35</v>
      </c>
      <c r="M295" s="48" t="s">
        <v>37</v>
      </c>
      <c r="N295" s="48" t="s">
        <v>35</v>
      </c>
      <c r="O295" s="48" t="s">
        <v>35</v>
      </c>
      <c r="P295" s="48" t="s">
        <v>37</v>
      </c>
      <c r="Q295" s="48" t="s">
        <v>35</v>
      </c>
      <c r="R295" s="48" t="s">
        <v>37</v>
      </c>
      <c r="S295" s="49" t="s">
        <v>762</v>
      </c>
      <c r="T295" s="50" t="s">
        <v>763</v>
      </c>
      <c r="U295" s="51" t="s">
        <v>763</v>
      </c>
      <c r="V295" s="52">
        <f t="shared" ref="V295:X295" si="300">IF(lenb(SUBSTITUTE($Z295,V$1&amp;" (1)",""))&lt;lenb($Z295),1,IF(lenb(SUBSTITUTE($Z295,V$1&amp;" (2)",""))&lt;lenb($Z295),2,IF(lenb(SUBSTITUTE($Z295,V$1&amp;" (3)",""))&lt;lenb($Z295),3,IF(lenb(SUBSTITUTE($Z295,V$1&amp;" (4)",""))&lt;lenb($Z295),4,IF(lenb(SUBSTITUTE($Z295,V$1&amp;" (5)",""))&lt;lenb($Z295),5,IF(lenb(SUBSTITUTE($Z295,V$1&amp;" (6)",""))&lt;lenb($Z295),6,IF(lenb(SUBSTITUTE($Z295,V$1&amp;" (7)",""))&lt;lenb($Z295),1,IF(lenb(SUBSTITUTE($Z295,V$1&amp;" (8)",""))&lt;lenb($Z295),8,IF(lenb(SUBSTITUTE($Z295,V$1&amp;" (9)",""))&lt;lenb($Z295),9,IF(lenb(SUBSTITUTE($Z295,V$1&amp;" (10)",""))&lt;lenb($Z295),10,IF(lenb(SUBSTITUTE($Z295,V$1,""))&lt;lenb($Z295),"ERROR",IF($Z295=$Y$1,"-",0))))))))))))</f>
        <v>1</v>
      </c>
      <c r="W295" s="52">
        <f t="shared" si="300"/>
        <v>0</v>
      </c>
      <c r="X295" s="52">
        <f t="shared" si="300"/>
        <v>0</v>
      </c>
      <c r="Y295" s="52" t="str">
        <f t="shared" si="3"/>
        <v>-</v>
      </c>
      <c r="Z295" s="52" t="s">
        <v>62</v>
      </c>
      <c r="AA295" s="53">
        <f t="shared" si="4"/>
        <v>1</v>
      </c>
      <c r="AB295" s="54">
        <f>COUNTIFS(Links!B:B,"ICSE",Links!C:C,A295,Links!AD:AD,1)</f>
        <v>1</v>
      </c>
      <c r="AC295" s="55" t="s">
        <v>35</v>
      </c>
      <c r="AD295" s="47" t="str">
        <f t="shared" si="5"/>
        <v>No</v>
      </c>
      <c r="AE295" s="56" t="s">
        <v>36</v>
      </c>
      <c r="AF295" s="57" t="s">
        <v>42</v>
      </c>
      <c r="AG295" s="57" t="s">
        <v>42</v>
      </c>
      <c r="AH295" s="57" t="s">
        <v>42</v>
      </c>
      <c r="AI295" s="49" t="str">
        <f t="shared" si="6"/>
        <v>----</v>
      </c>
      <c r="AJ295" s="58" t="str">
        <f t="shared" si="7"/>
        <v>Paper has link but no statement</v>
      </c>
      <c r="AK295" s="59">
        <v>45034.0</v>
      </c>
      <c r="AL295" s="43" t="s">
        <v>43</v>
      </c>
      <c r="AM295" s="60" t="str">
        <f t="shared" si="8"/>
        <v>[IP1374]</v>
      </c>
    </row>
    <row r="296" ht="67.5" customHeight="1">
      <c r="A296" s="21">
        <v>1375.0</v>
      </c>
      <c r="B296" s="22" t="s">
        <v>764</v>
      </c>
      <c r="C296" s="23">
        <v>2017.0</v>
      </c>
      <c r="D296" s="24" t="s">
        <v>35</v>
      </c>
      <c r="E296" s="25" t="s">
        <v>36</v>
      </c>
      <c r="F296" s="25" t="s">
        <v>36</v>
      </c>
      <c r="G296" s="25" t="s">
        <v>36</v>
      </c>
      <c r="H296" s="25" t="s">
        <v>36</v>
      </c>
      <c r="I296" s="25" t="s">
        <v>36</v>
      </c>
      <c r="J296" s="26" t="s">
        <v>36</v>
      </c>
      <c r="K296" s="27" t="s">
        <v>35</v>
      </c>
      <c r="L296" s="28" t="s">
        <v>36</v>
      </c>
      <c r="M296" s="28" t="s">
        <v>36</v>
      </c>
      <c r="N296" s="28" t="s">
        <v>36</v>
      </c>
      <c r="O296" s="28" t="s">
        <v>36</v>
      </c>
      <c r="P296" s="28" t="s">
        <v>36</v>
      </c>
      <c r="Q296" s="28" t="s">
        <v>36</v>
      </c>
      <c r="R296" s="28" t="s">
        <v>36</v>
      </c>
      <c r="S296" s="68" t="s">
        <v>36</v>
      </c>
      <c r="T296" s="30" t="s">
        <v>36</v>
      </c>
      <c r="U296" s="31" t="s">
        <v>36</v>
      </c>
      <c r="V296" s="32" t="str">
        <f t="shared" ref="V296:X296" si="301">IF(lenb(SUBSTITUTE($Z296,V$1&amp;" (1)",""))&lt;lenb($Z296),1,IF(lenb(SUBSTITUTE($Z296,V$1&amp;" (2)",""))&lt;lenb($Z296),2,IF(lenb(SUBSTITUTE($Z296,V$1&amp;" (3)",""))&lt;lenb($Z296),3,IF(lenb(SUBSTITUTE($Z296,V$1&amp;" (4)",""))&lt;lenb($Z296),4,IF(lenb(SUBSTITUTE($Z296,V$1&amp;" (5)",""))&lt;lenb($Z296),5,IF(lenb(SUBSTITUTE($Z296,V$1&amp;" (6)",""))&lt;lenb($Z296),6,IF(lenb(SUBSTITUTE($Z296,V$1&amp;" (7)",""))&lt;lenb($Z296),1,IF(lenb(SUBSTITUTE($Z296,V$1&amp;" (8)",""))&lt;lenb($Z296),8,IF(lenb(SUBSTITUTE($Z296,V$1&amp;" (9)",""))&lt;lenb($Z296),9,IF(lenb(SUBSTITUTE($Z296,V$1&amp;" (10)",""))&lt;lenb($Z296),10,IF(lenb(SUBSTITUTE($Z296,V$1,""))&lt;lenb($Z296),"ERROR",IF($Z296=$Y$1,"-",0))))))))))))</f>
        <v>-</v>
      </c>
      <c r="W296" s="32" t="str">
        <f t="shared" si="301"/>
        <v>-</v>
      </c>
      <c r="X296" s="32" t="str">
        <f t="shared" si="301"/>
        <v>-</v>
      </c>
      <c r="Y296" s="32">
        <f t="shared" si="3"/>
        <v>1</v>
      </c>
      <c r="Z296" s="32" t="s">
        <v>23</v>
      </c>
      <c r="AA296" s="33">
        <f t="shared" si="4"/>
        <v>0</v>
      </c>
      <c r="AB296" s="34">
        <f>COUNTIFS(Links!B:B,"ICSE",Links!C:C,A296,Links!AD:AD,1)</f>
        <v>0</v>
      </c>
      <c r="AC296" s="35" t="s">
        <v>36</v>
      </c>
      <c r="AD296" s="27" t="str">
        <f t="shared" si="5"/>
        <v>No</v>
      </c>
      <c r="AE296" s="36" t="s">
        <v>36</v>
      </c>
      <c r="AF296" s="37" t="s">
        <v>42</v>
      </c>
      <c r="AG296" s="37" t="s">
        <v>42</v>
      </c>
      <c r="AH296" s="37" t="s">
        <v>42</v>
      </c>
      <c r="AI296" s="29" t="str">
        <f t="shared" si="6"/>
        <v>----</v>
      </c>
      <c r="AJ296" s="38" t="str">
        <f t="shared" si="7"/>
        <v>Paper has no link and no statement</v>
      </c>
      <c r="AK296" s="39">
        <v>45034.0</v>
      </c>
      <c r="AL296" s="23" t="s">
        <v>43</v>
      </c>
      <c r="AM296" s="40" t="str">
        <f t="shared" si="8"/>
        <v>[IP1375]</v>
      </c>
    </row>
    <row r="297" ht="67.5" customHeight="1">
      <c r="A297" s="41">
        <v>1376.0</v>
      </c>
      <c r="B297" s="42" t="s">
        <v>765</v>
      </c>
      <c r="C297" s="43">
        <v>2017.0</v>
      </c>
      <c r="D297" s="44" t="s">
        <v>35</v>
      </c>
      <c r="E297" s="45" t="s">
        <v>36</v>
      </c>
      <c r="F297" s="45" t="s">
        <v>36</v>
      </c>
      <c r="G297" s="45" t="s">
        <v>36</v>
      </c>
      <c r="H297" s="45" t="s">
        <v>36</v>
      </c>
      <c r="I297" s="45" t="s">
        <v>36</v>
      </c>
      <c r="J297" s="46" t="s">
        <v>36</v>
      </c>
      <c r="K297" s="47" t="s">
        <v>35</v>
      </c>
      <c r="L297" s="48" t="s">
        <v>36</v>
      </c>
      <c r="M297" s="48" t="s">
        <v>36</v>
      </c>
      <c r="N297" s="48" t="s">
        <v>36</v>
      </c>
      <c r="O297" s="48" t="s">
        <v>36</v>
      </c>
      <c r="P297" s="48" t="s">
        <v>36</v>
      </c>
      <c r="Q297" s="48" t="s">
        <v>36</v>
      </c>
      <c r="R297" s="48" t="s">
        <v>36</v>
      </c>
      <c r="S297" s="49" t="s">
        <v>36</v>
      </c>
      <c r="T297" s="50" t="s">
        <v>36</v>
      </c>
      <c r="U297" s="51" t="s">
        <v>36</v>
      </c>
      <c r="V297" s="52" t="str">
        <f t="shared" ref="V297:X297" si="302">IF(lenb(SUBSTITUTE($Z297,V$1&amp;" (1)",""))&lt;lenb($Z297),1,IF(lenb(SUBSTITUTE($Z297,V$1&amp;" (2)",""))&lt;lenb($Z297),2,IF(lenb(SUBSTITUTE($Z297,V$1&amp;" (3)",""))&lt;lenb($Z297),3,IF(lenb(SUBSTITUTE($Z297,V$1&amp;" (4)",""))&lt;lenb($Z297),4,IF(lenb(SUBSTITUTE($Z297,V$1&amp;" (5)",""))&lt;lenb($Z297),5,IF(lenb(SUBSTITUTE($Z297,V$1&amp;" (6)",""))&lt;lenb($Z297),6,IF(lenb(SUBSTITUTE($Z297,V$1&amp;" (7)",""))&lt;lenb($Z297),1,IF(lenb(SUBSTITUTE($Z297,V$1&amp;" (8)",""))&lt;lenb($Z297),8,IF(lenb(SUBSTITUTE($Z297,V$1&amp;" (9)",""))&lt;lenb($Z297),9,IF(lenb(SUBSTITUTE($Z297,V$1&amp;" (10)",""))&lt;lenb($Z297),10,IF(lenb(SUBSTITUTE($Z297,V$1,""))&lt;lenb($Z297),"ERROR",IF($Z297=$Y$1,"-",0))))))))))))</f>
        <v>-</v>
      </c>
      <c r="W297" s="52" t="str">
        <f t="shared" si="302"/>
        <v>-</v>
      </c>
      <c r="X297" s="52" t="str">
        <f t="shared" si="302"/>
        <v>-</v>
      </c>
      <c r="Y297" s="52">
        <f t="shared" si="3"/>
        <v>1</v>
      </c>
      <c r="Z297" s="52" t="s">
        <v>23</v>
      </c>
      <c r="AA297" s="53">
        <f t="shared" si="4"/>
        <v>0</v>
      </c>
      <c r="AB297" s="54">
        <f>COUNTIFS(Links!B:B,"ICSE",Links!C:C,A297,Links!AD:AD,1)</f>
        <v>0</v>
      </c>
      <c r="AC297" s="55" t="s">
        <v>36</v>
      </c>
      <c r="AD297" s="47" t="str">
        <f t="shared" si="5"/>
        <v>No</v>
      </c>
      <c r="AE297" s="56" t="s">
        <v>36</v>
      </c>
      <c r="AF297" s="57" t="s">
        <v>42</v>
      </c>
      <c r="AG297" s="57" t="s">
        <v>42</v>
      </c>
      <c r="AH297" s="57" t="s">
        <v>42</v>
      </c>
      <c r="AI297" s="49" t="str">
        <f t="shared" si="6"/>
        <v>----</v>
      </c>
      <c r="AJ297" s="58" t="str">
        <f t="shared" si="7"/>
        <v>Paper has no link and no statement</v>
      </c>
      <c r="AK297" s="59">
        <v>45034.0</v>
      </c>
      <c r="AL297" s="43" t="s">
        <v>43</v>
      </c>
      <c r="AM297" s="60" t="str">
        <f t="shared" si="8"/>
        <v>[IP1376]</v>
      </c>
    </row>
    <row r="298" ht="67.5" customHeight="1">
      <c r="A298" s="61">
        <v>1377.0</v>
      </c>
      <c r="B298" s="22" t="s">
        <v>766</v>
      </c>
      <c r="C298" s="23">
        <v>2017.0</v>
      </c>
      <c r="D298" s="24" t="s">
        <v>35</v>
      </c>
      <c r="E298" s="25" t="s">
        <v>36</v>
      </c>
      <c r="F298" s="25" t="s">
        <v>36</v>
      </c>
      <c r="G298" s="25" t="s">
        <v>36</v>
      </c>
      <c r="H298" s="25" t="s">
        <v>36</v>
      </c>
      <c r="I298" s="25" t="s">
        <v>36</v>
      </c>
      <c r="J298" s="26" t="s">
        <v>36</v>
      </c>
      <c r="K298" s="27" t="s">
        <v>35</v>
      </c>
      <c r="L298" s="28" t="s">
        <v>36</v>
      </c>
      <c r="M298" s="28" t="s">
        <v>36</v>
      </c>
      <c r="N298" s="28" t="s">
        <v>36</v>
      </c>
      <c r="O298" s="28" t="s">
        <v>36</v>
      </c>
      <c r="P298" s="28" t="s">
        <v>36</v>
      </c>
      <c r="Q298" s="28" t="s">
        <v>36</v>
      </c>
      <c r="R298" s="28" t="s">
        <v>36</v>
      </c>
      <c r="S298" s="29" t="s">
        <v>36</v>
      </c>
      <c r="T298" s="30" t="s">
        <v>36</v>
      </c>
      <c r="U298" s="31" t="s">
        <v>36</v>
      </c>
      <c r="V298" s="32" t="str">
        <f t="shared" ref="V298:X298" si="303">IF(lenb(SUBSTITUTE($Z298,V$1&amp;" (1)",""))&lt;lenb($Z298),1,IF(lenb(SUBSTITUTE($Z298,V$1&amp;" (2)",""))&lt;lenb($Z298),2,IF(lenb(SUBSTITUTE($Z298,V$1&amp;" (3)",""))&lt;lenb($Z298),3,IF(lenb(SUBSTITUTE($Z298,V$1&amp;" (4)",""))&lt;lenb($Z298),4,IF(lenb(SUBSTITUTE($Z298,V$1&amp;" (5)",""))&lt;lenb($Z298),5,IF(lenb(SUBSTITUTE($Z298,V$1&amp;" (6)",""))&lt;lenb($Z298),6,IF(lenb(SUBSTITUTE($Z298,V$1&amp;" (7)",""))&lt;lenb($Z298),1,IF(lenb(SUBSTITUTE($Z298,V$1&amp;" (8)",""))&lt;lenb($Z298),8,IF(lenb(SUBSTITUTE($Z298,V$1&amp;" (9)",""))&lt;lenb($Z298),9,IF(lenb(SUBSTITUTE($Z298,V$1&amp;" (10)",""))&lt;lenb($Z298),10,IF(lenb(SUBSTITUTE($Z298,V$1,""))&lt;lenb($Z298),"ERROR",IF($Z298=$Y$1,"-",0))))))))))))</f>
        <v>-</v>
      </c>
      <c r="W298" s="32" t="str">
        <f t="shared" si="303"/>
        <v>-</v>
      </c>
      <c r="X298" s="32" t="str">
        <f t="shared" si="303"/>
        <v>-</v>
      </c>
      <c r="Y298" s="32">
        <f t="shared" si="3"/>
        <v>1</v>
      </c>
      <c r="Z298" s="32" t="s">
        <v>23</v>
      </c>
      <c r="AA298" s="33">
        <f t="shared" si="4"/>
        <v>0</v>
      </c>
      <c r="AB298" s="34">
        <f>COUNTIFS(Links!B:B,"ICSE",Links!C:C,A298,Links!AD:AD,1)</f>
        <v>0</v>
      </c>
      <c r="AC298" s="35" t="s">
        <v>36</v>
      </c>
      <c r="AD298" s="27" t="str">
        <f t="shared" si="5"/>
        <v>No</v>
      </c>
      <c r="AE298" s="36" t="s">
        <v>36</v>
      </c>
      <c r="AF298" s="37" t="s">
        <v>42</v>
      </c>
      <c r="AG298" s="37" t="s">
        <v>42</v>
      </c>
      <c r="AH298" s="37" t="s">
        <v>42</v>
      </c>
      <c r="AI298" s="29" t="str">
        <f t="shared" si="6"/>
        <v>----</v>
      </c>
      <c r="AJ298" s="38" t="str">
        <f t="shared" si="7"/>
        <v>Paper has no link and no statement</v>
      </c>
      <c r="AK298" s="39">
        <v>45034.0</v>
      </c>
      <c r="AL298" s="23" t="s">
        <v>43</v>
      </c>
      <c r="AM298" s="40" t="str">
        <f t="shared" si="8"/>
        <v>[IP1377]</v>
      </c>
    </row>
    <row r="299" ht="67.5" customHeight="1">
      <c r="A299" s="41">
        <v>1378.0</v>
      </c>
      <c r="B299" s="42" t="s">
        <v>767</v>
      </c>
      <c r="C299" s="43">
        <v>2017.0</v>
      </c>
      <c r="D299" s="44" t="s">
        <v>35</v>
      </c>
      <c r="E299" s="45" t="s">
        <v>36</v>
      </c>
      <c r="F299" s="45" t="s">
        <v>36</v>
      </c>
      <c r="G299" s="45" t="s">
        <v>36</v>
      </c>
      <c r="H299" s="45" t="s">
        <v>36</v>
      </c>
      <c r="I299" s="45" t="s">
        <v>36</v>
      </c>
      <c r="J299" s="46" t="s">
        <v>36</v>
      </c>
      <c r="K299" s="47" t="s">
        <v>37</v>
      </c>
      <c r="L299" s="48" t="s">
        <v>37</v>
      </c>
      <c r="M299" s="48" t="s">
        <v>35</v>
      </c>
      <c r="N299" s="48" t="s">
        <v>37</v>
      </c>
      <c r="O299" s="48" t="s">
        <v>35</v>
      </c>
      <c r="P299" s="48" t="s">
        <v>35</v>
      </c>
      <c r="Q299" s="48" t="s">
        <v>35</v>
      </c>
      <c r="R299" s="48" t="s">
        <v>35</v>
      </c>
      <c r="S299" s="49" t="s">
        <v>768</v>
      </c>
      <c r="T299" s="50" t="s">
        <v>769</v>
      </c>
      <c r="U299" s="51" t="s">
        <v>769</v>
      </c>
      <c r="V299" s="52">
        <f t="shared" ref="V299:X299" si="304">IF(lenb(SUBSTITUTE($Z299,V$1&amp;" (1)",""))&lt;lenb($Z299),1,IF(lenb(SUBSTITUTE($Z299,V$1&amp;" (2)",""))&lt;lenb($Z299),2,IF(lenb(SUBSTITUTE($Z299,V$1&amp;" (3)",""))&lt;lenb($Z299),3,IF(lenb(SUBSTITUTE($Z299,V$1&amp;" (4)",""))&lt;lenb($Z299),4,IF(lenb(SUBSTITUTE($Z299,V$1&amp;" (5)",""))&lt;lenb($Z299),5,IF(lenb(SUBSTITUTE($Z299,V$1&amp;" (6)",""))&lt;lenb($Z299),6,IF(lenb(SUBSTITUTE($Z299,V$1&amp;" (7)",""))&lt;lenb($Z299),1,IF(lenb(SUBSTITUTE($Z299,V$1&amp;" (8)",""))&lt;lenb($Z299),8,IF(lenb(SUBSTITUTE($Z299,V$1&amp;" (9)",""))&lt;lenb($Z299),9,IF(lenb(SUBSTITUTE($Z299,V$1&amp;" (10)",""))&lt;lenb($Z299),10,IF(lenb(SUBSTITUTE($Z299,V$1,""))&lt;lenb($Z299),"ERROR",IF($Z299=$Y$1,"-",0))))))))))))</f>
        <v>1</v>
      </c>
      <c r="W299" s="52">
        <f t="shared" si="304"/>
        <v>0</v>
      </c>
      <c r="X299" s="52">
        <f t="shared" si="304"/>
        <v>0</v>
      </c>
      <c r="Y299" s="52" t="str">
        <f t="shared" si="3"/>
        <v>-</v>
      </c>
      <c r="Z299" s="52" t="s">
        <v>62</v>
      </c>
      <c r="AA299" s="53">
        <f t="shared" si="4"/>
        <v>1</v>
      </c>
      <c r="AB299" s="54">
        <f>COUNTIFS(Links!B:B,"ICSE",Links!C:C,A299,Links!AD:AD,1)</f>
        <v>0</v>
      </c>
      <c r="AC299" s="55" t="s">
        <v>35</v>
      </c>
      <c r="AD299" s="47" t="str">
        <f t="shared" si="5"/>
        <v>No</v>
      </c>
      <c r="AE299" s="56" t="s">
        <v>36</v>
      </c>
      <c r="AF299" s="57" t="s">
        <v>42</v>
      </c>
      <c r="AG299" s="57" t="s">
        <v>42</v>
      </c>
      <c r="AH299" s="57" t="s">
        <v>42</v>
      </c>
      <c r="AI299" s="49" t="str">
        <f t="shared" si="6"/>
        <v>----</v>
      </c>
      <c r="AJ299" s="58" t="str">
        <f t="shared" si="7"/>
        <v>Paper has link but no statement</v>
      </c>
      <c r="AK299" s="59">
        <v>45034.0</v>
      </c>
      <c r="AL299" s="43" t="s">
        <v>43</v>
      </c>
      <c r="AM299" s="60" t="str">
        <f t="shared" si="8"/>
        <v>[IP1378]</v>
      </c>
    </row>
    <row r="300" ht="67.5" customHeight="1">
      <c r="A300" s="61">
        <v>1379.0</v>
      </c>
      <c r="B300" s="22" t="s">
        <v>770</v>
      </c>
      <c r="C300" s="23">
        <v>2017.0</v>
      </c>
      <c r="D300" s="24" t="s">
        <v>35</v>
      </c>
      <c r="E300" s="25" t="s">
        <v>36</v>
      </c>
      <c r="F300" s="25" t="s">
        <v>36</v>
      </c>
      <c r="G300" s="25" t="s">
        <v>36</v>
      </c>
      <c r="H300" s="25" t="s">
        <v>36</v>
      </c>
      <c r="I300" s="25" t="s">
        <v>36</v>
      </c>
      <c r="J300" s="26" t="s">
        <v>36</v>
      </c>
      <c r="K300" s="27" t="s">
        <v>37</v>
      </c>
      <c r="L300" s="28" t="s">
        <v>35</v>
      </c>
      <c r="M300" s="28" t="s">
        <v>35</v>
      </c>
      <c r="N300" s="28" t="s">
        <v>35</v>
      </c>
      <c r="O300" s="28" t="s">
        <v>35</v>
      </c>
      <c r="P300" s="28" t="s">
        <v>35</v>
      </c>
      <c r="Q300" s="28" t="s">
        <v>37</v>
      </c>
      <c r="R300" s="28" t="s">
        <v>35</v>
      </c>
      <c r="S300" s="29" t="s">
        <v>771</v>
      </c>
      <c r="T300" s="30" t="s">
        <v>772</v>
      </c>
      <c r="U300" s="31" t="s">
        <v>772</v>
      </c>
      <c r="V300" s="32">
        <f t="shared" ref="V300:X300" si="305">IF(lenb(SUBSTITUTE($Z300,V$1&amp;" (1)",""))&lt;lenb($Z300),1,IF(lenb(SUBSTITUTE($Z300,V$1&amp;" (2)",""))&lt;lenb($Z300),2,IF(lenb(SUBSTITUTE($Z300,V$1&amp;" (3)",""))&lt;lenb($Z300),3,IF(lenb(SUBSTITUTE($Z300,V$1&amp;" (4)",""))&lt;lenb($Z300),4,IF(lenb(SUBSTITUTE($Z300,V$1&amp;" (5)",""))&lt;lenb($Z300),5,IF(lenb(SUBSTITUTE($Z300,V$1&amp;" (6)",""))&lt;lenb($Z300),6,IF(lenb(SUBSTITUTE($Z300,V$1&amp;" (7)",""))&lt;lenb($Z300),1,IF(lenb(SUBSTITUTE($Z300,V$1&amp;" (8)",""))&lt;lenb($Z300),8,IF(lenb(SUBSTITUTE($Z300,V$1&amp;" (9)",""))&lt;lenb($Z300),9,IF(lenb(SUBSTITUTE($Z300,V$1&amp;" (10)",""))&lt;lenb($Z300),10,IF(lenb(SUBSTITUTE($Z300,V$1,""))&lt;lenb($Z300),"ERROR",IF($Z300=$Y$1,"-",0))))))))))))</f>
        <v>0</v>
      </c>
      <c r="W300" s="32">
        <f t="shared" si="305"/>
        <v>1</v>
      </c>
      <c r="X300" s="32">
        <f t="shared" si="305"/>
        <v>0</v>
      </c>
      <c r="Y300" s="32" t="str">
        <f t="shared" si="3"/>
        <v>-</v>
      </c>
      <c r="Z300" s="32" t="s">
        <v>47</v>
      </c>
      <c r="AA300" s="33">
        <f t="shared" si="4"/>
        <v>1</v>
      </c>
      <c r="AB300" s="34">
        <f>COUNTIFS(Links!B:B,"ICSE",Links!C:C,A300,Links!AD:AD,1)</f>
        <v>1</v>
      </c>
      <c r="AC300" s="35" t="s">
        <v>35</v>
      </c>
      <c r="AD300" s="27" t="str">
        <f t="shared" si="5"/>
        <v>No</v>
      </c>
      <c r="AE300" s="36" t="s">
        <v>36</v>
      </c>
      <c r="AF300" s="37" t="s">
        <v>42</v>
      </c>
      <c r="AG300" s="37" t="s">
        <v>42</v>
      </c>
      <c r="AH300" s="37" t="s">
        <v>42</v>
      </c>
      <c r="AI300" s="29" t="str">
        <f t="shared" si="6"/>
        <v>----</v>
      </c>
      <c r="AJ300" s="38" t="str">
        <f t="shared" si="7"/>
        <v>Paper has link but no statement</v>
      </c>
      <c r="AK300" s="39">
        <v>45034.0</v>
      </c>
      <c r="AL300" s="23" t="s">
        <v>43</v>
      </c>
      <c r="AM300" s="40" t="str">
        <f t="shared" si="8"/>
        <v>[IP1379]</v>
      </c>
    </row>
    <row r="301" ht="67.5" customHeight="1">
      <c r="A301" s="41">
        <v>1380.0</v>
      </c>
      <c r="B301" s="42" t="s">
        <v>773</v>
      </c>
      <c r="C301" s="43">
        <v>2017.0</v>
      </c>
      <c r="D301" s="44" t="s">
        <v>35</v>
      </c>
      <c r="E301" s="45" t="s">
        <v>36</v>
      </c>
      <c r="F301" s="45" t="s">
        <v>36</v>
      </c>
      <c r="G301" s="45" t="s">
        <v>36</v>
      </c>
      <c r="H301" s="45" t="s">
        <v>36</v>
      </c>
      <c r="I301" s="45" t="s">
        <v>36</v>
      </c>
      <c r="J301" s="46" t="s">
        <v>36</v>
      </c>
      <c r="K301" s="47" t="s">
        <v>37</v>
      </c>
      <c r="L301" s="48" t="s">
        <v>37</v>
      </c>
      <c r="M301" s="48" t="s">
        <v>35</v>
      </c>
      <c r="N301" s="48" t="s">
        <v>35</v>
      </c>
      <c r="O301" s="48" t="s">
        <v>35</v>
      </c>
      <c r="P301" s="48" t="s">
        <v>35</v>
      </c>
      <c r="Q301" s="48" t="s">
        <v>35</v>
      </c>
      <c r="R301" s="48" t="s">
        <v>37</v>
      </c>
      <c r="S301" s="49" t="s">
        <v>774</v>
      </c>
      <c r="T301" s="50" t="s">
        <v>775</v>
      </c>
      <c r="U301" s="50" t="s">
        <v>775</v>
      </c>
      <c r="V301" s="52">
        <f t="shared" ref="V301:X301" si="306">IF(lenb(SUBSTITUTE($Z301,V$1&amp;" (1)",""))&lt;lenb($Z301),1,IF(lenb(SUBSTITUTE($Z301,V$1&amp;" (2)",""))&lt;lenb($Z301),2,IF(lenb(SUBSTITUTE($Z301,V$1&amp;" (3)",""))&lt;lenb($Z301),3,IF(lenb(SUBSTITUTE($Z301,V$1&amp;" (4)",""))&lt;lenb($Z301),4,IF(lenb(SUBSTITUTE($Z301,V$1&amp;" (5)",""))&lt;lenb($Z301),5,IF(lenb(SUBSTITUTE($Z301,V$1&amp;" (6)",""))&lt;lenb($Z301),6,IF(lenb(SUBSTITUTE($Z301,V$1&amp;" (7)",""))&lt;lenb($Z301),1,IF(lenb(SUBSTITUTE($Z301,V$1&amp;" (8)",""))&lt;lenb($Z301),8,IF(lenb(SUBSTITUTE($Z301,V$1&amp;" (9)",""))&lt;lenb($Z301),9,IF(lenb(SUBSTITUTE($Z301,V$1&amp;" (10)",""))&lt;lenb($Z301),10,IF(lenb(SUBSTITUTE($Z301,V$1,""))&lt;lenb($Z301),"ERROR",IF($Z301=$Y$1,"-",0))))))))))))</f>
        <v>0</v>
      </c>
      <c r="W301" s="52">
        <f t="shared" si="306"/>
        <v>1</v>
      </c>
      <c r="X301" s="52">
        <f t="shared" si="306"/>
        <v>0</v>
      </c>
      <c r="Y301" s="52" t="str">
        <f t="shared" si="3"/>
        <v>-</v>
      </c>
      <c r="Z301" s="52" t="s">
        <v>47</v>
      </c>
      <c r="AA301" s="53">
        <f t="shared" si="4"/>
        <v>1</v>
      </c>
      <c r="AB301" s="54">
        <f>COUNTIFS(Links!B:B,"ICSE",Links!C:C,A301,Links!AD:AD,1)</f>
        <v>1</v>
      </c>
      <c r="AC301" s="55" t="s">
        <v>35</v>
      </c>
      <c r="AD301" s="47" t="str">
        <f t="shared" si="5"/>
        <v>No</v>
      </c>
      <c r="AE301" s="56" t="s">
        <v>36</v>
      </c>
      <c r="AF301" s="57" t="s">
        <v>42</v>
      </c>
      <c r="AG301" s="57" t="s">
        <v>42</v>
      </c>
      <c r="AH301" s="57" t="s">
        <v>42</v>
      </c>
      <c r="AI301" s="49" t="str">
        <f t="shared" si="6"/>
        <v>----</v>
      </c>
      <c r="AJ301" s="58" t="str">
        <f t="shared" si="7"/>
        <v>Paper has link but no statement</v>
      </c>
      <c r="AK301" s="59">
        <v>45034.0</v>
      </c>
      <c r="AL301" s="43" t="s">
        <v>43</v>
      </c>
      <c r="AM301" s="60" t="str">
        <f t="shared" si="8"/>
        <v>[IP1380]</v>
      </c>
    </row>
    <row r="302" ht="67.5" customHeight="1">
      <c r="A302" s="61">
        <v>1381.0</v>
      </c>
      <c r="B302" s="22" t="s">
        <v>776</v>
      </c>
      <c r="C302" s="23">
        <v>2017.0</v>
      </c>
      <c r="D302" s="24" t="s">
        <v>35</v>
      </c>
      <c r="E302" s="25" t="s">
        <v>36</v>
      </c>
      <c r="F302" s="25" t="s">
        <v>36</v>
      </c>
      <c r="G302" s="25" t="s">
        <v>36</v>
      </c>
      <c r="H302" s="25" t="s">
        <v>36</v>
      </c>
      <c r="I302" s="25" t="s">
        <v>36</v>
      </c>
      <c r="J302" s="26" t="s">
        <v>36</v>
      </c>
      <c r="K302" s="27" t="s">
        <v>37</v>
      </c>
      <c r="L302" s="28" t="s">
        <v>35</v>
      </c>
      <c r="M302" s="28" t="s">
        <v>37</v>
      </c>
      <c r="N302" s="28" t="s">
        <v>37</v>
      </c>
      <c r="O302" s="28" t="s">
        <v>35</v>
      </c>
      <c r="P302" s="28" t="s">
        <v>35</v>
      </c>
      <c r="Q302" s="28" t="s">
        <v>37</v>
      </c>
      <c r="R302" s="28" t="s">
        <v>37</v>
      </c>
      <c r="S302" s="29" t="s">
        <v>777</v>
      </c>
      <c r="T302" s="30" t="s">
        <v>778</v>
      </c>
      <c r="U302" s="31" t="s">
        <v>778</v>
      </c>
      <c r="V302" s="32">
        <f t="shared" ref="V302:X302" si="307">IF(lenb(SUBSTITUTE($Z302,V$1&amp;" (1)",""))&lt;lenb($Z302),1,IF(lenb(SUBSTITUTE($Z302,V$1&amp;" (2)",""))&lt;lenb($Z302),2,IF(lenb(SUBSTITUTE($Z302,V$1&amp;" (3)",""))&lt;lenb($Z302),3,IF(lenb(SUBSTITUTE($Z302,V$1&amp;" (4)",""))&lt;lenb($Z302),4,IF(lenb(SUBSTITUTE($Z302,V$1&amp;" (5)",""))&lt;lenb($Z302),5,IF(lenb(SUBSTITUTE($Z302,V$1&amp;" (6)",""))&lt;lenb($Z302),6,IF(lenb(SUBSTITUTE($Z302,V$1&amp;" (7)",""))&lt;lenb($Z302),1,IF(lenb(SUBSTITUTE($Z302,V$1&amp;" (8)",""))&lt;lenb($Z302),8,IF(lenb(SUBSTITUTE($Z302,V$1&amp;" (9)",""))&lt;lenb($Z302),9,IF(lenb(SUBSTITUTE($Z302,V$1&amp;" (10)",""))&lt;lenb($Z302),10,IF(lenb(SUBSTITUTE($Z302,V$1,""))&lt;lenb($Z302),"ERROR",IF($Z302=$Y$1,"-",0))))))))))))</f>
        <v>1</v>
      </c>
      <c r="W302" s="32">
        <f t="shared" si="307"/>
        <v>0</v>
      </c>
      <c r="X302" s="32">
        <f t="shared" si="307"/>
        <v>0</v>
      </c>
      <c r="Y302" s="32" t="str">
        <f t="shared" si="3"/>
        <v>-</v>
      </c>
      <c r="Z302" s="32" t="s">
        <v>62</v>
      </c>
      <c r="AA302" s="33">
        <f t="shared" si="4"/>
        <v>1</v>
      </c>
      <c r="AB302" s="34">
        <f>COUNTIFS(Links!B:B,"ICSE",Links!C:C,A302,Links!AD:AD,1)</f>
        <v>0</v>
      </c>
      <c r="AC302" s="35" t="s">
        <v>35</v>
      </c>
      <c r="AD302" s="27" t="str">
        <f t="shared" si="5"/>
        <v>No</v>
      </c>
      <c r="AE302" s="36" t="s">
        <v>36</v>
      </c>
      <c r="AF302" s="37" t="s">
        <v>42</v>
      </c>
      <c r="AG302" s="37" t="s">
        <v>42</v>
      </c>
      <c r="AH302" s="37" t="s">
        <v>42</v>
      </c>
      <c r="AI302" s="29" t="str">
        <f t="shared" si="6"/>
        <v>----</v>
      </c>
      <c r="AJ302" s="38" t="str">
        <f t="shared" si="7"/>
        <v>Paper has link but no statement</v>
      </c>
      <c r="AK302" s="39">
        <v>45034.0</v>
      </c>
      <c r="AL302" s="23" t="s">
        <v>43</v>
      </c>
      <c r="AM302" s="40" t="str">
        <f t="shared" si="8"/>
        <v>[IP1381]</v>
      </c>
    </row>
    <row r="303" ht="67.5" customHeight="1">
      <c r="A303" s="41">
        <v>1382.0</v>
      </c>
      <c r="B303" s="42" t="s">
        <v>779</v>
      </c>
      <c r="C303" s="43">
        <v>2017.0</v>
      </c>
      <c r="D303" s="44" t="s">
        <v>35</v>
      </c>
      <c r="E303" s="45" t="s">
        <v>36</v>
      </c>
      <c r="F303" s="45" t="s">
        <v>36</v>
      </c>
      <c r="G303" s="45" t="s">
        <v>36</v>
      </c>
      <c r="H303" s="45" t="s">
        <v>36</v>
      </c>
      <c r="I303" s="45" t="s">
        <v>36</v>
      </c>
      <c r="J303" s="46" t="s">
        <v>36</v>
      </c>
      <c r="K303" s="47" t="s">
        <v>37</v>
      </c>
      <c r="L303" s="48" t="s">
        <v>37</v>
      </c>
      <c r="M303" s="48" t="s">
        <v>35</v>
      </c>
      <c r="N303" s="48" t="s">
        <v>37</v>
      </c>
      <c r="O303" s="48" t="s">
        <v>37</v>
      </c>
      <c r="P303" s="48" t="s">
        <v>35</v>
      </c>
      <c r="Q303" s="48" t="s">
        <v>35</v>
      </c>
      <c r="R303" s="48" t="s">
        <v>37</v>
      </c>
      <c r="S303" s="49" t="s">
        <v>780</v>
      </c>
      <c r="T303" s="50" t="s">
        <v>781</v>
      </c>
      <c r="U303" s="51" t="s">
        <v>781</v>
      </c>
      <c r="V303" s="52">
        <f t="shared" ref="V303:X303" si="308">IF(lenb(SUBSTITUTE($Z303,V$1&amp;" (1)",""))&lt;lenb($Z303),1,IF(lenb(SUBSTITUTE($Z303,V$1&amp;" (2)",""))&lt;lenb($Z303),2,IF(lenb(SUBSTITUTE($Z303,V$1&amp;" (3)",""))&lt;lenb($Z303),3,IF(lenb(SUBSTITUTE($Z303,V$1&amp;" (4)",""))&lt;lenb($Z303),4,IF(lenb(SUBSTITUTE($Z303,V$1&amp;" (5)",""))&lt;lenb($Z303),5,IF(lenb(SUBSTITUTE($Z303,V$1&amp;" (6)",""))&lt;lenb($Z303),6,IF(lenb(SUBSTITUTE($Z303,V$1&amp;" (7)",""))&lt;lenb($Z303),1,IF(lenb(SUBSTITUTE($Z303,V$1&amp;" (8)",""))&lt;lenb($Z303),8,IF(lenb(SUBSTITUTE($Z303,V$1&amp;" (9)",""))&lt;lenb($Z303),9,IF(lenb(SUBSTITUTE($Z303,V$1&amp;" (10)",""))&lt;lenb($Z303),10,IF(lenb(SUBSTITUTE($Z303,V$1,""))&lt;lenb($Z303),"ERROR",IF($Z303=$Y$1,"-",0))))))))))))</f>
        <v>0</v>
      </c>
      <c r="W303" s="52">
        <f t="shared" si="308"/>
        <v>1</v>
      </c>
      <c r="X303" s="52">
        <f t="shared" si="308"/>
        <v>0</v>
      </c>
      <c r="Y303" s="52" t="str">
        <f t="shared" si="3"/>
        <v>-</v>
      </c>
      <c r="Z303" s="52" t="s">
        <v>47</v>
      </c>
      <c r="AA303" s="53">
        <f t="shared" si="4"/>
        <v>1</v>
      </c>
      <c r="AB303" s="54">
        <f>COUNTIFS(Links!B:B,"ICSE",Links!C:C,A303,Links!AD:AD,1)</f>
        <v>0</v>
      </c>
      <c r="AC303" s="55" t="s">
        <v>35</v>
      </c>
      <c r="AD303" s="47" t="str">
        <f t="shared" si="5"/>
        <v>No</v>
      </c>
      <c r="AE303" s="56" t="s">
        <v>36</v>
      </c>
      <c r="AF303" s="57" t="s">
        <v>42</v>
      </c>
      <c r="AG303" s="57" t="s">
        <v>42</v>
      </c>
      <c r="AH303" s="57" t="s">
        <v>42</v>
      </c>
      <c r="AI303" s="49" t="str">
        <f t="shared" si="6"/>
        <v>----</v>
      </c>
      <c r="AJ303" s="58" t="str">
        <f t="shared" si="7"/>
        <v>Paper has link but no statement</v>
      </c>
      <c r="AK303" s="59">
        <v>45034.0</v>
      </c>
      <c r="AL303" s="43" t="s">
        <v>43</v>
      </c>
      <c r="AM303" s="60" t="str">
        <f t="shared" si="8"/>
        <v>[IP1382]</v>
      </c>
    </row>
    <row r="304" ht="67.5" customHeight="1">
      <c r="A304" s="61">
        <v>1383.0</v>
      </c>
      <c r="B304" s="22" t="s">
        <v>782</v>
      </c>
      <c r="C304" s="23">
        <v>2017.0</v>
      </c>
      <c r="D304" s="24" t="s">
        <v>35</v>
      </c>
      <c r="E304" s="25" t="s">
        <v>36</v>
      </c>
      <c r="F304" s="25" t="s">
        <v>36</v>
      </c>
      <c r="G304" s="25" t="s">
        <v>36</v>
      </c>
      <c r="H304" s="25" t="s">
        <v>36</v>
      </c>
      <c r="I304" s="25" t="s">
        <v>36</v>
      </c>
      <c r="J304" s="26" t="s">
        <v>36</v>
      </c>
      <c r="K304" s="27" t="s">
        <v>37</v>
      </c>
      <c r="L304" s="28" t="s">
        <v>35</v>
      </c>
      <c r="M304" s="28" t="s">
        <v>35</v>
      </c>
      <c r="N304" s="28" t="s">
        <v>37</v>
      </c>
      <c r="O304" s="28" t="s">
        <v>37</v>
      </c>
      <c r="P304" s="28" t="s">
        <v>37</v>
      </c>
      <c r="Q304" s="28" t="s">
        <v>35</v>
      </c>
      <c r="R304" s="28" t="s">
        <v>37</v>
      </c>
      <c r="S304" s="29" t="s">
        <v>783</v>
      </c>
      <c r="T304" s="30" t="s">
        <v>784</v>
      </c>
      <c r="U304" s="31" t="s">
        <v>784</v>
      </c>
      <c r="V304" s="32">
        <f t="shared" ref="V304:X304" si="309">IF(lenb(SUBSTITUTE($Z304,V$1&amp;" (1)",""))&lt;lenb($Z304),1,IF(lenb(SUBSTITUTE($Z304,V$1&amp;" (2)",""))&lt;lenb($Z304),2,IF(lenb(SUBSTITUTE($Z304,V$1&amp;" (3)",""))&lt;lenb($Z304),3,IF(lenb(SUBSTITUTE($Z304,V$1&amp;" (4)",""))&lt;lenb($Z304),4,IF(lenb(SUBSTITUTE($Z304,V$1&amp;" (5)",""))&lt;lenb($Z304),5,IF(lenb(SUBSTITUTE($Z304,V$1&amp;" (6)",""))&lt;lenb($Z304),6,IF(lenb(SUBSTITUTE($Z304,V$1&amp;" (7)",""))&lt;lenb($Z304),1,IF(lenb(SUBSTITUTE($Z304,V$1&amp;" (8)",""))&lt;lenb($Z304),8,IF(lenb(SUBSTITUTE($Z304,V$1&amp;" (9)",""))&lt;lenb($Z304),9,IF(lenb(SUBSTITUTE($Z304,V$1&amp;" (10)",""))&lt;lenb($Z304),10,IF(lenb(SUBSTITUTE($Z304,V$1,""))&lt;lenb($Z304),"ERROR",IF($Z304=$Y$1,"-",0))))))))))))</f>
        <v>0</v>
      </c>
      <c r="W304" s="32">
        <f t="shared" si="309"/>
        <v>1</v>
      </c>
      <c r="X304" s="32">
        <f t="shared" si="309"/>
        <v>0</v>
      </c>
      <c r="Y304" s="32" t="str">
        <f t="shared" si="3"/>
        <v>-</v>
      </c>
      <c r="Z304" s="32" t="s">
        <v>785</v>
      </c>
      <c r="AA304" s="33">
        <f t="shared" si="4"/>
        <v>1</v>
      </c>
      <c r="AB304" s="34">
        <f>COUNTIFS(Links!B:B,"ICSE",Links!C:C,A304,Links!AD:AD,1)</f>
        <v>0</v>
      </c>
      <c r="AC304" s="35" t="s">
        <v>35</v>
      </c>
      <c r="AD304" s="27" t="str">
        <f t="shared" si="5"/>
        <v>No</v>
      </c>
      <c r="AE304" s="36" t="s">
        <v>36</v>
      </c>
      <c r="AF304" s="37" t="s">
        <v>42</v>
      </c>
      <c r="AG304" s="37" t="s">
        <v>42</v>
      </c>
      <c r="AH304" s="37" t="s">
        <v>42</v>
      </c>
      <c r="AI304" s="29" t="str">
        <f t="shared" si="6"/>
        <v>----</v>
      </c>
      <c r="AJ304" s="38" t="str">
        <f t="shared" si="7"/>
        <v>Paper has link but no statement</v>
      </c>
      <c r="AK304" s="39">
        <v>45034.0</v>
      </c>
      <c r="AL304" s="23" t="s">
        <v>43</v>
      </c>
      <c r="AM304" s="40" t="str">
        <f t="shared" si="8"/>
        <v>[IP1383]</v>
      </c>
    </row>
    <row r="305" ht="67.5" customHeight="1">
      <c r="A305" s="41">
        <v>1384.0</v>
      </c>
      <c r="B305" s="42" t="s">
        <v>786</v>
      </c>
      <c r="C305" s="43">
        <v>2017.0</v>
      </c>
      <c r="D305" s="44" t="s">
        <v>35</v>
      </c>
      <c r="E305" s="45" t="s">
        <v>36</v>
      </c>
      <c r="F305" s="45" t="s">
        <v>36</v>
      </c>
      <c r="G305" s="45" t="s">
        <v>36</v>
      </c>
      <c r="H305" s="45" t="s">
        <v>36</v>
      </c>
      <c r="I305" s="45" t="s">
        <v>36</v>
      </c>
      <c r="J305" s="46" t="s">
        <v>36</v>
      </c>
      <c r="K305" s="47" t="s">
        <v>37</v>
      </c>
      <c r="L305" s="48" t="s">
        <v>35</v>
      </c>
      <c r="M305" s="48" t="s">
        <v>35</v>
      </c>
      <c r="N305" s="48" t="s">
        <v>35</v>
      </c>
      <c r="O305" s="48" t="s">
        <v>35</v>
      </c>
      <c r="P305" s="48" t="s">
        <v>35</v>
      </c>
      <c r="Q305" s="48" t="s">
        <v>37</v>
      </c>
      <c r="R305" s="48" t="s">
        <v>37</v>
      </c>
      <c r="S305" s="49" t="s">
        <v>787</v>
      </c>
      <c r="T305" s="50" t="s">
        <v>788</v>
      </c>
      <c r="U305" s="51" t="s">
        <v>788</v>
      </c>
      <c r="V305" s="52">
        <f t="shared" ref="V305:X305" si="310">IF(lenb(SUBSTITUTE($Z305,V$1&amp;" (1)",""))&lt;lenb($Z305),1,IF(lenb(SUBSTITUTE($Z305,V$1&amp;" (2)",""))&lt;lenb($Z305),2,IF(lenb(SUBSTITUTE($Z305,V$1&amp;" (3)",""))&lt;lenb($Z305),3,IF(lenb(SUBSTITUTE($Z305,V$1&amp;" (4)",""))&lt;lenb($Z305),4,IF(lenb(SUBSTITUTE($Z305,V$1&amp;" (5)",""))&lt;lenb($Z305),5,IF(lenb(SUBSTITUTE($Z305,V$1&amp;" (6)",""))&lt;lenb($Z305),6,IF(lenb(SUBSTITUTE($Z305,V$1&amp;" (7)",""))&lt;lenb($Z305),1,IF(lenb(SUBSTITUTE($Z305,V$1&amp;" (8)",""))&lt;lenb($Z305),8,IF(lenb(SUBSTITUTE($Z305,V$1&amp;" (9)",""))&lt;lenb($Z305),9,IF(lenb(SUBSTITUTE($Z305,V$1&amp;" (10)",""))&lt;lenb($Z305),10,IF(lenb(SUBSTITUTE($Z305,V$1,""))&lt;lenb($Z305),"ERROR",IF($Z305=$Y$1,"-",0))))))))))))</f>
        <v>1</v>
      </c>
      <c r="W305" s="52">
        <f t="shared" si="310"/>
        <v>0</v>
      </c>
      <c r="X305" s="52">
        <f t="shared" si="310"/>
        <v>0</v>
      </c>
      <c r="Y305" s="52" t="str">
        <f t="shared" si="3"/>
        <v>-</v>
      </c>
      <c r="Z305" s="52" t="s">
        <v>62</v>
      </c>
      <c r="AA305" s="53">
        <f t="shared" si="4"/>
        <v>1</v>
      </c>
      <c r="AB305" s="54">
        <f>COUNTIFS(Links!B:B,"ICSE",Links!C:C,A305,Links!AD:AD,1)</f>
        <v>0</v>
      </c>
      <c r="AC305" s="55" t="s">
        <v>35</v>
      </c>
      <c r="AD305" s="47" t="str">
        <f t="shared" si="5"/>
        <v>Yes</v>
      </c>
      <c r="AE305" s="56" t="s">
        <v>789</v>
      </c>
      <c r="AF305" s="56" t="s">
        <v>281</v>
      </c>
      <c r="AG305" s="57" t="s">
        <v>42</v>
      </c>
      <c r="AH305" s="57" t="s">
        <v>42</v>
      </c>
      <c r="AI305" s="49" t="str">
        <f t="shared" si="6"/>
        <v>Barriers (Confidentiality and privacy)</v>
      </c>
      <c r="AJ305" s="58" t="str">
        <f t="shared" si="7"/>
        <v>Paper has link and statement</v>
      </c>
      <c r="AK305" s="59">
        <v>45034.0</v>
      </c>
      <c r="AL305" s="43" t="s">
        <v>43</v>
      </c>
      <c r="AM305" s="60" t="str">
        <f t="shared" si="8"/>
        <v>[IP1384]</v>
      </c>
    </row>
    <row r="306" ht="67.5" customHeight="1">
      <c r="A306" s="61">
        <v>1385.0</v>
      </c>
      <c r="B306" s="22" t="s">
        <v>790</v>
      </c>
      <c r="C306" s="23">
        <v>2017.0</v>
      </c>
      <c r="D306" s="24" t="s">
        <v>35</v>
      </c>
      <c r="E306" s="25" t="s">
        <v>36</v>
      </c>
      <c r="F306" s="25" t="s">
        <v>36</v>
      </c>
      <c r="G306" s="25" t="s">
        <v>36</v>
      </c>
      <c r="H306" s="25" t="s">
        <v>36</v>
      </c>
      <c r="I306" s="25" t="s">
        <v>36</v>
      </c>
      <c r="J306" s="26" t="s">
        <v>36</v>
      </c>
      <c r="K306" s="27" t="s">
        <v>35</v>
      </c>
      <c r="L306" s="28" t="s">
        <v>36</v>
      </c>
      <c r="M306" s="28" t="s">
        <v>36</v>
      </c>
      <c r="N306" s="28" t="s">
        <v>36</v>
      </c>
      <c r="O306" s="28" t="s">
        <v>36</v>
      </c>
      <c r="P306" s="28" t="s">
        <v>36</v>
      </c>
      <c r="Q306" s="28" t="s">
        <v>36</v>
      </c>
      <c r="R306" s="28" t="s">
        <v>36</v>
      </c>
      <c r="S306" s="29" t="s">
        <v>36</v>
      </c>
      <c r="T306" s="30" t="s">
        <v>36</v>
      </c>
      <c r="U306" s="31" t="s">
        <v>36</v>
      </c>
      <c r="V306" s="32" t="str">
        <f t="shared" ref="V306:X306" si="311">IF(lenb(SUBSTITUTE($Z306,V$1&amp;" (1)",""))&lt;lenb($Z306),1,IF(lenb(SUBSTITUTE($Z306,V$1&amp;" (2)",""))&lt;lenb($Z306),2,IF(lenb(SUBSTITUTE($Z306,V$1&amp;" (3)",""))&lt;lenb($Z306),3,IF(lenb(SUBSTITUTE($Z306,V$1&amp;" (4)",""))&lt;lenb($Z306),4,IF(lenb(SUBSTITUTE($Z306,V$1&amp;" (5)",""))&lt;lenb($Z306),5,IF(lenb(SUBSTITUTE($Z306,V$1&amp;" (6)",""))&lt;lenb($Z306),6,IF(lenb(SUBSTITUTE($Z306,V$1&amp;" (7)",""))&lt;lenb($Z306),1,IF(lenb(SUBSTITUTE($Z306,V$1&amp;" (8)",""))&lt;lenb($Z306),8,IF(lenb(SUBSTITUTE($Z306,V$1&amp;" (9)",""))&lt;lenb($Z306),9,IF(lenb(SUBSTITUTE($Z306,V$1&amp;" (10)",""))&lt;lenb($Z306),10,IF(lenb(SUBSTITUTE($Z306,V$1,""))&lt;lenb($Z306),"ERROR",IF($Z306=$Y$1,"-",0))))))))))))</f>
        <v>-</v>
      </c>
      <c r="W306" s="32" t="str">
        <f t="shared" si="311"/>
        <v>-</v>
      </c>
      <c r="X306" s="32" t="str">
        <f t="shared" si="311"/>
        <v>-</v>
      </c>
      <c r="Y306" s="32">
        <f t="shared" si="3"/>
        <v>1</v>
      </c>
      <c r="Z306" s="32" t="s">
        <v>23</v>
      </c>
      <c r="AA306" s="33">
        <f t="shared" si="4"/>
        <v>0</v>
      </c>
      <c r="AB306" s="34">
        <f>COUNTIFS(Links!B:B,"ICSE",Links!C:C,A306,Links!AD:AD,1)</f>
        <v>0</v>
      </c>
      <c r="AC306" s="35" t="s">
        <v>36</v>
      </c>
      <c r="AD306" s="27" t="str">
        <f t="shared" si="5"/>
        <v>No</v>
      </c>
      <c r="AE306" s="36" t="s">
        <v>36</v>
      </c>
      <c r="AF306" s="37" t="s">
        <v>42</v>
      </c>
      <c r="AG306" s="37" t="s">
        <v>42</v>
      </c>
      <c r="AH306" s="37" t="s">
        <v>42</v>
      </c>
      <c r="AI306" s="29" t="str">
        <f t="shared" si="6"/>
        <v>----</v>
      </c>
      <c r="AJ306" s="38" t="str">
        <f t="shared" si="7"/>
        <v>Paper has no link and no statement</v>
      </c>
      <c r="AK306" s="39">
        <v>45034.0</v>
      </c>
      <c r="AL306" s="23" t="s">
        <v>43</v>
      </c>
      <c r="AM306" s="40" t="str">
        <f t="shared" si="8"/>
        <v>[IP1385]</v>
      </c>
    </row>
    <row r="307" ht="67.5" customHeight="1">
      <c r="A307" s="41">
        <v>1386.0</v>
      </c>
      <c r="B307" s="42" t="s">
        <v>791</v>
      </c>
      <c r="C307" s="43">
        <v>2017.0</v>
      </c>
      <c r="D307" s="44" t="s">
        <v>35</v>
      </c>
      <c r="E307" s="45" t="s">
        <v>36</v>
      </c>
      <c r="F307" s="45" t="s">
        <v>36</v>
      </c>
      <c r="G307" s="45" t="s">
        <v>36</v>
      </c>
      <c r="H307" s="45" t="s">
        <v>36</v>
      </c>
      <c r="I307" s="45" t="s">
        <v>36</v>
      </c>
      <c r="J307" s="46" t="s">
        <v>36</v>
      </c>
      <c r="K307" s="47" t="s">
        <v>37</v>
      </c>
      <c r="L307" s="48" t="s">
        <v>35</v>
      </c>
      <c r="M307" s="48" t="s">
        <v>37</v>
      </c>
      <c r="N307" s="48" t="s">
        <v>37</v>
      </c>
      <c r="O307" s="48" t="s">
        <v>35</v>
      </c>
      <c r="P307" s="48" t="s">
        <v>35</v>
      </c>
      <c r="Q307" s="48" t="s">
        <v>35</v>
      </c>
      <c r="R307" s="48" t="s">
        <v>35</v>
      </c>
      <c r="S307" s="49" t="s">
        <v>792</v>
      </c>
      <c r="T307" s="50" t="s">
        <v>793</v>
      </c>
      <c r="U307" s="51" t="s">
        <v>793</v>
      </c>
      <c r="V307" s="52">
        <f t="shared" ref="V307:X307" si="312">IF(lenb(SUBSTITUTE($Z307,V$1&amp;" (1)",""))&lt;lenb($Z307),1,IF(lenb(SUBSTITUTE($Z307,V$1&amp;" (2)",""))&lt;lenb($Z307),2,IF(lenb(SUBSTITUTE($Z307,V$1&amp;" (3)",""))&lt;lenb($Z307),3,IF(lenb(SUBSTITUTE($Z307,V$1&amp;" (4)",""))&lt;lenb($Z307),4,IF(lenb(SUBSTITUTE($Z307,V$1&amp;" (5)",""))&lt;lenb($Z307),5,IF(lenb(SUBSTITUTE($Z307,V$1&amp;" (6)",""))&lt;lenb($Z307),6,IF(lenb(SUBSTITUTE($Z307,V$1&amp;" (7)",""))&lt;lenb($Z307),1,IF(lenb(SUBSTITUTE($Z307,V$1&amp;" (8)",""))&lt;lenb($Z307),8,IF(lenb(SUBSTITUTE($Z307,V$1&amp;" (9)",""))&lt;lenb($Z307),9,IF(lenb(SUBSTITUTE($Z307,V$1&amp;" (10)",""))&lt;lenb($Z307),10,IF(lenb(SUBSTITUTE($Z307,V$1,""))&lt;lenb($Z307),"ERROR",IF($Z307=$Y$1,"-",0))))))))))))</f>
        <v>0</v>
      </c>
      <c r="W307" s="52">
        <f t="shared" si="312"/>
        <v>1</v>
      </c>
      <c r="X307" s="52">
        <f t="shared" si="312"/>
        <v>0</v>
      </c>
      <c r="Y307" s="52" t="str">
        <f t="shared" si="3"/>
        <v>-</v>
      </c>
      <c r="Z307" s="52" t="s">
        <v>47</v>
      </c>
      <c r="AA307" s="53">
        <f t="shared" si="4"/>
        <v>1</v>
      </c>
      <c r="AB307" s="54">
        <f>COUNTIFS(Links!B:B,"ICSE",Links!C:C,A307,Links!AD:AD,1)</f>
        <v>1</v>
      </c>
      <c r="AC307" s="55" t="s">
        <v>35</v>
      </c>
      <c r="AD307" s="47" t="str">
        <f t="shared" si="5"/>
        <v>No</v>
      </c>
      <c r="AE307" s="56" t="s">
        <v>36</v>
      </c>
      <c r="AF307" s="57" t="s">
        <v>42</v>
      </c>
      <c r="AG307" s="57" t="s">
        <v>42</v>
      </c>
      <c r="AH307" s="57" t="s">
        <v>42</v>
      </c>
      <c r="AI307" s="49" t="str">
        <f t="shared" si="6"/>
        <v>----</v>
      </c>
      <c r="AJ307" s="58" t="str">
        <f t="shared" si="7"/>
        <v>Paper has link but no statement</v>
      </c>
      <c r="AK307" s="59">
        <v>45034.0</v>
      </c>
      <c r="AL307" s="43" t="s">
        <v>43</v>
      </c>
      <c r="AM307" s="60" t="str">
        <f t="shared" si="8"/>
        <v>[IP1386]</v>
      </c>
    </row>
    <row r="308" ht="67.5" customHeight="1">
      <c r="A308" s="61">
        <v>1387.0</v>
      </c>
      <c r="B308" s="22" t="s">
        <v>794</v>
      </c>
      <c r="C308" s="23">
        <v>2017.0</v>
      </c>
      <c r="D308" s="24" t="s">
        <v>35</v>
      </c>
      <c r="E308" s="25" t="s">
        <v>36</v>
      </c>
      <c r="F308" s="25" t="s">
        <v>36</v>
      </c>
      <c r="G308" s="25" t="s">
        <v>36</v>
      </c>
      <c r="H308" s="25" t="s">
        <v>36</v>
      </c>
      <c r="I308" s="25" t="s">
        <v>36</v>
      </c>
      <c r="J308" s="26" t="s">
        <v>36</v>
      </c>
      <c r="K308" s="27" t="s">
        <v>37</v>
      </c>
      <c r="L308" s="28" t="s">
        <v>37</v>
      </c>
      <c r="M308" s="28" t="s">
        <v>35</v>
      </c>
      <c r="N308" s="28" t="s">
        <v>35</v>
      </c>
      <c r="O308" s="28" t="s">
        <v>35</v>
      </c>
      <c r="P308" s="28" t="s">
        <v>35</v>
      </c>
      <c r="Q308" s="28" t="s">
        <v>35</v>
      </c>
      <c r="R308" s="28" t="s">
        <v>37</v>
      </c>
      <c r="S308" s="29" t="s">
        <v>795</v>
      </c>
      <c r="T308" s="30" t="s">
        <v>796</v>
      </c>
      <c r="U308" s="30" t="s">
        <v>796</v>
      </c>
      <c r="V308" s="32">
        <f t="shared" ref="V308:X308" si="313">IF(lenb(SUBSTITUTE($Z308,V$1&amp;" (1)",""))&lt;lenb($Z308),1,IF(lenb(SUBSTITUTE($Z308,V$1&amp;" (2)",""))&lt;lenb($Z308),2,IF(lenb(SUBSTITUTE($Z308,V$1&amp;" (3)",""))&lt;lenb($Z308),3,IF(lenb(SUBSTITUTE($Z308,V$1&amp;" (4)",""))&lt;lenb($Z308),4,IF(lenb(SUBSTITUTE($Z308,V$1&amp;" (5)",""))&lt;lenb($Z308),5,IF(lenb(SUBSTITUTE($Z308,V$1&amp;" (6)",""))&lt;lenb($Z308),6,IF(lenb(SUBSTITUTE($Z308,V$1&amp;" (7)",""))&lt;lenb($Z308),1,IF(lenb(SUBSTITUTE($Z308,V$1&amp;" (8)",""))&lt;lenb($Z308),8,IF(lenb(SUBSTITUTE($Z308,V$1&amp;" (9)",""))&lt;lenb($Z308),9,IF(lenb(SUBSTITUTE($Z308,V$1&amp;" (10)",""))&lt;lenb($Z308),10,IF(lenb(SUBSTITUTE($Z308,V$1,""))&lt;lenb($Z308),"ERROR",IF($Z308=$Y$1,"-",0))))))))))))</f>
        <v>1</v>
      </c>
      <c r="W308" s="32">
        <f t="shared" si="313"/>
        <v>0</v>
      </c>
      <c r="X308" s="32">
        <f t="shared" si="313"/>
        <v>0</v>
      </c>
      <c r="Y308" s="32" t="str">
        <f t="shared" si="3"/>
        <v>-</v>
      </c>
      <c r="Z308" s="32" t="s">
        <v>62</v>
      </c>
      <c r="AA308" s="33">
        <f t="shared" si="4"/>
        <v>1</v>
      </c>
      <c r="AB308" s="34">
        <f>COUNTIFS(Links!B:B,"ICSE",Links!C:C,A308,Links!AD:AD,1)</f>
        <v>0</v>
      </c>
      <c r="AC308" s="35" t="s">
        <v>35</v>
      </c>
      <c r="AD308" s="27" t="str">
        <f t="shared" si="5"/>
        <v>No</v>
      </c>
      <c r="AE308" s="36" t="s">
        <v>36</v>
      </c>
      <c r="AF308" s="37" t="s">
        <v>42</v>
      </c>
      <c r="AG308" s="37" t="s">
        <v>42</v>
      </c>
      <c r="AH308" s="37" t="s">
        <v>42</v>
      </c>
      <c r="AI308" s="29" t="str">
        <f t="shared" si="6"/>
        <v>----</v>
      </c>
      <c r="AJ308" s="38" t="str">
        <f t="shared" si="7"/>
        <v>Paper has link but no statement</v>
      </c>
      <c r="AK308" s="39">
        <v>45034.0</v>
      </c>
      <c r="AL308" s="23" t="s">
        <v>43</v>
      </c>
      <c r="AM308" s="40" t="str">
        <f t="shared" si="8"/>
        <v>[IP1387]</v>
      </c>
    </row>
    <row r="309" ht="67.5" customHeight="1">
      <c r="A309" s="41">
        <v>1388.0</v>
      </c>
      <c r="B309" s="42" t="s">
        <v>797</v>
      </c>
      <c r="C309" s="43">
        <v>2017.0</v>
      </c>
      <c r="D309" s="44" t="s">
        <v>35</v>
      </c>
      <c r="E309" s="45" t="s">
        <v>36</v>
      </c>
      <c r="F309" s="45" t="s">
        <v>36</v>
      </c>
      <c r="G309" s="45" t="s">
        <v>36</v>
      </c>
      <c r="H309" s="45" t="s">
        <v>36</v>
      </c>
      <c r="I309" s="45" t="s">
        <v>36</v>
      </c>
      <c r="J309" s="46" t="s">
        <v>36</v>
      </c>
      <c r="K309" s="47" t="s">
        <v>35</v>
      </c>
      <c r="L309" s="48" t="s">
        <v>36</v>
      </c>
      <c r="M309" s="48" t="s">
        <v>36</v>
      </c>
      <c r="N309" s="48" t="s">
        <v>36</v>
      </c>
      <c r="O309" s="48" t="s">
        <v>36</v>
      </c>
      <c r="P309" s="48" t="s">
        <v>36</v>
      </c>
      <c r="Q309" s="48" t="s">
        <v>36</v>
      </c>
      <c r="R309" s="48" t="s">
        <v>36</v>
      </c>
      <c r="S309" s="49" t="s">
        <v>36</v>
      </c>
      <c r="T309" s="50" t="s">
        <v>36</v>
      </c>
      <c r="U309" s="51" t="s">
        <v>36</v>
      </c>
      <c r="V309" s="52" t="str">
        <f t="shared" ref="V309:X309" si="314">IF(lenb(SUBSTITUTE($Z309,V$1&amp;" (1)",""))&lt;lenb($Z309),1,IF(lenb(SUBSTITUTE($Z309,V$1&amp;" (2)",""))&lt;lenb($Z309),2,IF(lenb(SUBSTITUTE($Z309,V$1&amp;" (3)",""))&lt;lenb($Z309),3,IF(lenb(SUBSTITUTE($Z309,V$1&amp;" (4)",""))&lt;lenb($Z309),4,IF(lenb(SUBSTITUTE($Z309,V$1&amp;" (5)",""))&lt;lenb($Z309),5,IF(lenb(SUBSTITUTE($Z309,V$1&amp;" (6)",""))&lt;lenb($Z309),6,IF(lenb(SUBSTITUTE($Z309,V$1&amp;" (7)",""))&lt;lenb($Z309),1,IF(lenb(SUBSTITUTE($Z309,V$1&amp;" (8)",""))&lt;lenb($Z309),8,IF(lenb(SUBSTITUTE($Z309,V$1&amp;" (9)",""))&lt;lenb($Z309),9,IF(lenb(SUBSTITUTE($Z309,V$1&amp;" (10)",""))&lt;lenb($Z309),10,IF(lenb(SUBSTITUTE($Z309,V$1,""))&lt;lenb($Z309),"ERROR",IF($Z309=$Y$1,"-",0))))))))))))</f>
        <v>-</v>
      </c>
      <c r="W309" s="52" t="str">
        <f t="shared" si="314"/>
        <v>-</v>
      </c>
      <c r="X309" s="52" t="str">
        <f t="shared" si="314"/>
        <v>-</v>
      </c>
      <c r="Y309" s="52">
        <f t="shared" si="3"/>
        <v>1</v>
      </c>
      <c r="Z309" s="52" t="s">
        <v>23</v>
      </c>
      <c r="AA309" s="53">
        <f t="shared" si="4"/>
        <v>0</v>
      </c>
      <c r="AB309" s="54">
        <f>COUNTIFS(Links!B:B,"ICSE",Links!C:C,A309,Links!AD:AD,1)</f>
        <v>0</v>
      </c>
      <c r="AC309" s="55" t="s">
        <v>36</v>
      </c>
      <c r="AD309" s="47" t="str">
        <f t="shared" si="5"/>
        <v>No</v>
      </c>
      <c r="AE309" s="56" t="s">
        <v>36</v>
      </c>
      <c r="AF309" s="57" t="s">
        <v>42</v>
      </c>
      <c r="AG309" s="57" t="s">
        <v>42</v>
      </c>
      <c r="AH309" s="57" t="s">
        <v>42</v>
      </c>
      <c r="AI309" s="49" t="str">
        <f t="shared" si="6"/>
        <v>----</v>
      </c>
      <c r="AJ309" s="58" t="str">
        <f t="shared" si="7"/>
        <v>Paper has no link and no statement</v>
      </c>
      <c r="AK309" s="59">
        <v>45034.0</v>
      </c>
      <c r="AL309" s="43" t="s">
        <v>43</v>
      </c>
      <c r="AM309" s="60" t="str">
        <f t="shared" si="8"/>
        <v>[IP1388]</v>
      </c>
    </row>
    <row r="310" ht="67.5" customHeight="1">
      <c r="A310" s="61">
        <v>1389.0</v>
      </c>
      <c r="B310" s="22" t="s">
        <v>798</v>
      </c>
      <c r="C310" s="23">
        <v>2017.0</v>
      </c>
      <c r="D310" s="24" t="s">
        <v>35</v>
      </c>
      <c r="E310" s="25" t="s">
        <v>36</v>
      </c>
      <c r="F310" s="25" t="s">
        <v>36</v>
      </c>
      <c r="G310" s="25" t="s">
        <v>36</v>
      </c>
      <c r="H310" s="25" t="s">
        <v>36</v>
      </c>
      <c r="I310" s="25" t="s">
        <v>36</v>
      </c>
      <c r="J310" s="26" t="s">
        <v>36</v>
      </c>
      <c r="K310" s="27" t="s">
        <v>37</v>
      </c>
      <c r="L310" s="28" t="s">
        <v>35</v>
      </c>
      <c r="M310" s="28" t="s">
        <v>35</v>
      </c>
      <c r="N310" s="28" t="s">
        <v>35</v>
      </c>
      <c r="O310" s="28" t="s">
        <v>35</v>
      </c>
      <c r="P310" s="28" t="s">
        <v>35</v>
      </c>
      <c r="Q310" s="28" t="s">
        <v>35</v>
      </c>
      <c r="R310" s="28" t="s">
        <v>37</v>
      </c>
      <c r="S310" s="29" t="s">
        <v>799</v>
      </c>
      <c r="T310" s="30" t="s">
        <v>800</v>
      </c>
      <c r="U310" s="31" t="s">
        <v>800</v>
      </c>
      <c r="V310" s="32">
        <f t="shared" ref="V310:X310" si="315">IF(lenb(SUBSTITUTE($Z310,V$1&amp;" (1)",""))&lt;lenb($Z310),1,IF(lenb(SUBSTITUTE($Z310,V$1&amp;" (2)",""))&lt;lenb($Z310),2,IF(lenb(SUBSTITUTE($Z310,V$1&amp;" (3)",""))&lt;lenb($Z310),3,IF(lenb(SUBSTITUTE($Z310,V$1&amp;" (4)",""))&lt;lenb($Z310),4,IF(lenb(SUBSTITUTE($Z310,V$1&amp;" (5)",""))&lt;lenb($Z310),5,IF(lenb(SUBSTITUTE($Z310,V$1&amp;" (6)",""))&lt;lenb($Z310),6,IF(lenb(SUBSTITUTE($Z310,V$1&amp;" (7)",""))&lt;lenb($Z310),1,IF(lenb(SUBSTITUTE($Z310,V$1&amp;" (8)",""))&lt;lenb($Z310),8,IF(lenb(SUBSTITUTE($Z310,V$1&amp;" (9)",""))&lt;lenb($Z310),9,IF(lenb(SUBSTITUTE($Z310,V$1&amp;" (10)",""))&lt;lenb($Z310),10,IF(lenb(SUBSTITUTE($Z310,V$1,""))&lt;lenb($Z310),"ERROR",IF($Z310=$Y$1,"-",0))))))))))))</f>
        <v>1</v>
      </c>
      <c r="W310" s="32">
        <f t="shared" si="315"/>
        <v>0</v>
      </c>
      <c r="X310" s="32">
        <f t="shared" si="315"/>
        <v>0</v>
      </c>
      <c r="Y310" s="32" t="str">
        <f t="shared" si="3"/>
        <v>-</v>
      </c>
      <c r="Z310" s="32" t="s">
        <v>62</v>
      </c>
      <c r="AA310" s="33">
        <f t="shared" si="4"/>
        <v>1</v>
      </c>
      <c r="AB310" s="34">
        <f>COUNTIFS(Links!B:B,"ICSE",Links!C:C,A310,Links!AD:AD,1)</f>
        <v>0</v>
      </c>
      <c r="AC310" s="35" t="s">
        <v>35</v>
      </c>
      <c r="AD310" s="27" t="str">
        <f t="shared" si="5"/>
        <v>No</v>
      </c>
      <c r="AE310" s="36" t="s">
        <v>36</v>
      </c>
      <c r="AF310" s="37" t="s">
        <v>42</v>
      </c>
      <c r="AG310" s="37" t="s">
        <v>42</v>
      </c>
      <c r="AH310" s="37" t="s">
        <v>42</v>
      </c>
      <c r="AI310" s="29" t="str">
        <f t="shared" si="6"/>
        <v>----</v>
      </c>
      <c r="AJ310" s="38" t="str">
        <f t="shared" si="7"/>
        <v>Paper has link but no statement</v>
      </c>
      <c r="AK310" s="39">
        <v>45034.0</v>
      </c>
      <c r="AL310" s="23" t="s">
        <v>43</v>
      </c>
      <c r="AM310" s="40" t="str">
        <f t="shared" si="8"/>
        <v>[IP1389]</v>
      </c>
    </row>
    <row r="311" ht="67.5" customHeight="1">
      <c r="A311" s="41">
        <v>1390.0</v>
      </c>
      <c r="B311" s="42" t="s">
        <v>801</v>
      </c>
      <c r="C311" s="43">
        <v>2017.0</v>
      </c>
      <c r="D311" s="44" t="s">
        <v>35</v>
      </c>
      <c r="E311" s="45" t="s">
        <v>36</v>
      </c>
      <c r="F311" s="45" t="s">
        <v>36</v>
      </c>
      <c r="G311" s="45" t="s">
        <v>36</v>
      </c>
      <c r="H311" s="45" t="s">
        <v>36</v>
      </c>
      <c r="I311" s="45" t="s">
        <v>36</v>
      </c>
      <c r="J311" s="46" t="s">
        <v>36</v>
      </c>
      <c r="K311" s="47" t="s">
        <v>37</v>
      </c>
      <c r="L311" s="48" t="s">
        <v>37</v>
      </c>
      <c r="M311" s="48" t="s">
        <v>35</v>
      </c>
      <c r="N311" s="48" t="s">
        <v>37</v>
      </c>
      <c r="O311" s="48" t="s">
        <v>35</v>
      </c>
      <c r="P311" s="48" t="s">
        <v>35</v>
      </c>
      <c r="Q311" s="48" t="s">
        <v>35</v>
      </c>
      <c r="R311" s="48" t="s">
        <v>35</v>
      </c>
      <c r="S311" s="49" t="s">
        <v>802</v>
      </c>
      <c r="T311" s="50" t="s">
        <v>803</v>
      </c>
      <c r="U311" s="51" t="s">
        <v>803</v>
      </c>
      <c r="V311" s="52">
        <f t="shared" ref="V311:X311" si="316">IF(lenb(SUBSTITUTE($Z311,V$1&amp;" (1)",""))&lt;lenb($Z311),1,IF(lenb(SUBSTITUTE($Z311,V$1&amp;" (2)",""))&lt;lenb($Z311),2,IF(lenb(SUBSTITUTE($Z311,V$1&amp;" (3)",""))&lt;lenb($Z311),3,IF(lenb(SUBSTITUTE($Z311,V$1&amp;" (4)",""))&lt;lenb($Z311),4,IF(lenb(SUBSTITUTE($Z311,V$1&amp;" (5)",""))&lt;lenb($Z311),5,IF(lenb(SUBSTITUTE($Z311,V$1&amp;" (6)",""))&lt;lenb($Z311),6,IF(lenb(SUBSTITUTE($Z311,V$1&amp;" (7)",""))&lt;lenb($Z311),1,IF(lenb(SUBSTITUTE($Z311,V$1&amp;" (8)",""))&lt;lenb($Z311),8,IF(lenb(SUBSTITUTE($Z311,V$1&amp;" (9)",""))&lt;lenb($Z311),9,IF(lenb(SUBSTITUTE($Z311,V$1&amp;" (10)",""))&lt;lenb($Z311),10,IF(lenb(SUBSTITUTE($Z311,V$1,""))&lt;lenb($Z311),"ERROR",IF($Z311=$Y$1,"-",0))))))))))))</f>
        <v>1</v>
      </c>
      <c r="W311" s="52">
        <f t="shared" si="316"/>
        <v>0</v>
      </c>
      <c r="X311" s="52">
        <f t="shared" si="316"/>
        <v>0</v>
      </c>
      <c r="Y311" s="52" t="str">
        <f t="shared" si="3"/>
        <v>-</v>
      </c>
      <c r="Z311" s="52" t="s">
        <v>62</v>
      </c>
      <c r="AA311" s="53">
        <f t="shared" si="4"/>
        <v>1</v>
      </c>
      <c r="AB311" s="54">
        <f>COUNTIFS(Links!B:B,"ICSE",Links!C:C,A311,Links!AD:AD,1)</f>
        <v>0</v>
      </c>
      <c r="AC311" s="55" t="s">
        <v>35</v>
      </c>
      <c r="AD311" s="47" t="str">
        <f t="shared" si="5"/>
        <v>No</v>
      </c>
      <c r="AE311" s="56" t="s">
        <v>36</v>
      </c>
      <c r="AF311" s="57" t="s">
        <v>42</v>
      </c>
      <c r="AG311" s="57" t="s">
        <v>42</v>
      </c>
      <c r="AH311" s="57" t="s">
        <v>42</v>
      </c>
      <c r="AI311" s="49" t="str">
        <f t="shared" si="6"/>
        <v>----</v>
      </c>
      <c r="AJ311" s="58" t="str">
        <f t="shared" si="7"/>
        <v>Paper has link but no statement</v>
      </c>
      <c r="AK311" s="59">
        <v>45034.0</v>
      </c>
      <c r="AL311" s="43" t="s">
        <v>43</v>
      </c>
      <c r="AM311" s="60" t="str">
        <f t="shared" si="8"/>
        <v>[IP1390]</v>
      </c>
    </row>
    <row r="312" ht="67.5" customHeight="1">
      <c r="A312" s="61">
        <v>1391.0</v>
      </c>
      <c r="B312" s="22" t="s">
        <v>804</v>
      </c>
      <c r="C312" s="23">
        <v>2017.0</v>
      </c>
      <c r="D312" s="24" t="s">
        <v>35</v>
      </c>
      <c r="E312" s="25" t="s">
        <v>36</v>
      </c>
      <c r="F312" s="25" t="s">
        <v>36</v>
      </c>
      <c r="G312" s="25" t="s">
        <v>36</v>
      </c>
      <c r="H312" s="25" t="s">
        <v>36</v>
      </c>
      <c r="I312" s="25" t="s">
        <v>36</v>
      </c>
      <c r="J312" s="26" t="s">
        <v>36</v>
      </c>
      <c r="K312" s="27" t="s">
        <v>37</v>
      </c>
      <c r="L312" s="28" t="s">
        <v>35</v>
      </c>
      <c r="M312" s="28" t="s">
        <v>35</v>
      </c>
      <c r="N312" s="28" t="s">
        <v>35</v>
      </c>
      <c r="O312" s="28" t="s">
        <v>35</v>
      </c>
      <c r="P312" s="28" t="s">
        <v>35</v>
      </c>
      <c r="Q312" s="28" t="s">
        <v>35</v>
      </c>
      <c r="R312" s="28" t="s">
        <v>37</v>
      </c>
      <c r="S312" s="29" t="s">
        <v>805</v>
      </c>
      <c r="T312" s="30" t="s">
        <v>806</v>
      </c>
      <c r="U312" s="31" t="s">
        <v>806</v>
      </c>
      <c r="V312" s="32">
        <f t="shared" ref="V312:X312" si="317">IF(lenb(SUBSTITUTE($Z312,V$1&amp;" (1)",""))&lt;lenb($Z312),1,IF(lenb(SUBSTITUTE($Z312,V$1&amp;" (2)",""))&lt;lenb($Z312),2,IF(lenb(SUBSTITUTE($Z312,V$1&amp;" (3)",""))&lt;lenb($Z312),3,IF(lenb(SUBSTITUTE($Z312,V$1&amp;" (4)",""))&lt;lenb($Z312),4,IF(lenb(SUBSTITUTE($Z312,V$1&amp;" (5)",""))&lt;lenb($Z312),5,IF(lenb(SUBSTITUTE($Z312,V$1&amp;" (6)",""))&lt;lenb($Z312),6,IF(lenb(SUBSTITUTE($Z312,V$1&amp;" (7)",""))&lt;lenb($Z312),1,IF(lenb(SUBSTITUTE($Z312,V$1&amp;" (8)",""))&lt;lenb($Z312),8,IF(lenb(SUBSTITUTE($Z312,V$1&amp;" (9)",""))&lt;lenb($Z312),9,IF(lenb(SUBSTITUTE($Z312,V$1&amp;" (10)",""))&lt;lenb($Z312),10,IF(lenb(SUBSTITUTE($Z312,V$1,""))&lt;lenb($Z312),"ERROR",IF($Z312=$Y$1,"-",0))))))))))))</f>
        <v>0</v>
      </c>
      <c r="W312" s="32">
        <f t="shared" si="317"/>
        <v>1</v>
      </c>
      <c r="X312" s="32">
        <f t="shared" si="317"/>
        <v>0</v>
      </c>
      <c r="Y312" s="32" t="str">
        <f t="shared" si="3"/>
        <v>-</v>
      </c>
      <c r="Z312" s="32" t="s">
        <v>807</v>
      </c>
      <c r="AA312" s="33">
        <f t="shared" si="4"/>
        <v>1</v>
      </c>
      <c r="AB312" s="34">
        <f>COUNTIFS(Links!B:B,"ICSE",Links!C:C,A312,Links!AD:AD,1)</f>
        <v>1</v>
      </c>
      <c r="AC312" s="35" t="s">
        <v>35</v>
      </c>
      <c r="AD312" s="27" t="str">
        <f t="shared" si="5"/>
        <v>No</v>
      </c>
      <c r="AE312" s="36" t="s">
        <v>36</v>
      </c>
      <c r="AF312" s="37" t="s">
        <v>42</v>
      </c>
      <c r="AG312" s="37" t="s">
        <v>42</v>
      </c>
      <c r="AH312" s="37" t="s">
        <v>42</v>
      </c>
      <c r="AI312" s="29" t="str">
        <f t="shared" si="6"/>
        <v>----</v>
      </c>
      <c r="AJ312" s="38" t="str">
        <f t="shared" si="7"/>
        <v>Paper has link but no statement</v>
      </c>
      <c r="AK312" s="39">
        <v>45034.0</v>
      </c>
      <c r="AL312" s="23" t="s">
        <v>43</v>
      </c>
      <c r="AM312" s="40" t="str">
        <f t="shared" si="8"/>
        <v>[IP1391]</v>
      </c>
    </row>
    <row r="313" ht="67.5" customHeight="1">
      <c r="A313" s="41">
        <v>1392.0</v>
      </c>
      <c r="B313" s="42" t="s">
        <v>808</v>
      </c>
      <c r="C313" s="43">
        <v>2017.0</v>
      </c>
      <c r="D313" s="44" t="s">
        <v>35</v>
      </c>
      <c r="E313" s="45" t="s">
        <v>36</v>
      </c>
      <c r="F313" s="45" t="s">
        <v>36</v>
      </c>
      <c r="G313" s="45" t="s">
        <v>36</v>
      </c>
      <c r="H313" s="45" t="s">
        <v>36</v>
      </c>
      <c r="I313" s="45" t="s">
        <v>36</v>
      </c>
      <c r="J313" s="46" t="s">
        <v>36</v>
      </c>
      <c r="K313" s="47" t="s">
        <v>37</v>
      </c>
      <c r="L313" s="48" t="s">
        <v>37</v>
      </c>
      <c r="M313" s="48" t="s">
        <v>35</v>
      </c>
      <c r="N313" s="48" t="s">
        <v>35</v>
      </c>
      <c r="O313" s="48" t="s">
        <v>37</v>
      </c>
      <c r="P313" s="48" t="s">
        <v>35</v>
      </c>
      <c r="Q313" s="48" t="s">
        <v>35</v>
      </c>
      <c r="R313" s="48" t="s">
        <v>37</v>
      </c>
      <c r="S313" s="49" t="s">
        <v>809</v>
      </c>
      <c r="T313" s="50" t="s">
        <v>810</v>
      </c>
      <c r="U313" s="51" t="s">
        <v>810</v>
      </c>
      <c r="V313" s="52">
        <f t="shared" ref="V313:X313" si="318">IF(lenb(SUBSTITUTE($Z313,V$1&amp;" (1)",""))&lt;lenb($Z313),1,IF(lenb(SUBSTITUTE($Z313,V$1&amp;" (2)",""))&lt;lenb($Z313),2,IF(lenb(SUBSTITUTE($Z313,V$1&amp;" (3)",""))&lt;lenb($Z313),3,IF(lenb(SUBSTITUTE($Z313,V$1&amp;" (4)",""))&lt;lenb($Z313),4,IF(lenb(SUBSTITUTE($Z313,V$1&amp;" (5)",""))&lt;lenb($Z313),5,IF(lenb(SUBSTITUTE($Z313,V$1&amp;" (6)",""))&lt;lenb($Z313),6,IF(lenb(SUBSTITUTE($Z313,V$1&amp;" (7)",""))&lt;lenb($Z313),1,IF(lenb(SUBSTITUTE($Z313,V$1&amp;" (8)",""))&lt;lenb($Z313),8,IF(lenb(SUBSTITUTE($Z313,V$1&amp;" (9)",""))&lt;lenb($Z313),9,IF(lenb(SUBSTITUTE($Z313,V$1&amp;" (10)",""))&lt;lenb($Z313),10,IF(lenb(SUBSTITUTE($Z313,V$1,""))&lt;lenb($Z313),"ERROR",IF($Z313=$Y$1,"-",0))))))))))))</f>
        <v>0</v>
      </c>
      <c r="W313" s="52">
        <f t="shared" si="318"/>
        <v>1</v>
      </c>
      <c r="X313" s="52">
        <f t="shared" si="318"/>
        <v>0</v>
      </c>
      <c r="Y313" s="52" t="str">
        <f t="shared" si="3"/>
        <v>-</v>
      </c>
      <c r="Z313" s="52" t="s">
        <v>811</v>
      </c>
      <c r="AA313" s="53">
        <f t="shared" si="4"/>
        <v>1</v>
      </c>
      <c r="AB313" s="54">
        <f>COUNTIFS(Links!B:B,"ICSE",Links!C:C,A313,Links!AD:AD,1)</f>
        <v>1</v>
      </c>
      <c r="AC313" s="55" t="s">
        <v>35</v>
      </c>
      <c r="AD313" s="47" t="str">
        <f t="shared" si="5"/>
        <v>No</v>
      </c>
      <c r="AE313" s="56" t="s">
        <v>36</v>
      </c>
      <c r="AF313" s="57" t="s">
        <v>42</v>
      </c>
      <c r="AG313" s="57" t="s">
        <v>42</v>
      </c>
      <c r="AH313" s="57" t="s">
        <v>42</v>
      </c>
      <c r="AI313" s="49" t="str">
        <f t="shared" si="6"/>
        <v>----</v>
      </c>
      <c r="AJ313" s="58" t="str">
        <f t="shared" si="7"/>
        <v>Paper has link but no statement</v>
      </c>
      <c r="AK313" s="59">
        <v>45034.0</v>
      </c>
      <c r="AL313" s="43" t="s">
        <v>43</v>
      </c>
      <c r="AM313" s="60" t="str">
        <f t="shared" si="8"/>
        <v>[IP1392]</v>
      </c>
    </row>
    <row r="314" ht="67.5" customHeight="1">
      <c r="A314" s="61">
        <v>1393.0</v>
      </c>
      <c r="B314" s="22" t="s">
        <v>812</v>
      </c>
      <c r="C314" s="23">
        <v>2017.0</v>
      </c>
      <c r="D314" s="24" t="s">
        <v>35</v>
      </c>
      <c r="E314" s="25" t="s">
        <v>36</v>
      </c>
      <c r="F314" s="25" t="s">
        <v>36</v>
      </c>
      <c r="G314" s="25" t="s">
        <v>36</v>
      </c>
      <c r="H314" s="25" t="s">
        <v>36</v>
      </c>
      <c r="I314" s="25" t="s">
        <v>36</v>
      </c>
      <c r="J314" s="26" t="s">
        <v>36</v>
      </c>
      <c r="K314" s="27" t="s">
        <v>37</v>
      </c>
      <c r="L314" s="28" t="s">
        <v>35</v>
      </c>
      <c r="M314" s="28" t="s">
        <v>35</v>
      </c>
      <c r="N314" s="28" t="s">
        <v>37</v>
      </c>
      <c r="O314" s="28" t="s">
        <v>35</v>
      </c>
      <c r="P314" s="28" t="s">
        <v>35</v>
      </c>
      <c r="Q314" s="28" t="s">
        <v>35</v>
      </c>
      <c r="R314" s="28" t="s">
        <v>35</v>
      </c>
      <c r="S314" s="29" t="s">
        <v>289</v>
      </c>
      <c r="T314" s="30" t="s">
        <v>813</v>
      </c>
      <c r="U314" s="31" t="s">
        <v>813</v>
      </c>
      <c r="V314" s="32">
        <f t="shared" ref="V314:X314" si="319">IF(lenb(SUBSTITUTE($Z314,V$1&amp;" (1)",""))&lt;lenb($Z314),1,IF(lenb(SUBSTITUTE($Z314,V$1&amp;" (2)",""))&lt;lenb($Z314),2,IF(lenb(SUBSTITUTE($Z314,V$1&amp;" (3)",""))&lt;lenb($Z314),3,IF(lenb(SUBSTITUTE($Z314,V$1&amp;" (4)",""))&lt;lenb($Z314),4,IF(lenb(SUBSTITUTE($Z314,V$1&amp;" (5)",""))&lt;lenb($Z314),5,IF(lenb(SUBSTITUTE($Z314,V$1&amp;" (6)",""))&lt;lenb($Z314),6,IF(lenb(SUBSTITUTE($Z314,V$1&amp;" (7)",""))&lt;lenb($Z314),1,IF(lenb(SUBSTITUTE($Z314,V$1&amp;" (8)",""))&lt;lenb($Z314),8,IF(lenb(SUBSTITUTE($Z314,V$1&amp;" (9)",""))&lt;lenb($Z314),9,IF(lenb(SUBSTITUTE($Z314,V$1&amp;" (10)",""))&lt;lenb($Z314),10,IF(lenb(SUBSTITUTE($Z314,V$1,""))&lt;lenb($Z314),"ERROR",IF($Z314=$Y$1,"-",0))))))))))))</f>
        <v>1</v>
      </c>
      <c r="W314" s="32">
        <f t="shared" si="319"/>
        <v>0</v>
      </c>
      <c r="X314" s="32">
        <f t="shared" si="319"/>
        <v>0</v>
      </c>
      <c r="Y314" s="32" t="str">
        <f t="shared" si="3"/>
        <v>-</v>
      </c>
      <c r="Z314" s="32" t="s">
        <v>62</v>
      </c>
      <c r="AA314" s="33">
        <f t="shared" si="4"/>
        <v>1</v>
      </c>
      <c r="AB314" s="34">
        <f>COUNTIFS(Links!B:B,"ICSE",Links!C:C,A314,Links!AD:AD,1)</f>
        <v>0</v>
      </c>
      <c r="AC314" s="35" t="s">
        <v>35</v>
      </c>
      <c r="AD314" s="27" t="str">
        <f t="shared" si="5"/>
        <v>No</v>
      </c>
      <c r="AE314" s="36" t="s">
        <v>36</v>
      </c>
      <c r="AF314" s="37" t="s">
        <v>42</v>
      </c>
      <c r="AG314" s="37" t="s">
        <v>42</v>
      </c>
      <c r="AH314" s="37" t="s">
        <v>42</v>
      </c>
      <c r="AI314" s="29" t="str">
        <f t="shared" si="6"/>
        <v>----</v>
      </c>
      <c r="AJ314" s="38" t="str">
        <f t="shared" si="7"/>
        <v>Paper has link but no statement</v>
      </c>
      <c r="AK314" s="39">
        <v>45034.0</v>
      </c>
      <c r="AL314" s="23" t="s">
        <v>43</v>
      </c>
      <c r="AM314" s="40" t="str">
        <f t="shared" si="8"/>
        <v>[IP1393]</v>
      </c>
    </row>
    <row r="315" ht="67.5" customHeight="1">
      <c r="A315" s="41">
        <v>1394.0</v>
      </c>
      <c r="B315" s="42" t="s">
        <v>814</v>
      </c>
      <c r="C315" s="43">
        <v>2017.0</v>
      </c>
      <c r="D315" s="44" t="s">
        <v>35</v>
      </c>
      <c r="E315" s="45" t="s">
        <v>36</v>
      </c>
      <c r="F315" s="45" t="s">
        <v>36</v>
      </c>
      <c r="G315" s="45" t="s">
        <v>36</v>
      </c>
      <c r="H315" s="45" t="s">
        <v>36</v>
      </c>
      <c r="I315" s="45" t="s">
        <v>36</v>
      </c>
      <c r="J315" s="46" t="s">
        <v>36</v>
      </c>
      <c r="K315" s="47" t="s">
        <v>37</v>
      </c>
      <c r="L315" s="48" t="s">
        <v>35</v>
      </c>
      <c r="M315" s="48" t="s">
        <v>37</v>
      </c>
      <c r="N315" s="48" t="s">
        <v>35</v>
      </c>
      <c r="O315" s="48" t="s">
        <v>35</v>
      </c>
      <c r="P315" s="48" t="s">
        <v>35</v>
      </c>
      <c r="Q315" s="48" t="s">
        <v>35</v>
      </c>
      <c r="R315" s="48" t="s">
        <v>37</v>
      </c>
      <c r="S315" s="49" t="s">
        <v>815</v>
      </c>
      <c r="T315" s="50" t="s">
        <v>816</v>
      </c>
      <c r="U315" s="51" t="s">
        <v>816</v>
      </c>
      <c r="V315" s="52">
        <f t="shared" ref="V315:X315" si="320">IF(lenb(SUBSTITUTE($Z315,V$1&amp;" (1)",""))&lt;lenb($Z315),1,IF(lenb(SUBSTITUTE($Z315,V$1&amp;" (2)",""))&lt;lenb($Z315),2,IF(lenb(SUBSTITUTE($Z315,V$1&amp;" (3)",""))&lt;lenb($Z315),3,IF(lenb(SUBSTITUTE($Z315,V$1&amp;" (4)",""))&lt;lenb($Z315),4,IF(lenb(SUBSTITUTE($Z315,V$1&amp;" (5)",""))&lt;lenb($Z315),5,IF(lenb(SUBSTITUTE($Z315,V$1&amp;" (6)",""))&lt;lenb($Z315),6,IF(lenb(SUBSTITUTE($Z315,V$1&amp;" (7)",""))&lt;lenb($Z315),1,IF(lenb(SUBSTITUTE($Z315,V$1&amp;" (8)",""))&lt;lenb($Z315),8,IF(lenb(SUBSTITUTE($Z315,V$1&amp;" (9)",""))&lt;lenb($Z315),9,IF(lenb(SUBSTITUTE($Z315,V$1&amp;" (10)",""))&lt;lenb($Z315),10,IF(lenb(SUBSTITUTE($Z315,V$1,""))&lt;lenb($Z315),"ERROR",IF($Z315=$Y$1,"-",0))))))))))))</f>
        <v>1</v>
      </c>
      <c r="W315" s="52">
        <f t="shared" si="320"/>
        <v>0</v>
      </c>
      <c r="X315" s="52">
        <f t="shared" si="320"/>
        <v>0</v>
      </c>
      <c r="Y315" s="52" t="str">
        <f t="shared" si="3"/>
        <v>-</v>
      </c>
      <c r="Z315" s="52" t="s">
        <v>62</v>
      </c>
      <c r="AA315" s="53">
        <f t="shared" si="4"/>
        <v>1</v>
      </c>
      <c r="AB315" s="54">
        <f>COUNTIFS(Links!B:B,"ICSE",Links!C:C,A315,Links!AD:AD,1)</f>
        <v>0</v>
      </c>
      <c r="AC315" s="55" t="s">
        <v>35</v>
      </c>
      <c r="AD315" s="47" t="str">
        <f t="shared" si="5"/>
        <v>Yes</v>
      </c>
      <c r="AE315" s="56" t="s">
        <v>817</v>
      </c>
      <c r="AF315" s="56" t="s">
        <v>146</v>
      </c>
      <c r="AG315" s="57" t="s">
        <v>42</v>
      </c>
      <c r="AH315" s="57" t="s">
        <v>42</v>
      </c>
      <c r="AI315" s="49" t="str">
        <f t="shared" si="6"/>
        <v>Future plans (—)</v>
      </c>
      <c r="AJ315" s="58" t="str">
        <f t="shared" si="7"/>
        <v>Paper has link and statement</v>
      </c>
      <c r="AK315" s="59">
        <v>45034.0</v>
      </c>
      <c r="AL315" s="43" t="s">
        <v>43</v>
      </c>
      <c r="AM315" s="60" t="str">
        <f t="shared" si="8"/>
        <v>[IP1394]</v>
      </c>
    </row>
    <row r="316" ht="67.5" customHeight="1">
      <c r="A316" s="61">
        <v>1395.0</v>
      </c>
      <c r="B316" s="22" t="s">
        <v>818</v>
      </c>
      <c r="C316" s="23">
        <v>2017.0</v>
      </c>
      <c r="D316" s="24" t="s">
        <v>35</v>
      </c>
      <c r="E316" s="25" t="s">
        <v>36</v>
      </c>
      <c r="F316" s="25" t="s">
        <v>36</v>
      </c>
      <c r="G316" s="25" t="s">
        <v>36</v>
      </c>
      <c r="H316" s="25" t="s">
        <v>36</v>
      </c>
      <c r="I316" s="25" t="s">
        <v>36</v>
      </c>
      <c r="J316" s="26" t="s">
        <v>36</v>
      </c>
      <c r="K316" s="27" t="s">
        <v>37</v>
      </c>
      <c r="L316" s="28" t="s">
        <v>35</v>
      </c>
      <c r="M316" s="28" t="s">
        <v>35</v>
      </c>
      <c r="N316" s="28" t="s">
        <v>35</v>
      </c>
      <c r="O316" s="28" t="s">
        <v>37</v>
      </c>
      <c r="P316" s="28" t="s">
        <v>35</v>
      </c>
      <c r="Q316" s="28" t="s">
        <v>35</v>
      </c>
      <c r="R316" s="28" t="s">
        <v>35</v>
      </c>
      <c r="S316" s="29" t="s">
        <v>819</v>
      </c>
      <c r="T316" s="30" t="s">
        <v>820</v>
      </c>
      <c r="U316" s="31" t="s">
        <v>820</v>
      </c>
      <c r="V316" s="32">
        <f t="shared" ref="V316:X316" si="321">IF(lenb(SUBSTITUTE($Z316,V$1&amp;" (1)",""))&lt;lenb($Z316),1,IF(lenb(SUBSTITUTE($Z316,V$1&amp;" (2)",""))&lt;lenb($Z316),2,IF(lenb(SUBSTITUTE($Z316,V$1&amp;" (3)",""))&lt;lenb($Z316),3,IF(lenb(SUBSTITUTE($Z316,V$1&amp;" (4)",""))&lt;lenb($Z316),4,IF(lenb(SUBSTITUTE($Z316,V$1&amp;" (5)",""))&lt;lenb($Z316),5,IF(lenb(SUBSTITUTE($Z316,V$1&amp;" (6)",""))&lt;lenb($Z316),6,IF(lenb(SUBSTITUTE($Z316,V$1&amp;" (7)",""))&lt;lenb($Z316),1,IF(lenb(SUBSTITUTE($Z316,V$1&amp;" (8)",""))&lt;lenb($Z316),8,IF(lenb(SUBSTITUTE($Z316,V$1&amp;" (9)",""))&lt;lenb($Z316),9,IF(lenb(SUBSTITUTE($Z316,V$1&amp;" (10)",""))&lt;lenb($Z316),10,IF(lenb(SUBSTITUTE($Z316,V$1,""))&lt;lenb($Z316),"ERROR",IF($Z316=$Y$1,"-",0))))))))))))</f>
        <v>0</v>
      </c>
      <c r="W316" s="32">
        <f t="shared" si="321"/>
        <v>1</v>
      </c>
      <c r="X316" s="32">
        <f t="shared" si="321"/>
        <v>0</v>
      </c>
      <c r="Y316" s="32" t="str">
        <f t="shared" si="3"/>
        <v>-</v>
      </c>
      <c r="Z316" s="32" t="s">
        <v>47</v>
      </c>
      <c r="AA316" s="33">
        <f t="shared" si="4"/>
        <v>1</v>
      </c>
      <c r="AB316" s="34">
        <f>COUNTIFS(Links!B:B,"ICSE",Links!C:C,A316,Links!AD:AD,1)</f>
        <v>0</v>
      </c>
      <c r="AC316" s="35" t="s">
        <v>35</v>
      </c>
      <c r="AD316" s="27" t="str">
        <f t="shared" si="5"/>
        <v>Yes</v>
      </c>
      <c r="AE316" s="36" t="s">
        <v>821</v>
      </c>
      <c r="AF316" s="36" t="s">
        <v>822</v>
      </c>
      <c r="AG316" s="37" t="s">
        <v>42</v>
      </c>
      <c r="AH316" s="37" t="s">
        <v>42</v>
      </c>
      <c r="AI316" s="29" t="str">
        <f t="shared" si="6"/>
        <v>Limited access (Request required)</v>
      </c>
      <c r="AJ316" s="38" t="str">
        <f t="shared" si="7"/>
        <v>Paper has link and statement</v>
      </c>
      <c r="AK316" s="39">
        <v>45034.0</v>
      </c>
      <c r="AL316" s="23" t="s">
        <v>43</v>
      </c>
      <c r="AM316" s="40" t="str">
        <f t="shared" si="8"/>
        <v>[IP1395]</v>
      </c>
    </row>
    <row r="317" ht="67.5" customHeight="1">
      <c r="A317" s="41">
        <v>1396.0</v>
      </c>
      <c r="B317" s="42" t="s">
        <v>823</v>
      </c>
      <c r="C317" s="43">
        <v>2017.0</v>
      </c>
      <c r="D317" s="44" t="s">
        <v>35</v>
      </c>
      <c r="E317" s="45" t="s">
        <v>36</v>
      </c>
      <c r="F317" s="45" t="s">
        <v>36</v>
      </c>
      <c r="G317" s="45" t="s">
        <v>36</v>
      </c>
      <c r="H317" s="45" t="s">
        <v>36</v>
      </c>
      <c r="I317" s="45" t="s">
        <v>36</v>
      </c>
      <c r="J317" s="46" t="s">
        <v>36</v>
      </c>
      <c r="K317" s="47" t="s">
        <v>35</v>
      </c>
      <c r="L317" s="48" t="s">
        <v>36</v>
      </c>
      <c r="M317" s="48" t="s">
        <v>36</v>
      </c>
      <c r="N317" s="48" t="s">
        <v>36</v>
      </c>
      <c r="O317" s="48" t="s">
        <v>36</v>
      </c>
      <c r="P317" s="48" t="s">
        <v>36</v>
      </c>
      <c r="Q317" s="48" t="s">
        <v>36</v>
      </c>
      <c r="R317" s="48" t="s">
        <v>36</v>
      </c>
      <c r="S317" s="49" t="s">
        <v>36</v>
      </c>
      <c r="T317" s="50" t="s">
        <v>36</v>
      </c>
      <c r="U317" s="51" t="s">
        <v>36</v>
      </c>
      <c r="V317" s="52" t="str">
        <f t="shared" ref="V317:X317" si="322">IF(lenb(SUBSTITUTE($Z317,V$1&amp;" (1)",""))&lt;lenb($Z317),1,IF(lenb(SUBSTITUTE($Z317,V$1&amp;" (2)",""))&lt;lenb($Z317),2,IF(lenb(SUBSTITUTE($Z317,V$1&amp;" (3)",""))&lt;lenb($Z317),3,IF(lenb(SUBSTITUTE($Z317,V$1&amp;" (4)",""))&lt;lenb($Z317),4,IF(lenb(SUBSTITUTE($Z317,V$1&amp;" (5)",""))&lt;lenb($Z317),5,IF(lenb(SUBSTITUTE($Z317,V$1&amp;" (6)",""))&lt;lenb($Z317),6,IF(lenb(SUBSTITUTE($Z317,V$1&amp;" (7)",""))&lt;lenb($Z317),1,IF(lenb(SUBSTITUTE($Z317,V$1&amp;" (8)",""))&lt;lenb($Z317),8,IF(lenb(SUBSTITUTE($Z317,V$1&amp;" (9)",""))&lt;lenb($Z317),9,IF(lenb(SUBSTITUTE($Z317,V$1&amp;" (10)",""))&lt;lenb($Z317),10,IF(lenb(SUBSTITUTE($Z317,V$1,""))&lt;lenb($Z317),"ERROR",IF($Z317=$Y$1,"-",0))))))))))))</f>
        <v>-</v>
      </c>
      <c r="W317" s="52" t="str">
        <f t="shared" si="322"/>
        <v>-</v>
      </c>
      <c r="X317" s="52" t="str">
        <f t="shared" si="322"/>
        <v>-</v>
      </c>
      <c r="Y317" s="52">
        <f t="shared" si="3"/>
        <v>1</v>
      </c>
      <c r="Z317" s="52" t="s">
        <v>23</v>
      </c>
      <c r="AA317" s="53">
        <f t="shared" si="4"/>
        <v>0</v>
      </c>
      <c r="AB317" s="54">
        <f>COUNTIFS(Links!B:B,"ICSE",Links!C:C,A317,Links!AD:AD,1)</f>
        <v>0</v>
      </c>
      <c r="AC317" s="55" t="s">
        <v>36</v>
      </c>
      <c r="AD317" s="47" t="str">
        <f t="shared" si="5"/>
        <v>No</v>
      </c>
      <c r="AE317" s="56" t="s">
        <v>36</v>
      </c>
      <c r="AF317" s="57" t="s">
        <v>42</v>
      </c>
      <c r="AG317" s="57" t="s">
        <v>42</v>
      </c>
      <c r="AH317" s="57" t="s">
        <v>42</v>
      </c>
      <c r="AI317" s="49" t="str">
        <f t="shared" si="6"/>
        <v>----</v>
      </c>
      <c r="AJ317" s="58" t="str">
        <f t="shared" si="7"/>
        <v>Paper has no link and no statement</v>
      </c>
      <c r="AK317" s="59">
        <v>45034.0</v>
      </c>
      <c r="AL317" s="43" t="s">
        <v>43</v>
      </c>
      <c r="AM317" s="60" t="str">
        <f t="shared" si="8"/>
        <v>[IP1396]</v>
      </c>
    </row>
    <row r="318" ht="67.5" customHeight="1">
      <c r="A318" s="61">
        <v>1397.0</v>
      </c>
      <c r="B318" s="22" t="s">
        <v>824</v>
      </c>
      <c r="C318" s="23">
        <v>2017.0</v>
      </c>
      <c r="D318" s="24" t="s">
        <v>35</v>
      </c>
      <c r="E318" s="25" t="s">
        <v>36</v>
      </c>
      <c r="F318" s="25" t="s">
        <v>36</v>
      </c>
      <c r="G318" s="25" t="s">
        <v>36</v>
      </c>
      <c r="H318" s="25" t="s">
        <v>36</v>
      </c>
      <c r="I318" s="25" t="s">
        <v>36</v>
      </c>
      <c r="J318" s="26" t="s">
        <v>36</v>
      </c>
      <c r="K318" s="27" t="s">
        <v>37</v>
      </c>
      <c r="L318" s="28" t="s">
        <v>37</v>
      </c>
      <c r="M318" s="28" t="s">
        <v>35</v>
      </c>
      <c r="N318" s="28" t="s">
        <v>35</v>
      </c>
      <c r="O318" s="28" t="s">
        <v>35</v>
      </c>
      <c r="P318" s="28" t="s">
        <v>35</v>
      </c>
      <c r="Q318" s="28" t="s">
        <v>35</v>
      </c>
      <c r="R318" s="28" t="s">
        <v>37</v>
      </c>
      <c r="S318" s="29" t="s">
        <v>825</v>
      </c>
      <c r="T318" s="30" t="s">
        <v>826</v>
      </c>
      <c r="U318" s="31" t="s">
        <v>827</v>
      </c>
      <c r="V318" s="32">
        <f t="shared" ref="V318:X318" si="323">IF(lenb(SUBSTITUTE($Z318,V$1&amp;" (1)",""))&lt;lenb($Z318),1,IF(lenb(SUBSTITUTE($Z318,V$1&amp;" (2)",""))&lt;lenb($Z318),2,IF(lenb(SUBSTITUTE($Z318,V$1&amp;" (3)",""))&lt;lenb($Z318),3,IF(lenb(SUBSTITUTE($Z318,V$1&amp;" (4)",""))&lt;lenb($Z318),4,IF(lenb(SUBSTITUTE($Z318,V$1&amp;" (5)",""))&lt;lenb($Z318),5,IF(lenb(SUBSTITUTE($Z318,V$1&amp;" (6)",""))&lt;lenb($Z318),6,IF(lenb(SUBSTITUTE($Z318,V$1&amp;" (7)",""))&lt;lenb($Z318),1,IF(lenb(SUBSTITUTE($Z318,V$1&amp;" (8)",""))&lt;lenb($Z318),8,IF(lenb(SUBSTITUTE($Z318,V$1&amp;" (9)",""))&lt;lenb($Z318),9,IF(lenb(SUBSTITUTE($Z318,V$1&amp;" (10)",""))&lt;lenb($Z318),10,IF(lenb(SUBSTITUTE($Z318,V$1,""))&lt;lenb($Z318),"ERROR",IF($Z318=$Y$1,"-",0))))))))))))</f>
        <v>1</v>
      </c>
      <c r="W318" s="32">
        <f t="shared" si="323"/>
        <v>2</v>
      </c>
      <c r="X318" s="32">
        <f t="shared" si="323"/>
        <v>0</v>
      </c>
      <c r="Y318" s="32" t="str">
        <f t="shared" si="3"/>
        <v>-</v>
      </c>
      <c r="Z318" s="32" t="s">
        <v>828</v>
      </c>
      <c r="AA318" s="33">
        <f t="shared" si="4"/>
        <v>3</v>
      </c>
      <c r="AB318" s="34">
        <f>COUNTIFS(Links!B:B,"ICSE",Links!C:C,A318,Links!AD:AD,1)</f>
        <v>0</v>
      </c>
      <c r="AC318" s="35" t="s">
        <v>35</v>
      </c>
      <c r="AD318" s="27" t="str">
        <f t="shared" si="5"/>
        <v>No</v>
      </c>
      <c r="AE318" s="36" t="s">
        <v>36</v>
      </c>
      <c r="AF318" s="37" t="s">
        <v>42</v>
      </c>
      <c r="AG318" s="37" t="s">
        <v>42</v>
      </c>
      <c r="AH318" s="37" t="s">
        <v>42</v>
      </c>
      <c r="AI318" s="29" t="str">
        <f t="shared" si="6"/>
        <v>----</v>
      </c>
      <c r="AJ318" s="38" t="str">
        <f t="shared" si="7"/>
        <v>Paper has link but no statement</v>
      </c>
      <c r="AK318" s="39">
        <v>45034.0</v>
      </c>
      <c r="AL318" s="23" t="s">
        <v>43</v>
      </c>
      <c r="AM318" s="40" t="str">
        <f t="shared" si="8"/>
        <v>[IP1397]</v>
      </c>
    </row>
    <row r="319" ht="67.5" customHeight="1">
      <c r="A319" s="41">
        <v>1398.0</v>
      </c>
      <c r="B319" s="42" t="s">
        <v>829</v>
      </c>
      <c r="C319" s="43">
        <v>2017.0</v>
      </c>
      <c r="D319" s="44" t="s">
        <v>35</v>
      </c>
      <c r="E319" s="45" t="s">
        <v>36</v>
      </c>
      <c r="F319" s="45" t="s">
        <v>36</v>
      </c>
      <c r="G319" s="45" t="s">
        <v>36</v>
      </c>
      <c r="H319" s="45" t="s">
        <v>36</v>
      </c>
      <c r="I319" s="45" t="s">
        <v>36</v>
      </c>
      <c r="J319" s="46" t="s">
        <v>36</v>
      </c>
      <c r="K319" s="47" t="s">
        <v>37</v>
      </c>
      <c r="L319" s="48" t="s">
        <v>35</v>
      </c>
      <c r="M319" s="48" t="s">
        <v>37</v>
      </c>
      <c r="N319" s="48" t="s">
        <v>37</v>
      </c>
      <c r="O319" s="48" t="s">
        <v>35</v>
      </c>
      <c r="P319" s="48" t="s">
        <v>35</v>
      </c>
      <c r="Q319" s="48" t="s">
        <v>35</v>
      </c>
      <c r="R319" s="48" t="s">
        <v>37</v>
      </c>
      <c r="S319" s="49" t="s">
        <v>830</v>
      </c>
      <c r="T319" s="50" t="s">
        <v>831</v>
      </c>
      <c r="U319" s="51" t="s">
        <v>832</v>
      </c>
      <c r="V319" s="52">
        <f t="shared" ref="V319:X319" si="324">IF(lenb(SUBSTITUTE($Z319,V$1&amp;" (1)",""))&lt;lenb($Z319),1,IF(lenb(SUBSTITUTE($Z319,V$1&amp;" (2)",""))&lt;lenb($Z319),2,IF(lenb(SUBSTITUTE($Z319,V$1&amp;" (3)",""))&lt;lenb($Z319),3,IF(lenb(SUBSTITUTE($Z319,V$1&amp;" (4)",""))&lt;lenb($Z319),4,IF(lenb(SUBSTITUTE($Z319,V$1&amp;" (5)",""))&lt;lenb($Z319),5,IF(lenb(SUBSTITUTE($Z319,V$1&amp;" (6)",""))&lt;lenb($Z319),6,IF(lenb(SUBSTITUTE($Z319,V$1&amp;" (7)",""))&lt;lenb($Z319),1,IF(lenb(SUBSTITUTE($Z319,V$1&amp;" (8)",""))&lt;lenb($Z319),8,IF(lenb(SUBSTITUTE($Z319,V$1&amp;" (9)",""))&lt;lenb($Z319),9,IF(lenb(SUBSTITUTE($Z319,V$1&amp;" (10)",""))&lt;lenb($Z319),10,IF(lenb(SUBSTITUTE($Z319,V$1,""))&lt;lenb($Z319),"ERROR",IF($Z319=$Y$1,"-",0))))))))))))</f>
        <v>3</v>
      </c>
      <c r="W319" s="52">
        <f t="shared" si="324"/>
        <v>0</v>
      </c>
      <c r="X319" s="52">
        <f t="shared" si="324"/>
        <v>0</v>
      </c>
      <c r="Y319" s="52" t="str">
        <f t="shared" si="3"/>
        <v>-</v>
      </c>
      <c r="Z319" s="52" t="s">
        <v>193</v>
      </c>
      <c r="AA319" s="53">
        <f t="shared" si="4"/>
        <v>3</v>
      </c>
      <c r="AB319" s="54">
        <f>COUNTIFS(Links!B:B,"ICSE",Links!C:C,A319,Links!AD:AD,1)</f>
        <v>0</v>
      </c>
      <c r="AC319" s="55" t="s">
        <v>35</v>
      </c>
      <c r="AD319" s="47" t="str">
        <f t="shared" si="5"/>
        <v>No</v>
      </c>
      <c r="AE319" s="56" t="s">
        <v>36</v>
      </c>
      <c r="AF319" s="57" t="s">
        <v>42</v>
      </c>
      <c r="AG319" s="57" t="s">
        <v>42</v>
      </c>
      <c r="AH319" s="57" t="s">
        <v>42</v>
      </c>
      <c r="AI319" s="49" t="str">
        <f t="shared" si="6"/>
        <v>----</v>
      </c>
      <c r="AJ319" s="58" t="str">
        <f t="shared" si="7"/>
        <v>Paper has link but no statement</v>
      </c>
      <c r="AK319" s="59">
        <v>45034.0</v>
      </c>
      <c r="AL319" s="43" t="s">
        <v>43</v>
      </c>
      <c r="AM319" s="60" t="str">
        <f t="shared" si="8"/>
        <v>[IP1398]</v>
      </c>
    </row>
    <row r="320" ht="67.5" customHeight="1">
      <c r="A320" s="61">
        <v>1399.0</v>
      </c>
      <c r="B320" s="22" t="s">
        <v>833</v>
      </c>
      <c r="C320" s="23">
        <v>2017.0</v>
      </c>
      <c r="D320" s="24" t="s">
        <v>35</v>
      </c>
      <c r="E320" s="25" t="s">
        <v>36</v>
      </c>
      <c r="F320" s="25" t="s">
        <v>36</v>
      </c>
      <c r="G320" s="25" t="s">
        <v>36</v>
      </c>
      <c r="H320" s="25" t="s">
        <v>36</v>
      </c>
      <c r="I320" s="25" t="s">
        <v>36</v>
      </c>
      <c r="J320" s="26" t="s">
        <v>36</v>
      </c>
      <c r="K320" s="27" t="s">
        <v>37</v>
      </c>
      <c r="L320" s="28" t="s">
        <v>37</v>
      </c>
      <c r="M320" s="28" t="s">
        <v>35</v>
      </c>
      <c r="N320" s="28" t="s">
        <v>37</v>
      </c>
      <c r="O320" s="28" t="s">
        <v>35</v>
      </c>
      <c r="P320" s="28" t="s">
        <v>35</v>
      </c>
      <c r="Q320" s="28" t="s">
        <v>35</v>
      </c>
      <c r="R320" s="28" t="s">
        <v>35</v>
      </c>
      <c r="S320" s="29" t="s">
        <v>340</v>
      </c>
      <c r="T320" s="30" t="s">
        <v>834</v>
      </c>
      <c r="U320" s="31" t="s">
        <v>834</v>
      </c>
      <c r="V320" s="32">
        <f t="shared" ref="V320:X320" si="325">IF(lenb(SUBSTITUTE($Z320,V$1&amp;" (1)",""))&lt;lenb($Z320),1,IF(lenb(SUBSTITUTE($Z320,V$1&amp;" (2)",""))&lt;lenb($Z320),2,IF(lenb(SUBSTITUTE($Z320,V$1&amp;" (3)",""))&lt;lenb($Z320),3,IF(lenb(SUBSTITUTE($Z320,V$1&amp;" (4)",""))&lt;lenb($Z320),4,IF(lenb(SUBSTITUTE($Z320,V$1&amp;" (5)",""))&lt;lenb($Z320),5,IF(lenb(SUBSTITUTE($Z320,V$1&amp;" (6)",""))&lt;lenb($Z320),6,IF(lenb(SUBSTITUTE($Z320,V$1&amp;" (7)",""))&lt;lenb($Z320),1,IF(lenb(SUBSTITUTE($Z320,V$1&amp;" (8)",""))&lt;lenb($Z320),8,IF(lenb(SUBSTITUTE($Z320,V$1&amp;" (9)",""))&lt;lenb($Z320),9,IF(lenb(SUBSTITUTE($Z320,V$1&amp;" (10)",""))&lt;lenb($Z320),10,IF(lenb(SUBSTITUTE($Z320,V$1,""))&lt;lenb($Z320),"ERROR",IF($Z320=$Y$1,"-",0))))))))))))</f>
        <v>1</v>
      </c>
      <c r="W320" s="32">
        <f t="shared" si="325"/>
        <v>0</v>
      </c>
      <c r="X320" s="32">
        <f t="shared" si="325"/>
        <v>0</v>
      </c>
      <c r="Y320" s="32" t="str">
        <f t="shared" si="3"/>
        <v>-</v>
      </c>
      <c r="Z320" s="32" t="s">
        <v>62</v>
      </c>
      <c r="AA320" s="33">
        <f t="shared" si="4"/>
        <v>1</v>
      </c>
      <c r="AB320" s="34">
        <f>COUNTIFS(Links!B:B,"ICSE",Links!C:C,A320,Links!AD:AD,1)</f>
        <v>1</v>
      </c>
      <c r="AC320" s="35" t="s">
        <v>35</v>
      </c>
      <c r="AD320" s="27" t="str">
        <f t="shared" si="5"/>
        <v>No</v>
      </c>
      <c r="AE320" s="36" t="s">
        <v>36</v>
      </c>
      <c r="AF320" s="37" t="s">
        <v>42</v>
      </c>
      <c r="AG320" s="37" t="s">
        <v>42</v>
      </c>
      <c r="AH320" s="37" t="s">
        <v>42</v>
      </c>
      <c r="AI320" s="29" t="str">
        <f t="shared" si="6"/>
        <v>----</v>
      </c>
      <c r="AJ320" s="38" t="str">
        <f t="shared" si="7"/>
        <v>Paper has link but no statement</v>
      </c>
      <c r="AK320" s="39">
        <v>45034.0</v>
      </c>
      <c r="AL320" s="23" t="s">
        <v>43</v>
      </c>
      <c r="AM320" s="40" t="str">
        <f t="shared" si="8"/>
        <v>[IP1399]</v>
      </c>
    </row>
    <row r="321" ht="67.5" customHeight="1">
      <c r="A321" s="41">
        <v>1400.0</v>
      </c>
      <c r="B321" s="42" t="s">
        <v>835</v>
      </c>
      <c r="C321" s="43">
        <v>2017.0</v>
      </c>
      <c r="D321" s="44" t="s">
        <v>35</v>
      </c>
      <c r="E321" s="45" t="s">
        <v>36</v>
      </c>
      <c r="F321" s="45" t="s">
        <v>36</v>
      </c>
      <c r="G321" s="45" t="s">
        <v>36</v>
      </c>
      <c r="H321" s="45" t="s">
        <v>36</v>
      </c>
      <c r="I321" s="45" t="s">
        <v>36</v>
      </c>
      <c r="J321" s="46" t="s">
        <v>36</v>
      </c>
      <c r="K321" s="47" t="s">
        <v>37</v>
      </c>
      <c r="L321" s="48" t="s">
        <v>37</v>
      </c>
      <c r="M321" s="48" t="s">
        <v>37</v>
      </c>
      <c r="N321" s="48" t="s">
        <v>35</v>
      </c>
      <c r="O321" s="48" t="s">
        <v>35</v>
      </c>
      <c r="P321" s="48" t="s">
        <v>35</v>
      </c>
      <c r="Q321" s="48" t="s">
        <v>35</v>
      </c>
      <c r="R321" s="48" t="s">
        <v>37</v>
      </c>
      <c r="S321" s="49" t="s">
        <v>836</v>
      </c>
      <c r="T321" s="50" t="s">
        <v>837</v>
      </c>
      <c r="U321" s="51" t="s">
        <v>838</v>
      </c>
      <c r="V321" s="52">
        <f t="shared" ref="V321:X321" si="326">IF(lenb(SUBSTITUTE($Z321,V$1&amp;" (1)",""))&lt;lenb($Z321),1,IF(lenb(SUBSTITUTE($Z321,V$1&amp;" (2)",""))&lt;lenb($Z321),2,IF(lenb(SUBSTITUTE($Z321,V$1&amp;" (3)",""))&lt;lenb($Z321),3,IF(lenb(SUBSTITUTE($Z321,V$1&amp;" (4)",""))&lt;lenb($Z321),4,IF(lenb(SUBSTITUTE($Z321,V$1&amp;" (5)",""))&lt;lenb($Z321),5,IF(lenb(SUBSTITUTE($Z321,V$1&amp;" (6)",""))&lt;lenb($Z321),6,IF(lenb(SUBSTITUTE($Z321,V$1&amp;" (7)",""))&lt;lenb($Z321),1,IF(lenb(SUBSTITUTE($Z321,V$1&amp;" (8)",""))&lt;lenb($Z321),8,IF(lenb(SUBSTITUTE($Z321,V$1&amp;" (9)",""))&lt;lenb($Z321),9,IF(lenb(SUBSTITUTE($Z321,V$1&amp;" (10)",""))&lt;lenb($Z321),10,IF(lenb(SUBSTITUTE($Z321,V$1,""))&lt;lenb($Z321),"ERROR",IF($Z321=$Y$1,"-",0))))))))))))</f>
        <v>2</v>
      </c>
      <c r="W321" s="52">
        <f t="shared" si="326"/>
        <v>0</v>
      </c>
      <c r="X321" s="52">
        <f t="shared" si="326"/>
        <v>0</v>
      </c>
      <c r="Y321" s="52" t="str">
        <f t="shared" si="3"/>
        <v>-</v>
      </c>
      <c r="Z321" s="52" t="s">
        <v>57</v>
      </c>
      <c r="AA321" s="53">
        <f t="shared" si="4"/>
        <v>2</v>
      </c>
      <c r="AB321" s="54">
        <f>COUNTIFS(Links!B:B,"ICSE",Links!C:C,A321,Links!AD:AD,1)</f>
        <v>0</v>
      </c>
      <c r="AC321" s="55" t="s">
        <v>37</v>
      </c>
      <c r="AD321" s="47" t="str">
        <f t="shared" si="5"/>
        <v>No</v>
      </c>
      <c r="AE321" s="56" t="s">
        <v>36</v>
      </c>
      <c r="AF321" s="57" t="s">
        <v>42</v>
      </c>
      <c r="AG321" s="57" t="s">
        <v>42</v>
      </c>
      <c r="AH321" s="57" t="s">
        <v>42</v>
      </c>
      <c r="AI321" s="49" t="str">
        <f t="shared" si="6"/>
        <v>----</v>
      </c>
      <c r="AJ321" s="58" t="str">
        <f t="shared" si="7"/>
        <v>Paper has link but no statement</v>
      </c>
      <c r="AK321" s="59">
        <v>45034.0</v>
      </c>
      <c r="AL321" s="43" t="s">
        <v>43</v>
      </c>
      <c r="AM321" s="60" t="str">
        <f t="shared" si="8"/>
        <v>[IP1400]</v>
      </c>
    </row>
    <row r="322" ht="67.5" customHeight="1">
      <c r="A322" s="61">
        <v>1401.0</v>
      </c>
      <c r="B322" s="22" t="s">
        <v>839</v>
      </c>
      <c r="C322" s="23">
        <v>2017.0</v>
      </c>
      <c r="D322" s="24" t="s">
        <v>35</v>
      </c>
      <c r="E322" s="25" t="s">
        <v>36</v>
      </c>
      <c r="F322" s="25" t="s">
        <v>36</v>
      </c>
      <c r="G322" s="25" t="s">
        <v>36</v>
      </c>
      <c r="H322" s="25" t="s">
        <v>36</v>
      </c>
      <c r="I322" s="25" t="s">
        <v>36</v>
      </c>
      <c r="J322" s="26" t="s">
        <v>36</v>
      </c>
      <c r="K322" s="27" t="s">
        <v>35</v>
      </c>
      <c r="L322" s="28" t="s">
        <v>36</v>
      </c>
      <c r="M322" s="28" t="s">
        <v>36</v>
      </c>
      <c r="N322" s="28" t="s">
        <v>36</v>
      </c>
      <c r="O322" s="28" t="s">
        <v>36</v>
      </c>
      <c r="P322" s="28" t="s">
        <v>36</v>
      </c>
      <c r="Q322" s="28" t="s">
        <v>36</v>
      </c>
      <c r="R322" s="28" t="s">
        <v>36</v>
      </c>
      <c r="S322" s="29" t="s">
        <v>36</v>
      </c>
      <c r="T322" s="30" t="s">
        <v>36</v>
      </c>
      <c r="U322" s="31" t="s">
        <v>36</v>
      </c>
      <c r="V322" s="32" t="str">
        <f t="shared" ref="V322:X322" si="327">IF(lenb(SUBSTITUTE($Z322,V$1&amp;" (1)",""))&lt;lenb($Z322),1,IF(lenb(SUBSTITUTE($Z322,V$1&amp;" (2)",""))&lt;lenb($Z322),2,IF(lenb(SUBSTITUTE($Z322,V$1&amp;" (3)",""))&lt;lenb($Z322),3,IF(lenb(SUBSTITUTE($Z322,V$1&amp;" (4)",""))&lt;lenb($Z322),4,IF(lenb(SUBSTITUTE($Z322,V$1&amp;" (5)",""))&lt;lenb($Z322),5,IF(lenb(SUBSTITUTE($Z322,V$1&amp;" (6)",""))&lt;lenb($Z322),6,IF(lenb(SUBSTITUTE($Z322,V$1&amp;" (7)",""))&lt;lenb($Z322),1,IF(lenb(SUBSTITUTE($Z322,V$1&amp;" (8)",""))&lt;lenb($Z322),8,IF(lenb(SUBSTITUTE($Z322,V$1&amp;" (9)",""))&lt;lenb($Z322),9,IF(lenb(SUBSTITUTE($Z322,V$1&amp;" (10)",""))&lt;lenb($Z322),10,IF(lenb(SUBSTITUTE($Z322,V$1,""))&lt;lenb($Z322),"ERROR",IF($Z322=$Y$1,"-",0))))))))))))</f>
        <v>-</v>
      </c>
      <c r="W322" s="32" t="str">
        <f t="shared" si="327"/>
        <v>-</v>
      </c>
      <c r="X322" s="32" t="str">
        <f t="shared" si="327"/>
        <v>-</v>
      </c>
      <c r="Y322" s="32">
        <f t="shared" si="3"/>
        <v>1</v>
      </c>
      <c r="Z322" s="32" t="s">
        <v>23</v>
      </c>
      <c r="AA322" s="33">
        <f t="shared" si="4"/>
        <v>0</v>
      </c>
      <c r="AB322" s="34">
        <f>COUNTIFS(Links!B:B,"ICSE",Links!C:C,A322,Links!AD:AD,1)</f>
        <v>0</v>
      </c>
      <c r="AC322" s="35" t="s">
        <v>36</v>
      </c>
      <c r="AD322" s="27" t="str">
        <f t="shared" si="5"/>
        <v>No</v>
      </c>
      <c r="AE322" s="36" t="s">
        <v>36</v>
      </c>
      <c r="AF322" s="37" t="s">
        <v>42</v>
      </c>
      <c r="AG322" s="37" t="s">
        <v>42</v>
      </c>
      <c r="AH322" s="37" t="s">
        <v>42</v>
      </c>
      <c r="AI322" s="29" t="str">
        <f t="shared" si="6"/>
        <v>----</v>
      </c>
      <c r="AJ322" s="38" t="str">
        <f t="shared" si="7"/>
        <v>Paper has no link and no statement</v>
      </c>
      <c r="AK322" s="39">
        <v>45034.0</v>
      </c>
      <c r="AL322" s="23" t="s">
        <v>43</v>
      </c>
      <c r="AM322" s="40" t="str">
        <f t="shared" si="8"/>
        <v>[IP1401]</v>
      </c>
    </row>
    <row r="323" ht="67.5" customHeight="1">
      <c r="A323" s="41">
        <v>1402.0</v>
      </c>
      <c r="B323" s="42" t="s">
        <v>840</v>
      </c>
      <c r="C323" s="43">
        <v>2017.0</v>
      </c>
      <c r="D323" s="44" t="s">
        <v>35</v>
      </c>
      <c r="E323" s="45" t="s">
        <v>36</v>
      </c>
      <c r="F323" s="45" t="s">
        <v>36</v>
      </c>
      <c r="G323" s="45" t="s">
        <v>36</v>
      </c>
      <c r="H323" s="45" t="s">
        <v>36</v>
      </c>
      <c r="I323" s="45" t="s">
        <v>36</v>
      </c>
      <c r="J323" s="46" t="s">
        <v>36</v>
      </c>
      <c r="K323" s="47" t="s">
        <v>37</v>
      </c>
      <c r="L323" s="48" t="s">
        <v>35</v>
      </c>
      <c r="M323" s="48" t="s">
        <v>37</v>
      </c>
      <c r="N323" s="48" t="s">
        <v>35</v>
      </c>
      <c r="O323" s="48" t="s">
        <v>35</v>
      </c>
      <c r="P323" s="48" t="s">
        <v>35</v>
      </c>
      <c r="Q323" s="48" t="s">
        <v>35</v>
      </c>
      <c r="R323" s="48" t="s">
        <v>37</v>
      </c>
      <c r="S323" s="49" t="s">
        <v>841</v>
      </c>
      <c r="T323" s="50" t="s">
        <v>842</v>
      </c>
      <c r="U323" s="51" t="s">
        <v>842</v>
      </c>
      <c r="V323" s="52">
        <f t="shared" ref="V323:X323" si="328">IF(lenb(SUBSTITUTE($Z323,V$1&amp;" (1)",""))&lt;lenb($Z323),1,IF(lenb(SUBSTITUTE($Z323,V$1&amp;" (2)",""))&lt;lenb($Z323),2,IF(lenb(SUBSTITUTE($Z323,V$1&amp;" (3)",""))&lt;lenb($Z323),3,IF(lenb(SUBSTITUTE($Z323,V$1&amp;" (4)",""))&lt;lenb($Z323),4,IF(lenb(SUBSTITUTE($Z323,V$1&amp;" (5)",""))&lt;lenb($Z323),5,IF(lenb(SUBSTITUTE($Z323,V$1&amp;" (6)",""))&lt;lenb($Z323),6,IF(lenb(SUBSTITUTE($Z323,V$1&amp;" (7)",""))&lt;lenb($Z323),1,IF(lenb(SUBSTITUTE($Z323,V$1&amp;" (8)",""))&lt;lenb($Z323),8,IF(lenb(SUBSTITUTE($Z323,V$1&amp;" (9)",""))&lt;lenb($Z323),9,IF(lenb(SUBSTITUTE($Z323,V$1&amp;" (10)",""))&lt;lenb($Z323),10,IF(lenb(SUBSTITUTE($Z323,V$1,""))&lt;lenb($Z323),"ERROR",IF($Z323=$Y$1,"-",0))))))))))))</f>
        <v>1</v>
      </c>
      <c r="W323" s="52">
        <f t="shared" si="328"/>
        <v>0</v>
      </c>
      <c r="X323" s="52">
        <f t="shared" si="328"/>
        <v>0</v>
      </c>
      <c r="Y323" s="52" t="str">
        <f t="shared" si="3"/>
        <v>-</v>
      </c>
      <c r="Z323" s="52" t="s">
        <v>62</v>
      </c>
      <c r="AA323" s="53">
        <f t="shared" si="4"/>
        <v>1</v>
      </c>
      <c r="AB323" s="54">
        <f>COUNTIFS(Links!B:B,"ICSE",Links!C:C,A323,Links!AD:AD,1)</f>
        <v>1</v>
      </c>
      <c r="AC323" s="55" t="s">
        <v>35</v>
      </c>
      <c r="AD323" s="47" t="str">
        <f t="shared" si="5"/>
        <v>No</v>
      </c>
      <c r="AE323" s="56" t="s">
        <v>36</v>
      </c>
      <c r="AF323" s="57" t="s">
        <v>42</v>
      </c>
      <c r="AG323" s="57" t="s">
        <v>42</v>
      </c>
      <c r="AH323" s="57" t="s">
        <v>42</v>
      </c>
      <c r="AI323" s="49" t="str">
        <f t="shared" si="6"/>
        <v>----</v>
      </c>
      <c r="AJ323" s="58" t="str">
        <f t="shared" si="7"/>
        <v>Paper has link but no statement</v>
      </c>
      <c r="AK323" s="59">
        <v>45034.0</v>
      </c>
      <c r="AL323" s="43" t="s">
        <v>43</v>
      </c>
      <c r="AM323" s="60" t="str">
        <f t="shared" si="8"/>
        <v>[IP1402]</v>
      </c>
    </row>
    <row r="324" ht="67.5" customHeight="1">
      <c r="A324" s="61">
        <v>1403.0</v>
      </c>
      <c r="B324" s="22" t="s">
        <v>843</v>
      </c>
      <c r="C324" s="23">
        <v>2017.0</v>
      </c>
      <c r="D324" s="24" t="s">
        <v>35</v>
      </c>
      <c r="E324" s="25" t="s">
        <v>36</v>
      </c>
      <c r="F324" s="25" t="s">
        <v>36</v>
      </c>
      <c r="G324" s="25" t="s">
        <v>36</v>
      </c>
      <c r="H324" s="25" t="s">
        <v>36</v>
      </c>
      <c r="I324" s="25" t="s">
        <v>36</v>
      </c>
      <c r="J324" s="26" t="s">
        <v>36</v>
      </c>
      <c r="K324" s="27" t="s">
        <v>37</v>
      </c>
      <c r="L324" s="28" t="s">
        <v>37</v>
      </c>
      <c r="M324" s="28" t="s">
        <v>35</v>
      </c>
      <c r="N324" s="28" t="s">
        <v>35</v>
      </c>
      <c r="O324" s="28" t="s">
        <v>35</v>
      </c>
      <c r="P324" s="28" t="s">
        <v>35</v>
      </c>
      <c r="Q324" s="28" t="s">
        <v>35</v>
      </c>
      <c r="R324" s="28" t="s">
        <v>37</v>
      </c>
      <c r="S324" s="29" t="s">
        <v>844</v>
      </c>
      <c r="T324" s="30" t="s">
        <v>845</v>
      </c>
      <c r="U324" s="31" t="s">
        <v>845</v>
      </c>
      <c r="V324" s="32">
        <f t="shared" ref="V324:X324" si="329">IF(lenb(SUBSTITUTE($Z324,V$1&amp;" (1)",""))&lt;lenb($Z324),1,IF(lenb(SUBSTITUTE($Z324,V$1&amp;" (2)",""))&lt;lenb($Z324),2,IF(lenb(SUBSTITUTE($Z324,V$1&amp;" (3)",""))&lt;lenb($Z324),3,IF(lenb(SUBSTITUTE($Z324,V$1&amp;" (4)",""))&lt;lenb($Z324),4,IF(lenb(SUBSTITUTE($Z324,V$1&amp;" (5)",""))&lt;lenb($Z324),5,IF(lenb(SUBSTITUTE($Z324,V$1&amp;" (6)",""))&lt;lenb($Z324),6,IF(lenb(SUBSTITUTE($Z324,V$1&amp;" (7)",""))&lt;lenb($Z324),1,IF(lenb(SUBSTITUTE($Z324,V$1&amp;" (8)",""))&lt;lenb($Z324),8,IF(lenb(SUBSTITUTE($Z324,V$1&amp;" (9)",""))&lt;lenb($Z324),9,IF(lenb(SUBSTITUTE($Z324,V$1&amp;" (10)",""))&lt;lenb($Z324),10,IF(lenb(SUBSTITUTE($Z324,V$1,""))&lt;lenb($Z324),"ERROR",IF($Z324=$Y$1,"-",0))))))))))))</f>
        <v>1</v>
      </c>
      <c r="W324" s="32">
        <f t="shared" si="329"/>
        <v>0</v>
      </c>
      <c r="X324" s="32">
        <f t="shared" si="329"/>
        <v>0</v>
      </c>
      <c r="Y324" s="32" t="str">
        <f t="shared" si="3"/>
        <v>-</v>
      </c>
      <c r="Z324" s="32" t="s">
        <v>62</v>
      </c>
      <c r="AA324" s="33">
        <f t="shared" si="4"/>
        <v>1</v>
      </c>
      <c r="AB324" s="34">
        <f>COUNTIFS(Links!B:B,"ICSE",Links!C:C,A324,Links!AD:AD,1)</f>
        <v>0</v>
      </c>
      <c r="AC324" s="35" t="s">
        <v>35</v>
      </c>
      <c r="AD324" s="27" t="str">
        <f t="shared" si="5"/>
        <v>No</v>
      </c>
      <c r="AE324" s="36" t="s">
        <v>36</v>
      </c>
      <c r="AF324" s="37" t="s">
        <v>42</v>
      </c>
      <c r="AG324" s="37" t="s">
        <v>42</v>
      </c>
      <c r="AH324" s="37" t="s">
        <v>42</v>
      </c>
      <c r="AI324" s="29" t="str">
        <f t="shared" si="6"/>
        <v>----</v>
      </c>
      <c r="AJ324" s="38" t="str">
        <f t="shared" si="7"/>
        <v>Paper has link but no statement</v>
      </c>
      <c r="AK324" s="39">
        <v>45034.0</v>
      </c>
      <c r="AL324" s="23" t="s">
        <v>43</v>
      </c>
      <c r="AM324" s="40" t="str">
        <f t="shared" si="8"/>
        <v>[IP1403]</v>
      </c>
    </row>
    <row r="325" ht="67.5" customHeight="1">
      <c r="A325" s="41">
        <v>1404.0</v>
      </c>
      <c r="B325" s="42" t="s">
        <v>846</v>
      </c>
      <c r="C325" s="43">
        <v>2017.0</v>
      </c>
      <c r="D325" s="44" t="s">
        <v>35</v>
      </c>
      <c r="E325" s="45" t="s">
        <v>36</v>
      </c>
      <c r="F325" s="45" t="s">
        <v>36</v>
      </c>
      <c r="G325" s="45" t="s">
        <v>36</v>
      </c>
      <c r="H325" s="45" t="s">
        <v>36</v>
      </c>
      <c r="I325" s="45" t="s">
        <v>36</v>
      </c>
      <c r="J325" s="46" t="s">
        <v>36</v>
      </c>
      <c r="K325" s="47" t="s">
        <v>37</v>
      </c>
      <c r="L325" s="48" t="s">
        <v>35</v>
      </c>
      <c r="M325" s="48" t="s">
        <v>37</v>
      </c>
      <c r="N325" s="48" t="s">
        <v>35</v>
      </c>
      <c r="O325" s="48" t="s">
        <v>35</v>
      </c>
      <c r="P325" s="48" t="s">
        <v>35</v>
      </c>
      <c r="Q325" s="48" t="s">
        <v>35</v>
      </c>
      <c r="R325" s="48" t="s">
        <v>37</v>
      </c>
      <c r="S325" s="49" t="s">
        <v>847</v>
      </c>
      <c r="T325" s="50" t="s">
        <v>848</v>
      </c>
      <c r="U325" s="51" t="s">
        <v>848</v>
      </c>
      <c r="V325" s="52">
        <f t="shared" ref="V325:X325" si="330">IF(lenb(SUBSTITUTE($Z325,V$1&amp;" (1)",""))&lt;lenb($Z325),1,IF(lenb(SUBSTITUTE($Z325,V$1&amp;" (2)",""))&lt;lenb($Z325),2,IF(lenb(SUBSTITUTE($Z325,V$1&amp;" (3)",""))&lt;lenb($Z325),3,IF(lenb(SUBSTITUTE($Z325,V$1&amp;" (4)",""))&lt;lenb($Z325),4,IF(lenb(SUBSTITUTE($Z325,V$1&amp;" (5)",""))&lt;lenb($Z325),5,IF(lenb(SUBSTITUTE($Z325,V$1&amp;" (6)",""))&lt;lenb($Z325),6,IF(lenb(SUBSTITUTE($Z325,V$1&amp;" (7)",""))&lt;lenb($Z325),1,IF(lenb(SUBSTITUTE($Z325,V$1&amp;" (8)",""))&lt;lenb($Z325),8,IF(lenb(SUBSTITUTE($Z325,V$1&amp;" (9)",""))&lt;lenb($Z325),9,IF(lenb(SUBSTITUTE($Z325,V$1&amp;" (10)",""))&lt;lenb($Z325),10,IF(lenb(SUBSTITUTE($Z325,V$1,""))&lt;lenb($Z325),"ERROR",IF($Z325=$Y$1,"-",0))))))))))))</f>
        <v>0</v>
      </c>
      <c r="W325" s="52">
        <f t="shared" si="330"/>
        <v>1</v>
      </c>
      <c r="X325" s="52">
        <f t="shared" si="330"/>
        <v>0</v>
      </c>
      <c r="Y325" s="52" t="str">
        <f t="shared" si="3"/>
        <v>-</v>
      </c>
      <c r="Z325" s="52" t="s">
        <v>47</v>
      </c>
      <c r="AA325" s="53">
        <f t="shared" si="4"/>
        <v>1</v>
      </c>
      <c r="AB325" s="54">
        <f>COUNTIFS(Links!B:B,"ICSE",Links!C:C,A325,Links!AD:AD,1)</f>
        <v>1</v>
      </c>
      <c r="AC325" s="55" t="s">
        <v>35</v>
      </c>
      <c r="AD325" s="47" t="str">
        <f t="shared" si="5"/>
        <v>No</v>
      </c>
      <c r="AE325" s="56" t="s">
        <v>36</v>
      </c>
      <c r="AF325" s="57" t="s">
        <v>42</v>
      </c>
      <c r="AG325" s="57" t="s">
        <v>42</v>
      </c>
      <c r="AH325" s="57" t="s">
        <v>42</v>
      </c>
      <c r="AI325" s="49" t="str">
        <f t="shared" si="6"/>
        <v>----</v>
      </c>
      <c r="AJ325" s="58" t="str">
        <f t="shared" si="7"/>
        <v>Paper has link but no statement</v>
      </c>
      <c r="AK325" s="59">
        <v>45034.0</v>
      </c>
      <c r="AL325" s="43" t="s">
        <v>43</v>
      </c>
      <c r="AM325" s="60" t="str">
        <f t="shared" si="8"/>
        <v>[IP1404]</v>
      </c>
    </row>
    <row r="326" ht="67.5" customHeight="1">
      <c r="A326" s="61">
        <v>1405.0</v>
      </c>
      <c r="B326" s="22" t="s">
        <v>849</v>
      </c>
      <c r="C326" s="23">
        <v>2017.0</v>
      </c>
      <c r="D326" s="24" t="s">
        <v>35</v>
      </c>
      <c r="E326" s="25" t="s">
        <v>36</v>
      </c>
      <c r="F326" s="25" t="s">
        <v>36</v>
      </c>
      <c r="G326" s="25" t="s">
        <v>36</v>
      </c>
      <c r="H326" s="25" t="s">
        <v>36</v>
      </c>
      <c r="I326" s="25" t="s">
        <v>36</v>
      </c>
      <c r="J326" s="26" t="s">
        <v>36</v>
      </c>
      <c r="K326" s="27" t="s">
        <v>37</v>
      </c>
      <c r="L326" s="28" t="s">
        <v>35</v>
      </c>
      <c r="M326" s="28" t="s">
        <v>35</v>
      </c>
      <c r="N326" s="28" t="s">
        <v>37</v>
      </c>
      <c r="O326" s="28" t="s">
        <v>35</v>
      </c>
      <c r="P326" s="28" t="s">
        <v>35</v>
      </c>
      <c r="Q326" s="28" t="s">
        <v>35</v>
      </c>
      <c r="R326" s="28" t="s">
        <v>37</v>
      </c>
      <c r="S326" s="29" t="s">
        <v>850</v>
      </c>
      <c r="T326" s="30" t="s">
        <v>851</v>
      </c>
      <c r="U326" s="31" t="s">
        <v>851</v>
      </c>
      <c r="V326" s="32">
        <f t="shared" ref="V326:X326" si="331">IF(lenb(SUBSTITUTE($Z326,V$1&amp;" (1)",""))&lt;lenb($Z326),1,IF(lenb(SUBSTITUTE($Z326,V$1&amp;" (2)",""))&lt;lenb($Z326),2,IF(lenb(SUBSTITUTE($Z326,V$1&amp;" (3)",""))&lt;lenb($Z326),3,IF(lenb(SUBSTITUTE($Z326,V$1&amp;" (4)",""))&lt;lenb($Z326),4,IF(lenb(SUBSTITUTE($Z326,V$1&amp;" (5)",""))&lt;lenb($Z326),5,IF(lenb(SUBSTITUTE($Z326,V$1&amp;" (6)",""))&lt;lenb($Z326),6,IF(lenb(SUBSTITUTE($Z326,V$1&amp;" (7)",""))&lt;lenb($Z326),1,IF(lenb(SUBSTITUTE($Z326,V$1&amp;" (8)",""))&lt;lenb($Z326),8,IF(lenb(SUBSTITUTE($Z326,V$1&amp;" (9)",""))&lt;lenb($Z326),9,IF(lenb(SUBSTITUTE($Z326,V$1&amp;" (10)",""))&lt;lenb($Z326),10,IF(lenb(SUBSTITUTE($Z326,V$1,""))&lt;lenb($Z326),"ERROR",IF($Z326=$Y$1,"-",0))))))))))))</f>
        <v>1</v>
      </c>
      <c r="W326" s="32">
        <f t="shared" si="331"/>
        <v>0</v>
      </c>
      <c r="X326" s="32">
        <f t="shared" si="331"/>
        <v>0</v>
      </c>
      <c r="Y326" s="32" t="str">
        <f t="shared" si="3"/>
        <v>-</v>
      </c>
      <c r="Z326" s="32" t="s">
        <v>62</v>
      </c>
      <c r="AA326" s="33">
        <f t="shared" si="4"/>
        <v>1</v>
      </c>
      <c r="AB326" s="34">
        <f>COUNTIFS(Links!B:B,"ICSE",Links!C:C,A326,Links!AD:AD,1)</f>
        <v>0</v>
      </c>
      <c r="AC326" s="35" t="s">
        <v>35</v>
      </c>
      <c r="AD326" s="27" t="str">
        <f t="shared" si="5"/>
        <v>No</v>
      </c>
      <c r="AE326" s="36" t="s">
        <v>36</v>
      </c>
      <c r="AF326" s="37" t="s">
        <v>42</v>
      </c>
      <c r="AG326" s="37" t="s">
        <v>42</v>
      </c>
      <c r="AH326" s="37" t="s">
        <v>42</v>
      </c>
      <c r="AI326" s="29" t="str">
        <f t="shared" si="6"/>
        <v>----</v>
      </c>
      <c r="AJ326" s="38" t="str">
        <f t="shared" si="7"/>
        <v>Paper has link but no statement</v>
      </c>
      <c r="AK326" s="39">
        <v>45034.0</v>
      </c>
      <c r="AL326" s="23" t="s">
        <v>43</v>
      </c>
      <c r="AM326" s="40" t="str">
        <f t="shared" si="8"/>
        <v>[IP1405]</v>
      </c>
    </row>
    <row r="327" ht="67.5" customHeight="1">
      <c r="A327" s="41">
        <v>1406.0</v>
      </c>
      <c r="B327" s="42" t="s">
        <v>852</v>
      </c>
      <c r="C327" s="43">
        <v>2017.0</v>
      </c>
      <c r="D327" s="44" t="s">
        <v>35</v>
      </c>
      <c r="E327" s="45" t="s">
        <v>36</v>
      </c>
      <c r="F327" s="45" t="s">
        <v>36</v>
      </c>
      <c r="G327" s="45" t="s">
        <v>36</v>
      </c>
      <c r="H327" s="45" t="s">
        <v>36</v>
      </c>
      <c r="I327" s="45" t="s">
        <v>36</v>
      </c>
      <c r="J327" s="46" t="s">
        <v>36</v>
      </c>
      <c r="K327" s="47" t="s">
        <v>37</v>
      </c>
      <c r="L327" s="48" t="s">
        <v>35</v>
      </c>
      <c r="M327" s="48" t="s">
        <v>37</v>
      </c>
      <c r="N327" s="48" t="s">
        <v>35</v>
      </c>
      <c r="O327" s="48" t="s">
        <v>35</v>
      </c>
      <c r="P327" s="48" t="s">
        <v>35</v>
      </c>
      <c r="Q327" s="48" t="s">
        <v>35</v>
      </c>
      <c r="R327" s="48" t="s">
        <v>37</v>
      </c>
      <c r="S327" s="49" t="s">
        <v>853</v>
      </c>
      <c r="T327" s="50" t="s">
        <v>854</v>
      </c>
      <c r="U327" s="51" t="s">
        <v>854</v>
      </c>
      <c r="V327" s="52">
        <f t="shared" ref="V327:X327" si="332">IF(lenb(SUBSTITUTE($Z327,V$1&amp;" (1)",""))&lt;lenb($Z327),1,IF(lenb(SUBSTITUTE($Z327,V$1&amp;" (2)",""))&lt;lenb($Z327),2,IF(lenb(SUBSTITUTE($Z327,V$1&amp;" (3)",""))&lt;lenb($Z327),3,IF(lenb(SUBSTITUTE($Z327,V$1&amp;" (4)",""))&lt;lenb($Z327),4,IF(lenb(SUBSTITUTE($Z327,V$1&amp;" (5)",""))&lt;lenb($Z327),5,IF(lenb(SUBSTITUTE($Z327,V$1&amp;" (6)",""))&lt;lenb($Z327),6,IF(lenb(SUBSTITUTE($Z327,V$1&amp;" (7)",""))&lt;lenb($Z327),1,IF(lenb(SUBSTITUTE($Z327,V$1&amp;" (8)",""))&lt;lenb($Z327),8,IF(lenb(SUBSTITUTE($Z327,V$1&amp;" (9)",""))&lt;lenb($Z327),9,IF(lenb(SUBSTITUTE($Z327,V$1&amp;" (10)",""))&lt;lenb($Z327),10,IF(lenb(SUBSTITUTE($Z327,V$1,""))&lt;lenb($Z327),"ERROR",IF($Z327=$Y$1,"-",0))))))))))))</f>
        <v>0</v>
      </c>
      <c r="W327" s="52">
        <f t="shared" si="332"/>
        <v>1</v>
      </c>
      <c r="X327" s="52">
        <f t="shared" si="332"/>
        <v>0</v>
      </c>
      <c r="Y327" s="52" t="str">
        <f t="shared" si="3"/>
        <v>-</v>
      </c>
      <c r="Z327" s="52" t="s">
        <v>47</v>
      </c>
      <c r="AA327" s="53">
        <f t="shared" si="4"/>
        <v>1</v>
      </c>
      <c r="AB327" s="54">
        <f>COUNTIFS(Links!B:B,"ICSE",Links!C:C,A327,Links!AD:AD,1)</f>
        <v>1</v>
      </c>
      <c r="AC327" s="55" t="s">
        <v>35</v>
      </c>
      <c r="AD327" s="47" t="str">
        <f t="shared" si="5"/>
        <v>No</v>
      </c>
      <c r="AE327" s="56" t="s">
        <v>36</v>
      </c>
      <c r="AF327" s="57" t="s">
        <v>42</v>
      </c>
      <c r="AG327" s="57" t="s">
        <v>42</v>
      </c>
      <c r="AH327" s="57" t="s">
        <v>42</v>
      </c>
      <c r="AI327" s="49" t="str">
        <f t="shared" si="6"/>
        <v>----</v>
      </c>
      <c r="AJ327" s="58" t="str">
        <f t="shared" si="7"/>
        <v>Paper has link but no statement</v>
      </c>
      <c r="AK327" s="59">
        <v>45034.0</v>
      </c>
      <c r="AL327" s="43" t="s">
        <v>43</v>
      </c>
      <c r="AM327" s="60" t="str">
        <f t="shared" si="8"/>
        <v>[IP1406]</v>
      </c>
    </row>
    <row r="328" ht="67.5" customHeight="1">
      <c r="A328" s="61">
        <v>1407.0</v>
      </c>
      <c r="B328" s="22" t="s">
        <v>855</v>
      </c>
      <c r="C328" s="23">
        <v>2017.0</v>
      </c>
      <c r="D328" s="24" t="s">
        <v>35</v>
      </c>
      <c r="E328" s="25" t="s">
        <v>36</v>
      </c>
      <c r="F328" s="25" t="s">
        <v>36</v>
      </c>
      <c r="G328" s="25" t="s">
        <v>36</v>
      </c>
      <c r="H328" s="25" t="s">
        <v>36</v>
      </c>
      <c r="I328" s="25" t="s">
        <v>36</v>
      </c>
      <c r="J328" s="26" t="s">
        <v>36</v>
      </c>
      <c r="K328" s="27" t="s">
        <v>37</v>
      </c>
      <c r="L328" s="28" t="s">
        <v>35</v>
      </c>
      <c r="M328" s="28" t="s">
        <v>37</v>
      </c>
      <c r="N328" s="28" t="s">
        <v>35</v>
      </c>
      <c r="O328" s="28" t="s">
        <v>35</v>
      </c>
      <c r="P328" s="28" t="s">
        <v>35</v>
      </c>
      <c r="Q328" s="28" t="s">
        <v>35</v>
      </c>
      <c r="R328" s="28" t="s">
        <v>37</v>
      </c>
      <c r="S328" s="29" t="s">
        <v>856</v>
      </c>
      <c r="T328" s="30" t="s">
        <v>857</v>
      </c>
      <c r="U328" s="31" t="s">
        <v>858</v>
      </c>
      <c r="V328" s="32">
        <f t="shared" ref="V328:X328" si="333">IF(lenb(SUBSTITUTE($Z328,V$1&amp;" (1)",""))&lt;lenb($Z328),1,IF(lenb(SUBSTITUTE($Z328,V$1&amp;" (2)",""))&lt;lenb($Z328),2,IF(lenb(SUBSTITUTE($Z328,V$1&amp;" (3)",""))&lt;lenb($Z328),3,IF(lenb(SUBSTITUTE($Z328,V$1&amp;" (4)",""))&lt;lenb($Z328),4,IF(lenb(SUBSTITUTE($Z328,V$1&amp;" (5)",""))&lt;lenb($Z328),5,IF(lenb(SUBSTITUTE($Z328,V$1&amp;" (6)",""))&lt;lenb($Z328),6,IF(lenb(SUBSTITUTE($Z328,V$1&amp;" (7)",""))&lt;lenb($Z328),1,IF(lenb(SUBSTITUTE($Z328,V$1&amp;" (8)",""))&lt;lenb($Z328),8,IF(lenb(SUBSTITUTE($Z328,V$1&amp;" (9)",""))&lt;lenb($Z328),9,IF(lenb(SUBSTITUTE($Z328,V$1&amp;" (10)",""))&lt;lenb($Z328),10,IF(lenb(SUBSTITUTE($Z328,V$1,""))&lt;lenb($Z328),"ERROR",IF($Z328=$Y$1,"-",0))))))))))))</f>
        <v>1</v>
      </c>
      <c r="W328" s="32">
        <f t="shared" si="333"/>
        <v>0</v>
      </c>
      <c r="X328" s="32">
        <f t="shared" si="333"/>
        <v>0</v>
      </c>
      <c r="Y328" s="32" t="str">
        <f t="shared" si="3"/>
        <v>-</v>
      </c>
      <c r="Z328" s="32" t="s">
        <v>62</v>
      </c>
      <c r="AA328" s="33">
        <f t="shared" si="4"/>
        <v>1</v>
      </c>
      <c r="AB328" s="34">
        <f>COUNTIFS(Links!B:B,"ICSE",Links!C:C,A328,Links!AD:AD,1)</f>
        <v>0</v>
      </c>
      <c r="AC328" s="35" t="s">
        <v>35</v>
      </c>
      <c r="AD328" s="27" t="str">
        <f t="shared" si="5"/>
        <v>No</v>
      </c>
      <c r="AE328" s="36" t="s">
        <v>36</v>
      </c>
      <c r="AF328" s="37" t="s">
        <v>42</v>
      </c>
      <c r="AG328" s="37" t="s">
        <v>42</v>
      </c>
      <c r="AH328" s="37" t="s">
        <v>42</v>
      </c>
      <c r="AI328" s="29" t="str">
        <f t="shared" si="6"/>
        <v>----</v>
      </c>
      <c r="AJ328" s="38" t="str">
        <f t="shared" si="7"/>
        <v>Paper has link but no statement</v>
      </c>
      <c r="AK328" s="39">
        <v>45034.0</v>
      </c>
      <c r="AL328" s="23" t="s">
        <v>43</v>
      </c>
      <c r="AM328" s="40" t="str">
        <f t="shared" si="8"/>
        <v>[IP1407]</v>
      </c>
    </row>
    <row r="329" ht="67.5" customHeight="1">
      <c r="A329" s="41">
        <v>1408.0</v>
      </c>
      <c r="B329" s="42" t="s">
        <v>859</v>
      </c>
      <c r="C329" s="43">
        <v>2017.0</v>
      </c>
      <c r="D329" s="44" t="s">
        <v>35</v>
      </c>
      <c r="E329" s="45" t="s">
        <v>36</v>
      </c>
      <c r="F329" s="45" t="s">
        <v>36</v>
      </c>
      <c r="G329" s="45" t="s">
        <v>36</v>
      </c>
      <c r="H329" s="45" t="s">
        <v>36</v>
      </c>
      <c r="I329" s="45" t="s">
        <v>36</v>
      </c>
      <c r="J329" s="46" t="s">
        <v>36</v>
      </c>
      <c r="K329" s="47" t="s">
        <v>37</v>
      </c>
      <c r="L329" s="48" t="s">
        <v>35</v>
      </c>
      <c r="M329" s="48" t="s">
        <v>37</v>
      </c>
      <c r="N329" s="48" t="s">
        <v>37</v>
      </c>
      <c r="O329" s="48" t="s">
        <v>35</v>
      </c>
      <c r="P329" s="48" t="s">
        <v>35</v>
      </c>
      <c r="Q329" s="48" t="s">
        <v>35</v>
      </c>
      <c r="R329" s="48" t="s">
        <v>37</v>
      </c>
      <c r="S329" s="49" t="s">
        <v>860</v>
      </c>
      <c r="T329" s="50" t="s">
        <v>861</v>
      </c>
      <c r="U329" s="51" t="s">
        <v>862</v>
      </c>
      <c r="V329" s="52">
        <f t="shared" ref="V329:X329" si="334">IF(lenb(SUBSTITUTE($Z329,V$1&amp;" (1)",""))&lt;lenb($Z329),1,IF(lenb(SUBSTITUTE($Z329,V$1&amp;" (2)",""))&lt;lenb($Z329),2,IF(lenb(SUBSTITUTE($Z329,V$1&amp;" (3)",""))&lt;lenb($Z329),3,IF(lenb(SUBSTITUTE($Z329,V$1&amp;" (4)",""))&lt;lenb($Z329),4,IF(lenb(SUBSTITUTE($Z329,V$1&amp;" (5)",""))&lt;lenb($Z329),5,IF(lenb(SUBSTITUTE($Z329,V$1&amp;" (6)",""))&lt;lenb($Z329),6,IF(lenb(SUBSTITUTE($Z329,V$1&amp;" (7)",""))&lt;lenb($Z329),1,IF(lenb(SUBSTITUTE($Z329,V$1&amp;" (8)",""))&lt;lenb($Z329),8,IF(lenb(SUBSTITUTE($Z329,V$1&amp;" (9)",""))&lt;lenb($Z329),9,IF(lenb(SUBSTITUTE($Z329,V$1&amp;" (10)",""))&lt;lenb($Z329),10,IF(lenb(SUBSTITUTE($Z329,V$1,""))&lt;lenb($Z329),"ERROR",IF($Z329=$Y$1,"-",0))))))))))))</f>
        <v>2</v>
      </c>
      <c r="W329" s="52">
        <f t="shared" si="334"/>
        <v>0</v>
      </c>
      <c r="X329" s="52">
        <f t="shared" si="334"/>
        <v>0</v>
      </c>
      <c r="Y329" s="52" t="str">
        <f t="shared" si="3"/>
        <v>-</v>
      </c>
      <c r="Z329" s="52" t="s">
        <v>57</v>
      </c>
      <c r="AA329" s="53">
        <f t="shared" si="4"/>
        <v>2</v>
      </c>
      <c r="AB329" s="54">
        <f>COUNTIFS(Links!B:B,"ICSE",Links!C:C,A329,Links!AD:AD,1)</f>
        <v>0</v>
      </c>
      <c r="AC329" s="55" t="s">
        <v>37</v>
      </c>
      <c r="AD329" s="47" t="str">
        <f t="shared" si="5"/>
        <v>No</v>
      </c>
      <c r="AE329" s="56" t="s">
        <v>36</v>
      </c>
      <c r="AF329" s="57" t="s">
        <v>42</v>
      </c>
      <c r="AG329" s="57" t="s">
        <v>42</v>
      </c>
      <c r="AH329" s="57" t="s">
        <v>42</v>
      </c>
      <c r="AI329" s="49" t="str">
        <f t="shared" si="6"/>
        <v>----</v>
      </c>
      <c r="AJ329" s="58" t="str">
        <f t="shared" si="7"/>
        <v>Paper has link but no statement</v>
      </c>
      <c r="AK329" s="59">
        <v>45034.0</v>
      </c>
      <c r="AL329" s="43" t="s">
        <v>43</v>
      </c>
      <c r="AM329" s="60" t="str">
        <f t="shared" si="8"/>
        <v>[IP1408]</v>
      </c>
    </row>
    <row r="330" ht="67.5" customHeight="1">
      <c r="A330" s="61">
        <v>1409.0</v>
      </c>
      <c r="B330" s="22" t="s">
        <v>863</v>
      </c>
      <c r="C330" s="23">
        <v>2017.0</v>
      </c>
      <c r="D330" s="24" t="s">
        <v>35</v>
      </c>
      <c r="E330" s="25" t="s">
        <v>36</v>
      </c>
      <c r="F330" s="25" t="s">
        <v>36</v>
      </c>
      <c r="G330" s="25" t="s">
        <v>36</v>
      </c>
      <c r="H330" s="25" t="s">
        <v>36</v>
      </c>
      <c r="I330" s="25" t="s">
        <v>36</v>
      </c>
      <c r="J330" s="26" t="s">
        <v>36</v>
      </c>
      <c r="K330" s="27" t="s">
        <v>35</v>
      </c>
      <c r="L330" s="28" t="s">
        <v>36</v>
      </c>
      <c r="M330" s="28" t="s">
        <v>36</v>
      </c>
      <c r="N330" s="28" t="s">
        <v>36</v>
      </c>
      <c r="O330" s="28" t="s">
        <v>36</v>
      </c>
      <c r="P330" s="28" t="s">
        <v>36</v>
      </c>
      <c r="Q330" s="28" t="s">
        <v>36</v>
      </c>
      <c r="R330" s="28" t="s">
        <v>36</v>
      </c>
      <c r="S330" s="29" t="s">
        <v>36</v>
      </c>
      <c r="T330" s="30" t="s">
        <v>36</v>
      </c>
      <c r="U330" s="31" t="s">
        <v>36</v>
      </c>
      <c r="V330" s="32" t="str">
        <f t="shared" ref="V330:X330" si="335">IF(lenb(SUBSTITUTE($Z330,V$1&amp;" (1)",""))&lt;lenb($Z330),1,IF(lenb(SUBSTITUTE($Z330,V$1&amp;" (2)",""))&lt;lenb($Z330),2,IF(lenb(SUBSTITUTE($Z330,V$1&amp;" (3)",""))&lt;lenb($Z330),3,IF(lenb(SUBSTITUTE($Z330,V$1&amp;" (4)",""))&lt;lenb($Z330),4,IF(lenb(SUBSTITUTE($Z330,V$1&amp;" (5)",""))&lt;lenb($Z330),5,IF(lenb(SUBSTITUTE($Z330,V$1&amp;" (6)",""))&lt;lenb($Z330),6,IF(lenb(SUBSTITUTE($Z330,V$1&amp;" (7)",""))&lt;lenb($Z330),1,IF(lenb(SUBSTITUTE($Z330,V$1&amp;" (8)",""))&lt;lenb($Z330),8,IF(lenb(SUBSTITUTE($Z330,V$1&amp;" (9)",""))&lt;lenb($Z330),9,IF(lenb(SUBSTITUTE($Z330,V$1&amp;" (10)",""))&lt;lenb($Z330),10,IF(lenb(SUBSTITUTE($Z330,V$1,""))&lt;lenb($Z330),"ERROR",IF($Z330=$Y$1,"-",0))))))))))))</f>
        <v>-</v>
      </c>
      <c r="W330" s="32" t="str">
        <f t="shared" si="335"/>
        <v>-</v>
      </c>
      <c r="X330" s="32" t="str">
        <f t="shared" si="335"/>
        <v>-</v>
      </c>
      <c r="Y330" s="32">
        <f t="shared" si="3"/>
        <v>1</v>
      </c>
      <c r="Z330" s="32" t="s">
        <v>23</v>
      </c>
      <c r="AA330" s="33">
        <f t="shared" si="4"/>
        <v>0</v>
      </c>
      <c r="AB330" s="34">
        <f>COUNTIFS(Links!B:B,"ICSE",Links!C:C,A330,Links!AD:AD,1)</f>
        <v>0</v>
      </c>
      <c r="AC330" s="35" t="s">
        <v>36</v>
      </c>
      <c r="AD330" s="27" t="str">
        <f t="shared" si="5"/>
        <v>No</v>
      </c>
      <c r="AE330" s="36" t="s">
        <v>36</v>
      </c>
      <c r="AF330" s="37" t="s">
        <v>42</v>
      </c>
      <c r="AG330" s="37" t="s">
        <v>42</v>
      </c>
      <c r="AH330" s="37" t="s">
        <v>42</v>
      </c>
      <c r="AI330" s="29" t="str">
        <f t="shared" si="6"/>
        <v>----</v>
      </c>
      <c r="AJ330" s="38" t="str">
        <f t="shared" si="7"/>
        <v>Paper has no link and no statement</v>
      </c>
      <c r="AK330" s="39">
        <v>45034.0</v>
      </c>
      <c r="AL330" s="23" t="s">
        <v>43</v>
      </c>
      <c r="AM330" s="40" t="str">
        <f t="shared" si="8"/>
        <v>[IP1409]</v>
      </c>
    </row>
    <row r="331" ht="67.5" customHeight="1">
      <c r="A331" s="41">
        <v>1410.0</v>
      </c>
      <c r="B331" s="42" t="s">
        <v>864</v>
      </c>
      <c r="C331" s="43">
        <v>2017.0</v>
      </c>
      <c r="D331" s="44" t="s">
        <v>35</v>
      </c>
      <c r="E331" s="45" t="s">
        <v>36</v>
      </c>
      <c r="F331" s="45" t="s">
        <v>36</v>
      </c>
      <c r="G331" s="45" t="s">
        <v>36</v>
      </c>
      <c r="H331" s="45" t="s">
        <v>36</v>
      </c>
      <c r="I331" s="45" t="s">
        <v>36</v>
      </c>
      <c r="J331" s="46" t="s">
        <v>36</v>
      </c>
      <c r="K331" s="47" t="s">
        <v>37</v>
      </c>
      <c r="L331" s="48" t="s">
        <v>37</v>
      </c>
      <c r="M331" s="48" t="s">
        <v>35</v>
      </c>
      <c r="N331" s="48" t="s">
        <v>35</v>
      </c>
      <c r="O331" s="48" t="s">
        <v>35</v>
      </c>
      <c r="P331" s="48" t="s">
        <v>35</v>
      </c>
      <c r="Q331" s="48" t="s">
        <v>35</v>
      </c>
      <c r="R331" s="48" t="s">
        <v>37</v>
      </c>
      <c r="S331" s="49" t="s">
        <v>865</v>
      </c>
      <c r="T331" s="50" t="s">
        <v>866</v>
      </c>
      <c r="U331" s="51" t="s">
        <v>866</v>
      </c>
      <c r="V331" s="52">
        <f t="shared" ref="V331:X331" si="336">IF(lenb(SUBSTITUTE($Z331,V$1&amp;" (1)",""))&lt;lenb($Z331),1,IF(lenb(SUBSTITUTE($Z331,V$1&amp;" (2)",""))&lt;lenb($Z331),2,IF(lenb(SUBSTITUTE($Z331,V$1&amp;" (3)",""))&lt;lenb($Z331),3,IF(lenb(SUBSTITUTE($Z331,V$1&amp;" (4)",""))&lt;lenb($Z331),4,IF(lenb(SUBSTITUTE($Z331,V$1&amp;" (5)",""))&lt;lenb($Z331),5,IF(lenb(SUBSTITUTE($Z331,V$1&amp;" (6)",""))&lt;lenb($Z331),6,IF(lenb(SUBSTITUTE($Z331,V$1&amp;" (7)",""))&lt;lenb($Z331),1,IF(lenb(SUBSTITUTE($Z331,V$1&amp;" (8)",""))&lt;lenb($Z331),8,IF(lenb(SUBSTITUTE($Z331,V$1&amp;" (9)",""))&lt;lenb($Z331),9,IF(lenb(SUBSTITUTE($Z331,V$1&amp;" (10)",""))&lt;lenb($Z331),10,IF(lenb(SUBSTITUTE($Z331,V$1,""))&lt;lenb($Z331),"ERROR",IF($Z331=$Y$1,"-",0))))))))))))</f>
        <v>1</v>
      </c>
      <c r="W331" s="52">
        <f t="shared" si="336"/>
        <v>0</v>
      </c>
      <c r="X331" s="52">
        <f t="shared" si="336"/>
        <v>0</v>
      </c>
      <c r="Y331" s="52" t="str">
        <f t="shared" si="3"/>
        <v>-</v>
      </c>
      <c r="Z331" s="52" t="s">
        <v>62</v>
      </c>
      <c r="AA331" s="53">
        <f t="shared" si="4"/>
        <v>1</v>
      </c>
      <c r="AB331" s="54">
        <f>COUNTIFS(Links!B:B,"ICSE",Links!C:C,A331,Links!AD:AD,1)</f>
        <v>1</v>
      </c>
      <c r="AC331" s="55" t="s">
        <v>35</v>
      </c>
      <c r="AD331" s="47" t="str">
        <f t="shared" si="5"/>
        <v>No</v>
      </c>
      <c r="AE331" s="56" t="s">
        <v>36</v>
      </c>
      <c r="AF331" s="57" t="s">
        <v>42</v>
      </c>
      <c r="AG331" s="57" t="s">
        <v>42</v>
      </c>
      <c r="AH331" s="57" t="s">
        <v>42</v>
      </c>
      <c r="AI331" s="49" t="str">
        <f t="shared" si="6"/>
        <v>----</v>
      </c>
      <c r="AJ331" s="58" t="str">
        <f t="shared" si="7"/>
        <v>Paper has link but no statement</v>
      </c>
      <c r="AK331" s="59">
        <v>45034.0</v>
      </c>
      <c r="AL331" s="43" t="s">
        <v>43</v>
      </c>
      <c r="AM331" s="60" t="str">
        <f t="shared" si="8"/>
        <v>[IP1410]</v>
      </c>
    </row>
    <row r="332" ht="67.5" customHeight="1">
      <c r="A332" s="61">
        <v>1411.0</v>
      </c>
      <c r="B332" s="22" t="s">
        <v>867</v>
      </c>
      <c r="C332" s="23">
        <v>2017.0</v>
      </c>
      <c r="D332" s="24" t="s">
        <v>35</v>
      </c>
      <c r="E332" s="25" t="s">
        <v>36</v>
      </c>
      <c r="F332" s="25" t="s">
        <v>36</v>
      </c>
      <c r="G332" s="25" t="s">
        <v>36</v>
      </c>
      <c r="H332" s="25" t="s">
        <v>36</v>
      </c>
      <c r="I332" s="25" t="s">
        <v>36</v>
      </c>
      <c r="J332" s="26" t="s">
        <v>36</v>
      </c>
      <c r="K332" s="27" t="s">
        <v>37</v>
      </c>
      <c r="L332" s="28" t="s">
        <v>37</v>
      </c>
      <c r="M332" s="28" t="s">
        <v>35</v>
      </c>
      <c r="N332" s="28" t="s">
        <v>35</v>
      </c>
      <c r="O332" s="28" t="s">
        <v>35</v>
      </c>
      <c r="P332" s="28" t="s">
        <v>35</v>
      </c>
      <c r="Q332" s="28" t="s">
        <v>37</v>
      </c>
      <c r="R332" s="28" t="s">
        <v>37</v>
      </c>
      <c r="S332" s="29" t="s">
        <v>868</v>
      </c>
      <c r="T332" s="30" t="s">
        <v>869</v>
      </c>
      <c r="U332" s="31" t="s">
        <v>869</v>
      </c>
      <c r="V332" s="32">
        <f t="shared" ref="V332:X332" si="337">IF(lenb(SUBSTITUTE($Z332,V$1&amp;" (1)",""))&lt;lenb($Z332),1,IF(lenb(SUBSTITUTE($Z332,V$1&amp;" (2)",""))&lt;lenb($Z332),2,IF(lenb(SUBSTITUTE($Z332,V$1&amp;" (3)",""))&lt;lenb($Z332),3,IF(lenb(SUBSTITUTE($Z332,V$1&amp;" (4)",""))&lt;lenb($Z332),4,IF(lenb(SUBSTITUTE($Z332,V$1&amp;" (5)",""))&lt;lenb($Z332),5,IF(lenb(SUBSTITUTE($Z332,V$1&amp;" (6)",""))&lt;lenb($Z332),6,IF(lenb(SUBSTITUTE($Z332,V$1&amp;" (7)",""))&lt;lenb($Z332),1,IF(lenb(SUBSTITUTE($Z332,V$1&amp;" (8)",""))&lt;lenb($Z332),8,IF(lenb(SUBSTITUTE($Z332,V$1&amp;" (9)",""))&lt;lenb($Z332),9,IF(lenb(SUBSTITUTE($Z332,V$1&amp;" (10)",""))&lt;lenb($Z332),10,IF(lenb(SUBSTITUTE($Z332,V$1,""))&lt;lenb($Z332),"ERROR",IF($Z332=$Y$1,"-",0))))))))))))</f>
        <v>1</v>
      </c>
      <c r="W332" s="32">
        <f t="shared" si="337"/>
        <v>0</v>
      </c>
      <c r="X332" s="32">
        <f t="shared" si="337"/>
        <v>0</v>
      </c>
      <c r="Y332" s="32" t="str">
        <f t="shared" si="3"/>
        <v>-</v>
      </c>
      <c r="Z332" s="32" t="s">
        <v>62</v>
      </c>
      <c r="AA332" s="33">
        <f t="shared" si="4"/>
        <v>1</v>
      </c>
      <c r="AB332" s="34">
        <f>COUNTIFS(Links!B:B,"ICSE",Links!C:C,A332,Links!AD:AD,1)</f>
        <v>1</v>
      </c>
      <c r="AC332" s="35" t="s">
        <v>35</v>
      </c>
      <c r="AD332" s="27" t="str">
        <f t="shared" si="5"/>
        <v>No</v>
      </c>
      <c r="AE332" s="36" t="s">
        <v>36</v>
      </c>
      <c r="AF332" s="37" t="s">
        <v>42</v>
      </c>
      <c r="AG332" s="37" t="s">
        <v>42</v>
      </c>
      <c r="AH332" s="37" t="s">
        <v>42</v>
      </c>
      <c r="AI332" s="29" t="str">
        <f t="shared" si="6"/>
        <v>----</v>
      </c>
      <c r="AJ332" s="38" t="str">
        <f t="shared" si="7"/>
        <v>Paper has link but no statement</v>
      </c>
      <c r="AK332" s="39">
        <v>45034.0</v>
      </c>
      <c r="AL332" s="23" t="s">
        <v>43</v>
      </c>
      <c r="AM332" s="40" t="str">
        <f t="shared" si="8"/>
        <v>[IP1411]</v>
      </c>
    </row>
    <row r="333" ht="67.5" customHeight="1">
      <c r="A333" s="41">
        <v>1412.0</v>
      </c>
      <c r="B333" s="42" t="s">
        <v>870</v>
      </c>
      <c r="C333" s="43">
        <v>2017.0</v>
      </c>
      <c r="D333" s="44" t="s">
        <v>35</v>
      </c>
      <c r="E333" s="45" t="s">
        <v>36</v>
      </c>
      <c r="F333" s="45" t="s">
        <v>36</v>
      </c>
      <c r="G333" s="45" t="s">
        <v>36</v>
      </c>
      <c r="H333" s="45" t="s">
        <v>36</v>
      </c>
      <c r="I333" s="45" t="s">
        <v>36</v>
      </c>
      <c r="J333" s="46" t="s">
        <v>36</v>
      </c>
      <c r="K333" s="47" t="s">
        <v>37</v>
      </c>
      <c r="L333" s="48" t="s">
        <v>35</v>
      </c>
      <c r="M333" s="48" t="s">
        <v>35</v>
      </c>
      <c r="N333" s="48" t="s">
        <v>35</v>
      </c>
      <c r="O333" s="48" t="s">
        <v>35</v>
      </c>
      <c r="P333" s="48" t="s">
        <v>37</v>
      </c>
      <c r="Q333" s="48" t="s">
        <v>35</v>
      </c>
      <c r="R333" s="48" t="s">
        <v>37</v>
      </c>
      <c r="S333" s="49" t="s">
        <v>871</v>
      </c>
      <c r="T333" s="50" t="s">
        <v>872</v>
      </c>
      <c r="U333" s="51" t="s">
        <v>872</v>
      </c>
      <c r="V333" s="52">
        <f t="shared" ref="V333:X333" si="338">IF(lenb(SUBSTITUTE($Z333,V$1&amp;" (1)",""))&lt;lenb($Z333),1,IF(lenb(SUBSTITUTE($Z333,V$1&amp;" (2)",""))&lt;lenb($Z333),2,IF(lenb(SUBSTITUTE($Z333,V$1&amp;" (3)",""))&lt;lenb($Z333),3,IF(lenb(SUBSTITUTE($Z333,V$1&amp;" (4)",""))&lt;lenb($Z333),4,IF(lenb(SUBSTITUTE($Z333,V$1&amp;" (5)",""))&lt;lenb($Z333),5,IF(lenb(SUBSTITUTE($Z333,V$1&amp;" (6)",""))&lt;lenb($Z333),6,IF(lenb(SUBSTITUTE($Z333,V$1&amp;" (7)",""))&lt;lenb($Z333),1,IF(lenb(SUBSTITUTE($Z333,V$1&amp;" (8)",""))&lt;lenb($Z333),8,IF(lenb(SUBSTITUTE($Z333,V$1&amp;" (9)",""))&lt;lenb($Z333),9,IF(lenb(SUBSTITUTE($Z333,V$1&amp;" (10)",""))&lt;lenb($Z333),10,IF(lenb(SUBSTITUTE($Z333,V$1,""))&lt;lenb($Z333),"ERROR",IF($Z333=$Y$1,"-",0))))))))))))</f>
        <v>1</v>
      </c>
      <c r="W333" s="52">
        <f t="shared" si="338"/>
        <v>0</v>
      </c>
      <c r="X333" s="52">
        <f t="shared" si="338"/>
        <v>0</v>
      </c>
      <c r="Y333" s="52" t="str">
        <f t="shared" si="3"/>
        <v>-</v>
      </c>
      <c r="Z333" s="52" t="s">
        <v>62</v>
      </c>
      <c r="AA333" s="53">
        <f t="shared" si="4"/>
        <v>1</v>
      </c>
      <c r="AB333" s="54">
        <f>COUNTIFS(Links!B:B,"ICSE",Links!C:C,A333,Links!AD:AD,1)</f>
        <v>0</v>
      </c>
      <c r="AC333" s="55" t="s">
        <v>35</v>
      </c>
      <c r="AD333" s="47" t="str">
        <f t="shared" si="5"/>
        <v>No</v>
      </c>
      <c r="AE333" s="56" t="s">
        <v>36</v>
      </c>
      <c r="AF333" s="57" t="s">
        <v>42</v>
      </c>
      <c r="AG333" s="57" t="s">
        <v>42</v>
      </c>
      <c r="AH333" s="57" t="s">
        <v>42</v>
      </c>
      <c r="AI333" s="49" t="str">
        <f t="shared" si="6"/>
        <v>----</v>
      </c>
      <c r="AJ333" s="58" t="str">
        <f t="shared" si="7"/>
        <v>Paper has link but no statement</v>
      </c>
      <c r="AK333" s="59">
        <v>45034.0</v>
      </c>
      <c r="AL333" s="43" t="s">
        <v>43</v>
      </c>
      <c r="AM333" s="60" t="str">
        <f t="shared" si="8"/>
        <v>[IP1412]</v>
      </c>
    </row>
    <row r="334" ht="67.5" customHeight="1">
      <c r="A334" s="61">
        <v>1413.0</v>
      </c>
      <c r="B334" s="22" t="s">
        <v>873</v>
      </c>
      <c r="C334" s="23">
        <v>2017.0</v>
      </c>
      <c r="D334" s="24" t="s">
        <v>35</v>
      </c>
      <c r="E334" s="25" t="s">
        <v>36</v>
      </c>
      <c r="F334" s="25" t="s">
        <v>36</v>
      </c>
      <c r="G334" s="25" t="s">
        <v>36</v>
      </c>
      <c r="H334" s="25" t="s">
        <v>36</v>
      </c>
      <c r="I334" s="25" t="s">
        <v>36</v>
      </c>
      <c r="J334" s="26" t="s">
        <v>36</v>
      </c>
      <c r="K334" s="27" t="s">
        <v>37</v>
      </c>
      <c r="L334" s="28" t="s">
        <v>35</v>
      </c>
      <c r="M334" s="28" t="s">
        <v>37</v>
      </c>
      <c r="N334" s="28" t="s">
        <v>37</v>
      </c>
      <c r="O334" s="28" t="s">
        <v>35</v>
      </c>
      <c r="P334" s="28" t="s">
        <v>35</v>
      </c>
      <c r="Q334" s="28" t="s">
        <v>35</v>
      </c>
      <c r="R334" s="28" t="s">
        <v>37</v>
      </c>
      <c r="S334" s="29" t="s">
        <v>874</v>
      </c>
      <c r="T334" s="30" t="s">
        <v>875</v>
      </c>
      <c r="U334" s="31" t="s">
        <v>875</v>
      </c>
      <c r="V334" s="32">
        <f t="shared" ref="V334:X334" si="339">IF(lenb(SUBSTITUTE($Z334,V$1&amp;" (1)",""))&lt;lenb($Z334),1,IF(lenb(SUBSTITUTE($Z334,V$1&amp;" (2)",""))&lt;lenb($Z334),2,IF(lenb(SUBSTITUTE($Z334,V$1&amp;" (3)",""))&lt;lenb($Z334),3,IF(lenb(SUBSTITUTE($Z334,V$1&amp;" (4)",""))&lt;lenb($Z334),4,IF(lenb(SUBSTITUTE($Z334,V$1&amp;" (5)",""))&lt;lenb($Z334),5,IF(lenb(SUBSTITUTE($Z334,V$1&amp;" (6)",""))&lt;lenb($Z334),6,IF(lenb(SUBSTITUTE($Z334,V$1&amp;" (7)",""))&lt;lenb($Z334),1,IF(lenb(SUBSTITUTE($Z334,V$1&amp;" (8)",""))&lt;lenb($Z334),8,IF(lenb(SUBSTITUTE($Z334,V$1&amp;" (9)",""))&lt;lenb($Z334),9,IF(lenb(SUBSTITUTE($Z334,V$1&amp;" (10)",""))&lt;lenb($Z334),10,IF(lenb(SUBSTITUTE($Z334,V$1,""))&lt;lenb($Z334),"ERROR",IF($Z334=$Y$1,"-",0))))))))))))</f>
        <v>0</v>
      </c>
      <c r="W334" s="32">
        <f t="shared" si="339"/>
        <v>1</v>
      </c>
      <c r="X334" s="32">
        <f t="shared" si="339"/>
        <v>0</v>
      </c>
      <c r="Y334" s="32" t="str">
        <f t="shared" si="3"/>
        <v>-</v>
      </c>
      <c r="Z334" s="32" t="s">
        <v>47</v>
      </c>
      <c r="AA334" s="33">
        <f t="shared" si="4"/>
        <v>1</v>
      </c>
      <c r="AB334" s="34">
        <f>COUNTIFS(Links!B:B,"ICSE",Links!C:C,A334,Links!AD:AD,1)</f>
        <v>0</v>
      </c>
      <c r="AC334" s="35" t="s">
        <v>35</v>
      </c>
      <c r="AD334" s="27" t="str">
        <f t="shared" si="5"/>
        <v>No</v>
      </c>
      <c r="AE334" s="36" t="s">
        <v>36</v>
      </c>
      <c r="AF334" s="37" t="s">
        <v>42</v>
      </c>
      <c r="AG334" s="37" t="s">
        <v>42</v>
      </c>
      <c r="AH334" s="37" t="s">
        <v>42</v>
      </c>
      <c r="AI334" s="29" t="str">
        <f t="shared" si="6"/>
        <v>----</v>
      </c>
      <c r="AJ334" s="38" t="str">
        <f t="shared" si="7"/>
        <v>Paper has link but no statement</v>
      </c>
      <c r="AK334" s="39">
        <v>45034.0</v>
      </c>
      <c r="AL334" s="23" t="s">
        <v>43</v>
      </c>
      <c r="AM334" s="40" t="str">
        <f t="shared" si="8"/>
        <v>[IP1413]</v>
      </c>
    </row>
    <row r="335" ht="67.5" customHeight="1">
      <c r="A335" s="41">
        <v>1414.0</v>
      </c>
      <c r="B335" s="42" t="s">
        <v>876</v>
      </c>
      <c r="C335" s="43">
        <v>2017.0</v>
      </c>
      <c r="D335" s="44" t="s">
        <v>35</v>
      </c>
      <c r="E335" s="45" t="s">
        <v>36</v>
      </c>
      <c r="F335" s="45" t="s">
        <v>36</v>
      </c>
      <c r="G335" s="45" t="s">
        <v>36</v>
      </c>
      <c r="H335" s="45" t="s">
        <v>36</v>
      </c>
      <c r="I335" s="45" t="s">
        <v>36</v>
      </c>
      <c r="J335" s="46" t="s">
        <v>36</v>
      </c>
      <c r="K335" s="47" t="s">
        <v>37</v>
      </c>
      <c r="L335" s="48" t="s">
        <v>37</v>
      </c>
      <c r="M335" s="48" t="s">
        <v>35</v>
      </c>
      <c r="N335" s="48" t="s">
        <v>35</v>
      </c>
      <c r="O335" s="48" t="s">
        <v>35</v>
      </c>
      <c r="P335" s="48" t="s">
        <v>35</v>
      </c>
      <c r="Q335" s="48" t="s">
        <v>37</v>
      </c>
      <c r="R335" s="48" t="s">
        <v>35</v>
      </c>
      <c r="S335" s="49" t="s">
        <v>877</v>
      </c>
      <c r="T335" s="50" t="s">
        <v>878</v>
      </c>
      <c r="U335" s="51" t="s">
        <v>879</v>
      </c>
      <c r="V335" s="52">
        <f t="shared" ref="V335:X335" si="340">IF(lenb(SUBSTITUTE($Z335,V$1&amp;" (1)",""))&lt;lenb($Z335),1,IF(lenb(SUBSTITUTE($Z335,V$1&amp;" (2)",""))&lt;lenb($Z335),2,IF(lenb(SUBSTITUTE($Z335,V$1&amp;" (3)",""))&lt;lenb($Z335),3,IF(lenb(SUBSTITUTE($Z335,V$1&amp;" (4)",""))&lt;lenb($Z335),4,IF(lenb(SUBSTITUTE($Z335,V$1&amp;" (5)",""))&lt;lenb($Z335),5,IF(lenb(SUBSTITUTE($Z335,V$1&amp;" (6)",""))&lt;lenb($Z335),6,IF(lenb(SUBSTITUTE($Z335,V$1&amp;" (7)",""))&lt;lenb($Z335),1,IF(lenb(SUBSTITUTE($Z335,V$1&amp;" (8)",""))&lt;lenb($Z335),8,IF(lenb(SUBSTITUTE($Z335,V$1&amp;" (9)",""))&lt;lenb($Z335),9,IF(lenb(SUBSTITUTE($Z335,V$1&amp;" (10)",""))&lt;lenb($Z335),10,IF(lenb(SUBSTITUTE($Z335,V$1,""))&lt;lenb($Z335),"ERROR",IF($Z335=$Y$1,"-",0))))))))))))</f>
        <v>1</v>
      </c>
      <c r="W335" s="52">
        <f t="shared" si="340"/>
        <v>0</v>
      </c>
      <c r="X335" s="52">
        <f t="shared" si="340"/>
        <v>0</v>
      </c>
      <c r="Y335" s="52" t="str">
        <f t="shared" si="3"/>
        <v>-</v>
      </c>
      <c r="Z335" s="52" t="s">
        <v>62</v>
      </c>
      <c r="AA335" s="53">
        <f t="shared" si="4"/>
        <v>1</v>
      </c>
      <c r="AB335" s="54">
        <f>COUNTIFS(Links!B:B,"ICSE",Links!C:C,A335,Links!AD:AD,1)</f>
        <v>0</v>
      </c>
      <c r="AC335" s="55" t="s">
        <v>35</v>
      </c>
      <c r="AD335" s="47" t="str">
        <f t="shared" si="5"/>
        <v>No</v>
      </c>
      <c r="AE335" s="56" t="s">
        <v>36</v>
      </c>
      <c r="AF335" s="57" t="s">
        <v>42</v>
      </c>
      <c r="AG335" s="57" t="s">
        <v>42</v>
      </c>
      <c r="AH335" s="57" t="s">
        <v>42</v>
      </c>
      <c r="AI335" s="49" t="str">
        <f t="shared" si="6"/>
        <v>----</v>
      </c>
      <c r="AJ335" s="58" t="str">
        <f t="shared" si="7"/>
        <v>Paper has link but no statement</v>
      </c>
      <c r="AK335" s="59">
        <v>45034.0</v>
      </c>
      <c r="AL335" s="43" t="s">
        <v>43</v>
      </c>
      <c r="AM335" s="60" t="str">
        <f t="shared" si="8"/>
        <v>[IP1414]</v>
      </c>
    </row>
    <row r="336" ht="67.5" customHeight="1">
      <c r="A336" s="61">
        <v>1415.0</v>
      </c>
      <c r="B336" s="22" t="s">
        <v>880</v>
      </c>
      <c r="C336" s="23">
        <v>2017.0</v>
      </c>
      <c r="D336" s="24" t="s">
        <v>35</v>
      </c>
      <c r="E336" s="25" t="s">
        <v>36</v>
      </c>
      <c r="F336" s="25" t="s">
        <v>36</v>
      </c>
      <c r="G336" s="25" t="s">
        <v>36</v>
      </c>
      <c r="H336" s="25" t="s">
        <v>36</v>
      </c>
      <c r="I336" s="25" t="s">
        <v>36</v>
      </c>
      <c r="J336" s="26" t="s">
        <v>36</v>
      </c>
      <c r="K336" s="27" t="s">
        <v>35</v>
      </c>
      <c r="L336" s="28" t="s">
        <v>36</v>
      </c>
      <c r="M336" s="28" t="s">
        <v>36</v>
      </c>
      <c r="N336" s="28" t="s">
        <v>36</v>
      </c>
      <c r="O336" s="28" t="s">
        <v>36</v>
      </c>
      <c r="P336" s="28" t="s">
        <v>36</v>
      </c>
      <c r="Q336" s="28" t="s">
        <v>36</v>
      </c>
      <c r="R336" s="28" t="s">
        <v>36</v>
      </c>
      <c r="S336" s="29" t="s">
        <v>36</v>
      </c>
      <c r="T336" s="30" t="s">
        <v>36</v>
      </c>
      <c r="U336" s="31" t="s">
        <v>36</v>
      </c>
      <c r="V336" s="32" t="str">
        <f t="shared" ref="V336:X336" si="341">IF(lenb(SUBSTITUTE($Z336,V$1&amp;" (1)",""))&lt;lenb($Z336),1,IF(lenb(SUBSTITUTE($Z336,V$1&amp;" (2)",""))&lt;lenb($Z336),2,IF(lenb(SUBSTITUTE($Z336,V$1&amp;" (3)",""))&lt;lenb($Z336),3,IF(lenb(SUBSTITUTE($Z336,V$1&amp;" (4)",""))&lt;lenb($Z336),4,IF(lenb(SUBSTITUTE($Z336,V$1&amp;" (5)",""))&lt;lenb($Z336),5,IF(lenb(SUBSTITUTE($Z336,V$1&amp;" (6)",""))&lt;lenb($Z336),6,IF(lenb(SUBSTITUTE($Z336,V$1&amp;" (7)",""))&lt;lenb($Z336),1,IF(lenb(SUBSTITUTE($Z336,V$1&amp;" (8)",""))&lt;lenb($Z336),8,IF(lenb(SUBSTITUTE($Z336,V$1&amp;" (9)",""))&lt;lenb($Z336),9,IF(lenb(SUBSTITUTE($Z336,V$1&amp;" (10)",""))&lt;lenb($Z336),10,IF(lenb(SUBSTITUTE($Z336,V$1,""))&lt;lenb($Z336),"ERROR",IF($Z336=$Y$1,"-",0))))))))))))</f>
        <v>-</v>
      </c>
      <c r="W336" s="32" t="str">
        <f t="shared" si="341"/>
        <v>-</v>
      </c>
      <c r="X336" s="32" t="str">
        <f t="shared" si="341"/>
        <v>-</v>
      </c>
      <c r="Y336" s="32">
        <f t="shared" si="3"/>
        <v>1</v>
      </c>
      <c r="Z336" s="32" t="s">
        <v>23</v>
      </c>
      <c r="AA336" s="33">
        <f t="shared" si="4"/>
        <v>0</v>
      </c>
      <c r="AB336" s="34">
        <f>COUNTIFS(Links!B:B,"ICSE",Links!C:C,A336,Links!AD:AD,1)</f>
        <v>0</v>
      </c>
      <c r="AC336" s="35" t="s">
        <v>36</v>
      </c>
      <c r="AD336" s="27" t="str">
        <f t="shared" si="5"/>
        <v>No</v>
      </c>
      <c r="AE336" s="36" t="s">
        <v>36</v>
      </c>
      <c r="AF336" s="37" t="s">
        <v>42</v>
      </c>
      <c r="AG336" s="37" t="s">
        <v>42</v>
      </c>
      <c r="AH336" s="37" t="s">
        <v>42</v>
      </c>
      <c r="AI336" s="29" t="str">
        <f t="shared" si="6"/>
        <v>----</v>
      </c>
      <c r="AJ336" s="38" t="str">
        <f t="shared" si="7"/>
        <v>Paper has no link and no statement</v>
      </c>
      <c r="AK336" s="39">
        <v>45034.0</v>
      </c>
      <c r="AL336" s="23" t="s">
        <v>43</v>
      </c>
      <c r="AM336" s="40" t="str">
        <f t="shared" si="8"/>
        <v>[IP1415]</v>
      </c>
    </row>
    <row r="337" ht="67.5" customHeight="1">
      <c r="A337" s="41">
        <v>1416.0</v>
      </c>
      <c r="B337" s="42" t="s">
        <v>881</v>
      </c>
      <c r="C337" s="43">
        <v>2017.0</v>
      </c>
      <c r="D337" s="44" t="s">
        <v>35</v>
      </c>
      <c r="E337" s="45" t="s">
        <v>36</v>
      </c>
      <c r="F337" s="45" t="s">
        <v>36</v>
      </c>
      <c r="G337" s="45" t="s">
        <v>36</v>
      </c>
      <c r="H337" s="45" t="s">
        <v>36</v>
      </c>
      <c r="I337" s="45" t="s">
        <v>36</v>
      </c>
      <c r="J337" s="46" t="s">
        <v>36</v>
      </c>
      <c r="K337" s="47" t="s">
        <v>37</v>
      </c>
      <c r="L337" s="48" t="s">
        <v>37</v>
      </c>
      <c r="M337" s="48" t="s">
        <v>35</v>
      </c>
      <c r="N337" s="48" t="s">
        <v>35</v>
      </c>
      <c r="O337" s="48" t="s">
        <v>35</v>
      </c>
      <c r="P337" s="48" t="s">
        <v>35</v>
      </c>
      <c r="Q337" s="48" t="s">
        <v>35</v>
      </c>
      <c r="R337" s="48" t="s">
        <v>37</v>
      </c>
      <c r="S337" s="49" t="s">
        <v>882</v>
      </c>
      <c r="T337" s="50" t="s">
        <v>883</v>
      </c>
      <c r="U337" s="51" t="s">
        <v>883</v>
      </c>
      <c r="V337" s="52">
        <f t="shared" ref="V337:X337" si="342">IF(lenb(SUBSTITUTE($Z337,V$1&amp;" (1)",""))&lt;lenb($Z337),1,IF(lenb(SUBSTITUTE($Z337,V$1&amp;" (2)",""))&lt;lenb($Z337),2,IF(lenb(SUBSTITUTE($Z337,V$1&amp;" (3)",""))&lt;lenb($Z337),3,IF(lenb(SUBSTITUTE($Z337,V$1&amp;" (4)",""))&lt;lenb($Z337),4,IF(lenb(SUBSTITUTE($Z337,V$1&amp;" (5)",""))&lt;lenb($Z337),5,IF(lenb(SUBSTITUTE($Z337,V$1&amp;" (6)",""))&lt;lenb($Z337),6,IF(lenb(SUBSTITUTE($Z337,V$1&amp;" (7)",""))&lt;lenb($Z337),1,IF(lenb(SUBSTITUTE($Z337,V$1&amp;" (8)",""))&lt;lenb($Z337),8,IF(lenb(SUBSTITUTE($Z337,V$1&amp;" (9)",""))&lt;lenb($Z337),9,IF(lenb(SUBSTITUTE($Z337,V$1&amp;" (10)",""))&lt;lenb($Z337),10,IF(lenb(SUBSTITUTE($Z337,V$1,""))&lt;lenb($Z337),"ERROR",IF($Z337=$Y$1,"-",0))))))))))))</f>
        <v>0</v>
      </c>
      <c r="W337" s="52">
        <f t="shared" si="342"/>
        <v>1</v>
      </c>
      <c r="X337" s="52">
        <f t="shared" si="342"/>
        <v>0</v>
      </c>
      <c r="Y337" s="52" t="str">
        <f t="shared" si="3"/>
        <v>-</v>
      </c>
      <c r="Z337" s="52" t="s">
        <v>47</v>
      </c>
      <c r="AA337" s="53">
        <f t="shared" si="4"/>
        <v>1</v>
      </c>
      <c r="AB337" s="54">
        <f>COUNTIFS(Links!B:B,"ICSE",Links!C:C,A337,Links!AD:AD,1)</f>
        <v>0</v>
      </c>
      <c r="AC337" s="55" t="s">
        <v>35</v>
      </c>
      <c r="AD337" s="47" t="str">
        <f t="shared" si="5"/>
        <v>No</v>
      </c>
      <c r="AE337" s="56" t="s">
        <v>36</v>
      </c>
      <c r="AF337" s="57" t="s">
        <v>42</v>
      </c>
      <c r="AG337" s="57" t="s">
        <v>42</v>
      </c>
      <c r="AH337" s="57" t="s">
        <v>42</v>
      </c>
      <c r="AI337" s="49" t="str">
        <f t="shared" si="6"/>
        <v>----</v>
      </c>
      <c r="AJ337" s="58" t="str">
        <f t="shared" si="7"/>
        <v>Paper has link but no statement</v>
      </c>
      <c r="AK337" s="59">
        <v>45034.0</v>
      </c>
      <c r="AL337" s="43" t="s">
        <v>43</v>
      </c>
      <c r="AM337" s="60" t="str">
        <f t="shared" si="8"/>
        <v>[IP1416]</v>
      </c>
    </row>
    <row r="338" ht="67.5" customHeight="1">
      <c r="A338" s="61">
        <v>1417.0</v>
      </c>
      <c r="B338" s="22" t="s">
        <v>884</v>
      </c>
      <c r="C338" s="23">
        <v>2017.0</v>
      </c>
      <c r="D338" s="24" t="s">
        <v>35</v>
      </c>
      <c r="E338" s="25" t="s">
        <v>36</v>
      </c>
      <c r="F338" s="25" t="s">
        <v>36</v>
      </c>
      <c r="G338" s="25" t="s">
        <v>36</v>
      </c>
      <c r="H338" s="25" t="s">
        <v>36</v>
      </c>
      <c r="I338" s="25" t="s">
        <v>36</v>
      </c>
      <c r="J338" s="26" t="s">
        <v>36</v>
      </c>
      <c r="K338" s="27" t="s">
        <v>37</v>
      </c>
      <c r="L338" s="28" t="s">
        <v>35</v>
      </c>
      <c r="M338" s="28" t="s">
        <v>35</v>
      </c>
      <c r="N338" s="28" t="s">
        <v>35</v>
      </c>
      <c r="O338" s="28" t="s">
        <v>35</v>
      </c>
      <c r="P338" s="28" t="s">
        <v>37</v>
      </c>
      <c r="Q338" s="28" t="s">
        <v>35</v>
      </c>
      <c r="R338" s="28" t="s">
        <v>37</v>
      </c>
      <c r="S338" s="29" t="s">
        <v>885</v>
      </c>
      <c r="T338" s="30" t="s">
        <v>886</v>
      </c>
      <c r="U338" s="31" t="s">
        <v>886</v>
      </c>
      <c r="V338" s="32">
        <f t="shared" ref="V338:X338" si="343">IF(lenb(SUBSTITUTE($Z338,V$1&amp;" (1)",""))&lt;lenb($Z338),1,IF(lenb(SUBSTITUTE($Z338,V$1&amp;" (2)",""))&lt;lenb($Z338),2,IF(lenb(SUBSTITUTE($Z338,V$1&amp;" (3)",""))&lt;lenb($Z338),3,IF(lenb(SUBSTITUTE($Z338,V$1&amp;" (4)",""))&lt;lenb($Z338),4,IF(lenb(SUBSTITUTE($Z338,V$1&amp;" (5)",""))&lt;lenb($Z338),5,IF(lenb(SUBSTITUTE($Z338,V$1&amp;" (6)",""))&lt;lenb($Z338),6,IF(lenb(SUBSTITUTE($Z338,V$1&amp;" (7)",""))&lt;lenb($Z338),1,IF(lenb(SUBSTITUTE($Z338,V$1&amp;" (8)",""))&lt;lenb($Z338),8,IF(lenb(SUBSTITUTE($Z338,V$1&amp;" (9)",""))&lt;lenb($Z338),9,IF(lenb(SUBSTITUTE($Z338,V$1&amp;" (10)",""))&lt;lenb($Z338),10,IF(lenb(SUBSTITUTE($Z338,V$1,""))&lt;lenb($Z338),"ERROR",IF($Z338=$Y$1,"-",0))))))))))))</f>
        <v>1</v>
      </c>
      <c r="W338" s="32">
        <f t="shared" si="343"/>
        <v>0</v>
      </c>
      <c r="X338" s="32">
        <f t="shared" si="343"/>
        <v>0</v>
      </c>
      <c r="Y338" s="32" t="str">
        <f t="shared" si="3"/>
        <v>-</v>
      </c>
      <c r="Z338" s="32" t="s">
        <v>62</v>
      </c>
      <c r="AA338" s="33">
        <f t="shared" si="4"/>
        <v>1</v>
      </c>
      <c r="AB338" s="34">
        <f>COUNTIFS(Links!B:B,"ICSE",Links!C:C,A338,Links!AD:AD,1)</f>
        <v>0</v>
      </c>
      <c r="AC338" s="35" t="s">
        <v>35</v>
      </c>
      <c r="AD338" s="27" t="str">
        <f t="shared" si="5"/>
        <v>No</v>
      </c>
      <c r="AE338" s="36" t="s">
        <v>36</v>
      </c>
      <c r="AF338" s="37" t="s">
        <v>42</v>
      </c>
      <c r="AG338" s="37" t="s">
        <v>42</v>
      </c>
      <c r="AH338" s="37" t="s">
        <v>42</v>
      </c>
      <c r="AI338" s="29" t="str">
        <f t="shared" si="6"/>
        <v>----</v>
      </c>
      <c r="AJ338" s="38" t="str">
        <f t="shared" si="7"/>
        <v>Paper has link but no statement</v>
      </c>
      <c r="AK338" s="39">
        <v>45034.0</v>
      </c>
      <c r="AL338" s="23" t="s">
        <v>43</v>
      </c>
      <c r="AM338" s="40" t="str">
        <f t="shared" si="8"/>
        <v>[IP1417]</v>
      </c>
    </row>
    <row r="339" ht="67.5" customHeight="1">
      <c r="A339" s="41">
        <v>1418.0</v>
      </c>
      <c r="B339" s="42" t="s">
        <v>887</v>
      </c>
      <c r="C339" s="43">
        <v>2017.0</v>
      </c>
      <c r="D339" s="44" t="s">
        <v>35</v>
      </c>
      <c r="E339" s="45" t="s">
        <v>36</v>
      </c>
      <c r="F339" s="45" t="s">
        <v>36</v>
      </c>
      <c r="G339" s="45" t="s">
        <v>36</v>
      </c>
      <c r="H339" s="45" t="s">
        <v>36</v>
      </c>
      <c r="I339" s="45" t="s">
        <v>36</v>
      </c>
      <c r="J339" s="46" t="s">
        <v>36</v>
      </c>
      <c r="K339" s="47" t="s">
        <v>37</v>
      </c>
      <c r="L339" s="48" t="s">
        <v>35</v>
      </c>
      <c r="M339" s="48" t="s">
        <v>37</v>
      </c>
      <c r="N339" s="48" t="s">
        <v>35</v>
      </c>
      <c r="O339" s="48" t="s">
        <v>35</v>
      </c>
      <c r="P339" s="48" t="s">
        <v>35</v>
      </c>
      <c r="Q339" s="48" t="s">
        <v>35</v>
      </c>
      <c r="R339" s="48" t="s">
        <v>37</v>
      </c>
      <c r="S339" s="49" t="s">
        <v>888</v>
      </c>
      <c r="T339" s="50" t="s">
        <v>889</v>
      </c>
      <c r="U339" s="51" t="s">
        <v>889</v>
      </c>
      <c r="V339" s="52">
        <f t="shared" ref="V339:X339" si="344">IF(lenb(SUBSTITUTE($Z339,V$1&amp;" (1)",""))&lt;lenb($Z339),1,IF(lenb(SUBSTITUTE($Z339,V$1&amp;" (2)",""))&lt;lenb($Z339),2,IF(lenb(SUBSTITUTE($Z339,V$1&amp;" (3)",""))&lt;lenb($Z339),3,IF(lenb(SUBSTITUTE($Z339,V$1&amp;" (4)",""))&lt;lenb($Z339),4,IF(lenb(SUBSTITUTE($Z339,V$1&amp;" (5)",""))&lt;lenb($Z339),5,IF(lenb(SUBSTITUTE($Z339,V$1&amp;" (6)",""))&lt;lenb($Z339),6,IF(lenb(SUBSTITUTE($Z339,V$1&amp;" (7)",""))&lt;lenb($Z339),1,IF(lenb(SUBSTITUTE($Z339,V$1&amp;" (8)",""))&lt;lenb($Z339),8,IF(lenb(SUBSTITUTE($Z339,V$1&amp;" (9)",""))&lt;lenb($Z339),9,IF(lenb(SUBSTITUTE($Z339,V$1&amp;" (10)",""))&lt;lenb($Z339),10,IF(lenb(SUBSTITUTE($Z339,V$1,""))&lt;lenb($Z339),"ERROR",IF($Z339=$Y$1,"-",0))))))))))))</f>
        <v>1</v>
      </c>
      <c r="W339" s="52">
        <f t="shared" si="344"/>
        <v>0</v>
      </c>
      <c r="X339" s="52">
        <f t="shared" si="344"/>
        <v>0</v>
      </c>
      <c r="Y339" s="52" t="str">
        <f t="shared" si="3"/>
        <v>-</v>
      </c>
      <c r="Z339" s="52" t="s">
        <v>62</v>
      </c>
      <c r="AA339" s="53">
        <f t="shared" si="4"/>
        <v>1</v>
      </c>
      <c r="AB339" s="54">
        <f>COUNTIFS(Links!B:B,"ICSE",Links!C:C,A339,Links!AD:AD,1)</f>
        <v>1</v>
      </c>
      <c r="AC339" s="55" t="s">
        <v>35</v>
      </c>
      <c r="AD339" s="47" t="str">
        <f t="shared" si="5"/>
        <v>No</v>
      </c>
      <c r="AE339" s="56" t="s">
        <v>36</v>
      </c>
      <c r="AF339" s="57" t="s">
        <v>42</v>
      </c>
      <c r="AG339" s="57" t="s">
        <v>42</v>
      </c>
      <c r="AH339" s="57" t="s">
        <v>42</v>
      </c>
      <c r="AI339" s="49" t="str">
        <f t="shared" si="6"/>
        <v>----</v>
      </c>
      <c r="AJ339" s="58" t="str">
        <f t="shared" si="7"/>
        <v>Paper has link but no statement</v>
      </c>
      <c r="AK339" s="59">
        <v>45034.0</v>
      </c>
      <c r="AL339" s="43" t="s">
        <v>43</v>
      </c>
      <c r="AM339" s="60" t="str">
        <f t="shared" si="8"/>
        <v>[IP1418]</v>
      </c>
    </row>
    <row r="340" ht="67.5" customHeight="1">
      <c r="A340" s="61">
        <v>1419.0</v>
      </c>
      <c r="B340" s="22" t="s">
        <v>890</v>
      </c>
      <c r="C340" s="23">
        <v>2017.0</v>
      </c>
      <c r="D340" s="24" t="s">
        <v>35</v>
      </c>
      <c r="E340" s="25" t="s">
        <v>36</v>
      </c>
      <c r="F340" s="25" t="s">
        <v>36</v>
      </c>
      <c r="G340" s="25" t="s">
        <v>36</v>
      </c>
      <c r="H340" s="25" t="s">
        <v>36</v>
      </c>
      <c r="I340" s="25" t="s">
        <v>36</v>
      </c>
      <c r="J340" s="26" t="s">
        <v>36</v>
      </c>
      <c r="K340" s="27" t="s">
        <v>37</v>
      </c>
      <c r="L340" s="28" t="s">
        <v>35</v>
      </c>
      <c r="M340" s="28" t="s">
        <v>37</v>
      </c>
      <c r="N340" s="28" t="s">
        <v>37</v>
      </c>
      <c r="O340" s="28" t="s">
        <v>37</v>
      </c>
      <c r="P340" s="28" t="s">
        <v>35</v>
      </c>
      <c r="Q340" s="28" t="s">
        <v>35</v>
      </c>
      <c r="R340" s="28" t="s">
        <v>37</v>
      </c>
      <c r="S340" s="29" t="s">
        <v>891</v>
      </c>
      <c r="T340" s="30" t="s">
        <v>892</v>
      </c>
      <c r="U340" s="31" t="s">
        <v>892</v>
      </c>
      <c r="V340" s="32">
        <f t="shared" ref="V340:X340" si="345">IF(lenb(SUBSTITUTE($Z340,V$1&amp;" (1)",""))&lt;lenb($Z340),1,IF(lenb(SUBSTITUTE($Z340,V$1&amp;" (2)",""))&lt;lenb($Z340),2,IF(lenb(SUBSTITUTE($Z340,V$1&amp;" (3)",""))&lt;lenb($Z340),3,IF(lenb(SUBSTITUTE($Z340,V$1&amp;" (4)",""))&lt;lenb($Z340),4,IF(lenb(SUBSTITUTE($Z340,V$1&amp;" (5)",""))&lt;lenb($Z340),5,IF(lenb(SUBSTITUTE($Z340,V$1&amp;" (6)",""))&lt;lenb($Z340),6,IF(lenb(SUBSTITUTE($Z340,V$1&amp;" (7)",""))&lt;lenb($Z340),1,IF(lenb(SUBSTITUTE($Z340,V$1&amp;" (8)",""))&lt;lenb($Z340),8,IF(lenb(SUBSTITUTE($Z340,V$1&amp;" (9)",""))&lt;lenb($Z340),9,IF(lenb(SUBSTITUTE($Z340,V$1&amp;" (10)",""))&lt;lenb($Z340),10,IF(lenb(SUBSTITUTE($Z340,V$1,""))&lt;lenb($Z340),"ERROR",IF($Z340=$Y$1,"-",0))))))))))))</f>
        <v>1</v>
      </c>
      <c r="W340" s="32">
        <f t="shared" si="345"/>
        <v>0</v>
      </c>
      <c r="X340" s="32">
        <f t="shared" si="345"/>
        <v>0</v>
      </c>
      <c r="Y340" s="32" t="str">
        <f t="shared" si="3"/>
        <v>-</v>
      </c>
      <c r="Z340" s="32" t="s">
        <v>62</v>
      </c>
      <c r="AA340" s="33">
        <f t="shared" si="4"/>
        <v>1</v>
      </c>
      <c r="AB340" s="34">
        <f>COUNTIFS(Links!B:B,"ICSE",Links!C:C,A340,Links!AD:AD,1)</f>
        <v>0</v>
      </c>
      <c r="AC340" s="35" t="s">
        <v>35</v>
      </c>
      <c r="AD340" s="27" t="str">
        <f t="shared" si="5"/>
        <v>No</v>
      </c>
      <c r="AE340" s="36" t="s">
        <v>36</v>
      </c>
      <c r="AF340" s="37" t="s">
        <v>42</v>
      </c>
      <c r="AG340" s="37" t="s">
        <v>42</v>
      </c>
      <c r="AH340" s="37" t="s">
        <v>42</v>
      </c>
      <c r="AI340" s="29" t="str">
        <f t="shared" si="6"/>
        <v>----</v>
      </c>
      <c r="AJ340" s="38" t="str">
        <f t="shared" si="7"/>
        <v>Paper has link but no statement</v>
      </c>
      <c r="AK340" s="39">
        <v>45034.0</v>
      </c>
      <c r="AL340" s="23" t="s">
        <v>43</v>
      </c>
      <c r="AM340" s="40" t="str">
        <f t="shared" si="8"/>
        <v>[IP1419]</v>
      </c>
    </row>
    <row r="341" ht="67.5" customHeight="1">
      <c r="A341" s="41">
        <v>1420.0</v>
      </c>
      <c r="B341" s="42" t="s">
        <v>893</v>
      </c>
      <c r="C341" s="43">
        <v>2017.0</v>
      </c>
      <c r="D341" s="44" t="s">
        <v>35</v>
      </c>
      <c r="E341" s="45" t="s">
        <v>36</v>
      </c>
      <c r="F341" s="45" t="s">
        <v>36</v>
      </c>
      <c r="G341" s="45" t="s">
        <v>36</v>
      </c>
      <c r="H341" s="45" t="s">
        <v>36</v>
      </c>
      <c r="I341" s="45" t="s">
        <v>36</v>
      </c>
      <c r="J341" s="46" t="s">
        <v>36</v>
      </c>
      <c r="K341" s="47" t="s">
        <v>37</v>
      </c>
      <c r="L341" s="48" t="s">
        <v>35</v>
      </c>
      <c r="M341" s="48" t="s">
        <v>37</v>
      </c>
      <c r="N341" s="48" t="s">
        <v>35</v>
      </c>
      <c r="O341" s="48" t="s">
        <v>35</v>
      </c>
      <c r="P341" s="48" t="s">
        <v>35</v>
      </c>
      <c r="Q341" s="48" t="s">
        <v>35</v>
      </c>
      <c r="R341" s="48" t="s">
        <v>37</v>
      </c>
      <c r="S341" s="49" t="s">
        <v>894</v>
      </c>
      <c r="T341" s="50" t="s">
        <v>895</v>
      </c>
      <c r="U341" s="50" t="s">
        <v>896</v>
      </c>
      <c r="V341" s="52">
        <f t="shared" ref="V341:X341" si="346">IF(lenb(SUBSTITUTE($Z341,V$1&amp;" (1)",""))&lt;lenb($Z341),1,IF(lenb(SUBSTITUTE($Z341,V$1&amp;" (2)",""))&lt;lenb($Z341),2,IF(lenb(SUBSTITUTE($Z341,V$1&amp;" (3)",""))&lt;lenb($Z341),3,IF(lenb(SUBSTITUTE($Z341,V$1&amp;" (4)",""))&lt;lenb($Z341),4,IF(lenb(SUBSTITUTE($Z341,V$1&amp;" (5)",""))&lt;lenb($Z341),5,IF(lenb(SUBSTITUTE($Z341,V$1&amp;" (6)",""))&lt;lenb($Z341),6,IF(lenb(SUBSTITUTE($Z341,V$1&amp;" (7)",""))&lt;lenb($Z341),1,IF(lenb(SUBSTITUTE($Z341,V$1&amp;" (8)",""))&lt;lenb($Z341),8,IF(lenb(SUBSTITUTE($Z341,V$1&amp;" (9)",""))&lt;lenb($Z341),9,IF(lenb(SUBSTITUTE($Z341,V$1&amp;" (10)",""))&lt;lenb($Z341),10,IF(lenb(SUBSTITUTE($Z341,V$1,""))&lt;lenb($Z341),"ERROR",IF($Z341=$Y$1,"-",0))))))))))))</f>
        <v>0</v>
      </c>
      <c r="W341" s="52">
        <f t="shared" si="346"/>
        <v>3</v>
      </c>
      <c r="X341" s="52">
        <f t="shared" si="346"/>
        <v>0</v>
      </c>
      <c r="Y341" s="52" t="str">
        <f t="shared" si="3"/>
        <v>-</v>
      </c>
      <c r="Z341" s="52" t="s">
        <v>897</v>
      </c>
      <c r="AA341" s="53">
        <f t="shared" si="4"/>
        <v>3</v>
      </c>
      <c r="AB341" s="54">
        <f>COUNTIFS(Links!B:B,"ICSE",Links!C:C,A341,Links!AD:AD,1)</f>
        <v>0</v>
      </c>
      <c r="AC341" s="55" t="s">
        <v>35</v>
      </c>
      <c r="AD341" s="47" t="str">
        <f t="shared" si="5"/>
        <v>No</v>
      </c>
      <c r="AE341" s="56" t="s">
        <v>36</v>
      </c>
      <c r="AF341" s="57" t="s">
        <v>42</v>
      </c>
      <c r="AG341" s="57" t="s">
        <v>42</v>
      </c>
      <c r="AH341" s="57" t="s">
        <v>42</v>
      </c>
      <c r="AI341" s="49" t="str">
        <f t="shared" si="6"/>
        <v>----</v>
      </c>
      <c r="AJ341" s="58" t="str">
        <f t="shared" si="7"/>
        <v>Paper has link but no statement</v>
      </c>
      <c r="AK341" s="59">
        <v>45034.0</v>
      </c>
      <c r="AL341" s="43" t="s">
        <v>43</v>
      </c>
      <c r="AM341" s="60" t="str">
        <f t="shared" si="8"/>
        <v>[IP1420]</v>
      </c>
    </row>
    <row r="342" ht="67.5" customHeight="1">
      <c r="A342" s="61">
        <v>1421.0</v>
      </c>
      <c r="B342" s="22" t="s">
        <v>898</v>
      </c>
      <c r="C342" s="23">
        <v>2017.0</v>
      </c>
      <c r="D342" s="24" t="s">
        <v>35</v>
      </c>
      <c r="E342" s="25" t="s">
        <v>36</v>
      </c>
      <c r="F342" s="25" t="s">
        <v>36</v>
      </c>
      <c r="G342" s="25" t="s">
        <v>36</v>
      </c>
      <c r="H342" s="25" t="s">
        <v>36</v>
      </c>
      <c r="I342" s="25" t="s">
        <v>36</v>
      </c>
      <c r="J342" s="26" t="s">
        <v>36</v>
      </c>
      <c r="K342" s="27" t="s">
        <v>37</v>
      </c>
      <c r="L342" s="28" t="s">
        <v>35</v>
      </c>
      <c r="M342" s="28" t="s">
        <v>35</v>
      </c>
      <c r="N342" s="28" t="s">
        <v>35</v>
      </c>
      <c r="O342" s="28" t="s">
        <v>35</v>
      </c>
      <c r="P342" s="28" t="s">
        <v>35</v>
      </c>
      <c r="Q342" s="28" t="s">
        <v>37</v>
      </c>
      <c r="R342" s="28" t="s">
        <v>35</v>
      </c>
      <c r="S342" s="29" t="s">
        <v>899</v>
      </c>
      <c r="T342" s="30" t="s">
        <v>900</v>
      </c>
      <c r="U342" s="31" t="s">
        <v>900</v>
      </c>
      <c r="V342" s="32">
        <f t="shared" ref="V342:X342" si="347">IF(lenb(SUBSTITUTE($Z342,V$1&amp;" (1)",""))&lt;lenb($Z342),1,IF(lenb(SUBSTITUTE($Z342,V$1&amp;" (2)",""))&lt;lenb($Z342),2,IF(lenb(SUBSTITUTE($Z342,V$1&amp;" (3)",""))&lt;lenb($Z342),3,IF(lenb(SUBSTITUTE($Z342,V$1&amp;" (4)",""))&lt;lenb($Z342),4,IF(lenb(SUBSTITUTE($Z342,V$1&amp;" (5)",""))&lt;lenb($Z342),5,IF(lenb(SUBSTITUTE($Z342,V$1&amp;" (6)",""))&lt;lenb($Z342),6,IF(lenb(SUBSTITUTE($Z342,V$1&amp;" (7)",""))&lt;lenb($Z342),1,IF(lenb(SUBSTITUTE($Z342,V$1&amp;" (8)",""))&lt;lenb($Z342),8,IF(lenb(SUBSTITUTE($Z342,V$1&amp;" (9)",""))&lt;lenb($Z342),9,IF(lenb(SUBSTITUTE($Z342,V$1&amp;" (10)",""))&lt;lenb($Z342),10,IF(lenb(SUBSTITUTE($Z342,V$1,""))&lt;lenb($Z342),"ERROR",IF($Z342=$Y$1,"-",0))))))))))))</f>
        <v>2</v>
      </c>
      <c r="W342" s="32">
        <f t="shared" si="347"/>
        <v>0</v>
      </c>
      <c r="X342" s="32">
        <f t="shared" si="347"/>
        <v>0</v>
      </c>
      <c r="Y342" s="32" t="str">
        <f t="shared" si="3"/>
        <v>-</v>
      </c>
      <c r="Z342" s="32" t="s">
        <v>57</v>
      </c>
      <c r="AA342" s="33">
        <f t="shared" si="4"/>
        <v>2</v>
      </c>
      <c r="AB342" s="34">
        <f>COUNTIFS(Links!B:B,"ICSE",Links!C:C,A342,Links!AD:AD,1)</f>
        <v>0</v>
      </c>
      <c r="AC342" s="35" t="s">
        <v>35</v>
      </c>
      <c r="AD342" s="27" t="str">
        <f t="shared" si="5"/>
        <v>No</v>
      </c>
      <c r="AE342" s="36" t="s">
        <v>36</v>
      </c>
      <c r="AF342" s="37" t="s">
        <v>42</v>
      </c>
      <c r="AG342" s="37" t="s">
        <v>42</v>
      </c>
      <c r="AH342" s="37" t="s">
        <v>42</v>
      </c>
      <c r="AI342" s="29" t="str">
        <f t="shared" si="6"/>
        <v>----</v>
      </c>
      <c r="AJ342" s="38" t="str">
        <f t="shared" si="7"/>
        <v>Paper has link but no statement</v>
      </c>
      <c r="AK342" s="39">
        <v>45034.0</v>
      </c>
      <c r="AL342" s="23" t="s">
        <v>43</v>
      </c>
      <c r="AM342" s="40" t="str">
        <f t="shared" si="8"/>
        <v>[IP1421]</v>
      </c>
    </row>
    <row r="343" ht="67.5" customHeight="1">
      <c r="A343" s="41">
        <v>1422.0</v>
      </c>
      <c r="B343" s="42" t="s">
        <v>901</v>
      </c>
      <c r="C343" s="43">
        <v>2017.0</v>
      </c>
      <c r="D343" s="44" t="s">
        <v>35</v>
      </c>
      <c r="E343" s="45" t="s">
        <v>36</v>
      </c>
      <c r="F343" s="45" t="s">
        <v>36</v>
      </c>
      <c r="G343" s="45" t="s">
        <v>36</v>
      </c>
      <c r="H343" s="45" t="s">
        <v>36</v>
      </c>
      <c r="I343" s="45" t="s">
        <v>36</v>
      </c>
      <c r="J343" s="46" t="s">
        <v>36</v>
      </c>
      <c r="K343" s="47" t="s">
        <v>37</v>
      </c>
      <c r="L343" s="48" t="s">
        <v>37</v>
      </c>
      <c r="M343" s="48" t="s">
        <v>35</v>
      </c>
      <c r="N343" s="48" t="s">
        <v>35</v>
      </c>
      <c r="O343" s="48" t="s">
        <v>35</v>
      </c>
      <c r="P343" s="48" t="s">
        <v>35</v>
      </c>
      <c r="Q343" s="48" t="s">
        <v>35</v>
      </c>
      <c r="R343" s="48" t="s">
        <v>37</v>
      </c>
      <c r="S343" s="49" t="s">
        <v>902</v>
      </c>
      <c r="T343" s="50" t="s">
        <v>903</v>
      </c>
      <c r="U343" s="51" t="s">
        <v>903</v>
      </c>
      <c r="V343" s="52">
        <f t="shared" ref="V343:X343" si="348">IF(lenb(SUBSTITUTE($Z343,V$1&amp;" (1)",""))&lt;lenb($Z343),1,IF(lenb(SUBSTITUTE($Z343,V$1&amp;" (2)",""))&lt;lenb($Z343),2,IF(lenb(SUBSTITUTE($Z343,V$1&amp;" (3)",""))&lt;lenb($Z343),3,IF(lenb(SUBSTITUTE($Z343,V$1&amp;" (4)",""))&lt;lenb($Z343),4,IF(lenb(SUBSTITUTE($Z343,V$1&amp;" (5)",""))&lt;lenb($Z343),5,IF(lenb(SUBSTITUTE($Z343,V$1&amp;" (6)",""))&lt;lenb($Z343),6,IF(lenb(SUBSTITUTE($Z343,V$1&amp;" (7)",""))&lt;lenb($Z343),1,IF(lenb(SUBSTITUTE($Z343,V$1&amp;" (8)",""))&lt;lenb($Z343),8,IF(lenb(SUBSTITUTE($Z343,V$1&amp;" (9)",""))&lt;lenb($Z343),9,IF(lenb(SUBSTITUTE($Z343,V$1&amp;" (10)",""))&lt;lenb($Z343),10,IF(lenb(SUBSTITUTE($Z343,V$1,""))&lt;lenb($Z343),"ERROR",IF($Z343=$Y$1,"-",0))))))))))))</f>
        <v>0</v>
      </c>
      <c r="W343" s="52">
        <f t="shared" si="348"/>
        <v>1</v>
      </c>
      <c r="X343" s="52">
        <f t="shared" si="348"/>
        <v>0</v>
      </c>
      <c r="Y343" s="52" t="str">
        <f t="shared" si="3"/>
        <v>-</v>
      </c>
      <c r="Z343" s="52" t="s">
        <v>47</v>
      </c>
      <c r="AA343" s="53">
        <f t="shared" si="4"/>
        <v>1</v>
      </c>
      <c r="AB343" s="54">
        <f>COUNTIFS(Links!B:B,"ICSE",Links!C:C,A343,Links!AD:AD,1)</f>
        <v>1</v>
      </c>
      <c r="AC343" s="55" t="s">
        <v>35</v>
      </c>
      <c r="AD343" s="47" t="str">
        <f t="shared" si="5"/>
        <v>No</v>
      </c>
      <c r="AE343" s="56" t="s">
        <v>36</v>
      </c>
      <c r="AF343" s="57" t="s">
        <v>42</v>
      </c>
      <c r="AG343" s="57" t="s">
        <v>42</v>
      </c>
      <c r="AH343" s="57" t="s">
        <v>42</v>
      </c>
      <c r="AI343" s="49" t="str">
        <f t="shared" si="6"/>
        <v>----</v>
      </c>
      <c r="AJ343" s="58" t="str">
        <f t="shared" si="7"/>
        <v>Paper has link but no statement</v>
      </c>
      <c r="AK343" s="59">
        <v>45034.0</v>
      </c>
      <c r="AL343" s="43" t="s">
        <v>43</v>
      </c>
      <c r="AM343" s="60" t="str">
        <f t="shared" si="8"/>
        <v>[IP1422]</v>
      </c>
    </row>
    <row r="344" ht="67.5" customHeight="1">
      <c r="A344" s="61">
        <v>1423.0</v>
      </c>
      <c r="B344" s="22" t="s">
        <v>904</v>
      </c>
      <c r="C344" s="23">
        <v>2017.0</v>
      </c>
      <c r="D344" s="24" t="s">
        <v>35</v>
      </c>
      <c r="E344" s="25" t="s">
        <v>36</v>
      </c>
      <c r="F344" s="25" t="s">
        <v>36</v>
      </c>
      <c r="G344" s="25" t="s">
        <v>36</v>
      </c>
      <c r="H344" s="25" t="s">
        <v>36</v>
      </c>
      <c r="I344" s="25" t="s">
        <v>36</v>
      </c>
      <c r="J344" s="26" t="s">
        <v>36</v>
      </c>
      <c r="K344" s="27" t="s">
        <v>37</v>
      </c>
      <c r="L344" s="28" t="s">
        <v>35</v>
      </c>
      <c r="M344" s="28" t="s">
        <v>35</v>
      </c>
      <c r="N344" s="28" t="s">
        <v>37</v>
      </c>
      <c r="O344" s="28" t="s">
        <v>35</v>
      </c>
      <c r="P344" s="28" t="s">
        <v>35</v>
      </c>
      <c r="Q344" s="28" t="s">
        <v>35</v>
      </c>
      <c r="R344" s="28" t="s">
        <v>37</v>
      </c>
      <c r="S344" s="29" t="s">
        <v>905</v>
      </c>
      <c r="T344" s="30" t="s">
        <v>906</v>
      </c>
      <c r="U344" s="31" t="s">
        <v>906</v>
      </c>
      <c r="V344" s="32">
        <f t="shared" ref="V344:X344" si="349">IF(lenb(SUBSTITUTE($Z344,V$1&amp;" (1)",""))&lt;lenb($Z344),1,IF(lenb(SUBSTITUTE($Z344,V$1&amp;" (2)",""))&lt;lenb($Z344),2,IF(lenb(SUBSTITUTE($Z344,V$1&amp;" (3)",""))&lt;lenb($Z344),3,IF(lenb(SUBSTITUTE($Z344,V$1&amp;" (4)",""))&lt;lenb($Z344),4,IF(lenb(SUBSTITUTE($Z344,V$1&amp;" (5)",""))&lt;lenb($Z344),5,IF(lenb(SUBSTITUTE($Z344,V$1&amp;" (6)",""))&lt;lenb($Z344),6,IF(lenb(SUBSTITUTE($Z344,V$1&amp;" (7)",""))&lt;lenb($Z344),1,IF(lenb(SUBSTITUTE($Z344,V$1&amp;" (8)",""))&lt;lenb($Z344),8,IF(lenb(SUBSTITUTE($Z344,V$1&amp;" (9)",""))&lt;lenb($Z344),9,IF(lenb(SUBSTITUTE($Z344,V$1&amp;" (10)",""))&lt;lenb($Z344),10,IF(lenb(SUBSTITUTE($Z344,V$1,""))&lt;lenb($Z344),"ERROR",IF($Z344=$Y$1,"-",0))))))))))))</f>
        <v>2</v>
      </c>
      <c r="W344" s="32">
        <f t="shared" si="349"/>
        <v>0</v>
      </c>
      <c r="X344" s="32">
        <f t="shared" si="349"/>
        <v>0</v>
      </c>
      <c r="Y344" s="32" t="str">
        <f t="shared" si="3"/>
        <v>-</v>
      </c>
      <c r="Z344" s="32" t="s">
        <v>57</v>
      </c>
      <c r="AA344" s="33">
        <f t="shared" si="4"/>
        <v>2</v>
      </c>
      <c r="AB344" s="34">
        <f>COUNTIFS(Links!B:B,"ICSE",Links!C:C,A344,Links!AD:AD,1)</f>
        <v>0</v>
      </c>
      <c r="AC344" s="35" t="s">
        <v>35</v>
      </c>
      <c r="AD344" s="27" t="str">
        <f t="shared" si="5"/>
        <v>No</v>
      </c>
      <c r="AE344" s="36" t="s">
        <v>36</v>
      </c>
      <c r="AF344" s="37" t="s">
        <v>42</v>
      </c>
      <c r="AG344" s="37" t="s">
        <v>42</v>
      </c>
      <c r="AH344" s="37" t="s">
        <v>42</v>
      </c>
      <c r="AI344" s="29" t="str">
        <f t="shared" si="6"/>
        <v>----</v>
      </c>
      <c r="AJ344" s="38" t="str">
        <f t="shared" si="7"/>
        <v>Paper has link but no statement</v>
      </c>
      <c r="AK344" s="39">
        <v>45034.0</v>
      </c>
      <c r="AL344" s="23" t="s">
        <v>43</v>
      </c>
      <c r="AM344" s="40" t="str">
        <f t="shared" si="8"/>
        <v>[IP1423]</v>
      </c>
    </row>
    <row r="345" ht="67.5" customHeight="1">
      <c r="A345" s="41">
        <v>1424.0</v>
      </c>
      <c r="B345" s="42" t="s">
        <v>907</v>
      </c>
      <c r="C345" s="43">
        <v>2017.0</v>
      </c>
      <c r="D345" s="44" t="s">
        <v>35</v>
      </c>
      <c r="E345" s="45" t="s">
        <v>36</v>
      </c>
      <c r="F345" s="45" t="s">
        <v>36</v>
      </c>
      <c r="G345" s="45" t="s">
        <v>36</v>
      </c>
      <c r="H345" s="45" t="s">
        <v>36</v>
      </c>
      <c r="I345" s="45" t="s">
        <v>36</v>
      </c>
      <c r="J345" s="46" t="s">
        <v>36</v>
      </c>
      <c r="K345" s="47" t="s">
        <v>37</v>
      </c>
      <c r="L345" s="48" t="s">
        <v>37</v>
      </c>
      <c r="M345" s="48" t="s">
        <v>35</v>
      </c>
      <c r="N345" s="48" t="s">
        <v>35</v>
      </c>
      <c r="O345" s="48" t="s">
        <v>35</v>
      </c>
      <c r="P345" s="48" t="s">
        <v>35</v>
      </c>
      <c r="Q345" s="48" t="s">
        <v>37</v>
      </c>
      <c r="R345" s="48" t="s">
        <v>37</v>
      </c>
      <c r="S345" s="49" t="s">
        <v>908</v>
      </c>
      <c r="T345" s="50" t="s">
        <v>909</v>
      </c>
      <c r="U345" s="51" t="s">
        <v>909</v>
      </c>
      <c r="V345" s="52">
        <f t="shared" ref="V345:X345" si="350">IF(lenb(SUBSTITUTE($Z345,V$1&amp;" (1)",""))&lt;lenb($Z345),1,IF(lenb(SUBSTITUTE($Z345,V$1&amp;" (2)",""))&lt;lenb($Z345),2,IF(lenb(SUBSTITUTE($Z345,V$1&amp;" (3)",""))&lt;lenb($Z345),3,IF(lenb(SUBSTITUTE($Z345,V$1&amp;" (4)",""))&lt;lenb($Z345),4,IF(lenb(SUBSTITUTE($Z345,V$1&amp;" (5)",""))&lt;lenb($Z345),5,IF(lenb(SUBSTITUTE($Z345,V$1&amp;" (6)",""))&lt;lenb($Z345),6,IF(lenb(SUBSTITUTE($Z345,V$1&amp;" (7)",""))&lt;lenb($Z345),1,IF(lenb(SUBSTITUTE($Z345,V$1&amp;" (8)",""))&lt;lenb($Z345),8,IF(lenb(SUBSTITUTE($Z345,V$1&amp;" (9)",""))&lt;lenb($Z345),9,IF(lenb(SUBSTITUTE($Z345,V$1&amp;" (10)",""))&lt;lenb($Z345),10,IF(lenb(SUBSTITUTE($Z345,V$1,""))&lt;lenb($Z345),"ERROR",IF($Z345=$Y$1,"-",0))))))))))))</f>
        <v>1</v>
      </c>
      <c r="W345" s="52">
        <f t="shared" si="350"/>
        <v>0</v>
      </c>
      <c r="X345" s="52">
        <f t="shared" si="350"/>
        <v>0</v>
      </c>
      <c r="Y345" s="52" t="str">
        <f t="shared" si="3"/>
        <v>-</v>
      </c>
      <c r="Z345" s="52" t="s">
        <v>62</v>
      </c>
      <c r="AA345" s="53">
        <f t="shared" si="4"/>
        <v>1</v>
      </c>
      <c r="AB345" s="54">
        <f>COUNTIFS(Links!B:B,"ICSE",Links!C:C,A345,Links!AD:AD,1)</f>
        <v>1</v>
      </c>
      <c r="AC345" s="55" t="s">
        <v>35</v>
      </c>
      <c r="AD345" s="47" t="str">
        <f t="shared" si="5"/>
        <v>Yes</v>
      </c>
      <c r="AE345" s="56" t="s">
        <v>910</v>
      </c>
      <c r="AF345" s="56" t="s">
        <v>223</v>
      </c>
      <c r="AG345" s="57" t="s">
        <v>42</v>
      </c>
      <c r="AH345" s="57" t="s">
        <v>42</v>
      </c>
      <c r="AI345" s="49" t="str">
        <f t="shared" si="6"/>
        <v>Barriers (Agreements and legal rights)</v>
      </c>
      <c r="AJ345" s="58" t="str">
        <f t="shared" si="7"/>
        <v>Paper has link and statement</v>
      </c>
      <c r="AK345" s="59">
        <v>45034.0</v>
      </c>
      <c r="AL345" s="43" t="s">
        <v>43</v>
      </c>
      <c r="AM345" s="60" t="str">
        <f t="shared" si="8"/>
        <v>[IP1424]</v>
      </c>
    </row>
    <row r="346" ht="67.5" customHeight="1">
      <c r="A346" s="61">
        <v>1425.0</v>
      </c>
      <c r="B346" s="22" t="s">
        <v>911</v>
      </c>
      <c r="C346" s="23">
        <v>2017.0</v>
      </c>
      <c r="D346" s="24" t="s">
        <v>35</v>
      </c>
      <c r="E346" s="25" t="s">
        <v>36</v>
      </c>
      <c r="F346" s="25" t="s">
        <v>36</v>
      </c>
      <c r="G346" s="25" t="s">
        <v>36</v>
      </c>
      <c r="H346" s="25" t="s">
        <v>36</v>
      </c>
      <c r="I346" s="25" t="s">
        <v>36</v>
      </c>
      <c r="J346" s="26" t="s">
        <v>36</v>
      </c>
      <c r="K346" s="27" t="s">
        <v>37</v>
      </c>
      <c r="L346" s="28" t="s">
        <v>37</v>
      </c>
      <c r="M346" s="28" t="s">
        <v>35</v>
      </c>
      <c r="N346" s="28" t="s">
        <v>35</v>
      </c>
      <c r="O346" s="28" t="s">
        <v>35</v>
      </c>
      <c r="P346" s="28" t="s">
        <v>35</v>
      </c>
      <c r="Q346" s="28" t="s">
        <v>37</v>
      </c>
      <c r="R346" s="28" t="s">
        <v>37</v>
      </c>
      <c r="S346" s="29" t="s">
        <v>912</v>
      </c>
      <c r="T346" s="30" t="s">
        <v>913</v>
      </c>
      <c r="U346" s="31" t="s">
        <v>913</v>
      </c>
      <c r="V346" s="32">
        <f t="shared" ref="V346:X346" si="351">IF(lenb(SUBSTITUTE($Z346,V$1&amp;" (1)",""))&lt;lenb($Z346),1,IF(lenb(SUBSTITUTE($Z346,V$1&amp;" (2)",""))&lt;lenb($Z346),2,IF(lenb(SUBSTITUTE($Z346,V$1&amp;" (3)",""))&lt;lenb($Z346),3,IF(lenb(SUBSTITUTE($Z346,V$1&amp;" (4)",""))&lt;lenb($Z346),4,IF(lenb(SUBSTITUTE($Z346,V$1&amp;" (5)",""))&lt;lenb($Z346),5,IF(lenb(SUBSTITUTE($Z346,V$1&amp;" (6)",""))&lt;lenb($Z346),6,IF(lenb(SUBSTITUTE($Z346,V$1&amp;" (7)",""))&lt;lenb($Z346),1,IF(lenb(SUBSTITUTE($Z346,V$1&amp;" (8)",""))&lt;lenb($Z346),8,IF(lenb(SUBSTITUTE($Z346,V$1&amp;" (9)",""))&lt;lenb($Z346),9,IF(lenb(SUBSTITUTE($Z346,V$1&amp;" (10)",""))&lt;lenb($Z346),10,IF(lenb(SUBSTITUTE($Z346,V$1,""))&lt;lenb($Z346),"ERROR",IF($Z346=$Y$1,"-",0))))))))))))</f>
        <v>1</v>
      </c>
      <c r="W346" s="32">
        <f t="shared" si="351"/>
        <v>0</v>
      </c>
      <c r="X346" s="32">
        <f t="shared" si="351"/>
        <v>0</v>
      </c>
      <c r="Y346" s="32" t="str">
        <f t="shared" si="3"/>
        <v>-</v>
      </c>
      <c r="Z346" s="32" t="s">
        <v>62</v>
      </c>
      <c r="AA346" s="33">
        <f t="shared" si="4"/>
        <v>1</v>
      </c>
      <c r="AB346" s="34">
        <f>COUNTIFS(Links!B:B,"ICSE",Links!C:C,A346,Links!AD:AD,1)</f>
        <v>0</v>
      </c>
      <c r="AC346" s="35" t="s">
        <v>35</v>
      </c>
      <c r="AD346" s="27" t="str">
        <f t="shared" si="5"/>
        <v>No</v>
      </c>
      <c r="AE346" s="36" t="s">
        <v>36</v>
      </c>
      <c r="AF346" s="37" t="s">
        <v>42</v>
      </c>
      <c r="AG346" s="37" t="s">
        <v>42</v>
      </c>
      <c r="AH346" s="37" t="s">
        <v>42</v>
      </c>
      <c r="AI346" s="29" t="str">
        <f t="shared" si="6"/>
        <v>----</v>
      </c>
      <c r="AJ346" s="38" t="str">
        <f t="shared" si="7"/>
        <v>Paper has link but no statement</v>
      </c>
      <c r="AK346" s="39">
        <v>45034.0</v>
      </c>
      <c r="AL346" s="23" t="s">
        <v>43</v>
      </c>
      <c r="AM346" s="40" t="str">
        <f t="shared" si="8"/>
        <v>[IP1425]</v>
      </c>
    </row>
    <row r="347" ht="67.5" customHeight="1">
      <c r="A347" s="41">
        <v>1426.0</v>
      </c>
      <c r="B347" s="42" t="s">
        <v>914</v>
      </c>
      <c r="C347" s="43">
        <v>2017.0</v>
      </c>
      <c r="D347" s="44" t="s">
        <v>35</v>
      </c>
      <c r="E347" s="45" t="s">
        <v>36</v>
      </c>
      <c r="F347" s="45" t="s">
        <v>36</v>
      </c>
      <c r="G347" s="45" t="s">
        <v>36</v>
      </c>
      <c r="H347" s="45" t="s">
        <v>36</v>
      </c>
      <c r="I347" s="45" t="s">
        <v>36</v>
      </c>
      <c r="J347" s="46" t="s">
        <v>36</v>
      </c>
      <c r="K347" s="47" t="s">
        <v>35</v>
      </c>
      <c r="L347" s="48" t="s">
        <v>36</v>
      </c>
      <c r="M347" s="48" t="s">
        <v>36</v>
      </c>
      <c r="N347" s="48" t="s">
        <v>36</v>
      </c>
      <c r="O347" s="48" t="s">
        <v>36</v>
      </c>
      <c r="P347" s="48" t="s">
        <v>36</v>
      </c>
      <c r="Q347" s="48" t="s">
        <v>36</v>
      </c>
      <c r="R347" s="48" t="s">
        <v>36</v>
      </c>
      <c r="S347" s="49" t="s">
        <v>36</v>
      </c>
      <c r="T347" s="50" t="s">
        <v>36</v>
      </c>
      <c r="U347" s="51" t="s">
        <v>36</v>
      </c>
      <c r="V347" s="52" t="str">
        <f t="shared" ref="V347:X347" si="352">IF(lenb(SUBSTITUTE($Z347,V$1&amp;" (1)",""))&lt;lenb($Z347),1,IF(lenb(SUBSTITUTE($Z347,V$1&amp;" (2)",""))&lt;lenb($Z347),2,IF(lenb(SUBSTITUTE($Z347,V$1&amp;" (3)",""))&lt;lenb($Z347),3,IF(lenb(SUBSTITUTE($Z347,V$1&amp;" (4)",""))&lt;lenb($Z347),4,IF(lenb(SUBSTITUTE($Z347,V$1&amp;" (5)",""))&lt;lenb($Z347),5,IF(lenb(SUBSTITUTE($Z347,V$1&amp;" (6)",""))&lt;lenb($Z347),6,IF(lenb(SUBSTITUTE($Z347,V$1&amp;" (7)",""))&lt;lenb($Z347),1,IF(lenb(SUBSTITUTE($Z347,V$1&amp;" (8)",""))&lt;lenb($Z347),8,IF(lenb(SUBSTITUTE($Z347,V$1&amp;" (9)",""))&lt;lenb($Z347),9,IF(lenb(SUBSTITUTE($Z347,V$1&amp;" (10)",""))&lt;lenb($Z347),10,IF(lenb(SUBSTITUTE($Z347,V$1,""))&lt;lenb($Z347),"ERROR",IF($Z347=$Y$1,"-",0))))))))))))</f>
        <v>-</v>
      </c>
      <c r="W347" s="52" t="str">
        <f t="shared" si="352"/>
        <v>-</v>
      </c>
      <c r="X347" s="52" t="str">
        <f t="shared" si="352"/>
        <v>-</v>
      </c>
      <c r="Y347" s="52">
        <f t="shared" si="3"/>
        <v>1</v>
      </c>
      <c r="Z347" s="52" t="s">
        <v>23</v>
      </c>
      <c r="AA347" s="53">
        <f t="shared" si="4"/>
        <v>0</v>
      </c>
      <c r="AB347" s="54">
        <f>COUNTIFS(Links!B:B,"ICSE",Links!C:C,A347,Links!AD:AD,1)</f>
        <v>0</v>
      </c>
      <c r="AC347" s="55" t="s">
        <v>36</v>
      </c>
      <c r="AD347" s="47" t="str">
        <f t="shared" si="5"/>
        <v>No</v>
      </c>
      <c r="AE347" s="56" t="s">
        <v>36</v>
      </c>
      <c r="AF347" s="57" t="s">
        <v>42</v>
      </c>
      <c r="AG347" s="57" t="s">
        <v>42</v>
      </c>
      <c r="AH347" s="57" t="s">
        <v>42</v>
      </c>
      <c r="AI347" s="49" t="str">
        <f t="shared" si="6"/>
        <v>----</v>
      </c>
      <c r="AJ347" s="58" t="str">
        <f t="shared" si="7"/>
        <v>Paper has no link and no statement</v>
      </c>
      <c r="AK347" s="59">
        <v>45034.0</v>
      </c>
      <c r="AL347" s="43" t="s">
        <v>43</v>
      </c>
      <c r="AM347" s="60" t="str">
        <f t="shared" si="8"/>
        <v>[IP1426]</v>
      </c>
    </row>
    <row r="348" ht="67.5" customHeight="1">
      <c r="A348" s="61">
        <v>1427.0</v>
      </c>
      <c r="B348" s="22" t="s">
        <v>915</v>
      </c>
      <c r="C348" s="23">
        <v>2017.0</v>
      </c>
      <c r="D348" s="24" t="s">
        <v>35</v>
      </c>
      <c r="E348" s="25" t="s">
        <v>36</v>
      </c>
      <c r="F348" s="25" t="s">
        <v>36</v>
      </c>
      <c r="G348" s="25" t="s">
        <v>36</v>
      </c>
      <c r="H348" s="25" t="s">
        <v>36</v>
      </c>
      <c r="I348" s="25" t="s">
        <v>36</v>
      </c>
      <c r="J348" s="26" t="s">
        <v>36</v>
      </c>
      <c r="K348" s="27" t="s">
        <v>37</v>
      </c>
      <c r="L348" s="28" t="s">
        <v>37</v>
      </c>
      <c r="M348" s="28" t="s">
        <v>35</v>
      </c>
      <c r="N348" s="28" t="s">
        <v>37</v>
      </c>
      <c r="O348" s="28" t="s">
        <v>35</v>
      </c>
      <c r="P348" s="28" t="s">
        <v>35</v>
      </c>
      <c r="Q348" s="28" t="s">
        <v>37</v>
      </c>
      <c r="R348" s="28" t="s">
        <v>37</v>
      </c>
      <c r="S348" s="29" t="s">
        <v>916</v>
      </c>
      <c r="T348" s="30" t="s">
        <v>917</v>
      </c>
      <c r="U348" s="31" t="s">
        <v>918</v>
      </c>
      <c r="V348" s="32">
        <f t="shared" ref="V348:X348" si="353">IF(lenb(SUBSTITUTE($Z348,V$1&amp;" (1)",""))&lt;lenb($Z348),1,IF(lenb(SUBSTITUTE($Z348,V$1&amp;" (2)",""))&lt;lenb($Z348),2,IF(lenb(SUBSTITUTE($Z348,V$1&amp;" (3)",""))&lt;lenb($Z348),3,IF(lenb(SUBSTITUTE($Z348,V$1&amp;" (4)",""))&lt;lenb($Z348),4,IF(lenb(SUBSTITUTE($Z348,V$1&amp;" (5)",""))&lt;lenb($Z348),5,IF(lenb(SUBSTITUTE($Z348,V$1&amp;" (6)",""))&lt;lenb($Z348),6,IF(lenb(SUBSTITUTE($Z348,V$1&amp;" (7)",""))&lt;lenb($Z348),1,IF(lenb(SUBSTITUTE($Z348,V$1&amp;" (8)",""))&lt;lenb($Z348),8,IF(lenb(SUBSTITUTE($Z348,V$1&amp;" (9)",""))&lt;lenb($Z348),9,IF(lenb(SUBSTITUTE($Z348,V$1&amp;" (10)",""))&lt;lenb($Z348),10,IF(lenb(SUBSTITUTE($Z348,V$1,""))&lt;lenb($Z348),"ERROR",IF($Z348=$Y$1,"-",0))))))))))))</f>
        <v>1</v>
      </c>
      <c r="W348" s="32">
        <f t="shared" si="353"/>
        <v>0</v>
      </c>
      <c r="X348" s="32">
        <f t="shared" si="353"/>
        <v>1</v>
      </c>
      <c r="Y348" s="32" t="str">
        <f t="shared" si="3"/>
        <v>-</v>
      </c>
      <c r="Z348" s="32" t="s">
        <v>919</v>
      </c>
      <c r="AA348" s="33">
        <f t="shared" si="4"/>
        <v>2</v>
      </c>
      <c r="AB348" s="34">
        <f>COUNTIFS(Links!B:B,"ICSE",Links!C:C,A348,Links!AD:AD,1)</f>
        <v>0</v>
      </c>
      <c r="AC348" s="35" t="s">
        <v>35</v>
      </c>
      <c r="AD348" s="27" t="str">
        <f t="shared" si="5"/>
        <v>No</v>
      </c>
      <c r="AE348" s="36" t="s">
        <v>36</v>
      </c>
      <c r="AF348" s="37" t="s">
        <v>42</v>
      </c>
      <c r="AG348" s="37" t="s">
        <v>42</v>
      </c>
      <c r="AH348" s="37" t="s">
        <v>42</v>
      </c>
      <c r="AI348" s="29" t="str">
        <f t="shared" si="6"/>
        <v>----</v>
      </c>
      <c r="AJ348" s="38" t="str">
        <f t="shared" si="7"/>
        <v>Paper has link but no statement</v>
      </c>
      <c r="AK348" s="39">
        <v>45034.0</v>
      </c>
      <c r="AL348" s="23" t="s">
        <v>43</v>
      </c>
      <c r="AM348" s="40" t="str">
        <f t="shared" si="8"/>
        <v>[IP1427]</v>
      </c>
    </row>
    <row r="349" ht="67.5" customHeight="1">
      <c r="A349" s="41">
        <v>1428.0</v>
      </c>
      <c r="B349" s="42" t="s">
        <v>920</v>
      </c>
      <c r="C349" s="43">
        <v>2017.0</v>
      </c>
      <c r="D349" s="44" t="s">
        <v>35</v>
      </c>
      <c r="E349" s="45" t="s">
        <v>36</v>
      </c>
      <c r="F349" s="45" t="s">
        <v>36</v>
      </c>
      <c r="G349" s="45" t="s">
        <v>36</v>
      </c>
      <c r="H349" s="45" t="s">
        <v>36</v>
      </c>
      <c r="I349" s="45" t="s">
        <v>36</v>
      </c>
      <c r="J349" s="46" t="s">
        <v>36</v>
      </c>
      <c r="K349" s="47" t="s">
        <v>37</v>
      </c>
      <c r="L349" s="48" t="s">
        <v>35</v>
      </c>
      <c r="M349" s="48" t="s">
        <v>35</v>
      </c>
      <c r="N349" s="48" t="s">
        <v>35</v>
      </c>
      <c r="O349" s="48" t="s">
        <v>35</v>
      </c>
      <c r="P349" s="48" t="s">
        <v>35</v>
      </c>
      <c r="Q349" s="48" t="s">
        <v>35</v>
      </c>
      <c r="R349" s="48" t="s">
        <v>37</v>
      </c>
      <c r="S349" s="49" t="s">
        <v>921</v>
      </c>
      <c r="T349" s="50" t="s">
        <v>922</v>
      </c>
      <c r="U349" s="51" t="s">
        <v>923</v>
      </c>
      <c r="V349" s="52">
        <f t="shared" ref="V349:X349" si="354">IF(lenb(SUBSTITUTE($Z349,V$1&amp;" (1)",""))&lt;lenb($Z349),1,IF(lenb(SUBSTITUTE($Z349,V$1&amp;" (2)",""))&lt;lenb($Z349),2,IF(lenb(SUBSTITUTE($Z349,V$1&amp;" (3)",""))&lt;lenb($Z349),3,IF(lenb(SUBSTITUTE($Z349,V$1&amp;" (4)",""))&lt;lenb($Z349),4,IF(lenb(SUBSTITUTE($Z349,V$1&amp;" (5)",""))&lt;lenb($Z349),5,IF(lenb(SUBSTITUTE($Z349,V$1&amp;" (6)",""))&lt;lenb($Z349),6,IF(lenb(SUBSTITUTE($Z349,V$1&amp;" (7)",""))&lt;lenb($Z349),1,IF(lenb(SUBSTITUTE($Z349,V$1&amp;" (8)",""))&lt;lenb($Z349),8,IF(lenb(SUBSTITUTE($Z349,V$1&amp;" (9)",""))&lt;lenb($Z349),9,IF(lenb(SUBSTITUTE($Z349,V$1&amp;" (10)",""))&lt;lenb($Z349),10,IF(lenb(SUBSTITUTE($Z349,V$1,""))&lt;lenb($Z349),"ERROR",IF($Z349=$Y$1,"-",0))))))))))))</f>
        <v>0</v>
      </c>
      <c r="W349" s="52">
        <f t="shared" si="354"/>
        <v>0</v>
      </c>
      <c r="X349" s="52">
        <f t="shared" si="354"/>
        <v>1</v>
      </c>
      <c r="Y349" s="52" t="str">
        <f t="shared" si="3"/>
        <v>-</v>
      </c>
      <c r="Z349" s="52" t="s">
        <v>556</v>
      </c>
      <c r="AA349" s="53">
        <f t="shared" si="4"/>
        <v>1</v>
      </c>
      <c r="AB349" s="54">
        <f>COUNTIFS(Links!B:B,"ICSE",Links!C:C,A349,Links!AD:AD,1)</f>
        <v>0</v>
      </c>
      <c r="AC349" s="55" t="s">
        <v>35</v>
      </c>
      <c r="AD349" s="47" t="str">
        <f t="shared" si="5"/>
        <v>No</v>
      </c>
      <c r="AE349" s="56" t="s">
        <v>36</v>
      </c>
      <c r="AF349" s="57" t="s">
        <v>42</v>
      </c>
      <c r="AG349" s="57" t="s">
        <v>42</v>
      </c>
      <c r="AH349" s="57" t="s">
        <v>42</v>
      </c>
      <c r="AI349" s="49" t="str">
        <f t="shared" si="6"/>
        <v>----</v>
      </c>
      <c r="AJ349" s="58" t="str">
        <f t="shared" si="7"/>
        <v>Paper has link but no statement</v>
      </c>
      <c r="AK349" s="59">
        <v>45034.0</v>
      </c>
      <c r="AL349" s="43" t="s">
        <v>43</v>
      </c>
      <c r="AM349" s="60" t="str">
        <f t="shared" si="8"/>
        <v>[IP1428]</v>
      </c>
    </row>
    <row r="350" ht="67.5" customHeight="1">
      <c r="A350" s="61">
        <v>1429.0</v>
      </c>
      <c r="B350" s="22" t="s">
        <v>924</v>
      </c>
      <c r="C350" s="23">
        <v>2017.0</v>
      </c>
      <c r="D350" s="24" t="s">
        <v>35</v>
      </c>
      <c r="E350" s="25" t="s">
        <v>36</v>
      </c>
      <c r="F350" s="25" t="s">
        <v>36</v>
      </c>
      <c r="G350" s="25" t="s">
        <v>36</v>
      </c>
      <c r="H350" s="25" t="s">
        <v>36</v>
      </c>
      <c r="I350" s="25" t="s">
        <v>36</v>
      </c>
      <c r="J350" s="26" t="s">
        <v>36</v>
      </c>
      <c r="K350" s="27" t="s">
        <v>37</v>
      </c>
      <c r="L350" s="28" t="s">
        <v>35</v>
      </c>
      <c r="M350" s="28" t="s">
        <v>37</v>
      </c>
      <c r="N350" s="28" t="s">
        <v>35</v>
      </c>
      <c r="O350" s="28" t="s">
        <v>35</v>
      </c>
      <c r="P350" s="28" t="s">
        <v>35</v>
      </c>
      <c r="Q350" s="28" t="s">
        <v>37</v>
      </c>
      <c r="R350" s="28" t="s">
        <v>37</v>
      </c>
      <c r="S350" s="29" t="s">
        <v>925</v>
      </c>
      <c r="T350" s="30" t="s">
        <v>926</v>
      </c>
      <c r="U350" s="31" t="s">
        <v>926</v>
      </c>
      <c r="V350" s="32">
        <f t="shared" ref="V350:X350" si="355">IF(lenb(SUBSTITUTE($Z350,V$1&amp;" (1)",""))&lt;lenb($Z350),1,IF(lenb(SUBSTITUTE($Z350,V$1&amp;" (2)",""))&lt;lenb($Z350),2,IF(lenb(SUBSTITUTE($Z350,V$1&amp;" (3)",""))&lt;lenb($Z350),3,IF(lenb(SUBSTITUTE($Z350,V$1&amp;" (4)",""))&lt;lenb($Z350),4,IF(lenb(SUBSTITUTE($Z350,V$1&amp;" (5)",""))&lt;lenb($Z350),5,IF(lenb(SUBSTITUTE($Z350,V$1&amp;" (6)",""))&lt;lenb($Z350),6,IF(lenb(SUBSTITUTE($Z350,V$1&amp;" (7)",""))&lt;lenb($Z350),1,IF(lenb(SUBSTITUTE($Z350,V$1&amp;" (8)",""))&lt;lenb($Z350),8,IF(lenb(SUBSTITUTE($Z350,V$1&amp;" (9)",""))&lt;lenb($Z350),9,IF(lenb(SUBSTITUTE($Z350,V$1&amp;" (10)",""))&lt;lenb($Z350),10,IF(lenb(SUBSTITUTE($Z350,V$1,""))&lt;lenb($Z350),"ERROR",IF($Z350=$Y$1,"-",0))))))))))))</f>
        <v>0</v>
      </c>
      <c r="W350" s="32">
        <f t="shared" si="355"/>
        <v>1</v>
      </c>
      <c r="X350" s="32">
        <f t="shared" si="355"/>
        <v>0</v>
      </c>
      <c r="Y350" s="32" t="str">
        <f t="shared" si="3"/>
        <v>-</v>
      </c>
      <c r="Z350" s="32" t="s">
        <v>47</v>
      </c>
      <c r="AA350" s="33">
        <f t="shared" si="4"/>
        <v>1</v>
      </c>
      <c r="AB350" s="34">
        <f>COUNTIFS(Links!B:B,"ICSE",Links!C:C,A350,Links!AD:AD,1)</f>
        <v>1</v>
      </c>
      <c r="AC350" s="35" t="s">
        <v>35</v>
      </c>
      <c r="AD350" s="27" t="str">
        <f t="shared" si="5"/>
        <v>No</v>
      </c>
      <c r="AE350" s="36" t="s">
        <v>36</v>
      </c>
      <c r="AF350" s="37" t="s">
        <v>42</v>
      </c>
      <c r="AG350" s="37" t="s">
        <v>42</v>
      </c>
      <c r="AH350" s="37" t="s">
        <v>42</v>
      </c>
      <c r="AI350" s="29" t="str">
        <f t="shared" si="6"/>
        <v>----</v>
      </c>
      <c r="AJ350" s="38" t="str">
        <f t="shared" si="7"/>
        <v>Paper has link but no statement</v>
      </c>
      <c r="AK350" s="39">
        <v>45034.0</v>
      </c>
      <c r="AL350" s="23" t="s">
        <v>43</v>
      </c>
      <c r="AM350" s="40" t="str">
        <f t="shared" si="8"/>
        <v>[IP1429]</v>
      </c>
    </row>
    <row r="351" ht="67.5" customHeight="1">
      <c r="A351" s="41">
        <v>1430.0</v>
      </c>
      <c r="B351" s="42" t="s">
        <v>927</v>
      </c>
      <c r="C351" s="43">
        <v>2017.0</v>
      </c>
      <c r="D351" s="44" t="s">
        <v>35</v>
      </c>
      <c r="E351" s="45" t="s">
        <v>36</v>
      </c>
      <c r="F351" s="45" t="s">
        <v>36</v>
      </c>
      <c r="G351" s="45" t="s">
        <v>36</v>
      </c>
      <c r="H351" s="45" t="s">
        <v>36</v>
      </c>
      <c r="I351" s="45" t="s">
        <v>36</v>
      </c>
      <c r="J351" s="46" t="s">
        <v>36</v>
      </c>
      <c r="K351" s="47" t="s">
        <v>37</v>
      </c>
      <c r="L351" s="48" t="s">
        <v>35</v>
      </c>
      <c r="M351" s="48" t="s">
        <v>35</v>
      </c>
      <c r="N351" s="48" t="s">
        <v>37</v>
      </c>
      <c r="O351" s="48" t="s">
        <v>37</v>
      </c>
      <c r="P351" s="48" t="s">
        <v>35</v>
      </c>
      <c r="Q351" s="48" t="s">
        <v>35</v>
      </c>
      <c r="R351" s="48" t="s">
        <v>37</v>
      </c>
      <c r="S351" s="49" t="s">
        <v>928</v>
      </c>
      <c r="T351" s="50" t="s">
        <v>929</v>
      </c>
      <c r="U351" s="51" t="s">
        <v>929</v>
      </c>
      <c r="V351" s="52">
        <f t="shared" ref="V351:X351" si="356">IF(lenb(SUBSTITUTE($Z351,V$1&amp;" (1)",""))&lt;lenb($Z351),1,IF(lenb(SUBSTITUTE($Z351,V$1&amp;" (2)",""))&lt;lenb($Z351),2,IF(lenb(SUBSTITUTE($Z351,V$1&amp;" (3)",""))&lt;lenb($Z351),3,IF(lenb(SUBSTITUTE($Z351,V$1&amp;" (4)",""))&lt;lenb($Z351),4,IF(lenb(SUBSTITUTE($Z351,V$1&amp;" (5)",""))&lt;lenb($Z351),5,IF(lenb(SUBSTITUTE($Z351,V$1&amp;" (6)",""))&lt;lenb($Z351),6,IF(lenb(SUBSTITUTE($Z351,V$1&amp;" (7)",""))&lt;lenb($Z351),1,IF(lenb(SUBSTITUTE($Z351,V$1&amp;" (8)",""))&lt;lenb($Z351),8,IF(lenb(SUBSTITUTE($Z351,V$1&amp;" (9)",""))&lt;lenb($Z351),9,IF(lenb(SUBSTITUTE($Z351,V$1&amp;" (10)",""))&lt;lenb($Z351),10,IF(lenb(SUBSTITUTE($Z351,V$1,""))&lt;lenb($Z351),"ERROR",IF($Z351=$Y$1,"-",0))))))))))))</f>
        <v>0</v>
      </c>
      <c r="W351" s="52">
        <f t="shared" si="356"/>
        <v>1</v>
      </c>
      <c r="X351" s="52">
        <f t="shared" si="356"/>
        <v>0</v>
      </c>
      <c r="Y351" s="52" t="str">
        <f t="shared" si="3"/>
        <v>-</v>
      </c>
      <c r="Z351" s="52" t="s">
        <v>47</v>
      </c>
      <c r="AA351" s="53">
        <f t="shared" si="4"/>
        <v>1</v>
      </c>
      <c r="AB351" s="54">
        <f>COUNTIFS(Links!B:B,"ICSE",Links!C:C,A351,Links!AD:AD,1)</f>
        <v>1</v>
      </c>
      <c r="AC351" s="55" t="s">
        <v>35</v>
      </c>
      <c r="AD351" s="47" t="str">
        <f t="shared" si="5"/>
        <v>No</v>
      </c>
      <c r="AE351" s="56" t="s">
        <v>36</v>
      </c>
      <c r="AF351" s="57" t="s">
        <v>42</v>
      </c>
      <c r="AG351" s="57" t="s">
        <v>42</v>
      </c>
      <c r="AH351" s="57" t="s">
        <v>42</v>
      </c>
      <c r="AI351" s="49" t="str">
        <f t="shared" si="6"/>
        <v>----</v>
      </c>
      <c r="AJ351" s="58" t="str">
        <f t="shared" si="7"/>
        <v>Paper has link but no statement</v>
      </c>
      <c r="AK351" s="59">
        <v>45034.0</v>
      </c>
      <c r="AL351" s="43" t="s">
        <v>43</v>
      </c>
      <c r="AM351" s="60" t="str">
        <f t="shared" si="8"/>
        <v>[IP1430]</v>
      </c>
    </row>
    <row r="352" ht="67.5" customHeight="1">
      <c r="A352" s="61">
        <v>1431.0</v>
      </c>
      <c r="B352" s="22" t="s">
        <v>930</v>
      </c>
      <c r="C352" s="23">
        <v>2017.0</v>
      </c>
      <c r="D352" s="24" t="s">
        <v>35</v>
      </c>
      <c r="E352" s="25" t="s">
        <v>36</v>
      </c>
      <c r="F352" s="25" t="s">
        <v>36</v>
      </c>
      <c r="G352" s="25" t="s">
        <v>36</v>
      </c>
      <c r="H352" s="25" t="s">
        <v>36</v>
      </c>
      <c r="I352" s="25" t="s">
        <v>36</v>
      </c>
      <c r="J352" s="26" t="s">
        <v>36</v>
      </c>
      <c r="K352" s="27" t="s">
        <v>35</v>
      </c>
      <c r="L352" s="28" t="s">
        <v>36</v>
      </c>
      <c r="M352" s="28" t="s">
        <v>36</v>
      </c>
      <c r="N352" s="28" t="s">
        <v>36</v>
      </c>
      <c r="O352" s="28" t="s">
        <v>36</v>
      </c>
      <c r="P352" s="28" t="s">
        <v>36</v>
      </c>
      <c r="Q352" s="28" t="s">
        <v>36</v>
      </c>
      <c r="R352" s="28" t="s">
        <v>36</v>
      </c>
      <c r="S352" s="29" t="s">
        <v>36</v>
      </c>
      <c r="T352" s="30" t="s">
        <v>36</v>
      </c>
      <c r="U352" s="31" t="s">
        <v>36</v>
      </c>
      <c r="V352" s="32" t="str">
        <f t="shared" ref="V352:X352" si="357">IF(lenb(SUBSTITUTE($Z352,V$1&amp;" (1)",""))&lt;lenb($Z352),1,IF(lenb(SUBSTITUTE($Z352,V$1&amp;" (2)",""))&lt;lenb($Z352),2,IF(lenb(SUBSTITUTE($Z352,V$1&amp;" (3)",""))&lt;lenb($Z352),3,IF(lenb(SUBSTITUTE($Z352,V$1&amp;" (4)",""))&lt;lenb($Z352),4,IF(lenb(SUBSTITUTE($Z352,V$1&amp;" (5)",""))&lt;lenb($Z352),5,IF(lenb(SUBSTITUTE($Z352,V$1&amp;" (6)",""))&lt;lenb($Z352),6,IF(lenb(SUBSTITUTE($Z352,V$1&amp;" (7)",""))&lt;lenb($Z352),1,IF(lenb(SUBSTITUTE($Z352,V$1&amp;" (8)",""))&lt;lenb($Z352),8,IF(lenb(SUBSTITUTE($Z352,V$1&amp;" (9)",""))&lt;lenb($Z352),9,IF(lenb(SUBSTITUTE($Z352,V$1&amp;" (10)",""))&lt;lenb($Z352),10,IF(lenb(SUBSTITUTE($Z352,V$1,""))&lt;lenb($Z352),"ERROR",IF($Z352=$Y$1,"-",0))))))))))))</f>
        <v>-</v>
      </c>
      <c r="W352" s="32" t="str">
        <f t="shared" si="357"/>
        <v>-</v>
      </c>
      <c r="X352" s="32" t="str">
        <f t="shared" si="357"/>
        <v>-</v>
      </c>
      <c r="Y352" s="32">
        <f t="shared" si="3"/>
        <v>1</v>
      </c>
      <c r="Z352" s="32" t="s">
        <v>23</v>
      </c>
      <c r="AA352" s="33">
        <f t="shared" si="4"/>
        <v>0</v>
      </c>
      <c r="AB352" s="34">
        <f>COUNTIFS(Links!B:B,"ICSE",Links!C:C,A352,Links!AD:AD,1)</f>
        <v>0</v>
      </c>
      <c r="AC352" s="35" t="s">
        <v>36</v>
      </c>
      <c r="AD352" s="27" t="str">
        <f t="shared" si="5"/>
        <v>No</v>
      </c>
      <c r="AE352" s="36" t="s">
        <v>36</v>
      </c>
      <c r="AF352" s="37" t="s">
        <v>42</v>
      </c>
      <c r="AG352" s="37" t="s">
        <v>42</v>
      </c>
      <c r="AH352" s="37" t="s">
        <v>42</v>
      </c>
      <c r="AI352" s="29" t="str">
        <f t="shared" si="6"/>
        <v>----</v>
      </c>
      <c r="AJ352" s="38" t="str">
        <f t="shared" si="7"/>
        <v>Paper has no link and no statement</v>
      </c>
      <c r="AK352" s="39">
        <v>45034.0</v>
      </c>
      <c r="AL352" s="23" t="s">
        <v>43</v>
      </c>
      <c r="AM352" s="40" t="str">
        <f t="shared" si="8"/>
        <v>[IP1431]</v>
      </c>
    </row>
    <row r="353" ht="67.5" customHeight="1">
      <c r="A353" s="41">
        <v>1114.0</v>
      </c>
      <c r="B353" s="42" t="s">
        <v>931</v>
      </c>
      <c r="C353" s="43">
        <v>2018.0</v>
      </c>
      <c r="D353" s="44" t="s">
        <v>35</v>
      </c>
      <c r="E353" s="45" t="s">
        <v>36</v>
      </c>
      <c r="F353" s="45" t="s">
        <v>36</v>
      </c>
      <c r="G353" s="45" t="s">
        <v>36</v>
      </c>
      <c r="H353" s="45" t="s">
        <v>36</v>
      </c>
      <c r="I353" s="45" t="s">
        <v>36</v>
      </c>
      <c r="J353" s="46" t="s">
        <v>36</v>
      </c>
      <c r="K353" s="47" t="s">
        <v>37</v>
      </c>
      <c r="L353" s="48" t="s">
        <v>35</v>
      </c>
      <c r="M353" s="48" t="s">
        <v>35</v>
      </c>
      <c r="N353" s="48" t="s">
        <v>35</v>
      </c>
      <c r="O353" s="48" t="s">
        <v>35</v>
      </c>
      <c r="P353" s="48" t="s">
        <v>35</v>
      </c>
      <c r="Q353" s="48" t="s">
        <v>35</v>
      </c>
      <c r="R353" s="48" t="s">
        <v>37</v>
      </c>
      <c r="S353" s="49" t="s">
        <v>932</v>
      </c>
      <c r="T353" s="50" t="s">
        <v>933</v>
      </c>
      <c r="U353" s="51" t="s">
        <v>933</v>
      </c>
      <c r="V353" s="52">
        <f t="shared" ref="V353:X353" si="358">IF(lenb(SUBSTITUTE($Z353,V$1&amp;" (1)",""))&lt;lenb($Z353),1,IF(lenb(SUBSTITUTE($Z353,V$1&amp;" (2)",""))&lt;lenb($Z353),2,IF(lenb(SUBSTITUTE($Z353,V$1&amp;" (3)",""))&lt;lenb($Z353),3,IF(lenb(SUBSTITUTE($Z353,V$1&amp;" (4)",""))&lt;lenb($Z353),4,IF(lenb(SUBSTITUTE($Z353,V$1&amp;" (5)",""))&lt;lenb($Z353),5,IF(lenb(SUBSTITUTE($Z353,V$1&amp;" (6)",""))&lt;lenb($Z353),6,IF(lenb(SUBSTITUTE($Z353,V$1&amp;" (7)",""))&lt;lenb($Z353),1,IF(lenb(SUBSTITUTE($Z353,V$1&amp;" (8)",""))&lt;lenb($Z353),8,IF(lenb(SUBSTITUTE($Z353,V$1&amp;" (9)",""))&lt;lenb($Z353),9,IF(lenb(SUBSTITUTE($Z353,V$1&amp;" (10)",""))&lt;lenb($Z353),10,IF(lenb(SUBSTITUTE($Z353,V$1,""))&lt;lenb($Z353),"ERROR",IF($Z353=$Y$1,"-",0))))))))))))</f>
        <v>1</v>
      </c>
      <c r="W353" s="52">
        <f t="shared" si="358"/>
        <v>0</v>
      </c>
      <c r="X353" s="52">
        <f t="shared" si="358"/>
        <v>0</v>
      </c>
      <c r="Y353" s="52" t="str">
        <f t="shared" si="3"/>
        <v>-</v>
      </c>
      <c r="Z353" s="52" t="s">
        <v>62</v>
      </c>
      <c r="AA353" s="53">
        <f t="shared" si="4"/>
        <v>1</v>
      </c>
      <c r="AB353" s="54">
        <f>COUNTIFS(Links!B:B,"ICSE",Links!C:C,A353,Links!AD:AD,1)</f>
        <v>0</v>
      </c>
      <c r="AC353" s="55" t="s">
        <v>35</v>
      </c>
      <c r="AD353" s="47" t="str">
        <f t="shared" si="5"/>
        <v>No</v>
      </c>
      <c r="AE353" s="56" t="s">
        <v>36</v>
      </c>
      <c r="AF353" s="57" t="s">
        <v>42</v>
      </c>
      <c r="AG353" s="57" t="s">
        <v>42</v>
      </c>
      <c r="AH353" s="57" t="s">
        <v>42</v>
      </c>
      <c r="AI353" s="49" t="str">
        <f t="shared" si="6"/>
        <v>----</v>
      </c>
      <c r="AJ353" s="58" t="str">
        <f t="shared" si="7"/>
        <v>Paper has link but no statement</v>
      </c>
      <c r="AK353" s="59">
        <v>45033.0</v>
      </c>
      <c r="AL353" s="43" t="s">
        <v>43</v>
      </c>
      <c r="AM353" s="60" t="str">
        <f t="shared" si="8"/>
        <v>[IP1114]</v>
      </c>
    </row>
    <row r="354" ht="67.5" customHeight="1">
      <c r="A354" s="61">
        <v>1115.0</v>
      </c>
      <c r="B354" s="22" t="s">
        <v>934</v>
      </c>
      <c r="C354" s="23">
        <v>2018.0</v>
      </c>
      <c r="D354" s="24" t="s">
        <v>35</v>
      </c>
      <c r="E354" s="25" t="s">
        <v>36</v>
      </c>
      <c r="F354" s="25" t="s">
        <v>36</v>
      </c>
      <c r="G354" s="25" t="s">
        <v>36</v>
      </c>
      <c r="H354" s="25" t="s">
        <v>36</v>
      </c>
      <c r="I354" s="25" t="s">
        <v>36</v>
      </c>
      <c r="J354" s="26" t="s">
        <v>36</v>
      </c>
      <c r="K354" s="27" t="s">
        <v>35</v>
      </c>
      <c r="L354" s="28" t="s">
        <v>36</v>
      </c>
      <c r="M354" s="28" t="s">
        <v>36</v>
      </c>
      <c r="N354" s="28" t="s">
        <v>36</v>
      </c>
      <c r="O354" s="28" t="s">
        <v>36</v>
      </c>
      <c r="P354" s="28" t="s">
        <v>36</v>
      </c>
      <c r="Q354" s="28" t="s">
        <v>36</v>
      </c>
      <c r="R354" s="28" t="s">
        <v>36</v>
      </c>
      <c r="S354" s="29" t="s">
        <v>36</v>
      </c>
      <c r="T354" s="30" t="s">
        <v>36</v>
      </c>
      <c r="U354" s="31" t="s">
        <v>36</v>
      </c>
      <c r="V354" s="32" t="str">
        <f t="shared" ref="V354:X354" si="359">IF(lenb(SUBSTITUTE($Z354,V$1&amp;" (1)",""))&lt;lenb($Z354),1,IF(lenb(SUBSTITUTE($Z354,V$1&amp;" (2)",""))&lt;lenb($Z354),2,IF(lenb(SUBSTITUTE($Z354,V$1&amp;" (3)",""))&lt;lenb($Z354),3,IF(lenb(SUBSTITUTE($Z354,V$1&amp;" (4)",""))&lt;lenb($Z354),4,IF(lenb(SUBSTITUTE($Z354,V$1&amp;" (5)",""))&lt;lenb($Z354),5,IF(lenb(SUBSTITUTE($Z354,V$1&amp;" (6)",""))&lt;lenb($Z354),6,IF(lenb(SUBSTITUTE($Z354,V$1&amp;" (7)",""))&lt;lenb($Z354),1,IF(lenb(SUBSTITUTE($Z354,V$1&amp;" (8)",""))&lt;lenb($Z354),8,IF(lenb(SUBSTITUTE($Z354,V$1&amp;" (9)",""))&lt;lenb($Z354),9,IF(lenb(SUBSTITUTE($Z354,V$1&amp;" (10)",""))&lt;lenb($Z354),10,IF(lenb(SUBSTITUTE($Z354,V$1,""))&lt;lenb($Z354),"ERROR",IF($Z354=$Y$1,"-",0))))))))))))</f>
        <v>-</v>
      </c>
      <c r="W354" s="32" t="str">
        <f t="shared" si="359"/>
        <v>-</v>
      </c>
      <c r="X354" s="32" t="str">
        <f t="shared" si="359"/>
        <v>-</v>
      </c>
      <c r="Y354" s="32">
        <f t="shared" si="3"/>
        <v>1</v>
      </c>
      <c r="Z354" s="32" t="s">
        <v>23</v>
      </c>
      <c r="AA354" s="33">
        <f t="shared" si="4"/>
        <v>0</v>
      </c>
      <c r="AB354" s="34">
        <f>COUNTIFS(Links!B:B,"ICSE",Links!C:C,A354,Links!AD:AD,1)</f>
        <v>0</v>
      </c>
      <c r="AC354" s="35" t="s">
        <v>36</v>
      </c>
      <c r="AD354" s="27" t="str">
        <f t="shared" si="5"/>
        <v>No</v>
      </c>
      <c r="AE354" s="36" t="s">
        <v>36</v>
      </c>
      <c r="AF354" s="37" t="s">
        <v>42</v>
      </c>
      <c r="AG354" s="37" t="s">
        <v>42</v>
      </c>
      <c r="AH354" s="37" t="s">
        <v>42</v>
      </c>
      <c r="AI354" s="29" t="str">
        <f t="shared" si="6"/>
        <v>----</v>
      </c>
      <c r="AJ354" s="38" t="str">
        <f t="shared" si="7"/>
        <v>Paper has no link and no statement</v>
      </c>
      <c r="AK354" s="39">
        <v>45033.0</v>
      </c>
      <c r="AL354" s="23" t="s">
        <v>43</v>
      </c>
      <c r="AM354" s="40" t="str">
        <f t="shared" si="8"/>
        <v>[IP1115]</v>
      </c>
    </row>
    <row r="355" ht="67.5" customHeight="1">
      <c r="A355" s="41">
        <v>1118.0</v>
      </c>
      <c r="B355" s="42" t="s">
        <v>935</v>
      </c>
      <c r="C355" s="43">
        <v>2018.0</v>
      </c>
      <c r="D355" s="44" t="s">
        <v>35</v>
      </c>
      <c r="E355" s="45" t="s">
        <v>36</v>
      </c>
      <c r="F355" s="45" t="s">
        <v>36</v>
      </c>
      <c r="G355" s="45" t="s">
        <v>36</v>
      </c>
      <c r="H355" s="45" t="s">
        <v>36</v>
      </c>
      <c r="I355" s="45" t="s">
        <v>36</v>
      </c>
      <c r="J355" s="46" t="s">
        <v>36</v>
      </c>
      <c r="K355" s="47" t="s">
        <v>35</v>
      </c>
      <c r="L355" s="48" t="s">
        <v>36</v>
      </c>
      <c r="M355" s="48" t="s">
        <v>36</v>
      </c>
      <c r="N355" s="48" t="s">
        <v>36</v>
      </c>
      <c r="O355" s="48" t="s">
        <v>36</v>
      </c>
      <c r="P355" s="48" t="s">
        <v>36</v>
      </c>
      <c r="Q355" s="48" t="s">
        <v>36</v>
      </c>
      <c r="R355" s="48" t="s">
        <v>36</v>
      </c>
      <c r="S355" s="49" t="s">
        <v>36</v>
      </c>
      <c r="T355" s="50" t="s">
        <v>36</v>
      </c>
      <c r="U355" s="51" t="s">
        <v>36</v>
      </c>
      <c r="V355" s="52" t="str">
        <f t="shared" ref="V355:X355" si="360">IF(lenb(SUBSTITUTE($Z355,V$1&amp;" (1)",""))&lt;lenb($Z355),1,IF(lenb(SUBSTITUTE($Z355,V$1&amp;" (2)",""))&lt;lenb($Z355),2,IF(lenb(SUBSTITUTE($Z355,V$1&amp;" (3)",""))&lt;lenb($Z355),3,IF(lenb(SUBSTITUTE($Z355,V$1&amp;" (4)",""))&lt;lenb($Z355),4,IF(lenb(SUBSTITUTE($Z355,V$1&amp;" (5)",""))&lt;lenb($Z355),5,IF(lenb(SUBSTITUTE($Z355,V$1&amp;" (6)",""))&lt;lenb($Z355),6,IF(lenb(SUBSTITUTE($Z355,V$1&amp;" (7)",""))&lt;lenb($Z355),1,IF(lenb(SUBSTITUTE($Z355,V$1&amp;" (8)",""))&lt;lenb($Z355),8,IF(lenb(SUBSTITUTE($Z355,V$1&amp;" (9)",""))&lt;lenb($Z355),9,IF(lenb(SUBSTITUTE($Z355,V$1&amp;" (10)",""))&lt;lenb($Z355),10,IF(lenb(SUBSTITUTE($Z355,V$1,""))&lt;lenb($Z355),"ERROR",IF($Z355=$Y$1,"-",0))))))))))))</f>
        <v>-</v>
      </c>
      <c r="W355" s="52" t="str">
        <f t="shared" si="360"/>
        <v>-</v>
      </c>
      <c r="X355" s="52" t="str">
        <f t="shared" si="360"/>
        <v>-</v>
      </c>
      <c r="Y355" s="52">
        <f t="shared" si="3"/>
        <v>1</v>
      </c>
      <c r="Z355" s="52" t="s">
        <v>23</v>
      </c>
      <c r="AA355" s="53">
        <f t="shared" si="4"/>
        <v>0</v>
      </c>
      <c r="AB355" s="54">
        <f>COUNTIFS(Links!B:B,"ICSE",Links!C:C,A355,Links!AD:AD,1)</f>
        <v>0</v>
      </c>
      <c r="AC355" s="55" t="s">
        <v>36</v>
      </c>
      <c r="AD355" s="47" t="str">
        <f t="shared" si="5"/>
        <v>No</v>
      </c>
      <c r="AE355" s="56" t="s">
        <v>36</v>
      </c>
      <c r="AF355" s="57" t="s">
        <v>42</v>
      </c>
      <c r="AG355" s="57" t="s">
        <v>42</v>
      </c>
      <c r="AH355" s="57" t="s">
        <v>42</v>
      </c>
      <c r="AI355" s="49" t="str">
        <f t="shared" si="6"/>
        <v>----</v>
      </c>
      <c r="AJ355" s="58" t="str">
        <f t="shared" si="7"/>
        <v>Paper has no link and no statement</v>
      </c>
      <c r="AK355" s="59">
        <v>45033.0</v>
      </c>
      <c r="AL355" s="43" t="s">
        <v>43</v>
      </c>
      <c r="AM355" s="60" t="str">
        <f t="shared" si="8"/>
        <v>[IP1118]</v>
      </c>
    </row>
    <row r="356" ht="67.5" customHeight="1">
      <c r="A356" s="61">
        <v>1119.0</v>
      </c>
      <c r="B356" s="22" t="s">
        <v>936</v>
      </c>
      <c r="C356" s="23">
        <v>2018.0</v>
      </c>
      <c r="D356" s="24" t="s">
        <v>35</v>
      </c>
      <c r="E356" s="25" t="s">
        <v>36</v>
      </c>
      <c r="F356" s="25" t="s">
        <v>36</v>
      </c>
      <c r="G356" s="25" t="s">
        <v>36</v>
      </c>
      <c r="H356" s="25" t="s">
        <v>36</v>
      </c>
      <c r="I356" s="25" t="s">
        <v>36</v>
      </c>
      <c r="J356" s="26" t="s">
        <v>36</v>
      </c>
      <c r="K356" s="27" t="s">
        <v>37</v>
      </c>
      <c r="L356" s="28" t="s">
        <v>35</v>
      </c>
      <c r="M356" s="28" t="s">
        <v>37</v>
      </c>
      <c r="N356" s="28" t="s">
        <v>35</v>
      </c>
      <c r="O356" s="28" t="s">
        <v>35</v>
      </c>
      <c r="P356" s="28" t="s">
        <v>35</v>
      </c>
      <c r="Q356" s="28" t="s">
        <v>35</v>
      </c>
      <c r="R356" s="28" t="s">
        <v>37</v>
      </c>
      <c r="S356" s="29" t="s">
        <v>937</v>
      </c>
      <c r="T356" s="30" t="s">
        <v>938</v>
      </c>
      <c r="U356" s="31" t="s">
        <v>938</v>
      </c>
      <c r="V356" s="32">
        <f t="shared" ref="V356:X356" si="361">IF(lenb(SUBSTITUTE($Z356,V$1&amp;" (1)",""))&lt;lenb($Z356),1,IF(lenb(SUBSTITUTE($Z356,V$1&amp;" (2)",""))&lt;lenb($Z356),2,IF(lenb(SUBSTITUTE($Z356,V$1&amp;" (3)",""))&lt;lenb($Z356),3,IF(lenb(SUBSTITUTE($Z356,V$1&amp;" (4)",""))&lt;lenb($Z356),4,IF(lenb(SUBSTITUTE($Z356,V$1&amp;" (5)",""))&lt;lenb($Z356),5,IF(lenb(SUBSTITUTE($Z356,V$1&amp;" (6)",""))&lt;lenb($Z356),6,IF(lenb(SUBSTITUTE($Z356,V$1&amp;" (7)",""))&lt;lenb($Z356),1,IF(lenb(SUBSTITUTE($Z356,V$1&amp;" (8)",""))&lt;lenb($Z356),8,IF(lenb(SUBSTITUTE($Z356,V$1&amp;" (9)",""))&lt;lenb($Z356),9,IF(lenb(SUBSTITUTE($Z356,V$1&amp;" (10)",""))&lt;lenb($Z356),10,IF(lenb(SUBSTITUTE($Z356,V$1,""))&lt;lenb($Z356),"ERROR",IF($Z356=$Y$1,"-",0))))))))))))</f>
        <v>0</v>
      </c>
      <c r="W356" s="32">
        <f t="shared" si="361"/>
        <v>1</v>
      </c>
      <c r="X356" s="32">
        <f t="shared" si="361"/>
        <v>0</v>
      </c>
      <c r="Y356" s="32" t="str">
        <f t="shared" si="3"/>
        <v>-</v>
      </c>
      <c r="Z356" s="32" t="s">
        <v>47</v>
      </c>
      <c r="AA356" s="33">
        <f t="shared" si="4"/>
        <v>1</v>
      </c>
      <c r="AB356" s="34">
        <f>COUNTIFS(Links!B:B,"ICSE",Links!C:C,A356,Links!AD:AD,1)</f>
        <v>0</v>
      </c>
      <c r="AC356" s="35" t="s">
        <v>35</v>
      </c>
      <c r="AD356" s="27" t="str">
        <f t="shared" si="5"/>
        <v>No</v>
      </c>
      <c r="AE356" s="36" t="s">
        <v>36</v>
      </c>
      <c r="AF356" s="37" t="s">
        <v>42</v>
      </c>
      <c r="AG356" s="37" t="s">
        <v>42</v>
      </c>
      <c r="AH356" s="37" t="s">
        <v>42</v>
      </c>
      <c r="AI356" s="29" t="str">
        <f t="shared" si="6"/>
        <v>----</v>
      </c>
      <c r="AJ356" s="38" t="str">
        <f t="shared" si="7"/>
        <v>Paper has link but no statement</v>
      </c>
      <c r="AK356" s="39">
        <v>45033.0</v>
      </c>
      <c r="AL356" s="23" t="s">
        <v>43</v>
      </c>
      <c r="AM356" s="40" t="str">
        <f t="shared" si="8"/>
        <v>[IP1119]</v>
      </c>
    </row>
    <row r="357" ht="67.5" customHeight="1">
      <c r="A357" s="41">
        <v>1120.0</v>
      </c>
      <c r="B357" s="42" t="s">
        <v>939</v>
      </c>
      <c r="C357" s="43">
        <v>2018.0</v>
      </c>
      <c r="D357" s="44" t="s">
        <v>35</v>
      </c>
      <c r="E357" s="45" t="s">
        <v>36</v>
      </c>
      <c r="F357" s="45" t="s">
        <v>36</v>
      </c>
      <c r="G357" s="45" t="s">
        <v>36</v>
      </c>
      <c r="H357" s="45" t="s">
        <v>36</v>
      </c>
      <c r="I357" s="45" t="s">
        <v>36</v>
      </c>
      <c r="J357" s="46" t="s">
        <v>36</v>
      </c>
      <c r="K357" s="47" t="s">
        <v>37</v>
      </c>
      <c r="L357" s="48" t="s">
        <v>37</v>
      </c>
      <c r="M357" s="48" t="s">
        <v>35</v>
      </c>
      <c r="N357" s="48" t="s">
        <v>37</v>
      </c>
      <c r="O357" s="48" t="s">
        <v>35</v>
      </c>
      <c r="P357" s="48" t="s">
        <v>35</v>
      </c>
      <c r="Q357" s="48" t="s">
        <v>35</v>
      </c>
      <c r="R357" s="48" t="s">
        <v>35</v>
      </c>
      <c r="S357" s="49" t="s">
        <v>940</v>
      </c>
      <c r="T357" s="50" t="s">
        <v>941</v>
      </c>
      <c r="U357" s="51" t="s">
        <v>941</v>
      </c>
      <c r="V357" s="52">
        <f t="shared" ref="V357:X357" si="362">IF(lenb(SUBSTITUTE($Z357,V$1&amp;" (1)",""))&lt;lenb($Z357),1,IF(lenb(SUBSTITUTE($Z357,V$1&amp;" (2)",""))&lt;lenb($Z357),2,IF(lenb(SUBSTITUTE($Z357,V$1&amp;" (3)",""))&lt;lenb($Z357),3,IF(lenb(SUBSTITUTE($Z357,V$1&amp;" (4)",""))&lt;lenb($Z357),4,IF(lenb(SUBSTITUTE($Z357,V$1&amp;" (5)",""))&lt;lenb($Z357),5,IF(lenb(SUBSTITUTE($Z357,V$1&amp;" (6)",""))&lt;lenb($Z357),6,IF(lenb(SUBSTITUTE($Z357,V$1&amp;" (7)",""))&lt;lenb($Z357),1,IF(lenb(SUBSTITUTE($Z357,V$1&amp;" (8)",""))&lt;lenb($Z357),8,IF(lenb(SUBSTITUTE($Z357,V$1&amp;" (9)",""))&lt;lenb($Z357),9,IF(lenb(SUBSTITUTE($Z357,V$1&amp;" (10)",""))&lt;lenb($Z357),10,IF(lenb(SUBSTITUTE($Z357,V$1,""))&lt;lenb($Z357),"ERROR",IF($Z357=$Y$1,"-",0))))))))))))</f>
        <v>1</v>
      </c>
      <c r="W357" s="52">
        <f t="shared" si="362"/>
        <v>0</v>
      </c>
      <c r="X357" s="52">
        <f t="shared" si="362"/>
        <v>0</v>
      </c>
      <c r="Y357" s="52" t="str">
        <f t="shared" si="3"/>
        <v>-</v>
      </c>
      <c r="Z357" s="52" t="s">
        <v>62</v>
      </c>
      <c r="AA357" s="53">
        <f t="shared" si="4"/>
        <v>1</v>
      </c>
      <c r="AB357" s="54">
        <f>COUNTIFS(Links!B:B,"ICSE",Links!C:C,A357,Links!AD:AD,1)</f>
        <v>0</v>
      </c>
      <c r="AC357" s="55" t="s">
        <v>35</v>
      </c>
      <c r="AD357" s="47" t="str">
        <f t="shared" si="5"/>
        <v>No</v>
      </c>
      <c r="AE357" s="56" t="s">
        <v>36</v>
      </c>
      <c r="AF357" s="57" t="s">
        <v>42</v>
      </c>
      <c r="AG357" s="57" t="s">
        <v>42</v>
      </c>
      <c r="AH357" s="57" t="s">
        <v>42</v>
      </c>
      <c r="AI357" s="49" t="str">
        <f t="shared" si="6"/>
        <v>----</v>
      </c>
      <c r="AJ357" s="58" t="str">
        <f t="shared" si="7"/>
        <v>Paper has link but no statement</v>
      </c>
      <c r="AK357" s="59">
        <v>45033.0</v>
      </c>
      <c r="AL357" s="43" t="s">
        <v>43</v>
      </c>
      <c r="AM357" s="60" t="str">
        <f t="shared" si="8"/>
        <v>[IP1120]</v>
      </c>
    </row>
    <row r="358" ht="67.5" customHeight="1">
      <c r="A358" s="61">
        <v>1122.0</v>
      </c>
      <c r="B358" s="22" t="s">
        <v>942</v>
      </c>
      <c r="C358" s="23">
        <v>2018.0</v>
      </c>
      <c r="D358" s="24" t="s">
        <v>35</v>
      </c>
      <c r="E358" s="25" t="s">
        <v>36</v>
      </c>
      <c r="F358" s="25" t="s">
        <v>36</v>
      </c>
      <c r="G358" s="25" t="s">
        <v>36</v>
      </c>
      <c r="H358" s="25" t="s">
        <v>36</v>
      </c>
      <c r="I358" s="25" t="s">
        <v>36</v>
      </c>
      <c r="J358" s="26" t="s">
        <v>36</v>
      </c>
      <c r="K358" s="27" t="s">
        <v>35</v>
      </c>
      <c r="L358" s="28" t="s">
        <v>36</v>
      </c>
      <c r="M358" s="28" t="s">
        <v>36</v>
      </c>
      <c r="N358" s="28" t="s">
        <v>36</v>
      </c>
      <c r="O358" s="28" t="s">
        <v>36</v>
      </c>
      <c r="P358" s="28" t="s">
        <v>36</v>
      </c>
      <c r="Q358" s="28" t="s">
        <v>36</v>
      </c>
      <c r="R358" s="28" t="s">
        <v>36</v>
      </c>
      <c r="S358" s="29" t="s">
        <v>36</v>
      </c>
      <c r="T358" s="30" t="s">
        <v>36</v>
      </c>
      <c r="U358" s="31" t="s">
        <v>36</v>
      </c>
      <c r="V358" s="32" t="str">
        <f t="shared" ref="V358:X358" si="363">IF(lenb(SUBSTITUTE($Z358,V$1&amp;" (1)",""))&lt;lenb($Z358),1,IF(lenb(SUBSTITUTE($Z358,V$1&amp;" (2)",""))&lt;lenb($Z358),2,IF(lenb(SUBSTITUTE($Z358,V$1&amp;" (3)",""))&lt;lenb($Z358),3,IF(lenb(SUBSTITUTE($Z358,V$1&amp;" (4)",""))&lt;lenb($Z358),4,IF(lenb(SUBSTITUTE($Z358,V$1&amp;" (5)",""))&lt;lenb($Z358),5,IF(lenb(SUBSTITUTE($Z358,V$1&amp;" (6)",""))&lt;lenb($Z358),6,IF(lenb(SUBSTITUTE($Z358,V$1&amp;" (7)",""))&lt;lenb($Z358),1,IF(lenb(SUBSTITUTE($Z358,V$1&amp;" (8)",""))&lt;lenb($Z358),8,IF(lenb(SUBSTITUTE($Z358,V$1&amp;" (9)",""))&lt;lenb($Z358),9,IF(lenb(SUBSTITUTE($Z358,V$1&amp;" (10)",""))&lt;lenb($Z358),10,IF(lenb(SUBSTITUTE($Z358,V$1,""))&lt;lenb($Z358),"ERROR",IF($Z358=$Y$1,"-",0))))))))))))</f>
        <v>-</v>
      </c>
      <c r="W358" s="32" t="str">
        <f t="shared" si="363"/>
        <v>-</v>
      </c>
      <c r="X358" s="32" t="str">
        <f t="shared" si="363"/>
        <v>-</v>
      </c>
      <c r="Y358" s="32">
        <f t="shared" si="3"/>
        <v>1</v>
      </c>
      <c r="Z358" s="32" t="s">
        <v>23</v>
      </c>
      <c r="AA358" s="33">
        <f t="shared" si="4"/>
        <v>0</v>
      </c>
      <c r="AB358" s="34">
        <f>COUNTIFS(Links!B:B,"ICSE",Links!C:C,A358,Links!AD:AD,1)</f>
        <v>0</v>
      </c>
      <c r="AC358" s="35" t="s">
        <v>36</v>
      </c>
      <c r="AD358" s="27" t="str">
        <f t="shared" si="5"/>
        <v>No</v>
      </c>
      <c r="AE358" s="36" t="s">
        <v>36</v>
      </c>
      <c r="AF358" s="37" t="s">
        <v>42</v>
      </c>
      <c r="AG358" s="37" t="s">
        <v>42</v>
      </c>
      <c r="AH358" s="37" t="s">
        <v>42</v>
      </c>
      <c r="AI358" s="29" t="str">
        <f t="shared" si="6"/>
        <v>----</v>
      </c>
      <c r="AJ358" s="38" t="str">
        <f t="shared" si="7"/>
        <v>Paper has no link and no statement</v>
      </c>
      <c r="AK358" s="39">
        <v>45033.0</v>
      </c>
      <c r="AL358" s="23" t="s">
        <v>43</v>
      </c>
      <c r="AM358" s="40" t="str">
        <f t="shared" si="8"/>
        <v>[IP1122]</v>
      </c>
    </row>
    <row r="359" ht="67.5" customHeight="1">
      <c r="A359" s="41">
        <v>1123.0</v>
      </c>
      <c r="B359" s="42" t="s">
        <v>943</v>
      </c>
      <c r="C359" s="43">
        <v>2018.0</v>
      </c>
      <c r="D359" s="44" t="s">
        <v>35</v>
      </c>
      <c r="E359" s="45" t="s">
        <v>36</v>
      </c>
      <c r="F359" s="45" t="s">
        <v>36</v>
      </c>
      <c r="G359" s="45" t="s">
        <v>36</v>
      </c>
      <c r="H359" s="45" t="s">
        <v>36</v>
      </c>
      <c r="I359" s="45" t="s">
        <v>36</v>
      </c>
      <c r="J359" s="46" t="s">
        <v>36</v>
      </c>
      <c r="K359" s="47" t="s">
        <v>37</v>
      </c>
      <c r="L359" s="48" t="s">
        <v>35</v>
      </c>
      <c r="M359" s="48" t="s">
        <v>35</v>
      </c>
      <c r="N359" s="48" t="s">
        <v>37</v>
      </c>
      <c r="O359" s="48" t="s">
        <v>35</v>
      </c>
      <c r="P359" s="48" t="s">
        <v>35</v>
      </c>
      <c r="Q359" s="48" t="s">
        <v>35</v>
      </c>
      <c r="R359" s="48" t="s">
        <v>35</v>
      </c>
      <c r="S359" s="49" t="s">
        <v>944</v>
      </c>
      <c r="T359" s="50" t="s">
        <v>945</v>
      </c>
      <c r="U359" s="51" t="s">
        <v>945</v>
      </c>
      <c r="V359" s="52">
        <f t="shared" ref="V359:X359" si="364">IF(lenb(SUBSTITUTE($Z359,V$1&amp;" (1)",""))&lt;lenb($Z359),1,IF(lenb(SUBSTITUTE($Z359,V$1&amp;" (2)",""))&lt;lenb($Z359),2,IF(lenb(SUBSTITUTE($Z359,V$1&amp;" (3)",""))&lt;lenb($Z359),3,IF(lenb(SUBSTITUTE($Z359,V$1&amp;" (4)",""))&lt;lenb($Z359),4,IF(lenb(SUBSTITUTE($Z359,V$1&amp;" (5)",""))&lt;lenb($Z359),5,IF(lenb(SUBSTITUTE($Z359,V$1&amp;" (6)",""))&lt;lenb($Z359),6,IF(lenb(SUBSTITUTE($Z359,V$1&amp;" (7)",""))&lt;lenb($Z359),1,IF(lenb(SUBSTITUTE($Z359,V$1&amp;" (8)",""))&lt;lenb($Z359),8,IF(lenb(SUBSTITUTE($Z359,V$1&amp;" (9)",""))&lt;lenb($Z359),9,IF(lenb(SUBSTITUTE($Z359,V$1&amp;" (10)",""))&lt;lenb($Z359),10,IF(lenb(SUBSTITUTE($Z359,V$1,""))&lt;lenb($Z359),"ERROR",IF($Z359=$Y$1,"-",0))))))))))))</f>
        <v>1</v>
      </c>
      <c r="W359" s="52">
        <f t="shared" si="364"/>
        <v>0</v>
      </c>
      <c r="X359" s="52">
        <f t="shared" si="364"/>
        <v>0</v>
      </c>
      <c r="Y359" s="52" t="str">
        <f t="shared" si="3"/>
        <v>-</v>
      </c>
      <c r="Z359" s="52" t="s">
        <v>62</v>
      </c>
      <c r="AA359" s="53">
        <f t="shared" si="4"/>
        <v>1</v>
      </c>
      <c r="AB359" s="54">
        <f>COUNTIFS(Links!B:B,"ICSE",Links!C:C,A359,Links!AD:AD,1)</f>
        <v>0</v>
      </c>
      <c r="AC359" s="55" t="s">
        <v>35</v>
      </c>
      <c r="AD359" s="47" t="str">
        <f t="shared" si="5"/>
        <v>No</v>
      </c>
      <c r="AE359" s="56" t="s">
        <v>36</v>
      </c>
      <c r="AF359" s="57" t="s">
        <v>42</v>
      </c>
      <c r="AG359" s="57" t="s">
        <v>42</v>
      </c>
      <c r="AH359" s="57" t="s">
        <v>42</v>
      </c>
      <c r="AI359" s="49" t="str">
        <f t="shared" si="6"/>
        <v>----</v>
      </c>
      <c r="AJ359" s="58" t="str">
        <f t="shared" si="7"/>
        <v>Paper has link but no statement</v>
      </c>
      <c r="AK359" s="59">
        <v>45033.0</v>
      </c>
      <c r="AL359" s="43" t="s">
        <v>43</v>
      </c>
      <c r="AM359" s="60" t="str">
        <f t="shared" si="8"/>
        <v>[IP1123]</v>
      </c>
    </row>
    <row r="360" ht="67.5" customHeight="1">
      <c r="A360" s="61">
        <v>1124.0</v>
      </c>
      <c r="B360" s="22" t="s">
        <v>946</v>
      </c>
      <c r="C360" s="23">
        <v>2018.0</v>
      </c>
      <c r="D360" s="24" t="s">
        <v>35</v>
      </c>
      <c r="E360" s="25" t="s">
        <v>36</v>
      </c>
      <c r="F360" s="25" t="s">
        <v>36</v>
      </c>
      <c r="G360" s="25" t="s">
        <v>36</v>
      </c>
      <c r="H360" s="25" t="s">
        <v>36</v>
      </c>
      <c r="I360" s="25" t="s">
        <v>36</v>
      </c>
      <c r="J360" s="26" t="s">
        <v>36</v>
      </c>
      <c r="K360" s="27" t="s">
        <v>37</v>
      </c>
      <c r="L360" s="28" t="s">
        <v>35</v>
      </c>
      <c r="M360" s="28" t="s">
        <v>35</v>
      </c>
      <c r="N360" s="28" t="s">
        <v>37</v>
      </c>
      <c r="O360" s="28" t="s">
        <v>35</v>
      </c>
      <c r="P360" s="28" t="s">
        <v>35</v>
      </c>
      <c r="Q360" s="28" t="s">
        <v>35</v>
      </c>
      <c r="R360" s="28" t="s">
        <v>35</v>
      </c>
      <c r="S360" s="29" t="s">
        <v>944</v>
      </c>
      <c r="T360" s="31" t="s">
        <v>947</v>
      </c>
      <c r="U360" s="31" t="s">
        <v>948</v>
      </c>
      <c r="V360" s="32">
        <f t="shared" ref="V360:X360" si="365">IF(lenb(SUBSTITUTE($Z360,V$1&amp;" (1)",""))&lt;lenb($Z360),1,IF(lenb(SUBSTITUTE($Z360,V$1&amp;" (2)",""))&lt;lenb($Z360),2,IF(lenb(SUBSTITUTE($Z360,V$1&amp;" (3)",""))&lt;lenb($Z360),3,IF(lenb(SUBSTITUTE($Z360,V$1&amp;" (4)",""))&lt;lenb($Z360),4,IF(lenb(SUBSTITUTE($Z360,V$1&amp;" (5)",""))&lt;lenb($Z360),5,IF(lenb(SUBSTITUTE($Z360,V$1&amp;" (6)",""))&lt;lenb($Z360),6,IF(lenb(SUBSTITUTE($Z360,V$1&amp;" (7)",""))&lt;lenb($Z360),1,IF(lenb(SUBSTITUTE($Z360,V$1&amp;" (8)",""))&lt;lenb($Z360),8,IF(lenb(SUBSTITUTE($Z360,V$1&amp;" (9)",""))&lt;lenb($Z360),9,IF(lenb(SUBSTITUTE($Z360,V$1&amp;" (10)",""))&lt;lenb($Z360),10,IF(lenb(SUBSTITUTE($Z360,V$1,""))&lt;lenb($Z360),"ERROR",IF($Z360=$Y$1,"-",0))))))))))))</f>
        <v>0</v>
      </c>
      <c r="W360" s="32">
        <f t="shared" si="365"/>
        <v>1</v>
      </c>
      <c r="X360" s="32">
        <f t="shared" si="365"/>
        <v>0</v>
      </c>
      <c r="Y360" s="32" t="str">
        <f t="shared" si="3"/>
        <v>-</v>
      </c>
      <c r="Z360" s="32" t="s">
        <v>47</v>
      </c>
      <c r="AA360" s="33">
        <f t="shared" si="4"/>
        <v>1</v>
      </c>
      <c r="AB360" s="34">
        <f>COUNTIFS(Links!B:B,"ICSE",Links!C:C,A360,Links!AD:AD,1)</f>
        <v>0</v>
      </c>
      <c r="AC360" s="35" t="s">
        <v>35</v>
      </c>
      <c r="AD360" s="27" t="str">
        <f t="shared" si="5"/>
        <v>No</v>
      </c>
      <c r="AE360" s="36" t="s">
        <v>36</v>
      </c>
      <c r="AF360" s="37" t="s">
        <v>42</v>
      </c>
      <c r="AG360" s="37" t="s">
        <v>42</v>
      </c>
      <c r="AH360" s="37" t="s">
        <v>42</v>
      </c>
      <c r="AI360" s="29" t="str">
        <f t="shared" si="6"/>
        <v>----</v>
      </c>
      <c r="AJ360" s="38" t="str">
        <f t="shared" si="7"/>
        <v>Paper has link but no statement</v>
      </c>
      <c r="AK360" s="39">
        <v>45033.0</v>
      </c>
      <c r="AL360" s="23" t="s">
        <v>43</v>
      </c>
      <c r="AM360" s="40" t="str">
        <f t="shared" si="8"/>
        <v>[IP1124]</v>
      </c>
    </row>
    <row r="361" ht="67.5" customHeight="1">
      <c r="A361" s="41">
        <v>1126.0</v>
      </c>
      <c r="B361" s="42" t="s">
        <v>949</v>
      </c>
      <c r="C361" s="43">
        <v>2018.0</v>
      </c>
      <c r="D361" s="44" t="s">
        <v>35</v>
      </c>
      <c r="E361" s="45" t="s">
        <v>36</v>
      </c>
      <c r="F361" s="45" t="s">
        <v>36</v>
      </c>
      <c r="G361" s="45" t="s">
        <v>36</v>
      </c>
      <c r="H361" s="45" t="s">
        <v>36</v>
      </c>
      <c r="I361" s="45" t="s">
        <v>36</v>
      </c>
      <c r="J361" s="46" t="s">
        <v>36</v>
      </c>
      <c r="K361" s="47" t="s">
        <v>37</v>
      </c>
      <c r="L361" s="48" t="s">
        <v>35</v>
      </c>
      <c r="M361" s="48" t="s">
        <v>37</v>
      </c>
      <c r="N361" s="48" t="s">
        <v>37</v>
      </c>
      <c r="O361" s="48" t="s">
        <v>35</v>
      </c>
      <c r="P361" s="48" t="s">
        <v>35</v>
      </c>
      <c r="Q361" s="48" t="s">
        <v>35</v>
      </c>
      <c r="R361" s="48" t="s">
        <v>37</v>
      </c>
      <c r="S361" s="49" t="s">
        <v>950</v>
      </c>
      <c r="T361" s="50" t="s">
        <v>951</v>
      </c>
      <c r="U361" s="51" t="s">
        <v>951</v>
      </c>
      <c r="V361" s="52">
        <f t="shared" ref="V361:X361" si="366">IF(lenb(SUBSTITUTE($Z361,V$1&amp;" (1)",""))&lt;lenb($Z361),1,IF(lenb(SUBSTITUTE($Z361,V$1&amp;" (2)",""))&lt;lenb($Z361),2,IF(lenb(SUBSTITUTE($Z361,V$1&amp;" (3)",""))&lt;lenb($Z361),3,IF(lenb(SUBSTITUTE($Z361,V$1&amp;" (4)",""))&lt;lenb($Z361),4,IF(lenb(SUBSTITUTE($Z361,V$1&amp;" (5)",""))&lt;lenb($Z361),5,IF(lenb(SUBSTITUTE($Z361,V$1&amp;" (6)",""))&lt;lenb($Z361),6,IF(lenb(SUBSTITUTE($Z361,V$1&amp;" (7)",""))&lt;lenb($Z361),1,IF(lenb(SUBSTITUTE($Z361,V$1&amp;" (8)",""))&lt;lenb($Z361),8,IF(lenb(SUBSTITUTE($Z361,V$1&amp;" (9)",""))&lt;lenb($Z361),9,IF(lenb(SUBSTITUTE($Z361,V$1&amp;" (10)",""))&lt;lenb($Z361),10,IF(lenb(SUBSTITUTE($Z361,V$1,""))&lt;lenb($Z361),"ERROR",IF($Z361=$Y$1,"-",0))))))))))))</f>
        <v>1</v>
      </c>
      <c r="W361" s="52">
        <f t="shared" si="366"/>
        <v>0</v>
      </c>
      <c r="X361" s="52">
        <f t="shared" si="366"/>
        <v>0</v>
      </c>
      <c r="Y361" s="52" t="str">
        <f t="shared" si="3"/>
        <v>-</v>
      </c>
      <c r="Z361" s="52" t="s">
        <v>62</v>
      </c>
      <c r="AA361" s="53">
        <f t="shared" si="4"/>
        <v>1</v>
      </c>
      <c r="AB361" s="54">
        <f>COUNTIFS(Links!B:B,"ICSE",Links!C:C,A361,Links!AD:AD,1)</f>
        <v>0</v>
      </c>
      <c r="AC361" s="55" t="s">
        <v>35</v>
      </c>
      <c r="AD361" s="47" t="str">
        <f t="shared" si="5"/>
        <v>No</v>
      </c>
      <c r="AE361" s="56" t="s">
        <v>36</v>
      </c>
      <c r="AF361" s="57" t="s">
        <v>42</v>
      </c>
      <c r="AG361" s="57" t="s">
        <v>42</v>
      </c>
      <c r="AH361" s="57" t="s">
        <v>42</v>
      </c>
      <c r="AI361" s="49" t="str">
        <f t="shared" si="6"/>
        <v>----</v>
      </c>
      <c r="AJ361" s="58" t="str">
        <f t="shared" si="7"/>
        <v>Paper has link but no statement</v>
      </c>
      <c r="AK361" s="59">
        <v>45033.0</v>
      </c>
      <c r="AL361" s="43" t="s">
        <v>43</v>
      </c>
      <c r="AM361" s="60" t="str">
        <f t="shared" si="8"/>
        <v>[IP1126]</v>
      </c>
    </row>
    <row r="362" ht="67.5" customHeight="1">
      <c r="A362" s="61">
        <v>1127.0</v>
      </c>
      <c r="B362" s="22" t="s">
        <v>952</v>
      </c>
      <c r="C362" s="23">
        <v>2018.0</v>
      </c>
      <c r="D362" s="24" t="s">
        <v>35</v>
      </c>
      <c r="E362" s="25" t="s">
        <v>36</v>
      </c>
      <c r="F362" s="25" t="s">
        <v>36</v>
      </c>
      <c r="G362" s="25" t="s">
        <v>36</v>
      </c>
      <c r="H362" s="25" t="s">
        <v>36</v>
      </c>
      <c r="I362" s="25" t="s">
        <v>36</v>
      </c>
      <c r="J362" s="26" t="s">
        <v>36</v>
      </c>
      <c r="K362" s="27" t="s">
        <v>37</v>
      </c>
      <c r="L362" s="28" t="s">
        <v>37</v>
      </c>
      <c r="M362" s="28" t="s">
        <v>35</v>
      </c>
      <c r="N362" s="28" t="s">
        <v>37</v>
      </c>
      <c r="O362" s="28" t="s">
        <v>35</v>
      </c>
      <c r="P362" s="28" t="s">
        <v>35</v>
      </c>
      <c r="Q362" s="28" t="s">
        <v>35</v>
      </c>
      <c r="R362" s="28" t="s">
        <v>35</v>
      </c>
      <c r="S362" s="29" t="s">
        <v>953</v>
      </c>
      <c r="T362" s="30" t="s">
        <v>954</v>
      </c>
      <c r="U362" s="31" t="s">
        <v>954</v>
      </c>
      <c r="V362" s="32">
        <f t="shared" ref="V362:X362" si="367">IF(lenb(SUBSTITUTE($Z362,V$1&amp;" (1)",""))&lt;lenb($Z362),1,IF(lenb(SUBSTITUTE($Z362,V$1&amp;" (2)",""))&lt;lenb($Z362),2,IF(lenb(SUBSTITUTE($Z362,V$1&amp;" (3)",""))&lt;lenb($Z362),3,IF(lenb(SUBSTITUTE($Z362,V$1&amp;" (4)",""))&lt;lenb($Z362),4,IF(lenb(SUBSTITUTE($Z362,V$1&amp;" (5)",""))&lt;lenb($Z362),5,IF(lenb(SUBSTITUTE($Z362,V$1&amp;" (6)",""))&lt;lenb($Z362),6,IF(lenb(SUBSTITUTE($Z362,V$1&amp;" (7)",""))&lt;lenb($Z362),1,IF(lenb(SUBSTITUTE($Z362,V$1&amp;" (8)",""))&lt;lenb($Z362),8,IF(lenb(SUBSTITUTE($Z362,V$1&amp;" (9)",""))&lt;lenb($Z362),9,IF(lenb(SUBSTITUTE($Z362,V$1&amp;" (10)",""))&lt;lenb($Z362),10,IF(lenb(SUBSTITUTE($Z362,V$1,""))&lt;lenb($Z362),"ERROR",IF($Z362=$Y$1,"-",0))))))))))))</f>
        <v>2</v>
      </c>
      <c r="W362" s="32">
        <f t="shared" si="367"/>
        <v>0</v>
      </c>
      <c r="X362" s="32">
        <f t="shared" si="367"/>
        <v>0</v>
      </c>
      <c r="Y362" s="32" t="str">
        <f t="shared" si="3"/>
        <v>-</v>
      </c>
      <c r="Z362" s="32" t="s">
        <v>57</v>
      </c>
      <c r="AA362" s="33">
        <f t="shared" si="4"/>
        <v>2</v>
      </c>
      <c r="AB362" s="34">
        <f>COUNTIFS(Links!B:B,"ICSE",Links!C:C,A362,Links!AD:AD,1)</f>
        <v>0</v>
      </c>
      <c r="AC362" s="35" t="s">
        <v>35</v>
      </c>
      <c r="AD362" s="27" t="str">
        <f t="shared" si="5"/>
        <v>No</v>
      </c>
      <c r="AE362" s="36" t="s">
        <v>36</v>
      </c>
      <c r="AF362" s="37" t="s">
        <v>42</v>
      </c>
      <c r="AG362" s="37" t="s">
        <v>42</v>
      </c>
      <c r="AH362" s="37" t="s">
        <v>42</v>
      </c>
      <c r="AI362" s="29" t="str">
        <f t="shared" si="6"/>
        <v>----</v>
      </c>
      <c r="AJ362" s="38" t="str">
        <f t="shared" si="7"/>
        <v>Paper has link but no statement</v>
      </c>
      <c r="AK362" s="39">
        <v>45033.0</v>
      </c>
      <c r="AL362" s="23" t="s">
        <v>43</v>
      </c>
      <c r="AM362" s="40" t="str">
        <f t="shared" si="8"/>
        <v>[IP1127]</v>
      </c>
    </row>
    <row r="363" ht="67.5" customHeight="1">
      <c r="A363" s="41">
        <v>1128.0</v>
      </c>
      <c r="B363" s="42" t="s">
        <v>955</v>
      </c>
      <c r="C363" s="43">
        <v>2018.0</v>
      </c>
      <c r="D363" s="44" t="s">
        <v>35</v>
      </c>
      <c r="E363" s="45" t="s">
        <v>36</v>
      </c>
      <c r="F363" s="45" t="s">
        <v>36</v>
      </c>
      <c r="G363" s="45" t="s">
        <v>36</v>
      </c>
      <c r="H363" s="45" t="s">
        <v>36</v>
      </c>
      <c r="I363" s="45" t="s">
        <v>36</v>
      </c>
      <c r="J363" s="46" t="s">
        <v>36</v>
      </c>
      <c r="K363" s="47" t="s">
        <v>35</v>
      </c>
      <c r="L363" s="48" t="s">
        <v>36</v>
      </c>
      <c r="M363" s="48" t="s">
        <v>36</v>
      </c>
      <c r="N363" s="48" t="s">
        <v>36</v>
      </c>
      <c r="O363" s="48" t="s">
        <v>36</v>
      </c>
      <c r="P363" s="48" t="s">
        <v>36</v>
      </c>
      <c r="Q363" s="48" t="s">
        <v>36</v>
      </c>
      <c r="R363" s="48" t="s">
        <v>36</v>
      </c>
      <c r="S363" s="49" t="s">
        <v>36</v>
      </c>
      <c r="T363" s="50" t="s">
        <v>36</v>
      </c>
      <c r="U363" s="51" t="s">
        <v>36</v>
      </c>
      <c r="V363" s="52" t="str">
        <f t="shared" ref="V363:X363" si="368">IF(lenb(SUBSTITUTE($Z363,V$1&amp;" (1)",""))&lt;lenb($Z363),1,IF(lenb(SUBSTITUTE($Z363,V$1&amp;" (2)",""))&lt;lenb($Z363),2,IF(lenb(SUBSTITUTE($Z363,V$1&amp;" (3)",""))&lt;lenb($Z363),3,IF(lenb(SUBSTITUTE($Z363,V$1&amp;" (4)",""))&lt;lenb($Z363),4,IF(lenb(SUBSTITUTE($Z363,V$1&amp;" (5)",""))&lt;lenb($Z363),5,IF(lenb(SUBSTITUTE($Z363,V$1&amp;" (6)",""))&lt;lenb($Z363),6,IF(lenb(SUBSTITUTE($Z363,V$1&amp;" (7)",""))&lt;lenb($Z363),1,IF(lenb(SUBSTITUTE($Z363,V$1&amp;" (8)",""))&lt;lenb($Z363),8,IF(lenb(SUBSTITUTE($Z363,V$1&amp;" (9)",""))&lt;lenb($Z363),9,IF(lenb(SUBSTITUTE($Z363,V$1&amp;" (10)",""))&lt;lenb($Z363),10,IF(lenb(SUBSTITUTE($Z363,V$1,""))&lt;lenb($Z363),"ERROR",IF($Z363=$Y$1,"-",0))))))))))))</f>
        <v>-</v>
      </c>
      <c r="W363" s="52" t="str">
        <f t="shared" si="368"/>
        <v>-</v>
      </c>
      <c r="X363" s="52" t="str">
        <f t="shared" si="368"/>
        <v>-</v>
      </c>
      <c r="Y363" s="52">
        <f t="shared" si="3"/>
        <v>1</v>
      </c>
      <c r="Z363" s="52" t="s">
        <v>23</v>
      </c>
      <c r="AA363" s="53">
        <f t="shared" si="4"/>
        <v>0</v>
      </c>
      <c r="AB363" s="54">
        <f>COUNTIFS(Links!B:B,"ICSE",Links!C:C,A363,Links!AD:AD,1)</f>
        <v>0</v>
      </c>
      <c r="AC363" s="55" t="s">
        <v>36</v>
      </c>
      <c r="AD363" s="47" t="str">
        <f t="shared" si="5"/>
        <v>No</v>
      </c>
      <c r="AE363" s="56" t="s">
        <v>36</v>
      </c>
      <c r="AF363" s="57" t="s">
        <v>42</v>
      </c>
      <c r="AG363" s="57" t="s">
        <v>42</v>
      </c>
      <c r="AH363" s="57" t="s">
        <v>42</v>
      </c>
      <c r="AI363" s="49" t="str">
        <f t="shared" si="6"/>
        <v>----</v>
      </c>
      <c r="AJ363" s="58" t="str">
        <f t="shared" si="7"/>
        <v>Paper has no link and no statement</v>
      </c>
      <c r="AK363" s="59">
        <v>45033.0</v>
      </c>
      <c r="AL363" s="43" t="s">
        <v>43</v>
      </c>
      <c r="AM363" s="60" t="str">
        <f t="shared" si="8"/>
        <v>[IP1128]</v>
      </c>
    </row>
    <row r="364" ht="67.5" customHeight="1">
      <c r="A364" s="61">
        <v>1130.0</v>
      </c>
      <c r="B364" s="22" t="s">
        <v>956</v>
      </c>
      <c r="C364" s="23">
        <v>2018.0</v>
      </c>
      <c r="D364" s="24" t="s">
        <v>35</v>
      </c>
      <c r="E364" s="25" t="s">
        <v>36</v>
      </c>
      <c r="F364" s="25" t="s">
        <v>36</v>
      </c>
      <c r="G364" s="25" t="s">
        <v>36</v>
      </c>
      <c r="H364" s="25" t="s">
        <v>36</v>
      </c>
      <c r="I364" s="25" t="s">
        <v>36</v>
      </c>
      <c r="J364" s="26" t="s">
        <v>36</v>
      </c>
      <c r="K364" s="27" t="s">
        <v>35</v>
      </c>
      <c r="L364" s="28" t="s">
        <v>36</v>
      </c>
      <c r="M364" s="28" t="s">
        <v>36</v>
      </c>
      <c r="N364" s="28" t="s">
        <v>36</v>
      </c>
      <c r="O364" s="28" t="s">
        <v>36</v>
      </c>
      <c r="P364" s="28" t="s">
        <v>36</v>
      </c>
      <c r="Q364" s="28" t="s">
        <v>36</v>
      </c>
      <c r="R364" s="28" t="s">
        <v>36</v>
      </c>
      <c r="S364" s="29" t="s">
        <v>36</v>
      </c>
      <c r="T364" s="30" t="s">
        <v>36</v>
      </c>
      <c r="U364" s="31" t="s">
        <v>36</v>
      </c>
      <c r="V364" s="32" t="str">
        <f t="shared" ref="V364:X364" si="369">IF(lenb(SUBSTITUTE($Z364,V$1&amp;" (1)",""))&lt;lenb($Z364),1,IF(lenb(SUBSTITUTE($Z364,V$1&amp;" (2)",""))&lt;lenb($Z364),2,IF(lenb(SUBSTITUTE($Z364,V$1&amp;" (3)",""))&lt;lenb($Z364),3,IF(lenb(SUBSTITUTE($Z364,V$1&amp;" (4)",""))&lt;lenb($Z364),4,IF(lenb(SUBSTITUTE($Z364,V$1&amp;" (5)",""))&lt;lenb($Z364),5,IF(lenb(SUBSTITUTE($Z364,V$1&amp;" (6)",""))&lt;lenb($Z364),6,IF(lenb(SUBSTITUTE($Z364,V$1&amp;" (7)",""))&lt;lenb($Z364),1,IF(lenb(SUBSTITUTE($Z364,V$1&amp;" (8)",""))&lt;lenb($Z364),8,IF(lenb(SUBSTITUTE($Z364,V$1&amp;" (9)",""))&lt;lenb($Z364),9,IF(lenb(SUBSTITUTE($Z364,V$1&amp;" (10)",""))&lt;lenb($Z364),10,IF(lenb(SUBSTITUTE($Z364,V$1,""))&lt;lenb($Z364),"ERROR",IF($Z364=$Y$1,"-",0))))))))))))</f>
        <v>-</v>
      </c>
      <c r="W364" s="32" t="str">
        <f t="shared" si="369"/>
        <v>-</v>
      </c>
      <c r="X364" s="32" t="str">
        <f t="shared" si="369"/>
        <v>-</v>
      </c>
      <c r="Y364" s="32">
        <f t="shared" si="3"/>
        <v>1</v>
      </c>
      <c r="Z364" s="32" t="s">
        <v>23</v>
      </c>
      <c r="AA364" s="33">
        <f t="shared" si="4"/>
        <v>0</v>
      </c>
      <c r="AB364" s="34">
        <f>COUNTIFS(Links!B:B,"ICSE",Links!C:C,A364,Links!AD:AD,1)</f>
        <v>0</v>
      </c>
      <c r="AC364" s="35" t="s">
        <v>36</v>
      </c>
      <c r="AD364" s="27" t="str">
        <f t="shared" si="5"/>
        <v>No</v>
      </c>
      <c r="AE364" s="36" t="s">
        <v>36</v>
      </c>
      <c r="AF364" s="37" t="s">
        <v>42</v>
      </c>
      <c r="AG364" s="37" t="s">
        <v>42</v>
      </c>
      <c r="AH364" s="37" t="s">
        <v>42</v>
      </c>
      <c r="AI364" s="29" t="str">
        <f t="shared" si="6"/>
        <v>----</v>
      </c>
      <c r="AJ364" s="38" t="str">
        <f t="shared" si="7"/>
        <v>Paper has no link and no statement</v>
      </c>
      <c r="AK364" s="39">
        <v>45033.0</v>
      </c>
      <c r="AL364" s="23" t="s">
        <v>43</v>
      </c>
      <c r="AM364" s="40" t="str">
        <f t="shared" si="8"/>
        <v>[IP1130]</v>
      </c>
    </row>
    <row r="365" ht="67.5" customHeight="1">
      <c r="A365" s="41">
        <v>1131.0</v>
      </c>
      <c r="B365" s="42" t="s">
        <v>957</v>
      </c>
      <c r="C365" s="43">
        <v>2018.0</v>
      </c>
      <c r="D365" s="44" t="s">
        <v>35</v>
      </c>
      <c r="E365" s="45" t="s">
        <v>36</v>
      </c>
      <c r="F365" s="45" t="s">
        <v>36</v>
      </c>
      <c r="G365" s="45" t="s">
        <v>36</v>
      </c>
      <c r="H365" s="45" t="s">
        <v>36</v>
      </c>
      <c r="I365" s="45" t="s">
        <v>36</v>
      </c>
      <c r="J365" s="46" t="s">
        <v>36</v>
      </c>
      <c r="K365" s="47" t="s">
        <v>37</v>
      </c>
      <c r="L365" s="48" t="s">
        <v>35</v>
      </c>
      <c r="M365" s="48" t="s">
        <v>37</v>
      </c>
      <c r="N365" s="48" t="s">
        <v>35</v>
      </c>
      <c r="O365" s="48" t="s">
        <v>35</v>
      </c>
      <c r="P365" s="48" t="s">
        <v>35</v>
      </c>
      <c r="Q365" s="48" t="s">
        <v>35</v>
      </c>
      <c r="R365" s="48" t="s">
        <v>37</v>
      </c>
      <c r="S365" s="49" t="s">
        <v>958</v>
      </c>
      <c r="T365" s="50" t="s">
        <v>959</v>
      </c>
      <c r="U365" s="51" t="s">
        <v>959</v>
      </c>
      <c r="V365" s="52">
        <f t="shared" ref="V365:X365" si="370">IF(lenb(SUBSTITUTE($Z365,V$1&amp;" (1)",""))&lt;lenb($Z365),1,IF(lenb(SUBSTITUTE($Z365,V$1&amp;" (2)",""))&lt;lenb($Z365),2,IF(lenb(SUBSTITUTE($Z365,V$1&amp;" (3)",""))&lt;lenb($Z365),3,IF(lenb(SUBSTITUTE($Z365,V$1&amp;" (4)",""))&lt;lenb($Z365),4,IF(lenb(SUBSTITUTE($Z365,V$1&amp;" (5)",""))&lt;lenb($Z365),5,IF(lenb(SUBSTITUTE($Z365,V$1&amp;" (6)",""))&lt;lenb($Z365),6,IF(lenb(SUBSTITUTE($Z365,V$1&amp;" (7)",""))&lt;lenb($Z365),1,IF(lenb(SUBSTITUTE($Z365,V$1&amp;" (8)",""))&lt;lenb($Z365),8,IF(lenb(SUBSTITUTE($Z365,V$1&amp;" (9)",""))&lt;lenb($Z365),9,IF(lenb(SUBSTITUTE($Z365,V$1&amp;" (10)",""))&lt;lenb($Z365),10,IF(lenb(SUBSTITUTE($Z365,V$1,""))&lt;lenb($Z365),"ERROR",IF($Z365=$Y$1,"-",0))))))))))))</f>
        <v>1</v>
      </c>
      <c r="W365" s="52">
        <f t="shared" si="370"/>
        <v>0</v>
      </c>
      <c r="X365" s="52">
        <f t="shared" si="370"/>
        <v>0</v>
      </c>
      <c r="Y365" s="52" t="str">
        <f t="shared" si="3"/>
        <v>-</v>
      </c>
      <c r="Z365" s="52" t="s">
        <v>62</v>
      </c>
      <c r="AA365" s="53">
        <f t="shared" si="4"/>
        <v>1</v>
      </c>
      <c r="AB365" s="54">
        <f>COUNTIFS(Links!B:B,"ICSE",Links!C:C,A365,Links!AD:AD,1)</f>
        <v>0</v>
      </c>
      <c r="AC365" s="55" t="s">
        <v>35</v>
      </c>
      <c r="AD365" s="47" t="str">
        <f t="shared" si="5"/>
        <v>No</v>
      </c>
      <c r="AE365" s="56" t="s">
        <v>36</v>
      </c>
      <c r="AF365" s="57" t="s">
        <v>42</v>
      </c>
      <c r="AG365" s="57" t="s">
        <v>42</v>
      </c>
      <c r="AH365" s="57" t="s">
        <v>42</v>
      </c>
      <c r="AI365" s="49" t="str">
        <f t="shared" si="6"/>
        <v>----</v>
      </c>
      <c r="AJ365" s="58" t="str">
        <f t="shared" si="7"/>
        <v>Paper has link but no statement</v>
      </c>
      <c r="AK365" s="59">
        <v>45033.0</v>
      </c>
      <c r="AL365" s="43" t="s">
        <v>43</v>
      </c>
      <c r="AM365" s="60" t="str">
        <f t="shared" si="8"/>
        <v>[IP1131]</v>
      </c>
    </row>
    <row r="366" ht="67.5" customHeight="1">
      <c r="A366" s="61">
        <v>1132.0</v>
      </c>
      <c r="B366" s="22" t="s">
        <v>960</v>
      </c>
      <c r="C366" s="23">
        <v>2018.0</v>
      </c>
      <c r="D366" s="24" t="s">
        <v>35</v>
      </c>
      <c r="E366" s="25" t="s">
        <v>36</v>
      </c>
      <c r="F366" s="25" t="s">
        <v>36</v>
      </c>
      <c r="G366" s="25" t="s">
        <v>36</v>
      </c>
      <c r="H366" s="25" t="s">
        <v>36</v>
      </c>
      <c r="I366" s="25" t="s">
        <v>36</v>
      </c>
      <c r="J366" s="26" t="s">
        <v>36</v>
      </c>
      <c r="K366" s="27" t="s">
        <v>37</v>
      </c>
      <c r="L366" s="28" t="s">
        <v>37</v>
      </c>
      <c r="M366" s="28" t="s">
        <v>35</v>
      </c>
      <c r="N366" s="28" t="s">
        <v>37</v>
      </c>
      <c r="O366" s="28" t="s">
        <v>35</v>
      </c>
      <c r="P366" s="28" t="s">
        <v>35</v>
      </c>
      <c r="Q366" s="28" t="s">
        <v>35</v>
      </c>
      <c r="R366" s="28" t="s">
        <v>35</v>
      </c>
      <c r="S366" s="29" t="s">
        <v>940</v>
      </c>
      <c r="T366" s="30" t="s">
        <v>961</v>
      </c>
      <c r="U366" s="31" t="s">
        <v>961</v>
      </c>
      <c r="V366" s="32">
        <f t="shared" ref="V366:X366" si="371">IF(lenb(SUBSTITUTE($Z366,V$1&amp;" (1)",""))&lt;lenb($Z366),1,IF(lenb(SUBSTITUTE($Z366,V$1&amp;" (2)",""))&lt;lenb($Z366),2,IF(lenb(SUBSTITUTE($Z366,V$1&amp;" (3)",""))&lt;lenb($Z366),3,IF(lenb(SUBSTITUTE($Z366,V$1&amp;" (4)",""))&lt;lenb($Z366),4,IF(lenb(SUBSTITUTE($Z366,V$1&amp;" (5)",""))&lt;lenb($Z366),5,IF(lenb(SUBSTITUTE($Z366,V$1&amp;" (6)",""))&lt;lenb($Z366),6,IF(lenb(SUBSTITUTE($Z366,V$1&amp;" (7)",""))&lt;lenb($Z366),1,IF(lenb(SUBSTITUTE($Z366,V$1&amp;" (8)",""))&lt;lenb($Z366),8,IF(lenb(SUBSTITUTE($Z366,V$1&amp;" (9)",""))&lt;lenb($Z366),9,IF(lenb(SUBSTITUTE($Z366,V$1&amp;" (10)",""))&lt;lenb($Z366),10,IF(lenb(SUBSTITUTE($Z366,V$1,""))&lt;lenb($Z366),"ERROR",IF($Z366=$Y$1,"-",0))))))))))))</f>
        <v>1</v>
      </c>
      <c r="W366" s="32">
        <f t="shared" si="371"/>
        <v>0</v>
      </c>
      <c r="X366" s="32">
        <f t="shared" si="371"/>
        <v>0</v>
      </c>
      <c r="Y366" s="32" t="str">
        <f t="shared" si="3"/>
        <v>-</v>
      </c>
      <c r="Z366" s="32" t="s">
        <v>62</v>
      </c>
      <c r="AA366" s="33">
        <f t="shared" si="4"/>
        <v>1</v>
      </c>
      <c r="AB366" s="34">
        <f>COUNTIFS(Links!B:B,"ICSE",Links!C:C,A366,Links!AD:AD,1)</f>
        <v>0</v>
      </c>
      <c r="AC366" s="35" t="s">
        <v>35</v>
      </c>
      <c r="AD366" s="27" t="str">
        <f t="shared" si="5"/>
        <v>No</v>
      </c>
      <c r="AE366" s="36" t="s">
        <v>36</v>
      </c>
      <c r="AF366" s="37" t="s">
        <v>42</v>
      </c>
      <c r="AG366" s="37" t="s">
        <v>42</v>
      </c>
      <c r="AH366" s="37" t="s">
        <v>42</v>
      </c>
      <c r="AI366" s="29" t="str">
        <f t="shared" si="6"/>
        <v>----</v>
      </c>
      <c r="AJ366" s="38" t="str">
        <f t="shared" si="7"/>
        <v>Paper has link but no statement</v>
      </c>
      <c r="AK366" s="39">
        <v>45033.0</v>
      </c>
      <c r="AL366" s="23" t="s">
        <v>43</v>
      </c>
      <c r="AM366" s="40" t="str">
        <f t="shared" si="8"/>
        <v>[IP1132]</v>
      </c>
    </row>
    <row r="367" ht="67.5" customHeight="1">
      <c r="A367" s="41">
        <v>1135.0</v>
      </c>
      <c r="B367" s="42" t="s">
        <v>962</v>
      </c>
      <c r="C367" s="43">
        <v>2018.0</v>
      </c>
      <c r="D367" s="44" t="s">
        <v>35</v>
      </c>
      <c r="E367" s="45" t="s">
        <v>36</v>
      </c>
      <c r="F367" s="45" t="s">
        <v>36</v>
      </c>
      <c r="G367" s="45" t="s">
        <v>36</v>
      </c>
      <c r="H367" s="45" t="s">
        <v>36</v>
      </c>
      <c r="I367" s="45" t="s">
        <v>36</v>
      </c>
      <c r="J367" s="46" t="s">
        <v>36</v>
      </c>
      <c r="K367" s="47" t="s">
        <v>37</v>
      </c>
      <c r="L367" s="48" t="s">
        <v>35</v>
      </c>
      <c r="M367" s="48" t="s">
        <v>37</v>
      </c>
      <c r="N367" s="48" t="s">
        <v>37</v>
      </c>
      <c r="O367" s="48" t="s">
        <v>35</v>
      </c>
      <c r="P367" s="48" t="s">
        <v>35</v>
      </c>
      <c r="Q367" s="48" t="s">
        <v>35</v>
      </c>
      <c r="R367" s="48" t="s">
        <v>37</v>
      </c>
      <c r="S367" s="49" t="s">
        <v>963</v>
      </c>
      <c r="T367" s="50" t="s">
        <v>964</v>
      </c>
      <c r="U367" s="51" t="s">
        <v>964</v>
      </c>
      <c r="V367" s="52">
        <f t="shared" ref="V367:X367" si="372">IF(lenb(SUBSTITUTE($Z367,V$1&amp;" (1)",""))&lt;lenb($Z367),1,IF(lenb(SUBSTITUTE($Z367,V$1&amp;" (2)",""))&lt;lenb($Z367),2,IF(lenb(SUBSTITUTE($Z367,V$1&amp;" (3)",""))&lt;lenb($Z367),3,IF(lenb(SUBSTITUTE($Z367,V$1&amp;" (4)",""))&lt;lenb($Z367),4,IF(lenb(SUBSTITUTE($Z367,V$1&amp;" (5)",""))&lt;lenb($Z367),5,IF(lenb(SUBSTITUTE($Z367,V$1&amp;" (6)",""))&lt;lenb($Z367),6,IF(lenb(SUBSTITUTE($Z367,V$1&amp;" (7)",""))&lt;lenb($Z367),1,IF(lenb(SUBSTITUTE($Z367,V$1&amp;" (8)",""))&lt;lenb($Z367),8,IF(lenb(SUBSTITUTE($Z367,V$1&amp;" (9)",""))&lt;lenb($Z367),9,IF(lenb(SUBSTITUTE($Z367,V$1&amp;" (10)",""))&lt;lenb($Z367),10,IF(lenb(SUBSTITUTE($Z367,V$1,""))&lt;lenb($Z367),"ERROR",IF($Z367=$Y$1,"-",0))))))))))))</f>
        <v>1</v>
      </c>
      <c r="W367" s="52">
        <f t="shared" si="372"/>
        <v>0</v>
      </c>
      <c r="X367" s="52">
        <f t="shared" si="372"/>
        <v>0</v>
      </c>
      <c r="Y367" s="52" t="str">
        <f t="shared" si="3"/>
        <v>-</v>
      </c>
      <c r="Z367" s="52" t="s">
        <v>62</v>
      </c>
      <c r="AA367" s="53">
        <f t="shared" si="4"/>
        <v>1</v>
      </c>
      <c r="AB367" s="54">
        <f>COUNTIFS(Links!B:B,"ICSE",Links!C:C,A367,Links!AD:AD,1)</f>
        <v>0</v>
      </c>
      <c r="AC367" s="55" t="s">
        <v>35</v>
      </c>
      <c r="AD367" s="47" t="str">
        <f t="shared" si="5"/>
        <v>Yes</v>
      </c>
      <c r="AE367" s="56" t="s">
        <v>965</v>
      </c>
      <c r="AF367" s="56" t="s">
        <v>223</v>
      </c>
      <c r="AG367" s="56" t="s">
        <v>822</v>
      </c>
      <c r="AH367" s="57" t="s">
        <v>42</v>
      </c>
      <c r="AI367" s="49" t="str">
        <f t="shared" si="6"/>
        <v>Barriers (Agreements and legal rights)
Limited access (Request required)</v>
      </c>
      <c r="AJ367" s="58" t="str">
        <f t="shared" si="7"/>
        <v>Paper has link and statement</v>
      </c>
      <c r="AK367" s="59">
        <v>45033.0</v>
      </c>
      <c r="AL367" s="43" t="s">
        <v>43</v>
      </c>
      <c r="AM367" s="60" t="str">
        <f t="shared" si="8"/>
        <v>[IP1135]</v>
      </c>
    </row>
    <row r="368" ht="67.5" customHeight="1">
      <c r="A368" s="61">
        <v>1136.0</v>
      </c>
      <c r="B368" s="22" t="s">
        <v>966</v>
      </c>
      <c r="C368" s="23">
        <v>2018.0</v>
      </c>
      <c r="D368" s="24" t="s">
        <v>35</v>
      </c>
      <c r="E368" s="25" t="s">
        <v>36</v>
      </c>
      <c r="F368" s="25" t="s">
        <v>36</v>
      </c>
      <c r="G368" s="25" t="s">
        <v>36</v>
      </c>
      <c r="H368" s="25" t="s">
        <v>36</v>
      </c>
      <c r="I368" s="25" t="s">
        <v>36</v>
      </c>
      <c r="J368" s="26" t="s">
        <v>36</v>
      </c>
      <c r="K368" s="27" t="s">
        <v>37</v>
      </c>
      <c r="L368" s="28" t="s">
        <v>35</v>
      </c>
      <c r="M368" s="28" t="s">
        <v>37</v>
      </c>
      <c r="N368" s="28" t="s">
        <v>37</v>
      </c>
      <c r="O368" s="28" t="s">
        <v>35</v>
      </c>
      <c r="P368" s="28" t="s">
        <v>35</v>
      </c>
      <c r="Q368" s="28" t="s">
        <v>35</v>
      </c>
      <c r="R368" s="28" t="s">
        <v>35</v>
      </c>
      <c r="S368" s="29" t="s">
        <v>967</v>
      </c>
      <c r="T368" s="31" t="s">
        <v>968</v>
      </c>
      <c r="U368" s="31" t="s">
        <v>968</v>
      </c>
      <c r="V368" s="32">
        <f t="shared" ref="V368:X368" si="373">IF(lenb(SUBSTITUTE($Z368,V$1&amp;" (1)",""))&lt;lenb($Z368),1,IF(lenb(SUBSTITUTE($Z368,V$1&amp;" (2)",""))&lt;lenb($Z368),2,IF(lenb(SUBSTITUTE($Z368,V$1&amp;" (3)",""))&lt;lenb($Z368),3,IF(lenb(SUBSTITUTE($Z368,V$1&amp;" (4)",""))&lt;lenb($Z368),4,IF(lenb(SUBSTITUTE($Z368,V$1&amp;" (5)",""))&lt;lenb($Z368),5,IF(lenb(SUBSTITUTE($Z368,V$1&amp;" (6)",""))&lt;lenb($Z368),6,IF(lenb(SUBSTITUTE($Z368,V$1&amp;" (7)",""))&lt;lenb($Z368),1,IF(lenb(SUBSTITUTE($Z368,V$1&amp;" (8)",""))&lt;lenb($Z368),8,IF(lenb(SUBSTITUTE($Z368,V$1&amp;" (9)",""))&lt;lenb($Z368),9,IF(lenb(SUBSTITUTE($Z368,V$1&amp;" (10)",""))&lt;lenb($Z368),10,IF(lenb(SUBSTITUTE($Z368,V$1,""))&lt;lenb($Z368),"ERROR",IF($Z368=$Y$1,"-",0))))))))))))</f>
        <v>0</v>
      </c>
      <c r="W368" s="32">
        <f t="shared" si="373"/>
        <v>1</v>
      </c>
      <c r="X368" s="32">
        <f t="shared" si="373"/>
        <v>0</v>
      </c>
      <c r="Y368" s="32" t="str">
        <f t="shared" si="3"/>
        <v>-</v>
      </c>
      <c r="Z368" s="32" t="s">
        <v>47</v>
      </c>
      <c r="AA368" s="33">
        <f t="shared" si="4"/>
        <v>1</v>
      </c>
      <c r="AB368" s="34">
        <f>COUNTIFS(Links!B:B,"ICSE",Links!C:C,A368,Links!AD:AD,1)</f>
        <v>1</v>
      </c>
      <c r="AC368" s="35" t="s">
        <v>35</v>
      </c>
      <c r="AD368" s="27" t="str">
        <f t="shared" si="5"/>
        <v>No</v>
      </c>
      <c r="AE368" s="36" t="s">
        <v>36</v>
      </c>
      <c r="AF368" s="37" t="s">
        <v>42</v>
      </c>
      <c r="AG368" s="37" t="s">
        <v>42</v>
      </c>
      <c r="AH368" s="37" t="s">
        <v>42</v>
      </c>
      <c r="AI368" s="29" t="str">
        <f t="shared" si="6"/>
        <v>----</v>
      </c>
      <c r="AJ368" s="38" t="str">
        <f t="shared" si="7"/>
        <v>Paper has link but no statement</v>
      </c>
      <c r="AK368" s="39">
        <v>45033.0</v>
      </c>
      <c r="AL368" s="23" t="s">
        <v>43</v>
      </c>
      <c r="AM368" s="40" t="str">
        <f t="shared" si="8"/>
        <v>[IP1136]</v>
      </c>
    </row>
    <row r="369" ht="67.5" customHeight="1">
      <c r="A369" s="41">
        <v>1137.0</v>
      </c>
      <c r="B369" s="42" t="s">
        <v>969</v>
      </c>
      <c r="C369" s="43">
        <v>2018.0</v>
      </c>
      <c r="D369" s="44" t="s">
        <v>35</v>
      </c>
      <c r="E369" s="45" t="s">
        <v>36</v>
      </c>
      <c r="F369" s="45" t="s">
        <v>36</v>
      </c>
      <c r="G369" s="45" t="s">
        <v>36</v>
      </c>
      <c r="H369" s="45" t="s">
        <v>36</v>
      </c>
      <c r="I369" s="45" t="s">
        <v>36</v>
      </c>
      <c r="J369" s="46" t="s">
        <v>36</v>
      </c>
      <c r="K369" s="47" t="s">
        <v>37</v>
      </c>
      <c r="L369" s="48" t="s">
        <v>35</v>
      </c>
      <c r="M369" s="48" t="s">
        <v>35</v>
      </c>
      <c r="N369" s="48" t="s">
        <v>35</v>
      </c>
      <c r="O369" s="48" t="s">
        <v>35</v>
      </c>
      <c r="P369" s="48" t="s">
        <v>35</v>
      </c>
      <c r="Q369" s="48" t="s">
        <v>35</v>
      </c>
      <c r="R369" s="48" t="s">
        <v>37</v>
      </c>
      <c r="S369" s="49" t="s">
        <v>970</v>
      </c>
      <c r="T369" s="50" t="s">
        <v>971</v>
      </c>
      <c r="U369" s="51" t="s">
        <v>971</v>
      </c>
      <c r="V369" s="52">
        <f t="shared" ref="V369:X369" si="374">IF(lenb(SUBSTITUTE($Z369,V$1&amp;" (1)",""))&lt;lenb($Z369),1,IF(lenb(SUBSTITUTE($Z369,V$1&amp;" (2)",""))&lt;lenb($Z369),2,IF(lenb(SUBSTITUTE($Z369,V$1&amp;" (3)",""))&lt;lenb($Z369),3,IF(lenb(SUBSTITUTE($Z369,V$1&amp;" (4)",""))&lt;lenb($Z369),4,IF(lenb(SUBSTITUTE($Z369,V$1&amp;" (5)",""))&lt;lenb($Z369),5,IF(lenb(SUBSTITUTE($Z369,V$1&amp;" (6)",""))&lt;lenb($Z369),6,IF(lenb(SUBSTITUTE($Z369,V$1&amp;" (7)",""))&lt;lenb($Z369),1,IF(lenb(SUBSTITUTE($Z369,V$1&amp;" (8)",""))&lt;lenb($Z369),8,IF(lenb(SUBSTITUTE($Z369,V$1&amp;" (9)",""))&lt;lenb($Z369),9,IF(lenb(SUBSTITUTE($Z369,V$1&amp;" (10)",""))&lt;lenb($Z369),10,IF(lenb(SUBSTITUTE($Z369,V$1,""))&lt;lenb($Z369),"ERROR",IF($Z369=$Y$1,"-",0))))))))))))</f>
        <v>1</v>
      </c>
      <c r="W369" s="52">
        <f t="shared" si="374"/>
        <v>0</v>
      </c>
      <c r="X369" s="52">
        <f t="shared" si="374"/>
        <v>0</v>
      </c>
      <c r="Y369" s="52" t="str">
        <f t="shared" si="3"/>
        <v>-</v>
      </c>
      <c r="Z369" s="52" t="s">
        <v>62</v>
      </c>
      <c r="AA369" s="53">
        <f t="shared" si="4"/>
        <v>1</v>
      </c>
      <c r="AB369" s="54">
        <f>COUNTIFS(Links!B:B,"ICSE",Links!C:C,A369,Links!AD:AD,1)</f>
        <v>0</v>
      </c>
      <c r="AC369" s="55" t="s">
        <v>35</v>
      </c>
      <c r="AD369" s="47" t="str">
        <f t="shared" si="5"/>
        <v>No</v>
      </c>
      <c r="AE369" s="56" t="s">
        <v>36</v>
      </c>
      <c r="AF369" s="57" t="s">
        <v>42</v>
      </c>
      <c r="AG369" s="57" t="s">
        <v>42</v>
      </c>
      <c r="AH369" s="57" t="s">
        <v>42</v>
      </c>
      <c r="AI369" s="49" t="str">
        <f t="shared" si="6"/>
        <v>----</v>
      </c>
      <c r="AJ369" s="58" t="str">
        <f t="shared" si="7"/>
        <v>Paper has link but no statement</v>
      </c>
      <c r="AK369" s="59">
        <v>45033.0</v>
      </c>
      <c r="AL369" s="43" t="s">
        <v>43</v>
      </c>
      <c r="AM369" s="60" t="str">
        <f t="shared" si="8"/>
        <v>[IP1137]</v>
      </c>
    </row>
    <row r="370" ht="67.5" customHeight="1">
      <c r="A370" s="61">
        <v>1138.0</v>
      </c>
      <c r="B370" s="22" t="s">
        <v>972</v>
      </c>
      <c r="C370" s="23">
        <v>2018.0</v>
      </c>
      <c r="D370" s="24" t="s">
        <v>35</v>
      </c>
      <c r="E370" s="25" t="s">
        <v>36</v>
      </c>
      <c r="F370" s="25" t="s">
        <v>36</v>
      </c>
      <c r="G370" s="25" t="s">
        <v>36</v>
      </c>
      <c r="H370" s="25" t="s">
        <v>36</v>
      </c>
      <c r="I370" s="25" t="s">
        <v>36</v>
      </c>
      <c r="J370" s="26" t="s">
        <v>36</v>
      </c>
      <c r="K370" s="27" t="s">
        <v>37</v>
      </c>
      <c r="L370" s="28" t="s">
        <v>35</v>
      </c>
      <c r="M370" s="28" t="s">
        <v>37</v>
      </c>
      <c r="N370" s="28" t="s">
        <v>35</v>
      </c>
      <c r="O370" s="28" t="s">
        <v>35</v>
      </c>
      <c r="P370" s="28" t="s">
        <v>35</v>
      </c>
      <c r="Q370" s="28" t="s">
        <v>35</v>
      </c>
      <c r="R370" s="28" t="s">
        <v>37</v>
      </c>
      <c r="S370" s="29" t="s">
        <v>973</v>
      </c>
      <c r="T370" s="30" t="s">
        <v>974</v>
      </c>
      <c r="U370" s="31" t="s">
        <v>974</v>
      </c>
      <c r="V370" s="32">
        <f t="shared" ref="V370:X370" si="375">IF(lenb(SUBSTITUTE($Z370,V$1&amp;" (1)",""))&lt;lenb($Z370),1,IF(lenb(SUBSTITUTE($Z370,V$1&amp;" (2)",""))&lt;lenb($Z370),2,IF(lenb(SUBSTITUTE($Z370,V$1&amp;" (3)",""))&lt;lenb($Z370),3,IF(lenb(SUBSTITUTE($Z370,V$1&amp;" (4)",""))&lt;lenb($Z370),4,IF(lenb(SUBSTITUTE($Z370,V$1&amp;" (5)",""))&lt;lenb($Z370),5,IF(lenb(SUBSTITUTE($Z370,V$1&amp;" (6)",""))&lt;lenb($Z370),6,IF(lenb(SUBSTITUTE($Z370,V$1&amp;" (7)",""))&lt;lenb($Z370),1,IF(lenb(SUBSTITUTE($Z370,V$1&amp;" (8)",""))&lt;lenb($Z370),8,IF(lenb(SUBSTITUTE($Z370,V$1&amp;" (9)",""))&lt;lenb($Z370),9,IF(lenb(SUBSTITUTE($Z370,V$1&amp;" (10)",""))&lt;lenb($Z370),10,IF(lenb(SUBSTITUTE($Z370,V$1,""))&lt;lenb($Z370),"ERROR",IF($Z370=$Y$1,"-",0))))))))))))</f>
        <v>1</v>
      </c>
      <c r="W370" s="32">
        <f t="shared" si="375"/>
        <v>0</v>
      </c>
      <c r="X370" s="32">
        <f t="shared" si="375"/>
        <v>0</v>
      </c>
      <c r="Y370" s="32" t="str">
        <f t="shared" si="3"/>
        <v>-</v>
      </c>
      <c r="Z370" s="32" t="s">
        <v>62</v>
      </c>
      <c r="AA370" s="33">
        <f t="shared" si="4"/>
        <v>1</v>
      </c>
      <c r="AB370" s="34">
        <f>COUNTIFS(Links!B:B,"ICSE",Links!C:C,A370,Links!AD:AD,1)</f>
        <v>0</v>
      </c>
      <c r="AC370" s="35" t="s">
        <v>35</v>
      </c>
      <c r="AD370" s="27" t="str">
        <f t="shared" si="5"/>
        <v>No</v>
      </c>
      <c r="AE370" s="36" t="s">
        <v>36</v>
      </c>
      <c r="AF370" s="37" t="s">
        <v>42</v>
      </c>
      <c r="AG370" s="37" t="s">
        <v>42</v>
      </c>
      <c r="AH370" s="37" t="s">
        <v>42</v>
      </c>
      <c r="AI370" s="29" t="str">
        <f t="shared" si="6"/>
        <v>----</v>
      </c>
      <c r="AJ370" s="38" t="str">
        <f t="shared" si="7"/>
        <v>Paper has link but no statement</v>
      </c>
      <c r="AK370" s="39">
        <v>45033.0</v>
      </c>
      <c r="AL370" s="23" t="s">
        <v>43</v>
      </c>
      <c r="AM370" s="40" t="str">
        <f t="shared" si="8"/>
        <v>[IP1138]</v>
      </c>
    </row>
    <row r="371" ht="67.5" customHeight="1">
      <c r="A371" s="41">
        <v>1139.0</v>
      </c>
      <c r="B371" s="42" t="s">
        <v>975</v>
      </c>
      <c r="C371" s="43">
        <v>2018.0</v>
      </c>
      <c r="D371" s="44" t="s">
        <v>35</v>
      </c>
      <c r="E371" s="45" t="s">
        <v>36</v>
      </c>
      <c r="F371" s="45" t="s">
        <v>36</v>
      </c>
      <c r="G371" s="45" t="s">
        <v>36</v>
      </c>
      <c r="H371" s="45" t="s">
        <v>36</v>
      </c>
      <c r="I371" s="45" t="s">
        <v>36</v>
      </c>
      <c r="J371" s="46" t="s">
        <v>36</v>
      </c>
      <c r="K371" s="47" t="s">
        <v>37</v>
      </c>
      <c r="L371" s="48" t="s">
        <v>35</v>
      </c>
      <c r="M371" s="48" t="s">
        <v>37</v>
      </c>
      <c r="N371" s="48" t="s">
        <v>37</v>
      </c>
      <c r="O371" s="48" t="s">
        <v>35</v>
      </c>
      <c r="P371" s="48" t="s">
        <v>35</v>
      </c>
      <c r="Q371" s="48" t="s">
        <v>35</v>
      </c>
      <c r="R371" s="48" t="s">
        <v>37</v>
      </c>
      <c r="S371" s="49" t="s">
        <v>976</v>
      </c>
      <c r="T371" s="50" t="s">
        <v>977</v>
      </c>
      <c r="U371" s="51" t="s">
        <v>977</v>
      </c>
      <c r="V371" s="52">
        <f t="shared" ref="V371:X371" si="376">IF(lenb(SUBSTITUTE($Z371,V$1&amp;" (1)",""))&lt;lenb($Z371),1,IF(lenb(SUBSTITUTE($Z371,V$1&amp;" (2)",""))&lt;lenb($Z371),2,IF(lenb(SUBSTITUTE($Z371,V$1&amp;" (3)",""))&lt;lenb($Z371),3,IF(lenb(SUBSTITUTE($Z371,V$1&amp;" (4)",""))&lt;lenb($Z371),4,IF(lenb(SUBSTITUTE($Z371,V$1&amp;" (5)",""))&lt;lenb($Z371),5,IF(lenb(SUBSTITUTE($Z371,V$1&amp;" (6)",""))&lt;lenb($Z371),6,IF(lenb(SUBSTITUTE($Z371,V$1&amp;" (7)",""))&lt;lenb($Z371),1,IF(lenb(SUBSTITUTE($Z371,V$1&amp;" (8)",""))&lt;lenb($Z371),8,IF(lenb(SUBSTITUTE($Z371,V$1&amp;" (9)",""))&lt;lenb($Z371),9,IF(lenb(SUBSTITUTE($Z371,V$1&amp;" (10)",""))&lt;lenb($Z371),10,IF(lenb(SUBSTITUTE($Z371,V$1,""))&lt;lenb($Z371),"ERROR",IF($Z371=$Y$1,"-",0))))))))))))</f>
        <v>1</v>
      </c>
      <c r="W371" s="52">
        <f t="shared" si="376"/>
        <v>0</v>
      </c>
      <c r="X371" s="52">
        <f t="shared" si="376"/>
        <v>0</v>
      </c>
      <c r="Y371" s="52" t="str">
        <f t="shared" si="3"/>
        <v>-</v>
      </c>
      <c r="Z371" s="52" t="s">
        <v>62</v>
      </c>
      <c r="AA371" s="53">
        <f t="shared" si="4"/>
        <v>1</v>
      </c>
      <c r="AB371" s="54">
        <f>COUNTIFS(Links!B:B,"ICSE",Links!C:C,A371,Links!AD:AD,1)</f>
        <v>0</v>
      </c>
      <c r="AC371" s="55" t="s">
        <v>35</v>
      </c>
      <c r="AD371" s="47" t="str">
        <f t="shared" si="5"/>
        <v>No</v>
      </c>
      <c r="AE371" s="56" t="s">
        <v>36</v>
      </c>
      <c r="AF371" s="57" t="s">
        <v>42</v>
      </c>
      <c r="AG371" s="57" t="s">
        <v>42</v>
      </c>
      <c r="AH371" s="57" t="s">
        <v>42</v>
      </c>
      <c r="AI371" s="49" t="str">
        <f t="shared" si="6"/>
        <v>----</v>
      </c>
      <c r="AJ371" s="58" t="str">
        <f t="shared" si="7"/>
        <v>Paper has link but no statement</v>
      </c>
      <c r="AK371" s="59">
        <v>45033.0</v>
      </c>
      <c r="AL371" s="43" t="s">
        <v>43</v>
      </c>
      <c r="AM371" s="60" t="str">
        <f t="shared" si="8"/>
        <v>[IP1139]</v>
      </c>
    </row>
    <row r="372" ht="67.5" customHeight="1">
      <c r="A372" s="61">
        <v>1140.0</v>
      </c>
      <c r="B372" s="22" t="s">
        <v>978</v>
      </c>
      <c r="C372" s="23">
        <v>2018.0</v>
      </c>
      <c r="D372" s="24" t="s">
        <v>35</v>
      </c>
      <c r="E372" s="25" t="s">
        <v>36</v>
      </c>
      <c r="F372" s="25" t="s">
        <v>36</v>
      </c>
      <c r="G372" s="25" t="s">
        <v>36</v>
      </c>
      <c r="H372" s="25" t="s">
        <v>36</v>
      </c>
      <c r="I372" s="25" t="s">
        <v>36</v>
      </c>
      <c r="J372" s="26" t="s">
        <v>36</v>
      </c>
      <c r="K372" s="27" t="s">
        <v>37</v>
      </c>
      <c r="L372" s="28" t="s">
        <v>37</v>
      </c>
      <c r="M372" s="28" t="s">
        <v>35</v>
      </c>
      <c r="N372" s="28" t="s">
        <v>35</v>
      </c>
      <c r="O372" s="28" t="s">
        <v>35</v>
      </c>
      <c r="P372" s="28" t="s">
        <v>35</v>
      </c>
      <c r="Q372" s="28" t="s">
        <v>35</v>
      </c>
      <c r="R372" s="28" t="s">
        <v>37</v>
      </c>
      <c r="S372" s="29" t="s">
        <v>979</v>
      </c>
      <c r="T372" s="30" t="s">
        <v>980</v>
      </c>
      <c r="U372" s="31" t="s">
        <v>980</v>
      </c>
      <c r="V372" s="32">
        <f t="shared" ref="V372:X372" si="377">IF(lenb(SUBSTITUTE($Z372,V$1&amp;" (1)",""))&lt;lenb($Z372),1,IF(lenb(SUBSTITUTE($Z372,V$1&amp;" (2)",""))&lt;lenb($Z372),2,IF(lenb(SUBSTITUTE($Z372,V$1&amp;" (3)",""))&lt;lenb($Z372),3,IF(lenb(SUBSTITUTE($Z372,V$1&amp;" (4)",""))&lt;lenb($Z372),4,IF(lenb(SUBSTITUTE($Z372,V$1&amp;" (5)",""))&lt;lenb($Z372),5,IF(lenb(SUBSTITUTE($Z372,V$1&amp;" (6)",""))&lt;lenb($Z372),6,IF(lenb(SUBSTITUTE($Z372,V$1&amp;" (7)",""))&lt;lenb($Z372),1,IF(lenb(SUBSTITUTE($Z372,V$1&amp;" (8)",""))&lt;lenb($Z372),8,IF(lenb(SUBSTITUTE($Z372,V$1&amp;" (9)",""))&lt;lenb($Z372),9,IF(lenb(SUBSTITUTE($Z372,V$1&amp;" (10)",""))&lt;lenb($Z372),10,IF(lenb(SUBSTITUTE($Z372,V$1,""))&lt;lenb($Z372),"ERROR",IF($Z372=$Y$1,"-",0))))))))))))</f>
        <v>1</v>
      </c>
      <c r="W372" s="32">
        <f t="shared" si="377"/>
        <v>0</v>
      </c>
      <c r="X372" s="32">
        <f t="shared" si="377"/>
        <v>0</v>
      </c>
      <c r="Y372" s="32" t="str">
        <f t="shared" si="3"/>
        <v>-</v>
      </c>
      <c r="Z372" s="32" t="s">
        <v>62</v>
      </c>
      <c r="AA372" s="33">
        <f t="shared" si="4"/>
        <v>1</v>
      </c>
      <c r="AB372" s="34">
        <f>COUNTIFS(Links!B:B,"ICSE",Links!C:C,A372,Links!AD:AD,1)</f>
        <v>0</v>
      </c>
      <c r="AC372" s="35" t="s">
        <v>35</v>
      </c>
      <c r="AD372" s="27" t="str">
        <f t="shared" si="5"/>
        <v>No</v>
      </c>
      <c r="AE372" s="36" t="s">
        <v>36</v>
      </c>
      <c r="AF372" s="37" t="s">
        <v>42</v>
      </c>
      <c r="AG372" s="37" t="s">
        <v>42</v>
      </c>
      <c r="AH372" s="37" t="s">
        <v>42</v>
      </c>
      <c r="AI372" s="29" t="str">
        <f t="shared" si="6"/>
        <v>----</v>
      </c>
      <c r="AJ372" s="38" t="str">
        <f t="shared" si="7"/>
        <v>Paper has link but no statement</v>
      </c>
      <c r="AK372" s="39">
        <v>45033.0</v>
      </c>
      <c r="AL372" s="23" t="s">
        <v>43</v>
      </c>
      <c r="AM372" s="40" t="str">
        <f t="shared" si="8"/>
        <v>[IP1140]</v>
      </c>
    </row>
    <row r="373" ht="67.5" customHeight="1">
      <c r="A373" s="41">
        <v>1141.0</v>
      </c>
      <c r="B373" s="42" t="s">
        <v>981</v>
      </c>
      <c r="C373" s="43">
        <v>2018.0</v>
      </c>
      <c r="D373" s="44" t="s">
        <v>35</v>
      </c>
      <c r="E373" s="45" t="s">
        <v>36</v>
      </c>
      <c r="F373" s="45" t="s">
        <v>36</v>
      </c>
      <c r="G373" s="45" t="s">
        <v>36</v>
      </c>
      <c r="H373" s="45" t="s">
        <v>36</v>
      </c>
      <c r="I373" s="45" t="s">
        <v>36</v>
      </c>
      <c r="J373" s="46" t="s">
        <v>36</v>
      </c>
      <c r="K373" s="47" t="s">
        <v>37</v>
      </c>
      <c r="L373" s="48" t="s">
        <v>35</v>
      </c>
      <c r="M373" s="48" t="s">
        <v>35</v>
      </c>
      <c r="N373" s="48" t="s">
        <v>35</v>
      </c>
      <c r="O373" s="48" t="s">
        <v>35</v>
      </c>
      <c r="P373" s="48" t="s">
        <v>35</v>
      </c>
      <c r="Q373" s="48" t="s">
        <v>35</v>
      </c>
      <c r="R373" s="48" t="s">
        <v>37</v>
      </c>
      <c r="S373" s="49" t="s">
        <v>982</v>
      </c>
      <c r="T373" s="50" t="s">
        <v>983</v>
      </c>
      <c r="U373" s="51" t="s">
        <v>983</v>
      </c>
      <c r="V373" s="52">
        <f t="shared" ref="V373:X373" si="378">IF(lenb(SUBSTITUTE($Z373,V$1&amp;" (1)",""))&lt;lenb($Z373),1,IF(lenb(SUBSTITUTE($Z373,V$1&amp;" (2)",""))&lt;lenb($Z373),2,IF(lenb(SUBSTITUTE($Z373,V$1&amp;" (3)",""))&lt;lenb($Z373),3,IF(lenb(SUBSTITUTE($Z373,V$1&amp;" (4)",""))&lt;lenb($Z373),4,IF(lenb(SUBSTITUTE($Z373,V$1&amp;" (5)",""))&lt;lenb($Z373),5,IF(lenb(SUBSTITUTE($Z373,V$1&amp;" (6)",""))&lt;lenb($Z373),6,IF(lenb(SUBSTITUTE($Z373,V$1&amp;" (7)",""))&lt;lenb($Z373),1,IF(lenb(SUBSTITUTE($Z373,V$1&amp;" (8)",""))&lt;lenb($Z373),8,IF(lenb(SUBSTITUTE($Z373,V$1&amp;" (9)",""))&lt;lenb($Z373),9,IF(lenb(SUBSTITUTE($Z373,V$1&amp;" (10)",""))&lt;lenb($Z373),10,IF(lenb(SUBSTITUTE($Z373,V$1,""))&lt;lenb($Z373),"ERROR",IF($Z373=$Y$1,"-",0))))))))))))</f>
        <v>0</v>
      </c>
      <c r="W373" s="52">
        <f t="shared" si="378"/>
        <v>1</v>
      </c>
      <c r="X373" s="52">
        <f t="shared" si="378"/>
        <v>0</v>
      </c>
      <c r="Y373" s="52" t="str">
        <f t="shared" si="3"/>
        <v>-</v>
      </c>
      <c r="Z373" s="52" t="s">
        <v>47</v>
      </c>
      <c r="AA373" s="53">
        <f t="shared" si="4"/>
        <v>1</v>
      </c>
      <c r="AB373" s="54">
        <f>COUNTIFS(Links!B:B,"ICSE",Links!C:C,A373,Links!AD:AD,1)</f>
        <v>1</v>
      </c>
      <c r="AC373" s="55" t="s">
        <v>35</v>
      </c>
      <c r="AD373" s="47" t="str">
        <f t="shared" si="5"/>
        <v>No</v>
      </c>
      <c r="AE373" s="56" t="s">
        <v>36</v>
      </c>
      <c r="AF373" s="57" t="s">
        <v>42</v>
      </c>
      <c r="AG373" s="57" t="s">
        <v>42</v>
      </c>
      <c r="AH373" s="57" t="s">
        <v>42</v>
      </c>
      <c r="AI373" s="49" t="str">
        <f t="shared" si="6"/>
        <v>----</v>
      </c>
      <c r="AJ373" s="58" t="str">
        <f t="shared" si="7"/>
        <v>Paper has link but no statement</v>
      </c>
      <c r="AK373" s="59">
        <v>45033.0</v>
      </c>
      <c r="AL373" s="43" t="s">
        <v>43</v>
      </c>
      <c r="AM373" s="60" t="str">
        <f t="shared" si="8"/>
        <v>[IP1141]</v>
      </c>
    </row>
    <row r="374" ht="67.5" customHeight="1">
      <c r="A374" s="61">
        <v>1142.0</v>
      </c>
      <c r="B374" s="22" t="s">
        <v>984</v>
      </c>
      <c r="C374" s="23">
        <v>2018.0</v>
      </c>
      <c r="D374" s="24" t="s">
        <v>35</v>
      </c>
      <c r="E374" s="25" t="s">
        <v>36</v>
      </c>
      <c r="F374" s="25" t="s">
        <v>36</v>
      </c>
      <c r="G374" s="25" t="s">
        <v>36</v>
      </c>
      <c r="H374" s="25" t="s">
        <v>36</v>
      </c>
      <c r="I374" s="25" t="s">
        <v>36</v>
      </c>
      <c r="J374" s="26" t="s">
        <v>36</v>
      </c>
      <c r="K374" s="27" t="s">
        <v>35</v>
      </c>
      <c r="L374" s="28" t="s">
        <v>36</v>
      </c>
      <c r="M374" s="28" t="s">
        <v>36</v>
      </c>
      <c r="N374" s="28" t="s">
        <v>36</v>
      </c>
      <c r="O374" s="28" t="s">
        <v>36</v>
      </c>
      <c r="P374" s="28" t="s">
        <v>36</v>
      </c>
      <c r="Q374" s="28" t="s">
        <v>36</v>
      </c>
      <c r="R374" s="28" t="s">
        <v>36</v>
      </c>
      <c r="S374" s="29" t="s">
        <v>36</v>
      </c>
      <c r="T374" s="30" t="s">
        <v>36</v>
      </c>
      <c r="U374" s="31" t="s">
        <v>36</v>
      </c>
      <c r="V374" s="32" t="str">
        <f t="shared" ref="V374:X374" si="379">IF(lenb(SUBSTITUTE($Z374,V$1&amp;" (1)",""))&lt;lenb($Z374),1,IF(lenb(SUBSTITUTE($Z374,V$1&amp;" (2)",""))&lt;lenb($Z374),2,IF(lenb(SUBSTITUTE($Z374,V$1&amp;" (3)",""))&lt;lenb($Z374),3,IF(lenb(SUBSTITUTE($Z374,V$1&amp;" (4)",""))&lt;lenb($Z374),4,IF(lenb(SUBSTITUTE($Z374,V$1&amp;" (5)",""))&lt;lenb($Z374),5,IF(lenb(SUBSTITUTE($Z374,V$1&amp;" (6)",""))&lt;lenb($Z374),6,IF(lenb(SUBSTITUTE($Z374,V$1&amp;" (7)",""))&lt;lenb($Z374),1,IF(lenb(SUBSTITUTE($Z374,V$1&amp;" (8)",""))&lt;lenb($Z374),8,IF(lenb(SUBSTITUTE($Z374,V$1&amp;" (9)",""))&lt;lenb($Z374),9,IF(lenb(SUBSTITUTE($Z374,V$1&amp;" (10)",""))&lt;lenb($Z374),10,IF(lenb(SUBSTITUTE($Z374,V$1,""))&lt;lenb($Z374),"ERROR",IF($Z374=$Y$1,"-",0))))))))))))</f>
        <v>-</v>
      </c>
      <c r="W374" s="32" t="str">
        <f t="shared" si="379"/>
        <v>-</v>
      </c>
      <c r="X374" s="32" t="str">
        <f t="shared" si="379"/>
        <v>-</v>
      </c>
      <c r="Y374" s="32">
        <f t="shared" si="3"/>
        <v>1</v>
      </c>
      <c r="Z374" s="32" t="s">
        <v>23</v>
      </c>
      <c r="AA374" s="33">
        <f t="shared" si="4"/>
        <v>0</v>
      </c>
      <c r="AB374" s="34">
        <f>COUNTIFS(Links!B:B,"ICSE",Links!C:C,A374,Links!AD:AD,1)</f>
        <v>0</v>
      </c>
      <c r="AC374" s="35" t="s">
        <v>36</v>
      </c>
      <c r="AD374" s="27" t="str">
        <f t="shared" si="5"/>
        <v>No</v>
      </c>
      <c r="AE374" s="36" t="s">
        <v>36</v>
      </c>
      <c r="AF374" s="37" t="s">
        <v>42</v>
      </c>
      <c r="AG374" s="37" t="s">
        <v>42</v>
      </c>
      <c r="AH374" s="37" t="s">
        <v>42</v>
      </c>
      <c r="AI374" s="29" t="str">
        <f t="shared" si="6"/>
        <v>----</v>
      </c>
      <c r="AJ374" s="38" t="str">
        <f t="shared" si="7"/>
        <v>Paper has no link and no statement</v>
      </c>
      <c r="AK374" s="39">
        <v>45033.0</v>
      </c>
      <c r="AL374" s="23" t="s">
        <v>43</v>
      </c>
      <c r="AM374" s="40" t="str">
        <f t="shared" si="8"/>
        <v>[IP1142]</v>
      </c>
    </row>
    <row r="375" ht="67.5" customHeight="1">
      <c r="A375" s="41">
        <v>1143.0</v>
      </c>
      <c r="B375" s="42" t="s">
        <v>985</v>
      </c>
      <c r="C375" s="43">
        <v>2018.0</v>
      </c>
      <c r="D375" s="44" t="s">
        <v>35</v>
      </c>
      <c r="E375" s="45" t="s">
        <v>36</v>
      </c>
      <c r="F375" s="45" t="s">
        <v>36</v>
      </c>
      <c r="G375" s="45" t="s">
        <v>36</v>
      </c>
      <c r="H375" s="45" t="s">
        <v>36</v>
      </c>
      <c r="I375" s="45" t="s">
        <v>36</v>
      </c>
      <c r="J375" s="46" t="s">
        <v>36</v>
      </c>
      <c r="K375" s="47" t="s">
        <v>37</v>
      </c>
      <c r="L375" s="48" t="s">
        <v>37</v>
      </c>
      <c r="M375" s="48" t="s">
        <v>35</v>
      </c>
      <c r="N375" s="48" t="s">
        <v>35</v>
      </c>
      <c r="O375" s="48" t="s">
        <v>35</v>
      </c>
      <c r="P375" s="48" t="s">
        <v>35</v>
      </c>
      <c r="Q375" s="48" t="s">
        <v>35</v>
      </c>
      <c r="R375" s="48" t="s">
        <v>37</v>
      </c>
      <c r="S375" s="49" t="s">
        <v>986</v>
      </c>
      <c r="T375" s="50" t="s">
        <v>987</v>
      </c>
      <c r="U375" s="51" t="s">
        <v>987</v>
      </c>
      <c r="V375" s="52">
        <f t="shared" ref="V375:X375" si="380">IF(lenb(SUBSTITUTE($Z375,V$1&amp;" (1)",""))&lt;lenb($Z375),1,IF(lenb(SUBSTITUTE($Z375,V$1&amp;" (2)",""))&lt;lenb($Z375),2,IF(lenb(SUBSTITUTE($Z375,V$1&amp;" (3)",""))&lt;lenb($Z375),3,IF(lenb(SUBSTITUTE($Z375,V$1&amp;" (4)",""))&lt;lenb($Z375),4,IF(lenb(SUBSTITUTE($Z375,V$1&amp;" (5)",""))&lt;lenb($Z375),5,IF(lenb(SUBSTITUTE($Z375,V$1&amp;" (6)",""))&lt;lenb($Z375),6,IF(lenb(SUBSTITUTE($Z375,V$1&amp;" (7)",""))&lt;lenb($Z375),1,IF(lenb(SUBSTITUTE($Z375,V$1&amp;" (8)",""))&lt;lenb($Z375),8,IF(lenb(SUBSTITUTE($Z375,V$1&amp;" (9)",""))&lt;lenb($Z375),9,IF(lenb(SUBSTITUTE($Z375,V$1&amp;" (10)",""))&lt;lenb($Z375),10,IF(lenb(SUBSTITUTE($Z375,V$1,""))&lt;lenb($Z375),"ERROR",IF($Z375=$Y$1,"-",0))))))))))))</f>
        <v>1</v>
      </c>
      <c r="W375" s="52">
        <f t="shared" si="380"/>
        <v>0</v>
      </c>
      <c r="X375" s="52">
        <f t="shared" si="380"/>
        <v>0</v>
      </c>
      <c r="Y375" s="52" t="str">
        <f t="shared" si="3"/>
        <v>-</v>
      </c>
      <c r="Z375" s="52" t="s">
        <v>62</v>
      </c>
      <c r="AA375" s="53">
        <f t="shared" si="4"/>
        <v>1</v>
      </c>
      <c r="AB375" s="54">
        <f>COUNTIFS(Links!B:B,"ICSE",Links!C:C,A375,Links!AD:AD,1)</f>
        <v>0</v>
      </c>
      <c r="AC375" s="55" t="s">
        <v>37</v>
      </c>
      <c r="AD375" s="47" t="str">
        <f t="shared" si="5"/>
        <v>No</v>
      </c>
      <c r="AE375" s="56" t="s">
        <v>36</v>
      </c>
      <c r="AF375" s="57" t="s">
        <v>42</v>
      </c>
      <c r="AG375" s="57" t="s">
        <v>42</v>
      </c>
      <c r="AH375" s="57" t="s">
        <v>42</v>
      </c>
      <c r="AI375" s="49" t="str">
        <f t="shared" si="6"/>
        <v>----</v>
      </c>
      <c r="AJ375" s="58" t="str">
        <f t="shared" si="7"/>
        <v>Paper has link but no statement</v>
      </c>
      <c r="AK375" s="59">
        <v>45033.0</v>
      </c>
      <c r="AL375" s="43" t="s">
        <v>43</v>
      </c>
      <c r="AM375" s="60" t="str">
        <f t="shared" si="8"/>
        <v>[IP1143]</v>
      </c>
    </row>
    <row r="376" ht="67.5" customHeight="1">
      <c r="A376" s="21">
        <v>1145.0</v>
      </c>
      <c r="B376" s="22" t="s">
        <v>988</v>
      </c>
      <c r="C376" s="23">
        <v>2018.0</v>
      </c>
      <c r="D376" s="24" t="s">
        <v>35</v>
      </c>
      <c r="E376" s="25" t="s">
        <v>36</v>
      </c>
      <c r="F376" s="25" t="s">
        <v>36</v>
      </c>
      <c r="G376" s="25" t="s">
        <v>36</v>
      </c>
      <c r="H376" s="25" t="s">
        <v>36</v>
      </c>
      <c r="I376" s="25" t="s">
        <v>36</v>
      </c>
      <c r="J376" s="26" t="s">
        <v>36</v>
      </c>
      <c r="K376" s="27" t="s">
        <v>37</v>
      </c>
      <c r="L376" s="28" t="s">
        <v>35</v>
      </c>
      <c r="M376" s="28" t="s">
        <v>37</v>
      </c>
      <c r="N376" s="28" t="s">
        <v>35</v>
      </c>
      <c r="O376" s="28" t="s">
        <v>35</v>
      </c>
      <c r="P376" s="28" t="s">
        <v>35</v>
      </c>
      <c r="Q376" s="28" t="s">
        <v>35</v>
      </c>
      <c r="R376" s="28" t="s">
        <v>37</v>
      </c>
      <c r="S376" s="29" t="s">
        <v>989</v>
      </c>
      <c r="T376" s="30" t="s">
        <v>990</v>
      </c>
      <c r="U376" s="31" t="s">
        <v>991</v>
      </c>
      <c r="V376" s="32">
        <f t="shared" ref="V376:X376" si="381">IF(lenb(SUBSTITUTE($Z376,V$1&amp;" (1)",""))&lt;lenb($Z376),1,IF(lenb(SUBSTITUTE($Z376,V$1&amp;" (2)",""))&lt;lenb($Z376),2,IF(lenb(SUBSTITUTE($Z376,V$1&amp;" (3)",""))&lt;lenb($Z376),3,IF(lenb(SUBSTITUTE($Z376,V$1&amp;" (4)",""))&lt;lenb($Z376),4,IF(lenb(SUBSTITUTE($Z376,V$1&amp;" (5)",""))&lt;lenb($Z376),5,IF(lenb(SUBSTITUTE($Z376,V$1&amp;" (6)",""))&lt;lenb($Z376),6,IF(lenb(SUBSTITUTE($Z376,V$1&amp;" (7)",""))&lt;lenb($Z376),1,IF(lenb(SUBSTITUTE($Z376,V$1&amp;" (8)",""))&lt;lenb($Z376),8,IF(lenb(SUBSTITUTE($Z376,V$1&amp;" (9)",""))&lt;lenb($Z376),9,IF(lenb(SUBSTITUTE($Z376,V$1&amp;" (10)",""))&lt;lenb($Z376),10,IF(lenb(SUBSTITUTE($Z376,V$1,""))&lt;lenb($Z376),"ERROR",IF($Z376=$Y$1,"-",0))))))))))))</f>
        <v>0</v>
      </c>
      <c r="W376" s="32">
        <f t="shared" si="381"/>
        <v>1</v>
      </c>
      <c r="X376" s="32">
        <f t="shared" si="381"/>
        <v>0</v>
      </c>
      <c r="Y376" s="32" t="str">
        <f t="shared" si="3"/>
        <v>-</v>
      </c>
      <c r="Z376" s="32" t="s">
        <v>47</v>
      </c>
      <c r="AA376" s="33">
        <f t="shared" si="4"/>
        <v>1</v>
      </c>
      <c r="AB376" s="34">
        <f>COUNTIFS(Links!B:B,"ICSE",Links!C:C,A376,Links!AD:AD,1)</f>
        <v>0</v>
      </c>
      <c r="AC376" s="35" t="s">
        <v>35</v>
      </c>
      <c r="AD376" s="27" t="str">
        <f t="shared" si="5"/>
        <v>No</v>
      </c>
      <c r="AE376" s="36" t="s">
        <v>36</v>
      </c>
      <c r="AF376" s="37" t="s">
        <v>42</v>
      </c>
      <c r="AG376" s="37" t="s">
        <v>42</v>
      </c>
      <c r="AH376" s="37" t="s">
        <v>42</v>
      </c>
      <c r="AI376" s="29" t="str">
        <f t="shared" si="6"/>
        <v>----</v>
      </c>
      <c r="AJ376" s="38" t="str">
        <f t="shared" si="7"/>
        <v>Paper has link but no statement</v>
      </c>
      <c r="AK376" s="39">
        <v>45033.0</v>
      </c>
      <c r="AL376" s="23" t="s">
        <v>43</v>
      </c>
      <c r="AM376" s="40" t="str">
        <f t="shared" si="8"/>
        <v>[IP1145]</v>
      </c>
    </row>
    <row r="377" ht="67.5" customHeight="1">
      <c r="A377" s="41">
        <v>1146.0</v>
      </c>
      <c r="B377" s="42" t="s">
        <v>992</v>
      </c>
      <c r="C377" s="43">
        <v>2018.0</v>
      </c>
      <c r="D377" s="44" t="s">
        <v>35</v>
      </c>
      <c r="E377" s="45" t="s">
        <v>36</v>
      </c>
      <c r="F377" s="45" t="s">
        <v>36</v>
      </c>
      <c r="G377" s="45" t="s">
        <v>36</v>
      </c>
      <c r="H377" s="45" t="s">
        <v>36</v>
      </c>
      <c r="I377" s="45" t="s">
        <v>36</v>
      </c>
      <c r="J377" s="46" t="s">
        <v>36</v>
      </c>
      <c r="K377" s="47" t="s">
        <v>37</v>
      </c>
      <c r="L377" s="48" t="s">
        <v>37</v>
      </c>
      <c r="M377" s="48" t="s">
        <v>35</v>
      </c>
      <c r="N377" s="48" t="s">
        <v>37</v>
      </c>
      <c r="O377" s="48" t="s">
        <v>35</v>
      </c>
      <c r="P377" s="48" t="s">
        <v>35</v>
      </c>
      <c r="Q377" s="48" t="s">
        <v>35</v>
      </c>
      <c r="R377" s="48" t="s">
        <v>37</v>
      </c>
      <c r="S377" s="49" t="s">
        <v>993</v>
      </c>
      <c r="T377" s="50" t="s">
        <v>994</v>
      </c>
      <c r="U377" s="51" t="s">
        <v>994</v>
      </c>
      <c r="V377" s="52">
        <f t="shared" ref="V377:X377" si="382">IF(lenb(SUBSTITUTE($Z377,V$1&amp;" (1)",""))&lt;lenb($Z377),1,IF(lenb(SUBSTITUTE($Z377,V$1&amp;" (2)",""))&lt;lenb($Z377),2,IF(lenb(SUBSTITUTE($Z377,V$1&amp;" (3)",""))&lt;lenb($Z377),3,IF(lenb(SUBSTITUTE($Z377,V$1&amp;" (4)",""))&lt;lenb($Z377),4,IF(lenb(SUBSTITUTE($Z377,V$1&amp;" (5)",""))&lt;lenb($Z377),5,IF(lenb(SUBSTITUTE($Z377,V$1&amp;" (6)",""))&lt;lenb($Z377),6,IF(lenb(SUBSTITUTE($Z377,V$1&amp;" (7)",""))&lt;lenb($Z377),1,IF(lenb(SUBSTITUTE($Z377,V$1&amp;" (8)",""))&lt;lenb($Z377),8,IF(lenb(SUBSTITUTE($Z377,V$1&amp;" (9)",""))&lt;lenb($Z377),9,IF(lenb(SUBSTITUTE($Z377,V$1&amp;" (10)",""))&lt;lenb($Z377),10,IF(lenb(SUBSTITUTE($Z377,V$1,""))&lt;lenb($Z377),"ERROR",IF($Z377=$Y$1,"-",0))))))))))))</f>
        <v>1</v>
      </c>
      <c r="W377" s="52">
        <f t="shared" si="382"/>
        <v>0</v>
      </c>
      <c r="X377" s="52">
        <f t="shared" si="382"/>
        <v>0</v>
      </c>
      <c r="Y377" s="52" t="str">
        <f t="shared" si="3"/>
        <v>-</v>
      </c>
      <c r="Z377" s="52" t="s">
        <v>62</v>
      </c>
      <c r="AA377" s="53">
        <f t="shared" si="4"/>
        <v>1</v>
      </c>
      <c r="AB377" s="54">
        <f>COUNTIFS(Links!B:B,"ICSE",Links!C:C,A377,Links!AD:AD,1)</f>
        <v>0</v>
      </c>
      <c r="AC377" s="55" t="s">
        <v>35</v>
      </c>
      <c r="AD377" s="47" t="str">
        <f t="shared" si="5"/>
        <v>No</v>
      </c>
      <c r="AE377" s="56" t="s">
        <v>36</v>
      </c>
      <c r="AF377" s="57" t="s">
        <v>42</v>
      </c>
      <c r="AG377" s="57" t="s">
        <v>42</v>
      </c>
      <c r="AH377" s="57" t="s">
        <v>42</v>
      </c>
      <c r="AI377" s="49" t="str">
        <f t="shared" si="6"/>
        <v>----</v>
      </c>
      <c r="AJ377" s="58" t="str">
        <f t="shared" si="7"/>
        <v>Paper has link but no statement</v>
      </c>
      <c r="AK377" s="59">
        <v>45033.0</v>
      </c>
      <c r="AL377" s="43" t="s">
        <v>43</v>
      </c>
      <c r="AM377" s="60" t="str">
        <f t="shared" si="8"/>
        <v>[IP1146]</v>
      </c>
    </row>
    <row r="378" ht="67.5" customHeight="1">
      <c r="A378" s="61">
        <v>1147.0</v>
      </c>
      <c r="B378" s="22" t="s">
        <v>995</v>
      </c>
      <c r="C378" s="23">
        <v>2018.0</v>
      </c>
      <c r="D378" s="24" t="s">
        <v>35</v>
      </c>
      <c r="E378" s="25" t="s">
        <v>36</v>
      </c>
      <c r="F378" s="25" t="s">
        <v>36</v>
      </c>
      <c r="G378" s="25" t="s">
        <v>36</v>
      </c>
      <c r="H378" s="25" t="s">
        <v>36</v>
      </c>
      <c r="I378" s="25" t="s">
        <v>36</v>
      </c>
      <c r="J378" s="26" t="s">
        <v>36</v>
      </c>
      <c r="K378" s="27" t="s">
        <v>37</v>
      </c>
      <c r="L378" s="28" t="s">
        <v>35</v>
      </c>
      <c r="M378" s="28" t="s">
        <v>37</v>
      </c>
      <c r="N378" s="28" t="s">
        <v>35</v>
      </c>
      <c r="O378" s="28" t="s">
        <v>35</v>
      </c>
      <c r="P378" s="28" t="s">
        <v>35</v>
      </c>
      <c r="Q378" s="28" t="s">
        <v>35</v>
      </c>
      <c r="R378" s="28" t="s">
        <v>37</v>
      </c>
      <c r="S378" s="29" t="s">
        <v>996</v>
      </c>
      <c r="T378" s="31" t="s">
        <v>997</v>
      </c>
      <c r="U378" s="31" t="s">
        <v>997</v>
      </c>
      <c r="V378" s="32">
        <f t="shared" ref="V378:X378" si="383">IF(lenb(SUBSTITUTE($Z378,V$1&amp;" (1)",""))&lt;lenb($Z378),1,IF(lenb(SUBSTITUTE($Z378,V$1&amp;" (2)",""))&lt;lenb($Z378),2,IF(lenb(SUBSTITUTE($Z378,V$1&amp;" (3)",""))&lt;lenb($Z378),3,IF(lenb(SUBSTITUTE($Z378,V$1&amp;" (4)",""))&lt;lenb($Z378),4,IF(lenb(SUBSTITUTE($Z378,V$1&amp;" (5)",""))&lt;lenb($Z378),5,IF(lenb(SUBSTITUTE($Z378,V$1&amp;" (6)",""))&lt;lenb($Z378),6,IF(lenb(SUBSTITUTE($Z378,V$1&amp;" (7)",""))&lt;lenb($Z378),1,IF(lenb(SUBSTITUTE($Z378,V$1&amp;" (8)",""))&lt;lenb($Z378),8,IF(lenb(SUBSTITUTE($Z378,V$1&amp;" (9)",""))&lt;lenb($Z378),9,IF(lenb(SUBSTITUTE($Z378,V$1&amp;" (10)",""))&lt;lenb($Z378),10,IF(lenb(SUBSTITUTE($Z378,V$1,""))&lt;lenb($Z378),"ERROR",IF($Z378=$Y$1,"-",0))))))))))))</f>
        <v>0</v>
      </c>
      <c r="W378" s="32">
        <f t="shared" si="383"/>
        <v>1</v>
      </c>
      <c r="X378" s="32">
        <f t="shared" si="383"/>
        <v>0</v>
      </c>
      <c r="Y378" s="32" t="str">
        <f t="shared" si="3"/>
        <v>-</v>
      </c>
      <c r="Z378" s="32" t="s">
        <v>47</v>
      </c>
      <c r="AA378" s="33">
        <f t="shared" si="4"/>
        <v>1</v>
      </c>
      <c r="AB378" s="34">
        <f>COUNTIFS(Links!B:B,"ICSE",Links!C:C,A378,Links!AD:AD,1)</f>
        <v>1</v>
      </c>
      <c r="AC378" s="35" t="s">
        <v>35</v>
      </c>
      <c r="AD378" s="27" t="str">
        <f t="shared" si="5"/>
        <v>No</v>
      </c>
      <c r="AE378" s="36" t="s">
        <v>36</v>
      </c>
      <c r="AF378" s="37" t="s">
        <v>42</v>
      </c>
      <c r="AG378" s="37" t="s">
        <v>42</v>
      </c>
      <c r="AH378" s="37" t="s">
        <v>42</v>
      </c>
      <c r="AI378" s="29" t="str">
        <f t="shared" si="6"/>
        <v>----</v>
      </c>
      <c r="AJ378" s="38" t="str">
        <f t="shared" si="7"/>
        <v>Paper has link but no statement</v>
      </c>
      <c r="AK378" s="39">
        <v>45033.0</v>
      </c>
      <c r="AL378" s="23" t="s">
        <v>43</v>
      </c>
      <c r="AM378" s="40" t="str">
        <f t="shared" si="8"/>
        <v>[IP1147]</v>
      </c>
    </row>
    <row r="379" ht="67.5" customHeight="1">
      <c r="A379" s="41">
        <v>1148.0</v>
      </c>
      <c r="B379" s="42" t="s">
        <v>998</v>
      </c>
      <c r="C379" s="43">
        <v>2018.0</v>
      </c>
      <c r="D379" s="44" t="s">
        <v>35</v>
      </c>
      <c r="E379" s="45" t="s">
        <v>36</v>
      </c>
      <c r="F379" s="45" t="s">
        <v>36</v>
      </c>
      <c r="G379" s="45" t="s">
        <v>36</v>
      </c>
      <c r="H379" s="45" t="s">
        <v>36</v>
      </c>
      <c r="I379" s="45" t="s">
        <v>36</v>
      </c>
      <c r="J379" s="46" t="s">
        <v>36</v>
      </c>
      <c r="K379" s="47" t="s">
        <v>37</v>
      </c>
      <c r="L379" s="48" t="s">
        <v>35</v>
      </c>
      <c r="M379" s="48" t="s">
        <v>35</v>
      </c>
      <c r="N379" s="48" t="s">
        <v>37</v>
      </c>
      <c r="O379" s="48" t="s">
        <v>35</v>
      </c>
      <c r="P379" s="48" t="s">
        <v>35</v>
      </c>
      <c r="Q379" s="48" t="s">
        <v>35</v>
      </c>
      <c r="R379" s="48" t="s">
        <v>37</v>
      </c>
      <c r="S379" s="49" t="s">
        <v>999</v>
      </c>
      <c r="T379" s="50" t="s">
        <v>1000</v>
      </c>
      <c r="U379" s="51" t="s">
        <v>1000</v>
      </c>
      <c r="V379" s="52">
        <f t="shared" ref="V379:X379" si="384">IF(lenb(SUBSTITUTE($Z379,V$1&amp;" (1)",""))&lt;lenb($Z379),1,IF(lenb(SUBSTITUTE($Z379,V$1&amp;" (2)",""))&lt;lenb($Z379),2,IF(lenb(SUBSTITUTE($Z379,V$1&amp;" (3)",""))&lt;lenb($Z379),3,IF(lenb(SUBSTITUTE($Z379,V$1&amp;" (4)",""))&lt;lenb($Z379),4,IF(lenb(SUBSTITUTE($Z379,V$1&amp;" (5)",""))&lt;lenb($Z379),5,IF(lenb(SUBSTITUTE($Z379,V$1&amp;" (6)",""))&lt;lenb($Z379),6,IF(lenb(SUBSTITUTE($Z379,V$1&amp;" (7)",""))&lt;lenb($Z379),1,IF(lenb(SUBSTITUTE($Z379,V$1&amp;" (8)",""))&lt;lenb($Z379),8,IF(lenb(SUBSTITUTE($Z379,V$1&amp;" (9)",""))&lt;lenb($Z379),9,IF(lenb(SUBSTITUTE($Z379,V$1&amp;" (10)",""))&lt;lenb($Z379),10,IF(lenb(SUBSTITUTE($Z379,V$1,""))&lt;lenb($Z379),"ERROR",IF($Z379=$Y$1,"-",0))))))))))))</f>
        <v>1</v>
      </c>
      <c r="W379" s="52">
        <f t="shared" si="384"/>
        <v>0</v>
      </c>
      <c r="X379" s="52">
        <f t="shared" si="384"/>
        <v>0</v>
      </c>
      <c r="Y379" s="52" t="str">
        <f t="shared" si="3"/>
        <v>-</v>
      </c>
      <c r="Z379" s="52" t="s">
        <v>62</v>
      </c>
      <c r="AA379" s="53">
        <f t="shared" si="4"/>
        <v>1</v>
      </c>
      <c r="AB379" s="54">
        <f>COUNTIFS(Links!B:B,"ICSE",Links!C:C,A379,Links!AD:AD,1)</f>
        <v>0</v>
      </c>
      <c r="AC379" s="55" t="s">
        <v>35</v>
      </c>
      <c r="AD379" s="47" t="str">
        <f t="shared" si="5"/>
        <v>No</v>
      </c>
      <c r="AE379" s="56" t="s">
        <v>36</v>
      </c>
      <c r="AF379" s="57" t="s">
        <v>42</v>
      </c>
      <c r="AG379" s="57" t="s">
        <v>42</v>
      </c>
      <c r="AH379" s="57" t="s">
        <v>42</v>
      </c>
      <c r="AI379" s="49" t="str">
        <f t="shared" si="6"/>
        <v>----</v>
      </c>
      <c r="AJ379" s="58" t="str">
        <f t="shared" si="7"/>
        <v>Paper has link but no statement</v>
      </c>
      <c r="AK379" s="59">
        <v>45033.0</v>
      </c>
      <c r="AL379" s="43" t="s">
        <v>43</v>
      </c>
      <c r="AM379" s="60" t="str">
        <f t="shared" si="8"/>
        <v>[IP1148]</v>
      </c>
    </row>
    <row r="380" ht="67.5" customHeight="1">
      <c r="A380" s="61">
        <v>1149.0</v>
      </c>
      <c r="B380" s="22" t="s">
        <v>1001</v>
      </c>
      <c r="C380" s="23">
        <v>2018.0</v>
      </c>
      <c r="D380" s="24" t="s">
        <v>35</v>
      </c>
      <c r="E380" s="25" t="s">
        <v>36</v>
      </c>
      <c r="F380" s="25" t="s">
        <v>36</v>
      </c>
      <c r="G380" s="25" t="s">
        <v>36</v>
      </c>
      <c r="H380" s="25" t="s">
        <v>36</v>
      </c>
      <c r="I380" s="25" t="s">
        <v>36</v>
      </c>
      <c r="J380" s="26" t="s">
        <v>36</v>
      </c>
      <c r="K380" s="27" t="s">
        <v>37</v>
      </c>
      <c r="L380" s="28" t="s">
        <v>35</v>
      </c>
      <c r="M380" s="28" t="s">
        <v>35</v>
      </c>
      <c r="N380" s="28" t="s">
        <v>37</v>
      </c>
      <c r="O380" s="28" t="s">
        <v>35</v>
      </c>
      <c r="P380" s="28" t="s">
        <v>35</v>
      </c>
      <c r="Q380" s="28" t="s">
        <v>35</v>
      </c>
      <c r="R380" s="28" t="s">
        <v>37</v>
      </c>
      <c r="S380" s="29" t="s">
        <v>1002</v>
      </c>
      <c r="T380" s="30" t="s">
        <v>1003</v>
      </c>
      <c r="U380" s="31" t="s">
        <v>1003</v>
      </c>
      <c r="V380" s="32">
        <f t="shared" ref="V380:X380" si="385">IF(lenb(SUBSTITUTE($Z380,V$1&amp;" (1)",""))&lt;lenb($Z380),1,IF(lenb(SUBSTITUTE($Z380,V$1&amp;" (2)",""))&lt;lenb($Z380),2,IF(lenb(SUBSTITUTE($Z380,V$1&amp;" (3)",""))&lt;lenb($Z380),3,IF(lenb(SUBSTITUTE($Z380,V$1&amp;" (4)",""))&lt;lenb($Z380),4,IF(lenb(SUBSTITUTE($Z380,V$1&amp;" (5)",""))&lt;lenb($Z380),5,IF(lenb(SUBSTITUTE($Z380,V$1&amp;" (6)",""))&lt;lenb($Z380),6,IF(lenb(SUBSTITUTE($Z380,V$1&amp;" (7)",""))&lt;lenb($Z380),1,IF(lenb(SUBSTITUTE($Z380,V$1&amp;" (8)",""))&lt;lenb($Z380),8,IF(lenb(SUBSTITUTE($Z380,V$1&amp;" (9)",""))&lt;lenb($Z380),9,IF(lenb(SUBSTITUTE($Z380,V$1&amp;" (10)",""))&lt;lenb($Z380),10,IF(lenb(SUBSTITUTE($Z380,V$1,""))&lt;lenb($Z380),"ERROR",IF($Z380=$Y$1,"-",0))))))))))))</f>
        <v>1</v>
      </c>
      <c r="W380" s="32">
        <f t="shared" si="385"/>
        <v>0</v>
      </c>
      <c r="X380" s="32">
        <f t="shared" si="385"/>
        <v>0</v>
      </c>
      <c r="Y380" s="32" t="str">
        <f t="shared" si="3"/>
        <v>-</v>
      </c>
      <c r="Z380" s="32" t="s">
        <v>62</v>
      </c>
      <c r="AA380" s="33">
        <f t="shared" si="4"/>
        <v>1</v>
      </c>
      <c r="AB380" s="34">
        <f>COUNTIFS(Links!B:B,"ICSE",Links!C:C,A380,Links!AD:AD,1)</f>
        <v>1</v>
      </c>
      <c r="AC380" s="35" t="s">
        <v>35</v>
      </c>
      <c r="AD380" s="27" t="str">
        <f t="shared" si="5"/>
        <v>No</v>
      </c>
      <c r="AE380" s="36" t="s">
        <v>36</v>
      </c>
      <c r="AF380" s="37" t="s">
        <v>42</v>
      </c>
      <c r="AG380" s="37" t="s">
        <v>42</v>
      </c>
      <c r="AH380" s="37" t="s">
        <v>42</v>
      </c>
      <c r="AI380" s="29" t="str">
        <f t="shared" si="6"/>
        <v>----</v>
      </c>
      <c r="AJ380" s="38" t="str">
        <f t="shared" si="7"/>
        <v>Paper has link but no statement</v>
      </c>
      <c r="AK380" s="39">
        <v>45033.0</v>
      </c>
      <c r="AL380" s="23" t="s">
        <v>43</v>
      </c>
      <c r="AM380" s="40" t="str">
        <f t="shared" si="8"/>
        <v>[IP1149]</v>
      </c>
    </row>
    <row r="381" ht="67.5" customHeight="1">
      <c r="A381" s="41">
        <v>1150.0</v>
      </c>
      <c r="B381" s="42" t="s">
        <v>1004</v>
      </c>
      <c r="C381" s="43">
        <v>2018.0</v>
      </c>
      <c r="D381" s="44" t="s">
        <v>35</v>
      </c>
      <c r="E381" s="45" t="s">
        <v>36</v>
      </c>
      <c r="F381" s="45" t="s">
        <v>36</v>
      </c>
      <c r="G381" s="45" t="s">
        <v>36</v>
      </c>
      <c r="H381" s="45" t="s">
        <v>36</v>
      </c>
      <c r="I381" s="45" t="s">
        <v>36</v>
      </c>
      <c r="J381" s="46" t="s">
        <v>36</v>
      </c>
      <c r="K381" s="47" t="s">
        <v>35</v>
      </c>
      <c r="L381" s="48" t="s">
        <v>36</v>
      </c>
      <c r="M381" s="48" t="s">
        <v>36</v>
      </c>
      <c r="N381" s="48" t="s">
        <v>36</v>
      </c>
      <c r="O381" s="48" t="s">
        <v>36</v>
      </c>
      <c r="P381" s="48" t="s">
        <v>36</v>
      </c>
      <c r="Q381" s="48" t="s">
        <v>36</v>
      </c>
      <c r="R381" s="48" t="s">
        <v>36</v>
      </c>
      <c r="S381" s="49" t="s">
        <v>36</v>
      </c>
      <c r="T381" s="50" t="s">
        <v>36</v>
      </c>
      <c r="U381" s="51" t="s">
        <v>36</v>
      </c>
      <c r="V381" s="52" t="str">
        <f t="shared" ref="V381:X381" si="386">IF(lenb(SUBSTITUTE($Z381,V$1&amp;" (1)",""))&lt;lenb($Z381),1,IF(lenb(SUBSTITUTE($Z381,V$1&amp;" (2)",""))&lt;lenb($Z381),2,IF(lenb(SUBSTITUTE($Z381,V$1&amp;" (3)",""))&lt;lenb($Z381),3,IF(lenb(SUBSTITUTE($Z381,V$1&amp;" (4)",""))&lt;lenb($Z381),4,IF(lenb(SUBSTITUTE($Z381,V$1&amp;" (5)",""))&lt;lenb($Z381),5,IF(lenb(SUBSTITUTE($Z381,V$1&amp;" (6)",""))&lt;lenb($Z381),6,IF(lenb(SUBSTITUTE($Z381,V$1&amp;" (7)",""))&lt;lenb($Z381),1,IF(lenb(SUBSTITUTE($Z381,V$1&amp;" (8)",""))&lt;lenb($Z381),8,IF(lenb(SUBSTITUTE($Z381,V$1&amp;" (9)",""))&lt;lenb($Z381),9,IF(lenb(SUBSTITUTE($Z381,V$1&amp;" (10)",""))&lt;lenb($Z381),10,IF(lenb(SUBSTITUTE($Z381,V$1,""))&lt;lenb($Z381),"ERROR",IF($Z381=$Y$1,"-",0))))))))))))</f>
        <v>-</v>
      </c>
      <c r="W381" s="52" t="str">
        <f t="shared" si="386"/>
        <v>-</v>
      </c>
      <c r="X381" s="52" t="str">
        <f t="shared" si="386"/>
        <v>-</v>
      </c>
      <c r="Y381" s="52">
        <f t="shared" si="3"/>
        <v>1</v>
      </c>
      <c r="Z381" s="52" t="s">
        <v>23</v>
      </c>
      <c r="AA381" s="53">
        <f t="shared" si="4"/>
        <v>0</v>
      </c>
      <c r="AB381" s="54">
        <f>COUNTIFS(Links!B:B,"ICSE",Links!C:C,A381,Links!AD:AD,1)</f>
        <v>0</v>
      </c>
      <c r="AC381" s="55" t="s">
        <v>36</v>
      </c>
      <c r="AD381" s="47" t="str">
        <f t="shared" si="5"/>
        <v>No</v>
      </c>
      <c r="AE381" s="56" t="s">
        <v>36</v>
      </c>
      <c r="AF381" s="57" t="s">
        <v>42</v>
      </c>
      <c r="AG381" s="57" t="s">
        <v>42</v>
      </c>
      <c r="AH381" s="57" t="s">
        <v>42</v>
      </c>
      <c r="AI381" s="49" t="str">
        <f t="shared" si="6"/>
        <v>----</v>
      </c>
      <c r="AJ381" s="58" t="str">
        <f t="shared" si="7"/>
        <v>Paper has no link and no statement</v>
      </c>
      <c r="AK381" s="59">
        <v>45033.0</v>
      </c>
      <c r="AL381" s="43" t="s">
        <v>43</v>
      </c>
      <c r="AM381" s="60" t="str">
        <f t="shared" si="8"/>
        <v>[IP1150]</v>
      </c>
    </row>
    <row r="382" ht="67.5" customHeight="1">
      <c r="A382" s="61">
        <v>1151.0</v>
      </c>
      <c r="B382" s="22" t="s">
        <v>1005</v>
      </c>
      <c r="C382" s="23">
        <v>2018.0</v>
      </c>
      <c r="D382" s="24" t="s">
        <v>35</v>
      </c>
      <c r="E382" s="25" t="s">
        <v>36</v>
      </c>
      <c r="F382" s="25" t="s">
        <v>36</v>
      </c>
      <c r="G382" s="25" t="s">
        <v>36</v>
      </c>
      <c r="H382" s="25" t="s">
        <v>36</v>
      </c>
      <c r="I382" s="25" t="s">
        <v>36</v>
      </c>
      <c r="J382" s="26" t="s">
        <v>36</v>
      </c>
      <c r="K382" s="27" t="s">
        <v>35</v>
      </c>
      <c r="L382" s="28" t="s">
        <v>36</v>
      </c>
      <c r="M382" s="28" t="s">
        <v>36</v>
      </c>
      <c r="N382" s="28" t="s">
        <v>36</v>
      </c>
      <c r="O382" s="28" t="s">
        <v>36</v>
      </c>
      <c r="P382" s="28" t="s">
        <v>36</v>
      </c>
      <c r="Q382" s="28" t="s">
        <v>36</v>
      </c>
      <c r="R382" s="28" t="s">
        <v>36</v>
      </c>
      <c r="S382" s="29" t="s">
        <v>36</v>
      </c>
      <c r="T382" s="30" t="s">
        <v>36</v>
      </c>
      <c r="U382" s="31" t="s">
        <v>36</v>
      </c>
      <c r="V382" s="32" t="str">
        <f t="shared" ref="V382:X382" si="387">IF(lenb(SUBSTITUTE($Z382,V$1&amp;" (1)",""))&lt;lenb($Z382),1,IF(lenb(SUBSTITUTE($Z382,V$1&amp;" (2)",""))&lt;lenb($Z382),2,IF(lenb(SUBSTITUTE($Z382,V$1&amp;" (3)",""))&lt;lenb($Z382),3,IF(lenb(SUBSTITUTE($Z382,V$1&amp;" (4)",""))&lt;lenb($Z382),4,IF(lenb(SUBSTITUTE($Z382,V$1&amp;" (5)",""))&lt;lenb($Z382),5,IF(lenb(SUBSTITUTE($Z382,V$1&amp;" (6)",""))&lt;lenb($Z382),6,IF(lenb(SUBSTITUTE($Z382,V$1&amp;" (7)",""))&lt;lenb($Z382),1,IF(lenb(SUBSTITUTE($Z382,V$1&amp;" (8)",""))&lt;lenb($Z382),8,IF(lenb(SUBSTITUTE($Z382,V$1&amp;" (9)",""))&lt;lenb($Z382),9,IF(lenb(SUBSTITUTE($Z382,V$1&amp;" (10)",""))&lt;lenb($Z382),10,IF(lenb(SUBSTITUTE($Z382,V$1,""))&lt;lenb($Z382),"ERROR",IF($Z382=$Y$1,"-",0))))))))))))</f>
        <v>-</v>
      </c>
      <c r="W382" s="32" t="str">
        <f t="shared" si="387"/>
        <v>-</v>
      </c>
      <c r="X382" s="32" t="str">
        <f t="shared" si="387"/>
        <v>-</v>
      </c>
      <c r="Y382" s="32">
        <f t="shared" si="3"/>
        <v>1</v>
      </c>
      <c r="Z382" s="32" t="s">
        <v>23</v>
      </c>
      <c r="AA382" s="33">
        <f t="shared" si="4"/>
        <v>0</v>
      </c>
      <c r="AB382" s="34">
        <f>COUNTIFS(Links!B:B,"ICSE",Links!C:C,A382,Links!AD:AD,1)</f>
        <v>0</v>
      </c>
      <c r="AC382" s="35" t="s">
        <v>36</v>
      </c>
      <c r="AD382" s="27" t="str">
        <f t="shared" si="5"/>
        <v>No</v>
      </c>
      <c r="AE382" s="36" t="s">
        <v>36</v>
      </c>
      <c r="AF382" s="37" t="s">
        <v>42</v>
      </c>
      <c r="AG382" s="37" t="s">
        <v>42</v>
      </c>
      <c r="AH382" s="37" t="s">
        <v>42</v>
      </c>
      <c r="AI382" s="29" t="str">
        <f t="shared" si="6"/>
        <v>----</v>
      </c>
      <c r="AJ382" s="38" t="str">
        <f t="shared" si="7"/>
        <v>Paper has no link and no statement</v>
      </c>
      <c r="AK382" s="39">
        <v>45033.0</v>
      </c>
      <c r="AL382" s="23" t="s">
        <v>43</v>
      </c>
      <c r="AM382" s="40" t="str">
        <f t="shared" si="8"/>
        <v>[IP1151]</v>
      </c>
    </row>
    <row r="383" ht="67.5" customHeight="1">
      <c r="A383" s="41">
        <v>1152.0</v>
      </c>
      <c r="B383" s="42" t="s">
        <v>1006</v>
      </c>
      <c r="C383" s="43">
        <v>2018.0</v>
      </c>
      <c r="D383" s="44" t="s">
        <v>35</v>
      </c>
      <c r="E383" s="45" t="s">
        <v>36</v>
      </c>
      <c r="F383" s="45" t="s">
        <v>36</v>
      </c>
      <c r="G383" s="45" t="s">
        <v>36</v>
      </c>
      <c r="H383" s="45" t="s">
        <v>36</v>
      </c>
      <c r="I383" s="45" t="s">
        <v>36</v>
      </c>
      <c r="J383" s="46" t="s">
        <v>36</v>
      </c>
      <c r="K383" s="47" t="s">
        <v>37</v>
      </c>
      <c r="L383" s="48" t="s">
        <v>37</v>
      </c>
      <c r="M383" s="48" t="s">
        <v>35</v>
      </c>
      <c r="N383" s="48" t="s">
        <v>35</v>
      </c>
      <c r="O383" s="48" t="s">
        <v>35</v>
      </c>
      <c r="P383" s="48" t="s">
        <v>35</v>
      </c>
      <c r="Q383" s="48" t="s">
        <v>35</v>
      </c>
      <c r="R383" s="48" t="s">
        <v>37</v>
      </c>
      <c r="S383" s="49" t="s">
        <v>1007</v>
      </c>
      <c r="T383" s="50" t="s">
        <v>1008</v>
      </c>
      <c r="U383" s="51" t="s">
        <v>1008</v>
      </c>
      <c r="V383" s="52">
        <f t="shared" ref="V383:X383" si="388">IF(lenb(SUBSTITUTE($Z383,V$1&amp;" (1)",""))&lt;lenb($Z383),1,IF(lenb(SUBSTITUTE($Z383,V$1&amp;" (2)",""))&lt;lenb($Z383),2,IF(lenb(SUBSTITUTE($Z383,V$1&amp;" (3)",""))&lt;lenb($Z383),3,IF(lenb(SUBSTITUTE($Z383,V$1&amp;" (4)",""))&lt;lenb($Z383),4,IF(lenb(SUBSTITUTE($Z383,V$1&amp;" (5)",""))&lt;lenb($Z383),5,IF(lenb(SUBSTITUTE($Z383,V$1&amp;" (6)",""))&lt;lenb($Z383),6,IF(lenb(SUBSTITUTE($Z383,V$1&amp;" (7)",""))&lt;lenb($Z383),1,IF(lenb(SUBSTITUTE($Z383,V$1&amp;" (8)",""))&lt;lenb($Z383),8,IF(lenb(SUBSTITUTE($Z383,V$1&amp;" (9)",""))&lt;lenb($Z383),9,IF(lenb(SUBSTITUTE($Z383,V$1&amp;" (10)",""))&lt;lenb($Z383),10,IF(lenb(SUBSTITUTE($Z383,V$1,""))&lt;lenb($Z383),"ERROR",IF($Z383=$Y$1,"-",0))))))))))))</f>
        <v>1</v>
      </c>
      <c r="W383" s="52">
        <f t="shared" si="388"/>
        <v>0</v>
      </c>
      <c r="X383" s="52">
        <f t="shared" si="388"/>
        <v>0</v>
      </c>
      <c r="Y383" s="52" t="str">
        <f t="shared" si="3"/>
        <v>-</v>
      </c>
      <c r="Z383" s="52" t="s">
        <v>62</v>
      </c>
      <c r="AA383" s="53">
        <f t="shared" si="4"/>
        <v>1</v>
      </c>
      <c r="AB383" s="54">
        <f>COUNTIFS(Links!B:B,"ICSE",Links!C:C,A383,Links!AD:AD,1)</f>
        <v>1</v>
      </c>
      <c r="AC383" s="55" t="s">
        <v>35</v>
      </c>
      <c r="AD383" s="47" t="str">
        <f t="shared" si="5"/>
        <v>No</v>
      </c>
      <c r="AE383" s="56" t="s">
        <v>36</v>
      </c>
      <c r="AF383" s="57" t="s">
        <v>42</v>
      </c>
      <c r="AG383" s="57" t="s">
        <v>42</v>
      </c>
      <c r="AH383" s="57" t="s">
        <v>42</v>
      </c>
      <c r="AI383" s="49" t="str">
        <f t="shared" si="6"/>
        <v>----</v>
      </c>
      <c r="AJ383" s="58" t="str">
        <f t="shared" si="7"/>
        <v>Paper has link but no statement</v>
      </c>
      <c r="AK383" s="59">
        <v>45033.0</v>
      </c>
      <c r="AL383" s="43" t="s">
        <v>43</v>
      </c>
      <c r="AM383" s="60" t="str">
        <f t="shared" si="8"/>
        <v>[IP1152]</v>
      </c>
    </row>
    <row r="384" ht="67.5" customHeight="1">
      <c r="A384" s="61">
        <v>1153.0</v>
      </c>
      <c r="B384" s="22" t="s">
        <v>1009</v>
      </c>
      <c r="C384" s="23">
        <v>2018.0</v>
      </c>
      <c r="D384" s="24" t="s">
        <v>35</v>
      </c>
      <c r="E384" s="25" t="s">
        <v>36</v>
      </c>
      <c r="F384" s="25" t="s">
        <v>36</v>
      </c>
      <c r="G384" s="25" t="s">
        <v>36</v>
      </c>
      <c r="H384" s="25" t="s">
        <v>36</v>
      </c>
      <c r="I384" s="25" t="s">
        <v>36</v>
      </c>
      <c r="J384" s="26" t="s">
        <v>36</v>
      </c>
      <c r="K384" s="27" t="s">
        <v>35</v>
      </c>
      <c r="L384" s="28" t="s">
        <v>36</v>
      </c>
      <c r="M384" s="28" t="s">
        <v>36</v>
      </c>
      <c r="N384" s="28" t="s">
        <v>36</v>
      </c>
      <c r="O384" s="28" t="s">
        <v>36</v>
      </c>
      <c r="P384" s="28" t="s">
        <v>36</v>
      </c>
      <c r="Q384" s="28" t="s">
        <v>36</v>
      </c>
      <c r="R384" s="28" t="s">
        <v>36</v>
      </c>
      <c r="S384" s="29" t="s">
        <v>36</v>
      </c>
      <c r="T384" s="30" t="s">
        <v>36</v>
      </c>
      <c r="U384" s="31" t="s">
        <v>36</v>
      </c>
      <c r="V384" s="32" t="str">
        <f t="shared" ref="V384:X384" si="389">IF(lenb(SUBSTITUTE($Z384,V$1&amp;" (1)",""))&lt;lenb($Z384),1,IF(lenb(SUBSTITUTE($Z384,V$1&amp;" (2)",""))&lt;lenb($Z384),2,IF(lenb(SUBSTITUTE($Z384,V$1&amp;" (3)",""))&lt;lenb($Z384),3,IF(lenb(SUBSTITUTE($Z384,V$1&amp;" (4)",""))&lt;lenb($Z384),4,IF(lenb(SUBSTITUTE($Z384,V$1&amp;" (5)",""))&lt;lenb($Z384),5,IF(lenb(SUBSTITUTE($Z384,V$1&amp;" (6)",""))&lt;lenb($Z384),6,IF(lenb(SUBSTITUTE($Z384,V$1&amp;" (7)",""))&lt;lenb($Z384),1,IF(lenb(SUBSTITUTE($Z384,V$1&amp;" (8)",""))&lt;lenb($Z384),8,IF(lenb(SUBSTITUTE($Z384,V$1&amp;" (9)",""))&lt;lenb($Z384),9,IF(lenb(SUBSTITUTE($Z384,V$1&amp;" (10)",""))&lt;lenb($Z384),10,IF(lenb(SUBSTITUTE($Z384,V$1,""))&lt;lenb($Z384),"ERROR",IF($Z384=$Y$1,"-",0))))))))))))</f>
        <v>-</v>
      </c>
      <c r="W384" s="32" t="str">
        <f t="shared" si="389"/>
        <v>-</v>
      </c>
      <c r="X384" s="32" t="str">
        <f t="shared" si="389"/>
        <v>-</v>
      </c>
      <c r="Y384" s="32">
        <f t="shared" si="3"/>
        <v>1</v>
      </c>
      <c r="Z384" s="32" t="s">
        <v>23</v>
      </c>
      <c r="AA384" s="33">
        <f t="shared" si="4"/>
        <v>0</v>
      </c>
      <c r="AB384" s="34">
        <f>COUNTIFS(Links!B:B,"ICSE",Links!C:C,A384,Links!AD:AD,1)</f>
        <v>0</v>
      </c>
      <c r="AC384" s="35" t="s">
        <v>36</v>
      </c>
      <c r="AD384" s="27" t="str">
        <f t="shared" si="5"/>
        <v>No</v>
      </c>
      <c r="AE384" s="36" t="s">
        <v>36</v>
      </c>
      <c r="AF384" s="37" t="s">
        <v>42</v>
      </c>
      <c r="AG384" s="37" t="s">
        <v>42</v>
      </c>
      <c r="AH384" s="37" t="s">
        <v>42</v>
      </c>
      <c r="AI384" s="29" t="str">
        <f t="shared" si="6"/>
        <v>----</v>
      </c>
      <c r="AJ384" s="38" t="str">
        <f t="shared" si="7"/>
        <v>Paper has no link and no statement</v>
      </c>
      <c r="AK384" s="39">
        <v>45033.0</v>
      </c>
      <c r="AL384" s="23" t="s">
        <v>43</v>
      </c>
      <c r="AM384" s="40" t="str">
        <f t="shared" si="8"/>
        <v>[IP1153]</v>
      </c>
    </row>
    <row r="385" ht="67.5" customHeight="1">
      <c r="A385" s="41">
        <v>1154.0</v>
      </c>
      <c r="B385" s="42" t="s">
        <v>1010</v>
      </c>
      <c r="C385" s="43">
        <v>2018.0</v>
      </c>
      <c r="D385" s="44" t="s">
        <v>35</v>
      </c>
      <c r="E385" s="45" t="s">
        <v>36</v>
      </c>
      <c r="F385" s="45" t="s">
        <v>36</v>
      </c>
      <c r="G385" s="45" t="s">
        <v>36</v>
      </c>
      <c r="H385" s="45" t="s">
        <v>36</v>
      </c>
      <c r="I385" s="45" t="s">
        <v>36</v>
      </c>
      <c r="J385" s="46" t="s">
        <v>36</v>
      </c>
      <c r="K385" s="47" t="s">
        <v>37</v>
      </c>
      <c r="L385" s="48" t="s">
        <v>35</v>
      </c>
      <c r="M385" s="48" t="s">
        <v>35</v>
      </c>
      <c r="N385" s="48" t="s">
        <v>37</v>
      </c>
      <c r="O385" s="48" t="s">
        <v>35</v>
      </c>
      <c r="P385" s="48" t="s">
        <v>35</v>
      </c>
      <c r="Q385" s="48" t="s">
        <v>35</v>
      </c>
      <c r="R385" s="48" t="s">
        <v>35</v>
      </c>
      <c r="S385" s="49" t="s">
        <v>944</v>
      </c>
      <c r="T385" s="50" t="s">
        <v>1011</v>
      </c>
      <c r="U385" s="51" t="s">
        <v>1011</v>
      </c>
      <c r="V385" s="52">
        <f t="shared" ref="V385:X385" si="390">IF(lenb(SUBSTITUTE($Z385,V$1&amp;" (1)",""))&lt;lenb($Z385),1,IF(lenb(SUBSTITUTE($Z385,V$1&amp;" (2)",""))&lt;lenb($Z385),2,IF(lenb(SUBSTITUTE($Z385,V$1&amp;" (3)",""))&lt;lenb($Z385),3,IF(lenb(SUBSTITUTE($Z385,V$1&amp;" (4)",""))&lt;lenb($Z385),4,IF(lenb(SUBSTITUTE($Z385,V$1&amp;" (5)",""))&lt;lenb($Z385),5,IF(lenb(SUBSTITUTE($Z385,V$1&amp;" (6)",""))&lt;lenb($Z385),6,IF(lenb(SUBSTITUTE($Z385,V$1&amp;" (7)",""))&lt;lenb($Z385),1,IF(lenb(SUBSTITUTE($Z385,V$1&amp;" (8)",""))&lt;lenb($Z385),8,IF(lenb(SUBSTITUTE($Z385,V$1&amp;" (9)",""))&lt;lenb($Z385),9,IF(lenb(SUBSTITUTE($Z385,V$1&amp;" (10)",""))&lt;lenb($Z385),10,IF(lenb(SUBSTITUTE($Z385,V$1,""))&lt;lenb($Z385),"ERROR",IF($Z385=$Y$1,"-",0))))))))))))</f>
        <v>1</v>
      </c>
      <c r="W385" s="52">
        <f t="shared" si="390"/>
        <v>0</v>
      </c>
      <c r="X385" s="52">
        <f t="shared" si="390"/>
        <v>0</v>
      </c>
      <c r="Y385" s="52" t="str">
        <f t="shared" si="3"/>
        <v>-</v>
      </c>
      <c r="Z385" s="52" t="s">
        <v>62</v>
      </c>
      <c r="AA385" s="53">
        <f t="shared" si="4"/>
        <v>1</v>
      </c>
      <c r="AB385" s="54">
        <f>COUNTIFS(Links!B:B,"ICSE",Links!C:C,A385,Links!AD:AD,1)</f>
        <v>1</v>
      </c>
      <c r="AC385" s="55" t="s">
        <v>35</v>
      </c>
      <c r="AD385" s="47" t="str">
        <f t="shared" si="5"/>
        <v>No</v>
      </c>
      <c r="AE385" s="56" t="s">
        <v>36</v>
      </c>
      <c r="AF385" s="57" t="s">
        <v>42</v>
      </c>
      <c r="AG385" s="57" t="s">
        <v>42</v>
      </c>
      <c r="AH385" s="57" t="s">
        <v>42</v>
      </c>
      <c r="AI385" s="49" t="str">
        <f t="shared" si="6"/>
        <v>----</v>
      </c>
      <c r="AJ385" s="58" t="str">
        <f t="shared" si="7"/>
        <v>Paper has link but no statement</v>
      </c>
      <c r="AK385" s="59">
        <v>45033.0</v>
      </c>
      <c r="AL385" s="43" t="s">
        <v>43</v>
      </c>
      <c r="AM385" s="60" t="str">
        <f t="shared" si="8"/>
        <v>[IP1154]</v>
      </c>
    </row>
    <row r="386" ht="67.5" customHeight="1">
      <c r="A386" s="61">
        <v>1155.0</v>
      </c>
      <c r="B386" s="22" t="s">
        <v>1012</v>
      </c>
      <c r="C386" s="23">
        <v>2018.0</v>
      </c>
      <c r="D386" s="24" t="s">
        <v>35</v>
      </c>
      <c r="E386" s="25" t="s">
        <v>36</v>
      </c>
      <c r="F386" s="25" t="s">
        <v>36</v>
      </c>
      <c r="G386" s="25" t="s">
        <v>36</v>
      </c>
      <c r="H386" s="25" t="s">
        <v>36</v>
      </c>
      <c r="I386" s="25" t="s">
        <v>36</v>
      </c>
      <c r="J386" s="26" t="s">
        <v>36</v>
      </c>
      <c r="K386" s="27" t="s">
        <v>37</v>
      </c>
      <c r="L386" s="28" t="s">
        <v>35</v>
      </c>
      <c r="M386" s="28" t="s">
        <v>37</v>
      </c>
      <c r="N386" s="28" t="s">
        <v>35</v>
      </c>
      <c r="O386" s="28" t="s">
        <v>35</v>
      </c>
      <c r="P386" s="28" t="s">
        <v>35</v>
      </c>
      <c r="Q386" s="28" t="s">
        <v>35</v>
      </c>
      <c r="R386" s="28" t="s">
        <v>37</v>
      </c>
      <c r="S386" s="29" t="s">
        <v>1013</v>
      </c>
      <c r="T386" s="30" t="s">
        <v>1014</v>
      </c>
      <c r="U386" s="31" t="s">
        <v>1014</v>
      </c>
      <c r="V386" s="32">
        <f t="shared" ref="V386:X386" si="391">IF(lenb(SUBSTITUTE($Z386,V$1&amp;" (1)",""))&lt;lenb($Z386),1,IF(lenb(SUBSTITUTE($Z386,V$1&amp;" (2)",""))&lt;lenb($Z386),2,IF(lenb(SUBSTITUTE($Z386,V$1&amp;" (3)",""))&lt;lenb($Z386),3,IF(lenb(SUBSTITUTE($Z386,V$1&amp;" (4)",""))&lt;lenb($Z386),4,IF(lenb(SUBSTITUTE($Z386,V$1&amp;" (5)",""))&lt;lenb($Z386),5,IF(lenb(SUBSTITUTE($Z386,V$1&amp;" (6)",""))&lt;lenb($Z386),6,IF(lenb(SUBSTITUTE($Z386,V$1&amp;" (7)",""))&lt;lenb($Z386),1,IF(lenb(SUBSTITUTE($Z386,V$1&amp;" (8)",""))&lt;lenb($Z386),8,IF(lenb(SUBSTITUTE($Z386,V$1&amp;" (9)",""))&lt;lenb($Z386),9,IF(lenb(SUBSTITUTE($Z386,V$1&amp;" (10)",""))&lt;lenb($Z386),10,IF(lenb(SUBSTITUTE($Z386,V$1,""))&lt;lenb($Z386),"ERROR",IF($Z386=$Y$1,"-",0))))))))))))</f>
        <v>0</v>
      </c>
      <c r="W386" s="32">
        <f t="shared" si="391"/>
        <v>1</v>
      </c>
      <c r="X386" s="32">
        <f t="shared" si="391"/>
        <v>0</v>
      </c>
      <c r="Y386" s="32" t="str">
        <f t="shared" si="3"/>
        <v>-</v>
      </c>
      <c r="Z386" s="32" t="s">
        <v>47</v>
      </c>
      <c r="AA386" s="33">
        <f t="shared" si="4"/>
        <v>1</v>
      </c>
      <c r="AB386" s="34">
        <f>COUNTIFS(Links!B:B,"ICSE",Links!C:C,A386,Links!AD:AD,1)</f>
        <v>0</v>
      </c>
      <c r="AC386" s="35" t="s">
        <v>35</v>
      </c>
      <c r="AD386" s="27" t="str">
        <f t="shared" si="5"/>
        <v>No</v>
      </c>
      <c r="AE386" s="36" t="s">
        <v>36</v>
      </c>
      <c r="AF386" s="37" t="s">
        <v>42</v>
      </c>
      <c r="AG386" s="37" t="s">
        <v>42</v>
      </c>
      <c r="AH386" s="37" t="s">
        <v>42</v>
      </c>
      <c r="AI386" s="29" t="str">
        <f t="shared" si="6"/>
        <v>----</v>
      </c>
      <c r="AJ386" s="38" t="str">
        <f t="shared" si="7"/>
        <v>Paper has link but no statement</v>
      </c>
      <c r="AK386" s="39">
        <v>45033.0</v>
      </c>
      <c r="AL386" s="23" t="s">
        <v>43</v>
      </c>
      <c r="AM386" s="40" t="str">
        <f t="shared" si="8"/>
        <v>[IP1155]</v>
      </c>
    </row>
    <row r="387" ht="67.5" customHeight="1">
      <c r="A387" s="41">
        <v>1158.0</v>
      </c>
      <c r="B387" s="42" t="s">
        <v>1015</v>
      </c>
      <c r="C387" s="43">
        <v>2018.0</v>
      </c>
      <c r="D387" s="44" t="s">
        <v>35</v>
      </c>
      <c r="E387" s="45" t="s">
        <v>36</v>
      </c>
      <c r="F387" s="45" t="s">
        <v>36</v>
      </c>
      <c r="G387" s="45" t="s">
        <v>36</v>
      </c>
      <c r="H387" s="45" t="s">
        <v>36</v>
      </c>
      <c r="I387" s="45" t="s">
        <v>36</v>
      </c>
      <c r="J387" s="46" t="s">
        <v>36</v>
      </c>
      <c r="K387" s="47" t="s">
        <v>37</v>
      </c>
      <c r="L387" s="48" t="s">
        <v>35</v>
      </c>
      <c r="M387" s="48" t="s">
        <v>37</v>
      </c>
      <c r="N387" s="48" t="s">
        <v>35</v>
      </c>
      <c r="O387" s="48" t="s">
        <v>35</v>
      </c>
      <c r="P387" s="48" t="s">
        <v>35</v>
      </c>
      <c r="Q387" s="48" t="s">
        <v>35</v>
      </c>
      <c r="R387" s="48" t="s">
        <v>37</v>
      </c>
      <c r="S387" s="49" t="s">
        <v>1016</v>
      </c>
      <c r="T387" s="50" t="s">
        <v>1017</v>
      </c>
      <c r="U387" s="51" t="s">
        <v>1017</v>
      </c>
      <c r="V387" s="52">
        <f t="shared" ref="V387:X387" si="392">IF(lenb(SUBSTITUTE($Z387,V$1&amp;" (1)",""))&lt;lenb($Z387),1,IF(lenb(SUBSTITUTE($Z387,V$1&amp;" (2)",""))&lt;lenb($Z387),2,IF(lenb(SUBSTITUTE($Z387,V$1&amp;" (3)",""))&lt;lenb($Z387),3,IF(lenb(SUBSTITUTE($Z387,V$1&amp;" (4)",""))&lt;lenb($Z387),4,IF(lenb(SUBSTITUTE($Z387,V$1&amp;" (5)",""))&lt;lenb($Z387),5,IF(lenb(SUBSTITUTE($Z387,V$1&amp;" (6)",""))&lt;lenb($Z387),6,IF(lenb(SUBSTITUTE($Z387,V$1&amp;" (7)",""))&lt;lenb($Z387),1,IF(lenb(SUBSTITUTE($Z387,V$1&amp;" (8)",""))&lt;lenb($Z387),8,IF(lenb(SUBSTITUTE($Z387,V$1&amp;" (9)",""))&lt;lenb($Z387),9,IF(lenb(SUBSTITUTE($Z387,V$1&amp;" (10)",""))&lt;lenb($Z387),10,IF(lenb(SUBSTITUTE($Z387,V$1,""))&lt;lenb($Z387),"ERROR",IF($Z387=$Y$1,"-",0))))))))))))</f>
        <v>1</v>
      </c>
      <c r="W387" s="52">
        <f t="shared" si="392"/>
        <v>0</v>
      </c>
      <c r="X387" s="52">
        <f t="shared" si="392"/>
        <v>0</v>
      </c>
      <c r="Y387" s="52" t="str">
        <f t="shared" si="3"/>
        <v>-</v>
      </c>
      <c r="Z387" s="52" t="s">
        <v>62</v>
      </c>
      <c r="AA387" s="53">
        <f t="shared" si="4"/>
        <v>1</v>
      </c>
      <c r="AB387" s="54">
        <f>COUNTIFS(Links!B:B,"ICSE",Links!C:C,A387,Links!AD:AD,1)</f>
        <v>0</v>
      </c>
      <c r="AC387" s="55" t="s">
        <v>37</v>
      </c>
      <c r="AD387" s="47" t="str">
        <f t="shared" si="5"/>
        <v>No</v>
      </c>
      <c r="AE387" s="56" t="s">
        <v>36</v>
      </c>
      <c r="AF387" s="57" t="s">
        <v>42</v>
      </c>
      <c r="AG387" s="57" t="s">
        <v>42</v>
      </c>
      <c r="AH387" s="57" t="s">
        <v>42</v>
      </c>
      <c r="AI387" s="49" t="str">
        <f t="shared" si="6"/>
        <v>----</v>
      </c>
      <c r="AJ387" s="58" t="str">
        <f t="shared" si="7"/>
        <v>Paper has link but no statement</v>
      </c>
      <c r="AK387" s="59">
        <v>45033.0</v>
      </c>
      <c r="AL387" s="43" t="s">
        <v>43</v>
      </c>
      <c r="AM387" s="60" t="str">
        <f t="shared" si="8"/>
        <v>[IP1158]</v>
      </c>
    </row>
    <row r="388" ht="67.5" customHeight="1">
      <c r="A388" s="61">
        <v>1159.0</v>
      </c>
      <c r="B388" s="22" t="s">
        <v>1018</v>
      </c>
      <c r="C388" s="23">
        <v>2018.0</v>
      </c>
      <c r="D388" s="24" t="s">
        <v>35</v>
      </c>
      <c r="E388" s="25" t="s">
        <v>36</v>
      </c>
      <c r="F388" s="25" t="s">
        <v>36</v>
      </c>
      <c r="G388" s="25" t="s">
        <v>36</v>
      </c>
      <c r="H388" s="25" t="s">
        <v>36</v>
      </c>
      <c r="I388" s="25" t="s">
        <v>36</v>
      </c>
      <c r="J388" s="26" t="s">
        <v>36</v>
      </c>
      <c r="K388" s="27" t="s">
        <v>37</v>
      </c>
      <c r="L388" s="28" t="s">
        <v>35</v>
      </c>
      <c r="M388" s="28" t="s">
        <v>37</v>
      </c>
      <c r="N388" s="28" t="s">
        <v>37</v>
      </c>
      <c r="O388" s="28" t="s">
        <v>35</v>
      </c>
      <c r="P388" s="28" t="s">
        <v>35</v>
      </c>
      <c r="Q388" s="28" t="s">
        <v>35</v>
      </c>
      <c r="R388" s="28" t="s">
        <v>35</v>
      </c>
      <c r="S388" s="29" t="s">
        <v>1019</v>
      </c>
      <c r="T388" s="30" t="s">
        <v>1020</v>
      </c>
      <c r="U388" s="31" t="s">
        <v>1020</v>
      </c>
      <c r="V388" s="32">
        <f t="shared" ref="V388:X388" si="393">IF(lenb(SUBSTITUTE($Z388,V$1&amp;" (1)",""))&lt;lenb($Z388),1,IF(lenb(SUBSTITUTE($Z388,V$1&amp;" (2)",""))&lt;lenb($Z388),2,IF(lenb(SUBSTITUTE($Z388,V$1&amp;" (3)",""))&lt;lenb($Z388),3,IF(lenb(SUBSTITUTE($Z388,V$1&amp;" (4)",""))&lt;lenb($Z388),4,IF(lenb(SUBSTITUTE($Z388,V$1&amp;" (5)",""))&lt;lenb($Z388),5,IF(lenb(SUBSTITUTE($Z388,V$1&amp;" (6)",""))&lt;lenb($Z388),6,IF(lenb(SUBSTITUTE($Z388,V$1&amp;" (7)",""))&lt;lenb($Z388),1,IF(lenb(SUBSTITUTE($Z388,V$1&amp;" (8)",""))&lt;lenb($Z388),8,IF(lenb(SUBSTITUTE($Z388,V$1&amp;" (9)",""))&lt;lenb($Z388),9,IF(lenb(SUBSTITUTE($Z388,V$1&amp;" (10)",""))&lt;lenb($Z388),10,IF(lenb(SUBSTITUTE($Z388,V$1,""))&lt;lenb($Z388),"ERROR",IF($Z388=$Y$1,"-",0))))))))))))</f>
        <v>1</v>
      </c>
      <c r="W388" s="32">
        <f t="shared" si="393"/>
        <v>0</v>
      </c>
      <c r="X388" s="32">
        <f t="shared" si="393"/>
        <v>0</v>
      </c>
      <c r="Y388" s="32" t="str">
        <f t="shared" si="3"/>
        <v>-</v>
      </c>
      <c r="Z388" s="32" t="s">
        <v>62</v>
      </c>
      <c r="AA388" s="33">
        <f t="shared" si="4"/>
        <v>1</v>
      </c>
      <c r="AB388" s="34">
        <f>COUNTIFS(Links!B:B,"ICSE",Links!C:C,A388,Links!AD:AD,1)</f>
        <v>0</v>
      </c>
      <c r="AC388" s="35" t="s">
        <v>35</v>
      </c>
      <c r="AD388" s="27" t="str">
        <f t="shared" si="5"/>
        <v>No</v>
      </c>
      <c r="AE388" s="36" t="s">
        <v>36</v>
      </c>
      <c r="AF388" s="37" t="s">
        <v>42</v>
      </c>
      <c r="AG388" s="37" t="s">
        <v>42</v>
      </c>
      <c r="AH388" s="37" t="s">
        <v>42</v>
      </c>
      <c r="AI388" s="29" t="str">
        <f t="shared" si="6"/>
        <v>----</v>
      </c>
      <c r="AJ388" s="38" t="str">
        <f t="shared" si="7"/>
        <v>Paper has link but no statement</v>
      </c>
      <c r="AK388" s="39">
        <v>45033.0</v>
      </c>
      <c r="AL388" s="23" t="s">
        <v>43</v>
      </c>
      <c r="AM388" s="40" t="str">
        <f t="shared" si="8"/>
        <v>[IP1159]</v>
      </c>
    </row>
    <row r="389" ht="67.5" customHeight="1">
      <c r="A389" s="41">
        <v>1161.0</v>
      </c>
      <c r="B389" s="42" t="s">
        <v>1021</v>
      </c>
      <c r="C389" s="43">
        <v>2018.0</v>
      </c>
      <c r="D389" s="44" t="s">
        <v>35</v>
      </c>
      <c r="E389" s="45" t="s">
        <v>36</v>
      </c>
      <c r="F389" s="45" t="s">
        <v>36</v>
      </c>
      <c r="G389" s="45" t="s">
        <v>36</v>
      </c>
      <c r="H389" s="45" t="s">
        <v>36</v>
      </c>
      <c r="I389" s="45" t="s">
        <v>36</v>
      </c>
      <c r="J389" s="46" t="s">
        <v>36</v>
      </c>
      <c r="K389" s="47" t="s">
        <v>37</v>
      </c>
      <c r="L389" s="48" t="s">
        <v>35</v>
      </c>
      <c r="M389" s="48" t="s">
        <v>37</v>
      </c>
      <c r="N389" s="48" t="s">
        <v>37</v>
      </c>
      <c r="O389" s="48" t="s">
        <v>37</v>
      </c>
      <c r="P389" s="48" t="s">
        <v>35</v>
      </c>
      <c r="Q389" s="48" t="s">
        <v>35</v>
      </c>
      <c r="R389" s="48" t="s">
        <v>37</v>
      </c>
      <c r="S389" s="49" t="s">
        <v>1022</v>
      </c>
      <c r="T389" s="50" t="s">
        <v>1023</v>
      </c>
      <c r="U389" s="51" t="s">
        <v>1023</v>
      </c>
      <c r="V389" s="52">
        <f t="shared" ref="V389:X389" si="394">IF(lenb(SUBSTITUTE($Z389,V$1&amp;" (1)",""))&lt;lenb($Z389),1,IF(lenb(SUBSTITUTE($Z389,V$1&amp;" (2)",""))&lt;lenb($Z389),2,IF(lenb(SUBSTITUTE($Z389,V$1&amp;" (3)",""))&lt;lenb($Z389),3,IF(lenb(SUBSTITUTE($Z389,V$1&amp;" (4)",""))&lt;lenb($Z389),4,IF(lenb(SUBSTITUTE($Z389,V$1&amp;" (5)",""))&lt;lenb($Z389),5,IF(lenb(SUBSTITUTE($Z389,V$1&amp;" (6)",""))&lt;lenb($Z389),6,IF(lenb(SUBSTITUTE($Z389,V$1&amp;" (7)",""))&lt;lenb($Z389),1,IF(lenb(SUBSTITUTE($Z389,V$1&amp;" (8)",""))&lt;lenb($Z389),8,IF(lenb(SUBSTITUTE($Z389,V$1&amp;" (9)",""))&lt;lenb($Z389),9,IF(lenb(SUBSTITUTE($Z389,V$1&amp;" (10)",""))&lt;lenb($Z389),10,IF(lenb(SUBSTITUTE($Z389,V$1,""))&lt;lenb($Z389),"ERROR",IF($Z389=$Y$1,"-",0))))))))))))</f>
        <v>1</v>
      </c>
      <c r="W389" s="52">
        <f t="shared" si="394"/>
        <v>0</v>
      </c>
      <c r="X389" s="52">
        <f t="shared" si="394"/>
        <v>0</v>
      </c>
      <c r="Y389" s="52" t="str">
        <f t="shared" si="3"/>
        <v>-</v>
      </c>
      <c r="Z389" s="52" t="s">
        <v>62</v>
      </c>
      <c r="AA389" s="53">
        <f t="shared" si="4"/>
        <v>1</v>
      </c>
      <c r="AB389" s="54">
        <f>COUNTIFS(Links!B:B,"ICSE",Links!C:C,A389,Links!AD:AD,1)</f>
        <v>1</v>
      </c>
      <c r="AC389" s="55" t="s">
        <v>35</v>
      </c>
      <c r="AD389" s="47" t="str">
        <f t="shared" si="5"/>
        <v>No</v>
      </c>
      <c r="AE389" s="56" t="s">
        <v>36</v>
      </c>
      <c r="AF389" s="57" t="s">
        <v>42</v>
      </c>
      <c r="AG389" s="57" t="s">
        <v>42</v>
      </c>
      <c r="AH389" s="57" t="s">
        <v>42</v>
      </c>
      <c r="AI389" s="49" t="str">
        <f t="shared" si="6"/>
        <v>----</v>
      </c>
      <c r="AJ389" s="58" t="str">
        <f t="shared" si="7"/>
        <v>Paper has link but no statement</v>
      </c>
      <c r="AK389" s="59">
        <v>45033.0</v>
      </c>
      <c r="AL389" s="43" t="s">
        <v>43</v>
      </c>
      <c r="AM389" s="60" t="str">
        <f t="shared" si="8"/>
        <v>[IP1161]</v>
      </c>
    </row>
    <row r="390" ht="67.5" customHeight="1">
      <c r="A390" s="61">
        <v>1163.0</v>
      </c>
      <c r="B390" s="22" t="s">
        <v>1024</v>
      </c>
      <c r="C390" s="23">
        <v>2018.0</v>
      </c>
      <c r="D390" s="24" t="s">
        <v>35</v>
      </c>
      <c r="E390" s="25" t="s">
        <v>36</v>
      </c>
      <c r="F390" s="25" t="s">
        <v>36</v>
      </c>
      <c r="G390" s="25" t="s">
        <v>36</v>
      </c>
      <c r="H390" s="25" t="s">
        <v>36</v>
      </c>
      <c r="I390" s="25" t="s">
        <v>36</v>
      </c>
      <c r="J390" s="26" t="s">
        <v>36</v>
      </c>
      <c r="K390" s="27" t="s">
        <v>37</v>
      </c>
      <c r="L390" s="28" t="s">
        <v>35</v>
      </c>
      <c r="M390" s="28" t="s">
        <v>37</v>
      </c>
      <c r="N390" s="28" t="s">
        <v>37</v>
      </c>
      <c r="O390" s="28" t="s">
        <v>37</v>
      </c>
      <c r="P390" s="28" t="s">
        <v>37</v>
      </c>
      <c r="Q390" s="28" t="s">
        <v>35</v>
      </c>
      <c r="R390" s="28" t="s">
        <v>37</v>
      </c>
      <c r="S390" s="29" t="s">
        <v>1025</v>
      </c>
      <c r="T390" s="30" t="s">
        <v>1026</v>
      </c>
      <c r="U390" s="31" t="s">
        <v>1027</v>
      </c>
      <c r="V390" s="32">
        <f t="shared" ref="V390:X390" si="395">IF(lenb(SUBSTITUTE($Z390,V$1&amp;" (1)",""))&lt;lenb($Z390),1,IF(lenb(SUBSTITUTE($Z390,V$1&amp;" (2)",""))&lt;lenb($Z390),2,IF(lenb(SUBSTITUTE($Z390,V$1&amp;" (3)",""))&lt;lenb($Z390),3,IF(lenb(SUBSTITUTE($Z390,V$1&amp;" (4)",""))&lt;lenb($Z390),4,IF(lenb(SUBSTITUTE($Z390,V$1&amp;" (5)",""))&lt;lenb($Z390),5,IF(lenb(SUBSTITUTE($Z390,V$1&amp;" (6)",""))&lt;lenb($Z390),6,IF(lenb(SUBSTITUTE($Z390,V$1&amp;" (7)",""))&lt;lenb($Z390),1,IF(lenb(SUBSTITUTE($Z390,V$1&amp;" (8)",""))&lt;lenb($Z390),8,IF(lenb(SUBSTITUTE($Z390,V$1&amp;" (9)",""))&lt;lenb($Z390),9,IF(lenb(SUBSTITUTE($Z390,V$1&amp;" (10)",""))&lt;lenb($Z390),10,IF(lenb(SUBSTITUTE($Z390,V$1,""))&lt;lenb($Z390),"ERROR",IF($Z390=$Y$1,"-",0))))))))))))</f>
        <v>2</v>
      </c>
      <c r="W390" s="32">
        <f t="shared" si="395"/>
        <v>0</v>
      </c>
      <c r="X390" s="32">
        <f t="shared" si="395"/>
        <v>0</v>
      </c>
      <c r="Y390" s="32" t="str">
        <f t="shared" si="3"/>
        <v>-</v>
      </c>
      <c r="Z390" s="32" t="s">
        <v>57</v>
      </c>
      <c r="AA390" s="33">
        <f t="shared" si="4"/>
        <v>2</v>
      </c>
      <c r="AB390" s="34">
        <f>COUNTIFS(Links!B:B,"ICSE",Links!C:C,A390,Links!AD:AD,1)</f>
        <v>0</v>
      </c>
      <c r="AC390" s="35" t="s">
        <v>35</v>
      </c>
      <c r="AD390" s="27" t="str">
        <f t="shared" si="5"/>
        <v>No</v>
      </c>
      <c r="AE390" s="36" t="s">
        <v>36</v>
      </c>
      <c r="AF390" s="37" t="s">
        <v>42</v>
      </c>
      <c r="AG390" s="37" t="s">
        <v>42</v>
      </c>
      <c r="AH390" s="37" t="s">
        <v>42</v>
      </c>
      <c r="AI390" s="29" t="str">
        <f t="shared" si="6"/>
        <v>----</v>
      </c>
      <c r="AJ390" s="38" t="str">
        <f t="shared" si="7"/>
        <v>Paper has link but no statement</v>
      </c>
      <c r="AK390" s="39">
        <v>45033.0</v>
      </c>
      <c r="AL390" s="23" t="s">
        <v>43</v>
      </c>
      <c r="AM390" s="40" t="str">
        <f t="shared" si="8"/>
        <v>[IP1163]</v>
      </c>
    </row>
    <row r="391" ht="67.5" customHeight="1">
      <c r="A391" s="41">
        <v>1164.0</v>
      </c>
      <c r="B391" s="42" t="s">
        <v>1028</v>
      </c>
      <c r="C391" s="43">
        <v>2018.0</v>
      </c>
      <c r="D391" s="44" t="s">
        <v>35</v>
      </c>
      <c r="E391" s="45" t="s">
        <v>36</v>
      </c>
      <c r="F391" s="45" t="s">
        <v>36</v>
      </c>
      <c r="G391" s="45" t="s">
        <v>36</v>
      </c>
      <c r="H391" s="45" t="s">
        <v>36</v>
      </c>
      <c r="I391" s="45" t="s">
        <v>36</v>
      </c>
      <c r="J391" s="46" t="s">
        <v>36</v>
      </c>
      <c r="K391" s="47" t="s">
        <v>37</v>
      </c>
      <c r="L391" s="48" t="s">
        <v>35</v>
      </c>
      <c r="M391" s="48" t="s">
        <v>35</v>
      </c>
      <c r="N391" s="48" t="s">
        <v>37</v>
      </c>
      <c r="O391" s="48" t="s">
        <v>35</v>
      </c>
      <c r="P391" s="48" t="s">
        <v>35</v>
      </c>
      <c r="Q391" s="48" t="s">
        <v>35</v>
      </c>
      <c r="R391" s="48" t="s">
        <v>37</v>
      </c>
      <c r="S391" s="49" t="s">
        <v>1029</v>
      </c>
      <c r="T391" s="50" t="s">
        <v>1030</v>
      </c>
      <c r="U391" s="51" t="s">
        <v>1030</v>
      </c>
      <c r="V391" s="52">
        <f t="shared" ref="V391:X391" si="396">IF(lenb(SUBSTITUTE($Z391,V$1&amp;" (1)",""))&lt;lenb($Z391),1,IF(lenb(SUBSTITUTE($Z391,V$1&amp;" (2)",""))&lt;lenb($Z391),2,IF(lenb(SUBSTITUTE($Z391,V$1&amp;" (3)",""))&lt;lenb($Z391),3,IF(lenb(SUBSTITUTE($Z391,V$1&amp;" (4)",""))&lt;lenb($Z391),4,IF(lenb(SUBSTITUTE($Z391,V$1&amp;" (5)",""))&lt;lenb($Z391),5,IF(lenb(SUBSTITUTE($Z391,V$1&amp;" (6)",""))&lt;lenb($Z391),6,IF(lenb(SUBSTITUTE($Z391,V$1&amp;" (7)",""))&lt;lenb($Z391),1,IF(lenb(SUBSTITUTE($Z391,V$1&amp;" (8)",""))&lt;lenb($Z391),8,IF(lenb(SUBSTITUTE($Z391,V$1&amp;" (9)",""))&lt;lenb($Z391),9,IF(lenb(SUBSTITUTE($Z391,V$1&amp;" (10)",""))&lt;lenb($Z391),10,IF(lenb(SUBSTITUTE($Z391,V$1,""))&lt;lenb($Z391),"ERROR",IF($Z391=$Y$1,"-",0))))))))))))</f>
        <v>1</v>
      </c>
      <c r="W391" s="52">
        <f t="shared" si="396"/>
        <v>0</v>
      </c>
      <c r="X391" s="52">
        <f t="shared" si="396"/>
        <v>0</v>
      </c>
      <c r="Y391" s="52" t="str">
        <f t="shared" si="3"/>
        <v>-</v>
      </c>
      <c r="Z391" s="52" t="s">
        <v>62</v>
      </c>
      <c r="AA391" s="53">
        <f t="shared" si="4"/>
        <v>1</v>
      </c>
      <c r="AB391" s="54">
        <f>COUNTIFS(Links!B:B,"ICSE",Links!C:C,A391,Links!AD:AD,1)</f>
        <v>0</v>
      </c>
      <c r="AC391" s="55" t="s">
        <v>35</v>
      </c>
      <c r="AD391" s="47" t="str">
        <f t="shared" si="5"/>
        <v>No</v>
      </c>
      <c r="AE391" s="56" t="s">
        <v>36</v>
      </c>
      <c r="AF391" s="57" t="s">
        <v>42</v>
      </c>
      <c r="AG391" s="57" t="s">
        <v>42</v>
      </c>
      <c r="AH391" s="57" t="s">
        <v>42</v>
      </c>
      <c r="AI391" s="49" t="str">
        <f t="shared" si="6"/>
        <v>----</v>
      </c>
      <c r="AJ391" s="58" t="str">
        <f t="shared" si="7"/>
        <v>Paper has link but no statement</v>
      </c>
      <c r="AK391" s="59">
        <v>45033.0</v>
      </c>
      <c r="AL391" s="43" t="s">
        <v>43</v>
      </c>
      <c r="AM391" s="60" t="str">
        <f t="shared" si="8"/>
        <v>[IP1164]</v>
      </c>
    </row>
    <row r="392" ht="67.5" customHeight="1">
      <c r="A392" s="61">
        <v>1165.0</v>
      </c>
      <c r="B392" s="22" t="s">
        <v>1031</v>
      </c>
      <c r="C392" s="23">
        <v>2018.0</v>
      </c>
      <c r="D392" s="24" t="s">
        <v>35</v>
      </c>
      <c r="E392" s="25" t="s">
        <v>36</v>
      </c>
      <c r="F392" s="25" t="s">
        <v>36</v>
      </c>
      <c r="G392" s="25" t="s">
        <v>36</v>
      </c>
      <c r="H392" s="25" t="s">
        <v>36</v>
      </c>
      <c r="I392" s="25" t="s">
        <v>36</v>
      </c>
      <c r="J392" s="26" t="s">
        <v>36</v>
      </c>
      <c r="K392" s="27" t="s">
        <v>37</v>
      </c>
      <c r="L392" s="28" t="s">
        <v>37</v>
      </c>
      <c r="M392" s="28" t="s">
        <v>35</v>
      </c>
      <c r="N392" s="28" t="s">
        <v>35</v>
      </c>
      <c r="O392" s="28" t="s">
        <v>35</v>
      </c>
      <c r="P392" s="28" t="s">
        <v>35</v>
      </c>
      <c r="Q392" s="28" t="s">
        <v>35</v>
      </c>
      <c r="R392" s="28" t="s">
        <v>37</v>
      </c>
      <c r="S392" s="29" t="s">
        <v>1032</v>
      </c>
      <c r="T392" s="30" t="s">
        <v>1033</v>
      </c>
      <c r="U392" s="31" t="s">
        <v>1033</v>
      </c>
      <c r="V392" s="32">
        <f t="shared" ref="V392:X392" si="397">IF(lenb(SUBSTITUTE($Z392,V$1&amp;" (1)",""))&lt;lenb($Z392),1,IF(lenb(SUBSTITUTE($Z392,V$1&amp;" (2)",""))&lt;lenb($Z392),2,IF(lenb(SUBSTITUTE($Z392,V$1&amp;" (3)",""))&lt;lenb($Z392),3,IF(lenb(SUBSTITUTE($Z392,V$1&amp;" (4)",""))&lt;lenb($Z392),4,IF(lenb(SUBSTITUTE($Z392,V$1&amp;" (5)",""))&lt;lenb($Z392),5,IF(lenb(SUBSTITUTE($Z392,V$1&amp;" (6)",""))&lt;lenb($Z392),6,IF(lenb(SUBSTITUTE($Z392,V$1&amp;" (7)",""))&lt;lenb($Z392),1,IF(lenb(SUBSTITUTE($Z392,V$1&amp;" (8)",""))&lt;lenb($Z392),8,IF(lenb(SUBSTITUTE($Z392,V$1&amp;" (9)",""))&lt;lenb($Z392),9,IF(lenb(SUBSTITUTE($Z392,V$1&amp;" (10)",""))&lt;lenb($Z392),10,IF(lenb(SUBSTITUTE($Z392,V$1,""))&lt;lenb($Z392),"ERROR",IF($Z392=$Y$1,"-",0))))))))))))</f>
        <v>0</v>
      </c>
      <c r="W392" s="32">
        <f t="shared" si="397"/>
        <v>1</v>
      </c>
      <c r="X392" s="32">
        <f t="shared" si="397"/>
        <v>0</v>
      </c>
      <c r="Y392" s="32" t="str">
        <f t="shared" si="3"/>
        <v>-</v>
      </c>
      <c r="Z392" s="32" t="s">
        <v>47</v>
      </c>
      <c r="AA392" s="33">
        <f t="shared" si="4"/>
        <v>1</v>
      </c>
      <c r="AB392" s="34">
        <f>COUNTIFS(Links!B:B,"ICSE",Links!C:C,A392,Links!AD:AD,1)</f>
        <v>0</v>
      </c>
      <c r="AC392" s="35" t="s">
        <v>35</v>
      </c>
      <c r="AD392" s="27" t="str">
        <f t="shared" si="5"/>
        <v>No</v>
      </c>
      <c r="AE392" s="36" t="s">
        <v>36</v>
      </c>
      <c r="AF392" s="37" t="s">
        <v>42</v>
      </c>
      <c r="AG392" s="37" t="s">
        <v>42</v>
      </c>
      <c r="AH392" s="37" t="s">
        <v>42</v>
      </c>
      <c r="AI392" s="29" t="str">
        <f t="shared" si="6"/>
        <v>----</v>
      </c>
      <c r="AJ392" s="38" t="str">
        <f t="shared" si="7"/>
        <v>Paper has link but no statement</v>
      </c>
      <c r="AK392" s="39">
        <v>45033.0</v>
      </c>
      <c r="AL392" s="23" t="s">
        <v>43</v>
      </c>
      <c r="AM392" s="40" t="str">
        <f t="shared" si="8"/>
        <v>[IP1165]</v>
      </c>
    </row>
    <row r="393" ht="67.5" customHeight="1">
      <c r="A393" s="41">
        <v>1166.0</v>
      </c>
      <c r="B393" s="42" t="s">
        <v>1034</v>
      </c>
      <c r="C393" s="43">
        <v>2018.0</v>
      </c>
      <c r="D393" s="44" t="s">
        <v>37</v>
      </c>
      <c r="E393" s="45" t="s">
        <v>37</v>
      </c>
      <c r="F393" s="45" t="s">
        <v>35</v>
      </c>
      <c r="G393" s="45" t="s">
        <v>35</v>
      </c>
      <c r="H393" s="45" t="s">
        <v>35</v>
      </c>
      <c r="I393" s="45" t="s">
        <v>35</v>
      </c>
      <c r="J393" s="46" t="s">
        <v>36</v>
      </c>
      <c r="K393" s="47" t="s">
        <v>37</v>
      </c>
      <c r="L393" s="48" t="s">
        <v>35</v>
      </c>
      <c r="M393" s="48" t="s">
        <v>37</v>
      </c>
      <c r="N393" s="48" t="s">
        <v>37</v>
      </c>
      <c r="O393" s="48" t="s">
        <v>35</v>
      </c>
      <c r="P393" s="48" t="s">
        <v>35</v>
      </c>
      <c r="Q393" s="48" t="s">
        <v>35</v>
      </c>
      <c r="R393" s="48" t="s">
        <v>35</v>
      </c>
      <c r="S393" s="49" t="s">
        <v>1035</v>
      </c>
      <c r="T393" s="50" t="s">
        <v>1036</v>
      </c>
      <c r="U393" s="51" t="s">
        <v>1036</v>
      </c>
      <c r="V393" s="52">
        <f t="shared" ref="V393:X393" si="398">IF(lenb(SUBSTITUTE($Z393,V$1&amp;" (1)",""))&lt;lenb($Z393),1,IF(lenb(SUBSTITUTE($Z393,V$1&amp;" (2)",""))&lt;lenb($Z393),2,IF(lenb(SUBSTITUTE($Z393,V$1&amp;" (3)",""))&lt;lenb($Z393),3,IF(lenb(SUBSTITUTE($Z393,V$1&amp;" (4)",""))&lt;lenb($Z393),4,IF(lenb(SUBSTITUTE($Z393,V$1&amp;" (5)",""))&lt;lenb($Z393),5,IF(lenb(SUBSTITUTE($Z393,V$1&amp;" (6)",""))&lt;lenb($Z393),6,IF(lenb(SUBSTITUTE($Z393,V$1&amp;" (7)",""))&lt;lenb($Z393),1,IF(lenb(SUBSTITUTE($Z393,V$1&amp;" (8)",""))&lt;lenb($Z393),8,IF(lenb(SUBSTITUTE($Z393,V$1&amp;" (9)",""))&lt;lenb($Z393),9,IF(lenb(SUBSTITUTE($Z393,V$1&amp;" (10)",""))&lt;lenb($Z393),10,IF(lenb(SUBSTITUTE($Z393,V$1,""))&lt;lenb($Z393),"ERROR",IF($Z393=$Y$1,"-",0))))))))))))</f>
        <v>1</v>
      </c>
      <c r="W393" s="52">
        <f t="shared" si="398"/>
        <v>0</v>
      </c>
      <c r="X393" s="52">
        <f t="shared" si="398"/>
        <v>0</v>
      </c>
      <c r="Y393" s="52" t="str">
        <f t="shared" si="3"/>
        <v>-</v>
      </c>
      <c r="Z393" s="52" t="s">
        <v>62</v>
      </c>
      <c r="AA393" s="53">
        <f t="shared" si="4"/>
        <v>1</v>
      </c>
      <c r="AB393" s="54">
        <f>COUNTIFS(Links!B:B,"ICSE",Links!C:C,A393,Links!AD:AD,1)</f>
        <v>1</v>
      </c>
      <c r="AC393" s="55" t="s">
        <v>35</v>
      </c>
      <c r="AD393" s="47" t="str">
        <f t="shared" si="5"/>
        <v>No</v>
      </c>
      <c r="AE393" s="56" t="s">
        <v>36</v>
      </c>
      <c r="AF393" s="57" t="s">
        <v>42</v>
      </c>
      <c r="AG393" s="57" t="s">
        <v>42</v>
      </c>
      <c r="AH393" s="57" t="s">
        <v>42</v>
      </c>
      <c r="AI393" s="49" t="str">
        <f t="shared" si="6"/>
        <v>----</v>
      </c>
      <c r="AJ393" s="58" t="str">
        <f t="shared" si="7"/>
        <v>Paper has link but no statement</v>
      </c>
      <c r="AK393" s="59">
        <v>45033.0</v>
      </c>
      <c r="AL393" s="43" t="s">
        <v>43</v>
      </c>
      <c r="AM393" s="60" t="str">
        <f t="shared" si="8"/>
        <v>[IP1166]</v>
      </c>
    </row>
    <row r="394" ht="67.5" customHeight="1">
      <c r="A394" s="61">
        <v>1170.0</v>
      </c>
      <c r="B394" s="22" t="s">
        <v>1037</v>
      </c>
      <c r="C394" s="23">
        <v>2018.0</v>
      </c>
      <c r="D394" s="24" t="s">
        <v>35</v>
      </c>
      <c r="E394" s="25" t="s">
        <v>36</v>
      </c>
      <c r="F394" s="25" t="s">
        <v>36</v>
      </c>
      <c r="G394" s="25" t="s">
        <v>36</v>
      </c>
      <c r="H394" s="25" t="s">
        <v>36</v>
      </c>
      <c r="I394" s="25" t="s">
        <v>36</v>
      </c>
      <c r="J394" s="26" t="s">
        <v>36</v>
      </c>
      <c r="K394" s="27" t="s">
        <v>37</v>
      </c>
      <c r="L394" s="28" t="s">
        <v>35</v>
      </c>
      <c r="M394" s="28" t="s">
        <v>37</v>
      </c>
      <c r="N394" s="28" t="s">
        <v>37</v>
      </c>
      <c r="O394" s="28" t="s">
        <v>35</v>
      </c>
      <c r="P394" s="28" t="s">
        <v>35</v>
      </c>
      <c r="Q394" s="28" t="s">
        <v>35</v>
      </c>
      <c r="R394" s="28" t="s">
        <v>35</v>
      </c>
      <c r="S394" s="29" t="s">
        <v>1038</v>
      </c>
      <c r="T394" s="30" t="s">
        <v>1039</v>
      </c>
      <c r="U394" s="31" t="s">
        <v>1039</v>
      </c>
      <c r="V394" s="32">
        <f t="shared" ref="V394:X394" si="399">IF(lenb(SUBSTITUTE($Z394,V$1&amp;" (1)",""))&lt;lenb($Z394),1,IF(lenb(SUBSTITUTE($Z394,V$1&amp;" (2)",""))&lt;lenb($Z394),2,IF(lenb(SUBSTITUTE($Z394,V$1&amp;" (3)",""))&lt;lenb($Z394),3,IF(lenb(SUBSTITUTE($Z394,V$1&amp;" (4)",""))&lt;lenb($Z394),4,IF(lenb(SUBSTITUTE($Z394,V$1&amp;" (5)",""))&lt;lenb($Z394),5,IF(lenb(SUBSTITUTE($Z394,V$1&amp;" (6)",""))&lt;lenb($Z394),6,IF(lenb(SUBSTITUTE($Z394,V$1&amp;" (7)",""))&lt;lenb($Z394),1,IF(lenb(SUBSTITUTE($Z394,V$1&amp;" (8)",""))&lt;lenb($Z394),8,IF(lenb(SUBSTITUTE($Z394,V$1&amp;" (9)",""))&lt;lenb($Z394),9,IF(lenb(SUBSTITUTE($Z394,V$1&amp;" (10)",""))&lt;lenb($Z394),10,IF(lenb(SUBSTITUTE($Z394,V$1,""))&lt;lenb($Z394),"ERROR",IF($Z394=$Y$1,"-",0))))))))))))</f>
        <v>1</v>
      </c>
      <c r="W394" s="32">
        <f t="shared" si="399"/>
        <v>2</v>
      </c>
      <c r="X394" s="32">
        <f t="shared" si="399"/>
        <v>0</v>
      </c>
      <c r="Y394" s="32" t="str">
        <f t="shared" si="3"/>
        <v>-</v>
      </c>
      <c r="Z394" s="32" t="s">
        <v>828</v>
      </c>
      <c r="AA394" s="33">
        <f t="shared" si="4"/>
        <v>3</v>
      </c>
      <c r="AB394" s="34">
        <f>COUNTIFS(Links!B:B,"ICSE",Links!C:C,A394,Links!AD:AD,1)</f>
        <v>1</v>
      </c>
      <c r="AC394" s="35" t="s">
        <v>35</v>
      </c>
      <c r="AD394" s="27" t="str">
        <f t="shared" si="5"/>
        <v>No</v>
      </c>
      <c r="AE394" s="36" t="s">
        <v>36</v>
      </c>
      <c r="AF394" s="37" t="s">
        <v>42</v>
      </c>
      <c r="AG394" s="37" t="s">
        <v>42</v>
      </c>
      <c r="AH394" s="37" t="s">
        <v>42</v>
      </c>
      <c r="AI394" s="29" t="str">
        <f t="shared" si="6"/>
        <v>----</v>
      </c>
      <c r="AJ394" s="38" t="str">
        <f t="shared" si="7"/>
        <v>Paper has link but no statement</v>
      </c>
      <c r="AK394" s="39">
        <v>45033.0</v>
      </c>
      <c r="AL394" s="23" t="s">
        <v>43</v>
      </c>
      <c r="AM394" s="40" t="str">
        <f t="shared" si="8"/>
        <v>[IP1170]</v>
      </c>
    </row>
    <row r="395" ht="67.5" customHeight="1">
      <c r="A395" s="41">
        <v>1175.0</v>
      </c>
      <c r="B395" s="42" t="s">
        <v>1040</v>
      </c>
      <c r="C395" s="43">
        <v>2018.0</v>
      </c>
      <c r="D395" s="44" t="s">
        <v>35</v>
      </c>
      <c r="E395" s="45" t="s">
        <v>36</v>
      </c>
      <c r="F395" s="45" t="s">
        <v>36</v>
      </c>
      <c r="G395" s="45" t="s">
        <v>36</v>
      </c>
      <c r="H395" s="45" t="s">
        <v>36</v>
      </c>
      <c r="I395" s="45" t="s">
        <v>36</v>
      </c>
      <c r="J395" s="46" t="s">
        <v>36</v>
      </c>
      <c r="K395" s="47" t="s">
        <v>37</v>
      </c>
      <c r="L395" s="48" t="s">
        <v>35</v>
      </c>
      <c r="M395" s="48" t="s">
        <v>37</v>
      </c>
      <c r="N395" s="48" t="s">
        <v>35</v>
      </c>
      <c r="O395" s="48" t="s">
        <v>35</v>
      </c>
      <c r="P395" s="48" t="s">
        <v>35</v>
      </c>
      <c r="Q395" s="48" t="s">
        <v>35</v>
      </c>
      <c r="R395" s="48" t="s">
        <v>37</v>
      </c>
      <c r="S395" s="49" t="s">
        <v>1041</v>
      </c>
      <c r="T395" s="50" t="s">
        <v>1042</v>
      </c>
      <c r="U395" s="51" t="s">
        <v>1042</v>
      </c>
      <c r="V395" s="52">
        <f t="shared" ref="V395:X395" si="400">IF(lenb(SUBSTITUTE($Z395,V$1&amp;" (1)",""))&lt;lenb($Z395),1,IF(lenb(SUBSTITUTE($Z395,V$1&amp;" (2)",""))&lt;lenb($Z395),2,IF(lenb(SUBSTITUTE($Z395,V$1&amp;" (3)",""))&lt;lenb($Z395),3,IF(lenb(SUBSTITUTE($Z395,V$1&amp;" (4)",""))&lt;lenb($Z395),4,IF(lenb(SUBSTITUTE($Z395,V$1&amp;" (5)",""))&lt;lenb($Z395),5,IF(lenb(SUBSTITUTE($Z395,V$1&amp;" (6)",""))&lt;lenb($Z395),6,IF(lenb(SUBSTITUTE($Z395,V$1&amp;" (7)",""))&lt;lenb($Z395),1,IF(lenb(SUBSTITUTE($Z395,V$1&amp;" (8)",""))&lt;lenb($Z395),8,IF(lenb(SUBSTITUTE($Z395,V$1&amp;" (9)",""))&lt;lenb($Z395),9,IF(lenb(SUBSTITUTE($Z395,V$1&amp;" (10)",""))&lt;lenb($Z395),10,IF(lenb(SUBSTITUTE($Z395,V$1,""))&lt;lenb($Z395),"ERROR",IF($Z395=$Y$1,"-",0))))))))))))</f>
        <v>1</v>
      </c>
      <c r="W395" s="52">
        <f t="shared" si="400"/>
        <v>0</v>
      </c>
      <c r="X395" s="52">
        <f t="shared" si="400"/>
        <v>0</v>
      </c>
      <c r="Y395" s="52" t="str">
        <f t="shared" si="3"/>
        <v>-</v>
      </c>
      <c r="Z395" s="52" t="s">
        <v>62</v>
      </c>
      <c r="AA395" s="53">
        <f t="shared" si="4"/>
        <v>1</v>
      </c>
      <c r="AB395" s="54">
        <f>COUNTIFS(Links!B:B,"ICSE",Links!C:C,A395,Links!AD:AD,1)</f>
        <v>0</v>
      </c>
      <c r="AC395" s="55" t="s">
        <v>37</v>
      </c>
      <c r="AD395" s="47" t="str">
        <f t="shared" si="5"/>
        <v>Yes</v>
      </c>
      <c r="AE395" s="56" t="s">
        <v>1043</v>
      </c>
      <c r="AF395" s="56" t="s">
        <v>281</v>
      </c>
      <c r="AG395" s="57" t="s">
        <v>42</v>
      </c>
      <c r="AH395" s="57" t="s">
        <v>42</v>
      </c>
      <c r="AI395" s="49" t="str">
        <f t="shared" si="6"/>
        <v>Barriers (Confidentiality and privacy)</v>
      </c>
      <c r="AJ395" s="58" t="str">
        <f t="shared" si="7"/>
        <v>Paper has link and statement</v>
      </c>
      <c r="AK395" s="59">
        <v>45033.0</v>
      </c>
      <c r="AL395" s="43" t="s">
        <v>43</v>
      </c>
      <c r="AM395" s="60" t="str">
        <f t="shared" si="8"/>
        <v>[IP1175]</v>
      </c>
    </row>
    <row r="396" ht="67.5" customHeight="1">
      <c r="A396" s="61">
        <v>1176.0</v>
      </c>
      <c r="B396" s="22" t="s">
        <v>1044</v>
      </c>
      <c r="C396" s="23">
        <v>2018.0</v>
      </c>
      <c r="D396" s="24" t="s">
        <v>35</v>
      </c>
      <c r="E396" s="25" t="s">
        <v>36</v>
      </c>
      <c r="F396" s="25" t="s">
        <v>36</v>
      </c>
      <c r="G396" s="25" t="s">
        <v>36</v>
      </c>
      <c r="H396" s="25" t="s">
        <v>36</v>
      </c>
      <c r="I396" s="25" t="s">
        <v>36</v>
      </c>
      <c r="J396" s="26" t="s">
        <v>36</v>
      </c>
      <c r="K396" s="27" t="s">
        <v>37</v>
      </c>
      <c r="L396" s="28" t="s">
        <v>35</v>
      </c>
      <c r="M396" s="28" t="s">
        <v>35</v>
      </c>
      <c r="N396" s="28" t="s">
        <v>35</v>
      </c>
      <c r="O396" s="28" t="s">
        <v>35</v>
      </c>
      <c r="P396" s="28" t="s">
        <v>35</v>
      </c>
      <c r="Q396" s="28" t="s">
        <v>37</v>
      </c>
      <c r="R396" s="28" t="s">
        <v>35</v>
      </c>
      <c r="S396" s="29" t="s">
        <v>1045</v>
      </c>
      <c r="T396" s="30" t="s">
        <v>1046</v>
      </c>
      <c r="U396" s="31" t="s">
        <v>1046</v>
      </c>
      <c r="V396" s="32">
        <f t="shared" ref="V396:X396" si="401">IF(lenb(SUBSTITUTE($Z396,V$1&amp;" (1)",""))&lt;lenb($Z396),1,IF(lenb(SUBSTITUTE($Z396,V$1&amp;" (2)",""))&lt;lenb($Z396),2,IF(lenb(SUBSTITUTE($Z396,V$1&amp;" (3)",""))&lt;lenb($Z396),3,IF(lenb(SUBSTITUTE($Z396,V$1&amp;" (4)",""))&lt;lenb($Z396),4,IF(lenb(SUBSTITUTE($Z396,V$1&amp;" (5)",""))&lt;lenb($Z396),5,IF(lenb(SUBSTITUTE($Z396,V$1&amp;" (6)",""))&lt;lenb($Z396),6,IF(lenb(SUBSTITUTE($Z396,V$1&amp;" (7)",""))&lt;lenb($Z396),1,IF(lenb(SUBSTITUTE($Z396,V$1&amp;" (8)",""))&lt;lenb($Z396),8,IF(lenb(SUBSTITUTE($Z396,V$1&amp;" (9)",""))&lt;lenb($Z396),9,IF(lenb(SUBSTITUTE($Z396,V$1&amp;" (10)",""))&lt;lenb($Z396),10,IF(lenb(SUBSTITUTE($Z396,V$1,""))&lt;lenb($Z396),"ERROR",IF($Z396=$Y$1,"-",0))))))))))))</f>
        <v>1</v>
      </c>
      <c r="W396" s="32">
        <f t="shared" si="401"/>
        <v>0</v>
      </c>
      <c r="X396" s="32">
        <f t="shared" si="401"/>
        <v>0</v>
      </c>
      <c r="Y396" s="32" t="str">
        <f t="shared" si="3"/>
        <v>-</v>
      </c>
      <c r="Z396" s="32" t="s">
        <v>62</v>
      </c>
      <c r="AA396" s="33">
        <f t="shared" si="4"/>
        <v>1</v>
      </c>
      <c r="AB396" s="34">
        <f>COUNTIFS(Links!B:B,"ICSE",Links!C:C,A396,Links!AD:AD,1)</f>
        <v>0</v>
      </c>
      <c r="AC396" s="35" t="s">
        <v>35</v>
      </c>
      <c r="AD396" s="27" t="str">
        <f t="shared" si="5"/>
        <v>No</v>
      </c>
      <c r="AE396" s="36" t="s">
        <v>36</v>
      </c>
      <c r="AF396" s="37" t="s">
        <v>42</v>
      </c>
      <c r="AG396" s="37" t="s">
        <v>42</v>
      </c>
      <c r="AH396" s="37" t="s">
        <v>42</v>
      </c>
      <c r="AI396" s="29" t="str">
        <f t="shared" si="6"/>
        <v>----</v>
      </c>
      <c r="AJ396" s="38" t="str">
        <f t="shared" si="7"/>
        <v>Paper has link but no statement</v>
      </c>
      <c r="AK396" s="39">
        <v>45033.0</v>
      </c>
      <c r="AL396" s="23" t="s">
        <v>43</v>
      </c>
      <c r="AM396" s="40" t="str">
        <f t="shared" si="8"/>
        <v>[IP1176]</v>
      </c>
    </row>
    <row r="397" ht="67.5" customHeight="1">
      <c r="A397" s="41">
        <v>1177.0</v>
      </c>
      <c r="B397" s="42" t="s">
        <v>1047</v>
      </c>
      <c r="C397" s="43">
        <v>2018.0</v>
      </c>
      <c r="D397" s="44" t="s">
        <v>35</v>
      </c>
      <c r="E397" s="45" t="s">
        <v>36</v>
      </c>
      <c r="F397" s="45" t="s">
        <v>36</v>
      </c>
      <c r="G397" s="45" t="s">
        <v>36</v>
      </c>
      <c r="H397" s="45" t="s">
        <v>36</v>
      </c>
      <c r="I397" s="45" t="s">
        <v>36</v>
      </c>
      <c r="J397" s="46" t="s">
        <v>36</v>
      </c>
      <c r="K397" s="47" t="s">
        <v>35</v>
      </c>
      <c r="L397" s="48" t="s">
        <v>36</v>
      </c>
      <c r="M397" s="48" t="s">
        <v>36</v>
      </c>
      <c r="N397" s="48" t="s">
        <v>36</v>
      </c>
      <c r="O397" s="48" t="s">
        <v>36</v>
      </c>
      <c r="P397" s="48" t="s">
        <v>36</v>
      </c>
      <c r="Q397" s="48" t="s">
        <v>36</v>
      </c>
      <c r="R397" s="48" t="s">
        <v>36</v>
      </c>
      <c r="S397" s="49" t="s">
        <v>36</v>
      </c>
      <c r="T397" s="50" t="s">
        <v>36</v>
      </c>
      <c r="U397" s="51" t="s">
        <v>36</v>
      </c>
      <c r="V397" s="52" t="str">
        <f t="shared" ref="V397:X397" si="402">IF(lenb(SUBSTITUTE($Z397,V$1&amp;" (1)",""))&lt;lenb($Z397),1,IF(lenb(SUBSTITUTE($Z397,V$1&amp;" (2)",""))&lt;lenb($Z397),2,IF(lenb(SUBSTITUTE($Z397,V$1&amp;" (3)",""))&lt;lenb($Z397),3,IF(lenb(SUBSTITUTE($Z397,V$1&amp;" (4)",""))&lt;lenb($Z397),4,IF(lenb(SUBSTITUTE($Z397,V$1&amp;" (5)",""))&lt;lenb($Z397),5,IF(lenb(SUBSTITUTE($Z397,V$1&amp;" (6)",""))&lt;lenb($Z397),6,IF(lenb(SUBSTITUTE($Z397,V$1&amp;" (7)",""))&lt;lenb($Z397),1,IF(lenb(SUBSTITUTE($Z397,V$1&amp;" (8)",""))&lt;lenb($Z397),8,IF(lenb(SUBSTITUTE($Z397,V$1&amp;" (9)",""))&lt;lenb($Z397),9,IF(lenb(SUBSTITUTE($Z397,V$1&amp;" (10)",""))&lt;lenb($Z397),10,IF(lenb(SUBSTITUTE($Z397,V$1,""))&lt;lenb($Z397),"ERROR",IF($Z397=$Y$1,"-",0))))))))))))</f>
        <v>-</v>
      </c>
      <c r="W397" s="52" t="str">
        <f t="shared" si="402"/>
        <v>-</v>
      </c>
      <c r="X397" s="52" t="str">
        <f t="shared" si="402"/>
        <v>-</v>
      </c>
      <c r="Y397" s="52">
        <f t="shared" si="3"/>
        <v>1</v>
      </c>
      <c r="Z397" s="52" t="s">
        <v>23</v>
      </c>
      <c r="AA397" s="53">
        <f t="shared" si="4"/>
        <v>0</v>
      </c>
      <c r="AB397" s="54">
        <f>COUNTIFS(Links!B:B,"ICSE",Links!C:C,A397,Links!AD:AD,1)</f>
        <v>0</v>
      </c>
      <c r="AC397" s="55" t="s">
        <v>36</v>
      </c>
      <c r="AD397" s="47" t="str">
        <f t="shared" si="5"/>
        <v>No</v>
      </c>
      <c r="AE397" s="56" t="s">
        <v>36</v>
      </c>
      <c r="AF397" s="57" t="s">
        <v>42</v>
      </c>
      <c r="AG397" s="57" t="s">
        <v>42</v>
      </c>
      <c r="AH397" s="57" t="s">
        <v>42</v>
      </c>
      <c r="AI397" s="49" t="str">
        <f t="shared" si="6"/>
        <v>----</v>
      </c>
      <c r="AJ397" s="58" t="str">
        <f t="shared" si="7"/>
        <v>Paper has no link and no statement</v>
      </c>
      <c r="AK397" s="59">
        <v>45033.0</v>
      </c>
      <c r="AL397" s="43" t="s">
        <v>43</v>
      </c>
      <c r="AM397" s="60" t="str">
        <f t="shared" si="8"/>
        <v>[IP1177]</v>
      </c>
    </row>
    <row r="398" ht="67.5" customHeight="1">
      <c r="A398" s="61">
        <v>1180.0</v>
      </c>
      <c r="B398" s="22" t="s">
        <v>1048</v>
      </c>
      <c r="C398" s="23">
        <v>2018.0</v>
      </c>
      <c r="D398" s="24" t="s">
        <v>35</v>
      </c>
      <c r="E398" s="25" t="s">
        <v>36</v>
      </c>
      <c r="F398" s="25" t="s">
        <v>36</v>
      </c>
      <c r="G398" s="25" t="s">
        <v>36</v>
      </c>
      <c r="H398" s="25" t="s">
        <v>36</v>
      </c>
      <c r="I398" s="25" t="s">
        <v>36</v>
      </c>
      <c r="J398" s="26" t="s">
        <v>36</v>
      </c>
      <c r="K398" s="27" t="s">
        <v>35</v>
      </c>
      <c r="L398" s="28" t="s">
        <v>36</v>
      </c>
      <c r="M398" s="28" t="s">
        <v>36</v>
      </c>
      <c r="N398" s="28" t="s">
        <v>36</v>
      </c>
      <c r="O398" s="28" t="s">
        <v>36</v>
      </c>
      <c r="P398" s="28" t="s">
        <v>36</v>
      </c>
      <c r="Q398" s="28" t="s">
        <v>36</v>
      </c>
      <c r="R398" s="28" t="s">
        <v>36</v>
      </c>
      <c r="S398" s="29" t="s">
        <v>36</v>
      </c>
      <c r="T398" s="30" t="s">
        <v>36</v>
      </c>
      <c r="U398" s="31" t="s">
        <v>36</v>
      </c>
      <c r="V398" s="32" t="str">
        <f t="shared" ref="V398:X398" si="403">IF(lenb(SUBSTITUTE($Z398,V$1&amp;" (1)",""))&lt;lenb($Z398),1,IF(lenb(SUBSTITUTE($Z398,V$1&amp;" (2)",""))&lt;lenb($Z398),2,IF(lenb(SUBSTITUTE($Z398,V$1&amp;" (3)",""))&lt;lenb($Z398),3,IF(lenb(SUBSTITUTE($Z398,V$1&amp;" (4)",""))&lt;lenb($Z398),4,IF(lenb(SUBSTITUTE($Z398,V$1&amp;" (5)",""))&lt;lenb($Z398),5,IF(lenb(SUBSTITUTE($Z398,V$1&amp;" (6)",""))&lt;lenb($Z398),6,IF(lenb(SUBSTITUTE($Z398,V$1&amp;" (7)",""))&lt;lenb($Z398),1,IF(lenb(SUBSTITUTE($Z398,V$1&amp;" (8)",""))&lt;lenb($Z398),8,IF(lenb(SUBSTITUTE($Z398,V$1&amp;" (9)",""))&lt;lenb($Z398),9,IF(lenb(SUBSTITUTE($Z398,V$1&amp;" (10)",""))&lt;lenb($Z398),10,IF(lenb(SUBSTITUTE($Z398,V$1,""))&lt;lenb($Z398),"ERROR",IF($Z398=$Y$1,"-",0))))))))))))</f>
        <v>-</v>
      </c>
      <c r="W398" s="32" t="str">
        <f t="shared" si="403"/>
        <v>-</v>
      </c>
      <c r="X398" s="32" t="str">
        <f t="shared" si="403"/>
        <v>-</v>
      </c>
      <c r="Y398" s="32">
        <f t="shared" si="3"/>
        <v>1</v>
      </c>
      <c r="Z398" s="32" t="s">
        <v>23</v>
      </c>
      <c r="AA398" s="33">
        <f t="shared" si="4"/>
        <v>0</v>
      </c>
      <c r="AB398" s="34">
        <f>COUNTIFS(Links!B:B,"ICSE",Links!C:C,A398,Links!AD:AD,1)</f>
        <v>0</v>
      </c>
      <c r="AC398" s="35" t="s">
        <v>36</v>
      </c>
      <c r="AD398" s="27" t="str">
        <f t="shared" si="5"/>
        <v>No</v>
      </c>
      <c r="AE398" s="36" t="s">
        <v>36</v>
      </c>
      <c r="AF398" s="37" t="s">
        <v>42</v>
      </c>
      <c r="AG398" s="37" t="s">
        <v>42</v>
      </c>
      <c r="AH398" s="37" t="s">
        <v>42</v>
      </c>
      <c r="AI398" s="29" t="str">
        <f t="shared" si="6"/>
        <v>----</v>
      </c>
      <c r="AJ398" s="38" t="str">
        <f t="shared" si="7"/>
        <v>Paper has no link and no statement</v>
      </c>
      <c r="AK398" s="39">
        <v>45033.0</v>
      </c>
      <c r="AL398" s="23" t="s">
        <v>43</v>
      </c>
      <c r="AM398" s="40" t="str">
        <f t="shared" si="8"/>
        <v>[IP1180]</v>
      </c>
    </row>
    <row r="399" ht="67.5" customHeight="1">
      <c r="A399" s="41">
        <v>1181.0</v>
      </c>
      <c r="B399" s="42" t="s">
        <v>1049</v>
      </c>
      <c r="C399" s="43">
        <v>2018.0</v>
      </c>
      <c r="D399" s="44" t="s">
        <v>35</v>
      </c>
      <c r="E399" s="45" t="s">
        <v>36</v>
      </c>
      <c r="F399" s="45" t="s">
        <v>36</v>
      </c>
      <c r="G399" s="45" t="s">
        <v>36</v>
      </c>
      <c r="H399" s="45" t="s">
        <v>36</v>
      </c>
      <c r="I399" s="45" t="s">
        <v>36</v>
      </c>
      <c r="J399" s="46" t="s">
        <v>36</v>
      </c>
      <c r="K399" s="47" t="s">
        <v>37</v>
      </c>
      <c r="L399" s="48" t="s">
        <v>37</v>
      </c>
      <c r="M399" s="48" t="s">
        <v>35</v>
      </c>
      <c r="N399" s="48" t="s">
        <v>37</v>
      </c>
      <c r="O399" s="48" t="s">
        <v>35</v>
      </c>
      <c r="P399" s="48" t="s">
        <v>35</v>
      </c>
      <c r="Q399" s="48" t="s">
        <v>35</v>
      </c>
      <c r="R399" s="48" t="s">
        <v>37</v>
      </c>
      <c r="S399" s="49" t="s">
        <v>1050</v>
      </c>
      <c r="T399" s="50" t="s">
        <v>1051</v>
      </c>
      <c r="U399" s="51" t="s">
        <v>1051</v>
      </c>
      <c r="V399" s="52">
        <f t="shared" ref="V399:X399" si="404">IF(lenb(SUBSTITUTE($Z399,V$1&amp;" (1)",""))&lt;lenb($Z399),1,IF(lenb(SUBSTITUTE($Z399,V$1&amp;" (2)",""))&lt;lenb($Z399),2,IF(lenb(SUBSTITUTE($Z399,V$1&amp;" (3)",""))&lt;lenb($Z399),3,IF(lenb(SUBSTITUTE($Z399,V$1&amp;" (4)",""))&lt;lenb($Z399),4,IF(lenb(SUBSTITUTE($Z399,V$1&amp;" (5)",""))&lt;lenb($Z399),5,IF(lenb(SUBSTITUTE($Z399,V$1&amp;" (6)",""))&lt;lenb($Z399),6,IF(lenb(SUBSTITUTE($Z399,V$1&amp;" (7)",""))&lt;lenb($Z399),1,IF(lenb(SUBSTITUTE($Z399,V$1&amp;" (8)",""))&lt;lenb($Z399),8,IF(lenb(SUBSTITUTE($Z399,V$1&amp;" (9)",""))&lt;lenb($Z399),9,IF(lenb(SUBSTITUTE($Z399,V$1&amp;" (10)",""))&lt;lenb($Z399),10,IF(lenb(SUBSTITUTE($Z399,V$1,""))&lt;lenb($Z399),"ERROR",IF($Z399=$Y$1,"-",0))))))))))))</f>
        <v>1</v>
      </c>
      <c r="W399" s="52">
        <f t="shared" si="404"/>
        <v>0</v>
      </c>
      <c r="X399" s="52">
        <f t="shared" si="404"/>
        <v>0</v>
      </c>
      <c r="Y399" s="52" t="str">
        <f t="shared" si="3"/>
        <v>-</v>
      </c>
      <c r="Z399" s="52" t="s">
        <v>62</v>
      </c>
      <c r="AA399" s="53">
        <f t="shared" si="4"/>
        <v>1</v>
      </c>
      <c r="AB399" s="54">
        <f>COUNTIFS(Links!B:B,"ICSE",Links!C:C,A399,Links!AD:AD,1)</f>
        <v>0</v>
      </c>
      <c r="AC399" s="55" t="s">
        <v>35</v>
      </c>
      <c r="AD399" s="47" t="str">
        <f t="shared" si="5"/>
        <v>No</v>
      </c>
      <c r="AE399" s="56" t="s">
        <v>36</v>
      </c>
      <c r="AF399" s="57" t="s">
        <v>42</v>
      </c>
      <c r="AG399" s="57" t="s">
        <v>42</v>
      </c>
      <c r="AH399" s="57" t="s">
        <v>42</v>
      </c>
      <c r="AI399" s="49" t="str">
        <f t="shared" si="6"/>
        <v>----</v>
      </c>
      <c r="AJ399" s="58" t="str">
        <f t="shared" si="7"/>
        <v>Paper has link but no statement</v>
      </c>
      <c r="AK399" s="59">
        <v>45033.0</v>
      </c>
      <c r="AL399" s="43" t="s">
        <v>43</v>
      </c>
      <c r="AM399" s="60" t="str">
        <f t="shared" si="8"/>
        <v>[IP1181]</v>
      </c>
    </row>
    <row r="400" ht="67.5" customHeight="1">
      <c r="A400" s="61">
        <v>1183.0</v>
      </c>
      <c r="B400" s="22" t="s">
        <v>1052</v>
      </c>
      <c r="C400" s="23">
        <v>2018.0</v>
      </c>
      <c r="D400" s="24" t="s">
        <v>35</v>
      </c>
      <c r="E400" s="25" t="s">
        <v>36</v>
      </c>
      <c r="F400" s="25" t="s">
        <v>36</v>
      </c>
      <c r="G400" s="25" t="s">
        <v>36</v>
      </c>
      <c r="H400" s="25" t="s">
        <v>36</v>
      </c>
      <c r="I400" s="25" t="s">
        <v>36</v>
      </c>
      <c r="J400" s="26" t="s">
        <v>36</v>
      </c>
      <c r="K400" s="27" t="s">
        <v>37</v>
      </c>
      <c r="L400" s="28" t="s">
        <v>35</v>
      </c>
      <c r="M400" s="28" t="s">
        <v>37</v>
      </c>
      <c r="N400" s="28" t="s">
        <v>35</v>
      </c>
      <c r="O400" s="28" t="s">
        <v>35</v>
      </c>
      <c r="P400" s="28" t="s">
        <v>35</v>
      </c>
      <c r="Q400" s="28" t="s">
        <v>35</v>
      </c>
      <c r="R400" s="28" t="s">
        <v>37</v>
      </c>
      <c r="S400" s="29" t="s">
        <v>1053</v>
      </c>
      <c r="T400" s="30" t="s">
        <v>1054</v>
      </c>
      <c r="U400" s="31" t="s">
        <v>1054</v>
      </c>
      <c r="V400" s="32">
        <f t="shared" ref="V400:X400" si="405">IF(lenb(SUBSTITUTE($Z400,V$1&amp;" (1)",""))&lt;lenb($Z400),1,IF(lenb(SUBSTITUTE($Z400,V$1&amp;" (2)",""))&lt;lenb($Z400),2,IF(lenb(SUBSTITUTE($Z400,V$1&amp;" (3)",""))&lt;lenb($Z400),3,IF(lenb(SUBSTITUTE($Z400,V$1&amp;" (4)",""))&lt;lenb($Z400),4,IF(lenb(SUBSTITUTE($Z400,V$1&amp;" (5)",""))&lt;lenb($Z400),5,IF(lenb(SUBSTITUTE($Z400,V$1&amp;" (6)",""))&lt;lenb($Z400),6,IF(lenb(SUBSTITUTE($Z400,V$1&amp;" (7)",""))&lt;lenb($Z400),1,IF(lenb(SUBSTITUTE($Z400,V$1&amp;" (8)",""))&lt;lenb($Z400),8,IF(lenb(SUBSTITUTE($Z400,V$1&amp;" (9)",""))&lt;lenb($Z400),9,IF(lenb(SUBSTITUTE($Z400,V$1&amp;" (10)",""))&lt;lenb($Z400),10,IF(lenb(SUBSTITUTE($Z400,V$1,""))&lt;lenb($Z400),"ERROR",IF($Z400=$Y$1,"-",0))))))))))))</f>
        <v>0</v>
      </c>
      <c r="W400" s="32">
        <f t="shared" si="405"/>
        <v>1</v>
      </c>
      <c r="X400" s="32">
        <f t="shared" si="405"/>
        <v>0</v>
      </c>
      <c r="Y400" s="32" t="str">
        <f t="shared" si="3"/>
        <v>-</v>
      </c>
      <c r="Z400" s="32" t="s">
        <v>1055</v>
      </c>
      <c r="AA400" s="33">
        <f t="shared" si="4"/>
        <v>1</v>
      </c>
      <c r="AB400" s="34">
        <f>COUNTIFS(Links!B:B,"ICSE",Links!C:C,A400,Links!AD:AD,1)</f>
        <v>0</v>
      </c>
      <c r="AC400" s="35" t="s">
        <v>35</v>
      </c>
      <c r="AD400" s="27" t="str">
        <f t="shared" si="5"/>
        <v>No</v>
      </c>
      <c r="AE400" s="36" t="s">
        <v>36</v>
      </c>
      <c r="AF400" s="37" t="s">
        <v>42</v>
      </c>
      <c r="AG400" s="37" t="s">
        <v>42</v>
      </c>
      <c r="AH400" s="37" t="s">
        <v>42</v>
      </c>
      <c r="AI400" s="29" t="str">
        <f t="shared" si="6"/>
        <v>----</v>
      </c>
      <c r="AJ400" s="38" t="str">
        <f t="shared" si="7"/>
        <v>Paper has link but no statement</v>
      </c>
      <c r="AK400" s="39">
        <v>45033.0</v>
      </c>
      <c r="AL400" s="23" t="s">
        <v>43</v>
      </c>
      <c r="AM400" s="40" t="str">
        <f t="shared" si="8"/>
        <v>[IP1183]</v>
      </c>
    </row>
    <row r="401" ht="67.5" customHeight="1">
      <c r="A401" s="41">
        <v>1184.0</v>
      </c>
      <c r="B401" s="42" t="s">
        <v>1056</v>
      </c>
      <c r="C401" s="43">
        <v>2018.0</v>
      </c>
      <c r="D401" s="44" t="s">
        <v>35</v>
      </c>
      <c r="E401" s="45" t="s">
        <v>36</v>
      </c>
      <c r="F401" s="45" t="s">
        <v>36</v>
      </c>
      <c r="G401" s="45" t="s">
        <v>36</v>
      </c>
      <c r="H401" s="45" t="s">
        <v>36</v>
      </c>
      <c r="I401" s="45" t="s">
        <v>36</v>
      </c>
      <c r="J401" s="46" t="s">
        <v>36</v>
      </c>
      <c r="K401" s="47" t="s">
        <v>37</v>
      </c>
      <c r="L401" s="48" t="s">
        <v>37</v>
      </c>
      <c r="M401" s="48" t="s">
        <v>35</v>
      </c>
      <c r="N401" s="48" t="s">
        <v>37</v>
      </c>
      <c r="O401" s="48" t="s">
        <v>35</v>
      </c>
      <c r="P401" s="48" t="s">
        <v>35</v>
      </c>
      <c r="Q401" s="48" t="s">
        <v>35</v>
      </c>
      <c r="R401" s="48" t="s">
        <v>35</v>
      </c>
      <c r="S401" s="49" t="s">
        <v>1057</v>
      </c>
      <c r="T401" s="50" t="s">
        <v>1058</v>
      </c>
      <c r="U401" s="51" t="s">
        <v>1058</v>
      </c>
      <c r="V401" s="52">
        <f t="shared" ref="V401:X401" si="406">IF(lenb(SUBSTITUTE($Z401,V$1&amp;" (1)",""))&lt;lenb($Z401),1,IF(lenb(SUBSTITUTE($Z401,V$1&amp;" (2)",""))&lt;lenb($Z401),2,IF(lenb(SUBSTITUTE($Z401,V$1&amp;" (3)",""))&lt;lenb($Z401),3,IF(lenb(SUBSTITUTE($Z401,V$1&amp;" (4)",""))&lt;lenb($Z401),4,IF(lenb(SUBSTITUTE($Z401,V$1&amp;" (5)",""))&lt;lenb($Z401),5,IF(lenb(SUBSTITUTE($Z401,V$1&amp;" (6)",""))&lt;lenb($Z401),6,IF(lenb(SUBSTITUTE($Z401,V$1&amp;" (7)",""))&lt;lenb($Z401),1,IF(lenb(SUBSTITUTE($Z401,V$1&amp;" (8)",""))&lt;lenb($Z401),8,IF(lenb(SUBSTITUTE($Z401,V$1&amp;" (9)",""))&lt;lenb($Z401),9,IF(lenb(SUBSTITUTE($Z401,V$1&amp;" (10)",""))&lt;lenb($Z401),10,IF(lenb(SUBSTITUTE($Z401,V$1,""))&lt;lenb($Z401),"ERROR",IF($Z401=$Y$1,"-",0))))))))))))</f>
        <v>1</v>
      </c>
      <c r="W401" s="52">
        <f t="shared" si="406"/>
        <v>0</v>
      </c>
      <c r="X401" s="52">
        <f t="shared" si="406"/>
        <v>0</v>
      </c>
      <c r="Y401" s="52" t="str">
        <f t="shared" si="3"/>
        <v>-</v>
      </c>
      <c r="Z401" s="52" t="s">
        <v>62</v>
      </c>
      <c r="AA401" s="53">
        <f t="shared" si="4"/>
        <v>1</v>
      </c>
      <c r="AB401" s="54">
        <f>COUNTIFS(Links!B:B,"ICSE",Links!C:C,A401,Links!AD:AD,1)</f>
        <v>0</v>
      </c>
      <c r="AC401" s="55" t="s">
        <v>35</v>
      </c>
      <c r="AD401" s="47" t="str">
        <f t="shared" si="5"/>
        <v>No</v>
      </c>
      <c r="AE401" s="56" t="s">
        <v>36</v>
      </c>
      <c r="AF401" s="57" t="s">
        <v>42</v>
      </c>
      <c r="AG401" s="57" t="s">
        <v>42</v>
      </c>
      <c r="AH401" s="57" t="s">
        <v>42</v>
      </c>
      <c r="AI401" s="49" t="str">
        <f t="shared" si="6"/>
        <v>----</v>
      </c>
      <c r="AJ401" s="58" t="str">
        <f t="shared" si="7"/>
        <v>Paper has link but no statement</v>
      </c>
      <c r="AK401" s="59">
        <v>45033.0</v>
      </c>
      <c r="AL401" s="43" t="s">
        <v>43</v>
      </c>
      <c r="AM401" s="60" t="str">
        <f t="shared" si="8"/>
        <v>[IP1184]</v>
      </c>
    </row>
    <row r="402" ht="67.5" customHeight="1">
      <c r="A402" s="61">
        <v>1187.0</v>
      </c>
      <c r="B402" s="22" t="s">
        <v>1059</v>
      </c>
      <c r="C402" s="23">
        <v>2018.0</v>
      </c>
      <c r="D402" s="24" t="s">
        <v>35</v>
      </c>
      <c r="E402" s="25" t="s">
        <v>36</v>
      </c>
      <c r="F402" s="25" t="s">
        <v>36</v>
      </c>
      <c r="G402" s="25" t="s">
        <v>36</v>
      </c>
      <c r="H402" s="25" t="s">
        <v>36</v>
      </c>
      <c r="I402" s="25" t="s">
        <v>36</v>
      </c>
      <c r="J402" s="26" t="s">
        <v>36</v>
      </c>
      <c r="K402" s="27" t="s">
        <v>35</v>
      </c>
      <c r="L402" s="28" t="s">
        <v>36</v>
      </c>
      <c r="M402" s="28" t="s">
        <v>36</v>
      </c>
      <c r="N402" s="28" t="s">
        <v>36</v>
      </c>
      <c r="O402" s="28" t="s">
        <v>36</v>
      </c>
      <c r="P402" s="28" t="s">
        <v>36</v>
      </c>
      <c r="Q402" s="28" t="s">
        <v>36</v>
      </c>
      <c r="R402" s="28" t="s">
        <v>36</v>
      </c>
      <c r="S402" s="29" t="s">
        <v>36</v>
      </c>
      <c r="T402" s="30" t="s">
        <v>36</v>
      </c>
      <c r="U402" s="31" t="s">
        <v>36</v>
      </c>
      <c r="V402" s="32" t="str">
        <f t="shared" ref="V402:X402" si="407">IF(lenb(SUBSTITUTE($Z402,V$1&amp;" (1)",""))&lt;lenb($Z402),1,IF(lenb(SUBSTITUTE($Z402,V$1&amp;" (2)",""))&lt;lenb($Z402),2,IF(lenb(SUBSTITUTE($Z402,V$1&amp;" (3)",""))&lt;lenb($Z402),3,IF(lenb(SUBSTITUTE($Z402,V$1&amp;" (4)",""))&lt;lenb($Z402),4,IF(lenb(SUBSTITUTE($Z402,V$1&amp;" (5)",""))&lt;lenb($Z402),5,IF(lenb(SUBSTITUTE($Z402,V$1&amp;" (6)",""))&lt;lenb($Z402),6,IF(lenb(SUBSTITUTE($Z402,V$1&amp;" (7)",""))&lt;lenb($Z402),1,IF(lenb(SUBSTITUTE($Z402,V$1&amp;" (8)",""))&lt;lenb($Z402),8,IF(lenb(SUBSTITUTE($Z402,V$1&amp;" (9)",""))&lt;lenb($Z402),9,IF(lenb(SUBSTITUTE($Z402,V$1&amp;" (10)",""))&lt;lenb($Z402),10,IF(lenb(SUBSTITUTE($Z402,V$1,""))&lt;lenb($Z402),"ERROR",IF($Z402=$Y$1,"-",0))))))))))))</f>
        <v>-</v>
      </c>
      <c r="W402" s="32" t="str">
        <f t="shared" si="407"/>
        <v>-</v>
      </c>
      <c r="X402" s="32" t="str">
        <f t="shared" si="407"/>
        <v>-</v>
      </c>
      <c r="Y402" s="32">
        <f t="shared" si="3"/>
        <v>1</v>
      </c>
      <c r="Z402" s="32" t="s">
        <v>23</v>
      </c>
      <c r="AA402" s="33">
        <f t="shared" si="4"/>
        <v>0</v>
      </c>
      <c r="AB402" s="34">
        <f>COUNTIFS(Links!B:B,"ICSE",Links!C:C,A402,Links!AD:AD,1)</f>
        <v>0</v>
      </c>
      <c r="AC402" s="35" t="s">
        <v>36</v>
      </c>
      <c r="AD402" s="27" t="str">
        <f t="shared" si="5"/>
        <v>No</v>
      </c>
      <c r="AE402" s="36" t="s">
        <v>36</v>
      </c>
      <c r="AF402" s="37" t="s">
        <v>42</v>
      </c>
      <c r="AG402" s="37" t="s">
        <v>42</v>
      </c>
      <c r="AH402" s="37" t="s">
        <v>42</v>
      </c>
      <c r="AI402" s="29" t="str">
        <f t="shared" si="6"/>
        <v>----</v>
      </c>
      <c r="AJ402" s="38" t="str">
        <f t="shared" si="7"/>
        <v>Paper has no link and no statement</v>
      </c>
      <c r="AK402" s="39">
        <v>45033.0</v>
      </c>
      <c r="AL402" s="23" t="s">
        <v>43</v>
      </c>
      <c r="AM402" s="40" t="str">
        <f t="shared" si="8"/>
        <v>[IP1187]</v>
      </c>
    </row>
    <row r="403" ht="67.5" customHeight="1">
      <c r="A403" s="41">
        <v>1188.0</v>
      </c>
      <c r="B403" s="42" t="s">
        <v>1060</v>
      </c>
      <c r="C403" s="43">
        <v>2018.0</v>
      </c>
      <c r="D403" s="44" t="s">
        <v>35</v>
      </c>
      <c r="E403" s="45" t="s">
        <v>36</v>
      </c>
      <c r="F403" s="45" t="s">
        <v>36</v>
      </c>
      <c r="G403" s="45" t="s">
        <v>36</v>
      </c>
      <c r="H403" s="45" t="s">
        <v>36</v>
      </c>
      <c r="I403" s="45" t="s">
        <v>36</v>
      </c>
      <c r="J403" s="46" t="s">
        <v>36</v>
      </c>
      <c r="K403" s="47" t="s">
        <v>35</v>
      </c>
      <c r="L403" s="48" t="s">
        <v>36</v>
      </c>
      <c r="M403" s="48" t="s">
        <v>36</v>
      </c>
      <c r="N403" s="48" t="s">
        <v>36</v>
      </c>
      <c r="O403" s="48" t="s">
        <v>36</v>
      </c>
      <c r="P403" s="48" t="s">
        <v>36</v>
      </c>
      <c r="Q403" s="48" t="s">
        <v>36</v>
      </c>
      <c r="R403" s="48" t="s">
        <v>36</v>
      </c>
      <c r="S403" s="49" t="s">
        <v>36</v>
      </c>
      <c r="T403" s="50" t="s">
        <v>36</v>
      </c>
      <c r="U403" s="51" t="s">
        <v>36</v>
      </c>
      <c r="V403" s="52" t="str">
        <f t="shared" ref="V403:X403" si="408">IF(lenb(SUBSTITUTE($Z403,V$1&amp;" (1)",""))&lt;lenb($Z403),1,IF(lenb(SUBSTITUTE($Z403,V$1&amp;" (2)",""))&lt;lenb($Z403),2,IF(lenb(SUBSTITUTE($Z403,V$1&amp;" (3)",""))&lt;lenb($Z403),3,IF(lenb(SUBSTITUTE($Z403,V$1&amp;" (4)",""))&lt;lenb($Z403),4,IF(lenb(SUBSTITUTE($Z403,V$1&amp;" (5)",""))&lt;lenb($Z403),5,IF(lenb(SUBSTITUTE($Z403,V$1&amp;" (6)",""))&lt;lenb($Z403),6,IF(lenb(SUBSTITUTE($Z403,V$1&amp;" (7)",""))&lt;lenb($Z403),1,IF(lenb(SUBSTITUTE($Z403,V$1&amp;" (8)",""))&lt;lenb($Z403),8,IF(lenb(SUBSTITUTE($Z403,V$1&amp;" (9)",""))&lt;lenb($Z403),9,IF(lenb(SUBSTITUTE($Z403,V$1&amp;" (10)",""))&lt;lenb($Z403),10,IF(lenb(SUBSTITUTE($Z403,V$1,""))&lt;lenb($Z403),"ERROR",IF($Z403=$Y$1,"-",0))))))))))))</f>
        <v>-</v>
      </c>
      <c r="W403" s="52" t="str">
        <f t="shared" si="408"/>
        <v>-</v>
      </c>
      <c r="X403" s="52" t="str">
        <f t="shared" si="408"/>
        <v>-</v>
      </c>
      <c r="Y403" s="52">
        <f t="shared" si="3"/>
        <v>1</v>
      </c>
      <c r="Z403" s="52" t="s">
        <v>23</v>
      </c>
      <c r="AA403" s="53">
        <f t="shared" si="4"/>
        <v>0</v>
      </c>
      <c r="AB403" s="54">
        <f>COUNTIFS(Links!B:B,"ICSE",Links!C:C,A403,Links!AD:AD,1)</f>
        <v>0</v>
      </c>
      <c r="AC403" s="55" t="s">
        <v>36</v>
      </c>
      <c r="AD403" s="47" t="str">
        <f t="shared" si="5"/>
        <v>No</v>
      </c>
      <c r="AE403" s="56" t="s">
        <v>36</v>
      </c>
      <c r="AF403" s="57" t="s">
        <v>42</v>
      </c>
      <c r="AG403" s="57" t="s">
        <v>42</v>
      </c>
      <c r="AH403" s="57" t="s">
        <v>42</v>
      </c>
      <c r="AI403" s="49" t="str">
        <f t="shared" si="6"/>
        <v>----</v>
      </c>
      <c r="AJ403" s="58" t="str">
        <f t="shared" si="7"/>
        <v>Paper has no link and no statement</v>
      </c>
      <c r="AK403" s="59">
        <v>45033.0</v>
      </c>
      <c r="AL403" s="43" t="s">
        <v>43</v>
      </c>
      <c r="AM403" s="60" t="str">
        <f t="shared" si="8"/>
        <v>[IP1188]</v>
      </c>
    </row>
    <row r="404" ht="67.5" customHeight="1">
      <c r="A404" s="61">
        <v>1189.0</v>
      </c>
      <c r="B404" s="22" t="s">
        <v>1061</v>
      </c>
      <c r="C404" s="23">
        <v>2018.0</v>
      </c>
      <c r="D404" s="24" t="s">
        <v>35</v>
      </c>
      <c r="E404" s="25" t="s">
        <v>36</v>
      </c>
      <c r="F404" s="25" t="s">
        <v>36</v>
      </c>
      <c r="G404" s="25" t="s">
        <v>36</v>
      </c>
      <c r="H404" s="25" t="s">
        <v>36</v>
      </c>
      <c r="I404" s="25" t="s">
        <v>36</v>
      </c>
      <c r="J404" s="26" t="s">
        <v>36</v>
      </c>
      <c r="K404" s="27" t="s">
        <v>37</v>
      </c>
      <c r="L404" s="28" t="s">
        <v>35</v>
      </c>
      <c r="M404" s="28" t="s">
        <v>37</v>
      </c>
      <c r="N404" s="28" t="s">
        <v>37</v>
      </c>
      <c r="O404" s="28" t="s">
        <v>35</v>
      </c>
      <c r="P404" s="28" t="s">
        <v>35</v>
      </c>
      <c r="Q404" s="28" t="s">
        <v>35</v>
      </c>
      <c r="R404" s="28" t="s">
        <v>37</v>
      </c>
      <c r="S404" s="29" t="s">
        <v>1062</v>
      </c>
      <c r="T404" s="30" t="s">
        <v>1063</v>
      </c>
      <c r="U404" s="31" t="s">
        <v>1063</v>
      </c>
      <c r="V404" s="32">
        <f t="shared" ref="V404:X404" si="409">IF(lenb(SUBSTITUTE($Z404,V$1&amp;" (1)",""))&lt;lenb($Z404),1,IF(lenb(SUBSTITUTE($Z404,V$1&amp;" (2)",""))&lt;lenb($Z404),2,IF(lenb(SUBSTITUTE($Z404,V$1&amp;" (3)",""))&lt;lenb($Z404),3,IF(lenb(SUBSTITUTE($Z404,V$1&amp;" (4)",""))&lt;lenb($Z404),4,IF(lenb(SUBSTITUTE($Z404,V$1&amp;" (5)",""))&lt;lenb($Z404),5,IF(lenb(SUBSTITUTE($Z404,V$1&amp;" (6)",""))&lt;lenb($Z404),6,IF(lenb(SUBSTITUTE($Z404,V$1&amp;" (7)",""))&lt;lenb($Z404),1,IF(lenb(SUBSTITUTE($Z404,V$1&amp;" (8)",""))&lt;lenb($Z404),8,IF(lenb(SUBSTITUTE($Z404,V$1&amp;" (9)",""))&lt;lenb($Z404),9,IF(lenb(SUBSTITUTE($Z404,V$1&amp;" (10)",""))&lt;lenb($Z404),10,IF(lenb(SUBSTITUTE($Z404,V$1,""))&lt;lenb($Z404),"ERROR",IF($Z404=$Y$1,"-",0))))))))))))</f>
        <v>1</v>
      </c>
      <c r="W404" s="32">
        <f t="shared" si="409"/>
        <v>0</v>
      </c>
      <c r="X404" s="32">
        <f t="shared" si="409"/>
        <v>0</v>
      </c>
      <c r="Y404" s="32" t="str">
        <f t="shared" si="3"/>
        <v>-</v>
      </c>
      <c r="Z404" s="32" t="s">
        <v>62</v>
      </c>
      <c r="AA404" s="33">
        <f t="shared" si="4"/>
        <v>1</v>
      </c>
      <c r="AB404" s="34">
        <f>COUNTIFS(Links!B:B,"ICSE",Links!C:C,A404,Links!AD:AD,1)</f>
        <v>0</v>
      </c>
      <c r="AC404" s="35" t="s">
        <v>35</v>
      </c>
      <c r="AD404" s="27" t="str">
        <f t="shared" si="5"/>
        <v>No</v>
      </c>
      <c r="AE404" s="36" t="s">
        <v>36</v>
      </c>
      <c r="AF404" s="37" t="s">
        <v>42</v>
      </c>
      <c r="AG404" s="37" t="s">
        <v>42</v>
      </c>
      <c r="AH404" s="37" t="s">
        <v>42</v>
      </c>
      <c r="AI404" s="29" t="str">
        <f t="shared" si="6"/>
        <v>----</v>
      </c>
      <c r="AJ404" s="38" t="str">
        <f t="shared" si="7"/>
        <v>Paper has link but no statement</v>
      </c>
      <c r="AK404" s="39">
        <v>45033.0</v>
      </c>
      <c r="AL404" s="23" t="s">
        <v>43</v>
      </c>
      <c r="AM404" s="40" t="str">
        <f t="shared" si="8"/>
        <v>[IP1189]</v>
      </c>
    </row>
    <row r="405" ht="67.5" customHeight="1">
      <c r="A405" s="41">
        <v>1190.0</v>
      </c>
      <c r="B405" s="42" t="s">
        <v>1064</v>
      </c>
      <c r="C405" s="43">
        <v>2018.0</v>
      </c>
      <c r="D405" s="44" t="s">
        <v>35</v>
      </c>
      <c r="E405" s="45" t="s">
        <v>36</v>
      </c>
      <c r="F405" s="45" t="s">
        <v>36</v>
      </c>
      <c r="G405" s="45" t="s">
        <v>36</v>
      </c>
      <c r="H405" s="45" t="s">
        <v>36</v>
      </c>
      <c r="I405" s="45" t="s">
        <v>36</v>
      </c>
      <c r="J405" s="46" t="s">
        <v>36</v>
      </c>
      <c r="K405" s="47" t="s">
        <v>35</v>
      </c>
      <c r="L405" s="48" t="s">
        <v>36</v>
      </c>
      <c r="M405" s="48" t="s">
        <v>36</v>
      </c>
      <c r="N405" s="48" t="s">
        <v>36</v>
      </c>
      <c r="O405" s="48" t="s">
        <v>36</v>
      </c>
      <c r="P405" s="48" t="s">
        <v>36</v>
      </c>
      <c r="Q405" s="48" t="s">
        <v>36</v>
      </c>
      <c r="R405" s="48" t="s">
        <v>36</v>
      </c>
      <c r="S405" s="49" t="s">
        <v>36</v>
      </c>
      <c r="T405" s="50" t="s">
        <v>36</v>
      </c>
      <c r="U405" s="51" t="s">
        <v>36</v>
      </c>
      <c r="V405" s="52" t="str">
        <f t="shared" ref="V405:X405" si="410">IF(lenb(SUBSTITUTE($Z405,V$1&amp;" (1)",""))&lt;lenb($Z405),1,IF(lenb(SUBSTITUTE($Z405,V$1&amp;" (2)",""))&lt;lenb($Z405),2,IF(lenb(SUBSTITUTE($Z405,V$1&amp;" (3)",""))&lt;lenb($Z405),3,IF(lenb(SUBSTITUTE($Z405,V$1&amp;" (4)",""))&lt;lenb($Z405),4,IF(lenb(SUBSTITUTE($Z405,V$1&amp;" (5)",""))&lt;lenb($Z405),5,IF(lenb(SUBSTITUTE($Z405,V$1&amp;" (6)",""))&lt;lenb($Z405),6,IF(lenb(SUBSTITUTE($Z405,V$1&amp;" (7)",""))&lt;lenb($Z405),1,IF(lenb(SUBSTITUTE($Z405,V$1&amp;" (8)",""))&lt;lenb($Z405),8,IF(lenb(SUBSTITUTE($Z405,V$1&amp;" (9)",""))&lt;lenb($Z405),9,IF(lenb(SUBSTITUTE($Z405,V$1&amp;" (10)",""))&lt;lenb($Z405),10,IF(lenb(SUBSTITUTE($Z405,V$1,""))&lt;lenb($Z405),"ERROR",IF($Z405=$Y$1,"-",0))))))))))))</f>
        <v>-</v>
      </c>
      <c r="W405" s="52" t="str">
        <f t="shared" si="410"/>
        <v>-</v>
      </c>
      <c r="X405" s="52" t="str">
        <f t="shared" si="410"/>
        <v>-</v>
      </c>
      <c r="Y405" s="52">
        <f t="shared" si="3"/>
        <v>1</v>
      </c>
      <c r="Z405" s="52" t="s">
        <v>23</v>
      </c>
      <c r="AA405" s="53">
        <f t="shared" si="4"/>
        <v>0</v>
      </c>
      <c r="AB405" s="54">
        <f>COUNTIFS(Links!B:B,"ICSE",Links!C:C,A405,Links!AD:AD,1)</f>
        <v>0</v>
      </c>
      <c r="AC405" s="55" t="s">
        <v>36</v>
      </c>
      <c r="AD405" s="47" t="str">
        <f t="shared" si="5"/>
        <v>No</v>
      </c>
      <c r="AE405" s="56" t="s">
        <v>36</v>
      </c>
      <c r="AF405" s="57" t="s">
        <v>42</v>
      </c>
      <c r="AG405" s="57" t="s">
        <v>42</v>
      </c>
      <c r="AH405" s="57" t="s">
        <v>42</v>
      </c>
      <c r="AI405" s="49" t="str">
        <f t="shared" si="6"/>
        <v>----</v>
      </c>
      <c r="AJ405" s="58" t="str">
        <f t="shared" si="7"/>
        <v>Paper has no link and no statement</v>
      </c>
      <c r="AK405" s="59">
        <v>45033.0</v>
      </c>
      <c r="AL405" s="43" t="s">
        <v>43</v>
      </c>
      <c r="AM405" s="60" t="str">
        <f t="shared" si="8"/>
        <v>[IP1190]</v>
      </c>
    </row>
    <row r="406" ht="67.5" customHeight="1">
      <c r="A406" s="61">
        <v>1191.0</v>
      </c>
      <c r="B406" s="22" t="s">
        <v>1065</v>
      </c>
      <c r="C406" s="23">
        <v>2018.0</v>
      </c>
      <c r="D406" s="24" t="s">
        <v>35</v>
      </c>
      <c r="E406" s="25" t="s">
        <v>36</v>
      </c>
      <c r="F406" s="25" t="s">
        <v>36</v>
      </c>
      <c r="G406" s="25" t="s">
        <v>36</v>
      </c>
      <c r="H406" s="25" t="s">
        <v>36</v>
      </c>
      <c r="I406" s="25" t="s">
        <v>36</v>
      </c>
      <c r="J406" s="26" t="s">
        <v>36</v>
      </c>
      <c r="K406" s="27" t="s">
        <v>35</v>
      </c>
      <c r="L406" s="28" t="s">
        <v>36</v>
      </c>
      <c r="M406" s="28" t="s">
        <v>36</v>
      </c>
      <c r="N406" s="28" t="s">
        <v>36</v>
      </c>
      <c r="O406" s="28" t="s">
        <v>36</v>
      </c>
      <c r="P406" s="28" t="s">
        <v>36</v>
      </c>
      <c r="Q406" s="28" t="s">
        <v>36</v>
      </c>
      <c r="R406" s="28" t="s">
        <v>36</v>
      </c>
      <c r="S406" s="29" t="s">
        <v>36</v>
      </c>
      <c r="T406" s="30" t="s">
        <v>36</v>
      </c>
      <c r="U406" s="31" t="s">
        <v>36</v>
      </c>
      <c r="V406" s="32" t="str">
        <f t="shared" ref="V406:X406" si="411">IF(lenb(SUBSTITUTE($Z406,V$1&amp;" (1)",""))&lt;lenb($Z406),1,IF(lenb(SUBSTITUTE($Z406,V$1&amp;" (2)",""))&lt;lenb($Z406),2,IF(lenb(SUBSTITUTE($Z406,V$1&amp;" (3)",""))&lt;lenb($Z406),3,IF(lenb(SUBSTITUTE($Z406,V$1&amp;" (4)",""))&lt;lenb($Z406),4,IF(lenb(SUBSTITUTE($Z406,V$1&amp;" (5)",""))&lt;lenb($Z406),5,IF(lenb(SUBSTITUTE($Z406,V$1&amp;" (6)",""))&lt;lenb($Z406),6,IF(lenb(SUBSTITUTE($Z406,V$1&amp;" (7)",""))&lt;lenb($Z406),1,IF(lenb(SUBSTITUTE($Z406,V$1&amp;" (8)",""))&lt;lenb($Z406),8,IF(lenb(SUBSTITUTE($Z406,V$1&amp;" (9)",""))&lt;lenb($Z406),9,IF(lenb(SUBSTITUTE($Z406,V$1&amp;" (10)",""))&lt;lenb($Z406),10,IF(lenb(SUBSTITUTE($Z406,V$1,""))&lt;lenb($Z406),"ERROR",IF($Z406=$Y$1,"-",0))))))))))))</f>
        <v>-</v>
      </c>
      <c r="W406" s="32" t="str">
        <f t="shared" si="411"/>
        <v>-</v>
      </c>
      <c r="X406" s="32" t="str">
        <f t="shared" si="411"/>
        <v>-</v>
      </c>
      <c r="Y406" s="32">
        <f t="shared" si="3"/>
        <v>1</v>
      </c>
      <c r="Z406" s="32" t="s">
        <v>23</v>
      </c>
      <c r="AA406" s="33">
        <f t="shared" si="4"/>
        <v>0</v>
      </c>
      <c r="AB406" s="34">
        <f>COUNTIFS(Links!B:B,"ICSE",Links!C:C,A406,Links!AD:AD,1)</f>
        <v>0</v>
      </c>
      <c r="AC406" s="35" t="s">
        <v>36</v>
      </c>
      <c r="AD406" s="27" t="str">
        <f t="shared" si="5"/>
        <v>No</v>
      </c>
      <c r="AE406" s="36" t="s">
        <v>36</v>
      </c>
      <c r="AF406" s="37" t="s">
        <v>42</v>
      </c>
      <c r="AG406" s="37" t="s">
        <v>42</v>
      </c>
      <c r="AH406" s="37" t="s">
        <v>42</v>
      </c>
      <c r="AI406" s="29" t="str">
        <f t="shared" si="6"/>
        <v>----</v>
      </c>
      <c r="AJ406" s="38" t="str">
        <f t="shared" si="7"/>
        <v>Paper has no link and no statement</v>
      </c>
      <c r="AK406" s="39">
        <v>45033.0</v>
      </c>
      <c r="AL406" s="23" t="s">
        <v>43</v>
      </c>
      <c r="AM406" s="40" t="str">
        <f t="shared" si="8"/>
        <v>[IP1191]</v>
      </c>
    </row>
    <row r="407" ht="67.5" customHeight="1">
      <c r="A407" s="41">
        <v>1192.0</v>
      </c>
      <c r="B407" s="42" t="s">
        <v>1066</v>
      </c>
      <c r="C407" s="43">
        <v>2018.0</v>
      </c>
      <c r="D407" s="44" t="s">
        <v>35</v>
      </c>
      <c r="E407" s="45" t="s">
        <v>36</v>
      </c>
      <c r="F407" s="45" t="s">
        <v>36</v>
      </c>
      <c r="G407" s="45" t="s">
        <v>36</v>
      </c>
      <c r="H407" s="45" t="s">
        <v>36</v>
      </c>
      <c r="I407" s="45" t="s">
        <v>36</v>
      </c>
      <c r="J407" s="46" t="s">
        <v>36</v>
      </c>
      <c r="K407" s="47" t="s">
        <v>37</v>
      </c>
      <c r="L407" s="48" t="s">
        <v>35</v>
      </c>
      <c r="M407" s="48" t="s">
        <v>37</v>
      </c>
      <c r="N407" s="48" t="s">
        <v>35</v>
      </c>
      <c r="O407" s="48" t="s">
        <v>35</v>
      </c>
      <c r="P407" s="48" t="s">
        <v>35</v>
      </c>
      <c r="Q407" s="48" t="s">
        <v>35</v>
      </c>
      <c r="R407" s="48" t="s">
        <v>37</v>
      </c>
      <c r="S407" s="49" t="s">
        <v>1067</v>
      </c>
      <c r="T407" s="50" t="s">
        <v>1068</v>
      </c>
      <c r="U407" s="51" t="s">
        <v>1069</v>
      </c>
      <c r="V407" s="52">
        <f t="shared" ref="V407:X407" si="412">IF(lenb(SUBSTITUTE($Z407,V$1&amp;" (1)",""))&lt;lenb($Z407),1,IF(lenb(SUBSTITUTE($Z407,V$1&amp;" (2)",""))&lt;lenb($Z407),2,IF(lenb(SUBSTITUTE($Z407,V$1&amp;" (3)",""))&lt;lenb($Z407),3,IF(lenb(SUBSTITUTE($Z407,V$1&amp;" (4)",""))&lt;lenb($Z407),4,IF(lenb(SUBSTITUTE($Z407,V$1&amp;" (5)",""))&lt;lenb($Z407),5,IF(lenb(SUBSTITUTE($Z407,V$1&amp;" (6)",""))&lt;lenb($Z407),6,IF(lenb(SUBSTITUTE($Z407,V$1&amp;" (7)",""))&lt;lenb($Z407),1,IF(lenb(SUBSTITUTE($Z407,V$1&amp;" (8)",""))&lt;lenb($Z407),8,IF(lenb(SUBSTITUTE($Z407,V$1&amp;" (9)",""))&lt;lenb($Z407),9,IF(lenb(SUBSTITUTE($Z407,V$1&amp;" (10)",""))&lt;lenb($Z407),10,IF(lenb(SUBSTITUTE($Z407,V$1,""))&lt;lenb($Z407),"ERROR",IF($Z407=$Y$1,"-",0))))))))))))</f>
        <v>1</v>
      </c>
      <c r="W407" s="52">
        <f t="shared" si="412"/>
        <v>0</v>
      </c>
      <c r="X407" s="52">
        <f t="shared" si="412"/>
        <v>0</v>
      </c>
      <c r="Y407" s="52" t="str">
        <f t="shared" si="3"/>
        <v>-</v>
      </c>
      <c r="Z407" s="52" t="s">
        <v>62</v>
      </c>
      <c r="AA407" s="53">
        <f t="shared" si="4"/>
        <v>1</v>
      </c>
      <c r="AB407" s="54">
        <f>COUNTIFS(Links!B:B,"ICSE",Links!C:C,A407,Links!AD:AD,1)</f>
        <v>0</v>
      </c>
      <c r="AC407" s="55" t="s">
        <v>35</v>
      </c>
      <c r="AD407" s="47" t="str">
        <f t="shared" si="5"/>
        <v>No</v>
      </c>
      <c r="AE407" s="56" t="s">
        <v>36</v>
      </c>
      <c r="AF407" s="57" t="s">
        <v>42</v>
      </c>
      <c r="AG407" s="57" t="s">
        <v>42</v>
      </c>
      <c r="AH407" s="57" t="s">
        <v>42</v>
      </c>
      <c r="AI407" s="49" t="str">
        <f t="shared" si="6"/>
        <v>----</v>
      </c>
      <c r="AJ407" s="58" t="str">
        <f t="shared" si="7"/>
        <v>Paper has link but no statement</v>
      </c>
      <c r="AK407" s="59">
        <v>45033.0</v>
      </c>
      <c r="AL407" s="43" t="s">
        <v>43</v>
      </c>
      <c r="AM407" s="60" t="str">
        <f t="shared" si="8"/>
        <v>[IP1192]</v>
      </c>
    </row>
    <row r="408" ht="67.5" customHeight="1">
      <c r="A408" s="61">
        <v>1193.0</v>
      </c>
      <c r="B408" s="22" t="s">
        <v>1070</v>
      </c>
      <c r="C408" s="23">
        <v>2018.0</v>
      </c>
      <c r="D408" s="24" t="s">
        <v>35</v>
      </c>
      <c r="E408" s="25" t="s">
        <v>36</v>
      </c>
      <c r="F408" s="25" t="s">
        <v>36</v>
      </c>
      <c r="G408" s="25" t="s">
        <v>36</v>
      </c>
      <c r="H408" s="25" t="s">
        <v>36</v>
      </c>
      <c r="I408" s="25" t="s">
        <v>36</v>
      </c>
      <c r="J408" s="26" t="s">
        <v>36</v>
      </c>
      <c r="K408" s="27" t="s">
        <v>37</v>
      </c>
      <c r="L408" s="28" t="s">
        <v>35</v>
      </c>
      <c r="M408" s="28" t="s">
        <v>37</v>
      </c>
      <c r="N408" s="28" t="s">
        <v>37</v>
      </c>
      <c r="O408" s="28" t="s">
        <v>35</v>
      </c>
      <c r="P408" s="28" t="s">
        <v>35</v>
      </c>
      <c r="Q408" s="28" t="s">
        <v>35</v>
      </c>
      <c r="R408" s="28" t="s">
        <v>37</v>
      </c>
      <c r="S408" s="29" t="s">
        <v>1071</v>
      </c>
      <c r="T408" s="30" t="s">
        <v>1072</v>
      </c>
      <c r="U408" s="31" t="s">
        <v>1073</v>
      </c>
      <c r="V408" s="32">
        <f t="shared" ref="V408:X408" si="413">IF(lenb(SUBSTITUTE($Z408,V$1&amp;" (1)",""))&lt;lenb($Z408),1,IF(lenb(SUBSTITUTE($Z408,V$1&amp;" (2)",""))&lt;lenb($Z408),2,IF(lenb(SUBSTITUTE($Z408,V$1&amp;" (3)",""))&lt;lenb($Z408),3,IF(lenb(SUBSTITUTE($Z408,V$1&amp;" (4)",""))&lt;lenb($Z408),4,IF(lenb(SUBSTITUTE($Z408,V$1&amp;" (5)",""))&lt;lenb($Z408),5,IF(lenb(SUBSTITUTE($Z408,V$1&amp;" (6)",""))&lt;lenb($Z408),6,IF(lenb(SUBSTITUTE($Z408,V$1&amp;" (7)",""))&lt;lenb($Z408),1,IF(lenb(SUBSTITUTE($Z408,V$1&amp;" (8)",""))&lt;lenb($Z408),8,IF(lenb(SUBSTITUTE($Z408,V$1&amp;" (9)",""))&lt;lenb($Z408),9,IF(lenb(SUBSTITUTE($Z408,V$1&amp;" (10)",""))&lt;lenb($Z408),10,IF(lenb(SUBSTITUTE($Z408,V$1,""))&lt;lenb($Z408),"ERROR",IF($Z408=$Y$1,"-",0))))))))))))</f>
        <v>2</v>
      </c>
      <c r="W408" s="32">
        <f t="shared" si="413"/>
        <v>0</v>
      </c>
      <c r="X408" s="32">
        <f t="shared" si="413"/>
        <v>0</v>
      </c>
      <c r="Y408" s="32" t="str">
        <f t="shared" si="3"/>
        <v>-</v>
      </c>
      <c r="Z408" s="32" t="s">
        <v>57</v>
      </c>
      <c r="AA408" s="33">
        <f t="shared" si="4"/>
        <v>2</v>
      </c>
      <c r="AB408" s="34">
        <f>COUNTIFS(Links!B:B,"ICSE",Links!C:C,A408,Links!AD:AD,1)</f>
        <v>0</v>
      </c>
      <c r="AC408" s="35" t="s">
        <v>37</v>
      </c>
      <c r="AD408" s="27" t="str">
        <f t="shared" si="5"/>
        <v>No</v>
      </c>
      <c r="AE408" s="36" t="s">
        <v>36</v>
      </c>
      <c r="AF408" s="37" t="s">
        <v>42</v>
      </c>
      <c r="AG408" s="37" t="s">
        <v>42</v>
      </c>
      <c r="AH408" s="37" t="s">
        <v>42</v>
      </c>
      <c r="AI408" s="29" t="str">
        <f t="shared" si="6"/>
        <v>----</v>
      </c>
      <c r="AJ408" s="38" t="str">
        <f t="shared" si="7"/>
        <v>Paper has link but no statement</v>
      </c>
      <c r="AK408" s="39">
        <v>45033.0</v>
      </c>
      <c r="AL408" s="23" t="s">
        <v>43</v>
      </c>
      <c r="AM408" s="40" t="str">
        <f t="shared" si="8"/>
        <v>[IP1193]</v>
      </c>
    </row>
    <row r="409" ht="67.5" customHeight="1">
      <c r="A409" s="41">
        <v>1194.0</v>
      </c>
      <c r="B409" s="42" t="s">
        <v>1074</v>
      </c>
      <c r="C409" s="43">
        <v>2018.0</v>
      </c>
      <c r="D409" s="44" t="s">
        <v>35</v>
      </c>
      <c r="E409" s="45" t="s">
        <v>36</v>
      </c>
      <c r="F409" s="45" t="s">
        <v>36</v>
      </c>
      <c r="G409" s="45" t="s">
        <v>36</v>
      </c>
      <c r="H409" s="45" t="s">
        <v>36</v>
      </c>
      <c r="I409" s="45" t="s">
        <v>36</v>
      </c>
      <c r="J409" s="46" t="s">
        <v>36</v>
      </c>
      <c r="K409" s="47" t="s">
        <v>37</v>
      </c>
      <c r="L409" s="48" t="s">
        <v>37</v>
      </c>
      <c r="M409" s="48" t="s">
        <v>35</v>
      </c>
      <c r="N409" s="48" t="s">
        <v>35</v>
      </c>
      <c r="O409" s="48" t="s">
        <v>35</v>
      </c>
      <c r="P409" s="48" t="s">
        <v>35</v>
      </c>
      <c r="Q409" s="48" t="s">
        <v>35</v>
      </c>
      <c r="R409" s="48" t="s">
        <v>37</v>
      </c>
      <c r="S409" s="49" t="s">
        <v>1075</v>
      </c>
      <c r="T409" s="50" t="s">
        <v>1076</v>
      </c>
      <c r="U409" s="51" t="s">
        <v>1076</v>
      </c>
      <c r="V409" s="52">
        <f t="shared" ref="V409:X409" si="414">IF(lenb(SUBSTITUTE($Z409,V$1&amp;" (1)",""))&lt;lenb($Z409),1,IF(lenb(SUBSTITUTE($Z409,V$1&amp;" (2)",""))&lt;lenb($Z409),2,IF(lenb(SUBSTITUTE($Z409,V$1&amp;" (3)",""))&lt;lenb($Z409),3,IF(lenb(SUBSTITUTE($Z409,V$1&amp;" (4)",""))&lt;lenb($Z409),4,IF(lenb(SUBSTITUTE($Z409,V$1&amp;" (5)",""))&lt;lenb($Z409),5,IF(lenb(SUBSTITUTE($Z409,V$1&amp;" (6)",""))&lt;lenb($Z409),6,IF(lenb(SUBSTITUTE($Z409,V$1&amp;" (7)",""))&lt;lenb($Z409),1,IF(lenb(SUBSTITUTE($Z409,V$1&amp;" (8)",""))&lt;lenb($Z409),8,IF(lenb(SUBSTITUTE($Z409,V$1&amp;" (9)",""))&lt;lenb($Z409),9,IF(lenb(SUBSTITUTE($Z409,V$1&amp;" (10)",""))&lt;lenb($Z409),10,IF(lenb(SUBSTITUTE($Z409,V$1,""))&lt;lenb($Z409),"ERROR",IF($Z409=$Y$1,"-",0))))))))))))</f>
        <v>1</v>
      </c>
      <c r="W409" s="52">
        <f t="shared" si="414"/>
        <v>0</v>
      </c>
      <c r="X409" s="52">
        <f t="shared" si="414"/>
        <v>0</v>
      </c>
      <c r="Y409" s="52" t="str">
        <f t="shared" si="3"/>
        <v>-</v>
      </c>
      <c r="Z409" s="52" t="s">
        <v>62</v>
      </c>
      <c r="AA409" s="53">
        <f t="shared" si="4"/>
        <v>1</v>
      </c>
      <c r="AB409" s="54">
        <f>COUNTIFS(Links!B:B,"ICSE",Links!C:C,A409,Links!AD:AD,1)</f>
        <v>0</v>
      </c>
      <c r="AC409" s="55" t="s">
        <v>35</v>
      </c>
      <c r="AD409" s="47" t="str">
        <f t="shared" si="5"/>
        <v>No</v>
      </c>
      <c r="AE409" s="56" t="s">
        <v>36</v>
      </c>
      <c r="AF409" s="57" t="s">
        <v>42</v>
      </c>
      <c r="AG409" s="57" t="s">
        <v>42</v>
      </c>
      <c r="AH409" s="57" t="s">
        <v>42</v>
      </c>
      <c r="AI409" s="49" t="str">
        <f t="shared" si="6"/>
        <v>----</v>
      </c>
      <c r="AJ409" s="58" t="str">
        <f t="shared" si="7"/>
        <v>Paper has link but no statement</v>
      </c>
      <c r="AK409" s="59">
        <v>45033.0</v>
      </c>
      <c r="AL409" s="43" t="s">
        <v>43</v>
      </c>
      <c r="AM409" s="60" t="str">
        <f t="shared" si="8"/>
        <v>[IP1194]</v>
      </c>
    </row>
    <row r="410" ht="67.5" customHeight="1">
      <c r="A410" s="61">
        <v>1195.0</v>
      </c>
      <c r="B410" s="22" t="s">
        <v>1077</v>
      </c>
      <c r="C410" s="23">
        <v>2018.0</v>
      </c>
      <c r="D410" s="24" t="s">
        <v>35</v>
      </c>
      <c r="E410" s="25" t="s">
        <v>36</v>
      </c>
      <c r="F410" s="25" t="s">
        <v>36</v>
      </c>
      <c r="G410" s="25" t="s">
        <v>36</v>
      </c>
      <c r="H410" s="25" t="s">
        <v>36</v>
      </c>
      <c r="I410" s="25" t="s">
        <v>36</v>
      </c>
      <c r="J410" s="26" t="s">
        <v>36</v>
      </c>
      <c r="K410" s="27" t="s">
        <v>37</v>
      </c>
      <c r="L410" s="28" t="s">
        <v>35</v>
      </c>
      <c r="M410" s="28" t="s">
        <v>37</v>
      </c>
      <c r="N410" s="28" t="s">
        <v>37</v>
      </c>
      <c r="O410" s="28" t="s">
        <v>35</v>
      </c>
      <c r="P410" s="28" t="s">
        <v>35</v>
      </c>
      <c r="Q410" s="28" t="s">
        <v>35</v>
      </c>
      <c r="R410" s="28" t="s">
        <v>37</v>
      </c>
      <c r="S410" s="29" t="s">
        <v>1078</v>
      </c>
      <c r="T410" s="30" t="s">
        <v>1079</v>
      </c>
      <c r="U410" s="31" t="s">
        <v>1079</v>
      </c>
      <c r="V410" s="32">
        <f t="shared" ref="V410:X410" si="415">IF(lenb(SUBSTITUTE($Z410,V$1&amp;" (1)",""))&lt;lenb($Z410),1,IF(lenb(SUBSTITUTE($Z410,V$1&amp;" (2)",""))&lt;lenb($Z410),2,IF(lenb(SUBSTITUTE($Z410,V$1&amp;" (3)",""))&lt;lenb($Z410),3,IF(lenb(SUBSTITUTE($Z410,V$1&amp;" (4)",""))&lt;lenb($Z410),4,IF(lenb(SUBSTITUTE($Z410,V$1&amp;" (5)",""))&lt;lenb($Z410),5,IF(lenb(SUBSTITUTE($Z410,V$1&amp;" (6)",""))&lt;lenb($Z410),6,IF(lenb(SUBSTITUTE($Z410,V$1&amp;" (7)",""))&lt;lenb($Z410),1,IF(lenb(SUBSTITUTE($Z410,V$1&amp;" (8)",""))&lt;lenb($Z410),8,IF(lenb(SUBSTITUTE($Z410,V$1&amp;" (9)",""))&lt;lenb($Z410),9,IF(lenb(SUBSTITUTE($Z410,V$1&amp;" (10)",""))&lt;lenb($Z410),10,IF(lenb(SUBSTITUTE($Z410,V$1,""))&lt;lenb($Z410),"ERROR",IF($Z410=$Y$1,"-",0))))))))))))</f>
        <v>1</v>
      </c>
      <c r="W410" s="32">
        <f t="shared" si="415"/>
        <v>0</v>
      </c>
      <c r="X410" s="32">
        <f t="shared" si="415"/>
        <v>0</v>
      </c>
      <c r="Y410" s="32" t="str">
        <f t="shared" si="3"/>
        <v>-</v>
      </c>
      <c r="Z410" s="32" t="s">
        <v>62</v>
      </c>
      <c r="AA410" s="33">
        <f t="shared" si="4"/>
        <v>1</v>
      </c>
      <c r="AB410" s="34">
        <f>COUNTIFS(Links!B:B,"ICSE",Links!C:C,A410,Links!AD:AD,1)</f>
        <v>0</v>
      </c>
      <c r="AC410" s="35" t="s">
        <v>37</v>
      </c>
      <c r="AD410" s="27" t="str">
        <f t="shared" si="5"/>
        <v>No</v>
      </c>
      <c r="AE410" s="36" t="s">
        <v>36</v>
      </c>
      <c r="AF410" s="37" t="s">
        <v>42</v>
      </c>
      <c r="AG410" s="37" t="s">
        <v>42</v>
      </c>
      <c r="AH410" s="37" t="s">
        <v>42</v>
      </c>
      <c r="AI410" s="29" t="str">
        <f t="shared" si="6"/>
        <v>----</v>
      </c>
      <c r="AJ410" s="38" t="str">
        <f t="shared" si="7"/>
        <v>Paper has link but no statement</v>
      </c>
      <c r="AK410" s="39">
        <v>45033.0</v>
      </c>
      <c r="AL410" s="23" t="s">
        <v>43</v>
      </c>
      <c r="AM410" s="40" t="str">
        <f t="shared" si="8"/>
        <v>[IP1195]</v>
      </c>
    </row>
    <row r="411" ht="67.5" customHeight="1">
      <c r="A411" s="41">
        <v>1196.0</v>
      </c>
      <c r="B411" s="42" t="s">
        <v>1080</v>
      </c>
      <c r="C411" s="43">
        <v>2018.0</v>
      </c>
      <c r="D411" s="44" t="s">
        <v>35</v>
      </c>
      <c r="E411" s="45" t="s">
        <v>36</v>
      </c>
      <c r="F411" s="45" t="s">
        <v>36</v>
      </c>
      <c r="G411" s="45" t="s">
        <v>36</v>
      </c>
      <c r="H411" s="45" t="s">
        <v>36</v>
      </c>
      <c r="I411" s="45" t="s">
        <v>36</v>
      </c>
      <c r="J411" s="46" t="s">
        <v>36</v>
      </c>
      <c r="K411" s="47" t="s">
        <v>37</v>
      </c>
      <c r="L411" s="48" t="s">
        <v>37</v>
      </c>
      <c r="M411" s="48" t="s">
        <v>35</v>
      </c>
      <c r="N411" s="48" t="s">
        <v>35</v>
      </c>
      <c r="O411" s="48" t="s">
        <v>35</v>
      </c>
      <c r="P411" s="48" t="s">
        <v>35</v>
      </c>
      <c r="Q411" s="48" t="s">
        <v>35</v>
      </c>
      <c r="R411" s="48" t="s">
        <v>37</v>
      </c>
      <c r="S411" s="49" t="s">
        <v>1081</v>
      </c>
      <c r="T411" s="72" t="s">
        <v>1082</v>
      </c>
      <c r="U411" s="51" t="s">
        <v>1082</v>
      </c>
      <c r="V411" s="52">
        <f t="shared" ref="V411:X411" si="416">IF(lenb(SUBSTITUTE($Z411,V$1&amp;" (1)",""))&lt;lenb($Z411),1,IF(lenb(SUBSTITUTE($Z411,V$1&amp;" (2)",""))&lt;lenb($Z411),2,IF(lenb(SUBSTITUTE($Z411,V$1&amp;" (3)",""))&lt;lenb($Z411),3,IF(lenb(SUBSTITUTE($Z411,V$1&amp;" (4)",""))&lt;lenb($Z411),4,IF(lenb(SUBSTITUTE($Z411,V$1&amp;" (5)",""))&lt;lenb($Z411),5,IF(lenb(SUBSTITUTE($Z411,V$1&amp;" (6)",""))&lt;lenb($Z411),6,IF(lenb(SUBSTITUTE($Z411,V$1&amp;" (7)",""))&lt;lenb($Z411),1,IF(lenb(SUBSTITUTE($Z411,V$1&amp;" (8)",""))&lt;lenb($Z411),8,IF(lenb(SUBSTITUTE($Z411,V$1&amp;" (9)",""))&lt;lenb($Z411),9,IF(lenb(SUBSTITUTE($Z411,V$1&amp;" (10)",""))&lt;lenb($Z411),10,IF(lenb(SUBSTITUTE($Z411,V$1,""))&lt;lenb($Z411),"ERROR",IF($Z411=$Y$1,"-",0))))))))))))</f>
        <v>1</v>
      </c>
      <c r="W411" s="52">
        <f t="shared" si="416"/>
        <v>0</v>
      </c>
      <c r="X411" s="52">
        <f t="shared" si="416"/>
        <v>0</v>
      </c>
      <c r="Y411" s="52" t="str">
        <f t="shared" si="3"/>
        <v>-</v>
      </c>
      <c r="Z411" s="52" t="s">
        <v>62</v>
      </c>
      <c r="AA411" s="53">
        <f t="shared" si="4"/>
        <v>1</v>
      </c>
      <c r="AB411" s="54">
        <f>COUNTIFS(Links!B:B,"ICSE",Links!C:C,A411,Links!AD:AD,1)</f>
        <v>0</v>
      </c>
      <c r="AC411" s="55" t="s">
        <v>35</v>
      </c>
      <c r="AD411" s="47" t="str">
        <f t="shared" si="5"/>
        <v>No</v>
      </c>
      <c r="AE411" s="56" t="s">
        <v>36</v>
      </c>
      <c r="AF411" s="57" t="s">
        <v>42</v>
      </c>
      <c r="AG411" s="57" t="s">
        <v>42</v>
      </c>
      <c r="AH411" s="57" t="s">
        <v>42</v>
      </c>
      <c r="AI411" s="49" t="str">
        <f t="shared" si="6"/>
        <v>----</v>
      </c>
      <c r="AJ411" s="58" t="str">
        <f t="shared" si="7"/>
        <v>Paper has link but no statement</v>
      </c>
      <c r="AK411" s="59">
        <v>45033.0</v>
      </c>
      <c r="AL411" s="43" t="s">
        <v>43</v>
      </c>
      <c r="AM411" s="60" t="str">
        <f t="shared" si="8"/>
        <v>[IP1196]</v>
      </c>
    </row>
    <row r="412" ht="67.5" customHeight="1">
      <c r="A412" s="61">
        <v>1202.0</v>
      </c>
      <c r="B412" s="22" t="s">
        <v>1083</v>
      </c>
      <c r="C412" s="23">
        <v>2018.0</v>
      </c>
      <c r="D412" s="24" t="s">
        <v>35</v>
      </c>
      <c r="E412" s="25" t="s">
        <v>36</v>
      </c>
      <c r="F412" s="25" t="s">
        <v>36</v>
      </c>
      <c r="G412" s="25" t="s">
        <v>36</v>
      </c>
      <c r="H412" s="25" t="s">
        <v>36</v>
      </c>
      <c r="I412" s="25" t="s">
        <v>36</v>
      </c>
      <c r="J412" s="26" t="s">
        <v>36</v>
      </c>
      <c r="K412" s="27" t="s">
        <v>35</v>
      </c>
      <c r="L412" s="28" t="s">
        <v>36</v>
      </c>
      <c r="M412" s="28" t="s">
        <v>36</v>
      </c>
      <c r="N412" s="28" t="s">
        <v>36</v>
      </c>
      <c r="O412" s="28" t="s">
        <v>36</v>
      </c>
      <c r="P412" s="28" t="s">
        <v>36</v>
      </c>
      <c r="Q412" s="28" t="s">
        <v>36</v>
      </c>
      <c r="R412" s="28" t="s">
        <v>36</v>
      </c>
      <c r="S412" s="29" t="s">
        <v>36</v>
      </c>
      <c r="T412" s="30" t="s">
        <v>36</v>
      </c>
      <c r="U412" s="31" t="s">
        <v>36</v>
      </c>
      <c r="V412" s="32" t="str">
        <f t="shared" ref="V412:X412" si="417">IF(lenb(SUBSTITUTE($Z412,V$1&amp;" (1)",""))&lt;lenb($Z412),1,IF(lenb(SUBSTITUTE($Z412,V$1&amp;" (2)",""))&lt;lenb($Z412),2,IF(lenb(SUBSTITUTE($Z412,V$1&amp;" (3)",""))&lt;lenb($Z412),3,IF(lenb(SUBSTITUTE($Z412,V$1&amp;" (4)",""))&lt;lenb($Z412),4,IF(lenb(SUBSTITUTE($Z412,V$1&amp;" (5)",""))&lt;lenb($Z412),5,IF(lenb(SUBSTITUTE($Z412,V$1&amp;" (6)",""))&lt;lenb($Z412),6,IF(lenb(SUBSTITUTE($Z412,V$1&amp;" (7)",""))&lt;lenb($Z412),1,IF(lenb(SUBSTITUTE($Z412,V$1&amp;" (8)",""))&lt;lenb($Z412),8,IF(lenb(SUBSTITUTE($Z412,V$1&amp;" (9)",""))&lt;lenb($Z412),9,IF(lenb(SUBSTITUTE($Z412,V$1&amp;" (10)",""))&lt;lenb($Z412),10,IF(lenb(SUBSTITUTE($Z412,V$1,""))&lt;lenb($Z412),"ERROR",IF($Z412=$Y$1,"-",0))))))))))))</f>
        <v>-</v>
      </c>
      <c r="W412" s="32" t="str">
        <f t="shared" si="417"/>
        <v>-</v>
      </c>
      <c r="X412" s="32" t="str">
        <f t="shared" si="417"/>
        <v>-</v>
      </c>
      <c r="Y412" s="32">
        <f t="shared" si="3"/>
        <v>1</v>
      </c>
      <c r="Z412" s="32" t="s">
        <v>23</v>
      </c>
      <c r="AA412" s="33">
        <f t="shared" si="4"/>
        <v>0</v>
      </c>
      <c r="AB412" s="34">
        <f>COUNTIFS(Links!B:B,"ICSE",Links!C:C,A412,Links!AD:AD,1)</f>
        <v>0</v>
      </c>
      <c r="AC412" s="35" t="s">
        <v>36</v>
      </c>
      <c r="AD412" s="27" t="str">
        <f t="shared" si="5"/>
        <v>No</v>
      </c>
      <c r="AE412" s="36" t="s">
        <v>36</v>
      </c>
      <c r="AF412" s="37" t="s">
        <v>42</v>
      </c>
      <c r="AG412" s="37" t="s">
        <v>42</v>
      </c>
      <c r="AH412" s="37" t="s">
        <v>42</v>
      </c>
      <c r="AI412" s="29" t="str">
        <f t="shared" si="6"/>
        <v>----</v>
      </c>
      <c r="AJ412" s="38" t="str">
        <f t="shared" si="7"/>
        <v>Paper has no link and no statement</v>
      </c>
      <c r="AK412" s="39">
        <v>45033.0</v>
      </c>
      <c r="AL412" s="23" t="s">
        <v>43</v>
      </c>
      <c r="AM412" s="40" t="str">
        <f t="shared" si="8"/>
        <v>[IP1202]</v>
      </c>
    </row>
    <row r="413" ht="67.5" customHeight="1">
      <c r="A413" s="41">
        <v>1203.0</v>
      </c>
      <c r="B413" s="42" t="s">
        <v>1084</v>
      </c>
      <c r="C413" s="43">
        <v>2018.0</v>
      </c>
      <c r="D413" s="44" t="s">
        <v>35</v>
      </c>
      <c r="E413" s="45" t="s">
        <v>36</v>
      </c>
      <c r="F413" s="45" t="s">
        <v>36</v>
      </c>
      <c r="G413" s="45" t="s">
        <v>36</v>
      </c>
      <c r="H413" s="45" t="s">
        <v>36</v>
      </c>
      <c r="I413" s="45" t="s">
        <v>36</v>
      </c>
      <c r="J413" s="46" t="s">
        <v>36</v>
      </c>
      <c r="K413" s="47" t="s">
        <v>37</v>
      </c>
      <c r="L413" s="48" t="s">
        <v>35</v>
      </c>
      <c r="M413" s="48" t="s">
        <v>37</v>
      </c>
      <c r="N413" s="48" t="s">
        <v>35</v>
      </c>
      <c r="O413" s="48" t="s">
        <v>35</v>
      </c>
      <c r="P413" s="48" t="s">
        <v>35</v>
      </c>
      <c r="Q413" s="48" t="s">
        <v>35</v>
      </c>
      <c r="R413" s="48" t="s">
        <v>37</v>
      </c>
      <c r="S413" s="49" t="s">
        <v>1085</v>
      </c>
      <c r="T413" s="50" t="s">
        <v>1086</v>
      </c>
      <c r="U413" s="50" t="s">
        <v>1087</v>
      </c>
      <c r="V413" s="52">
        <f t="shared" ref="V413:X413" si="418">IF(lenb(SUBSTITUTE($Z413,V$1&amp;" (1)",""))&lt;lenb($Z413),1,IF(lenb(SUBSTITUTE($Z413,V$1&amp;" (2)",""))&lt;lenb($Z413),2,IF(lenb(SUBSTITUTE($Z413,V$1&amp;" (3)",""))&lt;lenb($Z413),3,IF(lenb(SUBSTITUTE($Z413,V$1&amp;" (4)",""))&lt;lenb($Z413),4,IF(lenb(SUBSTITUTE($Z413,V$1&amp;" (5)",""))&lt;lenb($Z413),5,IF(lenb(SUBSTITUTE($Z413,V$1&amp;" (6)",""))&lt;lenb($Z413),6,IF(lenb(SUBSTITUTE($Z413,V$1&amp;" (7)",""))&lt;lenb($Z413),1,IF(lenb(SUBSTITUTE($Z413,V$1&amp;" (8)",""))&lt;lenb($Z413),8,IF(lenb(SUBSTITUTE($Z413,V$1&amp;" (9)",""))&lt;lenb($Z413),9,IF(lenb(SUBSTITUTE($Z413,V$1&amp;" (10)",""))&lt;lenb($Z413),10,IF(lenb(SUBSTITUTE($Z413,V$1,""))&lt;lenb($Z413),"ERROR",IF($Z413=$Y$1,"-",0))))))))))))</f>
        <v>2</v>
      </c>
      <c r="W413" s="52">
        <f t="shared" si="418"/>
        <v>1</v>
      </c>
      <c r="X413" s="52">
        <f t="shared" si="418"/>
        <v>0</v>
      </c>
      <c r="Y413" s="52" t="str">
        <f t="shared" si="3"/>
        <v>-</v>
      </c>
      <c r="Z413" s="52" t="s">
        <v>1088</v>
      </c>
      <c r="AA413" s="53">
        <f t="shared" si="4"/>
        <v>3</v>
      </c>
      <c r="AB413" s="54">
        <f>COUNTIFS(Links!B:B,"ICSE",Links!C:C,A413,Links!AD:AD,1)</f>
        <v>2</v>
      </c>
      <c r="AC413" s="55" t="s">
        <v>35</v>
      </c>
      <c r="AD413" s="47" t="str">
        <f t="shared" si="5"/>
        <v>No</v>
      </c>
      <c r="AE413" s="56" t="s">
        <v>36</v>
      </c>
      <c r="AF413" s="57" t="s">
        <v>42</v>
      </c>
      <c r="AG413" s="57" t="s">
        <v>42</v>
      </c>
      <c r="AH413" s="57" t="s">
        <v>42</v>
      </c>
      <c r="AI413" s="49" t="str">
        <f t="shared" si="6"/>
        <v>----</v>
      </c>
      <c r="AJ413" s="58" t="str">
        <f t="shared" si="7"/>
        <v>Paper has link but no statement</v>
      </c>
      <c r="AK413" s="59">
        <v>45033.0</v>
      </c>
      <c r="AL413" s="43" t="s">
        <v>43</v>
      </c>
      <c r="AM413" s="60" t="str">
        <f t="shared" si="8"/>
        <v>[IP1203]</v>
      </c>
    </row>
    <row r="414" ht="67.5" customHeight="1">
      <c r="A414" s="61">
        <v>1204.0</v>
      </c>
      <c r="B414" s="22" t="s">
        <v>1089</v>
      </c>
      <c r="C414" s="23">
        <v>2018.0</v>
      </c>
      <c r="D414" s="24" t="s">
        <v>35</v>
      </c>
      <c r="E414" s="25" t="s">
        <v>36</v>
      </c>
      <c r="F414" s="25" t="s">
        <v>36</v>
      </c>
      <c r="G414" s="25" t="s">
        <v>36</v>
      </c>
      <c r="H414" s="25" t="s">
        <v>36</v>
      </c>
      <c r="I414" s="25" t="s">
        <v>36</v>
      </c>
      <c r="J414" s="26" t="s">
        <v>36</v>
      </c>
      <c r="K414" s="27" t="s">
        <v>37</v>
      </c>
      <c r="L414" s="28" t="s">
        <v>37</v>
      </c>
      <c r="M414" s="28" t="s">
        <v>35</v>
      </c>
      <c r="N414" s="28" t="s">
        <v>37</v>
      </c>
      <c r="O414" s="28" t="s">
        <v>35</v>
      </c>
      <c r="P414" s="28" t="s">
        <v>35</v>
      </c>
      <c r="Q414" s="28" t="s">
        <v>35</v>
      </c>
      <c r="R414" s="28" t="s">
        <v>35</v>
      </c>
      <c r="S414" s="29" t="s">
        <v>1090</v>
      </c>
      <c r="T414" s="30" t="s">
        <v>1091</v>
      </c>
      <c r="U414" s="31" t="s">
        <v>1091</v>
      </c>
      <c r="V414" s="32">
        <f t="shared" ref="V414:X414" si="419">IF(lenb(SUBSTITUTE($Z414,V$1&amp;" (1)",""))&lt;lenb($Z414),1,IF(lenb(SUBSTITUTE($Z414,V$1&amp;" (2)",""))&lt;lenb($Z414),2,IF(lenb(SUBSTITUTE($Z414,V$1&amp;" (3)",""))&lt;lenb($Z414),3,IF(lenb(SUBSTITUTE($Z414,V$1&amp;" (4)",""))&lt;lenb($Z414),4,IF(lenb(SUBSTITUTE($Z414,V$1&amp;" (5)",""))&lt;lenb($Z414),5,IF(lenb(SUBSTITUTE($Z414,V$1&amp;" (6)",""))&lt;lenb($Z414),6,IF(lenb(SUBSTITUTE($Z414,V$1&amp;" (7)",""))&lt;lenb($Z414),1,IF(lenb(SUBSTITUTE($Z414,V$1&amp;" (8)",""))&lt;lenb($Z414),8,IF(lenb(SUBSTITUTE($Z414,V$1&amp;" (9)",""))&lt;lenb($Z414),9,IF(lenb(SUBSTITUTE($Z414,V$1&amp;" (10)",""))&lt;lenb($Z414),10,IF(lenb(SUBSTITUTE($Z414,V$1,""))&lt;lenb($Z414),"ERROR",IF($Z414=$Y$1,"-",0))))))))))))</f>
        <v>0</v>
      </c>
      <c r="W414" s="32">
        <f t="shared" si="419"/>
        <v>1</v>
      </c>
      <c r="X414" s="32">
        <f t="shared" si="419"/>
        <v>0</v>
      </c>
      <c r="Y414" s="32" t="str">
        <f t="shared" si="3"/>
        <v>-</v>
      </c>
      <c r="Z414" s="32" t="s">
        <v>47</v>
      </c>
      <c r="AA414" s="33">
        <f t="shared" si="4"/>
        <v>1</v>
      </c>
      <c r="AB414" s="34">
        <f>COUNTIFS(Links!B:B,"ICSE",Links!C:C,A414,Links!AD:AD,1)</f>
        <v>1</v>
      </c>
      <c r="AC414" s="35" t="s">
        <v>35</v>
      </c>
      <c r="AD414" s="27" t="str">
        <f t="shared" si="5"/>
        <v>No</v>
      </c>
      <c r="AE414" s="36" t="s">
        <v>36</v>
      </c>
      <c r="AF414" s="37" t="s">
        <v>42</v>
      </c>
      <c r="AG414" s="37" t="s">
        <v>42</v>
      </c>
      <c r="AH414" s="37" t="s">
        <v>42</v>
      </c>
      <c r="AI414" s="29" t="str">
        <f t="shared" si="6"/>
        <v>----</v>
      </c>
      <c r="AJ414" s="38" t="str">
        <f t="shared" si="7"/>
        <v>Paper has link but no statement</v>
      </c>
      <c r="AK414" s="39">
        <v>45033.0</v>
      </c>
      <c r="AL414" s="23" t="s">
        <v>43</v>
      </c>
      <c r="AM414" s="40" t="str">
        <f t="shared" si="8"/>
        <v>[IP1204]</v>
      </c>
    </row>
    <row r="415" ht="67.5" customHeight="1">
      <c r="A415" s="41">
        <v>1206.0</v>
      </c>
      <c r="B415" s="42" t="s">
        <v>1092</v>
      </c>
      <c r="C415" s="43">
        <v>2018.0</v>
      </c>
      <c r="D415" s="44" t="s">
        <v>35</v>
      </c>
      <c r="E415" s="45" t="s">
        <v>36</v>
      </c>
      <c r="F415" s="45" t="s">
        <v>36</v>
      </c>
      <c r="G415" s="45" t="s">
        <v>36</v>
      </c>
      <c r="H415" s="45" t="s">
        <v>36</v>
      </c>
      <c r="I415" s="45" t="s">
        <v>36</v>
      </c>
      <c r="J415" s="46" t="s">
        <v>36</v>
      </c>
      <c r="K415" s="47" t="s">
        <v>37</v>
      </c>
      <c r="L415" s="48" t="s">
        <v>37</v>
      </c>
      <c r="M415" s="48" t="s">
        <v>35</v>
      </c>
      <c r="N415" s="48" t="s">
        <v>37</v>
      </c>
      <c r="O415" s="48" t="s">
        <v>35</v>
      </c>
      <c r="P415" s="48" t="s">
        <v>35</v>
      </c>
      <c r="Q415" s="48" t="s">
        <v>35</v>
      </c>
      <c r="R415" s="48" t="s">
        <v>35</v>
      </c>
      <c r="S415" s="49" t="s">
        <v>1093</v>
      </c>
      <c r="T415" s="50" t="s">
        <v>1094</v>
      </c>
      <c r="U415" s="51" t="s">
        <v>1094</v>
      </c>
      <c r="V415" s="52">
        <f t="shared" ref="V415:X415" si="420">IF(lenb(SUBSTITUTE($Z415,V$1&amp;" (1)",""))&lt;lenb($Z415),1,IF(lenb(SUBSTITUTE($Z415,V$1&amp;" (2)",""))&lt;lenb($Z415),2,IF(lenb(SUBSTITUTE($Z415,V$1&amp;" (3)",""))&lt;lenb($Z415),3,IF(lenb(SUBSTITUTE($Z415,V$1&amp;" (4)",""))&lt;lenb($Z415),4,IF(lenb(SUBSTITUTE($Z415,V$1&amp;" (5)",""))&lt;lenb($Z415),5,IF(lenb(SUBSTITUTE($Z415,V$1&amp;" (6)",""))&lt;lenb($Z415),6,IF(lenb(SUBSTITUTE($Z415,V$1&amp;" (7)",""))&lt;lenb($Z415),1,IF(lenb(SUBSTITUTE($Z415,V$1&amp;" (8)",""))&lt;lenb($Z415),8,IF(lenb(SUBSTITUTE($Z415,V$1&amp;" (9)",""))&lt;lenb($Z415),9,IF(lenb(SUBSTITUTE($Z415,V$1&amp;" (10)",""))&lt;lenb($Z415),10,IF(lenb(SUBSTITUTE($Z415,V$1,""))&lt;lenb($Z415),"ERROR",IF($Z415=$Y$1,"-",0))))))))))))</f>
        <v>1</v>
      </c>
      <c r="W415" s="52">
        <f t="shared" si="420"/>
        <v>0</v>
      </c>
      <c r="X415" s="52">
        <f t="shared" si="420"/>
        <v>0</v>
      </c>
      <c r="Y415" s="52" t="str">
        <f t="shared" si="3"/>
        <v>-</v>
      </c>
      <c r="Z415" s="52" t="s">
        <v>62</v>
      </c>
      <c r="AA415" s="53">
        <f t="shared" si="4"/>
        <v>1</v>
      </c>
      <c r="AB415" s="54">
        <f>COUNTIFS(Links!B:B,"ICSE",Links!C:C,A415,Links!AD:AD,1)</f>
        <v>0</v>
      </c>
      <c r="AC415" s="55" t="s">
        <v>35</v>
      </c>
      <c r="AD415" s="47" t="str">
        <f t="shared" si="5"/>
        <v>No</v>
      </c>
      <c r="AE415" s="56" t="s">
        <v>36</v>
      </c>
      <c r="AF415" s="57" t="s">
        <v>42</v>
      </c>
      <c r="AG415" s="57" t="s">
        <v>42</v>
      </c>
      <c r="AH415" s="57" t="s">
        <v>42</v>
      </c>
      <c r="AI415" s="49" t="str">
        <f t="shared" si="6"/>
        <v>----</v>
      </c>
      <c r="AJ415" s="58" t="str">
        <f t="shared" si="7"/>
        <v>Paper has link but no statement</v>
      </c>
      <c r="AK415" s="59">
        <v>45033.0</v>
      </c>
      <c r="AL415" s="43" t="s">
        <v>43</v>
      </c>
      <c r="AM415" s="60" t="str">
        <f t="shared" si="8"/>
        <v>[IP1206]</v>
      </c>
    </row>
    <row r="416" ht="67.5" customHeight="1">
      <c r="A416" s="61">
        <v>1207.0</v>
      </c>
      <c r="B416" s="22" t="s">
        <v>1095</v>
      </c>
      <c r="C416" s="23">
        <v>2018.0</v>
      </c>
      <c r="D416" s="24" t="s">
        <v>35</v>
      </c>
      <c r="E416" s="25" t="s">
        <v>36</v>
      </c>
      <c r="F416" s="25" t="s">
        <v>36</v>
      </c>
      <c r="G416" s="25" t="s">
        <v>36</v>
      </c>
      <c r="H416" s="25" t="s">
        <v>36</v>
      </c>
      <c r="I416" s="25" t="s">
        <v>36</v>
      </c>
      <c r="J416" s="26" t="s">
        <v>36</v>
      </c>
      <c r="K416" s="27" t="s">
        <v>37</v>
      </c>
      <c r="L416" s="28" t="s">
        <v>35</v>
      </c>
      <c r="M416" s="28" t="s">
        <v>37</v>
      </c>
      <c r="N416" s="28" t="s">
        <v>35</v>
      </c>
      <c r="O416" s="28" t="s">
        <v>37</v>
      </c>
      <c r="P416" s="28" t="s">
        <v>35</v>
      </c>
      <c r="Q416" s="28" t="s">
        <v>35</v>
      </c>
      <c r="R416" s="28" t="s">
        <v>37</v>
      </c>
      <c r="S416" s="29" t="s">
        <v>1096</v>
      </c>
      <c r="T416" s="30" t="s">
        <v>1097</v>
      </c>
      <c r="U416" s="31" t="s">
        <v>1097</v>
      </c>
      <c r="V416" s="32">
        <f t="shared" ref="V416:X416" si="421">IF(lenb(SUBSTITUTE($Z416,V$1&amp;" (1)",""))&lt;lenb($Z416),1,IF(lenb(SUBSTITUTE($Z416,V$1&amp;" (2)",""))&lt;lenb($Z416),2,IF(lenb(SUBSTITUTE($Z416,V$1&amp;" (3)",""))&lt;lenb($Z416),3,IF(lenb(SUBSTITUTE($Z416,V$1&amp;" (4)",""))&lt;lenb($Z416),4,IF(lenb(SUBSTITUTE($Z416,V$1&amp;" (5)",""))&lt;lenb($Z416),5,IF(lenb(SUBSTITUTE($Z416,V$1&amp;" (6)",""))&lt;lenb($Z416),6,IF(lenb(SUBSTITUTE($Z416,V$1&amp;" (7)",""))&lt;lenb($Z416),1,IF(lenb(SUBSTITUTE($Z416,V$1&amp;" (8)",""))&lt;lenb($Z416),8,IF(lenb(SUBSTITUTE($Z416,V$1&amp;" (9)",""))&lt;lenb($Z416),9,IF(lenb(SUBSTITUTE($Z416,V$1&amp;" (10)",""))&lt;lenb($Z416),10,IF(lenb(SUBSTITUTE($Z416,V$1,""))&lt;lenb($Z416),"ERROR",IF($Z416=$Y$1,"-",0))))))))))))</f>
        <v>2</v>
      </c>
      <c r="W416" s="32">
        <f t="shared" si="421"/>
        <v>0</v>
      </c>
      <c r="X416" s="32">
        <f t="shared" si="421"/>
        <v>0</v>
      </c>
      <c r="Y416" s="32" t="str">
        <f t="shared" si="3"/>
        <v>-</v>
      </c>
      <c r="Z416" s="32" t="s">
        <v>57</v>
      </c>
      <c r="AA416" s="33">
        <f t="shared" si="4"/>
        <v>2</v>
      </c>
      <c r="AB416" s="34">
        <f>COUNTIFS(Links!B:B,"ICSE",Links!C:C,A416,Links!AD:AD,1)</f>
        <v>0</v>
      </c>
      <c r="AC416" s="35" t="s">
        <v>37</v>
      </c>
      <c r="AD416" s="27" t="str">
        <f t="shared" si="5"/>
        <v>No</v>
      </c>
      <c r="AE416" s="36" t="s">
        <v>36</v>
      </c>
      <c r="AF416" s="37" t="s">
        <v>42</v>
      </c>
      <c r="AG416" s="37" t="s">
        <v>42</v>
      </c>
      <c r="AH416" s="37" t="s">
        <v>42</v>
      </c>
      <c r="AI416" s="29" t="str">
        <f t="shared" si="6"/>
        <v>----</v>
      </c>
      <c r="AJ416" s="38" t="str">
        <f t="shared" si="7"/>
        <v>Paper has link but no statement</v>
      </c>
      <c r="AK416" s="39">
        <v>45033.0</v>
      </c>
      <c r="AL416" s="23" t="s">
        <v>43</v>
      </c>
      <c r="AM416" s="40" t="str">
        <f t="shared" si="8"/>
        <v>[IP1207]</v>
      </c>
    </row>
    <row r="417" ht="67.5" customHeight="1">
      <c r="A417" s="41">
        <v>1208.0</v>
      </c>
      <c r="B417" s="42" t="s">
        <v>1098</v>
      </c>
      <c r="C417" s="43">
        <v>2018.0</v>
      </c>
      <c r="D417" s="44" t="s">
        <v>35</v>
      </c>
      <c r="E417" s="45" t="s">
        <v>36</v>
      </c>
      <c r="F417" s="45" t="s">
        <v>36</v>
      </c>
      <c r="G417" s="45" t="s">
        <v>36</v>
      </c>
      <c r="H417" s="45" t="s">
        <v>36</v>
      </c>
      <c r="I417" s="45" t="s">
        <v>36</v>
      </c>
      <c r="J417" s="46" t="s">
        <v>36</v>
      </c>
      <c r="K417" s="47" t="s">
        <v>37</v>
      </c>
      <c r="L417" s="48" t="s">
        <v>37</v>
      </c>
      <c r="M417" s="48" t="s">
        <v>35</v>
      </c>
      <c r="N417" s="48" t="s">
        <v>35</v>
      </c>
      <c r="O417" s="48" t="s">
        <v>35</v>
      </c>
      <c r="P417" s="48" t="s">
        <v>35</v>
      </c>
      <c r="Q417" s="48" t="s">
        <v>35</v>
      </c>
      <c r="R417" s="48" t="s">
        <v>37</v>
      </c>
      <c r="S417" s="49" t="s">
        <v>1099</v>
      </c>
      <c r="T417" s="50" t="s">
        <v>1100</v>
      </c>
      <c r="U417" s="51" t="s">
        <v>1100</v>
      </c>
      <c r="V417" s="52">
        <f t="shared" ref="V417:X417" si="422">IF(lenb(SUBSTITUTE($Z417,V$1&amp;" (1)",""))&lt;lenb($Z417),1,IF(lenb(SUBSTITUTE($Z417,V$1&amp;" (2)",""))&lt;lenb($Z417),2,IF(lenb(SUBSTITUTE($Z417,V$1&amp;" (3)",""))&lt;lenb($Z417),3,IF(lenb(SUBSTITUTE($Z417,V$1&amp;" (4)",""))&lt;lenb($Z417),4,IF(lenb(SUBSTITUTE($Z417,V$1&amp;" (5)",""))&lt;lenb($Z417),5,IF(lenb(SUBSTITUTE($Z417,V$1&amp;" (6)",""))&lt;lenb($Z417),6,IF(lenb(SUBSTITUTE($Z417,V$1&amp;" (7)",""))&lt;lenb($Z417),1,IF(lenb(SUBSTITUTE($Z417,V$1&amp;" (8)",""))&lt;lenb($Z417),8,IF(lenb(SUBSTITUTE($Z417,V$1&amp;" (9)",""))&lt;lenb($Z417),9,IF(lenb(SUBSTITUTE($Z417,V$1&amp;" (10)",""))&lt;lenb($Z417),10,IF(lenb(SUBSTITUTE($Z417,V$1,""))&lt;lenb($Z417),"ERROR",IF($Z417=$Y$1,"-",0))))))))))))</f>
        <v>1</v>
      </c>
      <c r="W417" s="52">
        <f t="shared" si="422"/>
        <v>0</v>
      </c>
      <c r="X417" s="52">
        <f t="shared" si="422"/>
        <v>0</v>
      </c>
      <c r="Y417" s="52" t="str">
        <f t="shared" si="3"/>
        <v>-</v>
      </c>
      <c r="Z417" s="52" t="s">
        <v>62</v>
      </c>
      <c r="AA417" s="53">
        <f t="shared" si="4"/>
        <v>1</v>
      </c>
      <c r="AB417" s="54">
        <f>COUNTIFS(Links!B:B,"ICSE",Links!C:C,A417,Links!AD:AD,1)</f>
        <v>0</v>
      </c>
      <c r="AC417" s="55" t="s">
        <v>35</v>
      </c>
      <c r="AD417" s="47" t="str">
        <f t="shared" si="5"/>
        <v>No</v>
      </c>
      <c r="AE417" s="56" t="s">
        <v>36</v>
      </c>
      <c r="AF417" s="57" t="s">
        <v>42</v>
      </c>
      <c r="AG417" s="57" t="s">
        <v>42</v>
      </c>
      <c r="AH417" s="57" t="s">
        <v>42</v>
      </c>
      <c r="AI417" s="49" t="str">
        <f t="shared" si="6"/>
        <v>----</v>
      </c>
      <c r="AJ417" s="58" t="str">
        <f t="shared" si="7"/>
        <v>Paper has link but no statement</v>
      </c>
      <c r="AK417" s="59">
        <v>45033.0</v>
      </c>
      <c r="AL417" s="43" t="s">
        <v>43</v>
      </c>
      <c r="AM417" s="60" t="str">
        <f t="shared" si="8"/>
        <v>[IP1208]</v>
      </c>
    </row>
    <row r="418" ht="67.5" customHeight="1">
      <c r="A418" s="61">
        <v>1209.0</v>
      </c>
      <c r="B418" s="22" t="s">
        <v>1101</v>
      </c>
      <c r="C418" s="23">
        <v>2018.0</v>
      </c>
      <c r="D418" s="24" t="s">
        <v>35</v>
      </c>
      <c r="E418" s="25" t="s">
        <v>36</v>
      </c>
      <c r="F418" s="25" t="s">
        <v>36</v>
      </c>
      <c r="G418" s="25" t="s">
        <v>36</v>
      </c>
      <c r="H418" s="25" t="s">
        <v>36</v>
      </c>
      <c r="I418" s="25" t="s">
        <v>36</v>
      </c>
      <c r="J418" s="26" t="s">
        <v>36</v>
      </c>
      <c r="K418" s="27" t="s">
        <v>37</v>
      </c>
      <c r="L418" s="28" t="s">
        <v>35</v>
      </c>
      <c r="M418" s="28" t="s">
        <v>37</v>
      </c>
      <c r="N418" s="28" t="s">
        <v>35</v>
      </c>
      <c r="O418" s="28" t="s">
        <v>35</v>
      </c>
      <c r="P418" s="28" t="s">
        <v>35</v>
      </c>
      <c r="Q418" s="28" t="s">
        <v>35</v>
      </c>
      <c r="R418" s="28" t="s">
        <v>37</v>
      </c>
      <c r="S418" s="29" t="s">
        <v>1102</v>
      </c>
      <c r="T418" s="30" t="s">
        <v>1103</v>
      </c>
      <c r="U418" s="31" t="s">
        <v>1103</v>
      </c>
      <c r="V418" s="32">
        <f t="shared" ref="V418:X418" si="423">IF(lenb(SUBSTITUTE($Z418,V$1&amp;" (1)",""))&lt;lenb($Z418),1,IF(lenb(SUBSTITUTE($Z418,V$1&amp;" (2)",""))&lt;lenb($Z418),2,IF(lenb(SUBSTITUTE($Z418,V$1&amp;" (3)",""))&lt;lenb($Z418),3,IF(lenb(SUBSTITUTE($Z418,V$1&amp;" (4)",""))&lt;lenb($Z418),4,IF(lenb(SUBSTITUTE($Z418,V$1&amp;" (5)",""))&lt;lenb($Z418),5,IF(lenb(SUBSTITUTE($Z418,V$1&amp;" (6)",""))&lt;lenb($Z418),6,IF(lenb(SUBSTITUTE($Z418,V$1&amp;" (7)",""))&lt;lenb($Z418),1,IF(lenb(SUBSTITUTE($Z418,V$1&amp;" (8)",""))&lt;lenb($Z418),8,IF(lenb(SUBSTITUTE($Z418,V$1&amp;" (9)",""))&lt;lenb($Z418),9,IF(lenb(SUBSTITUTE($Z418,V$1&amp;" (10)",""))&lt;lenb($Z418),10,IF(lenb(SUBSTITUTE($Z418,V$1,""))&lt;lenb($Z418),"ERROR",IF($Z418=$Y$1,"-",0))))))))))))</f>
        <v>1</v>
      </c>
      <c r="W418" s="32">
        <f t="shared" si="423"/>
        <v>0</v>
      </c>
      <c r="X418" s="32">
        <f t="shared" si="423"/>
        <v>0</v>
      </c>
      <c r="Y418" s="32" t="str">
        <f t="shared" si="3"/>
        <v>-</v>
      </c>
      <c r="Z418" s="32" t="s">
        <v>62</v>
      </c>
      <c r="AA418" s="33">
        <f t="shared" si="4"/>
        <v>1</v>
      </c>
      <c r="AB418" s="34">
        <f>COUNTIFS(Links!B:B,"ICSE",Links!C:C,A418,Links!AD:AD,1)</f>
        <v>0</v>
      </c>
      <c r="AC418" s="35" t="s">
        <v>35</v>
      </c>
      <c r="AD418" s="27" t="str">
        <f t="shared" si="5"/>
        <v>No</v>
      </c>
      <c r="AE418" s="36" t="s">
        <v>36</v>
      </c>
      <c r="AF418" s="37" t="s">
        <v>42</v>
      </c>
      <c r="AG418" s="37" t="s">
        <v>42</v>
      </c>
      <c r="AH418" s="37" t="s">
        <v>42</v>
      </c>
      <c r="AI418" s="29" t="str">
        <f t="shared" si="6"/>
        <v>----</v>
      </c>
      <c r="AJ418" s="38" t="str">
        <f t="shared" si="7"/>
        <v>Paper has link but no statement</v>
      </c>
      <c r="AK418" s="39">
        <v>45033.0</v>
      </c>
      <c r="AL418" s="23" t="s">
        <v>43</v>
      </c>
      <c r="AM418" s="40" t="str">
        <f t="shared" si="8"/>
        <v>[IP1209]</v>
      </c>
    </row>
    <row r="419" ht="67.5" customHeight="1">
      <c r="A419" s="41">
        <v>1211.0</v>
      </c>
      <c r="B419" s="42" t="s">
        <v>1104</v>
      </c>
      <c r="C419" s="43">
        <v>2018.0</v>
      </c>
      <c r="D419" s="44" t="s">
        <v>35</v>
      </c>
      <c r="E419" s="45" t="s">
        <v>36</v>
      </c>
      <c r="F419" s="45" t="s">
        <v>36</v>
      </c>
      <c r="G419" s="45" t="s">
        <v>36</v>
      </c>
      <c r="H419" s="45" t="s">
        <v>36</v>
      </c>
      <c r="I419" s="45" t="s">
        <v>36</v>
      </c>
      <c r="J419" s="46" t="s">
        <v>36</v>
      </c>
      <c r="K419" s="47" t="s">
        <v>37</v>
      </c>
      <c r="L419" s="48" t="s">
        <v>37</v>
      </c>
      <c r="M419" s="48" t="s">
        <v>35</v>
      </c>
      <c r="N419" s="48" t="s">
        <v>35</v>
      </c>
      <c r="O419" s="48" t="s">
        <v>35</v>
      </c>
      <c r="P419" s="48" t="s">
        <v>35</v>
      </c>
      <c r="Q419" s="48" t="s">
        <v>35</v>
      </c>
      <c r="R419" s="48" t="s">
        <v>37</v>
      </c>
      <c r="S419" s="49" t="s">
        <v>1105</v>
      </c>
      <c r="T419" s="50" t="s">
        <v>1106</v>
      </c>
      <c r="U419" s="51" t="s">
        <v>1106</v>
      </c>
      <c r="V419" s="52">
        <f t="shared" ref="V419:X419" si="424">IF(lenb(SUBSTITUTE($Z419,V$1&amp;" (1)",""))&lt;lenb($Z419),1,IF(lenb(SUBSTITUTE($Z419,V$1&amp;" (2)",""))&lt;lenb($Z419),2,IF(lenb(SUBSTITUTE($Z419,V$1&amp;" (3)",""))&lt;lenb($Z419),3,IF(lenb(SUBSTITUTE($Z419,V$1&amp;" (4)",""))&lt;lenb($Z419),4,IF(lenb(SUBSTITUTE($Z419,V$1&amp;" (5)",""))&lt;lenb($Z419),5,IF(lenb(SUBSTITUTE($Z419,V$1&amp;" (6)",""))&lt;lenb($Z419),6,IF(lenb(SUBSTITUTE($Z419,V$1&amp;" (7)",""))&lt;lenb($Z419),1,IF(lenb(SUBSTITUTE($Z419,V$1&amp;" (8)",""))&lt;lenb($Z419),8,IF(lenb(SUBSTITUTE($Z419,V$1&amp;" (9)",""))&lt;lenb($Z419),9,IF(lenb(SUBSTITUTE($Z419,V$1&amp;" (10)",""))&lt;lenb($Z419),10,IF(lenb(SUBSTITUTE($Z419,V$1,""))&lt;lenb($Z419),"ERROR",IF($Z419=$Y$1,"-",0))))))))))))</f>
        <v>1</v>
      </c>
      <c r="W419" s="52">
        <f t="shared" si="424"/>
        <v>0</v>
      </c>
      <c r="X419" s="52">
        <f t="shared" si="424"/>
        <v>0</v>
      </c>
      <c r="Y419" s="52" t="str">
        <f t="shared" si="3"/>
        <v>-</v>
      </c>
      <c r="Z419" s="52" t="s">
        <v>62</v>
      </c>
      <c r="AA419" s="53">
        <f t="shared" si="4"/>
        <v>1</v>
      </c>
      <c r="AB419" s="54">
        <f>COUNTIFS(Links!B:B,"ICSE",Links!C:C,A419,Links!AD:AD,1)</f>
        <v>0</v>
      </c>
      <c r="AC419" s="55" t="s">
        <v>35</v>
      </c>
      <c r="AD419" s="47" t="str">
        <f t="shared" si="5"/>
        <v>No</v>
      </c>
      <c r="AE419" s="56" t="s">
        <v>36</v>
      </c>
      <c r="AF419" s="57" t="s">
        <v>42</v>
      </c>
      <c r="AG419" s="57" t="s">
        <v>42</v>
      </c>
      <c r="AH419" s="57" t="s">
        <v>42</v>
      </c>
      <c r="AI419" s="49" t="str">
        <f t="shared" si="6"/>
        <v>----</v>
      </c>
      <c r="AJ419" s="58" t="str">
        <f t="shared" si="7"/>
        <v>Paper has link but no statement</v>
      </c>
      <c r="AK419" s="59">
        <v>45033.0</v>
      </c>
      <c r="AL419" s="43" t="s">
        <v>43</v>
      </c>
      <c r="AM419" s="60" t="str">
        <f t="shared" si="8"/>
        <v>[IP1211]</v>
      </c>
    </row>
    <row r="420" ht="67.5" customHeight="1">
      <c r="A420" s="61">
        <v>1212.0</v>
      </c>
      <c r="B420" s="22" t="s">
        <v>1107</v>
      </c>
      <c r="C420" s="23">
        <v>2018.0</v>
      </c>
      <c r="D420" s="24" t="s">
        <v>35</v>
      </c>
      <c r="E420" s="25" t="s">
        <v>36</v>
      </c>
      <c r="F420" s="25" t="s">
        <v>36</v>
      </c>
      <c r="G420" s="25" t="s">
        <v>36</v>
      </c>
      <c r="H420" s="25" t="s">
        <v>36</v>
      </c>
      <c r="I420" s="25" t="s">
        <v>36</v>
      </c>
      <c r="J420" s="26" t="s">
        <v>36</v>
      </c>
      <c r="K420" s="27" t="s">
        <v>37</v>
      </c>
      <c r="L420" s="28" t="s">
        <v>37</v>
      </c>
      <c r="M420" s="28" t="s">
        <v>37</v>
      </c>
      <c r="N420" s="28" t="s">
        <v>37</v>
      </c>
      <c r="O420" s="28" t="s">
        <v>35</v>
      </c>
      <c r="P420" s="28" t="s">
        <v>35</v>
      </c>
      <c r="Q420" s="28" t="s">
        <v>35</v>
      </c>
      <c r="R420" s="28" t="s">
        <v>37</v>
      </c>
      <c r="S420" s="29" t="s">
        <v>1108</v>
      </c>
      <c r="T420" s="30" t="s">
        <v>1109</v>
      </c>
      <c r="U420" s="31" t="s">
        <v>1109</v>
      </c>
      <c r="V420" s="32">
        <f t="shared" ref="V420:X420" si="425">IF(lenb(SUBSTITUTE($Z420,V$1&amp;" (1)",""))&lt;lenb($Z420),1,IF(lenb(SUBSTITUTE($Z420,V$1&amp;" (2)",""))&lt;lenb($Z420),2,IF(lenb(SUBSTITUTE($Z420,V$1&amp;" (3)",""))&lt;lenb($Z420),3,IF(lenb(SUBSTITUTE($Z420,V$1&amp;" (4)",""))&lt;lenb($Z420),4,IF(lenb(SUBSTITUTE($Z420,V$1&amp;" (5)",""))&lt;lenb($Z420),5,IF(lenb(SUBSTITUTE($Z420,V$1&amp;" (6)",""))&lt;lenb($Z420),6,IF(lenb(SUBSTITUTE($Z420,V$1&amp;" (7)",""))&lt;lenb($Z420),1,IF(lenb(SUBSTITUTE($Z420,V$1&amp;" (8)",""))&lt;lenb($Z420),8,IF(lenb(SUBSTITUTE($Z420,V$1&amp;" (9)",""))&lt;lenb($Z420),9,IF(lenb(SUBSTITUTE($Z420,V$1&amp;" (10)",""))&lt;lenb($Z420),10,IF(lenb(SUBSTITUTE($Z420,V$1,""))&lt;lenb($Z420),"ERROR",IF($Z420=$Y$1,"-",0))))))))))))</f>
        <v>1</v>
      </c>
      <c r="W420" s="32">
        <f t="shared" si="425"/>
        <v>0</v>
      </c>
      <c r="X420" s="32">
        <f t="shared" si="425"/>
        <v>0</v>
      </c>
      <c r="Y420" s="32" t="str">
        <f t="shared" si="3"/>
        <v>-</v>
      </c>
      <c r="Z420" s="32" t="s">
        <v>62</v>
      </c>
      <c r="AA420" s="33">
        <f t="shared" si="4"/>
        <v>1</v>
      </c>
      <c r="AB420" s="34">
        <f>COUNTIFS(Links!B:B,"ICSE",Links!C:C,A420,Links!AD:AD,1)</f>
        <v>1</v>
      </c>
      <c r="AC420" s="35" t="s">
        <v>35</v>
      </c>
      <c r="AD420" s="27" t="str">
        <f t="shared" si="5"/>
        <v>No</v>
      </c>
      <c r="AE420" s="36" t="s">
        <v>36</v>
      </c>
      <c r="AF420" s="37" t="s">
        <v>42</v>
      </c>
      <c r="AG420" s="37" t="s">
        <v>42</v>
      </c>
      <c r="AH420" s="37" t="s">
        <v>42</v>
      </c>
      <c r="AI420" s="29" t="str">
        <f t="shared" si="6"/>
        <v>----</v>
      </c>
      <c r="AJ420" s="38" t="str">
        <f t="shared" si="7"/>
        <v>Paper has link but no statement</v>
      </c>
      <c r="AK420" s="39">
        <v>45033.0</v>
      </c>
      <c r="AL420" s="23" t="s">
        <v>43</v>
      </c>
      <c r="AM420" s="40" t="str">
        <f t="shared" si="8"/>
        <v>[IP1212]</v>
      </c>
    </row>
    <row r="421" ht="67.5" customHeight="1">
      <c r="A421" s="41">
        <v>1213.0</v>
      </c>
      <c r="B421" s="42" t="s">
        <v>1110</v>
      </c>
      <c r="C421" s="43">
        <v>2018.0</v>
      </c>
      <c r="D421" s="44" t="s">
        <v>35</v>
      </c>
      <c r="E421" s="45" t="s">
        <v>36</v>
      </c>
      <c r="F421" s="45" t="s">
        <v>36</v>
      </c>
      <c r="G421" s="45" t="s">
        <v>36</v>
      </c>
      <c r="H421" s="45" t="s">
        <v>36</v>
      </c>
      <c r="I421" s="45" t="s">
        <v>36</v>
      </c>
      <c r="J421" s="46" t="s">
        <v>36</v>
      </c>
      <c r="K421" s="47" t="s">
        <v>35</v>
      </c>
      <c r="L421" s="48" t="s">
        <v>36</v>
      </c>
      <c r="M421" s="48" t="s">
        <v>36</v>
      </c>
      <c r="N421" s="48" t="s">
        <v>36</v>
      </c>
      <c r="O421" s="48" t="s">
        <v>36</v>
      </c>
      <c r="P421" s="48" t="s">
        <v>36</v>
      </c>
      <c r="Q421" s="48" t="s">
        <v>36</v>
      </c>
      <c r="R421" s="48" t="s">
        <v>36</v>
      </c>
      <c r="S421" s="49" t="s">
        <v>36</v>
      </c>
      <c r="T421" s="50" t="s">
        <v>36</v>
      </c>
      <c r="U421" s="51" t="s">
        <v>36</v>
      </c>
      <c r="V421" s="52" t="str">
        <f t="shared" ref="V421:X421" si="426">IF(lenb(SUBSTITUTE($Z421,V$1&amp;" (1)",""))&lt;lenb($Z421),1,IF(lenb(SUBSTITUTE($Z421,V$1&amp;" (2)",""))&lt;lenb($Z421),2,IF(lenb(SUBSTITUTE($Z421,V$1&amp;" (3)",""))&lt;lenb($Z421),3,IF(lenb(SUBSTITUTE($Z421,V$1&amp;" (4)",""))&lt;lenb($Z421),4,IF(lenb(SUBSTITUTE($Z421,V$1&amp;" (5)",""))&lt;lenb($Z421),5,IF(lenb(SUBSTITUTE($Z421,V$1&amp;" (6)",""))&lt;lenb($Z421),6,IF(lenb(SUBSTITUTE($Z421,V$1&amp;" (7)",""))&lt;lenb($Z421),1,IF(lenb(SUBSTITUTE($Z421,V$1&amp;" (8)",""))&lt;lenb($Z421),8,IF(lenb(SUBSTITUTE($Z421,V$1&amp;" (9)",""))&lt;lenb($Z421),9,IF(lenb(SUBSTITUTE($Z421,V$1&amp;" (10)",""))&lt;lenb($Z421),10,IF(lenb(SUBSTITUTE($Z421,V$1,""))&lt;lenb($Z421),"ERROR",IF($Z421=$Y$1,"-",0))))))))))))</f>
        <v>-</v>
      </c>
      <c r="W421" s="52" t="str">
        <f t="shared" si="426"/>
        <v>-</v>
      </c>
      <c r="X421" s="52" t="str">
        <f t="shared" si="426"/>
        <v>-</v>
      </c>
      <c r="Y421" s="52">
        <f t="shared" si="3"/>
        <v>1</v>
      </c>
      <c r="Z421" s="52" t="s">
        <v>23</v>
      </c>
      <c r="AA421" s="53">
        <f t="shared" si="4"/>
        <v>0</v>
      </c>
      <c r="AB421" s="54">
        <f>COUNTIFS(Links!B:B,"ICSE",Links!C:C,A421,Links!AD:AD,1)</f>
        <v>0</v>
      </c>
      <c r="AC421" s="55" t="s">
        <v>36</v>
      </c>
      <c r="AD421" s="47" t="str">
        <f t="shared" si="5"/>
        <v>No</v>
      </c>
      <c r="AE421" s="56" t="s">
        <v>36</v>
      </c>
      <c r="AF421" s="57" t="s">
        <v>42</v>
      </c>
      <c r="AG421" s="57" t="s">
        <v>42</v>
      </c>
      <c r="AH421" s="57" t="s">
        <v>42</v>
      </c>
      <c r="AI421" s="49" t="str">
        <f t="shared" si="6"/>
        <v>----</v>
      </c>
      <c r="AJ421" s="58" t="str">
        <f t="shared" si="7"/>
        <v>Paper has no link and no statement</v>
      </c>
      <c r="AK421" s="59">
        <v>45033.0</v>
      </c>
      <c r="AL421" s="43" t="s">
        <v>43</v>
      </c>
      <c r="AM421" s="60" t="str">
        <f t="shared" si="8"/>
        <v>[IP1213]</v>
      </c>
    </row>
    <row r="422" ht="67.5" customHeight="1">
      <c r="A422" s="61">
        <v>1215.0</v>
      </c>
      <c r="B422" s="22" t="s">
        <v>1111</v>
      </c>
      <c r="C422" s="23">
        <v>2018.0</v>
      </c>
      <c r="D422" s="24" t="s">
        <v>35</v>
      </c>
      <c r="E422" s="25" t="s">
        <v>36</v>
      </c>
      <c r="F422" s="25" t="s">
        <v>36</v>
      </c>
      <c r="G422" s="25" t="s">
        <v>36</v>
      </c>
      <c r="H422" s="25" t="s">
        <v>36</v>
      </c>
      <c r="I422" s="25" t="s">
        <v>36</v>
      </c>
      <c r="J422" s="26" t="s">
        <v>36</v>
      </c>
      <c r="K422" s="27" t="s">
        <v>37</v>
      </c>
      <c r="L422" s="28" t="s">
        <v>35</v>
      </c>
      <c r="M422" s="28" t="s">
        <v>37</v>
      </c>
      <c r="N422" s="28" t="s">
        <v>35</v>
      </c>
      <c r="O422" s="28" t="s">
        <v>35</v>
      </c>
      <c r="P422" s="28" t="s">
        <v>35</v>
      </c>
      <c r="Q422" s="28" t="s">
        <v>35</v>
      </c>
      <c r="R422" s="28" t="s">
        <v>37</v>
      </c>
      <c r="S422" s="29" t="s">
        <v>1112</v>
      </c>
      <c r="T422" s="30" t="s">
        <v>1113</v>
      </c>
      <c r="U422" s="31" t="s">
        <v>1114</v>
      </c>
      <c r="V422" s="32">
        <f t="shared" ref="V422:X422" si="427">IF(lenb(SUBSTITUTE($Z422,V$1&amp;" (1)",""))&lt;lenb($Z422),1,IF(lenb(SUBSTITUTE($Z422,V$1&amp;" (2)",""))&lt;lenb($Z422),2,IF(lenb(SUBSTITUTE($Z422,V$1&amp;" (3)",""))&lt;lenb($Z422),3,IF(lenb(SUBSTITUTE($Z422,V$1&amp;" (4)",""))&lt;lenb($Z422),4,IF(lenb(SUBSTITUTE($Z422,V$1&amp;" (5)",""))&lt;lenb($Z422),5,IF(lenb(SUBSTITUTE($Z422,V$1&amp;" (6)",""))&lt;lenb($Z422),6,IF(lenb(SUBSTITUTE($Z422,V$1&amp;" (7)",""))&lt;lenb($Z422),1,IF(lenb(SUBSTITUTE($Z422,V$1&amp;" (8)",""))&lt;lenb($Z422),8,IF(lenb(SUBSTITUTE($Z422,V$1&amp;" (9)",""))&lt;lenb($Z422),9,IF(lenb(SUBSTITUTE($Z422,V$1&amp;" (10)",""))&lt;lenb($Z422),10,IF(lenb(SUBSTITUTE($Z422,V$1,""))&lt;lenb($Z422),"ERROR",IF($Z422=$Y$1,"-",0))))))))))))</f>
        <v>2</v>
      </c>
      <c r="W422" s="32">
        <f t="shared" si="427"/>
        <v>0</v>
      </c>
      <c r="X422" s="32">
        <f t="shared" si="427"/>
        <v>0</v>
      </c>
      <c r="Y422" s="32" t="str">
        <f t="shared" si="3"/>
        <v>-</v>
      </c>
      <c r="Z422" s="32" t="s">
        <v>57</v>
      </c>
      <c r="AA422" s="33">
        <f t="shared" si="4"/>
        <v>2</v>
      </c>
      <c r="AB422" s="34">
        <f>COUNTIFS(Links!B:B,"ICSE",Links!C:C,A422,Links!AD:AD,1)</f>
        <v>0</v>
      </c>
      <c r="AC422" s="35" t="s">
        <v>35</v>
      </c>
      <c r="AD422" s="27" t="str">
        <f t="shared" si="5"/>
        <v>No</v>
      </c>
      <c r="AE422" s="36" t="s">
        <v>36</v>
      </c>
      <c r="AF422" s="37" t="s">
        <v>42</v>
      </c>
      <c r="AG422" s="37" t="s">
        <v>42</v>
      </c>
      <c r="AH422" s="37" t="s">
        <v>42</v>
      </c>
      <c r="AI422" s="29" t="str">
        <f t="shared" si="6"/>
        <v>----</v>
      </c>
      <c r="AJ422" s="38" t="str">
        <f t="shared" si="7"/>
        <v>Paper has link but no statement</v>
      </c>
      <c r="AK422" s="39">
        <v>45033.0</v>
      </c>
      <c r="AL422" s="23" t="s">
        <v>43</v>
      </c>
      <c r="AM422" s="40" t="str">
        <f t="shared" si="8"/>
        <v>[IP1215]</v>
      </c>
    </row>
    <row r="423" ht="67.5" customHeight="1">
      <c r="A423" s="41">
        <v>1216.0</v>
      </c>
      <c r="B423" s="42" t="s">
        <v>1115</v>
      </c>
      <c r="C423" s="43">
        <v>2018.0</v>
      </c>
      <c r="D423" s="44" t="s">
        <v>35</v>
      </c>
      <c r="E423" s="45" t="s">
        <v>36</v>
      </c>
      <c r="F423" s="45" t="s">
        <v>36</v>
      </c>
      <c r="G423" s="45" t="s">
        <v>36</v>
      </c>
      <c r="H423" s="45" t="s">
        <v>36</v>
      </c>
      <c r="I423" s="45" t="s">
        <v>36</v>
      </c>
      <c r="J423" s="46" t="s">
        <v>36</v>
      </c>
      <c r="K423" s="47" t="s">
        <v>37</v>
      </c>
      <c r="L423" s="48" t="s">
        <v>35</v>
      </c>
      <c r="M423" s="48" t="s">
        <v>37</v>
      </c>
      <c r="N423" s="48" t="s">
        <v>35</v>
      </c>
      <c r="O423" s="48" t="s">
        <v>35</v>
      </c>
      <c r="P423" s="48" t="s">
        <v>35</v>
      </c>
      <c r="Q423" s="48" t="s">
        <v>35</v>
      </c>
      <c r="R423" s="48" t="s">
        <v>37</v>
      </c>
      <c r="S423" s="49" t="s">
        <v>1116</v>
      </c>
      <c r="T423" s="50" t="s">
        <v>1117</v>
      </c>
      <c r="U423" s="51" t="s">
        <v>1118</v>
      </c>
      <c r="V423" s="52">
        <f t="shared" ref="V423:X423" si="428">IF(lenb(SUBSTITUTE($Z423,V$1&amp;" (1)",""))&lt;lenb($Z423),1,IF(lenb(SUBSTITUTE($Z423,V$1&amp;" (2)",""))&lt;lenb($Z423),2,IF(lenb(SUBSTITUTE($Z423,V$1&amp;" (3)",""))&lt;lenb($Z423),3,IF(lenb(SUBSTITUTE($Z423,V$1&amp;" (4)",""))&lt;lenb($Z423),4,IF(lenb(SUBSTITUTE($Z423,V$1&amp;" (5)",""))&lt;lenb($Z423),5,IF(lenb(SUBSTITUTE($Z423,V$1&amp;" (6)",""))&lt;lenb($Z423),6,IF(lenb(SUBSTITUTE($Z423,V$1&amp;" (7)",""))&lt;lenb($Z423),1,IF(lenb(SUBSTITUTE($Z423,V$1&amp;" (8)",""))&lt;lenb($Z423),8,IF(lenb(SUBSTITUTE($Z423,V$1&amp;" (9)",""))&lt;lenb($Z423),9,IF(lenb(SUBSTITUTE($Z423,V$1&amp;" (10)",""))&lt;lenb($Z423),10,IF(lenb(SUBSTITUTE($Z423,V$1,""))&lt;lenb($Z423),"ERROR",IF($Z423=$Y$1,"-",0))))))))))))</f>
        <v>1</v>
      </c>
      <c r="W423" s="52">
        <f t="shared" si="428"/>
        <v>0</v>
      </c>
      <c r="X423" s="52">
        <f t="shared" si="428"/>
        <v>0</v>
      </c>
      <c r="Y423" s="52" t="str">
        <f t="shared" si="3"/>
        <v>-</v>
      </c>
      <c r="Z423" s="52" t="s">
        <v>62</v>
      </c>
      <c r="AA423" s="53">
        <f t="shared" si="4"/>
        <v>1</v>
      </c>
      <c r="AB423" s="54">
        <f>COUNTIFS(Links!B:B,"ICSE",Links!C:C,A423,Links!AD:AD,1)</f>
        <v>1</v>
      </c>
      <c r="AC423" s="55" t="s">
        <v>37</v>
      </c>
      <c r="AD423" s="47" t="str">
        <f t="shared" si="5"/>
        <v>No</v>
      </c>
      <c r="AE423" s="56" t="s">
        <v>36</v>
      </c>
      <c r="AF423" s="57" t="s">
        <v>42</v>
      </c>
      <c r="AG423" s="57" t="s">
        <v>42</v>
      </c>
      <c r="AH423" s="57" t="s">
        <v>42</v>
      </c>
      <c r="AI423" s="49" t="str">
        <f t="shared" si="6"/>
        <v>----</v>
      </c>
      <c r="AJ423" s="58" t="str">
        <f t="shared" si="7"/>
        <v>Paper has link but no statement</v>
      </c>
      <c r="AK423" s="59">
        <v>45033.0</v>
      </c>
      <c r="AL423" s="43" t="s">
        <v>43</v>
      </c>
      <c r="AM423" s="60" t="str">
        <f t="shared" si="8"/>
        <v>[IP1216]</v>
      </c>
    </row>
    <row r="424" ht="67.5" customHeight="1">
      <c r="A424" s="61">
        <v>1217.0</v>
      </c>
      <c r="B424" s="22" t="s">
        <v>1119</v>
      </c>
      <c r="C424" s="23">
        <v>2018.0</v>
      </c>
      <c r="D424" s="24" t="s">
        <v>35</v>
      </c>
      <c r="E424" s="25" t="s">
        <v>36</v>
      </c>
      <c r="F424" s="25" t="s">
        <v>36</v>
      </c>
      <c r="G424" s="25" t="s">
        <v>36</v>
      </c>
      <c r="H424" s="25" t="s">
        <v>36</v>
      </c>
      <c r="I424" s="25" t="s">
        <v>36</v>
      </c>
      <c r="J424" s="26" t="s">
        <v>36</v>
      </c>
      <c r="K424" s="27" t="s">
        <v>37</v>
      </c>
      <c r="L424" s="28" t="s">
        <v>35</v>
      </c>
      <c r="M424" s="28" t="s">
        <v>37</v>
      </c>
      <c r="N424" s="28" t="s">
        <v>37</v>
      </c>
      <c r="O424" s="28" t="s">
        <v>35</v>
      </c>
      <c r="P424" s="28" t="s">
        <v>35</v>
      </c>
      <c r="Q424" s="28" t="s">
        <v>35</v>
      </c>
      <c r="R424" s="28" t="s">
        <v>37</v>
      </c>
      <c r="S424" s="29" t="s">
        <v>1120</v>
      </c>
      <c r="T424" s="30" t="s">
        <v>1121</v>
      </c>
      <c r="U424" s="31" t="s">
        <v>1121</v>
      </c>
      <c r="V424" s="32">
        <f t="shared" ref="V424:X424" si="429">IF(lenb(SUBSTITUTE($Z424,V$1&amp;" (1)",""))&lt;lenb($Z424),1,IF(lenb(SUBSTITUTE($Z424,V$1&amp;" (2)",""))&lt;lenb($Z424),2,IF(lenb(SUBSTITUTE($Z424,V$1&amp;" (3)",""))&lt;lenb($Z424),3,IF(lenb(SUBSTITUTE($Z424,V$1&amp;" (4)",""))&lt;lenb($Z424),4,IF(lenb(SUBSTITUTE($Z424,V$1&amp;" (5)",""))&lt;lenb($Z424),5,IF(lenb(SUBSTITUTE($Z424,V$1&amp;" (6)",""))&lt;lenb($Z424),6,IF(lenb(SUBSTITUTE($Z424,V$1&amp;" (7)",""))&lt;lenb($Z424),1,IF(lenb(SUBSTITUTE($Z424,V$1&amp;" (8)",""))&lt;lenb($Z424),8,IF(lenb(SUBSTITUTE($Z424,V$1&amp;" (9)",""))&lt;lenb($Z424),9,IF(lenb(SUBSTITUTE($Z424,V$1&amp;" (10)",""))&lt;lenb($Z424),10,IF(lenb(SUBSTITUTE($Z424,V$1,""))&lt;lenb($Z424),"ERROR",IF($Z424=$Y$1,"-",0))))))))))))</f>
        <v>1</v>
      </c>
      <c r="W424" s="32">
        <f t="shared" si="429"/>
        <v>0</v>
      </c>
      <c r="X424" s="32">
        <f t="shared" si="429"/>
        <v>0</v>
      </c>
      <c r="Y424" s="32" t="str">
        <f t="shared" si="3"/>
        <v>-</v>
      </c>
      <c r="Z424" s="32" t="s">
        <v>62</v>
      </c>
      <c r="AA424" s="33">
        <f t="shared" si="4"/>
        <v>1</v>
      </c>
      <c r="AB424" s="34">
        <f>COUNTIFS(Links!B:B,"ICSE",Links!C:C,A424,Links!AD:AD,1)</f>
        <v>0</v>
      </c>
      <c r="AC424" s="35" t="s">
        <v>35</v>
      </c>
      <c r="AD424" s="27" t="str">
        <f t="shared" si="5"/>
        <v>No</v>
      </c>
      <c r="AE424" s="36" t="s">
        <v>36</v>
      </c>
      <c r="AF424" s="37" t="s">
        <v>42</v>
      </c>
      <c r="AG424" s="37" t="s">
        <v>42</v>
      </c>
      <c r="AH424" s="37" t="s">
        <v>42</v>
      </c>
      <c r="AI424" s="29" t="str">
        <f t="shared" si="6"/>
        <v>----</v>
      </c>
      <c r="AJ424" s="38" t="str">
        <f t="shared" si="7"/>
        <v>Paper has link but no statement</v>
      </c>
      <c r="AK424" s="39">
        <v>45033.0</v>
      </c>
      <c r="AL424" s="23" t="s">
        <v>43</v>
      </c>
      <c r="AM424" s="40" t="str">
        <f t="shared" si="8"/>
        <v>[IP1217]</v>
      </c>
    </row>
    <row r="425" ht="67.5" customHeight="1">
      <c r="A425" s="41">
        <v>1219.0</v>
      </c>
      <c r="B425" s="42" t="s">
        <v>1122</v>
      </c>
      <c r="C425" s="43">
        <v>2018.0</v>
      </c>
      <c r="D425" s="44" t="s">
        <v>35</v>
      </c>
      <c r="E425" s="45" t="s">
        <v>36</v>
      </c>
      <c r="F425" s="45" t="s">
        <v>36</v>
      </c>
      <c r="G425" s="45" t="s">
        <v>36</v>
      </c>
      <c r="H425" s="45" t="s">
        <v>36</v>
      </c>
      <c r="I425" s="45" t="s">
        <v>36</v>
      </c>
      <c r="J425" s="46" t="s">
        <v>36</v>
      </c>
      <c r="K425" s="47" t="s">
        <v>35</v>
      </c>
      <c r="L425" s="48" t="s">
        <v>36</v>
      </c>
      <c r="M425" s="48" t="s">
        <v>36</v>
      </c>
      <c r="N425" s="48" t="s">
        <v>36</v>
      </c>
      <c r="O425" s="48" t="s">
        <v>36</v>
      </c>
      <c r="P425" s="48" t="s">
        <v>36</v>
      </c>
      <c r="Q425" s="48" t="s">
        <v>36</v>
      </c>
      <c r="R425" s="48" t="s">
        <v>36</v>
      </c>
      <c r="S425" s="49" t="s">
        <v>36</v>
      </c>
      <c r="T425" s="50" t="s">
        <v>36</v>
      </c>
      <c r="U425" s="51" t="s">
        <v>36</v>
      </c>
      <c r="V425" s="52" t="str">
        <f t="shared" ref="V425:X425" si="430">IF(lenb(SUBSTITUTE($Z425,V$1&amp;" (1)",""))&lt;lenb($Z425),1,IF(lenb(SUBSTITUTE($Z425,V$1&amp;" (2)",""))&lt;lenb($Z425),2,IF(lenb(SUBSTITUTE($Z425,V$1&amp;" (3)",""))&lt;lenb($Z425),3,IF(lenb(SUBSTITUTE($Z425,V$1&amp;" (4)",""))&lt;lenb($Z425),4,IF(lenb(SUBSTITUTE($Z425,V$1&amp;" (5)",""))&lt;lenb($Z425),5,IF(lenb(SUBSTITUTE($Z425,V$1&amp;" (6)",""))&lt;lenb($Z425),6,IF(lenb(SUBSTITUTE($Z425,V$1&amp;" (7)",""))&lt;lenb($Z425),1,IF(lenb(SUBSTITUTE($Z425,V$1&amp;" (8)",""))&lt;lenb($Z425),8,IF(lenb(SUBSTITUTE($Z425,V$1&amp;" (9)",""))&lt;lenb($Z425),9,IF(lenb(SUBSTITUTE($Z425,V$1&amp;" (10)",""))&lt;lenb($Z425),10,IF(lenb(SUBSTITUTE($Z425,V$1,""))&lt;lenb($Z425),"ERROR",IF($Z425=$Y$1,"-",0))))))))))))</f>
        <v>-</v>
      </c>
      <c r="W425" s="52" t="str">
        <f t="shared" si="430"/>
        <v>-</v>
      </c>
      <c r="X425" s="52" t="str">
        <f t="shared" si="430"/>
        <v>-</v>
      </c>
      <c r="Y425" s="52">
        <f t="shared" si="3"/>
        <v>1</v>
      </c>
      <c r="Z425" s="52" t="s">
        <v>23</v>
      </c>
      <c r="AA425" s="53">
        <f t="shared" si="4"/>
        <v>0</v>
      </c>
      <c r="AB425" s="54">
        <f>COUNTIFS(Links!B:B,"ICSE",Links!C:C,A425,Links!AD:AD,1)</f>
        <v>0</v>
      </c>
      <c r="AC425" s="55" t="s">
        <v>36</v>
      </c>
      <c r="AD425" s="47" t="str">
        <f t="shared" si="5"/>
        <v>Yes</v>
      </c>
      <c r="AE425" s="56" t="s">
        <v>1123</v>
      </c>
      <c r="AF425" s="56" t="s">
        <v>822</v>
      </c>
      <c r="AG425" s="57" t="s">
        <v>42</v>
      </c>
      <c r="AH425" s="57" t="s">
        <v>42</v>
      </c>
      <c r="AI425" s="49" t="str">
        <f t="shared" si="6"/>
        <v>Limited access (Request required)</v>
      </c>
      <c r="AJ425" s="58" t="str">
        <f t="shared" si="7"/>
        <v>Paper has no link but has statement</v>
      </c>
      <c r="AK425" s="59">
        <v>45033.0</v>
      </c>
      <c r="AL425" s="43" t="s">
        <v>43</v>
      </c>
      <c r="AM425" s="60" t="str">
        <f t="shared" si="8"/>
        <v>[IP1219]</v>
      </c>
    </row>
    <row r="426" ht="67.5" customHeight="1">
      <c r="A426" s="61">
        <v>1220.0</v>
      </c>
      <c r="B426" s="22" t="s">
        <v>1124</v>
      </c>
      <c r="C426" s="23">
        <v>2018.0</v>
      </c>
      <c r="D426" s="24" t="s">
        <v>35</v>
      </c>
      <c r="E426" s="25" t="s">
        <v>36</v>
      </c>
      <c r="F426" s="25" t="s">
        <v>36</v>
      </c>
      <c r="G426" s="25" t="s">
        <v>36</v>
      </c>
      <c r="H426" s="25" t="s">
        <v>36</v>
      </c>
      <c r="I426" s="25" t="s">
        <v>36</v>
      </c>
      <c r="J426" s="26" t="s">
        <v>36</v>
      </c>
      <c r="K426" s="27" t="s">
        <v>35</v>
      </c>
      <c r="L426" s="28" t="s">
        <v>36</v>
      </c>
      <c r="M426" s="28" t="s">
        <v>36</v>
      </c>
      <c r="N426" s="28" t="s">
        <v>36</v>
      </c>
      <c r="O426" s="28" t="s">
        <v>36</v>
      </c>
      <c r="P426" s="28" t="s">
        <v>36</v>
      </c>
      <c r="Q426" s="28" t="s">
        <v>36</v>
      </c>
      <c r="R426" s="28" t="s">
        <v>36</v>
      </c>
      <c r="S426" s="29" t="s">
        <v>36</v>
      </c>
      <c r="T426" s="30" t="s">
        <v>36</v>
      </c>
      <c r="U426" s="31" t="s">
        <v>36</v>
      </c>
      <c r="V426" s="32" t="str">
        <f t="shared" ref="V426:X426" si="431">IF(lenb(SUBSTITUTE($Z426,V$1&amp;" (1)",""))&lt;lenb($Z426),1,IF(lenb(SUBSTITUTE($Z426,V$1&amp;" (2)",""))&lt;lenb($Z426),2,IF(lenb(SUBSTITUTE($Z426,V$1&amp;" (3)",""))&lt;lenb($Z426),3,IF(lenb(SUBSTITUTE($Z426,V$1&amp;" (4)",""))&lt;lenb($Z426),4,IF(lenb(SUBSTITUTE($Z426,V$1&amp;" (5)",""))&lt;lenb($Z426),5,IF(lenb(SUBSTITUTE($Z426,V$1&amp;" (6)",""))&lt;lenb($Z426),6,IF(lenb(SUBSTITUTE($Z426,V$1&amp;" (7)",""))&lt;lenb($Z426),1,IF(lenb(SUBSTITUTE($Z426,V$1&amp;" (8)",""))&lt;lenb($Z426),8,IF(lenb(SUBSTITUTE($Z426,V$1&amp;" (9)",""))&lt;lenb($Z426),9,IF(lenb(SUBSTITUTE($Z426,V$1&amp;" (10)",""))&lt;lenb($Z426),10,IF(lenb(SUBSTITUTE($Z426,V$1,""))&lt;lenb($Z426),"ERROR",IF($Z426=$Y$1,"-",0))))))))))))</f>
        <v>-</v>
      </c>
      <c r="W426" s="32" t="str">
        <f t="shared" si="431"/>
        <v>-</v>
      </c>
      <c r="X426" s="32" t="str">
        <f t="shared" si="431"/>
        <v>-</v>
      </c>
      <c r="Y426" s="32">
        <f t="shared" si="3"/>
        <v>1</v>
      </c>
      <c r="Z426" s="32" t="s">
        <v>23</v>
      </c>
      <c r="AA426" s="33">
        <f t="shared" si="4"/>
        <v>0</v>
      </c>
      <c r="AB426" s="34">
        <f>COUNTIFS(Links!B:B,"ICSE",Links!C:C,A426,Links!AD:AD,1)</f>
        <v>0</v>
      </c>
      <c r="AC426" s="35" t="s">
        <v>36</v>
      </c>
      <c r="AD426" s="27" t="str">
        <f t="shared" si="5"/>
        <v>No</v>
      </c>
      <c r="AE426" s="36" t="s">
        <v>36</v>
      </c>
      <c r="AF426" s="37" t="s">
        <v>42</v>
      </c>
      <c r="AG426" s="37" t="s">
        <v>42</v>
      </c>
      <c r="AH426" s="37" t="s">
        <v>42</v>
      </c>
      <c r="AI426" s="29" t="str">
        <f t="shared" si="6"/>
        <v>----</v>
      </c>
      <c r="AJ426" s="38" t="str">
        <f t="shared" si="7"/>
        <v>Paper has no link and no statement</v>
      </c>
      <c r="AK426" s="39">
        <v>45033.0</v>
      </c>
      <c r="AL426" s="23" t="s">
        <v>43</v>
      </c>
      <c r="AM426" s="40" t="str">
        <f t="shared" si="8"/>
        <v>[IP1220]</v>
      </c>
    </row>
    <row r="427" ht="67.5" customHeight="1">
      <c r="A427" s="41">
        <v>1225.0</v>
      </c>
      <c r="B427" s="42" t="s">
        <v>1125</v>
      </c>
      <c r="C427" s="43">
        <v>2018.0</v>
      </c>
      <c r="D427" s="44" t="s">
        <v>35</v>
      </c>
      <c r="E427" s="45" t="s">
        <v>36</v>
      </c>
      <c r="F427" s="45" t="s">
        <v>36</v>
      </c>
      <c r="G427" s="45" t="s">
        <v>36</v>
      </c>
      <c r="H427" s="45" t="s">
        <v>36</v>
      </c>
      <c r="I427" s="45" t="s">
        <v>36</v>
      </c>
      <c r="J427" s="46" t="s">
        <v>36</v>
      </c>
      <c r="K427" s="47" t="s">
        <v>37</v>
      </c>
      <c r="L427" s="48" t="s">
        <v>37</v>
      </c>
      <c r="M427" s="48" t="s">
        <v>35</v>
      </c>
      <c r="N427" s="48" t="s">
        <v>35</v>
      </c>
      <c r="O427" s="48" t="s">
        <v>35</v>
      </c>
      <c r="P427" s="48" t="s">
        <v>35</v>
      </c>
      <c r="Q427" s="48" t="s">
        <v>35</v>
      </c>
      <c r="R427" s="48" t="s">
        <v>37</v>
      </c>
      <c r="S427" s="49" t="s">
        <v>1126</v>
      </c>
      <c r="T427" s="50" t="s">
        <v>1127</v>
      </c>
      <c r="U427" s="51" t="s">
        <v>1127</v>
      </c>
      <c r="V427" s="52">
        <f t="shared" ref="V427:X427" si="432">IF(lenb(SUBSTITUTE($Z427,V$1&amp;" (1)",""))&lt;lenb($Z427),1,IF(lenb(SUBSTITUTE($Z427,V$1&amp;" (2)",""))&lt;lenb($Z427),2,IF(lenb(SUBSTITUTE($Z427,V$1&amp;" (3)",""))&lt;lenb($Z427),3,IF(lenb(SUBSTITUTE($Z427,V$1&amp;" (4)",""))&lt;lenb($Z427),4,IF(lenb(SUBSTITUTE($Z427,V$1&amp;" (5)",""))&lt;lenb($Z427),5,IF(lenb(SUBSTITUTE($Z427,V$1&amp;" (6)",""))&lt;lenb($Z427),6,IF(lenb(SUBSTITUTE($Z427,V$1&amp;" (7)",""))&lt;lenb($Z427),1,IF(lenb(SUBSTITUTE($Z427,V$1&amp;" (8)",""))&lt;lenb($Z427),8,IF(lenb(SUBSTITUTE($Z427,V$1&amp;" (9)",""))&lt;lenb($Z427),9,IF(lenb(SUBSTITUTE($Z427,V$1&amp;" (10)",""))&lt;lenb($Z427),10,IF(lenb(SUBSTITUTE($Z427,V$1,""))&lt;lenb($Z427),"ERROR",IF($Z427=$Y$1,"-",0))))))))))))</f>
        <v>0</v>
      </c>
      <c r="W427" s="52">
        <f t="shared" si="432"/>
        <v>0</v>
      </c>
      <c r="X427" s="52">
        <f t="shared" si="432"/>
        <v>1</v>
      </c>
      <c r="Y427" s="52" t="str">
        <f t="shared" si="3"/>
        <v>-</v>
      </c>
      <c r="Z427" s="52" t="s">
        <v>1128</v>
      </c>
      <c r="AA427" s="53">
        <f t="shared" si="4"/>
        <v>1</v>
      </c>
      <c r="AB427" s="54">
        <f>COUNTIFS(Links!B:B,"ICSE",Links!C:C,A427,Links!AD:AD,1)</f>
        <v>1</v>
      </c>
      <c r="AC427" s="55" t="s">
        <v>35</v>
      </c>
      <c r="AD427" s="47" t="str">
        <f t="shared" si="5"/>
        <v>No</v>
      </c>
      <c r="AE427" s="56" t="s">
        <v>36</v>
      </c>
      <c r="AF427" s="57" t="s">
        <v>42</v>
      </c>
      <c r="AG427" s="57" t="s">
        <v>42</v>
      </c>
      <c r="AH427" s="57" t="s">
        <v>42</v>
      </c>
      <c r="AI427" s="49" t="str">
        <f t="shared" si="6"/>
        <v>----</v>
      </c>
      <c r="AJ427" s="58" t="str">
        <f t="shared" si="7"/>
        <v>Paper has link but no statement</v>
      </c>
      <c r="AK427" s="59">
        <v>45033.0</v>
      </c>
      <c r="AL427" s="43" t="s">
        <v>43</v>
      </c>
      <c r="AM427" s="60" t="str">
        <f t="shared" si="8"/>
        <v>[IP1225]</v>
      </c>
    </row>
    <row r="428" ht="67.5" customHeight="1">
      <c r="A428" s="61">
        <v>1227.0</v>
      </c>
      <c r="B428" s="22" t="s">
        <v>1129</v>
      </c>
      <c r="C428" s="23">
        <v>2018.0</v>
      </c>
      <c r="D428" s="24" t="s">
        <v>35</v>
      </c>
      <c r="E428" s="25" t="s">
        <v>36</v>
      </c>
      <c r="F428" s="25" t="s">
        <v>36</v>
      </c>
      <c r="G428" s="25" t="s">
        <v>36</v>
      </c>
      <c r="H428" s="25" t="s">
        <v>36</v>
      </c>
      <c r="I428" s="25" t="s">
        <v>36</v>
      </c>
      <c r="J428" s="26" t="s">
        <v>36</v>
      </c>
      <c r="K428" s="27" t="s">
        <v>37</v>
      </c>
      <c r="L428" s="28" t="s">
        <v>37</v>
      </c>
      <c r="M428" s="28" t="s">
        <v>35</v>
      </c>
      <c r="N428" s="28" t="s">
        <v>35</v>
      </c>
      <c r="O428" s="28" t="s">
        <v>35</v>
      </c>
      <c r="P428" s="28" t="s">
        <v>35</v>
      </c>
      <c r="Q428" s="28" t="s">
        <v>35</v>
      </c>
      <c r="R428" s="28" t="s">
        <v>37</v>
      </c>
      <c r="S428" s="29" t="s">
        <v>1130</v>
      </c>
      <c r="T428" s="30" t="s">
        <v>1131</v>
      </c>
      <c r="U428" s="31" t="s">
        <v>1132</v>
      </c>
      <c r="V428" s="32">
        <f t="shared" ref="V428:X428" si="433">IF(lenb(SUBSTITUTE($Z428,V$1&amp;" (1)",""))&lt;lenb($Z428),1,IF(lenb(SUBSTITUTE($Z428,V$1&amp;" (2)",""))&lt;lenb($Z428),2,IF(lenb(SUBSTITUTE($Z428,V$1&amp;" (3)",""))&lt;lenb($Z428),3,IF(lenb(SUBSTITUTE($Z428,V$1&amp;" (4)",""))&lt;lenb($Z428),4,IF(lenb(SUBSTITUTE($Z428,V$1&amp;" (5)",""))&lt;lenb($Z428),5,IF(lenb(SUBSTITUTE($Z428,V$1&amp;" (6)",""))&lt;lenb($Z428),6,IF(lenb(SUBSTITUTE($Z428,V$1&amp;" (7)",""))&lt;lenb($Z428),1,IF(lenb(SUBSTITUTE($Z428,V$1&amp;" (8)",""))&lt;lenb($Z428),8,IF(lenb(SUBSTITUTE($Z428,V$1&amp;" (9)",""))&lt;lenb($Z428),9,IF(lenb(SUBSTITUTE($Z428,V$1&amp;" (10)",""))&lt;lenb($Z428),10,IF(lenb(SUBSTITUTE($Z428,V$1,""))&lt;lenb($Z428),"ERROR",IF($Z428=$Y$1,"-",0))))))))))))</f>
        <v>1</v>
      </c>
      <c r="W428" s="32">
        <f t="shared" si="433"/>
        <v>0</v>
      </c>
      <c r="X428" s="32">
        <f t="shared" si="433"/>
        <v>0</v>
      </c>
      <c r="Y428" s="32" t="str">
        <f t="shared" si="3"/>
        <v>-</v>
      </c>
      <c r="Z428" s="32" t="s">
        <v>62</v>
      </c>
      <c r="AA428" s="33">
        <f t="shared" si="4"/>
        <v>1</v>
      </c>
      <c r="AB428" s="34">
        <f>COUNTIFS(Links!B:B,"ICSE",Links!C:C,A428,Links!AD:AD,1)</f>
        <v>0</v>
      </c>
      <c r="AC428" s="35" t="s">
        <v>35</v>
      </c>
      <c r="AD428" s="27" t="str">
        <f t="shared" si="5"/>
        <v>No</v>
      </c>
      <c r="AE428" s="36" t="s">
        <v>36</v>
      </c>
      <c r="AF428" s="37" t="s">
        <v>42</v>
      </c>
      <c r="AG428" s="37" t="s">
        <v>42</v>
      </c>
      <c r="AH428" s="37" t="s">
        <v>42</v>
      </c>
      <c r="AI428" s="29" t="str">
        <f t="shared" si="6"/>
        <v>----</v>
      </c>
      <c r="AJ428" s="38" t="str">
        <f t="shared" si="7"/>
        <v>Paper has link but no statement</v>
      </c>
      <c r="AK428" s="39">
        <v>45033.0</v>
      </c>
      <c r="AL428" s="23" t="s">
        <v>43</v>
      </c>
      <c r="AM428" s="40" t="str">
        <f t="shared" si="8"/>
        <v>[IP1227]</v>
      </c>
    </row>
    <row r="429" ht="67.5" customHeight="1">
      <c r="A429" s="41">
        <v>1228.0</v>
      </c>
      <c r="B429" s="42" t="s">
        <v>1133</v>
      </c>
      <c r="C429" s="43">
        <v>2018.0</v>
      </c>
      <c r="D429" s="44" t="s">
        <v>35</v>
      </c>
      <c r="E429" s="45" t="s">
        <v>36</v>
      </c>
      <c r="F429" s="45" t="s">
        <v>36</v>
      </c>
      <c r="G429" s="45" t="s">
        <v>36</v>
      </c>
      <c r="H429" s="45" t="s">
        <v>36</v>
      </c>
      <c r="I429" s="45" t="s">
        <v>36</v>
      </c>
      <c r="J429" s="46" t="s">
        <v>36</v>
      </c>
      <c r="K429" s="47" t="s">
        <v>37</v>
      </c>
      <c r="L429" s="48" t="s">
        <v>37</v>
      </c>
      <c r="M429" s="48" t="s">
        <v>35</v>
      </c>
      <c r="N429" s="48" t="s">
        <v>35</v>
      </c>
      <c r="O429" s="48" t="s">
        <v>35</v>
      </c>
      <c r="P429" s="48" t="s">
        <v>35</v>
      </c>
      <c r="Q429" s="48" t="s">
        <v>35</v>
      </c>
      <c r="R429" s="48" t="s">
        <v>37</v>
      </c>
      <c r="S429" s="49" t="s">
        <v>1134</v>
      </c>
      <c r="T429" s="50" t="s">
        <v>1135</v>
      </c>
      <c r="U429" s="51" t="s">
        <v>1136</v>
      </c>
      <c r="V429" s="52">
        <f t="shared" ref="V429:X429" si="434">IF(lenb(SUBSTITUTE($Z429,V$1&amp;" (1)",""))&lt;lenb($Z429),1,IF(lenb(SUBSTITUTE($Z429,V$1&amp;" (2)",""))&lt;lenb($Z429),2,IF(lenb(SUBSTITUTE($Z429,V$1&amp;" (3)",""))&lt;lenb($Z429),3,IF(lenb(SUBSTITUTE($Z429,V$1&amp;" (4)",""))&lt;lenb($Z429),4,IF(lenb(SUBSTITUTE($Z429,V$1&amp;" (5)",""))&lt;lenb($Z429),5,IF(lenb(SUBSTITUTE($Z429,V$1&amp;" (6)",""))&lt;lenb($Z429),6,IF(lenb(SUBSTITUTE($Z429,V$1&amp;" (7)",""))&lt;lenb($Z429),1,IF(lenb(SUBSTITUTE($Z429,V$1&amp;" (8)",""))&lt;lenb($Z429),8,IF(lenb(SUBSTITUTE($Z429,V$1&amp;" (9)",""))&lt;lenb($Z429),9,IF(lenb(SUBSTITUTE($Z429,V$1&amp;" (10)",""))&lt;lenb($Z429),10,IF(lenb(SUBSTITUTE($Z429,V$1,""))&lt;lenb($Z429),"ERROR",IF($Z429=$Y$1,"-",0))))))))))))</f>
        <v>1</v>
      </c>
      <c r="W429" s="52">
        <f t="shared" si="434"/>
        <v>0</v>
      </c>
      <c r="X429" s="52">
        <f t="shared" si="434"/>
        <v>0</v>
      </c>
      <c r="Y429" s="52" t="str">
        <f t="shared" si="3"/>
        <v>-</v>
      </c>
      <c r="Z429" s="52" t="s">
        <v>62</v>
      </c>
      <c r="AA429" s="53">
        <f t="shared" si="4"/>
        <v>1</v>
      </c>
      <c r="AB429" s="54">
        <f>COUNTIFS(Links!B:B,"ICSE",Links!C:C,A429,Links!AD:AD,1)</f>
        <v>0</v>
      </c>
      <c r="AC429" s="55" t="s">
        <v>35</v>
      </c>
      <c r="AD429" s="47" t="str">
        <f t="shared" si="5"/>
        <v>No</v>
      </c>
      <c r="AE429" s="56" t="s">
        <v>36</v>
      </c>
      <c r="AF429" s="57" t="s">
        <v>42</v>
      </c>
      <c r="AG429" s="57" t="s">
        <v>42</v>
      </c>
      <c r="AH429" s="57" t="s">
        <v>42</v>
      </c>
      <c r="AI429" s="49" t="str">
        <f t="shared" si="6"/>
        <v>----</v>
      </c>
      <c r="AJ429" s="58" t="str">
        <f t="shared" si="7"/>
        <v>Paper has link but no statement</v>
      </c>
      <c r="AK429" s="59">
        <v>45033.0</v>
      </c>
      <c r="AL429" s="43" t="s">
        <v>43</v>
      </c>
      <c r="AM429" s="60" t="str">
        <f t="shared" si="8"/>
        <v>[IP1228]</v>
      </c>
    </row>
    <row r="430" ht="67.5" customHeight="1">
      <c r="A430" s="61">
        <v>1229.0</v>
      </c>
      <c r="B430" s="22" t="s">
        <v>1137</v>
      </c>
      <c r="C430" s="23">
        <v>2018.0</v>
      </c>
      <c r="D430" s="24" t="s">
        <v>35</v>
      </c>
      <c r="E430" s="25" t="s">
        <v>36</v>
      </c>
      <c r="F430" s="25" t="s">
        <v>36</v>
      </c>
      <c r="G430" s="25" t="s">
        <v>36</v>
      </c>
      <c r="H430" s="25" t="s">
        <v>36</v>
      </c>
      <c r="I430" s="25" t="s">
        <v>36</v>
      </c>
      <c r="J430" s="26" t="s">
        <v>36</v>
      </c>
      <c r="K430" s="27" t="s">
        <v>37</v>
      </c>
      <c r="L430" s="28" t="s">
        <v>35</v>
      </c>
      <c r="M430" s="28" t="s">
        <v>37</v>
      </c>
      <c r="N430" s="28" t="s">
        <v>35</v>
      </c>
      <c r="O430" s="28" t="s">
        <v>35</v>
      </c>
      <c r="P430" s="28" t="s">
        <v>35</v>
      </c>
      <c r="Q430" s="28" t="s">
        <v>35</v>
      </c>
      <c r="R430" s="28" t="s">
        <v>37</v>
      </c>
      <c r="S430" s="29" t="s">
        <v>1138</v>
      </c>
      <c r="T430" s="30" t="s">
        <v>1139</v>
      </c>
      <c r="U430" s="31" t="s">
        <v>1139</v>
      </c>
      <c r="V430" s="32">
        <f t="shared" ref="V430:X430" si="435">IF(lenb(SUBSTITUTE($Z430,V$1&amp;" (1)",""))&lt;lenb($Z430),1,IF(lenb(SUBSTITUTE($Z430,V$1&amp;" (2)",""))&lt;lenb($Z430),2,IF(lenb(SUBSTITUTE($Z430,V$1&amp;" (3)",""))&lt;lenb($Z430),3,IF(lenb(SUBSTITUTE($Z430,V$1&amp;" (4)",""))&lt;lenb($Z430),4,IF(lenb(SUBSTITUTE($Z430,V$1&amp;" (5)",""))&lt;lenb($Z430),5,IF(lenb(SUBSTITUTE($Z430,V$1&amp;" (6)",""))&lt;lenb($Z430),6,IF(lenb(SUBSTITUTE($Z430,V$1&amp;" (7)",""))&lt;lenb($Z430),1,IF(lenb(SUBSTITUTE($Z430,V$1&amp;" (8)",""))&lt;lenb($Z430),8,IF(lenb(SUBSTITUTE($Z430,V$1&amp;" (9)",""))&lt;lenb($Z430),9,IF(lenb(SUBSTITUTE($Z430,V$1&amp;" (10)",""))&lt;lenb($Z430),10,IF(lenb(SUBSTITUTE($Z430,V$1,""))&lt;lenb($Z430),"ERROR",IF($Z430=$Y$1,"-",0))))))))))))</f>
        <v>1</v>
      </c>
      <c r="W430" s="32">
        <f t="shared" si="435"/>
        <v>0</v>
      </c>
      <c r="X430" s="32">
        <f t="shared" si="435"/>
        <v>0</v>
      </c>
      <c r="Y430" s="32" t="str">
        <f t="shared" si="3"/>
        <v>-</v>
      </c>
      <c r="Z430" s="32" t="s">
        <v>62</v>
      </c>
      <c r="AA430" s="33">
        <f t="shared" si="4"/>
        <v>1</v>
      </c>
      <c r="AB430" s="34">
        <f>COUNTIFS(Links!B:B,"ICSE",Links!C:C,A430,Links!AD:AD,1)</f>
        <v>0</v>
      </c>
      <c r="AC430" s="35" t="s">
        <v>35</v>
      </c>
      <c r="AD430" s="27" t="str">
        <f t="shared" si="5"/>
        <v>No</v>
      </c>
      <c r="AE430" s="36" t="s">
        <v>36</v>
      </c>
      <c r="AF430" s="37" t="s">
        <v>42</v>
      </c>
      <c r="AG430" s="37" t="s">
        <v>42</v>
      </c>
      <c r="AH430" s="37" t="s">
        <v>42</v>
      </c>
      <c r="AI430" s="29" t="str">
        <f t="shared" si="6"/>
        <v>----</v>
      </c>
      <c r="AJ430" s="38" t="str">
        <f t="shared" si="7"/>
        <v>Paper has link but no statement</v>
      </c>
      <c r="AK430" s="39">
        <v>45033.0</v>
      </c>
      <c r="AL430" s="23" t="s">
        <v>43</v>
      </c>
      <c r="AM430" s="40" t="str">
        <f t="shared" si="8"/>
        <v>[IP1229]</v>
      </c>
    </row>
    <row r="431" ht="67.5" customHeight="1">
      <c r="A431" s="41">
        <v>1231.0</v>
      </c>
      <c r="B431" s="42" t="s">
        <v>1140</v>
      </c>
      <c r="C431" s="43">
        <v>2018.0</v>
      </c>
      <c r="D431" s="44" t="s">
        <v>35</v>
      </c>
      <c r="E431" s="45" t="s">
        <v>36</v>
      </c>
      <c r="F431" s="45" t="s">
        <v>36</v>
      </c>
      <c r="G431" s="45" t="s">
        <v>36</v>
      </c>
      <c r="H431" s="45" t="s">
        <v>36</v>
      </c>
      <c r="I431" s="45" t="s">
        <v>36</v>
      </c>
      <c r="J431" s="46" t="s">
        <v>36</v>
      </c>
      <c r="K431" s="47" t="s">
        <v>37</v>
      </c>
      <c r="L431" s="48" t="s">
        <v>37</v>
      </c>
      <c r="M431" s="48" t="s">
        <v>35</v>
      </c>
      <c r="N431" s="48" t="s">
        <v>35</v>
      </c>
      <c r="O431" s="48" t="s">
        <v>37</v>
      </c>
      <c r="P431" s="48" t="s">
        <v>35</v>
      </c>
      <c r="Q431" s="48" t="s">
        <v>35</v>
      </c>
      <c r="R431" s="48" t="s">
        <v>35</v>
      </c>
      <c r="S431" s="49" t="s">
        <v>1141</v>
      </c>
      <c r="T431" s="50" t="s">
        <v>1142</v>
      </c>
      <c r="U431" s="51" t="s">
        <v>1142</v>
      </c>
      <c r="V431" s="52">
        <f t="shared" ref="V431:X431" si="436">IF(lenb(SUBSTITUTE($Z431,V$1&amp;" (1)",""))&lt;lenb($Z431),1,IF(lenb(SUBSTITUTE($Z431,V$1&amp;" (2)",""))&lt;lenb($Z431),2,IF(lenb(SUBSTITUTE($Z431,V$1&amp;" (3)",""))&lt;lenb($Z431),3,IF(lenb(SUBSTITUTE($Z431,V$1&amp;" (4)",""))&lt;lenb($Z431),4,IF(lenb(SUBSTITUTE($Z431,V$1&amp;" (5)",""))&lt;lenb($Z431),5,IF(lenb(SUBSTITUTE($Z431,V$1&amp;" (6)",""))&lt;lenb($Z431),6,IF(lenb(SUBSTITUTE($Z431,V$1&amp;" (7)",""))&lt;lenb($Z431),1,IF(lenb(SUBSTITUTE($Z431,V$1&amp;" (8)",""))&lt;lenb($Z431),8,IF(lenb(SUBSTITUTE($Z431,V$1&amp;" (9)",""))&lt;lenb($Z431),9,IF(lenb(SUBSTITUTE($Z431,V$1&amp;" (10)",""))&lt;lenb($Z431),10,IF(lenb(SUBSTITUTE($Z431,V$1,""))&lt;lenb($Z431),"ERROR",IF($Z431=$Y$1,"-",0))))))))))))</f>
        <v>0</v>
      </c>
      <c r="W431" s="52">
        <f t="shared" si="436"/>
        <v>1</v>
      </c>
      <c r="X431" s="52">
        <f t="shared" si="436"/>
        <v>0</v>
      </c>
      <c r="Y431" s="52" t="str">
        <f t="shared" si="3"/>
        <v>-</v>
      </c>
      <c r="Z431" s="52" t="s">
        <v>47</v>
      </c>
      <c r="AA431" s="53">
        <f t="shared" si="4"/>
        <v>1</v>
      </c>
      <c r="AB431" s="54">
        <f>COUNTIFS(Links!B:B,"ICSE",Links!C:C,A431,Links!AD:AD,1)</f>
        <v>0</v>
      </c>
      <c r="AC431" s="55" t="s">
        <v>35</v>
      </c>
      <c r="AD431" s="47" t="str">
        <f t="shared" si="5"/>
        <v>No</v>
      </c>
      <c r="AE431" s="56" t="s">
        <v>36</v>
      </c>
      <c r="AF431" s="57" t="s">
        <v>42</v>
      </c>
      <c r="AG431" s="57" t="s">
        <v>42</v>
      </c>
      <c r="AH431" s="57" t="s">
        <v>42</v>
      </c>
      <c r="AI431" s="49" t="str">
        <f t="shared" si="6"/>
        <v>----</v>
      </c>
      <c r="AJ431" s="58" t="str">
        <f t="shared" si="7"/>
        <v>Paper has link but no statement</v>
      </c>
      <c r="AK431" s="59">
        <v>45033.0</v>
      </c>
      <c r="AL431" s="43" t="s">
        <v>43</v>
      </c>
      <c r="AM431" s="60" t="str">
        <f t="shared" si="8"/>
        <v>[IP1231]</v>
      </c>
    </row>
    <row r="432" ht="67.5" customHeight="1">
      <c r="A432" s="61">
        <v>1233.0</v>
      </c>
      <c r="B432" s="22" t="s">
        <v>1143</v>
      </c>
      <c r="C432" s="23">
        <v>2018.0</v>
      </c>
      <c r="D432" s="24" t="s">
        <v>35</v>
      </c>
      <c r="E432" s="25" t="s">
        <v>36</v>
      </c>
      <c r="F432" s="25" t="s">
        <v>36</v>
      </c>
      <c r="G432" s="25" t="s">
        <v>36</v>
      </c>
      <c r="H432" s="25" t="s">
        <v>36</v>
      </c>
      <c r="I432" s="25" t="s">
        <v>36</v>
      </c>
      <c r="J432" s="26" t="s">
        <v>36</v>
      </c>
      <c r="K432" s="27" t="s">
        <v>37</v>
      </c>
      <c r="L432" s="28" t="s">
        <v>37</v>
      </c>
      <c r="M432" s="28" t="s">
        <v>37</v>
      </c>
      <c r="N432" s="28" t="s">
        <v>35</v>
      </c>
      <c r="O432" s="28" t="s">
        <v>35</v>
      </c>
      <c r="P432" s="28" t="s">
        <v>35</v>
      </c>
      <c r="Q432" s="28" t="s">
        <v>35</v>
      </c>
      <c r="R432" s="28" t="s">
        <v>37</v>
      </c>
      <c r="S432" s="29" t="s">
        <v>1144</v>
      </c>
      <c r="T432" s="30" t="s">
        <v>1145</v>
      </c>
      <c r="U432" s="31" t="s">
        <v>1145</v>
      </c>
      <c r="V432" s="32">
        <f t="shared" ref="V432:X432" si="437">IF(lenb(SUBSTITUTE($Z432,V$1&amp;" (1)",""))&lt;lenb($Z432),1,IF(lenb(SUBSTITUTE($Z432,V$1&amp;" (2)",""))&lt;lenb($Z432),2,IF(lenb(SUBSTITUTE($Z432,V$1&amp;" (3)",""))&lt;lenb($Z432),3,IF(lenb(SUBSTITUTE($Z432,V$1&amp;" (4)",""))&lt;lenb($Z432),4,IF(lenb(SUBSTITUTE($Z432,V$1&amp;" (5)",""))&lt;lenb($Z432),5,IF(lenb(SUBSTITUTE($Z432,V$1&amp;" (6)",""))&lt;lenb($Z432),6,IF(lenb(SUBSTITUTE($Z432,V$1&amp;" (7)",""))&lt;lenb($Z432),1,IF(lenb(SUBSTITUTE($Z432,V$1&amp;" (8)",""))&lt;lenb($Z432),8,IF(lenb(SUBSTITUTE($Z432,V$1&amp;" (9)",""))&lt;lenb($Z432),9,IF(lenb(SUBSTITUTE($Z432,V$1&amp;" (10)",""))&lt;lenb($Z432),10,IF(lenb(SUBSTITUTE($Z432,V$1,""))&lt;lenb($Z432),"ERROR",IF($Z432=$Y$1,"-",0))))))))))))</f>
        <v>1</v>
      </c>
      <c r="W432" s="32">
        <f t="shared" si="437"/>
        <v>0</v>
      </c>
      <c r="X432" s="32">
        <f t="shared" si="437"/>
        <v>0</v>
      </c>
      <c r="Y432" s="32" t="str">
        <f t="shared" si="3"/>
        <v>-</v>
      </c>
      <c r="Z432" s="32" t="s">
        <v>62</v>
      </c>
      <c r="AA432" s="33">
        <f t="shared" si="4"/>
        <v>1</v>
      </c>
      <c r="AB432" s="34">
        <f>COUNTIFS(Links!B:B,"ICSE",Links!C:C,A432,Links!AD:AD,1)</f>
        <v>0</v>
      </c>
      <c r="AC432" s="35" t="s">
        <v>35</v>
      </c>
      <c r="AD432" s="27" t="str">
        <f t="shared" si="5"/>
        <v>No</v>
      </c>
      <c r="AE432" s="36" t="s">
        <v>36</v>
      </c>
      <c r="AF432" s="37" t="s">
        <v>42</v>
      </c>
      <c r="AG432" s="37" t="s">
        <v>42</v>
      </c>
      <c r="AH432" s="37" t="s">
        <v>42</v>
      </c>
      <c r="AI432" s="29" t="str">
        <f t="shared" si="6"/>
        <v>----</v>
      </c>
      <c r="AJ432" s="38" t="str">
        <f t="shared" si="7"/>
        <v>Paper has link but no statement</v>
      </c>
      <c r="AK432" s="39">
        <v>45033.0</v>
      </c>
      <c r="AL432" s="23" t="s">
        <v>43</v>
      </c>
      <c r="AM432" s="40" t="str">
        <f t="shared" si="8"/>
        <v>[IP1233]</v>
      </c>
    </row>
    <row r="433" ht="67.5" customHeight="1">
      <c r="A433" s="41">
        <v>1234.0</v>
      </c>
      <c r="B433" s="42" t="s">
        <v>1146</v>
      </c>
      <c r="C433" s="43">
        <v>2018.0</v>
      </c>
      <c r="D433" s="44" t="s">
        <v>35</v>
      </c>
      <c r="E433" s="45" t="s">
        <v>36</v>
      </c>
      <c r="F433" s="45" t="s">
        <v>36</v>
      </c>
      <c r="G433" s="45" t="s">
        <v>36</v>
      </c>
      <c r="H433" s="45" t="s">
        <v>36</v>
      </c>
      <c r="I433" s="45" t="s">
        <v>36</v>
      </c>
      <c r="J433" s="46" t="s">
        <v>36</v>
      </c>
      <c r="K433" s="47" t="s">
        <v>37</v>
      </c>
      <c r="L433" s="48" t="s">
        <v>35</v>
      </c>
      <c r="M433" s="48" t="s">
        <v>35</v>
      </c>
      <c r="N433" s="48" t="s">
        <v>37</v>
      </c>
      <c r="O433" s="48" t="s">
        <v>35</v>
      </c>
      <c r="P433" s="48" t="s">
        <v>35</v>
      </c>
      <c r="Q433" s="48" t="s">
        <v>35</v>
      </c>
      <c r="R433" s="48" t="s">
        <v>35</v>
      </c>
      <c r="S433" s="49" t="s">
        <v>944</v>
      </c>
      <c r="T433" s="50" t="s">
        <v>1147</v>
      </c>
      <c r="U433" s="51" t="s">
        <v>1147</v>
      </c>
      <c r="V433" s="52">
        <f t="shared" ref="V433:X433" si="438">IF(lenb(SUBSTITUTE($Z433,V$1&amp;" (1)",""))&lt;lenb($Z433),1,IF(lenb(SUBSTITUTE($Z433,V$1&amp;" (2)",""))&lt;lenb($Z433),2,IF(lenb(SUBSTITUTE($Z433,V$1&amp;" (3)",""))&lt;lenb($Z433),3,IF(lenb(SUBSTITUTE($Z433,V$1&amp;" (4)",""))&lt;lenb($Z433),4,IF(lenb(SUBSTITUTE($Z433,V$1&amp;" (5)",""))&lt;lenb($Z433),5,IF(lenb(SUBSTITUTE($Z433,V$1&amp;" (6)",""))&lt;lenb($Z433),6,IF(lenb(SUBSTITUTE($Z433,V$1&amp;" (7)",""))&lt;lenb($Z433),1,IF(lenb(SUBSTITUTE($Z433,V$1&amp;" (8)",""))&lt;lenb($Z433),8,IF(lenb(SUBSTITUTE($Z433,V$1&amp;" (9)",""))&lt;lenb($Z433),9,IF(lenb(SUBSTITUTE($Z433,V$1&amp;" (10)",""))&lt;lenb($Z433),10,IF(lenb(SUBSTITUTE($Z433,V$1,""))&lt;lenb($Z433),"ERROR",IF($Z433=$Y$1,"-",0))))))))))))</f>
        <v>0</v>
      </c>
      <c r="W433" s="52">
        <f t="shared" si="438"/>
        <v>1</v>
      </c>
      <c r="X433" s="52">
        <f t="shared" si="438"/>
        <v>0</v>
      </c>
      <c r="Y433" s="52" t="str">
        <f t="shared" si="3"/>
        <v>-</v>
      </c>
      <c r="Z433" s="52" t="s">
        <v>47</v>
      </c>
      <c r="AA433" s="53">
        <f t="shared" si="4"/>
        <v>1</v>
      </c>
      <c r="AB433" s="54">
        <f>COUNTIFS(Links!B:B,"ICSE",Links!C:C,A433,Links!AD:AD,1)</f>
        <v>0</v>
      </c>
      <c r="AC433" s="55" t="s">
        <v>35</v>
      </c>
      <c r="AD433" s="47" t="str">
        <f t="shared" si="5"/>
        <v>No</v>
      </c>
      <c r="AE433" s="56" t="s">
        <v>36</v>
      </c>
      <c r="AF433" s="57" t="s">
        <v>42</v>
      </c>
      <c r="AG433" s="57" t="s">
        <v>42</v>
      </c>
      <c r="AH433" s="57" t="s">
        <v>42</v>
      </c>
      <c r="AI433" s="49" t="str">
        <f t="shared" si="6"/>
        <v>----</v>
      </c>
      <c r="AJ433" s="58" t="str">
        <f t="shared" si="7"/>
        <v>Paper has link but no statement</v>
      </c>
      <c r="AK433" s="59">
        <v>45033.0</v>
      </c>
      <c r="AL433" s="43" t="s">
        <v>43</v>
      </c>
      <c r="AM433" s="60" t="str">
        <f t="shared" si="8"/>
        <v>[IP1234]</v>
      </c>
    </row>
    <row r="434" ht="67.5" customHeight="1">
      <c r="A434" s="61">
        <v>1235.0</v>
      </c>
      <c r="B434" s="22" t="s">
        <v>1148</v>
      </c>
      <c r="C434" s="23">
        <v>2018.0</v>
      </c>
      <c r="D434" s="24" t="s">
        <v>35</v>
      </c>
      <c r="E434" s="25" t="s">
        <v>36</v>
      </c>
      <c r="F434" s="25" t="s">
        <v>36</v>
      </c>
      <c r="G434" s="25" t="s">
        <v>36</v>
      </c>
      <c r="H434" s="25" t="s">
        <v>36</v>
      </c>
      <c r="I434" s="25" t="s">
        <v>36</v>
      </c>
      <c r="J434" s="26" t="s">
        <v>36</v>
      </c>
      <c r="K434" s="27" t="s">
        <v>37</v>
      </c>
      <c r="L434" s="28" t="s">
        <v>35</v>
      </c>
      <c r="M434" s="28" t="s">
        <v>37</v>
      </c>
      <c r="N434" s="28" t="s">
        <v>35</v>
      </c>
      <c r="O434" s="28" t="s">
        <v>37</v>
      </c>
      <c r="P434" s="28" t="s">
        <v>35</v>
      </c>
      <c r="Q434" s="28" t="s">
        <v>35</v>
      </c>
      <c r="R434" s="28" t="s">
        <v>37</v>
      </c>
      <c r="S434" s="29" t="s">
        <v>1149</v>
      </c>
      <c r="T434" s="30" t="s">
        <v>1150</v>
      </c>
      <c r="U434" s="31" t="s">
        <v>1150</v>
      </c>
      <c r="V434" s="32">
        <f t="shared" ref="V434:X434" si="439">IF(lenb(SUBSTITUTE($Z434,V$1&amp;" (1)",""))&lt;lenb($Z434),1,IF(lenb(SUBSTITUTE($Z434,V$1&amp;" (2)",""))&lt;lenb($Z434),2,IF(lenb(SUBSTITUTE($Z434,V$1&amp;" (3)",""))&lt;lenb($Z434),3,IF(lenb(SUBSTITUTE($Z434,V$1&amp;" (4)",""))&lt;lenb($Z434),4,IF(lenb(SUBSTITUTE($Z434,V$1&amp;" (5)",""))&lt;lenb($Z434),5,IF(lenb(SUBSTITUTE($Z434,V$1&amp;" (6)",""))&lt;lenb($Z434),6,IF(lenb(SUBSTITUTE($Z434,V$1&amp;" (7)",""))&lt;lenb($Z434),1,IF(lenb(SUBSTITUTE($Z434,V$1&amp;" (8)",""))&lt;lenb($Z434),8,IF(lenb(SUBSTITUTE($Z434,V$1&amp;" (9)",""))&lt;lenb($Z434),9,IF(lenb(SUBSTITUTE($Z434,V$1&amp;" (10)",""))&lt;lenb($Z434),10,IF(lenb(SUBSTITUTE($Z434,V$1,""))&lt;lenb($Z434),"ERROR",IF($Z434=$Y$1,"-",0))))))))))))</f>
        <v>1</v>
      </c>
      <c r="W434" s="32">
        <f t="shared" si="439"/>
        <v>0</v>
      </c>
      <c r="X434" s="32">
        <f t="shared" si="439"/>
        <v>0</v>
      </c>
      <c r="Y434" s="32" t="str">
        <f t="shared" si="3"/>
        <v>-</v>
      </c>
      <c r="Z434" s="32" t="s">
        <v>62</v>
      </c>
      <c r="AA434" s="33">
        <f t="shared" si="4"/>
        <v>1</v>
      </c>
      <c r="AB434" s="34">
        <f>COUNTIFS(Links!B:B,"ICSE",Links!C:C,A434,Links!AD:AD,1)</f>
        <v>0</v>
      </c>
      <c r="AC434" s="35" t="s">
        <v>35</v>
      </c>
      <c r="AD434" s="27" t="str">
        <f t="shared" si="5"/>
        <v>No</v>
      </c>
      <c r="AE434" s="36" t="s">
        <v>36</v>
      </c>
      <c r="AF434" s="37" t="s">
        <v>42</v>
      </c>
      <c r="AG434" s="37" t="s">
        <v>42</v>
      </c>
      <c r="AH434" s="37" t="s">
        <v>42</v>
      </c>
      <c r="AI434" s="29" t="str">
        <f t="shared" si="6"/>
        <v>----</v>
      </c>
      <c r="AJ434" s="38" t="str">
        <f t="shared" si="7"/>
        <v>Paper has link but no statement</v>
      </c>
      <c r="AK434" s="39">
        <v>45033.0</v>
      </c>
      <c r="AL434" s="23" t="s">
        <v>43</v>
      </c>
      <c r="AM434" s="40" t="str">
        <f t="shared" si="8"/>
        <v>[IP1235]</v>
      </c>
    </row>
    <row r="435" ht="67.5" customHeight="1">
      <c r="A435" s="41">
        <v>1236.0</v>
      </c>
      <c r="B435" s="42" t="s">
        <v>1151</v>
      </c>
      <c r="C435" s="43">
        <v>2018.0</v>
      </c>
      <c r="D435" s="44" t="s">
        <v>35</v>
      </c>
      <c r="E435" s="45" t="s">
        <v>36</v>
      </c>
      <c r="F435" s="45" t="s">
        <v>36</v>
      </c>
      <c r="G435" s="45" t="s">
        <v>36</v>
      </c>
      <c r="H435" s="45" t="s">
        <v>36</v>
      </c>
      <c r="I435" s="45" t="s">
        <v>36</v>
      </c>
      <c r="J435" s="46" t="s">
        <v>36</v>
      </c>
      <c r="K435" s="47" t="s">
        <v>37</v>
      </c>
      <c r="L435" s="48" t="s">
        <v>35</v>
      </c>
      <c r="M435" s="48" t="s">
        <v>37</v>
      </c>
      <c r="N435" s="48" t="s">
        <v>35</v>
      </c>
      <c r="O435" s="48" t="s">
        <v>35</v>
      </c>
      <c r="P435" s="48" t="s">
        <v>35</v>
      </c>
      <c r="Q435" s="48" t="s">
        <v>35</v>
      </c>
      <c r="R435" s="48" t="s">
        <v>37</v>
      </c>
      <c r="S435" s="49" t="s">
        <v>1152</v>
      </c>
      <c r="T435" s="50" t="s">
        <v>1153</v>
      </c>
      <c r="U435" s="51" t="s">
        <v>1153</v>
      </c>
      <c r="V435" s="52">
        <f t="shared" ref="V435:X435" si="440">IF(lenb(SUBSTITUTE($Z435,V$1&amp;" (1)",""))&lt;lenb($Z435),1,IF(lenb(SUBSTITUTE($Z435,V$1&amp;" (2)",""))&lt;lenb($Z435),2,IF(lenb(SUBSTITUTE($Z435,V$1&amp;" (3)",""))&lt;lenb($Z435),3,IF(lenb(SUBSTITUTE($Z435,V$1&amp;" (4)",""))&lt;lenb($Z435),4,IF(lenb(SUBSTITUTE($Z435,V$1&amp;" (5)",""))&lt;lenb($Z435),5,IF(lenb(SUBSTITUTE($Z435,V$1&amp;" (6)",""))&lt;lenb($Z435),6,IF(lenb(SUBSTITUTE($Z435,V$1&amp;" (7)",""))&lt;lenb($Z435),1,IF(lenb(SUBSTITUTE($Z435,V$1&amp;" (8)",""))&lt;lenb($Z435),8,IF(lenb(SUBSTITUTE($Z435,V$1&amp;" (9)",""))&lt;lenb($Z435),9,IF(lenb(SUBSTITUTE($Z435,V$1&amp;" (10)",""))&lt;lenb($Z435),10,IF(lenb(SUBSTITUTE($Z435,V$1,""))&lt;lenb($Z435),"ERROR",IF($Z435=$Y$1,"-",0))))))))))))</f>
        <v>1</v>
      </c>
      <c r="W435" s="52">
        <f t="shared" si="440"/>
        <v>0</v>
      </c>
      <c r="X435" s="52">
        <f t="shared" si="440"/>
        <v>0</v>
      </c>
      <c r="Y435" s="52" t="str">
        <f t="shared" si="3"/>
        <v>-</v>
      </c>
      <c r="Z435" s="52" t="s">
        <v>62</v>
      </c>
      <c r="AA435" s="53">
        <f t="shared" si="4"/>
        <v>1</v>
      </c>
      <c r="AB435" s="54">
        <f>COUNTIFS(Links!B:B,"ICSE",Links!C:C,A435,Links!AD:AD,1)</f>
        <v>0</v>
      </c>
      <c r="AC435" s="55" t="s">
        <v>35</v>
      </c>
      <c r="AD435" s="47" t="str">
        <f t="shared" si="5"/>
        <v>No</v>
      </c>
      <c r="AE435" s="56" t="s">
        <v>36</v>
      </c>
      <c r="AF435" s="57" t="s">
        <v>42</v>
      </c>
      <c r="AG435" s="57" t="s">
        <v>42</v>
      </c>
      <c r="AH435" s="57" t="s">
        <v>42</v>
      </c>
      <c r="AI435" s="49" t="str">
        <f t="shared" si="6"/>
        <v>----</v>
      </c>
      <c r="AJ435" s="58" t="str">
        <f t="shared" si="7"/>
        <v>Paper has link but no statement</v>
      </c>
      <c r="AK435" s="59">
        <v>45033.0</v>
      </c>
      <c r="AL435" s="43" t="s">
        <v>43</v>
      </c>
      <c r="AM435" s="60" t="str">
        <f t="shared" si="8"/>
        <v>[IP1236]</v>
      </c>
    </row>
    <row r="436" ht="67.5" customHeight="1">
      <c r="A436" s="61">
        <v>1237.0</v>
      </c>
      <c r="B436" s="22" t="s">
        <v>1154</v>
      </c>
      <c r="C436" s="23">
        <v>2018.0</v>
      </c>
      <c r="D436" s="24" t="s">
        <v>35</v>
      </c>
      <c r="E436" s="25" t="s">
        <v>36</v>
      </c>
      <c r="F436" s="25" t="s">
        <v>36</v>
      </c>
      <c r="G436" s="25" t="s">
        <v>36</v>
      </c>
      <c r="H436" s="25" t="s">
        <v>36</v>
      </c>
      <c r="I436" s="25" t="s">
        <v>36</v>
      </c>
      <c r="J436" s="26" t="s">
        <v>36</v>
      </c>
      <c r="K436" s="27" t="s">
        <v>37</v>
      </c>
      <c r="L436" s="28" t="s">
        <v>37</v>
      </c>
      <c r="M436" s="28" t="s">
        <v>35</v>
      </c>
      <c r="N436" s="28" t="s">
        <v>35</v>
      </c>
      <c r="O436" s="28" t="s">
        <v>35</v>
      </c>
      <c r="P436" s="28" t="s">
        <v>35</v>
      </c>
      <c r="Q436" s="28" t="s">
        <v>35</v>
      </c>
      <c r="R436" s="28" t="s">
        <v>37</v>
      </c>
      <c r="S436" s="29" t="s">
        <v>1155</v>
      </c>
      <c r="T436" s="30" t="s">
        <v>1156</v>
      </c>
      <c r="U436" s="31" t="s">
        <v>1156</v>
      </c>
      <c r="V436" s="32">
        <f t="shared" ref="V436:X436" si="441">IF(lenb(SUBSTITUTE($Z436,V$1&amp;" (1)",""))&lt;lenb($Z436),1,IF(lenb(SUBSTITUTE($Z436,V$1&amp;" (2)",""))&lt;lenb($Z436),2,IF(lenb(SUBSTITUTE($Z436,V$1&amp;" (3)",""))&lt;lenb($Z436),3,IF(lenb(SUBSTITUTE($Z436,V$1&amp;" (4)",""))&lt;lenb($Z436),4,IF(lenb(SUBSTITUTE($Z436,V$1&amp;" (5)",""))&lt;lenb($Z436),5,IF(lenb(SUBSTITUTE($Z436,V$1&amp;" (6)",""))&lt;lenb($Z436),6,IF(lenb(SUBSTITUTE($Z436,V$1&amp;" (7)",""))&lt;lenb($Z436),1,IF(lenb(SUBSTITUTE($Z436,V$1&amp;" (8)",""))&lt;lenb($Z436),8,IF(lenb(SUBSTITUTE($Z436,V$1&amp;" (9)",""))&lt;lenb($Z436),9,IF(lenb(SUBSTITUTE($Z436,V$1&amp;" (10)",""))&lt;lenb($Z436),10,IF(lenb(SUBSTITUTE($Z436,V$1,""))&lt;lenb($Z436),"ERROR",IF($Z436=$Y$1,"-",0))))))))))))</f>
        <v>1</v>
      </c>
      <c r="W436" s="32">
        <f t="shared" si="441"/>
        <v>0</v>
      </c>
      <c r="X436" s="32">
        <f t="shared" si="441"/>
        <v>0</v>
      </c>
      <c r="Y436" s="32" t="str">
        <f t="shared" si="3"/>
        <v>-</v>
      </c>
      <c r="Z436" s="32" t="s">
        <v>62</v>
      </c>
      <c r="AA436" s="33">
        <f t="shared" si="4"/>
        <v>1</v>
      </c>
      <c r="AB436" s="34">
        <f>COUNTIFS(Links!B:B,"ICSE",Links!C:C,A436,Links!AD:AD,1)</f>
        <v>0</v>
      </c>
      <c r="AC436" s="35" t="s">
        <v>35</v>
      </c>
      <c r="AD436" s="27" t="str">
        <f t="shared" si="5"/>
        <v>No</v>
      </c>
      <c r="AE436" s="36" t="s">
        <v>36</v>
      </c>
      <c r="AF436" s="37" t="s">
        <v>42</v>
      </c>
      <c r="AG436" s="37" t="s">
        <v>42</v>
      </c>
      <c r="AH436" s="37" t="s">
        <v>42</v>
      </c>
      <c r="AI436" s="29" t="str">
        <f t="shared" si="6"/>
        <v>----</v>
      </c>
      <c r="AJ436" s="38" t="str">
        <f t="shared" si="7"/>
        <v>Paper has link but no statement</v>
      </c>
      <c r="AK436" s="39">
        <v>45033.0</v>
      </c>
      <c r="AL436" s="23" t="s">
        <v>43</v>
      </c>
      <c r="AM436" s="40" t="str">
        <f t="shared" si="8"/>
        <v>[IP1237]</v>
      </c>
    </row>
    <row r="437" ht="67.5" customHeight="1">
      <c r="A437" s="41">
        <v>1238.0</v>
      </c>
      <c r="B437" s="42" t="s">
        <v>1157</v>
      </c>
      <c r="C437" s="43">
        <v>2018.0</v>
      </c>
      <c r="D437" s="44" t="s">
        <v>35</v>
      </c>
      <c r="E437" s="45" t="s">
        <v>36</v>
      </c>
      <c r="F437" s="45" t="s">
        <v>36</v>
      </c>
      <c r="G437" s="45" t="s">
        <v>36</v>
      </c>
      <c r="H437" s="45" t="s">
        <v>36</v>
      </c>
      <c r="I437" s="45" t="s">
        <v>36</v>
      </c>
      <c r="J437" s="46" t="s">
        <v>36</v>
      </c>
      <c r="K437" s="47" t="s">
        <v>35</v>
      </c>
      <c r="L437" s="48" t="s">
        <v>36</v>
      </c>
      <c r="M437" s="48" t="s">
        <v>36</v>
      </c>
      <c r="N437" s="48" t="s">
        <v>36</v>
      </c>
      <c r="O437" s="48" t="s">
        <v>36</v>
      </c>
      <c r="P437" s="48" t="s">
        <v>36</v>
      </c>
      <c r="Q437" s="48" t="s">
        <v>36</v>
      </c>
      <c r="R437" s="48" t="s">
        <v>36</v>
      </c>
      <c r="S437" s="49" t="s">
        <v>36</v>
      </c>
      <c r="T437" s="50" t="s">
        <v>36</v>
      </c>
      <c r="U437" s="51" t="s">
        <v>36</v>
      </c>
      <c r="V437" s="52" t="str">
        <f t="shared" ref="V437:X437" si="442">IF(lenb(SUBSTITUTE($Z437,V$1&amp;" (1)",""))&lt;lenb($Z437),1,IF(lenb(SUBSTITUTE($Z437,V$1&amp;" (2)",""))&lt;lenb($Z437),2,IF(lenb(SUBSTITUTE($Z437,V$1&amp;" (3)",""))&lt;lenb($Z437),3,IF(lenb(SUBSTITUTE($Z437,V$1&amp;" (4)",""))&lt;lenb($Z437),4,IF(lenb(SUBSTITUTE($Z437,V$1&amp;" (5)",""))&lt;lenb($Z437),5,IF(lenb(SUBSTITUTE($Z437,V$1&amp;" (6)",""))&lt;lenb($Z437),6,IF(lenb(SUBSTITUTE($Z437,V$1&amp;" (7)",""))&lt;lenb($Z437),1,IF(lenb(SUBSTITUTE($Z437,V$1&amp;" (8)",""))&lt;lenb($Z437),8,IF(lenb(SUBSTITUTE($Z437,V$1&amp;" (9)",""))&lt;lenb($Z437),9,IF(lenb(SUBSTITUTE($Z437,V$1&amp;" (10)",""))&lt;lenb($Z437),10,IF(lenb(SUBSTITUTE($Z437,V$1,""))&lt;lenb($Z437),"ERROR",IF($Z437=$Y$1,"-",0))))))))))))</f>
        <v>-</v>
      </c>
      <c r="W437" s="52" t="str">
        <f t="shared" si="442"/>
        <v>-</v>
      </c>
      <c r="X437" s="52" t="str">
        <f t="shared" si="442"/>
        <v>-</v>
      </c>
      <c r="Y437" s="52">
        <f t="shared" si="3"/>
        <v>1</v>
      </c>
      <c r="Z437" s="52" t="s">
        <v>23</v>
      </c>
      <c r="AA437" s="53">
        <f t="shared" si="4"/>
        <v>0</v>
      </c>
      <c r="AB437" s="54">
        <f>COUNTIFS(Links!B:B,"ICSE",Links!C:C,A437,Links!AD:AD,1)</f>
        <v>0</v>
      </c>
      <c r="AC437" s="55" t="s">
        <v>36</v>
      </c>
      <c r="AD437" s="47" t="str">
        <f t="shared" si="5"/>
        <v>No</v>
      </c>
      <c r="AE437" s="56" t="s">
        <v>36</v>
      </c>
      <c r="AF437" s="57" t="s">
        <v>42</v>
      </c>
      <c r="AG437" s="57" t="s">
        <v>42</v>
      </c>
      <c r="AH437" s="57" t="s">
        <v>42</v>
      </c>
      <c r="AI437" s="49" t="str">
        <f t="shared" si="6"/>
        <v>----</v>
      </c>
      <c r="AJ437" s="58" t="str">
        <f t="shared" si="7"/>
        <v>Paper has no link and no statement</v>
      </c>
      <c r="AK437" s="59">
        <v>45033.0</v>
      </c>
      <c r="AL437" s="43" t="s">
        <v>43</v>
      </c>
      <c r="AM437" s="60" t="str">
        <f t="shared" si="8"/>
        <v>[IP1238]</v>
      </c>
    </row>
    <row r="438" ht="67.5" customHeight="1">
      <c r="A438" s="61">
        <v>1239.0</v>
      </c>
      <c r="B438" s="22" t="s">
        <v>1158</v>
      </c>
      <c r="C438" s="23">
        <v>2018.0</v>
      </c>
      <c r="D438" s="24" t="s">
        <v>35</v>
      </c>
      <c r="E438" s="25" t="s">
        <v>36</v>
      </c>
      <c r="F438" s="25" t="s">
        <v>36</v>
      </c>
      <c r="G438" s="25" t="s">
        <v>36</v>
      </c>
      <c r="H438" s="25" t="s">
        <v>36</v>
      </c>
      <c r="I438" s="25" t="s">
        <v>36</v>
      </c>
      <c r="J438" s="26" t="s">
        <v>36</v>
      </c>
      <c r="K438" s="27" t="s">
        <v>37</v>
      </c>
      <c r="L438" s="28" t="s">
        <v>35</v>
      </c>
      <c r="M438" s="28" t="s">
        <v>37</v>
      </c>
      <c r="N438" s="28" t="s">
        <v>37</v>
      </c>
      <c r="O438" s="28" t="s">
        <v>35</v>
      </c>
      <c r="P438" s="28" t="s">
        <v>35</v>
      </c>
      <c r="Q438" s="28" t="s">
        <v>35</v>
      </c>
      <c r="R438" s="28" t="s">
        <v>37</v>
      </c>
      <c r="S438" s="29" t="s">
        <v>1159</v>
      </c>
      <c r="T438" s="30" t="s">
        <v>1160</v>
      </c>
      <c r="U438" s="31" t="s">
        <v>1160</v>
      </c>
      <c r="V438" s="32">
        <f t="shared" ref="V438:X438" si="443">IF(lenb(SUBSTITUTE($Z438,V$1&amp;" (1)",""))&lt;lenb($Z438),1,IF(lenb(SUBSTITUTE($Z438,V$1&amp;" (2)",""))&lt;lenb($Z438),2,IF(lenb(SUBSTITUTE($Z438,V$1&amp;" (3)",""))&lt;lenb($Z438),3,IF(lenb(SUBSTITUTE($Z438,V$1&amp;" (4)",""))&lt;lenb($Z438),4,IF(lenb(SUBSTITUTE($Z438,V$1&amp;" (5)",""))&lt;lenb($Z438),5,IF(lenb(SUBSTITUTE($Z438,V$1&amp;" (6)",""))&lt;lenb($Z438),6,IF(lenb(SUBSTITUTE($Z438,V$1&amp;" (7)",""))&lt;lenb($Z438),1,IF(lenb(SUBSTITUTE($Z438,V$1&amp;" (8)",""))&lt;lenb($Z438),8,IF(lenb(SUBSTITUTE($Z438,V$1&amp;" (9)",""))&lt;lenb($Z438),9,IF(lenb(SUBSTITUTE($Z438,V$1&amp;" (10)",""))&lt;lenb($Z438),10,IF(lenb(SUBSTITUTE($Z438,V$1,""))&lt;lenb($Z438),"ERROR",IF($Z438=$Y$1,"-",0))))))))))))</f>
        <v>0</v>
      </c>
      <c r="W438" s="32">
        <f t="shared" si="443"/>
        <v>1</v>
      </c>
      <c r="X438" s="32">
        <f t="shared" si="443"/>
        <v>0</v>
      </c>
      <c r="Y438" s="32" t="str">
        <f t="shared" si="3"/>
        <v>-</v>
      </c>
      <c r="Z438" s="32" t="s">
        <v>47</v>
      </c>
      <c r="AA438" s="33">
        <f t="shared" si="4"/>
        <v>1</v>
      </c>
      <c r="AB438" s="34">
        <f>COUNTIFS(Links!B:B,"ICSE",Links!C:C,A438,Links!AD:AD,1)</f>
        <v>0</v>
      </c>
      <c r="AC438" s="35" t="s">
        <v>35</v>
      </c>
      <c r="AD438" s="27" t="str">
        <f t="shared" si="5"/>
        <v>No</v>
      </c>
      <c r="AE438" s="36" t="s">
        <v>36</v>
      </c>
      <c r="AF438" s="37" t="s">
        <v>42</v>
      </c>
      <c r="AG438" s="37" t="s">
        <v>42</v>
      </c>
      <c r="AH438" s="37" t="s">
        <v>42</v>
      </c>
      <c r="AI438" s="29" t="str">
        <f t="shared" si="6"/>
        <v>----</v>
      </c>
      <c r="AJ438" s="38" t="str">
        <f t="shared" si="7"/>
        <v>Paper has link but no statement</v>
      </c>
      <c r="AK438" s="39">
        <v>45033.0</v>
      </c>
      <c r="AL438" s="23" t="s">
        <v>43</v>
      </c>
      <c r="AM438" s="40" t="str">
        <f t="shared" si="8"/>
        <v>[IP1239]</v>
      </c>
    </row>
    <row r="439" ht="67.5" customHeight="1">
      <c r="A439" s="41">
        <v>1240.0</v>
      </c>
      <c r="B439" s="42" t="s">
        <v>1161</v>
      </c>
      <c r="C439" s="43">
        <v>2018.0</v>
      </c>
      <c r="D439" s="44" t="s">
        <v>35</v>
      </c>
      <c r="E439" s="45" t="s">
        <v>36</v>
      </c>
      <c r="F439" s="45" t="s">
        <v>36</v>
      </c>
      <c r="G439" s="45" t="s">
        <v>36</v>
      </c>
      <c r="H439" s="45" t="s">
        <v>36</v>
      </c>
      <c r="I439" s="45" t="s">
        <v>36</v>
      </c>
      <c r="J439" s="46" t="s">
        <v>36</v>
      </c>
      <c r="K439" s="47" t="s">
        <v>37</v>
      </c>
      <c r="L439" s="48" t="s">
        <v>35</v>
      </c>
      <c r="M439" s="48" t="s">
        <v>35</v>
      </c>
      <c r="N439" s="48" t="s">
        <v>37</v>
      </c>
      <c r="O439" s="48" t="s">
        <v>35</v>
      </c>
      <c r="P439" s="48" t="s">
        <v>35</v>
      </c>
      <c r="Q439" s="48" t="s">
        <v>35</v>
      </c>
      <c r="R439" s="48" t="s">
        <v>35</v>
      </c>
      <c r="S439" s="49" t="s">
        <v>944</v>
      </c>
      <c r="T439" s="50" t="s">
        <v>1162</v>
      </c>
      <c r="U439" s="51" t="s">
        <v>1162</v>
      </c>
      <c r="V439" s="52">
        <f t="shared" ref="V439:X439" si="444">IF(lenb(SUBSTITUTE($Z439,V$1&amp;" (1)",""))&lt;lenb($Z439),1,IF(lenb(SUBSTITUTE($Z439,V$1&amp;" (2)",""))&lt;lenb($Z439),2,IF(lenb(SUBSTITUTE($Z439,V$1&amp;" (3)",""))&lt;lenb($Z439),3,IF(lenb(SUBSTITUTE($Z439,V$1&amp;" (4)",""))&lt;lenb($Z439),4,IF(lenb(SUBSTITUTE($Z439,V$1&amp;" (5)",""))&lt;lenb($Z439),5,IF(lenb(SUBSTITUTE($Z439,V$1&amp;" (6)",""))&lt;lenb($Z439),6,IF(lenb(SUBSTITUTE($Z439,V$1&amp;" (7)",""))&lt;lenb($Z439),1,IF(lenb(SUBSTITUTE($Z439,V$1&amp;" (8)",""))&lt;lenb($Z439),8,IF(lenb(SUBSTITUTE($Z439,V$1&amp;" (9)",""))&lt;lenb($Z439),9,IF(lenb(SUBSTITUTE($Z439,V$1&amp;" (10)",""))&lt;lenb($Z439),10,IF(lenb(SUBSTITUTE($Z439,V$1,""))&lt;lenb($Z439),"ERROR",IF($Z439=$Y$1,"-",0))))))))))))</f>
        <v>1</v>
      </c>
      <c r="W439" s="52">
        <f t="shared" si="444"/>
        <v>0</v>
      </c>
      <c r="X439" s="52">
        <f t="shared" si="444"/>
        <v>0</v>
      </c>
      <c r="Y439" s="52" t="str">
        <f t="shared" si="3"/>
        <v>-</v>
      </c>
      <c r="Z439" s="52" t="s">
        <v>62</v>
      </c>
      <c r="AA439" s="53">
        <f t="shared" si="4"/>
        <v>1</v>
      </c>
      <c r="AB439" s="54">
        <f>COUNTIFS(Links!B:B,"ICSE",Links!C:C,A439,Links!AD:AD,1)</f>
        <v>0</v>
      </c>
      <c r="AC439" s="55" t="s">
        <v>35</v>
      </c>
      <c r="AD439" s="47" t="str">
        <f t="shared" si="5"/>
        <v>No</v>
      </c>
      <c r="AE439" s="56" t="s">
        <v>36</v>
      </c>
      <c r="AF439" s="57" t="s">
        <v>42</v>
      </c>
      <c r="AG439" s="57" t="s">
        <v>42</v>
      </c>
      <c r="AH439" s="57" t="s">
        <v>42</v>
      </c>
      <c r="AI439" s="49" t="str">
        <f t="shared" si="6"/>
        <v>----</v>
      </c>
      <c r="AJ439" s="58" t="str">
        <f t="shared" si="7"/>
        <v>Paper has link but no statement</v>
      </c>
      <c r="AK439" s="59">
        <v>45033.0</v>
      </c>
      <c r="AL439" s="43" t="s">
        <v>43</v>
      </c>
      <c r="AM439" s="60" t="str">
        <f t="shared" si="8"/>
        <v>[IP1240]</v>
      </c>
    </row>
    <row r="440" ht="67.5" customHeight="1">
      <c r="A440" s="61">
        <v>1241.0</v>
      </c>
      <c r="B440" s="22" t="s">
        <v>1163</v>
      </c>
      <c r="C440" s="23">
        <v>2018.0</v>
      </c>
      <c r="D440" s="24" t="s">
        <v>35</v>
      </c>
      <c r="E440" s="25" t="s">
        <v>36</v>
      </c>
      <c r="F440" s="25" t="s">
        <v>36</v>
      </c>
      <c r="G440" s="25" t="s">
        <v>36</v>
      </c>
      <c r="H440" s="25" t="s">
        <v>36</v>
      </c>
      <c r="I440" s="25" t="s">
        <v>36</v>
      </c>
      <c r="J440" s="26" t="s">
        <v>36</v>
      </c>
      <c r="K440" s="27" t="s">
        <v>37</v>
      </c>
      <c r="L440" s="28" t="s">
        <v>35</v>
      </c>
      <c r="M440" s="28" t="s">
        <v>37</v>
      </c>
      <c r="N440" s="28" t="s">
        <v>35</v>
      </c>
      <c r="O440" s="28" t="s">
        <v>35</v>
      </c>
      <c r="P440" s="28" t="s">
        <v>35</v>
      </c>
      <c r="Q440" s="28" t="s">
        <v>35</v>
      </c>
      <c r="R440" s="28" t="s">
        <v>37</v>
      </c>
      <c r="S440" s="29" t="s">
        <v>1164</v>
      </c>
      <c r="T440" s="30" t="s">
        <v>1165</v>
      </c>
      <c r="U440" s="31" t="s">
        <v>1165</v>
      </c>
      <c r="V440" s="32">
        <f t="shared" ref="V440:X440" si="445">IF(lenb(SUBSTITUTE($Z440,V$1&amp;" (1)",""))&lt;lenb($Z440),1,IF(lenb(SUBSTITUTE($Z440,V$1&amp;" (2)",""))&lt;lenb($Z440),2,IF(lenb(SUBSTITUTE($Z440,V$1&amp;" (3)",""))&lt;lenb($Z440),3,IF(lenb(SUBSTITUTE($Z440,V$1&amp;" (4)",""))&lt;lenb($Z440),4,IF(lenb(SUBSTITUTE($Z440,V$1&amp;" (5)",""))&lt;lenb($Z440),5,IF(lenb(SUBSTITUTE($Z440,V$1&amp;" (6)",""))&lt;lenb($Z440),6,IF(lenb(SUBSTITUTE($Z440,V$1&amp;" (7)",""))&lt;lenb($Z440),1,IF(lenb(SUBSTITUTE($Z440,V$1&amp;" (8)",""))&lt;lenb($Z440),8,IF(lenb(SUBSTITUTE($Z440,V$1&amp;" (9)",""))&lt;lenb($Z440),9,IF(lenb(SUBSTITUTE($Z440,V$1&amp;" (10)",""))&lt;lenb($Z440),10,IF(lenb(SUBSTITUTE($Z440,V$1,""))&lt;lenb($Z440),"ERROR",IF($Z440=$Y$1,"-",0))))))))))))</f>
        <v>1</v>
      </c>
      <c r="W440" s="32">
        <f t="shared" si="445"/>
        <v>0</v>
      </c>
      <c r="X440" s="32">
        <f t="shared" si="445"/>
        <v>0</v>
      </c>
      <c r="Y440" s="32" t="str">
        <f t="shared" si="3"/>
        <v>-</v>
      </c>
      <c r="Z440" s="32" t="s">
        <v>62</v>
      </c>
      <c r="AA440" s="33">
        <f t="shared" si="4"/>
        <v>1</v>
      </c>
      <c r="AB440" s="34">
        <f>COUNTIFS(Links!B:B,"ICSE",Links!C:C,A440,Links!AD:AD,1)</f>
        <v>1</v>
      </c>
      <c r="AC440" s="35" t="s">
        <v>35</v>
      </c>
      <c r="AD440" s="27" t="str">
        <f t="shared" si="5"/>
        <v>No</v>
      </c>
      <c r="AE440" s="36" t="s">
        <v>36</v>
      </c>
      <c r="AF440" s="37" t="s">
        <v>42</v>
      </c>
      <c r="AG440" s="37" t="s">
        <v>42</v>
      </c>
      <c r="AH440" s="37" t="s">
        <v>42</v>
      </c>
      <c r="AI440" s="29" t="str">
        <f t="shared" si="6"/>
        <v>----</v>
      </c>
      <c r="AJ440" s="38" t="str">
        <f t="shared" si="7"/>
        <v>Paper has link but no statement</v>
      </c>
      <c r="AK440" s="39">
        <v>45033.0</v>
      </c>
      <c r="AL440" s="23" t="s">
        <v>43</v>
      </c>
      <c r="AM440" s="40" t="str">
        <f t="shared" si="8"/>
        <v>[IP1241]</v>
      </c>
    </row>
    <row r="441" ht="67.5" customHeight="1">
      <c r="A441" s="41">
        <v>1242.0</v>
      </c>
      <c r="B441" s="42" t="s">
        <v>1166</v>
      </c>
      <c r="C441" s="43">
        <v>2018.0</v>
      </c>
      <c r="D441" s="44" t="s">
        <v>35</v>
      </c>
      <c r="E441" s="45" t="s">
        <v>36</v>
      </c>
      <c r="F441" s="45" t="s">
        <v>36</v>
      </c>
      <c r="G441" s="45" t="s">
        <v>36</v>
      </c>
      <c r="H441" s="45" t="s">
        <v>36</v>
      </c>
      <c r="I441" s="45" t="s">
        <v>36</v>
      </c>
      <c r="J441" s="46" t="s">
        <v>36</v>
      </c>
      <c r="K441" s="47" t="s">
        <v>37</v>
      </c>
      <c r="L441" s="48" t="s">
        <v>35</v>
      </c>
      <c r="M441" s="48" t="s">
        <v>35</v>
      </c>
      <c r="N441" s="48" t="s">
        <v>37</v>
      </c>
      <c r="O441" s="48" t="s">
        <v>35</v>
      </c>
      <c r="P441" s="48" t="s">
        <v>35</v>
      </c>
      <c r="Q441" s="48" t="s">
        <v>35</v>
      </c>
      <c r="R441" s="48" t="s">
        <v>37</v>
      </c>
      <c r="S441" s="49" t="s">
        <v>1167</v>
      </c>
      <c r="T441" s="50" t="s">
        <v>1168</v>
      </c>
      <c r="U441" s="51" t="s">
        <v>1169</v>
      </c>
      <c r="V441" s="52">
        <f t="shared" ref="V441:X441" si="446">IF(lenb(SUBSTITUTE($Z441,V$1&amp;" (1)",""))&lt;lenb($Z441),1,IF(lenb(SUBSTITUTE($Z441,V$1&amp;" (2)",""))&lt;lenb($Z441),2,IF(lenb(SUBSTITUTE($Z441,V$1&amp;" (3)",""))&lt;lenb($Z441),3,IF(lenb(SUBSTITUTE($Z441,V$1&amp;" (4)",""))&lt;lenb($Z441),4,IF(lenb(SUBSTITUTE($Z441,V$1&amp;" (5)",""))&lt;lenb($Z441),5,IF(lenb(SUBSTITUTE($Z441,V$1&amp;" (6)",""))&lt;lenb($Z441),6,IF(lenb(SUBSTITUTE($Z441,V$1&amp;" (7)",""))&lt;lenb($Z441),1,IF(lenb(SUBSTITUTE($Z441,V$1&amp;" (8)",""))&lt;lenb($Z441),8,IF(lenb(SUBSTITUTE($Z441,V$1&amp;" (9)",""))&lt;lenb($Z441),9,IF(lenb(SUBSTITUTE($Z441,V$1&amp;" (10)",""))&lt;lenb($Z441),10,IF(lenb(SUBSTITUTE($Z441,V$1,""))&lt;lenb($Z441),"ERROR",IF($Z441=$Y$1,"-",0))))))))))))</f>
        <v>2</v>
      </c>
      <c r="W441" s="52">
        <f t="shared" si="446"/>
        <v>0</v>
      </c>
      <c r="X441" s="52">
        <f t="shared" si="446"/>
        <v>0</v>
      </c>
      <c r="Y441" s="52" t="str">
        <f t="shared" si="3"/>
        <v>-</v>
      </c>
      <c r="Z441" s="52" t="s">
        <v>57</v>
      </c>
      <c r="AA441" s="53">
        <f t="shared" si="4"/>
        <v>2</v>
      </c>
      <c r="AB441" s="54">
        <f>COUNTIFS(Links!B:B,"ICSE",Links!C:C,A441,Links!AD:AD,1)</f>
        <v>0</v>
      </c>
      <c r="AC441" s="55" t="s">
        <v>35</v>
      </c>
      <c r="AD441" s="47" t="str">
        <f t="shared" si="5"/>
        <v>No</v>
      </c>
      <c r="AE441" s="56" t="s">
        <v>36</v>
      </c>
      <c r="AF441" s="57" t="s">
        <v>42</v>
      </c>
      <c r="AG441" s="57" t="s">
        <v>42</v>
      </c>
      <c r="AH441" s="57" t="s">
        <v>42</v>
      </c>
      <c r="AI441" s="49" t="str">
        <f t="shared" si="6"/>
        <v>----</v>
      </c>
      <c r="AJ441" s="58" t="str">
        <f t="shared" si="7"/>
        <v>Paper has link but no statement</v>
      </c>
      <c r="AK441" s="59">
        <v>45033.0</v>
      </c>
      <c r="AL441" s="43" t="s">
        <v>43</v>
      </c>
      <c r="AM441" s="60" t="str">
        <f t="shared" si="8"/>
        <v>[IP1242]</v>
      </c>
    </row>
    <row r="442" ht="67.5" customHeight="1">
      <c r="A442" s="61">
        <v>1247.0</v>
      </c>
      <c r="B442" s="22" t="s">
        <v>1170</v>
      </c>
      <c r="C442" s="23">
        <v>2018.0</v>
      </c>
      <c r="D442" s="24" t="s">
        <v>35</v>
      </c>
      <c r="E442" s="25" t="s">
        <v>36</v>
      </c>
      <c r="F442" s="25" t="s">
        <v>36</v>
      </c>
      <c r="G442" s="25" t="s">
        <v>36</v>
      </c>
      <c r="H442" s="25" t="s">
        <v>36</v>
      </c>
      <c r="I442" s="25" t="s">
        <v>36</v>
      </c>
      <c r="J442" s="26" t="s">
        <v>36</v>
      </c>
      <c r="K442" s="27" t="s">
        <v>37</v>
      </c>
      <c r="L442" s="28" t="s">
        <v>37</v>
      </c>
      <c r="M442" s="28" t="s">
        <v>35</v>
      </c>
      <c r="N442" s="28" t="s">
        <v>35</v>
      </c>
      <c r="O442" s="28" t="s">
        <v>35</v>
      </c>
      <c r="P442" s="28" t="s">
        <v>35</v>
      </c>
      <c r="Q442" s="28" t="s">
        <v>35</v>
      </c>
      <c r="R442" s="28" t="s">
        <v>37</v>
      </c>
      <c r="S442" s="29" t="s">
        <v>1171</v>
      </c>
      <c r="T442" s="30" t="s">
        <v>1172</v>
      </c>
      <c r="U442" s="31" t="s">
        <v>1173</v>
      </c>
      <c r="V442" s="32">
        <f t="shared" ref="V442:X442" si="447">IF(lenb(SUBSTITUTE($Z442,V$1&amp;" (1)",""))&lt;lenb($Z442),1,IF(lenb(SUBSTITUTE($Z442,V$1&amp;" (2)",""))&lt;lenb($Z442),2,IF(lenb(SUBSTITUTE($Z442,V$1&amp;" (3)",""))&lt;lenb($Z442),3,IF(lenb(SUBSTITUTE($Z442,V$1&amp;" (4)",""))&lt;lenb($Z442),4,IF(lenb(SUBSTITUTE($Z442,V$1&amp;" (5)",""))&lt;lenb($Z442),5,IF(lenb(SUBSTITUTE($Z442,V$1&amp;" (6)",""))&lt;lenb($Z442),6,IF(lenb(SUBSTITUTE($Z442,V$1&amp;" (7)",""))&lt;lenb($Z442),1,IF(lenb(SUBSTITUTE($Z442,V$1&amp;" (8)",""))&lt;lenb($Z442),8,IF(lenb(SUBSTITUTE($Z442,V$1&amp;" (9)",""))&lt;lenb($Z442),9,IF(lenb(SUBSTITUTE($Z442,V$1&amp;" (10)",""))&lt;lenb($Z442),10,IF(lenb(SUBSTITUTE($Z442,V$1,""))&lt;lenb($Z442),"ERROR",IF($Z442=$Y$1,"-",0))))))))))))</f>
        <v>0</v>
      </c>
      <c r="W442" s="32">
        <f t="shared" si="447"/>
        <v>0</v>
      </c>
      <c r="X442" s="32">
        <f t="shared" si="447"/>
        <v>1</v>
      </c>
      <c r="Y442" s="32" t="str">
        <f t="shared" si="3"/>
        <v>-</v>
      </c>
      <c r="Z442" s="32" t="s">
        <v>556</v>
      </c>
      <c r="AA442" s="33">
        <f t="shared" si="4"/>
        <v>1</v>
      </c>
      <c r="AB442" s="34">
        <f>COUNTIFS(Links!B:B,"ICSE",Links!C:C,A442,Links!AD:AD,1)</f>
        <v>0</v>
      </c>
      <c r="AC442" s="35" t="s">
        <v>35</v>
      </c>
      <c r="AD442" s="27" t="str">
        <f t="shared" si="5"/>
        <v>No</v>
      </c>
      <c r="AE442" s="36" t="s">
        <v>36</v>
      </c>
      <c r="AF442" s="37" t="s">
        <v>42</v>
      </c>
      <c r="AG442" s="37" t="s">
        <v>42</v>
      </c>
      <c r="AH442" s="37" t="s">
        <v>42</v>
      </c>
      <c r="AI442" s="29" t="str">
        <f t="shared" si="6"/>
        <v>----</v>
      </c>
      <c r="AJ442" s="38" t="str">
        <f t="shared" si="7"/>
        <v>Paper has link but no statement</v>
      </c>
      <c r="AK442" s="39">
        <v>45033.0</v>
      </c>
      <c r="AL442" s="23" t="s">
        <v>43</v>
      </c>
      <c r="AM442" s="40" t="str">
        <f t="shared" si="8"/>
        <v>[IP1247]</v>
      </c>
    </row>
    <row r="443" ht="67.5" customHeight="1">
      <c r="A443" s="41">
        <v>1248.0</v>
      </c>
      <c r="B443" s="42" t="s">
        <v>1174</v>
      </c>
      <c r="C443" s="43">
        <v>2018.0</v>
      </c>
      <c r="D443" s="44" t="s">
        <v>35</v>
      </c>
      <c r="E443" s="45" t="s">
        <v>36</v>
      </c>
      <c r="F443" s="45" t="s">
        <v>36</v>
      </c>
      <c r="G443" s="45" t="s">
        <v>36</v>
      </c>
      <c r="H443" s="45" t="s">
        <v>36</v>
      </c>
      <c r="I443" s="45" t="s">
        <v>36</v>
      </c>
      <c r="J443" s="46" t="s">
        <v>36</v>
      </c>
      <c r="K443" s="47" t="s">
        <v>37</v>
      </c>
      <c r="L443" s="48" t="s">
        <v>37</v>
      </c>
      <c r="M443" s="48" t="s">
        <v>35</v>
      </c>
      <c r="N443" s="48" t="s">
        <v>35</v>
      </c>
      <c r="O443" s="48" t="s">
        <v>35</v>
      </c>
      <c r="P443" s="48" t="s">
        <v>35</v>
      </c>
      <c r="Q443" s="48" t="s">
        <v>35</v>
      </c>
      <c r="R443" s="48" t="s">
        <v>37</v>
      </c>
      <c r="S443" s="49" t="s">
        <v>1175</v>
      </c>
      <c r="T443" s="50" t="s">
        <v>1176</v>
      </c>
      <c r="U443" s="51" t="s">
        <v>1176</v>
      </c>
      <c r="V443" s="52">
        <f t="shared" ref="V443:X443" si="448">IF(lenb(SUBSTITUTE($Z443,V$1&amp;" (1)",""))&lt;lenb($Z443),1,IF(lenb(SUBSTITUTE($Z443,V$1&amp;" (2)",""))&lt;lenb($Z443),2,IF(lenb(SUBSTITUTE($Z443,V$1&amp;" (3)",""))&lt;lenb($Z443),3,IF(lenb(SUBSTITUTE($Z443,V$1&amp;" (4)",""))&lt;lenb($Z443),4,IF(lenb(SUBSTITUTE($Z443,V$1&amp;" (5)",""))&lt;lenb($Z443),5,IF(lenb(SUBSTITUTE($Z443,V$1&amp;" (6)",""))&lt;lenb($Z443),6,IF(lenb(SUBSTITUTE($Z443,V$1&amp;" (7)",""))&lt;lenb($Z443),1,IF(lenb(SUBSTITUTE($Z443,V$1&amp;" (8)",""))&lt;lenb($Z443),8,IF(lenb(SUBSTITUTE($Z443,V$1&amp;" (9)",""))&lt;lenb($Z443),9,IF(lenb(SUBSTITUTE($Z443,V$1&amp;" (10)",""))&lt;lenb($Z443),10,IF(lenb(SUBSTITUTE($Z443,V$1,""))&lt;lenb($Z443),"ERROR",IF($Z443=$Y$1,"-",0))))))))))))</f>
        <v>0</v>
      </c>
      <c r="W443" s="52">
        <f t="shared" si="448"/>
        <v>1</v>
      </c>
      <c r="X443" s="52">
        <f t="shared" si="448"/>
        <v>0</v>
      </c>
      <c r="Y443" s="52" t="str">
        <f t="shared" si="3"/>
        <v>-</v>
      </c>
      <c r="Z443" s="52" t="s">
        <v>47</v>
      </c>
      <c r="AA443" s="53">
        <f t="shared" si="4"/>
        <v>1</v>
      </c>
      <c r="AB443" s="54">
        <f>COUNTIFS(Links!B:B,"ICSE",Links!C:C,A443,Links!AD:AD,1)</f>
        <v>0</v>
      </c>
      <c r="AC443" s="55" t="s">
        <v>35</v>
      </c>
      <c r="AD443" s="47" t="str">
        <f t="shared" si="5"/>
        <v>No</v>
      </c>
      <c r="AE443" s="56" t="s">
        <v>36</v>
      </c>
      <c r="AF443" s="57" t="s">
        <v>42</v>
      </c>
      <c r="AG443" s="57" t="s">
        <v>42</v>
      </c>
      <c r="AH443" s="57" t="s">
        <v>42</v>
      </c>
      <c r="AI443" s="49" t="str">
        <f t="shared" si="6"/>
        <v>----</v>
      </c>
      <c r="AJ443" s="58" t="str">
        <f t="shared" si="7"/>
        <v>Paper has link but no statement</v>
      </c>
      <c r="AK443" s="59">
        <v>45033.0</v>
      </c>
      <c r="AL443" s="43" t="s">
        <v>43</v>
      </c>
      <c r="AM443" s="60" t="str">
        <f t="shared" si="8"/>
        <v>[IP1248]</v>
      </c>
    </row>
    <row r="444" ht="67.5" customHeight="1">
      <c r="A444" s="61">
        <v>1249.0</v>
      </c>
      <c r="B444" s="22" t="s">
        <v>1177</v>
      </c>
      <c r="C444" s="23">
        <v>2018.0</v>
      </c>
      <c r="D444" s="24" t="s">
        <v>35</v>
      </c>
      <c r="E444" s="25" t="s">
        <v>36</v>
      </c>
      <c r="F444" s="25" t="s">
        <v>36</v>
      </c>
      <c r="G444" s="25" t="s">
        <v>36</v>
      </c>
      <c r="H444" s="25" t="s">
        <v>36</v>
      </c>
      <c r="I444" s="25" t="s">
        <v>36</v>
      </c>
      <c r="J444" s="26" t="s">
        <v>36</v>
      </c>
      <c r="K444" s="27" t="s">
        <v>37</v>
      </c>
      <c r="L444" s="28" t="s">
        <v>35</v>
      </c>
      <c r="M444" s="28" t="s">
        <v>37</v>
      </c>
      <c r="N444" s="28" t="s">
        <v>35</v>
      </c>
      <c r="O444" s="28" t="s">
        <v>35</v>
      </c>
      <c r="P444" s="28" t="s">
        <v>35</v>
      </c>
      <c r="Q444" s="28" t="s">
        <v>35</v>
      </c>
      <c r="R444" s="28" t="s">
        <v>37</v>
      </c>
      <c r="S444" s="29" t="s">
        <v>1178</v>
      </c>
      <c r="T444" s="30" t="s">
        <v>1179</v>
      </c>
      <c r="U444" s="31" t="s">
        <v>1180</v>
      </c>
      <c r="V444" s="32">
        <f t="shared" ref="V444:X444" si="449">IF(lenb(SUBSTITUTE($Z444,V$1&amp;" (1)",""))&lt;lenb($Z444),1,IF(lenb(SUBSTITUTE($Z444,V$1&amp;" (2)",""))&lt;lenb($Z444),2,IF(lenb(SUBSTITUTE($Z444,V$1&amp;" (3)",""))&lt;lenb($Z444),3,IF(lenb(SUBSTITUTE($Z444,V$1&amp;" (4)",""))&lt;lenb($Z444),4,IF(lenb(SUBSTITUTE($Z444,V$1&amp;" (5)",""))&lt;lenb($Z444),5,IF(lenb(SUBSTITUTE($Z444,V$1&amp;" (6)",""))&lt;lenb($Z444),6,IF(lenb(SUBSTITUTE($Z444,V$1&amp;" (7)",""))&lt;lenb($Z444),1,IF(lenb(SUBSTITUTE($Z444,V$1&amp;" (8)",""))&lt;lenb($Z444),8,IF(lenb(SUBSTITUTE($Z444,V$1&amp;" (9)",""))&lt;lenb($Z444),9,IF(lenb(SUBSTITUTE($Z444,V$1&amp;" (10)",""))&lt;lenb($Z444),10,IF(lenb(SUBSTITUTE($Z444,V$1,""))&lt;lenb($Z444),"ERROR",IF($Z444=$Y$1,"-",0))))))))))))</f>
        <v>3</v>
      </c>
      <c r="W444" s="32">
        <f t="shared" si="449"/>
        <v>0</v>
      </c>
      <c r="X444" s="32">
        <f t="shared" si="449"/>
        <v>0</v>
      </c>
      <c r="Y444" s="32" t="str">
        <f t="shared" si="3"/>
        <v>-</v>
      </c>
      <c r="Z444" s="32" t="s">
        <v>193</v>
      </c>
      <c r="AA444" s="33">
        <f t="shared" si="4"/>
        <v>3</v>
      </c>
      <c r="AB444" s="34">
        <f>COUNTIFS(Links!B:B,"ICSE",Links!C:C,A444,Links!AD:AD,1)</f>
        <v>0</v>
      </c>
      <c r="AC444" s="35" t="s">
        <v>37</v>
      </c>
      <c r="AD444" s="27" t="str">
        <f t="shared" si="5"/>
        <v>No</v>
      </c>
      <c r="AE444" s="36" t="s">
        <v>36</v>
      </c>
      <c r="AF444" s="37" t="s">
        <v>42</v>
      </c>
      <c r="AG444" s="37" t="s">
        <v>42</v>
      </c>
      <c r="AH444" s="37" t="s">
        <v>42</v>
      </c>
      <c r="AI444" s="29" t="str">
        <f t="shared" si="6"/>
        <v>----</v>
      </c>
      <c r="AJ444" s="38" t="str">
        <f t="shared" si="7"/>
        <v>Paper has link but no statement</v>
      </c>
      <c r="AK444" s="39">
        <v>45033.0</v>
      </c>
      <c r="AL444" s="23" t="s">
        <v>43</v>
      </c>
      <c r="AM444" s="40" t="str">
        <f t="shared" si="8"/>
        <v>[IP1249]</v>
      </c>
    </row>
    <row r="445" ht="67.5" customHeight="1">
      <c r="A445" s="41">
        <v>1250.0</v>
      </c>
      <c r="B445" s="42" t="s">
        <v>1181</v>
      </c>
      <c r="C445" s="43">
        <v>2018.0</v>
      </c>
      <c r="D445" s="44" t="s">
        <v>35</v>
      </c>
      <c r="E445" s="45" t="s">
        <v>36</v>
      </c>
      <c r="F445" s="45" t="s">
        <v>36</v>
      </c>
      <c r="G445" s="45" t="s">
        <v>36</v>
      </c>
      <c r="H445" s="45" t="s">
        <v>36</v>
      </c>
      <c r="I445" s="45" t="s">
        <v>36</v>
      </c>
      <c r="J445" s="46" t="s">
        <v>36</v>
      </c>
      <c r="K445" s="47" t="s">
        <v>37</v>
      </c>
      <c r="L445" s="48" t="s">
        <v>37</v>
      </c>
      <c r="M445" s="48" t="s">
        <v>35</v>
      </c>
      <c r="N445" s="48" t="s">
        <v>35</v>
      </c>
      <c r="O445" s="48" t="s">
        <v>35</v>
      </c>
      <c r="P445" s="48" t="s">
        <v>35</v>
      </c>
      <c r="Q445" s="48" t="s">
        <v>35</v>
      </c>
      <c r="R445" s="48" t="s">
        <v>37</v>
      </c>
      <c r="S445" s="73" t="s">
        <v>1182</v>
      </c>
      <c r="T445" s="50" t="s">
        <v>1183</v>
      </c>
      <c r="U445" s="51" t="s">
        <v>1183</v>
      </c>
      <c r="V445" s="52">
        <f t="shared" ref="V445:X445" si="450">IF(lenb(SUBSTITUTE($Z445,V$1&amp;" (1)",""))&lt;lenb($Z445),1,IF(lenb(SUBSTITUTE($Z445,V$1&amp;" (2)",""))&lt;lenb($Z445),2,IF(lenb(SUBSTITUTE($Z445,V$1&amp;" (3)",""))&lt;lenb($Z445),3,IF(lenb(SUBSTITUTE($Z445,V$1&amp;" (4)",""))&lt;lenb($Z445),4,IF(lenb(SUBSTITUTE($Z445,V$1&amp;" (5)",""))&lt;lenb($Z445),5,IF(lenb(SUBSTITUTE($Z445,V$1&amp;" (6)",""))&lt;lenb($Z445),6,IF(lenb(SUBSTITUTE($Z445,V$1&amp;" (7)",""))&lt;lenb($Z445),1,IF(lenb(SUBSTITUTE($Z445,V$1&amp;" (8)",""))&lt;lenb($Z445),8,IF(lenb(SUBSTITUTE($Z445,V$1&amp;" (9)",""))&lt;lenb($Z445),9,IF(lenb(SUBSTITUTE($Z445,V$1&amp;" (10)",""))&lt;lenb($Z445),10,IF(lenb(SUBSTITUTE($Z445,V$1,""))&lt;lenb($Z445),"ERROR",IF($Z445=$Y$1,"-",0))))))))))))</f>
        <v>0</v>
      </c>
      <c r="W445" s="52">
        <f t="shared" si="450"/>
        <v>1</v>
      </c>
      <c r="X445" s="52">
        <f t="shared" si="450"/>
        <v>0</v>
      </c>
      <c r="Y445" s="52" t="str">
        <f t="shared" si="3"/>
        <v>-</v>
      </c>
      <c r="Z445" s="52" t="s">
        <v>47</v>
      </c>
      <c r="AA445" s="53">
        <f t="shared" si="4"/>
        <v>1</v>
      </c>
      <c r="AB445" s="54">
        <f>COUNTIFS(Links!B:B,"ICSE",Links!C:C,A445,Links!AD:AD,1)</f>
        <v>0</v>
      </c>
      <c r="AC445" s="55" t="s">
        <v>35</v>
      </c>
      <c r="AD445" s="47" t="str">
        <f t="shared" si="5"/>
        <v>No</v>
      </c>
      <c r="AE445" s="56" t="s">
        <v>36</v>
      </c>
      <c r="AF445" s="57" t="s">
        <v>42</v>
      </c>
      <c r="AG445" s="57" t="s">
        <v>42</v>
      </c>
      <c r="AH445" s="57" t="s">
        <v>42</v>
      </c>
      <c r="AI445" s="49" t="str">
        <f t="shared" si="6"/>
        <v>----</v>
      </c>
      <c r="AJ445" s="58" t="str">
        <f t="shared" si="7"/>
        <v>Paper has link but no statement</v>
      </c>
      <c r="AK445" s="59">
        <v>45033.0</v>
      </c>
      <c r="AL445" s="43" t="s">
        <v>43</v>
      </c>
      <c r="AM445" s="60" t="str">
        <f t="shared" si="8"/>
        <v>[IP1250]</v>
      </c>
    </row>
    <row r="446" ht="67.5" customHeight="1">
      <c r="A446" s="61">
        <v>1251.0</v>
      </c>
      <c r="B446" s="22" t="s">
        <v>1184</v>
      </c>
      <c r="C446" s="23">
        <v>2018.0</v>
      </c>
      <c r="D446" s="24" t="s">
        <v>35</v>
      </c>
      <c r="E446" s="25" t="s">
        <v>36</v>
      </c>
      <c r="F446" s="25" t="s">
        <v>36</v>
      </c>
      <c r="G446" s="25" t="s">
        <v>36</v>
      </c>
      <c r="H446" s="25" t="s">
        <v>36</v>
      </c>
      <c r="I446" s="25" t="s">
        <v>36</v>
      </c>
      <c r="J446" s="26" t="s">
        <v>36</v>
      </c>
      <c r="K446" s="27" t="s">
        <v>37</v>
      </c>
      <c r="L446" s="28" t="s">
        <v>35</v>
      </c>
      <c r="M446" s="28" t="s">
        <v>35</v>
      </c>
      <c r="N446" s="28" t="s">
        <v>35</v>
      </c>
      <c r="O446" s="28" t="s">
        <v>35</v>
      </c>
      <c r="P446" s="28" t="s">
        <v>35</v>
      </c>
      <c r="Q446" s="28" t="s">
        <v>35</v>
      </c>
      <c r="R446" s="28" t="s">
        <v>37</v>
      </c>
      <c r="S446" s="29" t="s">
        <v>1185</v>
      </c>
      <c r="T446" s="30" t="s">
        <v>1186</v>
      </c>
      <c r="U446" s="31" t="s">
        <v>1186</v>
      </c>
      <c r="V446" s="32">
        <f t="shared" ref="V446:X446" si="451">IF(lenb(SUBSTITUTE($Z446,V$1&amp;" (1)",""))&lt;lenb($Z446),1,IF(lenb(SUBSTITUTE($Z446,V$1&amp;" (2)",""))&lt;lenb($Z446),2,IF(lenb(SUBSTITUTE($Z446,V$1&amp;" (3)",""))&lt;lenb($Z446),3,IF(lenb(SUBSTITUTE($Z446,V$1&amp;" (4)",""))&lt;lenb($Z446),4,IF(lenb(SUBSTITUTE($Z446,V$1&amp;" (5)",""))&lt;lenb($Z446),5,IF(lenb(SUBSTITUTE($Z446,V$1&amp;" (6)",""))&lt;lenb($Z446),6,IF(lenb(SUBSTITUTE($Z446,V$1&amp;" (7)",""))&lt;lenb($Z446),1,IF(lenb(SUBSTITUTE($Z446,V$1&amp;" (8)",""))&lt;lenb($Z446),8,IF(lenb(SUBSTITUTE($Z446,V$1&amp;" (9)",""))&lt;lenb($Z446),9,IF(lenb(SUBSTITUTE($Z446,V$1&amp;" (10)",""))&lt;lenb($Z446),10,IF(lenb(SUBSTITUTE($Z446,V$1,""))&lt;lenb($Z446),"ERROR",IF($Z446=$Y$1,"-",0))))))))))))</f>
        <v>2</v>
      </c>
      <c r="W446" s="32">
        <f t="shared" si="451"/>
        <v>0</v>
      </c>
      <c r="X446" s="32">
        <f t="shared" si="451"/>
        <v>0</v>
      </c>
      <c r="Y446" s="32" t="str">
        <f t="shared" si="3"/>
        <v>-</v>
      </c>
      <c r="Z446" s="32" t="s">
        <v>57</v>
      </c>
      <c r="AA446" s="33">
        <f t="shared" si="4"/>
        <v>2</v>
      </c>
      <c r="AB446" s="34">
        <f>COUNTIFS(Links!B:B,"ICSE",Links!C:C,A446,Links!AD:AD,1)</f>
        <v>0</v>
      </c>
      <c r="AC446" s="35" t="s">
        <v>35</v>
      </c>
      <c r="AD446" s="27" t="str">
        <f t="shared" si="5"/>
        <v>No</v>
      </c>
      <c r="AE446" s="36" t="s">
        <v>36</v>
      </c>
      <c r="AF446" s="37" t="s">
        <v>42</v>
      </c>
      <c r="AG446" s="37" t="s">
        <v>42</v>
      </c>
      <c r="AH446" s="37" t="s">
        <v>42</v>
      </c>
      <c r="AI446" s="29" t="str">
        <f t="shared" si="6"/>
        <v>----</v>
      </c>
      <c r="AJ446" s="38" t="str">
        <f t="shared" si="7"/>
        <v>Paper has link but no statement</v>
      </c>
      <c r="AK446" s="39">
        <v>45033.0</v>
      </c>
      <c r="AL446" s="23" t="s">
        <v>43</v>
      </c>
      <c r="AM446" s="40" t="str">
        <f t="shared" si="8"/>
        <v>[IP1251]</v>
      </c>
    </row>
    <row r="447" ht="67.5" customHeight="1">
      <c r="A447" s="41">
        <v>1252.0</v>
      </c>
      <c r="B447" s="42" t="s">
        <v>1187</v>
      </c>
      <c r="C447" s="43">
        <v>2018.0</v>
      </c>
      <c r="D447" s="44" t="s">
        <v>35</v>
      </c>
      <c r="E447" s="45" t="s">
        <v>36</v>
      </c>
      <c r="F447" s="45" t="s">
        <v>36</v>
      </c>
      <c r="G447" s="45" t="s">
        <v>36</v>
      </c>
      <c r="H447" s="45" t="s">
        <v>36</v>
      </c>
      <c r="I447" s="45" t="s">
        <v>36</v>
      </c>
      <c r="J447" s="46" t="s">
        <v>36</v>
      </c>
      <c r="K447" s="47" t="s">
        <v>37</v>
      </c>
      <c r="L447" s="48" t="s">
        <v>35</v>
      </c>
      <c r="M447" s="48" t="s">
        <v>35</v>
      </c>
      <c r="N447" s="48" t="s">
        <v>35</v>
      </c>
      <c r="O447" s="48" t="s">
        <v>35</v>
      </c>
      <c r="P447" s="48" t="s">
        <v>35</v>
      </c>
      <c r="Q447" s="48" t="s">
        <v>35</v>
      </c>
      <c r="R447" s="48" t="s">
        <v>37</v>
      </c>
      <c r="S447" s="49" t="s">
        <v>1188</v>
      </c>
      <c r="T447" s="50" t="s">
        <v>1189</v>
      </c>
      <c r="U447" s="51" t="s">
        <v>1189</v>
      </c>
      <c r="V447" s="52">
        <f t="shared" ref="V447:X447" si="452">IF(lenb(SUBSTITUTE($Z447,V$1&amp;" (1)",""))&lt;lenb($Z447),1,IF(lenb(SUBSTITUTE($Z447,V$1&amp;" (2)",""))&lt;lenb($Z447),2,IF(lenb(SUBSTITUTE($Z447,V$1&amp;" (3)",""))&lt;lenb($Z447),3,IF(lenb(SUBSTITUTE($Z447,V$1&amp;" (4)",""))&lt;lenb($Z447),4,IF(lenb(SUBSTITUTE($Z447,V$1&amp;" (5)",""))&lt;lenb($Z447),5,IF(lenb(SUBSTITUTE($Z447,V$1&amp;" (6)",""))&lt;lenb($Z447),6,IF(lenb(SUBSTITUTE($Z447,V$1&amp;" (7)",""))&lt;lenb($Z447),1,IF(lenb(SUBSTITUTE($Z447,V$1&amp;" (8)",""))&lt;lenb($Z447),8,IF(lenb(SUBSTITUTE($Z447,V$1&amp;" (9)",""))&lt;lenb($Z447),9,IF(lenb(SUBSTITUTE($Z447,V$1&amp;" (10)",""))&lt;lenb($Z447),10,IF(lenb(SUBSTITUTE($Z447,V$1,""))&lt;lenb($Z447),"ERROR",IF($Z447=$Y$1,"-",0))))))))))))</f>
        <v>1</v>
      </c>
      <c r="W447" s="52">
        <f t="shared" si="452"/>
        <v>0</v>
      </c>
      <c r="X447" s="52">
        <f t="shared" si="452"/>
        <v>0</v>
      </c>
      <c r="Y447" s="52" t="str">
        <f t="shared" si="3"/>
        <v>-</v>
      </c>
      <c r="Z447" s="52" t="s">
        <v>62</v>
      </c>
      <c r="AA447" s="53">
        <f t="shared" si="4"/>
        <v>1</v>
      </c>
      <c r="AB447" s="54">
        <f>COUNTIFS(Links!B:B,"ICSE",Links!C:C,A447,Links!AD:AD,1)</f>
        <v>1</v>
      </c>
      <c r="AC447" s="55" t="s">
        <v>35</v>
      </c>
      <c r="AD447" s="47" t="str">
        <f t="shared" si="5"/>
        <v>No</v>
      </c>
      <c r="AE447" s="56" t="s">
        <v>36</v>
      </c>
      <c r="AF447" s="57" t="s">
        <v>42</v>
      </c>
      <c r="AG447" s="57" t="s">
        <v>42</v>
      </c>
      <c r="AH447" s="57" t="s">
        <v>42</v>
      </c>
      <c r="AI447" s="49" t="str">
        <f t="shared" si="6"/>
        <v>----</v>
      </c>
      <c r="AJ447" s="58" t="str">
        <f t="shared" si="7"/>
        <v>Paper has link but no statement</v>
      </c>
      <c r="AK447" s="59">
        <v>45033.0</v>
      </c>
      <c r="AL447" s="43" t="s">
        <v>43</v>
      </c>
      <c r="AM447" s="60" t="str">
        <f t="shared" si="8"/>
        <v>[IP1252]</v>
      </c>
    </row>
    <row r="448" ht="67.5" customHeight="1">
      <c r="A448" s="61">
        <v>1254.0</v>
      </c>
      <c r="B448" s="22" t="s">
        <v>1190</v>
      </c>
      <c r="C448" s="23">
        <v>2018.0</v>
      </c>
      <c r="D448" s="24" t="s">
        <v>35</v>
      </c>
      <c r="E448" s="25" t="s">
        <v>36</v>
      </c>
      <c r="F448" s="25" t="s">
        <v>36</v>
      </c>
      <c r="G448" s="25" t="s">
        <v>36</v>
      </c>
      <c r="H448" s="25" t="s">
        <v>36</v>
      </c>
      <c r="I448" s="25" t="s">
        <v>36</v>
      </c>
      <c r="J448" s="26" t="s">
        <v>36</v>
      </c>
      <c r="K448" s="27" t="s">
        <v>37</v>
      </c>
      <c r="L448" s="28" t="s">
        <v>35</v>
      </c>
      <c r="M448" s="28" t="s">
        <v>37</v>
      </c>
      <c r="N448" s="28" t="s">
        <v>37</v>
      </c>
      <c r="O448" s="28" t="s">
        <v>35</v>
      </c>
      <c r="P448" s="28" t="s">
        <v>35</v>
      </c>
      <c r="Q448" s="28" t="s">
        <v>35</v>
      </c>
      <c r="R448" s="28" t="s">
        <v>35</v>
      </c>
      <c r="S448" s="29" t="s">
        <v>1191</v>
      </c>
      <c r="T448" s="30" t="s">
        <v>1192</v>
      </c>
      <c r="U448" s="31" t="s">
        <v>1192</v>
      </c>
      <c r="V448" s="32">
        <f t="shared" ref="V448:X448" si="453">IF(lenb(SUBSTITUTE($Z448,V$1&amp;" (1)",""))&lt;lenb($Z448),1,IF(lenb(SUBSTITUTE($Z448,V$1&amp;" (2)",""))&lt;lenb($Z448),2,IF(lenb(SUBSTITUTE($Z448,V$1&amp;" (3)",""))&lt;lenb($Z448),3,IF(lenb(SUBSTITUTE($Z448,V$1&amp;" (4)",""))&lt;lenb($Z448),4,IF(lenb(SUBSTITUTE($Z448,V$1&amp;" (5)",""))&lt;lenb($Z448),5,IF(lenb(SUBSTITUTE($Z448,V$1&amp;" (6)",""))&lt;lenb($Z448),6,IF(lenb(SUBSTITUTE($Z448,V$1&amp;" (7)",""))&lt;lenb($Z448),1,IF(lenb(SUBSTITUTE($Z448,V$1&amp;" (8)",""))&lt;lenb($Z448),8,IF(lenb(SUBSTITUTE($Z448,V$1&amp;" (9)",""))&lt;lenb($Z448),9,IF(lenb(SUBSTITUTE($Z448,V$1&amp;" (10)",""))&lt;lenb($Z448),10,IF(lenb(SUBSTITUTE($Z448,V$1,""))&lt;lenb($Z448),"ERROR",IF($Z448=$Y$1,"-",0))))))))))))</f>
        <v>1</v>
      </c>
      <c r="W448" s="32">
        <f t="shared" si="453"/>
        <v>0</v>
      </c>
      <c r="X448" s="32">
        <f t="shared" si="453"/>
        <v>0</v>
      </c>
      <c r="Y448" s="32" t="str">
        <f t="shared" si="3"/>
        <v>-</v>
      </c>
      <c r="Z448" s="32" t="s">
        <v>62</v>
      </c>
      <c r="AA448" s="33">
        <f t="shared" si="4"/>
        <v>1</v>
      </c>
      <c r="AB448" s="34">
        <f>COUNTIFS(Links!B:B,"ICSE",Links!C:C,A448,Links!AD:AD,1)</f>
        <v>1</v>
      </c>
      <c r="AC448" s="35" t="s">
        <v>35</v>
      </c>
      <c r="AD448" s="27" t="str">
        <f t="shared" si="5"/>
        <v>No</v>
      </c>
      <c r="AE448" s="36" t="s">
        <v>36</v>
      </c>
      <c r="AF448" s="37" t="s">
        <v>42</v>
      </c>
      <c r="AG448" s="37" t="s">
        <v>42</v>
      </c>
      <c r="AH448" s="37" t="s">
        <v>42</v>
      </c>
      <c r="AI448" s="29" t="str">
        <f t="shared" si="6"/>
        <v>----</v>
      </c>
      <c r="AJ448" s="38" t="str">
        <f t="shared" si="7"/>
        <v>Paper has link but no statement</v>
      </c>
      <c r="AK448" s="39">
        <v>45033.0</v>
      </c>
      <c r="AL448" s="23" t="s">
        <v>43</v>
      </c>
      <c r="AM448" s="40" t="str">
        <f t="shared" si="8"/>
        <v>[IP1254]</v>
      </c>
    </row>
    <row r="449" ht="67.5" customHeight="1">
      <c r="A449" s="41">
        <v>1255.0</v>
      </c>
      <c r="B449" s="42" t="s">
        <v>1193</v>
      </c>
      <c r="C449" s="43">
        <v>2018.0</v>
      </c>
      <c r="D449" s="44" t="s">
        <v>35</v>
      </c>
      <c r="E449" s="45" t="s">
        <v>36</v>
      </c>
      <c r="F449" s="45" t="s">
        <v>36</v>
      </c>
      <c r="G449" s="45" t="s">
        <v>36</v>
      </c>
      <c r="H449" s="45" t="s">
        <v>36</v>
      </c>
      <c r="I449" s="45" t="s">
        <v>36</v>
      </c>
      <c r="J449" s="46" t="s">
        <v>36</v>
      </c>
      <c r="K449" s="47" t="s">
        <v>37</v>
      </c>
      <c r="L449" s="48" t="s">
        <v>35</v>
      </c>
      <c r="M449" s="48" t="s">
        <v>37</v>
      </c>
      <c r="N449" s="48" t="s">
        <v>37</v>
      </c>
      <c r="O449" s="48" t="s">
        <v>37</v>
      </c>
      <c r="P449" s="48" t="s">
        <v>35</v>
      </c>
      <c r="Q449" s="48" t="s">
        <v>35</v>
      </c>
      <c r="R449" s="48" t="s">
        <v>37</v>
      </c>
      <c r="S449" s="49" t="s">
        <v>1194</v>
      </c>
      <c r="T449" s="50" t="s">
        <v>1195</v>
      </c>
      <c r="U449" s="51" t="s">
        <v>1196</v>
      </c>
      <c r="V449" s="52">
        <f t="shared" ref="V449:X449" si="454">IF(lenb(SUBSTITUTE($Z449,V$1&amp;" (1)",""))&lt;lenb($Z449),1,IF(lenb(SUBSTITUTE($Z449,V$1&amp;" (2)",""))&lt;lenb($Z449),2,IF(lenb(SUBSTITUTE($Z449,V$1&amp;" (3)",""))&lt;lenb($Z449),3,IF(lenb(SUBSTITUTE($Z449,V$1&amp;" (4)",""))&lt;lenb($Z449),4,IF(lenb(SUBSTITUTE($Z449,V$1&amp;" (5)",""))&lt;lenb($Z449),5,IF(lenb(SUBSTITUTE($Z449,V$1&amp;" (6)",""))&lt;lenb($Z449),6,IF(lenb(SUBSTITUTE($Z449,V$1&amp;" (7)",""))&lt;lenb($Z449),1,IF(lenb(SUBSTITUTE($Z449,V$1&amp;" (8)",""))&lt;lenb($Z449),8,IF(lenb(SUBSTITUTE($Z449,V$1&amp;" (9)",""))&lt;lenb($Z449),9,IF(lenb(SUBSTITUTE($Z449,V$1&amp;" (10)",""))&lt;lenb($Z449),10,IF(lenb(SUBSTITUTE($Z449,V$1,""))&lt;lenb($Z449),"ERROR",IF($Z449=$Y$1,"-",0))))))))))))</f>
        <v>1</v>
      </c>
      <c r="W449" s="52">
        <f t="shared" si="454"/>
        <v>0</v>
      </c>
      <c r="X449" s="52">
        <f t="shared" si="454"/>
        <v>0</v>
      </c>
      <c r="Y449" s="52" t="str">
        <f t="shared" si="3"/>
        <v>-</v>
      </c>
      <c r="Z449" s="52" t="s">
        <v>62</v>
      </c>
      <c r="AA449" s="53">
        <f t="shared" si="4"/>
        <v>1</v>
      </c>
      <c r="AB449" s="54">
        <f>COUNTIFS(Links!B:B,"ICSE",Links!C:C,A449,Links!AD:AD,1)</f>
        <v>0</v>
      </c>
      <c r="AC449" s="55" t="s">
        <v>35</v>
      </c>
      <c r="AD449" s="47" t="str">
        <f t="shared" si="5"/>
        <v>No</v>
      </c>
      <c r="AE449" s="56" t="s">
        <v>36</v>
      </c>
      <c r="AF449" s="57" t="s">
        <v>42</v>
      </c>
      <c r="AG449" s="57" t="s">
        <v>42</v>
      </c>
      <c r="AH449" s="57" t="s">
        <v>42</v>
      </c>
      <c r="AI449" s="49" t="str">
        <f t="shared" si="6"/>
        <v>----</v>
      </c>
      <c r="AJ449" s="58" t="str">
        <f t="shared" si="7"/>
        <v>Paper has link but no statement</v>
      </c>
      <c r="AK449" s="59">
        <v>45033.0</v>
      </c>
      <c r="AL449" s="43" t="s">
        <v>43</v>
      </c>
      <c r="AM449" s="60" t="str">
        <f t="shared" si="8"/>
        <v>[IP1255]</v>
      </c>
    </row>
    <row r="450" ht="67.5" customHeight="1">
      <c r="A450" s="61">
        <v>1256.0</v>
      </c>
      <c r="B450" s="22" t="s">
        <v>1197</v>
      </c>
      <c r="C450" s="23">
        <v>2018.0</v>
      </c>
      <c r="D450" s="24" t="s">
        <v>35</v>
      </c>
      <c r="E450" s="25" t="s">
        <v>36</v>
      </c>
      <c r="F450" s="25" t="s">
        <v>36</v>
      </c>
      <c r="G450" s="25" t="s">
        <v>36</v>
      </c>
      <c r="H450" s="25" t="s">
        <v>36</v>
      </c>
      <c r="I450" s="25" t="s">
        <v>36</v>
      </c>
      <c r="J450" s="26" t="s">
        <v>36</v>
      </c>
      <c r="K450" s="27" t="s">
        <v>37</v>
      </c>
      <c r="L450" s="28" t="s">
        <v>37</v>
      </c>
      <c r="M450" s="28" t="s">
        <v>37</v>
      </c>
      <c r="N450" s="28" t="s">
        <v>37</v>
      </c>
      <c r="O450" s="28" t="s">
        <v>35</v>
      </c>
      <c r="P450" s="28" t="s">
        <v>35</v>
      </c>
      <c r="Q450" s="28" t="s">
        <v>35</v>
      </c>
      <c r="R450" s="28" t="s">
        <v>37</v>
      </c>
      <c r="S450" s="29" t="s">
        <v>1198</v>
      </c>
      <c r="T450" s="30" t="s">
        <v>1199</v>
      </c>
      <c r="U450" s="31" t="s">
        <v>1200</v>
      </c>
      <c r="V450" s="32">
        <f t="shared" ref="V450:X450" si="455">IF(lenb(SUBSTITUTE($Z450,V$1&amp;" (1)",""))&lt;lenb($Z450),1,IF(lenb(SUBSTITUTE($Z450,V$1&amp;" (2)",""))&lt;lenb($Z450),2,IF(lenb(SUBSTITUTE($Z450,V$1&amp;" (3)",""))&lt;lenb($Z450),3,IF(lenb(SUBSTITUTE($Z450,V$1&amp;" (4)",""))&lt;lenb($Z450),4,IF(lenb(SUBSTITUTE($Z450,V$1&amp;" (5)",""))&lt;lenb($Z450),5,IF(lenb(SUBSTITUTE($Z450,V$1&amp;" (6)",""))&lt;lenb($Z450),6,IF(lenb(SUBSTITUTE($Z450,V$1&amp;" (7)",""))&lt;lenb($Z450),1,IF(lenb(SUBSTITUTE($Z450,V$1&amp;" (8)",""))&lt;lenb($Z450),8,IF(lenb(SUBSTITUTE($Z450,V$1&amp;" (9)",""))&lt;lenb($Z450),9,IF(lenb(SUBSTITUTE($Z450,V$1&amp;" (10)",""))&lt;lenb($Z450),10,IF(lenb(SUBSTITUTE($Z450,V$1,""))&lt;lenb($Z450),"ERROR",IF($Z450=$Y$1,"-",0))))))))))))</f>
        <v>2</v>
      </c>
      <c r="W450" s="32">
        <f t="shared" si="455"/>
        <v>0</v>
      </c>
      <c r="X450" s="32">
        <f t="shared" si="455"/>
        <v>0</v>
      </c>
      <c r="Y450" s="32" t="str">
        <f t="shared" si="3"/>
        <v>-</v>
      </c>
      <c r="Z450" s="32" t="s">
        <v>57</v>
      </c>
      <c r="AA450" s="33">
        <f t="shared" si="4"/>
        <v>2</v>
      </c>
      <c r="AB450" s="34">
        <f>COUNTIFS(Links!B:B,"ICSE",Links!C:C,A450,Links!AD:AD,1)</f>
        <v>0</v>
      </c>
      <c r="AC450" s="35" t="s">
        <v>37</v>
      </c>
      <c r="AD450" s="27" t="str">
        <f t="shared" si="5"/>
        <v>No</v>
      </c>
      <c r="AE450" s="36" t="s">
        <v>36</v>
      </c>
      <c r="AF450" s="37" t="s">
        <v>42</v>
      </c>
      <c r="AG450" s="37" t="s">
        <v>42</v>
      </c>
      <c r="AH450" s="37" t="s">
        <v>42</v>
      </c>
      <c r="AI450" s="29" t="str">
        <f t="shared" si="6"/>
        <v>----</v>
      </c>
      <c r="AJ450" s="38" t="str">
        <f t="shared" si="7"/>
        <v>Paper has link but no statement</v>
      </c>
      <c r="AK450" s="39">
        <v>45033.0</v>
      </c>
      <c r="AL450" s="23" t="s">
        <v>43</v>
      </c>
      <c r="AM450" s="40" t="str">
        <f t="shared" si="8"/>
        <v>[IP1256]</v>
      </c>
    </row>
    <row r="451" ht="67.5" customHeight="1">
      <c r="A451" s="41">
        <v>1257.0</v>
      </c>
      <c r="B451" s="42" t="s">
        <v>1201</v>
      </c>
      <c r="C451" s="43">
        <v>2018.0</v>
      </c>
      <c r="D451" s="44" t="s">
        <v>35</v>
      </c>
      <c r="E451" s="45" t="s">
        <v>36</v>
      </c>
      <c r="F451" s="45" t="s">
        <v>36</v>
      </c>
      <c r="G451" s="45" t="s">
        <v>36</v>
      </c>
      <c r="H451" s="45" t="s">
        <v>36</v>
      </c>
      <c r="I451" s="45" t="s">
        <v>36</v>
      </c>
      <c r="J451" s="46" t="s">
        <v>36</v>
      </c>
      <c r="K451" s="47" t="s">
        <v>35</v>
      </c>
      <c r="L451" s="48" t="s">
        <v>36</v>
      </c>
      <c r="M451" s="48" t="s">
        <v>36</v>
      </c>
      <c r="N451" s="48" t="s">
        <v>36</v>
      </c>
      <c r="O451" s="48" t="s">
        <v>36</v>
      </c>
      <c r="P451" s="48" t="s">
        <v>36</v>
      </c>
      <c r="Q451" s="48" t="s">
        <v>36</v>
      </c>
      <c r="R451" s="48" t="s">
        <v>36</v>
      </c>
      <c r="S451" s="49" t="s">
        <v>36</v>
      </c>
      <c r="T451" s="50" t="s">
        <v>36</v>
      </c>
      <c r="U451" s="51" t="s">
        <v>36</v>
      </c>
      <c r="V451" s="52" t="str">
        <f t="shared" ref="V451:X451" si="456">IF(lenb(SUBSTITUTE($Z451,V$1&amp;" (1)",""))&lt;lenb($Z451),1,IF(lenb(SUBSTITUTE($Z451,V$1&amp;" (2)",""))&lt;lenb($Z451),2,IF(lenb(SUBSTITUTE($Z451,V$1&amp;" (3)",""))&lt;lenb($Z451),3,IF(lenb(SUBSTITUTE($Z451,V$1&amp;" (4)",""))&lt;lenb($Z451),4,IF(lenb(SUBSTITUTE($Z451,V$1&amp;" (5)",""))&lt;lenb($Z451),5,IF(lenb(SUBSTITUTE($Z451,V$1&amp;" (6)",""))&lt;lenb($Z451),6,IF(lenb(SUBSTITUTE($Z451,V$1&amp;" (7)",""))&lt;lenb($Z451),1,IF(lenb(SUBSTITUTE($Z451,V$1&amp;" (8)",""))&lt;lenb($Z451),8,IF(lenb(SUBSTITUTE($Z451,V$1&amp;" (9)",""))&lt;lenb($Z451),9,IF(lenb(SUBSTITUTE($Z451,V$1&amp;" (10)",""))&lt;lenb($Z451),10,IF(lenb(SUBSTITUTE($Z451,V$1,""))&lt;lenb($Z451),"ERROR",IF($Z451=$Y$1,"-",0))))))))))))</f>
        <v>-</v>
      </c>
      <c r="W451" s="52" t="str">
        <f t="shared" si="456"/>
        <v>-</v>
      </c>
      <c r="X451" s="52" t="str">
        <f t="shared" si="456"/>
        <v>-</v>
      </c>
      <c r="Y451" s="52">
        <f t="shared" si="3"/>
        <v>1</v>
      </c>
      <c r="Z451" s="52" t="s">
        <v>23</v>
      </c>
      <c r="AA451" s="53">
        <f t="shared" si="4"/>
        <v>0</v>
      </c>
      <c r="AB451" s="54">
        <f>COUNTIFS(Links!B:B,"ICSE",Links!C:C,A451,Links!AD:AD,1)</f>
        <v>0</v>
      </c>
      <c r="AC451" s="55" t="s">
        <v>36</v>
      </c>
      <c r="AD451" s="47" t="str">
        <f t="shared" si="5"/>
        <v>No</v>
      </c>
      <c r="AE451" s="56" t="s">
        <v>36</v>
      </c>
      <c r="AF451" s="57" t="s">
        <v>42</v>
      </c>
      <c r="AG451" s="57" t="s">
        <v>42</v>
      </c>
      <c r="AH451" s="57" t="s">
        <v>42</v>
      </c>
      <c r="AI451" s="49" t="str">
        <f t="shared" si="6"/>
        <v>----</v>
      </c>
      <c r="AJ451" s="58" t="str">
        <f t="shared" si="7"/>
        <v>Paper has no link and no statement</v>
      </c>
      <c r="AK451" s="59">
        <v>45033.0</v>
      </c>
      <c r="AL451" s="43" t="s">
        <v>43</v>
      </c>
      <c r="AM451" s="60" t="str">
        <f t="shared" si="8"/>
        <v>[IP1257]</v>
      </c>
    </row>
    <row r="452" ht="67.5" customHeight="1">
      <c r="A452" s="61">
        <v>1258.0</v>
      </c>
      <c r="B452" s="22" t="s">
        <v>1202</v>
      </c>
      <c r="C452" s="23">
        <v>2018.0</v>
      </c>
      <c r="D452" s="24" t="s">
        <v>37</v>
      </c>
      <c r="E452" s="25" t="s">
        <v>37</v>
      </c>
      <c r="F452" s="25" t="s">
        <v>35</v>
      </c>
      <c r="G452" s="25" t="s">
        <v>35</v>
      </c>
      <c r="H452" s="25" t="s">
        <v>35</v>
      </c>
      <c r="I452" s="25" t="s">
        <v>35</v>
      </c>
      <c r="J452" s="26" t="s">
        <v>36</v>
      </c>
      <c r="K452" s="27" t="s">
        <v>37</v>
      </c>
      <c r="L452" s="28" t="s">
        <v>37</v>
      </c>
      <c r="M452" s="28" t="s">
        <v>37</v>
      </c>
      <c r="N452" s="28" t="s">
        <v>35</v>
      </c>
      <c r="O452" s="28" t="s">
        <v>35</v>
      </c>
      <c r="P452" s="28" t="s">
        <v>37</v>
      </c>
      <c r="Q452" s="28" t="s">
        <v>35</v>
      </c>
      <c r="R452" s="28" t="s">
        <v>37</v>
      </c>
      <c r="S452" s="29" t="s">
        <v>1203</v>
      </c>
      <c r="T452" s="30" t="s">
        <v>1204</v>
      </c>
      <c r="U452" s="31" t="s">
        <v>1204</v>
      </c>
      <c r="V452" s="32">
        <f t="shared" ref="V452:X452" si="457">IF(lenb(SUBSTITUTE($Z452,V$1&amp;" (1)",""))&lt;lenb($Z452),1,IF(lenb(SUBSTITUTE($Z452,V$1&amp;" (2)",""))&lt;lenb($Z452),2,IF(lenb(SUBSTITUTE($Z452,V$1&amp;" (3)",""))&lt;lenb($Z452),3,IF(lenb(SUBSTITUTE($Z452,V$1&amp;" (4)",""))&lt;lenb($Z452),4,IF(lenb(SUBSTITUTE($Z452,V$1&amp;" (5)",""))&lt;lenb($Z452),5,IF(lenb(SUBSTITUTE($Z452,V$1&amp;" (6)",""))&lt;lenb($Z452),6,IF(lenb(SUBSTITUTE($Z452,V$1&amp;" (7)",""))&lt;lenb($Z452),1,IF(lenb(SUBSTITUTE($Z452,V$1&amp;" (8)",""))&lt;lenb($Z452),8,IF(lenb(SUBSTITUTE($Z452,V$1&amp;" (9)",""))&lt;lenb($Z452),9,IF(lenb(SUBSTITUTE($Z452,V$1&amp;" (10)",""))&lt;lenb($Z452),10,IF(lenb(SUBSTITUTE($Z452,V$1,""))&lt;lenb($Z452),"ERROR",IF($Z452=$Y$1,"-",0))))))))))))</f>
        <v>2</v>
      </c>
      <c r="W452" s="32">
        <f t="shared" si="457"/>
        <v>0</v>
      </c>
      <c r="X452" s="32">
        <f t="shared" si="457"/>
        <v>0</v>
      </c>
      <c r="Y452" s="32" t="str">
        <f t="shared" si="3"/>
        <v>-</v>
      </c>
      <c r="Z452" s="32" t="s">
        <v>57</v>
      </c>
      <c r="AA452" s="33">
        <f t="shared" si="4"/>
        <v>2</v>
      </c>
      <c r="AB452" s="34">
        <f>COUNTIFS(Links!B:B,"ICSE",Links!C:C,A452,Links!AD:AD,1)</f>
        <v>0</v>
      </c>
      <c r="AC452" s="35" t="s">
        <v>37</v>
      </c>
      <c r="AD452" s="27" t="str">
        <f t="shared" si="5"/>
        <v>No</v>
      </c>
      <c r="AE452" s="36" t="s">
        <v>36</v>
      </c>
      <c r="AF452" s="37" t="s">
        <v>42</v>
      </c>
      <c r="AG452" s="37" t="s">
        <v>42</v>
      </c>
      <c r="AH452" s="37" t="s">
        <v>42</v>
      </c>
      <c r="AI452" s="29" t="str">
        <f t="shared" si="6"/>
        <v>----</v>
      </c>
      <c r="AJ452" s="38" t="str">
        <f t="shared" si="7"/>
        <v>Paper has link but no statement</v>
      </c>
      <c r="AK452" s="39">
        <v>45033.0</v>
      </c>
      <c r="AL452" s="23" t="s">
        <v>43</v>
      </c>
      <c r="AM452" s="40" t="str">
        <f t="shared" si="8"/>
        <v>[IP1258]</v>
      </c>
    </row>
    <row r="453" ht="67.5" customHeight="1">
      <c r="A453" s="41">
        <v>1260.0</v>
      </c>
      <c r="B453" s="42" t="s">
        <v>1205</v>
      </c>
      <c r="C453" s="43">
        <v>2018.0</v>
      </c>
      <c r="D453" s="44" t="s">
        <v>35</v>
      </c>
      <c r="E453" s="45" t="s">
        <v>36</v>
      </c>
      <c r="F453" s="45" t="s">
        <v>36</v>
      </c>
      <c r="G453" s="45" t="s">
        <v>36</v>
      </c>
      <c r="H453" s="45" t="s">
        <v>36</v>
      </c>
      <c r="I453" s="45" t="s">
        <v>36</v>
      </c>
      <c r="J453" s="46" t="s">
        <v>36</v>
      </c>
      <c r="K453" s="47" t="s">
        <v>37</v>
      </c>
      <c r="L453" s="48" t="s">
        <v>35</v>
      </c>
      <c r="M453" s="48" t="s">
        <v>35</v>
      </c>
      <c r="N453" s="48" t="s">
        <v>35</v>
      </c>
      <c r="O453" s="48" t="s">
        <v>35</v>
      </c>
      <c r="P453" s="48" t="s">
        <v>35</v>
      </c>
      <c r="Q453" s="48" t="s">
        <v>35</v>
      </c>
      <c r="R453" s="48" t="s">
        <v>37</v>
      </c>
      <c r="S453" s="49" t="s">
        <v>1206</v>
      </c>
      <c r="T453" s="51" t="s">
        <v>1207</v>
      </c>
      <c r="U453" s="51" t="s">
        <v>1208</v>
      </c>
      <c r="V453" s="52">
        <f t="shared" ref="V453:X453" si="458">IF(lenb(SUBSTITUTE($Z453,V$1&amp;" (1)",""))&lt;lenb($Z453),1,IF(lenb(SUBSTITUTE($Z453,V$1&amp;" (2)",""))&lt;lenb($Z453),2,IF(lenb(SUBSTITUTE($Z453,V$1&amp;" (3)",""))&lt;lenb($Z453),3,IF(lenb(SUBSTITUTE($Z453,V$1&amp;" (4)",""))&lt;lenb($Z453),4,IF(lenb(SUBSTITUTE($Z453,V$1&amp;" (5)",""))&lt;lenb($Z453),5,IF(lenb(SUBSTITUTE($Z453,V$1&amp;" (6)",""))&lt;lenb($Z453),6,IF(lenb(SUBSTITUTE($Z453,V$1&amp;" (7)",""))&lt;lenb($Z453),1,IF(lenb(SUBSTITUTE($Z453,V$1&amp;" (8)",""))&lt;lenb($Z453),8,IF(lenb(SUBSTITUTE($Z453,V$1&amp;" (9)",""))&lt;lenb($Z453),9,IF(lenb(SUBSTITUTE($Z453,V$1&amp;" (10)",""))&lt;lenb($Z453),10,IF(lenb(SUBSTITUTE($Z453,V$1,""))&lt;lenb($Z453),"ERROR",IF($Z453=$Y$1,"-",0))))))))))))</f>
        <v>4</v>
      </c>
      <c r="W453" s="52">
        <f t="shared" si="458"/>
        <v>0</v>
      </c>
      <c r="X453" s="52">
        <f t="shared" si="458"/>
        <v>1</v>
      </c>
      <c r="Y453" s="52" t="str">
        <f t="shared" si="3"/>
        <v>-</v>
      </c>
      <c r="Z453" s="52" t="s">
        <v>1209</v>
      </c>
      <c r="AA453" s="53">
        <f t="shared" si="4"/>
        <v>5</v>
      </c>
      <c r="AB453" s="54">
        <f>COUNTIFS(Links!B:B,"ICSE",Links!C:C,A453,Links!AD:AD,1)</f>
        <v>0</v>
      </c>
      <c r="AC453" s="55" t="s">
        <v>35</v>
      </c>
      <c r="AD453" s="47" t="str">
        <f t="shared" si="5"/>
        <v>No</v>
      </c>
      <c r="AE453" s="56" t="s">
        <v>36</v>
      </c>
      <c r="AF453" s="57" t="s">
        <v>42</v>
      </c>
      <c r="AG453" s="57" t="s">
        <v>42</v>
      </c>
      <c r="AH453" s="57" t="s">
        <v>42</v>
      </c>
      <c r="AI453" s="49" t="str">
        <f t="shared" si="6"/>
        <v>----</v>
      </c>
      <c r="AJ453" s="58" t="str">
        <f t="shared" si="7"/>
        <v>Paper has link but no statement</v>
      </c>
      <c r="AK453" s="59">
        <v>45033.0</v>
      </c>
      <c r="AL453" s="43" t="s">
        <v>43</v>
      </c>
      <c r="AM453" s="60" t="str">
        <f t="shared" si="8"/>
        <v>[IP1260]</v>
      </c>
    </row>
    <row r="454" ht="67.5" customHeight="1">
      <c r="A454" s="61">
        <v>1261.0</v>
      </c>
      <c r="B454" s="22" t="s">
        <v>1210</v>
      </c>
      <c r="C454" s="23">
        <v>2018.0</v>
      </c>
      <c r="D454" s="24" t="s">
        <v>35</v>
      </c>
      <c r="E454" s="25" t="s">
        <v>36</v>
      </c>
      <c r="F454" s="25" t="s">
        <v>36</v>
      </c>
      <c r="G454" s="25" t="s">
        <v>36</v>
      </c>
      <c r="H454" s="25" t="s">
        <v>36</v>
      </c>
      <c r="I454" s="25" t="s">
        <v>36</v>
      </c>
      <c r="J454" s="26" t="s">
        <v>36</v>
      </c>
      <c r="K454" s="27" t="s">
        <v>35</v>
      </c>
      <c r="L454" s="28" t="s">
        <v>36</v>
      </c>
      <c r="M454" s="28" t="s">
        <v>36</v>
      </c>
      <c r="N454" s="28" t="s">
        <v>36</v>
      </c>
      <c r="O454" s="28" t="s">
        <v>36</v>
      </c>
      <c r="P454" s="28" t="s">
        <v>36</v>
      </c>
      <c r="Q454" s="28" t="s">
        <v>36</v>
      </c>
      <c r="R454" s="28" t="s">
        <v>36</v>
      </c>
      <c r="S454" s="29" t="s">
        <v>36</v>
      </c>
      <c r="T454" s="30" t="s">
        <v>36</v>
      </c>
      <c r="U454" s="31" t="s">
        <v>36</v>
      </c>
      <c r="V454" s="32" t="str">
        <f t="shared" ref="V454:X454" si="459">IF(lenb(SUBSTITUTE($Z454,V$1&amp;" (1)",""))&lt;lenb($Z454),1,IF(lenb(SUBSTITUTE($Z454,V$1&amp;" (2)",""))&lt;lenb($Z454),2,IF(lenb(SUBSTITUTE($Z454,V$1&amp;" (3)",""))&lt;lenb($Z454),3,IF(lenb(SUBSTITUTE($Z454,V$1&amp;" (4)",""))&lt;lenb($Z454),4,IF(lenb(SUBSTITUTE($Z454,V$1&amp;" (5)",""))&lt;lenb($Z454),5,IF(lenb(SUBSTITUTE($Z454,V$1&amp;" (6)",""))&lt;lenb($Z454),6,IF(lenb(SUBSTITUTE($Z454,V$1&amp;" (7)",""))&lt;lenb($Z454),1,IF(lenb(SUBSTITUTE($Z454,V$1&amp;" (8)",""))&lt;lenb($Z454),8,IF(lenb(SUBSTITUTE($Z454,V$1&amp;" (9)",""))&lt;lenb($Z454),9,IF(lenb(SUBSTITUTE($Z454,V$1&amp;" (10)",""))&lt;lenb($Z454),10,IF(lenb(SUBSTITUTE($Z454,V$1,""))&lt;lenb($Z454),"ERROR",IF($Z454=$Y$1,"-",0))))))))))))</f>
        <v>-</v>
      </c>
      <c r="W454" s="32" t="str">
        <f t="shared" si="459"/>
        <v>-</v>
      </c>
      <c r="X454" s="32" t="str">
        <f t="shared" si="459"/>
        <v>-</v>
      </c>
      <c r="Y454" s="32">
        <f t="shared" si="3"/>
        <v>1</v>
      </c>
      <c r="Z454" s="32" t="s">
        <v>23</v>
      </c>
      <c r="AA454" s="33">
        <f t="shared" si="4"/>
        <v>0</v>
      </c>
      <c r="AB454" s="34">
        <f>COUNTIFS(Links!B:B,"ICSE",Links!C:C,A454,Links!AD:AD,1)</f>
        <v>0</v>
      </c>
      <c r="AC454" s="35" t="s">
        <v>36</v>
      </c>
      <c r="AD454" s="27" t="str">
        <f t="shared" si="5"/>
        <v>Yes</v>
      </c>
      <c r="AE454" s="36" t="s">
        <v>1211</v>
      </c>
      <c r="AF454" s="36" t="s">
        <v>822</v>
      </c>
      <c r="AG454" s="37" t="s">
        <v>42</v>
      </c>
      <c r="AH454" s="37" t="s">
        <v>42</v>
      </c>
      <c r="AI454" s="29" t="str">
        <f t="shared" si="6"/>
        <v>Limited access (Request required)</v>
      </c>
      <c r="AJ454" s="38" t="str">
        <f t="shared" si="7"/>
        <v>Paper has no link but has statement</v>
      </c>
      <c r="AK454" s="39">
        <v>45033.0</v>
      </c>
      <c r="AL454" s="23" t="s">
        <v>43</v>
      </c>
      <c r="AM454" s="40" t="str">
        <f t="shared" si="8"/>
        <v>[IP1261]</v>
      </c>
    </row>
    <row r="455" ht="67.5" customHeight="1">
      <c r="A455" s="41">
        <v>1263.0</v>
      </c>
      <c r="B455" s="42" t="s">
        <v>1212</v>
      </c>
      <c r="C455" s="43">
        <v>2018.0</v>
      </c>
      <c r="D455" s="44" t="s">
        <v>35</v>
      </c>
      <c r="E455" s="45" t="s">
        <v>36</v>
      </c>
      <c r="F455" s="45" t="s">
        <v>36</v>
      </c>
      <c r="G455" s="45" t="s">
        <v>36</v>
      </c>
      <c r="H455" s="45" t="s">
        <v>36</v>
      </c>
      <c r="I455" s="45" t="s">
        <v>36</v>
      </c>
      <c r="J455" s="46" t="s">
        <v>36</v>
      </c>
      <c r="K455" s="47" t="s">
        <v>37</v>
      </c>
      <c r="L455" s="48" t="s">
        <v>35</v>
      </c>
      <c r="M455" s="48" t="s">
        <v>37</v>
      </c>
      <c r="N455" s="48" t="s">
        <v>37</v>
      </c>
      <c r="O455" s="48" t="s">
        <v>35</v>
      </c>
      <c r="P455" s="48" t="s">
        <v>37</v>
      </c>
      <c r="Q455" s="48" t="s">
        <v>35</v>
      </c>
      <c r="R455" s="48" t="s">
        <v>37</v>
      </c>
      <c r="S455" s="49" t="s">
        <v>1213</v>
      </c>
      <c r="T455" s="50" t="s">
        <v>1214</v>
      </c>
      <c r="U455" s="51" t="s">
        <v>1215</v>
      </c>
      <c r="V455" s="52">
        <f t="shared" ref="V455:X455" si="460">IF(lenb(SUBSTITUTE($Z455,V$1&amp;" (1)",""))&lt;lenb($Z455),1,IF(lenb(SUBSTITUTE($Z455,V$1&amp;" (2)",""))&lt;lenb($Z455),2,IF(lenb(SUBSTITUTE($Z455,V$1&amp;" (3)",""))&lt;lenb($Z455),3,IF(lenb(SUBSTITUTE($Z455,V$1&amp;" (4)",""))&lt;lenb($Z455),4,IF(lenb(SUBSTITUTE($Z455,V$1&amp;" (5)",""))&lt;lenb($Z455),5,IF(lenb(SUBSTITUTE($Z455,V$1&amp;" (6)",""))&lt;lenb($Z455),6,IF(lenb(SUBSTITUTE($Z455,V$1&amp;" (7)",""))&lt;lenb($Z455),1,IF(lenb(SUBSTITUTE($Z455,V$1&amp;" (8)",""))&lt;lenb($Z455),8,IF(lenb(SUBSTITUTE($Z455,V$1&amp;" (9)",""))&lt;lenb($Z455),9,IF(lenb(SUBSTITUTE($Z455,V$1&amp;" (10)",""))&lt;lenb($Z455),10,IF(lenb(SUBSTITUTE($Z455,V$1,""))&lt;lenb($Z455),"ERROR",IF($Z455=$Y$1,"-",0))))))))))))</f>
        <v>2</v>
      </c>
      <c r="W455" s="52">
        <f t="shared" si="460"/>
        <v>0</v>
      </c>
      <c r="X455" s="52">
        <f t="shared" si="460"/>
        <v>0</v>
      </c>
      <c r="Y455" s="52" t="str">
        <f t="shared" si="3"/>
        <v>-</v>
      </c>
      <c r="Z455" s="52" t="s">
        <v>57</v>
      </c>
      <c r="AA455" s="53">
        <f t="shared" si="4"/>
        <v>2</v>
      </c>
      <c r="AB455" s="54">
        <f>COUNTIFS(Links!B:B,"ICSE",Links!C:C,A455,Links!AD:AD,1)</f>
        <v>0</v>
      </c>
      <c r="AC455" s="55" t="s">
        <v>37</v>
      </c>
      <c r="AD455" s="47" t="str">
        <f t="shared" si="5"/>
        <v>No</v>
      </c>
      <c r="AE455" s="56" t="s">
        <v>36</v>
      </c>
      <c r="AF455" s="57" t="s">
        <v>42</v>
      </c>
      <c r="AG455" s="57" t="s">
        <v>42</v>
      </c>
      <c r="AH455" s="57" t="s">
        <v>42</v>
      </c>
      <c r="AI455" s="49" t="str">
        <f t="shared" si="6"/>
        <v>----</v>
      </c>
      <c r="AJ455" s="58" t="str">
        <f t="shared" si="7"/>
        <v>Paper has link but no statement</v>
      </c>
      <c r="AK455" s="59">
        <v>45033.0</v>
      </c>
      <c r="AL455" s="43" t="s">
        <v>43</v>
      </c>
      <c r="AM455" s="60" t="str">
        <f t="shared" si="8"/>
        <v>[IP1263]</v>
      </c>
    </row>
    <row r="456" ht="67.5" customHeight="1">
      <c r="A456" s="61">
        <v>1264.0</v>
      </c>
      <c r="B456" s="22" t="s">
        <v>1216</v>
      </c>
      <c r="C456" s="23">
        <v>2018.0</v>
      </c>
      <c r="D456" s="24" t="s">
        <v>35</v>
      </c>
      <c r="E456" s="25" t="s">
        <v>36</v>
      </c>
      <c r="F456" s="25" t="s">
        <v>36</v>
      </c>
      <c r="G456" s="25" t="s">
        <v>36</v>
      </c>
      <c r="H456" s="25" t="s">
        <v>36</v>
      </c>
      <c r="I456" s="25" t="s">
        <v>36</v>
      </c>
      <c r="J456" s="26" t="s">
        <v>36</v>
      </c>
      <c r="K456" s="27" t="s">
        <v>37</v>
      </c>
      <c r="L456" s="28" t="s">
        <v>35</v>
      </c>
      <c r="M456" s="28" t="s">
        <v>37</v>
      </c>
      <c r="N456" s="28" t="s">
        <v>37</v>
      </c>
      <c r="O456" s="28" t="s">
        <v>35</v>
      </c>
      <c r="P456" s="28" t="s">
        <v>35</v>
      </c>
      <c r="Q456" s="28" t="s">
        <v>35</v>
      </c>
      <c r="R456" s="28" t="s">
        <v>37</v>
      </c>
      <c r="S456" s="29" t="s">
        <v>1217</v>
      </c>
      <c r="T456" s="30" t="s">
        <v>1218</v>
      </c>
      <c r="U456" s="31" t="s">
        <v>1218</v>
      </c>
      <c r="V456" s="32">
        <f t="shared" ref="V456:X456" si="461">IF(lenb(SUBSTITUTE($Z456,V$1&amp;" (1)",""))&lt;lenb($Z456),1,IF(lenb(SUBSTITUTE($Z456,V$1&amp;" (2)",""))&lt;lenb($Z456),2,IF(lenb(SUBSTITUTE($Z456,V$1&amp;" (3)",""))&lt;lenb($Z456),3,IF(lenb(SUBSTITUTE($Z456,V$1&amp;" (4)",""))&lt;lenb($Z456),4,IF(lenb(SUBSTITUTE($Z456,V$1&amp;" (5)",""))&lt;lenb($Z456),5,IF(lenb(SUBSTITUTE($Z456,V$1&amp;" (6)",""))&lt;lenb($Z456),6,IF(lenb(SUBSTITUTE($Z456,V$1&amp;" (7)",""))&lt;lenb($Z456),1,IF(lenb(SUBSTITUTE($Z456,V$1&amp;" (8)",""))&lt;lenb($Z456),8,IF(lenb(SUBSTITUTE($Z456,V$1&amp;" (9)",""))&lt;lenb($Z456),9,IF(lenb(SUBSTITUTE($Z456,V$1&amp;" (10)",""))&lt;lenb($Z456),10,IF(lenb(SUBSTITUTE($Z456,V$1,""))&lt;lenb($Z456),"ERROR",IF($Z456=$Y$1,"-",0))))))))))))</f>
        <v>1</v>
      </c>
      <c r="W456" s="32">
        <f t="shared" si="461"/>
        <v>0</v>
      </c>
      <c r="X456" s="32">
        <f t="shared" si="461"/>
        <v>0</v>
      </c>
      <c r="Y456" s="32" t="str">
        <f t="shared" si="3"/>
        <v>-</v>
      </c>
      <c r="Z456" s="32" t="s">
        <v>62</v>
      </c>
      <c r="AA456" s="33">
        <f t="shared" si="4"/>
        <v>1</v>
      </c>
      <c r="AB456" s="34">
        <f>COUNTIFS(Links!B:B,"ICSE",Links!C:C,A456,Links!AD:AD,1)</f>
        <v>0</v>
      </c>
      <c r="AC456" s="35" t="s">
        <v>35</v>
      </c>
      <c r="AD456" s="27" t="str">
        <f t="shared" si="5"/>
        <v>No</v>
      </c>
      <c r="AE456" s="36" t="s">
        <v>36</v>
      </c>
      <c r="AF456" s="37" t="s">
        <v>42</v>
      </c>
      <c r="AG456" s="37" t="s">
        <v>42</v>
      </c>
      <c r="AH456" s="37" t="s">
        <v>42</v>
      </c>
      <c r="AI456" s="29" t="str">
        <f t="shared" si="6"/>
        <v>----</v>
      </c>
      <c r="AJ456" s="38" t="str">
        <f t="shared" si="7"/>
        <v>Paper has link but no statement</v>
      </c>
      <c r="AK456" s="39">
        <v>45033.0</v>
      </c>
      <c r="AL456" s="23" t="s">
        <v>43</v>
      </c>
      <c r="AM456" s="40" t="str">
        <f t="shared" si="8"/>
        <v>[IP1264]</v>
      </c>
    </row>
    <row r="457" ht="67.5" customHeight="1">
      <c r="A457" s="41">
        <v>1266.0</v>
      </c>
      <c r="B457" s="42" t="s">
        <v>1219</v>
      </c>
      <c r="C457" s="43">
        <v>2018.0</v>
      </c>
      <c r="D457" s="44" t="s">
        <v>35</v>
      </c>
      <c r="E457" s="45" t="s">
        <v>36</v>
      </c>
      <c r="F457" s="45" t="s">
        <v>36</v>
      </c>
      <c r="G457" s="45" t="s">
        <v>36</v>
      </c>
      <c r="H457" s="45" t="s">
        <v>36</v>
      </c>
      <c r="I457" s="45" t="s">
        <v>36</v>
      </c>
      <c r="J457" s="46" t="s">
        <v>36</v>
      </c>
      <c r="K457" s="47" t="s">
        <v>37</v>
      </c>
      <c r="L457" s="48" t="s">
        <v>37</v>
      </c>
      <c r="M457" s="48" t="s">
        <v>35</v>
      </c>
      <c r="N457" s="48" t="s">
        <v>37</v>
      </c>
      <c r="O457" s="48" t="s">
        <v>35</v>
      </c>
      <c r="P457" s="48" t="s">
        <v>35</v>
      </c>
      <c r="Q457" s="48" t="s">
        <v>35</v>
      </c>
      <c r="R457" s="48" t="s">
        <v>35</v>
      </c>
      <c r="S457" s="49" t="s">
        <v>1057</v>
      </c>
      <c r="T457" s="50" t="s">
        <v>1220</v>
      </c>
      <c r="U457" s="51" t="s">
        <v>1220</v>
      </c>
      <c r="V457" s="52">
        <f t="shared" ref="V457:X457" si="462">IF(lenb(SUBSTITUTE($Z457,V$1&amp;" (1)",""))&lt;lenb($Z457),1,IF(lenb(SUBSTITUTE($Z457,V$1&amp;" (2)",""))&lt;lenb($Z457),2,IF(lenb(SUBSTITUTE($Z457,V$1&amp;" (3)",""))&lt;lenb($Z457),3,IF(lenb(SUBSTITUTE($Z457,V$1&amp;" (4)",""))&lt;lenb($Z457),4,IF(lenb(SUBSTITUTE($Z457,V$1&amp;" (5)",""))&lt;lenb($Z457),5,IF(lenb(SUBSTITUTE($Z457,V$1&amp;" (6)",""))&lt;lenb($Z457),6,IF(lenb(SUBSTITUTE($Z457,V$1&amp;" (7)",""))&lt;lenb($Z457),1,IF(lenb(SUBSTITUTE($Z457,V$1&amp;" (8)",""))&lt;lenb($Z457),8,IF(lenb(SUBSTITUTE($Z457,V$1&amp;" (9)",""))&lt;lenb($Z457),9,IF(lenb(SUBSTITUTE($Z457,V$1&amp;" (10)",""))&lt;lenb($Z457),10,IF(lenb(SUBSTITUTE($Z457,V$1,""))&lt;lenb($Z457),"ERROR",IF($Z457=$Y$1,"-",0))))))))))))</f>
        <v>1</v>
      </c>
      <c r="W457" s="52">
        <f t="shared" si="462"/>
        <v>0</v>
      </c>
      <c r="X457" s="52">
        <f t="shared" si="462"/>
        <v>0</v>
      </c>
      <c r="Y457" s="52" t="str">
        <f t="shared" si="3"/>
        <v>-</v>
      </c>
      <c r="Z457" s="52" t="s">
        <v>62</v>
      </c>
      <c r="AA457" s="53">
        <f t="shared" si="4"/>
        <v>1</v>
      </c>
      <c r="AB457" s="54">
        <f>COUNTIFS(Links!B:B,"ICSE",Links!C:C,A457,Links!AD:AD,1)</f>
        <v>0</v>
      </c>
      <c r="AC457" s="55" t="s">
        <v>35</v>
      </c>
      <c r="AD457" s="47" t="str">
        <f t="shared" si="5"/>
        <v>No</v>
      </c>
      <c r="AE457" s="56" t="s">
        <v>36</v>
      </c>
      <c r="AF457" s="57" t="s">
        <v>42</v>
      </c>
      <c r="AG457" s="57" t="s">
        <v>42</v>
      </c>
      <c r="AH457" s="57" t="s">
        <v>42</v>
      </c>
      <c r="AI457" s="49" t="str">
        <f t="shared" si="6"/>
        <v>----</v>
      </c>
      <c r="AJ457" s="58" t="str">
        <f t="shared" si="7"/>
        <v>Paper has link but no statement</v>
      </c>
      <c r="AK457" s="59">
        <v>45033.0</v>
      </c>
      <c r="AL457" s="43" t="s">
        <v>43</v>
      </c>
      <c r="AM457" s="60" t="str">
        <f t="shared" si="8"/>
        <v>[IP1266]</v>
      </c>
    </row>
    <row r="458" ht="67.5" customHeight="1">
      <c r="A458" s="61">
        <v>910.0</v>
      </c>
      <c r="B458" s="22" t="s">
        <v>1221</v>
      </c>
      <c r="C458" s="23">
        <v>2019.0</v>
      </c>
      <c r="D458" s="24" t="s">
        <v>35</v>
      </c>
      <c r="E458" s="25" t="s">
        <v>36</v>
      </c>
      <c r="F458" s="25" t="s">
        <v>36</v>
      </c>
      <c r="G458" s="25" t="s">
        <v>36</v>
      </c>
      <c r="H458" s="25" t="s">
        <v>36</v>
      </c>
      <c r="I458" s="25" t="s">
        <v>36</v>
      </c>
      <c r="J458" s="26" t="s">
        <v>36</v>
      </c>
      <c r="K458" s="27" t="s">
        <v>37</v>
      </c>
      <c r="L458" s="28" t="s">
        <v>37</v>
      </c>
      <c r="M458" s="28" t="s">
        <v>37</v>
      </c>
      <c r="N458" s="28" t="s">
        <v>35</v>
      </c>
      <c r="O458" s="28" t="s">
        <v>35</v>
      </c>
      <c r="P458" s="28" t="s">
        <v>35</v>
      </c>
      <c r="Q458" s="28" t="s">
        <v>35</v>
      </c>
      <c r="R458" s="28" t="s">
        <v>37</v>
      </c>
      <c r="S458" s="29" t="s">
        <v>1222</v>
      </c>
      <c r="T458" s="30" t="s">
        <v>1223</v>
      </c>
      <c r="U458" s="31" t="s">
        <v>1223</v>
      </c>
      <c r="V458" s="32">
        <f t="shared" ref="V458:X458" si="463">IF(lenb(SUBSTITUTE($Z458,V$1&amp;" (1)",""))&lt;lenb($Z458),1,IF(lenb(SUBSTITUTE($Z458,V$1&amp;" (2)",""))&lt;lenb($Z458),2,IF(lenb(SUBSTITUTE($Z458,V$1&amp;" (3)",""))&lt;lenb($Z458),3,IF(lenb(SUBSTITUTE($Z458,V$1&amp;" (4)",""))&lt;lenb($Z458),4,IF(lenb(SUBSTITUTE($Z458,V$1&amp;" (5)",""))&lt;lenb($Z458),5,IF(lenb(SUBSTITUTE($Z458,V$1&amp;" (6)",""))&lt;lenb($Z458),6,IF(lenb(SUBSTITUTE($Z458,V$1&amp;" (7)",""))&lt;lenb($Z458),1,IF(lenb(SUBSTITUTE($Z458,V$1&amp;" (8)",""))&lt;lenb($Z458),8,IF(lenb(SUBSTITUTE($Z458,V$1&amp;" (9)",""))&lt;lenb($Z458),9,IF(lenb(SUBSTITUTE($Z458,V$1&amp;" (10)",""))&lt;lenb($Z458),10,IF(lenb(SUBSTITUTE($Z458,V$1,""))&lt;lenb($Z458),"ERROR",IF($Z458=$Y$1,"-",0))))))))))))</f>
        <v>1</v>
      </c>
      <c r="W458" s="32">
        <f t="shared" si="463"/>
        <v>0</v>
      </c>
      <c r="X458" s="32">
        <f t="shared" si="463"/>
        <v>0</v>
      </c>
      <c r="Y458" s="32" t="str">
        <f t="shared" si="3"/>
        <v>-</v>
      </c>
      <c r="Z458" s="32" t="s">
        <v>62</v>
      </c>
      <c r="AA458" s="33">
        <f t="shared" si="4"/>
        <v>1</v>
      </c>
      <c r="AB458" s="34">
        <f>COUNTIFS(Links!B:B,"ICSE",Links!C:C,A458,Links!AD:AD,1)</f>
        <v>0</v>
      </c>
      <c r="AC458" s="35" t="s">
        <v>35</v>
      </c>
      <c r="AD458" s="27" t="str">
        <f t="shared" si="5"/>
        <v>No</v>
      </c>
      <c r="AE458" s="36" t="s">
        <v>36</v>
      </c>
      <c r="AF458" s="37" t="s">
        <v>42</v>
      </c>
      <c r="AG458" s="37" t="s">
        <v>42</v>
      </c>
      <c r="AH458" s="37" t="s">
        <v>42</v>
      </c>
      <c r="AI458" s="29" t="str">
        <f t="shared" si="6"/>
        <v>----</v>
      </c>
      <c r="AJ458" s="38" t="str">
        <f t="shared" si="7"/>
        <v>Paper has link but no statement</v>
      </c>
      <c r="AK458" s="39">
        <v>45028.0</v>
      </c>
      <c r="AL458" s="23" t="s">
        <v>43</v>
      </c>
      <c r="AM458" s="40" t="str">
        <f t="shared" si="8"/>
        <v>[IP0910]</v>
      </c>
    </row>
    <row r="459" ht="67.5" customHeight="1">
      <c r="A459" s="41">
        <v>911.0</v>
      </c>
      <c r="B459" s="74" t="s">
        <v>1224</v>
      </c>
      <c r="C459" s="43">
        <v>2019.0</v>
      </c>
      <c r="D459" s="44" t="s">
        <v>37</v>
      </c>
      <c r="E459" s="45" t="s">
        <v>35</v>
      </c>
      <c r="F459" s="45" t="s">
        <v>35</v>
      </c>
      <c r="G459" s="45" t="s">
        <v>37</v>
      </c>
      <c r="H459" s="45" t="s">
        <v>35</v>
      </c>
      <c r="I459" s="45" t="s">
        <v>35</v>
      </c>
      <c r="J459" s="46" t="s">
        <v>36</v>
      </c>
      <c r="K459" s="47" t="s">
        <v>37</v>
      </c>
      <c r="L459" s="48" t="s">
        <v>35</v>
      </c>
      <c r="M459" s="48" t="s">
        <v>35</v>
      </c>
      <c r="N459" s="48" t="s">
        <v>37</v>
      </c>
      <c r="O459" s="48" t="s">
        <v>35</v>
      </c>
      <c r="P459" s="48" t="s">
        <v>35</v>
      </c>
      <c r="Q459" s="48" t="s">
        <v>35</v>
      </c>
      <c r="R459" s="48" t="s">
        <v>35</v>
      </c>
      <c r="S459" s="49" t="s">
        <v>289</v>
      </c>
      <c r="T459" s="50" t="s">
        <v>1225</v>
      </c>
      <c r="U459" s="51" t="s">
        <v>1225</v>
      </c>
      <c r="V459" s="52">
        <f t="shared" ref="V459:X459" si="464">IF(lenb(SUBSTITUTE($Z459,V$1&amp;" (1)",""))&lt;lenb($Z459),1,IF(lenb(SUBSTITUTE($Z459,V$1&amp;" (2)",""))&lt;lenb($Z459),2,IF(lenb(SUBSTITUTE($Z459,V$1&amp;" (3)",""))&lt;lenb($Z459),3,IF(lenb(SUBSTITUTE($Z459,V$1&amp;" (4)",""))&lt;lenb($Z459),4,IF(lenb(SUBSTITUTE($Z459,V$1&amp;" (5)",""))&lt;lenb($Z459),5,IF(lenb(SUBSTITUTE($Z459,V$1&amp;" (6)",""))&lt;lenb($Z459),6,IF(lenb(SUBSTITUTE($Z459,V$1&amp;" (7)",""))&lt;lenb($Z459),1,IF(lenb(SUBSTITUTE($Z459,V$1&amp;" (8)",""))&lt;lenb($Z459),8,IF(lenb(SUBSTITUTE($Z459,V$1&amp;" (9)",""))&lt;lenb($Z459),9,IF(lenb(SUBSTITUTE($Z459,V$1&amp;" (10)",""))&lt;lenb($Z459),10,IF(lenb(SUBSTITUTE($Z459,V$1,""))&lt;lenb($Z459),"ERROR",IF($Z459=$Y$1,"-",0))))))))))))</f>
        <v>1</v>
      </c>
      <c r="W459" s="52">
        <f t="shared" si="464"/>
        <v>0</v>
      </c>
      <c r="X459" s="52">
        <f t="shared" si="464"/>
        <v>0</v>
      </c>
      <c r="Y459" s="52" t="str">
        <f t="shared" si="3"/>
        <v>-</v>
      </c>
      <c r="Z459" s="52" t="s">
        <v>62</v>
      </c>
      <c r="AA459" s="53">
        <f t="shared" si="4"/>
        <v>1</v>
      </c>
      <c r="AB459" s="54">
        <f>COUNTIFS(Links!B:B,"ICSE",Links!C:C,A459,Links!AD:AD,1)</f>
        <v>0</v>
      </c>
      <c r="AC459" s="55" t="s">
        <v>35</v>
      </c>
      <c r="AD459" s="47" t="str">
        <f t="shared" si="5"/>
        <v>No</v>
      </c>
      <c r="AE459" s="56" t="s">
        <v>36</v>
      </c>
      <c r="AF459" s="57" t="s">
        <v>42</v>
      </c>
      <c r="AG459" s="57" t="s">
        <v>42</v>
      </c>
      <c r="AH459" s="57" t="s">
        <v>42</v>
      </c>
      <c r="AI459" s="49" t="str">
        <f t="shared" si="6"/>
        <v>----</v>
      </c>
      <c r="AJ459" s="58" t="str">
        <f t="shared" si="7"/>
        <v>Paper has link but no statement</v>
      </c>
      <c r="AK459" s="59">
        <v>45028.0</v>
      </c>
      <c r="AL459" s="43" t="s">
        <v>43</v>
      </c>
      <c r="AM459" s="60" t="str">
        <f t="shared" si="8"/>
        <v>[IP0911]</v>
      </c>
    </row>
    <row r="460" ht="67.5" customHeight="1">
      <c r="A460" s="61">
        <v>912.0</v>
      </c>
      <c r="B460" s="75" t="s">
        <v>1226</v>
      </c>
      <c r="C460" s="23">
        <v>2019.0</v>
      </c>
      <c r="D460" s="24" t="s">
        <v>37</v>
      </c>
      <c r="E460" s="25" t="s">
        <v>37</v>
      </c>
      <c r="F460" s="25" t="s">
        <v>35</v>
      </c>
      <c r="G460" s="25" t="s">
        <v>35</v>
      </c>
      <c r="H460" s="25" t="s">
        <v>35</v>
      </c>
      <c r="I460" s="25" t="s">
        <v>35</v>
      </c>
      <c r="J460" s="26" t="s">
        <v>36</v>
      </c>
      <c r="K460" s="27" t="s">
        <v>35</v>
      </c>
      <c r="L460" s="28" t="s">
        <v>36</v>
      </c>
      <c r="M460" s="28" t="s">
        <v>36</v>
      </c>
      <c r="N460" s="28" t="s">
        <v>36</v>
      </c>
      <c r="O460" s="28" t="s">
        <v>36</v>
      </c>
      <c r="P460" s="28" t="s">
        <v>36</v>
      </c>
      <c r="Q460" s="28" t="s">
        <v>36</v>
      </c>
      <c r="R460" s="28" t="s">
        <v>36</v>
      </c>
      <c r="S460" s="29" t="s">
        <v>36</v>
      </c>
      <c r="T460" s="30" t="s">
        <v>36</v>
      </c>
      <c r="U460" s="31" t="s">
        <v>36</v>
      </c>
      <c r="V460" s="32" t="str">
        <f t="shared" ref="V460:X460" si="465">IF(lenb(SUBSTITUTE($Z460,V$1&amp;" (1)",""))&lt;lenb($Z460),1,IF(lenb(SUBSTITUTE($Z460,V$1&amp;" (2)",""))&lt;lenb($Z460),2,IF(lenb(SUBSTITUTE($Z460,V$1&amp;" (3)",""))&lt;lenb($Z460),3,IF(lenb(SUBSTITUTE($Z460,V$1&amp;" (4)",""))&lt;lenb($Z460),4,IF(lenb(SUBSTITUTE($Z460,V$1&amp;" (5)",""))&lt;lenb($Z460),5,IF(lenb(SUBSTITUTE($Z460,V$1&amp;" (6)",""))&lt;lenb($Z460),6,IF(lenb(SUBSTITUTE($Z460,V$1&amp;" (7)",""))&lt;lenb($Z460),1,IF(lenb(SUBSTITUTE($Z460,V$1&amp;" (8)",""))&lt;lenb($Z460),8,IF(lenb(SUBSTITUTE($Z460,V$1&amp;" (9)",""))&lt;lenb($Z460),9,IF(lenb(SUBSTITUTE($Z460,V$1&amp;" (10)",""))&lt;lenb($Z460),10,IF(lenb(SUBSTITUTE($Z460,V$1,""))&lt;lenb($Z460),"ERROR",IF($Z460=$Y$1,"-",0))))))))))))</f>
        <v>-</v>
      </c>
      <c r="W460" s="32" t="str">
        <f t="shared" si="465"/>
        <v>-</v>
      </c>
      <c r="X460" s="32" t="str">
        <f t="shared" si="465"/>
        <v>-</v>
      </c>
      <c r="Y460" s="32">
        <f t="shared" si="3"/>
        <v>1</v>
      </c>
      <c r="Z460" s="32" t="s">
        <v>23</v>
      </c>
      <c r="AA460" s="33">
        <f t="shared" si="4"/>
        <v>0</v>
      </c>
      <c r="AB460" s="34">
        <f>COUNTIFS(Links!B:B,"ICSE",Links!C:C,A460,Links!AD:AD,1)</f>
        <v>0</v>
      </c>
      <c r="AC460" s="35" t="s">
        <v>36</v>
      </c>
      <c r="AD460" s="27" t="str">
        <f t="shared" si="5"/>
        <v>No</v>
      </c>
      <c r="AE460" s="36" t="s">
        <v>36</v>
      </c>
      <c r="AF460" s="37" t="s">
        <v>42</v>
      </c>
      <c r="AG460" s="37" t="s">
        <v>42</v>
      </c>
      <c r="AH460" s="37" t="s">
        <v>42</v>
      </c>
      <c r="AI460" s="29" t="str">
        <f t="shared" si="6"/>
        <v>----</v>
      </c>
      <c r="AJ460" s="38" t="str">
        <f t="shared" si="7"/>
        <v>Paper has no link and no statement</v>
      </c>
      <c r="AK460" s="39">
        <v>45028.0</v>
      </c>
      <c r="AL460" s="23" t="s">
        <v>43</v>
      </c>
      <c r="AM460" s="40" t="str">
        <f t="shared" si="8"/>
        <v>[IP0912]</v>
      </c>
    </row>
    <row r="461" ht="67.5" customHeight="1">
      <c r="A461" s="41">
        <v>913.0</v>
      </c>
      <c r="B461" s="42" t="s">
        <v>1227</v>
      </c>
      <c r="C461" s="43">
        <v>2019.0</v>
      </c>
      <c r="D461" s="44" t="s">
        <v>35</v>
      </c>
      <c r="E461" s="45" t="s">
        <v>36</v>
      </c>
      <c r="F461" s="45" t="s">
        <v>36</v>
      </c>
      <c r="G461" s="45" t="s">
        <v>36</v>
      </c>
      <c r="H461" s="45" t="s">
        <v>36</v>
      </c>
      <c r="I461" s="45" t="s">
        <v>36</v>
      </c>
      <c r="J461" s="46" t="s">
        <v>36</v>
      </c>
      <c r="K461" s="47" t="s">
        <v>35</v>
      </c>
      <c r="L461" s="48" t="s">
        <v>36</v>
      </c>
      <c r="M461" s="48" t="s">
        <v>36</v>
      </c>
      <c r="N461" s="48" t="s">
        <v>36</v>
      </c>
      <c r="O461" s="48" t="s">
        <v>36</v>
      </c>
      <c r="P461" s="48" t="s">
        <v>36</v>
      </c>
      <c r="Q461" s="48" t="s">
        <v>36</v>
      </c>
      <c r="R461" s="48" t="s">
        <v>36</v>
      </c>
      <c r="S461" s="49" t="s">
        <v>36</v>
      </c>
      <c r="T461" s="50" t="s">
        <v>36</v>
      </c>
      <c r="U461" s="51" t="s">
        <v>36</v>
      </c>
      <c r="V461" s="52" t="str">
        <f t="shared" ref="V461:X461" si="466">IF(lenb(SUBSTITUTE($Z461,V$1&amp;" (1)",""))&lt;lenb($Z461),1,IF(lenb(SUBSTITUTE($Z461,V$1&amp;" (2)",""))&lt;lenb($Z461),2,IF(lenb(SUBSTITUTE($Z461,V$1&amp;" (3)",""))&lt;lenb($Z461),3,IF(lenb(SUBSTITUTE($Z461,V$1&amp;" (4)",""))&lt;lenb($Z461),4,IF(lenb(SUBSTITUTE($Z461,V$1&amp;" (5)",""))&lt;lenb($Z461),5,IF(lenb(SUBSTITUTE($Z461,V$1&amp;" (6)",""))&lt;lenb($Z461),6,IF(lenb(SUBSTITUTE($Z461,V$1&amp;" (7)",""))&lt;lenb($Z461),1,IF(lenb(SUBSTITUTE($Z461,V$1&amp;" (8)",""))&lt;lenb($Z461),8,IF(lenb(SUBSTITUTE($Z461,V$1&amp;" (9)",""))&lt;lenb($Z461),9,IF(lenb(SUBSTITUTE($Z461,V$1&amp;" (10)",""))&lt;lenb($Z461),10,IF(lenb(SUBSTITUTE($Z461,V$1,""))&lt;lenb($Z461),"ERROR",IF($Z461=$Y$1,"-",0))))))))))))</f>
        <v>-</v>
      </c>
      <c r="W461" s="52" t="str">
        <f t="shared" si="466"/>
        <v>-</v>
      </c>
      <c r="X461" s="52" t="str">
        <f t="shared" si="466"/>
        <v>-</v>
      </c>
      <c r="Y461" s="52">
        <f t="shared" si="3"/>
        <v>1</v>
      </c>
      <c r="Z461" s="52" t="s">
        <v>23</v>
      </c>
      <c r="AA461" s="53">
        <f t="shared" si="4"/>
        <v>0</v>
      </c>
      <c r="AB461" s="54">
        <f>COUNTIFS(Links!B:B,"ICSE",Links!C:C,A461,Links!AD:AD,1)</f>
        <v>0</v>
      </c>
      <c r="AC461" s="55" t="s">
        <v>36</v>
      </c>
      <c r="AD461" s="47" t="str">
        <f t="shared" si="5"/>
        <v>No</v>
      </c>
      <c r="AE461" s="56" t="s">
        <v>36</v>
      </c>
      <c r="AF461" s="57" t="s">
        <v>42</v>
      </c>
      <c r="AG461" s="57" t="s">
        <v>42</v>
      </c>
      <c r="AH461" s="57" t="s">
        <v>42</v>
      </c>
      <c r="AI461" s="49" t="str">
        <f t="shared" si="6"/>
        <v>----</v>
      </c>
      <c r="AJ461" s="58" t="str">
        <f t="shared" si="7"/>
        <v>Paper has no link and no statement</v>
      </c>
      <c r="AK461" s="59">
        <v>45028.0</v>
      </c>
      <c r="AL461" s="43" t="s">
        <v>43</v>
      </c>
      <c r="AM461" s="60" t="str">
        <f t="shared" si="8"/>
        <v>[IP0913]</v>
      </c>
    </row>
    <row r="462" ht="67.5" customHeight="1">
      <c r="A462" s="61">
        <v>914.0</v>
      </c>
      <c r="B462" s="75" t="s">
        <v>1228</v>
      </c>
      <c r="C462" s="23">
        <v>2019.0</v>
      </c>
      <c r="D462" s="24" t="s">
        <v>37</v>
      </c>
      <c r="E462" s="25" t="s">
        <v>37</v>
      </c>
      <c r="F462" s="25" t="s">
        <v>35</v>
      </c>
      <c r="G462" s="25" t="s">
        <v>37</v>
      </c>
      <c r="H462" s="25" t="s">
        <v>35</v>
      </c>
      <c r="I462" s="25" t="s">
        <v>35</v>
      </c>
      <c r="J462" s="26" t="s">
        <v>36</v>
      </c>
      <c r="K462" s="27" t="s">
        <v>37</v>
      </c>
      <c r="L462" s="28" t="s">
        <v>35</v>
      </c>
      <c r="M462" s="28" t="s">
        <v>35</v>
      </c>
      <c r="N462" s="28" t="s">
        <v>35</v>
      </c>
      <c r="O462" s="28" t="s">
        <v>35</v>
      </c>
      <c r="P462" s="28" t="s">
        <v>35</v>
      </c>
      <c r="Q462" s="28" t="s">
        <v>35</v>
      </c>
      <c r="R462" s="28" t="s">
        <v>37</v>
      </c>
      <c r="S462" s="29" t="s">
        <v>1229</v>
      </c>
      <c r="T462" s="30" t="s">
        <v>1230</v>
      </c>
      <c r="U462" s="31" t="s">
        <v>1230</v>
      </c>
      <c r="V462" s="32">
        <f t="shared" ref="V462:X462" si="467">IF(lenb(SUBSTITUTE($Z462,V$1&amp;" (1)",""))&lt;lenb($Z462),1,IF(lenb(SUBSTITUTE($Z462,V$1&amp;" (2)",""))&lt;lenb($Z462),2,IF(lenb(SUBSTITUTE($Z462,V$1&amp;" (3)",""))&lt;lenb($Z462),3,IF(lenb(SUBSTITUTE($Z462,V$1&amp;" (4)",""))&lt;lenb($Z462),4,IF(lenb(SUBSTITUTE($Z462,V$1&amp;" (5)",""))&lt;lenb($Z462),5,IF(lenb(SUBSTITUTE($Z462,V$1&amp;" (6)",""))&lt;lenb($Z462),6,IF(lenb(SUBSTITUTE($Z462,V$1&amp;" (7)",""))&lt;lenb($Z462),1,IF(lenb(SUBSTITUTE($Z462,V$1&amp;" (8)",""))&lt;lenb($Z462),8,IF(lenb(SUBSTITUTE($Z462,V$1&amp;" (9)",""))&lt;lenb($Z462),9,IF(lenb(SUBSTITUTE($Z462,V$1&amp;" (10)",""))&lt;lenb($Z462),10,IF(lenb(SUBSTITUTE($Z462,V$1,""))&lt;lenb($Z462),"ERROR",IF($Z462=$Y$1,"-",0))))))))))))</f>
        <v>2</v>
      </c>
      <c r="W462" s="32">
        <f t="shared" si="467"/>
        <v>0</v>
      </c>
      <c r="X462" s="32">
        <f t="shared" si="467"/>
        <v>0</v>
      </c>
      <c r="Y462" s="32" t="str">
        <f t="shared" si="3"/>
        <v>-</v>
      </c>
      <c r="Z462" s="32" t="s">
        <v>57</v>
      </c>
      <c r="AA462" s="33">
        <f t="shared" si="4"/>
        <v>2</v>
      </c>
      <c r="AB462" s="34">
        <f>COUNTIFS(Links!B:B,"ICSE",Links!C:C,A462,Links!AD:AD,1)</f>
        <v>0</v>
      </c>
      <c r="AC462" s="35" t="s">
        <v>35</v>
      </c>
      <c r="AD462" s="27" t="str">
        <f t="shared" si="5"/>
        <v>No</v>
      </c>
      <c r="AE462" s="36" t="s">
        <v>36</v>
      </c>
      <c r="AF462" s="37" t="s">
        <v>42</v>
      </c>
      <c r="AG462" s="37" t="s">
        <v>42</v>
      </c>
      <c r="AH462" s="37" t="s">
        <v>42</v>
      </c>
      <c r="AI462" s="29" t="str">
        <f t="shared" si="6"/>
        <v>----</v>
      </c>
      <c r="AJ462" s="38" t="str">
        <f t="shared" si="7"/>
        <v>Paper has link but no statement</v>
      </c>
      <c r="AK462" s="39">
        <v>45028.0</v>
      </c>
      <c r="AL462" s="23" t="s">
        <v>43</v>
      </c>
      <c r="AM462" s="40" t="str">
        <f t="shared" si="8"/>
        <v>[IP0914]</v>
      </c>
    </row>
    <row r="463" ht="67.5" customHeight="1">
      <c r="A463" s="41">
        <v>915.0</v>
      </c>
      <c r="B463" s="74" t="s">
        <v>1231</v>
      </c>
      <c r="C463" s="43">
        <v>2019.0</v>
      </c>
      <c r="D463" s="44" t="s">
        <v>37</v>
      </c>
      <c r="E463" s="45" t="s">
        <v>37</v>
      </c>
      <c r="F463" s="45" t="s">
        <v>35</v>
      </c>
      <c r="G463" s="45" t="s">
        <v>37</v>
      </c>
      <c r="H463" s="45" t="s">
        <v>35</v>
      </c>
      <c r="I463" s="45" t="s">
        <v>35</v>
      </c>
      <c r="J463" s="46" t="s">
        <v>36</v>
      </c>
      <c r="K463" s="47" t="s">
        <v>37</v>
      </c>
      <c r="L463" s="48" t="s">
        <v>35</v>
      </c>
      <c r="M463" s="48" t="s">
        <v>37</v>
      </c>
      <c r="N463" s="48" t="s">
        <v>37</v>
      </c>
      <c r="O463" s="48" t="s">
        <v>35</v>
      </c>
      <c r="P463" s="48" t="s">
        <v>35</v>
      </c>
      <c r="Q463" s="48" t="s">
        <v>35</v>
      </c>
      <c r="R463" s="48" t="s">
        <v>37</v>
      </c>
      <c r="S463" s="49" t="s">
        <v>1232</v>
      </c>
      <c r="T463" s="50" t="s">
        <v>1233</v>
      </c>
      <c r="U463" s="51" t="s">
        <v>1233</v>
      </c>
      <c r="V463" s="52">
        <f t="shared" ref="V463:X463" si="468">IF(lenb(SUBSTITUTE($Z463,V$1&amp;" (1)",""))&lt;lenb($Z463),1,IF(lenb(SUBSTITUTE($Z463,V$1&amp;" (2)",""))&lt;lenb($Z463),2,IF(lenb(SUBSTITUTE($Z463,V$1&amp;" (3)",""))&lt;lenb($Z463),3,IF(lenb(SUBSTITUTE($Z463,V$1&amp;" (4)",""))&lt;lenb($Z463),4,IF(lenb(SUBSTITUTE($Z463,V$1&amp;" (5)",""))&lt;lenb($Z463),5,IF(lenb(SUBSTITUTE($Z463,V$1&amp;" (6)",""))&lt;lenb($Z463),6,IF(lenb(SUBSTITUTE($Z463,V$1&amp;" (7)",""))&lt;lenb($Z463),1,IF(lenb(SUBSTITUTE($Z463,V$1&amp;" (8)",""))&lt;lenb($Z463),8,IF(lenb(SUBSTITUTE($Z463,V$1&amp;" (9)",""))&lt;lenb($Z463),9,IF(lenb(SUBSTITUTE($Z463,V$1&amp;" (10)",""))&lt;lenb($Z463),10,IF(lenb(SUBSTITUTE($Z463,V$1,""))&lt;lenb($Z463),"ERROR",IF($Z463=$Y$1,"-",0))))))))))))</f>
        <v>2</v>
      </c>
      <c r="W463" s="52">
        <f t="shared" si="468"/>
        <v>0</v>
      </c>
      <c r="X463" s="52">
        <f t="shared" si="468"/>
        <v>0</v>
      </c>
      <c r="Y463" s="52" t="str">
        <f t="shared" si="3"/>
        <v>-</v>
      </c>
      <c r="Z463" s="52" t="s">
        <v>57</v>
      </c>
      <c r="AA463" s="53">
        <f t="shared" si="4"/>
        <v>2</v>
      </c>
      <c r="AB463" s="54">
        <f>COUNTIFS(Links!B:B,"ICSE",Links!C:C,A463,Links!AD:AD,1)</f>
        <v>0</v>
      </c>
      <c r="AC463" s="55" t="s">
        <v>37</v>
      </c>
      <c r="AD463" s="47" t="str">
        <f t="shared" si="5"/>
        <v>No</v>
      </c>
      <c r="AE463" s="56" t="s">
        <v>36</v>
      </c>
      <c r="AF463" s="57" t="s">
        <v>42</v>
      </c>
      <c r="AG463" s="57" t="s">
        <v>42</v>
      </c>
      <c r="AH463" s="57" t="s">
        <v>42</v>
      </c>
      <c r="AI463" s="49" t="str">
        <f t="shared" si="6"/>
        <v>----</v>
      </c>
      <c r="AJ463" s="58" t="str">
        <f t="shared" si="7"/>
        <v>Paper has link but no statement</v>
      </c>
      <c r="AK463" s="59">
        <v>45028.0</v>
      </c>
      <c r="AL463" s="43" t="s">
        <v>43</v>
      </c>
      <c r="AM463" s="60" t="str">
        <f t="shared" si="8"/>
        <v>[IP0915]</v>
      </c>
    </row>
    <row r="464" ht="67.5" customHeight="1">
      <c r="A464" s="61">
        <v>916.0</v>
      </c>
      <c r="B464" s="22" t="s">
        <v>1234</v>
      </c>
      <c r="C464" s="23">
        <v>2019.0</v>
      </c>
      <c r="D464" s="24" t="s">
        <v>35</v>
      </c>
      <c r="E464" s="25" t="s">
        <v>36</v>
      </c>
      <c r="F464" s="25" t="s">
        <v>36</v>
      </c>
      <c r="G464" s="25" t="s">
        <v>36</v>
      </c>
      <c r="H464" s="25" t="s">
        <v>36</v>
      </c>
      <c r="I464" s="25" t="s">
        <v>36</v>
      </c>
      <c r="J464" s="26" t="s">
        <v>36</v>
      </c>
      <c r="K464" s="27" t="s">
        <v>37</v>
      </c>
      <c r="L464" s="28" t="s">
        <v>35</v>
      </c>
      <c r="M464" s="28" t="s">
        <v>35</v>
      </c>
      <c r="N464" s="28" t="s">
        <v>35</v>
      </c>
      <c r="O464" s="28" t="s">
        <v>35</v>
      </c>
      <c r="P464" s="28" t="s">
        <v>35</v>
      </c>
      <c r="Q464" s="28" t="s">
        <v>35</v>
      </c>
      <c r="R464" s="28" t="s">
        <v>37</v>
      </c>
      <c r="S464" s="29" t="s">
        <v>1235</v>
      </c>
      <c r="T464" s="30" t="s">
        <v>1236</v>
      </c>
      <c r="U464" s="31" t="s">
        <v>1236</v>
      </c>
      <c r="V464" s="32">
        <f t="shared" ref="V464:X464" si="469">IF(lenb(SUBSTITUTE($Z464,V$1&amp;" (1)",""))&lt;lenb($Z464),1,IF(lenb(SUBSTITUTE($Z464,V$1&amp;" (2)",""))&lt;lenb($Z464),2,IF(lenb(SUBSTITUTE($Z464,V$1&amp;" (3)",""))&lt;lenb($Z464),3,IF(lenb(SUBSTITUTE($Z464,V$1&amp;" (4)",""))&lt;lenb($Z464),4,IF(lenb(SUBSTITUTE($Z464,V$1&amp;" (5)",""))&lt;lenb($Z464),5,IF(lenb(SUBSTITUTE($Z464,V$1&amp;" (6)",""))&lt;lenb($Z464),6,IF(lenb(SUBSTITUTE($Z464,V$1&amp;" (7)",""))&lt;lenb($Z464),1,IF(lenb(SUBSTITUTE($Z464,V$1&amp;" (8)",""))&lt;lenb($Z464),8,IF(lenb(SUBSTITUTE($Z464,V$1&amp;" (9)",""))&lt;lenb($Z464),9,IF(lenb(SUBSTITUTE($Z464,V$1&amp;" (10)",""))&lt;lenb($Z464),10,IF(lenb(SUBSTITUTE($Z464,V$1,""))&lt;lenb($Z464),"ERROR",IF($Z464=$Y$1,"-",0))))))))))))</f>
        <v>1</v>
      </c>
      <c r="W464" s="32">
        <f t="shared" si="469"/>
        <v>0</v>
      </c>
      <c r="X464" s="32">
        <f t="shared" si="469"/>
        <v>0</v>
      </c>
      <c r="Y464" s="32" t="str">
        <f t="shared" si="3"/>
        <v>-</v>
      </c>
      <c r="Z464" s="32" t="s">
        <v>62</v>
      </c>
      <c r="AA464" s="33">
        <f t="shared" si="4"/>
        <v>1</v>
      </c>
      <c r="AB464" s="34">
        <f>COUNTIFS(Links!B:B,"ICSE",Links!C:C,A464,Links!AD:AD,1)</f>
        <v>0</v>
      </c>
      <c r="AC464" s="35" t="s">
        <v>37</v>
      </c>
      <c r="AD464" s="27" t="str">
        <f t="shared" si="5"/>
        <v>No</v>
      </c>
      <c r="AE464" s="36" t="s">
        <v>36</v>
      </c>
      <c r="AF464" s="37" t="s">
        <v>42</v>
      </c>
      <c r="AG464" s="37" t="s">
        <v>42</v>
      </c>
      <c r="AH464" s="37" t="s">
        <v>42</v>
      </c>
      <c r="AI464" s="29" t="str">
        <f t="shared" si="6"/>
        <v>----</v>
      </c>
      <c r="AJ464" s="38" t="str">
        <f t="shared" si="7"/>
        <v>Paper has link but no statement</v>
      </c>
      <c r="AK464" s="39">
        <v>45028.0</v>
      </c>
      <c r="AL464" s="23" t="s">
        <v>43</v>
      </c>
      <c r="AM464" s="40" t="str">
        <f t="shared" si="8"/>
        <v>[IP0916]</v>
      </c>
    </row>
    <row r="465" ht="67.5" customHeight="1">
      <c r="A465" s="41">
        <v>917.0</v>
      </c>
      <c r="B465" s="42" t="s">
        <v>1237</v>
      </c>
      <c r="C465" s="43">
        <v>2019.0</v>
      </c>
      <c r="D465" s="44" t="s">
        <v>35</v>
      </c>
      <c r="E465" s="45" t="s">
        <v>36</v>
      </c>
      <c r="F465" s="45" t="s">
        <v>36</v>
      </c>
      <c r="G465" s="45" t="s">
        <v>36</v>
      </c>
      <c r="H465" s="45" t="s">
        <v>36</v>
      </c>
      <c r="I465" s="45" t="s">
        <v>36</v>
      </c>
      <c r="J465" s="46" t="s">
        <v>36</v>
      </c>
      <c r="K465" s="47" t="s">
        <v>35</v>
      </c>
      <c r="L465" s="48" t="s">
        <v>36</v>
      </c>
      <c r="M465" s="48" t="s">
        <v>36</v>
      </c>
      <c r="N465" s="48" t="s">
        <v>36</v>
      </c>
      <c r="O465" s="48" t="s">
        <v>36</v>
      </c>
      <c r="P465" s="48" t="s">
        <v>36</v>
      </c>
      <c r="Q465" s="48" t="s">
        <v>36</v>
      </c>
      <c r="R465" s="48" t="s">
        <v>36</v>
      </c>
      <c r="S465" s="49" t="s">
        <v>36</v>
      </c>
      <c r="T465" s="50" t="s">
        <v>36</v>
      </c>
      <c r="U465" s="51" t="s">
        <v>36</v>
      </c>
      <c r="V465" s="52" t="str">
        <f t="shared" ref="V465:X465" si="470">IF(lenb(SUBSTITUTE($Z465,V$1&amp;" (1)",""))&lt;lenb($Z465),1,IF(lenb(SUBSTITUTE($Z465,V$1&amp;" (2)",""))&lt;lenb($Z465),2,IF(lenb(SUBSTITUTE($Z465,V$1&amp;" (3)",""))&lt;lenb($Z465),3,IF(lenb(SUBSTITUTE($Z465,V$1&amp;" (4)",""))&lt;lenb($Z465),4,IF(lenb(SUBSTITUTE($Z465,V$1&amp;" (5)",""))&lt;lenb($Z465),5,IF(lenb(SUBSTITUTE($Z465,V$1&amp;" (6)",""))&lt;lenb($Z465),6,IF(lenb(SUBSTITUTE($Z465,V$1&amp;" (7)",""))&lt;lenb($Z465),1,IF(lenb(SUBSTITUTE($Z465,V$1&amp;" (8)",""))&lt;lenb($Z465),8,IF(lenb(SUBSTITUTE($Z465,V$1&amp;" (9)",""))&lt;lenb($Z465),9,IF(lenb(SUBSTITUTE($Z465,V$1&amp;" (10)",""))&lt;lenb($Z465),10,IF(lenb(SUBSTITUTE($Z465,V$1,""))&lt;lenb($Z465),"ERROR",IF($Z465=$Y$1,"-",0))))))))))))</f>
        <v>-</v>
      </c>
      <c r="W465" s="52" t="str">
        <f t="shared" si="470"/>
        <v>-</v>
      </c>
      <c r="X465" s="52" t="str">
        <f t="shared" si="470"/>
        <v>-</v>
      </c>
      <c r="Y465" s="52">
        <f t="shared" si="3"/>
        <v>1</v>
      </c>
      <c r="Z465" s="52" t="s">
        <v>23</v>
      </c>
      <c r="AA465" s="53">
        <f t="shared" si="4"/>
        <v>0</v>
      </c>
      <c r="AB465" s="54">
        <f>COUNTIFS(Links!B:B,"ICSE",Links!C:C,A465,Links!AD:AD,1)</f>
        <v>0</v>
      </c>
      <c r="AC465" s="55" t="s">
        <v>36</v>
      </c>
      <c r="AD465" s="47" t="str">
        <f t="shared" si="5"/>
        <v>No</v>
      </c>
      <c r="AE465" s="56" t="s">
        <v>36</v>
      </c>
      <c r="AF465" s="57" t="s">
        <v>42</v>
      </c>
      <c r="AG465" s="57" t="s">
        <v>42</v>
      </c>
      <c r="AH465" s="57" t="s">
        <v>42</v>
      </c>
      <c r="AI465" s="49" t="str">
        <f t="shared" si="6"/>
        <v>----</v>
      </c>
      <c r="AJ465" s="58" t="str">
        <f t="shared" si="7"/>
        <v>Paper has no link and no statement</v>
      </c>
      <c r="AK465" s="59">
        <v>45028.0</v>
      </c>
      <c r="AL465" s="43" t="s">
        <v>43</v>
      </c>
      <c r="AM465" s="60" t="str">
        <f t="shared" si="8"/>
        <v>[IP0917]</v>
      </c>
    </row>
    <row r="466" ht="67.5" customHeight="1">
      <c r="A466" s="61">
        <v>918.0</v>
      </c>
      <c r="B466" s="22" t="s">
        <v>1238</v>
      </c>
      <c r="C466" s="23">
        <v>2019.0</v>
      </c>
      <c r="D466" s="24" t="s">
        <v>35</v>
      </c>
      <c r="E466" s="25" t="s">
        <v>36</v>
      </c>
      <c r="F466" s="25" t="s">
        <v>36</v>
      </c>
      <c r="G466" s="25" t="s">
        <v>36</v>
      </c>
      <c r="H466" s="25" t="s">
        <v>36</v>
      </c>
      <c r="I466" s="25" t="s">
        <v>36</v>
      </c>
      <c r="J466" s="26" t="s">
        <v>36</v>
      </c>
      <c r="K466" s="27" t="s">
        <v>37</v>
      </c>
      <c r="L466" s="28" t="s">
        <v>37</v>
      </c>
      <c r="M466" s="28" t="s">
        <v>35</v>
      </c>
      <c r="N466" s="28" t="s">
        <v>35</v>
      </c>
      <c r="O466" s="28" t="s">
        <v>35</v>
      </c>
      <c r="P466" s="28" t="s">
        <v>35</v>
      </c>
      <c r="Q466" s="28" t="s">
        <v>37</v>
      </c>
      <c r="R466" s="28" t="s">
        <v>37</v>
      </c>
      <c r="S466" s="29" t="s">
        <v>1239</v>
      </c>
      <c r="T466" s="30" t="s">
        <v>1240</v>
      </c>
      <c r="U466" s="31" t="s">
        <v>1240</v>
      </c>
      <c r="V466" s="32">
        <f t="shared" ref="V466:X466" si="471">IF(lenb(SUBSTITUTE($Z466,V$1&amp;" (1)",""))&lt;lenb($Z466),1,IF(lenb(SUBSTITUTE($Z466,V$1&amp;" (2)",""))&lt;lenb($Z466),2,IF(lenb(SUBSTITUTE($Z466,V$1&amp;" (3)",""))&lt;lenb($Z466),3,IF(lenb(SUBSTITUTE($Z466,V$1&amp;" (4)",""))&lt;lenb($Z466),4,IF(lenb(SUBSTITUTE($Z466,V$1&amp;" (5)",""))&lt;lenb($Z466),5,IF(lenb(SUBSTITUTE($Z466,V$1&amp;" (6)",""))&lt;lenb($Z466),6,IF(lenb(SUBSTITUTE($Z466,V$1&amp;" (7)",""))&lt;lenb($Z466),1,IF(lenb(SUBSTITUTE($Z466,V$1&amp;" (8)",""))&lt;lenb($Z466),8,IF(lenb(SUBSTITUTE($Z466,V$1&amp;" (9)",""))&lt;lenb($Z466),9,IF(lenb(SUBSTITUTE($Z466,V$1&amp;" (10)",""))&lt;lenb($Z466),10,IF(lenb(SUBSTITUTE($Z466,V$1,""))&lt;lenb($Z466),"ERROR",IF($Z466=$Y$1,"-",0))))))))))))</f>
        <v>1</v>
      </c>
      <c r="W466" s="32">
        <f t="shared" si="471"/>
        <v>0</v>
      </c>
      <c r="X466" s="32">
        <f t="shared" si="471"/>
        <v>0</v>
      </c>
      <c r="Y466" s="32" t="str">
        <f t="shared" si="3"/>
        <v>-</v>
      </c>
      <c r="Z466" s="32" t="s">
        <v>62</v>
      </c>
      <c r="AA466" s="33">
        <f t="shared" si="4"/>
        <v>1</v>
      </c>
      <c r="AB466" s="34">
        <f>COUNTIFS(Links!B:B,"ICSE",Links!C:C,A466,Links!AD:AD,1)</f>
        <v>0</v>
      </c>
      <c r="AC466" s="35" t="s">
        <v>37</v>
      </c>
      <c r="AD466" s="27" t="str">
        <f t="shared" si="5"/>
        <v>No</v>
      </c>
      <c r="AE466" s="36" t="s">
        <v>36</v>
      </c>
      <c r="AF466" s="37" t="s">
        <v>42</v>
      </c>
      <c r="AG466" s="37" t="s">
        <v>42</v>
      </c>
      <c r="AH466" s="37" t="s">
        <v>42</v>
      </c>
      <c r="AI466" s="29" t="str">
        <f t="shared" si="6"/>
        <v>----</v>
      </c>
      <c r="AJ466" s="38" t="str">
        <f t="shared" si="7"/>
        <v>Paper has link but no statement</v>
      </c>
      <c r="AK466" s="39">
        <v>45028.0</v>
      </c>
      <c r="AL466" s="23" t="s">
        <v>43</v>
      </c>
      <c r="AM466" s="40" t="str">
        <f t="shared" si="8"/>
        <v>[IP0918]</v>
      </c>
    </row>
    <row r="467" ht="67.5" customHeight="1">
      <c r="A467" s="41">
        <v>919.0</v>
      </c>
      <c r="B467" s="42" t="s">
        <v>1241</v>
      </c>
      <c r="C467" s="43">
        <v>2019.0</v>
      </c>
      <c r="D467" s="44" t="s">
        <v>35</v>
      </c>
      <c r="E467" s="45" t="s">
        <v>36</v>
      </c>
      <c r="F467" s="45" t="s">
        <v>36</v>
      </c>
      <c r="G467" s="45" t="s">
        <v>36</v>
      </c>
      <c r="H467" s="45" t="s">
        <v>36</v>
      </c>
      <c r="I467" s="45" t="s">
        <v>36</v>
      </c>
      <c r="J467" s="46" t="s">
        <v>36</v>
      </c>
      <c r="K467" s="47" t="s">
        <v>37</v>
      </c>
      <c r="L467" s="48" t="s">
        <v>37</v>
      </c>
      <c r="M467" s="48" t="s">
        <v>35</v>
      </c>
      <c r="N467" s="48" t="s">
        <v>35</v>
      </c>
      <c r="O467" s="48" t="s">
        <v>35</v>
      </c>
      <c r="P467" s="48" t="s">
        <v>35</v>
      </c>
      <c r="Q467" s="48" t="s">
        <v>35</v>
      </c>
      <c r="R467" s="48" t="s">
        <v>37</v>
      </c>
      <c r="S467" s="49" t="s">
        <v>1242</v>
      </c>
      <c r="T467" s="50" t="s">
        <v>1243</v>
      </c>
      <c r="U467" s="51" t="s">
        <v>1243</v>
      </c>
      <c r="V467" s="52">
        <f t="shared" ref="V467:X467" si="472">IF(lenb(SUBSTITUTE($Z467,V$1&amp;" (1)",""))&lt;lenb($Z467),1,IF(lenb(SUBSTITUTE($Z467,V$1&amp;" (2)",""))&lt;lenb($Z467),2,IF(lenb(SUBSTITUTE($Z467,V$1&amp;" (3)",""))&lt;lenb($Z467),3,IF(lenb(SUBSTITUTE($Z467,V$1&amp;" (4)",""))&lt;lenb($Z467),4,IF(lenb(SUBSTITUTE($Z467,V$1&amp;" (5)",""))&lt;lenb($Z467),5,IF(lenb(SUBSTITUTE($Z467,V$1&amp;" (6)",""))&lt;lenb($Z467),6,IF(lenb(SUBSTITUTE($Z467,V$1&amp;" (7)",""))&lt;lenb($Z467),1,IF(lenb(SUBSTITUTE($Z467,V$1&amp;" (8)",""))&lt;lenb($Z467),8,IF(lenb(SUBSTITUTE($Z467,V$1&amp;" (9)",""))&lt;lenb($Z467),9,IF(lenb(SUBSTITUTE($Z467,V$1&amp;" (10)",""))&lt;lenb($Z467),10,IF(lenb(SUBSTITUTE($Z467,V$1,""))&lt;lenb($Z467),"ERROR",IF($Z467=$Y$1,"-",0))))))))))))</f>
        <v>1</v>
      </c>
      <c r="W467" s="52">
        <f t="shared" si="472"/>
        <v>0</v>
      </c>
      <c r="X467" s="52">
        <f t="shared" si="472"/>
        <v>0</v>
      </c>
      <c r="Y467" s="52" t="str">
        <f t="shared" si="3"/>
        <v>-</v>
      </c>
      <c r="Z467" s="52" t="s">
        <v>62</v>
      </c>
      <c r="AA467" s="53">
        <f t="shared" si="4"/>
        <v>1</v>
      </c>
      <c r="AB467" s="54">
        <f>COUNTIFS(Links!B:B,"ICSE",Links!C:C,A467,Links!AD:AD,1)</f>
        <v>0</v>
      </c>
      <c r="AC467" s="55" t="s">
        <v>37</v>
      </c>
      <c r="AD467" s="47" t="str">
        <f t="shared" si="5"/>
        <v>No</v>
      </c>
      <c r="AE467" s="56" t="s">
        <v>36</v>
      </c>
      <c r="AF467" s="57" t="s">
        <v>42</v>
      </c>
      <c r="AG467" s="57" t="s">
        <v>42</v>
      </c>
      <c r="AH467" s="57" t="s">
        <v>42</v>
      </c>
      <c r="AI467" s="49" t="str">
        <f t="shared" si="6"/>
        <v>----</v>
      </c>
      <c r="AJ467" s="58" t="str">
        <f t="shared" si="7"/>
        <v>Paper has link but no statement</v>
      </c>
      <c r="AK467" s="59">
        <v>45028.0</v>
      </c>
      <c r="AL467" s="43" t="s">
        <v>43</v>
      </c>
      <c r="AM467" s="60" t="str">
        <f t="shared" si="8"/>
        <v>[IP0919]</v>
      </c>
    </row>
    <row r="468" ht="67.5" customHeight="1">
      <c r="A468" s="61">
        <v>920.0</v>
      </c>
      <c r="B468" s="22" t="s">
        <v>1244</v>
      </c>
      <c r="C468" s="23">
        <v>2019.0</v>
      </c>
      <c r="D468" s="24" t="s">
        <v>35</v>
      </c>
      <c r="E468" s="25" t="s">
        <v>36</v>
      </c>
      <c r="F468" s="25" t="s">
        <v>36</v>
      </c>
      <c r="G468" s="25" t="s">
        <v>36</v>
      </c>
      <c r="H468" s="25" t="s">
        <v>36</v>
      </c>
      <c r="I468" s="25" t="s">
        <v>36</v>
      </c>
      <c r="J468" s="26" t="s">
        <v>36</v>
      </c>
      <c r="K468" s="27" t="s">
        <v>35</v>
      </c>
      <c r="L468" s="28" t="s">
        <v>36</v>
      </c>
      <c r="M468" s="28" t="s">
        <v>36</v>
      </c>
      <c r="N468" s="28" t="s">
        <v>36</v>
      </c>
      <c r="O468" s="28" t="s">
        <v>36</v>
      </c>
      <c r="P468" s="28" t="s">
        <v>36</v>
      </c>
      <c r="Q468" s="28" t="s">
        <v>36</v>
      </c>
      <c r="R468" s="28" t="s">
        <v>36</v>
      </c>
      <c r="S468" s="29" t="s">
        <v>36</v>
      </c>
      <c r="T468" s="30" t="s">
        <v>36</v>
      </c>
      <c r="U468" s="31" t="s">
        <v>36</v>
      </c>
      <c r="V468" s="32" t="str">
        <f t="shared" ref="V468:X468" si="473">IF(lenb(SUBSTITUTE($Z468,V$1&amp;" (1)",""))&lt;lenb($Z468),1,IF(lenb(SUBSTITUTE($Z468,V$1&amp;" (2)",""))&lt;lenb($Z468),2,IF(lenb(SUBSTITUTE($Z468,V$1&amp;" (3)",""))&lt;lenb($Z468),3,IF(lenb(SUBSTITUTE($Z468,V$1&amp;" (4)",""))&lt;lenb($Z468),4,IF(lenb(SUBSTITUTE($Z468,V$1&amp;" (5)",""))&lt;lenb($Z468),5,IF(lenb(SUBSTITUTE($Z468,V$1&amp;" (6)",""))&lt;lenb($Z468),6,IF(lenb(SUBSTITUTE($Z468,V$1&amp;" (7)",""))&lt;lenb($Z468),1,IF(lenb(SUBSTITUTE($Z468,V$1&amp;" (8)",""))&lt;lenb($Z468),8,IF(lenb(SUBSTITUTE($Z468,V$1&amp;" (9)",""))&lt;lenb($Z468),9,IF(lenb(SUBSTITUTE($Z468,V$1&amp;" (10)",""))&lt;lenb($Z468),10,IF(lenb(SUBSTITUTE($Z468,V$1,""))&lt;lenb($Z468),"ERROR",IF($Z468=$Y$1,"-",0))))))))))))</f>
        <v>-</v>
      </c>
      <c r="W468" s="32" t="str">
        <f t="shared" si="473"/>
        <v>-</v>
      </c>
      <c r="X468" s="32" t="str">
        <f t="shared" si="473"/>
        <v>-</v>
      </c>
      <c r="Y468" s="32">
        <f t="shared" si="3"/>
        <v>1</v>
      </c>
      <c r="Z468" s="32" t="s">
        <v>23</v>
      </c>
      <c r="AA468" s="33">
        <f t="shared" si="4"/>
        <v>0</v>
      </c>
      <c r="AB468" s="34">
        <f>COUNTIFS(Links!B:B,"ICSE",Links!C:C,A468,Links!AD:AD,1)</f>
        <v>0</v>
      </c>
      <c r="AC468" s="35" t="s">
        <v>36</v>
      </c>
      <c r="AD468" s="27" t="str">
        <f t="shared" si="5"/>
        <v>No</v>
      </c>
      <c r="AE468" s="36" t="s">
        <v>36</v>
      </c>
      <c r="AF468" s="37" t="s">
        <v>42</v>
      </c>
      <c r="AG468" s="37" t="s">
        <v>42</v>
      </c>
      <c r="AH468" s="37" t="s">
        <v>42</v>
      </c>
      <c r="AI468" s="29" t="str">
        <f t="shared" si="6"/>
        <v>----</v>
      </c>
      <c r="AJ468" s="38" t="str">
        <f t="shared" si="7"/>
        <v>Paper has no link and no statement</v>
      </c>
      <c r="AK468" s="39">
        <v>45028.0</v>
      </c>
      <c r="AL468" s="23" t="s">
        <v>43</v>
      </c>
      <c r="AM468" s="40" t="str">
        <f t="shared" si="8"/>
        <v>[IP0920]</v>
      </c>
    </row>
    <row r="469" ht="67.5" customHeight="1">
      <c r="A469" s="41">
        <v>921.0</v>
      </c>
      <c r="B469" s="42" t="s">
        <v>1245</v>
      </c>
      <c r="C469" s="43">
        <v>2019.0</v>
      </c>
      <c r="D469" s="44" t="s">
        <v>35</v>
      </c>
      <c r="E469" s="45" t="s">
        <v>36</v>
      </c>
      <c r="F469" s="45" t="s">
        <v>36</v>
      </c>
      <c r="G469" s="45" t="s">
        <v>36</v>
      </c>
      <c r="H469" s="45" t="s">
        <v>36</v>
      </c>
      <c r="I469" s="45" t="s">
        <v>36</v>
      </c>
      <c r="J469" s="46" t="s">
        <v>36</v>
      </c>
      <c r="K469" s="47" t="s">
        <v>37</v>
      </c>
      <c r="L469" s="48" t="s">
        <v>37</v>
      </c>
      <c r="M469" s="48" t="s">
        <v>35</v>
      </c>
      <c r="N469" s="48" t="s">
        <v>37</v>
      </c>
      <c r="O469" s="48" t="s">
        <v>35</v>
      </c>
      <c r="P469" s="48" t="s">
        <v>35</v>
      </c>
      <c r="Q469" s="48" t="s">
        <v>35</v>
      </c>
      <c r="R469" s="48" t="s">
        <v>35</v>
      </c>
      <c r="S469" s="49" t="s">
        <v>802</v>
      </c>
      <c r="T469" s="50" t="s">
        <v>1246</v>
      </c>
      <c r="U469" s="51" t="s">
        <v>1246</v>
      </c>
      <c r="V469" s="52">
        <f t="shared" ref="V469:X469" si="474">IF(lenb(SUBSTITUTE($Z469,V$1&amp;" (1)",""))&lt;lenb($Z469),1,IF(lenb(SUBSTITUTE($Z469,V$1&amp;" (2)",""))&lt;lenb($Z469),2,IF(lenb(SUBSTITUTE($Z469,V$1&amp;" (3)",""))&lt;lenb($Z469),3,IF(lenb(SUBSTITUTE($Z469,V$1&amp;" (4)",""))&lt;lenb($Z469),4,IF(lenb(SUBSTITUTE($Z469,V$1&amp;" (5)",""))&lt;lenb($Z469),5,IF(lenb(SUBSTITUTE($Z469,V$1&amp;" (6)",""))&lt;lenb($Z469),6,IF(lenb(SUBSTITUTE($Z469,V$1&amp;" (7)",""))&lt;lenb($Z469),1,IF(lenb(SUBSTITUTE($Z469,V$1&amp;" (8)",""))&lt;lenb($Z469),8,IF(lenb(SUBSTITUTE($Z469,V$1&amp;" (9)",""))&lt;lenb($Z469),9,IF(lenb(SUBSTITUTE($Z469,V$1&amp;" (10)",""))&lt;lenb($Z469),10,IF(lenb(SUBSTITUTE($Z469,V$1,""))&lt;lenb($Z469),"ERROR",IF($Z469=$Y$1,"-",0))))))))))))</f>
        <v>1</v>
      </c>
      <c r="W469" s="52">
        <f t="shared" si="474"/>
        <v>0</v>
      </c>
      <c r="X469" s="52">
        <f t="shared" si="474"/>
        <v>0</v>
      </c>
      <c r="Y469" s="52" t="str">
        <f t="shared" si="3"/>
        <v>-</v>
      </c>
      <c r="Z469" s="52" t="s">
        <v>62</v>
      </c>
      <c r="AA469" s="53">
        <f t="shared" si="4"/>
        <v>1</v>
      </c>
      <c r="AB469" s="54">
        <f>COUNTIFS(Links!B:B,"ICSE",Links!C:C,A469,Links!AD:AD,1)</f>
        <v>0</v>
      </c>
      <c r="AC469" s="55" t="s">
        <v>35</v>
      </c>
      <c r="AD469" s="47" t="str">
        <f t="shared" si="5"/>
        <v>No</v>
      </c>
      <c r="AE469" s="56" t="s">
        <v>36</v>
      </c>
      <c r="AF469" s="57" t="s">
        <v>42</v>
      </c>
      <c r="AG469" s="57" t="s">
        <v>42</v>
      </c>
      <c r="AH469" s="57" t="s">
        <v>42</v>
      </c>
      <c r="AI469" s="49" t="str">
        <f t="shared" si="6"/>
        <v>----</v>
      </c>
      <c r="AJ469" s="58" t="str">
        <f t="shared" si="7"/>
        <v>Paper has link but no statement</v>
      </c>
      <c r="AK469" s="59">
        <v>45028.0</v>
      </c>
      <c r="AL469" s="43" t="s">
        <v>43</v>
      </c>
      <c r="AM469" s="60" t="str">
        <f t="shared" si="8"/>
        <v>[IP0921]</v>
      </c>
    </row>
    <row r="470" ht="67.5" customHeight="1">
      <c r="A470" s="61">
        <v>922.0</v>
      </c>
      <c r="B470" s="75" t="s">
        <v>1247</v>
      </c>
      <c r="C470" s="23">
        <v>2019.0</v>
      </c>
      <c r="D470" s="24" t="s">
        <v>37</v>
      </c>
      <c r="E470" s="25" t="s">
        <v>37</v>
      </c>
      <c r="F470" s="25" t="s">
        <v>35</v>
      </c>
      <c r="G470" s="25" t="s">
        <v>35</v>
      </c>
      <c r="H470" s="25" t="s">
        <v>35</v>
      </c>
      <c r="I470" s="25" t="s">
        <v>35</v>
      </c>
      <c r="J470" s="26" t="s">
        <v>36</v>
      </c>
      <c r="K470" s="27" t="s">
        <v>37</v>
      </c>
      <c r="L470" s="28" t="s">
        <v>35</v>
      </c>
      <c r="M470" s="28" t="s">
        <v>35</v>
      </c>
      <c r="N470" s="28" t="s">
        <v>37</v>
      </c>
      <c r="O470" s="28" t="s">
        <v>35</v>
      </c>
      <c r="P470" s="28" t="s">
        <v>35</v>
      </c>
      <c r="Q470" s="28" t="s">
        <v>35</v>
      </c>
      <c r="R470" s="28" t="s">
        <v>37</v>
      </c>
      <c r="S470" s="29" t="s">
        <v>1248</v>
      </c>
      <c r="T470" s="30" t="s">
        <v>1249</v>
      </c>
      <c r="U470" s="31" t="s">
        <v>1249</v>
      </c>
      <c r="V470" s="32">
        <f t="shared" ref="V470:X470" si="475">IF(lenb(SUBSTITUTE($Z470,V$1&amp;" (1)",""))&lt;lenb($Z470),1,IF(lenb(SUBSTITUTE($Z470,V$1&amp;" (2)",""))&lt;lenb($Z470),2,IF(lenb(SUBSTITUTE($Z470,V$1&amp;" (3)",""))&lt;lenb($Z470),3,IF(lenb(SUBSTITUTE($Z470,V$1&amp;" (4)",""))&lt;lenb($Z470),4,IF(lenb(SUBSTITUTE($Z470,V$1&amp;" (5)",""))&lt;lenb($Z470),5,IF(lenb(SUBSTITUTE($Z470,V$1&amp;" (6)",""))&lt;lenb($Z470),6,IF(lenb(SUBSTITUTE($Z470,V$1&amp;" (7)",""))&lt;lenb($Z470),1,IF(lenb(SUBSTITUTE($Z470,V$1&amp;" (8)",""))&lt;lenb($Z470),8,IF(lenb(SUBSTITUTE($Z470,V$1&amp;" (9)",""))&lt;lenb($Z470),9,IF(lenb(SUBSTITUTE($Z470,V$1&amp;" (10)",""))&lt;lenb($Z470),10,IF(lenb(SUBSTITUTE($Z470,V$1,""))&lt;lenb($Z470),"ERROR",IF($Z470=$Y$1,"-",0))))))))))))</f>
        <v>1</v>
      </c>
      <c r="W470" s="32">
        <f t="shared" si="475"/>
        <v>0</v>
      </c>
      <c r="X470" s="32">
        <f t="shared" si="475"/>
        <v>0</v>
      </c>
      <c r="Y470" s="32" t="str">
        <f t="shared" si="3"/>
        <v>-</v>
      </c>
      <c r="Z470" s="32" t="s">
        <v>62</v>
      </c>
      <c r="AA470" s="33">
        <f t="shared" si="4"/>
        <v>1</v>
      </c>
      <c r="AB470" s="34">
        <f>COUNTIFS(Links!B:B,"ICSE",Links!C:C,A470,Links!AD:AD,1)</f>
        <v>0</v>
      </c>
      <c r="AC470" s="35" t="s">
        <v>35</v>
      </c>
      <c r="AD470" s="27" t="str">
        <f t="shared" si="5"/>
        <v>Yes</v>
      </c>
      <c r="AE470" s="36" t="s">
        <v>1250</v>
      </c>
      <c r="AF470" s="36" t="s">
        <v>1251</v>
      </c>
      <c r="AG470" s="37" t="s">
        <v>42</v>
      </c>
      <c r="AH470" s="37" t="s">
        <v>42</v>
      </c>
      <c r="AI470" s="29" t="str">
        <f t="shared" si="6"/>
        <v>Barriers (Technical issues)</v>
      </c>
      <c r="AJ470" s="38" t="str">
        <f t="shared" si="7"/>
        <v>Paper has link and statement</v>
      </c>
      <c r="AK470" s="39">
        <v>45028.0</v>
      </c>
      <c r="AL470" s="23" t="s">
        <v>43</v>
      </c>
      <c r="AM470" s="40" t="str">
        <f t="shared" si="8"/>
        <v>[IP0922]</v>
      </c>
    </row>
    <row r="471" ht="67.5" customHeight="1">
      <c r="A471" s="41">
        <v>923.0</v>
      </c>
      <c r="B471" s="42" t="s">
        <v>1252</v>
      </c>
      <c r="C471" s="43">
        <v>2019.0</v>
      </c>
      <c r="D471" s="44" t="s">
        <v>35</v>
      </c>
      <c r="E471" s="45" t="s">
        <v>36</v>
      </c>
      <c r="F471" s="45" t="s">
        <v>36</v>
      </c>
      <c r="G471" s="45" t="s">
        <v>36</v>
      </c>
      <c r="H471" s="45" t="s">
        <v>36</v>
      </c>
      <c r="I471" s="45" t="s">
        <v>36</v>
      </c>
      <c r="J471" s="46" t="s">
        <v>36</v>
      </c>
      <c r="K471" s="47" t="s">
        <v>35</v>
      </c>
      <c r="L471" s="48" t="s">
        <v>36</v>
      </c>
      <c r="M471" s="48" t="s">
        <v>36</v>
      </c>
      <c r="N471" s="48" t="s">
        <v>36</v>
      </c>
      <c r="O471" s="48" t="s">
        <v>36</v>
      </c>
      <c r="P471" s="48" t="s">
        <v>36</v>
      </c>
      <c r="Q471" s="48" t="s">
        <v>36</v>
      </c>
      <c r="R471" s="48" t="s">
        <v>36</v>
      </c>
      <c r="S471" s="49" t="s">
        <v>36</v>
      </c>
      <c r="T471" s="50" t="s">
        <v>36</v>
      </c>
      <c r="U471" s="51" t="s">
        <v>36</v>
      </c>
      <c r="V471" s="52" t="str">
        <f t="shared" ref="V471:X471" si="476">IF(lenb(SUBSTITUTE($Z471,V$1&amp;" (1)",""))&lt;lenb($Z471),1,IF(lenb(SUBSTITUTE($Z471,V$1&amp;" (2)",""))&lt;lenb($Z471),2,IF(lenb(SUBSTITUTE($Z471,V$1&amp;" (3)",""))&lt;lenb($Z471),3,IF(lenb(SUBSTITUTE($Z471,V$1&amp;" (4)",""))&lt;lenb($Z471),4,IF(lenb(SUBSTITUTE($Z471,V$1&amp;" (5)",""))&lt;lenb($Z471),5,IF(lenb(SUBSTITUTE($Z471,V$1&amp;" (6)",""))&lt;lenb($Z471),6,IF(lenb(SUBSTITUTE($Z471,V$1&amp;" (7)",""))&lt;lenb($Z471),1,IF(lenb(SUBSTITUTE($Z471,V$1&amp;" (8)",""))&lt;lenb($Z471),8,IF(lenb(SUBSTITUTE($Z471,V$1&amp;" (9)",""))&lt;lenb($Z471),9,IF(lenb(SUBSTITUTE($Z471,V$1&amp;" (10)",""))&lt;lenb($Z471),10,IF(lenb(SUBSTITUTE($Z471,V$1,""))&lt;lenb($Z471),"ERROR",IF($Z471=$Y$1,"-",0))))))))))))</f>
        <v>-</v>
      </c>
      <c r="W471" s="52" t="str">
        <f t="shared" si="476"/>
        <v>-</v>
      </c>
      <c r="X471" s="52" t="str">
        <f t="shared" si="476"/>
        <v>-</v>
      </c>
      <c r="Y471" s="52">
        <f t="shared" si="3"/>
        <v>1</v>
      </c>
      <c r="Z471" s="52" t="s">
        <v>23</v>
      </c>
      <c r="AA471" s="53">
        <f t="shared" si="4"/>
        <v>0</v>
      </c>
      <c r="AB471" s="54">
        <f>COUNTIFS(Links!B:B,"ICSE",Links!C:C,A471,Links!AD:AD,1)</f>
        <v>0</v>
      </c>
      <c r="AC471" s="55" t="s">
        <v>36</v>
      </c>
      <c r="AD471" s="47" t="str">
        <f t="shared" si="5"/>
        <v>No</v>
      </c>
      <c r="AE471" s="56" t="s">
        <v>36</v>
      </c>
      <c r="AF471" s="57" t="s">
        <v>42</v>
      </c>
      <c r="AG471" s="57" t="s">
        <v>42</v>
      </c>
      <c r="AH471" s="57" t="s">
        <v>42</v>
      </c>
      <c r="AI471" s="49" t="str">
        <f t="shared" si="6"/>
        <v>----</v>
      </c>
      <c r="AJ471" s="58" t="str">
        <f t="shared" si="7"/>
        <v>Paper has no link and no statement</v>
      </c>
      <c r="AK471" s="59">
        <v>45028.0</v>
      </c>
      <c r="AL471" s="43" t="s">
        <v>43</v>
      </c>
      <c r="AM471" s="60" t="str">
        <f t="shared" si="8"/>
        <v>[IP0923]</v>
      </c>
    </row>
    <row r="472" ht="67.5" customHeight="1">
      <c r="A472" s="61">
        <v>924.0</v>
      </c>
      <c r="B472" s="22" t="s">
        <v>1253</v>
      </c>
      <c r="C472" s="23">
        <v>2019.0</v>
      </c>
      <c r="D472" s="24" t="s">
        <v>35</v>
      </c>
      <c r="E472" s="25" t="s">
        <v>36</v>
      </c>
      <c r="F472" s="25" t="s">
        <v>36</v>
      </c>
      <c r="G472" s="25" t="s">
        <v>36</v>
      </c>
      <c r="H472" s="25" t="s">
        <v>36</v>
      </c>
      <c r="I472" s="25" t="s">
        <v>36</v>
      </c>
      <c r="J472" s="26" t="s">
        <v>36</v>
      </c>
      <c r="K472" s="27" t="s">
        <v>37</v>
      </c>
      <c r="L472" s="28" t="s">
        <v>35</v>
      </c>
      <c r="M472" s="28" t="s">
        <v>37</v>
      </c>
      <c r="N472" s="28" t="s">
        <v>35</v>
      </c>
      <c r="O472" s="28" t="s">
        <v>35</v>
      </c>
      <c r="P472" s="28" t="s">
        <v>35</v>
      </c>
      <c r="Q472" s="28" t="s">
        <v>35</v>
      </c>
      <c r="R472" s="28" t="s">
        <v>37</v>
      </c>
      <c r="S472" s="29" t="s">
        <v>1254</v>
      </c>
      <c r="T472" s="30" t="s">
        <v>1255</v>
      </c>
      <c r="U472" s="31" t="s">
        <v>1255</v>
      </c>
      <c r="V472" s="32">
        <f t="shared" ref="V472:X472" si="477">IF(lenb(SUBSTITUTE($Z472,V$1&amp;" (1)",""))&lt;lenb($Z472),1,IF(lenb(SUBSTITUTE($Z472,V$1&amp;" (2)",""))&lt;lenb($Z472),2,IF(lenb(SUBSTITUTE($Z472,V$1&amp;" (3)",""))&lt;lenb($Z472),3,IF(lenb(SUBSTITUTE($Z472,V$1&amp;" (4)",""))&lt;lenb($Z472),4,IF(lenb(SUBSTITUTE($Z472,V$1&amp;" (5)",""))&lt;lenb($Z472),5,IF(lenb(SUBSTITUTE($Z472,V$1&amp;" (6)",""))&lt;lenb($Z472),6,IF(lenb(SUBSTITUTE($Z472,V$1&amp;" (7)",""))&lt;lenb($Z472),1,IF(lenb(SUBSTITUTE($Z472,V$1&amp;" (8)",""))&lt;lenb($Z472),8,IF(lenb(SUBSTITUTE($Z472,V$1&amp;" (9)",""))&lt;lenb($Z472),9,IF(lenb(SUBSTITUTE($Z472,V$1&amp;" (10)",""))&lt;lenb($Z472),10,IF(lenb(SUBSTITUTE($Z472,V$1,""))&lt;lenb($Z472),"ERROR",IF($Z472=$Y$1,"-",0))))))))))))</f>
        <v>1</v>
      </c>
      <c r="W472" s="32">
        <f t="shared" si="477"/>
        <v>0</v>
      </c>
      <c r="X472" s="32">
        <f t="shared" si="477"/>
        <v>0</v>
      </c>
      <c r="Y472" s="32" t="str">
        <f t="shared" si="3"/>
        <v>-</v>
      </c>
      <c r="Z472" s="32" t="s">
        <v>62</v>
      </c>
      <c r="AA472" s="33">
        <f t="shared" si="4"/>
        <v>1</v>
      </c>
      <c r="AB472" s="34">
        <f>COUNTIFS(Links!B:B,"ICSE",Links!C:C,A472,Links!AD:AD,1)</f>
        <v>0</v>
      </c>
      <c r="AC472" s="35" t="s">
        <v>35</v>
      </c>
      <c r="AD472" s="27" t="str">
        <f t="shared" si="5"/>
        <v>No</v>
      </c>
      <c r="AE472" s="36" t="s">
        <v>36</v>
      </c>
      <c r="AF472" s="37" t="s">
        <v>42</v>
      </c>
      <c r="AG472" s="37" t="s">
        <v>42</v>
      </c>
      <c r="AH472" s="37" t="s">
        <v>42</v>
      </c>
      <c r="AI472" s="29" t="str">
        <f t="shared" si="6"/>
        <v>----</v>
      </c>
      <c r="AJ472" s="38" t="str">
        <f t="shared" si="7"/>
        <v>Paper has link but no statement</v>
      </c>
      <c r="AK472" s="39">
        <v>45028.0</v>
      </c>
      <c r="AL472" s="23" t="s">
        <v>43</v>
      </c>
      <c r="AM472" s="40" t="str">
        <f t="shared" si="8"/>
        <v>[IP0924]</v>
      </c>
    </row>
    <row r="473" ht="67.5" customHeight="1">
      <c r="A473" s="41">
        <v>925.0</v>
      </c>
      <c r="B473" s="42" t="s">
        <v>1256</v>
      </c>
      <c r="C473" s="43">
        <v>2019.0</v>
      </c>
      <c r="D473" s="44" t="s">
        <v>35</v>
      </c>
      <c r="E473" s="45" t="s">
        <v>36</v>
      </c>
      <c r="F473" s="45" t="s">
        <v>36</v>
      </c>
      <c r="G473" s="45" t="s">
        <v>36</v>
      </c>
      <c r="H473" s="45" t="s">
        <v>36</v>
      </c>
      <c r="I473" s="45" t="s">
        <v>36</v>
      </c>
      <c r="J473" s="46" t="s">
        <v>36</v>
      </c>
      <c r="K473" s="47" t="s">
        <v>35</v>
      </c>
      <c r="L473" s="48" t="s">
        <v>36</v>
      </c>
      <c r="M473" s="48" t="s">
        <v>36</v>
      </c>
      <c r="N473" s="48" t="s">
        <v>36</v>
      </c>
      <c r="O473" s="48" t="s">
        <v>36</v>
      </c>
      <c r="P473" s="48" t="s">
        <v>36</v>
      </c>
      <c r="Q473" s="48" t="s">
        <v>36</v>
      </c>
      <c r="R473" s="48" t="s">
        <v>36</v>
      </c>
      <c r="S473" s="49" t="s">
        <v>36</v>
      </c>
      <c r="T473" s="50" t="s">
        <v>36</v>
      </c>
      <c r="U473" s="51" t="s">
        <v>36</v>
      </c>
      <c r="V473" s="52" t="str">
        <f t="shared" ref="V473:X473" si="478">IF(lenb(SUBSTITUTE($Z473,V$1&amp;" (1)",""))&lt;lenb($Z473),1,IF(lenb(SUBSTITUTE($Z473,V$1&amp;" (2)",""))&lt;lenb($Z473),2,IF(lenb(SUBSTITUTE($Z473,V$1&amp;" (3)",""))&lt;lenb($Z473),3,IF(lenb(SUBSTITUTE($Z473,V$1&amp;" (4)",""))&lt;lenb($Z473),4,IF(lenb(SUBSTITUTE($Z473,V$1&amp;" (5)",""))&lt;lenb($Z473),5,IF(lenb(SUBSTITUTE($Z473,V$1&amp;" (6)",""))&lt;lenb($Z473),6,IF(lenb(SUBSTITUTE($Z473,V$1&amp;" (7)",""))&lt;lenb($Z473),1,IF(lenb(SUBSTITUTE($Z473,V$1&amp;" (8)",""))&lt;lenb($Z473),8,IF(lenb(SUBSTITUTE($Z473,V$1&amp;" (9)",""))&lt;lenb($Z473),9,IF(lenb(SUBSTITUTE($Z473,V$1&amp;" (10)",""))&lt;lenb($Z473),10,IF(lenb(SUBSTITUTE($Z473,V$1,""))&lt;lenb($Z473),"ERROR",IF($Z473=$Y$1,"-",0))))))))))))</f>
        <v>-</v>
      </c>
      <c r="W473" s="52" t="str">
        <f t="shared" si="478"/>
        <v>-</v>
      </c>
      <c r="X473" s="52" t="str">
        <f t="shared" si="478"/>
        <v>-</v>
      </c>
      <c r="Y473" s="52">
        <f t="shared" si="3"/>
        <v>1</v>
      </c>
      <c r="Z473" s="52" t="s">
        <v>23</v>
      </c>
      <c r="AA473" s="53">
        <f t="shared" si="4"/>
        <v>0</v>
      </c>
      <c r="AB473" s="54">
        <f>COUNTIFS(Links!B:B,"ICSE",Links!C:C,A473,Links!AD:AD,1)</f>
        <v>0</v>
      </c>
      <c r="AC473" s="55" t="s">
        <v>36</v>
      </c>
      <c r="AD473" s="47" t="str">
        <f t="shared" si="5"/>
        <v>No</v>
      </c>
      <c r="AE473" s="56" t="s">
        <v>36</v>
      </c>
      <c r="AF473" s="57" t="s">
        <v>42</v>
      </c>
      <c r="AG473" s="57" t="s">
        <v>42</v>
      </c>
      <c r="AH473" s="57" t="s">
        <v>42</v>
      </c>
      <c r="AI473" s="49" t="str">
        <f t="shared" si="6"/>
        <v>----</v>
      </c>
      <c r="AJ473" s="58" t="str">
        <f t="shared" si="7"/>
        <v>Paper has no link and no statement</v>
      </c>
      <c r="AK473" s="59">
        <v>45028.0</v>
      </c>
      <c r="AL473" s="43" t="s">
        <v>43</v>
      </c>
      <c r="AM473" s="60" t="str">
        <f t="shared" si="8"/>
        <v>[IP0925]</v>
      </c>
    </row>
    <row r="474" ht="67.5" customHeight="1">
      <c r="A474" s="61">
        <v>926.0</v>
      </c>
      <c r="B474" s="75" t="s">
        <v>1257</v>
      </c>
      <c r="C474" s="23">
        <v>2019.0</v>
      </c>
      <c r="D474" s="24" t="s">
        <v>37</v>
      </c>
      <c r="E474" s="25" t="s">
        <v>37</v>
      </c>
      <c r="F474" s="25" t="s">
        <v>35</v>
      </c>
      <c r="G474" s="25" t="s">
        <v>35</v>
      </c>
      <c r="H474" s="25" t="s">
        <v>35</v>
      </c>
      <c r="I474" s="25" t="s">
        <v>35</v>
      </c>
      <c r="J474" s="26" t="s">
        <v>36</v>
      </c>
      <c r="K474" s="27" t="s">
        <v>37</v>
      </c>
      <c r="L474" s="28" t="s">
        <v>35</v>
      </c>
      <c r="M474" s="28" t="s">
        <v>35</v>
      </c>
      <c r="N474" s="28" t="s">
        <v>35</v>
      </c>
      <c r="O474" s="28" t="s">
        <v>37</v>
      </c>
      <c r="P474" s="28" t="s">
        <v>35</v>
      </c>
      <c r="Q474" s="28" t="s">
        <v>35</v>
      </c>
      <c r="R474" s="28" t="s">
        <v>35</v>
      </c>
      <c r="S474" s="29" t="s">
        <v>819</v>
      </c>
      <c r="T474" s="30" t="s">
        <v>1258</v>
      </c>
      <c r="U474" s="31" t="s">
        <v>1258</v>
      </c>
      <c r="V474" s="32">
        <f t="shared" ref="V474:X474" si="479">IF(lenb(SUBSTITUTE($Z474,V$1&amp;" (1)",""))&lt;lenb($Z474),1,IF(lenb(SUBSTITUTE($Z474,V$1&amp;" (2)",""))&lt;lenb($Z474),2,IF(lenb(SUBSTITUTE($Z474,V$1&amp;" (3)",""))&lt;lenb($Z474),3,IF(lenb(SUBSTITUTE($Z474,V$1&amp;" (4)",""))&lt;lenb($Z474),4,IF(lenb(SUBSTITUTE($Z474,V$1&amp;" (5)",""))&lt;lenb($Z474),5,IF(lenb(SUBSTITUTE($Z474,V$1&amp;" (6)",""))&lt;lenb($Z474),6,IF(lenb(SUBSTITUTE($Z474,V$1&amp;" (7)",""))&lt;lenb($Z474),1,IF(lenb(SUBSTITUTE($Z474,V$1&amp;" (8)",""))&lt;lenb($Z474),8,IF(lenb(SUBSTITUTE($Z474,V$1&amp;" (9)",""))&lt;lenb($Z474),9,IF(lenb(SUBSTITUTE($Z474,V$1&amp;" (10)",""))&lt;lenb($Z474),10,IF(lenb(SUBSTITUTE($Z474,V$1,""))&lt;lenb($Z474),"ERROR",IF($Z474=$Y$1,"-",0))))))))))))</f>
        <v>1</v>
      </c>
      <c r="W474" s="32">
        <f t="shared" si="479"/>
        <v>0</v>
      </c>
      <c r="X474" s="32">
        <f t="shared" si="479"/>
        <v>0</v>
      </c>
      <c r="Y474" s="32" t="str">
        <f t="shared" si="3"/>
        <v>-</v>
      </c>
      <c r="Z474" s="32" t="s">
        <v>62</v>
      </c>
      <c r="AA474" s="33">
        <f t="shared" si="4"/>
        <v>1</v>
      </c>
      <c r="AB474" s="34">
        <f>COUNTIFS(Links!B:B,"ICSE",Links!C:C,A474,Links!AD:AD,1)</f>
        <v>0</v>
      </c>
      <c r="AC474" s="35" t="s">
        <v>35</v>
      </c>
      <c r="AD474" s="27" t="str">
        <f t="shared" si="5"/>
        <v>No</v>
      </c>
      <c r="AE474" s="36" t="s">
        <v>36</v>
      </c>
      <c r="AF474" s="37" t="s">
        <v>42</v>
      </c>
      <c r="AG474" s="37" t="s">
        <v>42</v>
      </c>
      <c r="AH474" s="37" t="s">
        <v>42</v>
      </c>
      <c r="AI474" s="29" t="str">
        <f t="shared" si="6"/>
        <v>----</v>
      </c>
      <c r="AJ474" s="38" t="str">
        <f t="shared" si="7"/>
        <v>Paper has link but no statement</v>
      </c>
      <c r="AK474" s="39">
        <v>45028.0</v>
      </c>
      <c r="AL474" s="23" t="s">
        <v>43</v>
      </c>
      <c r="AM474" s="40" t="str">
        <f t="shared" si="8"/>
        <v>[IP0926]</v>
      </c>
    </row>
    <row r="475" ht="67.5" customHeight="1">
      <c r="A475" s="41">
        <v>927.0</v>
      </c>
      <c r="B475" s="42" t="s">
        <v>1259</v>
      </c>
      <c r="C475" s="43">
        <v>2019.0</v>
      </c>
      <c r="D475" s="44" t="s">
        <v>35</v>
      </c>
      <c r="E475" s="45" t="s">
        <v>36</v>
      </c>
      <c r="F475" s="45" t="s">
        <v>36</v>
      </c>
      <c r="G475" s="45" t="s">
        <v>36</v>
      </c>
      <c r="H475" s="45" t="s">
        <v>36</v>
      </c>
      <c r="I475" s="45" t="s">
        <v>36</v>
      </c>
      <c r="J475" s="46" t="s">
        <v>36</v>
      </c>
      <c r="K475" s="47" t="s">
        <v>37</v>
      </c>
      <c r="L475" s="48" t="s">
        <v>35</v>
      </c>
      <c r="M475" s="48" t="s">
        <v>35</v>
      </c>
      <c r="N475" s="48" t="s">
        <v>35</v>
      </c>
      <c r="O475" s="48" t="s">
        <v>35</v>
      </c>
      <c r="P475" s="48" t="s">
        <v>35</v>
      </c>
      <c r="Q475" s="48" t="s">
        <v>37</v>
      </c>
      <c r="R475" s="48" t="s">
        <v>35</v>
      </c>
      <c r="S475" s="49" t="s">
        <v>1260</v>
      </c>
      <c r="T475" s="50" t="s">
        <v>1261</v>
      </c>
      <c r="U475" s="51" t="s">
        <v>1262</v>
      </c>
      <c r="V475" s="52">
        <f t="shared" ref="V475:X475" si="480">IF(lenb(SUBSTITUTE($Z475,V$1&amp;" (1)",""))&lt;lenb($Z475),1,IF(lenb(SUBSTITUTE($Z475,V$1&amp;" (2)",""))&lt;lenb($Z475),2,IF(lenb(SUBSTITUTE($Z475,V$1&amp;" (3)",""))&lt;lenb($Z475),3,IF(lenb(SUBSTITUTE($Z475,V$1&amp;" (4)",""))&lt;lenb($Z475),4,IF(lenb(SUBSTITUTE($Z475,V$1&amp;" (5)",""))&lt;lenb($Z475),5,IF(lenb(SUBSTITUTE($Z475,V$1&amp;" (6)",""))&lt;lenb($Z475),6,IF(lenb(SUBSTITUTE($Z475,V$1&amp;" (7)",""))&lt;lenb($Z475),1,IF(lenb(SUBSTITUTE($Z475,V$1&amp;" (8)",""))&lt;lenb($Z475),8,IF(lenb(SUBSTITUTE($Z475,V$1&amp;" (9)",""))&lt;lenb($Z475),9,IF(lenb(SUBSTITUTE($Z475,V$1&amp;" (10)",""))&lt;lenb($Z475),10,IF(lenb(SUBSTITUTE($Z475,V$1,""))&lt;lenb($Z475),"ERROR",IF($Z475=$Y$1,"-",0))))))))))))</f>
        <v>1</v>
      </c>
      <c r="W475" s="52">
        <f t="shared" si="480"/>
        <v>0</v>
      </c>
      <c r="X475" s="52">
        <f t="shared" si="480"/>
        <v>0</v>
      </c>
      <c r="Y475" s="52" t="str">
        <f t="shared" si="3"/>
        <v>-</v>
      </c>
      <c r="Z475" s="52" t="s">
        <v>62</v>
      </c>
      <c r="AA475" s="53">
        <f t="shared" si="4"/>
        <v>1</v>
      </c>
      <c r="AB475" s="54">
        <f>COUNTIFS(Links!B:B,"ICSE",Links!C:C,A475,Links!AD:AD,1)</f>
        <v>0</v>
      </c>
      <c r="AC475" s="55" t="s">
        <v>35</v>
      </c>
      <c r="AD475" s="47" t="str">
        <f t="shared" si="5"/>
        <v>No</v>
      </c>
      <c r="AE475" s="56" t="s">
        <v>36</v>
      </c>
      <c r="AF475" s="57" t="s">
        <v>42</v>
      </c>
      <c r="AG475" s="57" t="s">
        <v>42</v>
      </c>
      <c r="AH475" s="57" t="s">
        <v>42</v>
      </c>
      <c r="AI475" s="49" t="str">
        <f t="shared" si="6"/>
        <v>----</v>
      </c>
      <c r="AJ475" s="58" t="str">
        <f t="shared" si="7"/>
        <v>Paper has link but no statement</v>
      </c>
      <c r="AK475" s="59">
        <v>45028.0</v>
      </c>
      <c r="AL475" s="43" t="s">
        <v>43</v>
      </c>
      <c r="AM475" s="60" t="str">
        <f t="shared" si="8"/>
        <v>[IP0927]</v>
      </c>
    </row>
    <row r="476" ht="67.5" customHeight="1">
      <c r="A476" s="61">
        <v>928.0</v>
      </c>
      <c r="B476" s="75" t="s">
        <v>1263</v>
      </c>
      <c r="C476" s="23">
        <v>2019.0</v>
      </c>
      <c r="D476" s="24" t="s">
        <v>37</v>
      </c>
      <c r="E476" s="25" t="s">
        <v>37</v>
      </c>
      <c r="F476" s="25" t="s">
        <v>35</v>
      </c>
      <c r="G476" s="25" t="s">
        <v>37</v>
      </c>
      <c r="H476" s="25" t="s">
        <v>35</v>
      </c>
      <c r="I476" s="25" t="s">
        <v>35</v>
      </c>
      <c r="J476" s="26" t="s">
        <v>36</v>
      </c>
      <c r="K476" s="27" t="s">
        <v>37</v>
      </c>
      <c r="L476" s="28" t="s">
        <v>37</v>
      </c>
      <c r="M476" s="28" t="s">
        <v>35</v>
      </c>
      <c r="N476" s="28" t="s">
        <v>37</v>
      </c>
      <c r="O476" s="28" t="s">
        <v>35</v>
      </c>
      <c r="P476" s="28" t="s">
        <v>35</v>
      </c>
      <c r="Q476" s="28" t="s">
        <v>35</v>
      </c>
      <c r="R476" s="28" t="s">
        <v>35</v>
      </c>
      <c r="S476" s="29" t="s">
        <v>340</v>
      </c>
      <c r="T476" s="30" t="s">
        <v>1264</v>
      </c>
      <c r="U476" s="31" t="s">
        <v>1264</v>
      </c>
      <c r="V476" s="32">
        <f t="shared" ref="V476:X476" si="481">IF(lenb(SUBSTITUTE($Z476,V$1&amp;" (1)",""))&lt;lenb($Z476),1,IF(lenb(SUBSTITUTE($Z476,V$1&amp;" (2)",""))&lt;lenb($Z476),2,IF(lenb(SUBSTITUTE($Z476,V$1&amp;" (3)",""))&lt;lenb($Z476),3,IF(lenb(SUBSTITUTE($Z476,V$1&amp;" (4)",""))&lt;lenb($Z476),4,IF(lenb(SUBSTITUTE($Z476,V$1&amp;" (5)",""))&lt;lenb($Z476),5,IF(lenb(SUBSTITUTE($Z476,V$1&amp;" (6)",""))&lt;lenb($Z476),6,IF(lenb(SUBSTITUTE($Z476,V$1&amp;" (7)",""))&lt;lenb($Z476),1,IF(lenb(SUBSTITUTE($Z476,V$1&amp;" (8)",""))&lt;lenb($Z476),8,IF(lenb(SUBSTITUTE($Z476,V$1&amp;" (9)",""))&lt;lenb($Z476),9,IF(lenb(SUBSTITUTE($Z476,V$1&amp;" (10)",""))&lt;lenb($Z476),10,IF(lenb(SUBSTITUTE($Z476,V$1,""))&lt;lenb($Z476),"ERROR",IF($Z476=$Y$1,"-",0))))))))))))</f>
        <v>1</v>
      </c>
      <c r="W476" s="32">
        <f t="shared" si="481"/>
        <v>0</v>
      </c>
      <c r="X476" s="32">
        <f t="shared" si="481"/>
        <v>0</v>
      </c>
      <c r="Y476" s="32" t="str">
        <f t="shared" si="3"/>
        <v>-</v>
      </c>
      <c r="Z476" s="32" t="s">
        <v>62</v>
      </c>
      <c r="AA476" s="33">
        <f t="shared" si="4"/>
        <v>1</v>
      </c>
      <c r="AB476" s="34">
        <f>COUNTIFS(Links!B:B,"ICSE",Links!C:C,A476,Links!AD:AD,1)</f>
        <v>0</v>
      </c>
      <c r="AC476" s="35" t="s">
        <v>35</v>
      </c>
      <c r="AD476" s="27" t="str">
        <f t="shared" si="5"/>
        <v>No</v>
      </c>
      <c r="AE476" s="36" t="s">
        <v>36</v>
      </c>
      <c r="AF476" s="37" t="s">
        <v>42</v>
      </c>
      <c r="AG476" s="37" t="s">
        <v>42</v>
      </c>
      <c r="AH476" s="37" t="s">
        <v>42</v>
      </c>
      <c r="AI476" s="29" t="str">
        <f t="shared" si="6"/>
        <v>----</v>
      </c>
      <c r="AJ476" s="38" t="str">
        <f t="shared" si="7"/>
        <v>Paper has link but no statement</v>
      </c>
      <c r="AK476" s="39">
        <v>45028.0</v>
      </c>
      <c r="AL476" s="23" t="s">
        <v>43</v>
      </c>
      <c r="AM476" s="40" t="str">
        <f t="shared" si="8"/>
        <v>[IP0928]</v>
      </c>
    </row>
    <row r="477" ht="67.5" customHeight="1">
      <c r="A477" s="41">
        <v>929.0</v>
      </c>
      <c r="B477" s="42" t="s">
        <v>1265</v>
      </c>
      <c r="C477" s="43">
        <v>2019.0</v>
      </c>
      <c r="D477" s="44" t="s">
        <v>35</v>
      </c>
      <c r="E477" s="45" t="s">
        <v>36</v>
      </c>
      <c r="F477" s="45" t="s">
        <v>36</v>
      </c>
      <c r="G477" s="45" t="s">
        <v>36</v>
      </c>
      <c r="H477" s="45" t="s">
        <v>36</v>
      </c>
      <c r="I477" s="45" t="s">
        <v>36</v>
      </c>
      <c r="J477" s="46" t="s">
        <v>36</v>
      </c>
      <c r="K477" s="47" t="s">
        <v>37</v>
      </c>
      <c r="L477" s="48" t="s">
        <v>35</v>
      </c>
      <c r="M477" s="48" t="s">
        <v>37</v>
      </c>
      <c r="N477" s="48" t="s">
        <v>37</v>
      </c>
      <c r="O477" s="48" t="s">
        <v>35</v>
      </c>
      <c r="P477" s="48" t="s">
        <v>35</v>
      </c>
      <c r="Q477" s="48" t="s">
        <v>35</v>
      </c>
      <c r="R477" s="48" t="s">
        <v>37</v>
      </c>
      <c r="S477" s="49" t="s">
        <v>1266</v>
      </c>
      <c r="T477" s="50" t="s">
        <v>1267</v>
      </c>
      <c r="U477" s="51" t="s">
        <v>1267</v>
      </c>
      <c r="V477" s="52">
        <f t="shared" ref="V477:X477" si="482">IF(lenb(SUBSTITUTE($Z477,V$1&amp;" (1)",""))&lt;lenb($Z477),1,IF(lenb(SUBSTITUTE($Z477,V$1&amp;" (2)",""))&lt;lenb($Z477),2,IF(lenb(SUBSTITUTE($Z477,V$1&amp;" (3)",""))&lt;lenb($Z477),3,IF(lenb(SUBSTITUTE($Z477,V$1&amp;" (4)",""))&lt;lenb($Z477),4,IF(lenb(SUBSTITUTE($Z477,V$1&amp;" (5)",""))&lt;lenb($Z477),5,IF(lenb(SUBSTITUTE($Z477,V$1&amp;" (6)",""))&lt;lenb($Z477),6,IF(lenb(SUBSTITUTE($Z477,V$1&amp;" (7)",""))&lt;lenb($Z477),1,IF(lenb(SUBSTITUTE($Z477,V$1&amp;" (8)",""))&lt;lenb($Z477),8,IF(lenb(SUBSTITUTE($Z477,V$1&amp;" (9)",""))&lt;lenb($Z477),9,IF(lenb(SUBSTITUTE($Z477,V$1&amp;" (10)",""))&lt;lenb($Z477),10,IF(lenb(SUBSTITUTE($Z477,V$1,""))&lt;lenb($Z477),"ERROR",IF($Z477=$Y$1,"-",0))))))))))))</f>
        <v>1</v>
      </c>
      <c r="W477" s="52">
        <f t="shared" si="482"/>
        <v>1</v>
      </c>
      <c r="X477" s="52">
        <f t="shared" si="482"/>
        <v>0</v>
      </c>
      <c r="Y477" s="52" t="str">
        <f t="shared" si="3"/>
        <v>-</v>
      </c>
      <c r="Z477" s="52" t="s">
        <v>79</v>
      </c>
      <c r="AA477" s="53">
        <f t="shared" si="4"/>
        <v>2</v>
      </c>
      <c r="AB477" s="54">
        <f>COUNTIFS(Links!B:B,"ICSE",Links!C:C,A477,Links!AD:AD,1)</f>
        <v>0</v>
      </c>
      <c r="AC477" s="55" t="s">
        <v>35</v>
      </c>
      <c r="AD477" s="47" t="str">
        <f t="shared" si="5"/>
        <v>No</v>
      </c>
      <c r="AE477" s="56" t="s">
        <v>36</v>
      </c>
      <c r="AF477" s="57" t="s">
        <v>42</v>
      </c>
      <c r="AG477" s="57" t="s">
        <v>42</v>
      </c>
      <c r="AH477" s="57" t="s">
        <v>42</v>
      </c>
      <c r="AI477" s="49" t="str">
        <f t="shared" si="6"/>
        <v>----</v>
      </c>
      <c r="AJ477" s="58" t="str">
        <f t="shared" si="7"/>
        <v>Paper has link but no statement</v>
      </c>
      <c r="AK477" s="59">
        <v>45028.0</v>
      </c>
      <c r="AL477" s="43" t="s">
        <v>43</v>
      </c>
      <c r="AM477" s="60" t="str">
        <f t="shared" si="8"/>
        <v>[IP0929]</v>
      </c>
    </row>
    <row r="478" ht="67.5" customHeight="1">
      <c r="A478" s="61">
        <v>930.0</v>
      </c>
      <c r="B478" s="22" t="s">
        <v>1268</v>
      </c>
      <c r="C478" s="23">
        <v>2019.0</v>
      </c>
      <c r="D478" s="24" t="s">
        <v>35</v>
      </c>
      <c r="E478" s="25" t="s">
        <v>36</v>
      </c>
      <c r="F478" s="25" t="s">
        <v>36</v>
      </c>
      <c r="G478" s="25" t="s">
        <v>36</v>
      </c>
      <c r="H478" s="25" t="s">
        <v>36</v>
      </c>
      <c r="I478" s="25" t="s">
        <v>36</v>
      </c>
      <c r="J478" s="26" t="s">
        <v>36</v>
      </c>
      <c r="K478" s="27" t="s">
        <v>37</v>
      </c>
      <c r="L478" s="28" t="s">
        <v>35</v>
      </c>
      <c r="M478" s="28" t="s">
        <v>37</v>
      </c>
      <c r="N478" s="28" t="s">
        <v>35</v>
      </c>
      <c r="O478" s="28" t="s">
        <v>35</v>
      </c>
      <c r="P478" s="28" t="s">
        <v>35</v>
      </c>
      <c r="Q478" s="28" t="s">
        <v>35</v>
      </c>
      <c r="R478" s="28" t="s">
        <v>37</v>
      </c>
      <c r="S478" s="29" t="s">
        <v>1269</v>
      </c>
      <c r="T478" s="30" t="s">
        <v>1270</v>
      </c>
      <c r="U478" s="31" t="s">
        <v>1270</v>
      </c>
      <c r="V478" s="32">
        <f t="shared" ref="V478:X478" si="483">IF(lenb(SUBSTITUTE($Z478,V$1&amp;" (1)",""))&lt;lenb($Z478),1,IF(lenb(SUBSTITUTE($Z478,V$1&amp;" (2)",""))&lt;lenb($Z478),2,IF(lenb(SUBSTITUTE($Z478,V$1&amp;" (3)",""))&lt;lenb($Z478),3,IF(lenb(SUBSTITUTE($Z478,V$1&amp;" (4)",""))&lt;lenb($Z478),4,IF(lenb(SUBSTITUTE($Z478,V$1&amp;" (5)",""))&lt;lenb($Z478),5,IF(lenb(SUBSTITUTE($Z478,V$1&amp;" (6)",""))&lt;lenb($Z478),6,IF(lenb(SUBSTITUTE($Z478,V$1&amp;" (7)",""))&lt;lenb($Z478),1,IF(lenb(SUBSTITUTE($Z478,V$1&amp;" (8)",""))&lt;lenb($Z478),8,IF(lenb(SUBSTITUTE($Z478,V$1&amp;" (9)",""))&lt;lenb($Z478),9,IF(lenb(SUBSTITUTE($Z478,V$1&amp;" (10)",""))&lt;lenb($Z478),10,IF(lenb(SUBSTITUTE($Z478,V$1,""))&lt;lenb($Z478),"ERROR",IF($Z478=$Y$1,"-",0))))))))))))</f>
        <v>1</v>
      </c>
      <c r="W478" s="32">
        <f t="shared" si="483"/>
        <v>0</v>
      </c>
      <c r="X478" s="32">
        <f t="shared" si="483"/>
        <v>0</v>
      </c>
      <c r="Y478" s="32" t="str">
        <f t="shared" si="3"/>
        <v>-</v>
      </c>
      <c r="Z478" s="32" t="s">
        <v>62</v>
      </c>
      <c r="AA478" s="33">
        <f t="shared" si="4"/>
        <v>1</v>
      </c>
      <c r="AB478" s="34">
        <f>COUNTIFS(Links!B:B,"ICSE",Links!C:C,A478,Links!AD:AD,1)</f>
        <v>0</v>
      </c>
      <c r="AC478" s="35" t="s">
        <v>35</v>
      </c>
      <c r="AD478" s="27" t="str">
        <f t="shared" si="5"/>
        <v>No</v>
      </c>
      <c r="AE478" s="36" t="s">
        <v>36</v>
      </c>
      <c r="AF478" s="37" t="s">
        <v>42</v>
      </c>
      <c r="AG478" s="37" t="s">
        <v>42</v>
      </c>
      <c r="AH478" s="37" t="s">
        <v>42</v>
      </c>
      <c r="AI478" s="29" t="str">
        <f t="shared" si="6"/>
        <v>----</v>
      </c>
      <c r="AJ478" s="38" t="str">
        <f t="shared" si="7"/>
        <v>Paper has link but no statement</v>
      </c>
      <c r="AK478" s="39">
        <v>45028.0</v>
      </c>
      <c r="AL478" s="23" t="s">
        <v>43</v>
      </c>
      <c r="AM478" s="40" t="str">
        <f t="shared" si="8"/>
        <v>[IP0930]</v>
      </c>
    </row>
    <row r="479" ht="67.5" customHeight="1">
      <c r="A479" s="41">
        <v>931.0</v>
      </c>
      <c r="B479" s="74" t="s">
        <v>1271</v>
      </c>
      <c r="C479" s="43">
        <v>2019.0</v>
      </c>
      <c r="D479" s="44" t="s">
        <v>37</v>
      </c>
      <c r="E479" s="45" t="s">
        <v>37</v>
      </c>
      <c r="F479" s="45" t="s">
        <v>35</v>
      </c>
      <c r="G479" s="45" t="s">
        <v>37</v>
      </c>
      <c r="H479" s="45" t="s">
        <v>35</v>
      </c>
      <c r="I479" s="45" t="s">
        <v>35</v>
      </c>
      <c r="J479" s="46" t="s">
        <v>36</v>
      </c>
      <c r="K479" s="47" t="s">
        <v>37</v>
      </c>
      <c r="L479" s="48" t="s">
        <v>35</v>
      </c>
      <c r="M479" s="48" t="s">
        <v>35</v>
      </c>
      <c r="N479" s="48" t="s">
        <v>35</v>
      </c>
      <c r="O479" s="48" t="s">
        <v>35</v>
      </c>
      <c r="P479" s="48" t="s">
        <v>35</v>
      </c>
      <c r="Q479" s="48" t="s">
        <v>35</v>
      </c>
      <c r="R479" s="48" t="s">
        <v>37</v>
      </c>
      <c r="S479" s="49" t="s">
        <v>1272</v>
      </c>
      <c r="T479" s="50" t="s">
        <v>1273</v>
      </c>
      <c r="U479" s="51" t="s">
        <v>1273</v>
      </c>
      <c r="V479" s="52">
        <f t="shared" ref="V479:X479" si="484">IF(lenb(SUBSTITUTE($Z479,V$1&amp;" (1)",""))&lt;lenb($Z479),1,IF(lenb(SUBSTITUTE($Z479,V$1&amp;" (2)",""))&lt;lenb($Z479),2,IF(lenb(SUBSTITUTE($Z479,V$1&amp;" (3)",""))&lt;lenb($Z479),3,IF(lenb(SUBSTITUTE($Z479,V$1&amp;" (4)",""))&lt;lenb($Z479),4,IF(lenb(SUBSTITUTE($Z479,V$1&amp;" (5)",""))&lt;lenb($Z479),5,IF(lenb(SUBSTITUTE($Z479,V$1&amp;" (6)",""))&lt;lenb($Z479),6,IF(lenb(SUBSTITUTE($Z479,V$1&amp;" (7)",""))&lt;lenb($Z479),1,IF(lenb(SUBSTITUTE($Z479,V$1&amp;" (8)",""))&lt;lenb($Z479),8,IF(lenb(SUBSTITUTE($Z479,V$1&amp;" (9)",""))&lt;lenb($Z479),9,IF(lenb(SUBSTITUTE($Z479,V$1&amp;" (10)",""))&lt;lenb($Z479),10,IF(lenb(SUBSTITUTE($Z479,V$1,""))&lt;lenb($Z479),"ERROR",IF($Z479=$Y$1,"-",0))))))))))))</f>
        <v>1</v>
      </c>
      <c r="W479" s="52">
        <f t="shared" si="484"/>
        <v>0</v>
      </c>
      <c r="X479" s="52">
        <f t="shared" si="484"/>
        <v>0</v>
      </c>
      <c r="Y479" s="52" t="str">
        <f t="shared" si="3"/>
        <v>-</v>
      </c>
      <c r="Z479" s="52" t="s">
        <v>62</v>
      </c>
      <c r="AA479" s="53">
        <f t="shared" si="4"/>
        <v>1</v>
      </c>
      <c r="AB479" s="54">
        <f>COUNTIFS(Links!B:B,"ICSE",Links!C:C,A479,Links!AD:AD,1)</f>
        <v>0</v>
      </c>
      <c r="AC479" s="55" t="s">
        <v>35</v>
      </c>
      <c r="AD479" s="47" t="str">
        <f t="shared" si="5"/>
        <v>No</v>
      </c>
      <c r="AE479" s="56" t="s">
        <v>36</v>
      </c>
      <c r="AF479" s="57" t="s">
        <v>42</v>
      </c>
      <c r="AG479" s="57" t="s">
        <v>42</v>
      </c>
      <c r="AH479" s="57" t="s">
        <v>42</v>
      </c>
      <c r="AI479" s="49" t="str">
        <f t="shared" si="6"/>
        <v>----</v>
      </c>
      <c r="AJ479" s="58" t="str">
        <f t="shared" si="7"/>
        <v>Paper has link but no statement</v>
      </c>
      <c r="AK479" s="59">
        <v>45028.0</v>
      </c>
      <c r="AL479" s="43" t="s">
        <v>43</v>
      </c>
      <c r="AM479" s="60" t="str">
        <f t="shared" si="8"/>
        <v>[IP0931]</v>
      </c>
    </row>
    <row r="480" ht="67.5" customHeight="1">
      <c r="A480" s="61">
        <v>932.0</v>
      </c>
      <c r="B480" s="22" t="s">
        <v>1274</v>
      </c>
      <c r="C480" s="23">
        <v>2019.0</v>
      </c>
      <c r="D480" s="24" t="s">
        <v>35</v>
      </c>
      <c r="E480" s="25" t="s">
        <v>36</v>
      </c>
      <c r="F480" s="25" t="s">
        <v>36</v>
      </c>
      <c r="G480" s="25" t="s">
        <v>36</v>
      </c>
      <c r="H480" s="25" t="s">
        <v>36</v>
      </c>
      <c r="I480" s="25" t="s">
        <v>36</v>
      </c>
      <c r="J480" s="26" t="s">
        <v>36</v>
      </c>
      <c r="K480" s="27" t="s">
        <v>37</v>
      </c>
      <c r="L480" s="28" t="s">
        <v>37</v>
      </c>
      <c r="M480" s="28" t="s">
        <v>35</v>
      </c>
      <c r="N480" s="28" t="s">
        <v>35</v>
      </c>
      <c r="O480" s="28" t="s">
        <v>35</v>
      </c>
      <c r="P480" s="28" t="s">
        <v>35</v>
      </c>
      <c r="Q480" s="28" t="s">
        <v>35</v>
      </c>
      <c r="R480" s="28" t="s">
        <v>37</v>
      </c>
      <c r="S480" s="29" t="s">
        <v>1275</v>
      </c>
      <c r="T480" s="30" t="s">
        <v>1276</v>
      </c>
      <c r="U480" s="31" t="s">
        <v>1276</v>
      </c>
      <c r="V480" s="32">
        <f t="shared" ref="V480:X480" si="485">IF(lenb(SUBSTITUTE($Z480,V$1&amp;" (1)",""))&lt;lenb($Z480),1,IF(lenb(SUBSTITUTE($Z480,V$1&amp;" (2)",""))&lt;lenb($Z480),2,IF(lenb(SUBSTITUTE($Z480,V$1&amp;" (3)",""))&lt;lenb($Z480),3,IF(lenb(SUBSTITUTE($Z480,V$1&amp;" (4)",""))&lt;lenb($Z480),4,IF(lenb(SUBSTITUTE($Z480,V$1&amp;" (5)",""))&lt;lenb($Z480),5,IF(lenb(SUBSTITUTE($Z480,V$1&amp;" (6)",""))&lt;lenb($Z480),6,IF(lenb(SUBSTITUTE($Z480,V$1&amp;" (7)",""))&lt;lenb($Z480),1,IF(lenb(SUBSTITUTE($Z480,V$1&amp;" (8)",""))&lt;lenb($Z480),8,IF(lenb(SUBSTITUTE($Z480,V$1&amp;" (9)",""))&lt;lenb($Z480),9,IF(lenb(SUBSTITUTE($Z480,V$1&amp;" (10)",""))&lt;lenb($Z480),10,IF(lenb(SUBSTITUTE($Z480,V$1,""))&lt;lenb($Z480),"ERROR",IF($Z480=$Y$1,"-",0))))))))))))</f>
        <v>1</v>
      </c>
      <c r="W480" s="32">
        <f t="shared" si="485"/>
        <v>0</v>
      </c>
      <c r="X480" s="32">
        <f t="shared" si="485"/>
        <v>0</v>
      </c>
      <c r="Y480" s="32" t="str">
        <f t="shared" si="3"/>
        <v>-</v>
      </c>
      <c r="Z480" s="32" t="s">
        <v>62</v>
      </c>
      <c r="AA480" s="33">
        <f t="shared" si="4"/>
        <v>1</v>
      </c>
      <c r="AB480" s="34">
        <f>COUNTIFS(Links!B:B,"ICSE",Links!C:C,A480,Links!AD:AD,1)</f>
        <v>0</v>
      </c>
      <c r="AC480" s="35" t="s">
        <v>35</v>
      </c>
      <c r="AD480" s="27" t="str">
        <f t="shared" si="5"/>
        <v>No</v>
      </c>
      <c r="AE480" s="36" t="s">
        <v>36</v>
      </c>
      <c r="AF480" s="37" t="s">
        <v>42</v>
      </c>
      <c r="AG480" s="37" t="s">
        <v>42</v>
      </c>
      <c r="AH480" s="37" t="s">
        <v>42</v>
      </c>
      <c r="AI480" s="29" t="str">
        <f t="shared" si="6"/>
        <v>----</v>
      </c>
      <c r="AJ480" s="38" t="str">
        <f t="shared" si="7"/>
        <v>Paper has link but no statement</v>
      </c>
      <c r="AK480" s="39">
        <v>45028.0</v>
      </c>
      <c r="AL480" s="23" t="s">
        <v>43</v>
      </c>
      <c r="AM480" s="40" t="str">
        <f t="shared" si="8"/>
        <v>[IP0932]</v>
      </c>
    </row>
    <row r="481" ht="67.5" customHeight="1">
      <c r="A481" s="41">
        <v>933.0</v>
      </c>
      <c r="B481" s="42" t="s">
        <v>1277</v>
      </c>
      <c r="C481" s="43">
        <v>2019.0</v>
      </c>
      <c r="D481" s="44" t="s">
        <v>35</v>
      </c>
      <c r="E481" s="45" t="s">
        <v>36</v>
      </c>
      <c r="F481" s="45" t="s">
        <v>36</v>
      </c>
      <c r="G481" s="45" t="s">
        <v>36</v>
      </c>
      <c r="H481" s="45" t="s">
        <v>36</v>
      </c>
      <c r="I481" s="45" t="s">
        <v>36</v>
      </c>
      <c r="J481" s="46" t="s">
        <v>36</v>
      </c>
      <c r="K481" s="47" t="s">
        <v>35</v>
      </c>
      <c r="L481" s="48" t="s">
        <v>36</v>
      </c>
      <c r="M481" s="48" t="s">
        <v>36</v>
      </c>
      <c r="N481" s="48" t="s">
        <v>36</v>
      </c>
      <c r="O481" s="48" t="s">
        <v>36</v>
      </c>
      <c r="P481" s="48" t="s">
        <v>36</v>
      </c>
      <c r="Q481" s="48" t="s">
        <v>36</v>
      </c>
      <c r="R481" s="48" t="s">
        <v>36</v>
      </c>
      <c r="S481" s="49" t="s">
        <v>36</v>
      </c>
      <c r="T481" s="50" t="s">
        <v>36</v>
      </c>
      <c r="U481" s="51" t="s">
        <v>36</v>
      </c>
      <c r="V481" s="52" t="str">
        <f t="shared" ref="V481:X481" si="486">IF(lenb(SUBSTITUTE($Z481,V$1&amp;" (1)",""))&lt;lenb($Z481),1,IF(lenb(SUBSTITUTE($Z481,V$1&amp;" (2)",""))&lt;lenb($Z481),2,IF(lenb(SUBSTITUTE($Z481,V$1&amp;" (3)",""))&lt;lenb($Z481),3,IF(lenb(SUBSTITUTE($Z481,V$1&amp;" (4)",""))&lt;lenb($Z481),4,IF(lenb(SUBSTITUTE($Z481,V$1&amp;" (5)",""))&lt;lenb($Z481),5,IF(lenb(SUBSTITUTE($Z481,V$1&amp;" (6)",""))&lt;lenb($Z481),6,IF(lenb(SUBSTITUTE($Z481,V$1&amp;" (7)",""))&lt;lenb($Z481),1,IF(lenb(SUBSTITUTE($Z481,V$1&amp;" (8)",""))&lt;lenb($Z481),8,IF(lenb(SUBSTITUTE($Z481,V$1&amp;" (9)",""))&lt;lenb($Z481),9,IF(lenb(SUBSTITUTE($Z481,V$1&amp;" (10)",""))&lt;lenb($Z481),10,IF(lenb(SUBSTITUTE($Z481,V$1,""))&lt;lenb($Z481),"ERROR",IF($Z481=$Y$1,"-",0))))))))))))</f>
        <v>-</v>
      </c>
      <c r="W481" s="52" t="str">
        <f t="shared" si="486"/>
        <v>-</v>
      </c>
      <c r="X481" s="52" t="str">
        <f t="shared" si="486"/>
        <v>-</v>
      </c>
      <c r="Y481" s="52">
        <f t="shared" si="3"/>
        <v>1</v>
      </c>
      <c r="Z481" s="52" t="s">
        <v>23</v>
      </c>
      <c r="AA481" s="53">
        <f t="shared" si="4"/>
        <v>0</v>
      </c>
      <c r="AB481" s="54">
        <f>COUNTIFS(Links!B:B,"ICSE",Links!C:C,A481,Links!AD:AD,1)</f>
        <v>0</v>
      </c>
      <c r="AC481" s="55" t="s">
        <v>36</v>
      </c>
      <c r="AD481" s="47" t="str">
        <f t="shared" si="5"/>
        <v>No</v>
      </c>
      <c r="AE481" s="56" t="s">
        <v>36</v>
      </c>
      <c r="AF481" s="57" t="s">
        <v>42</v>
      </c>
      <c r="AG481" s="57" t="s">
        <v>42</v>
      </c>
      <c r="AH481" s="57" t="s">
        <v>42</v>
      </c>
      <c r="AI481" s="49" t="str">
        <f t="shared" si="6"/>
        <v>----</v>
      </c>
      <c r="AJ481" s="58" t="str">
        <f t="shared" si="7"/>
        <v>Paper has no link and no statement</v>
      </c>
      <c r="AK481" s="59">
        <v>45028.0</v>
      </c>
      <c r="AL481" s="43" t="s">
        <v>43</v>
      </c>
      <c r="AM481" s="60" t="str">
        <f t="shared" si="8"/>
        <v>[IP0933]</v>
      </c>
    </row>
    <row r="482" ht="67.5" customHeight="1">
      <c r="A482" s="61">
        <v>934.0</v>
      </c>
      <c r="B482" s="75" t="s">
        <v>1278</v>
      </c>
      <c r="C482" s="23">
        <v>2019.0</v>
      </c>
      <c r="D482" s="24" t="s">
        <v>37</v>
      </c>
      <c r="E482" s="25" t="s">
        <v>37</v>
      </c>
      <c r="F482" s="25" t="s">
        <v>35</v>
      </c>
      <c r="G482" s="25" t="s">
        <v>37</v>
      </c>
      <c r="H482" s="25" t="s">
        <v>35</v>
      </c>
      <c r="I482" s="25" t="s">
        <v>35</v>
      </c>
      <c r="J482" s="26" t="s">
        <v>36</v>
      </c>
      <c r="K482" s="27" t="s">
        <v>37</v>
      </c>
      <c r="L482" s="28" t="s">
        <v>35</v>
      </c>
      <c r="M482" s="28" t="s">
        <v>37</v>
      </c>
      <c r="N482" s="28" t="s">
        <v>37</v>
      </c>
      <c r="O482" s="28" t="s">
        <v>37</v>
      </c>
      <c r="P482" s="28" t="s">
        <v>35</v>
      </c>
      <c r="Q482" s="28" t="s">
        <v>35</v>
      </c>
      <c r="R482" s="28" t="s">
        <v>37</v>
      </c>
      <c r="S482" s="29" t="s">
        <v>1279</v>
      </c>
      <c r="T482" s="30" t="s">
        <v>1280</v>
      </c>
      <c r="U482" s="31" t="s">
        <v>1280</v>
      </c>
      <c r="V482" s="32">
        <f t="shared" ref="V482:X482" si="487">IF(lenb(SUBSTITUTE($Z482,V$1&amp;" (1)",""))&lt;lenb($Z482),1,IF(lenb(SUBSTITUTE($Z482,V$1&amp;" (2)",""))&lt;lenb($Z482),2,IF(lenb(SUBSTITUTE($Z482,V$1&amp;" (3)",""))&lt;lenb($Z482),3,IF(lenb(SUBSTITUTE($Z482,V$1&amp;" (4)",""))&lt;lenb($Z482),4,IF(lenb(SUBSTITUTE($Z482,V$1&amp;" (5)",""))&lt;lenb($Z482),5,IF(lenb(SUBSTITUTE($Z482,V$1&amp;" (6)",""))&lt;lenb($Z482),6,IF(lenb(SUBSTITUTE($Z482,V$1&amp;" (7)",""))&lt;lenb($Z482),1,IF(lenb(SUBSTITUTE($Z482,V$1&amp;" (8)",""))&lt;lenb($Z482),8,IF(lenb(SUBSTITUTE($Z482,V$1&amp;" (9)",""))&lt;lenb($Z482),9,IF(lenb(SUBSTITUTE($Z482,V$1&amp;" (10)",""))&lt;lenb($Z482),10,IF(lenb(SUBSTITUTE($Z482,V$1,""))&lt;lenb($Z482),"ERROR",IF($Z482=$Y$1,"-",0))))))))))))</f>
        <v>1</v>
      </c>
      <c r="W482" s="32">
        <f t="shared" si="487"/>
        <v>0</v>
      </c>
      <c r="X482" s="32">
        <f t="shared" si="487"/>
        <v>0</v>
      </c>
      <c r="Y482" s="32" t="str">
        <f t="shared" si="3"/>
        <v>-</v>
      </c>
      <c r="Z482" s="32" t="s">
        <v>62</v>
      </c>
      <c r="AA482" s="33">
        <f t="shared" si="4"/>
        <v>1</v>
      </c>
      <c r="AB482" s="34">
        <f>COUNTIFS(Links!B:B,"ICSE",Links!C:C,A482,Links!AD:AD,1)</f>
        <v>0</v>
      </c>
      <c r="AC482" s="35" t="s">
        <v>35</v>
      </c>
      <c r="AD482" s="27" t="str">
        <f t="shared" si="5"/>
        <v>No</v>
      </c>
      <c r="AE482" s="36" t="s">
        <v>36</v>
      </c>
      <c r="AF482" s="37" t="s">
        <v>42</v>
      </c>
      <c r="AG482" s="37" t="s">
        <v>42</v>
      </c>
      <c r="AH482" s="37" t="s">
        <v>42</v>
      </c>
      <c r="AI482" s="29" t="str">
        <f t="shared" si="6"/>
        <v>----</v>
      </c>
      <c r="AJ482" s="38" t="str">
        <f t="shared" si="7"/>
        <v>Paper has link but no statement</v>
      </c>
      <c r="AK482" s="39">
        <v>45028.0</v>
      </c>
      <c r="AL482" s="23" t="s">
        <v>43</v>
      </c>
      <c r="AM482" s="40" t="str">
        <f t="shared" si="8"/>
        <v>[IP0934]</v>
      </c>
    </row>
    <row r="483" ht="67.5" customHeight="1">
      <c r="A483" s="41">
        <v>935.0</v>
      </c>
      <c r="B483" s="42" t="s">
        <v>1281</v>
      </c>
      <c r="C483" s="43">
        <v>2019.0</v>
      </c>
      <c r="D483" s="44" t="s">
        <v>35</v>
      </c>
      <c r="E483" s="45" t="s">
        <v>36</v>
      </c>
      <c r="F483" s="45" t="s">
        <v>36</v>
      </c>
      <c r="G483" s="45" t="s">
        <v>36</v>
      </c>
      <c r="H483" s="45" t="s">
        <v>36</v>
      </c>
      <c r="I483" s="45" t="s">
        <v>36</v>
      </c>
      <c r="J483" s="46" t="s">
        <v>36</v>
      </c>
      <c r="K483" s="47" t="s">
        <v>35</v>
      </c>
      <c r="L483" s="48" t="s">
        <v>36</v>
      </c>
      <c r="M483" s="48" t="s">
        <v>36</v>
      </c>
      <c r="N483" s="48" t="s">
        <v>36</v>
      </c>
      <c r="O483" s="48" t="s">
        <v>36</v>
      </c>
      <c r="P483" s="48" t="s">
        <v>36</v>
      </c>
      <c r="Q483" s="48" t="s">
        <v>36</v>
      </c>
      <c r="R483" s="48" t="s">
        <v>36</v>
      </c>
      <c r="S483" s="49" t="s">
        <v>36</v>
      </c>
      <c r="T483" s="50" t="s">
        <v>36</v>
      </c>
      <c r="U483" s="51" t="s">
        <v>36</v>
      </c>
      <c r="V483" s="52" t="str">
        <f t="shared" ref="V483:X483" si="488">IF(lenb(SUBSTITUTE($Z483,V$1&amp;" (1)",""))&lt;lenb($Z483),1,IF(lenb(SUBSTITUTE($Z483,V$1&amp;" (2)",""))&lt;lenb($Z483),2,IF(lenb(SUBSTITUTE($Z483,V$1&amp;" (3)",""))&lt;lenb($Z483),3,IF(lenb(SUBSTITUTE($Z483,V$1&amp;" (4)",""))&lt;lenb($Z483),4,IF(lenb(SUBSTITUTE($Z483,V$1&amp;" (5)",""))&lt;lenb($Z483),5,IF(lenb(SUBSTITUTE($Z483,V$1&amp;" (6)",""))&lt;lenb($Z483),6,IF(lenb(SUBSTITUTE($Z483,V$1&amp;" (7)",""))&lt;lenb($Z483),1,IF(lenb(SUBSTITUTE($Z483,V$1&amp;" (8)",""))&lt;lenb($Z483),8,IF(lenb(SUBSTITUTE($Z483,V$1&amp;" (9)",""))&lt;lenb($Z483),9,IF(lenb(SUBSTITUTE($Z483,V$1&amp;" (10)",""))&lt;lenb($Z483),10,IF(lenb(SUBSTITUTE($Z483,V$1,""))&lt;lenb($Z483),"ERROR",IF($Z483=$Y$1,"-",0))))))))))))</f>
        <v>-</v>
      </c>
      <c r="W483" s="52" t="str">
        <f t="shared" si="488"/>
        <v>-</v>
      </c>
      <c r="X483" s="52" t="str">
        <f t="shared" si="488"/>
        <v>-</v>
      </c>
      <c r="Y483" s="52">
        <f t="shared" si="3"/>
        <v>1</v>
      </c>
      <c r="Z483" s="52" t="s">
        <v>23</v>
      </c>
      <c r="AA483" s="53">
        <f t="shared" si="4"/>
        <v>0</v>
      </c>
      <c r="AB483" s="54">
        <f>COUNTIFS(Links!B:B,"ICSE",Links!C:C,A483,Links!AD:AD,1)</f>
        <v>0</v>
      </c>
      <c r="AC483" s="55" t="s">
        <v>36</v>
      </c>
      <c r="AD483" s="47" t="str">
        <f t="shared" si="5"/>
        <v>No</v>
      </c>
      <c r="AE483" s="56" t="s">
        <v>36</v>
      </c>
      <c r="AF483" s="57" t="s">
        <v>42</v>
      </c>
      <c r="AG483" s="57" t="s">
        <v>42</v>
      </c>
      <c r="AH483" s="57" t="s">
        <v>42</v>
      </c>
      <c r="AI483" s="49" t="str">
        <f t="shared" si="6"/>
        <v>----</v>
      </c>
      <c r="AJ483" s="58" t="str">
        <f t="shared" si="7"/>
        <v>Paper has no link and no statement</v>
      </c>
      <c r="AK483" s="59">
        <v>45028.0</v>
      </c>
      <c r="AL483" s="43" t="s">
        <v>43</v>
      </c>
      <c r="AM483" s="60" t="str">
        <f t="shared" si="8"/>
        <v>[IP0935]</v>
      </c>
    </row>
    <row r="484" ht="67.5" customHeight="1">
      <c r="A484" s="61">
        <v>936.0</v>
      </c>
      <c r="B484" s="22" t="s">
        <v>1282</v>
      </c>
      <c r="C484" s="23">
        <v>2019.0</v>
      </c>
      <c r="D484" s="24" t="s">
        <v>35</v>
      </c>
      <c r="E484" s="25" t="s">
        <v>36</v>
      </c>
      <c r="F484" s="25" t="s">
        <v>36</v>
      </c>
      <c r="G484" s="25" t="s">
        <v>36</v>
      </c>
      <c r="H484" s="25" t="s">
        <v>36</v>
      </c>
      <c r="I484" s="25" t="s">
        <v>36</v>
      </c>
      <c r="J484" s="26" t="s">
        <v>36</v>
      </c>
      <c r="K484" s="27" t="s">
        <v>37</v>
      </c>
      <c r="L484" s="28" t="s">
        <v>37</v>
      </c>
      <c r="M484" s="28" t="s">
        <v>35</v>
      </c>
      <c r="N484" s="28" t="s">
        <v>37</v>
      </c>
      <c r="O484" s="28" t="s">
        <v>35</v>
      </c>
      <c r="P484" s="28" t="s">
        <v>35</v>
      </c>
      <c r="Q484" s="28" t="s">
        <v>35</v>
      </c>
      <c r="R484" s="28" t="s">
        <v>35</v>
      </c>
      <c r="S484" s="29" t="s">
        <v>340</v>
      </c>
      <c r="T484" s="30" t="s">
        <v>1283</v>
      </c>
      <c r="U484" s="31" t="s">
        <v>1283</v>
      </c>
      <c r="V484" s="32">
        <f t="shared" ref="V484:X484" si="489">IF(lenb(SUBSTITUTE($Z484,V$1&amp;" (1)",""))&lt;lenb($Z484),1,IF(lenb(SUBSTITUTE($Z484,V$1&amp;" (2)",""))&lt;lenb($Z484),2,IF(lenb(SUBSTITUTE($Z484,V$1&amp;" (3)",""))&lt;lenb($Z484),3,IF(lenb(SUBSTITUTE($Z484,V$1&amp;" (4)",""))&lt;lenb($Z484),4,IF(lenb(SUBSTITUTE($Z484,V$1&amp;" (5)",""))&lt;lenb($Z484),5,IF(lenb(SUBSTITUTE($Z484,V$1&amp;" (6)",""))&lt;lenb($Z484),6,IF(lenb(SUBSTITUTE($Z484,V$1&amp;" (7)",""))&lt;lenb($Z484),1,IF(lenb(SUBSTITUTE($Z484,V$1&amp;" (8)",""))&lt;lenb($Z484),8,IF(lenb(SUBSTITUTE($Z484,V$1&amp;" (9)",""))&lt;lenb($Z484),9,IF(lenb(SUBSTITUTE($Z484,V$1&amp;" (10)",""))&lt;lenb($Z484),10,IF(lenb(SUBSTITUTE($Z484,V$1,""))&lt;lenb($Z484),"ERROR",IF($Z484=$Y$1,"-",0))))))))))))</f>
        <v>1</v>
      </c>
      <c r="W484" s="32">
        <f t="shared" si="489"/>
        <v>0</v>
      </c>
      <c r="X484" s="32">
        <f t="shared" si="489"/>
        <v>0</v>
      </c>
      <c r="Y484" s="32" t="str">
        <f t="shared" si="3"/>
        <v>-</v>
      </c>
      <c r="Z484" s="32" t="s">
        <v>62</v>
      </c>
      <c r="AA484" s="33">
        <f t="shared" si="4"/>
        <v>1</v>
      </c>
      <c r="AB484" s="34">
        <f>COUNTIFS(Links!B:B,"ICSE",Links!C:C,A484,Links!AD:AD,1)</f>
        <v>0</v>
      </c>
      <c r="AC484" s="35" t="s">
        <v>35</v>
      </c>
      <c r="AD484" s="27" t="str">
        <f t="shared" si="5"/>
        <v>No</v>
      </c>
      <c r="AE484" s="36" t="s">
        <v>36</v>
      </c>
      <c r="AF484" s="37" t="s">
        <v>42</v>
      </c>
      <c r="AG484" s="37" t="s">
        <v>42</v>
      </c>
      <c r="AH484" s="37" t="s">
        <v>42</v>
      </c>
      <c r="AI484" s="29" t="str">
        <f t="shared" si="6"/>
        <v>----</v>
      </c>
      <c r="AJ484" s="38" t="str">
        <f t="shared" si="7"/>
        <v>Paper has link but no statement</v>
      </c>
      <c r="AK484" s="39">
        <v>45028.0</v>
      </c>
      <c r="AL484" s="23" t="s">
        <v>43</v>
      </c>
      <c r="AM484" s="40" t="str">
        <f t="shared" si="8"/>
        <v>[IP0936]</v>
      </c>
    </row>
    <row r="485" ht="67.5" customHeight="1">
      <c r="A485" s="41">
        <v>937.0</v>
      </c>
      <c r="B485" s="42" t="s">
        <v>1284</v>
      </c>
      <c r="C485" s="43">
        <v>2019.0</v>
      </c>
      <c r="D485" s="44" t="s">
        <v>35</v>
      </c>
      <c r="E485" s="45" t="s">
        <v>36</v>
      </c>
      <c r="F485" s="45" t="s">
        <v>36</v>
      </c>
      <c r="G485" s="45" t="s">
        <v>36</v>
      </c>
      <c r="H485" s="45" t="s">
        <v>36</v>
      </c>
      <c r="I485" s="45" t="s">
        <v>36</v>
      </c>
      <c r="J485" s="46" t="s">
        <v>36</v>
      </c>
      <c r="K485" s="47" t="s">
        <v>37</v>
      </c>
      <c r="L485" s="48" t="s">
        <v>37</v>
      </c>
      <c r="M485" s="48" t="s">
        <v>35</v>
      </c>
      <c r="N485" s="48" t="s">
        <v>35</v>
      </c>
      <c r="O485" s="48" t="s">
        <v>35</v>
      </c>
      <c r="P485" s="48" t="s">
        <v>35</v>
      </c>
      <c r="Q485" s="48" t="s">
        <v>35</v>
      </c>
      <c r="R485" s="48" t="s">
        <v>37</v>
      </c>
      <c r="S485" s="49" t="s">
        <v>1285</v>
      </c>
      <c r="T485" s="50" t="s">
        <v>1286</v>
      </c>
      <c r="U485" s="51" t="s">
        <v>1286</v>
      </c>
      <c r="V485" s="52">
        <f t="shared" ref="V485:X485" si="490">IF(lenb(SUBSTITUTE($Z485,V$1&amp;" (1)",""))&lt;lenb($Z485),1,IF(lenb(SUBSTITUTE($Z485,V$1&amp;" (2)",""))&lt;lenb($Z485),2,IF(lenb(SUBSTITUTE($Z485,V$1&amp;" (3)",""))&lt;lenb($Z485),3,IF(lenb(SUBSTITUTE($Z485,V$1&amp;" (4)",""))&lt;lenb($Z485),4,IF(lenb(SUBSTITUTE($Z485,V$1&amp;" (5)",""))&lt;lenb($Z485),5,IF(lenb(SUBSTITUTE($Z485,V$1&amp;" (6)",""))&lt;lenb($Z485),6,IF(lenb(SUBSTITUTE($Z485,V$1&amp;" (7)",""))&lt;lenb($Z485),1,IF(lenb(SUBSTITUTE($Z485,V$1&amp;" (8)",""))&lt;lenb($Z485),8,IF(lenb(SUBSTITUTE($Z485,V$1&amp;" (9)",""))&lt;lenb($Z485),9,IF(lenb(SUBSTITUTE($Z485,V$1&amp;" (10)",""))&lt;lenb($Z485),10,IF(lenb(SUBSTITUTE($Z485,V$1,""))&lt;lenb($Z485),"ERROR",IF($Z485=$Y$1,"-",0))))))))))))</f>
        <v>1</v>
      </c>
      <c r="W485" s="52">
        <f t="shared" si="490"/>
        <v>0</v>
      </c>
      <c r="X485" s="52">
        <f t="shared" si="490"/>
        <v>0</v>
      </c>
      <c r="Y485" s="52" t="str">
        <f t="shared" si="3"/>
        <v>-</v>
      </c>
      <c r="Z485" s="52" t="s">
        <v>62</v>
      </c>
      <c r="AA485" s="53">
        <f t="shared" si="4"/>
        <v>1</v>
      </c>
      <c r="AB485" s="54">
        <f>COUNTIFS(Links!B:B,"ICSE",Links!C:C,A485,Links!AD:AD,1)</f>
        <v>0</v>
      </c>
      <c r="AC485" s="55" t="s">
        <v>35</v>
      </c>
      <c r="AD485" s="47" t="str">
        <f t="shared" si="5"/>
        <v>No</v>
      </c>
      <c r="AE485" s="56" t="s">
        <v>36</v>
      </c>
      <c r="AF485" s="57" t="s">
        <v>42</v>
      </c>
      <c r="AG485" s="57" t="s">
        <v>42</v>
      </c>
      <c r="AH485" s="57" t="s">
        <v>42</v>
      </c>
      <c r="AI485" s="49" t="str">
        <f t="shared" si="6"/>
        <v>----</v>
      </c>
      <c r="AJ485" s="58" t="str">
        <f t="shared" si="7"/>
        <v>Paper has link but no statement</v>
      </c>
      <c r="AK485" s="59">
        <v>45028.0</v>
      </c>
      <c r="AL485" s="43" t="s">
        <v>43</v>
      </c>
      <c r="AM485" s="60" t="str">
        <f t="shared" si="8"/>
        <v>[IP0937]</v>
      </c>
    </row>
    <row r="486" ht="67.5" customHeight="1">
      <c r="A486" s="61">
        <v>938.0</v>
      </c>
      <c r="B486" s="22" t="s">
        <v>1287</v>
      </c>
      <c r="C486" s="23">
        <v>2019.0</v>
      </c>
      <c r="D486" s="24" t="s">
        <v>35</v>
      </c>
      <c r="E486" s="25" t="s">
        <v>36</v>
      </c>
      <c r="F486" s="25" t="s">
        <v>36</v>
      </c>
      <c r="G486" s="25" t="s">
        <v>36</v>
      </c>
      <c r="H486" s="25" t="s">
        <v>36</v>
      </c>
      <c r="I486" s="25" t="s">
        <v>36</v>
      </c>
      <c r="J486" s="26" t="s">
        <v>36</v>
      </c>
      <c r="K486" s="27" t="s">
        <v>37</v>
      </c>
      <c r="L486" s="28" t="s">
        <v>37</v>
      </c>
      <c r="M486" s="28" t="s">
        <v>37</v>
      </c>
      <c r="N486" s="28" t="s">
        <v>35</v>
      </c>
      <c r="O486" s="28" t="s">
        <v>37</v>
      </c>
      <c r="P486" s="28" t="s">
        <v>37</v>
      </c>
      <c r="Q486" s="28" t="s">
        <v>35</v>
      </c>
      <c r="R486" s="28" t="s">
        <v>37</v>
      </c>
      <c r="S486" s="29" t="s">
        <v>1288</v>
      </c>
      <c r="T486" s="30" t="s">
        <v>1289</v>
      </c>
      <c r="U486" s="31" t="s">
        <v>1290</v>
      </c>
      <c r="V486" s="32">
        <f t="shared" ref="V486:X486" si="491">IF(lenb(SUBSTITUTE($Z486,V$1&amp;" (1)",""))&lt;lenb($Z486),1,IF(lenb(SUBSTITUTE($Z486,V$1&amp;" (2)",""))&lt;lenb($Z486),2,IF(lenb(SUBSTITUTE($Z486,V$1&amp;" (3)",""))&lt;lenb($Z486),3,IF(lenb(SUBSTITUTE($Z486,V$1&amp;" (4)",""))&lt;lenb($Z486),4,IF(lenb(SUBSTITUTE($Z486,V$1&amp;" (5)",""))&lt;lenb($Z486),5,IF(lenb(SUBSTITUTE($Z486,V$1&amp;" (6)",""))&lt;lenb($Z486),6,IF(lenb(SUBSTITUTE($Z486,V$1&amp;" (7)",""))&lt;lenb($Z486),1,IF(lenb(SUBSTITUTE($Z486,V$1&amp;" (8)",""))&lt;lenb($Z486),8,IF(lenb(SUBSTITUTE($Z486,V$1&amp;" (9)",""))&lt;lenb($Z486),9,IF(lenb(SUBSTITUTE($Z486,V$1&amp;" (10)",""))&lt;lenb($Z486),10,IF(lenb(SUBSTITUTE($Z486,V$1,""))&lt;lenb($Z486),"ERROR",IF($Z486=$Y$1,"-",0))))))))))))</f>
        <v>2</v>
      </c>
      <c r="W486" s="32">
        <f t="shared" si="491"/>
        <v>0</v>
      </c>
      <c r="X486" s="32">
        <f t="shared" si="491"/>
        <v>0</v>
      </c>
      <c r="Y486" s="32" t="str">
        <f t="shared" si="3"/>
        <v>-</v>
      </c>
      <c r="Z486" s="32" t="s">
        <v>57</v>
      </c>
      <c r="AA486" s="33">
        <f t="shared" si="4"/>
        <v>2</v>
      </c>
      <c r="AB486" s="34">
        <f>COUNTIFS(Links!B:B,"ICSE",Links!C:C,A486,Links!AD:AD,1)</f>
        <v>0</v>
      </c>
      <c r="AC486" s="35" t="s">
        <v>35</v>
      </c>
      <c r="AD486" s="27" t="str">
        <f t="shared" si="5"/>
        <v>No</v>
      </c>
      <c r="AE486" s="36" t="s">
        <v>36</v>
      </c>
      <c r="AF486" s="37" t="s">
        <v>42</v>
      </c>
      <c r="AG486" s="37" t="s">
        <v>42</v>
      </c>
      <c r="AH486" s="37" t="s">
        <v>42</v>
      </c>
      <c r="AI486" s="29" t="str">
        <f t="shared" si="6"/>
        <v>----</v>
      </c>
      <c r="AJ486" s="38" t="str">
        <f t="shared" si="7"/>
        <v>Paper has link but no statement</v>
      </c>
      <c r="AK486" s="39">
        <v>45028.0</v>
      </c>
      <c r="AL486" s="23" t="s">
        <v>43</v>
      </c>
      <c r="AM486" s="40" t="str">
        <f t="shared" si="8"/>
        <v>[IP0938]</v>
      </c>
    </row>
    <row r="487" ht="67.5" customHeight="1">
      <c r="A487" s="41">
        <v>939.0</v>
      </c>
      <c r="B487" s="42" t="s">
        <v>1291</v>
      </c>
      <c r="C487" s="43">
        <v>2019.0</v>
      </c>
      <c r="D487" s="44" t="s">
        <v>35</v>
      </c>
      <c r="E487" s="45" t="s">
        <v>36</v>
      </c>
      <c r="F487" s="45" t="s">
        <v>36</v>
      </c>
      <c r="G487" s="45" t="s">
        <v>36</v>
      </c>
      <c r="H487" s="45" t="s">
        <v>36</v>
      </c>
      <c r="I487" s="45" t="s">
        <v>36</v>
      </c>
      <c r="J487" s="46" t="s">
        <v>36</v>
      </c>
      <c r="K487" s="47" t="s">
        <v>35</v>
      </c>
      <c r="L487" s="48" t="s">
        <v>36</v>
      </c>
      <c r="M487" s="48" t="s">
        <v>36</v>
      </c>
      <c r="N487" s="48" t="s">
        <v>36</v>
      </c>
      <c r="O487" s="48" t="s">
        <v>36</v>
      </c>
      <c r="P487" s="48" t="s">
        <v>36</v>
      </c>
      <c r="Q487" s="48" t="s">
        <v>36</v>
      </c>
      <c r="R487" s="48" t="s">
        <v>36</v>
      </c>
      <c r="S487" s="49" t="s">
        <v>36</v>
      </c>
      <c r="T487" s="50" t="s">
        <v>36</v>
      </c>
      <c r="U487" s="51" t="s">
        <v>36</v>
      </c>
      <c r="V487" s="52" t="str">
        <f t="shared" ref="V487:X487" si="492">IF(lenb(SUBSTITUTE($Z487,V$1&amp;" (1)",""))&lt;lenb($Z487),1,IF(lenb(SUBSTITUTE($Z487,V$1&amp;" (2)",""))&lt;lenb($Z487),2,IF(lenb(SUBSTITUTE($Z487,V$1&amp;" (3)",""))&lt;lenb($Z487),3,IF(lenb(SUBSTITUTE($Z487,V$1&amp;" (4)",""))&lt;lenb($Z487),4,IF(lenb(SUBSTITUTE($Z487,V$1&amp;" (5)",""))&lt;lenb($Z487),5,IF(lenb(SUBSTITUTE($Z487,V$1&amp;" (6)",""))&lt;lenb($Z487),6,IF(lenb(SUBSTITUTE($Z487,V$1&amp;" (7)",""))&lt;lenb($Z487),1,IF(lenb(SUBSTITUTE($Z487,V$1&amp;" (8)",""))&lt;lenb($Z487),8,IF(lenb(SUBSTITUTE($Z487,V$1&amp;" (9)",""))&lt;lenb($Z487),9,IF(lenb(SUBSTITUTE($Z487,V$1&amp;" (10)",""))&lt;lenb($Z487),10,IF(lenb(SUBSTITUTE($Z487,V$1,""))&lt;lenb($Z487),"ERROR",IF($Z487=$Y$1,"-",0))))))))))))</f>
        <v>-</v>
      </c>
      <c r="W487" s="52" t="str">
        <f t="shared" si="492"/>
        <v>-</v>
      </c>
      <c r="X487" s="52" t="str">
        <f t="shared" si="492"/>
        <v>-</v>
      </c>
      <c r="Y487" s="52">
        <f t="shared" si="3"/>
        <v>1</v>
      </c>
      <c r="Z487" s="52" t="s">
        <v>23</v>
      </c>
      <c r="AA487" s="53">
        <f t="shared" si="4"/>
        <v>0</v>
      </c>
      <c r="AB487" s="54">
        <f>COUNTIFS(Links!B:B,"ICSE",Links!C:C,A487,Links!AD:AD,1)</f>
        <v>0</v>
      </c>
      <c r="AC487" s="55" t="s">
        <v>36</v>
      </c>
      <c r="AD487" s="47" t="str">
        <f t="shared" si="5"/>
        <v>No</v>
      </c>
      <c r="AE487" s="56" t="s">
        <v>36</v>
      </c>
      <c r="AF487" s="57" t="s">
        <v>42</v>
      </c>
      <c r="AG487" s="57" t="s">
        <v>42</v>
      </c>
      <c r="AH487" s="57" t="s">
        <v>42</v>
      </c>
      <c r="AI487" s="49" t="str">
        <f t="shared" si="6"/>
        <v>----</v>
      </c>
      <c r="AJ487" s="58" t="str">
        <f t="shared" si="7"/>
        <v>Paper has no link and no statement</v>
      </c>
      <c r="AK487" s="59">
        <v>45028.0</v>
      </c>
      <c r="AL487" s="43" t="s">
        <v>43</v>
      </c>
      <c r="AM487" s="60" t="str">
        <f t="shared" si="8"/>
        <v>[IP0939]</v>
      </c>
    </row>
    <row r="488" ht="67.5" customHeight="1">
      <c r="A488" s="61">
        <v>940.0</v>
      </c>
      <c r="B488" s="22" t="s">
        <v>1292</v>
      </c>
      <c r="C488" s="23">
        <v>2019.0</v>
      </c>
      <c r="D488" s="24" t="s">
        <v>35</v>
      </c>
      <c r="E488" s="25" t="s">
        <v>36</v>
      </c>
      <c r="F488" s="25" t="s">
        <v>36</v>
      </c>
      <c r="G488" s="25" t="s">
        <v>36</v>
      </c>
      <c r="H488" s="25" t="s">
        <v>36</v>
      </c>
      <c r="I488" s="25" t="s">
        <v>36</v>
      </c>
      <c r="J488" s="26" t="s">
        <v>36</v>
      </c>
      <c r="K488" s="27" t="s">
        <v>37</v>
      </c>
      <c r="L488" s="28" t="s">
        <v>35</v>
      </c>
      <c r="M488" s="28" t="s">
        <v>37</v>
      </c>
      <c r="N488" s="28" t="s">
        <v>35</v>
      </c>
      <c r="O488" s="28" t="s">
        <v>35</v>
      </c>
      <c r="P488" s="28" t="s">
        <v>35</v>
      </c>
      <c r="Q488" s="28" t="s">
        <v>35</v>
      </c>
      <c r="R488" s="28" t="s">
        <v>37</v>
      </c>
      <c r="S488" s="29" t="s">
        <v>1293</v>
      </c>
      <c r="T488" s="30" t="s">
        <v>1294</v>
      </c>
      <c r="U488" s="31" t="s">
        <v>1294</v>
      </c>
      <c r="V488" s="32">
        <f t="shared" ref="V488:X488" si="493">IF(lenb(SUBSTITUTE($Z488,V$1&amp;" (1)",""))&lt;lenb($Z488),1,IF(lenb(SUBSTITUTE($Z488,V$1&amp;" (2)",""))&lt;lenb($Z488),2,IF(lenb(SUBSTITUTE($Z488,V$1&amp;" (3)",""))&lt;lenb($Z488),3,IF(lenb(SUBSTITUTE($Z488,V$1&amp;" (4)",""))&lt;lenb($Z488),4,IF(lenb(SUBSTITUTE($Z488,V$1&amp;" (5)",""))&lt;lenb($Z488),5,IF(lenb(SUBSTITUTE($Z488,V$1&amp;" (6)",""))&lt;lenb($Z488),6,IF(lenb(SUBSTITUTE($Z488,V$1&amp;" (7)",""))&lt;lenb($Z488),1,IF(lenb(SUBSTITUTE($Z488,V$1&amp;" (8)",""))&lt;lenb($Z488),8,IF(lenb(SUBSTITUTE($Z488,V$1&amp;" (9)",""))&lt;lenb($Z488),9,IF(lenb(SUBSTITUTE($Z488,V$1&amp;" (10)",""))&lt;lenb($Z488),10,IF(lenb(SUBSTITUTE($Z488,V$1,""))&lt;lenb($Z488),"ERROR",IF($Z488=$Y$1,"-",0))))))))))))</f>
        <v>1</v>
      </c>
      <c r="W488" s="32">
        <f t="shared" si="493"/>
        <v>0</v>
      </c>
      <c r="X488" s="32">
        <f t="shared" si="493"/>
        <v>0</v>
      </c>
      <c r="Y488" s="32" t="str">
        <f t="shared" si="3"/>
        <v>-</v>
      </c>
      <c r="Z488" s="32" t="s">
        <v>62</v>
      </c>
      <c r="AA488" s="33">
        <f t="shared" si="4"/>
        <v>1</v>
      </c>
      <c r="AB488" s="34">
        <f>COUNTIFS(Links!B:B,"ICSE",Links!C:C,A488,Links!AD:AD,1)</f>
        <v>1</v>
      </c>
      <c r="AC488" s="35" t="s">
        <v>35</v>
      </c>
      <c r="AD488" s="27" t="str">
        <f t="shared" si="5"/>
        <v>No</v>
      </c>
      <c r="AE488" s="36" t="s">
        <v>36</v>
      </c>
      <c r="AF488" s="37" t="s">
        <v>42</v>
      </c>
      <c r="AG488" s="37" t="s">
        <v>42</v>
      </c>
      <c r="AH488" s="37" t="s">
        <v>42</v>
      </c>
      <c r="AI488" s="29" t="str">
        <f t="shared" si="6"/>
        <v>----</v>
      </c>
      <c r="AJ488" s="38" t="str">
        <f t="shared" si="7"/>
        <v>Paper has link but no statement</v>
      </c>
      <c r="AK488" s="39">
        <v>45028.0</v>
      </c>
      <c r="AL488" s="23" t="s">
        <v>43</v>
      </c>
      <c r="AM488" s="40" t="str">
        <f t="shared" si="8"/>
        <v>[IP0940]</v>
      </c>
    </row>
    <row r="489" ht="67.5" customHeight="1">
      <c r="A489" s="41">
        <v>941.0</v>
      </c>
      <c r="B489" s="42" t="s">
        <v>1295</v>
      </c>
      <c r="C489" s="43">
        <v>2019.0</v>
      </c>
      <c r="D489" s="44" t="s">
        <v>35</v>
      </c>
      <c r="E489" s="45" t="s">
        <v>36</v>
      </c>
      <c r="F489" s="45" t="s">
        <v>36</v>
      </c>
      <c r="G489" s="45" t="s">
        <v>36</v>
      </c>
      <c r="H489" s="45" t="s">
        <v>36</v>
      </c>
      <c r="I489" s="45" t="s">
        <v>36</v>
      </c>
      <c r="J489" s="46" t="s">
        <v>36</v>
      </c>
      <c r="K489" s="47" t="s">
        <v>37</v>
      </c>
      <c r="L489" s="48" t="s">
        <v>35</v>
      </c>
      <c r="M489" s="48" t="s">
        <v>37</v>
      </c>
      <c r="N489" s="48" t="s">
        <v>35</v>
      </c>
      <c r="O489" s="48" t="s">
        <v>35</v>
      </c>
      <c r="P489" s="48" t="s">
        <v>35</v>
      </c>
      <c r="Q489" s="48" t="s">
        <v>35</v>
      </c>
      <c r="R489" s="48" t="s">
        <v>37</v>
      </c>
      <c r="S489" s="49" t="s">
        <v>1296</v>
      </c>
      <c r="T489" s="50" t="s">
        <v>1297</v>
      </c>
      <c r="U489" s="51" t="s">
        <v>1297</v>
      </c>
      <c r="V489" s="52">
        <f t="shared" ref="V489:X489" si="494">IF(lenb(SUBSTITUTE($Z489,V$1&amp;" (1)",""))&lt;lenb($Z489),1,IF(lenb(SUBSTITUTE($Z489,V$1&amp;" (2)",""))&lt;lenb($Z489),2,IF(lenb(SUBSTITUTE($Z489,V$1&amp;" (3)",""))&lt;lenb($Z489),3,IF(lenb(SUBSTITUTE($Z489,V$1&amp;" (4)",""))&lt;lenb($Z489),4,IF(lenb(SUBSTITUTE($Z489,V$1&amp;" (5)",""))&lt;lenb($Z489),5,IF(lenb(SUBSTITUTE($Z489,V$1&amp;" (6)",""))&lt;lenb($Z489),6,IF(lenb(SUBSTITUTE($Z489,V$1&amp;" (7)",""))&lt;lenb($Z489),1,IF(lenb(SUBSTITUTE($Z489,V$1&amp;" (8)",""))&lt;lenb($Z489),8,IF(lenb(SUBSTITUTE($Z489,V$1&amp;" (9)",""))&lt;lenb($Z489),9,IF(lenb(SUBSTITUTE($Z489,V$1&amp;" (10)",""))&lt;lenb($Z489),10,IF(lenb(SUBSTITUTE($Z489,V$1,""))&lt;lenb($Z489),"ERROR",IF($Z489=$Y$1,"-",0))))))))))))</f>
        <v>1</v>
      </c>
      <c r="W489" s="52">
        <f t="shared" si="494"/>
        <v>0</v>
      </c>
      <c r="X489" s="52">
        <f t="shared" si="494"/>
        <v>0</v>
      </c>
      <c r="Y489" s="52" t="str">
        <f t="shared" si="3"/>
        <v>-</v>
      </c>
      <c r="Z489" s="52" t="s">
        <v>62</v>
      </c>
      <c r="AA489" s="53">
        <f t="shared" si="4"/>
        <v>1</v>
      </c>
      <c r="AB489" s="54">
        <f>COUNTIFS(Links!B:B,"ICSE",Links!C:C,A489,Links!AD:AD,1)</f>
        <v>0</v>
      </c>
      <c r="AC489" s="55" t="s">
        <v>37</v>
      </c>
      <c r="AD489" s="47" t="str">
        <f t="shared" si="5"/>
        <v>No</v>
      </c>
      <c r="AE489" s="56" t="s">
        <v>36</v>
      </c>
      <c r="AF489" s="57" t="s">
        <v>42</v>
      </c>
      <c r="AG489" s="57" t="s">
        <v>42</v>
      </c>
      <c r="AH489" s="57" t="s">
        <v>42</v>
      </c>
      <c r="AI489" s="49" t="str">
        <f t="shared" si="6"/>
        <v>----</v>
      </c>
      <c r="AJ489" s="58" t="str">
        <f t="shared" si="7"/>
        <v>Paper has link but no statement</v>
      </c>
      <c r="AK489" s="59">
        <v>45028.0</v>
      </c>
      <c r="AL489" s="43" t="s">
        <v>43</v>
      </c>
      <c r="AM489" s="60" t="str">
        <f t="shared" si="8"/>
        <v>[IP0941]</v>
      </c>
    </row>
    <row r="490" ht="67.5" customHeight="1">
      <c r="A490" s="61">
        <v>942.0</v>
      </c>
      <c r="B490" s="22" t="s">
        <v>1298</v>
      </c>
      <c r="C490" s="23">
        <v>2019.0</v>
      </c>
      <c r="D490" s="24" t="s">
        <v>35</v>
      </c>
      <c r="E490" s="25" t="s">
        <v>36</v>
      </c>
      <c r="F490" s="25" t="s">
        <v>36</v>
      </c>
      <c r="G490" s="25" t="s">
        <v>36</v>
      </c>
      <c r="H490" s="25" t="s">
        <v>36</v>
      </c>
      <c r="I490" s="25" t="s">
        <v>36</v>
      </c>
      <c r="J490" s="26" t="s">
        <v>36</v>
      </c>
      <c r="K490" s="27" t="s">
        <v>37</v>
      </c>
      <c r="L490" s="28" t="s">
        <v>37</v>
      </c>
      <c r="M490" s="28" t="s">
        <v>37</v>
      </c>
      <c r="N490" s="28" t="s">
        <v>35</v>
      </c>
      <c r="O490" s="28" t="s">
        <v>35</v>
      </c>
      <c r="P490" s="28" t="s">
        <v>35</v>
      </c>
      <c r="Q490" s="28" t="s">
        <v>35</v>
      </c>
      <c r="R490" s="28" t="s">
        <v>37</v>
      </c>
      <c r="S490" s="29" t="s">
        <v>1299</v>
      </c>
      <c r="T490" s="30" t="s">
        <v>1300</v>
      </c>
      <c r="U490" s="31" t="s">
        <v>1300</v>
      </c>
      <c r="V490" s="32">
        <f t="shared" ref="V490:X490" si="495">IF(lenb(SUBSTITUTE($Z490,V$1&amp;" (1)",""))&lt;lenb($Z490),1,IF(lenb(SUBSTITUTE($Z490,V$1&amp;" (2)",""))&lt;lenb($Z490),2,IF(lenb(SUBSTITUTE($Z490,V$1&amp;" (3)",""))&lt;lenb($Z490),3,IF(lenb(SUBSTITUTE($Z490,V$1&amp;" (4)",""))&lt;lenb($Z490),4,IF(lenb(SUBSTITUTE($Z490,V$1&amp;" (5)",""))&lt;lenb($Z490),5,IF(lenb(SUBSTITUTE($Z490,V$1&amp;" (6)",""))&lt;lenb($Z490),6,IF(lenb(SUBSTITUTE($Z490,V$1&amp;" (7)",""))&lt;lenb($Z490),1,IF(lenb(SUBSTITUTE($Z490,V$1&amp;" (8)",""))&lt;lenb($Z490),8,IF(lenb(SUBSTITUTE($Z490,V$1&amp;" (9)",""))&lt;lenb($Z490),9,IF(lenb(SUBSTITUTE($Z490,V$1&amp;" (10)",""))&lt;lenb($Z490),10,IF(lenb(SUBSTITUTE($Z490,V$1,""))&lt;lenb($Z490),"ERROR",IF($Z490=$Y$1,"-",0))))))))))))</f>
        <v>2</v>
      </c>
      <c r="W490" s="32">
        <f t="shared" si="495"/>
        <v>0</v>
      </c>
      <c r="X490" s="32">
        <f t="shared" si="495"/>
        <v>0</v>
      </c>
      <c r="Y490" s="32" t="str">
        <f t="shared" si="3"/>
        <v>-</v>
      </c>
      <c r="Z490" s="32" t="s">
        <v>57</v>
      </c>
      <c r="AA490" s="33">
        <f t="shared" si="4"/>
        <v>2</v>
      </c>
      <c r="AB490" s="34">
        <f>COUNTIFS(Links!B:B,"ICSE",Links!C:C,A490,Links!AD:AD,1)</f>
        <v>0</v>
      </c>
      <c r="AC490" s="35" t="s">
        <v>35</v>
      </c>
      <c r="AD490" s="27" t="str">
        <f t="shared" si="5"/>
        <v>No</v>
      </c>
      <c r="AE490" s="36" t="s">
        <v>36</v>
      </c>
      <c r="AF490" s="37" t="s">
        <v>42</v>
      </c>
      <c r="AG490" s="37" t="s">
        <v>42</v>
      </c>
      <c r="AH490" s="37" t="s">
        <v>42</v>
      </c>
      <c r="AI490" s="29" t="str">
        <f t="shared" si="6"/>
        <v>----</v>
      </c>
      <c r="AJ490" s="38" t="str">
        <f t="shared" si="7"/>
        <v>Paper has link but no statement</v>
      </c>
      <c r="AK490" s="39">
        <v>45028.0</v>
      </c>
      <c r="AL490" s="23" t="s">
        <v>43</v>
      </c>
      <c r="AM490" s="40" t="str">
        <f t="shared" si="8"/>
        <v>[IP0942]</v>
      </c>
    </row>
    <row r="491" ht="67.5" customHeight="1">
      <c r="A491" s="41">
        <v>943.0</v>
      </c>
      <c r="B491" s="42" t="s">
        <v>1301</v>
      </c>
      <c r="C491" s="43">
        <v>2019.0</v>
      </c>
      <c r="D491" s="44" t="s">
        <v>35</v>
      </c>
      <c r="E491" s="45" t="s">
        <v>36</v>
      </c>
      <c r="F491" s="45" t="s">
        <v>36</v>
      </c>
      <c r="G491" s="45" t="s">
        <v>36</v>
      </c>
      <c r="H491" s="45" t="s">
        <v>36</v>
      </c>
      <c r="I491" s="45" t="s">
        <v>36</v>
      </c>
      <c r="J491" s="46" t="s">
        <v>36</v>
      </c>
      <c r="K491" s="47" t="s">
        <v>37</v>
      </c>
      <c r="L491" s="48" t="s">
        <v>35</v>
      </c>
      <c r="M491" s="48" t="s">
        <v>37</v>
      </c>
      <c r="N491" s="48" t="s">
        <v>35</v>
      </c>
      <c r="O491" s="48" t="s">
        <v>35</v>
      </c>
      <c r="P491" s="48" t="s">
        <v>35</v>
      </c>
      <c r="Q491" s="48" t="s">
        <v>35</v>
      </c>
      <c r="R491" s="48" t="s">
        <v>37</v>
      </c>
      <c r="S491" s="49" t="s">
        <v>1302</v>
      </c>
      <c r="T491" s="50" t="s">
        <v>1303</v>
      </c>
      <c r="U491" s="51" t="s">
        <v>1303</v>
      </c>
      <c r="V491" s="52">
        <f t="shared" ref="V491:X491" si="496">IF(lenb(SUBSTITUTE($Z491,V$1&amp;" (1)",""))&lt;lenb($Z491),1,IF(lenb(SUBSTITUTE($Z491,V$1&amp;" (2)",""))&lt;lenb($Z491),2,IF(lenb(SUBSTITUTE($Z491,V$1&amp;" (3)",""))&lt;lenb($Z491),3,IF(lenb(SUBSTITUTE($Z491,V$1&amp;" (4)",""))&lt;lenb($Z491),4,IF(lenb(SUBSTITUTE($Z491,V$1&amp;" (5)",""))&lt;lenb($Z491),5,IF(lenb(SUBSTITUTE($Z491,V$1&amp;" (6)",""))&lt;lenb($Z491),6,IF(lenb(SUBSTITUTE($Z491,V$1&amp;" (7)",""))&lt;lenb($Z491),1,IF(lenb(SUBSTITUTE($Z491,V$1&amp;" (8)",""))&lt;lenb($Z491),8,IF(lenb(SUBSTITUTE($Z491,V$1&amp;" (9)",""))&lt;lenb($Z491),9,IF(lenb(SUBSTITUTE($Z491,V$1&amp;" (10)",""))&lt;lenb($Z491),10,IF(lenb(SUBSTITUTE($Z491,V$1,""))&lt;lenb($Z491),"ERROR",IF($Z491=$Y$1,"-",0))))))))))))</f>
        <v>1</v>
      </c>
      <c r="W491" s="52">
        <f t="shared" si="496"/>
        <v>0</v>
      </c>
      <c r="X491" s="52">
        <f t="shared" si="496"/>
        <v>0</v>
      </c>
      <c r="Y491" s="52" t="str">
        <f t="shared" si="3"/>
        <v>-</v>
      </c>
      <c r="Z491" s="52" t="s">
        <v>62</v>
      </c>
      <c r="AA491" s="53">
        <f t="shared" si="4"/>
        <v>1</v>
      </c>
      <c r="AB491" s="54">
        <f>COUNTIFS(Links!B:B,"ICSE",Links!C:C,A491,Links!AD:AD,1)</f>
        <v>0</v>
      </c>
      <c r="AC491" s="55" t="s">
        <v>37</v>
      </c>
      <c r="AD491" s="47" t="str">
        <f t="shared" si="5"/>
        <v>No</v>
      </c>
      <c r="AE491" s="56" t="s">
        <v>36</v>
      </c>
      <c r="AF491" s="57" t="s">
        <v>42</v>
      </c>
      <c r="AG491" s="57" t="s">
        <v>42</v>
      </c>
      <c r="AH491" s="57" t="s">
        <v>42</v>
      </c>
      <c r="AI491" s="49" t="str">
        <f t="shared" si="6"/>
        <v>----</v>
      </c>
      <c r="AJ491" s="58" t="str">
        <f t="shared" si="7"/>
        <v>Paper has link but no statement</v>
      </c>
      <c r="AK491" s="59">
        <v>45028.0</v>
      </c>
      <c r="AL491" s="43" t="s">
        <v>43</v>
      </c>
      <c r="AM491" s="60" t="str">
        <f t="shared" si="8"/>
        <v>[IP0943]</v>
      </c>
    </row>
    <row r="492" ht="67.5" customHeight="1">
      <c r="A492" s="61">
        <v>944.0</v>
      </c>
      <c r="B492" s="75" t="s">
        <v>1304</v>
      </c>
      <c r="C492" s="23">
        <v>2019.0</v>
      </c>
      <c r="D492" s="24" t="s">
        <v>37</v>
      </c>
      <c r="E492" s="25" t="s">
        <v>37</v>
      </c>
      <c r="F492" s="25" t="s">
        <v>35</v>
      </c>
      <c r="G492" s="25" t="s">
        <v>37</v>
      </c>
      <c r="H492" s="25" t="s">
        <v>35</v>
      </c>
      <c r="I492" s="25" t="s">
        <v>35</v>
      </c>
      <c r="J492" s="26" t="s">
        <v>36</v>
      </c>
      <c r="K492" s="27" t="s">
        <v>37</v>
      </c>
      <c r="L492" s="28" t="s">
        <v>37</v>
      </c>
      <c r="M492" s="28" t="s">
        <v>37</v>
      </c>
      <c r="N492" s="28" t="s">
        <v>37</v>
      </c>
      <c r="O492" s="28" t="s">
        <v>35</v>
      </c>
      <c r="P492" s="28" t="s">
        <v>35</v>
      </c>
      <c r="Q492" s="28" t="s">
        <v>35</v>
      </c>
      <c r="R492" s="28" t="s">
        <v>37</v>
      </c>
      <c r="S492" s="29" t="s">
        <v>1305</v>
      </c>
      <c r="T492" s="76" t="s">
        <v>1306</v>
      </c>
      <c r="U492" s="31" t="s">
        <v>1307</v>
      </c>
      <c r="V492" s="32">
        <f t="shared" ref="V492:X492" si="497">IF(lenb(SUBSTITUTE($Z492,V$1&amp;" (1)",""))&lt;lenb($Z492),1,IF(lenb(SUBSTITUTE($Z492,V$1&amp;" (2)",""))&lt;lenb($Z492),2,IF(lenb(SUBSTITUTE($Z492,V$1&amp;" (3)",""))&lt;lenb($Z492),3,IF(lenb(SUBSTITUTE($Z492,V$1&amp;" (4)",""))&lt;lenb($Z492),4,IF(lenb(SUBSTITUTE($Z492,V$1&amp;" (5)",""))&lt;lenb($Z492),5,IF(lenb(SUBSTITUTE($Z492,V$1&amp;" (6)",""))&lt;lenb($Z492),6,IF(lenb(SUBSTITUTE($Z492,V$1&amp;" (7)",""))&lt;lenb($Z492),1,IF(lenb(SUBSTITUTE($Z492,V$1&amp;" (8)",""))&lt;lenb($Z492),8,IF(lenb(SUBSTITUTE($Z492,V$1&amp;" (9)",""))&lt;lenb($Z492),9,IF(lenb(SUBSTITUTE($Z492,V$1&amp;" (10)",""))&lt;lenb($Z492),10,IF(lenb(SUBSTITUTE($Z492,V$1,""))&lt;lenb($Z492),"ERROR",IF($Z492=$Y$1,"-",0))))))))))))</f>
        <v>2</v>
      </c>
      <c r="W492" s="32">
        <f t="shared" si="497"/>
        <v>0</v>
      </c>
      <c r="X492" s="32">
        <f t="shared" si="497"/>
        <v>0</v>
      </c>
      <c r="Y492" s="32" t="str">
        <f t="shared" si="3"/>
        <v>-</v>
      </c>
      <c r="Z492" s="32" t="s">
        <v>57</v>
      </c>
      <c r="AA492" s="33">
        <f t="shared" si="4"/>
        <v>2</v>
      </c>
      <c r="AB492" s="34">
        <f>COUNTIFS(Links!B:B,"ICSE",Links!C:C,A492,Links!AD:AD,1)</f>
        <v>0</v>
      </c>
      <c r="AC492" s="35" t="s">
        <v>35</v>
      </c>
      <c r="AD492" s="27" t="str">
        <f t="shared" si="5"/>
        <v>No</v>
      </c>
      <c r="AE492" s="36" t="s">
        <v>36</v>
      </c>
      <c r="AF492" s="37" t="s">
        <v>42</v>
      </c>
      <c r="AG492" s="37" t="s">
        <v>42</v>
      </c>
      <c r="AH492" s="37" t="s">
        <v>42</v>
      </c>
      <c r="AI492" s="29" t="str">
        <f t="shared" si="6"/>
        <v>----</v>
      </c>
      <c r="AJ492" s="38" t="str">
        <f t="shared" si="7"/>
        <v>Paper has link but no statement</v>
      </c>
      <c r="AK492" s="39">
        <v>45028.0</v>
      </c>
      <c r="AL492" s="23" t="s">
        <v>43</v>
      </c>
      <c r="AM492" s="40" t="str">
        <f t="shared" si="8"/>
        <v>[IP0944]</v>
      </c>
    </row>
    <row r="493" ht="67.5" customHeight="1">
      <c r="A493" s="41">
        <v>945.0</v>
      </c>
      <c r="B493" s="42" t="s">
        <v>1308</v>
      </c>
      <c r="C493" s="43">
        <v>2019.0</v>
      </c>
      <c r="D493" s="44" t="s">
        <v>35</v>
      </c>
      <c r="E493" s="45" t="s">
        <v>36</v>
      </c>
      <c r="F493" s="45" t="s">
        <v>36</v>
      </c>
      <c r="G493" s="45" t="s">
        <v>36</v>
      </c>
      <c r="H493" s="45" t="s">
        <v>36</v>
      </c>
      <c r="I493" s="45" t="s">
        <v>36</v>
      </c>
      <c r="J493" s="46" t="s">
        <v>36</v>
      </c>
      <c r="K493" s="47" t="s">
        <v>35</v>
      </c>
      <c r="L493" s="48" t="s">
        <v>36</v>
      </c>
      <c r="M493" s="48" t="s">
        <v>36</v>
      </c>
      <c r="N493" s="48" t="s">
        <v>36</v>
      </c>
      <c r="O493" s="48" t="s">
        <v>36</v>
      </c>
      <c r="P493" s="48" t="s">
        <v>36</v>
      </c>
      <c r="Q493" s="48" t="s">
        <v>36</v>
      </c>
      <c r="R493" s="48" t="s">
        <v>36</v>
      </c>
      <c r="S493" s="49" t="s">
        <v>36</v>
      </c>
      <c r="T493" s="50" t="s">
        <v>36</v>
      </c>
      <c r="U493" s="51" t="s">
        <v>36</v>
      </c>
      <c r="V493" s="52" t="str">
        <f t="shared" ref="V493:X493" si="498">IF(lenb(SUBSTITUTE($Z493,V$1&amp;" (1)",""))&lt;lenb($Z493),1,IF(lenb(SUBSTITUTE($Z493,V$1&amp;" (2)",""))&lt;lenb($Z493),2,IF(lenb(SUBSTITUTE($Z493,V$1&amp;" (3)",""))&lt;lenb($Z493),3,IF(lenb(SUBSTITUTE($Z493,V$1&amp;" (4)",""))&lt;lenb($Z493),4,IF(lenb(SUBSTITUTE($Z493,V$1&amp;" (5)",""))&lt;lenb($Z493),5,IF(lenb(SUBSTITUTE($Z493,V$1&amp;" (6)",""))&lt;lenb($Z493),6,IF(lenb(SUBSTITUTE($Z493,V$1&amp;" (7)",""))&lt;lenb($Z493),1,IF(lenb(SUBSTITUTE($Z493,V$1&amp;" (8)",""))&lt;lenb($Z493),8,IF(lenb(SUBSTITUTE($Z493,V$1&amp;" (9)",""))&lt;lenb($Z493),9,IF(lenb(SUBSTITUTE($Z493,V$1&amp;" (10)",""))&lt;lenb($Z493),10,IF(lenb(SUBSTITUTE($Z493,V$1,""))&lt;lenb($Z493),"ERROR",IF($Z493=$Y$1,"-",0))))))))))))</f>
        <v>-</v>
      </c>
      <c r="W493" s="52" t="str">
        <f t="shared" si="498"/>
        <v>-</v>
      </c>
      <c r="X493" s="52" t="str">
        <f t="shared" si="498"/>
        <v>-</v>
      </c>
      <c r="Y493" s="52">
        <f t="shared" si="3"/>
        <v>1</v>
      </c>
      <c r="Z493" s="52" t="s">
        <v>23</v>
      </c>
      <c r="AA493" s="53">
        <f t="shared" si="4"/>
        <v>0</v>
      </c>
      <c r="AB493" s="54">
        <f>COUNTIFS(Links!B:B,"ICSE",Links!C:C,A493,Links!AD:AD,1)</f>
        <v>0</v>
      </c>
      <c r="AC493" s="55" t="s">
        <v>36</v>
      </c>
      <c r="AD493" s="47" t="str">
        <f t="shared" si="5"/>
        <v>No</v>
      </c>
      <c r="AE493" s="56" t="s">
        <v>36</v>
      </c>
      <c r="AF493" s="57" t="s">
        <v>42</v>
      </c>
      <c r="AG493" s="57" t="s">
        <v>42</v>
      </c>
      <c r="AH493" s="57" t="s">
        <v>42</v>
      </c>
      <c r="AI493" s="49" t="str">
        <f t="shared" si="6"/>
        <v>----</v>
      </c>
      <c r="AJ493" s="58" t="str">
        <f t="shared" si="7"/>
        <v>Paper has no link and no statement</v>
      </c>
      <c r="AK493" s="59">
        <v>45028.0</v>
      </c>
      <c r="AL493" s="43" t="s">
        <v>43</v>
      </c>
      <c r="AM493" s="60" t="str">
        <f t="shared" si="8"/>
        <v>[IP0945]</v>
      </c>
    </row>
    <row r="494" ht="67.5" customHeight="1">
      <c r="A494" s="61">
        <v>946.0</v>
      </c>
      <c r="B494" s="75" t="s">
        <v>1309</v>
      </c>
      <c r="C494" s="23">
        <v>2019.0</v>
      </c>
      <c r="D494" s="24" t="s">
        <v>37</v>
      </c>
      <c r="E494" s="25" t="s">
        <v>35</v>
      </c>
      <c r="F494" s="25" t="s">
        <v>35</v>
      </c>
      <c r="G494" s="25" t="s">
        <v>37</v>
      </c>
      <c r="H494" s="25" t="s">
        <v>35</v>
      </c>
      <c r="I494" s="25" t="s">
        <v>35</v>
      </c>
      <c r="J494" s="26" t="s">
        <v>36</v>
      </c>
      <c r="K494" s="27" t="s">
        <v>37</v>
      </c>
      <c r="L494" s="28" t="s">
        <v>37</v>
      </c>
      <c r="M494" s="28" t="s">
        <v>37</v>
      </c>
      <c r="N494" s="28" t="s">
        <v>37</v>
      </c>
      <c r="O494" s="28" t="s">
        <v>37</v>
      </c>
      <c r="P494" s="28" t="s">
        <v>35</v>
      </c>
      <c r="Q494" s="28" t="s">
        <v>35</v>
      </c>
      <c r="R494" s="28" t="s">
        <v>37</v>
      </c>
      <c r="S494" s="29" t="s">
        <v>1310</v>
      </c>
      <c r="T494" s="30" t="s">
        <v>1311</v>
      </c>
      <c r="U494" s="31" t="s">
        <v>1312</v>
      </c>
      <c r="V494" s="32">
        <f t="shared" ref="V494:X494" si="499">IF(lenb(SUBSTITUTE($Z494,V$1&amp;" (1)",""))&lt;lenb($Z494),1,IF(lenb(SUBSTITUTE($Z494,V$1&amp;" (2)",""))&lt;lenb($Z494),2,IF(lenb(SUBSTITUTE($Z494,V$1&amp;" (3)",""))&lt;lenb($Z494),3,IF(lenb(SUBSTITUTE($Z494,V$1&amp;" (4)",""))&lt;lenb($Z494),4,IF(lenb(SUBSTITUTE($Z494,V$1&amp;" (5)",""))&lt;lenb($Z494),5,IF(lenb(SUBSTITUTE($Z494,V$1&amp;" (6)",""))&lt;lenb($Z494),6,IF(lenb(SUBSTITUTE($Z494,V$1&amp;" (7)",""))&lt;lenb($Z494),1,IF(lenb(SUBSTITUTE($Z494,V$1&amp;" (8)",""))&lt;lenb($Z494),8,IF(lenb(SUBSTITUTE($Z494,V$1&amp;" (9)",""))&lt;lenb($Z494),9,IF(lenb(SUBSTITUTE($Z494,V$1&amp;" (10)",""))&lt;lenb($Z494),10,IF(lenb(SUBSTITUTE($Z494,V$1,""))&lt;lenb($Z494),"ERROR",IF($Z494=$Y$1,"-",0))))))))))))</f>
        <v>1</v>
      </c>
      <c r="W494" s="32">
        <f t="shared" si="499"/>
        <v>0</v>
      </c>
      <c r="X494" s="32">
        <f t="shared" si="499"/>
        <v>0</v>
      </c>
      <c r="Y494" s="32" t="str">
        <f t="shared" si="3"/>
        <v>-</v>
      </c>
      <c r="Z494" s="32" t="s">
        <v>62</v>
      </c>
      <c r="AA494" s="33">
        <f t="shared" si="4"/>
        <v>1</v>
      </c>
      <c r="AB494" s="34">
        <f>COUNTIFS(Links!B:B,"ICSE",Links!C:C,A494,Links!AD:AD,1)</f>
        <v>1</v>
      </c>
      <c r="AC494" s="35" t="s">
        <v>35</v>
      </c>
      <c r="AD494" s="27" t="str">
        <f t="shared" si="5"/>
        <v>No</v>
      </c>
      <c r="AE494" s="36" t="s">
        <v>36</v>
      </c>
      <c r="AF494" s="37" t="s">
        <v>42</v>
      </c>
      <c r="AG494" s="37" t="s">
        <v>42</v>
      </c>
      <c r="AH494" s="37" t="s">
        <v>42</v>
      </c>
      <c r="AI494" s="29" t="str">
        <f t="shared" si="6"/>
        <v>----</v>
      </c>
      <c r="AJ494" s="38" t="str">
        <f t="shared" si="7"/>
        <v>Paper has link but no statement</v>
      </c>
      <c r="AK494" s="39">
        <v>45028.0</v>
      </c>
      <c r="AL494" s="23" t="s">
        <v>43</v>
      </c>
      <c r="AM494" s="40" t="str">
        <f t="shared" si="8"/>
        <v>[IP0946]</v>
      </c>
    </row>
    <row r="495" ht="67.5" customHeight="1">
      <c r="A495" s="41">
        <v>947.0</v>
      </c>
      <c r="B495" s="42" t="s">
        <v>1313</v>
      </c>
      <c r="C495" s="43">
        <v>2019.0</v>
      </c>
      <c r="D495" s="44" t="s">
        <v>35</v>
      </c>
      <c r="E495" s="45" t="s">
        <v>36</v>
      </c>
      <c r="F495" s="45" t="s">
        <v>36</v>
      </c>
      <c r="G495" s="45" t="s">
        <v>36</v>
      </c>
      <c r="H495" s="45" t="s">
        <v>36</v>
      </c>
      <c r="I495" s="45" t="s">
        <v>36</v>
      </c>
      <c r="J495" s="46" t="s">
        <v>36</v>
      </c>
      <c r="K495" s="47" t="s">
        <v>35</v>
      </c>
      <c r="L495" s="48" t="s">
        <v>36</v>
      </c>
      <c r="M495" s="48" t="s">
        <v>36</v>
      </c>
      <c r="N495" s="48" t="s">
        <v>36</v>
      </c>
      <c r="O495" s="48" t="s">
        <v>36</v>
      </c>
      <c r="P495" s="48" t="s">
        <v>36</v>
      </c>
      <c r="Q495" s="48" t="s">
        <v>36</v>
      </c>
      <c r="R495" s="48" t="s">
        <v>36</v>
      </c>
      <c r="S495" s="49" t="s">
        <v>36</v>
      </c>
      <c r="T495" s="50" t="s">
        <v>36</v>
      </c>
      <c r="U495" s="51" t="s">
        <v>36</v>
      </c>
      <c r="V495" s="52" t="str">
        <f t="shared" ref="V495:X495" si="500">IF(lenb(SUBSTITUTE($Z495,V$1&amp;" (1)",""))&lt;lenb($Z495),1,IF(lenb(SUBSTITUTE($Z495,V$1&amp;" (2)",""))&lt;lenb($Z495),2,IF(lenb(SUBSTITUTE($Z495,V$1&amp;" (3)",""))&lt;lenb($Z495),3,IF(lenb(SUBSTITUTE($Z495,V$1&amp;" (4)",""))&lt;lenb($Z495),4,IF(lenb(SUBSTITUTE($Z495,V$1&amp;" (5)",""))&lt;lenb($Z495),5,IF(lenb(SUBSTITUTE($Z495,V$1&amp;" (6)",""))&lt;lenb($Z495),6,IF(lenb(SUBSTITUTE($Z495,V$1&amp;" (7)",""))&lt;lenb($Z495),1,IF(lenb(SUBSTITUTE($Z495,V$1&amp;" (8)",""))&lt;lenb($Z495),8,IF(lenb(SUBSTITUTE($Z495,V$1&amp;" (9)",""))&lt;lenb($Z495),9,IF(lenb(SUBSTITUTE($Z495,V$1&amp;" (10)",""))&lt;lenb($Z495),10,IF(lenb(SUBSTITUTE($Z495,V$1,""))&lt;lenb($Z495),"ERROR",IF($Z495=$Y$1,"-",0))))))))))))</f>
        <v>-</v>
      </c>
      <c r="W495" s="52" t="str">
        <f t="shared" si="500"/>
        <v>-</v>
      </c>
      <c r="X495" s="52" t="str">
        <f t="shared" si="500"/>
        <v>-</v>
      </c>
      <c r="Y495" s="52">
        <f t="shared" si="3"/>
        <v>1</v>
      </c>
      <c r="Z495" s="52" t="s">
        <v>23</v>
      </c>
      <c r="AA495" s="53">
        <f t="shared" si="4"/>
        <v>0</v>
      </c>
      <c r="AB495" s="54">
        <f>COUNTIFS(Links!B:B,"ICSE",Links!C:C,A495,Links!AD:AD,1)</f>
        <v>0</v>
      </c>
      <c r="AC495" s="55" t="s">
        <v>36</v>
      </c>
      <c r="AD495" s="47" t="str">
        <f t="shared" si="5"/>
        <v>No</v>
      </c>
      <c r="AE495" s="56" t="s">
        <v>36</v>
      </c>
      <c r="AF495" s="57" t="s">
        <v>42</v>
      </c>
      <c r="AG495" s="57" t="s">
        <v>42</v>
      </c>
      <c r="AH495" s="57" t="s">
        <v>42</v>
      </c>
      <c r="AI495" s="49" t="str">
        <f t="shared" si="6"/>
        <v>----</v>
      </c>
      <c r="AJ495" s="58" t="str">
        <f t="shared" si="7"/>
        <v>Paper has no link and no statement</v>
      </c>
      <c r="AK495" s="59">
        <v>45028.0</v>
      </c>
      <c r="AL495" s="43" t="s">
        <v>43</v>
      </c>
      <c r="AM495" s="60" t="str">
        <f t="shared" si="8"/>
        <v>[IP0947]</v>
      </c>
    </row>
    <row r="496" ht="67.5" customHeight="1">
      <c r="A496" s="61">
        <v>948.0</v>
      </c>
      <c r="B496" s="75" t="s">
        <v>1314</v>
      </c>
      <c r="C496" s="23">
        <v>2019.0</v>
      </c>
      <c r="D496" s="24" t="s">
        <v>37</v>
      </c>
      <c r="E496" s="25" t="s">
        <v>37</v>
      </c>
      <c r="F496" s="25" t="s">
        <v>35</v>
      </c>
      <c r="G496" s="25" t="s">
        <v>37</v>
      </c>
      <c r="H496" s="25" t="s">
        <v>35</v>
      </c>
      <c r="I496" s="25" t="s">
        <v>37</v>
      </c>
      <c r="J496" s="26" t="s">
        <v>36</v>
      </c>
      <c r="K496" s="27" t="s">
        <v>37</v>
      </c>
      <c r="L496" s="28" t="s">
        <v>37</v>
      </c>
      <c r="M496" s="28" t="s">
        <v>35</v>
      </c>
      <c r="N496" s="28" t="s">
        <v>37</v>
      </c>
      <c r="O496" s="28" t="s">
        <v>35</v>
      </c>
      <c r="P496" s="28" t="s">
        <v>35</v>
      </c>
      <c r="Q496" s="28" t="s">
        <v>35</v>
      </c>
      <c r="R496" s="28" t="s">
        <v>37</v>
      </c>
      <c r="S496" s="29" t="s">
        <v>1315</v>
      </c>
      <c r="T496" s="30" t="s">
        <v>1316</v>
      </c>
      <c r="U496" s="31" t="s">
        <v>1317</v>
      </c>
      <c r="V496" s="32">
        <f t="shared" ref="V496:X496" si="501">IF(lenb(SUBSTITUTE($Z496,V$1&amp;" (1)",""))&lt;lenb($Z496),1,IF(lenb(SUBSTITUTE($Z496,V$1&amp;" (2)",""))&lt;lenb($Z496),2,IF(lenb(SUBSTITUTE($Z496,V$1&amp;" (3)",""))&lt;lenb($Z496),3,IF(lenb(SUBSTITUTE($Z496,V$1&amp;" (4)",""))&lt;lenb($Z496),4,IF(lenb(SUBSTITUTE($Z496,V$1&amp;" (5)",""))&lt;lenb($Z496),5,IF(lenb(SUBSTITUTE($Z496,V$1&amp;" (6)",""))&lt;lenb($Z496),6,IF(lenb(SUBSTITUTE($Z496,V$1&amp;" (7)",""))&lt;lenb($Z496),1,IF(lenb(SUBSTITUTE($Z496,V$1&amp;" (8)",""))&lt;lenb($Z496),8,IF(lenb(SUBSTITUTE($Z496,V$1&amp;" (9)",""))&lt;lenb($Z496),9,IF(lenb(SUBSTITUTE($Z496,V$1&amp;" (10)",""))&lt;lenb($Z496),10,IF(lenb(SUBSTITUTE($Z496,V$1,""))&lt;lenb($Z496),"ERROR",IF($Z496=$Y$1,"-",0))))))))))))</f>
        <v>2</v>
      </c>
      <c r="W496" s="32">
        <f t="shared" si="501"/>
        <v>0</v>
      </c>
      <c r="X496" s="32">
        <f t="shared" si="501"/>
        <v>0</v>
      </c>
      <c r="Y496" s="32" t="str">
        <f t="shared" si="3"/>
        <v>-</v>
      </c>
      <c r="Z496" s="32" t="s">
        <v>57</v>
      </c>
      <c r="AA496" s="33">
        <f t="shared" si="4"/>
        <v>2</v>
      </c>
      <c r="AB496" s="34">
        <f>COUNTIFS(Links!B:B,"ICSE",Links!C:C,A496,Links!AD:AD,1)</f>
        <v>0</v>
      </c>
      <c r="AC496" s="35" t="s">
        <v>35</v>
      </c>
      <c r="AD496" s="27" t="str">
        <f t="shared" si="5"/>
        <v>No</v>
      </c>
      <c r="AE496" s="36" t="s">
        <v>36</v>
      </c>
      <c r="AF496" s="37" t="s">
        <v>42</v>
      </c>
      <c r="AG496" s="37" t="s">
        <v>42</v>
      </c>
      <c r="AH496" s="37" t="s">
        <v>42</v>
      </c>
      <c r="AI496" s="29" t="str">
        <f t="shared" si="6"/>
        <v>----</v>
      </c>
      <c r="AJ496" s="38" t="str">
        <f t="shared" si="7"/>
        <v>Paper has link but no statement</v>
      </c>
      <c r="AK496" s="39">
        <v>45028.0</v>
      </c>
      <c r="AL496" s="23" t="s">
        <v>43</v>
      </c>
      <c r="AM496" s="40" t="str">
        <f t="shared" si="8"/>
        <v>[IP0948]</v>
      </c>
    </row>
    <row r="497" ht="67.5" customHeight="1">
      <c r="A497" s="41">
        <v>949.0</v>
      </c>
      <c r="B497" s="74" t="s">
        <v>1318</v>
      </c>
      <c r="C497" s="43">
        <v>2019.0</v>
      </c>
      <c r="D497" s="44" t="s">
        <v>37</v>
      </c>
      <c r="E497" s="45" t="s">
        <v>37</v>
      </c>
      <c r="F497" s="45" t="s">
        <v>35</v>
      </c>
      <c r="G497" s="45" t="s">
        <v>37</v>
      </c>
      <c r="H497" s="45" t="s">
        <v>35</v>
      </c>
      <c r="I497" s="45" t="s">
        <v>35</v>
      </c>
      <c r="J497" s="46" t="s">
        <v>36</v>
      </c>
      <c r="K497" s="47" t="s">
        <v>37</v>
      </c>
      <c r="L497" s="48" t="s">
        <v>35</v>
      </c>
      <c r="M497" s="48" t="s">
        <v>37</v>
      </c>
      <c r="N497" s="48" t="s">
        <v>35</v>
      </c>
      <c r="O497" s="48" t="s">
        <v>35</v>
      </c>
      <c r="P497" s="48" t="s">
        <v>35</v>
      </c>
      <c r="Q497" s="48" t="s">
        <v>35</v>
      </c>
      <c r="R497" s="48" t="s">
        <v>37</v>
      </c>
      <c r="S497" s="49" t="s">
        <v>1319</v>
      </c>
      <c r="T497" s="50" t="s">
        <v>1320</v>
      </c>
      <c r="U497" s="51" t="s">
        <v>1320</v>
      </c>
      <c r="V497" s="52">
        <f t="shared" ref="V497:X497" si="502">IF(lenb(SUBSTITUTE($Z497,V$1&amp;" (1)",""))&lt;lenb($Z497),1,IF(lenb(SUBSTITUTE($Z497,V$1&amp;" (2)",""))&lt;lenb($Z497),2,IF(lenb(SUBSTITUTE($Z497,V$1&amp;" (3)",""))&lt;lenb($Z497),3,IF(lenb(SUBSTITUTE($Z497,V$1&amp;" (4)",""))&lt;lenb($Z497),4,IF(lenb(SUBSTITUTE($Z497,V$1&amp;" (5)",""))&lt;lenb($Z497),5,IF(lenb(SUBSTITUTE($Z497,V$1&amp;" (6)",""))&lt;lenb($Z497),6,IF(lenb(SUBSTITUTE($Z497,V$1&amp;" (7)",""))&lt;lenb($Z497),1,IF(lenb(SUBSTITUTE($Z497,V$1&amp;" (8)",""))&lt;lenb($Z497),8,IF(lenb(SUBSTITUTE($Z497,V$1&amp;" (9)",""))&lt;lenb($Z497),9,IF(lenb(SUBSTITUTE($Z497,V$1&amp;" (10)",""))&lt;lenb($Z497),10,IF(lenb(SUBSTITUTE($Z497,V$1,""))&lt;lenb($Z497),"ERROR",IF($Z497=$Y$1,"-",0))))))))))))</f>
        <v>1</v>
      </c>
      <c r="W497" s="52">
        <f t="shared" si="502"/>
        <v>0</v>
      </c>
      <c r="X497" s="52">
        <f t="shared" si="502"/>
        <v>0</v>
      </c>
      <c r="Y497" s="52" t="str">
        <f t="shared" si="3"/>
        <v>-</v>
      </c>
      <c r="Z497" s="52" t="s">
        <v>62</v>
      </c>
      <c r="AA497" s="53">
        <f t="shared" si="4"/>
        <v>1</v>
      </c>
      <c r="AB497" s="54">
        <f>COUNTIFS(Links!B:B,"ICSE",Links!C:C,A497,Links!AD:AD,1)</f>
        <v>0</v>
      </c>
      <c r="AC497" s="55" t="s">
        <v>37</v>
      </c>
      <c r="AD497" s="47" t="str">
        <f t="shared" si="5"/>
        <v>No</v>
      </c>
      <c r="AE497" s="56" t="s">
        <v>36</v>
      </c>
      <c r="AF497" s="57" t="s">
        <v>42</v>
      </c>
      <c r="AG497" s="57" t="s">
        <v>42</v>
      </c>
      <c r="AH497" s="57" t="s">
        <v>42</v>
      </c>
      <c r="AI497" s="49" t="str">
        <f t="shared" si="6"/>
        <v>----</v>
      </c>
      <c r="AJ497" s="58" t="str">
        <f t="shared" si="7"/>
        <v>Paper has link but no statement</v>
      </c>
      <c r="AK497" s="59">
        <v>45028.0</v>
      </c>
      <c r="AL497" s="43" t="s">
        <v>43</v>
      </c>
      <c r="AM497" s="60" t="str">
        <f t="shared" si="8"/>
        <v>[IP0949]</v>
      </c>
    </row>
    <row r="498" ht="67.5" customHeight="1">
      <c r="A498" s="61">
        <v>950.0</v>
      </c>
      <c r="B498" s="22" t="s">
        <v>1321</v>
      </c>
      <c r="C498" s="23">
        <v>2019.0</v>
      </c>
      <c r="D498" s="24" t="s">
        <v>35</v>
      </c>
      <c r="E498" s="25" t="s">
        <v>36</v>
      </c>
      <c r="F498" s="25" t="s">
        <v>36</v>
      </c>
      <c r="G498" s="25" t="s">
        <v>36</v>
      </c>
      <c r="H498" s="25" t="s">
        <v>36</v>
      </c>
      <c r="I498" s="25" t="s">
        <v>36</v>
      </c>
      <c r="J498" s="26" t="s">
        <v>36</v>
      </c>
      <c r="K498" s="27" t="s">
        <v>37</v>
      </c>
      <c r="L498" s="28" t="s">
        <v>37</v>
      </c>
      <c r="M498" s="28" t="s">
        <v>37</v>
      </c>
      <c r="N498" s="28" t="s">
        <v>35</v>
      </c>
      <c r="O498" s="28" t="s">
        <v>35</v>
      </c>
      <c r="P498" s="28" t="s">
        <v>35</v>
      </c>
      <c r="Q498" s="28" t="s">
        <v>35</v>
      </c>
      <c r="R498" s="28" t="s">
        <v>37</v>
      </c>
      <c r="S498" s="29" t="s">
        <v>1322</v>
      </c>
      <c r="T498" s="30" t="s">
        <v>1323</v>
      </c>
      <c r="U498" s="31" t="s">
        <v>1323</v>
      </c>
      <c r="V498" s="32">
        <f t="shared" ref="V498:X498" si="503">IF(lenb(SUBSTITUTE($Z498,V$1&amp;" (1)",""))&lt;lenb($Z498),1,IF(lenb(SUBSTITUTE($Z498,V$1&amp;" (2)",""))&lt;lenb($Z498),2,IF(lenb(SUBSTITUTE($Z498,V$1&amp;" (3)",""))&lt;lenb($Z498),3,IF(lenb(SUBSTITUTE($Z498,V$1&amp;" (4)",""))&lt;lenb($Z498),4,IF(lenb(SUBSTITUTE($Z498,V$1&amp;" (5)",""))&lt;lenb($Z498),5,IF(lenb(SUBSTITUTE($Z498,V$1&amp;" (6)",""))&lt;lenb($Z498),6,IF(lenb(SUBSTITUTE($Z498,V$1&amp;" (7)",""))&lt;lenb($Z498),1,IF(lenb(SUBSTITUTE($Z498,V$1&amp;" (8)",""))&lt;lenb($Z498),8,IF(lenb(SUBSTITUTE($Z498,V$1&amp;" (9)",""))&lt;lenb($Z498),9,IF(lenb(SUBSTITUTE($Z498,V$1&amp;" (10)",""))&lt;lenb($Z498),10,IF(lenb(SUBSTITUTE($Z498,V$1,""))&lt;lenb($Z498),"ERROR",IF($Z498=$Y$1,"-",0))))))))))))</f>
        <v>1</v>
      </c>
      <c r="W498" s="32">
        <f t="shared" si="503"/>
        <v>0</v>
      </c>
      <c r="X498" s="32">
        <f t="shared" si="503"/>
        <v>0</v>
      </c>
      <c r="Y498" s="32" t="str">
        <f t="shared" si="3"/>
        <v>-</v>
      </c>
      <c r="Z498" s="32" t="s">
        <v>62</v>
      </c>
      <c r="AA498" s="33">
        <f t="shared" si="4"/>
        <v>1</v>
      </c>
      <c r="AB498" s="34">
        <f>COUNTIFS(Links!B:B,"ICSE",Links!C:C,A498,Links!AD:AD,1)</f>
        <v>0</v>
      </c>
      <c r="AC498" s="35" t="s">
        <v>37</v>
      </c>
      <c r="AD498" s="27" t="str">
        <f t="shared" si="5"/>
        <v>No</v>
      </c>
      <c r="AE498" s="36" t="s">
        <v>36</v>
      </c>
      <c r="AF498" s="37" t="s">
        <v>42</v>
      </c>
      <c r="AG498" s="37" t="s">
        <v>42</v>
      </c>
      <c r="AH498" s="37" t="s">
        <v>42</v>
      </c>
      <c r="AI498" s="29" t="str">
        <f t="shared" si="6"/>
        <v>----</v>
      </c>
      <c r="AJ498" s="38" t="str">
        <f t="shared" si="7"/>
        <v>Paper has link but no statement</v>
      </c>
      <c r="AK498" s="39">
        <v>45028.0</v>
      </c>
      <c r="AL498" s="23" t="s">
        <v>43</v>
      </c>
      <c r="AM498" s="40" t="str">
        <f t="shared" si="8"/>
        <v>[IP0950]</v>
      </c>
    </row>
    <row r="499" ht="67.5" customHeight="1">
      <c r="A499" s="41">
        <v>951.0</v>
      </c>
      <c r="B499" s="42" t="s">
        <v>1324</v>
      </c>
      <c r="C499" s="43">
        <v>2019.0</v>
      </c>
      <c r="D499" s="44" t="s">
        <v>35</v>
      </c>
      <c r="E499" s="45" t="s">
        <v>36</v>
      </c>
      <c r="F499" s="45" t="s">
        <v>36</v>
      </c>
      <c r="G499" s="45" t="s">
        <v>36</v>
      </c>
      <c r="H499" s="45" t="s">
        <v>36</v>
      </c>
      <c r="I499" s="45" t="s">
        <v>36</v>
      </c>
      <c r="J499" s="46" t="s">
        <v>36</v>
      </c>
      <c r="K499" s="47" t="s">
        <v>35</v>
      </c>
      <c r="L499" s="48" t="s">
        <v>36</v>
      </c>
      <c r="M499" s="48" t="s">
        <v>36</v>
      </c>
      <c r="N499" s="48" t="s">
        <v>36</v>
      </c>
      <c r="O499" s="48" t="s">
        <v>36</v>
      </c>
      <c r="P499" s="48" t="s">
        <v>36</v>
      </c>
      <c r="Q499" s="48" t="s">
        <v>36</v>
      </c>
      <c r="R499" s="48" t="s">
        <v>36</v>
      </c>
      <c r="S499" s="49" t="s">
        <v>36</v>
      </c>
      <c r="T499" s="50" t="s">
        <v>36</v>
      </c>
      <c r="U499" s="51" t="s">
        <v>36</v>
      </c>
      <c r="V499" s="52" t="str">
        <f t="shared" ref="V499:X499" si="504">IF(lenb(SUBSTITUTE($Z499,V$1&amp;" (1)",""))&lt;lenb($Z499),1,IF(lenb(SUBSTITUTE($Z499,V$1&amp;" (2)",""))&lt;lenb($Z499),2,IF(lenb(SUBSTITUTE($Z499,V$1&amp;" (3)",""))&lt;lenb($Z499),3,IF(lenb(SUBSTITUTE($Z499,V$1&amp;" (4)",""))&lt;lenb($Z499),4,IF(lenb(SUBSTITUTE($Z499,V$1&amp;" (5)",""))&lt;lenb($Z499),5,IF(lenb(SUBSTITUTE($Z499,V$1&amp;" (6)",""))&lt;lenb($Z499),6,IF(lenb(SUBSTITUTE($Z499,V$1&amp;" (7)",""))&lt;lenb($Z499),1,IF(lenb(SUBSTITUTE($Z499,V$1&amp;" (8)",""))&lt;lenb($Z499),8,IF(lenb(SUBSTITUTE($Z499,V$1&amp;" (9)",""))&lt;lenb($Z499),9,IF(lenb(SUBSTITUTE($Z499,V$1&amp;" (10)",""))&lt;lenb($Z499),10,IF(lenb(SUBSTITUTE($Z499,V$1,""))&lt;lenb($Z499),"ERROR",IF($Z499=$Y$1,"-",0))))))))))))</f>
        <v>-</v>
      </c>
      <c r="W499" s="52" t="str">
        <f t="shared" si="504"/>
        <v>-</v>
      </c>
      <c r="X499" s="52" t="str">
        <f t="shared" si="504"/>
        <v>-</v>
      </c>
      <c r="Y499" s="52">
        <f t="shared" si="3"/>
        <v>1</v>
      </c>
      <c r="Z499" s="52" t="s">
        <v>23</v>
      </c>
      <c r="AA499" s="53">
        <f t="shared" si="4"/>
        <v>0</v>
      </c>
      <c r="AB499" s="54">
        <f>COUNTIFS(Links!B:B,"ICSE",Links!C:C,A499,Links!AD:AD,1)</f>
        <v>0</v>
      </c>
      <c r="AC499" s="55" t="s">
        <v>36</v>
      </c>
      <c r="AD499" s="47" t="str">
        <f t="shared" si="5"/>
        <v>No</v>
      </c>
      <c r="AE499" s="56" t="s">
        <v>36</v>
      </c>
      <c r="AF499" s="57" t="s">
        <v>42</v>
      </c>
      <c r="AG499" s="57" t="s">
        <v>42</v>
      </c>
      <c r="AH499" s="57" t="s">
        <v>42</v>
      </c>
      <c r="AI499" s="49" t="str">
        <f t="shared" si="6"/>
        <v>----</v>
      </c>
      <c r="AJ499" s="58" t="str">
        <f t="shared" si="7"/>
        <v>Paper has no link and no statement</v>
      </c>
      <c r="AK499" s="59">
        <v>45028.0</v>
      </c>
      <c r="AL499" s="43" t="s">
        <v>43</v>
      </c>
      <c r="AM499" s="60" t="str">
        <f t="shared" si="8"/>
        <v>[IP0951]</v>
      </c>
    </row>
    <row r="500" ht="67.5" customHeight="1">
      <c r="A500" s="61">
        <v>952.0</v>
      </c>
      <c r="B500" s="75" t="s">
        <v>1325</v>
      </c>
      <c r="C500" s="23">
        <v>2019.0</v>
      </c>
      <c r="D500" s="24" t="s">
        <v>37</v>
      </c>
      <c r="E500" s="25" t="s">
        <v>37</v>
      </c>
      <c r="F500" s="25" t="s">
        <v>35</v>
      </c>
      <c r="G500" s="25" t="s">
        <v>37</v>
      </c>
      <c r="H500" s="25" t="s">
        <v>35</v>
      </c>
      <c r="I500" s="25" t="s">
        <v>35</v>
      </c>
      <c r="J500" s="26" t="s">
        <v>36</v>
      </c>
      <c r="K500" s="27" t="s">
        <v>37</v>
      </c>
      <c r="L500" s="28" t="s">
        <v>37</v>
      </c>
      <c r="M500" s="28" t="s">
        <v>35</v>
      </c>
      <c r="N500" s="28" t="s">
        <v>37</v>
      </c>
      <c r="O500" s="28" t="s">
        <v>35</v>
      </c>
      <c r="P500" s="28" t="s">
        <v>35</v>
      </c>
      <c r="Q500" s="28" t="s">
        <v>35</v>
      </c>
      <c r="R500" s="28" t="s">
        <v>37</v>
      </c>
      <c r="S500" s="29" t="s">
        <v>1326</v>
      </c>
      <c r="T500" s="30" t="s">
        <v>1327</v>
      </c>
      <c r="U500" s="31" t="s">
        <v>1327</v>
      </c>
      <c r="V500" s="32">
        <f t="shared" ref="V500:X500" si="505">IF(lenb(SUBSTITUTE($Z500,V$1&amp;" (1)",""))&lt;lenb($Z500),1,IF(lenb(SUBSTITUTE($Z500,V$1&amp;" (2)",""))&lt;lenb($Z500),2,IF(lenb(SUBSTITUTE($Z500,V$1&amp;" (3)",""))&lt;lenb($Z500),3,IF(lenb(SUBSTITUTE($Z500,V$1&amp;" (4)",""))&lt;lenb($Z500),4,IF(lenb(SUBSTITUTE($Z500,V$1&amp;" (5)",""))&lt;lenb($Z500),5,IF(lenb(SUBSTITUTE($Z500,V$1&amp;" (6)",""))&lt;lenb($Z500),6,IF(lenb(SUBSTITUTE($Z500,V$1&amp;" (7)",""))&lt;lenb($Z500),1,IF(lenb(SUBSTITUTE($Z500,V$1&amp;" (8)",""))&lt;lenb($Z500),8,IF(lenb(SUBSTITUTE($Z500,V$1&amp;" (9)",""))&lt;lenb($Z500),9,IF(lenb(SUBSTITUTE($Z500,V$1&amp;" (10)",""))&lt;lenb($Z500),10,IF(lenb(SUBSTITUTE($Z500,V$1,""))&lt;lenb($Z500),"ERROR",IF($Z500=$Y$1,"-",0))))))))))))</f>
        <v>1</v>
      </c>
      <c r="W500" s="32">
        <f t="shared" si="505"/>
        <v>0</v>
      </c>
      <c r="X500" s="32">
        <f t="shared" si="505"/>
        <v>0</v>
      </c>
      <c r="Y500" s="32" t="str">
        <f t="shared" si="3"/>
        <v>-</v>
      </c>
      <c r="Z500" s="32" t="s">
        <v>62</v>
      </c>
      <c r="AA500" s="33">
        <f t="shared" si="4"/>
        <v>1</v>
      </c>
      <c r="AB500" s="34">
        <f>COUNTIFS(Links!B:B,"ICSE",Links!C:C,A500,Links!AD:AD,1)</f>
        <v>0</v>
      </c>
      <c r="AC500" s="35" t="s">
        <v>35</v>
      </c>
      <c r="AD500" s="27" t="str">
        <f t="shared" si="5"/>
        <v>No</v>
      </c>
      <c r="AE500" s="36" t="s">
        <v>36</v>
      </c>
      <c r="AF500" s="37" t="s">
        <v>42</v>
      </c>
      <c r="AG500" s="37" t="s">
        <v>42</v>
      </c>
      <c r="AH500" s="37" t="s">
        <v>42</v>
      </c>
      <c r="AI500" s="29" t="str">
        <f t="shared" si="6"/>
        <v>----</v>
      </c>
      <c r="AJ500" s="38" t="str">
        <f t="shared" si="7"/>
        <v>Paper has link but no statement</v>
      </c>
      <c r="AK500" s="39">
        <v>45028.0</v>
      </c>
      <c r="AL500" s="23" t="s">
        <v>43</v>
      </c>
      <c r="AM500" s="40" t="str">
        <f t="shared" si="8"/>
        <v>[IP0952]</v>
      </c>
    </row>
    <row r="501" ht="67.5" customHeight="1">
      <c r="A501" s="41">
        <v>953.0</v>
      </c>
      <c r="B501" s="74" t="s">
        <v>1328</v>
      </c>
      <c r="C501" s="43">
        <v>2019.0</v>
      </c>
      <c r="D501" s="44" t="s">
        <v>37</v>
      </c>
      <c r="E501" s="45" t="s">
        <v>37</v>
      </c>
      <c r="F501" s="45" t="s">
        <v>35</v>
      </c>
      <c r="G501" s="45" t="s">
        <v>35</v>
      </c>
      <c r="H501" s="45" t="s">
        <v>35</v>
      </c>
      <c r="I501" s="45" t="s">
        <v>35</v>
      </c>
      <c r="J501" s="46" t="s">
        <v>36</v>
      </c>
      <c r="K501" s="47" t="s">
        <v>37</v>
      </c>
      <c r="L501" s="48" t="s">
        <v>35</v>
      </c>
      <c r="M501" s="48" t="s">
        <v>35</v>
      </c>
      <c r="N501" s="48" t="s">
        <v>35</v>
      </c>
      <c r="O501" s="48" t="s">
        <v>37</v>
      </c>
      <c r="P501" s="48" t="s">
        <v>35</v>
      </c>
      <c r="Q501" s="48" t="s">
        <v>35</v>
      </c>
      <c r="R501" s="48" t="s">
        <v>35</v>
      </c>
      <c r="S501" s="49" t="s">
        <v>1329</v>
      </c>
      <c r="T501" s="50" t="s">
        <v>1330</v>
      </c>
      <c r="U501" s="51" t="s">
        <v>1330</v>
      </c>
      <c r="V501" s="52">
        <f t="shared" ref="V501:X501" si="506">IF(lenb(SUBSTITUTE($Z501,V$1&amp;" (1)",""))&lt;lenb($Z501),1,IF(lenb(SUBSTITUTE($Z501,V$1&amp;" (2)",""))&lt;lenb($Z501),2,IF(lenb(SUBSTITUTE($Z501,V$1&amp;" (3)",""))&lt;lenb($Z501),3,IF(lenb(SUBSTITUTE($Z501,V$1&amp;" (4)",""))&lt;lenb($Z501),4,IF(lenb(SUBSTITUTE($Z501,V$1&amp;" (5)",""))&lt;lenb($Z501),5,IF(lenb(SUBSTITUTE($Z501,V$1&amp;" (6)",""))&lt;lenb($Z501),6,IF(lenb(SUBSTITUTE($Z501,V$1&amp;" (7)",""))&lt;lenb($Z501),1,IF(lenb(SUBSTITUTE($Z501,V$1&amp;" (8)",""))&lt;lenb($Z501),8,IF(lenb(SUBSTITUTE($Z501,V$1&amp;" (9)",""))&lt;lenb($Z501),9,IF(lenb(SUBSTITUTE($Z501,V$1&amp;" (10)",""))&lt;lenb($Z501),10,IF(lenb(SUBSTITUTE($Z501,V$1,""))&lt;lenb($Z501),"ERROR",IF($Z501=$Y$1,"-",0))))))))))))</f>
        <v>1</v>
      </c>
      <c r="W501" s="52">
        <f t="shared" si="506"/>
        <v>0</v>
      </c>
      <c r="X501" s="52">
        <f t="shared" si="506"/>
        <v>0</v>
      </c>
      <c r="Y501" s="52" t="str">
        <f t="shared" si="3"/>
        <v>-</v>
      </c>
      <c r="Z501" s="52" t="s">
        <v>62</v>
      </c>
      <c r="AA501" s="53">
        <f t="shared" si="4"/>
        <v>1</v>
      </c>
      <c r="AB501" s="54">
        <f>COUNTIFS(Links!B:B,"ICSE",Links!C:C,A501,Links!AD:AD,1)</f>
        <v>0</v>
      </c>
      <c r="AC501" s="55" t="s">
        <v>35</v>
      </c>
      <c r="AD501" s="47" t="str">
        <f t="shared" si="5"/>
        <v>No</v>
      </c>
      <c r="AE501" s="56" t="s">
        <v>36</v>
      </c>
      <c r="AF501" s="57" t="s">
        <v>42</v>
      </c>
      <c r="AG501" s="57" t="s">
        <v>42</v>
      </c>
      <c r="AH501" s="57" t="s">
        <v>42</v>
      </c>
      <c r="AI501" s="49" t="str">
        <f t="shared" si="6"/>
        <v>----</v>
      </c>
      <c r="AJ501" s="58" t="str">
        <f t="shared" si="7"/>
        <v>Paper has link but no statement</v>
      </c>
      <c r="AK501" s="59">
        <v>45028.0</v>
      </c>
      <c r="AL501" s="43" t="s">
        <v>43</v>
      </c>
      <c r="AM501" s="60" t="str">
        <f t="shared" si="8"/>
        <v>[IP0953]</v>
      </c>
    </row>
    <row r="502" ht="67.5" customHeight="1">
      <c r="A502" s="61">
        <v>954.0</v>
      </c>
      <c r="B502" s="22" t="s">
        <v>1331</v>
      </c>
      <c r="C502" s="23">
        <v>2019.0</v>
      </c>
      <c r="D502" s="24" t="s">
        <v>35</v>
      </c>
      <c r="E502" s="25" t="s">
        <v>36</v>
      </c>
      <c r="F502" s="25" t="s">
        <v>36</v>
      </c>
      <c r="G502" s="25" t="s">
        <v>36</v>
      </c>
      <c r="H502" s="25" t="s">
        <v>36</v>
      </c>
      <c r="I502" s="25" t="s">
        <v>36</v>
      </c>
      <c r="J502" s="26" t="s">
        <v>36</v>
      </c>
      <c r="K502" s="27" t="s">
        <v>37</v>
      </c>
      <c r="L502" s="28" t="s">
        <v>35</v>
      </c>
      <c r="M502" s="28" t="s">
        <v>37</v>
      </c>
      <c r="N502" s="28" t="s">
        <v>37</v>
      </c>
      <c r="O502" s="28" t="s">
        <v>35</v>
      </c>
      <c r="P502" s="28" t="s">
        <v>35</v>
      </c>
      <c r="Q502" s="28" t="s">
        <v>35</v>
      </c>
      <c r="R502" s="28" t="s">
        <v>37</v>
      </c>
      <c r="S502" s="29" t="s">
        <v>1332</v>
      </c>
      <c r="T502" s="30" t="s">
        <v>1333</v>
      </c>
      <c r="U502" s="31" t="s">
        <v>1333</v>
      </c>
      <c r="V502" s="32">
        <f t="shared" ref="V502:X502" si="507">IF(lenb(SUBSTITUTE($Z502,V$1&amp;" (1)",""))&lt;lenb($Z502),1,IF(lenb(SUBSTITUTE($Z502,V$1&amp;" (2)",""))&lt;lenb($Z502),2,IF(lenb(SUBSTITUTE($Z502,V$1&amp;" (3)",""))&lt;lenb($Z502),3,IF(lenb(SUBSTITUTE($Z502,V$1&amp;" (4)",""))&lt;lenb($Z502),4,IF(lenb(SUBSTITUTE($Z502,V$1&amp;" (5)",""))&lt;lenb($Z502),5,IF(lenb(SUBSTITUTE($Z502,V$1&amp;" (6)",""))&lt;lenb($Z502),6,IF(lenb(SUBSTITUTE($Z502,V$1&amp;" (7)",""))&lt;lenb($Z502),1,IF(lenb(SUBSTITUTE($Z502,V$1&amp;" (8)",""))&lt;lenb($Z502),8,IF(lenb(SUBSTITUTE($Z502,V$1&amp;" (9)",""))&lt;lenb($Z502),9,IF(lenb(SUBSTITUTE($Z502,V$1&amp;" (10)",""))&lt;lenb($Z502),10,IF(lenb(SUBSTITUTE($Z502,V$1,""))&lt;lenb($Z502),"ERROR",IF($Z502=$Y$1,"-",0))))))))))))</f>
        <v>1</v>
      </c>
      <c r="W502" s="32">
        <f t="shared" si="507"/>
        <v>0</v>
      </c>
      <c r="X502" s="32">
        <f t="shared" si="507"/>
        <v>0</v>
      </c>
      <c r="Y502" s="32" t="str">
        <f t="shared" si="3"/>
        <v>-</v>
      </c>
      <c r="Z502" s="32" t="s">
        <v>62</v>
      </c>
      <c r="AA502" s="33">
        <f t="shared" si="4"/>
        <v>1</v>
      </c>
      <c r="AB502" s="34">
        <f>COUNTIFS(Links!B:B,"ICSE",Links!C:C,A502,Links!AD:AD,1)</f>
        <v>0</v>
      </c>
      <c r="AC502" s="35" t="s">
        <v>35</v>
      </c>
      <c r="AD502" s="27" t="str">
        <f t="shared" si="5"/>
        <v>No</v>
      </c>
      <c r="AE502" s="36" t="s">
        <v>36</v>
      </c>
      <c r="AF502" s="37" t="s">
        <v>42</v>
      </c>
      <c r="AG502" s="37" t="s">
        <v>42</v>
      </c>
      <c r="AH502" s="37" t="s">
        <v>42</v>
      </c>
      <c r="AI502" s="29" t="str">
        <f t="shared" si="6"/>
        <v>----</v>
      </c>
      <c r="AJ502" s="38" t="str">
        <f t="shared" si="7"/>
        <v>Paper has link but no statement</v>
      </c>
      <c r="AK502" s="39">
        <v>45028.0</v>
      </c>
      <c r="AL502" s="23" t="s">
        <v>43</v>
      </c>
      <c r="AM502" s="40" t="str">
        <f t="shared" si="8"/>
        <v>[IP0954]</v>
      </c>
    </row>
    <row r="503" ht="67.5" customHeight="1">
      <c r="A503" s="41">
        <v>955.0</v>
      </c>
      <c r="B503" s="42" t="s">
        <v>1334</v>
      </c>
      <c r="C503" s="43">
        <v>2019.0</v>
      </c>
      <c r="D503" s="44" t="s">
        <v>35</v>
      </c>
      <c r="E503" s="45" t="s">
        <v>36</v>
      </c>
      <c r="F503" s="45" t="s">
        <v>36</v>
      </c>
      <c r="G503" s="45" t="s">
        <v>36</v>
      </c>
      <c r="H503" s="45" t="s">
        <v>36</v>
      </c>
      <c r="I503" s="45" t="s">
        <v>36</v>
      </c>
      <c r="J503" s="46" t="s">
        <v>36</v>
      </c>
      <c r="K503" s="47" t="s">
        <v>37</v>
      </c>
      <c r="L503" s="48" t="s">
        <v>35</v>
      </c>
      <c r="M503" s="48" t="s">
        <v>37</v>
      </c>
      <c r="N503" s="48" t="s">
        <v>35</v>
      </c>
      <c r="O503" s="48" t="s">
        <v>37</v>
      </c>
      <c r="P503" s="48" t="s">
        <v>35</v>
      </c>
      <c r="Q503" s="48" t="s">
        <v>35</v>
      </c>
      <c r="R503" s="48" t="s">
        <v>37</v>
      </c>
      <c r="S503" s="49" t="s">
        <v>1335</v>
      </c>
      <c r="T503" s="50" t="s">
        <v>1336</v>
      </c>
      <c r="U503" s="51" t="s">
        <v>1336</v>
      </c>
      <c r="V503" s="52">
        <f t="shared" ref="V503:X503" si="508">IF(lenb(SUBSTITUTE($Z503,V$1&amp;" (1)",""))&lt;lenb($Z503),1,IF(lenb(SUBSTITUTE($Z503,V$1&amp;" (2)",""))&lt;lenb($Z503),2,IF(lenb(SUBSTITUTE($Z503,V$1&amp;" (3)",""))&lt;lenb($Z503),3,IF(lenb(SUBSTITUTE($Z503,V$1&amp;" (4)",""))&lt;lenb($Z503),4,IF(lenb(SUBSTITUTE($Z503,V$1&amp;" (5)",""))&lt;lenb($Z503),5,IF(lenb(SUBSTITUTE($Z503,V$1&amp;" (6)",""))&lt;lenb($Z503),6,IF(lenb(SUBSTITUTE($Z503,V$1&amp;" (7)",""))&lt;lenb($Z503),1,IF(lenb(SUBSTITUTE($Z503,V$1&amp;" (8)",""))&lt;lenb($Z503),8,IF(lenb(SUBSTITUTE($Z503,V$1&amp;" (9)",""))&lt;lenb($Z503),9,IF(lenb(SUBSTITUTE($Z503,V$1&amp;" (10)",""))&lt;lenb($Z503),10,IF(lenb(SUBSTITUTE($Z503,V$1,""))&lt;lenb($Z503),"ERROR",IF($Z503=$Y$1,"-",0))))))))))))</f>
        <v>0</v>
      </c>
      <c r="W503" s="52">
        <f t="shared" si="508"/>
        <v>1</v>
      </c>
      <c r="X503" s="52">
        <f t="shared" si="508"/>
        <v>0</v>
      </c>
      <c r="Y503" s="52" t="str">
        <f t="shared" si="3"/>
        <v>-</v>
      </c>
      <c r="Z503" s="52" t="s">
        <v>47</v>
      </c>
      <c r="AA503" s="53">
        <f t="shared" si="4"/>
        <v>1</v>
      </c>
      <c r="AB503" s="54">
        <f>COUNTIFS(Links!B:B,"ICSE",Links!C:C,A503,Links!AD:AD,1)</f>
        <v>0</v>
      </c>
      <c r="AC503" s="55" t="s">
        <v>35</v>
      </c>
      <c r="AD503" s="47" t="str">
        <f t="shared" si="5"/>
        <v>No</v>
      </c>
      <c r="AE503" s="56" t="s">
        <v>36</v>
      </c>
      <c r="AF503" s="57" t="s">
        <v>42</v>
      </c>
      <c r="AG503" s="57" t="s">
        <v>42</v>
      </c>
      <c r="AH503" s="57" t="s">
        <v>42</v>
      </c>
      <c r="AI503" s="49" t="str">
        <f t="shared" si="6"/>
        <v>----</v>
      </c>
      <c r="AJ503" s="58" t="str">
        <f t="shared" si="7"/>
        <v>Paper has link but no statement</v>
      </c>
      <c r="AK503" s="59">
        <v>45028.0</v>
      </c>
      <c r="AL503" s="43" t="s">
        <v>43</v>
      </c>
      <c r="AM503" s="60" t="str">
        <f t="shared" si="8"/>
        <v>[IP0955]</v>
      </c>
    </row>
    <row r="504" ht="67.5" customHeight="1">
      <c r="A504" s="61">
        <v>956.0</v>
      </c>
      <c r="B504" s="75" t="s">
        <v>1337</v>
      </c>
      <c r="C504" s="23">
        <v>2019.0</v>
      </c>
      <c r="D504" s="24" t="s">
        <v>37</v>
      </c>
      <c r="E504" s="25" t="s">
        <v>37</v>
      </c>
      <c r="F504" s="25" t="s">
        <v>35</v>
      </c>
      <c r="G504" s="25" t="s">
        <v>35</v>
      </c>
      <c r="H504" s="25" t="s">
        <v>35</v>
      </c>
      <c r="I504" s="25" t="s">
        <v>35</v>
      </c>
      <c r="J504" s="26" t="s">
        <v>36</v>
      </c>
      <c r="K504" s="27" t="s">
        <v>37</v>
      </c>
      <c r="L504" s="28" t="s">
        <v>37</v>
      </c>
      <c r="M504" s="28" t="s">
        <v>35</v>
      </c>
      <c r="N504" s="28" t="s">
        <v>35</v>
      </c>
      <c r="O504" s="28" t="s">
        <v>35</v>
      </c>
      <c r="P504" s="28" t="s">
        <v>35</v>
      </c>
      <c r="Q504" s="28" t="s">
        <v>35</v>
      </c>
      <c r="R504" s="28" t="s">
        <v>37</v>
      </c>
      <c r="S504" s="29" t="s">
        <v>1338</v>
      </c>
      <c r="T504" s="30" t="s">
        <v>1339</v>
      </c>
      <c r="U504" s="31" t="s">
        <v>1339</v>
      </c>
      <c r="V504" s="32">
        <f t="shared" ref="V504:X504" si="509">IF(lenb(SUBSTITUTE($Z504,V$1&amp;" (1)",""))&lt;lenb($Z504),1,IF(lenb(SUBSTITUTE($Z504,V$1&amp;" (2)",""))&lt;lenb($Z504),2,IF(lenb(SUBSTITUTE($Z504,V$1&amp;" (3)",""))&lt;lenb($Z504),3,IF(lenb(SUBSTITUTE($Z504,V$1&amp;" (4)",""))&lt;lenb($Z504),4,IF(lenb(SUBSTITUTE($Z504,V$1&amp;" (5)",""))&lt;lenb($Z504),5,IF(lenb(SUBSTITUTE($Z504,V$1&amp;" (6)",""))&lt;lenb($Z504),6,IF(lenb(SUBSTITUTE($Z504,V$1&amp;" (7)",""))&lt;lenb($Z504),1,IF(lenb(SUBSTITUTE($Z504,V$1&amp;" (8)",""))&lt;lenb($Z504),8,IF(lenb(SUBSTITUTE($Z504,V$1&amp;" (9)",""))&lt;lenb($Z504),9,IF(lenb(SUBSTITUTE($Z504,V$1&amp;" (10)",""))&lt;lenb($Z504),10,IF(lenb(SUBSTITUTE($Z504,V$1,""))&lt;lenb($Z504),"ERROR",IF($Z504=$Y$1,"-",0))))))))))))</f>
        <v>1</v>
      </c>
      <c r="W504" s="32">
        <f t="shared" si="509"/>
        <v>0</v>
      </c>
      <c r="X504" s="32">
        <f t="shared" si="509"/>
        <v>0</v>
      </c>
      <c r="Y504" s="32" t="str">
        <f t="shared" si="3"/>
        <v>-</v>
      </c>
      <c r="Z504" s="32" t="s">
        <v>62</v>
      </c>
      <c r="AA504" s="33">
        <f t="shared" si="4"/>
        <v>1</v>
      </c>
      <c r="AB504" s="34">
        <f>COUNTIFS(Links!B:B,"ICSE",Links!C:C,A504,Links!AD:AD,1)</f>
        <v>1</v>
      </c>
      <c r="AC504" s="35" t="s">
        <v>35</v>
      </c>
      <c r="AD504" s="27" t="str">
        <f t="shared" si="5"/>
        <v>No</v>
      </c>
      <c r="AE504" s="36" t="s">
        <v>36</v>
      </c>
      <c r="AF504" s="37" t="s">
        <v>42</v>
      </c>
      <c r="AG504" s="37" t="s">
        <v>42</v>
      </c>
      <c r="AH504" s="37" t="s">
        <v>42</v>
      </c>
      <c r="AI504" s="29" t="str">
        <f t="shared" si="6"/>
        <v>----</v>
      </c>
      <c r="AJ504" s="38" t="str">
        <f t="shared" si="7"/>
        <v>Paper has link but no statement</v>
      </c>
      <c r="AK504" s="39">
        <v>45028.0</v>
      </c>
      <c r="AL504" s="23" t="s">
        <v>43</v>
      </c>
      <c r="AM504" s="40" t="str">
        <f t="shared" si="8"/>
        <v>[IP0956]</v>
      </c>
    </row>
    <row r="505" ht="67.5" customHeight="1">
      <c r="A505" s="62">
        <v>957.0</v>
      </c>
      <c r="B505" s="74" t="s">
        <v>1340</v>
      </c>
      <c r="C505" s="43">
        <v>2019.0</v>
      </c>
      <c r="D505" s="44" t="s">
        <v>37</v>
      </c>
      <c r="E505" s="45" t="s">
        <v>35</v>
      </c>
      <c r="F505" s="45" t="s">
        <v>35</v>
      </c>
      <c r="G505" s="45" t="s">
        <v>37</v>
      </c>
      <c r="H505" s="45" t="s">
        <v>35</v>
      </c>
      <c r="I505" s="45" t="s">
        <v>35</v>
      </c>
      <c r="J505" s="46" t="s">
        <v>36</v>
      </c>
      <c r="K505" s="47" t="s">
        <v>37</v>
      </c>
      <c r="L505" s="48" t="s">
        <v>35</v>
      </c>
      <c r="M505" s="48" t="s">
        <v>37</v>
      </c>
      <c r="N505" s="48" t="s">
        <v>35</v>
      </c>
      <c r="O505" s="48" t="s">
        <v>35</v>
      </c>
      <c r="P505" s="48" t="s">
        <v>35</v>
      </c>
      <c r="Q505" s="48" t="s">
        <v>35</v>
      </c>
      <c r="R505" s="48" t="s">
        <v>37</v>
      </c>
      <c r="S505" s="49" t="s">
        <v>1341</v>
      </c>
      <c r="T505" s="50" t="s">
        <v>1342</v>
      </c>
      <c r="U505" s="51" t="s">
        <v>1342</v>
      </c>
      <c r="V505" s="52">
        <f t="shared" ref="V505:X505" si="510">IF(lenb(SUBSTITUTE($Z505,V$1&amp;" (1)",""))&lt;lenb($Z505),1,IF(lenb(SUBSTITUTE($Z505,V$1&amp;" (2)",""))&lt;lenb($Z505),2,IF(lenb(SUBSTITUTE($Z505,V$1&amp;" (3)",""))&lt;lenb($Z505),3,IF(lenb(SUBSTITUTE($Z505,V$1&amp;" (4)",""))&lt;lenb($Z505),4,IF(lenb(SUBSTITUTE($Z505,V$1&amp;" (5)",""))&lt;lenb($Z505),5,IF(lenb(SUBSTITUTE($Z505,V$1&amp;" (6)",""))&lt;lenb($Z505),6,IF(lenb(SUBSTITUTE($Z505,V$1&amp;" (7)",""))&lt;lenb($Z505),1,IF(lenb(SUBSTITUTE($Z505,V$1&amp;" (8)",""))&lt;lenb($Z505),8,IF(lenb(SUBSTITUTE($Z505,V$1&amp;" (9)",""))&lt;lenb($Z505),9,IF(lenb(SUBSTITUTE($Z505,V$1&amp;" (10)",""))&lt;lenb($Z505),10,IF(lenb(SUBSTITUTE($Z505,V$1,""))&lt;lenb($Z505),"ERROR",IF($Z505=$Y$1,"-",0))))))))))))</f>
        <v>0</v>
      </c>
      <c r="W505" s="52">
        <f t="shared" si="510"/>
        <v>1</v>
      </c>
      <c r="X505" s="52">
        <f t="shared" si="510"/>
        <v>0</v>
      </c>
      <c r="Y505" s="52" t="str">
        <f t="shared" si="3"/>
        <v>-</v>
      </c>
      <c r="Z505" s="52" t="s">
        <v>47</v>
      </c>
      <c r="AA505" s="53">
        <f t="shared" si="4"/>
        <v>1</v>
      </c>
      <c r="AB505" s="54">
        <f>COUNTIFS(Links!B:B,"ICSE",Links!C:C,A505,Links!AD:AD,1)</f>
        <v>0</v>
      </c>
      <c r="AC505" s="55" t="s">
        <v>35</v>
      </c>
      <c r="AD505" s="47" t="str">
        <f t="shared" si="5"/>
        <v>No</v>
      </c>
      <c r="AE505" s="56" t="s">
        <v>36</v>
      </c>
      <c r="AF505" s="57" t="s">
        <v>42</v>
      </c>
      <c r="AG505" s="57" t="s">
        <v>42</v>
      </c>
      <c r="AH505" s="57" t="s">
        <v>42</v>
      </c>
      <c r="AI505" s="49" t="str">
        <f t="shared" si="6"/>
        <v>----</v>
      </c>
      <c r="AJ505" s="58" t="str">
        <f t="shared" si="7"/>
        <v>Paper has link but no statement</v>
      </c>
      <c r="AK505" s="59">
        <v>45028.0</v>
      </c>
      <c r="AL505" s="43" t="s">
        <v>43</v>
      </c>
      <c r="AM505" s="60" t="str">
        <f t="shared" si="8"/>
        <v>[IP0957]</v>
      </c>
    </row>
    <row r="506" ht="67.5" customHeight="1">
      <c r="A506" s="61">
        <v>958.0</v>
      </c>
      <c r="B506" s="22" t="s">
        <v>1343</v>
      </c>
      <c r="C506" s="23">
        <v>2019.0</v>
      </c>
      <c r="D506" s="24" t="s">
        <v>35</v>
      </c>
      <c r="E506" s="25" t="s">
        <v>36</v>
      </c>
      <c r="F506" s="25" t="s">
        <v>36</v>
      </c>
      <c r="G506" s="25" t="s">
        <v>36</v>
      </c>
      <c r="H506" s="25" t="s">
        <v>36</v>
      </c>
      <c r="I506" s="25" t="s">
        <v>36</v>
      </c>
      <c r="J506" s="26" t="s">
        <v>36</v>
      </c>
      <c r="K506" s="27" t="s">
        <v>37</v>
      </c>
      <c r="L506" s="28" t="s">
        <v>37</v>
      </c>
      <c r="M506" s="28" t="s">
        <v>35</v>
      </c>
      <c r="N506" s="28" t="s">
        <v>35</v>
      </c>
      <c r="O506" s="28" t="s">
        <v>35</v>
      </c>
      <c r="P506" s="28" t="s">
        <v>35</v>
      </c>
      <c r="Q506" s="28" t="s">
        <v>35</v>
      </c>
      <c r="R506" s="28" t="s">
        <v>37</v>
      </c>
      <c r="S506" s="29" t="s">
        <v>1344</v>
      </c>
      <c r="T506" s="30" t="s">
        <v>1345</v>
      </c>
      <c r="U506" s="31" t="s">
        <v>1345</v>
      </c>
      <c r="V506" s="32">
        <f t="shared" ref="V506:X506" si="511">IF(lenb(SUBSTITUTE($Z506,V$1&amp;" (1)",""))&lt;lenb($Z506),1,IF(lenb(SUBSTITUTE($Z506,V$1&amp;" (2)",""))&lt;lenb($Z506),2,IF(lenb(SUBSTITUTE($Z506,V$1&amp;" (3)",""))&lt;lenb($Z506),3,IF(lenb(SUBSTITUTE($Z506,V$1&amp;" (4)",""))&lt;lenb($Z506),4,IF(lenb(SUBSTITUTE($Z506,V$1&amp;" (5)",""))&lt;lenb($Z506),5,IF(lenb(SUBSTITUTE($Z506,V$1&amp;" (6)",""))&lt;lenb($Z506),6,IF(lenb(SUBSTITUTE($Z506,V$1&amp;" (7)",""))&lt;lenb($Z506),1,IF(lenb(SUBSTITUTE($Z506,V$1&amp;" (8)",""))&lt;lenb($Z506),8,IF(lenb(SUBSTITUTE($Z506,V$1&amp;" (9)",""))&lt;lenb($Z506),9,IF(lenb(SUBSTITUTE($Z506,V$1&amp;" (10)",""))&lt;lenb($Z506),10,IF(lenb(SUBSTITUTE($Z506,V$1,""))&lt;lenb($Z506),"ERROR",IF($Z506=$Y$1,"-",0))))))))))))</f>
        <v>1</v>
      </c>
      <c r="W506" s="32">
        <f t="shared" si="511"/>
        <v>0</v>
      </c>
      <c r="X506" s="32">
        <f t="shared" si="511"/>
        <v>0</v>
      </c>
      <c r="Y506" s="32" t="str">
        <f t="shared" si="3"/>
        <v>-</v>
      </c>
      <c r="Z506" s="32" t="s">
        <v>62</v>
      </c>
      <c r="AA506" s="33">
        <f t="shared" si="4"/>
        <v>1</v>
      </c>
      <c r="AB506" s="34">
        <f>COUNTIFS(Links!B:B,"ICSE",Links!C:C,A506,Links!AD:AD,1)</f>
        <v>0</v>
      </c>
      <c r="AC506" s="35" t="s">
        <v>35</v>
      </c>
      <c r="AD506" s="27" t="str">
        <f t="shared" si="5"/>
        <v>No</v>
      </c>
      <c r="AE506" s="36" t="s">
        <v>36</v>
      </c>
      <c r="AF506" s="37" t="s">
        <v>42</v>
      </c>
      <c r="AG506" s="37" t="s">
        <v>42</v>
      </c>
      <c r="AH506" s="37" t="s">
        <v>42</v>
      </c>
      <c r="AI506" s="29" t="str">
        <f t="shared" si="6"/>
        <v>----</v>
      </c>
      <c r="AJ506" s="38" t="str">
        <f t="shared" si="7"/>
        <v>Paper has link but no statement</v>
      </c>
      <c r="AK506" s="39">
        <v>45028.0</v>
      </c>
      <c r="AL506" s="23" t="s">
        <v>43</v>
      </c>
      <c r="AM506" s="40" t="str">
        <f t="shared" si="8"/>
        <v>[IP0958]</v>
      </c>
    </row>
    <row r="507" ht="67.5" customHeight="1">
      <c r="A507" s="41">
        <v>959.0</v>
      </c>
      <c r="B507" s="42" t="s">
        <v>1346</v>
      </c>
      <c r="C507" s="43">
        <v>2019.0</v>
      </c>
      <c r="D507" s="44" t="s">
        <v>35</v>
      </c>
      <c r="E507" s="45" t="s">
        <v>36</v>
      </c>
      <c r="F507" s="45" t="s">
        <v>36</v>
      </c>
      <c r="G507" s="45" t="s">
        <v>36</v>
      </c>
      <c r="H507" s="45" t="s">
        <v>36</v>
      </c>
      <c r="I507" s="45" t="s">
        <v>36</v>
      </c>
      <c r="J507" s="46" t="s">
        <v>36</v>
      </c>
      <c r="K507" s="47" t="s">
        <v>37</v>
      </c>
      <c r="L507" s="48" t="s">
        <v>35</v>
      </c>
      <c r="M507" s="48" t="s">
        <v>37</v>
      </c>
      <c r="N507" s="48" t="s">
        <v>37</v>
      </c>
      <c r="O507" s="48" t="s">
        <v>35</v>
      </c>
      <c r="P507" s="48" t="s">
        <v>35</v>
      </c>
      <c r="Q507" s="48" t="s">
        <v>35</v>
      </c>
      <c r="R507" s="48" t="s">
        <v>35</v>
      </c>
      <c r="S507" s="49" t="s">
        <v>1347</v>
      </c>
      <c r="T507" s="50" t="s">
        <v>1348</v>
      </c>
      <c r="U507" s="51" t="s">
        <v>1348</v>
      </c>
      <c r="V507" s="52">
        <f t="shared" ref="V507:X507" si="512">IF(lenb(SUBSTITUTE($Z507,V$1&amp;" (1)",""))&lt;lenb($Z507),1,IF(lenb(SUBSTITUTE($Z507,V$1&amp;" (2)",""))&lt;lenb($Z507),2,IF(lenb(SUBSTITUTE($Z507,V$1&amp;" (3)",""))&lt;lenb($Z507),3,IF(lenb(SUBSTITUTE($Z507,V$1&amp;" (4)",""))&lt;lenb($Z507),4,IF(lenb(SUBSTITUTE($Z507,V$1&amp;" (5)",""))&lt;lenb($Z507),5,IF(lenb(SUBSTITUTE($Z507,V$1&amp;" (6)",""))&lt;lenb($Z507),6,IF(lenb(SUBSTITUTE($Z507,V$1&amp;" (7)",""))&lt;lenb($Z507),1,IF(lenb(SUBSTITUTE($Z507,V$1&amp;" (8)",""))&lt;lenb($Z507),8,IF(lenb(SUBSTITUTE($Z507,V$1&amp;" (9)",""))&lt;lenb($Z507),9,IF(lenb(SUBSTITUTE($Z507,V$1&amp;" (10)",""))&lt;lenb($Z507),10,IF(lenb(SUBSTITUTE($Z507,V$1,""))&lt;lenb($Z507),"ERROR",IF($Z507=$Y$1,"-",0))))))))))))</f>
        <v>1</v>
      </c>
      <c r="W507" s="52">
        <f t="shared" si="512"/>
        <v>0</v>
      </c>
      <c r="X507" s="52">
        <f t="shared" si="512"/>
        <v>0</v>
      </c>
      <c r="Y507" s="52" t="str">
        <f t="shared" si="3"/>
        <v>-</v>
      </c>
      <c r="Z507" s="52" t="s">
        <v>62</v>
      </c>
      <c r="AA507" s="53">
        <f t="shared" si="4"/>
        <v>1</v>
      </c>
      <c r="AB507" s="54">
        <f>COUNTIFS(Links!B:B,"ICSE",Links!C:C,A507,Links!AD:AD,1)</f>
        <v>0</v>
      </c>
      <c r="AC507" s="55" t="s">
        <v>35</v>
      </c>
      <c r="AD507" s="47" t="str">
        <f t="shared" si="5"/>
        <v>No</v>
      </c>
      <c r="AE507" s="56" t="s">
        <v>36</v>
      </c>
      <c r="AF507" s="57" t="s">
        <v>42</v>
      </c>
      <c r="AG507" s="57" t="s">
        <v>42</v>
      </c>
      <c r="AH507" s="57" t="s">
        <v>42</v>
      </c>
      <c r="AI507" s="49" t="str">
        <f t="shared" si="6"/>
        <v>----</v>
      </c>
      <c r="AJ507" s="58" t="str">
        <f t="shared" si="7"/>
        <v>Paper has link but no statement</v>
      </c>
      <c r="AK507" s="59">
        <v>45028.0</v>
      </c>
      <c r="AL507" s="43" t="s">
        <v>43</v>
      </c>
      <c r="AM507" s="60" t="str">
        <f t="shared" si="8"/>
        <v>[IP0959]</v>
      </c>
    </row>
    <row r="508" ht="67.5" customHeight="1">
      <c r="A508" s="61">
        <v>960.0</v>
      </c>
      <c r="B508" s="75" t="s">
        <v>1349</v>
      </c>
      <c r="C508" s="23">
        <v>2019.0</v>
      </c>
      <c r="D508" s="24" t="s">
        <v>37</v>
      </c>
      <c r="E508" s="25" t="s">
        <v>37</v>
      </c>
      <c r="F508" s="25" t="s">
        <v>35</v>
      </c>
      <c r="G508" s="25" t="s">
        <v>37</v>
      </c>
      <c r="H508" s="25" t="s">
        <v>35</v>
      </c>
      <c r="I508" s="25" t="s">
        <v>35</v>
      </c>
      <c r="J508" s="26" t="s">
        <v>36</v>
      </c>
      <c r="K508" s="27" t="s">
        <v>35</v>
      </c>
      <c r="L508" s="28" t="s">
        <v>36</v>
      </c>
      <c r="M508" s="28" t="s">
        <v>36</v>
      </c>
      <c r="N508" s="28" t="s">
        <v>36</v>
      </c>
      <c r="O508" s="28" t="s">
        <v>36</v>
      </c>
      <c r="P508" s="28" t="s">
        <v>36</v>
      </c>
      <c r="Q508" s="28" t="s">
        <v>36</v>
      </c>
      <c r="R508" s="28" t="s">
        <v>36</v>
      </c>
      <c r="S508" s="29" t="s">
        <v>36</v>
      </c>
      <c r="T508" s="30" t="s">
        <v>36</v>
      </c>
      <c r="U508" s="31" t="s">
        <v>36</v>
      </c>
      <c r="V508" s="32" t="str">
        <f t="shared" ref="V508:X508" si="513">IF(lenb(SUBSTITUTE($Z508,V$1&amp;" (1)",""))&lt;lenb($Z508),1,IF(lenb(SUBSTITUTE($Z508,V$1&amp;" (2)",""))&lt;lenb($Z508),2,IF(lenb(SUBSTITUTE($Z508,V$1&amp;" (3)",""))&lt;lenb($Z508),3,IF(lenb(SUBSTITUTE($Z508,V$1&amp;" (4)",""))&lt;lenb($Z508),4,IF(lenb(SUBSTITUTE($Z508,V$1&amp;" (5)",""))&lt;lenb($Z508),5,IF(lenb(SUBSTITUTE($Z508,V$1&amp;" (6)",""))&lt;lenb($Z508),6,IF(lenb(SUBSTITUTE($Z508,V$1&amp;" (7)",""))&lt;lenb($Z508),1,IF(lenb(SUBSTITUTE($Z508,V$1&amp;" (8)",""))&lt;lenb($Z508),8,IF(lenb(SUBSTITUTE($Z508,V$1&amp;" (9)",""))&lt;lenb($Z508),9,IF(lenb(SUBSTITUTE($Z508,V$1&amp;" (10)",""))&lt;lenb($Z508),10,IF(lenb(SUBSTITUTE($Z508,V$1,""))&lt;lenb($Z508),"ERROR",IF($Z508=$Y$1,"-",0))))))))))))</f>
        <v>-</v>
      </c>
      <c r="W508" s="32" t="str">
        <f t="shared" si="513"/>
        <v>-</v>
      </c>
      <c r="X508" s="32" t="str">
        <f t="shared" si="513"/>
        <v>-</v>
      </c>
      <c r="Y508" s="32">
        <f t="shared" si="3"/>
        <v>1</v>
      </c>
      <c r="Z508" s="32" t="s">
        <v>23</v>
      </c>
      <c r="AA508" s="33">
        <f t="shared" si="4"/>
        <v>0</v>
      </c>
      <c r="AB508" s="34">
        <f>COUNTIFS(Links!B:B,"ICSE",Links!C:C,A508,Links!AD:AD,1)</f>
        <v>0</v>
      </c>
      <c r="AC508" s="35" t="s">
        <v>36</v>
      </c>
      <c r="AD508" s="27" t="str">
        <f t="shared" si="5"/>
        <v>No</v>
      </c>
      <c r="AE508" s="36" t="s">
        <v>36</v>
      </c>
      <c r="AF508" s="37" t="s">
        <v>42</v>
      </c>
      <c r="AG508" s="37" t="s">
        <v>42</v>
      </c>
      <c r="AH508" s="37" t="s">
        <v>42</v>
      </c>
      <c r="AI508" s="29" t="str">
        <f t="shared" si="6"/>
        <v>----</v>
      </c>
      <c r="AJ508" s="38" t="str">
        <f t="shared" si="7"/>
        <v>Paper has no link and no statement</v>
      </c>
      <c r="AK508" s="39">
        <v>45028.0</v>
      </c>
      <c r="AL508" s="23" t="s">
        <v>43</v>
      </c>
      <c r="AM508" s="40" t="str">
        <f t="shared" si="8"/>
        <v>[IP0960]</v>
      </c>
    </row>
    <row r="509" ht="67.5" customHeight="1">
      <c r="A509" s="41">
        <v>961.0</v>
      </c>
      <c r="B509" s="74" t="s">
        <v>1350</v>
      </c>
      <c r="C509" s="43">
        <v>2019.0</v>
      </c>
      <c r="D509" s="44" t="s">
        <v>37</v>
      </c>
      <c r="E509" s="45" t="s">
        <v>35</v>
      </c>
      <c r="F509" s="45" t="s">
        <v>35</v>
      </c>
      <c r="G509" s="45" t="s">
        <v>37</v>
      </c>
      <c r="H509" s="45" t="s">
        <v>35</v>
      </c>
      <c r="I509" s="45" t="s">
        <v>35</v>
      </c>
      <c r="J509" s="46" t="s">
        <v>36</v>
      </c>
      <c r="K509" s="47" t="s">
        <v>35</v>
      </c>
      <c r="L509" s="48" t="s">
        <v>36</v>
      </c>
      <c r="M509" s="48" t="s">
        <v>36</v>
      </c>
      <c r="N509" s="48" t="s">
        <v>36</v>
      </c>
      <c r="O509" s="48" t="s">
        <v>36</v>
      </c>
      <c r="P509" s="48" t="s">
        <v>36</v>
      </c>
      <c r="Q509" s="48" t="s">
        <v>36</v>
      </c>
      <c r="R509" s="48" t="s">
        <v>36</v>
      </c>
      <c r="S509" s="49" t="s">
        <v>36</v>
      </c>
      <c r="T509" s="50" t="s">
        <v>36</v>
      </c>
      <c r="U509" s="51" t="s">
        <v>36</v>
      </c>
      <c r="V509" s="52" t="str">
        <f t="shared" ref="V509:X509" si="514">IF(lenb(SUBSTITUTE($Z509,V$1&amp;" (1)",""))&lt;lenb($Z509),1,IF(lenb(SUBSTITUTE($Z509,V$1&amp;" (2)",""))&lt;lenb($Z509),2,IF(lenb(SUBSTITUTE($Z509,V$1&amp;" (3)",""))&lt;lenb($Z509),3,IF(lenb(SUBSTITUTE($Z509,V$1&amp;" (4)",""))&lt;lenb($Z509),4,IF(lenb(SUBSTITUTE($Z509,V$1&amp;" (5)",""))&lt;lenb($Z509),5,IF(lenb(SUBSTITUTE($Z509,V$1&amp;" (6)",""))&lt;lenb($Z509),6,IF(lenb(SUBSTITUTE($Z509,V$1&amp;" (7)",""))&lt;lenb($Z509),1,IF(lenb(SUBSTITUTE($Z509,V$1&amp;" (8)",""))&lt;lenb($Z509),8,IF(lenb(SUBSTITUTE($Z509,V$1&amp;" (9)",""))&lt;lenb($Z509),9,IF(lenb(SUBSTITUTE($Z509,V$1&amp;" (10)",""))&lt;lenb($Z509),10,IF(lenb(SUBSTITUTE($Z509,V$1,""))&lt;lenb($Z509),"ERROR",IF($Z509=$Y$1,"-",0))))))))))))</f>
        <v>-</v>
      </c>
      <c r="W509" s="52" t="str">
        <f t="shared" si="514"/>
        <v>-</v>
      </c>
      <c r="X509" s="52" t="str">
        <f t="shared" si="514"/>
        <v>-</v>
      </c>
      <c r="Y509" s="52">
        <f t="shared" si="3"/>
        <v>1</v>
      </c>
      <c r="Z509" s="52" t="s">
        <v>23</v>
      </c>
      <c r="AA509" s="53">
        <f t="shared" si="4"/>
        <v>0</v>
      </c>
      <c r="AB509" s="54">
        <f>COUNTIFS(Links!B:B,"ICSE",Links!C:C,A509,Links!AD:AD,1)</f>
        <v>0</v>
      </c>
      <c r="AC509" s="55" t="s">
        <v>36</v>
      </c>
      <c r="AD509" s="47" t="str">
        <f t="shared" si="5"/>
        <v>No</v>
      </c>
      <c r="AE509" s="56" t="s">
        <v>36</v>
      </c>
      <c r="AF509" s="57" t="s">
        <v>42</v>
      </c>
      <c r="AG509" s="57" t="s">
        <v>42</v>
      </c>
      <c r="AH509" s="57" t="s">
        <v>42</v>
      </c>
      <c r="AI509" s="49" t="str">
        <f t="shared" si="6"/>
        <v>----</v>
      </c>
      <c r="AJ509" s="58" t="str">
        <f t="shared" si="7"/>
        <v>Paper has no link and no statement</v>
      </c>
      <c r="AK509" s="59">
        <v>45028.0</v>
      </c>
      <c r="AL509" s="43" t="s">
        <v>43</v>
      </c>
      <c r="AM509" s="60" t="str">
        <f t="shared" si="8"/>
        <v>[IP0961]</v>
      </c>
    </row>
    <row r="510" ht="67.5" customHeight="1">
      <c r="A510" s="61">
        <v>962.0</v>
      </c>
      <c r="B510" s="22" t="s">
        <v>1351</v>
      </c>
      <c r="C510" s="23">
        <v>2019.0</v>
      </c>
      <c r="D510" s="24" t="s">
        <v>35</v>
      </c>
      <c r="E510" s="25" t="s">
        <v>36</v>
      </c>
      <c r="F510" s="25" t="s">
        <v>36</v>
      </c>
      <c r="G510" s="25" t="s">
        <v>36</v>
      </c>
      <c r="H510" s="25" t="s">
        <v>36</v>
      </c>
      <c r="I510" s="25" t="s">
        <v>36</v>
      </c>
      <c r="J510" s="26" t="s">
        <v>36</v>
      </c>
      <c r="K510" s="27" t="s">
        <v>37</v>
      </c>
      <c r="L510" s="28" t="s">
        <v>35</v>
      </c>
      <c r="M510" s="28" t="s">
        <v>37</v>
      </c>
      <c r="N510" s="28" t="s">
        <v>35</v>
      </c>
      <c r="O510" s="28" t="s">
        <v>35</v>
      </c>
      <c r="P510" s="28" t="s">
        <v>35</v>
      </c>
      <c r="Q510" s="28" t="s">
        <v>37</v>
      </c>
      <c r="R510" s="28" t="s">
        <v>37</v>
      </c>
      <c r="S510" s="29" t="s">
        <v>1352</v>
      </c>
      <c r="T510" s="30" t="s">
        <v>1353</v>
      </c>
      <c r="U510" s="31" t="s">
        <v>1353</v>
      </c>
      <c r="V510" s="32">
        <f t="shared" ref="V510:X510" si="515">IF(lenb(SUBSTITUTE($Z510,V$1&amp;" (1)",""))&lt;lenb($Z510),1,IF(lenb(SUBSTITUTE($Z510,V$1&amp;" (2)",""))&lt;lenb($Z510),2,IF(lenb(SUBSTITUTE($Z510,V$1&amp;" (3)",""))&lt;lenb($Z510),3,IF(lenb(SUBSTITUTE($Z510,V$1&amp;" (4)",""))&lt;lenb($Z510),4,IF(lenb(SUBSTITUTE($Z510,V$1&amp;" (5)",""))&lt;lenb($Z510),5,IF(lenb(SUBSTITUTE($Z510,V$1&amp;" (6)",""))&lt;lenb($Z510),6,IF(lenb(SUBSTITUTE($Z510,V$1&amp;" (7)",""))&lt;lenb($Z510),1,IF(lenb(SUBSTITUTE($Z510,V$1&amp;" (8)",""))&lt;lenb($Z510),8,IF(lenb(SUBSTITUTE($Z510,V$1&amp;" (9)",""))&lt;lenb($Z510),9,IF(lenb(SUBSTITUTE($Z510,V$1&amp;" (10)",""))&lt;lenb($Z510),10,IF(lenb(SUBSTITUTE($Z510,V$1,""))&lt;lenb($Z510),"ERROR",IF($Z510=$Y$1,"-",0))))))))))))</f>
        <v>1</v>
      </c>
      <c r="W510" s="32">
        <f t="shared" si="515"/>
        <v>0</v>
      </c>
      <c r="X510" s="32">
        <f t="shared" si="515"/>
        <v>0</v>
      </c>
      <c r="Y510" s="32" t="str">
        <f t="shared" si="3"/>
        <v>-</v>
      </c>
      <c r="Z510" s="32" t="s">
        <v>62</v>
      </c>
      <c r="AA510" s="33">
        <f t="shared" si="4"/>
        <v>1</v>
      </c>
      <c r="AB510" s="34">
        <f>COUNTIFS(Links!B:B,"ICSE",Links!C:C,A510,Links!AD:AD,1)</f>
        <v>0</v>
      </c>
      <c r="AC510" s="35" t="s">
        <v>35</v>
      </c>
      <c r="AD510" s="27" t="str">
        <f t="shared" si="5"/>
        <v>No</v>
      </c>
      <c r="AE510" s="36" t="s">
        <v>36</v>
      </c>
      <c r="AF510" s="37" t="s">
        <v>42</v>
      </c>
      <c r="AG510" s="37" t="s">
        <v>42</v>
      </c>
      <c r="AH510" s="37" t="s">
        <v>42</v>
      </c>
      <c r="AI510" s="29" t="str">
        <f t="shared" si="6"/>
        <v>----</v>
      </c>
      <c r="AJ510" s="38" t="str">
        <f t="shared" si="7"/>
        <v>Paper has link but no statement</v>
      </c>
      <c r="AK510" s="39">
        <v>45028.0</v>
      </c>
      <c r="AL510" s="23" t="s">
        <v>43</v>
      </c>
      <c r="AM510" s="40" t="str">
        <f t="shared" si="8"/>
        <v>[IP0962]</v>
      </c>
    </row>
    <row r="511" ht="67.5" customHeight="1">
      <c r="A511" s="41">
        <v>963.0</v>
      </c>
      <c r="B511" s="74" t="s">
        <v>1354</v>
      </c>
      <c r="C511" s="43">
        <v>2019.0</v>
      </c>
      <c r="D511" s="44" t="s">
        <v>37</v>
      </c>
      <c r="E511" s="45" t="s">
        <v>37</v>
      </c>
      <c r="F511" s="45" t="s">
        <v>35</v>
      </c>
      <c r="G511" s="45" t="s">
        <v>35</v>
      </c>
      <c r="H511" s="45" t="s">
        <v>35</v>
      </c>
      <c r="I511" s="45" t="s">
        <v>35</v>
      </c>
      <c r="J511" s="46" t="s">
        <v>36</v>
      </c>
      <c r="K511" s="47" t="s">
        <v>37</v>
      </c>
      <c r="L511" s="48" t="s">
        <v>35</v>
      </c>
      <c r="M511" s="48" t="s">
        <v>35</v>
      </c>
      <c r="N511" s="48" t="s">
        <v>35</v>
      </c>
      <c r="O511" s="48" t="s">
        <v>35</v>
      </c>
      <c r="P511" s="48" t="s">
        <v>35</v>
      </c>
      <c r="Q511" s="48" t="s">
        <v>37</v>
      </c>
      <c r="R511" s="48" t="s">
        <v>37</v>
      </c>
      <c r="S511" s="49" t="s">
        <v>1355</v>
      </c>
      <c r="T511" s="50" t="s">
        <v>1356</v>
      </c>
      <c r="U511" s="51" t="s">
        <v>1356</v>
      </c>
      <c r="V511" s="52">
        <f t="shared" ref="V511:X511" si="516">IF(lenb(SUBSTITUTE($Z511,V$1&amp;" (1)",""))&lt;lenb($Z511),1,IF(lenb(SUBSTITUTE($Z511,V$1&amp;" (2)",""))&lt;lenb($Z511),2,IF(lenb(SUBSTITUTE($Z511,V$1&amp;" (3)",""))&lt;lenb($Z511),3,IF(lenb(SUBSTITUTE($Z511,V$1&amp;" (4)",""))&lt;lenb($Z511),4,IF(lenb(SUBSTITUTE($Z511,V$1&amp;" (5)",""))&lt;lenb($Z511),5,IF(lenb(SUBSTITUTE($Z511,V$1&amp;" (6)",""))&lt;lenb($Z511),6,IF(lenb(SUBSTITUTE($Z511,V$1&amp;" (7)",""))&lt;lenb($Z511),1,IF(lenb(SUBSTITUTE($Z511,V$1&amp;" (8)",""))&lt;lenb($Z511),8,IF(lenb(SUBSTITUTE($Z511,V$1&amp;" (9)",""))&lt;lenb($Z511),9,IF(lenb(SUBSTITUTE($Z511,V$1&amp;" (10)",""))&lt;lenb($Z511),10,IF(lenb(SUBSTITUTE($Z511,V$1,""))&lt;lenb($Z511),"ERROR",IF($Z511=$Y$1,"-",0))))))))))))</f>
        <v>1</v>
      </c>
      <c r="W511" s="52">
        <f t="shared" si="516"/>
        <v>0</v>
      </c>
      <c r="X511" s="52">
        <f t="shared" si="516"/>
        <v>0</v>
      </c>
      <c r="Y511" s="52" t="str">
        <f t="shared" si="3"/>
        <v>-</v>
      </c>
      <c r="Z511" s="52" t="s">
        <v>62</v>
      </c>
      <c r="AA511" s="53">
        <f t="shared" si="4"/>
        <v>1</v>
      </c>
      <c r="AB511" s="54">
        <f>COUNTIFS(Links!B:B,"ICSE",Links!C:C,A511,Links!AD:AD,1)</f>
        <v>0</v>
      </c>
      <c r="AC511" s="55" t="s">
        <v>35</v>
      </c>
      <c r="AD511" s="47" t="str">
        <f t="shared" si="5"/>
        <v>No</v>
      </c>
      <c r="AE511" s="56" t="s">
        <v>36</v>
      </c>
      <c r="AF511" s="57" t="s">
        <v>42</v>
      </c>
      <c r="AG511" s="57" t="s">
        <v>42</v>
      </c>
      <c r="AH511" s="57" t="s">
        <v>42</v>
      </c>
      <c r="AI511" s="49" t="str">
        <f t="shared" si="6"/>
        <v>----</v>
      </c>
      <c r="AJ511" s="58" t="str">
        <f t="shared" si="7"/>
        <v>Paper has link but no statement</v>
      </c>
      <c r="AK511" s="59">
        <v>45028.0</v>
      </c>
      <c r="AL511" s="43" t="s">
        <v>43</v>
      </c>
      <c r="AM511" s="60" t="str">
        <f t="shared" si="8"/>
        <v>[IP0963]</v>
      </c>
    </row>
    <row r="512" ht="67.5" customHeight="1">
      <c r="A512" s="61">
        <v>964.0</v>
      </c>
      <c r="B512" s="75" t="s">
        <v>1357</v>
      </c>
      <c r="C512" s="23">
        <v>2019.0</v>
      </c>
      <c r="D512" s="24" t="s">
        <v>37</v>
      </c>
      <c r="E512" s="25" t="s">
        <v>37</v>
      </c>
      <c r="F512" s="25" t="s">
        <v>35</v>
      </c>
      <c r="G512" s="25" t="s">
        <v>37</v>
      </c>
      <c r="H512" s="25" t="s">
        <v>35</v>
      </c>
      <c r="I512" s="25" t="s">
        <v>35</v>
      </c>
      <c r="J512" s="26" t="s">
        <v>36</v>
      </c>
      <c r="K512" s="27" t="s">
        <v>37</v>
      </c>
      <c r="L512" s="28" t="s">
        <v>37</v>
      </c>
      <c r="M512" s="28" t="s">
        <v>35</v>
      </c>
      <c r="N512" s="28" t="s">
        <v>35</v>
      </c>
      <c r="O512" s="28" t="s">
        <v>35</v>
      </c>
      <c r="P512" s="28" t="s">
        <v>35</v>
      </c>
      <c r="Q512" s="28" t="s">
        <v>35</v>
      </c>
      <c r="R512" s="28" t="s">
        <v>37</v>
      </c>
      <c r="S512" s="29" t="s">
        <v>1344</v>
      </c>
      <c r="T512" s="30" t="s">
        <v>1358</v>
      </c>
      <c r="U512" s="31" t="s">
        <v>1358</v>
      </c>
      <c r="V512" s="32">
        <f t="shared" ref="V512:X512" si="517">IF(lenb(SUBSTITUTE($Z512,V$1&amp;" (1)",""))&lt;lenb($Z512),1,IF(lenb(SUBSTITUTE($Z512,V$1&amp;" (2)",""))&lt;lenb($Z512),2,IF(lenb(SUBSTITUTE($Z512,V$1&amp;" (3)",""))&lt;lenb($Z512),3,IF(lenb(SUBSTITUTE($Z512,V$1&amp;" (4)",""))&lt;lenb($Z512),4,IF(lenb(SUBSTITUTE($Z512,V$1&amp;" (5)",""))&lt;lenb($Z512),5,IF(lenb(SUBSTITUTE($Z512,V$1&amp;" (6)",""))&lt;lenb($Z512),6,IF(lenb(SUBSTITUTE($Z512,V$1&amp;" (7)",""))&lt;lenb($Z512),1,IF(lenb(SUBSTITUTE($Z512,V$1&amp;" (8)",""))&lt;lenb($Z512),8,IF(lenb(SUBSTITUTE($Z512,V$1&amp;" (9)",""))&lt;lenb($Z512),9,IF(lenb(SUBSTITUTE($Z512,V$1&amp;" (10)",""))&lt;lenb($Z512),10,IF(lenb(SUBSTITUTE($Z512,V$1,""))&lt;lenb($Z512),"ERROR",IF($Z512=$Y$1,"-",0))))))))))))</f>
        <v>1</v>
      </c>
      <c r="W512" s="32">
        <f t="shared" si="517"/>
        <v>0</v>
      </c>
      <c r="X512" s="32">
        <f t="shared" si="517"/>
        <v>0</v>
      </c>
      <c r="Y512" s="32" t="str">
        <f t="shared" si="3"/>
        <v>-</v>
      </c>
      <c r="Z512" s="32" t="s">
        <v>62</v>
      </c>
      <c r="AA512" s="33">
        <f t="shared" si="4"/>
        <v>1</v>
      </c>
      <c r="AB512" s="34">
        <f>COUNTIFS(Links!B:B,"ICSE",Links!C:C,A512,Links!AD:AD,1)</f>
        <v>0</v>
      </c>
      <c r="AC512" s="35" t="s">
        <v>35</v>
      </c>
      <c r="AD512" s="27" t="str">
        <f t="shared" si="5"/>
        <v>No</v>
      </c>
      <c r="AE512" s="36" t="s">
        <v>36</v>
      </c>
      <c r="AF512" s="37" t="s">
        <v>42</v>
      </c>
      <c r="AG512" s="37" t="s">
        <v>42</v>
      </c>
      <c r="AH512" s="37" t="s">
        <v>42</v>
      </c>
      <c r="AI512" s="29" t="str">
        <f t="shared" si="6"/>
        <v>----</v>
      </c>
      <c r="AJ512" s="38" t="str">
        <f t="shared" si="7"/>
        <v>Paper has link but no statement</v>
      </c>
      <c r="AK512" s="39">
        <v>45028.0</v>
      </c>
      <c r="AL512" s="23" t="s">
        <v>43</v>
      </c>
      <c r="AM512" s="40" t="str">
        <f t="shared" si="8"/>
        <v>[IP0964]</v>
      </c>
    </row>
    <row r="513" ht="67.5" customHeight="1">
      <c r="A513" s="41">
        <v>965.0</v>
      </c>
      <c r="B513" s="74" t="s">
        <v>1359</v>
      </c>
      <c r="C513" s="43">
        <v>2019.0</v>
      </c>
      <c r="D513" s="44" t="s">
        <v>37</v>
      </c>
      <c r="E513" s="45" t="s">
        <v>37</v>
      </c>
      <c r="F513" s="45" t="s">
        <v>35</v>
      </c>
      <c r="G513" s="45" t="s">
        <v>35</v>
      </c>
      <c r="H513" s="45" t="s">
        <v>35</v>
      </c>
      <c r="I513" s="45" t="s">
        <v>35</v>
      </c>
      <c r="J513" s="46" t="s">
        <v>36</v>
      </c>
      <c r="K513" s="47" t="s">
        <v>37</v>
      </c>
      <c r="L513" s="48" t="s">
        <v>35</v>
      </c>
      <c r="M513" s="48" t="s">
        <v>35</v>
      </c>
      <c r="N513" s="48" t="s">
        <v>37</v>
      </c>
      <c r="O513" s="48" t="s">
        <v>35</v>
      </c>
      <c r="P513" s="48" t="s">
        <v>35</v>
      </c>
      <c r="Q513" s="48" t="s">
        <v>35</v>
      </c>
      <c r="R513" s="48" t="s">
        <v>35</v>
      </c>
      <c r="S513" s="49" t="s">
        <v>289</v>
      </c>
      <c r="T513" s="50" t="s">
        <v>1360</v>
      </c>
      <c r="U513" s="51" t="s">
        <v>1361</v>
      </c>
      <c r="V513" s="52">
        <f t="shared" ref="V513:X513" si="518">IF(lenb(SUBSTITUTE($Z513,V$1&amp;" (1)",""))&lt;lenb($Z513),1,IF(lenb(SUBSTITUTE($Z513,V$1&amp;" (2)",""))&lt;lenb($Z513),2,IF(lenb(SUBSTITUTE($Z513,V$1&amp;" (3)",""))&lt;lenb($Z513),3,IF(lenb(SUBSTITUTE($Z513,V$1&amp;" (4)",""))&lt;lenb($Z513),4,IF(lenb(SUBSTITUTE($Z513,V$1&amp;" (5)",""))&lt;lenb($Z513),5,IF(lenb(SUBSTITUTE($Z513,V$1&amp;" (6)",""))&lt;lenb($Z513),6,IF(lenb(SUBSTITUTE($Z513,V$1&amp;" (7)",""))&lt;lenb($Z513),1,IF(lenb(SUBSTITUTE($Z513,V$1&amp;" (8)",""))&lt;lenb($Z513),8,IF(lenb(SUBSTITUTE($Z513,V$1&amp;" (9)",""))&lt;lenb($Z513),9,IF(lenb(SUBSTITUTE($Z513,V$1&amp;" (10)",""))&lt;lenb($Z513),10,IF(lenb(SUBSTITUTE($Z513,V$1,""))&lt;lenb($Z513),"ERROR",IF($Z513=$Y$1,"-",0))))))))))))</f>
        <v>2</v>
      </c>
      <c r="W513" s="52">
        <f t="shared" si="518"/>
        <v>0</v>
      </c>
      <c r="X513" s="52">
        <f t="shared" si="518"/>
        <v>0</v>
      </c>
      <c r="Y513" s="52" t="str">
        <f t="shared" si="3"/>
        <v>-</v>
      </c>
      <c r="Z513" s="52" t="s">
        <v>57</v>
      </c>
      <c r="AA513" s="53">
        <f t="shared" si="4"/>
        <v>2</v>
      </c>
      <c r="AB513" s="54">
        <f>COUNTIFS(Links!B:B,"ICSE",Links!C:C,A513,Links!AD:AD,1)</f>
        <v>1</v>
      </c>
      <c r="AC513" s="55" t="s">
        <v>37</v>
      </c>
      <c r="AD513" s="47" t="str">
        <f t="shared" si="5"/>
        <v>No</v>
      </c>
      <c r="AE513" s="56" t="s">
        <v>36</v>
      </c>
      <c r="AF513" s="57" t="s">
        <v>42</v>
      </c>
      <c r="AG513" s="57" t="s">
        <v>42</v>
      </c>
      <c r="AH513" s="57" t="s">
        <v>42</v>
      </c>
      <c r="AI513" s="49" t="str">
        <f t="shared" si="6"/>
        <v>----</v>
      </c>
      <c r="AJ513" s="58" t="str">
        <f t="shared" si="7"/>
        <v>Paper has link but no statement</v>
      </c>
      <c r="AK513" s="59">
        <v>45028.0</v>
      </c>
      <c r="AL513" s="43" t="s">
        <v>43</v>
      </c>
      <c r="AM513" s="60" t="str">
        <f t="shared" si="8"/>
        <v>[IP0965]</v>
      </c>
    </row>
    <row r="514" ht="67.5" customHeight="1">
      <c r="A514" s="61">
        <v>966.0</v>
      </c>
      <c r="B514" s="22" t="s">
        <v>1362</v>
      </c>
      <c r="C514" s="23">
        <v>2019.0</v>
      </c>
      <c r="D514" s="24" t="s">
        <v>35</v>
      </c>
      <c r="E514" s="25" t="s">
        <v>36</v>
      </c>
      <c r="F514" s="25" t="s">
        <v>36</v>
      </c>
      <c r="G514" s="25" t="s">
        <v>36</v>
      </c>
      <c r="H514" s="25" t="s">
        <v>36</v>
      </c>
      <c r="I514" s="25" t="s">
        <v>36</v>
      </c>
      <c r="J514" s="26" t="s">
        <v>36</v>
      </c>
      <c r="K514" s="27" t="s">
        <v>37</v>
      </c>
      <c r="L514" s="28" t="s">
        <v>35</v>
      </c>
      <c r="M514" s="28" t="s">
        <v>37</v>
      </c>
      <c r="N514" s="28" t="s">
        <v>37</v>
      </c>
      <c r="O514" s="28" t="s">
        <v>35</v>
      </c>
      <c r="P514" s="28" t="s">
        <v>35</v>
      </c>
      <c r="Q514" s="28" t="s">
        <v>35</v>
      </c>
      <c r="R514" s="28" t="s">
        <v>37</v>
      </c>
      <c r="S514" s="29" t="s">
        <v>1363</v>
      </c>
      <c r="T514" s="30" t="s">
        <v>1364</v>
      </c>
      <c r="U514" s="31" t="s">
        <v>1364</v>
      </c>
      <c r="V514" s="32">
        <f t="shared" ref="V514:X514" si="519">IF(lenb(SUBSTITUTE($Z514,V$1&amp;" (1)",""))&lt;lenb($Z514),1,IF(lenb(SUBSTITUTE($Z514,V$1&amp;" (2)",""))&lt;lenb($Z514),2,IF(lenb(SUBSTITUTE($Z514,V$1&amp;" (3)",""))&lt;lenb($Z514),3,IF(lenb(SUBSTITUTE($Z514,V$1&amp;" (4)",""))&lt;lenb($Z514),4,IF(lenb(SUBSTITUTE($Z514,V$1&amp;" (5)",""))&lt;lenb($Z514),5,IF(lenb(SUBSTITUTE($Z514,V$1&amp;" (6)",""))&lt;lenb($Z514),6,IF(lenb(SUBSTITUTE($Z514,V$1&amp;" (7)",""))&lt;lenb($Z514),1,IF(lenb(SUBSTITUTE($Z514,V$1&amp;" (8)",""))&lt;lenb($Z514),8,IF(lenb(SUBSTITUTE($Z514,V$1&amp;" (9)",""))&lt;lenb($Z514),9,IF(lenb(SUBSTITUTE($Z514,V$1&amp;" (10)",""))&lt;lenb($Z514),10,IF(lenb(SUBSTITUTE($Z514,V$1,""))&lt;lenb($Z514),"ERROR",IF($Z514=$Y$1,"-",0))))))))))))</f>
        <v>1</v>
      </c>
      <c r="W514" s="32">
        <f t="shared" si="519"/>
        <v>0</v>
      </c>
      <c r="X514" s="32">
        <f t="shared" si="519"/>
        <v>0</v>
      </c>
      <c r="Y514" s="32" t="str">
        <f t="shared" si="3"/>
        <v>-</v>
      </c>
      <c r="Z514" s="32" t="s">
        <v>62</v>
      </c>
      <c r="AA514" s="33">
        <f t="shared" si="4"/>
        <v>1</v>
      </c>
      <c r="AB514" s="34">
        <f>COUNTIFS(Links!B:B,"ICSE",Links!C:C,A514,Links!AD:AD,1)</f>
        <v>0</v>
      </c>
      <c r="AC514" s="35" t="s">
        <v>35</v>
      </c>
      <c r="AD514" s="27" t="str">
        <f t="shared" si="5"/>
        <v>No</v>
      </c>
      <c r="AE514" s="36" t="s">
        <v>36</v>
      </c>
      <c r="AF514" s="37" t="s">
        <v>42</v>
      </c>
      <c r="AG514" s="37" t="s">
        <v>42</v>
      </c>
      <c r="AH514" s="37" t="s">
        <v>42</v>
      </c>
      <c r="AI514" s="29" t="str">
        <f t="shared" si="6"/>
        <v>----</v>
      </c>
      <c r="AJ514" s="38" t="str">
        <f t="shared" si="7"/>
        <v>Paper has link but no statement</v>
      </c>
      <c r="AK514" s="39">
        <v>45028.0</v>
      </c>
      <c r="AL514" s="23" t="s">
        <v>43</v>
      </c>
      <c r="AM514" s="40" t="str">
        <f t="shared" si="8"/>
        <v>[IP0966]</v>
      </c>
    </row>
    <row r="515" ht="67.5" customHeight="1">
      <c r="A515" s="41">
        <v>967.0</v>
      </c>
      <c r="B515" s="42" t="s">
        <v>1365</v>
      </c>
      <c r="C515" s="43">
        <v>2019.0</v>
      </c>
      <c r="D515" s="44" t="s">
        <v>35</v>
      </c>
      <c r="E515" s="45" t="s">
        <v>36</v>
      </c>
      <c r="F515" s="45" t="s">
        <v>36</v>
      </c>
      <c r="G515" s="45" t="s">
        <v>36</v>
      </c>
      <c r="H515" s="45" t="s">
        <v>36</v>
      </c>
      <c r="I515" s="45" t="s">
        <v>36</v>
      </c>
      <c r="J515" s="46" t="s">
        <v>36</v>
      </c>
      <c r="K515" s="47" t="s">
        <v>35</v>
      </c>
      <c r="L515" s="48" t="s">
        <v>36</v>
      </c>
      <c r="M515" s="48" t="s">
        <v>36</v>
      </c>
      <c r="N515" s="48" t="s">
        <v>36</v>
      </c>
      <c r="O515" s="48" t="s">
        <v>36</v>
      </c>
      <c r="P515" s="48" t="s">
        <v>36</v>
      </c>
      <c r="Q515" s="48" t="s">
        <v>36</v>
      </c>
      <c r="R515" s="48" t="s">
        <v>36</v>
      </c>
      <c r="S515" s="49" t="s">
        <v>36</v>
      </c>
      <c r="T515" s="50" t="s">
        <v>36</v>
      </c>
      <c r="U515" s="51" t="s">
        <v>36</v>
      </c>
      <c r="V515" s="52" t="str">
        <f t="shared" ref="V515:X515" si="520">IF(lenb(SUBSTITUTE($Z515,V$1&amp;" (1)",""))&lt;lenb($Z515),1,IF(lenb(SUBSTITUTE($Z515,V$1&amp;" (2)",""))&lt;lenb($Z515),2,IF(lenb(SUBSTITUTE($Z515,V$1&amp;" (3)",""))&lt;lenb($Z515),3,IF(lenb(SUBSTITUTE($Z515,V$1&amp;" (4)",""))&lt;lenb($Z515),4,IF(lenb(SUBSTITUTE($Z515,V$1&amp;" (5)",""))&lt;lenb($Z515),5,IF(lenb(SUBSTITUTE($Z515,V$1&amp;" (6)",""))&lt;lenb($Z515),6,IF(lenb(SUBSTITUTE($Z515,V$1&amp;" (7)",""))&lt;lenb($Z515),1,IF(lenb(SUBSTITUTE($Z515,V$1&amp;" (8)",""))&lt;lenb($Z515),8,IF(lenb(SUBSTITUTE($Z515,V$1&amp;" (9)",""))&lt;lenb($Z515),9,IF(lenb(SUBSTITUTE($Z515,V$1&amp;" (10)",""))&lt;lenb($Z515),10,IF(lenb(SUBSTITUTE($Z515,V$1,""))&lt;lenb($Z515),"ERROR",IF($Z515=$Y$1,"-",0))))))))))))</f>
        <v>-</v>
      </c>
      <c r="W515" s="52" t="str">
        <f t="shared" si="520"/>
        <v>-</v>
      </c>
      <c r="X515" s="52" t="str">
        <f t="shared" si="520"/>
        <v>-</v>
      </c>
      <c r="Y515" s="52">
        <f t="shared" si="3"/>
        <v>1</v>
      </c>
      <c r="Z515" s="52" t="s">
        <v>23</v>
      </c>
      <c r="AA515" s="53">
        <f t="shared" si="4"/>
        <v>0</v>
      </c>
      <c r="AB515" s="54">
        <f>COUNTIFS(Links!B:B,"ICSE",Links!C:C,A515,Links!AD:AD,1)</f>
        <v>0</v>
      </c>
      <c r="AC515" s="55" t="s">
        <v>36</v>
      </c>
      <c r="AD515" s="47" t="str">
        <f t="shared" si="5"/>
        <v>Yes</v>
      </c>
      <c r="AE515" s="56" t="s">
        <v>1366</v>
      </c>
      <c r="AF515" s="56" t="s">
        <v>146</v>
      </c>
      <c r="AG515" s="57" t="s">
        <v>42</v>
      </c>
      <c r="AH515" s="57" t="s">
        <v>42</v>
      </c>
      <c r="AI515" s="49" t="str">
        <f t="shared" si="6"/>
        <v>Future plans (—)</v>
      </c>
      <c r="AJ515" s="58" t="str">
        <f t="shared" si="7"/>
        <v>Paper has no link but has statement</v>
      </c>
      <c r="AK515" s="59">
        <v>45028.0</v>
      </c>
      <c r="AL515" s="43" t="s">
        <v>43</v>
      </c>
      <c r="AM515" s="60" t="str">
        <f t="shared" si="8"/>
        <v>[IP0967]</v>
      </c>
    </row>
    <row r="516" ht="67.5" customHeight="1">
      <c r="A516" s="61">
        <v>968.0</v>
      </c>
      <c r="B516" s="22" t="s">
        <v>1367</v>
      </c>
      <c r="C516" s="23">
        <v>2019.0</v>
      </c>
      <c r="D516" s="24" t="s">
        <v>35</v>
      </c>
      <c r="E516" s="25" t="s">
        <v>36</v>
      </c>
      <c r="F516" s="25" t="s">
        <v>36</v>
      </c>
      <c r="G516" s="25" t="s">
        <v>36</v>
      </c>
      <c r="H516" s="25" t="s">
        <v>36</v>
      </c>
      <c r="I516" s="25" t="s">
        <v>36</v>
      </c>
      <c r="J516" s="26" t="s">
        <v>36</v>
      </c>
      <c r="K516" s="27" t="s">
        <v>37</v>
      </c>
      <c r="L516" s="28" t="s">
        <v>35</v>
      </c>
      <c r="M516" s="28" t="s">
        <v>35</v>
      </c>
      <c r="N516" s="28" t="s">
        <v>35</v>
      </c>
      <c r="O516" s="28" t="s">
        <v>37</v>
      </c>
      <c r="P516" s="28" t="s">
        <v>35</v>
      </c>
      <c r="Q516" s="28" t="s">
        <v>35</v>
      </c>
      <c r="R516" s="28" t="s">
        <v>35</v>
      </c>
      <c r="S516" s="29" t="s">
        <v>819</v>
      </c>
      <c r="T516" s="30" t="s">
        <v>1368</v>
      </c>
      <c r="U516" s="31" t="s">
        <v>1368</v>
      </c>
      <c r="V516" s="32">
        <f t="shared" ref="V516:X516" si="521">IF(lenb(SUBSTITUTE($Z516,V$1&amp;" (1)",""))&lt;lenb($Z516),1,IF(lenb(SUBSTITUTE($Z516,V$1&amp;" (2)",""))&lt;lenb($Z516),2,IF(lenb(SUBSTITUTE($Z516,V$1&amp;" (3)",""))&lt;lenb($Z516),3,IF(lenb(SUBSTITUTE($Z516,V$1&amp;" (4)",""))&lt;lenb($Z516),4,IF(lenb(SUBSTITUTE($Z516,V$1&amp;" (5)",""))&lt;lenb($Z516),5,IF(lenb(SUBSTITUTE($Z516,V$1&amp;" (6)",""))&lt;lenb($Z516),6,IF(lenb(SUBSTITUTE($Z516,V$1&amp;" (7)",""))&lt;lenb($Z516),1,IF(lenb(SUBSTITUTE($Z516,V$1&amp;" (8)",""))&lt;lenb($Z516),8,IF(lenb(SUBSTITUTE($Z516,V$1&amp;" (9)",""))&lt;lenb($Z516),9,IF(lenb(SUBSTITUTE($Z516,V$1&amp;" (10)",""))&lt;lenb($Z516),10,IF(lenb(SUBSTITUTE($Z516,V$1,""))&lt;lenb($Z516),"ERROR",IF($Z516=$Y$1,"-",0))))))))))))</f>
        <v>1</v>
      </c>
      <c r="W516" s="32">
        <f t="shared" si="521"/>
        <v>0</v>
      </c>
      <c r="X516" s="32">
        <f t="shared" si="521"/>
        <v>0</v>
      </c>
      <c r="Y516" s="32" t="str">
        <f t="shared" si="3"/>
        <v>-</v>
      </c>
      <c r="Z516" s="32" t="s">
        <v>62</v>
      </c>
      <c r="AA516" s="33">
        <f t="shared" si="4"/>
        <v>1</v>
      </c>
      <c r="AB516" s="34">
        <f>COUNTIFS(Links!B:B,"ICSE",Links!C:C,A516,Links!AD:AD,1)</f>
        <v>0</v>
      </c>
      <c r="AC516" s="35" t="s">
        <v>35</v>
      </c>
      <c r="AD516" s="27" t="str">
        <f t="shared" si="5"/>
        <v>No</v>
      </c>
      <c r="AE516" s="36" t="s">
        <v>36</v>
      </c>
      <c r="AF516" s="37" t="s">
        <v>42</v>
      </c>
      <c r="AG516" s="37" t="s">
        <v>42</v>
      </c>
      <c r="AH516" s="37" t="s">
        <v>42</v>
      </c>
      <c r="AI516" s="29" t="str">
        <f t="shared" si="6"/>
        <v>----</v>
      </c>
      <c r="AJ516" s="38" t="str">
        <f t="shared" si="7"/>
        <v>Paper has link but no statement</v>
      </c>
      <c r="AK516" s="39">
        <v>45028.0</v>
      </c>
      <c r="AL516" s="23" t="s">
        <v>43</v>
      </c>
      <c r="AM516" s="40" t="str">
        <f t="shared" si="8"/>
        <v>[IP0968]</v>
      </c>
    </row>
    <row r="517" ht="67.5" customHeight="1">
      <c r="A517" s="41">
        <v>969.0</v>
      </c>
      <c r="B517" s="42" t="s">
        <v>1369</v>
      </c>
      <c r="C517" s="43">
        <v>2019.0</v>
      </c>
      <c r="D517" s="44" t="s">
        <v>35</v>
      </c>
      <c r="E517" s="45" t="s">
        <v>36</v>
      </c>
      <c r="F517" s="45" t="s">
        <v>36</v>
      </c>
      <c r="G517" s="45" t="s">
        <v>36</v>
      </c>
      <c r="H517" s="45" t="s">
        <v>36</v>
      </c>
      <c r="I517" s="45" t="s">
        <v>36</v>
      </c>
      <c r="J517" s="46" t="s">
        <v>36</v>
      </c>
      <c r="K517" s="47" t="s">
        <v>35</v>
      </c>
      <c r="L517" s="48" t="s">
        <v>36</v>
      </c>
      <c r="M517" s="48" t="s">
        <v>36</v>
      </c>
      <c r="N517" s="48" t="s">
        <v>36</v>
      </c>
      <c r="O517" s="48" t="s">
        <v>36</v>
      </c>
      <c r="P517" s="48" t="s">
        <v>36</v>
      </c>
      <c r="Q517" s="48" t="s">
        <v>36</v>
      </c>
      <c r="R517" s="48" t="s">
        <v>36</v>
      </c>
      <c r="S517" s="49" t="s">
        <v>36</v>
      </c>
      <c r="T517" s="50" t="s">
        <v>36</v>
      </c>
      <c r="U517" s="51" t="s">
        <v>36</v>
      </c>
      <c r="V517" s="52" t="str">
        <f t="shared" ref="V517:X517" si="522">IF(lenb(SUBSTITUTE($Z517,V$1&amp;" (1)",""))&lt;lenb($Z517),1,IF(lenb(SUBSTITUTE($Z517,V$1&amp;" (2)",""))&lt;lenb($Z517),2,IF(lenb(SUBSTITUTE($Z517,V$1&amp;" (3)",""))&lt;lenb($Z517),3,IF(lenb(SUBSTITUTE($Z517,V$1&amp;" (4)",""))&lt;lenb($Z517),4,IF(lenb(SUBSTITUTE($Z517,V$1&amp;" (5)",""))&lt;lenb($Z517),5,IF(lenb(SUBSTITUTE($Z517,V$1&amp;" (6)",""))&lt;lenb($Z517),6,IF(lenb(SUBSTITUTE($Z517,V$1&amp;" (7)",""))&lt;lenb($Z517),1,IF(lenb(SUBSTITUTE($Z517,V$1&amp;" (8)",""))&lt;lenb($Z517),8,IF(lenb(SUBSTITUTE($Z517,V$1&amp;" (9)",""))&lt;lenb($Z517),9,IF(lenb(SUBSTITUTE($Z517,V$1&amp;" (10)",""))&lt;lenb($Z517),10,IF(lenb(SUBSTITUTE($Z517,V$1,""))&lt;lenb($Z517),"ERROR",IF($Z517=$Y$1,"-",0))))))))))))</f>
        <v>-</v>
      </c>
      <c r="W517" s="52" t="str">
        <f t="shared" si="522"/>
        <v>-</v>
      </c>
      <c r="X517" s="52" t="str">
        <f t="shared" si="522"/>
        <v>-</v>
      </c>
      <c r="Y517" s="52">
        <f t="shared" si="3"/>
        <v>1</v>
      </c>
      <c r="Z517" s="52" t="s">
        <v>23</v>
      </c>
      <c r="AA517" s="53">
        <f t="shared" si="4"/>
        <v>0</v>
      </c>
      <c r="AB517" s="54">
        <f>COUNTIFS(Links!B:B,"ICSE",Links!C:C,A517,Links!AD:AD,1)</f>
        <v>0</v>
      </c>
      <c r="AC517" s="55" t="s">
        <v>36</v>
      </c>
      <c r="AD517" s="47" t="str">
        <f t="shared" si="5"/>
        <v>No</v>
      </c>
      <c r="AE517" s="56" t="s">
        <v>36</v>
      </c>
      <c r="AF517" s="57" t="s">
        <v>42</v>
      </c>
      <c r="AG517" s="57" t="s">
        <v>42</v>
      </c>
      <c r="AH517" s="57" t="s">
        <v>42</v>
      </c>
      <c r="AI517" s="49" t="str">
        <f t="shared" si="6"/>
        <v>----</v>
      </c>
      <c r="AJ517" s="58" t="str">
        <f t="shared" si="7"/>
        <v>Paper has no link and no statement</v>
      </c>
      <c r="AK517" s="59">
        <v>45028.0</v>
      </c>
      <c r="AL517" s="43" t="s">
        <v>43</v>
      </c>
      <c r="AM517" s="60" t="str">
        <f t="shared" si="8"/>
        <v>[IP0969]</v>
      </c>
    </row>
    <row r="518" ht="67.5" customHeight="1">
      <c r="A518" s="61">
        <v>970.0</v>
      </c>
      <c r="B518" s="22" t="s">
        <v>1370</v>
      </c>
      <c r="C518" s="23">
        <v>2019.0</v>
      </c>
      <c r="D518" s="24" t="s">
        <v>35</v>
      </c>
      <c r="E518" s="25" t="s">
        <v>36</v>
      </c>
      <c r="F518" s="25" t="s">
        <v>36</v>
      </c>
      <c r="G518" s="25" t="s">
        <v>36</v>
      </c>
      <c r="H518" s="25" t="s">
        <v>36</v>
      </c>
      <c r="I518" s="25" t="s">
        <v>36</v>
      </c>
      <c r="J518" s="26" t="s">
        <v>36</v>
      </c>
      <c r="K518" s="27" t="s">
        <v>37</v>
      </c>
      <c r="L518" s="28" t="s">
        <v>35</v>
      </c>
      <c r="M518" s="28" t="s">
        <v>37</v>
      </c>
      <c r="N518" s="28" t="s">
        <v>37</v>
      </c>
      <c r="O518" s="28" t="s">
        <v>37</v>
      </c>
      <c r="P518" s="28" t="s">
        <v>35</v>
      </c>
      <c r="Q518" s="28" t="s">
        <v>35</v>
      </c>
      <c r="R518" s="28" t="s">
        <v>37</v>
      </c>
      <c r="S518" s="29" t="s">
        <v>1371</v>
      </c>
      <c r="T518" s="30" t="s">
        <v>1372</v>
      </c>
      <c r="U518" s="31" t="s">
        <v>1372</v>
      </c>
      <c r="V518" s="32">
        <f t="shared" ref="V518:X518" si="523">IF(lenb(SUBSTITUTE($Z518,V$1&amp;" (1)",""))&lt;lenb($Z518),1,IF(lenb(SUBSTITUTE($Z518,V$1&amp;" (2)",""))&lt;lenb($Z518),2,IF(lenb(SUBSTITUTE($Z518,V$1&amp;" (3)",""))&lt;lenb($Z518),3,IF(lenb(SUBSTITUTE($Z518,V$1&amp;" (4)",""))&lt;lenb($Z518),4,IF(lenb(SUBSTITUTE($Z518,V$1&amp;" (5)",""))&lt;lenb($Z518),5,IF(lenb(SUBSTITUTE($Z518,V$1&amp;" (6)",""))&lt;lenb($Z518),6,IF(lenb(SUBSTITUTE($Z518,V$1&amp;" (7)",""))&lt;lenb($Z518),1,IF(lenb(SUBSTITUTE($Z518,V$1&amp;" (8)",""))&lt;lenb($Z518),8,IF(lenb(SUBSTITUTE($Z518,V$1&amp;" (9)",""))&lt;lenb($Z518),9,IF(lenb(SUBSTITUTE($Z518,V$1&amp;" (10)",""))&lt;lenb($Z518),10,IF(lenb(SUBSTITUTE($Z518,V$1,""))&lt;lenb($Z518),"ERROR",IF($Z518=$Y$1,"-",0))))))))))))</f>
        <v>1</v>
      </c>
      <c r="W518" s="32">
        <f t="shared" si="523"/>
        <v>0</v>
      </c>
      <c r="X518" s="32">
        <f t="shared" si="523"/>
        <v>0</v>
      </c>
      <c r="Y518" s="32" t="str">
        <f t="shared" si="3"/>
        <v>-</v>
      </c>
      <c r="Z518" s="32" t="s">
        <v>62</v>
      </c>
      <c r="AA518" s="33">
        <f t="shared" si="4"/>
        <v>1</v>
      </c>
      <c r="AB518" s="34">
        <f>COUNTIFS(Links!B:B,"ICSE",Links!C:C,A518,Links!AD:AD,1)</f>
        <v>0</v>
      </c>
      <c r="AC518" s="35" t="s">
        <v>35</v>
      </c>
      <c r="AD518" s="27" t="str">
        <f t="shared" si="5"/>
        <v>No</v>
      </c>
      <c r="AE518" s="36" t="s">
        <v>36</v>
      </c>
      <c r="AF518" s="37" t="s">
        <v>42</v>
      </c>
      <c r="AG518" s="37" t="s">
        <v>42</v>
      </c>
      <c r="AH518" s="37" t="s">
        <v>42</v>
      </c>
      <c r="AI518" s="29" t="str">
        <f t="shared" si="6"/>
        <v>----</v>
      </c>
      <c r="AJ518" s="38" t="str">
        <f t="shared" si="7"/>
        <v>Paper has link but no statement</v>
      </c>
      <c r="AK518" s="39">
        <v>45028.0</v>
      </c>
      <c r="AL518" s="23" t="s">
        <v>43</v>
      </c>
      <c r="AM518" s="40" t="str">
        <f t="shared" si="8"/>
        <v>[IP0970]</v>
      </c>
    </row>
    <row r="519" ht="67.5" customHeight="1">
      <c r="A519" s="41">
        <v>971.0</v>
      </c>
      <c r="B519" s="42" t="s">
        <v>1373</v>
      </c>
      <c r="C519" s="43">
        <v>2019.0</v>
      </c>
      <c r="D519" s="44" t="s">
        <v>35</v>
      </c>
      <c r="E519" s="45" t="s">
        <v>36</v>
      </c>
      <c r="F519" s="45" t="s">
        <v>36</v>
      </c>
      <c r="G519" s="45" t="s">
        <v>36</v>
      </c>
      <c r="H519" s="45" t="s">
        <v>36</v>
      </c>
      <c r="I519" s="45" t="s">
        <v>36</v>
      </c>
      <c r="J519" s="46" t="s">
        <v>36</v>
      </c>
      <c r="K519" s="47" t="s">
        <v>37</v>
      </c>
      <c r="L519" s="48" t="s">
        <v>35</v>
      </c>
      <c r="M519" s="48" t="s">
        <v>37</v>
      </c>
      <c r="N519" s="48" t="s">
        <v>37</v>
      </c>
      <c r="O519" s="48" t="s">
        <v>37</v>
      </c>
      <c r="P519" s="48" t="s">
        <v>35</v>
      </c>
      <c r="Q519" s="48" t="s">
        <v>35</v>
      </c>
      <c r="R519" s="48" t="s">
        <v>37</v>
      </c>
      <c r="S519" s="49" t="s">
        <v>1374</v>
      </c>
      <c r="T519" s="50" t="s">
        <v>1375</v>
      </c>
      <c r="U519" s="51" t="s">
        <v>1375</v>
      </c>
      <c r="V519" s="52">
        <f t="shared" ref="V519:X519" si="524">IF(lenb(SUBSTITUTE($Z519,V$1&amp;" (1)",""))&lt;lenb($Z519),1,IF(lenb(SUBSTITUTE($Z519,V$1&amp;" (2)",""))&lt;lenb($Z519),2,IF(lenb(SUBSTITUTE($Z519,V$1&amp;" (3)",""))&lt;lenb($Z519),3,IF(lenb(SUBSTITUTE($Z519,V$1&amp;" (4)",""))&lt;lenb($Z519),4,IF(lenb(SUBSTITUTE($Z519,V$1&amp;" (5)",""))&lt;lenb($Z519),5,IF(lenb(SUBSTITUTE($Z519,V$1&amp;" (6)",""))&lt;lenb($Z519),6,IF(lenb(SUBSTITUTE($Z519,V$1&amp;" (7)",""))&lt;lenb($Z519),1,IF(lenb(SUBSTITUTE($Z519,V$1&amp;" (8)",""))&lt;lenb($Z519),8,IF(lenb(SUBSTITUTE($Z519,V$1&amp;" (9)",""))&lt;lenb($Z519),9,IF(lenb(SUBSTITUTE($Z519,V$1&amp;" (10)",""))&lt;lenb($Z519),10,IF(lenb(SUBSTITUTE($Z519,V$1,""))&lt;lenb($Z519),"ERROR",IF($Z519=$Y$1,"-",0))))))))))))</f>
        <v>1</v>
      </c>
      <c r="W519" s="52">
        <f t="shared" si="524"/>
        <v>0</v>
      </c>
      <c r="X519" s="52">
        <f t="shared" si="524"/>
        <v>0</v>
      </c>
      <c r="Y519" s="52" t="str">
        <f t="shared" si="3"/>
        <v>-</v>
      </c>
      <c r="Z519" s="52" t="s">
        <v>62</v>
      </c>
      <c r="AA519" s="53">
        <f t="shared" si="4"/>
        <v>1</v>
      </c>
      <c r="AB519" s="54">
        <f>COUNTIFS(Links!B:B,"ICSE",Links!C:C,A519,Links!AD:AD,1)</f>
        <v>0</v>
      </c>
      <c r="AC519" s="55" t="s">
        <v>35</v>
      </c>
      <c r="AD519" s="47" t="str">
        <f t="shared" si="5"/>
        <v>No</v>
      </c>
      <c r="AE519" s="56" t="s">
        <v>36</v>
      </c>
      <c r="AF519" s="57" t="s">
        <v>42</v>
      </c>
      <c r="AG519" s="57" t="s">
        <v>42</v>
      </c>
      <c r="AH519" s="57" t="s">
        <v>42</v>
      </c>
      <c r="AI519" s="49" t="str">
        <f t="shared" si="6"/>
        <v>----</v>
      </c>
      <c r="AJ519" s="58" t="str">
        <f t="shared" si="7"/>
        <v>Paper has link but no statement</v>
      </c>
      <c r="AK519" s="59">
        <v>45028.0</v>
      </c>
      <c r="AL519" s="43" t="s">
        <v>43</v>
      </c>
      <c r="AM519" s="60" t="str">
        <f t="shared" si="8"/>
        <v>[IP0971]</v>
      </c>
    </row>
    <row r="520" ht="67.5" customHeight="1">
      <c r="A520" s="61">
        <v>972.0</v>
      </c>
      <c r="B520" s="75" t="s">
        <v>1376</v>
      </c>
      <c r="C520" s="23">
        <v>2019.0</v>
      </c>
      <c r="D520" s="24" t="s">
        <v>37</v>
      </c>
      <c r="E520" s="25" t="s">
        <v>37</v>
      </c>
      <c r="F520" s="25" t="s">
        <v>35</v>
      </c>
      <c r="G520" s="25" t="s">
        <v>37</v>
      </c>
      <c r="H520" s="25" t="s">
        <v>35</v>
      </c>
      <c r="I520" s="25" t="s">
        <v>35</v>
      </c>
      <c r="J520" s="26" t="s">
        <v>36</v>
      </c>
      <c r="K520" s="27" t="s">
        <v>37</v>
      </c>
      <c r="L520" s="28" t="s">
        <v>35</v>
      </c>
      <c r="M520" s="28" t="s">
        <v>35</v>
      </c>
      <c r="N520" s="28" t="s">
        <v>37</v>
      </c>
      <c r="O520" s="28" t="s">
        <v>35</v>
      </c>
      <c r="P520" s="28" t="s">
        <v>35</v>
      </c>
      <c r="Q520" s="28" t="s">
        <v>35</v>
      </c>
      <c r="R520" s="28" t="s">
        <v>35</v>
      </c>
      <c r="S520" s="29" t="s">
        <v>1377</v>
      </c>
      <c r="T520" s="30" t="s">
        <v>1378</v>
      </c>
      <c r="U520" s="31" t="s">
        <v>1378</v>
      </c>
      <c r="V520" s="32">
        <f t="shared" ref="V520:X520" si="525">IF(lenb(SUBSTITUTE($Z520,V$1&amp;" (1)",""))&lt;lenb($Z520),1,IF(lenb(SUBSTITUTE($Z520,V$1&amp;" (2)",""))&lt;lenb($Z520),2,IF(lenb(SUBSTITUTE($Z520,V$1&amp;" (3)",""))&lt;lenb($Z520),3,IF(lenb(SUBSTITUTE($Z520,V$1&amp;" (4)",""))&lt;lenb($Z520),4,IF(lenb(SUBSTITUTE($Z520,V$1&amp;" (5)",""))&lt;lenb($Z520),5,IF(lenb(SUBSTITUTE($Z520,V$1&amp;" (6)",""))&lt;lenb($Z520),6,IF(lenb(SUBSTITUTE($Z520,V$1&amp;" (7)",""))&lt;lenb($Z520),1,IF(lenb(SUBSTITUTE($Z520,V$1&amp;" (8)",""))&lt;lenb($Z520),8,IF(lenb(SUBSTITUTE($Z520,V$1&amp;" (9)",""))&lt;lenb($Z520),9,IF(lenb(SUBSTITUTE($Z520,V$1&amp;" (10)",""))&lt;lenb($Z520),10,IF(lenb(SUBSTITUTE($Z520,V$1,""))&lt;lenb($Z520),"ERROR",IF($Z520=$Y$1,"-",0))))))))))))</f>
        <v>0</v>
      </c>
      <c r="W520" s="32">
        <f t="shared" si="525"/>
        <v>1</v>
      </c>
      <c r="X520" s="32">
        <f t="shared" si="525"/>
        <v>0</v>
      </c>
      <c r="Y520" s="32" t="str">
        <f t="shared" si="3"/>
        <v>-</v>
      </c>
      <c r="Z520" s="32" t="s">
        <v>47</v>
      </c>
      <c r="AA520" s="33">
        <f t="shared" si="4"/>
        <v>1</v>
      </c>
      <c r="AB520" s="34">
        <f>COUNTIFS(Links!B:B,"ICSE",Links!C:C,A520,Links!AD:AD,1)</f>
        <v>0</v>
      </c>
      <c r="AC520" s="35" t="s">
        <v>35</v>
      </c>
      <c r="AD520" s="27" t="str">
        <f t="shared" si="5"/>
        <v>No</v>
      </c>
      <c r="AE520" s="36" t="s">
        <v>36</v>
      </c>
      <c r="AF520" s="37" t="s">
        <v>42</v>
      </c>
      <c r="AG520" s="37" t="s">
        <v>42</v>
      </c>
      <c r="AH520" s="37" t="s">
        <v>42</v>
      </c>
      <c r="AI520" s="29" t="str">
        <f t="shared" si="6"/>
        <v>----</v>
      </c>
      <c r="AJ520" s="38" t="str">
        <f t="shared" si="7"/>
        <v>Paper has link but no statement</v>
      </c>
      <c r="AK520" s="39">
        <v>45028.0</v>
      </c>
      <c r="AL520" s="23" t="s">
        <v>43</v>
      </c>
      <c r="AM520" s="40" t="str">
        <f t="shared" si="8"/>
        <v>[IP0972]</v>
      </c>
    </row>
    <row r="521" ht="67.5" customHeight="1">
      <c r="A521" s="41">
        <v>973.0</v>
      </c>
      <c r="B521" s="42" t="s">
        <v>1379</v>
      </c>
      <c r="C521" s="43">
        <v>2019.0</v>
      </c>
      <c r="D521" s="44" t="s">
        <v>35</v>
      </c>
      <c r="E521" s="45" t="s">
        <v>36</v>
      </c>
      <c r="F521" s="45" t="s">
        <v>36</v>
      </c>
      <c r="G521" s="45" t="s">
        <v>36</v>
      </c>
      <c r="H521" s="45" t="s">
        <v>36</v>
      </c>
      <c r="I521" s="45" t="s">
        <v>36</v>
      </c>
      <c r="J521" s="46" t="s">
        <v>36</v>
      </c>
      <c r="K521" s="47" t="s">
        <v>37</v>
      </c>
      <c r="L521" s="48" t="s">
        <v>35</v>
      </c>
      <c r="M521" s="48" t="s">
        <v>37</v>
      </c>
      <c r="N521" s="48" t="s">
        <v>35</v>
      </c>
      <c r="O521" s="48" t="s">
        <v>35</v>
      </c>
      <c r="P521" s="48" t="s">
        <v>35</v>
      </c>
      <c r="Q521" s="48" t="s">
        <v>35</v>
      </c>
      <c r="R521" s="48" t="s">
        <v>37</v>
      </c>
      <c r="S521" s="49" t="s">
        <v>1380</v>
      </c>
      <c r="T521" s="50" t="s">
        <v>1381</v>
      </c>
      <c r="U521" s="51" t="s">
        <v>1381</v>
      </c>
      <c r="V521" s="52">
        <f t="shared" ref="V521:X521" si="526">IF(lenb(SUBSTITUTE($Z521,V$1&amp;" (1)",""))&lt;lenb($Z521),1,IF(lenb(SUBSTITUTE($Z521,V$1&amp;" (2)",""))&lt;lenb($Z521),2,IF(lenb(SUBSTITUTE($Z521,V$1&amp;" (3)",""))&lt;lenb($Z521),3,IF(lenb(SUBSTITUTE($Z521,V$1&amp;" (4)",""))&lt;lenb($Z521),4,IF(lenb(SUBSTITUTE($Z521,V$1&amp;" (5)",""))&lt;lenb($Z521),5,IF(lenb(SUBSTITUTE($Z521,V$1&amp;" (6)",""))&lt;lenb($Z521),6,IF(lenb(SUBSTITUTE($Z521,V$1&amp;" (7)",""))&lt;lenb($Z521),1,IF(lenb(SUBSTITUTE($Z521,V$1&amp;" (8)",""))&lt;lenb($Z521),8,IF(lenb(SUBSTITUTE($Z521,V$1&amp;" (9)",""))&lt;lenb($Z521),9,IF(lenb(SUBSTITUTE($Z521,V$1&amp;" (10)",""))&lt;lenb($Z521),10,IF(lenb(SUBSTITUTE($Z521,V$1,""))&lt;lenb($Z521),"ERROR",IF($Z521=$Y$1,"-",0))))))))))))</f>
        <v>1</v>
      </c>
      <c r="W521" s="52">
        <f t="shared" si="526"/>
        <v>0</v>
      </c>
      <c r="X521" s="52">
        <f t="shared" si="526"/>
        <v>0</v>
      </c>
      <c r="Y521" s="52" t="str">
        <f t="shared" si="3"/>
        <v>-</v>
      </c>
      <c r="Z521" s="52" t="s">
        <v>62</v>
      </c>
      <c r="AA521" s="53">
        <f t="shared" si="4"/>
        <v>1</v>
      </c>
      <c r="AB521" s="54">
        <f>COUNTIFS(Links!B:B,"ICSE",Links!C:C,A521,Links!AD:AD,1)</f>
        <v>0</v>
      </c>
      <c r="AC521" s="55" t="s">
        <v>35</v>
      </c>
      <c r="AD521" s="47" t="str">
        <f t="shared" si="5"/>
        <v>No</v>
      </c>
      <c r="AE521" s="56" t="s">
        <v>36</v>
      </c>
      <c r="AF521" s="57" t="s">
        <v>42</v>
      </c>
      <c r="AG521" s="57" t="s">
        <v>42</v>
      </c>
      <c r="AH521" s="57" t="s">
        <v>42</v>
      </c>
      <c r="AI521" s="49" t="str">
        <f t="shared" si="6"/>
        <v>----</v>
      </c>
      <c r="AJ521" s="58" t="str">
        <f t="shared" si="7"/>
        <v>Paper has link but no statement</v>
      </c>
      <c r="AK521" s="59">
        <v>45028.0</v>
      </c>
      <c r="AL521" s="43" t="s">
        <v>43</v>
      </c>
      <c r="AM521" s="60" t="str">
        <f t="shared" si="8"/>
        <v>[IP0973]</v>
      </c>
    </row>
    <row r="522" ht="67.5" customHeight="1">
      <c r="A522" s="61">
        <v>974.0</v>
      </c>
      <c r="B522" s="75" t="s">
        <v>1382</v>
      </c>
      <c r="C522" s="23">
        <v>2019.0</v>
      </c>
      <c r="D522" s="24" t="s">
        <v>37</v>
      </c>
      <c r="E522" s="25" t="s">
        <v>35</v>
      </c>
      <c r="F522" s="25" t="s">
        <v>35</v>
      </c>
      <c r="G522" s="25" t="s">
        <v>37</v>
      </c>
      <c r="H522" s="25" t="s">
        <v>35</v>
      </c>
      <c r="I522" s="25" t="s">
        <v>35</v>
      </c>
      <c r="J522" s="26" t="s">
        <v>36</v>
      </c>
      <c r="K522" s="27" t="s">
        <v>37</v>
      </c>
      <c r="L522" s="28" t="s">
        <v>37</v>
      </c>
      <c r="M522" s="28" t="s">
        <v>35</v>
      </c>
      <c r="N522" s="28" t="s">
        <v>35</v>
      </c>
      <c r="O522" s="28" t="s">
        <v>35</v>
      </c>
      <c r="P522" s="28" t="s">
        <v>35</v>
      </c>
      <c r="Q522" s="28" t="s">
        <v>35</v>
      </c>
      <c r="R522" s="28" t="s">
        <v>37</v>
      </c>
      <c r="S522" s="29" t="s">
        <v>1383</v>
      </c>
      <c r="T522" s="30" t="s">
        <v>1384</v>
      </c>
      <c r="U522" s="31" t="s">
        <v>1385</v>
      </c>
      <c r="V522" s="32">
        <f t="shared" ref="V522:X522" si="527">IF(lenb(SUBSTITUTE($Z522,V$1&amp;" (1)",""))&lt;lenb($Z522),1,IF(lenb(SUBSTITUTE($Z522,V$1&amp;" (2)",""))&lt;lenb($Z522),2,IF(lenb(SUBSTITUTE($Z522,V$1&amp;" (3)",""))&lt;lenb($Z522),3,IF(lenb(SUBSTITUTE($Z522,V$1&amp;" (4)",""))&lt;lenb($Z522),4,IF(lenb(SUBSTITUTE($Z522,V$1&amp;" (5)",""))&lt;lenb($Z522),5,IF(lenb(SUBSTITUTE($Z522,V$1&amp;" (6)",""))&lt;lenb($Z522),6,IF(lenb(SUBSTITUTE($Z522,V$1&amp;" (7)",""))&lt;lenb($Z522),1,IF(lenb(SUBSTITUTE($Z522,V$1&amp;" (8)",""))&lt;lenb($Z522),8,IF(lenb(SUBSTITUTE($Z522,V$1&amp;" (9)",""))&lt;lenb($Z522),9,IF(lenb(SUBSTITUTE($Z522,V$1&amp;" (10)",""))&lt;lenb($Z522),10,IF(lenb(SUBSTITUTE($Z522,V$1,""))&lt;lenb($Z522),"ERROR",IF($Z522=$Y$1,"-",0))))))))))))</f>
        <v>1</v>
      </c>
      <c r="W522" s="32">
        <f t="shared" si="527"/>
        <v>0</v>
      </c>
      <c r="X522" s="32">
        <f t="shared" si="527"/>
        <v>0</v>
      </c>
      <c r="Y522" s="32" t="str">
        <f t="shared" si="3"/>
        <v>-</v>
      </c>
      <c r="Z522" s="32" t="s">
        <v>62</v>
      </c>
      <c r="AA522" s="33">
        <f t="shared" si="4"/>
        <v>1</v>
      </c>
      <c r="AB522" s="34">
        <f>COUNTIFS(Links!B:B,"ICSE",Links!C:C,A522,Links!AD:AD,1)</f>
        <v>0</v>
      </c>
      <c r="AC522" s="35" t="s">
        <v>35</v>
      </c>
      <c r="AD522" s="27" t="str">
        <f t="shared" si="5"/>
        <v>No</v>
      </c>
      <c r="AE522" s="36" t="s">
        <v>36</v>
      </c>
      <c r="AF522" s="37" t="s">
        <v>42</v>
      </c>
      <c r="AG522" s="37" t="s">
        <v>42</v>
      </c>
      <c r="AH522" s="37" t="s">
        <v>42</v>
      </c>
      <c r="AI522" s="29" t="str">
        <f t="shared" si="6"/>
        <v>----</v>
      </c>
      <c r="AJ522" s="38" t="str">
        <f t="shared" si="7"/>
        <v>Paper has link but no statement</v>
      </c>
      <c r="AK522" s="39">
        <v>45028.0</v>
      </c>
      <c r="AL522" s="23" t="s">
        <v>43</v>
      </c>
      <c r="AM522" s="40" t="str">
        <f t="shared" si="8"/>
        <v>[IP0974]</v>
      </c>
    </row>
    <row r="523" ht="67.5" customHeight="1">
      <c r="A523" s="41">
        <v>975.0</v>
      </c>
      <c r="B523" s="74" t="s">
        <v>1386</v>
      </c>
      <c r="C523" s="43">
        <v>2019.0</v>
      </c>
      <c r="D523" s="44" t="s">
        <v>37</v>
      </c>
      <c r="E523" s="45" t="s">
        <v>37</v>
      </c>
      <c r="F523" s="45" t="s">
        <v>35</v>
      </c>
      <c r="G523" s="45" t="s">
        <v>35</v>
      </c>
      <c r="H523" s="45" t="s">
        <v>35</v>
      </c>
      <c r="I523" s="45" t="s">
        <v>35</v>
      </c>
      <c r="J523" s="46" t="s">
        <v>36</v>
      </c>
      <c r="K523" s="47" t="s">
        <v>37</v>
      </c>
      <c r="L523" s="48" t="s">
        <v>35</v>
      </c>
      <c r="M523" s="48" t="s">
        <v>35</v>
      </c>
      <c r="N523" s="48" t="s">
        <v>35</v>
      </c>
      <c r="O523" s="48" t="s">
        <v>35</v>
      </c>
      <c r="P523" s="48" t="s">
        <v>35</v>
      </c>
      <c r="Q523" s="48" t="s">
        <v>35</v>
      </c>
      <c r="R523" s="48" t="s">
        <v>37</v>
      </c>
      <c r="S523" s="49" t="s">
        <v>1387</v>
      </c>
      <c r="T523" s="50" t="s">
        <v>1388</v>
      </c>
      <c r="U523" s="51" t="s">
        <v>1388</v>
      </c>
      <c r="V523" s="52">
        <f t="shared" ref="V523:X523" si="528">IF(lenb(SUBSTITUTE($Z523,V$1&amp;" (1)",""))&lt;lenb($Z523),1,IF(lenb(SUBSTITUTE($Z523,V$1&amp;" (2)",""))&lt;lenb($Z523),2,IF(lenb(SUBSTITUTE($Z523,V$1&amp;" (3)",""))&lt;lenb($Z523),3,IF(lenb(SUBSTITUTE($Z523,V$1&amp;" (4)",""))&lt;lenb($Z523),4,IF(lenb(SUBSTITUTE($Z523,V$1&amp;" (5)",""))&lt;lenb($Z523),5,IF(lenb(SUBSTITUTE($Z523,V$1&amp;" (6)",""))&lt;lenb($Z523),6,IF(lenb(SUBSTITUTE($Z523,V$1&amp;" (7)",""))&lt;lenb($Z523),1,IF(lenb(SUBSTITUTE($Z523,V$1&amp;" (8)",""))&lt;lenb($Z523),8,IF(lenb(SUBSTITUTE($Z523,V$1&amp;" (9)",""))&lt;lenb($Z523),9,IF(lenb(SUBSTITUTE($Z523,V$1&amp;" (10)",""))&lt;lenb($Z523),10,IF(lenb(SUBSTITUTE($Z523,V$1,""))&lt;lenb($Z523),"ERROR",IF($Z523=$Y$1,"-",0))))))))))))</f>
        <v>1</v>
      </c>
      <c r="W523" s="52">
        <f t="shared" si="528"/>
        <v>0</v>
      </c>
      <c r="X523" s="52">
        <f t="shared" si="528"/>
        <v>0</v>
      </c>
      <c r="Y523" s="52" t="str">
        <f t="shared" si="3"/>
        <v>-</v>
      </c>
      <c r="Z523" s="52" t="s">
        <v>62</v>
      </c>
      <c r="AA523" s="53">
        <f t="shared" si="4"/>
        <v>1</v>
      </c>
      <c r="AB523" s="54">
        <f>COUNTIFS(Links!B:B,"ICSE",Links!C:C,A523,Links!AD:AD,1)</f>
        <v>0</v>
      </c>
      <c r="AC523" s="55" t="s">
        <v>35</v>
      </c>
      <c r="AD523" s="47" t="str">
        <f t="shared" si="5"/>
        <v>No</v>
      </c>
      <c r="AE523" s="56" t="s">
        <v>36</v>
      </c>
      <c r="AF523" s="57" t="s">
        <v>42</v>
      </c>
      <c r="AG523" s="57" t="s">
        <v>42</v>
      </c>
      <c r="AH523" s="57" t="s">
        <v>42</v>
      </c>
      <c r="AI523" s="49" t="str">
        <f t="shared" si="6"/>
        <v>----</v>
      </c>
      <c r="AJ523" s="58" t="str">
        <f t="shared" si="7"/>
        <v>Paper has link but no statement</v>
      </c>
      <c r="AK523" s="59">
        <v>45028.0</v>
      </c>
      <c r="AL523" s="43" t="s">
        <v>43</v>
      </c>
      <c r="AM523" s="60" t="str">
        <f t="shared" si="8"/>
        <v>[IP0975]</v>
      </c>
    </row>
    <row r="524" ht="67.5" customHeight="1">
      <c r="A524" s="61">
        <v>976.0</v>
      </c>
      <c r="B524" s="22" t="s">
        <v>1389</v>
      </c>
      <c r="C524" s="23">
        <v>2019.0</v>
      </c>
      <c r="D524" s="24" t="s">
        <v>35</v>
      </c>
      <c r="E524" s="25" t="s">
        <v>36</v>
      </c>
      <c r="F524" s="25" t="s">
        <v>36</v>
      </c>
      <c r="G524" s="25" t="s">
        <v>36</v>
      </c>
      <c r="H524" s="25" t="s">
        <v>36</v>
      </c>
      <c r="I524" s="25" t="s">
        <v>36</v>
      </c>
      <c r="J524" s="26" t="s">
        <v>36</v>
      </c>
      <c r="K524" s="27" t="s">
        <v>35</v>
      </c>
      <c r="L524" s="28" t="s">
        <v>36</v>
      </c>
      <c r="M524" s="28" t="s">
        <v>36</v>
      </c>
      <c r="N524" s="28" t="s">
        <v>36</v>
      </c>
      <c r="O524" s="28" t="s">
        <v>36</v>
      </c>
      <c r="P524" s="28" t="s">
        <v>36</v>
      </c>
      <c r="Q524" s="28" t="s">
        <v>36</v>
      </c>
      <c r="R524" s="28" t="s">
        <v>36</v>
      </c>
      <c r="S524" s="29" t="s">
        <v>36</v>
      </c>
      <c r="T524" s="30" t="s">
        <v>36</v>
      </c>
      <c r="U524" s="31" t="s">
        <v>36</v>
      </c>
      <c r="V524" s="32" t="str">
        <f t="shared" ref="V524:X524" si="529">IF(lenb(SUBSTITUTE($Z524,V$1&amp;" (1)",""))&lt;lenb($Z524),1,IF(lenb(SUBSTITUTE($Z524,V$1&amp;" (2)",""))&lt;lenb($Z524),2,IF(lenb(SUBSTITUTE($Z524,V$1&amp;" (3)",""))&lt;lenb($Z524),3,IF(lenb(SUBSTITUTE($Z524,V$1&amp;" (4)",""))&lt;lenb($Z524),4,IF(lenb(SUBSTITUTE($Z524,V$1&amp;" (5)",""))&lt;lenb($Z524),5,IF(lenb(SUBSTITUTE($Z524,V$1&amp;" (6)",""))&lt;lenb($Z524),6,IF(lenb(SUBSTITUTE($Z524,V$1&amp;" (7)",""))&lt;lenb($Z524),1,IF(lenb(SUBSTITUTE($Z524,V$1&amp;" (8)",""))&lt;lenb($Z524),8,IF(lenb(SUBSTITUTE($Z524,V$1&amp;" (9)",""))&lt;lenb($Z524),9,IF(lenb(SUBSTITUTE($Z524,V$1&amp;" (10)",""))&lt;lenb($Z524),10,IF(lenb(SUBSTITUTE($Z524,V$1,""))&lt;lenb($Z524),"ERROR",IF($Z524=$Y$1,"-",0))))))))))))</f>
        <v>-</v>
      </c>
      <c r="W524" s="32" t="str">
        <f t="shared" si="529"/>
        <v>-</v>
      </c>
      <c r="X524" s="32" t="str">
        <f t="shared" si="529"/>
        <v>-</v>
      </c>
      <c r="Y524" s="32">
        <f t="shared" si="3"/>
        <v>1</v>
      </c>
      <c r="Z524" s="32" t="s">
        <v>23</v>
      </c>
      <c r="AA524" s="33">
        <f t="shared" si="4"/>
        <v>0</v>
      </c>
      <c r="AB524" s="34">
        <f>COUNTIFS(Links!B:B,"ICSE",Links!C:C,A524,Links!AD:AD,1)</f>
        <v>0</v>
      </c>
      <c r="AC524" s="35" t="s">
        <v>36</v>
      </c>
      <c r="AD524" s="27" t="str">
        <f t="shared" si="5"/>
        <v>No</v>
      </c>
      <c r="AE524" s="36" t="s">
        <v>36</v>
      </c>
      <c r="AF524" s="37" t="s">
        <v>42</v>
      </c>
      <c r="AG524" s="37" t="s">
        <v>42</v>
      </c>
      <c r="AH524" s="37" t="s">
        <v>42</v>
      </c>
      <c r="AI524" s="29" t="str">
        <f t="shared" si="6"/>
        <v>----</v>
      </c>
      <c r="AJ524" s="38" t="str">
        <f t="shared" si="7"/>
        <v>Paper has no link and no statement</v>
      </c>
      <c r="AK524" s="39">
        <v>45028.0</v>
      </c>
      <c r="AL524" s="23" t="s">
        <v>43</v>
      </c>
      <c r="AM524" s="40" t="str">
        <f t="shared" si="8"/>
        <v>[IP0976]</v>
      </c>
    </row>
    <row r="525" ht="67.5" customHeight="1">
      <c r="A525" s="41">
        <v>977.0</v>
      </c>
      <c r="B525" s="74" t="s">
        <v>1390</v>
      </c>
      <c r="C525" s="43">
        <v>2019.0</v>
      </c>
      <c r="D525" s="44" t="s">
        <v>37</v>
      </c>
      <c r="E525" s="45" t="s">
        <v>37</v>
      </c>
      <c r="F525" s="45" t="s">
        <v>35</v>
      </c>
      <c r="G525" s="45" t="s">
        <v>37</v>
      </c>
      <c r="H525" s="45" t="s">
        <v>35</v>
      </c>
      <c r="I525" s="45" t="s">
        <v>35</v>
      </c>
      <c r="J525" s="46" t="s">
        <v>36</v>
      </c>
      <c r="K525" s="47" t="s">
        <v>37</v>
      </c>
      <c r="L525" s="48" t="s">
        <v>35</v>
      </c>
      <c r="M525" s="48" t="s">
        <v>37</v>
      </c>
      <c r="N525" s="48" t="s">
        <v>35</v>
      </c>
      <c r="O525" s="48" t="s">
        <v>35</v>
      </c>
      <c r="P525" s="48" t="s">
        <v>35</v>
      </c>
      <c r="Q525" s="48" t="s">
        <v>35</v>
      </c>
      <c r="R525" s="48" t="s">
        <v>37</v>
      </c>
      <c r="S525" s="49" t="s">
        <v>1391</v>
      </c>
      <c r="T525" s="50" t="s">
        <v>1392</v>
      </c>
      <c r="U525" s="51" t="s">
        <v>1392</v>
      </c>
      <c r="V525" s="52">
        <f t="shared" ref="V525:X525" si="530">IF(lenb(SUBSTITUTE($Z525,V$1&amp;" (1)",""))&lt;lenb($Z525),1,IF(lenb(SUBSTITUTE($Z525,V$1&amp;" (2)",""))&lt;lenb($Z525),2,IF(lenb(SUBSTITUTE($Z525,V$1&amp;" (3)",""))&lt;lenb($Z525),3,IF(lenb(SUBSTITUTE($Z525,V$1&amp;" (4)",""))&lt;lenb($Z525),4,IF(lenb(SUBSTITUTE($Z525,V$1&amp;" (5)",""))&lt;lenb($Z525),5,IF(lenb(SUBSTITUTE($Z525,V$1&amp;" (6)",""))&lt;lenb($Z525),6,IF(lenb(SUBSTITUTE($Z525,V$1&amp;" (7)",""))&lt;lenb($Z525),1,IF(lenb(SUBSTITUTE($Z525,V$1&amp;" (8)",""))&lt;lenb($Z525),8,IF(lenb(SUBSTITUTE($Z525,V$1&amp;" (9)",""))&lt;lenb($Z525),9,IF(lenb(SUBSTITUTE($Z525,V$1&amp;" (10)",""))&lt;lenb($Z525),10,IF(lenb(SUBSTITUTE($Z525,V$1,""))&lt;lenb($Z525),"ERROR",IF($Z525=$Y$1,"-",0))))))))))))</f>
        <v>1</v>
      </c>
      <c r="W525" s="52">
        <f t="shared" si="530"/>
        <v>0</v>
      </c>
      <c r="X525" s="52">
        <f t="shared" si="530"/>
        <v>0</v>
      </c>
      <c r="Y525" s="52" t="str">
        <f t="shared" si="3"/>
        <v>-</v>
      </c>
      <c r="Z525" s="52" t="s">
        <v>62</v>
      </c>
      <c r="AA525" s="53">
        <f t="shared" si="4"/>
        <v>1</v>
      </c>
      <c r="AB525" s="54">
        <f>COUNTIFS(Links!B:B,"ICSE",Links!C:C,A525,Links!AD:AD,1)</f>
        <v>0</v>
      </c>
      <c r="AC525" s="55" t="s">
        <v>37</v>
      </c>
      <c r="AD525" s="47" t="str">
        <f t="shared" si="5"/>
        <v>No</v>
      </c>
      <c r="AE525" s="56" t="s">
        <v>36</v>
      </c>
      <c r="AF525" s="57" t="s">
        <v>42</v>
      </c>
      <c r="AG525" s="57" t="s">
        <v>42</v>
      </c>
      <c r="AH525" s="57" t="s">
        <v>42</v>
      </c>
      <c r="AI525" s="49" t="str">
        <f t="shared" si="6"/>
        <v>----</v>
      </c>
      <c r="AJ525" s="58" t="str">
        <f t="shared" si="7"/>
        <v>Paper has link but no statement</v>
      </c>
      <c r="AK525" s="59">
        <v>45028.0</v>
      </c>
      <c r="AL525" s="43" t="s">
        <v>43</v>
      </c>
      <c r="AM525" s="60" t="str">
        <f t="shared" si="8"/>
        <v>[IP0977]</v>
      </c>
    </row>
    <row r="526" ht="67.5" customHeight="1">
      <c r="A526" s="61">
        <v>978.0</v>
      </c>
      <c r="B526" s="22" t="s">
        <v>1393</v>
      </c>
      <c r="C526" s="23">
        <v>2019.0</v>
      </c>
      <c r="D526" s="24" t="s">
        <v>35</v>
      </c>
      <c r="E526" s="25" t="s">
        <v>36</v>
      </c>
      <c r="F526" s="25" t="s">
        <v>36</v>
      </c>
      <c r="G526" s="25" t="s">
        <v>36</v>
      </c>
      <c r="H526" s="25" t="s">
        <v>36</v>
      </c>
      <c r="I526" s="25" t="s">
        <v>36</v>
      </c>
      <c r="J526" s="26" t="s">
        <v>36</v>
      </c>
      <c r="K526" s="27" t="s">
        <v>35</v>
      </c>
      <c r="L526" s="28" t="s">
        <v>36</v>
      </c>
      <c r="M526" s="28" t="s">
        <v>36</v>
      </c>
      <c r="N526" s="28" t="s">
        <v>36</v>
      </c>
      <c r="O526" s="28" t="s">
        <v>36</v>
      </c>
      <c r="P526" s="28" t="s">
        <v>36</v>
      </c>
      <c r="Q526" s="28" t="s">
        <v>36</v>
      </c>
      <c r="R526" s="28" t="s">
        <v>36</v>
      </c>
      <c r="S526" s="29" t="s">
        <v>36</v>
      </c>
      <c r="T526" s="30" t="s">
        <v>36</v>
      </c>
      <c r="U526" s="31" t="s">
        <v>36</v>
      </c>
      <c r="V526" s="32" t="str">
        <f t="shared" ref="V526:X526" si="531">IF(lenb(SUBSTITUTE($Z526,V$1&amp;" (1)",""))&lt;lenb($Z526),1,IF(lenb(SUBSTITUTE($Z526,V$1&amp;" (2)",""))&lt;lenb($Z526),2,IF(lenb(SUBSTITUTE($Z526,V$1&amp;" (3)",""))&lt;lenb($Z526),3,IF(lenb(SUBSTITUTE($Z526,V$1&amp;" (4)",""))&lt;lenb($Z526),4,IF(lenb(SUBSTITUTE($Z526,V$1&amp;" (5)",""))&lt;lenb($Z526),5,IF(lenb(SUBSTITUTE($Z526,V$1&amp;" (6)",""))&lt;lenb($Z526),6,IF(lenb(SUBSTITUTE($Z526,V$1&amp;" (7)",""))&lt;lenb($Z526),1,IF(lenb(SUBSTITUTE($Z526,V$1&amp;" (8)",""))&lt;lenb($Z526),8,IF(lenb(SUBSTITUTE($Z526,V$1&amp;" (9)",""))&lt;lenb($Z526),9,IF(lenb(SUBSTITUTE($Z526,V$1&amp;" (10)",""))&lt;lenb($Z526),10,IF(lenb(SUBSTITUTE($Z526,V$1,""))&lt;lenb($Z526),"ERROR",IF($Z526=$Y$1,"-",0))))))))))))</f>
        <v>-</v>
      </c>
      <c r="W526" s="32" t="str">
        <f t="shared" si="531"/>
        <v>-</v>
      </c>
      <c r="X526" s="32" t="str">
        <f t="shared" si="531"/>
        <v>-</v>
      </c>
      <c r="Y526" s="32">
        <f t="shared" si="3"/>
        <v>1</v>
      </c>
      <c r="Z526" s="32" t="s">
        <v>23</v>
      </c>
      <c r="AA526" s="33">
        <f t="shared" si="4"/>
        <v>0</v>
      </c>
      <c r="AB526" s="34">
        <f>COUNTIFS(Links!B:B,"ICSE",Links!C:C,A526,Links!AD:AD,1)</f>
        <v>0</v>
      </c>
      <c r="AC526" s="35" t="s">
        <v>36</v>
      </c>
      <c r="AD526" s="27" t="str">
        <f t="shared" si="5"/>
        <v>No</v>
      </c>
      <c r="AE526" s="36" t="s">
        <v>36</v>
      </c>
      <c r="AF526" s="37" t="s">
        <v>42</v>
      </c>
      <c r="AG526" s="37" t="s">
        <v>42</v>
      </c>
      <c r="AH526" s="37" t="s">
        <v>42</v>
      </c>
      <c r="AI526" s="29" t="str">
        <f t="shared" si="6"/>
        <v>----</v>
      </c>
      <c r="AJ526" s="38" t="str">
        <f t="shared" si="7"/>
        <v>Paper has no link and no statement</v>
      </c>
      <c r="AK526" s="39">
        <v>45028.0</v>
      </c>
      <c r="AL526" s="23" t="s">
        <v>43</v>
      </c>
      <c r="AM526" s="40" t="str">
        <f t="shared" si="8"/>
        <v>[IP0978]</v>
      </c>
    </row>
    <row r="527" ht="67.5" customHeight="1">
      <c r="A527" s="41">
        <v>979.0</v>
      </c>
      <c r="B527" s="74" t="s">
        <v>1394</v>
      </c>
      <c r="C527" s="43">
        <v>2019.0</v>
      </c>
      <c r="D527" s="44" t="s">
        <v>37</v>
      </c>
      <c r="E527" s="45" t="s">
        <v>37</v>
      </c>
      <c r="F527" s="45" t="s">
        <v>35</v>
      </c>
      <c r="G527" s="45" t="s">
        <v>37</v>
      </c>
      <c r="H527" s="45" t="s">
        <v>35</v>
      </c>
      <c r="I527" s="45" t="s">
        <v>35</v>
      </c>
      <c r="J527" s="46" t="s">
        <v>36</v>
      </c>
      <c r="K527" s="47" t="s">
        <v>37</v>
      </c>
      <c r="L527" s="48" t="s">
        <v>35</v>
      </c>
      <c r="M527" s="48" t="s">
        <v>37</v>
      </c>
      <c r="N527" s="48" t="s">
        <v>37</v>
      </c>
      <c r="O527" s="48" t="s">
        <v>35</v>
      </c>
      <c r="P527" s="48" t="s">
        <v>35</v>
      </c>
      <c r="Q527" s="48" t="s">
        <v>35</v>
      </c>
      <c r="R527" s="48" t="s">
        <v>37</v>
      </c>
      <c r="S527" s="49" t="s">
        <v>1395</v>
      </c>
      <c r="T527" s="50" t="s">
        <v>1396</v>
      </c>
      <c r="U527" s="51" t="s">
        <v>1396</v>
      </c>
      <c r="V527" s="52">
        <f t="shared" ref="V527:X527" si="532">IF(lenb(SUBSTITUTE($Z527,V$1&amp;" (1)",""))&lt;lenb($Z527),1,IF(lenb(SUBSTITUTE($Z527,V$1&amp;" (2)",""))&lt;lenb($Z527),2,IF(lenb(SUBSTITUTE($Z527,V$1&amp;" (3)",""))&lt;lenb($Z527),3,IF(lenb(SUBSTITUTE($Z527,V$1&amp;" (4)",""))&lt;lenb($Z527),4,IF(lenb(SUBSTITUTE($Z527,V$1&amp;" (5)",""))&lt;lenb($Z527),5,IF(lenb(SUBSTITUTE($Z527,V$1&amp;" (6)",""))&lt;lenb($Z527),6,IF(lenb(SUBSTITUTE($Z527,V$1&amp;" (7)",""))&lt;lenb($Z527),1,IF(lenb(SUBSTITUTE($Z527,V$1&amp;" (8)",""))&lt;lenb($Z527),8,IF(lenb(SUBSTITUTE($Z527,V$1&amp;" (9)",""))&lt;lenb($Z527),9,IF(lenb(SUBSTITUTE($Z527,V$1&amp;" (10)",""))&lt;lenb($Z527),10,IF(lenb(SUBSTITUTE($Z527,V$1,""))&lt;lenb($Z527),"ERROR",IF($Z527=$Y$1,"-",0))))))))))))</f>
        <v>1</v>
      </c>
      <c r="W527" s="52">
        <f t="shared" si="532"/>
        <v>0</v>
      </c>
      <c r="X527" s="52">
        <f t="shared" si="532"/>
        <v>0</v>
      </c>
      <c r="Y527" s="52" t="str">
        <f t="shared" si="3"/>
        <v>-</v>
      </c>
      <c r="Z527" s="52" t="s">
        <v>62</v>
      </c>
      <c r="AA527" s="53">
        <f t="shared" si="4"/>
        <v>1</v>
      </c>
      <c r="AB527" s="54">
        <f>COUNTIFS(Links!B:B,"ICSE",Links!C:C,A527,Links!AD:AD,1)</f>
        <v>0</v>
      </c>
      <c r="AC527" s="55" t="s">
        <v>35</v>
      </c>
      <c r="AD527" s="47" t="str">
        <f t="shared" si="5"/>
        <v>No</v>
      </c>
      <c r="AE527" s="56" t="s">
        <v>36</v>
      </c>
      <c r="AF527" s="57" t="s">
        <v>42</v>
      </c>
      <c r="AG527" s="57" t="s">
        <v>42</v>
      </c>
      <c r="AH527" s="57" t="s">
        <v>42</v>
      </c>
      <c r="AI527" s="49" t="str">
        <f t="shared" si="6"/>
        <v>----</v>
      </c>
      <c r="AJ527" s="58" t="str">
        <f t="shared" si="7"/>
        <v>Paper has link but no statement</v>
      </c>
      <c r="AK527" s="59">
        <v>45028.0</v>
      </c>
      <c r="AL527" s="43" t="s">
        <v>43</v>
      </c>
      <c r="AM527" s="60" t="str">
        <f t="shared" si="8"/>
        <v>[IP0979]</v>
      </c>
    </row>
    <row r="528" ht="67.5" customHeight="1">
      <c r="A528" s="61">
        <v>980.0</v>
      </c>
      <c r="B528" s="22" t="s">
        <v>1397</v>
      </c>
      <c r="C528" s="23">
        <v>2019.0</v>
      </c>
      <c r="D528" s="24" t="s">
        <v>35</v>
      </c>
      <c r="E528" s="25" t="s">
        <v>36</v>
      </c>
      <c r="F528" s="25" t="s">
        <v>36</v>
      </c>
      <c r="G528" s="25" t="s">
        <v>36</v>
      </c>
      <c r="H528" s="25" t="s">
        <v>36</v>
      </c>
      <c r="I528" s="25" t="s">
        <v>36</v>
      </c>
      <c r="J528" s="26" t="s">
        <v>36</v>
      </c>
      <c r="K528" s="27" t="s">
        <v>35</v>
      </c>
      <c r="L528" s="28" t="s">
        <v>36</v>
      </c>
      <c r="M528" s="28" t="s">
        <v>36</v>
      </c>
      <c r="N528" s="28" t="s">
        <v>36</v>
      </c>
      <c r="O528" s="28" t="s">
        <v>36</v>
      </c>
      <c r="P528" s="28" t="s">
        <v>36</v>
      </c>
      <c r="Q528" s="28" t="s">
        <v>36</v>
      </c>
      <c r="R528" s="28" t="s">
        <v>36</v>
      </c>
      <c r="S528" s="29" t="s">
        <v>36</v>
      </c>
      <c r="T528" s="30" t="s">
        <v>36</v>
      </c>
      <c r="U528" s="31" t="s">
        <v>36</v>
      </c>
      <c r="V528" s="32" t="str">
        <f t="shared" ref="V528:X528" si="533">IF(lenb(SUBSTITUTE($Z528,V$1&amp;" (1)",""))&lt;lenb($Z528),1,IF(lenb(SUBSTITUTE($Z528,V$1&amp;" (2)",""))&lt;lenb($Z528),2,IF(lenb(SUBSTITUTE($Z528,V$1&amp;" (3)",""))&lt;lenb($Z528),3,IF(lenb(SUBSTITUTE($Z528,V$1&amp;" (4)",""))&lt;lenb($Z528),4,IF(lenb(SUBSTITUTE($Z528,V$1&amp;" (5)",""))&lt;lenb($Z528),5,IF(lenb(SUBSTITUTE($Z528,V$1&amp;" (6)",""))&lt;lenb($Z528),6,IF(lenb(SUBSTITUTE($Z528,V$1&amp;" (7)",""))&lt;lenb($Z528),1,IF(lenb(SUBSTITUTE($Z528,V$1&amp;" (8)",""))&lt;lenb($Z528),8,IF(lenb(SUBSTITUTE($Z528,V$1&amp;" (9)",""))&lt;lenb($Z528),9,IF(lenb(SUBSTITUTE($Z528,V$1&amp;" (10)",""))&lt;lenb($Z528),10,IF(lenb(SUBSTITUTE($Z528,V$1,""))&lt;lenb($Z528),"ERROR",IF($Z528=$Y$1,"-",0))))))))))))</f>
        <v>-</v>
      </c>
      <c r="W528" s="32" t="str">
        <f t="shared" si="533"/>
        <v>-</v>
      </c>
      <c r="X528" s="32" t="str">
        <f t="shared" si="533"/>
        <v>-</v>
      </c>
      <c r="Y528" s="32">
        <f t="shared" si="3"/>
        <v>1</v>
      </c>
      <c r="Z528" s="32" t="s">
        <v>23</v>
      </c>
      <c r="AA528" s="33">
        <f t="shared" si="4"/>
        <v>0</v>
      </c>
      <c r="AB528" s="34">
        <f>COUNTIFS(Links!B:B,"ICSE",Links!C:C,A528,Links!AD:AD,1)</f>
        <v>0</v>
      </c>
      <c r="AC528" s="35" t="s">
        <v>36</v>
      </c>
      <c r="AD528" s="27" t="str">
        <f t="shared" si="5"/>
        <v>No</v>
      </c>
      <c r="AE528" s="36" t="s">
        <v>36</v>
      </c>
      <c r="AF528" s="37" t="s">
        <v>42</v>
      </c>
      <c r="AG528" s="37" t="s">
        <v>42</v>
      </c>
      <c r="AH528" s="37" t="s">
        <v>42</v>
      </c>
      <c r="AI528" s="29" t="str">
        <f t="shared" si="6"/>
        <v>----</v>
      </c>
      <c r="AJ528" s="38" t="str">
        <f t="shared" si="7"/>
        <v>Paper has no link and no statement</v>
      </c>
      <c r="AK528" s="39">
        <v>45028.0</v>
      </c>
      <c r="AL528" s="23" t="s">
        <v>43</v>
      </c>
      <c r="AM528" s="40" t="str">
        <f t="shared" si="8"/>
        <v>[IP0980]</v>
      </c>
    </row>
    <row r="529" ht="67.5" customHeight="1">
      <c r="A529" s="41">
        <v>981.0</v>
      </c>
      <c r="B529" s="42" t="s">
        <v>1398</v>
      </c>
      <c r="C529" s="43">
        <v>2019.0</v>
      </c>
      <c r="D529" s="44" t="s">
        <v>35</v>
      </c>
      <c r="E529" s="45" t="s">
        <v>36</v>
      </c>
      <c r="F529" s="45" t="s">
        <v>36</v>
      </c>
      <c r="G529" s="45" t="s">
        <v>36</v>
      </c>
      <c r="H529" s="45" t="s">
        <v>36</v>
      </c>
      <c r="I529" s="45" t="s">
        <v>36</v>
      </c>
      <c r="J529" s="46" t="s">
        <v>36</v>
      </c>
      <c r="K529" s="47" t="s">
        <v>35</v>
      </c>
      <c r="L529" s="48" t="s">
        <v>36</v>
      </c>
      <c r="M529" s="48" t="s">
        <v>36</v>
      </c>
      <c r="N529" s="48" t="s">
        <v>36</v>
      </c>
      <c r="O529" s="48" t="s">
        <v>36</v>
      </c>
      <c r="P529" s="48" t="s">
        <v>36</v>
      </c>
      <c r="Q529" s="48" t="s">
        <v>36</v>
      </c>
      <c r="R529" s="48" t="s">
        <v>36</v>
      </c>
      <c r="S529" s="49" t="s">
        <v>36</v>
      </c>
      <c r="T529" s="50" t="s">
        <v>36</v>
      </c>
      <c r="U529" s="51" t="s">
        <v>36</v>
      </c>
      <c r="V529" s="52" t="str">
        <f t="shared" ref="V529:X529" si="534">IF(lenb(SUBSTITUTE($Z529,V$1&amp;" (1)",""))&lt;lenb($Z529),1,IF(lenb(SUBSTITUTE($Z529,V$1&amp;" (2)",""))&lt;lenb($Z529),2,IF(lenb(SUBSTITUTE($Z529,V$1&amp;" (3)",""))&lt;lenb($Z529),3,IF(lenb(SUBSTITUTE($Z529,V$1&amp;" (4)",""))&lt;lenb($Z529),4,IF(lenb(SUBSTITUTE($Z529,V$1&amp;" (5)",""))&lt;lenb($Z529),5,IF(lenb(SUBSTITUTE($Z529,V$1&amp;" (6)",""))&lt;lenb($Z529),6,IF(lenb(SUBSTITUTE($Z529,V$1&amp;" (7)",""))&lt;lenb($Z529),1,IF(lenb(SUBSTITUTE($Z529,V$1&amp;" (8)",""))&lt;lenb($Z529),8,IF(lenb(SUBSTITUTE($Z529,V$1&amp;" (9)",""))&lt;lenb($Z529),9,IF(lenb(SUBSTITUTE($Z529,V$1&amp;" (10)",""))&lt;lenb($Z529),10,IF(lenb(SUBSTITUTE($Z529,V$1,""))&lt;lenb($Z529),"ERROR",IF($Z529=$Y$1,"-",0))))))))))))</f>
        <v>-</v>
      </c>
      <c r="W529" s="52" t="str">
        <f t="shared" si="534"/>
        <v>-</v>
      </c>
      <c r="X529" s="52" t="str">
        <f t="shared" si="534"/>
        <v>-</v>
      </c>
      <c r="Y529" s="52">
        <f t="shared" si="3"/>
        <v>1</v>
      </c>
      <c r="Z529" s="52" t="s">
        <v>23</v>
      </c>
      <c r="AA529" s="53">
        <f t="shared" si="4"/>
        <v>0</v>
      </c>
      <c r="AB529" s="54">
        <f>COUNTIFS(Links!B:B,"ICSE",Links!C:C,A529,Links!AD:AD,1)</f>
        <v>0</v>
      </c>
      <c r="AC529" s="55" t="s">
        <v>36</v>
      </c>
      <c r="AD529" s="47" t="str">
        <f t="shared" si="5"/>
        <v>No</v>
      </c>
      <c r="AE529" s="56" t="s">
        <v>36</v>
      </c>
      <c r="AF529" s="57" t="s">
        <v>42</v>
      </c>
      <c r="AG529" s="57" t="s">
        <v>42</v>
      </c>
      <c r="AH529" s="57" t="s">
        <v>42</v>
      </c>
      <c r="AI529" s="49" t="str">
        <f t="shared" si="6"/>
        <v>----</v>
      </c>
      <c r="AJ529" s="58" t="str">
        <f t="shared" si="7"/>
        <v>Paper has no link and no statement</v>
      </c>
      <c r="AK529" s="59">
        <v>45028.0</v>
      </c>
      <c r="AL529" s="43" t="s">
        <v>43</v>
      </c>
      <c r="AM529" s="60" t="str">
        <f t="shared" si="8"/>
        <v>[IP0981]</v>
      </c>
    </row>
    <row r="530" ht="67.5" customHeight="1">
      <c r="A530" s="61">
        <v>982.0</v>
      </c>
      <c r="B530" s="75" t="s">
        <v>1399</v>
      </c>
      <c r="C530" s="23">
        <v>2019.0</v>
      </c>
      <c r="D530" s="24" t="s">
        <v>37</v>
      </c>
      <c r="E530" s="25" t="s">
        <v>37</v>
      </c>
      <c r="F530" s="25" t="s">
        <v>35</v>
      </c>
      <c r="G530" s="25" t="s">
        <v>35</v>
      </c>
      <c r="H530" s="25" t="s">
        <v>35</v>
      </c>
      <c r="I530" s="25" t="s">
        <v>35</v>
      </c>
      <c r="J530" s="26" t="s">
        <v>36</v>
      </c>
      <c r="K530" s="27" t="s">
        <v>37</v>
      </c>
      <c r="L530" s="28" t="s">
        <v>35</v>
      </c>
      <c r="M530" s="28" t="s">
        <v>37</v>
      </c>
      <c r="N530" s="28" t="s">
        <v>35</v>
      </c>
      <c r="O530" s="28" t="s">
        <v>35</v>
      </c>
      <c r="P530" s="28" t="s">
        <v>37</v>
      </c>
      <c r="Q530" s="28" t="s">
        <v>35</v>
      </c>
      <c r="R530" s="28" t="s">
        <v>37</v>
      </c>
      <c r="S530" s="29" t="s">
        <v>1400</v>
      </c>
      <c r="T530" s="30" t="s">
        <v>1401</v>
      </c>
      <c r="U530" s="31" t="s">
        <v>1401</v>
      </c>
      <c r="V530" s="32">
        <f t="shared" ref="V530:X530" si="535">IF(lenb(SUBSTITUTE($Z530,V$1&amp;" (1)",""))&lt;lenb($Z530),1,IF(lenb(SUBSTITUTE($Z530,V$1&amp;" (2)",""))&lt;lenb($Z530),2,IF(lenb(SUBSTITUTE($Z530,V$1&amp;" (3)",""))&lt;lenb($Z530),3,IF(lenb(SUBSTITUTE($Z530,V$1&amp;" (4)",""))&lt;lenb($Z530),4,IF(lenb(SUBSTITUTE($Z530,V$1&amp;" (5)",""))&lt;lenb($Z530),5,IF(lenb(SUBSTITUTE($Z530,V$1&amp;" (6)",""))&lt;lenb($Z530),6,IF(lenb(SUBSTITUTE($Z530,V$1&amp;" (7)",""))&lt;lenb($Z530),1,IF(lenb(SUBSTITUTE($Z530,V$1&amp;" (8)",""))&lt;lenb($Z530),8,IF(lenb(SUBSTITUTE($Z530,V$1&amp;" (9)",""))&lt;lenb($Z530),9,IF(lenb(SUBSTITUTE($Z530,V$1&amp;" (10)",""))&lt;lenb($Z530),10,IF(lenb(SUBSTITUTE($Z530,V$1,""))&lt;lenb($Z530),"ERROR",IF($Z530=$Y$1,"-",0))))))))))))</f>
        <v>1</v>
      </c>
      <c r="W530" s="32">
        <f t="shared" si="535"/>
        <v>0</v>
      </c>
      <c r="X530" s="32">
        <f t="shared" si="535"/>
        <v>0</v>
      </c>
      <c r="Y530" s="32" t="str">
        <f t="shared" si="3"/>
        <v>-</v>
      </c>
      <c r="Z530" s="32" t="s">
        <v>62</v>
      </c>
      <c r="AA530" s="33">
        <f t="shared" si="4"/>
        <v>1</v>
      </c>
      <c r="AB530" s="34">
        <f>COUNTIFS(Links!B:B,"ICSE",Links!C:C,A530,Links!AD:AD,1)</f>
        <v>0</v>
      </c>
      <c r="AC530" s="35" t="s">
        <v>37</v>
      </c>
      <c r="AD530" s="27" t="str">
        <f t="shared" si="5"/>
        <v>No</v>
      </c>
      <c r="AE530" s="36" t="s">
        <v>36</v>
      </c>
      <c r="AF530" s="37" t="s">
        <v>42</v>
      </c>
      <c r="AG530" s="37" t="s">
        <v>42</v>
      </c>
      <c r="AH530" s="37" t="s">
        <v>42</v>
      </c>
      <c r="AI530" s="29" t="str">
        <f t="shared" si="6"/>
        <v>----</v>
      </c>
      <c r="AJ530" s="38" t="str">
        <f t="shared" si="7"/>
        <v>Paper has link but no statement</v>
      </c>
      <c r="AK530" s="39">
        <v>45028.0</v>
      </c>
      <c r="AL530" s="23" t="s">
        <v>43</v>
      </c>
      <c r="AM530" s="40" t="str">
        <f t="shared" si="8"/>
        <v>[IP0982]</v>
      </c>
    </row>
    <row r="531" ht="67.5" customHeight="1">
      <c r="A531" s="41">
        <v>983.0</v>
      </c>
      <c r="B531" s="74" t="s">
        <v>1402</v>
      </c>
      <c r="C531" s="43">
        <v>2019.0</v>
      </c>
      <c r="D531" s="44" t="s">
        <v>37</v>
      </c>
      <c r="E531" s="45" t="s">
        <v>37</v>
      </c>
      <c r="F531" s="45" t="s">
        <v>35</v>
      </c>
      <c r="G531" s="45" t="s">
        <v>37</v>
      </c>
      <c r="H531" s="45" t="s">
        <v>35</v>
      </c>
      <c r="I531" s="45" t="s">
        <v>35</v>
      </c>
      <c r="J531" s="46" t="s">
        <v>36</v>
      </c>
      <c r="K531" s="47" t="s">
        <v>37</v>
      </c>
      <c r="L531" s="48" t="s">
        <v>35</v>
      </c>
      <c r="M531" s="48" t="s">
        <v>35</v>
      </c>
      <c r="N531" s="48" t="s">
        <v>35</v>
      </c>
      <c r="O531" s="48" t="s">
        <v>35</v>
      </c>
      <c r="P531" s="48" t="s">
        <v>35</v>
      </c>
      <c r="Q531" s="48" t="s">
        <v>35</v>
      </c>
      <c r="R531" s="48" t="s">
        <v>37</v>
      </c>
      <c r="S531" s="49" t="s">
        <v>1403</v>
      </c>
      <c r="T531" s="50" t="s">
        <v>1404</v>
      </c>
      <c r="U531" s="51" t="s">
        <v>1404</v>
      </c>
      <c r="V531" s="52">
        <f t="shared" ref="V531:X531" si="536">IF(lenb(SUBSTITUTE($Z531,V$1&amp;" (1)",""))&lt;lenb($Z531),1,IF(lenb(SUBSTITUTE($Z531,V$1&amp;" (2)",""))&lt;lenb($Z531),2,IF(lenb(SUBSTITUTE($Z531,V$1&amp;" (3)",""))&lt;lenb($Z531),3,IF(lenb(SUBSTITUTE($Z531,V$1&amp;" (4)",""))&lt;lenb($Z531),4,IF(lenb(SUBSTITUTE($Z531,V$1&amp;" (5)",""))&lt;lenb($Z531),5,IF(lenb(SUBSTITUTE($Z531,V$1&amp;" (6)",""))&lt;lenb($Z531),6,IF(lenb(SUBSTITUTE($Z531,V$1&amp;" (7)",""))&lt;lenb($Z531),1,IF(lenb(SUBSTITUTE($Z531,V$1&amp;" (8)",""))&lt;lenb($Z531),8,IF(lenb(SUBSTITUTE($Z531,V$1&amp;" (9)",""))&lt;lenb($Z531),9,IF(lenb(SUBSTITUTE($Z531,V$1&amp;" (10)",""))&lt;lenb($Z531),10,IF(lenb(SUBSTITUTE($Z531,V$1,""))&lt;lenb($Z531),"ERROR",IF($Z531=$Y$1,"-",0))))))))))))</f>
        <v>1</v>
      </c>
      <c r="W531" s="52">
        <f t="shared" si="536"/>
        <v>0</v>
      </c>
      <c r="X531" s="52">
        <f t="shared" si="536"/>
        <v>0</v>
      </c>
      <c r="Y531" s="52" t="str">
        <f t="shared" si="3"/>
        <v>-</v>
      </c>
      <c r="Z531" s="52" t="s">
        <v>62</v>
      </c>
      <c r="AA531" s="53">
        <f t="shared" si="4"/>
        <v>1</v>
      </c>
      <c r="AB531" s="54">
        <f>COUNTIFS(Links!B:B,"ICSE",Links!C:C,A531,Links!AD:AD,1)</f>
        <v>0</v>
      </c>
      <c r="AC531" s="55" t="s">
        <v>35</v>
      </c>
      <c r="AD531" s="47" t="str">
        <f t="shared" si="5"/>
        <v>No</v>
      </c>
      <c r="AE531" s="56" t="s">
        <v>36</v>
      </c>
      <c r="AF531" s="57" t="s">
        <v>42</v>
      </c>
      <c r="AG531" s="57" t="s">
        <v>42</v>
      </c>
      <c r="AH531" s="57" t="s">
        <v>42</v>
      </c>
      <c r="AI531" s="49" t="str">
        <f t="shared" si="6"/>
        <v>----</v>
      </c>
      <c r="AJ531" s="58" t="str">
        <f t="shared" si="7"/>
        <v>Paper has link but no statement</v>
      </c>
      <c r="AK531" s="59">
        <v>45028.0</v>
      </c>
      <c r="AL531" s="43" t="s">
        <v>43</v>
      </c>
      <c r="AM531" s="60" t="str">
        <f t="shared" si="8"/>
        <v>[IP0983]</v>
      </c>
    </row>
    <row r="532" ht="67.5" customHeight="1">
      <c r="A532" s="61">
        <v>984.0</v>
      </c>
      <c r="B532" s="75" t="s">
        <v>1405</v>
      </c>
      <c r="C532" s="23">
        <v>2019.0</v>
      </c>
      <c r="D532" s="24" t="s">
        <v>37</v>
      </c>
      <c r="E532" s="25" t="s">
        <v>37</v>
      </c>
      <c r="F532" s="25" t="s">
        <v>35</v>
      </c>
      <c r="G532" s="25" t="s">
        <v>37</v>
      </c>
      <c r="H532" s="25" t="s">
        <v>35</v>
      </c>
      <c r="I532" s="25" t="s">
        <v>35</v>
      </c>
      <c r="J532" s="26" t="s">
        <v>36</v>
      </c>
      <c r="K532" s="27" t="s">
        <v>37</v>
      </c>
      <c r="L532" s="28" t="s">
        <v>35</v>
      </c>
      <c r="M532" s="28" t="s">
        <v>35</v>
      </c>
      <c r="N532" s="28" t="s">
        <v>37</v>
      </c>
      <c r="O532" s="28" t="s">
        <v>35</v>
      </c>
      <c r="P532" s="28" t="s">
        <v>35</v>
      </c>
      <c r="Q532" s="28" t="s">
        <v>35</v>
      </c>
      <c r="R532" s="28" t="s">
        <v>35</v>
      </c>
      <c r="S532" s="29" t="s">
        <v>289</v>
      </c>
      <c r="T532" s="30" t="s">
        <v>1406</v>
      </c>
      <c r="U532" s="31" t="s">
        <v>1407</v>
      </c>
      <c r="V532" s="32">
        <f t="shared" ref="V532:X532" si="537">IF(lenb(SUBSTITUTE($Z532,V$1&amp;" (1)",""))&lt;lenb($Z532),1,IF(lenb(SUBSTITUTE($Z532,V$1&amp;" (2)",""))&lt;lenb($Z532),2,IF(lenb(SUBSTITUTE($Z532,V$1&amp;" (3)",""))&lt;lenb($Z532),3,IF(lenb(SUBSTITUTE($Z532,V$1&amp;" (4)",""))&lt;lenb($Z532),4,IF(lenb(SUBSTITUTE($Z532,V$1&amp;" (5)",""))&lt;lenb($Z532),5,IF(lenb(SUBSTITUTE($Z532,V$1&amp;" (6)",""))&lt;lenb($Z532),6,IF(lenb(SUBSTITUTE($Z532,V$1&amp;" (7)",""))&lt;lenb($Z532),1,IF(lenb(SUBSTITUTE($Z532,V$1&amp;" (8)",""))&lt;lenb($Z532),8,IF(lenb(SUBSTITUTE($Z532,V$1&amp;" (9)",""))&lt;lenb($Z532),9,IF(lenb(SUBSTITUTE($Z532,V$1&amp;" (10)",""))&lt;lenb($Z532),10,IF(lenb(SUBSTITUTE($Z532,V$1,""))&lt;lenb($Z532),"ERROR",IF($Z532=$Y$1,"-",0))))))))))))</f>
        <v>1</v>
      </c>
      <c r="W532" s="32">
        <f t="shared" si="537"/>
        <v>0</v>
      </c>
      <c r="X532" s="32">
        <f t="shared" si="537"/>
        <v>0</v>
      </c>
      <c r="Y532" s="32" t="str">
        <f t="shared" si="3"/>
        <v>-</v>
      </c>
      <c r="Z532" s="32" t="s">
        <v>62</v>
      </c>
      <c r="AA532" s="33">
        <f t="shared" si="4"/>
        <v>1</v>
      </c>
      <c r="AB532" s="34">
        <f>COUNTIFS(Links!B:B,"ICSE",Links!C:C,A532,Links!AD:AD,1)</f>
        <v>0</v>
      </c>
      <c r="AC532" s="35" t="s">
        <v>35</v>
      </c>
      <c r="AD532" s="27" t="str">
        <f t="shared" si="5"/>
        <v>No</v>
      </c>
      <c r="AE532" s="36" t="s">
        <v>36</v>
      </c>
      <c r="AF532" s="37" t="s">
        <v>42</v>
      </c>
      <c r="AG532" s="37" t="s">
        <v>42</v>
      </c>
      <c r="AH532" s="37" t="s">
        <v>42</v>
      </c>
      <c r="AI532" s="29" t="str">
        <f t="shared" si="6"/>
        <v>----</v>
      </c>
      <c r="AJ532" s="38" t="str">
        <f t="shared" si="7"/>
        <v>Paper has link but no statement</v>
      </c>
      <c r="AK532" s="39">
        <v>45028.0</v>
      </c>
      <c r="AL532" s="23" t="s">
        <v>43</v>
      </c>
      <c r="AM532" s="40" t="str">
        <f t="shared" si="8"/>
        <v>[IP0984]</v>
      </c>
    </row>
    <row r="533" ht="67.5" customHeight="1">
      <c r="A533" s="62">
        <v>985.0</v>
      </c>
      <c r="B533" s="74" t="s">
        <v>1408</v>
      </c>
      <c r="C533" s="43">
        <v>2019.0</v>
      </c>
      <c r="D533" s="44" t="s">
        <v>37</v>
      </c>
      <c r="E533" s="45" t="s">
        <v>37</v>
      </c>
      <c r="F533" s="45" t="s">
        <v>35</v>
      </c>
      <c r="G533" s="45" t="s">
        <v>35</v>
      </c>
      <c r="H533" s="45" t="s">
        <v>35</v>
      </c>
      <c r="I533" s="45" t="s">
        <v>35</v>
      </c>
      <c r="J533" s="46" t="s">
        <v>36</v>
      </c>
      <c r="K533" s="47" t="s">
        <v>37</v>
      </c>
      <c r="L533" s="48" t="s">
        <v>37</v>
      </c>
      <c r="M533" s="48" t="s">
        <v>35</v>
      </c>
      <c r="N533" s="48" t="s">
        <v>35</v>
      </c>
      <c r="O533" s="48" t="s">
        <v>35</v>
      </c>
      <c r="P533" s="48" t="s">
        <v>35</v>
      </c>
      <c r="Q533" s="48" t="s">
        <v>35</v>
      </c>
      <c r="R533" s="48" t="s">
        <v>37</v>
      </c>
      <c r="S533" s="49" t="s">
        <v>1409</v>
      </c>
      <c r="T533" s="50" t="s">
        <v>1410</v>
      </c>
      <c r="U533" s="51" t="s">
        <v>1410</v>
      </c>
      <c r="V533" s="52">
        <f t="shared" ref="V533:X533" si="538">IF(lenb(SUBSTITUTE($Z533,V$1&amp;" (1)",""))&lt;lenb($Z533),1,IF(lenb(SUBSTITUTE($Z533,V$1&amp;" (2)",""))&lt;lenb($Z533),2,IF(lenb(SUBSTITUTE($Z533,V$1&amp;" (3)",""))&lt;lenb($Z533),3,IF(lenb(SUBSTITUTE($Z533,V$1&amp;" (4)",""))&lt;lenb($Z533),4,IF(lenb(SUBSTITUTE($Z533,V$1&amp;" (5)",""))&lt;lenb($Z533),5,IF(lenb(SUBSTITUTE($Z533,V$1&amp;" (6)",""))&lt;lenb($Z533),6,IF(lenb(SUBSTITUTE($Z533,V$1&amp;" (7)",""))&lt;lenb($Z533),1,IF(lenb(SUBSTITUTE($Z533,V$1&amp;" (8)",""))&lt;lenb($Z533),8,IF(lenb(SUBSTITUTE($Z533,V$1&amp;" (9)",""))&lt;lenb($Z533),9,IF(lenb(SUBSTITUTE($Z533,V$1&amp;" (10)",""))&lt;lenb($Z533),10,IF(lenb(SUBSTITUTE($Z533,V$1,""))&lt;lenb($Z533),"ERROR",IF($Z533=$Y$1,"-",0))))))))))))</f>
        <v>1</v>
      </c>
      <c r="W533" s="52">
        <f t="shared" si="538"/>
        <v>0</v>
      </c>
      <c r="X533" s="52">
        <f t="shared" si="538"/>
        <v>0</v>
      </c>
      <c r="Y533" s="52" t="str">
        <f t="shared" si="3"/>
        <v>-</v>
      </c>
      <c r="Z533" s="52" t="s">
        <v>62</v>
      </c>
      <c r="AA533" s="53">
        <f t="shared" si="4"/>
        <v>1</v>
      </c>
      <c r="AB533" s="54">
        <f>COUNTIFS(Links!B:B,"ICSE",Links!C:C,A533,Links!AD:AD,1)</f>
        <v>0</v>
      </c>
      <c r="AC533" s="55" t="s">
        <v>35</v>
      </c>
      <c r="AD533" s="47" t="str">
        <f t="shared" si="5"/>
        <v>No</v>
      </c>
      <c r="AE533" s="56" t="s">
        <v>36</v>
      </c>
      <c r="AF533" s="57" t="s">
        <v>42</v>
      </c>
      <c r="AG533" s="57" t="s">
        <v>42</v>
      </c>
      <c r="AH533" s="57" t="s">
        <v>42</v>
      </c>
      <c r="AI533" s="49" t="str">
        <f t="shared" si="6"/>
        <v>----</v>
      </c>
      <c r="AJ533" s="58" t="str">
        <f t="shared" si="7"/>
        <v>Paper has link but no statement</v>
      </c>
      <c r="AK533" s="59">
        <v>45028.0</v>
      </c>
      <c r="AL533" s="43" t="s">
        <v>43</v>
      </c>
      <c r="AM533" s="60" t="str">
        <f t="shared" si="8"/>
        <v>[IP0985]</v>
      </c>
    </row>
    <row r="534" ht="67.5" customHeight="1">
      <c r="A534" s="61">
        <v>986.0</v>
      </c>
      <c r="B534" s="75" t="s">
        <v>1411</v>
      </c>
      <c r="C534" s="23">
        <v>2019.0</v>
      </c>
      <c r="D534" s="24" t="s">
        <v>37</v>
      </c>
      <c r="E534" s="25" t="s">
        <v>35</v>
      </c>
      <c r="F534" s="25" t="s">
        <v>35</v>
      </c>
      <c r="G534" s="25" t="s">
        <v>37</v>
      </c>
      <c r="H534" s="25" t="s">
        <v>35</v>
      </c>
      <c r="I534" s="25" t="s">
        <v>35</v>
      </c>
      <c r="J534" s="26" t="s">
        <v>36</v>
      </c>
      <c r="K534" s="27" t="s">
        <v>35</v>
      </c>
      <c r="L534" s="28" t="s">
        <v>36</v>
      </c>
      <c r="M534" s="28" t="s">
        <v>36</v>
      </c>
      <c r="N534" s="28" t="s">
        <v>36</v>
      </c>
      <c r="O534" s="28" t="s">
        <v>36</v>
      </c>
      <c r="P534" s="28" t="s">
        <v>36</v>
      </c>
      <c r="Q534" s="28" t="s">
        <v>36</v>
      </c>
      <c r="R534" s="28" t="s">
        <v>36</v>
      </c>
      <c r="S534" s="29" t="s">
        <v>36</v>
      </c>
      <c r="T534" s="30" t="s">
        <v>36</v>
      </c>
      <c r="U534" s="31" t="s">
        <v>36</v>
      </c>
      <c r="V534" s="32" t="str">
        <f t="shared" ref="V534:X534" si="539">IF(lenb(SUBSTITUTE($Z534,V$1&amp;" (1)",""))&lt;lenb($Z534),1,IF(lenb(SUBSTITUTE($Z534,V$1&amp;" (2)",""))&lt;lenb($Z534),2,IF(lenb(SUBSTITUTE($Z534,V$1&amp;" (3)",""))&lt;lenb($Z534),3,IF(lenb(SUBSTITUTE($Z534,V$1&amp;" (4)",""))&lt;lenb($Z534),4,IF(lenb(SUBSTITUTE($Z534,V$1&amp;" (5)",""))&lt;lenb($Z534),5,IF(lenb(SUBSTITUTE($Z534,V$1&amp;" (6)",""))&lt;lenb($Z534),6,IF(lenb(SUBSTITUTE($Z534,V$1&amp;" (7)",""))&lt;lenb($Z534),1,IF(lenb(SUBSTITUTE($Z534,V$1&amp;" (8)",""))&lt;lenb($Z534),8,IF(lenb(SUBSTITUTE($Z534,V$1&amp;" (9)",""))&lt;lenb($Z534),9,IF(lenb(SUBSTITUTE($Z534,V$1&amp;" (10)",""))&lt;lenb($Z534),10,IF(lenb(SUBSTITUTE($Z534,V$1,""))&lt;lenb($Z534),"ERROR",IF($Z534=$Y$1,"-",0))))))))))))</f>
        <v>-</v>
      </c>
      <c r="W534" s="32" t="str">
        <f t="shared" si="539"/>
        <v>-</v>
      </c>
      <c r="X534" s="32" t="str">
        <f t="shared" si="539"/>
        <v>-</v>
      </c>
      <c r="Y534" s="32">
        <f t="shared" si="3"/>
        <v>1</v>
      </c>
      <c r="Z534" s="32" t="s">
        <v>23</v>
      </c>
      <c r="AA534" s="33">
        <f t="shared" si="4"/>
        <v>0</v>
      </c>
      <c r="AB534" s="34">
        <f>COUNTIFS(Links!B:B,"ICSE",Links!C:C,A534,Links!AD:AD,1)</f>
        <v>0</v>
      </c>
      <c r="AC534" s="35" t="s">
        <v>36</v>
      </c>
      <c r="AD534" s="27" t="str">
        <f t="shared" si="5"/>
        <v>No</v>
      </c>
      <c r="AE534" s="36" t="s">
        <v>36</v>
      </c>
      <c r="AF534" s="37" t="s">
        <v>42</v>
      </c>
      <c r="AG534" s="37" t="s">
        <v>42</v>
      </c>
      <c r="AH534" s="37" t="s">
        <v>42</v>
      </c>
      <c r="AI534" s="29" t="str">
        <f t="shared" si="6"/>
        <v>----</v>
      </c>
      <c r="AJ534" s="38" t="str">
        <f t="shared" si="7"/>
        <v>Paper has no link and no statement</v>
      </c>
      <c r="AK534" s="39">
        <v>45028.0</v>
      </c>
      <c r="AL534" s="23" t="s">
        <v>43</v>
      </c>
      <c r="AM534" s="40" t="str">
        <f t="shared" si="8"/>
        <v>[IP0986]</v>
      </c>
    </row>
    <row r="535" ht="67.5" customHeight="1">
      <c r="A535" s="41">
        <v>987.0</v>
      </c>
      <c r="B535" s="42" t="s">
        <v>1412</v>
      </c>
      <c r="C535" s="43">
        <v>2019.0</v>
      </c>
      <c r="D535" s="44" t="s">
        <v>35</v>
      </c>
      <c r="E535" s="45" t="s">
        <v>36</v>
      </c>
      <c r="F535" s="45" t="s">
        <v>36</v>
      </c>
      <c r="G535" s="45" t="s">
        <v>36</v>
      </c>
      <c r="H535" s="45" t="s">
        <v>36</v>
      </c>
      <c r="I535" s="45" t="s">
        <v>36</v>
      </c>
      <c r="J535" s="46" t="s">
        <v>36</v>
      </c>
      <c r="K535" s="47" t="s">
        <v>37</v>
      </c>
      <c r="L535" s="48" t="s">
        <v>35</v>
      </c>
      <c r="M535" s="48" t="s">
        <v>37</v>
      </c>
      <c r="N535" s="48" t="s">
        <v>35</v>
      </c>
      <c r="O535" s="48" t="s">
        <v>35</v>
      </c>
      <c r="P535" s="48" t="s">
        <v>35</v>
      </c>
      <c r="Q535" s="48" t="s">
        <v>35</v>
      </c>
      <c r="R535" s="48" t="s">
        <v>37</v>
      </c>
      <c r="S535" s="49" t="s">
        <v>1413</v>
      </c>
      <c r="T535" s="50" t="s">
        <v>1414</v>
      </c>
      <c r="U535" s="50" t="s">
        <v>1415</v>
      </c>
      <c r="V535" s="52">
        <f t="shared" ref="V535:X535" si="540">IF(lenb(SUBSTITUTE($Z535,V$1&amp;" (1)",""))&lt;lenb($Z535),1,IF(lenb(SUBSTITUTE($Z535,V$1&amp;" (2)",""))&lt;lenb($Z535),2,IF(lenb(SUBSTITUTE($Z535,V$1&amp;" (3)",""))&lt;lenb($Z535),3,IF(lenb(SUBSTITUTE($Z535,V$1&amp;" (4)",""))&lt;lenb($Z535),4,IF(lenb(SUBSTITUTE($Z535,V$1&amp;" (5)",""))&lt;lenb($Z535),5,IF(lenb(SUBSTITUTE($Z535,V$1&amp;" (6)",""))&lt;lenb($Z535),6,IF(lenb(SUBSTITUTE($Z535,V$1&amp;" (7)",""))&lt;lenb($Z535),1,IF(lenb(SUBSTITUTE($Z535,V$1&amp;" (8)",""))&lt;lenb($Z535),8,IF(lenb(SUBSTITUTE($Z535,V$1&amp;" (9)",""))&lt;lenb($Z535),9,IF(lenb(SUBSTITUTE($Z535,V$1&amp;" (10)",""))&lt;lenb($Z535),10,IF(lenb(SUBSTITUTE($Z535,V$1,""))&lt;lenb($Z535),"ERROR",IF($Z535=$Y$1,"-",0))))))))))))</f>
        <v>2</v>
      </c>
      <c r="W535" s="52">
        <f t="shared" si="540"/>
        <v>0</v>
      </c>
      <c r="X535" s="52">
        <f t="shared" si="540"/>
        <v>0</v>
      </c>
      <c r="Y535" s="52" t="str">
        <f t="shared" si="3"/>
        <v>-</v>
      </c>
      <c r="Z535" s="52" t="s">
        <v>57</v>
      </c>
      <c r="AA535" s="53">
        <f t="shared" si="4"/>
        <v>2</v>
      </c>
      <c r="AB535" s="54">
        <f>COUNTIFS(Links!B:B,"ICSE",Links!C:C,A535,Links!AD:AD,1)</f>
        <v>1</v>
      </c>
      <c r="AC535" s="55" t="s">
        <v>35</v>
      </c>
      <c r="AD535" s="47" t="str">
        <f t="shared" si="5"/>
        <v>No</v>
      </c>
      <c r="AE535" s="56" t="s">
        <v>36</v>
      </c>
      <c r="AF535" s="57" t="s">
        <v>42</v>
      </c>
      <c r="AG535" s="57" t="s">
        <v>42</v>
      </c>
      <c r="AH535" s="57" t="s">
        <v>42</v>
      </c>
      <c r="AI535" s="49" t="str">
        <f t="shared" si="6"/>
        <v>----</v>
      </c>
      <c r="AJ535" s="58" t="str">
        <f t="shared" si="7"/>
        <v>Paper has link but no statement</v>
      </c>
      <c r="AK535" s="59">
        <v>45028.0</v>
      </c>
      <c r="AL535" s="43" t="s">
        <v>43</v>
      </c>
      <c r="AM535" s="60" t="str">
        <f t="shared" si="8"/>
        <v>[IP0987]</v>
      </c>
    </row>
    <row r="536" ht="67.5" customHeight="1">
      <c r="A536" s="61">
        <v>988.0</v>
      </c>
      <c r="B536" s="75" t="s">
        <v>1416</v>
      </c>
      <c r="C536" s="23">
        <v>2019.0</v>
      </c>
      <c r="D536" s="24" t="s">
        <v>37</v>
      </c>
      <c r="E536" s="25" t="s">
        <v>37</v>
      </c>
      <c r="F536" s="25" t="s">
        <v>35</v>
      </c>
      <c r="G536" s="25" t="s">
        <v>35</v>
      </c>
      <c r="H536" s="25" t="s">
        <v>35</v>
      </c>
      <c r="I536" s="25" t="s">
        <v>35</v>
      </c>
      <c r="J536" s="26" t="s">
        <v>36</v>
      </c>
      <c r="K536" s="27" t="s">
        <v>37</v>
      </c>
      <c r="L536" s="28" t="s">
        <v>35</v>
      </c>
      <c r="M536" s="28" t="s">
        <v>37</v>
      </c>
      <c r="N536" s="28" t="s">
        <v>37</v>
      </c>
      <c r="O536" s="28" t="s">
        <v>35</v>
      </c>
      <c r="P536" s="28" t="s">
        <v>35</v>
      </c>
      <c r="Q536" s="28" t="s">
        <v>35</v>
      </c>
      <c r="R536" s="28" t="s">
        <v>37</v>
      </c>
      <c r="S536" s="29" t="s">
        <v>1417</v>
      </c>
      <c r="T536" s="30" t="s">
        <v>1418</v>
      </c>
      <c r="U536" s="31" t="s">
        <v>1419</v>
      </c>
      <c r="V536" s="32">
        <f t="shared" ref="V536:X536" si="541">IF(lenb(SUBSTITUTE($Z536,V$1&amp;" (1)",""))&lt;lenb($Z536),1,IF(lenb(SUBSTITUTE($Z536,V$1&amp;" (2)",""))&lt;lenb($Z536),2,IF(lenb(SUBSTITUTE($Z536,V$1&amp;" (3)",""))&lt;lenb($Z536),3,IF(lenb(SUBSTITUTE($Z536,V$1&amp;" (4)",""))&lt;lenb($Z536),4,IF(lenb(SUBSTITUTE($Z536,V$1&amp;" (5)",""))&lt;lenb($Z536),5,IF(lenb(SUBSTITUTE($Z536,V$1&amp;" (6)",""))&lt;lenb($Z536),6,IF(lenb(SUBSTITUTE($Z536,V$1&amp;" (7)",""))&lt;lenb($Z536),1,IF(lenb(SUBSTITUTE($Z536,V$1&amp;" (8)",""))&lt;lenb($Z536),8,IF(lenb(SUBSTITUTE($Z536,V$1&amp;" (9)",""))&lt;lenb($Z536),9,IF(lenb(SUBSTITUTE($Z536,V$1&amp;" (10)",""))&lt;lenb($Z536),10,IF(lenb(SUBSTITUTE($Z536,V$1,""))&lt;lenb($Z536),"ERROR",IF($Z536=$Y$1,"-",0))))))))))))</f>
        <v>2</v>
      </c>
      <c r="W536" s="32">
        <f t="shared" si="541"/>
        <v>0</v>
      </c>
      <c r="X536" s="32">
        <f t="shared" si="541"/>
        <v>0</v>
      </c>
      <c r="Y536" s="32" t="str">
        <f t="shared" si="3"/>
        <v>-</v>
      </c>
      <c r="Z536" s="32" t="s">
        <v>57</v>
      </c>
      <c r="AA536" s="33">
        <f t="shared" si="4"/>
        <v>2</v>
      </c>
      <c r="AB536" s="34">
        <f>COUNTIFS(Links!B:B,"ICSE",Links!C:C,A536,Links!AD:AD,1)</f>
        <v>0</v>
      </c>
      <c r="AC536" s="35" t="s">
        <v>37</v>
      </c>
      <c r="AD536" s="27" t="str">
        <f t="shared" si="5"/>
        <v>No</v>
      </c>
      <c r="AE536" s="36" t="s">
        <v>36</v>
      </c>
      <c r="AF536" s="37" t="s">
        <v>42</v>
      </c>
      <c r="AG536" s="37" t="s">
        <v>42</v>
      </c>
      <c r="AH536" s="37" t="s">
        <v>42</v>
      </c>
      <c r="AI536" s="29" t="str">
        <f t="shared" si="6"/>
        <v>----</v>
      </c>
      <c r="AJ536" s="38" t="str">
        <f t="shared" si="7"/>
        <v>Paper has link but no statement</v>
      </c>
      <c r="AK536" s="39">
        <v>45028.0</v>
      </c>
      <c r="AL536" s="23" t="s">
        <v>43</v>
      </c>
      <c r="AM536" s="40" t="str">
        <f t="shared" si="8"/>
        <v>[IP0988]</v>
      </c>
    </row>
    <row r="537" ht="67.5" customHeight="1">
      <c r="A537" s="41">
        <v>989.0</v>
      </c>
      <c r="B537" s="42" t="s">
        <v>1420</v>
      </c>
      <c r="C537" s="43">
        <v>2019.0</v>
      </c>
      <c r="D537" s="44" t="s">
        <v>35</v>
      </c>
      <c r="E537" s="45" t="s">
        <v>36</v>
      </c>
      <c r="F537" s="45" t="s">
        <v>36</v>
      </c>
      <c r="G537" s="45" t="s">
        <v>36</v>
      </c>
      <c r="H537" s="45" t="s">
        <v>36</v>
      </c>
      <c r="I537" s="45" t="s">
        <v>36</v>
      </c>
      <c r="J537" s="46" t="s">
        <v>36</v>
      </c>
      <c r="K537" s="47" t="s">
        <v>35</v>
      </c>
      <c r="L537" s="48" t="s">
        <v>36</v>
      </c>
      <c r="M537" s="48" t="s">
        <v>36</v>
      </c>
      <c r="N537" s="48" t="s">
        <v>36</v>
      </c>
      <c r="O537" s="48" t="s">
        <v>36</v>
      </c>
      <c r="P537" s="48" t="s">
        <v>36</v>
      </c>
      <c r="Q537" s="48" t="s">
        <v>36</v>
      </c>
      <c r="R537" s="48" t="s">
        <v>36</v>
      </c>
      <c r="S537" s="49" t="s">
        <v>36</v>
      </c>
      <c r="T537" s="50" t="s">
        <v>36</v>
      </c>
      <c r="U537" s="51" t="s">
        <v>36</v>
      </c>
      <c r="V537" s="52" t="str">
        <f t="shared" ref="V537:X537" si="542">IF(lenb(SUBSTITUTE($Z537,V$1&amp;" (1)",""))&lt;lenb($Z537),1,IF(lenb(SUBSTITUTE($Z537,V$1&amp;" (2)",""))&lt;lenb($Z537),2,IF(lenb(SUBSTITUTE($Z537,V$1&amp;" (3)",""))&lt;lenb($Z537),3,IF(lenb(SUBSTITUTE($Z537,V$1&amp;" (4)",""))&lt;lenb($Z537),4,IF(lenb(SUBSTITUTE($Z537,V$1&amp;" (5)",""))&lt;lenb($Z537),5,IF(lenb(SUBSTITUTE($Z537,V$1&amp;" (6)",""))&lt;lenb($Z537),6,IF(lenb(SUBSTITUTE($Z537,V$1&amp;" (7)",""))&lt;lenb($Z537),1,IF(lenb(SUBSTITUTE($Z537,V$1&amp;" (8)",""))&lt;lenb($Z537),8,IF(lenb(SUBSTITUTE($Z537,V$1&amp;" (9)",""))&lt;lenb($Z537),9,IF(lenb(SUBSTITUTE($Z537,V$1&amp;" (10)",""))&lt;lenb($Z537),10,IF(lenb(SUBSTITUTE($Z537,V$1,""))&lt;lenb($Z537),"ERROR",IF($Z537=$Y$1,"-",0))))))))))))</f>
        <v>-</v>
      </c>
      <c r="W537" s="52" t="str">
        <f t="shared" si="542"/>
        <v>-</v>
      </c>
      <c r="X537" s="52" t="str">
        <f t="shared" si="542"/>
        <v>-</v>
      </c>
      <c r="Y537" s="52">
        <f t="shared" si="3"/>
        <v>1</v>
      </c>
      <c r="Z537" s="52" t="s">
        <v>23</v>
      </c>
      <c r="AA537" s="53">
        <f t="shared" si="4"/>
        <v>0</v>
      </c>
      <c r="AB537" s="54">
        <f>COUNTIFS(Links!B:B,"ICSE",Links!C:C,A537,Links!AD:AD,1)</f>
        <v>0</v>
      </c>
      <c r="AC537" s="55" t="s">
        <v>36</v>
      </c>
      <c r="AD537" s="47" t="str">
        <f t="shared" si="5"/>
        <v>No</v>
      </c>
      <c r="AE537" s="56" t="s">
        <v>36</v>
      </c>
      <c r="AF537" s="57" t="s">
        <v>42</v>
      </c>
      <c r="AG537" s="57" t="s">
        <v>42</v>
      </c>
      <c r="AH537" s="57" t="s">
        <v>42</v>
      </c>
      <c r="AI537" s="49" t="str">
        <f t="shared" si="6"/>
        <v>----</v>
      </c>
      <c r="AJ537" s="58" t="str">
        <f t="shared" si="7"/>
        <v>Paper has no link and no statement</v>
      </c>
      <c r="AK537" s="59">
        <v>45028.0</v>
      </c>
      <c r="AL537" s="43" t="s">
        <v>43</v>
      </c>
      <c r="AM537" s="60" t="str">
        <f t="shared" si="8"/>
        <v>[IP0989]</v>
      </c>
    </row>
    <row r="538" ht="67.5" customHeight="1">
      <c r="A538" s="61">
        <v>990.0</v>
      </c>
      <c r="B538" s="22" t="s">
        <v>1421</v>
      </c>
      <c r="C538" s="23">
        <v>2019.0</v>
      </c>
      <c r="D538" s="24" t="s">
        <v>35</v>
      </c>
      <c r="E538" s="25" t="s">
        <v>36</v>
      </c>
      <c r="F538" s="25" t="s">
        <v>36</v>
      </c>
      <c r="G538" s="25" t="s">
        <v>36</v>
      </c>
      <c r="H538" s="25" t="s">
        <v>36</v>
      </c>
      <c r="I538" s="25" t="s">
        <v>36</v>
      </c>
      <c r="J538" s="26" t="s">
        <v>36</v>
      </c>
      <c r="K538" s="27" t="s">
        <v>35</v>
      </c>
      <c r="L538" s="28" t="s">
        <v>36</v>
      </c>
      <c r="M538" s="28" t="s">
        <v>36</v>
      </c>
      <c r="N538" s="28" t="s">
        <v>36</v>
      </c>
      <c r="O538" s="28" t="s">
        <v>36</v>
      </c>
      <c r="P538" s="28" t="s">
        <v>36</v>
      </c>
      <c r="Q538" s="28" t="s">
        <v>36</v>
      </c>
      <c r="R538" s="28" t="s">
        <v>36</v>
      </c>
      <c r="S538" s="29" t="s">
        <v>36</v>
      </c>
      <c r="T538" s="30" t="s">
        <v>36</v>
      </c>
      <c r="U538" s="31" t="s">
        <v>36</v>
      </c>
      <c r="V538" s="32" t="str">
        <f t="shared" ref="V538:X538" si="543">IF(lenb(SUBSTITUTE($Z538,V$1&amp;" (1)",""))&lt;lenb($Z538),1,IF(lenb(SUBSTITUTE($Z538,V$1&amp;" (2)",""))&lt;lenb($Z538),2,IF(lenb(SUBSTITUTE($Z538,V$1&amp;" (3)",""))&lt;lenb($Z538),3,IF(lenb(SUBSTITUTE($Z538,V$1&amp;" (4)",""))&lt;lenb($Z538),4,IF(lenb(SUBSTITUTE($Z538,V$1&amp;" (5)",""))&lt;lenb($Z538),5,IF(lenb(SUBSTITUTE($Z538,V$1&amp;" (6)",""))&lt;lenb($Z538),6,IF(lenb(SUBSTITUTE($Z538,V$1&amp;" (7)",""))&lt;lenb($Z538),1,IF(lenb(SUBSTITUTE($Z538,V$1&amp;" (8)",""))&lt;lenb($Z538),8,IF(lenb(SUBSTITUTE($Z538,V$1&amp;" (9)",""))&lt;lenb($Z538),9,IF(lenb(SUBSTITUTE($Z538,V$1&amp;" (10)",""))&lt;lenb($Z538),10,IF(lenb(SUBSTITUTE($Z538,V$1,""))&lt;lenb($Z538),"ERROR",IF($Z538=$Y$1,"-",0))))))))))))</f>
        <v>-</v>
      </c>
      <c r="W538" s="32" t="str">
        <f t="shared" si="543"/>
        <v>-</v>
      </c>
      <c r="X538" s="32" t="str">
        <f t="shared" si="543"/>
        <v>-</v>
      </c>
      <c r="Y538" s="32">
        <f t="shared" si="3"/>
        <v>1</v>
      </c>
      <c r="Z538" s="32" t="s">
        <v>23</v>
      </c>
      <c r="AA538" s="33">
        <f t="shared" si="4"/>
        <v>0</v>
      </c>
      <c r="AB538" s="34">
        <f>COUNTIFS(Links!B:B,"ICSE",Links!C:C,A538,Links!AD:AD,1)</f>
        <v>0</v>
      </c>
      <c r="AC538" s="35" t="s">
        <v>36</v>
      </c>
      <c r="AD538" s="27" t="str">
        <f t="shared" si="5"/>
        <v>No</v>
      </c>
      <c r="AE538" s="36" t="s">
        <v>36</v>
      </c>
      <c r="AF538" s="37" t="s">
        <v>42</v>
      </c>
      <c r="AG538" s="37" t="s">
        <v>42</v>
      </c>
      <c r="AH538" s="37" t="s">
        <v>42</v>
      </c>
      <c r="AI538" s="29" t="str">
        <f t="shared" si="6"/>
        <v>----</v>
      </c>
      <c r="AJ538" s="38" t="str">
        <f t="shared" si="7"/>
        <v>Paper has no link and no statement</v>
      </c>
      <c r="AK538" s="39">
        <v>45028.0</v>
      </c>
      <c r="AL538" s="23" t="s">
        <v>43</v>
      </c>
      <c r="AM538" s="40" t="str">
        <f t="shared" si="8"/>
        <v>[IP0990]</v>
      </c>
    </row>
    <row r="539" ht="67.5" customHeight="1">
      <c r="A539" s="41">
        <v>991.0</v>
      </c>
      <c r="B539" s="42" t="s">
        <v>1422</v>
      </c>
      <c r="C539" s="43">
        <v>2019.0</v>
      </c>
      <c r="D539" s="44" t="s">
        <v>35</v>
      </c>
      <c r="E539" s="45" t="s">
        <v>36</v>
      </c>
      <c r="F539" s="45" t="s">
        <v>36</v>
      </c>
      <c r="G539" s="45" t="s">
        <v>36</v>
      </c>
      <c r="H539" s="45" t="s">
        <v>36</v>
      </c>
      <c r="I539" s="45" t="s">
        <v>36</v>
      </c>
      <c r="J539" s="46" t="s">
        <v>36</v>
      </c>
      <c r="K539" s="47" t="s">
        <v>37</v>
      </c>
      <c r="L539" s="48" t="s">
        <v>37</v>
      </c>
      <c r="M539" s="48" t="s">
        <v>35</v>
      </c>
      <c r="N539" s="48" t="s">
        <v>37</v>
      </c>
      <c r="O539" s="48" t="s">
        <v>35</v>
      </c>
      <c r="P539" s="48" t="s">
        <v>35</v>
      </c>
      <c r="Q539" s="48" t="s">
        <v>35</v>
      </c>
      <c r="R539" s="48" t="s">
        <v>35</v>
      </c>
      <c r="S539" s="49" t="s">
        <v>340</v>
      </c>
      <c r="T539" s="50" t="s">
        <v>1423</v>
      </c>
      <c r="U539" s="51" t="s">
        <v>1423</v>
      </c>
      <c r="V539" s="52">
        <f t="shared" ref="V539:X539" si="544">IF(lenb(SUBSTITUTE($Z539,V$1&amp;" (1)",""))&lt;lenb($Z539),1,IF(lenb(SUBSTITUTE($Z539,V$1&amp;" (2)",""))&lt;lenb($Z539),2,IF(lenb(SUBSTITUTE($Z539,V$1&amp;" (3)",""))&lt;lenb($Z539),3,IF(lenb(SUBSTITUTE($Z539,V$1&amp;" (4)",""))&lt;lenb($Z539),4,IF(lenb(SUBSTITUTE($Z539,V$1&amp;" (5)",""))&lt;lenb($Z539),5,IF(lenb(SUBSTITUTE($Z539,V$1&amp;" (6)",""))&lt;lenb($Z539),6,IF(lenb(SUBSTITUTE($Z539,V$1&amp;" (7)",""))&lt;lenb($Z539),1,IF(lenb(SUBSTITUTE($Z539,V$1&amp;" (8)",""))&lt;lenb($Z539),8,IF(lenb(SUBSTITUTE($Z539,V$1&amp;" (9)",""))&lt;lenb($Z539),9,IF(lenb(SUBSTITUTE($Z539,V$1&amp;" (10)",""))&lt;lenb($Z539),10,IF(lenb(SUBSTITUTE($Z539,V$1,""))&lt;lenb($Z539),"ERROR",IF($Z539=$Y$1,"-",0))))))))))))</f>
        <v>1</v>
      </c>
      <c r="W539" s="52">
        <f t="shared" si="544"/>
        <v>0</v>
      </c>
      <c r="X539" s="52">
        <f t="shared" si="544"/>
        <v>0</v>
      </c>
      <c r="Y539" s="52" t="str">
        <f t="shared" si="3"/>
        <v>-</v>
      </c>
      <c r="Z539" s="52" t="s">
        <v>62</v>
      </c>
      <c r="AA539" s="53">
        <f t="shared" si="4"/>
        <v>1</v>
      </c>
      <c r="AB539" s="54">
        <f>COUNTIFS(Links!B:B,"ICSE",Links!C:C,A539,Links!AD:AD,1)</f>
        <v>0</v>
      </c>
      <c r="AC539" s="55" t="s">
        <v>35</v>
      </c>
      <c r="AD539" s="47" t="str">
        <f t="shared" si="5"/>
        <v>No</v>
      </c>
      <c r="AE539" s="56" t="s">
        <v>36</v>
      </c>
      <c r="AF539" s="57" t="s">
        <v>42</v>
      </c>
      <c r="AG539" s="57" t="s">
        <v>42</v>
      </c>
      <c r="AH539" s="57" t="s">
        <v>42</v>
      </c>
      <c r="AI539" s="49" t="str">
        <f t="shared" si="6"/>
        <v>----</v>
      </c>
      <c r="AJ539" s="58" t="str">
        <f t="shared" si="7"/>
        <v>Paper has link but no statement</v>
      </c>
      <c r="AK539" s="59">
        <v>45028.0</v>
      </c>
      <c r="AL539" s="43" t="s">
        <v>43</v>
      </c>
      <c r="AM539" s="60" t="str">
        <f t="shared" si="8"/>
        <v>[IP0991]</v>
      </c>
    </row>
    <row r="540" ht="67.5" customHeight="1">
      <c r="A540" s="61">
        <v>992.0</v>
      </c>
      <c r="B540" s="75" t="s">
        <v>1424</v>
      </c>
      <c r="C540" s="23">
        <v>2019.0</v>
      </c>
      <c r="D540" s="24" t="s">
        <v>37</v>
      </c>
      <c r="E540" s="25" t="s">
        <v>37</v>
      </c>
      <c r="F540" s="25" t="s">
        <v>35</v>
      </c>
      <c r="G540" s="25" t="s">
        <v>37</v>
      </c>
      <c r="H540" s="25" t="s">
        <v>35</v>
      </c>
      <c r="I540" s="25" t="s">
        <v>35</v>
      </c>
      <c r="J540" s="26" t="s">
        <v>36</v>
      </c>
      <c r="K540" s="27" t="s">
        <v>37</v>
      </c>
      <c r="L540" s="28" t="s">
        <v>35</v>
      </c>
      <c r="M540" s="28" t="s">
        <v>35</v>
      </c>
      <c r="N540" s="28" t="s">
        <v>37</v>
      </c>
      <c r="O540" s="28" t="s">
        <v>35</v>
      </c>
      <c r="P540" s="28" t="s">
        <v>35</v>
      </c>
      <c r="Q540" s="28" t="s">
        <v>35</v>
      </c>
      <c r="R540" s="28" t="s">
        <v>35</v>
      </c>
      <c r="S540" s="29" t="s">
        <v>289</v>
      </c>
      <c r="T540" s="30" t="s">
        <v>1425</v>
      </c>
      <c r="U540" s="31" t="s">
        <v>1425</v>
      </c>
      <c r="V540" s="32">
        <f t="shared" ref="V540:X540" si="545">IF(lenb(SUBSTITUTE($Z540,V$1&amp;" (1)",""))&lt;lenb($Z540),1,IF(lenb(SUBSTITUTE($Z540,V$1&amp;" (2)",""))&lt;lenb($Z540),2,IF(lenb(SUBSTITUTE($Z540,V$1&amp;" (3)",""))&lt;lenb($Z540),3,IF(lenb(SUBSTITUTE($Z540,V$1&amp;" (4)",""))&lt;lenb($Z540),4,IF(lenb(SUBSTITUTE($Z540,V$1&amp;" (5)",""))&lt;lenb($Z540),5,IF(lenb(SUBSTITUTE($Z540,V$1&amp;" (6)",""))&lt;lenb($Z540),6,IF(lenb(SUBSTITUTE($Z540,V$1&amp;" (7)",""))&lt;lenb($Z540),1,IF(lenb(SUBSTITUTE($Z540,V$1&amp;" (8)",""))&lt;lenb($Z540),8,IF(lenb(SUBSTITUTE($Z540,V$1&amp;" (9)",""))&lt;lenb($Z540),9,IF(lenb(SUBSTITUTE($Z540,V$1&amp;" (10)",""))&lt;lenb($Z540),10,IF(lenb(SUBSTITUTE($Z540,V$1,""))&lt;lenb($Z540),"ERROR",IF($Z540=$Y$1,"-",0))))))))))))</f>
        <v>1</v>
      </c>
      <c r="W540" s="32">
        <f t="shared" si="545"/>
        <v>0</v>
      </c>
      <c r="X540" s="32">
        <f t="shared" si="545"/>
        <v>0</v>
      </c>
      <c r="Y540" s="32" t="str">
        <f t="shared" si="3"/>
        <v>-</v>
      </c>
      <c r="Z540" s="32" t="s">
        <v>62</v>
      </c>
      <c r="AA540" s="33">
        <f t="shared" si="4"/>
        <v>1</v>
      </c>
      <c r="AB540" s="34">
        <f>COUNTIFS(Links!B:B,"ICSE",Links!C:C,A540,Links!AD:AD,1)</f>
        <v>0</v>
      </c>
      <c r="AC540" s="35" t="s">
        <v>35</v>
      </c>
      <c r="AD540" s="27" t="str">
        <f t="shared" si="5"/>
        <v>No</v>
      </c>
      <c r="AE540" s="36" t="s">
        <v>36</v>
      </c>
      <c r="AF540" s="37" t="s">
        <v>42</v>
      </c>
      <c r="AG540" s="37" t="s">
        <v>42</v>
      </c>
      <c r="AH540" s="37" t="s">
        <v>42</v>
      </c>
      <c r="AI540" s="29" t="str">
        <f t="shared" si="6"/>
        <v>----</v>
      </c>
      <c r="AJ540" s="38" t="str">
        <f t="shared" si="7"/>
        <v>Paper has link but no statement</v>
      </c>
      <c r="AK540" s="39">
        <v>45028.0</v>
      </c>
      <c r="AL540" s="23" t="s">
        <v>43</v>
      </c>
      <c r="AM540" s="40" t="str">
        <f t="shared" si="8"/>
        <v>[IP0992]</v>
      </c>
    </row>
    <row r="541" ht="67.5" customHeight="1">
      <c r="A541" s="41">
        <v>993.0</v>
      </c>
      <c r="B541" s="74" t="s">
        <v>1426</v>
      </c>
      <c r="C541" s="43">
        <v>2019.0</v>
      </c>
      <c r="D541" s="44" t="s">
        <v>37</v>
      </c>
      <c r="E541" s="45" t="s">
        <v>37</v>
      </c>
      <c r="F541" s="45" t="s">
        <v>35</v>
      </c>
      <c r="G541" s="45" t="s">
        <v>37</v>
      </c>
      <c r="H541" s="45" t="s">
        <v>35</v>
      </c>
      <c r="I541" s="45" t="s">
        <v>35</v>
      </c>
      <c r="J541" s="46" t="s">
        <v>36</v>
      </c>
      <c r="K541" s="47" t="s">
        <v>37</v>
      </c>
      <c r="L541" s="48" t="s">
        <v>37</v>
      </c>
      <c r="M541" s="48" t="s">
        <v>35</v>
      </c>
      <c r="N541" s="48" t="s">
        <v>37</v>
      </c>
      <c r="O541" s="48" t="s">
        <v>35</v>
      </c>
      <c r="P541" s="48" t="s">
        <v>35</v>
      </c>
      <c r="Q541" s="48" t="s">
        <v>35</v>
      </c>
      <c r="R541" s="48" t="s">
        <v>35</v>
      </c>
      <c r="S541" s="49" t="s">
        <v>340</v>
      </c>
      <c r="T541" s="50" t="s">
        <v>1427</v>
      </c>
      <c r="U541" s="51" t="s">
        <v>1427</v>
      </c>
      <c r="V541" s="52">
        <f t="shared" ref="V541:X541" si="546">IF(lenb(SUBSTITUTE($Z541,V$1&amp;" (1)",""))&lt;lenb($Z541),1,IF(lenb(SUBSTITUTE($Z541,V$1&amp;" (2)",""))&lt;lenb($Z541),2,IF(lenb(SUBSTITUTE($Z541,V$1&amp;" (3)",""))&lt;lenb($Z541),3,IF(lenb(SUBSTITUTE($Z541,V$1&amp;" (4)",""))&lt;lenb($Z541),4,IF(lenb(SUBSTITUTE($Z541,V$1&amp;" (5)",""))&lt;lenb($Z541),5,IF(lenb(SUBSTITUTE($Z541,V$1&amp;" (6)",""))&lt;lenb($Z541),6,IF(lenb(SUBSTITUTE($Z541,V$1&amp;" (7)",""))&lt;lenb($Z541),1,IF(lenb(SUBSTITUTE($Z541,V$1&amp;" (8)",""))&lt;lenb($Z541),8,IF(lenb(SUBSTITUTE($Z541,V$1&amp;" (9)",""))&lt;lenb($Z541),9,IF(lenb(SUBSTITUTE($Z541,V$1&amp;" (10)",""))&lt;lenb($Z541),10,IF(lenb(SUBSTITUTE($Z541,V$1,""))&lt;lenb($Z541),"ERROR",IF($Z541=$Y$1,"-",0))))))))))))</f>
        <v>1</v>
      </c>
      <c r="W541" s="52">
        <f t="shared" si="546"/>
        <v>0</v>
      </c>
      <c r="X541" s="52">
        <f t="shared" si="546"/>
        <v>0</v>
      </c>
      <c r="Y541" s="52" t="str">
        <f t="shared" si="3"/>
        <v>-</v>
      </c>
      <c r="Z541" s="52" t="s">
        <v>62</v>
      </c>
      <c r="AA541" s="53">
        <f t="shared" si="4"/>
        <v>1</v>
      </c>
      <c r="AB541" s="54">
        <f>COUNTIFS(Links!B:B,"ICSE",Links!C:C,A541,Links!AD:AD,1)</f>
        <v>0</v>
      </c>
      <c r="AC541" s="55" t="s">
        <v>35</v>
      </c>
      <c r="AD541" s="47" t="str">
        <f t="shared" si="5"/>
        <v>No</v>
      </c>
      <c r="AE541" s="56" t="s">
        <v>36</v>
      </c>
      <c r="AF541" s="57" t="s">
        <v>42</v>
      </c>
      <c r="AG541" s="57" t="s">
        <v>42</v>
      </c>
      <c r="AH541" s="57" t="s">
        <v>42</v>
      </c>
      <c r="AI541" s="49" t="str">
        <f t="shared" si="6"/>
        <v>----</v>
      </c>
      <c r="AJ541" s="58" t="str">
        <f t="shared" si="7"/>
        <v>Paper has link but no statement</v>
      </c>
      <c r="AK541" s="59">
        <v>45028.0</v>
      </c>
      <c r="AL541" s="43" t="s">
        <v>43</v>
      </c>
      <c r="AM541" s="60" t="str">
        <f t="shared" si="8"/>
        <v>[IP0993]</v>
      </c>
    </row>
    <row r="542" ht="67.5" customHeight="1">
      <c r="A542" s="61">
        <v>994.0</v>
      </c>
      <c r="B542" s="75" t="s">
        <v>1428</v>
      </c>
      <c r="C542" s="23">
        <v>2019.0</v>
      </c>
      <c r="D542" s="24" t="s">
        <v>37</v>
      </c>
      <c r="E542" s="25" t="s">
        <v>37</v>
      </c>
      <c r="F542" s="25" t="s">
        <v>35</v>
      </c>
      <c r="G542" s="25" t="s">
        <v>37</v>
      </c>
      <c r="H542" s="25" t="s">
        <v>35</v>
      </c>
      <c r="I542" s="25" t="s">
        <v>35</v>
      </c>
      <c r="J542" s="26" t="s">
        <v>36</v>
      </c>
      <c r="K542" s="27" t="s">
        <v>37</v>
      </c>
      <c r="L542" s="28" t="s">
        <v>35</v>
      </c>
      <c r="M542" s="28" t="s">
        <v>35</v>
      </c>
      <c r="N542" s="28" t="s">
        <v>35</v>
      </c>
      <c r="O542" s="28" t="s">
        <v>35</v>
      </c>
      <c r="P542" s="28" t="s">
        <v>35</v>
      </c>
      <c r="Q542" s="28" t="s">
        <v>35</v>
      </c>
      <c r="R542" s="28" t="s">
        <v>37</v>
      </c>
      <c r="S542" s="29" t="s">
        <v>370</v>
      </c>
      <c r="T542" s="30" t="s">
        <v>1429</v>
      </c>
      <c r="U542" s="31" t="s">
        <v>1429</v>
      </c>
      <c r="V542" s="32">
        <f t="shared" ref="V542:X542" si="547">IF(lenb(SUBSTITUTE($Z542,V$1&amp;" (1)",""))&lt;lenb($Z542),1,IF(lenb(SUBSTITUTE($Z542,V$1&amp;" (2)",""))&lt;lenb($Z542),2,IF(lenb(SUBSTITUTE($Z542,V$1&amp;" (3)",""))&lt;lenb($Z542),3,IF(lenb(SUBSTITUTE($Z542,V$1&amp;" (4)",""))&lt;lenb($Z542),4,IF(lenb(SUBSTITUTE($Z542,V$1&amp;" (5)",""))&lt;lenb($Z542),5,IF(lenb(SUBSTITUTE($Z542,V$1&amp;" (6)",""))&lt;lenb($Z542),6,IF(lenb(SUBSTITUTE($Z542,V$1&amp;" (7)",""))&lt;lenb($Z542),1,IF(lenb(SUBSTITUTE($Z542,V$1&amp;" (8)",""))&lt;lenb($Z542),8,IF(lenb(SUBSTITUTE($Z542,V$1&amp;" (9)",""))&lt;lenb($Z542),9,IF(lenb(SUBSTITUTE($Z542,V$1&amp;" (10)",""))&lt;lenb($Z542),10,IF(lenb(SUBSTITUTE($Z542,V$1,""))&lt;lenb($Z542),"ERROR",IF($Z542=$Y$1,"-",0))))))))))))</f>
        <v>1</v>
      </c>
      <c r="W542" s="32">
        <f t="shared" si="547"/>
        <v>0</v>
      </c>
      <c r="X542" s="32">
        <f t="shared" si="547"/>
        <v>0</v>
      </c>
      <c r="Y542" s="32" t="str">
        <f t="shared" si="3"/>
        <v>-</v>
      </c>
      <c r="Z542" s="32" t="s">
        <v>62</v>
      </c>
      <c r="AA542" s="33">
        <f t="shared" si="4"/>
        <v>1</v>
      </c>
      <c r="AB542" s="34">
        <f>COUNTIFS(Links!B:B,"ICSE",Links!C:C,A542,Links!AD:AD,1)</f>
        <v>0</v>
      </c>
      <c r="AC542" s="35" t="s">
        <v>35</v>
      </c>
      <c r="AD542" s="27" t="str">
        <f t="shared" si="5"/>
        <v>No</v>
      </c>
      <c r="AE542" s="36" t="s">
        <v>36</v>
      </c>
      <c r="AF542" s="37" t="s">
        <v>42</v>
      </c>
      <c r="AG542" s="37" t="s">
        <v>42</v>
      </c>
      <c r="AH542" s="37" t="s">
        <v>42</v>
      </c>
      <c r="AI542" s="29" t="str">
        <f t="shared" si="6"/>
        <v>----</v>
      </c>
      <c r="AJ542" s="38" t="str">
        <f t="shared" si="7"/>
        <v>Paper has link but no statement</v>
      </c>
      <c r="AK542" s="39">
        <v>45028.0</v>
      </c>
      <c r="AL542" s="23" t="s">
        <v>43</v>
      </c>
      <c r="AM542" s="40" t="str">
        <f t="shared" si="8"/>
        <v>[IP0994]</v>
      </c>
    </row>
    <row r="543" ht="67.5" customHeight="1">
      <c r="A543" s="41">
        <v>995.0</v>
      </c>
      <c r="B543" s="74" t="s">
        <v>1430</v>
      </c>
      <c r="C543" s="43">
        <v>2019.0</v>
      </c>
      <c r="D543" s="44" t="s">
        <v>37</v>
      </c>
      <c r="E543" s="45" t="s">
        <v>37</v>
      </c>
      <c r="F543" s="45" t="s">
        <v>35</v>
      </c>
      <c r="G543" s="45" t="s">
        <v>37</v>
      </c>
      <c r="H543" s="45" t="s">
        <v>35</v>
      </c>
      <c r="I543" s="45" t="s">
        <v>35</v>
      </c>
      <c r="J543" s="46" t="s">
        <v>36</v>
      </c>
      <c r="K543" s="47" t="s">
        <v>37</v>
      </c>
      <c r="L543" s="48" t="s">
        <v>37</v>
      </c>
      <c r="M543" s="48" t="s">
        <v>35</v>
      </c>
      <c r="N543" s="48" t="s">
        <v>37</v>
      </c>
      <c r="O543" s="48" t="s">
        <v>35</v>
      </c>
      <c r="P543" s="48" t="s">
        <v>35</v>
      </c>
      <c r="Q543" s="48" t="s">
        <v>35</v>
      </c>
      <c r="R543" s="48" t="s">
        <v>35</v>
      </c>
      <c r="S543" s="49" t="s">
        <v>340</v>
      </c>
      <c r="T543" s="50" t="s">
        <v>1431</v>
      </c>
      <c r="U543" s="51" t="s">
        <v>1431</v>
      </c>
      <c r="V543" s="52">
        <f t="shared" ref="V543:X543" si="548">IF(lenb(SUBSTITUTE($Z543,V$1&amp;" (1)",""))&lt;lenb($Z543),1,IF(lenb(SUBSTITUTE($Z543,V$1&amp;" (2)",""))&lt;lenb($Z543),2,IF(lenb(SUBSTITUTE($Z543,V$1&amp;" (3)",""))&lt;lenb($Z543),3,IF(lenb(SUBSTITUTE($Z543,V$1&amp;" (4)",""))&lt;lenb($Z543),4,IF(lenb(SUBSTITUTE($Z543,V$1&amp;" (5)",""))&lt;lenb($Z543),5,IF(lenb(SUBSTITUTE($Z543,V$1&amp;" (6)",""))&lt;lenb($Z543),6,IF(lenb(SUBSTITUTE($Z543,V$1&amp;" (7)",""))&lt;lenb($Z543),1,IF(lenb(SUBSTITUTE($Z543,V$1&amp;" (8)",""))&lt;lenb($Z543),8,IF(lenb(SUBSTITUTE($Z543,V$1&amp;" (9)",""))&lt;lenb($Z543),9,IF(lenb(SUBSTITUTE($Z543,V$1&amp;" (10)",""))&lt;lenb($Z543),10,IF(lenb(SUBSTITUTE($Z543,V$1,""))&lt;lenb($Z543),"ERROR",IF($Z543=$Y$1,"-",0))))))))))))</f>
        <v>1</v>
      </c>
      <c r="W543" s="52">
        <f t="shared" si="548"/>
        <v>0</v>
      </c>
      <c r="X543" s="52">
        <f t="shared" si="548"/>
        <v>0</v>
      </c>
      <c r="Y543" s="52" t="str">
        <f t="shared" si="3"/>
        <v>-</v>
      </c>
      <c r="Z543" s="52" t="s">
        <v>62</v>
      </c>
      <c r="AA543" s="53">
        <f t="shared" si="4"/>
        <v>1</v>
      </c>
      <c r="AB543" s="54">
        <f>COUNTIFS(Links!B:B,"ICSE",Links!C:C,A543,Links!AD:AD,1)</f>
        <v>0</v>
      </c>
      <c r="AC543" s="55" t="s">
        <v>35</v>
      </c>
      <c r="AD543" s="47" t="str">
        <f t="shared" si="5"/>
        <v>No</v>
      </c>
      <c r="AE543" s="56" t="s">
        <v>36</v>
      </c>
      <c r="AF543" s="57" t="s">
        <v>42</v>
      </c>
      <c r="AG543" s="57" t="s">
        <v>42</v>
      </c>
      <c r="AH543" s="57" t="s">
        <v>42</v>
      </c>
      <c r="AI543" s="49" t="str">
        <f t="shared" si="6"/>
        <v>----</v>
      </c>
      <c r="AJ543" s="58" t="str">
        <f t="shared" si="7"/>
        <v>Paper has link but no statement</v>
      </c>
      <c r="AK543" s="59">
        <v>45028.0</v>
      </c>
      <c r="AL543" s="43" t="s">
        <v>43</v>
      </c>
      <c r="AM543" s="60" t="str">
        <f t="shared" si="8"/>
        <v>[IP0995]</v>
      </c>
    </row>
    <row r="544" ht="67.5" customHeight="1">
      <c r="A544" s="61">
        <v>996.0</v>
      </c>
      <c r="B544" s="75" t="s">
        <v>1432</v>
      </c>
      <c r="C544" s="23">
        <v>2019.0</v>
      </c>
      <c r="D544" s="24" t="s">
        <v>37</v>
      </c>
      <c r="E544" s="25" t="s">
        <v>37</v>
      </c>
      <c r="F544" s="25" t="s">
        <v>35</v>
      </c>
      <c r="G544" s="25" t="s">
        <v>35</v>
      </c>
      <c r="H544" s="25" t="s">
        <v>35</v>
      </c>
      <c r="I544" s="25" t="s">
        <v>35</v>
      </c>
      <c r="J544" s="26" t="s">
        <v>36</v>
      </c>
      <c r="K544" s="27" t="s">
        <v>37</v>
      </c>
      <c r="L544" s="28" t="s">
        <v>37</v>
      </c>
      <c r="M544" s="28" t="s">
        <v>35</v>
      </c>
      <c r="N544" s="28" t="s">
        <v>37</v>
      </c>
      <c r="O544" s="28" t="s">
        <v>35</v>
      </c>
      <c r="P544" s="28" t="s">
        <v>35</v>
      </c>
      <c r="Q544" s="28" t="s">
        <v>35</v>
      </c>
      <c r="R544" s="28" t="s">
        <v>37</v>
      </c>
      <c r="S544" s="29" t="s">
        <v>1433</v>
      </c>
      <c r="T544" s="30" t="s">
        <v>1434</v>
      </c>
      <c r="U544" s="31" t="s">
        <v>1434</v>
      </c>
      <c r="V544" s="32">
        <f t="shared" ref="V544:X544" si="549">IF(lenb(SUBSTITUTE($Z544,V$1&amp;" (1)",""))&lt;lenb($Z544),1,IF(lenb(SUBSTITUTE($Z544,V$1&amp;" (2)",""))&lt;lenb($Z544),2,IF(lenb(SUBSTITUTE($Z544,V$1&amp;" (3)",""))&lt;lenb($Z544),3,IF(lenb(SUBSTITUTE($Z544,V$1&amp;" (4)",""))&lt;lenb($Z544),4,IF(lenb(SUBSTITUTE($Z544,V$1&amp;" (5)",""))&lt;lenb($Z544),5,IF(lenb(SUBSTITUTE($Z544,V$1&amp;" (6)",""))&lt;lenb($Z544),6,IF(lenb(SUBSTITUTE($Z544,V$1&amp;" (7)",""))&lt;lenb($Z544),1,IF(lenb(SUBSTITUTE($Z544,V$1&amp;" (8)",""))&lt;lenb($Z544),8,IF(lenb(SUBSTITUTE($Z544,V$1&amp;" (9)",""))&lt;lenb($Z544),9,IF(lenb(SUBSTITUTE($Z544,V$1&amp;" (10)",""))&lt;lenb($Z544),10,IF(lenb(SUBSTITUTE($Z544,V$1,""))&lt;lenb($Z544),"ERROR",IF($Z544=$Y$1,"-",0))))))))))))</f>
        <v>1</v>
      </c>
      <c r="W544" s="32">
        <f t="shared" si="549"/>
        <v>0</v>
      </c>
      <c r="X544" s="32">
        <f t="shared" si="549"/>
        <v>0</v>
      </c>
      <c r="Y544" s="32" t="str">
        <f t="shared" si="3"/>
        <v>-</v>
      </c>
      <c r="Z544" s="32" t="s">
        <v>62</v>
      </c>
      <c r="AA544" s="33">
        <f t="shared" si="4"/>
        <v>1</v>
      </c>
      <c r="AB544" s="34">
        <f>COUNTIFS(Links!B:B,"ICSE",Links!C:C,A544,Links!AD:AD,1)</f>
        <v>0</v>
      </c>
      <c r="AC544" s="35" t="s">
        <v>35</v>
      </c>
      <c r="AD544" s="27" t="str">
        <f t="shared" si="5"/>
        <v>No</v>
      </c>
      <c r="AE544" s="36" t="s">
        <v>36</v>
      </c>
      <c r="AF544" s="37" t="s">
        <v>42</v>
      </c>
      <c r="AG544" s="37" t="s">
        <v>42</v>
      </c>
      <c r="AH544" s="37" t="s">
        <v>42</v>
      </c>
      <c r="AI544" s="29" t="str">
        <f t="shared" si="6"/>
        <v>----</v>
      </c>
      <c r="AJ544" s="38" t="str">
        <f t="shared" si="7"/>
        <v>Paper has link but no statement</v>
      </c>
      <c r="AK544" s="39">
        <v>45028.0</v>
      </c>
      <c r="AL544" s="23" t="s">
        <v>43</v>
      </c>
      <c r="AM544" s="40" t="str">
        <f t="shared" si="8"/>
        <v>[IP0996]</v>
      </c>
    </row>
    <row r="545" ht="67.5" customHeight="1">
      <c r="A545" s="41">
        <v>997.0</v>
      </c>
      <c r="B545" s="42" t="s">
        <v>1435</v>
      </c>
      <c r="C545" s="43">
        <v>2019.0</v>
      </c>
      <c r="D545" s="44" t="s">
        <v>35</v>
      </c>
      <c r="E545" s="45" t="s">
        <v>36</v>
      </c>
      <c r="F545" s="45" t="s">
        <v>36</v>
      </c>
      <c r="G545" s="45" t="s">
        <v>36</v>
      </c>
      <c r="H545" s="45" t="s">
        <v>36</v>
      </c>
      <c r="I545" s="45" t="s">
        <v>36</v>
      </c>
      <c r="J545" s="46" t="s">
        <v>36</v>
      </c>
      <c r="K545" s="47" t="s">
        <v>37</v>
      </c>
      <c r="L545" s="48" t="s">
        <v>37</v>
      </c>
      <c r="M545" s="48" t="s">
        <v>35</v>
      </c>
      <c r="N545" s="48" t="s">
        <v>37</v>
      </c>
      <c r="O545" s="48" t="s">
        <v>35</v>
      </c>
      <c r="P545" s="48" t="s">
        <v>35</v>
      </c>
      <c r="Q545" s="48" t="s">
        <v>35</v>
      </c>
      <c r="R545" s="48" t="s">
        <v>37</v>
      </c>
      <c r="S545" s="49" t="s">
        <v>1436</v>
      </c>
      <c r="T545" s="50" t="s">
        <v>1437</v>
      </c>
      <c r="U545" s="51" t="s">
        <v>1437</v>
      </c>
      <c r="V545" s="52">
        <f t="shared" ref="V545:X545" si="550">IF(lenb(SUBSTITUTE($Z545,V$1&amp;" (1)",""))&lt;lenb($Z545),1,IF(lenb(SUBSTITUTE($Z545,V$1&amp;" (2)",""))&lt;lenb($Z545),2,IF(lenb(SUBSTITUTE($Z545,V$1&amp;" (3)",""))&lt;lenb($Z545),3,IF(lenb(SUBSTITUTE($Z545,V$1&amp;" (4)",""))&lt;lenb($Z545),4,IF(lenb(SUBSTITUTE($Z545,V$1&amp;" (5)",""))&lt;lenb($Z545),5,IF(lenb(SUBSTITUTE($Z545,V$1&amp;" (6)",""))&lt;lenb($Z545),6,IF(lenb(SUBSTITUTE($Z545,V$1&amp;" (7)",""))&lt;lenb($Z545),1,IF(lenb(SUBSTITUTE($Z545,V$1&amp;" (8)",""))&lt;lenb($Z545),8,IF(lenb(SUBSTITUTE($Z545,V$1&amp;" (9)",""))&lt;lenb($Z545),9,IF(lenb(SUBSTITUTE($Z545,V$1&amp;" (10)",""))&lt;lenb($Z545),10,IF(lenb(SUBSTITUTE($Z545,V$1,""))&lt;lenb($Z545),"ERROR",IF($Z545=$Y$1,"-",0))))))))))))</f>
        <v>2</v>
      </c>
      <c r="W545" s="52">
        <f t="shared" si="550"/>
        <v>0</v>
      </c>
      <c r="X545" s="52">
        <f t="shared" si="550"/>
        <v>0</v>
      </c>
      <c r="Y545" s="52" t="str">
        <f t="shared" si="3"/>
        <v>-</v>
      </c>
      <c r="Z545" s="52" t="s">
        <v>57</v>
      </c>
      <c r="AA545" s="53">
        <f t="shared" si="4"/>
        <v>2</v>
      </c>
      <c r="AB545" s="54">
        <f>COUNTIFS(Links!B:B,"ICSE",Links!C:C,A545,Links!AD:AD,1)</f>
        <v>0</v>
      </c>
      <c r="AC545" s="55" t="s">
        <v>35</v>
      </c>
      <c r="AD545" s="47" t="str">
        <f t="shared" si="5"/>
        <v>No</v>
      </c>
      <c r="AE545" s="56" t="s">
        <v>36</v>
      </c>
      <c r="AF545" s="57" t="s">
        <v>42</v>
      </c>
      <c r="AG545" s="57" t="s">
        <v>42</v>
      </c>
      <c r="AH545" s="57" t="s">
        <v>42</v>
      </c>
      <c r="AI545" s="49" t="str">
        <f t="shared" si="6"/>
        <v>----</v>
      </c>
      <c r="AJ545" s="58" t="str">
        <f t="shared" si="7"/>
        <v>Paper has link but no statement</v>
      </c>
      <c r="AK545" s="59">
        <v>45028.0</v>
      </c>
      <c r="AL545" s="43" t="s">
        <v>43</v>
      </c>
      <c r="AM545" s="60" t="str">
        <f t="shared" si="8"/>
        <v>[IP0997]</v>
      </c>
    </row>
    <row r="546" ht="67.5" customHeight="1">
      <c r="A546" s="61">
        <v>998.0</v>
      </c>
      <c r="B546" s="22" t="s">
        <v>1438</v>
      </c>
      <c r="C546" s="23">
        <v>2019.0</v>
      </c>
      <c r="D546" s="24" t="s">
        <v>35</v>
      </c>
      <c r="E546" s="25" t="s">
        <v>36</v>
      </c>
      <c r="F546" s="25" t="s">
        <v>36</v>
      </c>
      <c r="G546" s="25" t="s">
        <v>36</v>
      </c>
      <c r="H546" s="25" t="s">
        <v>36</v>
      </c>
      <c r="I546" s="25" t="s">
        <v>36</v>
      </c>
      <c r="J546" s="26" t="s">
        <v>36</v>
      </c>
      <c r="K546" s="27" t="s">
        <v>35</v>
      </c>
      <c r="L546" s="28" t="s">
        <v>36</v>
      </c>
      <c r="M546" s="28" t="s">
        <v>36</v>
      </c>
      <c r="N546" s="28" t="s">
        <v>36</v>
      </c>
      <c r="O546" s="28" t="s">
        <v>36</v>
      </c>
      <c r="P546" s="28" t="s">
        <v>36</v>
      </c>
      <c r="Q546" s="28" t="s">
        <v>36</v>
      </c>
      <c r="R546" s="28" t="s">
        <v>36</v>
      </c>
      <c r="S546" s="29" t="s">
        <v>36</v>
      </c>
      <c r="T546" s="30" t="s">
        <v>36</v>
      </c>
      <c r="U546" s="31" t="s">
        <v>36</v>
      </c>
      <c r="V546" s="32" t="str">
        <f t="shared" ref="V546:X546" si="551">IF(lenb(SUBSTITUTE($Z546,V$1&amp;" (1)",""))&lt;lenb($Z546),1,IF(lenb(SUBSTITUTE($Z546,V$1&amp;" (2)",""))&lt;lenb($Z546),2,IF(lenb(SUBSTITUTE($Z546,V$1&amp;" (3)",""))&lt;lenb($Z546),3,IF(lenb(SUBSTITUTE($Z546,V$1&amp;" (4)",""))&lt;lenb($Z546),4,IF(lenb(SUBSTITUTE($Z546,V$1&amp;" (5)",""))&lt;lenb($Z546),5,IF(lenb(SUBSTITUTE($Z546,V$1&amp;" (6)",""))&lt;lenb($Z546),6,IF(lenb(SUBSTITUTE($Z546,V$1&amp;" (7)",""))&lt;lenb($Z546),1,IF(lenb(SUBSTITUTE($Z546,V$1&amp;" (8)",""))&lt;lenb($Z546),8,IF(lenb(SUBSTITUTE($Z546,V$1&amp;" (9)",""))&lt;lenb($Z546),9,IF(lenb(SUBSTITUTE($Z546,V$1&amp;" (10)",""))&lt;lenb($Z546),10,IF(lenb(SUBSTITUTE($Z546,V$1,""))&lt;lenb($Z546),"ERROR",IF($Z546=$Y$1,"-",0))))))))))))</f>
        <v>-</v>
      </c>
      <c r="W546" s="32" t="str">
        <f t="shared" si="551"/>
        <v>-</v>
      </c>
      <c r="X546" s="32" t="str">
        <f t="shared" si="551"/>
        <v>-</v>
      </c>
      <c r="Y546" s="32">
        <f t="shared" si="3"/>
        <v>1</v>
      </c>
      <c r="Z546" s="32" t="s">
        <v>23</v>
      </c>
      <c r="AA546" s="33">
        <f t="shared" si="4"/>
        <v>0</v>
      </c>
      <c r="AB546" s="34">
        <f>COUNTIFS(Links!B:B,"ICSE",Links!C:C,A546,Links!AD:AD,1)</f>
        <v>0</v>
      </c>
      <c r="AC546" s="35" t="s">
        <v>36</v>
      </c>
      <c r="AD546" s="27" t="str">
        <f t="shared" si="5"/>
        <v>No</v>
      </c>
      <c r="AE546" s="36" t="s">
        <v>36</v>
      </c>
      <c r="AF546" s="37" t="s">
        <v>42</v>
      </c>
      <c r="AG546" s="37" t="s">
        <v>42</v>
      </c>
      <c r="AH546" s="37" t="s">
        <v>42</v>
      </c>
      <c r="AI546" s="29" t="str">
        <f t="shared" si="6"/>
        <v>----</v>
      </c>
      <c r="AJ546" s="38" t="str">
        <f t="shared" si="7"/>
        <v>Paper has no link and no statement</v>
      </c>
      <c r="AK546" s="39">
        <v>45028.0</v>
      </c>
      <c r="AL546" s="23" t="s">
        <v>43</v>
      </c>
      <c r="AM546" s="40" t="str">
        <f t="shared" si="8"/>
        <v>[IP0998]</v>
      </c>
    </row>
    <row r="547" ht="67.5" customHeight="1">
      <c r="A547" s="41">
        <v>999.0</v>
      </c>
      <c r="B547" s="74" t="s">
        <v>1439</v>
      </c>
      <c r="C547" s="43">
        <v>2019.0</v>
      </c>
      <c r="D547" s="44" t="s">
        <v>37</v>
      </c>
      <c r="E547" s="45" t="s">
        <v>37</v>
      </c>
      <c r="F547" s="45" t="s">
        <v>35</v>
      </c>
      <c r="G547" s="45" t="s">
        <v>37</v>
      </c>
      <c r="H547" s="45" t="s">
        <v>35</v>
      </c>
      <c r="I547" s="45" t="s">
        <v>35</v>
      </c>
      <c r="J547" s="46" t="s">
        <v>36</v>
      </c>
      <c r="K547" s="47" t="s">
        <v>37</v>
      </c>
      <c r="L547" s="48" t="s">
        <v>35</v>
      </c>
      <c r="M547" s="48" t="s">
        <v>35</v>
      </c>
      <c r="N547" s="48" t="s">
        <v>35</v>
      </c>
      <c r="O547" s="48" t="s">
        <v>37</v>
      </c>
      <c r="P547" s="48" t="s">
        <v>37</v>
      </c>
      <c r="Q547" s="48" t="s">
        <v>35</v>
      </c>
      <c r="R547" s="48" t="s">
        <v>35</v>
      </c>
      <c r="S547" s="49" t="s">
        <v>1440</v>
      </c>
      <c r="T547" s="50" t="s">
        <v>1441</v>
      </c>
      <c r="U547" s="51" t="s">
        <v>1441</v>
      </c>
      <c r="V547" s="52">
        <f t="shared" ref="V547:X547" si="552">IF(lenb(SUBSTITUTE($Z547,V$1&amp;" (1)",""))&lt;lenb($Z547),1,IF(lenb(SUBSTITUTE($Z547,V$1&amp;" (2)",""))&lt;lenb($Z547),2,IF(lenb(SUBSTITUTE($Z547,V$1&amp;" (3)",""))&lt;lenb($Z547),3,IF(lenb(SUBSTITUTE($Z547,V$1&amp;" (4)",""))&lt;lenb($Z547),4,IF(lenb(SUBSTITUTE($Z547,V$1&amp;" (5)",""))&lt;lenb($Z547),5,IF(lenb(SUBSTITUTE($Z547,V$1&amp;" (6)",""))&lt;lenb($Z547),6,IF(lenb(SUBSTITUTE($Z547,V$1&amp;" (7)",""))&lt;lenb($Z547),1,IF(lenb(SUBSTITUTE($Z547,V$1&amp;" (8)",""))&lt;lenb($Z547),8,IF(lenb(SUBSTITUTE($Z547,V$1&amp;" (9)",""))&lt;lenb($Z547),9,IF(lenb(SUBSTITUTE($Z547,V$1&amp;" (10)",""))&lt;lenb($Z547),10,IF(lenb(SUBSTITUTE($Z547,V$1,""))&lt;lenb($Z547),"ERROR",IF($Z547=$Y$1,"-",0))))))))))))</f>
        <v>1</v>
      </c>
      <c r="W547" s="52">
        <f t="shared" si="552"/>
        <v>0</v>
      </c>
      <c r="X547" s="52">
        <f t="shared" si="552"/>
        <v>0</v>
      </c>
      <c r="Y547" s="52" t="str">
        <f t="shared" si="3"/>
        <v>-</v>
      </c>
      <c r="Z547" s="52" t="s">
        <v>62</v>
      </c>
      <c r="AA547" s="53">
        <f t="shared" si="4"/>
        <v>1</v>
      </c>
      <c r="AB547" s="54">
        <f>COUNTIFS(Links!B:B,"ICSE",Links!C:C,A547,Links!AD:AD,1)</f>
        <v>0</v>
      </c>
      <c r="AC547" s="55" t="s">
        <v>35</v>
      </c>
      <c r="AD547" s="47" t="str">
        <f t="shared" si="5"/>
        <v>No</v>
      </c>
      <c r="AE547" s="56" t="s">
        <v>36</v>
      </c>
      <c r="AF547" s="57" t="s">
        <v>42</v>
      </c>
      <c r="AG547" s="57" t="s">
        <v>42</v>
      </c>
      <c r="AH547" s="57" t="s">
        <v>42</v>
      </c>
      <c r="AI547" s="49" t="str">
        <f t="shared" si="6"/>
        <v>----</v>
      </c>
      <c r="AJ547" s="58" t="str">
        <f t="shared" si="7"/>
        <v>Paper has link but no statement</v>
      </c>
      <c r="AK547" s="59">
        <v>45028.0</v>
      </c>
      <c r="AL547" s="43" t="s">
        <v>43</v>
      </c>
      <c r="AM547" s="60" t="str">
        <f t="shared" si="8"/>
        <v>[IP0999]</v>
      </c>
    </row>
    <row r="548" ht="67.5" customHeight="1">
      <c r="A548" s="61">
        <v>1000.0</v>
      </c>
      <c r="B548" s="22" t="s">
        <v>1442</v>
      </c>
      <c r="C548" s="23">
        <v>2019.0</v>
      </c>
      <c r="D548" s="24" t="s">
        <v>35</v>
      </c>
      <c r="E548" s="25" t="s">
        <v>36</v>
      </c>
      <c r="F548" s="25" t="s">
        <v>36</v>
      </c>
      <c r="G548" s="25" t="s">
        <v>36</v>
      </c>
      <c r="H548" s="25" t="s">
        <v>36</v>
      </c>
      <c r="I548" s="25" t="s">
        <v>36</v>
      </c>
      <c r="J548" s="26" t="s">
        <v>36</v>
      </c>
      <c r="K548" s="27" t="s">
        <v>37</v>
      </c>
      <c r="L548" s="28" t="s">
        <v>37</v>
      </c>
      <c r="M548" s="28" t="s">
        <v>35</v>
      </c>
      <c r="N548" s="28" t="s">
        <v>35</v>
      </c>
      <c r="O548" s="28" t="s">
        <v>35</v>
      </c>
      <c r="P548" s="28" t="s">
        <v>35</v>
      </c>
      <c r="Q548" s="28" t="s">
        <v>35</v>
      </c>
      <c r="R548" s="28" t="s">
        <v>37</v>
      </c>
      <c r="S548" s="29" t="s">
        <v>1443</v>
      </c>
      <c r="T548" s="30" t="s">
        <v>1444</v>
      </c>
      <c r="U548" s="31" t="s">
        <v>1444</v>
      </c>
      <c r="V548" s="32">
        <f t="shared" ref="V548:X548" si="553">IF(lenb(SUBSTITUTE($Z548,V$1&amp;" (1)",""))&lt;lenb($Z548),1,IF(lenb(SUBSTITUTE($Z548,V$1&amp;" (2)",""))&lt;lenb($Z548),2,IF(lenb(SUBSTITUTE($Z548,V$1&amp;" (3)",""))&lt;lenb($Z548),3,IF(lenb(SUBSTITUTE($Z548,V$1&amp;" (4)",""))&lt;lenb($Z548),4,IF(lenb(SUBSTITUTE($Z548,V$1&amp;" (5)",""))&lt;lenb($Z548),5,IF(lenb(SUBSTITUTE($Z548,V$1&amp;" (6)",""))&lt;lenb($Z548),6,IF(lenb(SUBSTITUTE($Z548,V$1&amp;" (7)",""))&lt;lenb($Z548),1,IF(lenb(SUBSTITUTE($Z548,V$1&amp;" (8)",""))&lt;lenb($Z548),8,IF(lenb(SUBSTITUTE($Z548,V$1&amp;" (9)",""))&lt;lenb($Z548),9,IF(lenb(SUBSTITUTE($Z548,V$1&amp;" (10)",""))&lt;lenb($Z548),10,IF(lenb(SUBSTITUTE($Z548,V$1,""))&lt;lenb($Z548),"ERROR",IF($Z548=$Y$1,"-",0))))))))))))</f>
        <v>0</v>
      </c>
      <c r="W548" s="32">
        <f t="shared" si="553"/>
        <v>1</v>
      </c>
      <c r="X548" s="32">
        <f t="shared" si="553"/>
        <v>0</v>
      </c>
      <c r="Y548" s="32" t="str">
        <f t="shared" si="3"/>
        <v>-</v>
      </c>
      <c r="Z548" s="32" t="s">
        <v>47</v>
      </c>
      <c r="AA548" s="33">
        <f t="shared" si="4"/>
        <v>1</v>
      </c>
      <c r="AB548" s="34">
        <f>COUNTIFS(Links!B:B,"ICSE",Links!C:C,A548,Links!AD:AD,1)</f>
        <v>0</v>
      </c>
      <c r="AC548" s="35" t="s">
        <v>35</v>
      </c>
      <c r="AD548" s="27" t="str">
        <f t="shared" si="5"/>
        <v>No</v>
      </c>
      <c r="AE548" s="36" t="s">
        <v>36</v>
      </c>
      <c r="AF548" s="37" t="s">
        <v>42</v>
      </c>
      <c r="AG548" s="37" t="s">
        <v>42</v>
      </c>
      <c r="AH548" s="37" t="s">
        <v>42</v>
      </c>
      <c r="AI548" s="29" t="str">
        <f t="shared" si="6"/>
        <v>----</v>
      </c>
      <c r="AJ548" s="38" t="str">
        <f t="shared" si="7"/>
        <v>Paper has link but no statement</v>
      </c>
      <c r="AK548" s="39">
        <v>45028.0</v>
      </c>
      <c r="AL548" s="23" t="s">
        <v>43</v>
      </c>
      <c r="AM548" s="40" t="str">
        <f t="shared" si="8"/>
        <v>[IP1000]</v>
      </c>
    </row>
    <row r="549" ht="67.5" customHeight="1">
      <c r="A549" s="41">
        <v>1001.0</v>
      </c>
      <c r="B549" s="74" t="s">
        <v>1445</v>
      </c>
      <c r="C549" s="43">
        <v>2019.0</v>
      </c>
      <c r="D549" s="44" t="s">
        <v>37</v>
      </c>
      <c r="E549" s="45" t="s">
        <v>37</v>
      </c>
      <c r="F549" s="45" t="s">
        <v>35</v>
      </c>
      <c r="G549" s="45" t="s">
        <v>37</v>
      </c>
      <c r="H549" s="45" t="s">
        <v>35</v>
      </c>
      <c r="I549" s="45" t="s">
        <v>35</v>
      </c>
      <c r="J549" s="46" t="s">
        <v>36</v>
      </c>
      <c r="K549" s="47" t="s">
        <v>37</v>
      </c>
      <c r="L549" s="48" t="s">
        <v>35</v>
      </c>
      <c r="M549" s="48" t="s">
        <v>35</v>
      </c>
      <c r="N549" s="48" t="s">
        <v>35</v>
      </c>
      <c r="O549" s="48" t="s">
        <v>35</v>
      </c>
      <c r="P549" s="48" t="s">
        <v>35</v>
      </c>
      <c r="Q549" s="48" t="s">
        <v>35</v>
      </c>
      <c r="R549" s="48" t="s">
        <v>37</v>
      </c>
      <c r="S549" s="49" t="s">
        <v>1446</v>
      </c>
      <c r="T549" s="50" t="s">
        <v>1447</v>
      </c>
      <c r="U549" s="51" t="s">
        <v>1447</v>
      </c>
      <c r="V549" s="52">
        <f t="shared" ref="V549:X549" si="554">IF(lenb(SUBSTITUTE($Z549,V$1&amp;" (1)",""))&lt;lenb($Z549),1,IF(lenb(SUBSTITUTE($Z549,V$1&amp;" (2)",""))&lt;lenb($Z549),2,IF(lenb(SUBSTITUTE($Z549,V$1&amp;" (3)",""))&lt;lenb($Z549),3,IF(lenb(SUBSTITUTE($Z549,V$1&amp;" (4)",""))&lt;lenb($Z549),4,IF(lenb(SUBSTITUTE($Z549,V$1&amp;" (5)",""))&lt;lenb($Z549),5,IF(lenb(SUBSTITUTE($Z549,V$1&amp;" (6)",""))&lt;lenb($Z549),6,IF(lenb(SUBSTITUTE($Z549,V$1&amp;" (7)",""))&lt;lenb($Z549),1,IF(lenb(SUBSTITUTE($Z549,V$1&amp;" (8)",""))&lt;lenb($Z549),8,IF(lenb(SUBSTITUTE($Z549,V$1&amp;" (9)",""))&lt;lenb($Z549),9,IF(lenb(SUBSTITUTE($Z549,V$1&amp;" (10)",""))&lt;lenb($Z549),10,IF(lenb(SUBSTITUTE($Z549,V$1,""))&lt;lenb($Z549),"ERROR",IF($Z549=$Y$1,"-",0))))))))))))</f>
        <v>1</v>
      </c>
      <c r="W549" s="52">
        <f t="shared" si="554"/>
        <v>0</v>
      </c>
      <c r="X549" s="52">
        <f t="shared" si="554"/>
        <v>0</v>
      </c>
      <c r="Y549" s="52" t="str">
        <f t="shared" si="3"/>
        <v>-</v>
      </c>
      <c r="Z549" s="52" t="s">
        <v>62</v>
      </c>
      <c r="AA549" s="53">
        <f t="shared" si="4"/>
        <v>1</v>
      </c>
      <c r="AB549" s="54">
        <f>COUNTIFS(Links!B:B,"ICSE",Links!C:C,A549,Links!AD:AD,1)</f>
        <v>0</v>
      </c>
      <c r="AC549" s="55" t="s">
        <v>37</v>
      </c>
      <c r="AD549" s="47" t="str">
        <f t="shared" si="5"/>
        <v>No</v>
      </c>
      <c r="AE549" s="56" t="s">
        <v>36</v>
      </c>
      <c r="AF549" s="57" t="s">
        <v>42</v>
      </c>
      <c r="AG549" s="57" t="s">
        <v>42</v>
      </c>
      <c r="AH549" s="57" t="s">
        <v>42</v>
      </c>
      <c r="AI549" s="49" t="str">
        <f t="shared" si="6"/>
        <v>----</v>
      </c>
      <c r="AJ549" s="58" t="str">
        <f t="shared" si="7"/>
        <v>Paper has link but no statement</v>
      </c>
      <c r="AK549" s="59">
        <v>45028.0</v>
      </c>
      <c r="AL549" s="43" t="s">
        <v>43</v>
      </c>
      <c r="AM549" s="60" t="str">
        <f t="shared" si="8"/>
        <v>[IP1001]</v>
      </c>
    </row>
    <row r="550" ht="67.5" customHeight="1">
      <c r="A550" s="61">
        <v>1002.0</v>
      </c>
      <c r="B550" s="22" t="s">
        <v>1448</v>
      </c>
      <c r="C550" s="23">
        <v>2019.0</v>
      </c>
      <c r="D550" s="24" t="s">
        <v>35</v>
      </c>
      <c r="E550" s="25" t="s">
        <v>36</v>
      </c>
      <c r="F550" s="25" t="s">
        <v>36</v>
      </c>
      <c r="G550" s="25" t="s">
        <v>36</v>
      </c>
      <c r="H550" s="25" t="s">
        <v>36</v>
      </c>
      <c r="I550" s="25" t="s">
        <v>36</v>
      </c>
      <c r="J550" s="26" t="s">
        <v>36</v>
      </c>
      <c r="K550" s="27" t="s">
        <v>37</v>
      </c>
      <c r="L550" s="28" t="s">
        <v>37</v>
      </c>
      <c r="M550" s="28" t="s">
        <v>35</v>
      </c>
      <c r="N550" s="28" t="s">
        <v>35</v>
      </c>
      <c r="O550" s="28" t="s">
        <v>35</v>
      </c>
      <c r="P550" s="28" t="s">
        <v>35</v>
      </c>
      <c r="Q550" s="28" t="s">
        <v>35</v>
      </c>
      <c r="R550" s="28" t="s">
        <v>37</v>
      </c>
      <c r="S550" s="29" t="s">
        <v>1449</v>
      </c>
      <c r="T550" s="31" t="s">
        <v>1450</v>
      </c>
      <c r="U550" s="31" t="s">
        <v>1450</v>
      </c>
      <c r="V550" s="32">
        <f t="shared" ref="V550:X550" si="555">IF(lenb(SUBSTITUTE($Z550,V$1&amp;" (1)",""))&lt;lenb($Z550),1,IF(lenb(SUBSTITUTE($Z550,V$1&amp;" (2)",""))&lt;lenb($Z550),2,IF(lenb(SUBSTITUTE($Z550,V$1&amp;" (3)",""))&lt;lenb($Z550),3,IF(lenb(SUBSTITUTE($Z550,V$1&amp;" (4)",""))&lt;lenb($Z550),4,IF(lenb(SUBSTITUTE($Z550,V$1&amp;" (5)",""))&lt;lenb($Z550),5,IF(lenb(SUBSTITUTE($Z550,V$1&amp;" (6)",""))&lt;lenb($Z550),6,IF(lenb(SUBSTITUTE($Z550,V$1&amp;" (7)",""))&lt;lenb($Z550),1,IF(lenb(SUBSTITUTE($Z550,V$1&amp;" (8)",""))&lt;lenb($Z550),8,IF(lenb(SUBSTITUTE($Z550,V$1&amp;" (9)",""))&lt;lenb($Z550),9,IF(lenb(SUBSTITUTE($Z550,V$1&amp;" (10)",""))&lt;lenb($Z550),10,IF(lenb(SUBSTITUTE($Z550,V$1,""))&lt;lenb($Z550),"ERROR",IF($Z550=$Y$1,"-",0))))))))))))</f>
        <v>1</v>
      </c>
      <c r="W550" s="32">
        <f t="shared" si="555"/>
        <v>0</v>
      </c>
      <c r="X550" s="32">
        <f t="shared" si="555"/>
        <v>0</v>
      </c>
      <c r="Y550" s="32" t="str">
        <f t="shared" si="3"/>
        <v>-</v>
      </c>
      <c r="Z550" s="32" t="s">
        <v>62</v>
      </c>
      <c r="AA550" s="33">
        <f t="shared" si="4"/>
        <v>1</v>
      </c>
      <c r="AB550" s="34">
        <f>COUNTIFS(Links!B:B,"ICSE",Links!C:C,A550,Links!AD:AD,1)</f>
        <v>1</v>
      </c>
      <c r="AC550" s="35" t="s">
        <v>35</v>
      </c>
      <c r="AD550" s="27" t="str">
        <f t="shared" si="5"/>
        <v>No</v>
      </c>
      <c r="AE550" s="36" t="s">
        <v>36</v>
      </c>
      <c r="AF550" s="37" t="s">
        <v>42</v>
      </c>
      <c r="AG550" s="37" t="s">
        <v>42</v>
      </c>
      <c r="AH550" s="37" t="s">
        <v>42</v>
      </c>
      <c r="AI550" s="29" t="str">
        <f t="shared" si="6"/>
        <v>----</v>
      </c>
      <c r="AJ550" s="38" t="str">
        <f t="shared" si="7"/>
        <v>Paper has link but no statement</v>
      </c>
      <c r="AK550" s="39">
        <v>45028.0</v>
      </c>
      <c r="AL550" s="23" t="s">
        <v>43</v>
      </c>
      <c r="AM550" s="40" t="str">
        <f t="shared" si="8"/>
        <v>[IP1002]</v>
      </c>
    </row>
    <row r="551" ht="67.5" customHeight="1">
      <c r="A551" s="41">
        <v>1003.0</v>
      </c>
      <c r="B551" s="42" t="s">
        <v>1451</v>
      </c>
      <c r="C551" s="43">
        <v>2019.0</v>
      </c>
      <c r="D551" s="44" t="s">
        <v>35</v>
      </c>
      <c r="E551" s="45" t="s">
        <v>36</v>
      </c>
      <c r="F551" s="45" t="s">
        <v>36</v>
      </c>
      <c r="G551" s="45" t="s">
        <v>36</v>
      </c>
      <c r="H551" s="45" t="s">
        <v>36</v>
      </c>
      <c r="I551" s="45" t="s">
        <v>36</v>
      </c>
      <c r="J551" s="46" t="s">
        <v>36</v>
      </c>
      <c r="K551" s="47" t="s">
        <v>35</v>
      </c>
      <c r="L551" s="48" t="s">
        <v>36</v>
      </c>
      <c r="M551" s="48" t="s">
        <v>36</v>
      </c>
      <c r="N551" s="48" t="s">
        <v>36</v>
      </c>
      <c r="O551" s="48" t="s">
        <v>36</v>
      </c>
      <c r="P551" s="48" t="s">
        <v>36</v>
      </c>
      <c r="Q551" s="48" t="s">
        <v>36</v>
      </c>
      <c r="R551" s="48" t="s">
        <v>36</v>
      </c>
      <c r="S551" s="49" t="s">
        <v>36</v>
      </c>
      <c r="T551" s="50" t="s">
        <v>36</v>
      </c>
      <c r="U551" s="51" t="s">
        <v>36</v>
      </c>
      <c r="V551" s="52" t="str">
        <f t="shared" ref="V551:X551" si="556">IF(lenb(SUBSTITUTE($Z551,V$1&amp;" (1)",""))&lt;lenb($Z551),1,IF(lenb(SUBSTITUTE($Z551,V$1&amp;" (2)",""))&lt;lenb($Z551),2,IF(lenb(SUBSTITUTE($Z551,V$1&amp;" (3)",""))&lt;lenb($Z551),3,IF(lenb(SUBSTITUTE($Z551,V$1&amp;" (4)",""))&lt;lenb($Z551),4,IF(lenb(SUBSTITUTE($Z551,V$1&amp;" (5)",""))&lt;lenb($Z551),5,IF(lenb(SUBSTITUTE($Z551,V$1&amp;" (6)",""))&lt;lenb($Z551),6,IF(lenb(SUBSTITUTE($Z551,V$1&amp;" (7)",""))&lt;lenb($Z551),1,IF(lenb(SUBSTITUTE($Z551,V$1&amp;" (8)",""))&lt;lenb($Z551),8,IF(lenb(SUBSTITUTE($Z551,V$1&amp;" (9)",""))&lt;lenb($Z551),9,IF(lenb(SUBSTITUTE($Z551,V$1&amp;" (10)",""))&lt;lenb($Z551),10,IF(lenb(SUBSTITUTE($Z551,V$1,""))&lt;lenb($Z551),"ERROR",IF($Z551=$Y$1,"-",0))))))))))))</f>
        <v>-</v>
      </c>
      <c r="W551" s="52" t="str">
        <f t="shared" si="556"/>
        <v>-</v>
      </c>
      <c r="X551" s="52" t="str">
        <f t="shared" si="556"/>
        <v>-</v>
      </c>
      <c r="Y551" s="52">
        <f t="shared" si="3"/>
        <v>1</v>
      </c>
      <c r="Z551" s="52" t="s">
        <v>23</v>
      </c>
      <c r="AA551" s="53">
        <f t="shared" si="4"/>
        <v>0</v>
      </c>
      <c r="AB551" s="54">
        <f>COUNTIFS(Links!B:B,"ICSE",Links!C:C,A551,Links!AD:AD,1)</f>
        <v>0</v>
      </c>
      <c r="AC551" s="55" t="s">
        <v>36</v>
      </c>
      <c r="AD551" s="47" t="str">
        <f t="shared" si="5"/>
        <v>No</v>
      </c>
      <c r="AE551" s="56" t="s">
        <v>36</v>
      </c>
      <c r="AF551" s="57" t="s">
        <v>42</v>
      </c>
      <c r="AG551" s="57" t="s">
        <v>42</v>
      </c>
      <c r="AH551" s="57" t="s">
        <v>42</v>
      </c>
      <c r="AI551" s="49" t="str">
        <f t="shared" si="6"/>
        <v>----</v>
      </c>
      <c r="AJ551" s="58" t="str">
        <f t="shared" si="7"/>
        <v>Paper has no link and no statement</v>
      </c>
      <c r="AK551" s="59">
        <v>45028.0</v>
      </c>
      <c r="AL551" s="43" t="s">
        <v>43</v>
      </c>
      <c r="AM551" s="60" t="str">
        <f t="shared" si="8"/>
        <v>[IP1003]</v>
      </c>
    </row>
    <row r="552" ht="67.5" customHeight="1">
      <c r="A552" s="61">
        <v>1004.0</v>
      </c>
      <c r="B552" s="75" t="s">
        <v>1452</v>
      </c>
      <c r="C552" s="23">
        <v>2019.0</v>
      </c>
      <c r="D552" s="24" t="s">
        <v>37</v>
      </c>
      <c r="E552" s="25" t="s">
        <v>37</v>
      </c>
      <c r="F552" s="25" t="s">
        <v>35</v>
      </c>
      <c r="G552" s="25" t="s">
        <v>37</v>
      </c>
      <c r="H552" s="25" t="s">
        <v>35</v>
      </c>
      <c r="I552" s="25" t="s">
        <v>35</v>
      </c>
      <c r="J552" s="26" t="s">
        <v>36</v>
      </c>
      <c r="K552" s="27" t="s">
        <v>37</v>
      </c>
      <c r="L552" s="28" t="s">
        <v>37</v>
      </c>
      <c r="M552" s="28" t="s">
        <v>37</v>
      </c>
      <c r="N552" s="28" t="s">
        <v>35</v>
      </c>
      <c r="O552" s="28" t="s">
        <v>35</v>
      </c>
      <c r="P552" s="28" t="s">
        <v>35</v>
      </c>
      <c r="Q552" s="28" t="s">
        <v>35</v>
      </c>
      <c r="R552" s="28" t="s">
        <v>37</v>
      </c>
      <c r="S552" s="29" t="s">
        <v>1453</v>
      </c>
      <c r="T552" s="30" t="s">
        <v>1454</v>
      </c>
      <c r="U552" s="31" t="s">
        <v>1454</v>
      </c>
      <c r="V552" s="32">
        <f t="shared" ref="V552:X552" si="557">IF(lenb(SUBSTITUTE($Z552,V$1&amp;" (1)",""))&lt;lenb($Z552),1,IF(lenb(SUBSTITUTE($Z552,V$1&amp;" (2)",""))&lt;lenb($Z552),2,IF(lenb(SUBSTITUTE($Z552,V$1&amp;" (3)",""))&lt;lenb($Z552),3,IF(lenb(SUBSTITUTE($Z552,V$1&amp;" (4)",""))&lt;lenb($Z552),4,IF(lenb(SUBSTITUTE($Z552,V$1&amp;" (5)",""))&lt;lenb($Z552),5,IF(lenb(SUBSTITUTE($Z552,V$1&amp;" (6)",""))&lt;lenb($Z552),6,IF(lenb(SUBSTITUTE($Z552,V$1&amp;" (7)",""))&lt;lenb($Z552),1,IF(lenb(SUBSTITUTE($Z552,V$1&amp;" (8)",""))&lt;lenb($Z552),8,IF(lenb(SUBSTITUTE($Z552,V$1&amp;" (9)",""))&lt;lenb($Z552),9,IF(lenb(SUBSTITUTE($Z552,V$1&amp;" (10)",""))&lt;lenb($Z552),10,IF(lenb(SUBSTITUTE($Z552,V$1,""))&lt;lenb($Z552),"ERROR",IF($Z552=$Y$1,"-",0))))))))))))</f>
        <v>1</v>
      </c>
      <c r="W552" s="32">
        <f t="shared" si="557"/>
        <v>0</v>
      </c>
      <c r="X552" s="32">
        <f t="shared" si="557"/>
        <v>0</v>
      </c>
      <c r="Y552" s="32" t="str">
        <f t="shared" si="3"/>
        <v>-</v>
      </c>
      <c r="Z552" s="32" t="s">
        <v>62</v>
      </c>
      <c r="AA552" s="33">
        <f t="shared" si="4"/>
        <v>1</v>
      </c>
      <c r="AB552" s="34">
        <f>COUNTIFS(Links!B:B,"ICSE",Links!C:C,A552,Links!AD:AD,1)</f>
        <v>0</v>
      </c>
      <c r="AC552" s="35" t="s">
        <v>37</v>
      </c>
      <c r="AD552" s="27" t="str">
        <f t="shared" si="5"/>
        <v>No</v>
      </c>
      <c r="AE552" s="36" t="s">
        <v>36</v>
      </c>
      <c r="AF552" s="37" t="s">
        <v>42</v>
      </c>
      <c r="AG552" s="37" t="s">
        <v>42</v>
      </c>
      <c r="AH552" s="37" t="s">
        <v>42</v>
      </c>
      <c r="AI552" s="29" t="str">
        <f t="shared" si="6"/>
        <v>----</v>
      </c>
      <c r="AJ552" s="38" t="str">
        <f t="shared" si="7"/>
        <v>Paper has link but no statement</v>
      </c>
      <c r="AK552" s="39">
        <v>45028.0</v>
      </c>
      <c r="AL552" s="23" t="s">
        <v>43</v>
      </c>
      <c r="AM552" s="40" t="str">
        <f t="shared" si="8"/>
        <v>[IP1004]</v>
      </c>
    </row>
    <row r="553" ht="67.5" customHeight="1">
      <c r="A553" s="41">
        <v>1005.0</v>
      </c>
      <c r="B553" s="74" t="s">
        <v>1455</v>
      </c>
      <c r="C553" s="43">
        <v>2019.0</v>
      </c>
      <c r="D553" s="44" t="s">
        <v>37</v>
      </c>
      <c r="E553" s="45" t="s">
        <v>35</v>
      </c>
      <c r="F553" s="45" t="s">
        <v>35</v>
      </c>
      <c r="G553" s="45" t="s">
        <v>37</v>
      </c>
      <c r="H553" s="45" t="s">
        <v>35</v>
      </c>
      <c r="I553" s="45" t="s">
        <v>35</v>
      </c>
      <c r="J553" s="46" t="s">
        <v>36</v>
      </c>
      <c r="K553" s="47" t="s">
        <v>37</v>
      </c>
      <c r="L553" s="48" t="s">
        <v>35</v>
      </c>
      <c r="M553" s="48" t="s">
        <v>37</v>
      </c>
      <c r="N553" s="48" t="s">
        <v>37</v>
      </c>
      <c r="O553" s="48" t="s">
        <v>35</v>
      </c>
      <c r="P553" s="48" t="s">
        <v>35</v>
      </c>
      <c r="Q553" s="48" t="s">
        <v>35</v>
      </c>
      <c r="R553" s="48" t="s">
        <v>37</v>
      </c>
      <c r="S553" s="49" t="s">
        <v>1456</v>
      </c>
      <c r="T553" s="50" t="s">
        <v>1457</v>
      </c>
      <c r="U553" s="51" t="s">
        <v>1457</v>
      </c>
      <c r="V553" s="52">
        <f t="shared" ref="V553:X553" si="558">IF(lenb(SUBSTITUTE($Z553,V$1&amp;" (1)",""))&lt;lenb($Z553),1,IF(lenb(SUBSTITUTE($Z553,V$1&amp;" (2)",""))&lt;lenb($Z553),2,IF(lenb(SUBSTITUTE($Z553,V$1&amp;" (3)",""))&lt;lenb($Z553),3,IF(lenb(SUBSTITUTE($Z553,V$1&amp;" (4)",""))&lt;lenb($Z553),4,IF(lenb(SUBSTITUTE($Z553,V$1&amp;" (5)",""))&lt;lenb($Z553),5,IF(lenb(SUBSTITUTE($Z553,V$1&amp;" (6)",""))&lt;lenb($Z553),6,IF(lenb(SUBSTITUTE($Z553,V$1&amp;" (7)",""))&lt;lenb($Z553),1,IF(lenb(SUBSTITUTE($Z553,V$1&amp;" (8)",""))&lt;lenb($Z553),8,IF(lenb(SUBSTITUTE($Z553,V$1&amp;" (9)",""))&lt;lenb($Z553),9,IF(lenb(SUBSTITUTE($Z553,V$1&amp;" (10)",""))&lt;lenb($Z553),10,IF(lenb(SUBSTITUTE($Z553,V$1,""))&lt;lenb($Z553),"ERROR",IF($Z553=$Y$1,"-",0))))))))))))</f>
        <v>0</v>
      </c>
      <c r="W553" s="52">
        <f t="shared" si="558"/>
        <v>1</v>
      </c>
      <c r="X553" s="52">
        <f t="shared" si="558"/>
        <v>0</v>
      </c>
      <c r="Y553" s="52" t="str">
        <f t="shared" si="3"/>
        <v>-</v>
      </c>
      <c r="Z553" s="52" t="s">
        <v>47</v>
      </c>
      <c r="AA553" s="53">
        <f t="shared" si="4"/>
        <v>1</v>
      </c>
      <c r="AB553" s="54">
        <f>COUNTIFS(Links!B:B,"ICSE",Links!C:C,A553,Links!AD:AD,1)</f>
        <v>1</v>
      </c>
      <c r="AC553" s="55" t="s">
        <v>35</v>
      </c>
      <c r="AD553" s="47" t="str">
        <f t="shared" si="5"/>
        <v>No</v>
      </c>
      <c r="AE553" s="56" t="s">
        <v>36</v>
      </c>
      <c r="AF553" s="57" t="s">
        <v>42</v>
      </c>
      <c r="AG553" s="57" t="s">
        <v>42</v>
      </c>
      <c r="AH553" s="57" t="s">
        <v>42</v>
      </c>
      <c r="AI553" s="49" t="str">
        <f t="shared" si="6"/>
        <v>----</v>
      </c>
      <c r="AJ553" s="58" t="str">
        <f t="shared" si="7"/>
        <v>Paper has link but no statement</v>
      </c>
      <c r="AK553" s="59">
        <v>45028.0</v>
      </c>
      <c r="AL553" s="43" t="s">
        <v>43</v>
      </c>
      <c r="AM553" s="60" t="str">
        <f t="shared" si="8"/>
        <v>[IP1005]</v>
      </c>
    </row>
    <row r="554" ht="67.5" customHeight="1">
      <c r="A554" s="61">
        <v>1006.0</v>
      </c>
      <c r="B554" s="22" t="s">
        <v>1458</v>
      </c>
      <c r="C554" s="23">
        <v>2019.0</v>
      </c>
      <c r="D554" s="24" t="s">
        <v>35</v>
      </c>
      <c r="E554" s="25" t="s">
        <v>36</v>
      </c>
      <c r="F554" s="25" t="s">
        <v>36</v>
      </c>
      <c r="G554" s="25" t="s">
        <v>36</v>
      </c>
      <c r="H554" s="25" t="s">
        <v>36</v>
      </c>
      <c r="I554" s="25" t="s">
        <v>36</v>
      </c>
      <c r="J554" s="26" t="s">
        <v>36</v>
      </c>
      <c r="K554" s="27" t="s">
        <v>35</v>
      </c>
      <c r="L554" s="28" t="s">
        <v>36</v>
      </c>
      <c r="M554" s="28" t="s">
        <v>36</v>
      </c>
      <c r="N554" s="28" t="s">
        <v>36</v>
      </c>
      <c r="O554" s="28" t="s">
        <v>36</v>
      </c>
      <c r="P554" s="28" t="s">
        <v>36</v>
      </c>
      <c r="Q554" s="28" t="s">
        <v>36</v>
      </c>
      <c r="R554" s="28" t="s">
        <v>36</v>
      </c>
      <c r="S554" s="29" t="s">
        <v>36</v>
      </c>
      <c r="T554" s="30" t="s">
        <v>36</v>
      </c>
      <c r="U554" s="31" t="s">
        <v>36</v>
      </c>
      <c r="V554" s="32" t="str">
        <f t="shared" ref="V554:X554" si="559">IF(lenb(SUBSTITUTE($Z554,V$1&amp;" (1)",""))&lt;lenb($Z554),1,IF(lenb(SUBSTITUTE($Z554,V$1&amp;" (2)",""))&lt;lenb($Z554),2,IF(lenb(SUBSTITUTE($Z554,V$1&amp;" (3)",""))&lt;lenb($Z554),3,IF(lenb(SUBSTITUTE($Z554,V$1&amp;" (4)",""))&lt;lenb($Z554),4,IF(lenb(SUBSTITUTE($Z554,V$1&amp;" (5)",""))&lt;lenb($Z554),5,IF(lenb(SUBSTITUTE($Z554,V$1&amp;" (6)",""))&lt;lenb($Z554),6,IF(lenb(SUBSTITUTE($Z554,V$1&amp;" (7)",""))&lt;lenb($Z554),1,IF(lenb(SUBSTITUTE($Z554,V$1&amp;" (8)",""))&lt;lenb($Z554),8,IF(lenb(SUBSTITUTE($Z554,V$1&amp;" (9)",""))&lt;lenb($Z554),9,IF(lenb(SUBSTITUTE($Z554,V$1&amp;" (10)",""))&lt;lenb($Z554),10,IF(lenb(SUBSTITUTE($Z554,V$1,""))&lt;lenb($Z554),"ERROR",IF($Z554=$Y$1,"-",0))))))))))))</f>
        <v>-</v>
      </c>
      <c r="W554" s="32" t="str">
        <f t="shared" si="559"/>
        <v>-</v>
      </c>
      <c r="X554" s="32" t="str">
        <f t="shared" si="559"/>
        <v>-</v>
      </c>
      <c r="Y554" s="32">
        <f t="shared" si="3"/>
        <v>1</v>
      </c>
      <c r="Z554" s="32" t="s">
        <v>23</v>
      </c>
      <c r="AA554" s="33">
        <f t="shared" si="4"/>
        <v>0</v>
      </c>
      <c r="AB554" s="34">
        <f>COUNTIFS(Links!B:B,"ICSE",Links!C:C,A554,Links!AD:AD,1)</f>
        <v>0</v>
      </c>
      <c r="AC554" s="35" t="s">
        <v>36</v>
      </c>
      <c r="AD554" s="27" t="str">
        <f t="shared" si="5"/>
        <v>No</v>
      </c>
      <c r="AE554" s="36" t="s">
        <v>36</v>
      </c>
      <c r="AF554" s="37" t="s">
        <v>42</v>
      </c>
      <c r="AG554" s="37" t="s">
        <v>42</v>
      </c>
      <c r="AH554" s="37" t="s">
        <v>42</v>
      </c>
      <c r="AI554" s="29" t="str">
        <f t="shared" si="6"/>
        <v>----</v>
      </c>
      <c r="AJ554" s="38" t="str">
        <f t="shared" si="7"/>
        <v>Paper has no link and no statement</v>
      </c>
      <c r="AK554" s="39">
        <v>45028.0</v>
      </c>
      <c r="AL554" s="23" t="s">
        <v>43</v>
      </c>
      <c r="AM554" s="40" t="str">
        <f t="shared" si="8"/>
        <v>[IP1006]</v>
      </c>
    </row>
    <row r="555" ht="67.5" customHeight="1">
      <c r="A555" s="41">
        <v>1007.0</v>
      </c>
      <c r="B555" s="74" t="s">
        <v>1459</v>
      </c>
      <c r="C555" s="43">
        <v>2019.0</v>
      </c>
      <c r="D555" s="44" t="s">
        <v>37</v>
      </c>
      <c r="E555" s="45" t="s">
        <v>37</v>
      </c>
      <c r="F555" s="45" t="s">
        <v>35</v>
      </c>
      <c r="G555" s="45" t="s">
        <v>35</v>
      </c>
      <c r="H555" s="45" t="s">
        <v>35</v>
      </c>
      <c r="I555" s="45" t="s">
        <v>35</v>
      </c>
      <c r="J555" s="46" t="s">
        <v>36</v>
      </c>
      <c r="K555" s="47" t="s">
        <v>37</v>
      </c>
      <c r="L555" s="48" t="s">
        <v>37</v>
      </c>
      <c r="M555" s="48" t="s">
        <v>35</v>
      </c>
      <c r="N555" s="48" t="s">
        <v>35</v>
      </c>
      <c r="O555" s="48" t="s">
        <v>35</v>
      </c>
      <c r="P555" s="48" t="s">
        <v>35</v>
      </c>
      <c r="Q555" s="48" t="s">
        <v>35</v>
      </c>
      <c r="R555" s="48" t="s">
        <v>37</v>
      </c>
      <c r="S555" s="49" t="s">
        <v>1460</v>
      </c>
      <c r="T555" s="50" t="s">
        <v>1461</v>
      </c>
      <c r="U555" s="51" t="s">
        <v>1462</v>
      </c>
      <c r="V555" s="52">
        <f t="shared" ref="V555:X555" si="560">IF(lenb(SUBSTITUTE($Z555,V$1&amp;" (1)",""))&lt;lenb($Z555),1,IF(lenb(SUBSTITUTE($Z555,V$1&amp;" (2)",""))&lt;lenb($Z555),2,IF(lenb(SUBSTITUTE($Z555,V$1&amp;" (3)",""))&lt;lenb($Z555),3,IF(lenb(SUBSTITUTE($Z555,V$1&amp;" (4)",""))&lt;lenb($Z555),4,IF(lenb(SUBSTITUTE($Z555,V$1&amp;" (5)",""))&lt;lenb($Z555),5,IF(lenb(SUBSTITUTE($Z555,V$1&amp;" (6)",""))&lt;lenb($Z555),6,IF(lenb(SUBSTITUTE($Z555,V$1&amp;" (7)",""))&lt;lenb($Z555),1,IF(lenb(SUBSTITUTE($Z555,V$1&amp;" (8)",""))&lt;lenb($Z555),8,IF(lenb(SUBSTITUTE($Z555,V$1&amp;" (9)",""))&lt;lenb($Z555),9,IF(lenb(SUBSTITUTE($Z555,V$1&amp;" (10)",""))&lt;lenb($Z555),10,IF(lenb(SUBSTITUTE($Z555,V$1,""))&lt;lenb($Z555),"ERROR",IF($Z555=$Y$1,"-",0))))))))))))</f>
        <v>1</v>
      </c>
      <c r="W555" s="52">
        <f t="shared" si="560"/>
        <v>0</v>
      </c>
      <c r="X555" s="52">
        <f t="shared" si="560"/>
        <v>0</v>
      </c>
      <c r="Y555" s="52" t="str">
        <f t="shared" si="3"/>
        <v>-</v>
      </c>
      <c r="Z555" s="52" t="s">
        <v>62</v>
      </c>
      <c r="AA555" s="53">
        <f t="shared" si="4"/>
        <v>1</v>
      </c>
      <c r="AB555" s="54">
        <f>COUNTIFS(Links!B:B,"ICSE",Links!C:C,A555,Links!AD:AD,1)</f>
        <v>0</v>
      </c>
      <c r="AC555" s="55" t="s">
        <v>35</v>
      </c>
      <c r="AD555" s="47" t="str">
        <f t="shared" si="5"/>
        <v>No</v>
      </c>
      <c r="AE555" s="56" t="s">
        <v>36</v>
      </c>
      <c r="AF555" s="57" t="s">
        <v>42</v>
      </c>
      <c r="AG555" s="57" t="s">
        <v>42</v>
      </c>
      <c r="AH555" s="57" t="s">
        <v>42</v>
      </c>
      <c r="AI555" s="49" t="str">
        <f t="shared" si="6"/>
        <v>----</v>
      </c>
      <c r="AJ555" s="58" t="str">
        <f t="shared" si="7"/>
        <v>Paper has link but no statement</v>
      </c>
      <c r="AK555" s="59">
        <v>45028.0</v>
      </c>
      <c r="AL555" s="43" t="s">
        <v>43</v>
      </c>
      <c r="AM555" s="60" t="str">
        <f t="shared" si="8"/>
        <v>[IP1007]</v>
      </c>
    </row>
    <row r="556" ht="67.5" customHeight="1">
      <c r="A556" s="61">
        <v>1008.0</v>
      </c>
      <c r="B556" s="22" t="s">
        <v>1463</v>
      </c>
      <c r="C556" s="23">
        <v>2019.0</v>
      </c>
      <c r="D556" s="24" t="s">
        <v>35</v>
      </c>
      <c r="E556" s="25" t="s">
        <v>36</v>
      </c>
      <c r="F556" s="25" t="s">
        <v>36</v>
      </c>
      <c r="G556" s="25" t="s">
        <v>36</v>
      </c>
      <c r="H556" s="25" t="s">
        <v>36</v>
      </c>
      <c r="I556" s="25" t="s">
        <v>36</v>
      </c>
      <c r="J556" s="26" t="s">
        <v>36</v>
      </c>
      <c r="K556" s="27" t="s">
        <v>37</v>
      </c>
      <c r="L556" s="28" t="s">
        <v>35</v>
      </c>
      <c r="M556" s="28" t="s">
        <v>37</v>
      </c>
      <c r="N556" s="28" t="s">
        <v>35</v>
      </c>
      <c r="O556" s="28" t="s">
        <v>35</v>
      </c>
      <c r="P556" s="28" t="s">
        <v>35</v>
      </c>
      <c r="Q556" s="28" t="s">
        <v>35</v>
      </c>
      <c r="R556" s="28" t="s">
        <v>37</v>
      </c>
      <c r="S556" s="29" t="s">
        <v>1464</v>
      </c>
      <c r="T556" s="30" t="s">
        <v>1465</v>
      </c>
      <c r="U556" s="31" t="s">
        <v>1465</v>
      </c>
      <c r="V556" s="32">
        <f t="shared" ref="V556:X556" si="561">IF(lenb(SUBSTITUTE($Z556,V$1&amp;" (1)",""))&lt;lenb($Z556),1,IF(lenb(SUBSTITUTE($Z556,V$1&amp;" (2)",""))&lt;lenb($Z556),2,IF(lenb(SUBSTITUTE($Z556,V$1&amp;" (3)",""))&lt;lenb($Z556),3,IF(lenb(SUBSTITUTE($Z556,V$1&amp;" (4)",""))&lt;lenb($Z556),4,IF(lenb(SUBSTITUTE($Z556,V$1&amp;" (5)",""))&lt;lenb($Z556),5,IF(lenb(SUBSTITUTE($Z556,V$1&amp;" (6)",""))&lt;lenb($Z556),6,IF(lenb(SUBSTITUTE($Z556,V$1&amp;" (7)",""))&lt;lenb($Z556),1,IF(lenb(SUBSTITUTE($Z556,V$1&amp;" (8)",""))&lt;lenb($Z556),8,IF(lenb(SUBSTITUTE($Z556,V$1&amp;" (9)",""))&lt;lenb($Z556),9,IF(lenb(SUBSTITUTE($Z556,V$1&amp;" (10)",""))&lt;lenb($Z556),10,IF(lenb(SUBSTITUTE($Z556,V$1,""))&lt;lenb($Z556),"ERROR",IF($Z556=$Y$1,"-",0))))))))))))</f>
        <v>1</v>
      </c>
      <c r="W556" s="32">
        <f t="shared" si="561"/>
        <v>0</v>
      </c>
      <c r="X556" s="32">
        <f t="shared" si="561"/>
        <v>0</v>
      </c>
      <c r="Y556" s="32" t="str">
        <f t="shared" si="3"/>
        <v>-</v>
      </c>
      <c r="Z556" s="32" t="s">
        <v>62</v>
      </c>
      <c r="AA556" s="33">
        <f t="shared" si="4"/>
        <v>1</v>
      </c>
      <c r="AB556" s="34">
        <f>COUNTIFS(Links!B:B,"ICSE",Links!C:C,A556,Links!AD:AD,1)</f>
        <v>0</v>
      </c>
      <c r="AC556" s="35" t="s">
        <v>37</v>
      </c>
      <c r="AD556" s="27" t="str">
        <f t="shared" si="5"/>
        <v>No</v>
      </c>
      <c r="AE556" s="36" t="s">
        <v>36</v>
      </c>
      <c r="AF556" s="37" t="s">
        <v>42</v>
      </c>
      <c r="AG556" s="37" t="s">
        <v>42</v>
      </c>
      <c r="AH556" s="37" t="s">
        <v>42</v>
      </c>
      <c r="AI556" s="29" t="str">
        <f t="shared" si="6"/>
        <v>----</v>
      </c>
      <c r="AJ556" s="38" t="str">
        <f t="shared" si="7"/>
        <v>Paper has link but no statement</v>
      </c>
      <c r="AK556" s="39">
        <v>45028.0</v>
      </c>
      <c r="AL556" s="23" t="s">
        <v>43</v>
      </c>
      <c r="AM556" s="40" t="str">
        <f t="shared" si="8"/>
        <v>[IP1008]</v>
      </c>
    </row>
    <row r="557" ht="67.5" customHeight="1">
      <c r="A557" s="41">
        <v>1009.0</v>
      </c>
      <c r="B557" s="42" t="s">
        <v>1466</v>
      </c>
      <c r="C557" s="43">
        <v>2019.0</v>
      </c>
      <c r="D557" s="44" t="s">
        <v>35</v>
      </c>
      <c r="E557" s="45" t="s">
        <v>36</v>
      </c>
      <c r="F557" s="45" t="s">
        <v>36</v>
      </c>
      <c r="G557" s="45" t="s">
        <v>36</v>
      </c>
      <c r="H557" s="45" t="s">
        <v>36</v>
      </c>
      <c r="I557" s="45" t="s">
        <v>36</v>
      </c>
      <c r="J557" s="46" t="s">
        <v>36</v>
      </c>
      <c r="K557" s="47" t="s">
        <v>35</v>
      </c>
      <c r="L557" s="48" t="s">
        <v>36</v>
      </c>
      <c r="M557" s="48" t="s">
        <v>36</v>
      </c>
      <c r="N557" s="48" t="s">
        <v>36</v>
      </c>
      <c r="O557" s="48" t="s">
        <v>36</v>
      </c>
      <c r="P557" s="48" t="s">
        <v>36</v>
      </c>
      <c r="Q557" s="48" t="s">
        <v>36</v>
      </c>
      <c r="R557" s="48" t="s">
        <v>36</v>
      </c>
      <c r="S557" s="49" t="s">
        <v>36</v>
      </c>
      <c r="T557" s="50" t="s">
        <v>36</v>
      </c>
      <c r="U557" s="51" t="s">
        <v>36</v>
      </c>
      <c r="V557" s="52" t="str">
        <f t="shared" ref="V557:X557" si="562">IF(lenb(SUBSTITUTE($Z557,V$1&amp;" (1)",""))&lt;lenb($Z557),1,IF(lenb(SUBSTITUTE($Z557,V$1&amp;" (2)",""))&lt;lenb($Z557),2,IF(lenb(SUBSTITUTE($Z557,V$1&amp;" (3)",""))&lt;lenb($Z557),3,IF(lenb(SUBSTITUTE($Z557,V$1&amp;" (4)",""))&lt;lenb($Z557),4,IF(lenb(SUBSTITUTE($Z557,V$1&amp;" (5)",""))&lt;lenb($Z557),5,IF(lenb(SUBSTITUTE($Z557,V$1&amp;" (6)",""))&lt;lenb($Z557),6,IF(lenb(SUBSTITUTE($Z557,V$1&amp;" (7)",""))&lt;lenb($Z557),1,IF(lenb(SUBSTITUTE($Z557,V$1&amp;" (8)",""))&lt;lenb($Z557),8,IF(lenb(SUBSTITUTE($Z557,V$1&amp;" (9)",""))&lt;lenb($Z557),9,IF(lenb(SUBSTITUTE($Z557,V$1&amp;" (10)",""))&lt;lenb($Z557),10,IF(lenb(SUBSTITUTE($Z557,V$1,""))&lt;lenb($Z557),"ERROR",IF($Z557=$Y$1,"-",0))))))))))))</f>
        <v>-</v>
      </c>
      <c r="W557" s="52" t="str">
        <f t="shared" si="562"/>
        <v>-</v>
      </c>
      <c r="X557" s="52" t="str">
        <f t="shared" si="562"/>
        <v>-</v>
      </c>
      <c r="Y557" s="52">
        <f t="shared" si="3"/>
        <v>1</v>
      </c>
      <c r="Z557" s="52" t="s">
        <v>23</v>
      </c>
      <c r="AA557" s="53">
        <f t="shared" si="4"/>
        <v>0</v>
      </c>
      <c r="AB557" s="54">
        <f>COUNTIFS(Links!B:B,"ICSE",Links!C:C,A557,Links!AD:AD,1)</f>
        <v>0</v>
      </c>
      <c r="AC557" s="55" t="s">
        <v>36</v>
      </c>
      <c r="AD557" s="47" t="str">
        <f t="shared" si="5"/>
        <v>No</v>
      </c>
      <c r="AE557" s="56" t="s">
        <v>36</v>
      </c>
      <c r="AF557" s="57" t="s">
        <v>42</v>
      </c>
      <c r="AG557" s="57" t="s">
        <v>42</v>
      </c>
      <c r="AH557" s="57" t="s">
        <v>42</v>
      </c>
      <c r="AI557" s="49" t="str">
        <f t="shared" si="6"/>
        <v>----</v>
      </c>
      <c r="AJ557" s="58" t="str">
        <f t="shared" si="7"/>
        <v>Paper has no link and no statement</v>
      </c>
      <c r="AK557" s="59">
        <v>45028.0</v>
      </c>
      <c r="AL557" s="43" t="s">
        <v>43</v>
      </c>
      <c r="AM557" s="60" t="str">
        <f t="shared" si="8"/>
        <v>[IP1009]</v>
      </c>
    </row>
    <row r="558" ht="67.5" customHeight="1">
      <c r="A558" s="61">
        <v>1010.0</v>
      </c>
      <c r="B558" s="22" t="s">
        <v>1467</v>
      </c>
      <c r="C558" s="23">
        <v>2019.0</v>
      </c>
      <c r="D558" s="24" t="s">
        <v>35</v>
      </c>
      <c r="E558" s="25" t="s">
        <v>36</v>
      </c>
      <c r="F558" s="25" t="s">
        <v>36</v>
      </c>
      <c r="G558" s="25" t="s">
        <v>36</v>
      </c>
      <c r="H558" s="25" t="s">
        <v>36</v>
      </c>
      <c r="I558" s="25" t="s">
        <v>36</v>
      </c>
      <c r="J558" s="26" t="s">
        <v>36</v>
      </c>
      <c r="K558" s="27" t="s">
        <v>35</v>
      </c>
      <c r="L558" s="28" t="s">
        <v>36</v>
      </c>
      <c r="M558" s="28" t="s">
        <v>36</v>
      </c>
      <c r="N558" s="28" t="s">
        <v>36</v>
      </c>
      <c r="O558" s="28" t="s">
        <v>36</v>
      </c>
      <c r="P558" s="28" t="s">
        <v>36</v>
      </c>
      <c r="Q558" s="28" t="s">
        <v>36</v>
      </c>
      <c r="R558" s="28" t="s">
        <v>36</v>
      </c>
      <c r="S558" s="29" t="s">
        <v>36</v>
      </c>
      <c r="T558" s="30" t="s">
        <v>36</v>
      </c>
      <c r="U558" s="31" t="s">
        <v>36</v>
      </c>
      <c r="V558" s="32" t="str">
        <f t="shared" ref="V558:X558" si="563">IF(lenb(SUBSTITUTE($Z558,V$1&amp;" (1)",""))&lt;lenb($Z558),1,IF(lenb(SUBSTITUTE($Z558,V$1&amp;" (2)",""))&lt;lenb($Z558),2,IF(lenb(SUBSTITUTE($Z558,V$1&amp;" (3)",""))&lt;lenb($Z558),3,IF(lenb(SUBSTITUTE($Z558,V$1&amp;" (4)",""))&lt;lenb($Z558),4,IF(lenb(SUBSTITUTE($Z558,V$1&amp;" (5)",""))&lt;lenb($Z558),5,IF(lenb(SUBSTITUTE($Z558,V$1&amp;" (6)",""))&lt;lenb($Z558),6,IF(lenb(SUBSTITUTE($Z558,V$1&amp;" (7)",""))&lt;lenb($Z558),1,IF(lenb(SUBSTITUTE($Z558,V$1&amp;" (8)",""))&lt;lenb($Z558),8,IF(lenb(SUBSTITUTE($Z558,V$1&amp;" (9)",""))&lt;lenb($Z558),9,IF(lenb(SUBSTITUTE($Z558,V$1&amp;" (10)",""))&lt;lenb($Z558),10,IF(lenb(SUBSTITUTE($Z558,V$1,""))&lt;lenb($Z558),"ERROR",IF($Z558=$Y$1,"-",0))))))))))))</f>
        <v>-</v>
      </c>
      <c r="W558" s="32" t="str">
        <f t="shared" si="563"/>
        <v>-</v>
      </c>
      <c r="X558" s="32" t="str">
        <f t="shared" si="563"/>
        <v>-</v>
      </c>
      <c r="Y558" s="32">
        <f t="shared" si="3"/>
        <v>1</v>
      </c>
      <c r="Z558" s="32" t="s">
        <v>23</v>
      </c>
      <c r="AA558" s="33">
        <f t="shared" si="4"/>
        <v>0</v>
      </c>
      <c r="AB558" s="34">
        <f>COUNTIFS(Links!B:B,"ICSE",Links!C:C,A558,Links!AD:AD,1)</f>
        <v>0</v>
      </c>
      <c r="AC558" s="35" t="s">
        <v>36</v>
      </c>
      <c r="AD558" s="27" t="str">
        <f t="shared" si="5"/>
        <v>No</v>
      </c>
      <c r="AE558" s="36" t="s">
        <v>36</v>
      </c>
      <c r="AF558" s="37" t="s">
        <v>42</v>
      </c>
      <c r="AG558" s="37" t="s">
        <v>42</v>
      </c>
      <c r="AH558" s="37" t="s">
        <v>42</v>
      </c>
      <c r="AI558" s="29" t="str">
        <f t="shared" si="6"/>
        <v>----</v>
      </c>
      <c r="AJ558" s="38" t="str">
        <f t="shared" si="7"/>
        <v>Paper has no link and no statement</v>
      </c>
      <c r="AK558" s="39">
        <v>45028.0</v>
      </c>
      <c r="AL558" s="23" t="s">
        <v>43</v>
      </c>
      <c r="AM558" s="40" t="str">
        <f t="shared" si="8"/>
        <v>[IP1010]</v>
      </c>
    </row>
    <row r="559" ht="67.5" customHeight="1">
      <c r="A559" s="41">
        <v>1011.0</v>
      </c>
      <c r="B559" s="42" t="s">
        <v>1468</v>
      </c>
      <c r="C559" s="43">
        <v>2019.0</v>
      </c>
      <c r="D559" s="44" t="s">
        <v>35</v>
      </c>
      <c r="E559" s="45" t="s">
        <v>36</v>
      </c>
      <c r="F559" s="45" t="s">
        <v>36</v>
      </c>
      <c r="G559" s="45" t="s">
        <v>36</v>
      </c>
      <c r="H559" s="45" t="s">
        <v>36</v>
      </c>
      <c r="I559" s="45" t="s">
        <v>36</v>
      </c>
      <c r="J559" s="46" t="s">
        <v>36</v>
      </c>
      <c r="K559" s="47" t="s">
        <v>35</v>
      </c>
      <c r="L559" s="48" t="s">
        <v>36</v>
      </c>
      <c r="M559" s="48" t="s">
        <v>36</v>
      </c>
      <c r="N559" s="48" t="s">
        <v>36</v>
      </c>
      <c r="O559" s="48" t="s">
        <v>36</v>
      </c>
      <c r="P559" s="48" t="s">
        <v>36</v>
      </c>
      <c r="Q559" s="48" t="s">
        <v>36</v>
      </c>
      <c r="R559" s="48" t="s">
        <v>36</v>
      </c>
      <c r="S559" s="49" t="s">
        <v>36</v>
      </c>
      <c r="T559" s="50" t="s">
        <v>36</v>
      </c>
      <c r="U559" s="51" t="s">
        <v>36</v>
      </c>
      <c r="V559" s="52" t="str">
        <f t="shared" ref="V559:X559" si="564">IF(lenb(SUBSTITUTE($Z559,V$1&amp;" (1)",""))&lt;lenb($Z559),1,IF(lenb(SUBSTITUTE($Z559,V$1&amp;" (2)",""))&lt;lenb($Z559),2,IF(lenb(SUBSTITUTE($Z559,V$1&amp;" (3)",""))&lt;lenb($Z559),3,IF(lenb(SUBSTITUTE($Z559,V$1&amp;" (4)",""))&lt;lenb($Z559),4,IF(lenb(SUBSTITUTE($Z559,V$1&amp;" (5)",""))&lt;lenb($Z559),5,IF(lenb(SUBSTITUTE($Z559,V$1&amp;" (6)",""))&lt;lenb($Z559),6,IF(lenb(SUBSTITUTE($Z559,V$1&amp;" (7)",""))&lt;lenb($Z559),1,IF(lenb(SUBSTITUTE($Z559,V$1&amp;" (8)",""))&lt;lenb($Z559),8,IF(lenb(SUBSTITUTE($Z559,V$1&amp;" (9)",""))&lt;lenb($Z559),9,IF(lenb(SUBSTITUTE($Z559,V$1&amp;" (10)",""))&lt;lenb($Z559),10,IF(lenb(SUBSTITUTE($Z559,V$1,""))&lt;lenb($Z559),"ERROR",IF($Z559=$Y$1,"-",0))))))))))))</f>
        <v>-</v>
      </c>
      <c r="W559" s="52" t="str">
        <f t="shared" si="564"/>
        <v>-</v>
      </c>
      <c r="X559" s="52" t="str">
        <f t="shared" si="564"/>
        <v>-</v>
      </c>
      <c r="Y559" s="52">
        <f t="shared" si="3"/>
        <v>1</v>
      </c>
      <c r="Z559" s="52" t="s">
        <v>23</v>
      </c>
      <c r="AA559" s="53">
        <f t="shared" si="4"/>
        <v>0</v>
      </c>
      <c r="AB559" s="54">
        <f>COUNTIFS(Links!B:B,"ICSE",Links!C:C,A559,Links!AD:AD,1)</f>
        <v>0</v>
      </c>
      <c r="AC559" s="55" t="s">
        <v>36</v>
      </c>
      <c r="AD559" s="47" t="str">
        <f t="shared" si="5"/>
        <v>No</v>
      </c>
      <c r="AE559" s="56" t="s">
        <v>36</v>
      </c>
      <c r="AF559" s="57" t="s">
        <v>42</v>
      </c>
      <c r="AG559" s="57" t="s">
        <v>42</v>
      </c>
      <c r="AH559" s="57" t="s">
        <v>42</v>
      </c>
      <c r="AI559" s="49" t="str">
        <f t="shared" si="6"/>
        <v>----</v>
      </c>
      <c r="AJ559" s="58" t="str">
        <f t="shared" si="7"/>
        <v>Paper has no link and no statement</v>
      </c>
      <c r="AK559" s="59">
        <v>45028.0</v>
      </c>
      <c r="AL559" s="43" t="s">
        <v>43</v>
      </c>
      <c r="AM559" s="60" t="str">
        <f t="shared" si="8"/>
        <v>[IP1011]</v>
      </c>
    </row>
    <row r="560" ht="67.5" customHeight="1">
      <c r="A560" s="61">
        <v>1012.0</v>
      </c>
      <c r="B560" s="75" t="s">
        <v>1469</v>
      </c>
      <c r="C560" s="23">
        <v>2019.0</v>
      </c>
      <c r="D560" s="24" t="s">
        <v>37</v>
      </c>
      <c r="E560" s="25" t="s">
        <v>35</v>
      </c>
      <c r="F560" s="25" t="s">
        <v>35</v>
      </c>
      <c r="G560" s="25" t="s">
        <v>37</v>
      </c>
      <c r="H560" s="25" t="s">
        <v>35</v>
      </c>
      <c r="I560" s="25" t="s">
        <v>35</v>
      </c>
      <c r="J560" s="26" t="s">
        <v>36</v>
      </c>
      <c r="K560" s="27" t="s">
        <v>35</v>
      </c>
      <c r="L560" s="28" t="s">
        <v>36</v>
      </c>
      <c r="M560" s="28" t="s">
        <v>36</v>
      </c>
      <c r="N560" s="28" t="s">
        <v>36</v>
      </c>
      <c r="O560" s="28" t="s">
        <v>36</v>
      </c>
      <c r="P560" s="28" t="s">
        <v>36</v>
      </c>
      <c r="Q560" s="28" t="s">
        <v>36</v>
      </c>
      <c r="R560" s="28" t="s">
        <v>36</v>
      </c>
      <c r="S560" s="29" t="s">
        <v>36</v>
      </c>
      <c r="T560" s="30" t="s">
        <v>36</v>
      </c>
      <c r="U560" s="31" t="s">
        <v>36</v>
      </c>
      <c r="V560" s="32" t="str">
        <f t="shared" ref="V560:X560" si="565">IF(lenb(SUBSTITUTE($Z560,V$1&amp;" (1)",""))&lt;lenb($Z560),1,IF(lenb(SUBSTITUTE($Z560,V$1&amp;" (2)",""))&lt;lenb($Z560),2,IF(lenb(SUBSTITUTE($Z560,V$1&amp;" (3)",""))&lt;lenb($Z560),3,IF(lenb(SUBSTITUTE($Z560,V$1&amp;" (4)",""))&lt;lenb($Z560),4,IF(lenb(SUBSTITUTE($Z560,V$1&amp;" (5)",""))&lt;lenb($Z560),5,IF(lenb(SUBSTITUTE($Z560,V$1&amp;" (6)",""))&lt;lenb($Z560),6,IF(lenb(SUBSTITUTE($Z560,V$1&amp;" (7)",""))&lt;lenb($Z560),1,IF(lenb(SUBSTITUTE($Z560,V$1&amp;" (8)",""))&lt;lenb($Z560),8,IF(lenb(SUBSTITUTE($Z560,V$1&amp;" (9)",""))&lt;lenb($Z560),9,IF(lenb(SUBSTITUTE($Z560,V$1&amp;" (10)",""))&lt;lenb($Z560),10,IF(lenb(SUBSTITUTE($Z560,V$1,""))&lt;lenb($Z560),"ERROR",IF($Z560=$Y$1,"-",0))))))))))))</f>
        <v>-</v>
      </c>
      <c r="W560" s="32" t="str">
        <f t="shared" si="565"/>
        <v>-</v>
      </c>
      <c r="X560" s="32" t="str">
        <f t="shared" si="565"/>
        <v>-</v>
      </c>
      <c r="Y560" s="32">
        <f t="shared" si="3"/>
        <v>1</v>
      </c>
      <c r="Z560" s="32" t="s">
        <v>23</v>
      </c>
      <c r="AA560" s="33">
        <f t="shared" si="4"/>
        <v>0</v>
      </c>
      <c r="AB560" s="34">
        <f>COUNTIFS(Links!B:B,"ICSE",Links!C:C,A560,Links!AD:AD,1)</f>
        <v>0</v>
      </c>
      <c r="AC560" s="35" t="s">
        <v>36</v>
      </c>
      <c r="AD560" s="27" t="str">
        <f t="shared" si="5"/>
        <v>No</v>
      </c>
      <c r="AE560" s="36" t="s">
        <v>36</v>
      </c>
      <c r="AF560" s="37" t="s">
        <v>42</v>
      </c>
      <c r="AG560" s="37" t="s">
        <v>42</v>
      </c>
      <c r="AH560" s="37" t="s">
        <v>42</v>
      </c>
      <c r="AI560" s="29" t="str">
        <f t="shared" si="6"/>
        <v>----</v>
      </c>
      <c r="AJ560" s="38" t="str">
        <f t="shared" si="7"/>
        <v>Paper has no link and no statement</v>
      </c>
      <c r="AK560" s="39">
        <v>45028.0</v>
      </c>
      <c r="AL560" s="23" t="s">
        <v>43</v>
      </c>
      <c r="AM560" s="40" t="str">
        <f t="shared" si="8"/>
        <v>[IP1012]</v>
      </c>
    </row>
    <row r="561" ht="67.5" customHeight="1">
      <c r="A561" s="41">
        <v>1013.0</v>
      </c>
      <c r="B561" s="42" t="s">
        <v>1470</v>
      </c>
      <c r="C561" s="43">
        <v>2019.0</v>
      </c>
      <c r="D561" s="44" t="s">
        <v>35</v>
      </c>
      <c r="E561" s="45" t="s">
        <v>36</v>
      </c>
      <c r="F561" s="45" t="s">
        <v>36</v>
      </c>
      <c r="G561" s="45" t="s">
        <v>36</v>
      </c>
      <c r="H561" s="45" t="s">
        <v>36</v>
      </c>
      <c r="I561" s="45" t="s">
        <v>36</v>
      </c>
      <c r="J561" s="46" t="s">
        <v>36</v>
      </c>
      <c r="K561" s="47" t="s">
        <v>37</v>
      </c>
      <c r="L561" s="48" t="s">
        <v>35</v>
      </c>
      <c r="M561" s="48" t="s">
        <v>37</v>
      </c>
      <c r="N561" s="48" t="s">
        <v>35</v>
      </c>
      <c r="O561" s="48" t="s">
        <v>35</v>
      </c>
      <c r="P561" s="48" t="s">
        <v>35</v>
      </c>
      <c r="Q561" s="48" t="s">
        <v>35</v>
      </c>
      <c r="R561" s="48" t="s">
        <v>37</v>
      </c>
      <c r="S561" s="49" t="s">
        <v>1471</v>
      </c>
      <c r="T561" s="50" t="s">
        <v>1472</v>
      </c>
      <c r="U561" s="51" t="s">
        <v>1472</v>
      </c>
      <c r="V561" s="52">
        <f t="shared" ref="V561:X561" si="566">IF(lenb(SUBSTITUTE($Z561,V$1&amp;" (1)",""))&lt;lenb($Z561),1,IF(lenb(SUBSTITUTE($Z561,V$1&amp;" (2)",""))&lt;lenb($Z561),2,IF(lenb(SUBSTITUTE($Z561,V$1&amp;" (3)",""))&lt;lenb($Z561),3,IF(lenb(SUBSTITUTE($Z561,V$1&amp;" (4)",""))&lt;lenb($Z561),4,IF(lenb(SUBSTITUTE($Z561,V$1&amp;" (5)",""))&lt;lenb($Z561),5,IF(lenb(SUBSTITUTE($Z561,V$1&amp;" (6)",""))&lt;lenb($Z561),6,IF(lenb(SUBSTITUTE($Z561,V$1&amp;" (7)",""))&lt;lenb($Z561),1,IF(lenb(SUBSTITUTE($Z561,V$1&amp;" (8)",""))&lt;lenb($Z561),8,IF(lenb(SUBSTITUTE($Z561,V$1&amp;" (9)",""))&lt;lenb($Z561),9,IF(lenb(SUBSTITUTE($Z561,V$1&amp;" (10)",""))&lt;lenb($Z561),10,IF(lenb(SUBSTITUTE($Z561,V$1,""))&lt;lenb($Z561),"ERROR",IF($Z561=$Y$1,"-",0))))))))))))</f>
        <v>1</v>
      </c>
      <c r="W561" s="52">
        <f t="shared" si="566"/>
        <v>0</v>
      </c>
      <c r="X561" s="52">
        <f t="shared" si="566"/>
        <v>0</v>
      </c>
      <c r="Y561" s="52" t="str">
        <f t="shared" si="3"/>
        <v>-</v>
      </c>
      <c r="Z561" s="52" t="s">
        <v>62</v>
      </c>
      <c r="AA561" s="53">
        <f t="shared" si="4"/>
        <v>1</v>
      </c>
      <c r="AB561" s="54">
        <f>COUNTIFS(Links!B:B,"ICSE",Links!C:C,A561,Links!AD:AD,1)</f>
        <v>0</v>
      </c>
      <c r="AC561" s="55" t="s">
        <v>35</v>
      </c>
      <c r="AD561" s="47" t="str">
        <f t="shared" si="5"/>
        <v>No</v>
      </c>
      <c r="AE561" s="56" t="s">
        <v>36</v>
      </c>
      <c r="AF561" s="57" t="s">
        <v>42</v>
      </c>
      <c r="AG561" s="57" t="s">
        <v>42</v>
      </c>
      <c r="AH561" s="57" t="s">
        <v>42</v>
      </c>
      <c r="AI561" s="49" t="str">
        <f t="shared" si="6"/>
        <v>----</v>
      </c>
      <c r="AJ561" s="58" t="str">
        <f t="shared" si="7"/>
        <v>Paper has link but no statement</v>
      </c>
      <c r="AK561" s="59">
        <v>45028.0</v>
      </c>
      <c r="AL561" s="43" t="s">
        <v>43</v>
      </c>
      <c r="AM561" s="60" t="str">
        <f t="shared" si="8"/>
        <v>[IP1013]</v>
      </c>
    </row>
    <row r="562" ht="67.5" customHeight="1">
      <c r="A562" s="61">
        <v>1014.0</v>
      </c>
      <c r="B562" s="22" t="s">
        <v>1473</v>
      </c>
      <c r="C562" s="23">
        <v>2019.0</v>
      </c>
      <c r="D562" s="24" t="s">
        <v>35</v>
      </c>
      <c r="E562" s="25" t="s">
        <v>36</v>
      </c>
      <c r="F562" s="25" t="s">
        <v>36</v>
      </c>
      <c r="G562" s="25" t="s">
        <v>36</v>
      </c>
      <c r="H562" s="25" t="s">
        <v>36</v>
      </c>
      <c r="I562" s="25" t="s">
        <v>36</v>
      </c>
      <c r="J562" s="26" t="s">
        <v>36</v>
      </c>
      <c r="K562" s="27" t="s">
        <v>37</v>
      </c>
      <c r="L562" s="28" t="s">
        <v>35</v>
      </c>
      <c r="M562" s="28" t="s">
        <v>35</v>
      </c>
      <c r="N562" s="28" t="s">
        <v>37</v>
      </c>
      <c r="O562" s="28" t="s">
        <v>35</v>
      </c>
      <c r="P562" s="28" t="s">
        <v>35</v>
      </c>
      <c r="Q562" s="28" t="s">
        <v>35</v>
      </c>
      <c r="R562" s="28" t="s">
        <v>35</v>
      </c>
      <c r="S562" s="29" t="s">
        <v>289</v>
      </c>
      <c r="T562" s="30" t="s">
        <v>1474</v>
      </c>
      <c r="U562" s="31" t="s">
        <v>1474</v>
      </c>
      <c r="V562" s="32">
        <f t="shared" ref="V562:X562" si="567">IF(lenb(SUBSTITUTE($Z562,V$1&amp;" (1)",""))&lt;lenb($Z562),1,IF(lenb(SUBSTITUTE($Z562,V$1&amp;" (2)",""))&lt;lenb($Z562),2,IF(lenb(SUBSTITUTE($Z562,V$1&amp;" (3)",""))&lt;lenb($Z562),3,IF(lenb(SUBSTITUTE($Z562,V$1&amp;" (4)",""))&lt;lenb($Z562),4,IF(lenb(SUBSTITUTE($Z562,V$1&amp;" (5)",""))&lt;lenb($Z562),5,IF(lenb(SUBSTITUTE($Z562,V$1&amp;" (6)",""))&lt;lenb($Z562),6,IF(lenb(SUBSTITUTE($Z562,V$1&amp;" (7)",""))&lt;lenb($Z562),1,IF(lenb(SUBSTITUTE($Z562,V$1&amp;" (8)",""))&lt;lenb($Z562),8,IF(lenb(SUBSTITUTE($Z562,V$1&amp;" (9)",""))&lt;lenb($Z562),9,IF(lenb(SUBSTITUTE($Z562,V$1&amp;" (10)",""))&lt;lenb($Z562),10,IF(lenb(SUBSTITUTE($Z562,V$1,""))&lt;lenb($Z562),"ERROR",IF($Z562=$Y$1,"-",0))))))))))))</f>
        <v>1</v>
      </c>
      <c r="W562" s="32">
        <f t="shared" si="567"/>
        <v>0</v>
      </c>
      <c r="X562" s="32">
        <f t="shared" si="567"/>
        <v>0</v>
      </c>
      <c r="Y562" s="32" t="str">
        <f t="shared" si="3"/>
        <v>-</v>
      </c>
      <c r="Z562" s="32" t="s">
        <v>62</v>
      </c>
      <c r="AA562" s="33">
        <f t="shared" si="4"/>
        <v>1</v>
      </c>
      <c r="AB562" s="34">
        <f>COUNTIFS(Links!B:B,"ICSE",Links!C:C,A562,Links!AD:AD,1)</f>
        <v>0</v>
      </c>
      <c r="AC562" s="35" t="s">
        <v>35</v>
      </c>
      <c r="AD562" s="27" t="str">
        <f t="shared" si="5"/>
        <v>No</v>
      </c>
      <c r="AE562" s="36" t="s">
        <v>36</v>
      </c>
      <c r="AF562" s="37" t="s">
        <v>42</v>
      </c>
      <c r="AG562" s="37" t="s">
        <v>42</v>
      </c>
      <c r="AH562" s="37" t="s">
        <v>42</v>
      </c>
      <c r="AI562" s="29" t="str">
        <f t="shared" si="6"/>
        <v>----</v>
      </c>
      <c r="AJ562" s="38" t="str">
        <f t="shared" si="7"/>
        <v>Paper has link but no statement</v>
      </c>
      <c r="AK562" s="39">
        <v>45028.0</v>
      </c>
      <c r="AL562" s="23" t="s">
        <v>43</v>
      </c>
      <c r="AM562" s="40" t="str">
        <f t="shared" si="8"/>
        <v>[IP1014]</v>
      </c>
    </row>
    <row r="563" ht="67.5" customHeight="1">
      <c r="A563" s="41">
        <v>1015.0</v>
      </c>
      <c r="B563" s="42" t="s">
        <v>1475</v>
      </c>
      <c r="C563" s="43">
        <v>2019.0</v>
      </c>
      <c r="D563" s="44" t="s">
        <v>35</v>
      </c>
      <c r="E563" s="45" t="s">
        <v>36</v>
      </c>
      <c r="F563" s="45" t="s">
        <v>36</v>
      </c>
      <c r="G563" s="45" t="s">
        <v>36</v>
      </c>
      <c r="H563" s="45" t="s">
        <v>36</v>
      </c>
      <c r="I563" s="45" t="s">
        <v>36</v>
      </c>
      <c r="J563" s="46" t="s">
        <v>36</v>
      </c>
      <c r="K563" s="47" t="s">
        <v>37</v>
      </c>
      <c r="L563" s="48" t="s">
        <v>35</v>
      </c>
      <c r="M563" s="48" t="s">
        <v>37</v>
      </c>
      <c r="N563" s="48" t="s">
        <v>37</v>
      </c>
      <c r="O563" s="48" t="s">
        <v>35</v>
      </c>
      <c r="P563" s="48" t="s">
        <v>35</v>
      </c>
      <c r="Q563" s="48" t="s">
        <v>35</v>
      </c>
      <c r="R563" s="48" t="s">
        <v>37</v>
      </c>
      <c r="S563" s="49" t="s">
        <v>1476</v>
      </c>
      <c r="T563" s="50" t="s">
        <v>1477</v>
      </c>
      <c r="U563" s="51" t="s">
        <v>1477</v>
      </c>
      <c r="V563" s="52">
        <f t="shared" ref="V563:X563" si="568">IF(lenb(SUBSTITUTE($Z563,V$1&amp;" (1)",""))&lt;lenb($Z563),1,IF(lenb(SUBSTITUTE($Z563,V$1&amp;" (2)",""))&lt;lenb($Z563),2,IF(lenb(SUBSTITUTE($Z563,V$1&amp;" (3)",""))&lt;lenb($Z563),3,IF(lenb(SUBSTITUTE($Z563,V$1&amp;" (4)",""))&lt;lenb($Z563),4,IF(lenb(SUBSTITUTE($Z563,V$1&amp;" (5)",""))&lt;lenb($Z563),5,IF(lenb(SUBSTITUTE($Z563,V$1&amp;" (6)",""))&lt;lenb($Z563),6,IF(lenb(SUBSTITUTE($Z563,V$1&amp;" (7)",""))&lt;lenb($Z563),1,IF(lenb(SUBSTITUTE($Z563,V$1&amp;" (8)",""))&lt;lenb($Z563),8,IF(lenb(SUBSTITUTE($Z563,V$1&amp;" (9)",""))&lt;lenb($Z563),9,IF(lenb(SUBSTITUTE($Z563,V$1&amp;" (10)",""))&lt;lenb($Z563),10,IF(lenb(SUBSTITUTE($Z563,V$1,""))&lt;lenb($Z563),"ERROR",IF($Z563=$Y$1,"-",0))))))))))))</f>
        <v>1</v>
      </c>
      <c r="W563" s="52">
        <f t="shared" si="568"/>
        <v>0</v>
      </c>
      <c r="X563" s="52">
        <f t="shared" si="568"/>
        <v>0</v>
      </c>
      <c r="Y563" s="52" t="str">
        <f t="shared" si="3"/>
        <v>-</v>
      </c>
      <c r="Z563" s="52" t="s">
        <v>62</v>
      </c>
      <c r="AA563" s="53">
        <f t="shared" si="4"/>
        <v>1</v>
      </c>
      <c r="AB563" s="54">
        <f>COUNTIFS(Links!B:B,"ICSE",Links!C:C,A563,Links!AD:AD,1)</f>
        <v>0</v>
      </c>
      <c r="AC563" s="55" t="s">
        <v>35</v>
      </c>
      <c r="AD563" s="47" t="str">
        <f t="shared" si="5"/>
        <v>No</v>
      </c>
      <c r="AE563" s="56" t="s">
        <v>36</v>
      </c>
      <c r="AF563" s="57" t="s">
        <v>42</v>
      </c>
      <c r="AG563" s="57" t="s">
        <v>42</v>
      </c>
      <c r="AH563" s="57" t="s">
        <v>42</v>
      </c>
      <c r="AI563" s="49" t="str">
        <f t="shared" si="6"/>
        <v>----</v>
      </c>
      <c r="AJ563" s="58" t="str">
        <f t="shared" si="7"/>
        <v>Paper has link but no statement</v>
      </c>
      <c r="AK563" s="59">
        <v>45028.0</v>
      </c>
      <c r="AL563" s="43" t="s">
        <v>43</v>
      </c>
      <c r="AM563" s="60" t="str">
        <f t="shared" si="8"/>
        <v>[IP1015]</v>
      </c>
    </row>
    <row r="564" ht="67.5" customHeight="1">
      <c r="A564" s="61">
        <v>1016.0</v>
      </c>
      <c r="B564" s="75" t="s">
        <v>1478</v>
      </c>
      <c r="C564" s="23">
        <v>2019.0</v>
      </c>
      <c r="D564" s="24" t="s">
        <v>37</v>
      </c>
      <c r="E564" s="25" t="s">
        <v>37</v>
      </c>
      <c r="F564" s="25" t="s">
        <v>35</v>
      </c>
      <c r="G564" s="25" t="s">
        <v>37</v>
      </c>
      <c r="H564" s="25" t="s">
        <v>35</v>
      </c>
      <c r="I564" s="25" t="s">
        <v>35</v>
      </c>
      <c r="J564" s="26" t="s">
        <v>36</v>
      </c>
      <c r="K564" s="27" t="s">
        <v>37</v>
      </c>
      <c r="L564" s="28" t="s">
        <v>35</v>
      </c>
      <c r="M564" s="28" t="s">
        <v>37</v>
      </c>
      <c r="N564" s="28" t="s">
        <v>37</v>
      </c>
      <c r="O564" s="28" t="s">
        <v>35</v>
      </c>
      <c r="P564" s="28" t="s">
        <v>35</v>
      </c>
      <c r="Q564" s="28" t="s">
        <v>35</v>
      </c>
      <c r="R564" s="28" t="s">
        <v>35</v>
      </c>
      <c r="S564" s="29" t="s">
        <v>1479</v>
      </c>
      <c r="T564" s="30" t="s">
        <v>1480</v>
      </c>
      <c r="U564" s="31" t="s">
        <v>1480</v>
      </c>
      <c r="V564" s="32">
        <f t="shared" ref="V564:X564" si="569">IF(lenb(SUBSTITUTE($Z564,V$1&amp;" (1)",""))&lt;lenb($Z564),1,IF(lenb(SUBSTITUTE($Z564,V$1&amp;" (2)",""))&lt;lenb($Z564),2,IF(lenb(SUBSTITUTE($Z564,V$1&amp;" (3)",""))&lt;lenb($Z564),3,IF(lenb(SUBSTITUTE($Z564,V$1&amp;" (4)",""))&lt;lenb($Z564),4,IF(lenb(SUBSTITUTE($Z564,V$1&amp;" (5)",""))&lt;lenb($Z564),5,IF(lenb(SUBSTITUTE($Z564,V$1&amp;" (6)",""))&lt;lenb($Z564),6,IF(lenb(SUBSTITUTE($Z564,V$1&amp;" (7)",""))&lt;lenb($Z564),1,IF(lenb(SUBSTITUTE($Z564,V$1&amp;" (8)",""))&lt;lenb($Z564),8,IF(lenb(SUBSTITUTE($Z564,V$1&amp;" (9)",""))&lt;lenb($Z564),9,IF(lenb(SUBSTITUTE($Z564,V$1&amp;" (10)",""))&lt;lenb($Z564),10,IF(lenb(SUBSTITUTE($Z564,V$1,""))&lt;lenb($Z564),"ERROR",IF($Z564=$Y$1,"-",0))))))))))))</f>
        <v>1</v>
      </c>
      <c r="W564" s="32">
        <f t="shared" si="569"/>
        <v>0</v>
      </c>
      <c r="X564" s="32">
        <f t="shared" si="569"/>
        <v>0</v>
      </c>
      <c r="Y564" s="32" t="str">
        <f t="shared" si="3"/>
        <v>-</v>
      </c>
      <c r="Z564" s="32" t="s">
        <v>62</v>
      </c>
      <c r="AA564" s="33">
        <f t="shared" si="4"/>
        <v>1</v>
      </c>
      <c r="AB564" s="34">
        <f>COUNTIFS(Links!B:B,"ICSE",Links!C:C,A564,Links!AD:AD,1)</f>
        <v>0</v>
      </c>
      <c r="AC564" s="35" t="s">
        <v>35</v>
      </c>
      <c r="AD564" s="27" t="str">
        <f t="shared" si="5"/>
        <v>No</v>
      </c>
      <c r="AE564" s="36" t="s">
        <v>36</v>
      </c>
      <c r="AF564" s="37" t="s">
        <v>42</v>
      </c>
      <c r="AG564" s="37" t="s">
        <v>42</v>
      </c>
      <c r="AH564" s="37" t="s">
        <v>42</v>
      </c>
      <c r="AI564" s="29" t="str">
        <f t="shared" si="6"/>
        <v>----</v>
      </c>
      <c r="AJ564" s="38" t="str">
        <f t="shared" si="7"/>
        <v>Paper has link but no statement</v>
      </c>
      <c r="AK564" s="39">
        <v>45028.0</v>
      </c>
      <c r="AL564" s="23" t="s">
        <v>43</v>
      </c>
      <c r="AM564" s="40" t="str">
        <f t="shared" si="8"/>
        <v>[IP1016]</v>
      </c>
    </row>
    <row r="565" ht="67.5" customHeight="1">
      <c r="A565" s="41">
        <v>1017.0</v>
      </c>
      <c r="B565" s="42" t="s">
        <v>1481</v>
      </c>
      <c r="C565" s="43">
        <v>2019.0</v>
      </c>
      <c r="D565" s="44" t="s">
        <v>35</v>
      </c>
      <c r="E565" s="45" t="s">
        <v>36</v>
      </c>
      <c r="F565" s="45" t="s">
        <v>36</v>
      </c>
      <c r="G565" s="45" t="s">
        <v>36</v>
      </c>
      <c r="H565" s="45" t="s">
        <v>36</v>
      </c>
      <c r="I565" s="45" t="s">
        <v>36</v>
      </c>
      <c r="J565" s="46" t="s">
        <v>36</v>
      </c>
      <c r="K565" s="47" t="s">
        <v>37</v>
      </c>
      <c r="L565" s="48" t="s">
        <v>37</v>
      </c>
      <c r="M565" s="48" t="s">
        <v>35</v>
      </c>
      <c r="N565" s="48" t="s">
        <v>37</v>
      </c>
      <c r="O565" s="48" t="s">
        <v>35</v>
      </c>
      <c r="P565" s="48" t="s">
        <v>35</v>
      </c>
      <c r="Q565" s="48" t="s">
        <v>35</v>
      </c>
      <c r="R565" s="48" t="s">
        <v>37</v>
      </c>
      <c r="S565" s="49" t="s">
        <v>1482</v>
      </c>
      <c r="T565" s="50" t="s">
        <v>1483</v>
      </c>
      <c r="U565" s="51" t="s">
        <v>1483</v>
      </c>
      <c r="V565" s="52">
        <f t="shared" ref="V565:X565" si="570">IF(lenb(SUBSTITUTE($Z565,V$1&amp;" (1)",""))&lt;lenb($Z565),1,IF(lenb(SUBSTITUTE($Z565,V$1&amp;" (2)",""))&lt;lenb($Z565),2,IF(lenb(SUBSTITUTE($Z565,V$1&amp;" (3)",""))&lt;lenb($Z565),3,IF(lenb(SUBSTITUTE($Z565,V$1&amp;" (4)",""))&lt;lenb($Z565),4,IF(lenb(SUBSTITUTE($Z565,V$1&amp;" (5)",""))&lt;lenb($Z565),5,IF(lenb(SUBSTITUTE($Z565,V$1&amp;" (6)",""))&lt;lenb($Z565),6,IF(lenb(SUBSTITUTE($Z565,V$1&amp;" (7)",""))&lt;lenb($Z565),1,IF(lenb(SUBSTITUTE($Z565,V$1&amp;" (8)",""))&lt;lenb($Z565),8,IF(lenb(SUBSTITUTE($Z565,V$1&amp;" (9)",""))&lt;lenb($Z565),9,IF(lenb(SUBSTITUTE($Z565,V$1&amp;" (10)",""))&lt;lenb($Z565),10,IF(lenb(SUBSTITUTE($Z565,V$1,""))&lt;lenb($Z565),"ERROR",IF($Z565=$Y$1,"-",0))))))))))))</f>
        <v>2</v>
      </c>
      <c r="W565" s="52">
        <f t="shared" si="570"/>
        <v>0</v>
      </c>
      <c r="X565" s="52">
        <f t="shared" si="570"/>
        <v>0</v>
      </c>
      <c r="Y565" s="52" t="str">
        <f t="shared" si="3"/>
        <v>-</v>
      </c>
      <c r="Z565" s="52" t="s">
        <v>57</v>
      </c>
      <c r="AA565" s="53">
        <f t="shared" si="4"/>
        <v>2</v>
      </c>
      <c r="AB565" s="54">
        <f>COUNTIFS(Links!B:B,"ICSE",Links!C:C,A565,Links!AD:AD,1)</f>
        <v>0</v>
      </c>
      <c r="AC565" s="55" t="s">
        <v>35</v>
      </c>
      <c r="AD565" s="47" t="str">
        <f t="shared" si="5"/>
        <v>No</v>
      </c>
      <c r="AE565" s="56" t="s">
        <v>36</v>
      </c>
      <c r="AF565" s="57" t="s">
        <v>42</v>
      </c>
      <c r="AG565" s="57" t="s">
        <v>42</v>
      </c>
      <c r="AH565" s="57" t="s">
        <v>42</v>
      </c>
      <c r="AI565" s="49" t="str">
        <f t="shared" si="6"/>
        <v>----</v>
      </c>
      <c r="AJ565" s="58" t="str">
        <f t="shared" si="7"/>
        <v>Paper has link but no statement</v>
      </c>
      <c r="AK565" s="59">
        <v>45028.0</v>
      </c>
      <c r="AL565" s="43" t="s">
        <v>43</v>
      </c>
      <c r="AM565" s="60" t="str">
        <f t="shared" si="8"/>
        <v>[IP1017]</v>
      </c>
    </row>
    <row r="566" ht="67.5" customHeight="1">
      <c r="A566" s="61">
        <v>1018.0</v>
      </c>
      <c r="B566" s="22" t="s">
        <v>1484</v>
      </c>
      <c r="C566" s="23">
        <v>2019.0</v>
      </c>
      <c r="D566" s="24" t="s">
        <v>35</v>
      </c>
      <c r="E566" s="25" t="s">
        <v>36</v>
      </c>
      <c r="F566" s="25" t="s">
        <v>36</v>
      </c>
      <c r="G566" s="25" t="s">
        <v>36</v>
      </c>
      <c r="H566" s="25" t="s">
        <v>36</v>
      </c>
      <c r="I566" s="25" t="s">
        <v>36</v>
      </c>
      <c r="J566" s="26" t="s">
        <v>36</v>
      </c>
      <c r="K566" s="27" t="s">
        <v>37</v>
      </c>
      <c r="L566" s="28" t="s">
        <v>37</v>
      </c>
      <c r="M566" s="28" t="s">
        <v>35</v>
      </c>
      <c r="N566" s="28" t="s">
        <v>37</v>
      </c>
      <c r="O566" s="28" t="s">
        <v>35</v>
      </c>
      <c r="P566" s="28" t="s">
        <v>35</v>
      </c>
      <c r="Q566" s="28" t="s">
        <v>35</v>
      </c>
      <c r="R566" s="28" t="s">
        <v>35</v>
      </c>
      <c r="S566" s="29" t="s">
        <v>340</v>
      </c>
      <c r="T566" s="30" t="s">
        <v>1485</v>
      </c>
      <c r="U566" s="31" t="s">
        <v>1485</v>
      </c>
      <c r="V566" s="32">
        <f t="shared" ref="V566:X566" si="571">IF(lenb(SUBSTITUTE($Z566,V$1&amp;" (1)",""))&lt;lenb($Z566),1,IF(lenb(SUBSTITUTE($Z566,V$1&amp;" (2)",""))&lt;lenb($Z566),2,IF(lenb(SUBSTITUTE($Z566,V$1&amp;" (3)",""))&lt;lenb($Z566),3,IF(lenb(SUBSTITUTE($Z566,V$1&amp;" (4)",""))&lt;lenb($Z566),4,IF(lenb(SUBSTITUTE($Z566,V$1&amp;" (5)",""))&lt;lenb($Z566),5,IF(lenb(SUBSTITUTE($Z566,V$1&amp;" (6)",""))&lt;lenb($Z566),6,IF(lenb(SUBSTITUTE($Z566,V$1&amp;" (7)",""))&lt;lenb($Z566),1,IF(lenb(SUBSTITUTE($Z566,V$1&amp;" (8)",""))&lt;lenb($Z566),8,IF(lenb(SUBSTITUTE($Z566,V$1&amp;" (9)",""))&lt;lenb($Z566),9,IF(lenb(SUBSTITUTE($Z566,V$1&amp;" (10)",""))&lt;lenb($Z566),10,IF(lenb(SUBSTITUTE($Z566,V$1,""))&lt;lenb($Z566),"ERROR",IF($Z566=$Y$1,"-",0))))))))))))</f>
        <v>1</v>
      </c>
      <c r="W566" s="32">
        <f t="shared" si="571"/>
        <v>0</v>
      </c>
      <c r="X566" s="32">
        <f t="shared" si="571"/>
        <v>0</v>
      </c>
      <c r="Y566" s="32" t="str">
        <f t="shared" si="3"/>
        <v>-</v>
      </c>
      <c r="Z566" s="32" t="s">
        <v>62</v>
      </c>
      <c r="AA566" s="33">
        <f t="shared" si="4"/>
        <v>1</v>
      </c>
      <c r="AB566" s="34">
        <f>COUNTIFS(Links!B:B,"ICSE",Links!C:C,A566,Links!AD:AD,1)</f>
        <v>0</v>
      </c>
      <c r="AC566" s="35" t="s">
        <v>35</v>
      </c>
      <c r="AD566" s="27" t="str">
        <f t="shared" si="5"/>
        <v>No</v>
      </c>
      <c r="AE566" s="36" t="s">
        <v>36</v>
      </c>
      <c r="AF566" s="37" t="s">
        <v>42</v>
      </c>
      <c r="AG566" s="37" t="s">
        <v>42</v>
      </c>
      <c r="AH566" s="37" t="s">
        <v>42</v>
      </c>
      <c r="AI566" s="29" t="str">
        <f t="shared" si="6"/>
        <v>----</v>
      </c>
      <c r="AJ566" s="38" t="str">
        <f t="shared" si="7"/>
        <v>Paper has link but no statement</v>
      </c>
      <c r="AK566" s="39">
        <v>45028.0</v>
      </c>
      <c r="AL566" s="23" t="s">
        <v>43</v>
      </c>
      <c r="AM566" s="40" t="str">
        <f t="shared" si="8"/>
        <v>[IP1018]</v>
      </c>
    </row>
    <row r="567" ht="67.5" customHeight="1">
      <c r="A567" s="41">
        <v>695.0</v>
      </c>
      <c r="B567" s="42" t="s">
        <v>1486</v>
      </c>
      <c r="C567" s="43">
        <v>2020.0</v>
      </c>
      <c r="D567" s="44" t="s">
        <v>35</v>
      </c>
      <c r="E567" s="45" t="s">
        <v>36</v>
      </c>
      <c r="F567" s="45" t="s">
        <v>36</v>
      </c>
      <c r="G567" s="45" t="s">
        <v>36</v>
      </c>
      <c r="H567" s="45" t="s">
        <v>36</v>
      </c>
      <c r="I567" s="45" t="s">
        <v>36</v>
      </c>
      <c r="J567" s="46" t="s">
        <v>36</v>
      </c>
      <c r="K567" s="47" t="s">
        <v>37</v>
      </c>
      <c r="L567" s="48" t="s">
        <v>37</v>
      </c>
      <c r="M567" s="48" t="s">
        <v>35</v>
      </c>
      <c r="N567" s="48" t="s">
        <v>35</v>
      </c>
      <c r="O567" s="48" t="s">
        <v>35</v>
      </c>
      <c r="P567" s="48" t="s">
        <v>35</v>
      </c>
      <c r="Q567" s="48" t="s">
        <v>35</v>
      </c>
      <c r="R567" s="48" t="s">
        <v>37</v>
      </c>
      <c r="S567" s="49" t="s">
        <v>1487</v>
      </c>
      <c r="T567" s="50" t="s">
        <v>1488</v>
      </c>
      <c r="U567" s="51" t="s">
        <v>1488</v>
      </c>
      <c r="V567" s="52">
        <f t="shared" ref="V567:X567" si="572">IF(lenb(SUBSTITUTE($Z567,V$1&amp;" (1)",""))&lt;lenb($Z567),1,IF(lenb(SUBSTITUTE($Z567,V$1&amp;" (2)",""))&lt;lenb($Z567),2,IF(lenb(SUBSTITUTE($Z567,V$1&amp;" (3)",""))&lt;lenb($Z567),3,IF(lenb(SUBSTITUTE($Z567,V$1&amp;" (4)",""))&lt;lenb($Z567),4,IF(lenb(SUBSTITUTE($Z567,V$1&amp;" (5)",""))&lt;lenb($Z567),5,IF(lenb(SUBSTITUTE($Z567,V$1&amp;" (6)",""))&lt;lenb($Z567),6,IF(lenb(SUBSTITUTE($Z567,V$1&amp;" (7)",""))&lt;lenb($Z567),1,IF(lenb(SUBSTITUTE($Z567,V$1&amp;" (8)",""))&lt;lenb($Z567),8,IF(lenb(SUBSTITUTE($Z567,V$1&amp;" (9)",""))&lt;lenb($Z567),9,IF(lenb(SUBSTITUTE($Z567,V$1&amp;" (10)",""))&lt;lenb($Z567),10,IF(lenb(SUBSTITUTE($Z567,V$1,""))&lt;lenb($Z567),"ERROR",IF($Z567=$Y$1,"-",0))))))))))))</f>
        <v>1</v>
      </c>
      <c r="W567" s="52">
        <f t="shared" si="572"/>
        <v>0</v>
      </c>
      <c r="X567" s="52">
        <f t="shared" si="572"/>
        <v>0</v>
      </c>
      <c r="Y567" s="52" t="str">
        <f t="shared" si="3"/>
        <v>-</v>
      </c>
      <c r="Z567" s="52" t="s">
        <v>62</v>
      </c>
      <c r="AA567" s="53">
        <f t="shared" si="4"/>
        <v>1</v>
      </c>
      <c r="AB567" s="54">
        <f>COUNTIFS(Links!B:B,"ICSE",Links!C:C,A567,Links!AD:AD,1)</f>
        <v>0</v>
      </c>
      <c r="AC567" s="55" t="s">
        <v>35</v>
      </c>
      <c r="AD567" s="47" t="str">
        <f t="shared" si="5"/>
        <v>No</v>
      </c>
      <c r="AE567" s="56" t="s">
        <v>36</v>
      </c>
      <c r="AF567" s="57" t="s">
        <v>42</v>
      </c>
      <c r="AG567" s="57" t="s">
        <v>42</v>
      </c>
      <c r="AH567" s="57" t="s">
        <v>42</v>
      </c>
      <c r="AI567" s="49" t="str">
        <f t="shared" si="6"/>
        <v>----</v>
      </c>
      <c r="AJ567" s="58" t="str">
        <f t="shared" si="7"/>
        <v>Paper has link but no statement</v>
      </c>
      <c r="AK567" s="59">
        <v>45027.0</v>
      </c>
      <c r="AL567" s="43" t="s">
        <v>43</v>
      </c>
      <c r="AM567" s="60" t="str">
        <f t="shared" si="8"/>
        <v>[IP0695]</v>
      </c>
    </row>
    <row r="568" ht="67.5" customHeight="1">
      <c r="A568" s="61">
        <v>696.0</v>
      </c>
      <c r="B568" s="22" t="s">
        <v>1489</v>
      </c>
      <c r="C568" s="23">
        <v>2020.0</v>
      </c>
      <c r="D568" s="24" t="s">
        <v>35</v>
      </c>
      <c r="E568" s="25" t="s">
        <v>36</v>
      </c>
      <c r="F568" s="25" t="s">
        <v>36</v>
      </c>
      <c r="G568" s="25" t="s">
        <v>36</v>
      </c>
      <c r="H568" s="25" t="s">
        <v>36</v>
      </c>
      <c r="I568" s="25" t="s">
        <v>36</v>
      </c>
      <c r="J568" s="26" t="s">
        <v>36</v>
      </c>
      <c r="K568" s="27" t="s">
        <v>37</v>
      </c>
      <c r="L568" s="28" t="s">
        <v>35</v>
      </c>
      <c r="M568" s="28" t="s">
        <v>37</v>
      </c>
      <c r="N568" s="28" t="s">
        <v>35</v>
      </c>
      <c r="O568" s="28" t="s">
        <v>35</v>
      </c>
      <c r="P568" s="28" t="s">
        <v>35</v>
      </c>
      <c r="Q568" s="28" t="s">
        <v>37</v>
      </c>
      <c r="R568" s="28" t="s">
        <v>35</v>
      </c>
      <c r="S568" s="29" t="s">
        <v>1490</v>
      </c>
      <c r="T568" s="30" t="s">
        <v>1491</v>
      </c>
      <c r="U568" s="31" t="s">
        <v>1491</v>
      </c>
      <c r="V568" s="32">
        <f t="shared" ref="V568:X568" si="573">IF(lenb(SUBSTITUTE($Z568,V$1&amp;" (1)",""))&lt;lenb($Z568),1,IF(lenb(SUBSTITUTE($Z568,V$1&amp;" (2)",""))&lt;lenb($Z568),2,IF(lenb(SUBSTITUTE($Z568,V$1&amp;" (3)",""))&lt;lenb($Z568),3,IF(lenb(SUBSTITUTE($Z568,V$1&amp;" (4)",""))&lt;lenb($Z568),4,IF(lenb(SUBSTITUTE($Z568,V$1&amp;" (5)",""))&lt;lenb($Z568),5,IF(lenb(SUBSTITUTE($Z568,V$1&amp;" (6)",""))&lt;lenb($Z568),6,IF(lenb(SUBSTITUTE($Z568,V$1&amp;" (7)",""))&lt;lenb($Z568),1,IF(lenb(SUBSTITUTE($Z568,V$1&amp;" (8)",""))&lt;lenb($Z568),8,IF(lenb(SUBSTITUTE($Z568,V$1&amp;" (9)",""))&lt;lenb($Z568),9,IF(lenb(SUBSTITUTE($Z568,V$1&amp;" (10)",""))&lt;lenb($Z568),10,IF(lenb(SUBSTITUTE($Z568,V$1,""))&lt;lenb($Z568),"ERROR",IF($Z568=$Y$1,"-",0))))))))))))</f>
        <v>1</v>
      </c>
      <c r="W568" s="32">
        <f t="shared" si="573"/>
        <v>0</v>
      </c>
      <c r="X568" s="32">
        <f t="shared" si="573"/>
        <v>0</v>
      </c>
      <c r="Y568" s="32" t="str">
        <f t="shared" si="3"/>
        <v>-</v>
      </c>
      <c r="Z568" s="32" t="s">
        <v>62</v>
      </c>
      <c r="AA568" s="33">
        <f t="shared" si="4"/>
        <v>1</v>
      </c>
      <c r="AB568" s="34">
        <f>COUNTIFS(Links!B:B,"ICSE",Links!C:C,A568,Links!AD:AD,1)</f>
        <v>0</v>
      </c>
      <c r="AC568" s="35" t="s">
        <v>37</v>
      </c>
      <c r="AD568" s="27" t="str">
        <f t="shared" si="5"/>
        <v>No</v>
      </c>
      <c r="AE568" s="36" t="s">
        <v>36</v>
      </c>
      <c r="AF568" s="37" t="s">
        <v>42</v>
      </c>
      <c r="AG568" s="37" t="s">
        <v>42</v>
      </c>
      <c r="AH568" s="37" t="s">
        <v>42</v>
      </c>
      <c r="AI568" s="29" t="str">
        <f t="shared" si="6"/>
        <v>----</v>
      </c>
      <c r="AJ568" s="38" t="str">
        <f t="shared" si="7"/>
        <v>Paper has link but no statement</v>
      </c>
      <c r="AK568" s="39">
        <v>45027.0</v>
      </c>
      <c r="AL568" s="23" t="s">
        <v>43</v>
      </c>
      <c r="AM568" s="40" t="str">
        <f t="shared" si="8"/>
        <v>[IP0696]</v>
      </c>
    </row>
    <row r="569" ht="67.5" customHeight="1">
      <c r="A569" s="41">
        <v>697.0</v>
      </c>
      <c r="B569" s="42" t="s">
        <v>1492</v>
      </c>
      <c r="C569" s="43">
        <v>2020.0</v>
      </c>
      <c r="D569" s="44" t="s">
        <v>37</v>
      </c>
      <c r="E569" s="45" t="s">
        <v>37</v>
      </c>
      <c r="F569" s="45" t="s">
        <v>35</v>
      </c>
      <c r="G569" s="45" t="s">
        <v>37</v>
      </c>
      <c r="H569" s="45" t="s">
        <v>35</v>
      </c>
      <c r="I569" s="45" t="s">
        <v>35</v>
      </c>
      <c r="J569" s="46" t="s">
        <v>36</v>
      </c>
      <c r="K569" s="47" t="s">
        <v>37</v>
      </c>
      <c r="L569" s="48" t="s">
        <v>35</v>
      </c>
      <c r="M569" s="48" t="s">
        <v>35</v>
      </c>
      <c r="N569" s="48" t="s">
        <v>37</v>
      </c>
      <c r="O569" s="48" t="s">
        <v>35</v>
      </c>
      <c r="P569" s="48" t="s">
        <v>37</v>
      </c>
      <c r="Q569" s="48" t="s">
        <v>35</v>
      </c>
      <c r="R569" s="48" t="s">
        <v>35</v>
      </c>
      <c r="S569" s="49" t="s">
        <v>1493</v>
      </c>
      <c r="T569" s="50" t="s">
        <v>1494</v>
      </c>
      <c r="U569" s="51" t="s">
        <v>1495</v>
      </c>
      <c r="V569" s="52">
        <f t="shared" ref="V569:X569" si="574">IF(lenb(SUBSTITUTE($Z569,V$1&amp;" (1)",""))&lt;lenb($Z569),1,IF(lenb(SUBSTITUTE($Z569,V$1&amp;" (2)",""))&lt;lenb($Z569),2,IF(lenb(SUBSTITUTE($Z569,V$1&amp;" (3)",""))&lt;lenb($Z569),3,IF(lenb(SUBSTITUTE($Z569,V$1&amp;" (4)",""))&lt;lenb($Z569),4,IF(lenb(SUBSTITUTE($Z569,V$1&amp;" (5)",""))&lt;lenb($Z569),5,IF(lenb(SUBSTITUTE($Z569,V$1&amp;" (6)",""))&lt;lenb($Z569),6,IF(lenb(SUBSTITUTE($Z569,V$1&amp;" (7)",""))&lt;lenb($Z569),1,IF(lenb(SUBSTITUTE($Z569,V$1&amp;" (8)",""))&lt;lenb($Z569),8,IF(lenb(SUBSTITUTE($Z569,V$1&amp;" (9)",""))&lt;lenb($Z569),9,IF(lenb(SUBSTITUTE($Z569,V$1&amp;" (10)",""))&lt;lenb($Z569),10,IF(lenb(SUBSTITUTE($Z569,V$1,""))&lt;lenb($Z569),"ERROR",IF($Z569=$Y$1,"-",0))))))))))))</f>
        <v>2</v>
      </c>
      <c r="W569" s="52">
        <f t="shared" si="574"/>
        <v>0</v>
      </c>
      <c r="X569" s="52">
        <f t="shared" si="574"/>
        <v>0</v>
      </c>
      <c r="Y569" s="52" t="str">
        <f t="shared" si="3"/>
        <v>-</v>
      </c>
      <c r="Z569" s="52" t="s">
        <v>57</v>
      </c>
      <c r="AA569" s="53">
        <f t="shared" si="4"/>
        <v>2</v>
      </c>
      <c r="AB569" s="54">
        <f>COUNTIFS(Links!B:B,"ICSE",Links!C:C,A569,Links!AD:AD,1)</f>
        <v>0</v>
      </c>
      <c r="AC569" s="55" t="s">
        <v>37</v>
      </c>
      <c r="AD569" s="47" t="str">
        <f t="shared" si="5"/>
        <v>No</v>
      </c>
      <c r="AE569" s="56" t="s">
        <v>36</v>
      </c>
      <c r="AF569" s="57" t="s">
        <v>42</v>
      </c>
      <c r="AG569" s="57" t="s">
        <v>42</v>
      </c>
      <c r="AH569" s="57" t="s">
        <v>42</v>
      </c>
      <c r="AI569" s="49" t="str">
        <f t="shared" si="6"/>
        <v>----</v>
      </c>
      <c r="AJ569" s="58" t="str">
        <f t="shared" si="7"/>
        <v>Paper has link but no statement</v>
      </c>
      <c r="AK569" s="59">
        <v>45027.0</v>
      </c>
      <c r="AL569" s="43" t="s">
        <v>43</v>
      </c>
      <c r="AM569" s="60" t="str">
        <f t="shared" si="8"/>
        <v>[IP0697]</v>
      </c>
    </row>
    <row r="570" ht="67.5" customHeight="1">
      <c r="A570" s="61">
        <v>698.0</v>
      </c>
      <c r="B570" s="22" t="s">
        <v>1496</v>
      </c>
      <c r="C570" s="23">
        <v>2020.0</v>
      </c>
      <c r="D570" s="24" t="s">
        <v>37</v>
      </c>
      <c r="E570" s="25" t="s">
        <v>37</v>
      </c>
      <c r="F570" s="25" t="s">
        <v>35</v>
      </c>
      <c r="G570" s="25" t="s">
        <v>37</v>
      </c>
      <c r="H570" s="25" t="s">
        <v>35</v>
      </c>
      <c r="I570" s="25" t="s">
        <v>35</v>
      </c>
      <c r="J570" s="26" t="s">
        <v>36</v>
      </c>
      <c r="K570" s="27" t="s">
        <v>37</v>
      </c>
      <c r="L570" s="28" t="s">
        <v>37</v>
      </c>
      <c r="M570" s="28" t="s">
        <v>35</v>
      </c>
      <c r="N570" s="28" t="s">
        <v>37</v>
      </c>
      <c r="O570" s="28" t="s">
        <v>35</v>
      </c>
      <c r="P570" s="28" t="s">
        <v>35</v>
      </c>
      <c r="Q570" s="28" t="s">
        <v>35</v>
      </c>
      <c r="R570" s="28" t="s">
        <v>37</v>
      </c>
      <c r="S570" s="29" t="s">
        <v>1497</v>
      </c>
      <c r="T570" s="30" t="s">
        <v>1498</v>
      </c>
      <c r="U570" s="31" t="s">
        <v>1498</v>
      </c>
      <c r="V570" s="32">
        <f t="shared" ref="V570:X570" si="575">IF(lenb(SUBSTITUTE($Z570,V$1&amp;" (1)",""))&lt;lenb($Z570),1,IF(lenb(SUBSTITUTE($Z570,V$1&amp;" (2)",""))&lt;lenb($Z570),2,IF(lenb(SUBSTITUTE($Z570,V$1&amp;" (3)",""))&lt;lenb($Z570),3,IF(lenb(SUBSTITUTE($Z570,V$1&amp;" (4)",""))&lt;lenb($Z570),4,IF(lenb(SUBSTITUTE($Z570,V$1&amp;" (5)",""))&lt;lenb($Z570),5,IF(lenb(SUBSTITUTE($Z570,V$1&amp;" (6)",""))&lt;lenb($Z570),6,IF(lenb(SUBSTITUTE($Z570,V$1&amp;" (7)",""))&lt;lenb($Z570),1,IF(lenb(SUBSTITUTE($Z570,V$1&amp;" (8)",""))&lt;lenb($Z570),8,IF(lenb(SUBSTITUTE($Z570,V$1&amp;" (9)",""))&lt;lenb($Z570),9,IF(lenb(SUBSTITUTE($Z570,V$1&amp;" (10)",""))&lt;lenb($Z570),10,IF(lenb(SUBSTITUTE($Z570,V$1,""))&lt;lenb($Z570),"ERROR",IF($Z570=$Y$1,"-",0))))))))))))</f>
        <v>1</v>
      </c>
      <c r="W570" s="32">
        <f t="shared" si="575"/>
        <v>0</v>
      </c>
      <c r="X570" s="32">
        <f t="shared" si="575"/>
        <v>0</v>
      </c>
      <c r="Y570" s="32" t="str">
        <f t="shared" si="3"/>
        <v>-</v>
      </c>
      <c r="Z570" s="32" t="s">
        <v>62</v>
      </c>
      <c r="AA570" s="33">
        <f t="shared" si="4"/>
        <v>1</v>
      </c>
      <c r="AB570" s="34">
        <f>COUNTIFS(Links!B:B,"ICSE",Links!C:C,A570,Links!AD:AD,1)</f>
        <v>0</v>
      </c>
      <c r="AC570" s="35" t="s">
        <v>35</v>
      </c>
      <c r="AD570" s="27" t="str">
        <f t="shared" si="5"/>
        <v>No</v>
      </c>
      <c r="AE570" s="36" t="s">
        <v>36</v>
      </c>
      <c r="AF570" s="37" t="s">
        <v>42</v>
      </c>
      <c r="AG570" s="37" t="s">
        <v>42</v>
      </c>
      <c r="AH570" s="37" t="s">
        <v>42</v>
      </c>
      <c r="AI570" s="29" t="str">
        <f t="shared" si="6"/>
        <v>----</v>
      </c>
      <c r="AJ570" s="38" t="str">
        <f t="shared" si="7"/>
        <v>Paper has link but no statement</v>
      </c>
      <c r="AK570" s="39">
        <v>45027.0</v>
      </c>
      <c r="AL570" s="23" t="s">
        <v>43</v>
      </c>
      <c r="AM570" s="40" t="str">
        <f t="shared" si="8"/>
        <v>[IP0698]</v>
      </c>
    </row>
    <row r="571" ht="67.5" customHeight="1">
      <c r="A571" s="41">
        <v>699.0</v>
      </c>
      <c r="B571" s="42" t="s">
        <v>1499</v>
      </c>
      <c r="C571" s="43">
        <v>2020.0</v>
      </c>
      <c r="D571" s="44" t="s">
        <v>35</v>
      </c>
      <c r="E571" s="45" t="s">
        <v>36</v>
      </c>
      <c r="F571" s="45" t="s">
        <v>36</v>
      </c>
      <c r="G571" s="45" t="s">
        <v>36</v>
      </c>
      <c r="H571" s="45" t="s">
        <v>36</v>
      </c>
      <c r="I571" s="45" t="s">
        <v>36</v>
      </c>
      <c r="J571" s="46" t="s">
        <v>36</v>
      </c>
      <c r="K571" s="47" t="s">
        <v>37</v>
      </c>
      <c r="L571" s="48" t="s">
        <v>35</v>
      </c>
      <c r="M571" s="48" t="s">
        <v>37</v>
      </c>
      <c r="N571" s="48" t="s">
        <v>35</v>
      </c>
      <c r="O571" s="48" t="s">
        <v>35</v>
      </c>
      <c r="P571" s="48" t="s">
        <v>35</v>
      </c>
      <c r="Q571" s="48" t="s">
        <v>35</v>
      </c>
      <c r="R571" s="48" t="s">
        <v>37</v>
      </c>
      <c r="S571" s="49" t="s">
        <v>1500</v>
      </c>
      <c r="T571" s="50" t="s">
        <v>1501</v>
      </c>
      <c r="U571" s="51" t="s">
        <v>1501</v>
      </c>
      <c r="V571" s="52">
        <f t="shared" ref="V571:X571" si="576">IF(lenb(SUBSTITUTE($Z571,V$1&amp;" (1)",""))&lt;lenb($Z571),1,IF(lenb(SUBSTITUTE($Z571,V$1&amp;" (2)",""))&lt;lenb($Z571),2,IF(lenb(SUBSTITUTE($Z571,V$1&amp;" (3)",""))&lt;lenb($Z571),3,IF(lenb(SUBSTITUTE($Z571,V$1&amp;" (4)",""))&lt;lenb($Z571),4,IF(lenb(SUBSTITUTE($Z571,V$1&amp;" (5)",""))&lt;lenb($Z571),5,IF(lenb(SUBSTITUTE($Z571,V$1&amp;" (6)",""))&lt;lenb($Z571),6,IF(lenb(SUBSTITUTE($Z571,V$1&amp;" (7)",""))&lt;lenb($Z571),1,IF(lenb(SUBSTITUTE($Z571,V$1&amp;" (8)",""))&lt;lenb($Z571),8,IF(lenb(SUBSTITUTE($Z571,V$1&amp;" (9)",""))&lt;lenb($Z571),9,IF(lenb(SUBSTITUTE($Z571,V$1&amp;" (10)",""))&lt;lenb($Z571),10,IF(lenb(SUBSTITUTE($Z571,V$1,""))&lt;lenb($Z571),"ERROR",IF($Z571=$Y$1,"-",0))))))))))))</f>
        <v>1</v>
      </c>
      <c r="W571" s="52">
        <f t="shared" si="576"/>
        <v>0</v>
      </c>
      <c r="X571" s="52">
        <f t="shared" si="576"/>
        <v>0</v>
      </c>
      <c r="Y571" s="52" t="str">
        <f t="shared" si="3"/>
        <v>-</v>
      </c>
      <c r="Z571" s="52" t="s">
        <v>62</v>
      </c>
      <c r="AA571" s="53">
        <f t="shared" si="4"/>
        <v>1</v>
      </c>
      <c r="AB571" s="54">
        <f>COUNTIFS(Links!B:B,"ICSE",Links!C:C,A571,Links!AD:AD,1)</f>
        <v>0</v>
      </c>
      <c r="AC571" s="55" t="s">
        <v>35</v>
      </c>
      <c r="AD571" s="47" t="str">
        <f t="shared" si="5"/>
        <v>No</v>
      </c>
      <c r="AE571" s="56" t="s">
        <v>36</v>
      </c>
      <c r="AF571" s="57" t="s">
        <v>42</v>
      </c>
      <c r="AG571" s="57" t="s">
        <v>42</v>
      </c>
      <c r="AH571" s="57" t="s">
        <v>42</v>
      </c>
      <c r="AI571" s="49" t="str">
        <f t="shared" si="6"/>
        <v>----</v>
      </c>
      <c r="AJ571" s="58" t="str">
        <f t="shared" si="7"/>
        <v>Paper has link but no statement</v>
      </c>
      <c r="AK571" s="59">
        <v>45027.0</v>
      </c>
      <c r="AL571" s="43" t="s">
        <v>43</v>
      </c>
      <c r="AM571" s="60" t="str">
        <f t="shared" si="8"/>
        <v>[IP0699]</v>
      </c>
    </row>
    <row r="572" ht="67.5" customHeight="1">
      <c r="A572" s="61">
        <v>700.0</v>
      </c>
      <c r="B572" s="22" t="s">
        <v>1502</v>
      </c>
      <c r="C572" s="23">
        <v>2020.0</v>
      </c>
      <c r="D572" s="24" t="s">
        <v>35</v>
      </c>
      <c r="E572" s="25" t="s">
        <v>36</v>
      </c>
      <c r="F572" s="25" t="s">
        <v>36</v>
      </c>
      <c r="G572" s="25" t="s">
        <v>36</v>
      </c>
      <c r="H572" s="25" t="s">
        <v>36</v>
      </c>
      <c r="I572" s="25" t="s">
        <v>36</v>
      </c>
      <c r="J572" s="26" t="s">
        <v>36</v>
      </c>
      <c r="K572" s="27" t="s">
        <v>37</v>
      </c>
      <c r="L572" s="28" t="s">
        <v>35</v>
      </c>
      <c r="M572" s="28" t="s">
        <v>37</v>
      </c>
      <c r="N572" s="28" t="s">
        <v>35</v>
      </c>
      <c r="O572" s="28" t="s">
        <v>35</v>
      </c>
      <c r="P572" s="28" t="s">
        <v>35</v>
      </c>
      <c r="Q572" s="28" t="s">
        <v>35</v>
      </c>
      <c r="R572" s="28" t="s">
        <v>37</v>
      </c>
      <c r="S572" s="29" t="s">
        <v>1503</v>
      </c>
      <c r="T572" s="30" t="s">
        <v>1504</v>
      </c>
      <c r="U572" s="31" t="s">
        <v>1504</v>
      </c>
      <c r="V572" s="32">
        <f t="shared" ref="V572:X572" si="577">IF(lenb(SUBSTITUTE($Z572,V$1&amp;" (1)",""))&lt;lenb($Z572),1,IF(lenb(SUBSTITUTE($Z572,V$1&amp;" (2)",""))&lt;lenb($Z572),2,IF(lenb(SUBSTITUTE($Z572,V$1&amp;" (3)",""))&lt;lenb($Z572),3,IF(lenb(SUBSTITUTE($Z572,V$1&amp;" (4)",""))&lt;lenb($Z572),4,IF(lenb(SUBSTITUTE($Z572,V$1&amp;" (5)",""))&lt;lenb($Z572),5,IF(lenb(SUBSTITUTE($Z572,V$1&amp;" (6)",""))&lt;lenb($Z572),6,IF(lenb(SUBSTITUTE($Z572,V$1&amp;" (7)",""))&lt;lenb($Z572),1,IF(lenb(SUBSTITUTE($Z572,V$1&amp;" (8)",""))&lt;lenb($Z572),8,IF(lenb(SUBSTITUTE($Z572,V$1&amp;" (9)",""))&lt;lenb($Z572),9,IF(lenb(SUBSTITUTE($Z572,V$1&amp;" (10)",""))&lt;lenb($Z572),10,IF(lenb(SUBSTITUTE($Z572,V$1,""))&lt;lenb($Z572),"ERROR",IF($Z572=$Y$1,"-",0))))))))))))</f>
        <v>1</v>
      </c>
      <c r="W572" s="32">
        <f t="shared" si="577"/>
        <v>0</v>
      </c>
      <c r="X572" s="32">
        <f t="shared" si="577"/>
        <v>0</v>
      </c>
      <c r="Y572" s="32" t="str">
        <f t="shared" si="3"/>
        <v>-</v>
      </c>
      <c r="Z572" s="32" t="s">
        <v>62</v>
      </c>
      <c r="AA572" s="33">
        <f t="shared" si="4"/>
        <v>1</v>
      </c>
      <c r="AB572" s="34">
        <f>COUNTIFS(Links!B:B,"ICSE",Links!C:C,A572,Links!AD:AD,1)</f>
        <v>0</v>
      </c>
      <c r="AC572" s="35" t="s">
        <v>37</v>
      </c>
      <c r="AD572" s="27" t="str">
        <f t="shared" si="5"/>
        <v>No</v>
      </c>
      <c r="AE572" s="36" t="s">
        <v>36</v>
      </c>
      <c r="AF572" s="37" t="s">
        <v>42</v>
      </c>
      <c r="AG572" s="37" t="s">
        <v>42</v>
      </c>
      <c r="AH572" s="37" t="s">
        <v>42</v>
      </c>
      <c r="AI572" s="29" t="str">
        <f t="shared" si="6"/>
        <v>----</v>
      </c>
      <c r="AJ572" s="38" t="str">
        <f t="shared" si="7"/>
        <v>Paper has link but no statement</v>
      </c>
      <c r="AK572" s="39">
        <v>45027.0</v>
      </c>
      <c r="AL572" s="23" t="s">
        <v>43</v>
      </c>
      <c r="AM572" s="40" t="str">
        <f t="shared" si="8"/>
        <v>[IP0700]</v>
      </c>
    </row>
    <row r="573" ht="67.5" customHeight="1">
      <c r="A573" s="41">
        <v>701.0</v>
      </c>
      <c r="B573" s="42" t="s">
        <v>1505</v>
      </c>
      <c r="C573" s="43">
        <v>2020.0</v>
      </c>
      <c r="D573" s="44" t="s">
        <v>37</v>
      </c>
      <c r="E573" s="45" t="s">
        <v>37</v>
      </c>
      <c r="F573" s="45" t="s">
        <v>35</v>
      </c>
      <c r="G573" s="45" t="s">
        <v>37</v>
      </c>
      <c r="H573" s="45" t="s">
        <v>35</v>
      </c>
      <c r="I573" s="45" t="s">
        <v>35</v>
      </c>
      <c r="J573" s="46" t="s">
        <v>36</v>
      </c>
      <c r="K573" s="47" t="s">
        <v>37</v>
      </c>
      <c r="L573" s="48" t="s">
        <v>35</v>
      </c>
      <c r="M573" s="48" t="s">
        <v>35</v>
      </c>
      <c r="N573" s="48" t="s">
        <v>35</v>
      </c>
      <c r="O573" s="48" t="s">
        <v>37</v>
      </c>
      <c r="P573" s="48" t="s">
        <v>35</v>
      </c>
      <c r="Q573" s="48" t="s">
        <v>35</v>
      </c>
      <c r="R573" s="48" t="s">
        <v>35</v>
      </c>
      <c r="S573" s="49" t="s">
        <v>1506</v>
      </c>
      <c r="T573" s="50" t="s">
        <v>1507</v>
      </c>
      <c r="U573" s="51" t="s">
        <v>1508</v>
      </c>
      <c r="V573" s="52">
        <f t="shared" ref="V573:X573" si="578">IF(lenb(SUBSTITUTE($Z573,V$1&amp;" (1)",""))&lt;lenb($Z573),1,IF(lenb(SUBSTITUTE($Z573,V$1&amp;" (2)",""))&lt;lenb($Z573),2,IF(lenb(SUBSTITUTE($Z573,V$1&amp;" (3)",""))&lt;lenb($Z573),3,IF(lenb(SUBSTITUTE($Z573,V$1&amp;" (4)",""))&lt;lenb($Z573),4,IF(lenb(SUBSTITUTE($Z573,V$1&amp;" (5)",""))&lt;lenb($Z573),5,IF(lenb(SUBSTITUTE($Z573,V$1&amp;" (6)",""))&lt;lenb($Z573),6,IF(lenb(SUBSTITUTE($Z573,V$1&amp;" (7)",""))&lt;lenb($Z573),1,IF(lenb(SUBSTITUTE($Z573,V$1&amp;" (8)",""))&lt;lenb($Z573),8,IF(lenb(SUBSTITUTE($Z573,V$1&amp;" (9)",""))&lt;lenb($Z573),9,IF(lenb(SUBSTITUTE($Z573,V$1&amp;" (10)",""))&lt;lenb($Z573),10,IF(lenb(SUBSTITUTE($Z573,V$1,""))&lt;lenb($Z573),"ERROR",IF($Z573=$Y$1,"-",0))))))))))))</f>
        <v>1</v>
      </c>
      <c r="W573" s="52">
        <f t="shared" si="578"/>
        <v>0</v>
      </c>
      <c r="X573" s="52">
        <f t="shared" si="578"/>
        <v>0</v>
      </c>
      <c r="Y573" s="52" t="str">
        <f t="shared" si="3"/>
        <v>-</v>
      </c>
      <c r="Z573" s="52" t="s">
        <v>62</v>
      </c>
      <c r="AA573" s="53">
        <f t="shared" si="4"/>
        <v>1</v>
      </c>
      <c r="AB573" s="54">
        <f>COUNTIFS(Links!B:B,"ICSE",Links!C:C,A573,Links!AD:AD,1)</f>
        <v>0</v>
      </c>
      <c r="AC573" s="55" t="s">
        <v>35</v>
      </c>
      <c r="AD573" s="47" t="str">
        <f t="shared" si="5"/>
        <v>No</v>
      </c>
      <c r="AE573" s="56" t="s">
        <v>36</v>
      </c>
      <c r="AF573" s="57" t="s">
        <v>42</v>
      </c>
      <c r="AG573" s="57" t="s">
        <v>42</v>
      </c>
      <c r="AH573" s="57" t="s">
        <v>42</v>
      </c>
      <c r="AI573" s="49" t="str">
        <f t="shared" si="6"/>
        <v>----</v>
      </c>
      <c r="AJ573" s="58" t="str">
        <f t="shared" si="7"/>
        <v>Paper has link but no statement</v>
      </c>
      <c r="AK573" s="59">
        <v>45027.0</v>
      </c>
      <c r="AL573" s="43" t="s">
        <v>43</v>
      </c>
      <c r="AM573" s="60" t="str">
        <f t="shared" si="8"/>
        <v>[IP0701]</v>
      </c>
    </row>
    <row r="574" ht="67.5" customHeight="1">
      <c r="A574" s="61">
        <v>702.0</v>
      </c>
      <c r="B574" s="22" t="s">
        <v>1509</v>
      </c>
      <c r="C574" s="23">
        <v>2020.0</v>
      </c>
      <c r="D574" s="24" t="s">
        <v>37</v>
      </c>
      <c r="E574" s="25" t="s">
        <v>37</v>
      </c>
      <c r="F574" s="25" t="s">
        <v>35</v>
      </c>
      <c r="G574" s="25" t="s">
        <v>37</v>
      </c>
      <c r="H574" s="25" t="s">
        <v>35</v>
      </c>
      <c r="I574" s="25" t="s">
        <v>35</v>
      </c>
      <c r="J574" s="26" t="s">
        <v>36</v>
      </c>
      <c r="K574" s="27" t="s">
        <v>37</v>
      </c>
      <c r="L574" s="28" t="s">
        <v>35</v>
      </c>
      <c r="M574" s="28" t="s">
        <v>35</v>
      </c>
      <c r="N574" s="28" t="s">
        <v>37</v>
      </c>
      <c r="O574" s="28" t="s">
        <v>35</v>
      </c>
      <c r="P574" s="28" t="s">
        <v>35</v>
      </c>
      <c r="Q574" s="28" t="s">
        <v>35</v>
      </c>
      <c r="R574" s="28" t="s">
        <v>37</v>
      </c>
      <c r="S574" s="29" t="s">
        <v>1510</v>
      </c>
      <c r="T574" s="30" t="s">
        <v>1511</v>
      </c>
      <c r="U574" s="31" t="s">
        <v>1511</v>
      </c>
      <c r="V574" s="32">
        <f t="shared" ref="V574:X574" si="579">IF(lenb(SUBSTITUTE($Z574,V$1&amp;" (1)",""))&lt;lenb($Z574),1,IF(lenb(SUBSTITUTE($Z574,V$1&amp;" (2)",""))&lt;lenb($Z574),2,IF(lenb(SUBSTITUTE($Z574,V$1&amp;" (3)",""))&lt;lenb($Z574),3,IF(lenb(SUBSTITUTE($Z574,V$1&amp;" (4)",""))&lt;lenb($Z574),4,IF(lenb(SUBSTITUTE($Z574,V$1&amp;" (5)",""))&lt;lenb($Z574),5,IF(lenb(SUBSTITUTE($Z574,V$1&amp;" (6)",""))&lt;lenb($Z574),6,IF(lenb(SUBSTITUTE($Z574,V$1&amp;" (7)",""))&lt;lenb($Z574),1,IF(lenb(SUBSTITUTE($Z574,V$1&amp;" (8)",""))&lt;lenb($Z574),8,IF(lenb(SUBSTITUTE($Z574,V$1&amp;" (9)",""))&lt;lenb($Z574),9,IF(lenb(SUBSTITUTE($Z574,V$1&amp;" (10)",""))&lt;lenb($Z574),10,IF(lenb(SUBSTITUTE($Z574,V$1,""))&lt;lenb($Z574),"ERROR",IF($Z574=$Y$1,"-",0))))))))))))</f>
        <v>1</v>
      </c>
      <c r="W574" s="32">
        <f t="shared" si="579"/>
        <v>0</v>
      </c>
      <c r="X574" s="32">
        <f t="shared" si="579"/>
        <v>0</v>
      </c>
      <c r="Y574" s="32" t="str">
        <f t="shared" si="3"/>
        <v>-</v>
      </c>
      <c r="Z574" s="32" t="s">
        <v>62</v>
      </c>
      <c r="AA574" s="33">
        <f t="shared" si="4"/>
        <v>1</v>
      </c>
      <c r="AB574" s="34">
        <f>COUNTIFS(Links!B:B,"ICSE",Links!C:C,A574,Links!AD:AD,1)</f>
        <v>1</v>
      </c>
      <c r="AC574" s="35" t="s">
        <v>35</v>
      </c>
      <c r="AD574" s="27" t="str">
        <f t="shared" si="5"/>
        <v>No</v>
      </c>
      <c r="AE574" s="36" t="s">
        <v>36</v>
      </c>
      <c r="AF574" s="37" t="s">
        <v>42</v>
      </c>
      <c r="AG574" s="37" t="s">
        <v>42</v>
      </c>
      <c r="AH574" s="37" t="s">
        <v>42</v>
      </c>
      <c r="AI574" s="29" t="str">
        <f t="shared" si="6"/>
        <v>----</v>
      </c>
      <c r="AJ574" s="38" t="str">
        <f t="shared" si="7"/>
        <v>Paper has link but no statement</v>
      </c>
      <c r="AK574" s="39">
        <v>45027.0</v>
      </c>
      <c r="AL574" s="23" t="s">
        <v>43</v>
      </c>
      <c r="AM574" s="40" t="str">
        <f t="shared" si="8"/>
        <v>[IP0702]</v>
      </c>
    </row>
    <row r="575" ht="67.5" customHeight="1">
      <c r="A575" s="41">
        <v>703.0</v>
      </c>
      <c r="B575" s="42" t="s">
        <v>1512</v>
      </c>
      <c r="C575" s="43">
        <v>2020.0</v>
      </c>
      <c r="D575" s="44" t="s">
        <v>35</v>
      </c>
      <c r="E575" s="45" t="s">
        <v>36</v>
      </c>
      <c r="F575" s="45" t="s">
        <v>36</v>
      </c>
      <c r="G575" s="45" t="s">
        <v>36</v>
      </c>
      <c r="H575" s="45" t="s">
        <v>36</v>
      </c>
      <c r="I575" s="45" t="s">
        <v>36</v>
      </c>
      <c r="J575" s="46" t="s">
        <v>36</v>
      </c>
      <c r="K575" s="47" t="s">
        <v>35</v>
      </c>
      <c r="L575" s="48" t="s">
        <v>36</v>
      </c>
      <c r="M575" s="48" t="s">
        <v>36</v>
      </c>
      <c r="N575" s="48" t="s">
        <v>36</v>
      </c>
      <c r="O575" s="48" t="s">
        <v>36</v>
      </c>
      <c r="P575" s="48" t="s">
        <v>36</v>
      </c>
      <c r="Q575" s="48" t="s">
        <v>36</v>
      </c>
      <c r="R575" s="48" t="s">
        <v>36</v>
      </c>
      <c r="S575" s="49" t="s">
        <v>36</v>
      </c>
      <c r="T575" s="50" t="s">
        <v>36</v>
      </c>
      <c r="U575" s="51" t="s">
        <v>36</v>
      </c>
      <c r="V575" s="52" t="str">
        <f t="shared" ref="V575:X575" si="580">IF(lenb(SUBSTITUTE($Z575,V$1&amp;" (1)",""))&lt;lenb($Z575),1,IF(lenb(SUBSTITUTE($Z575,V$1&amp;" (2)",""))&lt;lenb($Z575),2,IF(lenb(SUBSTITUTE($Z575,V$1&amp;" (3)",""))&lt;lenb($Z575),3,IF(lenb(SUBSTITUTE($Z575,V$1&amp;" (4)",""))&lt;lenb($Z575),4,IF(lenb(SUBSTITUTE($Z575,V$1&amp;" (5)",""))&lt;lenb($Z575),5,IF(lenb(SUBSTITUTE($Z575,V$1&amp;" (6)",""))&lt;lenb($Z575),6,IF(lenb(SUBSTITUTE($Z575,V$1&amp;" (7)",""))&lt;lenb($Z575),1,IF(lenb(SUBSTITUTE($Z575,V$1&amp;" (8)",""))&lt;lenb($Z575),8,IF(lenb(SUBSTITUTE($Z575,V$1&amp;" (9)",""))&lt;lenb($Z575),9,IF(lenb(SUBSTITUTE($Z575,V$1&amp;" (10)",""))&lt;lenb($Z575),10,IF(lenb(SUBSTITUTE($Z575,V$1,""))&lt;lenb($Z575),"ERROR",IF($Z575=$Y$1,"-",0))))))))))))</f>
        <v>-</v>
      </c>
      <c r="W575" s="52" t="str">
        <f t="shared" si="580"/>
        <v>-</v>
      </c>
      <c r="X575" s="52" t="str">
        <f t="shared" si="580"/>
        <v>-</v>
      </c>
      <c r="Y575" s="52">
        <f t="shared" si="3"/>
        <v>1</v>
      </c>
      <c r="Z575" s="52" t="s">
        <v>23</v>
      </c>
      <c r="AA575" s="53">
        <f t="shared" si="4"/>
        <v>0</v>
      </c>
      <c r="AB575" s="54">
        <f>COUNTIFS(Links!B:B,"ICSE",Links!C:C,A575,Links!AD:AD,1)</f>
        <v>0</v>
      </c>
      <c r="AC575" s="55" t="s">
        <v>36</v>
      </c>
      <c r="AD575" s="47" t="str">
        <f t="shared" si="5"/>
        <v>No</v>
      </c>
      <c r="AE575" s="56" t="s">
        <v>36</v>
      </c>
      <c r="AF575" s="57" t="s">
        <v>42</v>
      </c>
      <c r="AG575" s="57" t="s">
        <v>42</v>
      </c>
      <c r="AH575" s="57" t="s">
        <v>42</v>
      </c>
      <c r="AI575" s="49" t="str">
        <f t="shared" si="6"/>
        <v>----</v>
      </c>
      <c r="AJ575" s="58" t="str">
        <f t="shared" si="7"/>
        <v>Paper has no link and no statement</v>
      </c>
      <c r="AK575" s="59">
        <v>45027.0</v>
      </c>
      <c r="AL575" s="43" t="s">
        <v>43</v>
      </c>
      <c r="AM575" s="60" t="str">
        <f t="shared" si="8"/>
        <v>[IP0703]</v>
      </c>
    </row>
    <row r="576" ht="67.5" customHeight="1">
      <c r="A576" s="61">
        <v>704.0</v>
      </c>
      <c r="B576" s="22" t="s">
        <v>1513</v>
      </c>
      <c r="C576" s="23">
        <v>2020.0</v>
      </c>
      <c r="D576" s="24" t="s">
        <v>35</v>
      </c>
      <c r="E576" s="25" t="s">
        <v>36</v>
      </c>
      <c r="F576" s="25" t="s">
        <v>36</v>
      </c>
      <c r="G576" s="25" t="s">
        <v>36</v>
      </c>
      <c r="H576" s="25" t="s">
        <v>36</v>
      </c>
      <c r="I576" s="25" t="s">
        <v>36</v>
      </c>
      <c r="J576" s="26" t="s">
        <v>36</v>
      </c>
      <c r="K576" s="27" t="s">
        <v>35</v>
      </c>
      <c r="L576" s="28" t="s">
        <v>36</v>
      </c>
      <c r="M576" s="28" t="s">
        <v>36</v>
      </c>
      <c r="N576" s="28" t="s">
        <v>36</v>
      </c>
      <c r="O576" s="28" t="s">
        <v>36</v>
      </c>
      <c r="P576" s="28" t="s">
        <v>36</v>
      </c>
      <c r="Q576" s="28" t="s">
        <v>36</v>
      </c>
      <c r="R576" s="28" t="s">
        <v>36</v>
      </c>
      <c r="S576" s="29" t="s">
        <v>36</v>
      </c>
      <c r="T576" s="30" t="s">
        <v>36</v>
      </c>
      <c r="U576" s="31" t="s">
        <v>36</v>
      </c>
      <c r="V576" s="32" t="str">
        <f t="shared" ref="V576:X576" si="581">IF(lenb(SUBSTITUTE($Z576,V$1&amp;" (1)",""))&lt;lenb($Z576),1,IF(lenb(SUBSTITUTE($Z576,V$1&amp;" (2)",""))&lt;lenb($Z576),2,IF(lenb(SUBSTITUTE($Z576,V$1&amp;" (3)",""))&lt;lenb($Z576),3,IF(lenb(SUBSTITUTE($Z576,V$1&amp;" (4)",""))&lt;lenb($Z576),4,IF(lenb(SUBSTITUTE($Z576,V$1&amp;" (5)",""))&lt;lenb($Z576),5,IF(lenb(SUBSTITUTE($Z576,V$1&amp;" (6)",""))&lt;lenb($Z576),6,IF(lenb(SUBSTITUTE($Z576,V$1&amp;" (7)",""))&lt;lenb($Z576),1,IF(lenb(SUBSTITUTE($Z576,V$1&amp;" (8)",""))&lt;lenb($Z576),8,IF(lenb(SUBSTITUTE($Z576,V$1&amp;" (9)",""))&lt;lenb($Z576),9,IF(lenb(SUBSTITUTE($Z576,V$1&amp;" (10)",""))&lt;lenb($Z576),10,IF(lenb(SUBSTITUTE($Z576,V$1,""))&lt;lenb($Z576),"ERROR",IF($Z576=$Y$1,"-",0))))))))))))</f>
        <v>-</v>
      </c>
      <c r="W576" s="32" t="str">
        <f t="shared" si="581"/>
        <v>-</v>
      </c>
      <c r="X576" s="32" t="str">
        <f t="shared" si="581"/>
        <v>-</v>
      </c>
      <c r="Y576" s="32">
        <f t="shared" si="3"/>
        <v>1</v>
      </c>
      <c r="Z576" s="32" t="s">
        <v>23</v>
      </c>
      <c r="AA576" s="33">
        <f t="shared" si="4"/>
        <v>0</v>
      </c>
      <c r="AB576" s="34">
        <f>COUNTIFS(Links!B:B,"ICSE",Links!C:C,A576,Links!AD:AD,1)</f>
        <v>0</v>
      </c>
      <c r="AC576" s="35" t="s">
        <v>36</v>
      </c>
      <c r="AD576" s="27" t="str">
        <f t="shared" si="5"/>
        <v>No</v>
      </c>
      <c r="AE576" s="36" t="s">
        <v>36</v>
      </c>
      <c r="AF576" s="37" t="s">
        <v>42</v>
      </c>
      <c r="AG576" s="37" t="s">
        <v>42</v>
      </c>
      <c r="AH576" s="37" t="s">
        <v>42</v>
      </c>
      <c r="AI576" s="29" t="str">
        <f t="shared" si="6"/>
        <v>----</v>
      </c>
      <c r="AJ576" s="38" t="str">
        <f t="shared" si="7"/>
        <v>Paper has no link and no statement</v>
      </c>
      <c r="AK576" s="39">
        <v>45027.0</v>
      </c>
      <c r="AL576" s="23" t="s">
        <v>43</v>
      </c>
      <c r="AM576" s="40" t="str">
        <f t="shared" si="8"/>
        <v>[IP0704]</v>
      </c>
    </row>
    <row r="577" ht="67.5" customHeight="1">
      <c r="A577" s="41">
        <v>705.0</v>
      </c>
      <c r="B577" s="42" t="s">
        <v>1514</v>
      </c>
      <c r="C577" s="43">
        <v>2020.0</v>
      </c>
      <c r="D577" s="44" t="s">
        <v>37</v>
      </c>
      <c r="E577" s="45" t="s">
        <v>37</v>
      </c>
      <c r="F577" s="45" t="s">
        <v>35</v>
      </c>
      <c r="G577" s="45" t="s">
        <v>37</v>
      </c>
      <c r="H577" s="45" t="s">
        <v>35</v>
      </c>
      <c r="I577" s="45" t="s">
        <v>35</v>
      </c>
      <c r="J577" s="46" t="s">
        <v>36</v>
      </c>
      <c r="K577" s="47" t="s">
        <v>37</v>
      </c>
      <c r="L577" s="48" t="s">
        <v>35</v>
      </c>
      <c r="M577" s="48" t="s">
        <v>35</v>
      </c>
      <c r="N577" s="48" t="s">
        <v>37</v>
      </c>
      <c r="O577" s="48" t="s">
        <v>35</v>
      </c>
      <c r="P577" s="48" t="s">
        <v>35</v>
      </c>
      <c r="Q577" s="48" t="s">
        <v>35</v>
      </c>
      <c r="R577" s="48" t="s">
        <v>37</v>
      </c>
      <c r="S577" s="49" t="s">
        <v>1515</v>
      </c>
      <c r="T577" s="50" t="s">
        <v>1516</v>
      </c>
      <c r="U577" s="51" t="s">
        <v>1517</v>
      </c>
      <c r="V577" s="52">
        <f t="shared" ref="V577:X577" si="582">IF(lenb(SUBSTITUTE($Z577,V$1&amp;" (1)",""))&lt;lenb($Z577),1,IF(lenb(SUBSTITUTE($Z577,V$1&amp;" (2)",""))&lt;lenb($Z577),2,IF(lenb(SUBSTITUTE($Z577,V$1&amp;" (3)",""))&lt;lenb($Z577),3,IF(lenb(SUBSTITUTE($Z577,V$1&amp;" (4)",""))&lt;lenb($Z577),4,IF(lenb(SUBSTITUTE($Z577,V$1&amp;" (5)",""))&lt;lenb($Z577),5,IF(lenb(SUBSTITUTE($Z577,V$1&amp;" (6)",""))&lt;lenb($Z577),6,IF(lenb(SUBSTITUTE($Z577,V$1&amp;" (7)",""))&lt;lenb($Z577),1,IF(lenb(SUBSTITUTE($Z577,V$1&amp;" (8)",""))&lt;lenb($Z577),8,IF(lenb(SUBSTITUTE($Z577,V$1&amp;" (9)",""))&lt;lenb($Z577),9,IF(lenb(SUBSTITUTE($Z577,V$1&amp;" (10)",""))&lt;lenb($Z577),10,IF(lenb(SUBSTITUTE($Z577,V$1,""))&lt;lenb($Z577),"ERROR",IF($Z577=$Y$1,"-",0))))))))))))</f>
        <v>1</v>
      </c>
      <c r="W577" s="52">
        <f t="shared" si="582"/>
        <v>0</v>
      </c>
      <c r="X577" s="52">
        <f t="shared" si="582"/>
        <v>0</v>
      </c>
      <c r="Y577" s="52" t="str">
        <f t="shared" si="3"/>
        <v>-</v>
      </c>
      <c r="Z577" s="52" t="s">
        <v>62</v>
      </c>
      <c r="AA577" s="53">
        <f t="shared" si="4"/>
        <v>1</v>
      </c>
      <c r="AB577" s="54">
        <f>COUNTIFS(Links!B:B,"ICSE",Links!C:C,A577,Links!AD:AD,1)</f>
        <v>0</v>
      </c>
      <c r="AC577" s="55" t="s">
        <v>35</v>
      </c>
      <c r="AD577" s="47" t="str">
        <f t="shared" si="5"/>
        <v>No</v>
      </c>
      <c r="AE577" s="56" t="s">
        <v>36</v>
      </c>
      <c r="AF577" s="57" t="s">
        <v>42</v>
      </c>
      <c r="AG577" s="57" t="s">
        <v>42</v>
      </c>
      <c r="AH577" s="57" t="s">
        <v>42</v>
      </c>
      <c r="AI577" s="49" t="str">
        <f t="shared" si="6"/>
        <v>----</v>
      </c>
      <c r="AJ577" s="58" t="str">
        <f t="shared" si="7"/>
        <v>Paper has link but no statement</v>
      </c>
      <c r="AK577" s="59">
        <v>45027.0</v>
      </c>
      <c r="AL577" s="43" t="s">
        <v>43</v>
      </c>
      <c r="AM577" s="60" t="str">
        <f t="shared" si="8"/>
        <v>[IP0705]</v>
      </c>
    </row>
    <row r="578" ht="67.5" customHeight="1">
      <c r="A578" s="21">
        <v>706.0</v>
      </c>
      <c r="B578" s="22" t="s">
        <v>1518</v>
      </c>
      <c r="C578" s="23">
        <v>2020.0</v>
      </c>
      <c r="D578" s="24" t="s">
        <v>35</v>
      </c>
      <c r="E578" s="25" t="s">
        <v>36</v>
      </c>
      <c r="F578" s="25" t="s">
        <v>36</v>
      </c>
      <c r="G578" s="25" t="s">
        <v>36</v>
      </c>
      <c r="H578" s="25" t="s">
        <v>36</v>
      </c>
      <c r="I578" s="25" t="s">
        <v>36</v>
      </c>
      <c r="J578" s="26" t="s">
        <v>36</v>
      </c>
      <c r="K578" s="27" t="s">
        <v>35</v>
      </c>
      <c r="L578" s="28" t="s">
        <v>36</v>
      </c>
      <c r="M578" s="28" t="s">
        <v>36</v>
      </c>
      <c r="N578" s="28" t="s">
        <v>36</v>
      </c>
      <c r="O578" s="28" t="s">
        <v>36</v>
      </c>
      <c r="P578" s="28" t="s">
        <v>36</v>
      </c>
      <c r="Q578" s="28" t="s">
        <v>36</v>
      </c>
      <c r="R578" s="28" t="s">
        <v>36</v>
      </c>
      <c r="S578" s="29" t="s">
        <v>36</v>
      </c>
      <c r="T578" s="30" t="s">
        <v>36</v>
      </c>
      <c r="U578" s="31" t="s">
        <v>36</v>
      </c>
      <c r="V578" s="32" t="str">
        <f t="shared" ref="V578:X578" si="583">IF(lenb(SUBSTITUTE($Z578,V$1&amp;" (1)",""))&lt;lenb($Z578),1,IF(lenb(SUBSTITUTE($Z578,V$1&amp;" (2)",""))&lt;lenb($Z578),2,IF(lenb(SUBSTITUTE($Z578,V$1&amp;" (3)",""))&lt;lenb($Z578),3,IF(lenb(SUBSTITUTE($Z578,V$1&amp;" (4)",""))&lt;lenb($Z578),4,IF(lenb(SUBSTITUTE($Z578,V$1&amp;" (5)",""))&lt;lenb($Z578),5,IF(lenb(SUBSTITUTE($Z578,V$1&amp;" (6)",""))&lt;lenb($Z578),6,IF(lenb(SUBSTITUTE($Z578,V$1&amp;" (7)",""))&lt;lenb($Z578),1,IF(lenb(SUBSTITUTE($Z578,V$1&amp;" (8)",""))&lt;lenb($Z578),8,IF(lenb(SUBSTITUTE($Z578,V$1&amp;" (9)",""))&lt;lenb($Z578),9,IF(lenb(SUBSTITUTE($Z578,V$1&amp;" (10)",""))&lt;lenb($Z578),10,IF(lenb(SUBSTITUTE($Z578,V$1,""))&lt;lenb($Z578),"ERROR",IF($Z578=$Y$1,"-",0))))))))))))</f>
        <v>-</v>
      </c>
      <c r="W578" s="32" t="str">
        <f t="shared" si="583"/>
        <v>-</v>
      </c>
      <c r="X578" s="32" t="str">
        <f t="shared" si="583"/>
        <v>-</v>
      </c>
      <c r="Y578" s="32">
        <f t="shared" si="3"/>
        <v>1</v>
      </c>
      <c r="Z578" s="32" t="s">
        <v>23</v>
      </c>
      <c r="AA578" s="33">
        <f t="shared" si="4"/>
        <v>0</v>
      </c>
      <c r="AB578" s="34">
        <f>COUNTIFS(Links!B:B,"ICSE",Links!C:C,A578,Links!AD:AD,1)</f>
        <v>0</v>
      </c>
      <c r="AC578" s="35" t="s">
        <v>36</v>
      </c>
      <c r="AD578" s="27" t="str">
        <f t="shared" si="5"/>
        <v>No</v>
      </c>
      <c r="AE578" s="36" t="s">
        <v>36</v>
      </c>
      <c r="AF578" s="37" t="s">
        <v>42</v>
      </c>
      <c r="AG578" s="37" t="s">
        <v>42</v>
      </c>
      <c r="AH578" s="37" t="s">
        <v>42</v>
      </c>
      <c r="AI578" s="29" t="str">
        <f t="shared" si="6"/>
        <v>----</v>
      </c>
      <c r="AJ578" s="38" t="str">
        <f t="shared" si="7"/>
        <v>Paper has no link and no statement</v>
      </c>
      <c r="AK578" s="39">
        <v>45027.0</v>
      </c>
      <c r="AL578" s="23" t="s">
        <v>43</v>
      </c>
      <c r="AM578" s="40" t="str">
        <f t="shared" si="8"/>
        <v>[IP0706]</v>
      </c>
    </row>
    <row r="579" ht="67.5" customHeight="1">
      <c r="A579" s="41">
        <v>707.0</v>
      </c>
      <c r="B579" s="42" t="s">
        <v>1519</v>
      </c>
      <c r="C579" s="43">
        <v>2020.0</v>
      </c>
      <c r="D579" s="44" t="s">
        <v>35</v>
      </c>
      <c r="E579" s="45" t="s">
        <v>36</v>
      </c>
      <c r="F579" s="45" t="s">
        <v>36</v>
      </c>
      <c r="G579" s="45" t="s">
        <v>36</v>
      </c>
      <c r="H579" s="45" t="s">
        <v>36</v>
      </c>
      <c r="I579" s="45" t="s">
        <v>36</v>
      </c>
      <c r="J579" s="46" t="s">
        <v>36</v>
      </c>
      <c r="K579" s="47" t="s">
        <v>37</v>
      </c>
      <c r="L579" s="48" t="s">
        <v>35</v>
      </c>
      <c r="M579" s="48" t="s">
        <v>37</v>
      </c>
      <c r="N579" s="48" t="s">
        <v>35</v>
      </c>
      <c r="O579" s="48" t="s">
        <v>35</v>
      </c>
      <c r="P579" s="48" t="s">
        <v>35</v>
      </c>
      <c r="Q579" s="48" t="s">
        <v>35</v>
      </c>
      <c r="R579" s="48" t="s">
        <v>37</v>
      </c>
      <c r="S579" s="49" t="s">
        <v>1520</v>
      </c>
      <c r="T579" s="50" t="s">
        <v>1521</v>
      </c>
      <c r="U579" s="51" t="s">
        <v>1521</v>
      </c>
      <c r="V579" s="52">
        <f t="shared" ref="V579:X579" si="584">IF(lenb(SUBSTITUTE($Z579,V$1&amp;" (1)",""))&lt;lenb($Z579),1,IF(lenb(SUBSTITUTE($Z579,V$1&amp;" (2)",""))&lt;lenb($Z579),2,IF(lenb(SUBSTITUTE($Z579,V$1&amp;" (3)",""))&lt;lenb($Z579),3,IF(lenb(SUBSTITUTE($Z579,V$1&amp;" (4)",""))&lt;lenb($Z579),4,IF(lenb(SUBSTITUTE($Z579,V$1&amp;" (5)",""))&lt;lenb($Z579),5,IF(lenb(SUBSTITUTE($Z579,V$1&amp;" (6)",""))&lt;lenb($Z579),6,IF(lenb(SUBSTITUTE($Z579,V$1&amp;" (7)",""))&lt;lenb($Z579),1,IF(lenb(SUBSTITUTE($Z579,V$1&amp;" (8)",""))&lt;lenb($Z579),8,IF(lenb(SUBSTITUTE($Z579,V$1&amp;" (9)",""))&lt;lenb($Z579),9,IF(lenb(SUBSTITUTE($Z579,V$1&amp;" (10)",""))&lt;lenb($Z579),10,IF(lenb(SUBSTITUTE($Z579,V$1,""))&lt;lenb($Z579),"ERROR",IF($Z579=$Y$1,"-",0))))))))))))</f>
        <v>1</v>
      </c>
      <c r="W579" s="52">
        <f t="shared" si="584"/>
        <v>0</v>
      </c>
      <c r="X579" s="52">
        <f t="shared" si="584"/>
        <v>0</v>
      </c>
      <c r="Y579" s="52" t="str">
        <f t="shared" si="3"/>
        <v>-</v>
      </c>
      <c r="Z579" s="52" t="s">
        <v>62</v>
      </c>
      <c r="AA579" s="53">
        <f t="shared" si="4"/>
        <v>1</v>
      </c>
      <c r="AB579" s="54">
        <f>COUNTIFS(Links!B:B,"ICSE",Links!C:C,A579,Links!AD:AD,1)</f>
        <v>0</v>
      </c>
      <c r="AC579" s="55" t="s">
        <v>35</v>
      </c>
      <c r="AD579" s="47" t="str">
        <f t="shared" si="5"/>
        <v>No</v>
      </c>
      <c r="AE579" s="56" t="s">
        <v>36</v>
      </c>
      <c r="AF579" s="57" t="s">
        <v>42</v>
      </c>
      <c r="AG579" s="57" t="s">
        <v>42</v>
      </c>
      <c r="AH579" s="57" t="s">
        <v>42</v>
      </c>
      <c r="AI579" s="49" t="str">
        <f t="shared" si="6"/>
        <v>----</v>
      </c>
      <c r="AJ579" s="58" t="str">
        <f t="shared" si="7"/>
        <v>Paper has link but no statement</v>
      </c>
      <c r="AK579" s="59">
        <v>45027.0</v>
      </c>
      <c r="AL579" s="43" t="s">
        <v>43</v>
      </c>
      <c r="AM579" s="60" t="str">
        <f t="shared" si="8"/>
        <v>[IP0707]</v>
      </c>
    </row>
    <row r="580" ht="67.5" customHeight="1">
      <c r="A580" s="61">
        <v>708.0</v>
      </c>
      <c r="B580" s="22" t="s">
        <v>1522</v>
      </c>
      <c r="C580" s="23">
        <v>2020.0</v>
      </c>
      <c r="D580" s="24" t="s">
        <v>35</v>
      </c>
      <c r="E580" s="25" t="s">
        <v>36</v>
      </c>
      <c r="F580" s="25" t="s">
        <v>36</v>
      </c>
      <c r="G580" s="25" t="s">
        <v>36</v>
      </c>
      <c r="H580" s="25" t="s">
        <v>36</v>
      </c>
      <c r="I580" s="25" t="s">
        <v>36</v>
      </c>
      <c r="J580" s="26" t="s">
        <v>36</v>
      </c>
      <c r="K580" s="27" t="s">
        <v>37</v>
      </c>
      <c r="L580" s="28" t="s">
        <v>35</v>
      </c>
      <c r="M580" s="28" t="s">
        <v>37</v>
      </c>
      <c r="N580" s="28" t="s">
        <v>35</v>
      </c>
      <c r="O580" s="28" t="s">
        <v>35</v>
      </c>
      <c r="P580" s="28" t="s">
        <v>35</v>
      </c>
      <c r="Q580" s="28" t="s">
        <v>35</v>
      </c>
      <c r="R580" s="28" t="s">
        <v>37</v>
      </c>
      <c r="S580" s="29" t="s">
        <v>1523</v>
      </c>
      <c r="T580" s="30" t="s">
        <v>1524</v>
      </c>
      <c r="U580" s="31" t="s">
        <v>1525</v>
      </c>
      <c r="V580" s="32">
        <f t="shared" ref="V580:X580" si="585">IF(lenb(SUBSTITUTE($Z580,V$1&amp;" (1)",""))&lt;lenb($Z580),1,IF(lenb(SUBSTITUTE($Z580,V$1&amp;" (2)",""))&lt;lenb($Z580),2,IF(lenb(SUBSTITUTE($Z580,V$1&amp;" (3)",""))&lt;lenb($Z580),3,IF(lenb(SUBSTITUTE($Z580,V$1&amp;" (4)",""))&lt;lenb($Z580),4,IF(lenb(SUBSTITUTE($Z580,V$1&amp;" (5)",""))&lt;lenb($Z580),5,IF(lenb(SUBSTITUTE($Z580,V$1&amp;" (6)",""))&lt;lenb($Z580),6,IF(lenb(SUBSTITUTE($Z580,V$1&amp;" (7)",""))&lt;lenb($Z580),1,IF(lenb(SUBSTITUTE($Z580,V$1&amp;" (8)",""))&lt;lenb($Z580),8,IF(lenb(SUBSTITUTE($Z580,V$1&amp;" (9)",""))&lt;lenb($Z580),9,IF(lenb(SUBSTITUTE($Z580,V$1&amp;" (10)",""))&lt;lenb($Z580),10,IF(lenb(SUBSTITUTE($Z580,V$1,""))&lt;lenb($Z580),"ERROR",IF($Z580=$Y$1,"-",0))))))))))))</f>
        <v>1</v>
      </c>
      <c r="W580" s="32">
        <f t="shared" si="585"/>
        <v>0</v>
      </c>
      <c r="X580" s="32">
        <f t="shared" si="585"/>
        <v>0</v>
      </c>
      <c r="Y580" s="32" t="str">
        <f t="shared" si="3"/>
        <v>-</v>
      </c>
      <c r="Z580" s="32" t="s">
        <v>62</v>
      </c>
      <c r="AA580" s="33">
        <f t="shared" si="4"/>
        <v>1</v>
      </c>
      <c r="AB580" s="34">
        <f>COUNTIFS(Links!B:B,"ICSE",Links!C:C,A580,Links!AD:AD,1)</f>
        <v>0</v>
      </c>
      <c r="AC580" s="35" t="s">
        <v>37</v>
      </c>
      <c r="AD580" s="27" t="str">
        <f t="shared" si="5"/>
        <v>No</v>
      </c>
      <c r="AE580" s="36" t="s">
        <v>36</v>
      </c>
      <c r="AF580" s="37" t="s">
        <v>42</v>
      </c>
      <c r="AG580" s="37" t="s">
        <v>42</v>
      </c>
      <c r="AH580" s="37" t="s">
        <v>42</v>
      </c>
      <c r="AI580" s="29" t="str">
        <f t="shared" si="6"/>
        <v>----</v>
      </c>
      <c r="AJ580" s="38" t="str">
        <f t="shared" si="7"/>
        <v>Paper has link but no statement</v>
      </c>
      <c r="AK580" s="39">
        <v>45027.0</v>
      </c>
      <c r="AL580" s="23" t="s">
        <v>43</v>
      </c>
      <c r="AM580" s="40" t="str">
        <f t="shared" si="8"/>
        <v>[IP0708]</v>
      </c>
    </row>
    <row r="581" ht="67.5" customHeight="1">
      <c r="A581" s="62">
        <v>709.0</v>
      </c>
      <c r="B581" s="42" t="s">
        <v>1526</v>
      </c>
      <c r="C581" s="43">
        <v>2020.0</v>
      </c>
      <c r="D581" s="44" t="s">
        <v>35</v>
      </c>
      <c r="E581" s="45" t="s">
        <v>36</v>
      </c>
      <c r="F581" s="45" t="s">
        <v>36</v>
      </c>
      <c r="G581" s="45" t="s">
        <v>36</v>
      </c>
      <c r="H581" s="45" t="s">
        <v>36</v>
      </c>
      <c r="I581" s="45" t="s">
        <v>36</v>
      </c>
      <c r="J581" s="46" t="s">
        <v>36</v>
      </c>
      <c r="K581" s="47" t="s">
        <v>35</v>
      </c>
      <c r="L581" s="48" t="s">
        <v>36</v>
      </c>
      <c r="M581" s="48" t="s">
        <v>36</v>
      </c>
      <c r="N581" s="48" t="s">
        <v>36</v>
      </c>
      <c r="O581" s="48" t="s">
        <v>36</v>
      </c>
      <c r="P581" s="48" t="s">
        <v>36</v>
      </c>
      <c r="Q581" s="48" t="s">
        <v>36</v>
      </c>
      <c r="R581" s="48" t="s">
        <v>36</v>
      </c>
      <c r="S581" s="49" t="s">
        <v>36</v>
      </c>
      <c r="T581" s="50" t="s">
        <v>36</v>
      </c>
      <c r="U581" s="51" t="s">
        <v>36</v>
      </c>
      <c r="V581" s="52" t="str">
        <f t="shared" ref="V581:X581" si="586">IF(lenb(SUBSTITUTE($Z581,V$1&amp;" (1)",""))&lt;lenb($Z581),1,IF(lenb(SUBSTITUTE($Z581,V$1&amp;" (2)",""))&lt;lenb($Z581),2,IF(lenb(SUBSTITUTE($Z581,V$1&amp;" (3)",""))&lt;lenb($Z581),3,IF(lenb(SUBSTITUTE($Z581,V$1&amp;" (4)",""))&lt;lenb($Z581),4,IF(lenb(SUBSTITUTE($Z581,V$1&amp;" (5)",""))&lt;lenb($Z581),5,IF(lenb(SUBSTITUTE($Z581,V$1&amp;" (6)",""))&lt;lenb($Z581),6,IF(lenb(SUBSTITUTE($Z581,V$1&amp;" (7)",""))&lt;lenb($Z581),1,IF(lenb(SUBSTITUTE($Z581,V$1&amp;" (8)",""))&lt;lenb($Z581),8,IF(lenb(SUBSTITUTE($Z581,V$1&amp;" (9)",""))&lt;lenb($Z581),9,IF(lenb(SUBSTITUTE($Z581,V$1&amp;" (10)",""))&lt;lenb($Z581),10,IF(lenb(SUBSTITUTE($Z581,V$1,""))&lt;lenb($Z581),"ERROR",IF($Z581=$Y$1,"-",0))))))))))))</f>
        <v>-</v>
      </c>
      <c r="W581" s="52" t="str">
        <f t="shared" si="586"/>
        <v>-</v>
      </c>
      <c r="X581" s="52" t="str">
        <f t="shared" si="586"/>
        <v>-</v>
      </c>
      <c r="Y581" s="52">
        <f t="shared" si="3"/>
        <v>1</v>
      </c>
      <c r="Z581" s="52" t="s">
        <v>23</v>
      </c>
      <c r="AA581" s="53">
        <f t="shared" si="4"/>
        <v>0</v>
      </c>
      <c r="AB581" s="54">
        <f>COUNTIFS(Links!B:B,"ICSE",Links!C:C,A581,Links!AD:AD,1)</f>
        <v>0</v>
      </c>
      <c r="AC581" s="55" t="s">
        <v>36</v>
      </c>
      <c r="AD581" s="47" t="str">
        <f t="shared" si="5"/>
        <v>No</v>
      </c>
      <c r="AE581" s="56" t="s">
        <v>36</v>
      </c>
      <c r="AF581" s="57" t="s">
        <v>42</v>
      </c>
      <c r="AG581" s="57" t="s">
        <v>42</v>
      </c>
      <c r="AH581" s="57" t="s">
        <v>42</v>
      </c>
      <c r="AI581" s="49" t="str">
        <f t="shared" si="6"/>
        <v>----</v>
      </c>
      <c r="AJ581" s="58" t="str">
        <f t="shared" si="7"/>
        <v>Paper has no link and no statement</v>
      </c>
      <c r="AK581" s="59">
        <v>45027.0</v>
      </c>
      <c r="AL581" s="43" t="s">
        <v>43</v>
      </c>
      <c r="AM581" s="60" t="str">
        <f t="shared" si="8"/>
        <v>[IP0709]</v>
      </c>
    </row>
    <row r="582" ht="67.5" customHeight="1">
      <c r="A582" s="61">
        <v>710.0</v>
      </c>
      <c r="B582" s="22" t="s">
        <v>1527</v>
      </c>
      <c r="C582" s="23">
        <v>2020.0</v>
      </c>
      <c r="D582" s="24" t="s">
        <v>37</v>
      </c>
      <c r="E582" s="25" t="s">
        <v>37</v>
      </c>
      <c r="F582" s="25" t="s">
        <v>35</v>
      </c>
      <c r="G582" s="25" t="s">
        <v>35</v>
      </c>
      <c r="H582" s="25" t="s">
        <v>35</v>
      </c>
      <c r="I582" s="25" t="s">
        <v>35</v>
      </c>
      <c r="J582" s="26" t="s">
        <v>36</v>
      </c>
      <c r="K582" s="27" t="s">
        <v>37</v>
      </c>
      <c r="L582" s="28" t="s">
        <v>35</v>
      </c>
      <c r="M582" s="28" t="s">
        <v>37</v>
      </c>
      <c r="N582" s="28" t="s">
        <v>37</v>
      </c>
      <c r="O582" s="28" t="s">
        <v>35</v>
      </c>
      <c r="P582" s="28" t="s">
        <v>35</v>
      </c>
      <c r="Q582" s="28" t="s">
        <v>35</v>
      </c>
      <c r="R582" s="28" t="s">
        <v>37</v>
      </c>
      <c r="S582" s="29" t="s">
        <v>1528</v>
      </c>
      <c r="T582" s="30" t="s">
        <v>1529</v>
      </c>
      <c r="U582" s="31" t="s">
        <v>1529</v>
      </c>
      <c r="V582" s="32">
        <f t="shared" ref="V582:X582" si="587">IF(lenb(SUBSTITUTE($Z582,V$1&amp;" (1)",""))&lt;lenb($Z582),1,IF(lenb(SUBSTITUTE($Z582,V$1&amp;" (2)",""))&lt;lenb($Z582),2,IF(lenb(SUBSTITUTE($Z582,V$1&amp;" (3)",""))&lt;lenb($Z582),3,IF(lenb(SUBSTITUTE($Z582,V$1&amp;" (4)",""))&lt;lenb($Z582),4,IF(lenb(SUBSTITUTE($Z582,V$1&amp;" (5)",""))&lt;lenb($Z582),5,IF(lenb(SUBSTITUTE($Z582,V$1&amp;" (6)",""))&lt;lenb($Z582),6,IF(lenb(SUBSTITUTE($Z582,V$1&amp;" (7)",""))&lt;lenb($Z582),1,IF(lenb(SUBSTITUTE($Z582,V$1&amp;" (8)",""))&lt;lenb($Z582),8,IF(lenb(SUBSTITUTE($Z582,V$1&amp;" (9)",""))&lt;lenb($Z582),9,IF(lenb(SUBSTITUTE($Z582,V$1&amp;" (10)",""))&lt;lenb($Z582),10,IF(lenb(SUBSTITUTE($Z582,V$1,""))&lt;lenb($Z582),"ERROR",IF($Z582=$Y$1,"-",0))))))))))))</f>
        <v>1</v>
      </c>
      <c r="W582" s="32">
        <f t="shared" si="587"/>
        <v>0</v>
      </c>
      <c r="X582" s="32">
        <f t="shared" si="587"/>
        <v>0</v>
      </c>
      <c r="Y582" s="32" t="str">
        <f t="shared" si="3"/>
        <v>-</v>
      </c>
      <c r="Z582" s="32" t="s">
        <v>62</v>
      </c>
      <c r="AA582" s="33">
        <f t="shared" si="4"/>
        <v>1</v>
      </c>
      <c r="AB582" s="34">
        <f>COUNTIFS(Links!B:B,"ICSE",Links!C:C,A582,Links!AD:AD,1)</f>
        <v>0</v>
      </c>
      <c r="AC582" s="35" t="s">
        <v>35</v>
      </c>
      <c r="AD582" s="27" t="str">
        <f t="shared" si="5"/>
        <v>No</v>
      </c>
      <c r="AE582" s="36" t="s">
        <v>36</v>
      </c>
      <c r="AF582" s="37" t="s">
        <v>42</v>
      </c>
      <c r="AG582" s="37" t="s">
        <v>42</v>
      </c>
      <c r="AH582" s="37" t="s">
        <v>42</v>
      </c>
      <c r="AI582" s="29" t="str">
        <f t="shared" si="6"/>
        <v>----</v>
      </c>
      <c r="AJ582" s="38" t="str">
        <f t="shared" si="7"/>
        <v>Paper has link but no statement</v>
      </c>
      <c r="AK582" s="39">
        <v>45027.0</v>
      </c>
      <c r="AL582" s="23" t="s">
        <v>43</v>
      </c>
      <c r="AM582" s="40" t="str">
        <f t="shared" si="8"/>
        <v>[IP0710]</v>
      </c>
    </row>
    <row r="583" ht="67.5" customHeight="1">
      <c r="A583" s="41">
        <v>711.0</v>
      </c>
      <c r="B583" s="42" t="s">
        <v>1530</v>
      </c>
      <c r="C583" s="43">
        <v>2020.0</v>
      </c>
      <c r="D583" s="44" t="s">
        <v>35</v>
      </c>
      <c r="E583" s="45" t="s">
        <v>36</v>
      </c>
      <c r="F583" s="45" t="s">
        <v>36</v>
      </c>
      <c r="G583" s="45" t="s">
        <v>36</v>
      </c>
      <c r="H583" s="45" t="s">
        <v>36</v>
      </c>
      <c r="I583" s="45" t="s">
        <v>36</v>
      </c>
      <c r="J583" s="46" t="s">
        <v>36</v>
      </c>
      <c r="K583" s="47" t="s">
        <v>37</v>
      </c>
      <c r="L583" s="48" t="s">
        <v>35</v>
      </c>
      <c r="M583" s="48" t="s">
        <v>35</v>
      </c>
      <c r="N583" s="48" t="s">
        <v>35</v>
      </c>
      <c r="O583" s="48" t="s">
        <v>35</v>
      </c>
      <c r="P583" s="48" t="s">
        <v>35</v>
      </c>
      <c r="Q583" s="48" t="s">
        <v>35</v>
      </c>
      <c r="R583" s="48" t="s">
        <v>37</v>
      </c>
      <c r="S583" s="49" t="s">
        <v>1531</v>
      </c>
      <c r="T583" s="50" t="s">
        <v>1532</v>
      </c>
      <c r="U583" s="51" t="s">
        <v>1532</v>
      </c>
      <c r="V583" s="52">
        <f t="shared" ref="V583:X583" si="588">IF(lenb(SUBSTITUTE($Z583,V$1&amp;" (1)",""))&lt;lenb($Z583),1,IF(lenb(SUBSTITUTE($Z583,V$1&amp;" (2)",""))&lt;lenb($Z583),2,IF(lenb(SUBSTITUTE($Z583,V$1&amp;" (3)",""))&lt;lenb($Z583),3,IF(lenb(SUBSTITUTE($Z583,V$1&amp;" (4)",""))&lt;lenb($Z583),4,IF(lenb(SUBSTITUTE($Z583,V$1&amp;" (5)",""))&lt;lenb($Z583),5,IF(lenb(SUBSTITUTE($Z583,V$1&amp;" (6)",""))&lt;lenb($Z583),6,IF(lenb(SUBSTITUTE($Z583,V$1&amp;" (7)",""))&lt;lenb($Z583),1,IF(lenb(SUBSTITUTE($Z583,V$1&amp;" (8)",""))&lt;lenb($Z583),8,IF(lenb(SUBSTITUTE($Z583,V$1&amp;" (9)",""))&lt;lenb($Z583),9,IF(lenb(SUBSTITUTE($Z583,V$1&amp;" (10)",""))&lt;lenb($Z583),10,IF(lenb(SUBSTITUTE($Z583,V$1,""))&lt;lenb($Z583),"ERROR",IF($Z583=$Y$1,"-",0))))))))))))</f>
        <v>1</v>
      </c>
      <c r="W583" s="52">
        <f t="shared" si="588"/>
        <v>0</v>
      </c>
      <c r="X583" s="52">
        <f t="shared" si="588"/>
        <v>0</v>
      </c>
      <c r="Y583" s="52" t="str">
        <f t="shared" si="3"/>
        <v>-</v>
      </c>
      <c r="Z583" s="52" t="s">
        <v>62</v>
      </c>
      <c r="AA583" s="53">
        <f t="shared" si="4"/>
        <v>1</v>
      </c>
      <c r="AB583" s="54">
        <f>COUNTIFS(Links!B:B,"ICSE",Links!C:C,A583,Links!AD:AD,1)</f>
        <v>0</v>
      </c>
      <c r="AC583" s="55" t="s">
        <v>35</v>
      </c>
      <c r="AD583" s="47" t="str">
        <f t="shared" si="5"/>
        <v>No</v>
      </c>
      <c r="AE583" s="56" t="s">
        <v>36</v>
      </c>
      <c r="AF583" s="57" t="s">
        <v>42</v>
      </c>
      <c r="AG583" s="57" t="s">
        <v>42</v>
      </c>
      <c r="AH583" s="57" t="s">
        <v>42</v>
      </c>
      <c r="AI583" s="49" t="str">
        <f t="shared" si="6"/>
        <v>----</v>
      </c>
      <c r="AJ583" s="58" t="str">
        <f t="shared" si="7"/>
        <v>Paper has link but no statement</v>
      </c>
      <c r="AK583" s="59">
        <v>45027.0</v>
      </c>
      <c r="AL583" s="43" t="s">
        <v>43</v>
      </c>
      <c r="AM583" s="60" t="str">
        <f t="shared" si="8"/>
        <v>[IP0711]</v>
      </c>
    </row>
    <row r="584" ht="67.5" customHeight="1">
      <c r="A584" s="61">
        <v>712.0</v>
      </c>
      <c r="B584" s="22" t="s">
        <v>1533</v>
      </c>
      <c r="C584" s="23">
        <v>2020.0</v>
      </c>
      <c r="D584" s="24" t="s">
        <v>37</v>
      </c>
      <c r="E584" s="25" t="s">
        <v>35</v>
      </c>
      <c r="F584" s="25" t="s">
        <v>35</v>
      </c>
      <c r="G584" s="25" t="s">
        <v>37</v>
      </c>
      <c r="H584" s="25" t="s">
        <v>35</v>
      </c>
      <c r="I584" s="25" t="s">
        <v>35</v>
      </c>
      <c r="J584" s="26" t="s">
        <v>36</v>
      </c>
      <c r="K584" s="27" t="s">
        <v>37</v>
      </c>
      <c r="L584" s="28" t="s">
        <v>35</v>
      </c>
      <c r="M584" s="28" t="s">
        <v>37</v>
      </c>
      <c r="N584" s="28" t="s">
        <v>35</v>
      </c>
      <c r="O584" s="28" t="s">
        <v>37</v>
      </c>
      <c r="P584" s="28" t="s">
        <v>35</v>
      </c>
      <c r="Q584" s="28" t="s">
        <v>35</v>
      </c>
      <c r="R584" s="28" t="s">
        <v>37</v>
      </c>
      <c r="S584" s="29" t="s">
        <v>1534</v>
      </c>
      <c r="T584" s="30" t="s">
        <v>1535</v>
      </c>
      <c r="U584" s="31" t="s">
        <v>1535</v>
      </c>
      <c r="V584" s="32">
        <f t="shared" ref="V584:X584" si="589">IF(lenb(SUBSTITUTE($Z584,V$1&amp;" (1)",""))&lt;lenb($Z584),1,IF(lenb(SUBSTITUTE($Z584,V$1&amp;" (2)",""))&lt;lenb($Z584),2,IF(lenb(SUBSTITUTE($Z584,V$1&amp;" (3)",""))&lt;lenb($Z584),3,IF(lenb(SUBSTITUTE($Z584,V$1&amp;" (4)",""))&lt;lenb($Z584),4,IF(lenb(SUBSTITUTE($Z584,V$1&amp;" (5)",""))&lt;lenb($Z584),5,IF(lenb(SUBSTITUTE($Z584,V$1&amp;" (6)",""))&lt;lenb($Z584),6,IF(lenb(SUBSTITUTE($Z584,V$1&amp;" (7)",""))&lt;lenb($Z584),1,IF(lenb(SUBSTITUTE($Z584,V$1&amp;" (8)",""))&lt;lenb($Z584),8,IF(lenb(SUBSTITUTE($Z584,V$1&amp;" (9)",""))&lt;lenb($Z584),9,IF(lenb(SUBSTITUTE($Z584,V$1&amp;" (10)",""))&lt;lenb($Z584),10,IF(lenb(SUBSTITUTE($Z584,V$1,""))&lt;lenb($Z584),"ERROR",IF($Z584=$Y$1,"-",0))))))))))))</f>
        <v>1</v>
      </c>
      <c r="W584" s="32">
        <f t="shared" si="589"/>
        <v>0</v>
      </c>
      <c r="X584" s="32">
        <f t="shared" si="589"/>
        <v>0</v>
      </c>
      <c r="Y584" s="32" t="str">
        <f t="shared" si="3"/>
        <v>-</v>
      </c>
      <c r="Z584" s="32" t="s">
        <v>62</v>
      </c>
      <c r="AA584" s="33">
        <f t="shared" si="4"/>
        <v>1</v>
      </c>
      <c r="AB584" s="34">
        <f>COUNTIFS(Links!B:B,"ICSE",Links!C:C,A584,Links!AD:AD,1)</f>
        <v>0</v>
      </c>
      <c r="AC584" s="35" t="s">
        <v>35</v>
      </c>
      <c r="AD584" s="27" t="str">
        <f t="shared" si="5"/>
        <v>No</v>
      </c>
      <c r="AE584" s="36" t="s">
        <v>36</v>
      </c>
      <c r="AF584" s="37" t="s">
        <v>42</v>
      </c>
      <c r="AG584" s="37" t="s">
        <v>42</v>
      </c>
      <c r="AH584" s="37" t="s">
        <v>42</v>
      </c>
      <c r="AI584" s="29" t="str">
        <f t="shared" si="6"/>
        <v>----</v>
      </c>
      <c r="AJ584" s="38" t="str">
        <f t="shared" si="7"/>
        <v>Paper has link but no statement</v>
      </c>
      <c r="AK584" s="39">
        <v>45027.0</v>
      </c>
      <c r="AL584" s="23" t="s">
        <v>43</v>
      </c>
      <c r="AM584" s="40" t="str">
        <f t="shared" si="8"/>
        <v>[IP0712]</v>
      </c>
    </row>
    <row r="585" ht="67.5" customHeight="1">
      <c r="A585" s="41">
        <v>713.0</v>
      </c>
      <c r="B585" s="42" t="s">
        <v>1536</v>
      </c>
      <c r="C585" s="43">
        <v>2020.0</v>
      </c>
      <c r="D585" s="44" t="s">
        <v>35</v>
      </c>
      <c r="E585" s="45" t="s">
        <v>36</v>
      </c>
      <c r="F585" s="45" t="s">
        <v>36</v>
      </c>
      <c r="G585" s="45" t="s">
        <v>36</v>
      </c>
      <c r="H585" s="45" t="s">
        <v>36</v>
      </c>
      <c r="I585" s="45" t="s">
        <v>36</v>
      </c>
      <c r="J585" s="46" t="s">
        <v>36</v>
      </c>
      <c r="K585" s="47" t="s">
        <v>37</v>
      </c>
      <c r="L585" s="48" t="s">
        <v>37</v>
      </c>
      <c r="M585" s="48" t="s">
        <v>35</v>
      </c>
      <c r="N585" s="48" t="s">
        <v>35</v>
      </c>
      <c r="O585" s="48" t="s">
        <v>35</v>
      </c>
      <c r="P585" s="48" t="s">
        <v>35</v>
      </c>
      <c r="Q585" s="48" t="s">
        <v>35</v>
      </c>
      <c r="R585" s="48" t="s">
        <v>37</v>
      </c>
      <c r="S585" s="49" t="s">
        <v>1537</v>
      </c>
      <c r="T585" s="50" t="s">
        <v>1538</v>
      </c>
      <c r="U585" s="50" t="s">
        <v>1538</v>
      </c>
      <c r="V585" s="52">
        <f t="shared" ref="V585:X585" si="590">IF(lenb(SUBSTITUTE($Z585,V$1&amp;" (1)",""))&lt;lenb($Z585),1,IF(lenb(SUBSTITUTE($Z585,V$1&amp;" (2)",""))&lt;lenb($Z585),2,IF(lenb(SUBSTITUTE($Z585,V$1&amp;" (3)",""))&lt;lenb($Z585),3,IF(lenb(SUBSTITUTE($Z585,V$1&amp;" (4)",""))&lt;lenb($Z585),4,IF(lenb(SUBSTITUTE($Z585,V$1&amp;" (5)",""))&lt;lenb($Z585),5,IF(lenb(SUBSTITUTE($Z585,V$1&amp;" (6)",""))&lt;lenb($Z585),6,IF(lenb(SUBSTITUTE($Z585,V$1&amp;" (7)",""))&lt;lenb($Z585),1,IF(lenb(SUBSTITUTE($Z585,V$1&amp;" (8)",""))&lt;lenb($Z585),8,IF(lenb(SUBSTITUTE($Z585,V$1&amp;" (9)",""))&lt;lenb($Z585),9,IF(lenb(SUBSTITUTE($Z585,V$1&amp;" (10)",""))&lt;lenb($Z585),10,IF(lenb(SUBSTITUTE($Z585,V$1,""))&lt;lenb($Z585),"ERROR",IF($Z585=$Y$1,"-",0))))))))))))</f>
        <v>2</v>
      </c>
      <c r="W585" s="52">
        <f t="shared" si="590"/>
        <v>0</v>
      </c>
      <c r="X585" s="52">
        <f t="shared" si="590"/>
        <v>0</v>
      </c>
      <c r="Y585" s="52" t="str">
        <f t="shared" si="3"/>
        <v>-</v>
      </c>
      <c r="Z585" s="52" t="s">
        <v>57</v>
      </c>
      <c r="AA585" s="53">
        <f t="shared" si="4"/>
        <v>2</v>
      </c>
      <c r="AB585" s="54">
        <f>COUNTIFS(Links!B:B,"ICSE",Links!C:C,A585,Links!AD:AD,1)</f>
        <v>0</v>
      </c>
      <c r="AC585" s="55" t="s">
        <v>35</v>
      </c>
      <c r="AD585" s="47" t="str">
        <f t="shared" si="5"/>
        <v>Yes</v>
      </c>
      <c r="AE585" s="77" t="s">
        <v>1539</v>
      </c>
      <c r="AF585" s="56" t="s">
        <v>146</v>
      </c>
      <c r="AG585" s="57" t="s">
        <v>42</v>
      </c>
      <c r="AH585" s="57" t="s">
        <v>42</v>
      </c>
      <c r="AI585" s="49" t="str">
        <f t="shared" si="6"/>
        <v>Future plans (—)</v>
      </c>
      <c r="AJ585" s="58" t="str">
        <f t="shared" si="7"/>
        <v>Paper has link and statement</v>
      </c>
      <c r="AK585" s="59">
        <v>45027.0</v>
      </c>
      <c r="AL585" s="43" t="s">
        <v>43</v>
      </c>
      <c r="AM585" s="60" t="str">
        <f t="shared" si="8"/>
        <v>[IP0713]</v>
      </c>
    </row>
    <row r="586" ht="67.5" customHeight="1">
      <c r="A586" s="61">
        <v>714.0</v>
      </c>
      <c r="B586" s="22" t="s">
        <v>1540</v>
      </c>
      <c r="C586" s="23">
        <v>2020.0</v>
      </c>
      <c r="D586" s="24" t="s">
        <v>37</v>
      </c>
      <c r="E586" s="25" t="s">
        <v>35</v>
      </c>
      <c r="F586" s="25" t="s">
        <v>35</v>
      </c>
      <c r="G586" s="25" t="s">
        <v>37</v>
      </c>
      <c r="H586" s="25" t="s">
        <v>35</v>
      </c>
      <c r="I586" s="25" t="s">
        <v>35</v>
      </c>
      <c r="J586" s="26" t="s">
        <v>36</v>
      </c>
      <c r="K586" s="27" t="s">
        <v>37</v>
      </c>
      <c r="L586" s="28" t="s">
        <v>35</v>
      </c>
      <c r="M586" s="28" t="s">
        <v>35</v>
      </c>
      <c r="N586" s="28" t="s">
        <v>35</v>
      </c>
      <c r="O586" s="28" t="s">
        <v>37</v>
      </c>
      <c r="P586" s="28" t="s">
        <v>35</v>
      </c>
      <c r="Q586" s="28" t="s">
        <v>35</v>
      </c>
      <c r="R586" s="28" t="s">
        <v>35</v>
      </c>
      <c r="S586" s="29" t="s">
        <v>1541</v>
      </c>
      <c r="T586" s="30" t="s">
        <v>1542</v>
      </c>
      <c r="U586" s="31" t="s">
        <v>1543</v>
      </c>
      <c r="V586" s="32">
        <f t="shared" ref="V586:X586" si="591">IF(lenb(SUBSTITUTE($Z586,V$1&amp;" (1)",""))&lt;lenb($Z586),1,IF(lenb(SUBSTITUTE($Z586,V$1&amp;" (2)",""))&lt;lenb($Z586),2,IF(lenb(SUBSTITUTE($Z586,V$1&amp;" (3)",""))&lt;lenb($Z586),3,IF(lenb(SUBSTITUTE($Z586,V$1&amp;" (4)",""))&lt;lenb($Z586),4,IF(lenb(SUBSTITUTE($Z586,V$1&amp;" (5)",""))&lt;lenb($Z586),5,IF(lenb(SUBSTITUTE($Z586,V$1&amp;" (6)",""))&lt;lenb($Z586),6,IF(lenb(SUBSTITUTE($Z586,V$1&amp;" (7)",""))&lt;lenb($Z586),1,IF(lenb(SUBSTITUTE($Z586,V$1&amp;" (8)",""))&lt;lenb($Z586),8,IF(lenb(SUBSTITUTE($Z586,V$1&amp;" (9)",""))&lt;lenb($Z586),9,IF(lenb(SUBSTITUTE($Z586,V$1&amp;" (10)",""))&lt;lenb($Z586),10,IF(lenb(SUBSTITUTE($Z586,V$1,""))&lt;lenb($Z586),"ERROR",IF($Z586=$Y$1,"-",0))))))))))))</f>
        <v>1</v>
      </c>
      <c r="W586" s="32">
        <f t="shared" si="591"/>
        <v>1</v>
      </c>
      <c r="X586" s="32">
        <f t="shared" si="591"/>
        <v>0</v>
      </c>
      <c r="Y586" s="32" t="str">
        <f t="shared" si="3"/>
        <v>-</v>
      </c>
      <c r="Z586" s="32" t="s">
        <v>79</v>
      </c>
      <c r="AA586" s="33">
        <f t="shared" si="4"/>
        <v>2</v>
      </c>
      <c r="AB586" s="34">
        <f>COUNTIFS(Links!B:B,"ICSE",Links!C:C,A586,Links!AD:AD,1)</f>
        <v>0</v>
      </c>
      <c r="AC586" s="35" t="s">
        <v>35</v>
      </c>
      <c r="AD586" s="27" t="str">
        <f t="shared" si="5"/>
        <v>No</v>
      </c>
      <c r="AE586" s="36" t="s">
        <v>36</v>
      </c>
      <c r="AF586" s="37" t="s">
        <v>42</v>
      </c>
      <c r="AG586" s="37" t="s">
        <v>42</v>
      </c>
      <c r="AH586" s="37" t="s">
        <v>42</v>
      </c>
      <c r="AI586" s="29" t="str">
        <f t="shared" si="6"/>
        <v>----</v>
      </c>
      <c r="AJ586" s="38" t="str">
        <f t="shared" si="7"/>
        <v>Paper has link but no statement</v>
      </c>
      <c r="AK586" s="39">
        <v>45027.0</v>
      </c>
      <c r="AL586" s="23" t="s">
        <v>43</v>
      </c>
      <c r="AM586" s="40" t="str">
        <f t="shared" si="8"/>
        <v>[IP0714]</v>
      </c>
    </row>
    <row r="587" ht="67.5" customHeight="1">
      <c r="A587" s="41">
        <v>715.0</v>
      </c>
      <c r="B587" s="42" t="s">
        <v>1544</v>
      </c>
      <c r="C587" s="43">
        <v>2020.0</v>
      </c>
      <c r="D587" s="44" t="s">
        <v>35</v>
      </c>
      <c r="E587" s="45" t="s">
        <v>36</v>
      </c>
      <c r="F587" s="45" t="s">
        <v>36</v>
      </c>
      <c r="G587" s="45" t="s">
        <v>36</v>
      </c>
      <c r="H587" s="45" t="s">
        <v>36</v>
      </c>
      <c r="I587" s="45" t="s">
        <v>36</v>
      </c>
      <c r="J587" s="46" t="s">
        <v>36</v>
      </c>
      <c r="K587" s="47" t="s">
        <v>37</v>
      </c>
      <c r="L587" s="48" t="s">
        <v>35</v>
      </c>
      <c r="M587" s="48" t="s">
        <v>35</v>
      </c>
      <c r="N587" s="48" t="s">
        <v>35</v>
      </c>
      <c r="O587" s="48" t="s">
        <v>35</v>
      </c>
      <c r="P587" s="48" t="s">
        <v>35</v>
      </c>
      <c r="Q587" s="48" t="s">
        <v>35</v>
      </c>
      <c r="R587" s="48" t="s">
        <v>37</v>
      </c>
      <c r="S587" s="49" t="s">
        <v>1545</v>
      </c>
      <c r="T587" s="50" t="s">
        <v>1546</v>
      </c>
      <c r="U587" s="51" t="s">
        <v>1546</v>
      </c>
      <c r="V587" s="52">
        <f t="shared" ref="V587:X587" si="592">IF(lenb(SUBSTITUTE($Z587,V$1&amp;" (1)",""))&lt;lenb($Z587),1,IF(lenb(SUBSTITUTE($Z587,V$1&amp;" (2)",""))&lt;lenb($Z587),2,IF(lenb(SUBSTITUTE($Z587,V$1&amp;" (3)",""))&lt;lenb($Z587),3,IF(lenb(SUBSTITUTE($Z587,V$1&amp;" (4)",""))&lt;lenb($Z587),4,IF(lenb(SUBSTITUTE($Z587,V$1&amp;" (5)",""))&lt;lenb($Z587),5,IF(lenb(SUBSTITUTE($Z587,V$1&amp;" (6)",""))&lt;lenb($Z587),6,IF(lenb(SUBSTITUTE($Z587,V$1&amp;" (7)",""))&lt;lenb($Z587),1,IF(lenb(SUBSTITUTE($Z587,V$1&amp;" (8)",""))&lt;lenb($Z587),8,IF(lenb(SUBSTITUTE($Z587,V$1&amp;" (9)",""))&lt;lenb($Z587),9,IF(lenb(SUBSTITUTE($Z587,V$1&amp;" (10)",""))&lt;lenb($Z587),10,IF(lenb(SUBSTITUTE($Z587,V$1,""))&lt;lenb($Z587),"ERROR",IF($Z587=$Y$1,"-",0))))))))))))</f>
        <v>1</v>
      </c>
      <c r="W587" s="52">
        <f t="shared" si="592"/>
        <v>0</v>
      </c>
      <c r="X587" s="52">
        <f t="shared" si="592"/>
        <v>0</v>
      </c>
      <c r="Y587" s="52" t="str">
        <f t="shared" si="3"/>
        <v>-</v>
      </c>
      <c r="Z587" s="52" t="s">
        <v>62</v>
      </c>
      <c r="AA587" s="53">
        <f t="shared" si="4"/>
        <v>1</v>
      </c>
      <c r="AB587" s="54">
        <f>COUNTIFS(Links!B:B,"ICSE",Links!C:C,A587,Links!AD:AD,1)</f>
        <v>0</v>
      </c>
      <c r="AC587" s="55" t="s">
        <v>35</v>
      </c>
      <c r="AD587" s="47" t="str">
        <f t="shared" si="5"/>
        <v>No</v>
      </c>
      <c r="AE587" s="56" t="s">
        <v>36</v>
      </c>
      <c r="AF587" s="57" t="s">
        <v>42</v>
      </c>
      <c r="AG587" s="57" t="s">
        <v>42</v>
      </c>
      <c r="AH587" s="57" t="s">
        <v>42</v>
      </c>
      <c r="AI587" s="49" t="str">
        <f t="shared" si="6"/>
        <v>----</v>
      </c>
      <c r="AJ587" s="58" t="str">
        <f t="shared" si="7"/>
        <v>Paper has link but no statement</v>
      </c>
      <c r="AK587" s="59">
        <v>45027.0</v>
      </c>
      <c r="AL587" s="43" t="s">
        <v>43</v>
      </c>
      <c r="AM587" s="60" t="str">
        <f t="shared" si="8"/>
        <v>[IP0715]</v>
      </c>
    </row>
    <row r="588" ht="67.5" customHeight="1">
      <c r="A588" s="61">
        <v>716.0</v>
      </c>
      <c r="B588" s="22" t="s">
        <v>1547</v>
      </c>
      <c r="C588" s="23">
        <v>2020.0</v>
      </c>
      <c r="D588" s="24" t="s">
        <v>37</v>
      </c>
      <c r="E588" s="25" t="s">
        <v>37</v>
      </c>
      <c r="F588" s="25" t="s">
        <v>35</v>
      </c>
      <c r="G588" s="25" t="s">
        <v>35</v>
      </c>
      <c r="H588" s="25" t="s">
        <v>35</v>
      </c>
      <c r="I588" s="25" t="s">
        <v>35</v>
      </c>
      <c r="J588" s="26" t="s">
        <v>36</v>
      </c>
      <c r="K588" s="27" t="s">
        <v>35</v>
      </c>
      <c r="L588" s="28" t="s">
        <v>36</v>
      </c>
      <c r="M588" s="28" t="s">
        <v>36</v>
      </c>
      <c r="N588" s="28" t="s">
        <v>36</v>
      </c>
      <c r="O588" s="28" t="s">
        <v>36</v>
      </c>
      <c r="P588" s="28" t="s">
        <v>36</v>
      </c>
      <c r="Q588" s="28" t="s">
        <v>36</v>
      </c>
      <c r="R588" s="28" t="s">
        <v>36</v>
      </c>
      <c r="S588" s="29" t="s">
        <v>36</v>
      </c>
      <c r="T588" s="30" t="s">
        <v>36</v>
      </c>
      <c r="U588" s="31" t="s">
        <v>36</v>
      </c>
      <c r="V588" s="32" t="str">
        <f t="shared" ref="V588:X588" si="593">IF(lenb(SUBSTITUTE($Z588,V$1&amp;" (1)",""))&lt;lenb($Z588),1,IF(lenb(SUBSTITUTE($Z588,V$1&amp;" (2)",""))&lt;lenb($Z588),2,IF(lenb(SUBSTITUTE($Z588,V$1&amp;" (3)",""))&lt;lenb($Z588),3,IF(lenb(SUBSTITUTE($Z588,V$1&amp;" (4)",""))&lt;lenb($Z588),4,IF(lenb(SUBSTITUTE($Z588,V$1&amp;" (5)",""))&lt;lenb($Z588),5,IF(lenb(SUBSTITUTE($Z588,V$1&amp;" (6)",""))&lt;lenb($Z588),6,IF(lenb(SUBSTITUTE($Z588,V$1&amp;" (7)",""))&lt;lenb($Z588),1,IF(lenb(SUBSTITUTE($Z588,V$1&amp;" (8)",""))&lt;lenb($Z588),8,IF(lenb(SUBSTITUTE($Z588,V$1&amp;" (9)",""))&lt;lenb($Z588),9,IF(lenb(SUBSTITUTE($Z588,V$1&amp;" (10)",""))&lt;lenb($Z588),10,IF(lenb(SUBSTITUTE($Z588,V$1,""))&lt;lenb($Z588),"ERROR",IF($Z588=$Y$1,"-",0))))))))))))</f>
        <v>-</v>
      </c>
      <c r="W588" s="32" t="str">
        <f t="shared" si="593"/>
        <v>-</v>
      </c>
      <c r="X588" s="32" t="str">
        <f t="shared" si="593"/>
        <v>-</v>
      </c>
      <c r="Y588" s="32">
        <f t="shared" si="3"/>
        <v>1</v>
      </c>
      <c r="Z588" s="32" t="s">
        <v>23</v>
      </c>
      <c r="AA588" s="33">
        <f t="shared" si="4"/>
        <v>0</v>
      </c>
      <c r="AB588" s="34">
        <f>COUNTIFS(Links!B:B,"ICSE",Links!C:C,A588,Links!AD:AD,1)</f>
        <v>0</v>
      </c>
      <c r="AC588" s="35" t="s">
        <v>36</v>
      </c>
      <c r="AD588" s="27" t="str">
        <f t="shared" si="5"/>
        <v>No</v>
      </c>
      <c r="AE588" s="36" t="s">
        <v>36</v>
      </c>
      <c r="AF588" s="37" t="s">
        <v>42</v>
      </c>
      <c r="AG588" s="37" t="s">
        <v>42</v>
      </c>
      <c r="AH588" s="37" t="s">
        <v>42</v>
      </c>
      <c r="AI588" s="29" t="str">
        <f t="shared" si="6"/>
        <v>----</v>
      </c>
      <c r="AJ588" s="38" t="str">
        <f t="shared" si="7"/>
        <v>Paper has no link and no statement</v>
      </c>
      <c r="AK588" s="39">
        <v>45027.0</v>
      </c>
      <c r="AL588" s="23" t="s">
        <v>43</v>
      </c>
      <c r="AM588" s="40" t="str">
        <f t="shared" si="8"/>
        <v>[IP0716]</v>
      </c>
    </row>
    <row r="589" ht="67.5" customHeight="1">
      <c r="A589" s="41">
        <v>717.0</v>
      </c>
      <c r="B589" s="42" t="s">
        <v>1548</v>
      </c>
      <c r="C589" s="43">
        <v>2020.0</v>
      </c>
      <c r="D589" s="44" t="s">
        <v>37</v>
      </c>
      <c r="E589" s="45" t="s">
        <v>37</v>
      </c>
      <c r="F589" s="45" t="s">
        <v>35</v>
      </c>
      <c r="G589" s="45" t="s">
        <v>37</v>
      </c>
      <c r="H589" s="45" t="s">
        <v>35</v>
      </c>
      <c r="I589" s="45" t="s">
        <v>35</v>
      </c>
      <c r="J589" s="46" t="s">
        <v>36</v>
      </c>
      <c r="K589" s="47" t="s">
        <v>37</v>
      </c>
      <c r="L589" s="48" t="s">
        <v>37</v>
      </c>
      <c r="M589" s="48" t="s">
        <v>35</v>
      </c>
      <c r="N589" s="48" t="s">
        <v>37</v>
      </c>
      <c r="O589" s="48" t="s">
        <v>35</v>
      </c>
      <c r="P589" s="48" t="s">
        <v>35</v>
      </c>
      <c r="Q589" s="48" t="s">
        <v>35</v>
      </c>
      <c r="R589" s="48" t="s">
        <v>35</v>
      </c>
      <c r="S589" s="49" t="s">
        <v>677</v>
      </c>
      <c r="T589" s="50" t="s">
        <v>1549</v>
      </c>
      <c r="U589" s="51" t="s">
        <v>1549</v>
      </c>
      <c r="V589" s="52">
        <f t="shared" ref="V589:X589" si="594">IF(lenb(SUBSTITUTE($Z589,V$1&amp;" (1)",""))&lt;lenb($Z589),1,IF(lenb(SUBSTITUTE($Z589,V$1&amp;" (2)",""))&lt;lenb($Z589),2,IF(lenb(SUBSTITUTE($Z589,V$1&amp;" (3)",""))&lt;lenb($Z589),3,IF(lenb(SUBSTITUTE($Z589,V$1&amp;" (4)",""))&lt;lenb($Z589),4,IF(lenb(SUBSTITUTE($Z589,V$1&amp;" (5)",""))&lt;lenb($Z589),5,IF(lenb(SUBSTITUTE($Z589,V$1&amp;" (6)",""))&lt;lenb($Z589),6,IF(lenb(SUBSTITUTE($Z589,V$1&amp;" (7)",""))&lt;lenb($Z589),1,IF(lenb(SUBSTITUTE($Z589,V$1&amp;" (8)",""))&lt;lenb($Z589),8,IF(lenb(SUBSTITUTE($Z589,V$1&amp;" (9)",""))&lt;lenb($Z589),9,IF(lenb(SUBSTITUTE($Z589,V$1&amp;" (10)",""))&lt;lenb($Z589),10,IF(lenb(SUBSTITUTE($Z589,V$1,""))&lt;lenb($Z589),"ERROR",IF($Z589=$Y$1,"-",0))))))))))))</f>
        <v>1</v>
      </c>
      <c r="W589" s="52">
        <f t="shared" si="594"/>
        <v>0</v>
      </c>
      <c r="X589" s="52">
        <f t="shared" si="594"/>
        <v>0</v>
      </c>
      <c r="Y589" s="52" t="str">
        <f t="shared" si="3"/>
        <v>-</v>
      </c>
      <c r="Z589" s="52" t="s">
        <v>62</v>
      </c>
      <c r="AA589" s="53">
        <f t="shared" si="4"/>
        <v>1</v>
      </c>
      <c r="AB589" s="54">
        <f>COUNTIFS(Links!B:B,"ICSE",Links!C:C,A589,Links!AD:AD,1)</f>
        <v>0</v>
      </c>
      <c r="AC589" s="55" t="s">
        <v>35</v>
      </c>
      <c r="AD589" s="47" t="str">
        <f t="shared" si="5"/>
        <v>No</v>
      </c>
      <c r="AE589" s="56" t="s">
        <v>36</v>
      </c>
      <c r="AF589" s="57" t="s">
        <v>42</v>
      </c>
      <c r="AG589" s="57" t="s">
        <v>42</v>
      </c>
      <c r="AH589" s="57" t="s">
        <v>42</v>
      </c>
      <c r="AI589" s="49" t="str">
        <f t="shared" si="6"/>
        <v>----</v>
      </c>
      <c r="AJ589" s="58" t="str">
        <f t="shared" si="7"/>
        <v>Paper has link but no statement</v>
      </c>
      <c r="AK589" s="59">
        <v>45027.0</v>
      </c>
      <c r="AL589" s="43" t="s">
        <v>43</v>
      </c>
      <c r="AM589" s="60" t="str">
        <f t="shared" si="8"/>
        <v>[IP0717]</v>
      </c>
    </row>
    <row r="590" ht="67.5" customHeight="1">
      <c r="A590" s="61">
        <v>718.0</v>
      </c>
      <c r="B590" s="22" t="s">
        <v>1550</v>
      </c>
      <c r="C590" s="23">
        <v>2020.0</v>
      </c>
      <c r="D590" s="24" t="s">
        <v>37</v>
      </c>
      <c r="E590" s="25" t="s">
        <v>37</v>
      </c>
      <c r="F590" s="25" t="s">
        <v>35</v>
      </c>
      <c r="G590" s="25" t="s">
        <v>37</v>
      </c>
      <c r="H590" s="25" t="s">
        <v>35</v>
      </c>
      <c r="I590" s="25" t="s">
        <v>35</v>
      </c>
      <c r="J590" s="26" t="s">
        <v>36</v>
      </c>
      <c r="K590" s="27" t="s">
        <v>37</v>
      </c>
      <c r="L590" s="28" t="s">
        <v>35</v>
      </c>
      <c r="M590" s="28" t="s">
        <v>37</v>
      </c>
      <c r="N590" s="28" t="s">
        <v>37</v>
      </c>
      <c r="O590" s="28" t="s">
        <v>37</v>
      </c>
      <c r="P590" s="28" t="s">
        <v>35</v>
      </c>
      <c r="Q590" s="28" t="s">
        <v>35</v>
      </c>
      <c r="R590" s="28" t="s">
        <v>37</v>
      </c>
      <c r="S590" s="29" t="s">
        <v>1551</v>
      </c>
      <c r="T590" s="30" t="s">
        <v>1552</v>
      </c>
      <c r="U590" s="31" t="s">
        <v>1552</v>
      </c>
      <c r="V590" s="32">
        <f t="shared" ref="V590:X590" si="595">IF(lenb(SUBSTITUTE($Z590,V$1&amp;" (1)",""))&lt;lenb($Z590),1,IF(lenb(SUBSTITUTE($Z590,V$1&amp;" (2)",""))&lt;lenb($Z590),2,IF(lenb(SUBSTITUTE($Z590,V$1&amp;" (3)",""))&lt;lenb($Z590),3,IF(lenb(SUBSTITUTE($Z590,V$1&amp;" (4)",""))&lt;lenb($Z590),4,IF(lenb(SUBSTITUTE($Z590,V$1&amp;" (5)",""))&lt;lenb($Z590),5,IF(lenb(SUBSTITUTE($Z590,V$1&amp;" (6)",""))&lt;lenb($Z590),6,IF(lenb(SUBSTITUTE($Z590,V$1&amp;" (7)",""))&lt;lenb($Z590),1,IF(lenb(SUBSTITUTE($Z590,V$1&amp;" (8)",""))&lt;lenb($Z590),8,IF(lenb(SUBSTITUTE($Z590,V$1&amp;" (9)",""))&lt;lenb($Z590),9,IF(lenb(SUBSTITUTE($Z590,V$1&amp;" (10)",""))&lt;lenb($Z590),10,IF(lenb(SUBSTITUTE($Z590,V$1,""))&lt;lenb($Z590),"ERROR",IF($Z590=$Y$1,"-",0))))))))))))</f>
        <v>2</v>
      </c>
      <c r="W590" s="32">
        <f t="shared" si="595"/>
        <v>0</v>
      </c>
      <c r="X590" s="32">
        <f t="shared" si="595"/>
        <v>0</v>
      </c>
      <c r="Y590" s="32" t="str">
        <f t="shared" si="3"/>
        <v>-</v>
      </c>
      <c r="Z590" s="32" t="s">
        <v>57</v>
      </c>
      <c r="AA590" s="33">
        <f t="shared" si="4"/>
        <v>2</v>
      </c>
      <c r="AB590" s="34">
        <f>COUNTIFS(Links!B:B,"ICSE",Links!C:C,A590,Links!AD:AD,1)</f>
        <v>0</v>
      </c>
      <c r="AC590" s="35" t="s">
        <v>37</v>
      </c>
      <c r="AD590" s="27" t="str">
        <f t="shared" si="5"/>
        <v>No</v>
      </c>
      <c r="AE590" s="36" t="s">
        <v>36</v>
      </c>
      <c r="AF590" s="37" t="s">
        <v>42</v>
      </c>
      <c r="AG590" s="37" t="s">
        <v>42</v>
      </c>
      <c r="AH590" s="37" t="s">
        <v>42</v>
      </c>
      <c r="AI590" s="29" t="str">
        <f t="shared" si="6"/>
        <v>----</v>
      </c>
      <c r="AJ590" s="38" t="str">
        <f t="shared" si="7"/>
        <v>Paper has link but no statement</v>
      </c>
      <c r="AK590" s="39">
        <v>45027.0</v>
      </c>
      <c r="AL590" s="23" t="s">
        <v>43</v>
      </c>
      <c r="AM590" s="40" t="str">
        <f t="shared" si="8"/>
        <v>[IP0718]</v>
      </c>
    </row>
    <row r="591" ht="67.5" customHeight="1">
      <c r="A591" s="41">
        <v>719.0</v>
      </c>
      <c r="B591" s="42" t="s">
        <v>1553</v>
      </c>
      <c r="C591" s="43">
        <v>2020.0</v>
      </c>
      <c r="D591" s="44" t="s">
        <v>35</v>
      </c>
      <c r="E591" s="45" t="s">
        <v>36</v>
      </c>
      <c r="F591" s="45" t="s">
        <v>36</v>
      </c>
      <c r="G591" s="45" t="s">
        <v>36</v>
      </c>
      <c r="H591" s="45" t="s">
        <v>36</v>
      </c>
      <c r="I591" s="45" t="s">
        <v>36</v>
      </c>
      <c r="J591" s="46" t="s">
        <v>36</v>
      </c>
      <c r="K591" s="47" t="s">
        <v>37</v>
      </c>
      <c r="L591" s="48" t="s">
        <v>35</v>
      </c>
      <c r="M591" s="48" t="s">
        <v>37</v>
      </c>
      <c r="N591" s="48" t="s">
        <v>35</v>
      </c>
      <c r="O591" s="48" t="s">
        <v>35</v>
      </c>
      <c r="P591" s="48" t="s">
        <v>35</v>
      </c>
      <c r="Q591" s="48" t="s">
        <v>35</v>
      </c>
      <c r="R591" s="48" t="s">
        <v>37</v>
      </c>
      <c r="S591" s="49" t="s">
        <v>1554</v>
      </c>
      <c r="T591" s="50" t="s">
        <v>1555</v>
      </c>
      <c r="U591" s="51" t="s">
        <v>1555</v>
      </c>
      <c r="V591" s="52">
        <f t="shared" ref="V591:X591" si="596">IF(lenb(SUBSTITUTE($Z591,V$1&amp;" (1)",""))&lt;lenb($Z591),1,IF(lenb(SUBSTITUTE($Z591,V$1&amp;" (2)",""))&lt;lenb($Z591),2,IF(lenb(SUBSTITUTE($Z591,V$1&amp;" (3)",""))&lt;lenb($Z591),3,IF(lenb(SUBSTITUTE($Z591,V$1&amp;" (4)",""))&lt;lenb($Z591),4,IF(lenb(SUBSTITUTE($Z591,V$1&amp;" (5)",""))&lt;lenb($Z591),5,IF(lenb(SUBSTITUTE($Z591,V$1&amp;" (6)",""))&lt;lenb($Z591),6,IF(lenb(SUBSTITUTE($Z591,V$1&amp;" (7)",""))&lt;lenb($Z591),1,IF(lenb(SUBSTITUTE($Z591,V$1&amp;" (8)",""))&lt;lenb($Z591),8,IF(lenb(SUBSTITUTE($Z591,V$1&amp;" (9)",""))&lt;lenb($Z591),9,IF(lenb(SUBSTITUTE($Z591,V$1&amp;" (10)",""))&lt;lenb($Z591),10,IF(lenb(SUBSTITUTE($Z591,V$1,""))&lt;lenb($Z591),"ERROR",IF($Z591=$Y$1,"-",0))))))))))))</f>
        <v>1</v>
      </c>
      <c r="W591" s="52">
        <f t="shared" si="596"/>
        <v>0</v>
      </c>
      <c r="X591" s="52">
        <f t="shared" si="596"/>
        <v>0</v>
      </c>
      <c r="Y591" s="52" t="str">
        <f t="shared" si="3"/>
        <v>-</v>
      </c>
      <c r="Z591" s="52" t="s">
        <v>62</v>
      </c>
      <c r="AA591" s="53">
        <f t="shared" si="4"/>
        <v>1</v>
      </c>
      <c r="AB591" s="54">
        <f>COUNTIFS(Links!B:B,"ICSE",Links!C:C,A591,Links!AD:AD,1)</f>
        <v>0</v>
      </c>
      <c r="AC591" s="55" t="s">
        <v>35</v>
      </c>
      <c r="AD591" s="47" t="str">
        <f t="shared" si="5"/>
        <v>No</v>
      </c>
      <c r="AE591" s="56" t="s">
        <v>36</v>
      </c>
      <c r="AF591" s="57" t="s">
        <v>42</v>
      </c>
      <c r="AG591" s="57" t="s">
        <v>42</v>
      </c>
      <c r="AH591" s="57" t="s">
        <v>42</v>
      </c>
      <c r="AI591" s="49" t="str">
        <f t="shared" si="6"/>
        <v>----</v>
      </c>
      <c r="AJ591" s="58" t="str">
        <f t="shared" si="7"/>
        <v>Paper has link but no statement</v>
      </c>
      <c r="AK591" s="59">
        <v>45027.0</v>
      </c>
      <c r="AL591" s="43" t="s">
        <v>43</v>
      </c>
      <c r="AM591" s="60" t="str">
        <f t="shared" si="8"/>
        <v>[IP0719]</v>
      </c>
    </row>
    <row r="592" ht="67.5" customHeight="1">
      <c r="A592" s="61">
        <v>720.0</v>
      </c>
      <c r="B592" s="22" t="s">
        <v>1556</v>
      </c>
      <c r="C592" s="23">
        <v>2020.0</v>
      </c>
      <c r="D592" s="24" t="s">
        <v>35</v>
      </c>
      <c r="E592" s="25" t="s">
        <v>36</v>
      </c>
      <c r="F592" s="25" t="s">
        <v>36</v>
      </c>
      <c r="G592" s="25" t="s">
        <v>36</v>
      </c>
      <c r="H592" s="25" t="s">
        <v>36</v>
      </c>
      <c r="I592" s="25" t="s">
        <v>36</v>
      </c>
      <c r="J592" s="26" t="s">
        <v>36</v>
      </c>
      <c r="K592" s="27" t="s">
        <v>37</v>
      </c>
      <c r="L592" s="28" t="s">
        <v>35</v>
      </c>
      <c r="M592" s="28" t="s">
        <v>37</v>
      </c>
      <c r="N592" s="28" t="s">
        <v>37</v>
      </c>
      <c r="O592" s="28" t="s">
        <v>35</v>
      </c>
      <c r="P592" s="28" t="s">
        <v>35</v>
      </c>
      <c r="Q592" s="28" t="s">
        <v>35</v>
      </c>
      <c r="R592" s="28" t="s">
        <v>37</v>
      </c>
      <c r="S592" s="29" t="s">
        <v>1557</v>
      </c>
      <c r="T592" s="30" t="s">
        <v>1558</v>
      </c>
      <c r="U592" s="31" t="s">
        <v>1558</v>
      </c>
      <c r="V592" s="32">
        <f t="shared" ref="V592:X592" si="597">IF(lenb(SUBSTITUTE($Z592,V$1&amp;" (1)",""))&lt;lenb($Z592),1,IF(lenb(SUBSTITUTE($Z592,V$1&amp;" (2)",""))&lt;lenb($Z592),2,IF(lenb(SUBSTITUTE($Z592,V$1&amp;" (3)",""))&lt;lenb($Z592),3,IF(lenb(SUBSTITUTE($Z592,V$1&amp;" (4)",""))&lt;lenb($Z592),4,IF(lenb(SUBSTITUTE($Z592,V$1&amp;" (5)",""))&lt;lenb($Z592),5,IF(lenb(SUBSTITUTE($Z592,V$1&amp;" (6)",""))&lt;lenb($Z592),6,IF(lenb(SUBSTITUTE($Z592,V$1&amp;" (7)",""))&lt;lenb($Z592),1,IF(lenb(SUBSTITUTE($Z592,V$1&amp;" (8)",""))&lt;lenb($Z592),8,IF(lenb(SUBSTITUTE($Z592,V$1&amp;" (9)",""))&lt;lenb($Z592),9,IF(lenb(SUBSTITUTE($Z592,V$1&amp;" (10)",""))&lt;lenb($Z592),10,IF(lenb(SUBSTITUTE($Z592,V$1,""))&lt;lenb($Z592),"ERROR",IF($Z592=$Y$1,"-",0))))))))))))</f>
        <v>1</v>
      </c>
      <c r="W592" s="32">
        <f t="shared" si="597"/>
        <v>0</v>
      </c>
      <c r="X592" s="32">
        <f t="shared" si="597"/>
        <v>0</v>
      </c>
      <c r="Y592" s="32" t="str">
        <f t="shared" si="3"/>
        <v>-</v>
      </c>
      <c r="Z592" s="32" t="s">
        <v>62</v>
      </c>
      <c r="AA592" s="33">
        <f t="shared" si="4"/>
        <v>1</v>
      </c>
      <c r="AB592" s="34">
        <f>COUNTIFS(Links!B:B,"ICSE",Links!C:C,A592,Links!AD:AD,1)</f>
        <v>0</v>
      </c>
      <c r="AC592" s="35" t="s">
        <v>35</v>
      </c>
      <c r="AD592" s="27" t="str">
        <f t="shared" si="5"/>
        <v>No</v>
      </c>
      <c r="AE592" s="36" t="s">
        <v>36</v>
      </c>
      <c r="AF592" s="37" t="s">
        <v>42</v>
      </c>
      <c r="AG592" s="37" t="s">
        <v>42</v>
      </c>
      <c r="AH592" s="37" t="s">
        <v>42</v>
      </c>
      <c r="AI592" s="29" t="str">
        <f t="shared" si="6"/>
        <v>----</v>
      </c>
      <c r="AJ592" s="38" t="str">
        <f t="shared" si="7"/>
        <v>Paper has link but no statement</v>
      </c>
      <c r="AK592" s="39">
        <v>45027.0</v>
      </c>
      <c r="AL592" s="23" t="s">
        <v>43</v>
      </c>
      <c r="AM592" s="40" t="str">
        <f t="shared" si="8"/>
        <v>[IP0720]</v>
      </c>
    </row>
    <row r="593" ht="67.5" customHeight="1">
      <c r="A593" s="41">
        <v>721.0</v>
      </c>
      <c r="B593" s="42" t="s">
        <v>1559</v>
      </c>
      <c r="C593" s="43">
        <v>2020.0</v>
      </c>
      <c r="D593" s="44" t="s">
        <v>35</v>
      </c>
      <c r="E593" s="45" t="s">
        <v>36</v>
      </c>
      <c r="F593" s="45" t="s">
        <v>36</v>
      </c>
      <c r="G593" s="45" t="s">
        <v>36</v>
      </c>
      <c r="H593" s="45" t="s">
        <v>36</v>
      </c>
      <c r="I593" s="45" t="s">
        <v>36</v>
      </c>
      <c r="J593" s="46" t="s">
        <v>36</v>
      </c>
      <c r="K593" s="47" t="s">
        <v>37</v>
      </c>
      <c r="L593" s="48" t="s">
        <v>37</v>
      </c>
      <c r="M593" s="48" t="s">
        <v>35</v>
      </c>
      <c r="N593" s="48" t="s">
        <v>37</v>
      </c>
      <c r="O593" s="48" t="s">
        <v>35</v>
      </c>
      <c r="P593" s="48" t="s">
        <v>35</v>
      </c>
      <c r="Q593" s="48" t="s">
        <v>35</v>
      </c>
      <c r="R593" s="48" t="s">
        <v>37</v>
      </c>
      <c r="S593" s="49" t="s">
        <v>1560</v>
      </c>
      <c r="T593" s="50" t="s">
        <v>1561</v>
      </c>
      <c r="U593" s="51" t="s">
        <v>1561</v>
      </c>
      <c r="V593" s="52">
        <f t="shared" ref="V593:X593" si="598">IF(lenb(SUBSTITUTE($Z593,V$1&amp;" (1)",""))&lt;lenb($Z593),1,IF(lenb(SUBSTITUTE($Z593,V$1&amp;" (2)",""))&lt;lenb($Z593),2,IF(lenb(SUBSTITUTE($Z593,V$1&amp;" (3)",""))&lt;lenb($Z593),3,IF(lenb(SUBSTITUTE($Z593,V$1&amp;" (4)",""))&lt;lenb($Z593),4,IF(lenb(SUBSTITUTE($Z593,V$1&amp;" (5)",""))&lt;lenb($Z593),5,IF(lenb(SUBSTITUTE($Z593,V$1&amp;" (6)",""))&lt;lenb($Z593),6,IF(lenb(SUBSTITUTE($Z593,V$1&amp;" (7)",""))&lt;lenb($Z593),1,IF(lenb(SUBSTITUTE($Z593,V$1&amp;" (8)",""))&lt;lenb($Z593),8,IF(lenb(SUBSTITUTE($Z593,V$1&amp;" (9)",""))&lt;lenb($Z593),9,IF(lenb(SUBSTITUTE($Z593,V$1&amp;" (10)",""))&lt;lenb($Z593),10,IF(lenb(SUBSTITUTE($Z593,V$1,""))&lt;lenb($Z593),"ERROR",IF($Z593=$Y$1,"-",0))))))))))))</f>
        <v>1</v>
      </c>
      <c r="W593" s="52">
        <f t="shared" si="598"/>
        <v>0</v>
      </c>
      <c r="X593" s="52">
        <f t="shared" si="598"/>
        <v>0</v>
      </c>
      <c r="Y593" s="52" t="str">
        <f t="shared" si="3"/>
        <v>-</v>
      </c>
      <c r="Z593" s="52" t="s">
        <v>62</v>
      </c>
      <c r="AA593" s="53">
        <f t="shared" si="4"/>
        <v>1</v>
      </c>
      <c r="AB593" s="54">
        <f>COUNTIFS(Links!B:B,"ICSE",Links!C:C,A593,Links!AD:AD,1)</f>
        <v>0</v>
      </c>
      <c r="AC593" s="55" t="s">
        <v>35</v>
      </c>
      <c r="AD593" s="47" t="str">
        <f t="shared" si="5"/>
        <v>No</v>
      </c>
      <c r="AE593" s="56" t="s">
        <v>36</v>
      </c>
      <c r="AF593" s="57" t="s">
        <v>42</v>
      </c>
      <c r="AG593" s="57" t="s">
        <v>42</v>
      </c>
      <c r="AH593" s="57" t="s">
        <v>42</v>
      </c>
      <c r="AI593" s="49" t="str">
        <f t="shared" si="6"/>
        <v>----</v>
      </c>
      <c r="AJ593" s="58" t="str">
        <f t="shared" si="7"/>
        <v>Paper has link but no statement</v>
      </c>
      <c r="AK593" s="59">
        <v>45027.0</v>
      </c>
      <c r="AL593" s="43" t="s">
        <v>43</v>
      </c>
      <c r="AM593" s="60" t="str">
        <f t="shared" si="8"/>
        <v>[IP0721]</v>
      </c>
    </row>
    <row r="594" ht="67.5" customHeight="1">
      <c r="A594" s="61">
        <v>722.0</v>
      </c>
      <c r="B594" s="22" t="s">
        <v>1562</v>
      </c>
      <c r="C594" s="23">
        <v>2020.0</v>
      </c>
      <c r="D594" s="24" t="s">
        <v>37</v>
      </c>
      <c r="E594" s="25" t="s">
        <v>37</v>
      </c>
      <c r="F594" s="25" t="s">
        <v>35</v>
      </c>
      <c r="G594" s="25" t="s">
        <v>37</v>
      </c>
      <c r="H594" s="25" t="s">
        <v>35</v>
      </c>
      <c r="I594" s="25" t="s">
        <v>35</v>
      </c>
      <c r="J594" s="26" t="s">
        <v>36</v>
      </c>
      <c r="K594" s="27" t="s">
        <v>37</v>
      </c>
      <c r="L594" s="28" t="s">
        <v>37</v>
      </c>
      <c r="M594" s="28" t="s">
        <v>37</v>
      </c>
      <c r="N594" s="28" t="s">
        <v>37</v>
      </c>
      <c r="O594" s="28" t="s">
        <v>35</v>
      </c>
      <c r="P594" s="28" t="s">
        <v>35</v>
      </c>
      <c r="Q594" s="28" t="s">
        <v>35</v>
      </c>
      <c r="R594" s="28" t="s">
        <v>37</v>
      </c>
      <c r="S594" s="29" t="s">
        <v>1563</v>
      </c>
      <c r="T594" s="30" t="s">
        <v>1564</v>
      </c>
      <c r="U594" s="31" t="s">
        <v>1564</v>
      </c>
      <c r="V594" s="32">
        <f t="shared" ref="V594:X594" si="599">IF(lenb(SUBSTITUTE($Z594,V$1&amp;" (1)",""))&lt;lenb($Z594),1,IF(lenb(SUBSTITUTE($Z594,V$1&amp;" (2)",""))&lt;lenb($Z594),2,IF(lenb(SUBSTITUTE($Z594,V$1&amp;" (3)",""))&lt;lenb($Z594),3,IF(lenb(SUBSTITUTE($Z594,V$1&amp;" (4)",""))&lt;lenb($Z594),4,IF(lenb(SUBSTITUTE($Z594,V$1&amp;" (5)",""))&lt;lenb($Z594),5,IF(lenb(SUBSTITUTE($Z594,V$1&amp;" (6)",""))&lt;lenb($Z594),6,IF(lenb(SUBSTITUTE($Z594,V$1&amp;" (7)",""))&lt;lenb($Z594),1,IF(lenb(SUBSTITUTE($Z594,V$1&amp;" (8)",""))&lt;lenb($Z594),8,IF(lenb(SUBSTITUTE($Z594,V$1&amp;" (9)",""))&lt;lenb($Z594),9,IF(lenb(SUBSTITUTE($Z594,V$1&amp;" (10)",""))&lt;lenb($Z594),10,IF(lenb(SUBSTITUTE($Z594,V$1,""))&lt;lenb($Z594),"ERROR",IF($Z594=$Y$1,"-",0))))))))))))</f>
        <v>1</v>
      </c>
      <c r="W594" s="32">
        <f t="shared" si="599"/>
        <v>0</v>
      </c>
      <c r="X594" s="32">
        <f t="shared" si="599"/>
        <v>0</v>
      </c>
      <c r="Y594" s="32" t="str">
        <f t="shared" si="3"/>
        <v>-</v>
      </c>
      <c r="Z594" s="32" t="s">
        <v>62</v>
      </c>
      <c r="AA594" s="33">
        <f t="shared" si="4"/>
        <v>1</v>
      </c>
      <c r="AB594" s="34">
        <f>COUNTIFS(Links!B:B,"ICSE",Links!C:C,A594,Links!AD:AD,1)</f>
        <v>0</v>
      </c>
      <c r="AC594" s="35" t="s">
        <v>35</v>
      </c>
      <c r="AD594" s="27" t="str">
        <f t="shared" si="5"/>
        <v>No</v>
      </c>
      <c r="AE594" s="36" t="s">
        <v>36</v>
      </c>
      <c r="AF594" s="37" t="s">
        <v>42</v>
      </c>
      <c r="AG594" s="37" t="s">
        <v>42</v>
      </c>
      <c r="AH594" s="37" t="s">
        <v>42</v>
      </c>
      <c r="AI594" s="29" t="str">
        <f t="shared" si="6"/>
        <v>----</v>
      </c>
      <c r="AJ594" s="38" t="str">
        <f t="shared" si="7"/>
        <v>Paper has link but no statement</v>
      </c>
      <c r="AK594" s="39">
        <v>45027.0</v>
      </c>
      <c r="AL594" s="23" t="s">
        <v>43</v>
      </c>
      <c r="AM594" s="40" t="str">
        <f t="shared" si="8"/>
        <v>[IP0722]</v>
      </c>
    </row>
    <row r="595" ht="67.5" customHeight="1">
      <c r="A595" s="41">
        <v>723.0</v>
      </c>
      <c r="B595" s="42" t="s">
        <v>1565</v>
      </c>
      <c r="C595" s="43">
        <v>2020.0</v>
      </c>
      <c r="D595" s="44" t="s">
        <v>35</v>
      </c>
      <c r="E595" s="45" t="s">
        <v>36</v>
      </c>
      <c r="F595" s="45" t="s">
        <v>36</v>
      </c>
      <c r="G595" s="45" t="s">
        <v>36</v>
      </c>
      <c r="H595" s="45" t="s">
        <v>36</v>
      </c>
      <c r="I595" s="45" t="s">
        <v>36</v>
      </c>
      <c r="J595" s="46" t="s">
        <v>36</v>
      </c>
      <c r="K595" s="47" t="s">
        <v>37</v>
      </c>
      <c r="L595" s="48" t="s">
        <v>35</v>
      </c>
      <c r="M595" s="48" t="s">
        <v>35</v>
      </c>
      <c r="N595" s="48" t="s">
        <v>35</v>
      </c>
      <c r="O595" s="48" t="s">
        <v>35</v>
      </c>
      <c r="P595" s="48" t="s">
        <v>35</v>
      </c>
      <c r="Q595" s="48" t="s">
        <v>35</v>
      </c>
      <c r="R595" s="48" t="s">
        <v>37</v>
      </c>
      <c r="S595" s="49" t="s">
        <v>1566</v>
      </c>
      <c r="T595" s="50" t="s">
        <v>1567</v>
      </c>
      <c r="U595" s="51" t="s">
        <v>1567</v>
      </c>
      <c r="V595" s="52">
        <f t="shared" ref="V595:X595" si="600">IF(lenb(SUBSTITUTE($Z595,V$1&amp;" (1)",""))&lt;lenb($Z595),1,IF(lenb(SUBSTITUTE($Z595,V$1&amp;" (2)",""))&lt;lenb($Z595),2,IF(lenb(SUBSTITUTE($Z595,V$1&amp;" (3)",""))&lt;lenb($Z595),3,IF(lenb(SUBSTITUTE($Z595,V$1&amp;" (4)",""))&lt;lenb($Z595),4,IF(lenb(SUBSTITUTE($Z595,V$1&amp;" (5)",""))&lt;lenb($Z595),5,IF(lenb(SUBSTITUTE($Z595,V$1&amp;" (6)",""))&lt;lenb($Z595),6,IF(lenb(SUBSTITUTE($Z595,V$1&amp;" (7)",""))&lt;lenb($Z595),1,IF(lenb(SUBSTITUTE($Z595,V$1&amp;" (8)",""))&lt;lenb($Z595),8,IF(lenb(SUBSTITUTE($Z595,V$1&amp;" (9)",""))&lt;lenb($Z595),9,IF(lenb(SUBSTITUTE($Z595,V$1&amp;" (10)",""))&lt;lenb($Z595),10,IF(lenb(SUBSTITUTE($Z595,V$1,""))&lt;lenb($Z595),"ERROR",IF($Z595=$Y$1,"-",0))))))))))))</f>
        <v>1</v>
      </c>
      <c r="W595" s="52">
        <f t="shared" si="600"/>
        <v>0</v>
      </c>
      <c r="X595" s="52">
        <f t="shared" si="600"/>
        <v>0</v>
      </c>
      <c r="Y595" s="52" t="str">
        <f t="shared" si="3"/>
        <v>-</v>
      </c>
      <c r="Z595" s="52" t="s">
        <v>62</v>
      </c>
      <c r="AA595" s="53">
        <f t="shared" si="4"/>
        <v>1</v>
      </c>
      <c r="AB595" s="54">
        <f>COUNTIFS(Links!B:B,"ICSE",Links!C:C,A595,Links!AD:AD,1)</f>
        <v>0</v>
      </c>
      <c r="AC595" s="55" t="s">
        <v>35</v>
      </c>
      <c r="AD595" s="47" t="str">
        <f t="shared" si="5"/>
        <v>No</v>
      </c>
      <c r="AE595" s="56" t="s">
        <v>36</v>
      </c>
      <c r="AF595" s="57" t="s">
        <v>42</v>
      </c>
      <c r="AG595" s="57" t="s">
        <v>42</v>
      </c>
      <c r="AH595" s="57" t="s">
        <v>42</v>
      </c>
      <c r="AI595" s="49" t="str">
        <f t="shared" si="6"/>
        <v>----</v>
      </c>
      <c r="AJ595" s="58" t="str">
        <f t="shared" si="7"/>
        <v>Paper has link but no statement</v>
      </c>
      <c r="AK595" s="59">
        <v>45027.0</v>
      </c>
      <c r="AL595" s="43" t="s">
        <v>43</v>
      </c>
      <c r="AM595" s="60" t="str">
        <f t="shared" si="8"/>
        <v>[IP0723]</v>
      </c>
    </row>
    <row r="596" ht="67.5" customHeight="1">
      <c r="A596" s="61">
        <v>724.0</v>
      </c>
      <c r="B596" s="22" t="s">
        <v>1568</v>
      </c>
      <c r="C596" s="23">
        <v>2020.0</v>
      </c>
      <c r="D596" s="24" t="s">
        <v>35</v>
      </c>
      <c r="E596" s="25" t="s">
        <v>36</v>
      </c>
      <c r="F596" s="25" t="s">
        <v>36</v>
      </c>
      <c r="G596" s="25" t="s">
        <v>36</v>
      </c>
      <c r="H596" s="25" t="s">
        <v>36</v>
      </c>
      <c r="I596" s="25" t="s">
        <v>36</v>
      </c>
      <c r="J596" s="26" t="s">
        <v>36</v>
      </c>
      <c r="K596" s="27" t="s">
        <v>37</v>
      </c>
      <c r="L596" s="28" t="s">
        <v>35</v>
      </c>
      <c r="M596" s="28" t="s">
        <v>37</v>
      </c>
      <c r="N596" s="28" t="s">
        <v>37</v>
      </c>
      <c r="O596" s="28" t="s">
        <v>35</v>
      </c>
      <c r="P596" s="28" t="s">
        <v>37</v>
      </c>
      <c r="Q596" s="28" t="s">
        <v>35</v>
      </c>
      <c r="R596" s="28" t="s">
        <v>37</v>
      </c>
      <c r="S596" s="29" t="s">
        <v>1569</v>
      </c>
      <c r="T596" s="30" t="s">
        <v>1570</v>
      </c>
      <c r="U596" s="31" t="s">
        <v>1570</v>
      </c>
      <c r="V596" s="32">
        <f t="shared" ref="V596:X596" si="601">IF(lenb(SUBSTITUTE($Z596,V$1&amp;" (1)",""))&lt;lenb($Z596),1,IF(lenb(SUBSTITUTE($Z596,V$1&amp;" (2)",""))&lt;lenb($Z596),2,IF(lenb(SUBSTITUTE($Z596,V$1&amp;" (3)",""))&lt;lenb($Z596),3,IF(lenb(SUBSTITUTE($Z596,V$1&amp;" (4)",""))&lt;lenb($Z596),4,IF(lenb(SUBSTITUTE($Z596,V$1&amp;" (5)",""))&lt;lenb($Z596),5,IF(lenb(SUBSTITUTE($Z596,V$1&amp;" (6)",""))&lt;lenb($Z596),6,IF(lenb(SUBSTITUTE($Z596,V$1&amp;" (7)",""))&lt;lenb($Z596),1,IF(lenb(SUBSTITUTE($Z596,V$1&amp;" (8)",""))&lt;lenb($Z596),8,IF(lenb(SUBSTITUTE($Z596,V$1&amp;" (9)",""))&lt;lenb($Z596),9,IF(lenb(SUBSTITUTE($Z596,V$1&amp;" (10)",""))&lt;lenb($Z596),10,IF(lenb(SUBSTITUTE($Z596,V$1,""))&lt;lenb($Z596),"ERROR",IF($Z596=$Y$1,"-",0))))))))))))</f>
        <v>1</v>
      </c>
      <c r="W596" s="32">
        <f t="shared" si="601"/>
        <v>0</v>
      </c>
      <c r="X596" s="32">
        <f t="shared" si="601"/>
        <v>0</v>
      </c>
      <c r="Y596" s="32" t="str">
        <f t="shared" si="3"/>
        <v>-</v>
      </c>
      <c r="Z596" s="32" t="s">
        <v>62</v>
      </c>
      <c r="AA596" s="33">
        <f t="shared" si="4"/>
        <v>1</v>
      </c>
      <c r="AB596" s="34">
        <f>COUNTIFS(Links!B:B,"ICSE",Links!C:C,A596,Links!AD:AD,1)</f>
        <v>0</v>
      </c>
      <c r="AC596" s="35" t="s">
        <v>35</v>
      </c>
      <c r="AD596" s="27" t="str">
        <f t="shared" si="5"/>
        <v>No</v>
      </c>
      <c r="AE596" s="36" t="s">
        <v>36</v>
      </c>
      <c r="AF596" s="37" t="s">
        <v>42</v>
      </c>
      <c r="AG596" s="37" t="s">
        <v>42</v>
      </c>
      <c r="AH596" s="37" t="s">
        <v>42</v>
      </c>
      <c r="AI596" s="29" t="str">
        <f t="shared" si="6"/>
        <v>----</v>
      </c>
      <c r="AJ596" s="38" t="str">
        <f t="shared" si="7"/>
        <v>Paper has link but no statement</v>
      </c>
      <c r="AK596" s="39">
        <v>45027.0</v>
      </c>
      <c r="AL596" s="23" t="s">
        <v>43</v>
      </c>
      <c r="AM596" s="40" t="str">
        <f t="shared" si="8"/>
        <v>[IP0724]</v>
      </c>
    </row>
    <row r="597" ht="67.5" customHeight="1">
      <c r="A597" s="41">
        <v>725.0</v>
      </c>
      <c r="B597" s="42" t="s">
        <v>1571</v>
      </c>
      <c r="C597" s="43">
        <v>2020.0</v>
      </c>
      <c r="D597" s="44" t="s">
        <v>37</v>
      </c>
      <c r="E597" s="45" t="s">
        <v>37</v>
      </c>
      <c r="F597" s="45" t="s">
        <v>35</v>
      </c>
      <c r="G597" s="45" t="s">
        <v>37</v>
      </c>
      <c r="H597" s="45" t="s">
        <v>35</v>
      </c>
      <c r="I597" s="45" t="s">
        <v>35</v>
      </c>
      <c r="J597" s="46" t="s">
        <v>36</v>
      </c>
      <c r="K597" s="47" t="s">
        <v>37</v>
      </c>
      <c r="L597" s="48" t="s">
        <v>35</v>
      </c>
      <c r="M597" s="48" t="s">
        <v>37</v>
      </c>
      <c r="N597" s="48" t="s">
        <v>35</v>
      </c>
      <c r="O597" s="48" t="s">
        <v>35</v>
      </c>
      <c r="P597" s="48" t="s">
        <v>37</v>
      </c>
      <c r="Q597" s="48" t="s">
        <v>35</v>
      </c>
      <c r="R597" s="48" t="s">
        <v>37</v>
      </c>
      <c r="S597" s="49" t="s">
        <v>1572</v>
      </c>
      <c r="T597" s="50" t="s">
        <v>1573</v>
      </c>
      <c r="U597" s="51" t="s">
        <v>1573</v>
      </c>
      <c r="V597" s="52">
        <f t="shared" ref="V597:X597" si="602">IF(lenb(SUBSTITUTE($Z597,V$1&amp;" (1)",""))&lt;lenb($Z597),1,IF(lenb(SUBSTITUTE($Z597,V$1&amp;" (2)",""))&lt;lenb($Z597),2,IF(lenb(SUBSTITUTE($Z597,V$1&amp;" (3)",""))&lt;lenb($Z597),3,IF(lenb(SUBSTITUTE($Z597,V$1&amp;" (4)",""))&lt;lenb($Z597),4,IF(lenb(SUBSTITUTE($Z597,V$1&amp;" (5)",""))&lt;lenb($Z597),5,IF(lenb(SUBSTITUTE($Z597,V$1&amp;" (6)",""))&lt;lenb($Z597),6,IF(lenb(SUBSTITUTE($Z597,V$1&amp;" (7)",""))&lt;lenb($Z597),1,IF(lenb(SUBSTITUTE($Z597,V$1&amp;" (8)",""))&lt;lenb($Z597),8,IF(lenb(SUBSTITUTE($Z597,V$1&amp;" (9)",""))&lt;lenb($Z597),9,IF(lenb(SUBSTITUTE($Z597,V$1&amp;" (10)",""))&lt;lenb($Z597),10,IF(lenb(SUBSTITUTE($Z597,V$1,""))&lt;lenb($Z597),"ERROR",IF($Z597=$Y$1,"-",0))))))))))))</f>
        <v>1</v>
      </c>
      <c r="W597" s="52">
        <f t="shared" si="602"/>
        <v>0</v>
      </c>
      <c r="X597" s="52">
        <f t="shared" si="602"/>
        <v>0</v>
      </c>
      <c r="Y597" s="52" t="str">
        <f t="shared" si="3"/>
        <v>-</v>
      </c>
      <c r="Z597" s="52" t="s">
        <v>62</v>
      </c>
      <c r="AA597" s="53">
        <f t="shared" si="4"/>
        <v>1</v>
      </c>
      <c r="AB597" s="54">
        <f>COUNTIFS(Links!B:B,"ICSE",Links!C:C,A597,Links!AD:AD,1)</f>
        <v>0</v>
      </c>
      <c r="AC597" s="55" t="s">
        <v>35</v>
      </c>
      <c r="AD597" s="47" t="str">
        <f t="shared" si="5"/>
        <v>No</v>
      </c>
      <c r="AE597" s="56" t="s">
        <v>36</v>
      </c>
      <c r="AF597" s="57" t="s">
        <v>42</v>
      </c>
      <c r="AG597" s="57" t="s">
        <v>42</v>
      </c>
      <c r="AH597" s="57" t="s">
        <v>42</v>
      </c>
      <c r="AI597" s="49" t="str">
        <f t="shared" si="6"/>
        <v>----</v>
      </c>
      <c r="AJ597" s="58" t="str">
        <f t="shared" si="7"/>
        <v>Paper has link but no statement</v>
      </c>
      <c r="AK597" s="59">
        <v>45027.0</v>
      </c>
      <c r="AL597" s="43" t="s">
        <v>43</v>
      </c>
      <c r="AM597" s="60" t="str">
        <f t="shared" si="8"/>
        <v>[IP0725]</v>
      </c>
    </row>
    <row r="598" ht="67.5" customHeight="1">
      <c r="A598" s="61">
        <v>726.0</v>
      </c>
      <c r="B598" s="22" t="s">
        <v>1574</v>
      </c>
      <c r="C598" s="23">
        <v>2020.0</v>
      </c>
      <c r="D598" s="24" t="s">
        <v>35</v>
      </c>
      <c r="E598" s="25" t="s">
        <v>36</v>
      </c>
      <c r="F598" s="25" t="s">
        <v>36</v>
      </c>
      <c r="G598" s="25" t="s">
        <v>36</v>
      </c>
      <c r="H598" s="25" t="s">
        <v>36</v>
      </c>
      <c r="I598" s="25" t="s">
        <v>36</v>
      </c>
      <c r="J598" s="26" t="s">
        <v>36</v>
      </c>
      <c r="K598" s="27" t="s">
        <v>37</v>
      </c>
      <c r="L598" s="28" t="s">
        <v>35</v>
      </c>
      <c r="M598" s="28" t="s">
        <v>37</v>
      </c>
      <c r="N598" s="28" t="s">
        <v>37</v>
      </c>
      <c r="O598" s="28" t="s">
        <v>35</v>
      </c>
      <c r="P598" s="28" t="s">
        <v>35</v>
      </c>
      <c r="Q598" s="28" t="s">
        <v>35</v>
      </c>
      <c r="R598" s="28" t="s">
        <v>35</v>
      </c>
      <c r="S598" s="29" t="s">
        <v>1575</v>
      </c>
      <c r="T598" s="30" t="s">
        <v>1576</v>
      </c>
      <c r="U598" s="31" t="s">
        <v>1577</v>
      </c>
      <c r="V598" s="32">
        <f t="shared" ref="V598:X598" si="603">IF(lenb(SUBSTITUTE($Z598,V$1&amp;" (1)",""))&lt;lenb($Z598),1,IF(lenb(SUBSTITUTE($Z598,V$1&amp;" (2)",""))&lt;lenb($Z598),2,IF(lenb(SUBSTITUTE($Z598,V$1&amp;" (3)",""))&lt;lenb($Z598),3,IF(lenb(SUBSTITUTE($Z598,V$1&amp;" (4)",""))&lt;lenb($Z598),4,IF(lenb(SUBSTITUTE($Z598,V$1&amp;" (5)",""))&lt;lenb($Z598),5,IF(lenb(SUBSTITUTE($Z598,V$1&amp;" (6)",""))&lt;lenb($Z598),6,IF(lenb(SUBSTITUTE($Z598,V$1&amp;" (7)",""))&lt;lenb($Z598),1,IF(lenb(SUBSTITUTE($Z598,V$1&amp;" (8)",""))&lt;lenb($Z598),8,IF(lenb(SUBSTITUTE($Z598,V$1&amp;" (9)",""))&lt;lenb($Z598),9,IF(lenb(SUBSTITUTE($Z598,V$1&amp;" (10)",""))&lt;lenb($Z598),10,IF(lenb(SUBSTITUTE($Z598,V$1,""))&lt;lenb($Z598),"ERROR",IF($Z598=$Y$1,"-",0))))))))))))</f>
        <v>1</v>
      </c>
      <c r="W598" s="32">
        <f t="shared" si="603"/>
        <v>0</v>
      </c>
      <c r="X598" s="32">
        <f t="shared" si="603"/>
        <v>0</v>
      </c>
      <c r="Y598" s="32" t="str">
        <f t="shared" si="3"/>
        <v>-</v>
      </c>
      <c r="Z598" s="32" t="s">
        <v>62</v>
      </c>
      <c r="AA598" s="33">
        <f t="shared" si="4"/>
        <v>1</v>
      </c>
      <c r="AB598" s="34">
        <f>COUNTIFS(Links!B:B,"ICSE",Links!C:C,A598,Links!AD:AD,1)</f>
        <v>0</v>
      </c>
      <c r="AC598" s="35" t="s">
        <v>35</v>
      </c>
      <c r="AD598" s="27" t="str">
        <f t="shared" si="5"/>
        <v>No</v>
      </c>
      <c r="AE598" s="36" t="s">
        <v>36</v>
      </c>
      <c r="AF598" s="37" t="s">
        <v>42</v>
      </c>
      <c r="AG598" s="37" t="s">
        <v>42</v>
      </c>
      <c r="AH598" s="37" t="s">
        <v>42</v>
      </c>
      <c r="AI598" s="29" t="str">
        <f t="shared" si="6"/>
        <v>----</v>
      </c>
      <c r="AJ598" s="38" t="str">
        <f t="shared" si="7"/>
        <v>Paper has link but no statement</v>
      </c>
      <c r="AK598" s="39">
        <v>45027.0</v>
      </c>
      <c r="AL598" s="23" t="s">
        <v>43</v>
      </c>
      <c r="AM598" s="40" t="str">
        <f t="shared" si="8"/>
        <v>[IP0726]</v>
      </c>
    </row>
    <row r="599" ht="67.5" customHeight="1">
      <c r="A599" s="41">
        <v>727.0</v>
      </c>
      <c r="B599" s="42" t="s">
        <v>1578</v>
      </c>
      <c r="C599" s="43">
        <v>2020.0</v>
      </c>
      <c r="D599" s="44" t="s">
        <v>35</v>
      </c>
      <c r="E599" s="45" t="s">
        <v>36</v>
      </c>
      <c r="F599" s="45" t="s">
        <v>36</v>
      </c>
      <c r="G599" s="45" t="s">
        <v>36</v>
      </c>
      <c r="H599" s="45" t="s">
        <v>36</v>
      </c>
      <c r="I599" s="45" t="s">
        <v>36</v>
      </c>
      <c r="J599" s="46" t="s">
        <v>36</v>
      </c>
      <c r="K599" s="47" t="s">
        <v>37</v>
      </c>
      <c r="L599" s="48" t="s">
        <v>35</v>
      </c>
      <c r="M599" s="48" t="s">
        <v>37</v>
      </c>
      <c r="N599" s="48" t="s">
        <v>37</v>
      </c>
      <c r="O599" s="48" t="s">
        <v>35</v>
      </c>
      <c r="P599" s="48" t="s">
        <v>35</v>
      </c>
      <c r="Q599" s="48" t="s">
        <v>35</v>
      </c>
      <c r="R599" s="48" t="s">
        <v>35</v>
      </c>
      <c r="S599" s="49" t="s">
        <v>1579</v>
      </c>
      <c r="T599" s="50" t="s">
        <v>1580</v>
      </c>
      <c r="U599" s="51" t="s">
        <v>1580</v>
      </c>
      <c r="V599" s="52">
        <f t="shared" ref="V599:X599" si="604">IF(lenb(SUBSTITUTE($Z599,V$1&amp;" (1)",""))&lt;lenb($Z599),1,IF(lenb(SUBSTITUTE($Z599,V$1&amp;" (2)",""))&lt;lenb($Z599),2,IF(lenb(SUBSTITUTE($Z599,V$1&amp;" (3)",""))&lt;lenb($Z599),3,IF(lenb(SUBSTITUTE($Z599,V$1&amp;" (4)",""))&lt;lenb($Z599),4,IF(lenb(SUBSTITUTE($Z599,V$1&amp;" (5)",""))&lt;lenb($Z599),5,IF(lenb(SUBSTITUTE($Z599,V$1&amp;" (6)",""))&lt;lenb($Z599),6,IF(lenb(SUBSTITUTE($Z599,V$1&amp;" (7)",""))&lt;lenb($Z599),1,IF(lenb(SUBSTITUTE($Z599,V$1&amp;" (8)",""))&lt;lenb($Z599),8,IF(lenb(SUBSTITUTE($Z599,V$1&amp;" (9)",""))&lt;lenb($Z599),9,IF(lenb(SUBSTITUTE($Z599,V$1&amp;" (10)",""))&lt;lenb($Z599),10,IF(lenb(SUBSTITUTE($Z599,V$1,""))&lt;lenb($Z599),"ERROR",IF($Z599=$Y$1,"-",0))))))))))))</f>
        <v>0</v>
      </c>
      <c r="W599" s="52">
        <f t="shared" si="604"/>
        <v>1</v>
      </c>
      <c r="X599" s="52">
        <f t="shared" si="604"/>
        <v>0</v>
      </c>
      <c r="Y599" s="52" t="str">
        <f t="shared" si="3"/>
        <v>-</v>
      </c>
      <c r="Z599" s="52" t="s">
        <v>47</v>
      </c>
      <c r="AA599" s="53">
        <f t="shared" si="4"/>
        <v>1</v>
      </c>
      <c r="AB599" s="54">
        <f>COUNTIFS(Links!B:B,"ICSE",Links!C:C,A599,Links!AD:AD,1)</f>
        <v>1</v>
      </c>
      <c r="AC599" s="55" t="s">
        <v>35</v>
      </c>
      <c r="AD599" s="47" t="str">
        <f t="shared" si="5"/>
        <v>No</v>
      </c>
      <c r="AE599" s="56" t="s">
        <v>36</v>
      </c>
      <c r="AF599" s="57" t="s">
        <v>42</v>
      </c>
      <c r="AG599" s="57" t="s">
        <v>42</v>
      </c>
      <c r="AH599" s="57" t="s">
        <v>42</v>
      </c>
      <c r="AI599" s="49" t="str">
        <f t="shared" si="6"/>
        <v>----</v>
      </c>
      <c r="AJ599" s="58" t="str">
        <f t="shared" si="7"/>
        <v>Paper has link but no statement</v>
      </c>
      <c r="AK599" s="59">
        <v>45027.0</v>
      </c>
      <c r="AL599" s="43" t="s">
        <v>43</v>
      </c>
      <c r="AM599" s="60" t="str">
        <f t="shared" si="8"/>
        <v>[IP0727]</v>
      </c>
    </row>
    <row r="600" ht="67.5" customHeight="1">
      <c r="A600" s="61">
        <v>728.0</v>
      </c>
      <c r="B600" s="22" t="s">
        <v>1581</v>
      </c>
      <c r="C600" s="23">
        <v>2020.0</v>
      </c>
      <c r="D600" s="24" t="s">
        <v>37</v>
      </c>
      <c r="E600" s="25" t="s">
        <v>37</v>
      </c>
      <c r="F600" s="25" t="s">
        <v>35</v>
      </c>
      <c r="G600" s="25" t="s">
        <v>35</v>
      </c>
      <c r="H600" s="25" t="s">
        <v>35</v>
      </c>
      <c r="I600" s="25" t="s">
        <v>35</v>
      </c>
      <c r="J600" s="26" t="s">
        <v>36</v>
      </c>
      <c r="K600" s="27" t="s">
        <v>35</v>
      </c>
      <c r="L600" s="28" t="s">
        <v>36</v>
      </c>
      <c r="M600" s="28" t="s">
        <v>36</v>
      </c>
      <c r="N600" s="28" t="s">
        <v>36</v>
      </c>
      <c r="O600" s="28" t="s">
        <v>36</v>
      </c>
      <c r="P600" s="28" t="s">
        <v>36</v>
      </c>
      <c r="Q600" s="28" t="s">
        <v>36</v>
      </c>
      <c r="R600" s="28" t="s">
        <v>36</v>
      </c>
      <c r="S600" s="29" t="s">
        <v>36</v>
      </c>
      <c r="T600" s="30" t="s">
        <v>36</v>
      </c>
      <c r="U600" s="31" t="s">
        <v>36</v>
      </c>
      <c r="V600" s="32" t="str">
        <f t="shared" ref="V600:X600" si="605">IF(lenb(SUBSTITUTE($Z600,V$1&amp;" (1)",""))&lt;lenb($Z600),1,IF(lenb(SUBSTITUTE($Z600,V$1&amp;" (2)",""))&lt;lenb($Z600),2,IF(lenb(SUBSTITUTE($Z600,V$1&amp;" (3)",""))&lt;lenb($Z600),3,IF(lenb(SUBSTITUTE($Z600,V$1&amp;" (4)",""))&lt;lenb($Z600),4,IF(lenb(SUBSTITUTE($Z600,V$1&amp;" (5)",""))&lt;lenb($Z600),5,IF(lenb(SUBSTITUTE($Z600,V$1&amp;" (6)",""))&lt;lenb($Z600),6,IF(lenb(SUBSTITUTE($Z600,V$1&amp;" (7)",""))&lt;lenb($Z600),1,IF(lenb(SUBSTITUTE($Z600,V$1&amp;" (8)",""))&lt;lenb($Z600),8,IF(lenb(SUBSTITUTE($Z600,V$1&amp;" (9)",""))&lt;lenb($Z600),9,IF(lenb(SUBSTITUTE($Z600,V$1&amp;" (10)",""))&lt;lenb($Z600),10,IF(lenb(SUBSTITUTE($Z600,V$1,""))&lt;lenb($Z600),"ERROR",IF($Z600=$Y$1,"-",0))))))))))))</f>
        <v>-</v>
      </c>
      <c r="W600" s="32" t="str">
        <f t="shared" si="605"/>
        <v>-</v>
      </c>
      <c r="X600" s="32" t="str">
        <f t="shared" si="605"/>
        <v>-</v>
      </c>
      <c r="Y600" s="32">
        <f t="shared" si="3"/>
        <v>1</v>
      </c>
      <c r="Z600" s="32" t="s">
        <v>23</v>
      </c>
      <c r="AA600" s="33">
        <f t="shared" si="4"/>
        <v>0</v>
      </c>
      <c r="AB600" s="34">
        <f>COUNTIFS(Links!B:B,"ICSE",Links!C:C,A600,Links!AD:AD,1)</f>
        <v>0</v>
      </c>
      <c r="AC600" s="35" t="s">
        <v>36</v>
      </c>
      <c r="AD600" s="27" t="str">
        <f t="shared" si="5"/>
        <v>No</v>
      </c>
      <c r="AE600" s="36" t="s">
        <v>36</v>
      </c>
      <c r="AF600" s="37" t="s">
        <v>42</v>
      </c>
      <c r="AG600" s="37" t="s">
        <v>42</v>
      </c>
      <c r="AH600" s="37" t="s">
        <v>42</v>
      </c>
      <c r="AI600" s="29" t="str">
        <f t="shared" si="6"/>
        <v>----</v>
      </c>
      <c r="AJ600" s="38" t="str">
        <f t="shared" si="7"/>
        <v>Paper has no link and no statement</v>
      </c>
      <c r="AK600" s="39">
        <v>45027.0</v>
      </c>
      <c r="AL600" s="23" t="s">
        <v>43</v>
      </c>
      <c r="AM600" s="40" t="str">
        <f t="shared" si="8"/>
        <v>[IP0728]</v>
      </c>
    </row>
    <row r="601" ht="67.5" customHeight="1">
      <c r="A601" s="41">
        <v>729.0</v>
      </c>
      <c r="B601" s="42" t="s">
        <v>1582</v>
      </c>
      <c r="C601" s="43">
        <v>2020.0</v>
      </c>
      <c r="D601" s="44" t="s">
        <v>35</v>
      </c>
      <c r="E601" s="45" t="s">
        <v>36</v>
      </c>
      <c r="F601" s="45" t="s">
        <v>36</v>
      </c>
      <c r="G601" s="45" t="s">
        <v>36</v>
      </c>
      <c r="H601" s="45" t="s">
        <v>36</v>
      </c>
      <c r="I601" s="45" t="s">
        <v>36</v>
      </c>
      <c r="J601" s="46" t="s">
        <v>36</v>
      </c>
      <c r="K601" s="47" t="s">
        <v>35</v>
      </c>
      <c r="L601" s="48" t="s">
        <v>36</v>
      </c>
      <c r="M601" s="48" t="s">
        <v>36</v>
      </c>
      <c r="N601" s="48" t="s">
        <v>36</v>
      </c>
      <c r="O601" s="48" t="s">
        <v>36</v>
      </c>
      <c r="P601" s="48" t="s">
        <v>36</v>
      </c>
      <c r="Q601" s="48" t="s">
        <v>36</v>
      </c>
      <c r="R601" s="48" t="s">
        <v>36</v>
      </c>
      <c r="S601" s="49" t="s">
        <v>36</v>
      </c>
      <c r="T601" s="50" t="s">
        <v>36</v>
      </c>
      <c r="U601" s="51" t="s">
        <v>36</v>
      </c>
      <c r="V601" s="52" t="str">
        <f t="shared" ref="V601:X601" si="606">IF(lenb(SUBSTITUTE($Z601,V$1&amp;" (1)",""))&lt;lenb($Z601),1,IF(lenb(SUBSTITUTE($Z601,V$1&amp;" (2)",""))&lt;lenb($Z601),2,IF(lenb(SUBSTITUTE($Z601,V$1&amp;" (3)",""))&lt;lenb($Z601),3,IF(lenb(SUBSTITUTE($Z601,V$1&amp;" (4)",""))&lt;lenb($Z601),4,IF(lenb(SUBSTITUTE($Z601,V$1&amp;" (5)",""))&lt;lenb($Z601),5,IF(lenb(SUBSTITUTE($Z601,V$1&amp;" (6)",""))&lt;lenb($Z601),6,IF(lenb(SUBSTITUTE($Z601,V$1&amp;" (7)",""))&lt;lenb($Z601),1,IF(lenb(SUBSTITUTE($Z601,V$1&amp;" (8)",""))&lt;lenb($Z601),8,IF(lenb(SUBSTITUTE($Z601,V$1&amp;" (9)",""))&lt;lenb($Z601),9,IF(lenb(SUBSTITUTE($Z601,V$1&amp;" (10)",""))&lt;lenb($Z601),10,IF(lenb(SUBSTITUTE($Z601,V$1,""))&lt;lenb($Z601),"ERROR",IF($Z601=$Y$1,"-",0))))))))))))</f>
        <v>-</v>
      </c>
      <c r="W601" s="52" t="str">
        <f t="shared" si="606"/>
        <v>-</v>
      </c>
      <c r="X601" s="52" t="str">
        <f t="shared" si="606"/>
        <v>-</v>
      </c>
      <c r="Y601" s="52">
        <f t="shared" si="3"/>
        <v>1</v>
      </c>
      <c r="Z601" s="52" t="s">
        <v>23</v>
      </c>
      <c r="AA601" s="53">
        <f t="shared" si="4"/>
        <v>0</v>
      </c>
      <c r="AB601" s="54">
        <f>COUNTIFS(Links!B:B,"ICSE",Links!C:C,A601,Links!AD:AD,1)</f>
        <v>0</v>
      </c>
      <c r="AC601" s="55" t="s">
        <v>36</v>
      </c>
      <c r="AD601" s="47" t="str">
        <f t="shared" si="5"/>
        <v>No</v>
      </c>
      <c r="AE601" s="56" t="s">
        <v>36</v>
      </c>
      <c r="AF601" s="57" t="s">
        <v>42</v>
      </c>
      <c r="AG601" s="57" t="s">
        <v>42</v>
      </c>
      <c r="AH601" s="57" t="s">
        <v>42</v>
      </c>
      <c r="AI601" s="49" t="str">
        <f t="shared" si="6"/>
        <v>----</v>
      </c>
      <c r="AJ601" s="58" t="str">
        <f t="shared" si="7"/>
        <v>Paper has no link and no statement</v>
      </c>
      <c r="AK601" s="59">
        <v>45027.0</v>
      </c>
      <c r="AL601" s="43" t="s">
        <v>43</v>
      </c>
      <c r="AM601" s="60" t="str">
        <f t="shared" si="8"/>
        <v>[IP0729]</v>
      </c>
    </row>
    <row r="602" ht="67.5" customHeight="1">
      <c r="A602" s="21">
        <v>730.0</v>
      </c>
      <c r="B602" s="22" t="s">
        <v>1583</v>
      </c>
      <c r="C602" s="23">
        <v>2020.0</v>
      </c>
      <c r="D602" s="24" t="s">
        <v>35</v>
      </c>
      <c r="E602" s="25" t="s">
        <v>36</v>
      </c>
      <c r="F602" s="25" t="s">
        <v>36</v>
      </c>
      <c r="G602" s="25" t="s">
        <v>36</v>
      </c>
      <c r="H602" s="25" t="s">
        <v>36</v>
      </c>
      <c r="I602" s="25" t="s">
        <v>36</v>
      </c>
      <c r="J602" s="26" t="s">
        <v>36</v>
      </c>
      <c r="K602" s="27" t="s">
        <v>35</v>
      </c>
      <c r="L602" s="28" t="s">
        <v>36</v>
      </c>
      <c r="M602" s="28" t="s">
        <v>36</v>
      </c>
      <c r="N602" s="28" t="s">
        <v>36</v>
      </c>
      <c r="O602" s="28" t="s">
        <v>36</v>
      </c>
      <c r="P602" s="28" t="s">
        <v>36</v>
      </c>
      <c r="Q602" s="28" t="s">
        <v>36</v>
      </c>
      <c r="R602" s="28" t="s">
        <v>36</v>
      </c>
      <c r="S602" s="29" t="s">
        <v>36</v>
      </c>
      <c r="T602" s="30" t="s">
        <v>36</v>
      </c>
      <c r="U602" s="31" t="s">
        <v>36</v>
      </c>
      <c r="V602" s="32" t="str">
        <f t="shared" ref="V602:X602" si="607">IF(lenb(SUBSTITUTE($Z602,V$1&amp;" (1)",""))&lt;lenb($Z602),1,IF(lenb(SUBSTITUTE($Z602,V$1&amp;" (2)",""))&lt;lenb($Z602),2,IF(lenb(SUBSTITUTE($Z602,V$1&amp;" (3)",""))&lt;lenb($Z602),3,IF(lenb(SUBSTITUTE($Z602,V$1&amp;" (4)",""))&lt;lenb($Z602),4,IF(lenb(SUBSTITUTE($Z602,V$1&amp;" (5)",""))&lt;lenb($Z602),5,IF(lenb(SUBSTITUTE($Z602,V$1&amp;" (6)",""))&lt;lenb($Z602),6,IF(lenb(SUBSTITUTE($Z602,V$1&amp;" (7)",""))&lt;lenb($Z602),1,IF(lenb(SUBSTITUTE($Z602,V$1&amp;" (8)",""))&lt;lenb($Z602),8,IF(lenb(SUBSTITUTE($Z602,V$1&amp;" (9)",""))&lt;lenb($Z602),9,IF(lenb(SUBSTITUTE($Z602,V$1&amp;" (10)",""))&lt;lenb($Z602),10,IF(lenb(SUBSTITUTE($Z602,V$1,""))&lt;lenb($Z602),"ERROR",IF($Z602=$Y$1,"-",0))))))))))))</f>
        <v>-</v>
      </c>
      <c r="W602" s="32" t="str">
        <f t="shared" si="607"/>
        <v>-</v>
      </c>
      <c r="X602" s="32" t="str">
        <f t="shared" si="607"/>
        <v>-</v>
      </c>
      <c r="Y602" s="32">
        <f t="shared" si="3"/>
        <v>1</v>
      </c>
      <c r="Z602" s="32" t="s">
        <v>23</v>
      </c>
      <c r="AA602" s="33">
        <f t="shared" si="4"/>
        <v>0</v>
      </c>
      <c r="AB602" s="34">
        <f>COUNTIFS(Links!B:B,"ICSE",Links!C:C,A602,Links!AD:AD,1)</f>
        <v>0</v>
      </c>
      <c r="AC602" s="35" t="s">
        <v>36</v>
      </c>
      <c r="AD602" s="27" t="str">
        <f t="shared" si="5"/>
        <v>No</v>
      </c>
      <c r="AE602" s="36" t="s">
        <v>36</v>
      </c>
      <c r="AF602" s="37" t="s">
        <v>42</v>
      </c>
      <c r="AG602" s="37" t="s">
        <v>42</v>
      </c>
      <c r="AH602" s="37" t="s">
        <v>42</v>
      </c>
      <c r="AI602" s="29" t="str">
        <f t="shared" si="6"/>
        <v>----</v>
      </c>
      <c r="AJ602" s="38" t="str">
        <f t="shared" si="7"/>
        <v>Paper has no link and no statement</v>
      </c>
      <c r="AK602" s="39">
        <v>45027.0</v>
      </c>
      <c r="AL602" s="23" t="s">
        <v>43</v>
      </c>
      <c r="AM602" s="40" t="str">
        <f t="shared" si="8"/>
        <v>[IP0730]</v>
      </c>
    </row>
    <row r="603" ht="67.5" customHeight="1">
      <c r="A603" s="41">
        <v>731.0</v>
      </c>
      <c r="B603" s="42" t="s">
        <v>1584</v>
      </c>
      <c r="C603" s="43">
        <v>2020.0</v>
      </c>
      <c r="D603" s="44" t="s">
        <v>35</v>
      </c>
      <c r="E603" s="45" t="s">
        <v>36</v>
      </c>
      <c r="F603" s="45" t="s">
        <v>36</v>
      </c>
      <c r="G603" s="45" t="s">
        <v>36</v>
      </c>
      <c r="H603" s="45" t="s">
        <v>36</v>
      </c>
      <c r="I603" s="45" t="s">
        <v>36</v>
      </c>
      <c r="J603" s="46" t="s">
        <v>36</v>
      </c>
      <c r="K603" s="47" t="s">
        <v>37</v>
      </c>
      <c r="L603" s="48" t="s">
        <v>37</v>
      </c>
      <c r="M603" s="48" t="s">
        <v>37</v>
      </c>
      <c r="N603" s="48" t="s">
        <v>35</v>
      </c>
      <c r="O603" s="48" t="s">
        <v>35</v>
      </c>
      <c r="P603" s="48" t="s">
        <v>35</v>
      </c>
      <c r="Q603" s="48" t="s">
        <v>35</v>
      </c>
      <c r="R603" s="48" t="s">
        <v>37</v>
      </c>
      <c r="S603" s="49" t="s">
        <v>1585</v>
      </c>
      <c r="T603" s="50" t="s">
        <v>1586</v>
      </c>
      <c r="U603" s="51" t="s">
        <v>1586</v>
      </c>
      <c r="V603" s="52">
        <f t="shared" ref="V603:X603" si="608">IF(lenb(SUBSTITUTE($Z603,V$1&amp;" (1)",""))&lt;lenb($Z603),1,IF(lenb(SUBSTITUTE($Z603,V$1&amp;" (2)",""))&lt;lenb($Z603),2,IF(lenb(SUBSTITUTE($Z603,V$1&amp;" (3)",""))&lt;lenb($Z603),3,IF(lenb(SUBSTITUTE($Z603,V$1&amp;" (4)",""))&lt;lenb($Z603),4,IF(lenb(SUBSTITUTE($Z603,V$1&amp;" (5)",""))&lt;lenb($Z603),5,IF(lenb(SUBSTITUTE($Z603,V$1&amp;" (6)",""))&lt;lenb($Z603),6,IF(lenb(SUBSTITUTE($Z603,V$1&amp;" (7)",""))&lt;lenb($Z603),1,IF(lenb(SUBSTITUTE($Z603,V$1&amp;" (8)",""))&lt;lenb($Z603),8,IF(lenb(SUBSTITUTE($Z603,V$1&amp;" (9)",""))&lt;lenb($Z603),9,IF(lenb(SUBSTITUTE($Z603,V$1&amp;" (10)",""))&lt;lenb($Z603),10,IF(lenb(SUBSTITUTE($Z603,V$1,""))&lt;lenb($Z603),"ERROR",IF($Z603=$Y$1,"-",0))))))))))))</f>
        <v>2</v>
      </c>
      <c r="W603" s="52">
        <f t="shared" si="608"/>
        <v>0</v>
      </c>
      <c r="X603" s="52">
        <f t="shared" si="608"/>
        <v>0</v>
      </c>
      <c r="Y603" s="52" t="str">
        <f t="shared" si="3"/>
        <v>-</v>
      </c>
      <c r="Z603" s="52" t="s">
        <v>57</v>
      </c>
      <c r="AA603" s="53">
        <f t="shared" si="4"/>
        <v>2</v>
      </c>
      <c r="AB603" s="54">
        <f>COUNTIFS(Links!B:B,"ICSE",Links!C:C,A603,Links!AD:AD,1)</f>
        <v>0</v>
      </c>
      <c r="AC603" s="55" t="s">
        <v>35</v>
      </c>
      <c r="AD603" s="47" t="str">
        <f t="shared" si="5"/>
        <v>No</v>
      </c>
      <c r="AE603" s="56" t="s">
        <v>36</v>
      </c>
      <c r="AF603" s="57" t="s">
        <v>42</v>
      </c>
      <c r="AG603" s="57" t="s">
        <v>42</v>
      </c>
      <c r="AH603" s="57" t="s">
        <v>42</v>
      </c>
      <c r="AI603" s="49" t="str">
        <f t="shared" si="6"/>
        <v>----</v>
      </c>
      <c r="AJ603" s="58" t="str">
        <f t="shared" si="7"/>
        <v>Paper has link but no statement</v>
      </c>
      <c r="AK603" s="59">
        <v>45027.0</v>
      </c>
      <c r="AL603" s="43" t="s">
        <v>43</v>
      </c>
      <c r="AM603" s="60" t="str">
        <f t="shared" si="8"/>
        <v>[IP0731]</v>
      </c>
    </row>
    <row r="604" ht="67.5" customHeight="1">
      <c r="A604" s="61">
        <v>732.0</v>
      </c>
      <c r="B604" s="22" t="s">
        <v>1587</v>
      </c>
      <c r="C604" s="23">
        <v>2020.0</v>
      </c>
      <c r="D604" s="24" t="s">
        <v>37</v>
      </c>
      <c r="E604" s="25" t="s">
        <v>37</v>
      </c>
      <c r="F604" s="25" t="s">
        <v>35</v>
      </c>
      <c r="G604" s="25" t="s">
        <v>35</v>
      </c>
      <c r="H604" s="25" t="s">
        <v>35</v>
      </c>
      <c r="I604" s="25" t="s">
        <v>35</v>
      </c>
      <c r="J604" s="26" t="s">
        <v>36</v>
      </c>
      <c r="K604" s="27" t="s">
        <v>37</v>
      </c>
      <c r="L604" s="28" t="s">
        <v>35</v>
      </c>
      <c r="M604" s="28" t="s">
        <v>37</v>
      </c>
      <c r="N604" s="28" t="s">
        <v>37</v>
      </c>
      <c r="O604" s="28" t="s">
        <v>35</v>
      </c>
      <c r="P604" s="28" t="s">
        <v>35</v>
      </c>
      <c r="Q604" s="28" t="s">
        <v>35</v>
      </c>
      <c r="R604" s="28" t="s">
        <v>37</v>
      </c>
      <c r="S604" s="29" t="s">
        <v>1588</v>
      </c>
      <c r="T604" s="30" t="s">
        <v>1589</v>
      </c>
      <c r="U604" s="31" t="s">
        <v>1590</v>
      </c>
      <c r="V604" s="32">
        <f t="shared" ref="V604:X604" si="609">IF(lenb(SUBSTITUTE($Z604,V$1&amp;" (1)",""))&lt;lenb($Z604),1,IF(lenb(SUBSTITUTE($Z604,V$1&amp;" (2)",""))&lt;lenb($Z604),2,IF(lenb(SUBSTITUTE($Z604,V$1&amp;" (3)",""))&lt;lenb($Z604),3,IF(lenb(SUBSTITUTE($Z604,V$1&amp;" (4)",""))&lt;lenb($Z604),4,IF(lenb(SUBSTITUTE($Z604,V$1&amp;" (5)",""))&lt;lenb($Z604),5,IF(lenb(SUBSTITUTE($Z604,V$1&amp;" (6)",""))&lt;lenb($Z604),6,IF(lenb(SUBSTITUTE($Z604,V$1&amp;" (7)",""))&lt;lenb($Z604),1,IF(lenb(SUBSTITUTE($Z604,V$1&amp;" (8)",""))&lt;lenb($Z604),8,IF(lenb(SUBSTITUTE($Z604,V$1&amp;" (9)",""))&lt;lenb($Z604),9,IF(lenb(SUBSTITUTE($Z604,V$1&amp;" (10)",""))&lt;lenb($Z604),10,IF(lenb(SUBSTITUTE($Z604,V$1,""))&lt;lenb($Z604),"ERROR",IF($Z604=$Y$1,"-",0))))))))))))</f>
        <v>1</v>
      </c>
      <c r="W604" s="32">
        <f t="shared" si="609"/>
        <v>0</v>
      </c>
      <c r="X604" s="32">
        <f t="shared" si="609"/>
        <v>0</v>
      </c>
      <c r="Y604" s="32" t="str">
        <f t="shared" si="3"/>
        <v>-</v>
      </c>
      <c r="Z604" s="32" t="s">
        <v>62</v>
      </c>
      <c r="AA604" s="33">
        <f t="shared" si="4"/>
        <v>1</v>
      </c>
      <c r="AB604" s="34">
        <f>COUNTIFS(Links!B:B,"ICSE",Links!C:C,A604,Links!AD:AD,1)</f>
        <v>0</v>
      </c>
      <c r="AC604" s="35" t="s">
        <v>35</v>
      </c>
      <c r="AD604" s="27" t="str">
        <f t="shared" si="5"/>
        <v>No</v>
      </c>
      <c r="AE604" s="36" t="s">
        <v>36</v>
      </c>
      <c r="AF604" s="37" t="s">
        <v>42</v>
      </c>
      <c r="AG604" s="37" t="s">
        <v>42</v>
      </c>
      <c r="AH604" s="37" t="s">
        <v>42</v>
      </c>
      <c r="AI604" s="29" t="str">
        <f t="shared" si="6"/>
        <v>----</v>
      </c>
      <c r="AJ604" s="38" t="str">
        <f t="shared" si="7"/>
        <v>Paper has link but no statement</v>
      </c>
      <c r="AK604" s="39">
        <v>45027.0</v>
      </c>
      <c r="AL604" s="23" t="s">
        <v>43</v>
      </c>
      <c r="AM604" s="40" t="str">
        <f t="shared" si="8"/>
        <v>[IP0732]</v>
      </c>
    </row>
    <row r="605" ht="67.5" customHeight="1">
      <c r="A605" s="41">
        <v>733.0</v>
      </c>
      <c r="B605" s="42" t="s">
        <v>1591</v>
      </c>
      <c r="C605" s="43">
        <v>2020.0</v>
      </c>
      <c r="D605" s="44" t="s">
        <v>37</v>
      </c>
      <c r="E605" s="45" t="s">
        <v>37</v>
      </c>
      <c r="F605" s="45" t="s">
        <v>35</v>
      </c>
      <c r="G605" s="45" t="s">
        <v>35</v>
      </c>
      <c r="H605" s="45" t="s">
        <v>35</v>
      </c>
      <c r="I605" s="45" t="s">
        <v>35</v>
      </c>
      <c r="J605" s="46" t="s">
        <v>36</v>
      </c>
      <c r="K605" s="47" t="s">
        <v>37</v>
      </c>
      <c r="L605" s="48" t="s">
        <v>37</v>
      </c>
      <c r="M605" s="48" t="s">
        <v>35</v>
      </c>
      <c r="N605" s="48" t="s">
        <v>35</v>
      </c>
      <c r="O605" s="48" t="s">
        <v>35</v>
      </c>
      <c r="P605" s="48" t="s">
        <v>35</v>
      </c>
      <c r="Q605" s="48" t="s">
        <v>35</v>
      </c>
      <c r="R605" s="48" t="s">
        <v>37</v>
      </c>
      <c r="S605" s="49" t="s">
        <v>1592</v>
      </c>
      <c r="T605" s="50" t="s">
        <v>1593</v>
      </c>
      <c r="U605" s="51" t="s">
        <v>1593</v>
      </c>
      <c r="V605" s="52">
        <f t="shared" ref="V605:X605" si="610">IF(lenb(SUBSTITUTE($Z605,V$1&amp;" (1)",""))&lt;lenb($Z605),1,IF(lenb(SUBSTITUTE($Z605,V$1&amp;" (2)",""))&lt;lenb($Z605),2,IF(lenb(SUBSTITUTE($Z605,V$1&amp;" (3)",""))&lt;lenb($Z605),3,IF(lenb(SUBSTITUTE($Z605,V$1&amp;" (4)",""))&lt;lenb($Z605),4,IF(lenb(SUBSTITUTE($Z605,V$1&amp;" (5)",""))&lt;lenb($Z605),5,IF(lenb(SUBSTITUTE($Z605,V$1&amp;" (6)",""))&lt;lenb($Z605),6,IF(lenb(SUBSTITUTE($Z605,V$1&amp;" (7)",""))&lt;lenb($Z605),1,IF(lenb(SUBSTITUTE($Z605,V$1&amp;" (8)",""))&lt;lenb($Z605),8,IF(lenb(SUBSTITUTE($Z605,V$1&amp;" (9)",""))&lt;lenb($Z605),9,IF(lenb(SUBSTITUTE($Z605,V$1&amp;" (10)",""))&lt;lenb($Z605),10,IF(lenb(SUBSTITUTE($Z605,V$1,""))&lt;lenb($Z605),"ERROR",IF($Z605=$Y$1,"-",0))))))))))))</f>
        <v>1</v>
      </c>
      <c r="W605" s="52">
        <f t="shared" si="610"/>
        <v>0</v>
      </c>
      <c r="X605" s="52">
        <f t="shared" si="610"/>
        <v>0</v>
      </c>
      <c r="Y605" s="52" t="str">
        <f t="shared" si="3"/>
        <v>-</v>
      </c>
      <c r="Z605" s="52" t="s">
        <v>62</v>
      </c>
      <c r="AA605" s="53">
        <f t="shared" si="4"/>
        <v>1</v>
      </c>
      <c r="AB605" s="54">
        <f>COUNTIFS(Links!B:B,"ICSE",Links!C:C,A605,Links!AD:AD,1)</f>
        <v>0</v>
      </c>
      <c r="AC605" s="55" t="s">
        <v>35</v>
      </c>
      <c r="AD605" s="47" t="str">
        <f t="shared" si="5"/>
        <v>No</v>
      </c>
      <c r="AE605" s="56" t="s">
        <v>36</v>
      </c>
      <c r="AF605" s="57" t="s">
        <v>42</v>
      </c>
      <c r="AG605" s="57" t="s">
        <v>42</v>
      </c>
      <c r="AH605" s="57" t="s">
        <v>42</v>
      </c>
      <c r="AI605" s="49" t="str">
        <f t="shared" si="6"/>
        <v>----</v>
      </c>
      <c r="AJ605" s="58" t="str">
        <f t="shared" si="7"/>
        <v>Paper has link but no statement</v>
      </c>
      <c r="AK605" s="59">
        <v>45027.0</v>
      </c>
      <c r="AL605" s="43" t="s">
        <v>43</v>
      </c>
      <c r="AM605" s="60" t="str">
        <f t="shared" si="8"/>
        <v>[IP0733]</v>
      </c>
    </row>
    <row r="606" ht="67.5" customHeight="1">
      <c r="A606" s="61">
        <v>734.0</v>
      </c>
      <c r="B606" s="22" t="s">
        <v>1594</v>
      </c>
      <c r="C606" s="23">
        <v>2020.0</v>
      </c>
      <c r="D606" s="24" t="s">
        <v>37</v>
      </c>
      <c r="E606" s="25" t="s">
        <v>37</v>
      </c>
      <c r="F606" s="25" t="s">
        <v>35</v>
      </c>
      <c r="G606" s="25" t="s">
        <v>37</v>
      </c>
      <c r="H606" s="25" t="s">
        <v>35</v>
      </c>
      <c r="I606" s="25" t="s">
        <v>35</v>
      </c>
      <c r="J606" s="26" t="s">
        <v>36</v>
      </c>
      <c r="K606" s="27" t="s">
        <v>37</v>
      </c>
      <c r="L606" s="28" t="s">
        <v>35</v>
      </c>
      <c r="M606" s="28" t="s">
        <v>35</v>
      </c>
      <c r="N606" s="28" t="s">
        <v>37</v>
      </c>
      <c r="O606" s="28" t="s">
        <v>35</v>
      </c>
      <c r="P606" s="28" t="s">
        <v>35</v>
      </c>
      <c r="Q606" s="28" t="s">
        <v>35</v>
      </c>
      <c r="R606" s="28" t="s">
        <v>35</v>
      </c>
      <c r="S606" s="29" t="s">
        <v>944</v>
      </c>
      <c r="T606" s="30" t="s">
        <v>1595</v>
      </c>
      <c r="U606" s="31" t="s">
        <v>1595</v>
      </c>
      <c r="V606" s="32">
        <f t="shared" ref="V606:X606" si="611">IF(lenb(SUBSTITUTE($Z606,V$1&amp;" (1)",""))&lt;lenb($Z606),1,IF(lenb(SUBSTITUTE($Z606,V$1&amp;" (2)",""))&lt;lenb($Z606),2,IF(lenb(SUBSTITUTE($Z606,V$1&amp;" (3)",""))&lt;lenb($Z606),3,IF(lenb(SUBSTITUTE($Z606,V$1&amp;" (4)",""))&lt;lenb($Z606),4,IF(lenb(SUBSTITUTE($Z606,V$1&amp;" (5)",""))&lt;lenb($Z606),5,IF(lenb(SUBSTITUTE($Z606,V$1&amp;" (6)",""))&lt;lenb($Z606),6,IF(lenb(SUBSTITUTE($Z606,V$1&amp;" (7)",""))&lt;lenb($Z606),1,IF(lenb(SUBSTITUTE($Z606,V$1&amp;" (8)",""))&lt;lenb($Z606),8,IF(lenb(SUBSTITUTE($Z606,V$1&amp;" (9)",""))&lt;lenb($Z606),9,IF(lenb(SUBSTITUTE($Z606,V$1&amp;" (10)",""))&lt;lenb($Z606),10,IF(lenb(SUBSTITUTE($Z606,V$1,""))&lt;lenb($Z606),"ERROR",IF($Z606=$Y$1,"-",0))))))))))))</f>
        <v>1</v>
      </c>
      <c r="W606" s="32">
        <f t="shared" si="611"/>
        <v>0</v>
      </c>
      <c r="X606" s="32">
        <f t="shared" si="611"/>
        <v>0</v>
      </c>
      <c r="Y606" s="32" t="str">
        <f t="shared" si="3"/>
        <v>-</v>
      </c>
      <c r="Z606" s="32" t="s">
        <v>62</v>
      </c>
      <c r="AA606" s="33">
        <f t="shared" si="4"/>
        <v>1</v>
      </c>
      <c r="AB606" s="34">
        <f>COUNTIFS(Links!B:B,"ICSE",Links!C:C,A606,Links!AD:AD,1)</f>
        <v>0</v>
      </c>
      <c r="AC606" s="35" t="s">
        <v>35</v>
      </c>
      <c r="AD606" s="27" t="str">
        <f t="shared" si="5"/>
        <v>No</v>
      </c>
      <c r="AE606" s="36" t="s">
        <v>36</v>
      </c>
      <c r="AF606" s="37" t="s">
        <v>42</v>
      </c>
      <c r="AG606" s="37" t="s">
        <v>42</v>
      </c>
      <c r="AH606" s="37" t="s">
        <v>42</v>
      </c>
      <c r="AI606" s="29" t="str">
        <f t="shared" si="6"/>
        <v>----</v>
      </c>
      <c r="AJ606" s="38" t="str">
        <f t="shared" si="7"/>
        <v>Paper has link but no statement</v>
      </c>
      <c r="AK606" s="39">
        <v>45027.0</v>
      </c>
      <c r="AL606" s="23" t="s">
        <v>43</v>
      </c>
      <c r="AM606" s="40" t="str">
        <f t="shared" si="8"/>
        <v>[IP0734]</v>
      </c>
    </row>
    <row r="607" ht="67.5" customHeight="1">
      <c r="A607" s="41">
        <v>735.0</v>
      </c>
      <c r="B607" s="42" t="s">
        <v>1596</v>
      </c>
      <c r="C607" s="43">
        <v>2020.0</v>
      </c>
      <c r="D607" s="44" t="s">
        <v>37</v>
      </c>
      <c r="E607" s="45" t="s">
        <v>37</v>
      </c>
      <c r="F607" s="45" t="s">
        <v>35</v>
      </c>
      <c r="G607" s="45" t="s">
        <v>35</v>
      </c>
      <c r="H607" s="45" t="s">
        <v>35</v>
      </c>
      <c r="I607" s="45" t="s">
        <v>35</v>
      </c>
      <c r="J607" s="46" t="s">
        <v>36</v>
      </c>
      <c r="K607" s="47" t="s">
        <v>37</v>
      </c>
      <c r="L607" s="48" t="s">
        <v>35</v>
      </c>
      <c r="M607" s="48" t="s">
        <v>35</v>
      </c>
      <c r="N607" s="48" t="s">
        <v>37</v>
      </c>
      <c r="O607" s="48" t="s">
        <v>35</v>
      </c>
      <c r="P607" s="48" t="s">
        <v>35</v>
      </c>
      <c r="Q607" s="48" t="s">
        <v>35</v>
      </c>
      <c r="R607" s="48" t="s">
        <v>35</v>
      </c>
      <c r="S607" s="49" t="s">
        <v>944</v>
      </c>
      <c r="T607" s="50" t="s">
        <v>1597</v>
      </c>
      <c r="U607" s="51" t="s">
        <v>1597</v>
      </c>
      <c r="V607" s="52">
        <f t="shared" ref="V607:X607" si="612">IF(lenb(SUBSTITUTE($Z607,V$1&amp;" (1)",""))&lt;lenb($Z607),1,IF(lenb(SUBSTITUTE($Z607,V$1&amp;" (2)",""))&lt;lenb($Z607),2,IF(lenb(SUBSTITUTE($Z607,V$1&amp;" (3)",""))&lt;lenb($Z607),3,IF(lenb(SUBSTITUTE($Z607,V$1&amp;" (4)",""))&lt;lenb($Z607),4,IF(lenb(SUBSTITUTE($Z607,V$1&amp;" (5)",""))&lt;lenb($Z607),5,IF(lenb(SUBSTITUTE($Z607,V$1&amp;" (6)",""))&lt;lenb($Z607),6,IF(lenb(SUBSTITUTE($Z607,V$1&amp;" (7)",""))&lt;lenb($Z607),1,IF(lenb(SUBSTITUTE($Z607,V$1&amp;" (8)",""))&lt;lenb($Z607),8,IF(lenb(SUBSTITUTE($Z607,V$1&amp;" (9)",""))&lt;lenb($Z607),9,IF(lenb(SUBSTITUTE($Z607,V$1&amp;" (10)",""))&lt;lenb($Z607),10,IF(lenb(SUBSTITUTE($Z607,V$1,""))&lt;lenb($Z607),"ERROR",IF($Z607=$Y$1,"-",0))))))))))))</f>
        <v>1</v>
      </c>
      <c r="W607" s="52">
        <f t="shared" si="612"/>
        <v>0</v>
      </c>
      <c r="X607" s="52">
        <f t="shared" si="612"/>
        <v>0</v>
      </c>
      <c r="Y607" s="52" t="str">
        <f t="shared" si="3"/>
        <v>-</v>
      </c>
      <c r="Z607" s="52" t="s">
        <v>62</v>
      </c>
      <c r="AA607" s="53">
        <f t="shared" si="4"/>
        <v>1</v>
      </c>
      <c r="AB607" s="54">
        <f>COUNTIFS(Links!B:B,"ICSE",Links!C:C,A607,Links!AD:AD,1)</f>
        <v>0</v>
      </c>
      <c r="AC607" s="55" t="s">
        <v>35</v>
      </c>
      <c r="AD607" s="47" t="str">
        <f t="shared" si="5"/>
        <v>No</v>
      </c>
      <c r="AE607" s="56" t="s">
        <v>36</v>
      </c>
      <c r="AF607" s="57" t="s">
        <v>42</v>
      </c>
      <c r="AG607" s="57" t="s">
        <v>42</v>
      </c>
      <c r="AH607" s="57" t="s">
        <v>42</v>
      </c>
      <c r="AI607" s="49" t="str">
        <f t="shared" si="6"/>
        <v>----</v>
      </c>
      <c r="AJ607" s="58" t="str">
        <f t="shared" si="7"/>
        <v>Paper has link but no statement</v>
      </c>
      <c r="AK607" s="59">
        <v>45027.0</v>
      </c>
      <c r="AL607" s="43" t="s">
        <v>43</v>
      </c>
      <c r="AM607" s="60" t="str">
        <f t="shared" si="8"/>
        <v>[IP0735]</v>
      </c>
    </row>
    <row r="608" ht="67.5" customHeight="1">
      <c r="A608" s="61">
        <v>736.0</v>
      </c>
      <c r="B608" s="22" t="s">
        <v>1598</v>
      </c>
      <c r="C608" s="23">
        <v>2020.0</v>
      </c>
      <c r="D608" s="24" t="s">
        <v>35</v>
      </c>
      <c r="E608" s="25" t="s">
        <v>36</v>
      </c>
      <c r="F608" s="25" t="s">
        <v>36</v>
      </c>
      <c r="G608" s="25" t="s">
        <v>36</v>
      </c>
      <c r="H608" s="25" t="s">
        <v>36</v>
      </c>
      <c r="I608" s="25" t="s">
        <v>36</v>
      </c>
      <c r="J608" s="26" t="s">
        <v>36</v>
      </c>
      <c r="K608" s="27" t="s">
        <v>35</v>
      </c>
      <c r="L608" s="28" t="s">
        <v>36</v>
      </c>
      <c r="M608" s="28" t="s">
        <v>36</v>
      </c>
      <c r="N608" s="28" t="s">
        <v>36</v>
      </c>
      <c r="O608" s="28" t="s">
        <v>36</v>
      </c>
      <c r="P608" s="28" t="s">
        <v>36</v>
      </c>
      <c r="Q608" s="28" t="s">
        <v>36</v>
      </c>
      <c r="R608" s="28" t="s">
        <v>36</v>
      </c>
      <c r="S608" s="29" t="s">
        <v>36</v>
      </c>
      <c r="T608" s="30" t="s">
        <v>36</v>
      </c>
      <c r="U608" s="31" t="s">
        <v>36</v>
      </c>
      <c r="V608" s="32" t="str">
        <f t="shared" ref="V608:X608" si="613">IF(lenb(SUBSTITUTE($Z608,V$1&amp;" (1)",""))&lt;lenb($Z608),1,IF(lenb(SUBSTITUTE($Z608,V$1&amp;" (2)",""))&lt;lenb($Z608),2,IF(lenb(SUBSTITUTE($Z608,V$1&amp;" (3)",""))&lt;lenb($Z608),3,IF(lenb(SUBSTITUTE($Z608,V$1&amp;" (4)",""))&lt;lenb($Z608),4,IF(lenb(SUBSTITUTE($Z608,V$1&amp;" (5)",""))&lt;lenb($Z608),5,IF(lenb(SUBSTITUTE($Z608,V$1&amp;" (6)",""))&lt;lenb($Z608),6,IF(lenb(SUBSTITUTE($Z608,V$1&amp;" (7)",""))&lt;lenb($Z608),1,IF(lenb(SUBSTITUTE($Z608,V$1&amp;" (8)",""))&lt;lenb($Z608),8,IF(lenb(SUBSTITUTE($Z608,V$1&amp;" (9)",""))&lt;lenb($Z608),9,IF(lenb(SUBSTITUTE($Z608,V$1&amp;" (10)",""))&lt;lenb($Z608),10,IF(lenb(SUBSTITUTE($Z608,V$1,""))&lt;lenb($Z608),"ERROR",IF($Z608=$Y$1,"-",0))))))))))))</f>
        <v>-</v>
      </c>
      <c r="W608" s="32" t="str">
        <f t="shared" si="613"/>
        <v>-</v>
      </c>
      <c r="X608" s="32" t="str">
        <f t="shared" si="613"/>
        <v>-</v>
      </c>
      <c r="Y608" s="32">
        <f t="shared" si="3"/>
        <v>1</v>
      </c>
      <c r="Z608" s="32" t="s">
        <v>23</v>
      </c>
      <c r="AA608" s="33">
        <f t="shared" si="4"/>
        <v>0</v>
      </c>
      <c r="AB608" s="34">
        <f>COUNTIFS(Links!B:B,"ICSE",Links!C:C,A608,Links!AD:AD,1)</f>
        <v>0</v>
      </c>
      <c r="AC608" s="35" t="s">
        <v>36</v>
      </c>
      <c r="AD608" s="27" t="str">
        <f t="shared" si="5"/>
        <v>No</v>
      </c>
      <c r="AE608" s="36" t="s">
        <v>36</v>
      </c>
      <c r="AF608" s="37" t="s">
        <v>42</v>
      </c>
      <c r="AG608" s="37" t="s">
        <v>42</v>
      </c>
      <c r="AH608" s="37" t="s">
        <v>42</v>
      </c>
      <c r="AI608" s="29" t="str">
        <f t="shared" si="6"/>
        <v>----</v>
      </c>
      <c r="AJ608" s="38" t="str">
        <f t="shared" si="7"/>
        <v>Paper has no link and no statement</v>
      </c>
      <c r="AK608" s="39">
        <v>45027.0</v>
      </c>
      <c r="AL608" s="23" t="s">
        <v>43</v>
      </c>
      <c r="AM608" s="40" t="str">
        <f t="shared" si="8"/>
        <v>[IP0736]</v>
      </c>
    </row>
    <row r="609" ht="67.5" customHeight="1">
      <c r="A609" s="41">
        <v>737.0</v>
      </c>
      <c r="B609" s="42" t="s">
        <v>1599</v>
      </c>
      <c r="C609" s="43">
        <v>2020.0</v>
      </c>
      <c r="D609" s="44" t="s">
        <v>35</v>
      </c>
      <c r="E609" s="45" t="s">
        <v>36</v>
      </c>
      <c r="F609" s="45" t="s">
        <v>36</v>
      </c>
      <c r="G609" s="45" t="s">
        <v>36</v>
      </c>
      <c r="H609" s="45" t="s">
        <v>36</v>
      </c>
      <c r="I609" s="45" t="s">
        <v>36</v>
      </c>
      <c r="J609" s="46" t="s">
        <v>36</v>
      </c>
      <c r="K609" s="47" t="s">
        <v>37</v>
      </c>
      <c r="L609" s="48" t="s">
        <v>35</v>
      </c>
      <c r="M609" s="48" t="s">
        <v>35</v>
      </c>
      <c r="N609" s="48" t="s">
        <v>35</v>
      </c>
      <c r="O609" s="48" t="s">
        <v>37</v>
      </c>
      <c r="P609" s="48" t="s">
        <v>37</v>
      </c>
      <c r="Q609" s="48" t="s">
        <v>35</v>
      </c>
      <c r="R609" s="48" t="s">
        <v>35</v>
      </c>
      <c r="S609" s="49" t="s">
        <v>1600</v>
      </c>
      <c r="T609" s="50" t="s">
        <v>1601</v>
      </c>
      <c r="U609" s="51" t="s">
        <v>1601</v>
      </c>
      <c r="V609" s="52">
        <f t="shared" ref="V609:X609" si="614">IF(lenb(SUBSTITUTE($Z609,V$1&amp;" (1)",""))&lt;lenb($Z609),1,IF(lenb(SUBSTITUTE($Z609,V$1&amp;" (2)",""))&lt;lenb($Z609),2,IF(lenb(SUBSTITUTE($Z609,V$1&amp;" (3)",""))&lt;lenb($Z609),3,IF(lenb(SUBSTITUTE($Z609,V$1&amp;" (4)",""))&lt;lenb($Z609),4,IF(lenb(SUBSTITUTE($Z609,V$1&amp;" (5)",""))&lt;lenb($Z609),5,IF(lenb(SUBSTITUTE($Z609,V$1&amp;" (6)",""))&lt;lenb($Z609),6,IF(lenb(SUBSTITUTE($Z609,V$1&amp;" (7)",""))&lt;lenb($Z609),1,IF(lenb(SUBSTITUTE($Z609,V$1&amp;" (8)",""))&lt;lenb($Z609),8,IF(lenb(SUBSTITUTE($Z609,V$1&amp;" (9)",""))&lt;lenb($Z609),9,IF(lenb(SUBSTITUTE($Z609,V$1&amp;" (10)",""))&lt;lenb($Z609),10,IF(lenb(SUBSTITUTE($Z609,V$1,""))&lt;lenb($Z609),"ERROR",IF($Z609=$Y$1,"-",0))))))))))))</f>
        <v>1</v>
      </c>
      <c r="W609" s="52">
        <f t="shared" si="614"/>
        <v>0</v>
      </c>
      <c r="X609" s="52">
        <f t="shared" si="614"/>
        <v>0</v>
      </c>
      <c r="Y609" s="52" t="str">
        <f t="shared" si="3"/>
        <v>-</v>
      </c>
      <c r="Z609" s="52" t="s">
        <v>62</v>
      </c>
      <c r="AA609" s="53">
        <f t="shared" si="4"/>
        <v>1</v>
      </c>
      <c r="AB609" s="54">
        <f>COUNTIFS(Links!B:B,"ICSE",Links!C:C,A609,Links!AD:AD,1)</f>
        <v>0</v>
      </c>
      <c r="AC609" s="55" t="s">
        <v>35</v>
      </c>
      <c r="AD609" s="47" t="str">
        <f t="shared" si="5"/>
        <v>No</v>
      </c>
      <c r="AE609" s="56" t="s">
        <v>36</v>
      </c>
      <c r="AF609" s="57" t="s">
        <v>42</v>
      </c>
      <c r="AG609" s="57" t="s">
        <v>42</v>
      </c>
      <c r="AH609" s="57" t="s">
        <v>42</v>
      </c>
      <c r="AI609" s="49" t="str">
        <f t="shared" si="6"/>
        <v>----</v>
      </c>
      <c r="AJ609" s="58" t="str">
        <f t="shared" si="7"/>
        <v>Paper has link but no statement</v>
      </c>
      <c r="AK609" s="59">
        <v>45027.0</v>
      </c>
      <c r="AL609" s="43" t="s">
        <v>43</v>
      </c>
      <c r="AM609" s="60" t="str">
        <f t="shared" si="8"/>
        <v>[IP0737]</v>
      </c>
    </row>
    <row r="610" ht="67.5" customHeight="1">
      <c r="A610" s="61">
        <v>738.0</v>
      </c>
      <c r="B610" s="22" t="s">
        <v>1602</v>
      </c>
      <c r="C610" s="23">
        <v>2020.0</v>
      </c>
      <c r="D610" s="24" t="s">
        <v>37</v>
      </c>
      <c r="E610" s="25" t="s">
        <v>37</v>
      </c>
      <c r="F610" s="25" t="s">
        <v>35</v>
      </c>
      <c r="G610" s="25" t="s">
        <v>37</v>
      </c>
      <c r="H610" s="25" t="s">
        <v>35</v>
      </c>
      <c r="I610" s="25" t="s">
        <v>35</v>
      </c>
      <c r="J610" s="26" t="s">
        <v>36</v>
      </c>
      <c r="K610" s="27" t="s">
        <v>37</v>
      </c>
      <c r="L610" s="28" t="s">
        <v>37</v>
      </c>
      <c r="M610" s="28" t="s">
        <v>37</v>
      </c>
      <c r="N610" s="28" t="s">
        <v>37</v>
      </c>
      <c r="O610" s="28" t="s">
        <v>35</v>
      </c>
      <c r="P610" s="28" t="s">
        <v>37</v>
      </c>
      <c r="Q610" s="28" t="s">
        <v>35</v>
      </c>
      <c r="R610" s="28" t="s">
        <v>37</v>
      </c>
      <c r="S610" s="29" t="s">
        <v>1603</v>
      </c>
      <c r="T610" s="30" t="s">
        <v>1604</v>
      </c>
      <c r="U610" s="31" t="s">
        <v>1605</v>
      </c>
      <c r="V610" s="32">
        <f t="shared" ref="V610:X610" si="615">IF(lenb(SUBSTITUTE($Z610,V$1&amp;" (1)",""))&lt;lenb($Z610),1,IF(lenb(SUBSTITUTE($Z610,V$1&amp;" (2)",""))&lt;lenb($Z610),2,IF(lenb(SUBSTITUTE($Z610,V$1&amp;" (3)",""))&lt;lenb($Z610),3,IF(lenb(SUBSTITUTE($Z610,V$1&amp;" (4)",""))&lt;lenb($Z610),4,IF(lenb(SUBSTITUTE($Z610,V$1&amp;" (5)",""))&lt;lenb($Z610),5,IF(lenb(SUBSTITUTE($Z610,V$1&amp;" (6)",""))&lt;lenb($Z610),6,IF(lenb(SUBSTITUTE($Z610,V$1&amp;" (7)",""))&lt;lenb($Z610),1,IF(lenb(SUBSTITUTE($Z610,V$1&amp;" (8)",""))&lt;lenb($Z610),8,IF(lenb(SUBSTITUTE($Z610,V$1&amp;" (9)",""))&lt;lenb($Z610),9,IF(lenb(SUBSTITUTE($Z610,V$1&amp;" (10)",""))&lt;lenb($Z610),10,IF(lenb(SUBSTITUTE($Z610,V$1,""))&lt;lenb($Z610),"ERROR",IF($Z610=$Y$1,"-",0))))))))))))</f>
        <v>5</v>
      </c>
      <c r="W610" s="32">
        <f t="shared" si="615"/>
        <v>0</v>
      </c>
      <c r="X610" s="32">
        <f t="shared" si="615"/>
        <v>0</v>
      </c>
      <c r="Y610" s="32" t="str">
        <f t="shared" si="3"/>
        <v>-</v>
      </c>
      <c r="Z610" s="32" t="s">
        <v>1606</v>
      </c>
      <c r="AA610" s="33">
        <f t="shared" si="4"/>
        <v>5</v>
      </c>
      <c r="AB610" s="34">
        <f>COUNTIFS(Links!B:B,"ICSE",Links!C:C,A610,Links!AD:AD,1)</f>
        <v>0</v>
      </c>
      <c r="AC610" s="35" t="s">
        <v>35</v>
      </c>
      <c r="AD610" s="27" t="str">
        <f t="shared" si="5"/>
        <v>No</v>
      </c>
      <c r="AE610" s="36" t="s">
        <v>36</v>
      </c>
      <c r="AF610" s="37" t="s">
        <v>42</v>
      </c>
      <c r="AG610" s="37" t="s">
        <v>42</v>
      </c>
      <c r="AH610" s="37" t="s">
        <v>42</v>
      </c>
      <c r="AI610" s="29" t="str">
        <f t="shared" si="6"/>
        <v>----</v>
      </c>
      <c r="AJ610" s="38" t="str">
        <f t="shared" si="7"/>
        <v>Paper has link but no statement</v>
      </c>
      <c r="AK610" s="39">
        <v>45027.0</v>
      </c>
      <c r="AL610" s="23" t="s">
        <v>43</v>
      </c>
      <c r="AM610" s="40" t="str">
        <f t="shared" si="8"/>
        <v>[IP0738]</v>
      </c>
    </row>
    <row r="611" ht="67.5" customHeight="1">
      <c r="A611" s="41">
        <v>739.0</v>
      </c>
      <c r="B611" s="42" t="s">
        <v>1607</v>
      </c>
      <c r="C611" s="43">
        <v>2020.0</v>
      </c>
      <c r="D611" s="44" t="s">
        <v>37</v>
      </c>
      <c r="E611" s="45" t="s">
        <v>37</v>
      </c>
      <c r="F611" s="45" t="s">
        <v>35</v>
      </c>
      <c r="G611" s="45" t="s">
        <v>37</v>
      </c>
      <c r="H611" s="45" t="s">
        <v>35</v>
      </c>
      <c r="I611" s="45" t="s">
        <v>35</v>
      </c>
      <c r="J611" s="46" t="s">
        <v>36</v>
      </c>
      <c r="K611" s="47" t="s">
        <v>37</v>
      </c>
      <c r="L611" s="48" t="s">
        <v>37</v>
      </c>
      <c r="M611" s="48" t="s">
        <v>35</v>
      </c>
      <c r="N611" s="48" t="s">
        <v>37</v>
      </c>
      <c r="O611" s="48" t="s">
        <v>35</v>
      </c>
      <c r="P611" s="48" t="s">
        <v>35</v>
      </c>
      <c r="Q611" s="48" t="s">
        <v>35</v>
      </c>
      <c r="R611" s="48" t="s">
        <v>37</v>
      </c>
      <c r="S611" s="49" t="s">
        <v>1608</v>
      </c>
      <c r="T611" s="50" t="s">
        <v>1609</v>
      </c>
      <c r="U611" s="51" t="s">
        <v>1610</v>
      </c>
      <c r="V611" s="52">
        <f t="shared" ref="V611:X611" si="616">IF(lenb(SUBSTITUTE($Z611,V$1&amp;" (1)",""))&lt;lenb($Z611),1,IF(lenb(SUBSTITUTE($Z611,V$1&amp;" (2)",""))&lt;lenb($Z611),2,IF(lenb(SUBSTITUTE($Z611,V$1&amp;" (3)",""))&lt;lenb($Z611),3,IF(lenb(SUBSTITUTE($Z611,V$1&amp;" (4)",""))&lt;lenb($Z611),4,IF(lenb(SUBSTITUTE($Z611,V$1&amp;" (5)",""))&lt;lenb($Z611),5,IF(lenb(SUBSTITUTE($Z611,V$1&amp;" (6)",""))&lt;lenb($Z611),6,IF(lenb(SUBSTITUTE($Z611,V$1&amp;" (7)",""))&lt;lenb($Z611),1,IF(lenb(SUBSTITUTE($Z611,V$1&amp;" (8)",""))&lt;lenb($Z611),8,IF(lenb(SUBSTITUTE($Z611,V$1&amp;" (9)",""))&lt;lenb($Z611),9,IF(lenb(SUBSTITUTE($Z611,V$1&amp;" (10)",""))&lt;lenb($Z611),10,IF(lenb(SUBSTITUTE($Z611,V$1,""))&lt;lenb($Z611),"ERROR",IF($Z611=$Y$1,"-",0))))))))))))</f>
        <v>1</v>
      </c>
      <c r="W611" s="52">
        <f t="shared" si="616"/>
        <v>0</v>
      </c>
      <c r="X611" s="52">
        <f t="shared" si="616"/>
        <v>0</v>
      </c>
      <c r="Y611" s="52" t="str">
        <f t="shared" si="3"/>
        <v>-</v>
      </c>
      <c r="Z611" s="52" t="s">
        <v>62</v>
      </c>
      <c r="AA611" s="53">
        <f t="shared" si="4"/>
        <v>1</v>
      </c>
      <c r="AB611" s="54">
        <f>COUNTIFS(Links!B:B,"ICSE",Links!C:C,A611,Links!AD:AD,1)</f>
        <v>0</v>
      </c>
      <c r="AC611" s="55" t="s">
        <v>35</v>
      </c>
      <c r="AD611" s="47" t="str">
        <f t="shared" si="5"/>
        <v>No</v>
      </c>
      <c r="AE611" s="56" t="s">
        <v>36</v>
      </c>
      <c r="AF611" s="57" t="s">
        <v>42</v>
      </c>
      <c r="AG611" s="57" t="s">
        <v>42</v>
      </c>
      <c r="AH611" s="57" t="s">
        <v>42</v>
      </c>
      <c r="AI611" s="49" t="str">
        <f t="shared" si="6"/>
        <v>----</v>
      </c>
      <c r="AJ611" s="58" t="str">
        <f t="shared" si="7"/>
        <v>Paper has link but no statement</v>
      </c>
      <c r="AK611" s="59">
        <v>45027.0</v>
      </c>
      <c r="AL611" s="43" t="s">
        <v>43</v>
      </c>
      <c r="AM611" s="60" t="str">
        <f t="shared" si="8"/>
        <v>[IP0739]</v>
      </c>
    </row>
    <row r="612" ht="67.5" customHeight="1">
      <c r="A612" s="61">
        <v>740.0</v>
      </c>
      <c r="B612" s="22" t="s">
        <v>1611</v>
      </c>
      <c r="C612" s="23">
        <v>2020.0</v>
      </c>
      <c r="D612" s="24" t="s">
        <v>35</v>
      </c>
      <c r="E612" s="25" t="s">
        <v>36</v>
      </c>
      <c r="F612" s="25" t="s">
        <v>36</v>
      </c>
      <c r="G612" s="25" t="s">
        <v>36</v>
      </c>
      <c r="H612" s="25" t="s">
        <v>36</v>
      </c>
      <c r="I612" s="25" t="s">
        <v>36</v>
      </c>
      <c r="J612" s="26" t="s">
        <v>36</v>
      </c>
      <c r="K612" s="27" t="s">
        <v>37</v>
      </c>
      <c r="L612" s="28" t="s">
        <v>35</v>
      </c>
      <c r="M612" s="28" t="s">
        <v>37</v>
      </c>
      <c r="N612" s="28" t="s">
        <v>35</v>
      </c>
      <c r="O612" s="28" t="s">
        <v>35</v>
      </c>
      <c r="P612" s="28" t="s">
        <v>35</v>
      </c>
      <c r="Q612" s="28" t="s">
        <v>35</v>
      </c>
      <c r="R612" s="28" t="s">
        <v>37</v>
      </c>
      <c r="S612" s="29" t="s">
        <v>1612</v>
      </c>
      <c r="T612" s="30" t="s">
        <v>1613</v>
      </c>
      <c r="U612" s="31" t="s">
        <v>1613</v>
      </c>
      <c r="V612" s="32">
        <f t="shared" ref="V612:X612" si="617">IF(lenb(SUBSTITUTE($Z612,V$1&amp;" (1)",""))&lt;lenb($Z612),1,IF(lenb(SUBSTITUTE($Z612,V$1&amp;" (2)",""))&lt;lenb($Z612),2,IF(lenb(SUBSTITUTE($Z612,V$1&amp;" (3)",""))&lt;lenb($Z612),3,IF(lenb(SUBSTITUTE($Z612,V$1&amp;" (4)",""))&lt;lenb($Z612),4,IF(lenb(SUBSTITUTE($Z612,V$1&amp;" (5)",""))&lt;lenb($Z612),5,IF(lenb(SUBSTITUTE($Z612,V$1&amp;" (6)",""))&lt;lenb($Z612),6,IF(lenb(SUBSTITUTE($Z612,V$1&amp;" (7)",""))&lt;lenb($Z612),1,IF(lenb(SUBSTITUTE($Z612,V$1&amp;" (8)",""))&lt;lenb($Z612),8,IF(lenb(SUBSTITUTE($Z612,V$1&amp;" (9)",""))&lt;lenb($Z612),9,IF(lenb(SUBSTITUTE($Z612,V$1&amp;" (10)",""))&lt;lenb($Z612),10,IF(lenb(SUBSTITUTE($Z612,V$1,""))&lt;lenb($Z612),"ERROR",IF($Z612=$Y$1,"-",0))))))))))))</f>
        <v>1</v>
      </c>
      <c r="W612" s="32">
        <f t="shared" si="617"/>
        <v>0</v>
      </c>
      <c r="X612" s="32">
        <f t="shared" si="617"/>
        <v>0</v>
      </c>
      <c r="Y612" s="32" t="str">
        <f t="shared" si="3"/>
        <v>-</v>
      </c>
      <c r="Z612" s="32" t="s">
        <v>62</v>
      </c>
      <c r="AA612" s="33">
        <f t="shared" si="4"/>
        <v>1</v>
      </c>
      <c r="AB612" s="34">
        <f>COUNTIFS(Links!B:B,"ICSE",Links!C:C,A612,Links!AD:AD,1)</f>
        <v>1</v>
      </c>
      <c r="AC612" s="35" t="s">
        <v>35</v>
      </c>
      <c r="AD612" s="27" t="str">
        <f t="shared" si="5"/>
        <v>No</v>
      </c>
      <c r="AE612" s="36" t="s">
        <v>36</v>
      </c>
      <c r="AF612" s="37" t="s">
        <v>42</v>
      </c>
      <c r="AG612" s="37" t="s">
        <v>42</v>
      </c>
      <c r="AH612" s="37" t="s">
        <v>42</v>
      </c>
      <c r="AI612" s="29" t="str">
        <f t="shared" si="6"/>
        <v>----</v>
      </c>
      <c r="AJ612" s="38" t="str">
        <f t="shared" si="7"/>
        <v>Paper has link but no statement</v>
      </c>
      <c r="AK612" s="39">
        <v>45027.0</v>
      </c>
      <c r="AL612" s="23" t="s">
        <v>43</v>
      </c>
      <c r="AM612" s="40" t="str">
        <f t="shared" si="8"/>
        <v>[IP0740]</v>
      </c>
    </row>
    <row r="613" ht="67.5" customHeight="1">
      <c r="A613" s="41">
        <v>741.0</v>
      </c>
      <c r="B613" s="42" t="s">
        <v>1614</v>
      </c>
      <c r="C613" s="43">
        <v>2020.0</v>
      </c>
      <c r="D613" s="44" t="s">
        <v>37</v>
      </c>
      <c r="E613" s="45" t="s">
        <v>37</v>
      </c>
      <c r="F613" s="45" t="s">
        <v>35</v>
      </c>
      <c r="G613" s="45" t="s">
        <v>35</v>
      </c>
      <c r="H613" s="45" t="s">
        <v>35</v>
      </c>
      <c r="I613" s="45" t="s">
        <v>35</v>
      </c>
      <c r="J613" s="46" t="s">
        <v>36</v>
      </c>
      <c r="K613" s="47" t="s">
        <v>37</v>
      </c>
      <c r="L613" s="48" t="s">
        <v>37</v>
      </c>
      <c r="M613" s="48" t="s">
        <v>35</v>
      </c>
      <c r="N613" s="48" t="s">
        <v>37</v>
      </c>
      <c r="O613" s="48" t="s">
        <v>35</v>
      </c>
      <c r="P613" s="48" t="s">
        <v>35</v>
      </c>
      <c r="Q613" s="48" t="s">
        <v>35</v>
      </c>
      <c r="R613" s="48" t="s">
        <v>37</v>
      </c>
      <c r="S613" s="49" t="s">
        <v>1615</v>
      </c>
      <c r="T613" s="50" t="s">
        <v>1616</v>
      </c>
      <c r="U613" s="51" t="s">
        <v>1616</v>
      </c>
      <c r="V613" s="52">
        <f t="shared" ref="V613:X613" si="618">IF(lenb(SUBSTITUTE($Z613,V$1&amp;" (1)",""))&lt;lenb($Z613),1,IF(lenb(SUBSTITUTE($Z613,V$1&amp;" (2)",""))&lt;lenb($Z613),2,IF(lenb(SUBSTITUTE($Z613,V$1&amp;" (3)",""))&lt;lenb($Z613),3,IF(lenb(SUBSTITUTE($Z613,V$1&amp;" (4)",""))&lt;lenb($Z613),4,IF(lenb(SUBSTITUTE($Z613,V$1&amp;" (5)",""))&lt;lenb($Z613),5,IF(lenb(SUBSTITUTE($Z613,V$1&amp;" (6)",""))&lt;lenb($Z613),6,IF(lenb(SUBSTITUTE($Z613,V$1&amp;" (7)",""))&lt;lenb($Z613),1,IF(lenb(SUBSTITUTE($Z613,V$1&amp;" (8)",""))&lt;lenb($Z613),8,IF(lenb(SUBSTITUTE($Z613,V$1&amp;" (9)",""))&lt;lenb($Z613),9,IF(lenb(SUBSTITUTE($Z613,V$1&amp;" (10)",""))&lt;lenb($Z613),10,IF(lenb(SUBSTITUTE($Z613,V$1,""))&lt;lenb($Z613),"ERROR",IF($Z613=$Y$1,"-",0))))))))))))</f>
        <v>1</v>
      </c>
      <c r="W613" s="52">
        <f t="shared" si="618"/>
        <v>0</v>
      </c>
      <c r="X613" s="52">
        <f t="shared" si="618"/>
        <v>0</v>
      </c>
      <c r="Y613" s="52" t="str">
        <f t="shared" si="3"/>
        <v>-</v>
      </c>
      <c r="Z613" s="52" t="s">
        <v>62</v>
      </c>
      <c r="AA613" s="53">
        <f t="shared" si="4"/>
        <v>1</v>
      </c>
      <c r="AB613" s="54">
        <f>COUNTIFS(Links!B:B,"ICSE",Links!C:C,A613,Links!AD:AD,1)</f>
        <v>0</v>
      </c>
      <c r="AC613" s="55" t="s">
        <v>35</v>
      </c>
      <c r="AD613" s="47" t="str">
        <f t="shared" si="5"/>
        <v>No</v>
      </c>
      <c r="AE613" s="56" t="s">
        <v>36</v>
      </c>
      <c r="AF613" s="57" t="s">
        <v>42</v>
      </c>
      <c r="AG613" s="57" t="s">
        <v>42</v>
      </c>
      <c r="AH613" s="57" t="s">
        <v>42</v>
      </c>
      <c r="AI613" s="49" t="str">
        <f t="shared" si="6"/>
        <v>----</v>
      </c>
      <c r="AJ613" s="58" t="str">
        <f t="shared" si="7"/>
        <v>Paper has link but no statement</v>
      </c>
      <c r="AK613" s="59">
        <v>45027.0</v>
      </c>
      <c r="AL613" s="43" t="s">
        <v>43</v>
      </c>
      <c r="AM613" s="60" t="str">
        <f t="shared" si="8"/>
        <v>[IP0741]</v>
      </c>
    </row>
    <row r="614" ht="67.5" customHeight="1">
      <c r="A614" s="61">
        <v>742.0</v>
      </c>
      <c r="B614" s="22" t="s">
        <v>1617</v>
      </c>
      <c r="C614" s="23">
        <v>2020.0</v>
      </c>
      <c r="D614" s="24" t="s">
        <v>35</v>
      </c>
      <c r="E614" s="25" t="s">
        <v>36</v>
      </c>
      <c r="F614" s="25" t="s">
        <v>36</v>
      </c>
      <c r="G614" s="25" t="s">
        <v>36</v>
      </c>
      <c r="H614" s="25" t="s">
        <v>36</v>
      </c>
      <c r="I614" s="25" t="s">
        <v>36</v>
      </c>
      <c r="J614" s="26" t="s">
        <v>36</v>
      </c>
      <c r="K614" s="27" t="s">
        <v>37</v>
      </c>
      <c r="L614" s="28" t="s">
        <v>35</v>
      </c>
      <c r="M614" s="28" t="s">
        <v>35</v>
      </c>
      <c r="N614" s="28" t="s">
        <v>35</v>
      </c>
      <c r="O614" s="28" t="s">
        <v>35</v>
      </c>
      <c r="P614" s="28" t="s">
        <v>35</v>
      </c>
      <c r="Q614" s="28" t="s">
        <v>35</v>
      </c>
      <c r="R614" s="28" t="s">
        <v>37</v>
      </c>
      <c r="S614" s="29" t="s">
        <v>1618</v>
      </c>
      <c r="T614" s="30" t="s">
        <v>1619</v>
      </c>
      <c r="U614" s="31" t="s">
        <v>1619</v>
      </c>
      <c r="V614" s="32">
        <f t="shared" ref="V614:X614" si="619">IF(lenb(SUBSTITUTE($Z614,V$1&amp;" (1)",""))&lt;lenb($Z614),1,IF(lenb(SUBSTITUTE($Z614,V$1&amp;" (2)",""))&lt;lenb($Z614),2,IF(lenb(SUBSTITUTE($Z614,V$1&amp;" (3)",""))&lt;lenb($Z614),3,IF(lenb(SUBSTITUTE($Z614,V$1&amp;" (4)",""))&lt;lenb($Z614),4,IF(lenb(SUBSTITUTE($Z614,V$1&amp;" (5)",""))&lt;lenb($Z614),5,IF(lenb(SUBSTITUTE($Z614,V$1&amp;" (6)",""))&lt;lenb($Z614),6,IF(lenb(SUBSTITUTE($Z614,V$1&amp;" (7)",""))&lt;lenb($Z614),1,IF(lenb(SUBSTITUTE($Z614,V$1&amp;" (8)",""))&lt;lenb($Z614),8,IF(lenb(SUBSTITUTE($Z614,V$1&amp;" (9)",""))&lt;lenb($Z614),9,IF(lenb(SUBSTITUTE($Z614,V$1&amp;" (10)",""))&lt;lenb($Z614),10,IF(lenb(SUBSTITUTE($Z614,V$1,""))&lt;lenb($Z614),"ERROR",IF($Z614=$Y$1,"-",0))))))))))))</f>
        <v>1</v>
      </c>
      <c r="W614" s="32">
        <f t="shared" si="619"/>
        <v>0</v>
      </c>
      <c r="X614" s="32">
        <f t="shared" si="619"/>
        <v>0</v>
      </c>
      <c r="Y614" s="32" t="str">
        <f t="shared" si="3"/>
        <v>-</v>
      </c>
      <c r="Z614" s="32" t="s">
        <v>62</v>
      </c>
      <c r="AA614" s="33">
        <f t="shared" si="4"/>
        <v>1</v>
      </c>
      <c r="AB614" s="34">
        <f>COUNTIFS(Links!B:B,"ICSE",Links!C:C,A614,Links!AD:AD,1)</f>
        <v>0</v>
      </c>
      <c r="AC614" s="35" t="s">
        <v>37</v>
      </c>
      <c r="AD614" s="27" t="str">
        <f t="shared" si="5"/>
        <v>No</v>
      </c>
      <c r="AE614" s="36" t="s">
        <v>36</v>
      </c>
      <c r="AF614" s="37" t="s">
        <v>42</v>
      </c>
      <c r="AG614" s="37" t="s">
        <v>42</v>
      </c>
      <c r="AH614" s="37" t="s">
        <v>42</v>
      </c>
      <c r="AI614" s="29" t="str">
        <f t="shared" si="6"/>
        <v>----</v>
      </c>
      <c r="AJ614" s="38" t="str">
        <f t="shared" si="7"/>
        <v>Paper has link but no statement</v>
      </c>
      <c r="AK614" s="39">
        <v>45027.0</v>
      </c>
      <c r="AL614" s="23" t="s">
        <v>43</v>
      </c>
      <c r="AM614" s="40" t="str">
        <f t="shared" si="8"/>
        <v>[IP0742]</v>
      </c>
    </row>
    <row r="615" ht="67.5" customHeight="1">
      <c r="A615" s="41">
        <v>743.0</v>
      </c>
      <c r="B615" s="42" t="s">
        <v>1620</v>
      </c>
      <c r="C615" s="43">
        <v>2020.0</v>
      </c>
      <c r="D615" s="44" t="s">
        <v>35</v>
      </c>
      <c r="E615" s="45" t="s">
        <v>36</v>
      </c>
      <c r="F615" s="45" t="s">
        <v>36</v>
      </c>
      <c r="G615" s="45" t="s">
        <v>36</v>
      </c>
      <c r="H615" s="45" t="s">
        <v>36</v>
      </c>
      <c r="I615" s="45" t="s">
        <v>36</v>
      </c>
      <c r="J615" s="46" t="s">
        <v>36</v>
      </c>
      <c r="K615" s="47" t="s">
        <v>37</v>
      </c>
      <c r="L615" s="48" t="s">
        <v>35</v>
      </c>
      <c r="M615" s="48" t="s">
        <v>37</v>
      </c>
      <c r="N615" s="48" t="s">
        <v>35</v>
      </c>
      <c r="O615" s="48" t="s">
        <v>35</v>
      </c>
      <c r="P615" s="48" t="s">
        <v>37</v>
      </c>
      <c r="Q615" s="48" t="s">
        <v>37</v>
      </c>
      <c r="R615" s="48" t="s">
        <v>37</v>
      </c>
      <c r="S615" s="49" t="s">
        <v>1621</v>
      </c>
      <c r="T615" s="50" t="s">
        <v>1622</v>
      </c>
      <c r="U615" s="51" t="s">
        <v>1622</v>
      </c>
      <c r="V615" s="52">
        <f t="shared" ref="V615:X615" si="620">IF(lenb(SUBSTITUTE($Z615,V$1&amp;" (1)",""))&lt;lenb($Z615),1,IF(lenb(SUBSTITUTE($Z615,V$1&amp;" (2)",""))&lt;lenb($Z615),2,IF(lenb(SUBSTITUTE($Z615,V$1&amp;" (3)",""))&lt;lenb($Z615),3,IF(lenb(SUBSTITUTE($Z615,V$1&amp;" (4)",""))&lt;lenb($Z615),4,IF(lenb(SUBSTITUTE($Z615,V$1&amp;" (5)",""))&lt;lenb($Z615),5,IF(lenb(SUBSTITUTE($Z615,V$1&amp;" (6)",""))&lt;lenb($Z615),6,IF(lenb(SUBSTITUTE($Z615,V$1&amp;" (7)",""))&lt;lenb($Z615),1,IF(lenb(SUBSTITUTE($Z615,V$1&amp;" (8)",""))&lt;lenb($Z615),8,IF(lenb(SUBSTITUTE($Z615,V$1&amp;" (9)",""))&lt;lenb($Z615),9,IF(lenb(SUBSTITUTE($Z615,V$1&amp;" (10)",""))&lt;lenb($Z615),10,IF(lenb(SUBSTITUTE($Z615,V$1,""))&lt;lenb($Z615),"ERROR",IF($Z615=$Y$1,"-",0))))))))))))</f>
        <v>1</v>
      </c>
      <c r="W615" s="52">
        <f t="shared" si="620"/>
        <v>0</v>
      </c>
      <c r="X615" s="52">
        <f t="shared" si="620"/>
        <v>0</v>
      </c>
      <c r="Y615" s="52" t="str">
        <f t="shared" si="3"/>
        <v>-</v>
      </c>
      <c r="Z615" s="52" t="s">
        <v>62</v>
      </c>
      <c r="AA615" s="53">
        <f t="shared" si="4"/>
        <v>1</v>
      </c>
      <c r="AB615" s="54">
        <f>COUNTIFS(Links!B:B,"ICSE",Links!C:C,A615,Links!AD:AD,1)</f>
        <v>0</v>
      </c>
      <c r="AC615" s="55" t="s">
        <v>35</v>
      </c>
      <c r="AD615" s="47" t="str">
        <f t="shared" si="5"/>
        <v>No</v>
      </c>
      <c r="AE615" s="56" t="s">
        <v>36</v>
      </c>
      <c r="AF615" s="57" t="s">
        <v>42</v>
      </c>
      <c r="AG615" s="57" t="s">
        <v>42</v>
      </c>
      <c r="AH615" s="57" t="s">
        <v>42</v>
      </c>
      <c r="AI615" s="49" t="str">
        <f t="shared" si="6"/>
        <v>----</v>
      </c>
      <c r="AJ615" s="58" t="str">
        <f t="shared" si="7"/>
        <v>Paper has link but no statement</v>
      </c>
      <c r="AK615" s="59">
        <v>45027.0</v>
      </c>
      <c r="AL615" s="43" t="s">
        <v>43</v>
      </c>
      <c r="AM615" s="60" t="str">
        <f t="shared" si="8"/>
        <v>[IP0743]</v>
      </c>
    </row>
    <row r="616" ht="67.5" customHeight="1">
      <c r="A616" s="61">
        <v>744.0</v>
      </c>
      <c r="B616" s="22" t="s">
        <v>1623</v>
      </c>
      <c r="C616" s="23">
        <v>2020.0</v>
      </c>
      <c r="D616" s="24" t="s">
        <v>35</v>
      </c>
      <c r="E616" s="25" t="s">
        <v>36</v>
      </c>
      <c r="F616" s="25" t="s">
        <v>36</v>
      </c>
      <c r="G616" s="25" t="s">
        <v>36</v>
      </c>
      <c r="H616" s="25" t="s">
        <v>36</v>
      </c>
      <c r="I616" s="25" t="s">
        <v>36</v>
      </c>
      <c r="J616" s="26" t="s">
        <v>36</v>
      </c>
      <c r="K616" s="27" t="s">
        <v>37</v>
      </c>
      <c r="L616" s="28" t="s">
        <v>35</v>
      </c>
      <c r="M616" s="28" t="s">
        <v>37</v>
      </c>
      <c r="N616" s="28" t="s">
        <v>37</v>
      </c>
      <c r="O616" s="28" t="s">
        <v>35</v>
      </c>
      <c r="P616" s="28" t="s">
        <v>35</v>
      </c>
      <c r="Q616" s="28" t="s">
        <v>35</v>
      </c>
      <c r="R616" s="28" t="s">
        <v>35</v>
      </c>
      <c r="S616" s="29" t="s">
        <v>1624</v>
      </c>
      <c r="T616" s="30" t="s">
        <v>1625</v>
      </c>
      <c r="U616" s="31" t="s">
        <v>1625</v>
      </c>
      <c r="V616" s="32">
        <f t="shared" ref="V616:X616" si="621">IF(lenb(SUBSTITUTE($Z616,V$1&amp;" (1)",""))&lt;lenb($Z616),1,IF(lenb(SUBSTITUTE($Z616,V$1&amp;" (2)",""))&lt;lenb($Z616),2,IF(lenb(SUBSTITUTE($Z616,V$1&amp;" (3)",""))&lt;lenb($Z616),3,IF(lenb(SUBSTITUTE($Z616,V$1&amp;" (4)",""))&lt;lenb($Z616),4,IF(lenb(SUBSTITUTE($Z616,V$1&amp;" (5)",""))&lt;lenb($Z616),5,IF(lenb(SUBSTITUTE($Z616,V$1&amp;" (6)",""))&lt;lenb($Z616),6,IF(lenb(SUBSTITUTE($Z616,V$1&amp;" (7)",""))&lt;lenb($Z616),1,IF(lenb(SUBSTITUTE($Z616,V$1&amp;" (8)",""))&lt;lenb($Z616),8,IF(lenb(SUBSTITUTE($Z616,V$1&amp;" (9)",""))&lt;lenb($Z616),9,IF(lenb(SUBSTITUTE($Z616,V$1&amp;" (10)",""))&lt;lenb($Z616),10,IF(lenb(SUBSTITUTE($Z616,V$1,""))&lt;lenb($Z616),"ERROR",IF($Z616=$Y$1,"-",0))))))))))))</f>
        <v>1</v>
      </c>
      <c r="W616" s="32">
        <f t="shared" si="621"/>
        <v>0</v>
      </c>
      <c r="X616" s="32">
        <f t="shared" si="621"/>
        <v>0</v>
      </c>
      <c r="Y616" s="32" t="str">
        <f t="shared" si="3"/>
        <v>-</v>
      </c>
      <c r="Z616" s="32" t="s">
        <v>62</v>
      </c>
      <c r="AA616" s="33">
        <f t="shared" si="4"/>
        <v>1</v>
      </c>
      <c r="AB616" s="34">
        <f>COUNTIFS(Links!B:B,"ICSE",Links!C:C,A616,Links!AD:AD,1)</f>
        <v>0</v>
      </c>
      <c r="AC616" s="35" t="s">
        <v>35</v>
      </c>
      <c r="AD616" s="27" t="str">
        <f t="shared" si="5"/>
        <v>No</v>
      </c>
      <c r="AE616" s="36" t="s">
        <v>36</v>
      </c>
      <c r="AF616" s="37" t="s">
        <v>42</v>
      </c>
      <c r="AG616" s="37" t="s">
        <v>42</v>
      </c>
      <c r="AH616" s="37" t="s">
        <v>42</v>
      </c>
      <c r="AI616" s="29" t="str">
        <f t="shared" si="6"/>
        <v>----</v>
      </c>
      <c r="AJ616" s="38" t="str">
        <f t="shared" si="7"/>
        <v>Paper has link but no statement</v>
      </c>
      <c r="AK616" s="39">
        <v>45027.0</v>
      </c>
      <c r="AL616" s="23" t="s">
        <v>43</v>
      </c>
      <c r="AM616" s="40" t="str">
        <f t="shared" si="8"/>
        <v>[IP0744]</v>
      </c>
    </row>
    <row r="617" ht="67.5" customHeight="1">
      <c r="A617" s="41">
        <v>745.0</v>
      </c>
      <c r="B617" s="42" t="s">
        <v>1626</v>
      </c>
      <c r="C617" s="43">
        <v>2020.0</v>
      </c>
      <c r="D617" s="44" t="s">
        <v>37</v>
      </c>
      <c r="E617" s="45" t="s">
        <v>37</v>
      </c>
      <c r="F617" s="45" t="s">
        <v>35</v>
      </c>
      <c r="G617" s="45" t="s">
        <v>37</v>
      </c>
      <c r="H617" s="45" t="s">
        <v>35</v>
      </c>
      <c r="I617" s="45" t="s">
        <v>35</v>
      </c>
      <c r="J617" s="46" t="s">
        <v>36</v>
      </c>
      <c r="K617" s="47" t="s">
        <v>37</v>
      </c>
      <c r="L617" s="48" t="s">
        <v>37</v>
      </c>
      <c r="M617" s="48" t="s">
        <v>35</v>
      </c>
      <c r="N617" s="48" t="s">
        <v>35</v>
      </c>
      <c r="O617" s="48" t="s">
        <v>37</v>
      </c>
      <c r="P617" s="48" t="s">
        <v>37</v>
      </c>
      <c r="Q617" s="48" t="s">
        <v>35</v>
      </c>
      <c r="R617" s="48" t="s">
        <v>37</v>
      </c>
      <c r="S617" s="49" t="s">
        <v>1627</v>
      </c>
      <c r="T617" s="50" t="s">
        <v>1628</v>
      </c>
      <c r="U617" s="51" t="s">
        <v>1629</v>
      </c>
      <c r="V617" s="52">
        <f t="shared" ref="V617:X617" si="622">IF(lenb(SUBSTITUTE($Z617,V$1&amp;" (1)",""))&lt;lenb($Z617),1,IF(lenb(SUBSTITUTE($Z617,V$1&amp;" (2)",""))&lt;lenb($Z617),2,IF(lenb(SUBSTITUTE($Z617,V$1&amp;" (3)",""))&lt;lenb($Z617),3,IF(lenb(SUBSTITUTE($Z617,V$1&amp;" (4)",""))&lt;lenb($Z617),4,IF(lenb(SUBSTITUTE($Z617,V$1&amp;" (5)",""))&lt;lenb($Z617),5,IF(lenb(SUBSTITUTE($Z617,V$1&amp;" (6)",""))&lt;lenb($Z617),6,IF(lenb(SUBSTITUTE($Z617,V$1&amp;" (7)",""))&lt;lenb($Z617),1,IF(lenb(SUBSTITUTE($Z617,V$1&amp;" (8)",""))&lt;lenb($Z617),8,IF(lenb(SUBSTITUTE($Z617,V$1&amp;" (9)",""))&lt;lenb($Z617),9,IF(lenb(SUBSTITUTE($Z617,V$1&amp;" (10)",""))&lt;lenb($Z617),10,IF(lenb(SUBSTITUTE($Z617,V$1,""))&lt;lenb($Z617),"ERROR",IF($Z617=$Y$1,"-",0))))))))))))</f>
        <v>1</v>
      </c>
      <c r="W617" s="52">
        <f t="shared" si="622"/>
        <v>0</v>
      </c>
      <c r="X617" s="52">
        <f t="shared" si="622"/>
        <v>0</v>
      </c>
      <c r="Y617" s="52" t="str">
        <f t="shared" si="3"/>
        <v>-</v>
      </c>
      <c r="Z617" s="52" t="s">
        <v>62</v>
      </c>
      <c r="AA617" s="53">
        <f t="shared" si="4"/>
        <v>1</v>
      </c>
      <c r="AB617" s="54">
        <f>COUNTIFS(Links!B:B,"ICSE",Links!C:C,A617,Links!AD:AD,1)</f>
        <v>0</v>
      </c>
      <c r="AC617" s="55" t="s">
        <v>35</v>
      </c>
      <c r="AD617" s="47" t="str">
        <f t="shared" si="5"/>
        <v>No</v>
      </c>
      <c r="AE617" s="56" t="s">
        <v>36</v>
      </c>
      <c r="AF617" s="57" t="s">
        <v>42</v>
      </c>
      <c r="AG617" s="57" t="s">
        <v>42</v>
      </c>
      <c r="AH617" s="57" t="s">
        <v>42</v>
      </c>
      <c r="AI617" s="49" t="str">
        <f t="shared" si="6"/>
        <v>----</v>
      </c>
      <c r="AJ617" s="58" t="str">
        <f t="shared" si="7"/>
        <v>Paper has link but no statement</v>
      </c>
      <c r="AK617" s="59">
        <v>45027.0</v>
      </c>
      <c r="AL617" s="43" t="s">
        <v>43</v>
      </c>
      <c r="AM617" s="60" t="str">
        <f t="shared" si="8"/>
        <v>[IP0745]</v>
      </c>
    </row>
    <row r="618" ht="67.5" customHeight="1">
      <c r="A618" s="61">
        <v>746.0</v>
      </c>
      <c r="B618" s="22" t="s">
        <v>1630</v>
      </c>
      <c r="C618" s="23">
        <v>2020.0</v>
      </c>
      <c r="D618" s="24" t="s">
        <v>35</v>
      </c>
      <c r="E618" s="25" t="s">
        <v>36</v>
      </c>
      <c r="F618" s="25" t="s">
        <v>36</v>
      </c>
      <c r="G618" s="25" t="s">
        <v>36</v>
      </c>
      <c r="H618" s="25" t="s">
        <v>36</v>
      </c>
      <c r="I618" s="25" t="s">
        <v>36</v>
      </c>
      <c r="J618" s="26" t="s">
        <v>36</v>
      </c>
      <c r="K618" s="27" t="s">
        <v>37</v>
      </c>
      <c r="L618" s="28" t="s">
        <v>37</v>
      </c>
      <c r="M618" s="28" t="s">
        <v>35</v>
      </c>
      <c r="N618" s="28" t="s">
        <v>35</v>
      </c>
      <c r="O618" s="28" t="s">
        <v>35</v>
      </c>
      <c r="P618" s="28" t="s">
        <v>35</v>
      </c>
      <c r="Q618" s="28" t="s">
        <v>35</v>
      </c>
      <c r="R618" s="28" t="s">
        <v>37</v>
      </c>
      <c r="S618" s="29" t="s">
        <v>1631</v>
      </c>
      <c r="T618" s="30" t="s">
        <v>1632</v>
      </c>
      <c r="U618" s="31" t="s">
        <v>1632</v>
      </c>
      <c r="V618" s="32">
        <f t="shared" ref="V618:X618" si="623">IF(lenb(SUBSTITUTE($Z618,V$1&amp;" (1)",""))&lt;lenb($Z618),1,IF(lenb(SUBSTITUTE($Z618,V$1&amp;" (2)",""))&lt;lenb($Z618),2,IF(lenb(SUBSTITUTE($Z618,V$1&amp;" (3)",""))&lt;lenb($Z618),3,IF(lenb(SUBSTITUTE($Z618,V$1&amp;" (4)",""))&lt;lenb($Z618),4,IF(lenb(SUBSTITUTE($Z618,V$1&amp;" (5)",""))&lt;lenb($Z618),5,IF(lenb(SUBSTITUTE($Z618,V$1&amp;" (6)",""))&lt;lenb($Z618),6,IF(lenb(SUBSTITUTE($Z618,V$1&amp;" (7)",""))&lt;lenb($Z618),1,IF(lenb(SUBSTITUTE($Z618,V$1&amp;" (8)",""))&lt;lenb($Z618),8,IF(lenb(SUBSTITUTE($Z618,V$1&amp;" (9)",""))&lt;lenb($Z618),9,IF(lenb(SUBSTITUTE($Z618,V$1&amp;" (10)",""))&lt;lenb($Z618),10,IF(lenb(SUBSTITUTE($Z618,V$1,""))&lt;lenb($Z618),"ERROR",IF($Z618=$Y$1,"-",0))))))))))))</f>
        <v>1</v>
      </c>
      <c r="W618" s="32">
        <f t="shared" si="623"/>
        <v>0</v>
      </c>
      <c r="X618" s="32">
        <f t="shared" si="623"/>
        <v>0</v>
      </c>
      <c r="Y618" s="32" t="str">
        <f t="shared" si="3"/>
        <v>-</v>
      </c>
      <c r="Z618" s="32" t="s">
        <v>62</v>
      </c>
      <c r="AA618" s="33">
        <f t="shared" si="4"/>
        <v>1</v>
      </c>
      <c r="AB618" s="34">
        <f>COUNTIFS(Links!B:B,"ICSE",Links!C:C,A618,Links!AD:AD,1)</f>
        <v>0</v>
      </c>
      <c r="AC618" s="35" t="s">
        <v>35</v>
      </c>
      <c r="AD618" s="27" t="str">
        <f t="shared" si="5"/>
        <v>No</v>
      </c>
      <c r="AE618" s="36" t="s">
        <v>36</v>
      </c>
      <c r="AF618" s="37" t="s">
        <v>42</v>
      </c>
      <c r="AG618" s="37" t="s">
        <v>42</v>
      </c>
      <c r="AH618" s="37" t="s">
        <v>42</v>
      </c>
      <c r="AI618" s="29" t="str">
        <f t="shared" si="6"/>
        <v>----</v>
      </c>
      <c r="AJ618" s="38" t="str">
        <f t="shared" si="7"/>
        <v>Paper has link but no statement</v>
      </c>
      <c r="AK618" s="39">
        <v>45027.0</v>
      </c>
      <c r="AL618" s="23" t="s">
        <v>43</v>
      </c>
      <c r="AM618" s="40" t="str">
        <f t="shared" si="8"/>
        <v>[IP0746]</v>
      </c>
    </row>
    <row r="619" ht="67.5" customHeight="1">
      <c r="A619" s="41">
        <v>747.0</v>
      </c>
      <c r="B619" s="42" t="s">
        <v>1633</v>
      </c>
      <c r="C619" s="43">
        <v>2020.0</v>
      </c>
      <c r="D619" s="44" t="s">
        <v>37</v>
      </c>
      <c r="E619" s="45" t="s">
        <v>37</v>
      </c>
      <c r="F619" s="45" t="s">
        <v>35</v>
      </c>
      <c r="G619" s="45" t="s">
        <v>35</v>
      </c>
      <c r="H619" s="45" t="s">
        <v>35</v>
      </c>
      <c r="I619" s="45" t="s">
        <v>35</v>
      </c>
      <c r="J619" s="46" t="s">
        <v>36</v>
      </c>
      <c r="K619" s="47" t="s">
        <v>37</v>
      </c>
      <c r="L619" s="48" t="s">
        <v>37</v>
      </c>
      <c r="M619" s="48" t="s">
        <v>35</v>
      </c>
      <c r="N619" s="48" t="s">
        <v>37</v>
      </c>
      <c r="O619" s="48" t="s">
        <v>35</v>
      </c>
      <c r="P619" s="48" t="s">
        <v>35</v>
      </c>
      <c r="Q619" s="48" t="s">
        <v>35</v>
      </c>
      <c r="R619" s="48" t="s">
        <v>35</v>
      </c>
      <c r="S619" s="49" t="s">
        <v>1057</v>
      </c>
      <c r="T619" s="50" t="s">
        <v>1634</v>
      </c>
      <c r="U619" s="51" t="s">
        <v>1634</v>
      </c>
      <c r="V619" s="52">
        <f t="shared" ref="V619:X619" si="624">IF(lenb(SUBSTITUTE($Z619,V$1&amp;" (1)",""))&lt;lenb($Z619),1,IF(lenb(SUBSTITUTE($Z619,V$1&amp;" (2)",""))&lt;lenb($Z619),2,IF(lenb(SUBSTITUTE($Z619,V$1&amp;" (3)",""))&lt;lenb($Z619),3,IF(lenb(SUBSTITUTE($Z619,V$1&amp;" (4)",""))&lt;lenb($Z619),4,IF(lenb(SUBSTITUTE($Z619,V$1&amp;" (5)",""))&lt;lenb($Z619),5,IF(lenb(SUBSTITUTE($Z619,V$1&amp;" (6)",""))&lt;lenb($Z619),6,IF(lenb(SUBSTITUTE($Z619,V$1&amp;" (7)",""))&lt;lenb($Z619),1,IF(lenb(SUBSTITUTE($Z619,V$1&amp;" (8)",""))&lt;lenb($Z619),8,IF(lenb(SUBSTITUTE($Z619,V$1&amp;" (9)",""))&lt;lenb($Z619),9,IF(lenb(SUBSTITUTE($Z619,V$1&amp;" (10)",""))&lt;lenb($Z619),10,IF(lenb(SUBSTITUTE($Z619,V$1,""))&lt;lenb($Z619),"ERROR",IF($Z619=$Y$1,"-",0))))))))))))</f>
        <v>1</v>
      </c>
      <c r="W619" s="52">
        <f t="shared" si="624"/>
        <v>0</v>
      </c>
      <c r="X619" s="52">
        <f t="shared" si="624"/>
        <v>0</v>
      </c>
      <c r="Y619" s="52" t="str">
        <f t="shared" si="3"/>
        <v>-</v>
      </c>
      <c r="Z619" s="52" t="s">
        <v>62</v>
      </c>
      <c r="AA619" s="53">
        <f t="shared" si="4"/>
        <v>1</v>
      </c>
      <c r="AB619" s="54">
        <f>COUNTIFS(Links!B:B,"ICSE",Links!C:C,A619,Links!AD:AD,1)</f>
        <v>0</v>
      </c>
      <c r="AC619" s="55" t="s">
        <v>35</v>
      </c>
      <c r="AD619" s="47" t="str">
        <f t="shared" si="5"/>
        <v>No</v>
      </c>
      <c r="AE619" s="56" t="s">
        <v>36</v>
      </c>
      <c r="AF619" s="57" t="s">
        <v>42</v>
      </c>
      <c r="AG619" s="57" t="s">
        <v>42</v>
      </c>
      <c r="AH619" s="57" t="s">
        <v>42</v>
      </c>
      <c r="AI619" s="49" t="str">
        <f t="shared" si="6"/>
        <v>----</v>
      </c>
      <c r="AJ619" s="58" t="str">
        <f t="shared" si="7"/>
        <v>Paper has link but no statement</v>
      </c>
      <c r="AK619" s="59">
        <v>45027.0</v>
      </c>
      <c r="AL619" s="43" t="s">
        <v>43</v>
      </c>
      <c r="AM619" s="60" t="str">
        <f t="shared" si="8"/>
        <v>[IP0747]</v>
      </c>
    </row>
    <row r="620" ht="67.5" customHeight="1">
      <c r="A620" s="61">
        <v>748.0</v>
      </c>
      <c r="B620" s="22" t="s">
        <v>1635</v>
      </c>
      <c r="C620" s="23">
        <v>2020.0</v>
      </c>
      <c r="D620" s="24" t="s">
        <v>35</v>
      </c>
      <c r="E620" s="25" t="s">
        <v>36</v>
      </c>
      <c r="F620" s="25" t="s">
        <v>36</v>
      </c>
      <c r="G620" s="25" t="s">
        <v>36</v>
      </c>
      <c r="H620" s="25" t="s">
        <v>36</v>
      </c>
      <c r="I620" s="25" t="s">
        <v>36</v>
      </c>
      <c r="J620" s="26" t="s">
        <v>36</v>
      </c>
      <c r="K620" s="27" t="s">
        <v>37</v>
      </c>
      <c r="L620" s="28" t="s">
        <v>37</v>
      </c>
      <c r="M620" s="28" t="s">
        <v>35</v>
      </c>
      <c r="N620" s="28" t="s">
        <v>35</v>
      </c>
      <c r="O620" s="28" t="s">
        <v>35</v>
      </c>
      <c r="P620" s="28" t="s">
        <v>35</v>
      </c>
      <c r="Q620" s="28" t="s">
        <v>35</v>
      </c>
      <c r="R620" s="28" t="s">
        <v>37</v>
      </c>
      <c r="S620" s="29" t="s">
        <v>1636</v>
      </c>
      <c r="T620" s="30" t="s">
        <v>1637</v>
      </c>
      <c r="U620" s="31" t="s">
        <v>1637</v>
      </c>
      <c r="V620" s="32">
        <f t="shared" ref="V620:X620" si="625">IF(lenb(SUBSTITUTE($Z620,V$1&amp;" (1)",""))&lt;lenb($Z620),1,IF(lenb(SUBSTITUTE($Z620,V$1&amp;" (2)",""))&lt;lenb($Z620),2,IF(lenb(SUBSTITUTE($Z620,V$1&amp;" (3)",""))&lt;lenb($Z620),3,IF(lenb(SUBSTITUTE($Z620,V$1&amp;" (4)",""))&lt;lenb($Z620),4,IF(lenb(SUBSTITUTE($Z620,V$1&amp;" (5)",""))&lt;lenb($Z620),5,IF(lenb(SUBSTITUTE($Z620,V$1&amp;" (6)",""))&lt;lenb($Z620),6,IF(lenb(SUBSTITUTE($Z620,V$1&amp;" (7)",""))&lt;lenb($Z620),1,IF(lenb(SUBSTITUTE($Z620,V$1&amp;" (8)",""))&lt;lenb($Z620),8,IF(lenb(SUBSTITUTE($Z620,V$1&amp;" (9)",""))&lt;lenb($Z620),9,IF(lenb(SUBSTITUTE($Z620,V$1&amp;" (10)",""))&lt;lenb($Z620),10,IF(lenb(SUBSTITUTE($Z620,V$1,""))&lt;lenb($Z620),"ERROR",IF($Z620=$Y$1,"-",0))))))))))))</f>
        <v>1</v>
      </c>
      <c r="W620" s="32">
        <f t="shared" si="625"/>
        <v>0</v>
      </c>
      <c r="X620" s="32">
        <f t="shared" si="625"/>
        <v>0</v>
      </c>
      <c r="Y620" s="32" t="str">
        <f t="shared" si="3"/>
        <v>-</v>
      </c>
      <c r="Z620" s="32" t="s">
        <v>62</v>
      </c>
      <c r="AA620" s="33">
        <f t="shared" si="4"/>
        <v>1</v>
      </c>
      <c r="AB620" s="34">
        <f>COUNTIFS(Links!B:B,"ICSE",Links!C:C,A620,Links!AD:AD,1)</f>
        <v>0</v>
      </c>
      <c r="AC620" s="35" t="s">
        <v>35</v>
      </c>
      <c r="AD620" s="27" t="str">
        <f t="shared" si="5"/>
        <v>Yes</v>
      </c>
      <c r="AE620" s="36" t="s">
        <v>1638</v>
      </c>
      <c r="AF620" s="36" t="s">
        <v>281</v>
      </c>
      <c r="AG620" s="37" t="s">
        <v>42</v>
      </c>
      <c r="AH620" s="37" t="s">
        <v>42</v>
      </c>
      <c r="AI620" s="29" t="str">
        <f t="shared" si="6"/>
        <v>Barriers (Confidentiality and privacy)</v>
      </c>
      <c r="AJ620" s="38" t="str">
        <f t="shared" si="7"/>
        <v>Paper has link and statement</v>
      </c>
      <c r="AK620" s="39">
        <v>45027.0</v>
      </c>
      <c r="AL620" s="23" t="s">
        <v>43</v>
      </c>
      <c r="AM620" s="40" t="str">
        <f t="shared" si="8"/>
        <v>[IP0748]</v>
      </c>
    </row>
    <row r="621" ht="67.5" customHeight="1">
      <c r="A621" s="41">
        <v>749.0</v>
      </c>
      <c r="B621" s="42" t="s">
        <v>1639</v>
      </c>
      <c r="C621" s="43">
        <v>2020.0</v>
      </c>
      <c r="D621" s="44" t="s">
        <v>37</v>
      </c>
      <c r="E621" s="45" t="s">
        <v>37</v>
      </c>
      <c r="F621" s="45" t="s">
        <v>35</v>
      </c>
      <c r="G621" s="45" t="s">
        <v>35</v>
      </c>
      <c r="H621" s="45" t="s">
        <v>35</v>
      </c>
      <c r="I621" s="45" t="s">
        <v>35</v>
      </c>
      <c r="J621" s="46" t="s">
        <v>36</v>
      </c>
      <c r="K621" s="47" t="s">
        <v>37</v>
      </c>
      <c r="L621" s="48" t="s">
        <v>37</v>
      </c>
      <c r="M621" s="48" t="s">
        <v>35</v>
      </c>
      <c r="N621" s="48" t="s">
        <v>37</v>
      </c>
      <c r="O621" s="48" t="s">
        <v>35</v>
      </c>
      <c r="P621" s="48" t="s">
        <v>35</v>
      </c>
      <c r="Q621" s="48" t="s">
        <v>35</v>
      </c>
      <c r="R621" s="48" t="s">
        <v>35</v>
      </c>
      <c r="S621" s="49" t="s">
        <v>1057</v>
      </c>
      <c r="T621" s="50" t="s">
        <v>1640</v>
      </c>
      <c r="U621" s="51" t="s">
        <v>1640</v>
      </c>
      <c r="V621" s="52">
        <f t="shared" ref="V621:X621" si="626">IF(lenb(SUBSTITUTE($Z621,V$1&amp;" (1)",""))&lt;lenb($Z621),1,IF(lenb(SUBSTITUTE($Z621,V$1&amp;" (2)",""))&lt;lenb($Z621),2,IF(lenb(SUBSTITUTE($Z621,V$1&amp;" (3)",""))&lt;lenb($Z621),3,IF(lenb(SUBSTITUTE($Z621,V$1&amp;" (4)",""))&lt;lenb($Z621),4,IF(lenb(SUBSTITUTE($Z621,V$1&amp;" (5)",""))&lt;lenb($Z621),5,IF(lenb(SUBSTITUTE($Z621,V$1&amp;" (6)",""))&lt;lenb($Z621),6,IF(lenb(SUBSTITUTE($Z621,V$1&amp;" (7)",""))&lt;lenb($Z621),1,IF(lenb(SUBSTITUTE($Z621,V$1&amp;" (8)",""))&lt;lenb($Z621),8,IF(lenb(SUBSTITUTE($Z621,V$1&amp;" (9)",""))&lt;lenb($Z621),9,IF(lenb(SUBSTITUTE($Z621,V$1&amp;" (10)",""))&lt;lenb($Z621),10,IF(lenb(SUBSTITUTE($Z621,V$1,""))&lt;lenb($Z621),"ERROR",IF($Z621=$Y$1,"-",0))))))))))))</f>
        <v>1</v>
      </c>
      <c r="W621" s="52">
        <f t="shared" si="626"/>
        <v>0</v>
      </c>
      <c r="X621" s="52">
        <f t="shared" si="626"/>
        <v>0</v>
      </c>
      <c r="Y621" s="52" t="str">
        <f t="shared" si="3"/>
        <v>-</v>
      </c>
      <c r="Z621" s="52" t="s">
        <v>62</v>
      </c>
      <c r="AA621" s="53">
        <f t="shared" si="4"/>
        <v>1</v>
      </c>
      <c r="AB621" s="54">
        <f>COUNTIFS(Links!B:B,"ICSE",Links!C:C,A621,Links!AD:AD,1)</f>
        <v>0</v>
      </c>
      <c r="AC621" s="55" t="s">
        <v>35</v>
      </c>
      <c r="AD621" s="47" t="str">
        <f t="shared" si="5"/>
        <v>No</v>
      </c>
      <c r="AE621" s="56" t="s">
        <v>36</v>
      </c>
      <c r="AF621" s="57" t="s">
        <v>42</v>
      </c>
      <c r="AG621" s="57" t="s">
        <v>42</v>
      </c>
      <c r="AH621" s="57" t="s">
        <v>42</v>
      </c>
      <c r="AI621" s="49" t="str">
        <f t="shared" si="6"/>
        <v>----</v>
      </c>
      <c r="AJ621" s="58" t="str">
        <f t="shared" si="7"/>
        <v>Paper has link but no statement</v>
      </c>
      <c r="AK621" s="59">
        <v>45027.0</v>
      </c>
      <c r="AL621" s="43" t="s">
        <v>43</v>
      </c>
      <c r="AM621" s="60" t="str">
        <f t="shared" si="8"/>
        <v>[IP0749]</v>
      </c>
    </row>
    <row r="622" ht="67.5" customHeight="1">
      <c r="A622" s="61">
        <v>750.0</v>
      </c>
      <c r="B622" s="22" t="s">
        <v>1641</v>
      </c>
      <c r="C622" s="23">
        <v>2020.0</v>
      </c>
      <c r="D622" s="24" t="s">
        <v>37</v>
      </c>
      <c r="E622" s="25" t="s">
        <v>37</v>
      </c>
      <c r="F622" s="25" t="s">
        <v>35</v>
      </c>
      <c r="G622" s="25" t="s">
        <v>37</v>
      </c>
      <c r="H622" s="25" t="s">
        <v>35</v>
      </c>
      <c r="I622" s="25" t="s">
        <v>35</v>
      </c>
      <c r="J622" s="26" t="s">
        <v>36</v>
      </c>
      <c r="K622" s="27" t="s">
        <v>37</v>
      </c>
      <c r="L622" s="28" t="s">
        <v>37</v>
      </c>
      <c r="M622" s="28" t="s">
        <v>35</v>
      </c>
      <c r="N622" s="28" t="s">
        <v>37</v>
      </c>
      <c r="O622" s="28" t="s">
        <v>35</v>
      </c>
      <c r="P622" s="28" t="s">
        <v>35</v>
      </c>
      <c r="Q622" s="28" t="s">
        <v>35</v>
      </c>
      <c r="R622" s="28" t="s">
        <v>35</v>
      </c>
      <c r="S622" s="29" t="s">
        <v>1057</v>
      </c>
      <c r="T622" s="30" t="s">
        <v>1642</v>
      </c>
      <c r="U622" s="31" t="s">
        <v>1642</v>
      </c>
      <c r="V622" s="32">
        <f t="shared" ref="V622:X622" si="627">IF(lenb(SUBSTITUTE($Z622,V$1&amp;" (1)",""))&lt;lenb($Z622),1,IF(lenb(SUBSTITUTE($Z622,V$1&amp;" (2)",""))&lt;lenb($Z622),2,IF(lenb(SUBSTITUTE($Z622,V$1&amp;" (3)",""))&lt;lenb($Z622),3,IF(lenb(SUBSTITUTE($Z622,V$1&amp;" (4)",""))&lt;lenb($Z622),4,IF(lenb(SUBSTITUTE($Z622,V$1&amp;" (5)",""))&lt;lenb($Z622),5,IF(lenb(SUBSTITUTE($Z622,V$1&amp;" (6)",""))&lt;lenb($Z622),6,IF(lenb(SUBSTITUTE($Z622,V$1&amp;" (7)",""))&lt;lenb($Z622),1,IF(lenb(SUBSTITUTE($Z622,V$1&amp;" (8)",""))&lt;lenb($Z622),8,IF(lenb(SUBSTITUTE($Z622,V$1&amp;" (9)",""))&lt;lenb($Z622),9,IF(lenb(SUBSTITUTE($Z622,V$1&amp;" (10)",""))&lt;lenb($Z622),10,IF(lenb(SUBSTITUTE($Z622,V$1,""))&lt;lenb($Z622),"ERROR",IF($Z622=$Y$1,"-",0))))))))))))</f>
        <v>1</v>
      </c>
      <c r="W622" s="32">
        <f t="shared" si="627"/>
        <v>0</v>
      </c>
      <c r="X622" s="32">
        <f t="shared" si="627"/>
        <v>0</v>
      </c>
      <c r="Y622" s="32" t="str">
        <f t="shared" si="3"/>
        <v>-</v>
      </c>
      <c r="Z622" s="32" t="s">
        <v>62</v>
      </c>
      <c r="AA622" s="33">
        <f t="shared" si="4"/>
        <v>1</v>
      </c>
      <c r="AB622" s="34">
        <f>COUNTIFS(Links!B:B,"ICSE",Links!C:C,A622,Links!AD:AD,1)</f>
        <v>1</v>
      </c>
      <c r="AC622" s="35" t="s">
        <v>35</v>
      </c>
      <c r="AD622" s="27" t="str">
        <f t="shared" si="5"/>
        <v>No</v>
      </c>
      <c r="AE622" s="36" t="s">
        <v>36</v>
      </c>
      <c r="AF622" s="37" t="s">
        <v>42</v>
      </c>
      <c r="AG622" s="37" t="s">
        <v>42</v>
      </c>
      <c r="AH622" s="37" t="s">
        <v>42</v>
      </c>
      <c r="AI622" s="29" t="str">
        <f t="shared" si="6"/>
        <v>----</v>
      </c>
      <c r="AJ622" s="38" t="str">
        <f t="shared" si="7"/>
        <v>Paper has link but no statement</v>
      </c>
      <c r="AK622" s="39">
        <v>45027.0</v>
      </c>
      <c r="AL622" s="23" t="s">
        <v>43</v>
      </c>
      <c r="AM622" s="40" t="str">
        <f t="shared" si="8"/>
        <v>[IP0750]</v>
      </c>
    </row>
    <row r="623" ht="67.5" customHeight="1">
      <c r="A623" s="41">
        <v>751.0</v>
      </c>
      <c r="B623" s="42" t="s">
        <v>1643</v>
      </c>
      <c r="C623" s="43">
        <v>2020.0</v>
      </c>
      <c r="D623" s="44" t="s">
        <v>35</v>
      </c>
      <c r="E623" s="45" t="s">
        <v>36</v>
      </c>
      <c r="F623" s="45" t="s">
        <v>36</v>
      </c>
      <c r="G623" s="45" t="s">
        <v>36</v>
      </c>
      <c r="H623" s="45" t="s">
        <v>36</v>
      </c>
      <c r="I623" s="45" t="s">
        <v>36</v>
      </c>
      <c r="J623" s="46" t="s">
        <v>36</v>
      </c>
      <c r="K623" s="47" t="s">
        <v>37</v>
      </c>
      <c r="L623" s="48" t="s">
        <v>37</v>
      </c>
      <c r="M623" s="48" t="s">
        <v>35</v>
      </c>
      <c r="N623" s="48" t="s">
        <v>35</v>
      </c>
      <c r="O623" s="48" t="s">
        <v>35</v>
      </c>
      <c r="P623" s="48" t="s">
        <v>35</v>
      </c>
      <c r="Q623" s="48" t="s">
        <v>35</v>
      </c>
      <c r="R623" s="48" t="s">
        <v>37</v>
      </c>
      <c r="S623" s="49" t="s">
        <v>1644</v>
      </c>
      <c r="T623" s="50" t="s">
        <v>1645</v>
      </c>
      <c r="U623" s="50" t="s">
        <v>1646</v>
      </c>
      <c r="V623" s="52">
        <f t="shared" ref="V623:X623" si="628">IF(lenb(SUBSTITUTE($Z623,V$1&amp;" (1)",""))&lt;lenb($Z623),1,IF(lenb(SUBSTITUTE($Z623,V$1&amp;" (2)",""))&lt;lenb($Z623),2,IF(lenb(SUBSTITUTE($Z623,V$1&amp;" (3)",""))&lt;lenb($Z623),3,IF(lenb(SUBSTITUTE($Z623,V$1&amp;" (4)",""))&lt;lenb($Z623),4,IF(lenb(SUBSTITUTE($Z623,V$1&amp;" (5)",""))&lt;lenb($Z623),5,IF(lenb(SUBSTITUTE($Z623,V$1&amp;" (6)",""))&lt;lenb($Z623),6,IF(lenb(SUBSTITUTE($Z623,V$1&amp;" (7)",""))&lt;lenb($Z623),1,IF(lenb(SUBSTITUTE($Z623,V$1&amp;" (8)",""))&lt;lenb($Z623),8,IF(lenb(SUBSTITUTE($Z623,V$1&amp;" (9)",""))&lt;lenb($Z623),9,IF(lenb(SUBSTITUTE($Z623,V$1&amp;" (10)",""))&lt;lenb($Z623),10,IF(lenb(SUBSTITUTE($Z623,V$1,""))&lt;lenb($Z623),"ERROR",IF($Z623=$Y$1,"-",0))))))))))))</f>
        <v>0</v>
      </c>
      <c r="W623" s="52">
        <f t="shared" si="628"/>
        <v>1</v>
      </c>
      <c r="X623" s="52">
        <f t="shared" si="628"/>
        <v>0</v>
      </c>
      <c r="Y623" s="52" t="str">
        <f t="shared" si="3"/>
        <v>-</v>
      </c>
      <c r="Z623" s="52" t="s">
        <v>47</v>
      </c>
      <c r="AA623" s="53">
        <f t="shared" si="4"/>
        <v>1</v>
      </c>
      <c r="AB623" s="54">
        <f>COUNTIFS(Links!B:B,"ICSE",Links!C:C,A623,Links!AD:AD,1)</f>
        <v>0</v>
      </c>
      <c r="AC623" s="55" t="s">
        <v>35</v>
      </c>
      <c r="AD623" s="47" t="str">
        <f t="shared" si="5"/>
        <v>No</v>
      </c>
      <c r="AE623" s="56" t="s">
        <v>36</v>
      </c>
      <c r="AF623" s="57" t="s">
        <v>42</v>
      </c>
      <c r="AG623" s="57" t="s">
        <v>42</v>
      </c>
      <c r="AH623" s="57" t="s">
        <v>42</v>
      </c>
      <c r="AI623" s="49" t="str">
        <f t="shared" si="6"/>
        <v>----</v>
      </c>
      <c r="AJ623" s="58" t="str">
        <f t="shared" si="7"/>
        <v>Paper has link but no statement</v>
      </c>
      <c r="AK623" s="59">
        <v>45027.0</v>
      </c>
      <c r="AL623" s="43" t="s">
        <v>43</v>
      </c>
      <c r="AM623" s="60" t="str">
        <f t="shared" si="8"/>
        <v>[IP0751]</v>
      </c>
    </row>
    <row r="624" ht="67.5" customHeight="1">
      <c r="A624" s="61">
        <v>752.0</v>
      </c>
      <c r="B624" s="22" t="s">
        <v>1647</v>
      </c>
      <c r="C624" s="23">
        <v>2020.0</v>
      </c>
      <c r="D624" s="24" t="s">
        <v>35</v>
      </c>
      <c r="E624" s="25" t="s">
        <v>36</v>
      </c>
      <c r="F624" s="25" t="s">
        <v>36</v>
      </c>
      <c r="G624" s="25" t="s">
        <v>36</v>
      </c>
      <c r="H624" s="25" t="s">
        <v>36</v>
      </c>
      <c r="I624" s="25" t="s">
        <v>36</v>
      </c>
      <c r="J624" s="26" t="s">
        <v>36</v>
      </c>
      <c r="K624" s="27" t="s">
        <v>37</v>
      </c>
      <c r="L624" s="28" t="s">
        <v>35</v>
      </c>
      <c r="M624" s="28" t="s">
        <v>35</v>
      </c>
      <c r="N624" s="28" t="s">
        <v>37</v>
      </c>
      <c r="O624" s="28" t="s">
        <v>35</v>
      </c>
      <c r="P624" s="28" t="s">
        <v>35</v>
      </c>
      <c r="Q624" s="28" t="s">
        <v>35</v>
      </c>
      <c r="R624" s="28" t="s">
        <v>37</v>
      </c>
      <c r="S624" s="29" t="s">
        <v>1648</v>
      </c>
      <c r="T624" s="30" t="s">
        <v>1649</v>
      </c>
      <c r="U624" s="31" t="s">
        <v>1649</v>
      </c>
      <c r="V624" s="32">
        <f t="shared" ref="V624:X624" si="629">IF(lenb(SUBSTITUTE($Z624,V$1&amp;" (1)",""))&lt;lenb($Z624),1,IF(lenb(SUBSTITUTE($Z624,V$1&amp;" (2)",""))&lt;lenb($Z624),2,IF(lenb(SUBSTITUTE($Z624,V$1&amp;" (3)",""))&lt;lenb($Z624),3,IF(lenb(SUBSTITUTE($Z624,V$1&amp;" (4)",""))&lt;lenb($Z624),4,IF(lenb(SUBSTITUTE($Z624,V$1&amp;" (5)",""))&lt;lenb($Z624),5,IF(lenb(SUBSTITUTE($Z624,V$1&amp;" (6)",""))&lt;lenb($Z624),6,IF(lenb(SUBSTITUTE($Z624,V$1&amp;" (7)",""))&lt;lenb($Z624),1,IF(lenb(SUBSTITUTE($Z624,V$1&amp;" (8)",""))&lt;lenb($Z624),8,IF(lenb(SUBSTITUTE($Z624,V$1&amp;" (9)",""))&lt;lenb($Z624),9,IF(lenb(SUBSTITUTE($Z624,V$1&amp;" (10)",""))&lt;lenb($Z624),10,IF(lenb(SUBSTITUTE($Z624,V$1,""))&lt;lenb($Z624),"ERROR",IF($Z624=$Y$1,"-",0))))))))))))</f>
        <v>1</v>
      </c>
      <c r="W624" s="32">
        <f t="shared" si="629"/>
        <v>0</v>
      </c>
      <c r="X624" s="32">
        <f t="shared" si="629"/>
        <v>0</v>
      </c>
      <c r="Y624" s="32" t="str">
        <f t="shared" si="3"/>
        <v>-</v>
      </c>
      <c r="Z624" s="32" t="s">
        <v>62</v>
      </c>
      <c r="AA624" s="33">
        <f t="shared" si="4"/>
        <v>1</v>
      </c>
      <c r="AB624" s="34">
        <f>COUNTIFS(Links!B:B,"ICSE",Links!C:C,A624,Links!AD:AD,1)</f>
        <v>0</v>
      </c>
      <c r="AC624" s="35" t="s">
        <v>35</v>
      </c>
      <c r="AD624" s="27" t="str">
        <f t="shared" si="5"/>
        <v>No</v>
      </c>
      <c r="AE624" s="36" t="s">
        <v>36</v>
      </c>
      <c r="AF624" s="37" t="s">
        <v>42</v>
      </c>
      <c r="AG624" s="37" t="s">
        <v>42</v>
      </c>
      <c r="AH624" s="37" t="s">
        <v>42</v>
      </c>
      <c r="AI624" s="29" t="str">
        <f t="shared" si="6"/>
        <v>----</v>
      </c>
      <c r="AJ624" s="38" t="str">
        <f t="shared" si="7"/>
        <v>Paper has link but no statement</v>
      </c>
      <c r="AK624" s="39">
        <v>45027.0</v>
      </c>
      <c r="AL624" s="23" t="s">
        <v>43</v>
      </c>
      <c r="AM624" s="40" t="str">
        <f t="shared" si="8"/>
        <v>[IP0752]</v>
      </c>
    </row>
    <row r="625" ht="67.5" customHeight="1">
      <c r="A625" s="41">
        <v>753.0</v>
      </c>
      <c r="B625" s="42" t="s">
        <v>1650</v>
      </c>
      <c r="C625" s="43">
        <v>2020.0</v>
      </c>
      <c r="D625" s="44" t="s">
        <v>37</v>
      </c>
      <c r="E625" s="45" t="s">
        <v>35</v>
      </c>
      <c r="F625" s="45" t="s">
        <v>35</v>
      </c>
      <c r="G625" s="45" t="s">
        <v>37</v>
      </c>
      <c r="H625" s="45" t="s">
        <v>35</v>
      </c>
      <c r="I625" s="45" t="s">
        <v>35</v>
      </c>
      <c r="J625" s="46" t="s">
        <v>36</v>
      </c>
      <c r="K625" s="47" t="s">
        <v>37</v>
      </c>
      <c r="L625" s="48" t="s">
        <v>35</v>
      </c>
      <c r="M625" s="48" t="s">
        <v>37</v>
      </c>
      <c r="N625" s="48" t="s">
        <v>35</v>
      </c>
      <c r="O625" s="48" t="s">
        <v>35</v>
      </c>
      <c r="P625" s="48" t="s">
        <v>35</v>
      </c>
      <c r="Q625" s="48" t="s">
        <v>35</v>
      </c>
      <c r="R625" s="48" t="s">
        <v>37</v>
      </c>
      <c r="S625" s="49" t="s">
        <v>1651</v>
      </c>
      <c r="T625" s="50" t="s">
        <v>1652</v>
      </c>
      <c r="U625" s="51" t="s">
        <v>1653</v>
      </c>
      <c r="V625" s="52">
        <f t="shared" ref="V625:X625" si="630">IF(lenb(SUBSTITUTE($Z625,V$1&amp;" (1)",""))&lt;lenb($Z625),1,IF(lenb(SUBSTITUTE($Z625,V$1&amp;" (2)",""))&lt;lenb($Z625),2,IF(lenb(SUBSTITUTE($Z625,V$1&amp;" (3)",""))&lt;lenb($Z625),3,IF(lenb(SUBSTITUTE($Z625,V$1&amp;" (4)",""))&lt;lenb($Z625),4,IF(lenb(SUBSTITUTE($Z625,V$1&amp;" (5)",""))&lt;lenb($Z625),5,IF(lenb(SUBSTITUTE($Z625,V$1&amp;" (6)",""))&lt;lenb($Z625),6,IF(lenb(SUBSTITUTE($Z625,V$1&amp;" (7)",""))&lt;lenb($Z625),1,IF(lenb(SUBSTITUTE($Z625,V$1&amp;" (8)",""))&lt;lenb($Z625),8,IF(lenb(SUBSTITUTE($Z625,V$1&amp;" (9)",""))&lt;lenb($Z625),9,IF(lenb(SUBSTITUTE($Z625,V$1&amp;" (10)",""))&lt;lenb($Z625),10,IF(lenb(SUBSTITUTE($Z625,V$1,""))&lt;lenb($Z625),"ERROR",IF($Z625=$Y$1,"-",0))))))))))))</f>
        <v>1</v>
      </c>
      <c r="W625" s="52">
        <f t="shared" si="630"/>
        <v>0</v>
      </c>
      <c r="X625" s="52">
        <f t="shared" si="630"/>
        <v>0</v>
      </c>
      <c r="Y625" s="52" t="str">
        <f t="shared" si="3"/>
        <v>-</v>
      </c>
      <c r="Z625" s="52" t="s">
        <v>62</v>
      </c>
      <c r="AA625" s="53">
        <f t="shared" si="4"/>
        <v>1</v>
      </c>
      <c r="AB625" s="54">
        <f>COUNTIFS(Links!B:B,"ICSE",Links!C:C,A625,Links!AD:AD,1)</f>
        <v>0</v>
      </c>
      <c r="AC625" s="55" t="s">
        <v>37</v>
      </c>
      <c r="AD625" s="47" t="str">
        <f t="shared" si="5"/>
        <v>No</v>
      </c>
      <c r="AE625" s="56" t="s">
        <v>36</v>
      </c>
      <c r="AF625" s="57" t="s">
        <v>42</v>
      </c>
      <c r="AG625" s="57" t="s">
        <v>42</v>
      </c>
      <c r="AH625" s="57" t="s">
        <v>42</v>
      </c>
      <c r="AI625" s="49" t="str">
        <f t="shared" si="6"/>
        <v>----</v>
      </c>
      <c r="AJ625" s="58" t="str">
        <f t="shared" si="7"/>
        <v>Paper has link but no statement</v>
      </c>
      <c r="AK625" s="59">
        <v>45027.0</v>
      </c>
      <c r="AL625" s="43" t="s">
        <v>43</v>
      </c>
      <c r="AM625" s="60" t="str">
        <f t="shared" si="8"/>
        <v>[IP0753]</v>
      </c>
    </row>
    <row r="626" ht="67.5" customHeight="1">
      <c r="A626" s="61">
        <v>754.0</v>
      </c>
      <c r="B626" s="22" t="s">
        <v>1654</v>
      </c>
      <c r="C626" s="23">
        <v>2020.0</v>
      </c>
      <c r="D626" s="24" t="s">
        <v>35</v>
      </c>
      <c r="E626" s="25" t="s">
        <v>36</v>
      </c>
      <c r="F626" s="25" t="s">
        <v>36</v>
      </c>
      <c r="G626" s="25" t="s">
        <v>36</v>
      </c>
      <c r="H626" s="25" t="s">
        <v>36</v>
      </c>
      <c r="I626" s="25" t="s">
        <v>36</v>
      </c>
      <c r="J626" s="26" t="s">
        <v>36</v>
      </c>
      <c r="K626" s="27" t="s">
        <v>35</v>
      </c>
      <c r="L626" s="28" t="s">
        <v>36</v>
      </c>
      <c r="M626" s="28" t="s">
        <v>36</v>
      </c>
      <c r="N626" s="28" t="s">
        <v>36</v>
      </c>
      <c r="O626" s="28" t="s">
        <v>36</v>
      </c>
      <c r="P626" s="28" t="s">
        <v>36</v>
      </c>
      <c r="Q626" s="28" t="s">
        <v>36</v>
      </c>
      <c r="R626" s="28" t="s">
        <v>36</v>
      </c>
      <c r="S626" s="29" t="s">
        <v>36</v>
      </c>
      <c r="T626" s="30" t="s">
        <v>36</v>
      </c>
      <c r="U626" s="31" t="s">
        <v>36</v>
      </c>
      <c r="V626" s="32" t="str">
        <f t="shared" ref="V626:X626" si="631">IF(lenb(SUBSTITUTE($Z626,V$1&amp;" (1)",""))&lt;lenb($Z626),1,IF(lenb(SUBSTITUTE($Z626,V$1&amp;" (2)",""))&lt;lenb($Z626),2,IF(lenb(SUBSTITUTE($Z626,V$1&amp;" (3)",""))&lt;lenb($Z626),3,IF(lenb(SUBSTITUTE($Z626,V$1&amp;" (4)",""))&lt;lenb($Z626),4,IF(lenb(SUBSTITUTE($Z626,V$1&amp;" (5)",""))&lt;lenb($Z626),5,IF(lenb(SUBSTITUTE($Z626,V$1&amp;" (6)",""))&lt;lenb($Z626),6,IF(lenb(SUBSTITUTE($Z626,V$1&amp;" (7)",""))&lt;lenb($Z626),1,IF(lenb(SUBSTITUTE($Z626,V$1&amp;" (8)",""))&lt;lenb($Z626),8,IF(lenb(SUBSTITUTE($Z626,V$1&amp;" (9)",""))&lt;lenb($Z626),9,IF(lenb(SUBSTITUTE($Z626,V$1&amp;" (10)",""))&lt;lenb($Z626),10,IF(lenb(SUBSTITUTE($Z626,V$1,""))&lt;lenb($Z626),"ERROR",IF($Z626=$Y$1,"-",0))))))))))))</f>
        <v>-</v>
      </c>
      <c r="W626" s="32" t="str">
        <f t="shared" si="631"/>
        <v>-</v>
      </c>
      <c r="X626" s="32" t="str">
        <f t="shared" si="631"/>
        <v>-</v>
      </c>
      <c r="Y626" s="32">
        <f t="shared" si="3"/>
        <v>1</v>
      </c>
      <c r="Z626" s="32" t="s">
        <v>23</v>
      </c>
      <c r="AA626" s="33">
        <f t="shared" si="4"/>
        <v>0</v>
      </c>
      <c r="AB626" s="34">
        <f>COUNTIFS(Links!B:B,"ICSE",Links!C:C,A626,Links!AD:AD,1)</f>
        <v>0</v>
      </c>
      <c r="AC626" s="35" t="s">
        <v>36</v>
      </c>
      <c r="AD626" s="27" t="str">
        <f t="shared" si="5"/>
        <v>No</v>
      </c>
      <c r="AE626" s="36" t="s">
        <v>36</v>
      </c>
      <c r="AF626" s="37" t="s">
        <v>42</v>
      </c>
      <c r="AG626" s="37" t="s">
        <v>42</v>
      </c>
      <c r="AH626" s="37" t="s">
        <v>42</v>
      </c>
      <c r="AI626" s="29" t="str">
        <f t="shared" si="6"/>
        <v>----</v>
      </c>
      <c r="AJ626" s="38" t="str">
        <f t="shared" si="7"/>
        <v>Paper has no link and no statement</v>
      </c>
      <c r="AK626" s="39">
        <v>45027.0</v>
      </c>
      <c r="AL626" s="23" t="s">
        <v>43</v>
      </c>
      <c r="AM626" s="40" t="str">
        <f t="shared" si="8"/>
        <v>[IP0754]</v>
      </c>
    </row>
    <row r="627" ht="67.5" customHeight="1">
      <c r="A627" s="41">
        <v>755.0</v>
      </c>
      <c r="B627" s="42" t="s">
        <v>1655</v>
      </c>
      <c r="C627" s="43">
        <v>2020.0</v>
      </c>
      <c r="D627" s="44" t="s">
        <v>35</v>
      </c>
      <c r="E627" s="45" t="s">
        <v>36</v>
      </c>
      <c r="F627" s="45" t="s">
        <v>36</v>
      </c>
      <c r="G627" s="45" t="s">
        <v>36</v>
      </c>
      <c r="H627" s="45" t="s">
        <v>36</v>
      </c>
      <c r="I627" s="45" t="s">
        <v>36</v>
      </c>
      <c r="J627" s="46" t="s">
        <v>36</v>
      </c>
      <c r="K627" s="47" t="s">
        <v>37</v>
      </c>
      <c r="L627" s="48" t="s">
        <v>35</v>
      </c>
      <c r="M627" s="48" t="s">
        <v>37</v>
      </c>
      <c r="N627" s="48" t="s">
        <v>35</v>
      </c>
      <c r="O627" s="48" t="s">
        <v>35</v>
      </c>
      <c r="P627" s="48" t="s">
        <v>35</v>
      </c>
      <c r="Q627" s="48" t="s">
        <v>35</v>
      </c>
      <c r="R627" s="48" t="s">
        <v>37</v>
      </c>
      <c r="S627" s="49" t="s">
        <v>1656</v>
      </c>
      <c r="T627" s="50" t="s">
        <v>1657</v>
      </c>
      <c r="U627" s="51" t="s">
        <v>1657</v>
      </c>
      <c r="V627" s="52">
        <f t="shared" ref="V627:X627" si="632">IF(lenb(SUBSTITUTE($Z627,V$1&amp;" (1)",""))&lt;lenb($Z627),1,IF(lenb(SUBSTITUTE($Z627,V$1&amp;" (2)",""))&lt;lenb($Z627),2,IF(lenb(SUBSTITUTE($Z627,V$1&amp;" (3)",""))&lt;lenb($Z627),3,IF(lenb(SUBSTITUTE($Z627,V$1&amp;" (4)",""))&lt;lenb($Z627),4,IF(lenb(SUBSTITUTE($Z627,V$1&amp;" (5)",""))&lt;lenb($Z627),5,IF(lenb(SUBSTITUTE($Z627,V$1&amp;" (6)",""))&lt;lenb($Z627),6,IF(lenb(SUBSTITUTE($Z627,V$1&amp;" (7)",""))&lt;lenb($Z627),1,IF(lenb(SUBSTITUTE($Z627,V$1&amp;" (8)",""))&lt;lenb($Z627),8,IF(lenb(SUBSTITUTE($Z627,V$1&amp;" (9)",""))&lt;lenb($Z627),9,IF(lenb(SUBSTITUTE($Z627,V$1&amp;" (10)",""))&lt;lenb($Z627),10,IF(lenb(SUBSTITUTE($Z627,V$1,""))&lt;lenb($Z627),"ERROR",IF($Z627=$Y$1,"-",0))))))))))))</f>
        <v>1</v>
      </c>
      <c r="W627" s="52">
        <f t="shared" si="632"/>
        <v>0</v>
      </c>
      <c r="X627" s="52">
        <f t="shared" si="632"/>
        <v>0</v>
      </c>
      <c r="Y627" s="52" t="str">
        <f t="shared" si="3"/>
        <v>-</v>
      </c>
      <c r="Z627" s="52" t="s">
        <v>62</v>
      </c>
      <c r="AA627" s="53">
        <f t="shared" si="4"/>
        <v>1</v>
      </c>
      <c r="AB627" s="54">
        <f>COUNTIFS(Links!B:B,"ICSE",Links!C:C,A627,Links!AD:AD,1)</f>
        <v>0</v>
      </c>
      <c r="AC627" s="55" t="s">
        <v>35</v>
      </c>
      <c r="AD627" s="47" t="str">
        <f t="shared" si="5"/>
        <v>No</v>
      </c>
      <c r="AE627" s="56" t="s">
        <v>36</v>
      </c>
      <c r="AF627" s="57" t="s">
        <v>42</v>
      </c>
      <c r="AG627" s="57" t="s">
        <v>42</v>
      </c>
      <c r="AH627" s="57" t="s">
        <v>42</v>
      </c>
      <c r="AI627" s="49" t="str">
        <f t="shared" si="6"/>
        <v>----</v>
      </c>
      <c r="AJ627" s="58" t="str">
        <f t="shared" si="7"/>
        <v>Paper has link but no statement</v>
      </c>
      <c r="AK627" s="59">
        <v>45027.0</v>
      </c>
      <c r="AL627" s="43" t="s">
        <v>43</v>
      </c>
      <c r="AM627" s="60" t="str">
        <f t="shared" si="8"/>
        <v>[IP0755]</v>
      </c>
    </row>
    <row r="628" ht="67.5" customHeight="1">
      <c r="A628" s="61">
        <v>756.0</v>
      </c>
      <c r="B628" s="22" t="s">
        <v>1658</v>
      </c>
      <c r="C628" s="23">
        <v>2020.0</v>
      </c>
      <c r="D628" s="24" t="s">
        <v>37</v>
      </c>
      <c r="E628" s="25" t="s">
        <v>37</v>
      </c>
      <c r="F628" s="25" t="s">
        <v>35</v>
      </c>
      <c r="G628" s="25" t="s">
        <v>35</v>
      </c>
      <c r="H628" s="25" t="s">
        <v>35</v>
      </c>
      <c r="I628" s="25" t="s">
        <v>35</v>
      </c>
      <c r="J628" s="26" t="s">
        <v>36</v>
      </c>
      <c r="K628" s="27" t="s">
        <v>37</v>
      </c>
      <c r="L628" s="28" t="s">
        <v>37</v>
      </c>
      <c r="M628" s="28" t="s">
        <v>37</v>
      </c>
      <c r="N628" s="28" t="s">
        <v>35</v>
      </c>
      <c r="O628" s="28" t="s">
        <v>35</v>
      </c>
      <c r="P628" s="28" t="s">
        <v>37</v>
      </c>
      <c r="Q628" s="28" t="s">
        <v>35</v>
      </c>
      <c r="R628" s="28" t="s">
        <v>37</v>
      </c>
      <c r="S628" s="29" t="s">
        <v>1659</v>
      </c>
      <c r="T628" s="31" t="s">
        <v>1660</v>
      </c>
      <c r="U628" s="31" t="s">
        <v>1661</v>
      </c>
      <c r="V628" s="32">
        <f t="shared" ref="V628:X628" si="633">IF(lenb(SUBSTITUTE($Z628,V$1&amp;" (1)",""))&lt;lenb($Z628),1,IF(lenb(SUBSTITUTE($Z628,V$1&amp;" (2)",""))&lt;lenb($Z628),2,IF(lenb(SUBSTITUTE($Z628,V$1&amp;" (3)",""))&lt;lenb($Z628),3,IF(lenb(SUBSTITUTE($Z628,V$1&amp;" (4)",""))&lt;lenb($Z628),4,IF(lenb(SUBSTITUTE($Z628,V$1&amp;" (5)",""))&lt;lenb($Z628),5,IF(lenb(SUBSTITUTE($Z628,V$1&amp;" (6)",""))&lt;lenb($Z628),6,IF(lenb(SUBSTITUTE($Z628,V$1&amp;" (7)",""))&lt;lenb($Z628),1,IF(lenb(SUBSTITUTE($Z628,V$1&amp;" (8)",""))&lt;lenb($Z628),8,IF(lenb(SUBSTITUTE($Z628,V$1&amp;" (9)",""))&lt;lenb($Z628),9,IF(lenb(SUBSTITUTE($Z628,V$1&amp;" (10)",""))&lt;lenb($Z628),10,IF(lenb(SUBSTITUTE($Z628,V$1,""))&lt;lenb($Z628),"ERROR",IF($Z628=$Y$1,"-",0))))))))))))</f>
        <v>1</v>
      </c>
      <c r="W628" s="32">
        <f t="shared" si="633"/>
        <v>1</v>
      </c>
      <c r="X628" s="32">
        <f t="shared" si="633"/>
        <v>0</v>
      </c>
      <c r="Y628" s="32" t="str">
        <f t="shared" si="3"/>
        <v>-</v>
      </c>
      <c r="Z628" s="32" t="s">
        <v>41</v>
      </c>
      <c r="AA628" s="33">
        <f t="shared" si="4"/>
        <v>2</v>
      </c>
      <c r="AB628" s="34">
        <f>COUNTIFS(Links!B:B,"ICSE",Links!C:C,A628,Links!AD:AD,1)</f>
        <v>0</v>
      </c>
      <c r="AC628" s="35" t="s">
        <v>37</v>
      </c>
      <c r="AD628" s="27" t="str">
        <f t="shared" si="5"/>
        <v>No</v>
      </c>
      <c r="AE628" s="36" t="s">
        <v>36</v>
      </c>
      <c r="AF628" s="37" t="s">
        <v>42</v>
      </c>
      <c r="AG628" s="37" t="s">
        <v>42</v>
      </c>
      <c r="AH628" s="37" t="s">
        <v>42</v>
      </c>
      <c r="AI628" s="29" t="str">
        <f t="shared" si="6"/>
        <v>----</v>
      </c>
      <c r="AJ628" s="38" t="str">
        <f t="shared" si="7"/>
        <v>Paper has link but no statement</v>
      </c>
      <c r="AK628" s="39">
        <v>45027.0</v>
      </c>
      <c r="AL628" s="23" t="s">
        <v>43</v>
      </c>
      <c r="AM628" s="40" t="str">
        <f t="shared" si="8"/>
        <v>[IP0756]</v>
      </c>
    </row>
    <row r="629" ht="67.5" customHeight="1">
      <c r="A629" s="41">
        <v>757.0</v>
      </c>
      <c r="B629" s="42" t="s">
        <v>1662</v>
      </c>
      <c r="C629" s="43">
        <v>2020.0</v>
      </c>
      <c r="D629" s="44" t="s">
        <v>37</v>
      </c>
      <c r="E629" s="45" t="s">
        <v>37</v>
      </c>
      <c r="F629" s="45" t="s">
        <v>35</v>
      </c>
      <c r="G629" s="45" t="s">
        <v>37</v>
      </c>
      <c r="H629" s="45" t="s">
        <v>35</v>
      </c>
      <c r="I629" s="45" t="s">
        <v>35</v>
      </c>
      <c r="J629" s="46" t="s">
        <v>36</v>
      </c>
      <c r="K629" s="47" t="s">
        <v>37</v>
      </c>
      <c r="L629" s="48" t="s">
        <v>35</v>
      </c>
      <c r="M629" s="48" t="s">
        <v>37</v>
      </c>
      <c r="N629" s="48" t="s">
        <v>35</v>
      </c>
      <c r="O629" s="48" t="s">
        <v>35</v>
      </c>
      <c r="P629" s="48" t="s">
        <v>35</v>
      </c>
      <c r="Q629" s="48" t="s">
        <v>35</v>
      </c>
      <c r="R629" s="48" t="s">
        <v>37</v>
      </c>
      <c r="S629" s="49" t="s">
        <v>1663</v>
      </c>
      <c r="T629" s="50" t="s">
        <v>1664</v>
      </c>
      <c r="U629" s="51" t="s">
        <v>1664</v>
      </c>
      <c r="V629" s="52">
        <f t="shared" ref="V629:X629" si="634">IF(lenb(SUBSTITUTE($Z629,V$1&amp;" (1)",""))&lt;lenb($Z629),1,IF(lenb(SUBSTITUTE($Z629,V$1&amp;" (2)",""))&lt;lenb($Z629),2,IF(lenb(SUBSTITUTE($Z629,V$1&amp;" (3)",""))&lt;lenb($Z629),3,IF(lenb(SUBSTITUTE($Z629,V$1&amp;" (4)",""))&lt;lenb($Z629),4,IF(lenb(SUBSTITUTE($Z629,V$1&amp;" (5)",""))&lt;lenb($Z629),5,IF(lenb(SUBSTITUTE($Z629,V$1&amp;" (6)",""))&lt;lenb($Z629),6,IF(lenb(SUBSTITUTE($Z629,V$1&amp;" (7)",""))&lt;lenb($Z629),1,IF(lenb(SUBSTITUTE($Z629,V$1&amp;" (8)",""))&lt;lenb($Z629),8,IF(lenb(SUBSTITUTE($Z629,V$1&amp;" (9)",""))&lt;lenb($Z629),9,IF(lenb(SUBSTITUTE($Z629,V$1&amp;" (10)",""))&lt;lenb($Z629),10,IF(lenb(SUBSTITUTE($Z629,V$1,""))&lt;lenb($Z629),"ERROR",IF($Z629=$Y$1,"-",0))))))))))))</f>
        <v>1</v>
      </c>
      <c r="W629" s="52">
        <f t="shared" si="634"/>
        <v>0</v>
      </c>
      <c r="X629" s="52">
        <f t="shared" si="634"/>
        <v>0</v>
      </c>
      <c r="Y629" s="52" t="str">
        <f t="shared" si="3"/>
        <v>-</v>
      </c>
      <c r="Z629" s="52" t="s">
        <v>62</v>
      </c>
      <c r="AA629" s="53">
        <f t="shared" si="4"/>
        <v>1</v>
      </c>
      <c r="AB629" s="54">
        <f>COUNTIFS(Links!B:B,"ICSE",Links!C:C,A629,Links!AD:AD,1)</f>
        <v>0</v>
      </c>
      <c r="AC629" s="55" t="s">
        <v>35</v>
      </c>
      <c r="AD629" s="47" t="str">
        <f t="shared" si="5"/>
        <v>No</v>
      </c>
      <c r="AE629" s="56" t="s">
        <v>36</v>
      </c>
      <c r="AF629" s="57" t="s">
        <v>42</v>
      </c>
      <c r="AG629" s="57" t="s">
        <v>42</v>
      </c>
      <c r="AH629" s="57" t="s">
        <v>42</v>
      </c>
      <c r="AI629" s="49" t="str">
        <f t="shared" si="6"/>
        <v>----</v>
      </c>
      <c r="AJ629" s="58" t="str">
        <f t="shared" si="7"/>
        <v>Paper has link but no statement</v>
      </c>
      <c r="AK629" s="59">
        <v>45027.0</v>
      </c>
      <c r="AL629" s="43" t="s">
        <v>43</v>
      </c>
      <c r="AM629" s="60" t="str">
        <f t="shared" si="8"/>
        <v>[IP0757]</v>
      </c>
    </row>
    <row r="630" ht="67.5" customHeight="1">
      <c r="A630" s="61">
        <v>758.0</v>
      </c>
      <c r="B630" s="22" t="s">
        <v>1665</v>
      </c>
      <c r="C630" s="23">
        <v>2020.0</v>
      </c>
      <c r="D630" s="24" t="s">
        <v>35</v>
      </c>
      <c r="E630" s="25" t="s">
        <v>36</v>
      </c>
      <c r="F630" s="25" t="s">
        <v>36</v>
      </c>
      <c r="G630" s="25" t="s">
        <v>36</v>
      </c>
      <c r="H630" s="25" t="s">
        <v>36</v>
      </c>
      <c r="I630" s="25" t="s">
        <v>36</v>
      </c>
      <c r="J630" s="26" t="s">
        <v>36</v>
      </c>
      <c r="K630" s="27" t="s">
        <v>37</v>
      </c>
      <c r="L630" s="28" t="s">
        <v>35</v>
      </c>
      <c r="M630" s="28" t="s">
        <v>35</v>
      </c>
      <c r="N630" s="28" t="s">
        <v>35</v>
      </c>
      <c r="O630" s="28" t="s">
        <v>35</v>
      </c>
      <c r="P630" s="28" t="s">
        <v>35</v>
      </c>
      <c r="Q630" s="28" t="s">
        <v>35</v>
      </c>
      <c r="R630" s="28" t="s">
        <v>37</v>
      </c>
      <c r="S630" s="29" t="s">
        <v>1666</v>
      </c>
      <c r="T630" s="30" t="s">
        <v>1667</v>
      </c>
      <c r="U630" s="31" t="s">
        <v>1667</v>
      </c>
      <c r="V630" s="32">
        <f t="shared" ref="V630:X630" si="635">IF(lenb(SUBSTITUTE($Z630,V$1&amp;" (1)",""))&lt;lenb($Z630),1,IF(lenb(SUBSTITUTE($Z630,V$1&amp;" (2)",""))&lt;lenb($Z630),2,IF(lenb(SUBSTITUTE($Z630,V$1&amp;" (3)",""))&lt;lenb($Z630),3,IF(lenb(SUBSTITUTE($Z630,V$1&amp;" (4)",""))&lt;lenb($Z630),4,IF(lenb(SUBSTITUTE($Z630,V$1&amp;" (5)",""))&lt;lenb($Z630),5,IF(lenb(SUBSTITUTE($Z630,V$1&amp;" (6)",""))&lt;lenb($Z630),6,IF(lenb(SUBSTITUTE($Z630,V$1&amp;" (7)",""))&lt;lenb($Z630),1,IF(lenb(SUBSTITUTE($Z630,V$1&amp;" (8)",""))&lt;lenb($Z630),8,IF(lenb(SUBSTITUTE($Z630,V$1&amp;" (9)",""))&lt;lenb($Z630),9,IF(lenb(SUBSTITUTE($Z630,V$1&amp;" (10)",""))&lt;lenb($Z630),10,IF(lenb(SUBSTITUTE($Z630,V$1,""))&lt;lenb($Z630),"ERROR",IF($Z630=$Y$1,"-",0))))))))))))</f>
        <v>0</v>
      </c>
      <c r="W630" s="32">
        <f t="shared" si="635"/>
        <v>1</v>
      </c>
      <c r="X630" s="32">
        <f t="shared" si="635"/>
        <v>0</v>
      </c>
      <c r="Y630" s="32" t="str">
        <f t="shared" si="3"/>
        <v>-</v>
      </c>
      <c r="Z630" s="32" t="s">
        <v>47</v>
      </c>
      <c r="AA630" s="33">
        <f t="shared" si="4"/>
        <v>1</v>
      </c>
      <c r="AB630" s="34">
        <f>COUNTIFS(Links!B:B,"ICSE",Links!C:C,A630,Links!AD:AD,1)</f>
        <v>0</v>
      </c>
      <c r="AC630" s="35" t="s">
        <v>35</v>
      </c>
      <c r="AD630" s="27" t="str">
        <f t="shared" si="5"/>
        <v>No</v>
      </c>
      <c r="AE630" s="36" t="s">
        <v>36</v>
      </c>
      <c r="AF630" s="37" t="s">
        <v>42</v>
      </c>
      <c r="AG630" s="37" t="s">
        <v>42</v>
      </c>
      <c r="AH630" s="37" t="s">
        <v>42</v>
      </c>
      <c r="AI630" s="29" t="str">
        <f t="shared" si="6"/>
        <v>----</v>
      </c>
      <c r="AJ630" s="38" t="str">
        <f t="shared" si="7"/>
        <v>Paper has link but no statement</v>
      </c>
      <c r="AK630" s="39">
        <v>45027.0</v>
      </c>
      <c r="AL630" s="23" t="s">
        <v>43</v>
      </c>
      <c r="AM630" s="40" t="str">
        <f t="shared" si="8"/>
        <v>[IP0758]</v>
      </c>
    </row>
    <row r="631" ht="67.5" customHeight="1">
      <c r="A631" s="41">
        <v>759.0</v>
      </c>
      <c r="B631" s="42" t="s">
        <v>1668</v>
      </c>
      <c r="C631" s="43">
        <v>2020.0</v>
      </c>
      <c r="D631" s="44" t="s">
        <v>35</v>
      </c>
      <c r="E631" s="45" t="s">
        <v>36</v>
      </c>
      <c r="F631" s="45" t="s">
        <v>36</v>
      </c>
      <c r="G631" s="45" t="s">
        <v>36</v>
      </c>
      <c r="H631" s="45" t="s">
        <v>36</v>
      </c>
      <c r="I631" s="45" t="s">
        <v>36</v>
      </c>
      <c r="J631" s="46" t="s">
        <v>36</v>
      </c>
      <c r="K631" s="47" t="s">
        <v>37</v>
      </c>
      <c r="L631" s="48" t="s">
        <v>35</v>
      </c>
      <c r="M631" s="48" t="s">
        <v>37</v>
      </c>
      <c r="N631" s="48" t="s">
        <v>35</v>
      </c>
      <c r="O631" s="48" t="s">
        <v>35</v>
      </c>
      <c r="P631" s="48" t="s">
        <v>35</v>
      </c>
      <c r="Q631" s="48" t="s">
        <v>35</v>
      </c>
      <c r="R631" s="48" t="s">
        <v>37</v>
      </c>
      <c r="S631" s="49" t="s">
        <v>1669</v>
      </c>
      <c r="T631" s="51" t="s">
        <v>1670</v>
      </c>
      <c r="U631" s="51" t="s">
        <v>1671</v>
      </c>
      <c r="V631" s="52">
        <f t="shared" ref="V631:X631" si="636">IF(lenb(SUBSTITUTE($Z631,V$1&amp;" (1)",""))&lt;lenb($Z631),1,IF(lenb(SUBSTITUTE($Z631,V$1&amp;" (2)",""))&lt;lenb($Z631),2,IF(lenb(SUBSTITUTE($Z631,V$1&amp;" (3)",""))&lt;lenb($Z631),3,IF(lenb(SUBSTITUTE($Z631,V$1&amp;" (4)",""))&lt;lenb($Z631),4,IF(lenb(SUBSTITUTE($Z631,V$1&amp;" (5)",""))&lt;lenb($Z631),5,IF(lenb(SUBSTITUTE($Z631,V$1&amp;" (6)",""))&lt;lenb($Z631),6,IF(lenb(SUBSTITUTE($Z631,V$1&amp;" (7)",""))&lt;lenb($Z631),1,IF(lenb(SUBSTITUTE($Z631,V$1&amp;" (8)",""))&lt;lenb($Z631),8,IF(lenb(SUBSTITUTE($Z631,V$1&amp;" (9)",""))&lt;lenb($Z631),9,IF(lenb(SUBSTITUTE($Z631,V$1&amp;" (10)",""))&lt;lenb($Z631),10,IF(lenb(SUBSTITUTE($Z631,V$1,""))&lt;lenb($Z631),"ERROR",IF($Z631=$Y$1,"-",0))))))))))))</f>
        <v>1</v>
      </c>
      <c r="W631" s="52">
        <f t="shared" si="636"/>
        <v>0</v>
      </c>
      <c r="X631" s="52">
        <f t="shared" si="636"/>
        <v>0</v>
      </c>
      <c r="Y631" s="52" t="str">
        <f t="shared" si="3"/>
        <v>-</v>
      </c>
      <c r="Z631" s="52" t="s">
        <v>62</v>
      </c>
      <c r="AA631" s="53">
        <f t="shared" si="4"/>
        <v>1</v>
      </c>
      <c r="AB631" s="54">
        <f>COUNTIFS(Links!B:B,"ICSE",Links!C:C,A631,Links!AD:AD,1)</f>
        <v>0</v>
      </c>
      <c r="AC631" s="55" t="s">
        <v>37</v>
      </c>
      <c r="AD631" s="47" t="str">
        <f t="shared" si="5"/>
        <v>No</v>
      </c>
      <c r="AE631" s="56" t="s">
        <v>36</v>
      </c>
      <c r="AF631" s="57" t="s">
        <v>42</v>
      </c>
      <c r="AG631" s="57" t="s">
        <v>42</v>
      </c>
      <c r="AH631" s="57" t="s">
        <v>42</v>
      </c>
      <c r="AI631" s="49" t="str">
        <f t="shared" si="6"/>
        <v>----</v>
      </c>
      <c r="AJ631" s="58" t="str">
        <f t="shared" si="7"/>
        <v>Paper has link but no statement</v>
      </c>
      <c r="AK631" s="59">
        <v>45027.0</v>
      </c>
      <c r="AL631" s="43" t="s">
        <v>43</v>
      </c>
      <c r="AM631" s="60" t="str">
        <f t="shared" si="8"/>
        <v>[IP0759]</v>
      </c>
    </row>
    <row r="632" ht="67.5" customHeight="1">
      <c r="A632" s="61">
        <v>760.0</v>
      </c>
      <c r="B632" s="22" t="s">
        <v>1672</v>
      </c>
      <c r="C632" s="23">
        <v>2020.0</v>
      </c>
      <c r="D632" s="24" t="s">
        <v>35</v>
      </c>
      <c r="E632" s="25" t="s">
        <v>36</v>
      </c>
      <c r="F632" s="25" t="s">
        <v>36</v>
      </c>
      <c r="G632" s="25" t="s">
        <v>36</v>
      </c>
      <c r="H632" s="25" t="s">
        <v>36</v>
      </c>
      <c r="I632" s="25" t="s">
        <v>36</v>
      </c>
      <c r="J632" s="26" t="s">
        <v>36</v>
      </c>
      <c r="K632" s="27" t="s">
        <v>35</v>
      </c>
      <c r="L632" s="28" t="s">
        <v>36</v>
      </c>
      <c r="M632" s="28" t="s">
        <v>36</v>
      </c>
      <c r="N632" s="28" t="s">
        <v>36</v>
      </c>
      <c r="O632" s="28" t="s">
        <v>36</v>
      </c>
      <c r="P632" s="28" t="s">
        <v>36</v>
      </c>
      <c r="Q632" s="28" t="s">
        <v>36</v>
      </c>
      <c r="R632" s="28" t="s">
        <v>36</v>
      </c>
      <c r="S632" s="29" t="s">
        <v>36</v>
      </c>
      <c r="T632" s="30" t="s">
        <v>36</v>
      </c>
      <c r="U632" s="31" t="s">
        <v>36</v>
      </c>
      <c r="V632" s="32" t="str">
        <f t="shared" ref="V632:X632" si="637">IF(lenb(SUBSTITUTE($Z632,V$1&amp;" (1)",""))&lt;lenb($Z632),1,IF(lenb(SUBSTITUTE($Z632,V$1&amp;" (2)",""))&lt;lenb($Z632),2,IF(lenb(SUBSTITUTE($Z632,V$1&amp;" (3)",""))&lt;lenb($Z632),3,IF(lenb(SUBSTITUTE($Z632,V$1&amp;" (4)",""))&lt;lenb($Z632),4,IF(lenb(SUBSTITUTE($Z632,V$1&amp;" (5)",""))&lt;lenb($Z632),5,IF(lenb(SUBSTITUTE($Z632,V$1&amp;" (6)",""))&lt;lenb($Z632),6,IF(lenb(SUBSTITUTE($Z632,V$1&amp;" (7)",""))&lt;lenb($Z632),1,IF(lenb(SUBSTITUTE($Z632,V$1&amp;" (8)",""))&lt;lenb($Z632),8,IF(lenb(SUBSTITUTE($Z632,V$1&amp;" (9)",""))&lt;lenb($Z632),9,IF(lenb(SUBSTITUTE($Z632,V$1&amp;" (10)",""))&lt;lenb($Z632),10,IF(lenb(SUBSTITUTE($Z632,V$1,""))&lt;lenb($Z632),"ERROR",IF($Z632=$Y$1,"-",0))))))))))))</f>
        <v>-</v>
      </c>
      <c r="W632" s="32" t="str">
        <f t="shared" si="637"/>
        <v>-</v>
      </c>
      <c r="X632" s="32" t="str">
        <f t="shared" si="637"/>
        <v>-</v>
      </c>
      <c r="Y632" s="32">
        <f t="shared" si="3"/>
        <v>1</v>
      </c>
      <c r="Z632" s="32" t="s">
        <v>23</v>
      </c>
      <c r="AA632" s="33">
        <f t="shared" si="4"/>
        <v>0</v>
      </c>
      <c r="AB632" s="34">
        <f>COUNTIFS(Links!B:B,"ICSE",Links!C:C,A632,Links!AD:AD,1)</f>
        <v>0</v>
      </c>
      <c r="AC632" s="35" t="s">
        <v>36</v>
      </c>
      <c r="AD632" s="27" t="str">
        <f t="shared" si="5"/>
        <v>No</v>
      </c>
      <c r="AE632" s="36" t="s">
        <v>36</v>
      </c>
      <c r="AF632" s="37" t="s">
        <v>42</v>
      </c>
      <c r="AG632" s="37" t="s">
        <v>42</v>
      </c>
      <c r="AH632" s="37" t="s">
        <v>42</v>
      </c>
      <c r="AI632" s="29" t="str">
        <f t="shared" si="6"/>
        <v>----</v>
      </c>
      <c r="AJ632" s="38" t="str">
        <f t="shared" si="7"/>
        <v>Paper has no link and no statement</v>
      </c>
      <c r="AK632" s="39">
        <v>45027.0</v>
      </c>
      <c r="AL632" s="23" t="s">
        <v>43</v>
      </c>
      <c r="AM632" s="40" t="str">
        <f t="shared" si="8"/>
        <v>[IP0760]</v>
      </c>
    </row>
    <row r="633" ht="67.5" customHeight="1">
      <c r="A633" s="41">
        <v>761.0</v>
      </c>
      <c r="B633" s="42" t="s">
        <v>1673</v>
      </c>
      <c r="C633" s="43">
        <v>2020.0</v>
      </c>
      <c r="D633" s="44" t="s">
        <v>35</v>
      </c>
      <c r="E633" s="45" t="s">
        <v>36</v>
      </c>
      <c r="F633" s="45" t="s">
        <v>36</v>
      </c>
      <c r="G633" s="45" t="s">
        <v>36</v>
      </c>
      <c r="H633" s="45" t="s">
        <v>36</v>
      </c>
      <c r="I633" s="45" t="s">
        <v>36</v>
      </c>
      <c r="J633" s="46" t="s">
        <v>36</v>
      </c>
      <c r="K633" s="47" t="s">
        <v>37</v>
      </c>
      <c r="L633" s="48" t="s">
        <v>37</v>
      </c>
      <c r="M633" s="48" t="s">
        <v>35</v>
      </c>
      <c r="N633" s="48" t="s">
        <v>35</v>
      </c>
      <c r="O633" s="48" t="s">
        <v>35</v>
      </c>
      <c r="P633" s="48" t="s">
        <v>35</v>
      </c>
      <c r="Q633" s="48" t="s">
        <v>35</v>
      </c>
      <c r="R633" s="48" t="s">
        <v>37</v>
      </c>
      <c r="S633" s="49" t="s">
        <v>1674</v>
      </c>
      <c r="T633" s="50" t="s">
        <v>1675</v>
      </c>
      <c r="U633" s="51" t="s">
        <v>1675</v>
      </c>
      <c r="V633" s="52">
        <f t="shared" ref="V633:X633" si="638">IF(lenb(SUBSTITUTE($Z633,V$1&amp;" (1)",""))&lt;lenb($Z633),1,IF(lenb(SUBSTITUTE($Z633,V$1&amp;" (2)",""))&lt;lenb($Z633),2,IF(lenb(SUBSTITUTE($Z633,V$1&amp;" (3)",""))&lt;lenb($Z633),3,IF(lenb(SUBSTITUTE($Z633,V$1&amp;" (4)",""))&lt;lenb($Z633),4,IF(lenb(SUBSTITUTE($Z633,V$1&amp;" (5)",""))&lt;lenb($Z633),5,IF(lenb(SUBSTITUTE($Z633,V$1&amp;" (6)",""))&lt;lenb($Z633),6,IF(lenb(SUBSTITUTE($Z633,V$1&amp;" (7)",""))&lt;lenb($Z633),1,IF(lenb(SUBSTITUTE($Z633,V$1&amp;" (8)",""))&lt;lenb($Z633),8,IF(lenb(SUBSTITUTE($Z633,V$1&amp;" (9)",""))&lt;lenb($Z633),9,IF(lenb(SUBSTITUTE($Z633,V$1&amp;" (10)",""))&lt;lenb($Z633),10,IF(lenb(SUBSTITUTE($Z633,V$1,""))&lt;lenb($Z633),"ERROR",IF($Z633=$Y$1,"-",0))))))))))))</f>
        <v>1</v>
      </c>
      <c r="W633" s="52">
        <f t="shared" si="638"/>
        <v>0</v>
      </c>
      <c r="X633" s="52">
        <f t="shared" si="638"/>
        <v>0</v>
      </c>
      <c r="Y633" s="52" t="str">
        <f t="shared" si="3"/>
        <v>-</v>
      </c>
      <c r="Z633" s="52" t="s">
        <v>62</v>
      </c>
      <c r="AA633" s="53">
        <f t="shared" si="4"/>
        <v>1</v>
      </c>
      <c r="AB633" s="54">
        <f>COUNTIFS(Links!B:B,"ICSE",Links!C:C,A633,Links!AD:AD,1)</f>
        <v>0</v>
      </c>
      <c r="AC633" s="55" t="s">
        <v>35</v>
      </c>
      <c r="AD633" s="47" t="str">
        <f t="shared" si="5"/>
        <v>No</v>
      </c>
      <c r="AE633" s="56" t="s">
        <v>36</v>
      </c>
      <c r="AF633" s="57" t="s">
        <v>42</v>
      </c>
      <c r="AG633" s="57" t="s">
        <v>42</v>
      </c>
      <c r="AH633" s="57" t="s">
        <v>42</v>
      </c>
      <c r="AI633" s="49" t="str">
        <f t="shared" si="6"/>
        <v>----</v>
      </c>
      <c r="AJ633" s="58" t="str">
        <f t="shared" si="7"/>
        <v>Paper has link but no statement</v>
      </c>
      <c r="AK633" s="59">
        <v>45027.0</v>
      </c>
      <c r="AL633" s="43" t="s">
        <v>43</v>
      </c>
      <c r="AM633" s="60" t="str">
        <f t="shared" si="8"/>
        <v>[IP0761]</v>
      </c>
    </row>
    <row r="634" ht="67.5" customHeight="1">
      <c r="A634" s="61">
        <v>762.0</v>
      </c>
      <c r="B634" s="22" t="s">
        <v>1676</v>
      </c>
      <c r="C634" s="23">
        <v>2020.0</v>
      </c>
      <c r="D634" s="24" t="s">
        <v>37</v>
      </c>
      <c r="E634" s="25" t="s">
        <v>37</v>
      </c>
      <c r="F634" s="25" t="s">
        <v>35</v>
      </c>
      <c r="G634" s="25" t="s">
        <v>35</v>
      </c>
      <c r="H634" s="25" t="s">
        <v>35</v>
      </c>
      <c r="I634" s="25" t="s">
        <v>35</v>
      </c>
      <c r="J634" s="26" t="s">
        <v>36</v>
      </c>
      <c r="K634" s="27" t="s">
        <v>37</v>
      </c>
      <c r="L634" s="28" t="s">
        <v>37</v>
      </c>
      <c r="M634" s="28" t="s">
        <v>35</v>
      </c>
      <c r="N634" s="28" t="s">
        <v>35</v>
      </c>
      <c r="O634" s="28" t="s">
        <v>35</v>
      </c>
      <c r="P634" s="28" t="s">
        <v>35</v>
      </c>
      <c r="Q634" s="28" t="s">
        <v>35</v>
      </c>
      <c r="R634" s="28" t="s">
        <v>37</v>
      </c>
      <c r="S634" s="29" t="s">
        <v>1677</v>
      </c>
      <c r="T634" s="30" t="s">
        <v>1678</v>
      </c>
      <c r="U634" s="31" t="s">
        <v>1678</v>
      </c>
      <c r="V634" s="32">
        <f t="shared" ref="V634:X634" si="639">IF(lenb(SUBSTITUTE($Z634,V$1&amp;" (1)",""))&lt;lenb($Z634),1,IF(lenb(SUBSTITUTE($Z634,V$1&amp;" (2)",""))&lt;lenb($Z634),2,IF(lenb(SUBSTITUTE($Z634,V$1&amp;" (3)",""))&lt;lenb($Z634),3,IF(lenb(SUBSTITUTE($Z634,V$1&amp;" (4)",""))&lt;lenb($Z634),4,IF(lenb(SUBSTITUTE($Z634,V$1&amp;" (5)",""))&lt;lenb($Z634),5,IF(lenb(SUBSTITUTE($Z634,V$1&amp;" (6)",""))&lt;lenb($Z634),6,IF(lenb(SUBSTITUTE($Z634,V$1&amp;" (7)",""))&lt;lenb($Z634),1,IF(lenb(SUBSTITUTE($Z634,V$1&amp;" (8)",""))&lt;lenb($Z634),8,IF(lenb(SUBSTITUTE($Z634,V$1&amp;" (9)",""))&lt;lenb($Z634),9,IF(lenb(SUBSTITUTE($Z634,V$1&amp;" (10)",""))&lt;lenb($Z634),10,IF(lenb(SUBSTITUTE($Z634,V$1,""))&lt;lenb($Z634),"ERROR",IF($Z634=$Y$1,"-",0))))))))))))</f>
        <v>1</v>
      </c>
      <c r="W634" s="32">
        <f t="shared" si="639"/>
        <v>0</v>
      </c>
      <c r="X634" s="32">
        <f t="shared" si="639"/>
        <v>0</v>
      </c>
      <c r="Y634" s="32" t="str">
        <f t="shared" si="3"/>
        <v>-</v>
      </c>
      <c r="Z634" s="32" t="s">
        <v>62</v>
      </c>
      <c r="AA634" s="33">
        <f t="shared" si="4"/>
        <v>1</v>
      </c>
      <c r="AB634" s="34">
        <f>COUNTIFS(Links!B:B,"ICSE",Links!C:C,A634,Links!AD:AD,1)</f>
        <v>0</v>
      </c>
      <c r="AC634" s="35" t="s">
        <v>37</v>
      </c>
      <c r="AD634" s="27" t="str">
        <f t="shared" si="5"/>
        <v>No</v>
      </c>
      <c r="AE634" s="36" t="s">
        <v>36</v>
      </c>
      <c r="AF634" s="37" t="s">
        <v>42</v>
      </c>
      <c r="AG634" s="37" t="s">
        <v>42</v>
      </c>
      <c r="AH634" s="37" t="s">
        <v>42</v>
      </c>
      <c r="AI634" s="29" t="str">
        <f t="shared" si="6"/>
        <v>----</v>
      </c>
      <c r="AJ634" s="38" t="str">
        <f t="shared" si="7"/>
        <v>Paper has link but no statement</v>
      </c>
      <c r="AK634" s="39">
        <v>45027.0</v>
      </c>
      <c r="AL634" s="23" t="s">
        <v>43</v>
      </c>
      <c r="AM634" s="40" t="str">
        <f t="shared" si="8"/>
        <v>[IP0762]</v>
      </c>
    </row>
    <row r="635" ht="67.5" customHeight="1">
      <c r="A635" s="41">
        <v>763.0</v>
      </c>
      <c r="B635" s="42" t="s">
        <v>1679</v>
      </c>
      <c r="C635" s="43">
        <v>2020.0</v>
      </c>
      <c r="D635" s="44" t="s">
        <v>35</v>
      </c>
      <c r="E635" s="45" t="s">
        <v>36</v>
      </c>
      <c r="F635" s="45" t="s">
        <v>36</v>
      </c>
      <c r="G635" s="45" t="s">
        <v>36</v>
      </c>
      <c r="H635" s="45" t="s">
        <v>36</v>
      </c>
      <c r="I635" s="45" t="s">
        <v>36</v>
      </c>
      <c r="J635" s="46" t="s">
        <v>36</v>
      </c>
      <c r="K635" s="47" t="s">
        <v>35</v>
      </c>
      <c r="L635" s="48" t="s">
        <v>36</v>
      </c>
      <c r="M635" s="48" t="s">
        <v>36</v>
      </c>
      <c r="N635" s="48" t="s">
        <v>36</v>
      </c>
      <c r="O635" s="48" t="s">
        <v>36</v>
      </c>
      <c r="P635" s="48" t="s">
        <v>36</v>
      </c>
      <c r="Q635" s="48" t="s">
        <v>36</v>
      </c>
      <c r="R635" s="48" t="s">
        <v>36</v>
      </c>
      <c r="S635" s="49" t="s">
        <v>36</v>
      </c>
      <c r="T635" s="50" t="s">
        <v>36</v>
      </c>
      <c r="U635" s="51" t="s">
        <v>36</v>
      </c>
      <c r="V635" s="52" t="str">
        <f t="shared" ref="V635:X635" si="640">IF(lenb(SUBSTITUTE($Z635,V$1&amp;" (1)",""))&lt;lenb($Z635),1,IF(lenb(SUBSTITUTE($Z635,V$1&amp;" (2)",""))&lt;lenb($Z635),2,IF(lenb(SUBSTITUTE($Z635,V$1&amp;" (3)",""))&lt;lenb($Z635),3,IF(lenb(SUBSTITUTE($Z635,V$1&amp;" (4)",""))&lt;lenb($Z635),4,IF(lenb(SUBSTITUTE($Z635,V$1&amp;" (5)",""))&lt;lenb($Z635),5,IF(lenb(SUBSTITUTE($Z635,V$1&amp;" (6)",""))&lt;lenb($Z635),6,IF(lenb(SUBSTITUTE($Z635,V$1&amp;" (7)",""))&lt;lenb($Z635),1,IF(lenb(SUBSTITUTE($Z635,V$1&amp;" (8)",""))&lt;lenb($Z635),8,IF(lenb(SUBSTITUTE($Z635,V$1&amp;" (9)",""))&lt;lenb($Z635),9,IF(lenb(SUBSTITUTE($Z635,V$1&amp;" (10)",""))&lt;lenb($Z635),10,IF(lenb(SUBSTITUTE($Z635,V$1,""))&lt;lenb($Z635),"ERROR",IF($Z635=$Y$1,"-",0))))))))))))</f>
        <v>-</v>
      </c>
      <c r="W635" s="52" t="str">
        <f t="shared" si="640"/>
        <v>-</v>
      </c>
      <c r="X635" s="52" t="str">
        <f t="shared" si="640"/>
        <v>-</v>
      </c>
      <c r="Y635" s="52">
        <f t="shared" si="3"/>
        <v>1</v>
      </c>
      <c r="Z635" s="52" t="s">
        <v>23</v>
      </c>
      <c r="AA635" s="53">
        <f t="shared" si="4"/>
        <v>0</v>
      </c>
      <c r="AB635" s="54">
        <f>COUNTIFS(Links!B:B,"ICSE",Links!C:C,A635,Links!AD:AD,1)</f>
        <v>0</v>
      </c>
      <c r="AC635" s="55" t="s">
        <v>36</v>
      </c>
      <c r="AD635" s="47" t="str">
        <f t="shared" si="5"/>
        <v>No</v>
      </c>
      <c r="AE635" s="56" t="s">
        <v>36</v>
      </c>
      <c r="AF635" s="57" t="s">
        <v>42</v>
      </c>
      <c r="AG635" s="57" t="s">
        <v>42</v>
      </c>
      <c r="AH635" s="57" t="s">
        <v>42</v>
      </c>
      <c r="AI635" s="49" t="str">
        <f t="shared" si="6"/>
        <v>----</v>
      </c>
      <c r="AJ635" s="58" t="str">
        <f t="shared" si="7"/>
        <v>Paper has no link and no statement</v>
      </c>
      <c r="AK635" s="59">
        <v>45027.0</v>
      </c>
      <c r="AL635" s="43" t="s">
        <v>43</v>
      </c>
      <c r="AM635" s="60" t="str">
        <f t="shared" si="8"/>
        <v>[IP0763]</v>
      </c>
    </row>
    <row r="636" ht="67.5" customHeight="1">
      <c r="A636" s="61">
        <v>764.0</v>
      </c>
      <c r="B636" s="22" t="s">
        <v>1680</v>
      </c>
      <c r="C636" s="23">
        <v>2020.0</v>
      </c>
      <c r="D636" s="24" t="s">
        <v>35</v>
      </c>
      <c r="E636" s="25" t="s">
        <v>36</v>
      </c>
      <c r="F636" s="25" t="s">
        <v>36</v>
      </c>
      <c r="G636" s="25" t="s">
        <v>36</v>
      </c>
      <c r="H636" s="25" t="s">
        <v>36</v>
      </c>
      <c r="I636" s="25" t="s">
        <v>36</v>
      </c>
      <c r="J636" s="26" t="s">
        <v>36</v>
      </c>
      <c r="K636" s="27" t="s">
        <v>35</v>
      </c>
      <c r="L636" s="28" t="s">
        <v>36</v>
      </c>
      <c r="M636" s="28" t="s">
        <v>36</v>
      </c>
      <c r="N636" s="28" t="s">
        <v>36</v>
      </c>
      <c r="O636" s="28" t="s">
        <v>36</v>
      </c>
      <c r="P636" s="28" t="s">
        <v>36</v>
      </c>
      <c r="Q636" s="28" t="s">
        <v>36</v>
      </c>
      <c r="R636" s="28" t="s">
        <v>36</v>
      </c>
      <c r="S636" s="29" t="s">
        <v>36</v>
      </c>
      <c r="T636" s="30" t="s">
        <v>36</v>
      </c>
      <c r="U636" s="31" t="s">
        <v>36</v>
      </c>
      <c r="V636" s="32" t="str">
        <f t="shared" ref="V636:X636" si="641">IF(lenb(SUBSTITUTE($Z636,V$1&amp;" (1)",""))&lt;lenb($Z636),1,IF(lenb(SUBSTITUTE($Z636,V$1&amp;" (2)",""))&lt;lenb($Z636),2,IF(lenb(SUBSTITUTE($Z636,V$1&amp;" (3)",""))&lt;lenb($Z636),3,IF(lenb(SUBSTITUTE($Z636,V$1&amp;" (4)",""))&lt;lenb($Z636),4,IF(lenb(SUBSTITUTE($Z636,V$1&amp;" (5)",""))&lt;lenb($Z636),5,IF(lenb(SUBSTITUTE($Z636,V$1&amp;" (6)",""))&lt;lenb($Z636),6,IF(lenb(SUBSTITUTE($Z636,V$1&amp;" (7)",""))&lt;lenb($Z636),1,IF(lenb(SUBSTITUTE($Z636,V$1&amp;" (8)",""))&lt;lenb($Z636),8,IF(lenb(SUBSTITUTE($Z636,V$1&amp;" (9)",""))&lt;lenb($Z636),9,IF(lenb(SUBSTITUTE($Z636,V$1&amp;" (10)",""))&lt;lenb($Z636),10,IF(lenb(SUBSTITUTE($Z636,V$1,""))&lt;lenb($Z636),"ERROR",IF($Z636=$Y$1,"-",0))))))))))))</f>
        <v>-</v>
      </c>
      <c r="W636" s="32" t="str">
        <f t="shared" si="641"/>
        <v>-</v>
      </c>
      <c r="X636" s="32" t="str">
        <f t="shared" si="641"/>
        <v>-</v>
      </c>
      <c r="Y636" s="32">
        <f t="shared" si="3"/>
        <v>1</v>
      </c>
      <c r="Z636" s="32" t="s">
        <v>23</v>
      </c>
      <c r="AA636" s="33">
        <f t="shared" si="4"/>
        <v>0</v>
      </c>
      <c r="AB636" s="34">
        <f>COUNTIFS(Links!B:B,"ICSE",Links!C:C,A636,Links!AD:AD,1)</f>
        <v>0</v>
      </c>
      <c r="AC636" s="35" t="s">
        <v>36</v>
      </c>
      <c r="AD636" s="27" t="str">
        <f t="shared" si="5"/>
        <v>No</v>
      </c>
      <c r="AE636" s="36" t="s">
        <v>36</v>
      </c>
      <c r="AF636" s="37" t="s">
        <v>42</v>
      </c>
      <c r="AG636" s="37" t="s">
        <v>42</v>
      </c>
      <c r="AH636" s="37" t="s">
        <v>42</v>
      </c>
      <c r="AI636" s="29" t="str">
        <f t="shared" si="6"/>
        <v>----</v>
      </c>
      <c r="AJ636" s="38" t="str">
        <f t="shared" si="7"/>
        <v>Paper has no link and no statement</v>
      </c>
      <c r="AK636" s="39">
        <v>45027.0</v>
      </c>
      <c r="AL636" s="23" t="s">
        <v>43</v>
      </c>
      <c r="AM636" s="40" t="str">
        <f t="shared" si="8"/>
        <v>[IP0764]</v>
      </c>
    </row>
    <row r="637" ht="67.5" customHeight="1">
      <c r="A637" s="41">
        <v>765.0</v>
      </c>
      <c r="B637" s="42" t="s">
        <v>1681</v>
      </c>
      <c r="C637" s="43">
        <v>2020.0</v>
      </c>
      <c r="D637" s="44" t="s">
        <v>37</v>
      </c>
      <c r="E637" s="45" t="s">
        <v>37</v>
      </c>
      <c r="F637" s="45" t="s">
        <v>35</v>
      </c>
      <c r="G637" s="45" t="s">
        <v>37</v>
      </c>
      <c r="H637" s="45" t="s">
        <v>35</v>
      </c>
      <c r="I637" s="45" t="s">
        <v>35</v>
      </c>
      <c r="J637" s="46" t="s">
        <v>36</v>
      </c>
      <c r="K637" s="47" t="s">
        <v>37</v>
      </c>
      <c r="L637" s="48" t="s">
        <v>37</v>
      </c>
      <c r="M637" s="48" t="s">
        <v>37</v>
      </c>
      <c r="N637" s="48" t="s">
        <v>37</v>
      </c>
      <c r="O637" s="48" t="s">
        <v>35</v>
      </c>
      <c r="P637" s="48" t="s">
        <v>35</v>
      </c>
      <c r="Q637" s="48" t="s">
        <v>35</v>
      </c>
      <c r="R637" s="48" t="s">
        <v>35</v>
      </c>
      <c r="S637" s="49" t="s">
        <v>1682</v>
      </c>
      <c r="T637" s="50" t="s">
        <v>1683</v>
      </c>
      <c r="U637" s="51" t="s">
        <v>1683</v>
      </c>
      <c r="V637" s="52">
        <f t="shared" ref="V637:X637" si="642">IF(lenb(SUBSTITUTE($Z637,V$1&amp;" (1)",""))&lt;lenb($Z637),1,IF(lenb(SUBSTITUTE($Z637,V$1&amp;" (2)",""))&lt;lenb($Z637),2,IF(lenb(SUBSTITUTE($Z637,V$1&amp;" (3)",""))&lt;lenb($Z637),3,IF(lenb(SUBSTITUTE($Z637,V$1&amp;" (4)",""))&lt;lenb($Z637),4,IF(lenb(SUBSTITUTE($Z637,V$1&amp;" (5)",""))&lt;lenb($Z637),5,IF(lenb(SUBSTITUTE($Z637,V$1&amp;" (6)",""))&lt;lenb($Z637),6,IF(lenb(SUBSTITUTE($Z637,V$1&amp;" (7)",""))&lt;lenb($Z637),1,IF(lenb(SUBSTITUTE($Z637,V$1&amp;" (8)",""))&lt;lenb($Z637),8,IF(lenb(SUBSTITUTE($Z637,V$1&amp;" (9)",""))&lt;lenb($Z637),9,IF(lenb(SUBSTITUTE($Z637,V$1&amp;" (10)",""))&lt;lenb($Z637),10,IF(lenb(SUBSTITUTE($Z637,V$1,""))&lt;lenb($Z637),"ERROR",IF($Z637=$Y$1,"-",0))))))))))))</f>
        <v>2</v>
      </c>
      <c r="W637" s="52">
        <f t="shared" si="642"/>
        <v>0</v>
      </c>
      <c r="X637" s="52">
        <f t="shared" si="642"/>
        <v>0</v>
      </c>
      <c r="Y637" s="52" t="str">
        <f t="shared" si="3"/>
        <v>-</v>
      </c>
      <c r="Z637" s="52" t="s">
        <v>57</v>
      </c>
      <c r="AA637" s="53">
        <f t="shared" si="4"/>
        <v>2</v>
      </c>
      <c r="AB637" s="54">
        <f>COUNTIFS(Links!B:B,"ICSE",Links!C:C,A637,Links!AD:AD,1)</f>
        <v>0</v>
      </c>
      <c r="AC637" s="55" t="s">
        <v>37</v>
      </c>
      <c r="AD637" s="47" t="str">
        <f t="shared" si="5"/>
        <v>No</v>
      </c>
      <c r="AE637" s="56" t="s">
        <v>36</v>
      </c>
      <c r="AF637" s="57" t="s">
        <v>42</v>
      </c>
      <c r="AG637" s="57" t="s">
        <v>42</v>
      </c>
      <c r="AH637" s="57" t="s">
        <v>42</v>
      </c>
      <c r="AI637" s="49" t="str">
        <f t="shared" si="6"/>
        <v>----</v>
      </c>
      <c r="AJ637" s="58" t="str">
        <f t="shared" si="7"/>
        <v>Paper has link but no statement</v>
      </c>
      <c r="AK637" s="59">
        <v>45027.0</v>
      </c>
      <c r="AL637" s="43" t="s">
        <v>43</v>
      </c>
      <c r="AM637" s="60" t="str">
        <f t="shared" si="8"/>
        <v>[IP0765]</v>
      </c>
    </row>
    <row r="638" ht="67.5" customHeight="1">
      <c r="A638" s="61">
        <v>766.0</v>
      </c>
      <c r="B638" s="22" t="s">
        <v>1684</v>
      </c>
      <c r="C638" s="23">
        <v>2020.0</v>
      </c>
      <c r="D638" s="24" t="s">
        <v>35</v>
      </c>
      <c r="E638" s="25" t="s">
        <v>36</v>
      </c>
      <c r="F638" s="25" t="s">
        <v>36</v>
      </c>
      <c r="G638" s="25" t="s">
        <v>36</v>
      </c>
      <c r="H638" s="25" t="s">
        <v>36</v>
      </c>
      <c r="I638" s="25" t="s">
        <v>36</v>
      </c>
      <c r="J638" s="26" t="s">
        <v>36</v>
      </c>
      <c r="K638" s="27" t="s">
        <v>37</v>
      </c>
      <c r="L638" s="28" t="s">
        <v>35</v>
      </c>
      <c r="M638" s="28" t="s">
        <v>37</v>
      </c>
      <c r="N638" s="28" t="s">
        <v>37</v>
      </c>
      <c r="O638" s="28" t="s">
        <v>35</v>
      </c>
      <c r="P638" s="28" t="s">
        <v>35</v>
      </c>
      <c r="Q638" s="28" t="s">
        <v>35</v>
      </c>
      <c r="R638" s="28" t="s">
        <v>37</v>
      </c>
      <c r="S638" s="29" t="s">
        <v>1685</v>
      </c>
      <c r="T638" s="30" t="s">
        <v>1686</v>
      </c>
      <c r="U638" s="31" t="s">
        <v>1686</v>
      </c>
      <c r="V638" s="32">
        <f t="shared" ref="V638:X638" si="643">IF(lenb(SUBSTITUTE($Z638,V$1&amp;" (1)",""))&lt;lenb($Z638),1,IF(lenb(SUBSTITUTE($Z638,V$1&amp;" (2)",""))&lt;lenb($Z638),2,IF(lenb(SUBSTITUTE($Z638,V$1&amp;" (3)",""))&lt;lenb($Z638),3,IF(lenb(SUBSTITUTE($Z638,V$1&amp;" (4)",""))&lt;lenb($Z638),4,IF(lenb(SUBSTITUTE($Z638,V$1&amp;" (5)",""))&lt;lenb($Z638),5,IF(lenb(SUBSTITUTE($Z638,V$1&amp;" (6)",""))&lt;lenb($Z638),6,IF(lenb(SUBSTITUTE($Z638,V$1&amp;" (7)",""))&lt;lenb($Z638),1,IF(lenb(SUBSTITUTE($Z638,V$1&amp;" (8)",""))&lt;lenb($Z638),8,IF(lenb(SUBSTITUTE($Z638,V$1&amp;" (9)",""))&lt;lenb($Z638),9,IF(lenb(SUBSTITUTE($Z638,V$1&amp;" (10)",""))&lt;lenb($Z638),10,IF(lenb(SUBSTITUTE($Z638,V$1,""))&lt;lenb($Z638),"ERROR",IF($Z638=$Y$1,"-",0))))))))))))</f>
        <v>1</v>
      </c>
      <c r="W638" s="32">
        <f t="shared" si="643"/>
        <v>0</v>
      </c>
      <c r="X638" s="32">
        <f t="shared" si="643"/>
        <v>0</v>
      </c>
      <c r="Y638" s="32" t="str">
        <f t="shared" si="3"/>
        <v>-</v>
      </c>
      <c r="Z638" s="32" t="s">
        <v>62</v>
      </c>
      <c r="AA638" s="33">
        <f t="shared" si="4"/>
        <v>1</v>
      </c>
      <c r="AB638" s="34">
        <f>COUNTIFS(Links!B:B,"ICSE",Links!C:C,A638,Links!AD:AD,1)</f>
        <v>0</v>
      </c>
      <c r="AC638" s="35" t="s">
        <v>35</v>
      </c>
      <c r="AD638" s="27" t="str">
        <f t="shared" si="5"/>
        <v>No</v>
      </c>
      <c r="AE638" s="36" t="s">
        <v>36</v>
      </c>
      <c r="AF638" s="37" t="s">
        <v>42</v>
      </c>
      <c r="AG638" s="37" t="s">
        <v>42</v>
      </c>
      <c r="AH638" s="37" t="s">
        <v>42</v>
      </c>
      <c r="AI638" s="29" t="str">
        <f t="shared" si="6"/>
        <v>----</v>
      </c>
      <c r="AJ638" s="38" t="str">
        <f t="shared" si="7"/>
        <v>Paper has link but no statement</v>
      </c>
      <c r="AK638" s="39">
        <v>45027.0</v>
      </c>
      <c r="AL638" s="23" t="s">
        <v>43</v>
      </c>
      <c r="AM638" s="40" t="str">
        <f t="shared" si="8"/>
        <v>[IP0766]</v>
      </c>
    </row>
    <row r="639" ht="67.5" customHeight="1">
      <c r="A639" s="41">
        <v>767.0</v>
      </c>
      <c r="B639" s="42" t="s">
        <v>1687</v>
      </c>
      <c r="C639" s="43">
        <v>2020.0</v>
      </c>
      <c r="D639" s="44" t="s">
        <v>35</v>
      </c>
      <c r="E639" s="45" t="s">
        <v>36</v>
      </c>
      <c r="F639" s="45" t="s">
        <v>36</v>
      </c>
      <c r="G639" s="45" t="s">
        <v>36</v>
      </c>
      <c r="H639" s="45" t="s">
        <v>36</v>
      </c>
      <c r="I639" s="45" t="s">
        <v>36</v>
      </c>
      <c r="J639" s="46" t="s">
        <v>36</v>
      </c>
      <c r="K639" s="47" t="s">
        <v>35</v>
      </c>
      <c r="L639" s="48" t="s">
        <v>36</v>
      </c>
      <c r="M639" s="48" t="s">
        <v>36</v>
      </c>
      <c r="N639" s="48" t="s">
        <v>36</v>
      </c>
      <c r="O639" s="48" t="s">
        <v>36</v>
      </c>
      <c r="P639" s="48" t="s">
        <v>36</v>
      </c>
      <c r="Q639" s="48" t="s">
        <v>36</v>
      </c>
      <c r="R639" s="48" t="s">
        <v>36</v>
      </c>
      <c r="S639" s="49" t="s">
        <v>36</v>
      </c>
      <c r="T639" s="50" t="s">
        <v>36</v>
      </c>
      <c r="U639" s="51" t="s">
        <v>36</v>
      </c>
      <c r="V639" s="52" t="str">
        <f t="shared" ref="V639:X639" si="644">IF(lenb(SUBSTITUTE($Z639,V$1&amp;" (1)",""))&lt;lenb($Z639),1,IF(lenb(SUBSTITUTE($Z639,V$1&amp;" (2)",""))&lt;lenb($Z639),2,IF(lenb(SUBSTITUTE($Z639,V$1&amp;" (3)",""))&lt;lenb($Z639),3,IF(lenb(SUBSTITUTE($Z639,V$1&amp;" (4)",""))&lt;lenb($Z639),4,IF(lenb(SUBSTITUTE($Z639,V$1&amp;" (5)",""))&lt;lenb($Z639),5,IF(lenb(SUBSTITUTE($Z639,V$1&amp;" (6)",""))&lt;lenb($Z639),6,IF(lenb(SUBSTITUTE($Z639,V$1&amp;" (7)",""))&lt;lenb($Z639),1,IF(lenb(SUBSTITUTE($Z639,V$1&amp;" (8)",""))&lt;lenb($Z639),8,IF(lenb(SUBSTITUTE($Z639,V$1&amp;" (9)",""))&lt;lenb($Z639),9,IF(lenb(SUBSTITUTE($Z639,V$1&amp;" (10)",""))&lt;lenb($Z639),10,IF(lenb(SUBSTITUTE($Z639,V$1,""))&lt;lenb($Z639),"ERROR",IF($Z639=$Y$1,"-",0))))))))))))</f>
        <v>-</v>
      </c>
      <c r="W639" s="52" t="str">
        <f t="shared" si="644"/>
        <v>-</v>
      </c>
      <c r="X639" s="52" t="str">
        <f t="shared" si="644"/>
        <v>-</v>
      </c>
      <c r="Y639" s="52">
        <f t="shared" si="3"/>
        <v>1</v>
      </c>
      <c r="Z639" s="52" t="s">
        <v>23</v>
      </c>
      <c r="AA639" s="53">
        <f t="shared" si="4"/>
        <v>0</v>
      </c>
      <c r="AB639" s="54">
        <f>COUNTIFS(Links!B:B,"ICSE",Links!C:C,A639,Links!AD:AD,1)</f>
        <v>0</v>
      </c>
      <c r="AC639" s="55" t="s">
        <v>36</v>
      </c>
      <c r="AD639" s="47" t="str">
        <f t="shared" si="5"/>
        <v>No</v>
      </c>
      <c r="AE639" s="56" t="s">
        <v>36</v>
      </c>
      <c r="AF639" s="57" t="s">
        <v>42</v>
      </c>
      <c r="AG639" s="57" t="s">
        <v>42</v>
      </c>
      <c r="AH639" s="57" t="s">
        <v>42</v>
      </c>
      <c r="AI639" s="49" t="str">
        <f t="shared" si="6"/>
        <v>----</v>
      </c>
      <c r="AJ639" s="58" t="str">
        <f t="shared" si="7"/>
        <v>Paper has no link and no statement</v>
      </c>
      <c r="AK639" s="59">
        <v>45027.0</v>
      </c>
      <c r="AL639" s="43" t="s">
        <v>43</v>
      </c>
      <c r="AM639" s="60" t="str">
        <f t="shared" si="8"/>
        <v>[IP0767]</v>
      </c>
    </row>
    <row r="640" ht="67.5" customHeight="1">
      <c r="A640" s="61">
        <v>768.0</v>
      </c>
      <c r="B640" s="22" t="s">
        <v>1688</v>
      </c>
      <c r="C640" s="23">
        <v>2020.0</v>
      </c>
      <c r="D640" s="24" t="s">
        <v>35</v>
      </c>
      <c r="E640" s="25" t="s">
        <v>36</v>
      </c>
      <c r="F640" s="25" t="s">
        <v>36</v>
      </c>
      <c r="G640" s="25" t="s">
        <v>36</v>
      </c>
      <c r="H640" s="25" t="s">
        <v>36</v>
      </c>
      <c r="I640" s="25" t="s">
        <v>36</v>
      </c>
      <c r="J640" s="26" t="s">
        <v>36</v>
      </c>
      <c r="K640" s="27" t="s">
        <v>37</v>
      </c>
      <c r="L640" s="28" t="s">
        <v>35</v>
      </c>
      <c r="M640" s="28" t="s">
        <v>35</v>
      </c>
      <c r="N640" s="28" t="s">
        <v>35</v>
      </c>
      <c r="O640" s="28" t="s">
        <v>35</v>
      </c>
      <c r="P640" s="28" t="s">
        <v>35</v>
      </c>
      <c r="Q640" s="28" t="s">
        <v>35</v>
      </c>
      <c r="R640" s="28" t="s">
        <v>37</v>
      </c>
      <c r="S640" s="29" t="s">
        <v>1689</v>
      </c>
      <c r="T640" s="30" t="s">
        <v>1690</v>
      </c>
      <c r="U640" s="31" t="s">
        <v>1690</v>
      </c>
      <c r="V640" s="32">
        <f t="shared" ref="V640:X640" si="645">IF(lenb(SUBSTITUTE($Z640,V$1&amp;" (1)",""))&lt;lenb($Z640),1,IF(lenb(SUBSTITUTE($Z640,V$1&amp;" (2)",""))&lt;lenb($Z640),2,IF(lenb(SUBSTITUTE($Z640,V$1&amp;" (3)",""))&lt;lenb($Z640),3,IF(lenb(SUBSTITUTE($Z640,V$1&amp;" (4)",""))&lt;lenb($Z640),4,IF(lenb(SUBSTITUTE($Z640,V$1&amp;" (5)",""))&lt;lenb($Z640),5,IF(lenb(SUBSTITUTE($Z640,V$1&amp;" (6)",""))&lt;lenb($Z640),6,IF(lenb(SUBSTITUTE($Z640,V$1&amp;" (7)",""))&lt;lenb($Z640),1,IF(lenb(SUBSTITUTE($Z640,V$1&amp;" (8)",""))&lt;lenb($Z640),8,IF(lenb(SUBSTITUTE($Z640,V$1&amp;" (9)",""))&lt;lenb($Z640),9,IF(lenb(SUBSTITUTE($Z640,V$1&amp;" (10)",""))&lt;lenb($Z640),10,IF(lenb(SUBSTITUTE($Z640,V$1,""))&lt;lenb($Z640),"ERROR",IF($Z640=$Y$1,"-",0))))))))))))</f>
        <v>1</v>
      </c>
      <c r="W640" s="32">
        <f t="shared" si="645"/>
        <v>0</v>
      </c>
      <c r="X640" s="32">
        <f t="shared" si="645"/>
        <v>0</v>
      </c>
      <c r="Y640" s="32" t="str">
        <f t="shared" si="3"/>
        <v>-</v>
      </c>
      <c r="Z640" s="32" t="s">
        <v>62</v>
      </c>
      <c r="AA640" s="33">
        <f t="shared" si="4"/>
        <v>1</v>
      </c>
      <c r="AB640" s="34">
        <f>COUNTIFS(Links!B:B,"ICSE",Links!C:C,A640,Links!AD:AD,1)</f>
        <v>0</v>
      </c>
      <c r="AC640" s="35" t="s">
        <v>35</v>
      </c>
      <c r="AD640" s="27" t="str">
        <f t="shared" si="5"/>
        <v>No</v>
      </c>
      <c r="AE640" s="36" t="s">
        <v>36</v>
      </c>
      <c r="AF640" s="37" t="s">
        <v>42</v>
      </c>
      <c r="AG640" s="37" t="s">
        <v>42</v>
      </c>
      <c r="AH640" s="37" t="s">
        <v>42</v>
      </c>
      <c r="AI640" s="29" t="str">
        <f t="shared" si="6"/>
        <v>----</v>
      </c>
      <c r="AJ640" s="38" t="str">
        <f t="shared" si="7"/>
        <v>Paper has link but no statement</v>
      </c>
      <c r="AK640" s="39">
        <v>45027.0</v>
      </c>
      <c r="AL640" s="23" t="s">
        <v>43</v>
      </c>
      <c r="AM640" s="40" t="str">
        <f t="shared" si="8"/>
        <v>[IP0768]</v>
      </c>
    </row>
    <row r="641" ht="67.5" customHeight="1">
      <c r="A641" s="41">
        <v>769.0</v>
      </c>
      <c r="B641" s="42" t="s">
        <v>1691</v>
      </c>
      <c r="C641" s="43">
        <v>2020.0</v>
      </c>
      <c r="D641" s="44" t="s">
        <v>35</v>
      </c>
      <c r="E641" s="45" t="s">
        <v>36</v>
      </c>
      <c r="F641" s="45" t="s">
        <v>36</v>
      </c>
      <c r="G641" s="45" t="s">
        <v>36</v>
      </c>
      <c r="H641" s="45" t="s">
        <v>36</v>
      </c>
      <c r="I641" s="45" t="s">
        <v>36</v>
      </c>
      <c r="J641" s="46" t="s">
        <v>36</v>
      </c>
      <c r="K641" s="47" t="s">
        <v>37</v>
      </c>
      <c r="L641" s="48" t="s">
        <v>37</v>
      </c>
      <c r="M641" s="48" t="s">
        <v>35</v>
      </c>
      <c r="N641" s="48" t="s">
        <v>35</v>
      </c>
      <c r="O641" s="48" t="s">
        <v>35</v>
      </c>
      <c r="P641" s="48" t="s">
        <v>35</v>
      </c>
      <c r="Q641" s="48" t="s">
        <v>35</v>
      </c>
      <c r="R641" s="48" t="s">
        <v>37</v>
      </c>
      <c r="S641" s="49" t="s">
        <v>1692</v>
      </c>
      <c r="T641" s="50" t="s">
        <v>1693</v>
      </c>
      <c r="U641" s="51" t="s">
        <v>1693</v>
      </c>
      <c r="V641" s="52">
        <f t="shared" ref="V641:X641" si="646">IF(lenb(SUBSTITUTE($Z641,V$1&amp;" (1)",""))&lt;lenb($Z641),1,IF(lenb(SUBSTITUTE($Z641,V$1&amp;" (2)",""))&lt;lenb($Z641),2,IF(lenb(SUBSTITUTE($Z641,V$1&amp;" (3)",""))&lt;lenb($Z641),3,IF(lenb(SUBSTITUTE($Z641,V$1&amp;" (4)",""))&lt;lenb($Z641),4,IF(lenb(SUBSTITUTE($Z641,V$1&amp;" (5)",""))&lt;lenb($Z641),5,IF(lenb(SUBSTITUTE($Z641,V$1&amp;" (6)",""))&lt;lenb($Z641),6,IF(lenb(SUBSTITUTE($Z641,V$1&amp;" (7)",""))&lt;lenb($Z641),1,IF(lenb(SUBSTITUTE($Z641,V$1&amp;" (8)",""))&lt;lenb($Z641),8,IF(lenb(SUBSTITUTE($Z641,V$1&amp;" (9)",""))&lt;lenb($Z641),9,IF(lenb(SUBSTITUTE($Z641,V$1&amp;" (10)",""))&lt;lenb($Z641),10,IF(lenb(SUBSTITUTE($Z641,V$1,""))&lt;lenb($Z641),"ERROR",IF($Z641=$Y$1,"-",0))))))))))))</f>
        <v>1</v>
      </c>
      <c r="W641" s="52">
        <f t="shared" si="646"/>
        <v>0</v>
      </c>
      <c r="X641" s="52">
        <f t="shared" si="646"/>
        <v>0</v>
      </c>
      <c r="Y641" s="52" t="str">
        <f t="shared" si="3"/>
        <v>-</v>
      </c>
      <c r="Z641" s="52" t="s">
        <v>62</v>
      </c>
      <c r="AA641" s="53">
        <f t="shared" si="4"/>
        <v>1</v>
      </c>
      <c r="AB641" s="54">
        <f>COUNTIFS(Links!B:B,"ICSE",Links!C:C,A641,Links!AD:AD,1)</f>
        <v>0</v>
      </c>
      <c r="AC641" s="55" t="s">
        <v>35</v>
      </c>
      <c r="AD641" s="47" t="str">
        <f t="shared" si="5"/>
        <v>No</v>
      </c>
      <c r="AE641" s="56" t="s">
        <v>36</v>
      </c>
      <c r="AF641" s="57" t="s">
        <v>42</v>
      </c>
      <c r="AG641" s="57" t="s">
        <v>42</v>
      </c>
      <c r="AH641" s="57" t="s">
        <v>42</v>
      </c>
      <c r="AI641" s="49" t="str">
        <f t="shared" si="6"/>
        <v>----</v>
      </c>
      <c r="AJ641" s="58" t="str">
        <f t="shared" si="7"/>
        <v>Paper has link but no statement</v>
      </c>
      <c r="AK641" s="59">
        <v>45027.0</v>
      </c>
      <c r="AL641" s="43" t="s">
        <v>43</v>
      </c>
      <c r="AM641" s="60" t="str">
        <f t="shared" si="8"/>
        <v>[IP0769]</v>
      </c>
    </row>
    <row r="642" ht="67.5" customHeight="1">
      <c r="A642" s="21">
        <v>770.0</v>
      </c>
      <c r="B642" s="22" t="s">
        <v>1694</v>
      </c>
      <c r="C642" s="23">
        <v>2020.0</v>
      </c>
      <c r="D642" s="24" t="s">
        <v>35</v>
      </c>
      <c r="E642" s="25" t="s">
        <v>36</v>
      </c>
      <c r="F642" s="25" t="s">
        <v>36</v>
      </c>
      <c r="G642" s="25" t="s">
        <v>36</v>
      </c>
      <c r="H642" s="25" t="s">
        <v>36</v>
      </c>
      <c r="I642" s="25" t="s">
        <v>36</v>
      </c>
      <c r="J642" s="26" t="s">
        <v>36</v>
      </c>
      <c r="K642" s="27" t="s">
        <v>37</v>
      </c>
      <c r="L642" s="28" t="s">
        <v>37</v>
      </c>
      <c r="M642" s="28" t="s">
        <v>35</v>
      </c>
      <c r="N642" s="28" t="s">
        <v>35</v>
      </c>
      <c r="O642" s="28" t="s">
        <v>35</v>
      </c>
      <c r="P642" s="28" t="s">
        <v>35</v>
      </c>
      <c r="Q642" s="28" t="s">
        <v>35</v>
      </c>
      <c r="R642" s="28" t="s">
        <v>37</v>
      </c>
      <c r="S642" s="29" t="s">
        <v>1695</v>
      </c>
      <c r="T642" s="30" t="s">
        <v>1696</v>
      </c>
      <c r="U642" s="31" t="s">
        <v>1697</v>
      </c>
      <c r="V642" s="32">
        <f t="shared" ref="V642:X642" si="647">IF(lenb(SUBSTITUTE($Z642,V$1&amp;" (1)",""))&lt;lenb($Z642),1,IF(lenb(SUBSTITUTE($Z642,V$1&amp;" (2)",""))&lt;lenb($Z642),2,IF(lenb(SUBSTITUTE($Z642,V$1&amp;" (3)",""))&lt;lenb($Z642),3,IF(lenb(SUBSTITUTE($Z642,V$1&amp;" (4)",""))&lt;lenb($Z642),4,IF(lenb(SUBSTITUTE($Z642,V$1&amp;" (5)",""))&lt;lenb($Z642),5,IF(lenb(SUBSTITUTE($Z642,V$1&amp;" (6)",""))&lt;lenb($Z642),6,IF(lenb(SUBSTITUTE($Z642,V$1&amp;" (7)",""))&lt;lenb($Z642),1,IF(lenb(SUBSTITUTE($Z642,V$1&amp;" (8)",""))&lt;lenb($Z642),8,IF(lenb(SUBSTITUTE($Z642,V$1&amp;" (9)",""))&lt;lenb($Z642),9,IF(lenb(SUBSTITUTE($Z642,V$1&amp;" (10)",""))&lt;lenb($Z642),10,IF(lenb(SUBSTITUTE($Z642,V$1,""))&lt;lenb($Z642),"ERROR",IF($Z642=$Y$1,"-",0))))))))))))</f>
        <v>1</v>
      </c>
      <c r="W642" s="32">
        <f t="shared" si="647"/>
        <v>0</v>
      </c>
      <c r="X642" s="32">
        <f t="shared" si="647"/>
        <v>0</v>
      </c>
      <c r="Y642" s="32" t="str">
        <f t="shared" si="3"/>
        <v>-</v>
      </c>
      <c r="Z642" s="32" t="s">
        <v>62</v>
      </c>
      <c r="AA642" s="33">
        <f t="shared" si="4"/>
        <v>1</v>
      </c>
      <c r="AB642" s="34">
        <f>COUNTIFS(Links!B:B,"ICSE",Links!C:C,A642,Links!AD:AD,1)</f>
        <v>0</v>
      </c>
      <c r="AC642" s="35" t="s">
        <v>35</v>
      </c>
      <c r="AD642" s="27" t="str">
        <f t="shared" si="5"/>
        <v>Yes</v>
      </c>
      <c r="AE642" s="36" t="s">
        <v>1698</v>
      </c>
      <c r="AF642" s="36" t="s">
        <v>146</v>
      </c>
      <c r="AG642" s="37" t="s">
        <v>42</v>
      </c>
      <c r="AH642" s="37" t="s">
        <v>42</v>
      </c>
      <c r="AI642" s="29" t="str">
        <f t="shared" si="6"/>
        <v>Future plans (—)</v>
      </c>
      <c r="AJ642" s="38" t="str">
        <f t="shared" si="7"/>
        <v>Paper has link and statement</v>
      </c>
      <c r="AK642" s="39">
        <v>45027.0</v>
      </c>
      <c r="AL642" s="23" t="s">
        <v>43</v>
      </c>
      <c r="AM642" s="40" t="str">
        <f t="shared" si="8"/>
        <v>[IP0770]</v>
      </c>
    </row>
    <row r="643" ht="67.5" customHeight="1">
      <c r="A643" s="41">
        <v>771.0</v>
      </c>
      <c r="B643" s="42" t="s">
        <v>1699</v>
      </c>
      <c r="C643" s="43">
        <v>2020.0</v>
      </c>
      <c r="D643" s="44" t="s">
        <v>35</v>
      </c>
      <c r="E643" s="45" t="s">
        <v>36</v>
      </c>
      <c r="F643" s="45" t="s">
        <v>36</v>
      </c>
      <c r="G643" s="45" t="s">
        <v>36</v>
      </c>
      <c r="H643" s="45" t="s">
        <v>36</v>
      </c>
      <c r="I643" s="45" t="s">
        <v>36</v>
      </c>
      <c r="J643" s="46" t="s">
        <v>36</v>
      </c>
      <c r="K643" s="47" t="s">
        <v>37</v>
      </c>
      <c r="L643" s="48" t="s">
        <v>35</v>
      </c>
      <c r="M643" s="48" t="s">
        <v>37</v>
      </c>
      <c r="N643" s="48" t="s">
        <v>37</v>
      </c>
      <c r="O643" s="48" t="s">
        <v>35</v>
      </c>
      <c r="P643" s="48" t="s">
        <v>35</v>
      </c>
      <c r="Q643" s="48" t="s">
        <v>35</v>
      </c>
      <c r="R643" s="48" t="s">
        <v>37</v>
      </c>
      <c r="S643" s="49" t="s">
        <v>1700</v>
      </c>
      <c r="T643" s="50" t="s">
        <v>1701</v>
      </c>
      <c r="U643" s="51" t="s">
        <v>1701</v>
      </c>
      <c r="V643" s="52">
        <f t="shared" ref="V643:X643" si="648">IF(lenb(SUBSTITUTE($Z643,V$1&amp;" (1)",""))&lt;lenb($Z643),1,IF(lenb(SUBSTITUTE($Z643,V$1&amp;" (2)",""))&lt;lenb($Z643),2,IF(lenb(SUBSTITUTE($Z643,V$1&amp;" (3)",""))&lt;lenb($Z643),3,IF(lenb(SUBSTITUTE($Z643,V$1&amp;" (4)",""))&lt;lenb($Z643),4,IF(lenb(SUBSTITUTE($Z643,V$1&amp;" (5)",""))&lt;lenb($Z643),5,IF(lenb(SUBSTITUTE($Z643,V$1&amp;" (6)",""))&lt;lenb($Z643),6,IF(lenb(SUBSTITUTE($Z643,V$1&amp;" (7)",""))&lt;lenb($Z643),1,IF(lenb(SUBSTITUTE($Z643,V$1&amp;" (8)",""))&lt;lenb($Z643),8,IF(lenb(SUBSTITUTE($Z643,V$1&amp;" (9)",""))&lt;lenb($Z643),9,IF(lenb(SUBSTITUTE($Z643,V$1&amp;" (10)",""))&lt;lenb($Z643),10,IF(lenb(SUBSTITUTE($Z643,V$1,""))&lt;lenb($Z643),"ERROR",IF($Z643=$Y$1,"-",0))))))))))))</f>
        <v>1</v>
      </c>
      <c r="W643" s="52">
        <f t="shared" si="648"/>
        <v>0</v>
      </c>
      <c r="X643" s="52">
        <f t="shared" si="648"/>
        <v>0</v>
      </c>
      <c r="Y643" s="52" t="str">
        <f t="shared" si="3"/>
        <v>-</v>
      </c>
      <c r="Z643" s="52" t="s">
        <v>62</v>
      </c>
      <c r="AA643" s="53">
        <f t="shared" si="4"/>
        <v>1</v>
      </c>
      <c r="AB643" s="54">
        <f>COUNTIFS(Links!B:B,"ICSE",Links!C:C,A643,Links!AD:AD,1)</f>
        <v>0</v>
      </c>
      <c r="AC643" s="55" t="s">
        <v>35</v>
      </c>
      <c r="AD643" s="47" t="str">
        <f t="shared" si="5"/>
        <v>No</v>
      </c>
      <c r="AE643" s="56" t="s">
        <v>36</v>
      </c>
      <c r="AF643" s="57" t="s">
        <v>42</v>
      </c>
      <c r="AG643" s="57" t="s">
        <v>42</v>
      </c>
      <c r="AH643" s="57" t="s">
        <v>42</v>
      </c>
      <c r="AI643" s="49" t="str">
        <f t="shared" si="6"/>
        <v>----</v>
      </c>
      <c r="AJ643" s="58" t="str">
        <f t="shared" si="7"/>
        <v>Paper has link but no statement</v>
      </c>
      <c r="AK643" s="59">
        <v>45027.0</v>
      </c>
      <c r="AL643" s="43" t="s">
        <v>43</v>
      </c>
      <c r="AM643" s="60" t="str">
        <f t="shared" si="8"/>
        <v>[IP0771]</v>
      </c>
    </row>
    <row r="644" ht="67.5" customHeight="1">
      <c r="A644" s="61">
        <v>772.0</v>
      </c>
      <c r="B644" s="22" t="s">
        <v>1702</v>
      </c>
      <c r="C644" s="23">
        <v>2020.0</v>
      </c>
      <c r="D644" s="24" t="s">
        <v>35</v>
      </c>
      <c r="E644" s="25" t="s">
        <v>36</v>
      </c>
      <c r="F644" s="25" t="s">
        <v>36</v>
      </c>
      <c r="G644" s="25" t="s">
        <v>36</v>
      </c>
      <c r="H644" s="25" t="s">
        <v>36</v>
      </c>
      <c r="I644" s="25" t="s">
        <v>36</v>
      </c>
      <c r="J644" s="26" t="s">
        <v>36</v>
      </c>
      <c r="K644" s="27" t="s">
        <v>37</v>
      </c>
      <c r="L644" s="28" t="s">
        <v>37</v>
      </c>
      <c r="M644" s="28" t="s">
        <v>35</v>
      </c>
      <c r="N644" s="28" t="s">
        <v>37</v>
      </c>
      <c r="O644" s="28" t="s">
        <v>35</v>
      </c>
      <c r="P644" s="28" t="s">
        <v>35</v>
      </c>
      <c r="Q644" s="28" t="s">
        <v>35</v>
      </c>
      <c r="R644" s="28" t="s">
        <v>35</v>
      </c>
      <c r="S644" s="29" t="s">
        <v>1703</v>
      </c>
      <c r="T644" s="30" t="s">
        <v>1704</v>
      </c>
      <c r="U644" s="31" t="s">
        <v>1704</v>
      </c>
      <c r="V644" s="32">
        <f t="shared" ref="V644:X644" si="649">IF(lenb(SUBSTITUTE($Z644,V$1&amp;" (1)",""))&lt;lenb($Z644),1,IF(lenb(SUBSTITUTE($Z644,V$1&amp;" (2)",""))&lt;lenb($Z644),2,IF(lenb(SUBSTITUTE($Z644,V$1&amp;" (3)",""))&lt;lenb($Z644),3,IF(lenb(SUBSTITUTE($Z644,V$1&amp;" (4)",""))&lt;lenb($Z644),4,IF(lenb(SUBSTITUTE($Z644,V$1&amp;" (5)",""))&lt;lenb($Z644),5,IF(lenb(SUBSTITUTE($Z644,V$1&amp;" (6)",""))&lt;lenb($Z644),6,IF(lenb(SUBSTITUTE($Z644,V$1&amp;" (7)",""))&lt;lenb($Z644),1,IF(lenb(SUBSTITUTE($Z644,V$1&amp;" (8)",""))&lt;lenb($Z644),8,IF(lenb(SUBSTITUTE($Z644,V$1&amp;" (9)",""))&lt;lenb($Z644),9,IF(lenb(SUBSTITUTE($Z644,V$1&amp;" (10)",""))&lt;lenb($Z644),10,IF(lenb(SUBSTITUTE($Z644,V$1,""))&lt;lenb($Z644),"ERROR",IF($Z644=$Y$1,"-",0))))))))))))</f>
        <v>1</v>
      </c>
      <c r="W644" s="32">
        <f t="shared" si="649"/>
        <v>0</v>
      </c>
      <c r="X644" s="32">
        <f t="shared" si="649"/>
        <v>0</v>
      </c>
      <c r="Y644" s="32" t="str">
        <f t="shared" si="3"/>
        <v>-</v>
      </c>
      <c r="Z644" s="32" t="s">
        <v>62</v>
      </c>
      <c r="AA644" s="33">
        <f t="shared" si="4"/>
        <v>1</v>
      </c>
      <c r="AB644" s="34">
        <f>COUNTIFS(Links!B:B,"ICSE",Links!C:C,A644,Links!AD:AD,1)</f>
        <v>0</v>
      </c>
      <c r="AC644" s="35" t="s">
        <v>35</v>
      </c>
      <c r="AD644" s="27" t="str">
        <f t="shared" si="5"/>
        <v>No</v>
      </c>
      <c r="AE644" s="36" t="s">
        <v>36</v>
      </c>
      <c r="AF644" s="37" t="s">
        <v>42</v>
      </c>
      <c r="AG644" s="37" t="s">
        <v>42</v>
      </c>
      <c r="AH644" s="37" t="s">
        <v>42</v>
      </c>
      <c r="AI644" s="29" t="str">
        <f t="shared" si="6"/>
        <v>----</v>
      </c>
      <c r="AJ644" s="38" t="str">
        <f t="shared" si="7"/>
        <v>Paper has link but no statement</v>
      </c>
      <c r="AK644" s="39">
        <v>45027.0</v>
      </c>
      <c r="AL644" s="23" t="s">
        <v>43</v>
      </c>
      <c r="AM644" s="40" t="str">
        <f t="shared" si="8"/>
        <v>[IP0772]</v>
      </c>
    </row>
    <row r="645" ht="67.5" customHeight="1">
      <c r="A645" s="41">
        <v>773.0</v>
      </c>
      <c r="B645" s="42" t="s">
        <v>1705</v>
      </c>
      <c r="C645" s="43">
        <v>2020.0</v>
      </c>
      <c r="D645" s="44" t="s">
        <v>35</v>
      </c>
      <c r="E645" s="45" t="s">
        <v>36</v>
      </c>
      <c r="F645" s="45" t="s">
        <v>36</v>
      </c>
      <c r="G645" s="45" t="s">
        <v>36</v>
      </c>
      <c r="H645" s="45" t="s">
        <v>36</v>
      </c>
      <c r="I645" s="45" t="s">
        <v>36</v>
      </c>
      <c r="J645" s="46" t="s">
        <v>36</v>
      </c>
      <c r="K645" s="47" t="s">
        <v>37</v>
      </c>
      <c r="L645" s="48" t="s">
        <v>37</v>
      </c>
      <c r="M645" s="48" t="s">
        <v>35</v>
      </c>
      <c r="N645" s="48" t="s">
        <v>37</v>
      </c>
      <c r="O645" s="48" t="s">
        <v>35</v>
      </c>
      <c r="P645" s="48" t="s">
        <v>35</v>
      </c>
      <c r="Q645" s="48" t="s">
        <v>35</v>
      </c>
      <c r="R645" s="48" t="s">
        <v>35</v>
      </c>
      <c r="S645" s="49" t="s">
        <v>1706</v>
      </c>
      <c r="T645" s="50" t="s">
        <v>1707</v>
      </c>
      <c r="U645" s="51" t="s">
        <v>1707</v>
      </c>
      <c r="V645" s="52">
        <f t="shared" ref="V645:X645" si="650">IF(lenb(SUBSTITUTE($Z645,V$1&amp;" (1)",""))&lt;lenb($Z645),1,IF(lenb(SUBSTITUTE($Z645,V$1&amp;" (2)",""))&lt;lenb($Z645),2,IF(lenb(SUBSTITUTE($Z645,V$1&amp;" (3)",""))&lt;lenb($Z645),3,IF(lenb(SUBSTITUTE($Z645,V$1&amp;" (4)",""))&lt;lenb($Z645),4,IF(lenb(SUBSTITUTE($Z645,V$1&amp;" (5)",""))&lt;lenb($Z645),5,IF(lenb(SUBSTITUTE($Z645,V$1&amp;" (6)",""))&lt;lenb($Z645),6,IF(lenb(SUBSTITUTE($Z645,V$1&amp;" (7)",""))&lt;lenb($Z645),1,IF(lenb(SUBSTITUTE($Z645,V$1&amp;" (8)",""))&lt;lenb($Z645),8,IF(lenb(SUBSTITUTE($Z645,V$1&amp;" (9)",""))&lt;lenb($Z645),9,IF(lenb(SUBSTITUTE($Z645,V$1&amp;" (10)",""))&lt;lenb($Z645),10,IF(lenb(SUBSTITUTE($Z645,V$1,""))&lt;lenb($Z645),"ERROR",IF($Z645=$Y$1,"-",0))))))))))))</f>
        <v>1</v>
      </c>
      <c r="W645" s="52">
        <f t="shared" si="650"/>
        <v>0</v>
      </c>
      <c r="X645" s="52">
        <f t="shared" si="650"/>
        <v>0</v>
      </c>
      <c r="Y645" s="52" t="str">
        <f t="shared" si="3"/>
        <v>-</v>
      </c>
      <c r="Z645" s="52" t="s">
        <v>62</v>
      </c>
      <c r="AA645" s="53">
        <f t="shared" si="4"/>
        <v>1</v>
      </c>
      <c r="AB645" s="54">
        <f>COUNTIFS(Links!B:B,"ICSE",Links!C:C,A645,Links!AD:AD,1)</f>
        <v>0</v>
      </c>
      <c r="AC645" s="55" t="s">
        <v>35</v>
      </c>
      <c r="AD645" s="47" t="str">
        <f t="shared" si="5"/>
        <v>No</v>
      </c>
      <c r="AE645" s="56" t="s">
        <v>36</v>
      </c>
      <c r="AF645" s="57" t="s">
        <v>42</v>
      </c>
      <c r="AG645" s="57" t="s">
        <v>42</v>
      </c>
      <c r="AH645" s="57" t="s">
        <v>42</v>
      </c>
      <c r="AI645" s="49" t="str">
        <f t="shared" si="6"/>
        <v>----</v>
      </c>
      <c r="AJ645" s="58" t="str">
        <f t="shared" si="7"/>
        <v>Paper has link but no statement</v>
      </c>
      <c r="AK645" s="59">
        <v>45027.0</v>
      </c>
      <c r="AL645" s="43" t="s">
        <v>43</v>
      </c>
      <c r="AM645" s="60" t="str">
        <f t="shared" si="8"/>
        <v>[IP0773]</v>
      </c>
    </row>
    <row r="646" ht="67.5" customHeight="1">
      <c r="A646" s="61">
        <v>774.0</v>
      </c>
      <c r="B646" s="22" t="s">
        <v>1708</v>
      </c>
      <c r="C646" s="23">
        <v>2020.0</v>
      </c>
      <c r="D646" s="24" t="s">
        <v>35</v>
      </c>
      <c r="E646" s="25" t="s">
        <v>36</v>
      </c>
      <c r="F646" s="25" t="s">
        <v>36</v>
      </c>
      <c r="G646" s="25" t="s">
        <v>36</v>
      </c>
      <c r="H646" s="25" t="s">
        <v>36</v>
      </c>
      <c r="I646" s="25" t="s">
        <v>36</v>
      </c>
      <c r="J646" s="26" t="s">
        <v>36</v>
      </c>
      <c r="K646" s="27" t="s">
        <v>37</v>
      </c>
      <c r="L646" s="28" t="s">
        <v>37</v>
      </c>
      <c r="M646" s="28" t="s">
        <v>37</v>
      </c>
      <c r="N646" s="28" t="s">
        <v>35</v>
      </c>
      <c r="O646" s="28" t="s">
        <v>35</v>
      </c>
      <c r="P646" s="28" t="s">
        <v>35</v>
      </c>
      <c r="Q646" s="28" t="s">
        <v>35</v>
      </c>
      <c r="R646" s="28" t="s">
        <v>37</v>
      </c>
      <c r="S646" s="29" t="s">
        <v>1709</v>
      </c>
      <c r="T646" s="30" t="s">
        <v>1710</v>
      </c>
      <c r="U646" s="31" t="s">
        <v>1710</v>
      </c>
      <c r="V646" s="32">
        <f t="shared" ref="V646:X646" si="651">IF(lenb(SUBSTITUTE($Z646,V$1&amp;" (1)",""))&lt;lenb($Z646),1,IF(lenb(SUBSTITUTE($Z646,V$1&amp;" (2)",""))&lt;lenb($Z646),2,IF(lenb(SUBSTITUTE($Z646,V$1&amp;" (3)",""))&lt;lenb($Z646),3,IF(lenb(SUBSTITUTE($Z646,V$1&amp;" (4)",""))&lt;lenb($Z646),4,IF(lenb(SUBSTITUTE($Z646,V$1&amp;" (5)",""))&lt;lenb($Z646),5,IF(lenb(SUBSTITUTE($Z646,V$1&amp;" (6)",""))&lt;lenb($Z646),6,IF(lenb(SUBSTITUTE($Z646,V$1&amp;" (7)",""))&lt;lenb($Z646),1,IF(lenb(SUBSTITUTE($Z646,V$1&amp;" (8)",""))&lt;lenb($Z646),8,IF(lenb(SUBSTITUTE($Z646,V$1&amp;" (9)",""))&lt;lenb($Z646),9,IF(lenb(SUBSTITUTE($Z646,V$1&amp;" (10)",""))&lt;lenb($Z646),10,IF(lenb(SUBSTITUTE($Z646,V$1,""))&lt;lenb($Z646),"ERROR",IF($Z646=$Y$1,"-",0))))))))))))</f>
        <v>1</v>
      </c>
      <c r="W646" s="32">
        <f t="shared" si="651"/>
        <v>0</v>
      </c>
      <c r="X646" s="32">
        <f t="shared" si="651"/>
        <v>0</v>
      </c>
      <c r="Y646" s="32" t="str">
        <f t="shared" si="3"/>
        <v>-</v>
      </c>
      <c r="Z646" s="32" t="s">
        <v>62</v>
      </c>
      <c r="AA646" s="33">
        <f t="shared" si="4"/>
        <v>1</v>
      </c>
      <c r="AB646" s="34">
        <f>COUNTIFS(Links!B:B,"ICSE",Links!C:C,A646,Links!AD:AD,1)</f>
        <v>0</v>
      </c>
      <c r="AC646" s="35" t="s">
        <v>35</v>
      </c>
      <c r="AD646" s="27" t="str">
        <f t="shared" si="5"/>
        <v>No</v>
      </c>
      <c r="AE646" s="36" t="s">
        <v>36</v>
      </c>
      <c r="AF646" s="37" t="s">
        <v>42</v>
      </c>
      <c r="AG646" s="37" t="s">
        <v>42</v>
      </c>
      <c r="AH646" s="37" t="s">
        <v>42</v>
      </c>
      <c r="AI646" s="29" t="str">
        <f t="shared" si="6"/>
        <v>----</v>
      </c>
      <c r="AJ646" s="38" t="str">
        <f t="shared" si="7"/>
        <v>Paper has link but no statement</v>
      </c>
      <c r="AK646" s="39">
        <v>45027.0</v>
      </c>
      <c r="AL646" s="23" t="s">
        <v>43</v>
      </c>
      <c r="AM646" s="40" t="str">
        <f t="shared" si="8"/>
        <v>[IP0774]</v>
      </c>
    </row>
    <row r="647" ht="67.5" customHeight="1">
      <c r="A647" s="41">
        <v>775.0</v>
      </c>
      <c r="B647" s="42" t="s">
        <v>1711</v>
      </c>
      <c r="C647" s="43">
        <v>2020.0</v>
      </c>
      <c r="D647" s="44" t="s">
        <v>37</v>
      </c>
      <c r="E647" s="45" t="s">
        <v>37</v>
      </c>
      <c r="F647" s="45" t="s">
        <v>35</v>
      </c>
      <c r="G647" s="45" t="s">
        <v>37</v>
      </c>
      <c r="H647" s="45" t="s">
        <v>35</v>
      </c>
      <c r="I647" s="45" t="s">
        <v>35</v>
      </c>
      <c r="J647" s="46" t="s">
        <v>36</v>
      </c>
      <c r="K647" s="47" t="s">
        <v>37</v>
      </c>
      <c r="L647" s="48" t="s">
        <v>35</v>
      </c>
      <c r="M647" s="48" t="s">
        <v>37</v>
      </c>
      <c r="N647" s="48" t="s">
        <v>37</v>
      </c>
      <c r="O647" s="48" t="s">
        <v>35</v>
      </c>
      <c r="P647" s="48" t="s">
        <v>35</v>
      </c>
      <c r="Q647" s="48" t="s">
        <v>35</v>
      </c>
      <c r="R647" s="48" t="s">
        <v>37</v>
      </c>
      <c r="S647" s="49" t="s">
        <v>1712</v>
      </c>
      <c r="T647" s="50" t="s">
        <v>1713</v>
      </c>
      <c r="U647" s="51" t="s">
        <v>1713</v>
      </c>
      <c r="V647" s="52">
        <f t="shared" ref="V647:X647" si="652">IF(lenb(SUBSTITUTE($Z647,V$1&amp;" (1)",""))&lt;lenb($Z647),1,IF(lenb(SUBSTITUTE($Z647,V$1&amp;" (2)",""))&lt;lenb($Z647),2,IF(lenb(SUBSTITUTE($Z647,V$1&amp;" (3)",""))&lt;lenb($Z647),3,IF(lenb(SUBSTITUTE($Z647,V$1&amp;" (4)",""))&lt;lenb($Z647),4,IF(lenb(SUBSTITUTE($Z647,V$1&amp;" (5)",""))&lt;lenb($Z647),5,IF(lenb(SUBSTITUTE($Z647,V$1&amp;" (6)",""))&lt;lenb($Z647),6,IF(lenb(SUBSTITUTE($Z647,V$1&amp;" (7)",""))&lt;lenb($Z647),1,IF(lenb(SUBSTITUTE($Z647,V$1&amp;" (8)",""))&lt;lenb($Z647),8,IF(lenb(SUBSTITUTE($Z647,V$1&amp;" (9)",""))&lt;lenb($Z647),9,IF(lenb(SUBSTITUTE($Z647,V$1&amp;" (10)",""))&lt;lenb($Z647),10,IF(lenb(SUBSTITUTE($Z647,V$1,""))&lt;lenb($Z647),"ERROR",IF($Z647=$Y$1,"-",0))))))))))))</f>
        <v>1</v>
      </c>
      <c r="W647" s="52">
        <f t="shared" si="652"/>
        <v>0</v>
      </c>
      <c r="X647" s="52">
        <f t="shared" si="652"/>
        <v>0</v>
      </c>
      <c r="Y647" s="52" t="str">
        <f t="shared" si="3"/>
        <v>-</v>
      </c>
      <c r="Z647" s="52" t="s">
        <v>62</v>
      </c>
      <c r="AA647" s="53">
        <f t="shared" si="4"/>
        <v>1</v>
      </c>
      <c r="AB647" s="54">
        <f>COUNTIFS(Links!B:B,"ICSE",Links!C:C,A647,Links!AD:AD,1)</f>
        <v>0</v>
      </c>
      <c r="AC647" s="55" t="s">
        <v>35</v>
      </c>
      <c r="AD647" s="47" t="str">
        <f t="shared" si="5"/>
        <v>No</v>
      </c>
      <c r="AE647" s="56" t="s">
        <v>36</v>
      </c>
      <c r="AF647" s="57" t="s">
        <v>42</v>
      </c>
      <c r="AG647" s="57" t="s">
        <v>42</v>
      </c>
      <c r="AH647" s="57" t="s">
        <v>42</v>
      </c>
      <c r="AI647" s="49" t="str">
        <f t="shared" si="6"/>
        <v>----</v>
      </c>
      <c r="AJ647" s="58" t="str">
        <f t="shared" si="7"/>
        <v>Paper has link but no statement</v>
      </c>
      <c r="AK647" s="59">
        <v>45027.0</v>
      </c>
      <c r="AL647" s="43" t="s">
        <v>43</v>
      </c>
      <c r="AM647" s="60" t="str">
        <f t="shared" si="8"/>
        <v>[IP0775]</v>
      </c>
    </row>
    <row r="648" ht="67.5" customHeight="1">
      <c r="A648" s="61">
        <v>776.0</v>
      </c>
      <c r="B648" s="22" t="s">
        <v>1714</v>
      </c>
      <c r="C648" s="23">
        <v>2020.0</v>
      </c>
      <c r="D648" s="24" t="s">
        <v>35</v>
      </c>
      <c r="E648" s="25" t="s">
        <v>36</v>
      </c>
      <c r="F648" s="25" t="s">
        <v>36</v>
      </c>
      <c r="G648" s="25" t="s">
        <v>36</v>
      </c>
      <c r="H648" s="25" t="s">
        <v>36</v>
      </c>
      <c r="I648" s="25" t="s">
        <v>36</v>
      </c>
      <c r="J648" s="26" t="s">
        <v>36</v>
      </c>
      <c r="K648" s="27" t="s">
        <v>37</v>
      </c>
      <c r="L648" s="28" t="s">
        <v>35</v>
      </c>
      <c r="M648" s="28" t="s">
        <v>37</v>
      </c>
      <c r="N648" s="28" t="s">
        <v>35</v>
      </c>
      <c r="O648" s="28" t="s">
        <v>35</v>
      </c>
      <c r="P648" s="28" t="s">
        <v>35</v>
      </c>
      <c r="Q648" s="28" t="s">
        <v>35</v>
      </c>
      <c r="R648" s="28" t="s">
        <v>37</v>
      </c>
      <c r="S648" s="29" t="s">
        <v>1715</v>
      </c>
      <c r="T648" s="30" t="s">
        <v>1716</v>
      </c>
      <c r="U648" s="31" t="s">
        <v>1716</v>
      </c>
      <c r="V648" s="32">
        <f t="shared" ref="V648:X648" si="653">IF(lenb(SUBSTITUTE($Z648,V$1&amp;" (1)",""))&lt;lenb($Z648),1,IF(lenb(SUBSTITUTE($Z648,V$1&amp;" (2)",""))&lt;lenb($Z648),2,IF(lenb(SUBSTITUTE($Z648,V$1&amp;" (3)",""))&lt;lenb($Z648),3,IF(lenb(SUBSTITUTE($Z648,V$1&amp;" (4)",""))&lt;lenb($Z648),4,IF(lenb(SUBSTITUTE($Z648,V$1&amp;" (5)",""))&lt;lenb($Z648),5,IF(lenb(SUBSTITUTE($Z648,V$1&amp;" (6)",""))&lt;lenb($Z648),6,IF(lenb(SUBSTITUTE($Z648,V$1&amp;" (7)",""))&lt;lenb($Z648),1,IF(lenb(SUBSTITUTE($Z648,V$1&amp;" (8)",""))&lt;lenb($Z648),8,IF(lenb(SUBSTITUTE($Z648,V$1&amp;" (9)",""))&lt;lenb($Z648),9,IF(lenb(SUBSTITUTE($Z648,V$1&amp;" (10)",""))&lt;lenb($Z648),10,IF(lenb(SUBSTITUTE($Z648,V$1,""))&lt;lenb($Z648),"ERROR",IF($Z648=$Y$1,"-",0))))))))))))</f>
        <v>1</v>
      </c>
      <c r="W648" s="32">
        <f t="shared" si="653"/>
        <v>0</v>
      </c>
      <c r="X648" s="32">
        <f t="shared" si="653"/>
        <v>0</v>
      </c>
      <c r="Y648" s="32" t="str">
        <f t="shared" si="3"/>
        <v>-</v>
      </c>
      <c r="Z648" s="32" t="s">
        <v>62</v>
      </c>
      <c r="AA648" s="33">
        <f t="shared" si="4"/>
        <v>1</v>
      </c>
      <c r="AB648" s="34">
        <f>COUNTIFS(Links!B:B,"ICSE",Links!C:C,A648,Links!AD:AD,1)</f>
        <v>0</v>
      </c>
      <c r="AC648" s="35" t="s">
        <v>35</v>
      </c>
      <c r="AD648" s="27" t="str">
        <f t="shared" si="5"/>
        <v>No</v>
      </c>
      <c r="AE648" s="36" t="s">
        <v>36</v>
      </c>
      <c r="AF648" s="37" t="s">
        <v>42</v>
      </c>
      <c r="AG648" s="37" t="s">
        <v>42</v>
      </c>
      <c r="AH648" s="37" t="s">
        <v>42</v>
      </c>
      <c r="AI648" s="29" t="str">
        <f t="shared" si="6"/>
        <v>----</v>
      </c>
      <c r="AJ648" s="38" t="str">
        <f t="shared" si="7"/>
        <v>Paper has link but no statement</v>
      </c>
      <c r="AK648" s="39">
        <v>45027.0</v>
      </c>
      <c r="AL648" s="23" t="s">
        <v>43</v>
      </c>
      <c r="AM648" s="40" t="str">
        <f t="shared" si="8"/>
        <v>[IP0776]</v>
      </c>
    </row>
    <row r="649" ht="67.5" customHeight="1">
      <c r="A649" s="41">
        <v>777.0</v>
      </c>
      <c r="B649" s="42" t="s">
        <v>1717</v>
      </c>
      <c r="C649" s="43">
        <v>2020.0</v>
      </c>
      <c r="D649" s="44" t="s">
        <v>35</v>
      </c>
      <c r="E649" s="45" t="s">
        <v>36</v>
      </c>
      <c r="F649" s="45" t="s">
        <v>36</v>
      </c>
      <c r="G649" s="45" t="s">
        <v>36</v>
      </c>
      <c r="H649" s="45" t="s">
        <v>36</v>
      </c>
      <c r="I649" s="45" t="s">
        <v>36</v>
      </c>
      <c r="J649" s="46" t="s">
        <v>36</v>
      </c>
      <c r="K649" s="47" t="s">
        <v>35</v>
      </c>
      <c r="L649" s="48" t="s">
        <v>36</v>
      </c>
      <c r="M649" s="48" t="s">
        <v>36</v>
      </c>
      <c r="N649" s="48" t="s">
        <v>36</v>
      </c>
      <c r="O649" s="48" t="s">
        <v>36</v>
      </c>
      <c r="P649" s="48" t="s">
        <v>36</v>
      </c>
      <c r="Q649" s="48" t="s">
        <v>36</v>
      </c>
      <c r="R649" s="48" t="s">
        <v>36</v>
      </c>
      <c r="S649" s="49" t="s">
        <v>36</v>
      </c>
      <c r="T649" s="50" t="s">
        <v>36</v>
      </c>
      <c r="U649" s="51" t="s">
        <v>36</v>
      </c>
      <c r="V649" s="52" t="str">
        <f t="shared" ref="V649:X649" si="654">IF(lenb(SUBSTITUTE($Z649,V$1&amp;" (1)",""))&lt;lenb($Z649),1,IF(lenb(SUBSTITUTE($Z649,V$1&amp;" (2)",""))&lt;lenb($Z649),2,IF(lenb(SUBSTITUTE($Z649,V$1&amp;" (3)",""))&lt;lenb($Z649),3,IF(lenb(SUBSTITUTE($Z649,V$1&amp;" (4)",""))&lt;lenb($Z649),4,IF(lenb(SUBSTITUTE($Z649,V$1&amp;" (5)",""))&lt;lenb($Z649),5,IF(lenb(SUBSTITUTE($Z649,V$1&amp;" (6)",""))&lt;lenb($Z649),6,IF(lenb(SUBSTITUTE($Z649,V$1&amp;" (7)",""))&lt;lenb($Z649),1,IF(lenb(SUBSTITUTE($Z649,V$1&amp;" (8)",""))&lt;lenb($Z649),8,IF(lenb(SUBSTITUTE($Z649,V$1&amp;" (9)",""))&lt;lenb($Z649),9,IF(lenb(SUBSTITUTE($Z649,V$1&amp;" (10)",""))&lt;lenb($Z649),10,IF(lenb(SUBSTITUTE($Z649,V$1,""))&lt;lenb($Z649),"ERROR",IF($Z649=$Y$1,"-",0))))))))))))</f>
        <v>-</v>
      </c>
      <c r="W649" s="52" t="str">
        <f t="shared" si="654"/>
        <v>-</v>
      </c>
      <c r="X649" s="52" t="str">
        <f t="shared" si="654"/>
        <v>-</v>
      </c>
      <c r="Y649" s="52">
        <f t="shared" si="3"/>
        <v>1</v>
      </c>
      <c r="Z649" s="52" t="s">
        <v>23</v>
      </c>
      <c r="AA649" s="53">
        <f t="shared" si="4"/>
        <v>0</v>
      </c>
      <c r="AB649" s="54">
        <f>COUNTIFS(Links!B:B,"ICSE",Links!C:C,A649,Links!AD:AD,1)</f>
        <v>0</v>
      </c>
      <c r="AC649" s="55" t="s">
        <v>36</v>
      </c>
      <c r="AD649" s="47" t="str">
        <f t="shared" si="5"/>
        <v>No</v>
      </c>
      <c r="AE649" s="56" t="s">
        <v>36</v>
      </c>
      <c r="AF649" s="57" t="s">
        <v>42</v>
      </c>
      <c r="AG649" s="57" t="s">
        <v>42</v>
      </c>
      <c r="AH649" s="57" t="s">
        <v>42</v>
      </c>
      <c r="AI649" s="49" t="str">
        <f t="shared" si="6"/>
        <v>----</v>
      </c>
      <c r="AJ649" s="58" t="str">
        <f t="shared" si="7"/>
        <v>Paper has no link and no statement</v>
      </c>
      <c r="AK649" s="59">
        <v>45027.0</v>
      </c>
      <c r="AL649" s="43" t="s">
        <v>43</v>
      </c>
      <c r="AM649" s="60" t="str">
        <f t="shared" si="8"/>
        <v>[IP0777]</v>
      </c>
    </row>
    <row r="650" ht="67.5" customHeight="1">
      <c r="A650" s="61">
        <v>778.0</v>
      </c>
      <c r="B650" s="22" t="s">
        <v>1718</v>
      </c>
      <c r="C650" s="23">
        <v>2020.0</v>
      </c>
      <c r="D650" s="24" t="s">
        <v>37</v>
      </c>
      <c r="E650" s="25" t="s">
        <v>37</v>
      </c>
      <c r="F650" s="25" t="s">
        <v>35</v>
      </c>
      <c r="G650" s="25" t="s">
        <v>37</v>
      </c>
      <c r="H650" s="25" t="s">
        <v>35</v>
      </c>
      <c r="I650" s="25" t="s">
        <v>35</v>
      </c>
      <c r="J650" s="26" t="s">
        <v>36</v>
      </c>
      <c r="K650" s="27" t="s">
        <v>37</v>
      </c>
      <c r="L650" s="28" t="s">
        <v>35</v>
      </c>
      <c r="M650" s="28" t="s">
        <v>37</v>
      </c>
      <c r="N650" s="28" t="s">
        <v>37</v>
      </c>
      <c r="O650" s="28" t="s">
        <v>35</v>
      </c>
      <c r="P650" s="28" t="s">
        <v>35</v>
      </c>
      <c r="Q650" s="28" t="s">
        <v>35</v>
      </c>
      <c r="R650" s="28" t="s">
        <v>37</v>
      </c>
      <c r="S650" s="29" t="s">
        <v>1719</v>
      </c>
      <c r="T650" s="30" t="s">
        <v>1720</v>
      </c>
      <c r="U650" s="31" t="s">
        <v>1720</v>
      </c>
      <c r="V650" s="32">
        <f t="shared" ref="V650:X650" si="655">IF(lenb(SUBSTITUTE($Z650,V$1&amp;" (1)",""))&lt;lenb($Z650),1,IF(lenb(SUBSTITUTE($Z650,V$1&amp;" (2)",""))&lt;lenb($Z650),2,IF(lenb(SUBSTITUTE($Z650,V$1&amp;" (3)",""))&lt;lenb($Z650),3,IF(lenb(SUBSTITUTE($Z650,V$1&amp;" (4)",""))&lt;lenb($Z650),4,IF(lenb(SUBSTITUTE($Z650,V$1&amp;" (5)",""))&lt;lenb($Z650),5,IF(lenb(SUBSTITUTE($Z650,V$1&amp;" (6)",""))&lt;lenb($Z650),6,IF(lenb(SUBSTITUTE($Z650,V$1&amp;" (7)",""))&lt;lenb($Z650),1,IF(lenb(SUBSTITUTE($Z650,V$1&amp;" (8)",""))&lt;lenb($Z650),8,IF(lenb(SUBSTITUTE($Z650,V$1&amp;" (9)",""))&lt;lenb($Z650),9,IF(lenb(SUBSTITUTE($Z650,V$1&amp;" (10)",""))&lt;lenb($Z650),10,IF(lenb(SUBSTITUTE($Z650,V$1,""))&lt;lenb($Z650),"ERROR",IF($Z650=$Y$1,"-",0))))))))))))</f>
        <v>1</v>
      </c>
      <c r="W650" s="32">
        <f t="shared" si="655"/>
        <v>0</v>
      </c>
      <c r="X650" s="32">
        <f t="shared" si="655"/>
        <v>0</v>
      </c>
      <c r="Y650" s="32" t="str">
        <f t="shared" si="3"/>
        <v>-</v>
      </c>
      <c r="Z650" s="32" t="s">
        <v>62</v>
      </c>
      <c r="AA650" s="33">
        <f t="shared" si="4"/>
        <v>1</v>
      </c>
      <c r="AB650" s="34">
        <f>COUNTIFS(Links!B:B,"ICSE",Links!C:C,A650,Links!AD:AD,1)</f>
        <v>0</v>
      </c>
      <c r="AC650" s="35" t="s">
        <v>35</v>
      </c>
      <c r="AD650" s="27" t="str">
        <f t="shared" si="5"/>
        <v>No</v>
      </c>
      <c r="AE650" s="36" t="s">
        <v>36</v>
      </c>
      <c r="AF650" s="37" t="s">
        <v>42</v>
      </c>
      <c r="AG650" s="37" t="s">
        <v>42</v>
      </c>
      <c r="AH650" s="37" t="s">
        <v>42</v>
      </c>
      <c r="AI650" s="29" t="str">
        <f t="shared" si="6"/>
        <v>----</v>
      </c>
      <c r="AJ650" s="38" t="str">
        <f t="shared" si="7"/>
        <v>Paper has link but no statement</v>
      </c>
      <c r="AK650" s="39">
        <v>45027.0</v>
      </c>
      <c r="AL650" s="23" t="s">
        <v>43</v>
      </c>
      <c r="AM650" s="40" t="str">
        <f t="shared" si="8"/>
        <v>[IP0778]</v>
      </c>
    </row>
    <row r="651" ht="67.5" customHeight="1">
      <c r="A651" s="41">
        <v>779.0</v>
      </c>
      <c r="B651" s="42" t="s">
        <v>1721</v>
      </c>
      <c r="C651" s="43">
        <v>2020.0</v>
      </c>
      <c r="D651" s="44" t="s">
        <v>35</v>
      </c>
      <c r="E651" s="45" t="s">
        <v>36</v>
      </c>
      <c r="F651" s="45" t="s">
        <v>36</v>
      </c>
      <c r="G651" s="45" t="s">
        <v>36</v>
      </c>
      <c r="H651" s="45" t="s">
        <v>36</v>
      </c>
      <c r="I651" s="45" t="s">
        <v>36</v>
      </c>
      <c r="J651" s="46" t="s">
        <v>36</v>
      </c>
      <c r="K651" s="47" t="s">
        <v>35</v>
      </c>
      <c r="L651" s="48" t="s">
        <v>36</v>
      </c>
      <c r="M651" s="48" t="s">
        <v>36</v>
      </c>
      <c r="N651" s="48" t="s">
        <v>36</v>
      </c>
      <c r="O651" s="48" t="s">
        <v>36</v>
      </c>
      <c r="P651" s="48" t="s">
        <v>36</v>
      </c>
      <c r="Q651" s="48" t="s">
        <v>36</v>
      </c>
      <c r="R651" s="48" t="s">
        <v>36</v>
      </c>
      <c r="S651" s="49" t="s">
        <v>36</v>
      </c>
      <c r="T651" s="50" t="s">
        <v>36</v>
      </c>
      <c r="U651" s="51" t="s">
        <v>36</v>
      </c>
      <c r="V651" s="52" t="str">
        <f t="shared" ref="V651:X651" si="656">IF(lenb(SUBSTITUTE($Z651,V$1&amp;" (1)",""))&lt;lenb($Z651),1,IF(lenb(SUBSTITUTE($Z651,V$1&amp;" (2)",""))&lt;lenb($Z651),2,IF(lenb(SUBSTITUTE($Z651,V$1&amp;" (3)",""))&lt;lenb($Z651),3,IF(lenb(SUBSTITUTE($Z651,V$1&amp;" (4)",""))&lt;lenb($Z651),4,IF(lenb(SUBSTITUTE($Z651,V$1&amp;" (5)",""))&lt;lenb($Z651),5,IF(lenb(SUBSTITUTE($Z651,V$1&amp;" (6)",""))&lt;lenb($Z651),6,IF(lenb(SUBSTITUTE($Z651,V$1&amp;" (7)",""))&lt;lenb($Z651),1,IF(lenb(SUBSTITUTE($Z651,V$1&amp;" (8)",""))&lt;lenb($Z651),8,IF(lenb(SUBSTITUTE($Z651,V$1&amp;" (9)",""))&lt;lenb($Z651),9,IF(lenb(SUBSTITUTE($Z651,V$1&amp;" (10)",""))&lt;lenb($Z651),10,IF(lenb(SUBSTITUTE($Z651,V$1,""))&lt;lenb($Z651),"ERROR",IF($Z651=$Y$1,"-",0))))))))))))</f>
        <v>-</v>
      </c>
      <c r="W651" s="52" t="str">
        <f t="shared" si="656"/>
        <v>-</v>
      </c>
      <c r="X651" s="52" t="str">
        <f t="shared" si="656"/>
        <v>-</v>
      </c>
      <c r="Y651" s="52">
        <f t="shared" si="3"/>
        <v>1</v>
      </c>
      <c r="Z651" s="52" t="s">
        <v>23</v>
      </c>
      <c r="AA651" s="53">
        <f t="shared" si="4"/>
        <v>0</v>
      </c>
      <c r="AB651" s="54">
        <f>COUNTIFS(Links!B:B,"ICSE",Links!C:C,A651,Links!AD:AD,1)</f>
        <v>0</v>
      </c>
      <c r="AC651" s="55" t="s">
        <v>36</v>
      </c>
      <c r="AD651" s="47" t="str">
        <f t="shared" si="5"/>
        <v>No</v>
      </c>
      <c r="AE651" s="56" t="s">
        <v>36</v>
      </c>
      <c r="AF651" s="57" t="s">
        <v>42</v>
      </c>
      <c r="AG651" s="57" t="s">
        <v>42</v>
      </c>
      <c r="AH651" s="57" t="s">
        <v>42</v>
      </c>
      <c r="AI651" s="49" t="str">
        <f t="shared" si="6"/>
        <v>----</v>
      </c>
      <c r="AJ651" s="58" t="str">
        <f t="shared" si="7"/>
        <v>Paper has no link and no statement</v>
      </c>
      <c r="AK651" s="59">
        <v>45027.0</v>
      </c>
      <c r="AL651" s="43" t="s">
        <v>43</v>
      </c>
      <c r="AM651" s="60" t="str">
        <f t="shared" si="8"/>
        <v>[IP0779]</v>
      </c>
    </row>
    <row r="652" ht="67.5" customHeight="1">
      <c r="A652" s="61">
        <v>780.0</v>
      </c>
      <c r="B652" s="22" t="s">
        <v>1722</v>
      </c>
      <c r="C652" s="23">
        <v>2020.0</v>
      </c>
      <c r="D652" s="24" t="s">
        <v>37</v>
      </c>
      <c r="E652" s="25" t="s">
        <v>37</v>
      </c>
      <c r="F652" s="25" t="s">
        <v>35</v>
      </c>
      <c r="G652" s="25" t="s">
        <v>37</v>
      </c>
      <c r="H652" s="25" t="s">
        <v>35</v>
      </c>
      <c r="I652" s="25" t="s">
        <v>35</v>
      </c>
      <c r="J652" s="26" t="s">
        <v>36</v>
      </c>
      <c r="K652" s="27" t="s">
        <v>35</v>
      </c>
      <c r="L652" s="28" t="s">
        <v>36</v>
      </c>
      <c r="M652" s="28" t="s">
        <v>36</v>
      </c>
      <c r="N652" s="28" t="s">
        <v>36</v>
      </c>
      <c r="O652" s="28" t="s">
        <v>36</v>
      </c>
      <c r="P652" s="28" t="s">
        <v>36</v>
      </c>
      <c r="Q652" s="28" t="s">
        <v>36</v>
      </c>
      <c r="R652" s="28" t="s">
        <v>36</v>
      </c>
      <c r="S652" s="29" t="s">
        <v>36</v>
      </c>
      <c r="T652" s="30" t="s">
        <v>36</v>
      </c>
      <c r="U652" s="31" t="s">
        <v>36</v>
      </c>
      <c r="V652" s="32" t="str">
        <f t="shared" ref="V652:X652" si="657">IF(lenb(SUBSTITUTE($Z652,V$1&amp;" (1)",""))&lt;lenb($Z652),1,IF(lenb(SUBSTITUTE($Z652,V$1&amp;" (2)",""))&lt;lenb($Z652),2,IF(lenb(SUBSTITUTE($Z652,V$1&amp;" (3)",""))&lt;lenb($Z652),3,IF(lenb(SUBSTITUTE($Z652,V$1&amp;" (4)",""))&lt;lenb($Z652),4,IF(lenb(SUBSTITUTE($Z652,V$1&amp;" (5)",""))&lt;lenb($Z652),5,IF(lenb(SUBSTITUTE($Z652,V$1&amp;" (6)",""))&lt;lenb($Z652),6,IF(lenb(SUBSTITUTE($Z652,V$1&amp;" (7)",""))&lt;lenb($Z652),1,IF(lenb(SUBSTITUTE($Z652,V$1&amp;" (8)",""))&lt;lenb($Z652),8,IF(lenb(SUBSTITUTE($Z652,V$1&amp;" (9)",""))&lt;lenb($Z652),9,IF(lenb(SUBSTITUTE($Z652,V$1&amp;" (10)",""))&lt;lenb($Z652),10,IF(lenb(SUBSTITUTE($Z652,V$1,""))&lt;lenb($Z652),"ERROR",IF($Z652=$Y$1,"-",0))))))))))))</f>
        <v>-</v>
      </c>
      <c r="W652" s="32" t="str">
        <f t="shared" si="657"/>
        <v>-</v>
      </c>
      <c r="X652" s="32" t="str">
        <f t="shared" si="657"/>
        <v>-</v>
      </c>
      <c r="Y652" s="32">
        <f t="shared" si="3"/>
        <v>1</v>
      </c>
      <c r="Z652" s="32" t="s">
        <v>23</v>
      </c>
      <c r="AA652" s="33">
        <f t="shared" si="4"/>
        <v>0</v>
      </c>
      <c r="AB652" s="34">
        <f>COUNTIFS(Links!B:B,"ICSE",Links!C:C,A652,Links!AD:AD,1)</f>
        <v>0</v>
      </c>
      <c r="AC652" s="35" t="s">
        <v>36</v>
      </c>
      <c r="AD652" s="27" t="str">
        <f t="shared" si="5"/>
        <v>No</v>
      </c>
      <c r="AE652" s="36" t="s">
        <v>36</v>
      </c>
      <c r="AF652" s="37" t="s">
        <v>42</v>
      </c>
      <c r="AG652" s="37" t="s">
        <v>42</v>
      </c>
      <c r="AH652" s="37" t="s">
        <v>42</v>
      </c>
      <c r="AI652" s="29" t="str">
        <f t="shared" si="6"/>
        <v>----</v>
      </c>
      <c r="AJ652" s="38" t="str">
        <f t="shared" si="7"/>
        <v>Paper has no link and no statement</v>
      </c>
      <c r="AK652" s="39">
        <v>45027.0</v>
      </c>
      <c r="AL652" s="23" t="s">
        <v>43</v>
      </c>
      <c r="AM652" s="40" t="str">
        <f t="shared" si="8"/>
        <v>[IP0780]</v>
      </c>
    </row>
    <row r="653" ht="67.5" customHeight="1">
      <c r="A653" s="41">
        <v>781.0</v>
      </c>
      <c r="B653" s="42" t="s">
        <v>1723</v>
      </c>
      <c r="C653" s="43">
        <v>2020.0</v>
      </c>
      <c r="D653" s="44" t="s">
        <v>37</v>
      </c>
      <c r="E653" s="45" t="s">
        <v>37</v>
      </c>
      <c r="F653" s="45" t="s">
        <v>35</v>
      </c>
      <c r="G653" s="45" t="s">
        <v>37</v>
      </c>
      <c r="H653" s="45" t="s">
        <v>35</v>
      </c>
      <c r="I653" s="45" t="s">
        <v>35</v>
      </c>
      <c r="J653" s="46" t="s">
        <v>36</v>
      </c>
      <c r="K653" s="47" t="s">
        <v>37</v>
      </c>
      <c r="L653" s="48" t="s">
        <v>35</v>
      </c>
      <c r="M653" s="48" t="s">
        <v>35</v>
      </c>
      <c r="N653" s="48" t="s">
        <v>35</v>
      </c>
      <c r="O653" s="48" t="s">
        <v>37</v>
      </c>
      <c r="P653" s="48" t="s">
        <v>37</v>
      </c>
      <c r="Q653" s="48" t="s">
        <v>35</v>
      </c>
      <c r="R653" s="48" t="s">
        <v>35</v>
      </c>
      <c r="S653" s="49" t="s">
        <v>1724</v>
      </c>
      <c r="T653" s="50" t="s">
        <v>1725</v>
      </c>
      <c r="U653" s="51" t="s">
        <v>1726</v>
      </c>
      <c r="V653" s="52">
        <f t="shared" ref="V653:X653" si="658">IF(lenb(SUBSTITUTE($Z653,V$1&amp;" (1)",""))&lt;lenb($Z653),1,IF(lenb(SUBSTITUTE($Z653,V$1&amp;" (2)",""))&lt;lenb($Z653),2,IF(lenb(SUBSTITUTE($Z653,V$1&amp;" (3)",""))&lt;lenb($Z653),3,IF(lenb(SUBSTITUTE($Z653,V$1&amp;" (4)",""))&lt;lenb($Z653),4,IF(lenb(SUBSTITUTE($Z653,V$1&amp;" (5)",""))&lt;lenb($Z653),5,IF(lenb(SUBSTITUTE($Z653,V$1&amp;" (6)",""))&lt;lenb($Z653),6,IF(lenb(SUBSTITUTE($Z653,V$1&amp;" (7)",""))&lt;lenb($Z653),1,IF(lenb(SUBSTITUTE($Z653,V$1&amp;" (8)",""))&lt;lenb($Z653),8,IF(lenb(SUBSTITUTE($Z653,V$1&amp;" (9)",""))&lt;lenb($Z653),9,IF(lenb(SUBSTITUTE($Z653,V$1&amp;" (10)",""))&lt;lenb($Z653),10,IF(lenb(SUBSTITUTE($Z653,V$1,""))&lt;lenb($Z653),"ERROR",IF($Z653=$Y$1,"-",0))))))))))))</f>
        <v>1</v>
      </c>
      <c r="W653" s="52">
        <f t="shared" si="658"/>
        <v>0</v>
      </c>
      <c r="X653" s="52">
        <f t="shared" si="658"/>
        <v>0</v>
      </c>
      <c r="Y653" s="52" t="str">
        <f t="shared" si="3"/>
        <v>-</v>
      </c>
      <c r="Z653" s="52" t="s">
        <v>62</v>
      </c>
      <c r="AA653" s="53">
        <f t="shared" si="4"/>
        <v>1</v>
      </c>
      <c r="AB653" s="54">
        <f>COUNTIFS(Links!B:B,"ICSE",Links!C:C,A653,Links!AD:AD,1)</f>
        <v>0</v>
      </c>
      <c r="AC653" s="55" t="s">
        <v>35</v>
      </c>
      <c r="AD653" s="47" t="str">
        <f t="shared" si="5"/>
        <v>Yes</v>
      </c>
      <c r="AE653" s="56" t="s">
        <v>1727</v>
      </c>
      <c r="AF653" s="56" t="s">
        <v>223</v>
      </c>
      <c r="AG653" s="56" t="s">
        <v>1728</v>
      </c>
      <c r="AH653" s="56" t="s">
        <v>146</v>
      </c>
      <c r="AI653" s="49" t="str">
        <f>if(AH653="-",if(AG653="-",if(AF653="-","-",AF653),AF653&amp;char(10)&amp;AG653),AF653&amp;char(10)&amp;AG653&amp;char(10)&amp;AH653)</f>
        <v>Barriers (Agreements and legal rights)
Limited access (Credentials required)
Future plans (—)</v>
      </c>
      <c r="AJ653" s="58" t="str">
        <f t="shared" si="7"/>
        <v>Paper has link and statement</v>
      </c>
      <c r="AK653" s="59">
        <v>45027.0</v>
      </c>
      <c r="AL653" s="43" t="s">
        <v>43</v>
      </c>
      <c r="AM653" s="60" t="str">
        <f t="shared" si="8"/>
        <v>[IP0781]</v>
      </c>
    </row>
    <row r="654" ht="67.5" customHeight="1">
      <c r="A654" s="61">
        <v>782.0</v>
      </c>
      <c r="B654" s="22" t="s">
        <v>1729</v>
      </c>
      <c r="C654" s="23">
        <v>2020.0</v>
      </c>
      <c r="D654" s="24" t="s">
        <v>37</v>
      </c>
      <c r="E654" s="25" t="s">
        <v>37</v>
      </c>
      <c r="F654" s="25" t="s">
        <v>35</v>
      </c>
      <c r="G654" s="25" t="s">
        <v>37</v>
      </c>
      <c r="H654" s="25" t="s">
        <v>35</v>
      </c>
      <c r="I654" s="25" t="s">
        <v>35</v>
      </c>
      <c r="J654" s="26" t="s">
        <v>36</v>
      </c>
      <c r="K654" s="27" t="s">
        <v>37</v>
      </c>
      <c r="L654" s="28" t="s">
        <v>35</v>
      </c>
      <c r="M654" s="28" t="s">
        <v>35</v>
      </c>
      <c r="N654" s="28" t="s">
        <v>35</v>
      </c>
      <c r="O654" s="28" t="s">
        <v>35</v>
      </c>
      <c r="P654" s="28" t="s">
        <v>35</v>
      </c>
      <c r="Q654" s="28" t="s">
        <v>37</v>
      </c>
      <c r="R654" s="28" t="s">
        <v>35</v>
      </c>
      <c r="S654" s="29" t="s">
        <v>1730</v>
      </c>
      <c r="T654" s="30" t="s">
        <v>1731</v>
      </c>
      <c r="U654" s="31" t="s">
        <v>1731</v>
      </c>
      <c r="V654" s="32">
        <f t="shared" ref="V654:X654" si="659">IF(lenb(SUBSTITUTE($Z654,V$1&amp;" (1)",""))&lt;lenb($Z654),1,IF(lenb(SUBSTITUTE($Z654,V$1&amp;" (2)",""))&lt;lenb($Z654),2,IF(lenb(SUBSTITUTE($Z654,V$1&amp;" (3)",""))&lt;lenb($Z654),3,IF(lenb(SUBSTITUTE($Z654,V$1&amp;" (4)",""))&lt;lenb($Z654),4,IF(lenb(SUBSTITUTE($Z654,V$1&amp;" (5)",""))&lt;lenb($Z654),5,IF(lenb(SUBSTITUTE($Z654,V$1&amp;" (6)",""))&lt;lenb($Z654),6,IF(lenb(SUBSTITUTE($Z654,V$1&amp;" (7)",""))&lt;lenb($Z654),1,IF(lenb(SUBSTITUTE($Z654,V$1&amp;" (8)",""))&lt;lenb($Z654),8,IF(lenb(SUBSTITUTE($Z654,V$1&amp;" (9)",""))&lt;lenb($Z654),9,IF(lenb(SUBSTITUTE($Z654,V$1&amp;" (10)",""))&lt;lenb($Z654),10,IF(lenb(SUBSTITUTE($Z654,V$1,""))&lt;lenb($Z654),"ERROR",IF($Z654=$Y$1,"-",0))))))))))))</f>
        <v>8</v>
      </c>
      <c r="W654" s="32">
        <f t="shared" si="659"/>
        <v>0</v>
      </c>
      <c r="X654" s="32">
        <f t="shared" si="659"/>
        <v>0</v>
      </c>
      <c r="Y654" s="32" t="str">
        <f t="shared" si="3"/>
        <v>-</v>
      </c>
      <c r="Z654" s="32" t="s">
        <v>1732</v>
      </c>
      <c r="AA654" s="33">
        <f t="shared" si="4"/>
        <v>8</v>
      </c>
      <c r="AB654" s="34">
        <f>COUNTIFS(Links!B:B,"ICSE",Links!C:C,A654,Links!AD:AD,1)</f>
        <v>0</v>
      </c>
      <c r="AC654" s="35" t="s">
        <v>37</v>
      </c>
      <c r="AD654" s="27" t="str">
        <f t="shared" si="5"/>
        <v>No</v>
      </c>
      <c r="AE654" s="36" t="s">
        <v>36</v>
      </c>
      <c r="AF654" s="37" t="s">
        <v>42</v>
      </c>
      <c r="AG654" s="37" t="s">
        <v>42</v>
      </c>
      <c r="AH654" s="37" t="s">
        <v>42</v>
      </c>
      <c r="AI654" s="29" t="str">
        <f t="shared" ref="AI654:AI1237" si="661">IF(AH654="----",IF(AG654="----",IF(AF654="----","----",AF654),AF654&amp;CHAR(10)&amp;AG654),AF654&amp;CHAR(10)&amp;AG654&amp;CHAR(10)&amp;AH654)</f>
        <v>----</v>
      </c>
      <c r="AJ654" s="38" t="str">
        <f t="shared" si="7"/>
        <v>Paper has link but no statement</v>
      </c>
      <c r="AK654" s="39">
        <v>45027.0</v>
      </c>
      <c r="AL654" s="23" t="s">
        <v>43</v>
      </c>
      <c r="AM654" s="40" t="str">
        <f t="shared" si="8"/>
        <v>[IP0782]</v>
      </c>
    </row>
    <row r="655" ht="67.5" customHeight="1">
      <c r="A655" s="41">
        <v>783.0</v>
      </c>
      <c r="B655" s="42" t="s">
        <v>1733</v>
      </c>
      <c r="C655" s="43">
        <v>2020.0</v>
      </c>
      <c r="D655" s="44" t="s">
        <v>37</v>
      </c>
      <c r="E655" s="45" t="s">
        <v>37</v>
      </c>
      <c r="F655" s="45" t="s">
        <v>35</v>
      </c>
      <c r="G655" s="45" t="s">
        <v>37</v>
      </c>
      <c r="H655" s="45" t="s">
        <v>35</v>
      </c>
      <c r="I655" s="45" t="s">
        <v>35</v>
      </c>
      <c r="J655" s="46" t="s">
        <v>36</v>
      </c>
      <c r="K655" s="47" t="s">
        <v>37</v>
      </c>
      <c r="L655" s="48" t="s">
        <v>35</v>
      </c>
      <c r="M655" s="48" t="s">
        <v>37</v>
      </c>
      <c r="N655" s="48" t="s">
        <v>35</v>
      </c>
      <c r="O655" s="48" t="s">
        <v>35</v>
      </c>
      <c r="P655" s="48" t="s">
        <v>37</v>
      </c>
      <c r="Q655" s="48" t="s">
        <v>35</v>
      </c>
      <c r="R655" s="48" t="s">
        <v>37</v>
      </c>
      <c r="S655" s="49" t="s">
        <v>1734</v>
      </c>
      <c r="T655" s="50" t="s">
        <v>1735</v>
      </c>
      <c r="U655" s="51" t="s">
        <v>1735</v>
      </c>
      <c r="V655" s="52">
        <f t="shared" ref="V655:X655" si="660">IF(lenb(SUBSTITUTE($Z655,V$1&amp;" (1)",""))&lt;lenb($Z655),1,IF(lenb(SUBSTITUTE($Z655,V$1&amp;" (2)",""))&lt;lenb($Z655),2,IF(lenb(SUBSTITUTE($Z655,V$1&amp;" (3)",""))&lt;lenb($Z655),3,IF(lenb(SUBSTITUTE($Z655,V$1&amp;" (4)",""))&lt;lenb($Z655),4,IF(lenb(SUBSTITUTE($Z655,V$1&amp;" (5)",""))&lt;lenb($Z655),5,IF(lenb(SUBSTITUTE($Z655,V$1&amp;" (6)",""))&lt;lenb($Z655),6,IF(lenb(SUBSTITUTE($Z655,V$1&amp;" (7)",""))&lt;lenb($Z655),1,IF(lenb(SUBSTITUTE($Z655,V$1&amp;" (8)",""))&lt;lenb($Z655),8,IF(lenb(SUBSTITUTE($Z655,V$1&amp;" (9)",""))&lt;lenb($Z655),9,IF(lenb(SUBSTITUTE($Z655,V$1&amp;" (10)",""))&lt;lenb($Z655),10,IF(lenb(SUBSTITUTE($Z655,V$1,""))&lt;lenb($Z655),"ERROR",IF($Z655=$Y$1,"-",0))))))))))))</f>
        <v>1</v>
      </c>
      <c r="W655" s="52">
        <f t="shared" si="660"/>
        <v>0</v>
      </c>
      <c r="X655" s="52">
        <f t="shared" si="660"/>
        <v>0</v>
      </c>
      <c r="Y655" s="52" t="str">
        <f t="shared" si="3"/>
        <v>-</v>
      </c>
      <c r="Z655" s="52" t="s">
        <v>62</v>
      </c>
      <c r="AA655" s="53">
        <f t="shared" si="4"/>
        <v>1</v>
      </c>
      <c r="AB655" s="54">
        <f>COUNTIFS(Links!B:B,"ICSE",Links!C:C,A655,Links!AD:AD,1)</f>
        <v>0</v>
      </c>
      <c r="AC655" s="55" t="s">
        <v>37</v>
      </c>
      <c r="AD655" s="47" t="str">
        <f t="shared" si="5"/>
        <v>No</v>
      </c>
      <c r="AE655" s="56" t="s">
        <v>36</v>
      </c>
      <c r="AF655" s="57" t="s">
        <v>42</v>
      </c>
      <c r="AG655" s="57" t="s">
        <v>42</v>
      </c>
      <c r="AH655" s="57" t="s">
        <v>42</v>
      </c>
      <c r="AI655" s="49" t="str">
        <f t="shared" si="661"/>
        <v>----</v>
      </c>
      <c r="AJ655" s="58" t="str">
        <f t="shared" si="7"/>
        <v>Paper has link but no statement</v>
      </c>
      <c r="AK655" s="59">
        <v>45027.0</v>
      </c>
      <c r="AL655" s="43" t="s">
        <v>43</v>
      </c>
      <c r="AM655" s="60" t="str">
        <f t="shared" si="8"/>
        <v>[IP0783]</v>
      </c>
    </row>
    <row r="656" ht="67.5" customHeight="1">
      <c r="A656" s="61">
        <v>784.0</v>
      </c>
      <c r="B656" s="22" t="s">
        <v>1736</v>
      </c>
      <c r="C656" s="23">
        <v>2020.0</v>
      </c>
      <c r="D656" s="24" t="s">
        <v>37</v>
      </c>
      <c r="E656" s="25" t="s">
        <v>37</v>
      </c>
      <c r="F656" s="25" t="s">
        <v>35</v>
      </c>
      <c r="G656" s="25" t="s">
        <v>37</v>
      </c>
      <c r="H656" s="25" t="s">
        <v>35</v>
      </c>
      <c r="I656" s="25" t="s">
        <v>35</v>
      </c>
      <c r="J656" s="26" t="s">
        <v>36</v>
      </c>
      <c r="K656" s="27" t="s">
        <v>37</v>
      </c>
      <c r="L656" s="28" t="s">
        <v>35</v>
      </c>
      <c r="M656" s="28" t="s">
        <v>37</v>
      </c>
      <c r="N656" s="28" t="s">
        <v>37</v>
      </c>
      <c r="O656" s="28" t="s">
        <v>35</v>
      </c>
      <c r="P656" s="28" t="s">
        <v>35</v>
      </c>
      <c r="Q656" s="28" t="s">
        <v>35</v>
      </c>
      <c r="R656" s="28" t="s">
        <v>35</v>
      </c>
      <c r="S656" s="29" t="s">
        <v>1737</v>
      </c>
      <c r="T656" s="30" t="s">
        <v>1738</v>
      </c>
      <c r="U656" s="31" t="s">
        <v>1738</v>
      </c>
      <c r="V656" s="32">
        <f t="shared" ref="V656:X656" si="662">IF(lenb(SUBSTITUTE($Z656,V$1&amp;" (1)",""))&lt;lenb($Z656),1,IF(lenb(SUBSTITUTE($Z656,V$1&amp;" (2)",""))&lt;lenb($Z656),2,IF(lenb(SUBSTITUTE($Z656,V$1&amp;" (3)",""))&lt;lenb($Z656),3,IF(lenb(SUBSTITUTE($Z656,V$1&amp;" (4)",""))&lt;lenb($Z656),4,IF(lenb(SUBSTITUTE($Z656,V$1&amp;" (5)",""))&lt;lenb($Z656),5,IF(lenb(SUBSTITUTE($Z656,V$1&amp;" (6)",""))&lt;lenb($Z656),6,IF(lenb(SUBSTITUTE($Z656,V$1&amp;" (7)",""))&lt;lenb($Z656),1,IF(lenb(SUBSTITUTE($Z656,V$1&amp;" (8)",""))&lt;lenb($Z656),8,IF(lenb(SUBSTITUTE($Z656,V$1&amp;" (9)",""))&lt;lenb($Z656),9,IF(lenb(SUBSTITUTE($Z656,V$1&amp;" (10)",""))&lt;lenb($Z656),10,IF(lenb(SUBSTITUTE($Z656,V$1,""))&lt;lenb($Z656),"ERROR",IF($Z656=$Y$1,"-",0))))))))))))</f>
        <v>1</v>
      </c>
      <c r="W656" s="32">
        <f t="shared" si="662"/>
        <v>0</v>
      </c>
      <c r="X656" s="32">
        <f t="shared" si="662"/>
        <v>0</v>
      </c>
      <c r="Y656" s="32" t="str">
        <f t="shared" si="3"/>
        <v>-</v>
      </c>
      <c r="Z656" s="32" t="s">
        <v>62</v>
      </c>
      <c r="AA656" s="33">
        <f t="shared" si="4"/>
        <v>1</v>
      </c>
      <c r="AB656" s="34">
        <f>COUNTIFS(Links!B:B,"ICSE",Links!C:C,A656,Links!AD:AD,1)</f>
        <v>0</v>
      </c>
      <c r="AC656" s="35" t="s">
        <v>35</v>
      </c>
      <c r="AD656" s="27" t="str">
        <f t="shared" si="5"/>
        <v>No</v>
      </c>
      <c r="AE656" s="36" t="s">
        <v>36</v>
      </c>
      <c r="AF656" s="37" t="s">
        <v>42</v>
      </c>
      <c r="AG656" s="37" t="s">
        <v>42</v>
      </c>
      <c r="AH656" s="37" t="s">
        <v>42</v>
      </c>
      <c r="AI656" s="29" t="str">
        <f t="shared" si="661"/>
        <v>----</v>
      </c>
      <c r="AJ656" s="38" t="str">
        <f t="shared" si="7"/>
        <v>Paper has link but no statement</v>
      </c>
      <c r="AK656" s="39">
        <v>45027.0</v>
      </c>
      <c r="AL656" s="23" t="s">
        <v>43</v>
      </c>
      <c r="AM656" s="40" t="str">
        <f t="shared" si="8"/>
        <v>[IP0784]</v>
      </c>
    </row>
    <row r="657" ht="67.5" customHeight="1">
      <c r="A657" s="41">
        <v>785.0</v>
      </c>
      <c r="B657" s="42" t="s">
        <v>1739</v>
      </c>
      <c r="C657" s="43">
        <v>2020.0</v>
      </c>
      <c r="D657" s="44" t="s">
        <v>37</v>
      </c>
      <c r="E657" s="45" t="s">
        <v>37</v>
      </c>
      <c r="F657" s="45" t="s">
        <v>35</v>
      </c>
      <c r="G657" s="45" t="s">
        <v>37</v>
      </c>
      <c r="H657" s="45" t="s">
        <v>35</v>
      </c>
      <c r="I657" s="45" t="s">
        <v>35</v>
      </c>
      <c r="J657" s="46" t="s">
        <v>36</v>
      </c>
      <c r="K657" s="47" t="s">
        <v>37</v>
      </c>
      <c r="L657" s="48" t="s">
        <v>35</v>
      </c>
      <c r="M657" s="48" t="s">
        <v>37</v>
      </c>
      <c r="N657" s="48" t="s">
        <v>35</v>
      </c>
      <c r="O657" s="48" t="s">
        <v>35</v>
      </c>
      <c r="P657" s="48" t="s">
        <v>35</v>
      </c>
      <c r="Q657" s="48" t="s">
        <v>35</v>
      </c>
      <c r="R657" s="48" t="s">
        <v>37</v>
      </c>
      <c r="S657" s="49" t="s">
        <v>1740</v>
      </c>
      <c r="T657" s="50" t="s">
        <v>1741</v>
      </c>
      <c r="U657" s="51" t="s">
        <v>1741</v>
      </c>
      <c r="V657" s="52">
        <f t="shared" ref="V657:X657" si="663">IF(lenb(SUBSTITUTE($Z657,V$1&amp;" (1)",""))&lt;lenb($Z657),1,IF(lenb(SUBSTITUTE($Z657,V$1&amp;" (2)",""))&lt;lenb($Z657),2,IF(lenb(SUBSTITUTE($Z657,V$1&amp;" (3)",""))&lt;lenb($Z657),3,IF(lenb(SUBSTITUTE($Z657,V$1&amp;" (4)",""))&lt;lenb($Z657),4,IF(lenb(SUBSTITUTE($Z657,V$1&amp;" (5)",""))&lt;lenb($Z657),5,IF(lenb(SUBSTITUTE($Z657,V$1&amp;" (6)",""))&lt;lenb($Z657),6,IF(lenb(SUBSTITUTE($Z657,V$1&amp;" (7)",""))&lt;lenb($Z657),1,IF(lenb(SUBSTITUTE($Z657,V$1&amp;" (8)",""))&lt;lenb($Z657),8,IF(lenb(SUBSTITUTE($Z657,V$1&amp;" (9)",""))&lt;lenb($Z657),9,IF(lenb(SUBSTITUTE($Z657,V$1&amp;" (10)",""))&lt;lenb($Z657),10,IF(lenb(SUBSTITUTE($Z657,V$1,""))&lt;lenb($Z657),"ERROR",IF($Z657=$Y$1,"-",0))))))))))))</f>
        <v>1</v>
      </c>
      <c r="W657" s="52">
        <f t="shared" si="663"/>
        <v>0</v>
      </c>
      <c r="X657" s="52">
        <f t="shared" si="663"/>
        <v>0</v>
      </c>
      <c r="Y657" s="52" t="str">
        <f t="shared" si="3"/>
        <v>-</v>
      </c>
      <c r="Z657" s="52" t="s">
        <v>62</v>
      </c>
      <c r="AA657" s="53">
        <f t="shared" si="4"/>
        <v>1</v>
      </c>
      <c r="AB657" s="54">
        <f>COUNTIFS(Links!B:B,"ICSE",Links!C:C,A657,Links!AD:AD,1)</f>
        <v>0</v>
      </c>
      <c r="AC657" s="55" t="s">
        <v>35</v>
      </c>
      <c r="AD657" s="47" t="str">
        <f t="shared" si="5"/>
        <v>No</v>
      </c>
      <c r="AE657" s="56" t="s">
        <v>36</v>
      </c>
      <c r="AF657" s="57" t="s">
        <v>42</v>
      </c>
      <c r="AG657" s="57" t="s">
        <v>42</v>
      </c>
      <c r="AH657" s="57" t="s">
        <v>42</v>
      </c>
      <c r="AI657" s="49" t="str">
        <f t="shared" si="661"/>
        <v>----</v>
      </c>
      <c r="AJ657" s="58" t="str">
        <f t="shared" si="7"/>
        <v>Paper has link but no statement</v>
      </c>
      <c r="AK657" s="59">
        <v>45027.0</v>
      </c>
      <c r="AL657" s="43" t="s">
        <v>43</v>
      </c>
      <c r="AM657" s="60" t="str">
        <f t="shared" si="8"/>
        <v>[IP0785]</v>
      </c>
    </row>
    <row r="658" ht="67.5" customHeight="1">
      <c r="A658" s="61">
        <v>786.0</v>
      </c>
      <c r="B658" s="22" t="s">
        <v>1742</v>
      </c>
      <c r="C658" s="23">
        <v>2020.0</v>
      </c>
      <c r="D658" s="24" t="s">
        <v>37</v>
      </c>
      <c r="E658" s="25" t="s">
        <v>37</v>
      </c>
      <c r="F658" s="25" t="s">
        <v>35</v>
      </c>
      <c r="G658" s="25" t="s">
        <v>37</v>
      </c>
      <c r="H658" s="25" t="s">
        <v>35</v>
      </c>
      <c r="I658" s="25" t="s">
        <v>35</v>
      </c>
      <c r="J658" s="26" t="s">
        <v>36</v>
      </c>
      <c r="K658" s="27" t="s">
        <v>37</v>
      </c>
      <c r="L658" s="28" t="s">
        <v>35</v>
      </c>
      <c r="M658" s="28" t="s">
        <v>35</v>
      </c>
      <c r="N658" s="28" t="s">
        <v>37</v>
      </c>
      <c r="O658" s="28" t="s">
        <v>35</v>
      </c>
      <c r="P658" s="28" t="s">
        <v>35</v>
      </c>
      <c r="Q658" s="28" t="s">
        <v>35</v>
      </c>
      <c r="R658" s="28" t="s">
        <v>35</v>
      </c>
      <c r="S658" s="29" t="s">
        <v>1743</v>
      </c>
      <c r="T658" s="30" t="s">
        <v>1744</v>
      </c>
      <c r="U658" s="31" t="s">
        <v>1744</v>
      </c>
      <c r="V658" s="32">
        <f t="shared" ref="V658:X658" si="664">IF(lenb(SUBSTITUTE($Z658,V$1&amp;" (1)",""))&lt;lenb($Z658),1,IF(lenb(SUBSTITUTE($Z658,V$1&amp;" (2)",""))&lt;lenb($Z658),2,IF(lenb(SUBSTITUTE($Z658,V$1&amp;" (3)",""))&lt;lenb($Z658),3,IF(lenb(SUBSTITUTE($Z658,V$1&amp;" (4)",""))&lt;lenb($Z658),4,IF(lenb(SUBSTITUTE($Z658,V$1&amp;" (5)",""))&lt;lenb($Z658),5,IF(lenb(SUBSTITUTE($Z658,V$1&amp;" (6)",""))&lt;lenb($Z658),6,IF(lenb(SUBSTITUTE($Z658,V$1&amp;" (7)",""))&lt;lenb($Z658),1,IF(lenb(SUBSTITUTE($Z658,V$1&amp;" (8)",""))&lt;lenb($Z658),8,IF(lenb(SUBSTITUTE($Z658,V$1&amp;" (9)",""))&lt;lenb($Z658),9,IF(lenb(SUBSTITUTE($Z658,V$1&amp;" (10)",""))&lt;lenb($Z658),10,IF(lenb(SUBSTITUTE($Z658,V$1,""))&lt;lenb($Z658),"ERROR",IF($Z658=$Y$1,"-",0))))))))))))</f>
        <v>2</v>
      </c>
      <c r="W658" s="32">
        <f t="shared" si="664"/>
        <v>0</v>
      </c>
      <c r="X658" s="32">
        <f t="shared" si="664"/>
        <v>0</v>
      </c>
      <c r="Y658" s="32" t="str">
        <f t="shared" si="3"/>
        <v>-</v>
      </c>
      <c r="Z658" s="32" t="s">
        <v>57</v>
      </c>
      <c r="AA658" s="33">
        <f t="shared" si="4"/>
        <v>2</v>
      </c>
      <c r="AB658" s="34">
        <f>COUNTIFS(Links!B:B,"ICSE",Links!C:C,A658,Links!AD:AD,1)</f>
        <v>0</v>
      </c>
      <c r="AC658" s="35" t="s">
        <v>35</v>
      </c>
      <c r="AD658" s="27" t="str">
        <f t="shared" si="5"/>
        <v>No</v>
      </c>
      <c r="AE658" s="36" t="s">
        <v>36</v>
      </c>
      <c r="AF658" s="37" t="s">
        <v>42</v>
      </c>
      <c r="AG658" s="37" t="s">
        <v>42</v>
      </c>
      <c r="AH658" s="37" t="s">
        <v>42</v>
      </c>
      <c r="AI658" s="29" t="str">
        <f t="shared" si="661"/>
        <v>----</v>
      </c>
      <c r="AJ658" s="38" t="str">
        <f t="shared" si="7"/>
        <v>Paper has link but no statement</v>
      </c>
      <c r="AK658" s="39">
        <v>45027.0</v>
      </c>
      <c r="AL658" s="23" t="s">
        <v>43</v>
      </c>
      <c r="AM658" s="40" t="str">
        <f t="shared" si="8"/>
        <v>[IP0786]</v>
      </c>
    </row>
    <row r="659" ht="67.5" customHeight="1">
      <c r="A659" s="41">
        <v>787.0</v>
      </c>
      <c r="B659" s="42" t="s">
        <v>1745</v>
      </c>
      <c r="C659" s="43">
        <v>2020.0</v>
      </c>
      <c r="D659" s="44" t="s">
        <v>37</v>
      </c>
      <c r="E659" s="45" t="s">
        <v>37</v>
      </c>
      <c r="F659" s="45" t="s">
        <v>35</v>
      </c>
      <c r="G659" s="45" t="s">
        <v>37</v>
      </c>
      <c r="H659" s="45" t="s">
        <v>35</v>
      </c>
      <c r="I659" s="45" t="s">
        <v>35</v>
      </c>
      <c r="J659" s="46" t="s">
        <v>36</v>
      </c>
      <c r="K659" s="47" t="s">
        <v>37</v>
      </c>
      <c r="L659" s="48" t="s">
        <v>35</v>
      </c>
      <c r="M659" s="48" t="s">
        <v>37</v>
      </c>
      <c r="N659" s="48" t="s">
        <v>37</v>
      </c>
      <c r="O659" s="48" t="s">
        <v>35</v>
      </c>
      <c r="P659" s="48" t="s">
        <v>35</v>
      </c>
      <c r="Q659" s="48" t="s">
        <v>35</v>
      </c>
      <c r="R659" s="48" t="s">
        <v>35</v>
      </c>
      <c r="S659" s="49" t="s">
        <v>1746</v>
      </c>
      <c r="T659" s="50" t="s">
        <v>1747</v>
      </c>
      <c r="U659" s="51" t="s">
        <v>1747</v>
      </c>
      <c r="V659" s="52">
        <f t="shared" ref="V659:X659" si="665">IF(lenb(SUBSTITUTE($Z659,V$1&amp;" (1)",""))&lt;lenb($Z659),1,IF(lenb(SUBSTITUTE($Z659,V$1&amp;" (2)",""))&lt;lenb($Z659),2,IF(lenb(SUBSTITUTE($Z659,V$1&amp;" (3)",""))&lt;lenb($Z659),3,IF(lenb(SUBSTITUTE($Z659,V$1&amp;" (4)",""))&lt;lenb($Z659),4,IF(lenb(SUBSTITUTE($Z659,V$1&amp;" (5)",""))&lt;lenb($Z659),5,IF(lenb(SUBSTITUTE($Z659,V$1&amp;" (6)",""))&lt;lenb($Z659),6,IF(lenb(SUBSTITUTE($Z659,V$1&amp;" (7)",""))&lt;lenb($Z659),1,IF(lenb(SUBSTITUTE($Z659,V$1&amp;" (8)",""))&lt;lenb($Z659),8,IF(lenb(SUBSTITUTE($Z659,V$1&amp;" (9)",""))&lt;lenb($Z659),9,IF(lenb(SUBSTITUTE($Z659,V$1&amp;" (10)",""))&lt;lenb($Z659),10,IF(lenb(SUBSTITUTE($Z659,V$1,""))&lt;lenb($Z659),"ERROR",IF($Z659=$Y$1,"-",0))))))))))))</f>
        <v>1</v>
      </c>
      <c r="W659" s="52">
        <f t="shared" si="665"/>
        <v>0</v>
      </c>
      <c r="X659" s="52">
        <f t="shared" si="665"/>
        <v>0</v>
      </c>
      <c r="Y659" s="52" t="str">
        <f t="shared" si="3"/>
        <v>-</v>
      </c>
      <c r="Z659" s="52" t="s">
        <v>62</v>
      </c>
      <c r="AA659" s="53">
        <f t="shared" si="4"/>
        <v>1</v>
      </c>
      <c r="AB659" s="54">
        <f>COUNTIFS(Links!B:B,"ICSE",Links!C:C,A659,Links!AD:AD,1)</f>
        <v>0</v>
      </c>
      <c r="AC659" s="55" t="s">
        <v>35</v>
      </c>
      <c r="AD659" s="47" t="str">
        <f t="shared" si="5"/>
        <v>No</v>
      </c>
      <c r="AE659" s="56" t="s">
        <v>36</v>
      </c>
      <c r="AF659" s="57" t="s">
        <v>42</v>
      </c>
      <c r="AG659" s="57" t="s">
        <v>42</v>
      </c>
      <c r="AH659" s="57" t="s">
        <v>42</v>
      </c>
      <c r="AI659" s="49" t="str">
        <f t="shared" si="661"/>
        <v>----</v>
      </c>
      <c r="AJ659" s="58" t="str">
        <f t="shared" si="7"/>
        <v>Paper has link but no statement</v>
      </c>
      <c r="AK659" s="59">
        <v>45027.0</v>
      </c>
      <c r="AL659" s="43" t="s">
        <v>43</v>
      </c>
      <c r="AM659" s="60" t="str">
        <f t="shared" si="8"/>
        <v>[IP0787]</v>
      </c>
    </row>
    <row r="660" ht="67.5" customHeight="1">
      <c r="A660" s="61">
        <v>788.0</v>
      </c>
      <c r="B660" s="22" t="s">
        <v>1748</v>
      </c>
      <c r="C660" s="23">
        <v>2020.0</v>
      </c>
      <c r="D660" s="24" t="s">
        <v>35</v>
      </c>
      <c r="E660" s="25" t="s">
        <v>36</v>
      </c>
      <c r="F660" s="25" t="s">
        <v>36</v>
      </c>
      <c r="G660" s="25" t="s">
        <v>36</v>
      </c>
      <c r="H660" s="25" t="s">
        <v>36</v>
      </c>
      <c r="I660" s="25" t="s">
        <v>36</v>
      </c>
      <c r="J660" s="26" t="s">
        <v>36</v>
      </c>
      <c r="K660" s="27" t="s">
        <v>37</v>
      </c>
      <c r="L660" s="28" t="s">
        <v>37</v>
      </c>
      <c r="M660" s="28" t="s">
        <v>35</v>
      </c>
      <c r="N660" s="28" t="s">
        <v>35</v>
      </c>
      <c r="O660" s="28" t="s">
        <v>35</v>
      </c>
      <c r="P660" s="28" t="s">
        <v>35</v>
      </c>
      <c r="Q660" s="28" t="s">
        <v>37</v>
      </c>
      <c r="R660" s="28" t="s">
        <v>37</v>
      </c>
      <c r="S660" s="29" t="s">
        <v>1749</v>
      </c>
      <c r="T660" s="30" t="s">
        <v>1750</v>
      </c>
      <c r="U660" s="31" t="s">
        <v>1750</v>
      </c>
      <c r="V660" s="32">
        <f t="shared" ref="V660:X660" si="666">IF(lenb(SUBSTITUTE($Z660,V$1&amp;" (1)",""))&lt;lenb($Z660),1,IF(lenb(SUBSTITUTE($Z660,V$1&amp;" (2)",""))&lt;lenb($Z660),2,IF(lenb(SUBSTITUTE($Z660,V$1&amp;" (3)",""))&lt;lenb($Z660),3,IF(lenb(SUBSTITUTE($Z660,V$1&amp;" (4)",""))&lt;lenb($Z660),4,IF(lenb(SUBSTITUTE($Z660,V$1&amp;" (5)",""))&lt;lenb($Z660),5,IF(lenb(SUBSTITUTE($Z660,V$1&amp;" (6)",""))&lt;lenb($Z660),6,IF(lenb(SUBSTITUTE($Z660,V$1&amp;" (7)",""))&lt;lenb($Z660),1,IF(lenb(SUBSTITUTE($Z660,V$1&amp;" (8)",""))&lt;lenb($Z660),8,IF(lenb(SUBSTITUTE($Z660,V$1&amp;" (9)",""))&lt;lenb($Z660),9,IF(lenb(SUBSTITUTE($Z660,V$1&amp;" (10)",""))&lt;lenb($Z660),10,IF(lenb(SUBSTITUTE($Z660,V$1,""))&lt;lenb($Z660),"ERROR",IF($Z660=$Y$1,"-",0))))))))))))</f>
        <v>1</v>
      </c>
      <c r="W660" s="32">
        <f t="shared" si="666"/>
        <v>0</v>
      </c>
      <c r="X660" s="32">
        <f t="shared" si="666"/>
        <v>0</v>
      </c>
      <c r="Y660" s="32" t="str">
        <f t="shared" si="3"/>
        <v>-</v>
      </c>
      <c r="Z660" s="32" t="s">
        <v>62</v>
      </c>
      <c r="AA660" s="33">
        <f t="shared" si="4"/>
        <v>1</v>
      </c>
      <c r="AB660" s="34">
        <f>COUNTIFS(Links!B:B,"ICSE",Links!C:C,A660,Links!AD:AD,1)</f>
        <v>0</v>
      </c>
      <c r="AC660" s="35" t="s">
        <v>35</v>
      </c>
      <c r="AD660" s="27" t="str">
        <f t="shared" si="5"/>
        <v>No</v>
      </c>
      <c r="AE660" s="36" t="s">
        <v>36</v>
      </c>
      <c r="AF660" s="37" t="s">
        <v>42</v>
      </c>
      <c r="AG660" s="37" t="s">
        <v>42</v>
      </c>
      <c r="AH660" s="37" t="s">
        <v>42</v>
      </c>
      <c r="AI660" s="29" t="str">
        <f t="shared" si="661"/>
        <v>----</v>
      </c>
      <c r="AJ660" s="38" t="str">
        <f t="shared" si="7"/>
        <v>Paper has link but no statement</v>
      </c>
      <c r="AK660" s="39">
        <v>45027.0</v>
      </c>
      <c r="AL660" s="23" t="s">
        <v>43</v>
      </c>
      <c r="AM660" s="40" t="str">
        <f t="shared" si="8"/>
        <v>[IP0788]</v>
      </c>
    </row>
    <row r="661" ht="67.5" customHeight="1">
      <c r="A661" s="41">
        <v>789.0</v>
      </c>
      <c r="B661" s="42" t="s">
        <v>1751</v>
      </c>
      <c r="C661" s="43">
        <v>2020.0</v>
      </c>
      <c r="D661" s="44" t="s">
        <v>35</v>
      </c>
      <c r="E661" s="45" t="s">
        <v>36</v>
      </c>
      <c r="F661" s="45" t="s">
        <v>36</v>
      </c>
      <c r="G661" s="45" t="s">
        <v>36</v>
      </c>
      <c r="H661" s="45" t="s">
        <v>36</v>
      </c>
      <c r="I661" s="45" t="s">
        <v>36</v>
      </c>
      <c r="J661" s="46" t="s">
        <v>36</v>
      </c>
      <c r="K661" s="47" t="s">
        <v>35</v>
      </c>
      <c r="L661" s="48" t="s">
        <v>36</v>
      </c>
      <c r="M661" s="48" t="s">
        <v>36</v>
      </c>
      <c r="N661" s="48" t="s">
        <v>36</v>
      </c>
      <c r="O661" s="48" t="s">
        <v>36</v>
      </c>
      <c r="P661" s="48" t="s">
        <v>36</v>
      </c>
      <c r="Q661" s="48" t="s">
        <v>36</v>
      </c>
      <c r="R661" s="48" t="s">
        <v>36</v>
      </c>
      <c r="S661" s="49" t="s">
        <v>36</v>
      </c>
      <c r="T661" s="50" t="s">
        <v>36</v>
      </c>
      <c r="U661" s="51" t="s">
        <v>36</v>
      </c>
      <c r="V661" s="52" t="str">
        <f t="shared" ref="V661:X661" si="667">IF(lenb(SUBSTITUTE($Z661,V$1&amp;" (1)",""))&lt;lenb($Z661),1,IF(lenb(SUBSTITUTE($Z661,V$1&amp;" (2)",""))&lt;lenb($Z661),2,IF(lenb(SUBSTITUTE($Z661,V$1&amp;" (3)",""))&lt;lenb($Z661),3,IF(lenb(SUBSTITUTE($Z661,V$1&amp;" (4)",""))&lt;lenb($Z661),4,IF(lenb(SUBSTITUTE($Z661,V$1&amp;" (5)",""))&lt;lenb($Z661),5,IF(lenb(SUBSTITUTE($Z661,V$1&amp;" (6)",""))&lt;lenb($Z661),6,IF(lenb(SUBSTITUTE($Z661,V$1&amp;" (7)",""))&lt;lenb($Z661),1,IF(lenb(SUBSTITUTE($Z661,V$1&amp;" (8)",""))&lt;lenb($Z661),8,IF(lenb(SUBSTITUTE($Z661,V$1&amp;" (9)",""))&lt;lenb($Z661),9,IF(lenb(SUBSTITUTE($Z661,V$1&amp;" (10)",""))&lt;lenb($Z661),10,IF(lenb(SUBSTITUTE($Z661,V$1,""))&lt;lenb($Z661),"ERROR",IF($Z661=$Y$1,"-",0))))))))))))</f>
        <v>-</v>
      </c>
      <c r="W661" s="52" t="str">
        <f t="shared" si="667"/>
        <v>-</v>
      </c>
      <c r="X661" s="52" t="str">
        <f t="shared" si="667"/>
        <v>-</v>
      </c>
      <c r="Y661" s="52">
        <f t="shared" si="3"/>
        <v>1</v>
      </c>
      <c r="Z661" s="52" t="s">
        <v>23</v>
      </c>
      <c r="AA661" s="53">
        <f t="shared" si="4"/>
        <v>0</v>
      </c>
      <c r="AB661" s="54">
        <f>COUNTIFS(Links!B:B,"ICSE",Links!C:C,A661,Links!AD:AD,1)</f>
        <v>0</v>
      </c>
      <c r="AC661" s="55" t="s">
        <v>36</v>
      </c>
      <c r="AD661" s="47" t="str">
        <f t="shared" si="5"/>
        <v>No</v>
      </c>
      <c r="AE661" s="56" t="s">
        <v>36</v>
      </c>
      <c r="AF661" s="57" t="s">
        <v>42</v>
      </c>
      <c r="AG661" s="57" t="s">
        <v>42</v>
      </c>
      <c r="AH661" s="57" t="s">
        <v>42</v>
      </c>
      <c r="AI661" s="49" t="str">
        <f t="shared" si="661"/>
        <v>----</v>
      </c>
      <c r="AJ661" s="58" t="str">
        <f t="shared" si="7"/>
        <v>Paper has no link and no statement</v>
      </c>
      <c r="AK661" s="59">
        <v>45027.0</v>
      </c>
      <c r="AL661" s="43" t="s">
        <v>43</v>
      </c>
      <c r="AM661" s="60" t="str">
        <f t="shared" si="8"/>
        <v>[IP0789]</v>
      </c>
    </row>
    <row r="662" ht="67.5" customHeight="1">
      <c r="A662" s="61">
        <v>790.0</v>
      </c>
      <c r="B662" s="22" t="s">
        <v>1752</v>
      </c>
      <c r="C662" s="23">
        <v>2020.0</v>
      </c>
      <c r="D662" s="24" t="s">
        <v>37</v>
      </c>
      <c r="E662" s="25" t="s">
        <v>37</v>
      </c>
      <c r="F662" s="25" t="s">
        <v>35</v>
      </c>
      <c r="G662" s="25" t="s">
        <v>37</v>
      </c>
      <c r="H662" s="25" t="s">
        <v>35</v>
      </c>
      <c r="I662" s="25" t="s">
        <v>35</v>
      </c>
      <c r="J662" s="26" t="s">
        <v>36</v>
      </c>
      <c r="K662" s="27" t="s">
        <v>37</v>
      </c>
      <c r="L662" s="28" t="s">
        <v>35</v>
      </c>
      <c r="M662" s="28" t="s">
        <v>37</v>
      </c>
      <c r="N662" s="28" t="s">
        <v>35</v>
      </c>
      <c r="O662" s="28" t="s">
        <v>35</v>
      </c>
      <c r="P662" s="28" t="s">
        <v>35</v>
      </c>
      <c r="Q662" s="28" t="s">
        <v>35</v>
      </c>
      <c r="R662" s="28" t="s">
        <v>37</v>
      </c>
      <c r="S662" s="29" t="s">
        <v>1753</v>
      </c>
      <c r="T662" s="30" t="s">
        <v>1754</v>
      </c>
      <c r="U662" s="31" t="s">
        <v>1754</v>
      </c>
      <c r="V662" s="32">
        <f t="shared" ref="V662:X662" si="668">IF(lenb(SUBSTITUTE($Z662,V$1&amp;" (1)",""))&lt;lenb($Z662),1,IF(lenb(SUBSTITUTE($Z662,V$1&amp;" (2)",""))&lt;lenb($Z662),2,IF(lenb(SUBSTITUTE($Z662,V$1&amp;" (3)",""))&lt;lenb($Z662),3,IF(lenb(SUBSTITUTE($Z662,V$1&amp;" (4)",""))&lt;lenb($Z662),4,IF(lenb(SUBSTITUTE($Z662,V$1&amp;" (5)",""))&lt;lenb($Z662),5,IF(lenb(SUBSTITUTE($Z662,V$1&amp;" (6)",""))&lt;lenb($Z662),6,IF(lenb(SUBSTITUTE($Z662,V$1&amp;" (7)",""))&lt;lenb($Z662),1,IF(lenb(SUBSTITUTE($Z662,V$1&amp;" (8)",""))&lt;lenb($Z662),8,IF(lenb(SUBSTITUTE($Z662,V$1&amp;" (9)",""))&lt;lenb($Z662),9,IF(lenb(SUBSTITUTE($Z662,V$1&amp;" (10)",""))&lt;lenb($Z662),10,IF(lenb(SUBSTITUTE($Z662,V$1,""))&lt;lenb($Z662),"ERROR",IF($Z662=$Y$1,"-",0))))))))))))</f>
        <v>1</v>
      </c>
      <c r="W662" s="32">
        <f t="shared" si="668"/>
        <v>0</v>
      </c>
      <c r="X662" s="32">
        <f t="shared" si="668"/>
        <v>0</v>
      </c>
      <c r="Y662" s="32" t="str">
        <f t="shared" si="3"/>
        <v>-</v>
      </c>
      <c r="Z662" s="32" t="s">
        <v>62</v>
      </c>
      <c r="AA662" s="33">
        <f t="shared" si="4"/>
        <v>1</v>
      </c>
      <c r="AB662" s="34">
        <f>COUNTIFS(Links!B:B,"ICSE",Links!C:C,A662,Links!AD:AD,1)</f>
        <v>0</v>
      </c>
      <c r="AC662" s="35" t="s">
        <v>37</v>
      </c>
      <c r="AD662" s="27" t="str">
        <f t="shared" si="5"/>
        <v>No</v>
      </c>
      <c r="AE662" s="36" t="s">
        <v>36</v>
      </c>
      <c r="AF662" s="37" t="s">
        <v>42</v>
      </c>
      <c r="AG662" s="37" t="s">
        <v>42</v>
      </c>
      <c r="AH662" s="37" t="s">
        <v>42</v>
      </c>
      <c r="AI662" s="29" t="str">
        <f t="shared" si="661"/>
        <v>----</v>
      </c>
      <c r="AJ662" s="38" t="str">
        <f t="shared" si="7"/>
        <v>Paper has link but no statement</v>
      </c>
      <c r="AK662" s="39">
        <v>45027.0</v>
      </c>
      <c r="AL662" s="23" t="s">
        <v>43</v>
      </c>
      <c r="AM662" s="40" t="str">
        <f t="shared" si="8"/>
        <v>[IP0790]</v>
      </c>
    </row>
    <row r="663" ht="67.5" customHeight="1">
      <c r="A663" s="41">
        <v>791.0</v>
      </c>
      <c r="B663" s="42" t="s">
        <v>1755</v>
      </c>
      <c r="C663" s="43">
        <v>2020.0</v>
      </c>
      <c r="D663" s="44" t="s">
        <v>37</v>
      </c>
      <c r="E663" s="45" t="s">
        <v>37</v>
      </c>
      <c r="F663" s="45" t="s">
        <v>35</v>
      </c>
      <c r="G663" s="45" t="s">
        <v>35</v>
      </c>
      <c r="H663" s="45" t="s">
        <v>35</v>
      </c>
      <c r="I663" s="45" t="s">
        <v>35</v>
      </c>
      <c r="J663" s="46" t="s">
        <v>36</v>
      </c>
      <c r="K663" s="47" t="s">
        <v>37</v>
      </c>
      <c r="L663" s="48" t="s">
        <v>35</v>
      </c>
      <c r="M663" s="48" t="s">
        <v>37</v>
      </c>
      <c r="N663" s="48" t="s">
        <v>37</v>
      </c>
      <c r="O663" s="48" t="s">
        <v>35</v>
      </c>
      <c r="P663" s="48" t="s">
        <v>37</v>
      </c>
      <c r="Q663" s="48" t="s">
        <v>35</v>
      </c>
      <c r="R663" s="48" t="s">
        <v>37</v>
      </c>
      <c r="S663" s="49" t="s">
        <v>1756</v>
      </c>
      <c r="T663" s="50" t="s">
        <v>1757</v>
      </c>
      <c r="U663" s="51" t="s">
        <v>1757</v>
      </c>
      <c r="V663" s="52">
        <f t="shared" ref="V663:X663" si="669">IF(lenb(SUBSTITUTE($Z663,V$1&amp;" (1)",""))&lt;lenb($Z663),1,IF(lenb(SUBSTITUTE($Z663,V$1&amp;" (2)",""))&lt;lenb($Z663),2,IF(lenb(SUBSTITUTE($Z663,V$1&amp;" (3)",""))&lt;lenb($Z663),3,IF(lenb(SUBSTITUTE($Z663,V$1&amp;" (4)",""))&lt;lenb($Z663),4,IF(lenb(SUBSTITUTE($Z663,V$1&amp;" (5)",""))&lt;lenb($Z663),5,IF(lenb(SUBSTITUTE($Z663,V$1&amp;" (6)",""))&lt;lenb($Z663),6,IF(lenb(SUBSTITUTE($Z663,V$1&amp;" (7)",""))&lt;lenb($Z663),1,IF(lenb(SUBSTITUTE($Z663,V$1&amp;" (8)",""))&lt;lenb($Z663),8,IF(lenb(SUBSTITUTE($Z663,V$1&amp;" (9)",""))&lt;lenb($Z663),9,IF(lenb(SUBSTITUTE($Z663,V$1&amp;" (10)",""))&lt;lenb($Z663),10,IF(lenb(SUBSTITUTE($Z663,V$1,""))&lt;lenb($Z663),"ERROR",IF($Z663=$Y$1,"-",0))))))))))))</f>
        <v>3</v>
      </c>
      <c r="W663" s="52">
        <f t="shared" si="669"/>
        <v>0</v>
      </c>
      <c r="X663" s="52">
        <f t="shared" si="669"/>
        <v>0</v>
      </c>
      <c r="Y663" s="52" t="str">
        <f t="shared" si="3"/>
        <v>-</v>
      </c>
      <c r="Z663" s="52" t="s">
        <v>193</v>
      </c>
      <c r="AA663" s="53">
        <f t="shared" si="4"/>
        <v>3</v>
      </c>
      <c r="AB663" s="54">
        <f>COUNTIFS(Links!B:B,"ICSE",Links!C:C,A663,Links!AD:AD,1)</f>
        <v>0</v>
      </c>
      <c r="AC663" s="55" t="s">
        <v>35</v>
      </c>
      <c r="AD663" s="47" t="str">
        <f t="shared" si="5"/>
        <v>No</v>
      </c>
      <c r="AE663" s="56" t="s">
        <v>36</v>
      </c>
      <c r="AF663" s="57" t="s">
        <v>42</v>
      </c>
      <c r="AG663" s="57" t="s">
        <v>42</v>
      </c>
      <c r="AH663" s="57" t="s">
        <v>42</v>
      </c>
      <c r="AI663" s="49" t="str">
        <f t="shared" si="661"/>
        <v>----</v>
      </c>
      <c r="AJ663" s="58" t="str">
        <f t="shared" si="7"/>
        <v>Paper has link but no statement</v>
      </c>
      <c r="AK663" s="59">
        <v>45027.0</v>
      </c>
      <c r="AL663" s="43" t="s">
        <v>43</v>
      </c>
      <c r="AM663" s="60" t="str">
        <f t="shared" si="8"/>
        <v>[IP0791]</v>
      </c>
    </row>
    <row r="664" ht="67.5" customHeight="1">
      <c r="A664" s="61">
        <v>792.0</v>
      </c>
      <c r="B664" s="22" t="s">
        <v>1758</v>
      </c>
      <c r="C664" s="23">
        <v>2020.0</v>
      </c>
      <c r="D664" s="24" t="s">
        <v>35</v>
      </c>
      <c r="E664" s="25" t="s">
        <v>36</v>
      </c>
      <c r="F664" s="25" t="s">
        <v>36</v>
      </c>
      <c r="G664" s="25" t="s">
        <v>36</v>
      </c>
      <c r="H664" s="25" t="s">
        <v>36</v>
      </c>
      <c r="I664" s="25" t="s">
        <v>36</v>
      </c>
      <c r="J664" s="26" t="s">
        <v>36</v>
      </c>
      <c r="K664" s="27" t="s">
        <v>37</v>
      </c>
      <c r="L664" s="28" t="s">
        <v>35</v>
      </c>
      <c r="M664" s="28" t="s">
        <v>37</v>
      </c>
      <c r="N664" s="28" t="s">
        <v>35</v>
      </c>
      <c r="O664" s="28" t="s">
        <v>35</v>
      </c>
      <c r="P664" s="28" t="s">
        <v>35</v>
      </c>
      <c r="Q664" s="28" t="s">
        <v>35</v>
      </c>
      <c r="R664" s="28" t="s">
        <v>37</v>
      </c>
      <c r="S664" s="29" t="s">
        <v>1759</v>
      </c>
      <c r="T664" s="30" t="s">
        <v>1760</v>
      </c>
      <c r="U664" s="31" t="s">
        <v>1760</v>
      </c>
      <c r="V664" s="32">
        <f t="shared" ref="V664:X664" si="670">IF(lenb(SUBSTITUTE($Z664,V$1&amp;" (1)",""))&lt;lenb($Z664),1,IF(lenb(SUBSTITUTE($Z664,V$1&amp;" (2)",""))&lt;lenb($Z664),2,IF(lenb(SUBSTITUTE($Z664,V$1&amp;" (3)",""))&lt;lenb($Z664),3,IF(lenb(SUBSTITUTE($Z664,V$1&amp;" (4)",""))&lt;lenb($Z664),4,IF(lenb(SUBSTITUTE($Z664,V$1&amp;" (5)",""))&lt;lenb($Z664),5,IF(lenb(SUBSTITUTE($Z664,V$1&amp;" (6)",""))&lt;lenb($Z664),6,IF(lenb(SUBSTITUTE($Z664,V$1&amp;" (7)",""))&lt;lenb($Z664),1,IF(lenb(SUBSTITUTE($Z664,V$1&amp;" (8)",""))&lt;lenb($Z664),8,IF(lenb(SUBSTITUTE($Z664,V$1&amp;" (9)",""))&lt;lenb($Z664),9,IF(lenb(SUBSTITUTE($Z664,V$1&amp;" (10)",""))&lt;lenb($Z664),10,IF(lenb(SUBSTITUTE($Z664,V$1,""))&lt;lenb($Z664),"ERROR",IF($Z664=$Y$1,"-",0))))))))))))</f>
        <v>1</v>
      </c>
      <c r="W664" s="32">
        <f t="shared" si="670"/>
        <v>0</v>
      </c>
      <c r="X664" s="32">
        <f t="shared" si="670"/>
        <v>0</v>
      </c>
      <c r="Y664" s="32" t="str">
        <f t="shared" si="3"/>
        <v>-</v>
      </c>
      <c r="Z664" s="32" t="s">
        <v>62</v>
      </c>
      <c r="AA664" s="33">
        <f t="shared" si="4"/>
        <v>1</v>
      </c>
      <c r="AB664" s="34">
        <f>COUNTIFS(Links!B:B,"ICSE",Links!C:C,A664,Links!AD:AD,1)</f>
        <v>0</v>
      </c>
      <c r="AC664" s="35" t="s">
        <v>35</v>
      </c>
      <c r="AD664" s="27" t="str">
        <f t="shared" si="5"/>
        <v>No</v>
      </c>
      <c r="AE664" s="36" t="s">
        <v>36</v>
      </c>
      <c r="AF664" s="37" t="s">
        <v>42</v>
      </c>
      <c r="AG664" s="37" t="s">
        <v>42</v>
      </c>
      <c r="AH664" s="37" t="s">
        <v>42</v>
      </c>
      <c r="AI664" s="29" t="str">
        <f t="shared" si="661"/>
        <v>----</v>
      </c>
      <c r="AJ664" s="38" t="str">
        <f t="shared" si="7"/>
        <v>Paper has link but no statement</v>
      </c>
      <c r="AK664" s="39">
        <v>45027.0</v>
      </c>
      <c r="AL664" s="23" t="s">
        <v>43</v>
      </c>
      <c r="AM664" s="40" t="str">
        <f t="shared" si="8"/>
        <v>[IP0792]</v>
      </c>
    </row>
    <row r="665" ht="67.5" customHeight="1">
      <c r="A665" s="41">
        <v>793.0</v>
      </c>
      <c r="B665" s="42" t="s">
        <v>1761</v>
      </c>
      <c r="C665" s="43">
        <v>2020.0</v>
      </c>
      <c r="D665" s="44" t="s">
        <v>37</v>
      </c>
      <c r="E665" s="45" t="s">
        <v>35</v>
      </c>
      <c r="F665" s="45" t="s">
        <v>35</v>
      </c>
      <c r="G665" s="45" t="s">
        <v>37</v>
      </c>
      <c r="H665" s="45" t="s">
        <v>35</v>
      </c>
      <c r="I665" s="45" t="s">
        <v>35</v>
      </c>
      <c r="J665" s="46" t="s">
        <v>36</v>
      </c>
      <c r="K665" s="47" t="s">
        <v>37</v>
      </c>
      <c r="L665" s="48" t="s">
        <v>35</v>
      </c>
      <c r="M665" s="48" t="s">
        <v>35</v>
      </c>
      <c r="N665" s="48" t="s">
        <v>35</v>
      </c>
      <c r="O665" s="48" t="s">
        <v>35</v>
      </c>
      <c r="P665" s="48" t="s">
        <v>35</v>
      </c>
      <c r="Q665" s="48" t="s">
        <v>37</v>
      </c>
      <c r="R665" s="48" t="s">
        <v>35</v>
      </c>
      <c r="S665" s="49" t="s">
        <v>1762</v>
      </c>
      <c r="T665" s="50" t="s">
        <v>1763</v>
      </c>
      <c r="U665" s="51" t="s">
        <v>1763</v>
      </c>
      <c r="V665" s="52">
        <f t="shared" ref="V665:X665" si="671">IF(lenb(SUBSTITUTE($Z665,V$1&amp;" (1)",""))&lt;lenb($Z665),1,IF(lenb(SUBSTITUTE($Z665,V$1&amp;" (2)",""))&lt;lenb($Z665),2,IF(lenb(SUBSTITUTE($Z665,V$1&amp;" (3)",""))&lt;lenb($Z665),3,IF(lenb(SUBSTITUTE($Z665,V$1&amp;" (4)",""))&lt;lenb($Z665),4,IF(lenb(SUBSTITUTE($Z665,V$1&amp;" (5)",""))&lt;lenb($Z665),5,IF(lenb(SUBSTITUTE($Z665,V$1&amp;" (6)",""))&lt;lenb($Z665),6,IF(lenb(SUBSTITUTE($Z665,V$1&amp;" (7)",""))&lt;lenb($Z665),1,IF(lenb(SUBSTITUTE($Z665,V$1&amp;" (8)",""))&lt;lenb($Z665),8,IF(lenb(SUBSTITUTE($Z665,V$1&amp;" (9)",""))&lt;lenb($Z665),9,IF(lenb(SUBSTITUTE($Z665,V$1&amp;" (10)",""))&lt;lenb($Z665),10,IF(lenb(SUBSTITUTE($Z665,V$1,""))&lt;lenb($Z665),"ERROR",IF($Z665=$Y$1,"-",0))))))))))))</f>
        <v>1</v>
      </c>
      <c r="W665" s="52">
        <f t="shared" si="671"/>
        <v>0</v>
      </c>
      <c r="X665" s="52">
        <f t="shared" si="671"/>
        <v>0</v>
      </c>
      <c r="Y665" s="52" t="str">
        <f t="shared" si="3"/>
        <v>-</v>
      </c>
      <c r="Z665" s="52" t="s">
        <v>62</v>
      </c>
      <c r="AA665" s="53">
        <f t="shared" si="4"/>
        <v>1</v>
      </c>
      <c r="AB665" s="54">
        <f>COUNTIFS(Links!B:B,"ICSE",Links!C:C,A665,Links!AD:AD,1)</f>
        <v>0</v>
      </c>
      <c r="AC665" s="55" t="s">
        <v>35</v>
      </c>
      <c r="AD665" s="47" t="str">
        <f t="shared" si="5"/>
        <v>No</v>
      </c>
      <c r="AE665" s="56" t="s">
        <v>36</v>
      </c>
      <c r="AF665" s="57" t="s">
        <v>42</v>
      </c>
      <c r="AG665" s="57" t="s">
        <v>42</v>
      </c>
      <c r="AH665" s="57" t="s">
        <v>42</v>
      </c>
      <c r="AI665" s="49" t="str">
        <f t="shared" si="661"/>
        <v>----</v>
      </c>
      <c r="AJ665" s="58" t="str">
        <f t="shared" si="7"/>
        <v>Paper has link but no statement</v>
      </c>
      <c r="AK665" s="59">
        <v>45027.0</v>
      </c>
      <c r="AL665" s="43" t="s">
        <v>43</v>
      </c>
      <c r="AM665" s="60" t="str">
        <f t="shared" si="8"/>
        <v>[IP0793]</v>
      </c>
    </row>
    <row r="666" ht="67.5" customHeight="1">
      <c r="A666" s="61">
        <v>794.0</v>
      </c>
      <c r="B666" s="22" t="s">
        <v>1764</v>
      </c>
      <c r="C666" s="23">
        <v>2020.0</v>
      </c>
      <c r="D666" s="24" t="s">
        <v>35</v>
      </c>
      <c r="E666" s="25" t="s">
        <v>36</v>
      </c>
      <c r="F666" s="25" t="s">
        <v>36</v>
      </c>
      <c r="G666" s="25" t="s">
        <v>36</v>
      </c>
      <c r="H666" s="25" t="s">
        <v>36</v>
      </c>
      <c r="I666" s="25" t="s">
        <v>36</v>
      </c>
      <c r="J666" s="26" t="s">
        <v>36</v>
      </c>
      <c r="K666" s="27" t="s">
        <v>37</v>
      </c>
      <c r="L666" s="28" t="s">
        <v>35</v>
      </c>
      <c r="M666" s="28" t="s">
        <v>35</v>
      </c>
      <c r="N666" s="28" t="s">
        <v>35</v>
      </c>
      <c r="O666" s="28" t="s">
        <v>37</v>
      </c>
      <c r="P666" s="28" t="s">
        <v>35</v>
      </c>
      <c r="Q666" s="28" t="s">
        <v>35</v>
      </c>
      <c r="R666" s="28" t="s">
        <v>35</v>
      </c>
      <c r="S666" s="29" t="s">
        <v>1765</v>
      </c>
      <c r="T666" s="30" t="s">
        <v>1766</v>
      </c>
      <c r="U666" s="31" t="s">
        <v>1766</v>
      </c>
      <c r="V666" s="32">
        <f t="shared" ref="V666:X666" si="672">IF(lenb(SUBSTITUTE($Z666,V$1&amp;" (1)",""))&lt;lenb($Z666),1,IF(lenb(SUBSTITUTE($Z666,V$1&amp;" (2)",""))&lt;lenb($Z666),2,IF(lenb(SUBSTITUTE($Z666,V$1&amp;" (3)",""))&lt;lenb($Z666),3,IF(lenb(SUBSTITUTE($Z666,V$1&amp;" (4)",""))&lt;lenb($Z666),4,IF(lenb(SUBSTITUTE($Z666,V$1&amp;" (5)",""))&lt;lenb($Z666),5,IF(lenb(SUBSTITUTE($Z666,V$1&amp;" (6)",""))&lt;lenb($Z666),6,IF(lenb(SUBSTITUTE($Z666,V$1&amp;" (7)",""))&lt;lenb($Z666),1,IF(lenb(SUBSTITUTE($Z666,V$1&amp;" (8)",""))&lt;lenb($Z666),8,IF(lenb(SUBSTITUTE($Z666,V$1&amp;" (9)",""))&lt;lenb($Z666),9,IF(lenb(SUBSTITUTE($Z666,V$1&amp;" (10)",""))&lt;lenb($Z666),10,IF(lenb(SUBSTITUTE($Z666,V$1,""))&lt;lenb($Z666),"ERROR",IF($Z666=$Y$1,"-",0))))))))))))</f>
        <v>1</v>
      </c>
      <c r="W666" s="32">
        <f t="shared" si="672"/>
        <v>0</v>
      </c>
      <c r="X666" s="32">
        <f t="shared" si="672"/>
        <v>0</v>
      </c>
      <c r="Y666" s="32" t="str">
        <f t="shared" si="3"/>
        <v>-</v>
      </c>
      <c r="Z666" s="32" t="s">
        <v>62</v>
      </c>
      <c r="AA666" s="33">
        <f t="shared" si="4"/>
        <v>1</v>
      </c>
      <c r="AB666" s="34">
        <f>COUNTIFS(Links!B:B,"ICSE",Links!C:C,A666,Links!AD:AD,1)</f>
        <v>0</v>
      </c>
      <c r="AC666" s="35" t="s">
        <v>35</v>
      </c>
      <c r="AD666" s="27" t="str">
        <f t="shared" si="5"/>
        <v>No</v>
      </c>
      <c r="AE666" s="36" t="s">
        <v>36</v>
      </c>
      <c r="AF666" s="37" t="s">
        <v>42</v>
      </c>
      <c r="AG666" s="37" t="s">
        <v>42</v>
      </c>
      <c r="AH666" s="37" t="s">
        <v>42</v>
      </c>
      <c r="AI666" s="29" t="str">
        <f t="shared" si="661"/>
        <v>----</v>
      </c>
      <c r="AJ666" s="38" t="str">
        <f t="shared" si="7"/>
        <v>Paper has link but no statement</v>
      </c>
      <c r="AK666" s="39">
        <v>45027.0</v>
      </c>
      <c r="AL666" s="23" t="s">
        <v>43</v>
      </c>
      <c r="AM666" s="40" t="str">
        <f t="shared" si="8"/>
        <v>[IP0794]</v>
      </c>
    </row>
    <row r="667" ht="67.5" customHeight="1">
      <c r="A667" s="41">
        <v>795.0</v>
      </c>
      <c r="B667" s="42" t="s">
        <v>1767</v>
      </c>
      <c r="C667" s="43">
        <v>2020.0</v>
      </c>
      <c r="D667" s="44" t="s">
        <v>35</v>
      </c>
      <c r="E667" s="45" t="s">
        <v>36</v>
      </c>
      <c r="F667" s="45" t="s">
        <v>36</v>
      </c>
      <c r="G667" s="45" t="s">
        <v>36</v>
      </c>
      <c r="H667" s="45" t="s">
        <v>36</v>
      </c>
      <c r="I667" s="45" t="s">
        <v>36</v>
      </c>
      <c r="J667" s="46" t="s">
        <v>36</v>
      </c>
      <c r="K667" s="47" t="s">
        <v>35</v>
      </c>
      <c r="L667" s="48" t="s">
        <v>36</v>
      </c>
      <c r="M667" s="48" t="s">
        <v>36</v>
      </c>
      <c r="N667" s="48" t="s">
        <v>36</v>
      </c>
      <c r="O667" s="48" t="s">
        <v>36</v>
      </c>
      <c r="P667" s="48" t="s">
        <v>36</v>
      </c>
      <c r="Q667" s="48" t="s">
        <v>36</v>
      </c>
      <c r="R667" s="48" t="s">
        <v>36</v>
      </c>
      <c r="S667" s="49" t="s">
        <v>36</v>
      </c>
      <c r="T667" s="50" t="s">
        <v>36</v>
      </c>
      <c r="U667" s="51" t="s">
        <v>36</v>
      </c>
      <c r="V667" s="52" t="str">
        <f t="shared" ref="V667:X667" si="673">IF(lenb(SUBSTITUTE($Z667,V$1&amp;" (1)",""))&lt;lenb($Z667),1,IF(lenb(SUBSTITUTE($Z667,V$1&amp;" (2)",""))&lt;lenb($Z667),2,IF(lenb(SUBSTITUTE($Z667,V$1&amp;" (3)",""))&lt;lenb($Z667),3,IF(lenb(SUBSTITUTE($Z667,V$1&amp;" (4)",""))&lt;lenb($Z667),4,IF(lenb(SUBSTITUTE($Z667,V$1&amp;" (5)",""))&lt;lenb($Z667),5,IF(lenb(SUBSTITUTE($Z667,V$1&amp;" (6)",""))&lt;lenb($Z667),6,IF(lenb(SUBSTITUTE($Z667,V$1&amp;" (7)",""))&lt;lenb($Z667),1,IF(lenb(SUBSTITUTE($Z667,V$1&amp;" (8)",""))&lt;lenb($Z667),8,IF(lenb(SUBSTITUTE($Z667,V$1&amp;" (9)",""))&lt;lenb($Z667),9,IF(lenb(SUBSTITUTE($Z667,V$1&amp;" (10)",""))&lt;lenb($Z667),10,IF(lenb(SUBSTITUTE($Z667,V$1,""))&lt;lenb($Z667),"ERROR",IF($Z667=$Y$1,"-",0))))))))))))</f>
        <v>-</v>
      </c>
      <c r="W667" s="52" t="str">
        <f t="shared" si="673"/>
        <v>-</v>
      </c>
      <c r="X667" s="52" t="str">
        <f t="shared" si="673"/>
        <v>-</v>
      </c>
      <c r="Y667" s="52">
        <f t="shared" si="3"/>
        <v>1</v>
      </c>
      <c r="Z667" s="52" t="s">
        <v>23</v>
      </c>
      <c r="AA667" s="53">
        <f t="shared" si="4"/>
        <v>0</v>
      </c>
      <c r="AB667" s="54">
        <f>COUNTIFS(Links!B:B,"ICSE",Links!C:C,A667,Links!AD:AD,1)</f>
        <v>0</v>
      </c>
      <c r="AC667" s="55" t="s">
        <v>36</v>
      </c>
      <c r="AD667" s="47" t="str">
        <f t="shared" si="5"/>
        <v>No</v>
      </c>
      <c r="AE667" s="56" t="s">
        <v>36</v>
      </c>
      <c r="AF667" s="57" t="s">
        <v>42</v>
      </c>
      <c r="AG667" s="57" t="s">
        <v>42</v>
      </c>
      <c r="AH667" s="57" t="s">
        <v>42</v>
      </c>
      <c r="AI667" s="49" t="str">
        <f t="shared" si="661"/>
        <v>----</v>
      </c>
      <c r="AJ667" s="58" t="str">
        <f t="shared" si="7"/>
        <v>Paper has no link and no statement</v>
      </c>
      <c r="AK667" s="59">
        <v>45027.0</v>
      </c>
      <c r="AL667" s="43" t="s">
        <v>43</v>
      </c>
      <c r="AM667" s="60" t="str">
        <f t="shared" si="8"/>
        <v>[IP0795]</v>
      </c>
    </row>
    <row r="668" ht="67.5" customHeight="1">
      <c r="A668" s="61">
        <v>796.0</v>
      </c>
      <c r="B668" s="22" t="s">
        <v>1768</v>
      </c>
      <c r="C668" s="23">
        <v>2020.0</v>
      </c>
      <c r="D668" s="24" t="s">
        <v>37</v>
      </c>
      <c r="E668" s="25" t="s">
        <v>37</v>
      </c>
      <c r="F668" s="25" t="s">
        <v>35</v>
      </c>
      <c r="G668" s="25" t="s">
        <v>37</v>
      </c>
      <c r="H668" s="25" t="s">
        <v>35</v>
      </c>
      <c r="I668" s="25" t="s">
        <v>35</v>
      </c>
      <c r="J668" s="26" t="s">
        <v>36</v>
      </c>
      <c r="K668" s="27" t="s">
        <v>37</v>
      </c>
      <c r="L668" s="28" t="s">
        <v>37</v>
      </c>
      <c r="M668" s="28" t="s">
        <v>37</v>
      </c>
      <c r="N668" s="28" t="s">
        <v>35</v>
      </c>
      <c r="O668" s="28" t="s">
        <v>35</v>
      </c>
      <c r="P668" s="28" t="s">
        <v>35</v>
      </c>
      <c r="Q668" s="28" t="s">
        <v>35</v>
      </c>
      <c r="R668" s="28" t="s">
        <v>37</v>
      </c>
      <c r="S668" s="29" t="s">
        <v>1769</v>
      </c>
      <c r="T668" s="30" t="s">
        <v>1770</v>
      </c>
      <c r="U668" s="31" t="s">
        <v>1771</v>
      </c>
      <c r="V668" s="32">
        <f t="shared" ref="V668:X668" si="674">IF(lenb(SUBSTITUTE($Z668,V$1&amp;" (1)",""))&lt;lenb($Z668),1,IF(lenb(SUBSTITUTE($Z668,V$1&amp;" (2)",""))&lt;lenb($Z668),2,IF(lenb(SUBSTITUTE($Z668,V$1&amp;" (3)",""))&lt;lenb($Z668),3,IF(lenb(SUBSTITUTE($Z668,V$1&amp;" (4)",""))&lt;lenb($Z668),4,IF(lenb(SUBSTITUTE($Z668,V$1&amp;" (5)",""))&lt;lenb($Z668),5,IF(lenb(SUBSTITUTE($Z668,V$1&amp;" (6)",""))&lt;lenb($Z668),6,IF(lenb(SUBSTITUTE($Z668,V$1&amp;" (7)",""))&lt;lenb($Z668),1,IF(lenb(SUBSTITUTE($Z668,V$1&amp;" (8)",""))&lt;lenb($Z668),8,IF(lenb(SUBSTITUTE($Z668,V$1&amp;" (9)",""))&lt;lenb($Z668),9,IF(lenb(SUBSTITUTE($Z668,V$1&amp;" (10)",""))&lt;lenb($Z668),10,IF(lenb(SUBSTITUTE($Z668,V$1,""))&lt;lenb($Z668),"ERROR",IF($Z668=$Y$1,"-",0))))))))))))</f>
        <v>2</v>
      </c>
      <c r="W668" s="32">
        <f t="shared" si="674"/>
        <v>0</v>
      </c>
      <c r="X668" s="32">
        <f t="shared" si="674"/>
        <v>0</v>
      </c>
      <c r="Y668" s="32" t="str">
        <f t="shared" si="3"/>
        <v>-</v>
      </c>
      <c r="Z668" s="32" t="s">
        <v>57</v>
      </c>
      <c r="AA668" s="33">
        <f t="shared" si="4"/>
        <v>2</v>
      </c>
      <c r="AB668" s="34">
        <f>COUNTIFS(Links!B:B,"ICSE",Links!C:C,A668,Links!AD:AD,1)</f>
        <v>0</v>
      </c>
      <c r="AC668" s="35" t="s">
        <v>37</v>
      </c>
      <c r="AD668" s="27" t="str">
        <f t="shared" si="5"/>
        <v>No</v>
      </c>
      <c r="AE668" s="36" t="s">
        <v>36</v>
      </c>
      <c r="AF668" s="37" t="s">
        <v>42</v>
      </c>
      <c r="AG668" s="37" t="s">
        <v>42</v>
      </c>
      <c r="AH668" s="37" t="s">
        <v>42</v>
      </c>
      <c r="AI668" s="29" t="str">
        <f t="shared" si="661"/>
        <v>----</v>
      </c>
      <c r="AJ668" s="38" t="str">
        <f t="shared" si="7"/>
        <v>Paper has link but no statement</v>
      </c>
      <c r="AK668" s="39">
        <v>45027.0</v>
      </c>
      <c r="AL668" s="23" t="s">
        <v>43</v>
      </c>
      <c r="AM668" s="40" t="str">
        <f t="shared" si="8"/>
        <v>[IP0796]</v>
      </c>
    </row>
    <row r="669" ht="67.5" customHeight="1">
      <c r="A669" s="41">
        <v>797.0</v>
      </c>
      <c r="B669" s="42" t="s">
        <v>1772</v>
      </c>
      <c r="C669" s="43">
        <v>2020.0</v>
      </c>
      <c r="D669" s="44" t="s">
        <v>37</v>
      </c>
      <c r="E669" s="45" t="s">
        <v>37</v>
      </c>
      <c r="F669" s="45" t="s">
        <v>35</v>
      </c>
      <c r="G669" s="45" t="s">
        <v>37</v>
      </c>
      <c r="H669" s="45" t="s">
        <v>35</v>
      </c>
      <c r="I669" s="45" t="s">
        <v>35</v>
      </c>
      <c r="J669" s="46" t="s">
        <v>36</v>
      </c>
      <c r="K669" s="47" t="s">
        <v>37</v>
      </c>
      <c r="L669" s="48" t="s">
        <v>37</v>
      </c>
      <c r="M669" s="48" t="s">
        <v>35</v>
      </c>
      <c r="N669" s="48" t="s">
        <v>35</v>
      </c>
      <c r="O669" s="48" t="s">
        <v>35</v>
      </c>
      <c r="P669" s="48" t="s">
        <v>35</v>
      </c>
      <c r="Q669" s="48" t="s">
        <v>35</v>
      </c>
      <c r="R669" s="48" t="s">
        <v>37</v>
      </c>
      <c r="S669" s="49" t="s">
        <v>1773</v>
      </c>
      <c r="T669" s="50" t="s">
        <v>1774</v>
      </c>
      <c r="U669" s="51" t="s">
        <v>1774</v>
      </c>
      <c r="V669" s="52">
        <f t="shared" ref="V669:X669" si="675">IF(lenb(SUBSTITUTE($Z669,V$1&amp;" (1)",""))&lt;lenb($Z669),1,IF(lenb(SUBSTITUTE($Z669,V$1&amp;" (2)",""))&lt;lenb($Z669),2,IF(lenb(SUBSTITUTE($Z669,V$1&amp;" (3)",""))&lt;lenb($Z669),3,IF(lenb(SUBSTITUTE($Z669,V$1&amp;" (4)",""))&lt;lenb($Z669),4,IF(lenb(SUBSTITUTE($Z669,V$1&amp;" (5)",""))&lt;lenb($Z669),5,IF(lenb(SUBSTITUTE($Z669,V$1&amp;" (6)",""))&lt;lenb($Z669),6,IF(lenb(SUBSTITUTE($Z669,V$1&amp;" (7)",""))&lt;lenb($Z669),1,IF(lenb(SUBSTITUTE($Z669,V$1&amp;" (8)",""))&lt;lenb($Z669),8,IF(lenb(SUBSTITUTE($Z669,V$1&amp;" (9)",""))&lt;lenb($Z669),9,IF(lenb(SUBSTITUTE($Z669,V$1&amp;" (10)",""))&lt;lenb($Z669),10,IF(lenb(SUBSTITUTE($Z669,V$1,""))&lt;lenb($Z669),"ERROR",IF($Z669=$Y$1,"-",0))))))))))))</f>
        <v>1</v>
      </c>
      <c r="W669" s="52">
        <f t="shared" si="675"/>
        <v>0</v>
      </c>
      <c r="X669" s="52">
        <f t="shared" si="675"/>
        <v>0</v>
      </c>
      <c r="Y669" s="52" t="str">
        <f t="shared" si="3"/>
        <v>-</v>
      </c>
      <c r="Z669" s="52" t="s">
        <v>62</v>
      </c>
      <c r="AA669" s="53">
        <f t="shared" si="4"/>
        <v>1</v>
      </c>
      <c r="AB669" s="54">
        <f>COUNTIFS(Links!B:B,"ICSE",Links!C:C,A669,Links!AD:AD,1)</f>
        <v>0</v>
      </c>
      <c r="AC669" s="55" t="s">
        <v>35</v>
      </c>
      <c r="AD669" s="47" t="str">
        <f t="shared" si="5"/>
        <v>No</v>
      </c>
      <c r="AE669" s="56" t="s">
        <v>36</v>
      </c>
      <c r="AF669" s="57" t="s">
        <v>42</v>
      </c>
      <c r="AG669" s="57" t="s">
        <v>42</v>
      </c>
      <c r="AH669" s="57" t="s">
        <v>42</v>
      </c>
      <c r="AI669" s="49" t="str">
        <f t="shared" si="661"/>
        <v>----</v>
      </c>
      <c r="AJ669" s="58" t="str">
        <f t="shared" si="7"/>
        <v>Paper has link but no statement</v>
      </c>
      <c r="AK669" s="59">
        <v>45027.0</v>
      </c>
      <c r="AL669" s="43" t="s">
        <v>43</v>
      </c>
      <c r="AM669" s="60" t="str">
        <f t="shared" si="8"/>
        <v>[IP0797]</v>
      </c>
    </row>
    <row r="670" ht="67.5" customHeight="1">
      <c r="A670" s="61">
        <v>798.0</v>
      </c>
      <c r="B670" s="22" t="s">
        <v>1775</v>
      </c>
      <c r="C670" s="23">
        <v>2020.0</v>
      </c>
      <c r="D670" s="24" t="s">
        <v>37</v>
      </c>
      <c r="E670" s="25" t="s">
        <v>37</v>
      </c>
      <c r="F670" s="25" t="s">
        <v>35</v>
      </c>
      <c r="G670" s="25" t="s">
        <v>37</v>
      </c>
      <c r="H670" s="25" t="s">
        <v>35</v>
      </c>
      <c r="I670" s="25" t="s">
        <v>35</v>
      </c>
      <c r="J670" s="26" t="s">
        <v>36</v>
      </c>
      <c r="K670" s="27" t="s">
        <v>37</v>
      </c>
      <c r="L670" s="28" t="s">
        <v>35</v>
      </c>
      <c r="M670" s="28" t="s">
        <v>37</v>
      </c>
      <c r="N670" s="28" t="s">
        <v>35</v>
      </c>
      <c r="O670" s="28" t="s">
        <v>35</v>
      </c>
      <c r="P670" s="28" t="s">
        <v>35</v>
      </c>
      <c r="Q670" s="28" t="s">
        <v>35</v>
      </c>
      <c r="R670" s="28" t="s">
        <v>37</v>
      </c>
      <c r="S670" s="78" t="s">
        <v>1776</v>
      </c>
      <c r="T670" s="30" t="s">
        <v>1777</v>
      </c>
      <c r="U670" s="31" t="s">
        <v>1777</v>
      </c>
      <c r="V670" s="32">
        <f t="shared" ref="V670:X670" si="676">IF(lenb(SUBSTITUTE($Z670,V$1&amp;" (1)",""))&lt;lenb($Z670),1,IF(lenb(SUBSTITUTE($Z670,V$1&amp;" (2)",""))&lt;lenb($Z670),2,IF(lenb(SUBSTITUTE($Z670,V$1&amp;" (3)",""))&lt;lenb($Z670),3,IF(lenb(SUBSTITUTE($Z670,V$1&amp;" (4)",""))&lt;lenb($Z670),4,IF(lenb(SUBSTITUTE($Z670,V$1&amp;" (5)",""))&lt;lenb($Z670),5,IF(lenb(SUBSTITUTE($Z670,V$1&amp;" (6)",""))&lt;lenb($Z670),6,IF(lenb(SUBSTITUTE($Z670,V$1&amp;" (7)",""))&lt;lenb($Z670),1,IF(lenb(SUBSTITUTE($Z670,V$1&amp;" (8)",""))&lt;lenb($Z670),8,IF(lenb(SUBSTITUTE($Z670,V$1&amp;" (9)",""))&lt;lenb($Z670),9,IF(lenb(SUBSTITUTE($Z670,V$1&amp;" (10)",""))&lt;lenb($Z670),10,IF(lenb(SUBSTITUTE($Z670,V$1,""))&lt;lenb($Z670),"ERROR",IF($Z670=$Y$1,"-",0))))))))))))</f>
        <v>1</v>
      </c>
      <c r="W670" s="32">
        <f t="shared" si="676"/>
        <v>0</v>
      </c>
      <c r="X670" s="32">
        <f t="shared" si="676"/>
        <v>0</v>
      </c>
      <c r="Y670" s="32" t="str">
        <f t="shared" si="3"/>
        <v>-</v>
      </c>
      <c r="Z670" s="32" t="s">
        <v>62</v>
      </c>
      <c r="AA670" s="33">
        <f t="shared" si="4"/>
        <v>1</v>
      </c>
      <c r="AB670" s="34">
        <f>COUNTIFS(Links!B:B,"ICSE",Links!C:C,A670,Links!AD:AD,1)</f>
        <v>0</v>
      </c>
      <c r="AC670" s="35" t="s">
        <v>37</v>
      </c>
      <c r="AD670" s="27" t="str">
        <f t="shared" si="5"/>
        <v>No</v>
      </c>
      <c r="AE670" s="36" t="s">
        <v>36</v>
      </c>
      <c r="AF670" s="37" t="s">
        <v>42</v>
      </c>
      <c r="AG670" s="37" t="s">
        <v>42</v>
      </c>
      <c r="AH670" s="37" t="s">
        <v>42</v>
      </c>
      <c r="AI670" s="29" t="str">
        <f t="shared" si="661"/>
        <v>----</v>
      </c>
      <c r="AJ670" s="38" t="str">
        <f t="shared" si="7"/>
        <v>Paper has link but no statement</v>
      </c>
      <c r="AK670" s="39">
        <v>45027.0</v>
      </c>
      <c r="AL670" s="23" t="s">
        <v>43</v>
      </c>
      <c r="AM670" s="40" t="str">
        <f t="shared" si="8"/>
        <v>[IP0798]</v>
      </c>
    </row>
    <row r="671" ht="67.5" customHeight="1">
      <c r="A671" s="41">
        <v>799.0</v>
      </c>
      <c r="B671" s="42" t="s">
        <v>1778</v>
      </c>
      <c r="C671" s="43">
        <v>2020.0</v>
      </c>
      <c r="D671" s="44" t="s">
        <v>35</v>
      </c>
      <c r="E671" s="45" t="s">
        <v>36</v>
      </c>
      <c r="F671" s="45" t="s">
        <v>36</v>
      </c>
      <c r="G671" s="45" t="s">
        <v>36</v>
      </c>
      <c r="H671" s="45" t="s">
        <v>36</v>
      </c>
      <c r="I671" s="45" t="s">
        <v>36</v>
      </c>
      <c r="J671" s="46" t="s">
        <v>36</v>
      </c>
      <c r="K671" s="47" t="s">
        <v>37</v>
      </c>
      <c r="L671" s="48" t="s">
        <v>37</v>
      </c>
      <c r="M671" s="48" t="s">
        <v>35</v>
      </c>
      <c r="N671" s="48" t="s">
        <v>37</v>
      </c>
      <c r="O671" s="48" t="s">
        <v>35</v>
      </c>
      <c r="P671" s="48" t="s">
        <v>35</v>
      </c>
      <c r="Q671" s="48" t="s">
        <v>35</v>
      </c>
      <c r="R671" s="48" t="s">
        <v>37</v>
      </c>
      <c r="S671" s="49" t="s">
        <v>1779</v>
      </c>
      <c r="T671" s="50" t="s">
        <v>1780</v>
      </c>
      <c r="U671" s="51" t="s">
        <v>1780</v>
      </c>
      <c r="V671" s="52">
        <f t="shared" ref="V671:X671" si="677">IF(lenb(SUBSTITUTE($Z671,V$1&amp;" (1)",""))&lt;lenb($Z671),1,IF(lenb(SUBSTITUTE($Z671,V$1&amp;" (2)",""))&lt;lenb($Z671),2,IF(lenb(SUBSTITUTE($Z671,V$1&amp;" (3)",""))&lt;lenb($Z671),3,IF(lenb(SUBSTITUTE($Z671,V$1&amp;" (4)",""))&lt;lenb($Z671),4,IF(lenb(SUBSTITUTE($Z671,V$1&amp;" (5)",""))&lt;lenb($Z671),5,IF(lenb(SUBSTITUTE($Z671,V$1&amp;" (6)",""))&lt;lenb($Z671),6,IF(lenb(SUBSTITUTE($Z671,V$1&amp;" (7)",""))&lt;lenb($Z671),1,IF(lenb(SUBSTITUTE($Z671,V$1&amp;" (8)",""))&lt;lenb($Z671),8,IF(lenb(SUBSTITUTE($Z671,V$1&amp;" (9)",""))&lt;lenb($Z671),9,IF(lenb(SUBSTITUTE($Z671,V$1&amp;" (10)",""))&lt;lenb($Z671),10,IF(lenb(SUBSTITUTE($Z671,V$1,""))&lt;lenb($Z671),"ERROR",IF($Z671=$Y$1,"-",0))))))))))))</f>
        <v>1</v>
      </c>
      <c r="W671" s="52">
        <f t="shared" si="677"/>
        <v>0</v>
      </c>
      <c r="X671" s="52">
        <f t="shared" si="677"/>
        <v>0</v>
      </c>
      <c r="Y671" s="52" t="str">
        <f t="shared" si="3"/>
        <v>-</v>
      </c>
      <c r="Z671" s="52" t="s">
        <v>62</v>
      </c>
      <c r="AA671" s="53">
        <f t="shared" si="4"/>
        <v>1</v>
      </c>
      <c r="AB671" s="54">
        <f>COUNTIFS(Links!B:B,"ICSE",Links!C:C,A671,Links!AD:AD,1)</f>
        <v>0</v>
      </c>
      <c r="AC671" s="55" t="s">
        <v>35</v>
      </c>
      <c r="AD671" s="47" t="str">
        <f t="shared" si="5"/>
        <v>No</v>
      </c>
      <c r="AE671" s="56" t="s">
        <v>36</v>
      </c>
      <c r="AF671" s="57" t="s">
        <v>42</v>
      </c>
      <c r="AG671" s="57" t="s">
        <v>42</v>
      </c>
      <c r="AH671" s="57" t="s">
        <v>42</v>
      </c>
      <c r="AI671" s="49" t="str">
        <f t="shared" si="661"/>
        <v>----</v>
      </c>
      <c r="AJ671" s="58" t="str">
        <f t="shared" si="7"/>
        <v>Paper has link but no statement</v>
      </c>
      <c r="AK671" s="59">
        <v>45027.0</v>
      </c>
      <c r="AL671" s="43" t="s">
        <v>43</v>
      </c>
      <c r="AM671" s="60" t="str">
        <f t="shared" si="8"/>
        <v>[IP0799]</v>
      </c>
    </row>
    <row r="672" ht="67.5" customHeight="1">
      <c r="A672" s="61">
        <v>800.0</v>
      </c>
      <c r="B672" s="22" t="s">
        <v>1781</v>
      </c>
      <c r="C672" s="23">
        <v>2020.0</v>
      </c>
      <c r="D672" s="24" t="s">
        <v>35</v>
      </c>
      <c r="E672" s="25" t="s">
        <v>36</v>
      </c>
      <c r="F672" s="25" t="s">
        <v>36</v>
      </c>
      <c r="G672" s="25" t="s">
        <v>36</v>
      </c>
      <c r="H672" s="25" t="s">
        <v>36</v>
      </c>
      <c r="I672" s="25" t="s">
        <v>36</v>
      </c>
      <c r="J672" s="26" t="s">
        <v>36</v>
      </c>
      <c r="K672" s="27" t="s">
        <v>35</v>
      </c>
      <c r="L672" s="28" t="s">
        <v>36</v>
      </c>
      <c r="M672" s="28" t="s">
        <v>36</v>
      </c>
      <c r="N672" s="28" t="s">
        <v>36</v>
      </c>
      <c r="O672" s="28" t="s">
        <v>36</v>
      </c>
      <c r="P672" s="28" t="s">
        <v>36</v>
      </c>
      <c r="Q672" s="28" t="s">
        <v>36</v>
      </c>
      <c r="R672" s="28" t="s">
        <v>36</v>
      </c>
      <c r="S672" s="29" t="s">
        <v>36</v>
      </c>
      <c r="T672" s="30" t="s">
        <v>36</v>
      </c>
      <c r="U672" s="31" t="s">
        <v>36</v>
      </c>
      <c r="V672" s="32" t="str">
        <f t="shared" ref="V672:X672" si="678">IF(lenb(SUBSTITUTE($Z672,V$1&amp;" (1)",""))&lt;lenb($Z672),1,IF(lenb(SUBSTITUTE($Z672,V$1&amp;" (2)",""))&lt;lenb($Z672),2,IF(lenb(SUBSTITUTE($Z672,V$1&amp;" (3)",""))&lt;lenb($Z672),3,IF(lenb(SUBSTITUTE($Z672,V$1&amp;" (4)",""))&lt;lenb($Z672),4,IF(lenb(SUBSTITUTE($Z672,V$1&amp;" (5)",""))&lt;lenb($Z672),5,IF(lenb(SUBSTITUTE($Z672,V$1&amp;" (6)",""))&lt;lenb($Z672),6,IF(lenb(SUBSTITUTE($Z672,V$1&amp;" (7)",""))&lt;lenb($Z672),1,IF(lenb(SUBSTITUTE($Z672,V$1&amp;" (8)",""))&lt;lenb($Z672),8,IF(lenb(SUBSTITUTE($Z672,V$1&amp;" (9)",""))&lt;lenb($Z672),9,IF(lenb(SUBSTITUTE($Z672,V$1&amp;" (10)",""))&lt;lenb($Z672),10,IF(lenb(SUBSTITUTE($Z672,V$1,""))&lt;lenb($Z672),"ERROR",IF($Z672=$Y$1,"-",0))))))))))))</f>
        <v>-</v>
      </c>
      <c r="W672" s="32" t="str">
        <f t="shared" si="678"/>
        <v>-</v>
      </c>
      <c r="X672" s="32" t="str">
        <f t="shared" si="678"/>
        <v>-</v>
      </c>
      <c r="Y672" s="32">
        <f t="shared" si="3"/>
        <v>1</v>
      </c>
      <c r="Z672" s="32" t="s">
        <v>23</v>
      </c>
      <c r="AA672" s="33">
        <f t="shared" si="4"/>
        <v>0</v>
      </c>
      <c r="AB672" s="34">
        <f>COUNTIFS(Links!B:B,"ICSE",Links!C:C,A672,Links!AD:AD,1)</f>
        <v>0</v>
      </c>
      <c r="AC672" s="35" t="s">
        <v>36</v>
      </c>
      <c r="AD672" s="27" t="str">
        <f t="shared" si="5"/>
        <v>No</v>
      </c>
      <c r="AE672" s="36" t="s">
        <v>36</v>
      </c>
      <c r="AF672" s="37" t="s">
        <v>42</v>
      </c>
      <c r="AG672" s="37" t="s">
        <v>42</v>
      </c>
      <c r="AH672" s="37" t="s">
        <v>42</v>
      </c>
      <c r="AI672" s="29" t="str">
        <f t="shared" si="661"/>
        <v>----</v>
      </c>
      <c r="AJ672" s="38" t="str">
        <f t="shared" si="7"/>
        <v>Paper has no link and no statement</v>
      </c>
      <c r="AK672" s="39">
        <v>45027.0</v>
      </c>
      <c r="AL672" s="23" t="s">
        <v>43</v>
      </c>
      <c r="AM672" s="40" t="str">
        <f t="shared" si="8"/>
        <v>[IP0800]</v>
      </c>
    </row>
    <row r="673" ht="67.5" customHeight="1">
      <c r="A673" s="41">
        <v>801.0</v>
      </c>
      <c r="B673" s="42" t="s">
        <v>1782</v>
      </c>
      <c r="C673" s="43">
        <v>2020.0</v>
      </c>
      <c r="D673" s="44" t="s">
        <v>35</v>
      </c>
      <c r="E673" s="45" t="s">
        <v>36</v>
      </c>
      <c r="F673" s="45" t="s">
        <v>36</v>
      </c>
      <c r="G673" s="45" t="s">
        <v>36</v>
      </c>
      <c r="H673" s="45" t="s">
        <v>36</v>
      </c>
      <c r="I673" s="45" t="s">
        <v>36</v>
      </c>
      <c r="J673" s="46" t="s">
        <v>36</v>
      </c>
      <c r="K673" s="47" t="s">
        <v>37</v>
      </c>
      <c r="L673" s="48" t="s">
        <v>37</v>
      </c>
      <c r="M673" s="48" t="s">
        <v>37</v>
      </c>
      <c r="N673" s="48" t="s">
        <v>35</v>
      </c>
      <c r="O673" s="48" t="s">
        <v>35</v>
      </c>
      <c r="P673" s="48" t="s">
        <v>35</v>
      </c>
      <c r="Q673" s="48" t="s">
        <v>35</v>
      </c>
      <c r="R673" s="48" t="s">
        <v>37</v>
      </c>
      <c r="S673" s="49" t="s">
        <v>1783</v>
      </c>
      <c r="T673" s="50" t="s">
        <v>1784</v>
      </c>
      <c r="U673" s="51" t="s">
        <v>1785</v>
      </c>
      <c r="V673" s="52">
        <f t="shared" ref="V673:X673" si="679">IF(lenb(SUBSTITUTE($Z673,V$1&amp;" (1)",""))&lt;lenb($Z673),1,IF(lenb(SUBSTITUTE($Z673,V$1&amp;" (2)",""))&lt;lenb($Z673),2,IF(lenb(SUBSTITUTE($Z673,V$1&amp;" (3)",""))&lt;lenb($Z673),3,IF(lenb(SUBSTITUTE($Z673,V$1&amp;" (4)",""))&lt;lenb($Z673),4,IF(lenb(SUBSTITUTE($Z673,V$1&amp;" (5)",""))&lt;lenb($Z673),5,IF(lenb(SUBSTITUTE($Z673,V$1&amp;" (6)",""))&lt;lenb($Z673),6,IF(lenb(SUBSTITUTE($Z673,V$1&amp;" (7)",""))&lt;lenb($Z673),1,IF(lenb(SUBSTITUTE($Z673,V$1&amp;" (8)",""))&lt;lenb($Z673),8,IF(lenb(SUBSTITUTE($Z673,V$1&amp;" (9)",""))&lt;lenb($Z673),9,IF(lenb(SUBSTITUTE($Z673,V$1&amp;" (10)",""))&lt;lenb($Z673),10,IF(lenb(SUBSTITUTE($Z673,V$1,""))&lt;lenb($Z673),"ERROR",IF($Z673=$Y$1,"-",0))))))))))))</f>
        <v>1</v>
      </c>
      <c r="W673" s="52">
        <f t="shared" si="679"/>
        <v>0</v>
      </c>
      <c r="X673" s="52">
        <f t="shared" si="679"/>
        <v>0</v>
      </c>
      <c r="Y673" s="52" t="str">
        <f t="shared" si="3"/>
        <v>-</v>
      </c>
      <c r="Z673" s="52" t="s">
        <v>62</v>
      </c>
      <c r="AA673" s="53">
        <f t="shared" si="4"/>
        <v>1</v>
      </c>
      <c r="AB673" s="54">
        <f>COUNTIFS(Links!B:B,"ICSE",Links!C:C,A673,Links!AD:AD,1)</f>
        <v>0</v>
      </c>
      <c r="AC673" s="55" t="s">
        <v>35</v>
      </c>
      <c r="AD673" s="47" t="str">
        <f t="shared" si="5"/>
        <v>Yes</v>
      </c>
      <c r="AE673" s="56" t="s">
        <v>1786</v>
      </c>
      <c r="AF673" s="56" t="s">
        <v>1787</v>
      </c>
      <c r="AG673" s="57" t="s">
        <v>42</v>
      </c>
      <c r="AH673" s="57" t="s">
        <v>42</v>
      </c>
      <c r="AI673" s="49" t="str">
        <f t="shared" si="661"/>
        <v>Barriers (Security issues)</v>
      </c>
      <c r="AJ673" s="58" t="str">
        <f t="shared" si="7"/>
        <v>Paper has link and statement</v>
      </c>
      <c r="AK673" s="59">
        <v>45027.0</v>
      </c>
      <c r="AL673" s="43" t="s">
        <v>43</v>
      </c>
      <c r="AM673" s="60" t="str">
        <f t="shared" si="8"/>
        <v>[IP0801]</v>
      </c>
    </row>
    <row r="674" ht="67.5" customHeight="1">
      <c r="A674" s="61">
        <v>802.0</v>
      </c>
      <c r="B674" s="22" t="s">
        <v>1788</v>
      </c>
      <c r="C674" s="23">
        <v>2020.0</v>
      </c>
      <c r="D674" s="24" t="s">
        <v>35</v>
      </c>
      <c r="E674" s="25" t="s">
        <v>36</v>
      </c>
      <c r="F674" s="25" t="s">
        <v>36</v>
      </c>
      <c r="G674" s="25" t="s">
        <v>36</v>
      </c>
      <c r="H674" s="25" t="s">
        <v>36</v>
      </c>
      <c r="I674" s="25" t="s">
        <v>36</v>
      </c>
      <c r="J674" s="26" t="s">
        <v>36</v>
      </c>
      <c r="K674" s="27" t="s">
        <v>37</v>
      </c>
      <c r="L674" s="28" t="s">
        <v>35</v>
      </c>
      <c r="M674" s="28" t="s">
        <v>37</v>
      </c>
      <c r="N674" s="28" t="s">
        <v>35</v>
      </c>
      <c r="O674" s="28" t="s">
        <v>37</v>
      </c>
      <c r="P674" s="28" t="s">
        <v>35</v>
      </c>
      <c r="Q674" s="28" t="s">
        <v>35</v>
      </c>
      <c r="R674" s="28" t="s">
        <v>37</v>
      </c>
      <c r="S674" s="29" t="s">
        <v>1789</v>
      </c>
      <c r="T674" s="30" t="s">
        <v>1790</v>
      </c>
      <c r="U674" s="31" t="s">
        <v>1790</v>
      </c>
      <c r="V674" s="32">
        <f t="shared" ref="V674:X674" si="680">IF(lenb(SUBSTITUTE($Z674,V$1&amp;" (1)",""))&lt;lenb($Z674),1,IF(lenb(SUBSTITUTE($Z674,V$1&amp;" (2)",""))&lt;lenb($Z674),2,IF(lenb(SUBSTITUTE($Z674,V$1&amp;" (3)",""))&lt;lenb($Z674),3,IF(lenb(SUBSTITUTE($Z674,V$1&amp;" (4)",""))&lt;lenb($Z674),4,IF(lenb(SUBSTITUTE($Z674,V$1&amp;" (5)",""))&lt;lenb($Z674),5,IF(lenb(SUBSTITUTE($Z674,V$1&amp;" (6)",""))&lt;lenb($Z674),6,IF(lenb(SUBSTITUTE($Z674,V$1&amp;" (7)",""))&lt;lenb($Z674),1,IF(lenb(SUBSTITUTE($Z674,V$1&amp;" (8)",""))&lt;lenb($Z674),8,IF(lenb(SUBSTITUTE($Z674,V$1&amp;" (9)",""))&lt;lenb($Z674),9,IF(lenb(SUBSTITUTE($Z674,V$1&amp;" (10)",""))&lt;lenb($Z674),10,IF(lenb(SUBSTITUTE($Z674,V$1,""))&lt;lenb($Z674),"ERROR",IF($Z674=$Y$1,"-",0))))))))))))</f>
        <v>1</v>
      </c>
      <c r="W674" s="32">
        <f t="shared" si="680"/>
        <v>0</v>
      </c>
      <c r="X674" s="32">
        <f t="shared" si="680"/>
        <v>0</v>
      </c>
      <c r="Y674" s="32" t="str">
        <f t="shared" si="3"/>
        <v>-</v>
      </c>
      <c r="Z674" s="32" t="s">
        <v>62</v>
      </c>
      <c r="AA674" s="33">
        <f t="shared" si="4"/>
        <v>1</v>
      </c>
      <c r="AB674" s="34">
        <f>COUNTIFS(Links!B:B,"ICSE",Links!C:C,A674,Links!AD:AD,1)</f>
        <v>0</v>
      </c>
      <c r="AC674" s="35" t="s">
        <v>35</v>
      </c>
      <c r="AD674" s="27" t="str">
        <f t="shared" si="5"/>
        <v>No</v>
      </c>
      <c r="AE674" s="36" t="s">
        <v>36</v>
      </c>
      <c r="AF674" s="37" t="s">
        <v>42</v>
      </c>
      <c r="AG674" s="37" t="s">
        <v>42</v>
      </c>
      <c r="AH674" s="37" t="s">
        <v>42</v>
      </c>
      <c r="AI674" s="29" t="str">
        <f t="shared" si="661"/>
        <v>----</v>
      </c>
      <c r="AJ674" s="38" t="str">
        <f t="shared" si="7"/>
        <v>Paper has link but no statement</v>
      </c>
      <c r="AK674" s="39">
        <v>45027.0</v>
      </c>
      <c r="AL674" s="23" t="s">
        <v>43</v>
      </c>
      <c r="AM674" s="40" t="str">
        <f t="shared" si="8"/>
        <v>[IP0802]</v>
      </c>
    </row>
    <row r="675" ht="67.5" customHeight="1">
      <c r="A675" s="41">
        <v>803.0</v>
      </c>
      <c r="B675" s="42" t="s">
        <v>1791</v>
      </c>
      <c r="C675" s="43">
        <v>2020.0</v>
      </c>
      <c r="D675" s="44" t="s">
        <v>35</v>
      </c>
      <c r="E675" s="45" t="s">
        <v>36</v>
      </c>
      <c r="F675" s="45" t="s">
        <v>36</v>
      </c>
      <c r="G675" s="45" t="s">
        <v>36</v>
      </c>
      <c r="H675" s="45" t="s">
        <v>36</v>
      </c>
      <c r="I675" s="45" t="s">
        <v>36</v>
      </c>
      <c r="J675" s="46" t="s">
        <v>36</v>
      </c>
      <c r="K675" s="47" t="s">
        <v>37</v>
      </c>
      <c r="L675" s="48" t="s">
        <v>35</v>
      </c>
      <c r="M675" s="48" t="s">
        <v>35</v>
      </c>
      <c r="N675" s="48" t="s">
        <v>37</v>
      </c>
      <c r="O675" s="48" t="s">
        <v>35</v>
      </c>
      <c r="P675" s="48" t="s">
        <v>35</v>
      </c>
      <c r="Q675" s="48" t="s">
        <v>35</v>
      </c>
      <c r="R675" s="48" t="s">
        <v>35</v>
      </c>
      <c r="S675" s="49" t="s">
        <v>944</v>
      </c>
      <c r="T675" s="50" t="s">
        <v>1792</v>
      </c>
      <c r="U675" s="51" t="s">
        <v>1792</v>
      </c>
      <c r="V675" s="52">
        <f t="shared" ref="V675:X675" si="681">IF(lenb(SUBSTITUTE($Z675,V$1&amp;" (1)",""))&lt;lenb($Z675),1,IF(lenb(SUBSTITUTE($Z675,V$1&amp;" (2)",""))&lt;lenb($Z675),2,IF(lenb(SUBSTITUTE($Z675,V$1&amp;" (3)",""))&lt;lenb($Z675),3,IF(lenb(SUBSTITUTE($Z675,V$1&amp;" (4)",""))&lt;lenb($Z675),4,IF(lenb(SUBSTITUTE($Z675,V$1&amp;" (5)",""))&lt;lenb($Z675),5,IF(lenb(SUBSTITUTE($Z675,V$1&amp;" (6)",""))&lt;lenb($Z675),6,IF(lenb(SUBSTITUTE($Z675,V$1&amp;" (7)",""))&lt;lenb($Z675),1,IF(lenb(SUBSTITUTE($Z675,V$1&amp;" (8)",""))&lt;lenb($Z675),8,IF(lenb(SUBSTITUTE($Z675,V$1&amp;" (9)",""))&lt;lenb($Z675),9,IF(lenb(SUBSTITUTE($Z675,V$1&amp;" (10)",""))&lt;lenb($Z675),10,IF(lenb(SUBSTITUTE($Z675,V$1,""))&lt;lenb($Z675),"ERROR",IF($Z675=$Y$1,"-",0))))))))))))</f>
        <v>1</v>
      </c>
      <c r="W675" s="52">
        <f t="shared" si="681"/>
        <v>0</v>
      </c>
      <c r="X675" s="52">
        <f t="shared" si="681"/>
        <v>0</v>
      </c>
      <c r="Y675" s="52" t="str">
        <f t="shared" si="3"/>
        <v>-</v>
      </c>
      <c r="Z675" s="52" t="s">
        <v>62</v>
      </c>
      <c r="AA675" s="53">
        <f t="shared" si="4"/>
        <v>1</v>
      </c>
      <c r="AB675" s="54">
        <f>COUNTIFS(Links!B:B,"ICSE",Links!C:C,A675,Links!AD:AD,1)</f>
        <v>0</v>
      </c>
      <c r="AC675" s="55" t="s">
        <v>35</v>
      </c>
      <c r="AD675" s="47" t="str">
        <f t="shared" si="5"/>
        <v>No</v>
      </c>
      <c r="AE675" s="56" t="s">
        <v>36</v>
      </c>
      <c r="AF675" s="57" t="s">
        <v>42</v>
      </c>
      <c r="AG675" s="57" t="s">
        <v>42</v>
      </c>
      <c r="AH675" s="57" t="s">
        <v>42</v>
      </c>
      <c r="AI675" s="49" t="str">
        <f t="shared" si="661"/>
        <v>----</v>
      </c>
      <c r="AJ675" s="58" t="str">
        <f t="shared" si="7"/>
        <v>Paper has link but no statement</v>
      </c>
      <c r="AK675" s="59">
        <v>45027.0</v>
      </c>
      <c r="AL675" s="43" t="s">
        <v>43</v>
      </c>
      <c r="AM675" s="60" t="str">
        <f t="shared" si="8"/>
        <v>[IP0803]</v>
      </c>
    </row>
    <row r="676" ht="67.5" customHeight="1">
      <c r="A676" s="61">
        <v>804.0</v>
      </c>
      <c r="B676" s="22" t="s">
        <v>1793</v>
      </c>
      <c r="C676" s="23">
        <v>2020.0</v>
      </c>
      <c r="D676" s="24" t="s">
        <v>37</v>
      </c>
      <c r="E676" s="25" t="s">
        <v>37</v>
      </c>
      <c r="F676" s="25" t="s">
        <v>35</v>
      </c>
      <c r="G676" s="25" t="s">
        <v>35</v>
      </c>
      <c r="H676" s="25" t="s">
        <v>35</v>
      </c>
      <c r="I676" s="25" t="s">
        <v>35</v>
      </c>
      <c r="J676" s="26" t="s">
        <v>36</v>
      </c>
      <c r="K676" s="27" t="s">
        <v>37</v>
      </c>
      <c r="L676" s="28" t="s">
        <v>37</v>
      </c>
      <c r="M676" s="28" t="s">
        <v>37</v>
      </c>
      <c r="N676" s="28" t="s">
        <v>37</v>
      </c>
      <c r="O676" s="28" t="s">
        <v>37</v>
      </c>
      <c r="P676" s="28" t="s">
        <v>35</v>
      </c>
      <c r="Q676" s="28" t="s">
        <v>35</v>
      </c>
      <c r="R676" s="28" t="s">
        <v>37</v>
      </c>
      <c r="S676" s="29" t="s">
        <v>1794</v>
      </c>
      <c r="T676" s="30" t="s">
        <v>1795</v>
      </c>
      <c r="U676" s="31" t="s">
        <v>1796</v>
      </c>
      <c r="V676" s="32">
        <f t="shared" ref="V676:X676" si="682">IF(lenb(SUBSTITUTE($Z676,V$1&amp;" (1)",""))&lt;lenb($Z676),1,IF(lenb(SUBSTITUTE($Z676,V$1&amp;" (2)",""))&lt;lenb($Z676),2,IF(lenb(SUBSTITUTE($Z676,V$1&amp;" (3)",""))&lt;lenb($Z676),3,IF(lenb(SUBSTITUTE($Z676,V$1&amp;" (4)",""))&lt;lenb($Z676),4,IF(lenb(SUBSTITUTE($Z676,V$1&amp;" (5)",""))&lt;lenb($Z676),5,IF(lenb(SUBSTITUTE($Z676,V$1&amp;" (6)",""))&lt;lenb($Z676),6,IF(lenb(SUBSTITUTE($Z676,V$1&amp;" (7)",""))&lt;lenb($Z676),1,IF(lenb(SUBSTITUTE($Z676,V$1&amp;" (8)",""))&lt;lenb($Z676),8,IF(lenb(SUBSTITUTE($Z676,V$1&amp;" (9)",""))&lt;lenb($Z676),9,IF(lenb(SUBSTITUTE($Z676,V$1&amp;" (10)",""))&lt;lenb($Z676),10,IF(lenb(SUBSTITUTE($Z676,V$1,""))&lt;lenb($Z676),"ERROR",IF($Z676=$Y$1,"-",0))))))))))))</f>
        <v>1</v>
      </c>
      <c r="W676" s="32">
        <f t="shared" si="682"/>
        <v>0</v>
      </c>
      <c r="X676" s="32">
        <f t="shared" si="682"/>
        <v>0</v>
      </c>
      <c r="Y676" s="32" t="str">
        <f t="shared" si="3"/>
        <v>-</v>
      </c>
      <c r="Z676" s="32" t="s">
        <v>62</v>
      </c>
      <c r="AA676" s="33">
        <f t="shared" si="4"/>
        <v>1</v>
      </c>
      <c r="AB676" s="34">
        <f>COUNTIFS(Links!B:B,"ICSE",Links!C:C,A676,Links!AD:AD,1)</f>
        <v>0</v>
      </c>
      <c r="AC676" s="35" t="s">
        <v>35</v>
      </c>
      <c r="AD676" s="27" t="str">
        <f t="shared" si="5"/>
        <v>No</v>
      </c>
      <c r="AE676" s="36" t="s">
        <v>36</v>
      </c>
      <c r="AF676" s="37" t="s">
        <v>42</v>
      </c>
      <c r="AG676" s="37" t="s">
        <v>42</v>
      </c>
      <c r="AH676" s="37" t="s">
        <v>42</v>
      </c>
      <c r="AI676" s="29" t="str">
        <f t="shared" si="661"/>
        <v>----</v>
      </c>
      <c r="AJ676" s="38" t="str">
        <f t="shared" si="7"/>
        <v>Paper has link but no statement</v>
      </c>
      <c r="AK676" s="39">
        <v>45027.0</v>
      </c>
      <c r="AL676" s="23" t="s">
        <v>43</v>
      </c>
      <c r="AM676" s="40" t="str">
        <f t="shared" si="8"/>
        <v>[IP0804]</v>
      </c>
    </row>
    <row r="677" ht="67.5" customHeight="1">
      <c r="A677" s="41">
        <v>805.0</v>
      </c>
      <c r="B677" s="42" t="s">
        <v>1797</v>
      </c>
      <c r="C677" s="43">
        <v>2020.0</v>
      </c>
      <c r="D677" s="44" t="s">
        <v>37</v>
      </c>
      <c r="E677" s="45" t="s">
        <v>37</v>
      </c>
      <c r="F677" s="45" t="s">
        <v>35</v>
      </c>
      <c r="G677" s="45" t="s">
        <v>35</v>
      </c>
      <c r="H677" s="45" t="s">
        <v>35</v>
      </c>
      <c r="I677" s="45" t="s">
        <v>35</v>
      </c>
      <c r="J677" s="46" t="s">
        <v>36</v>
      </c>
      <c r="K677" s="47" t="s">
        <v>35</v>
      </c>
      <c r="L677" s="48" t="s">
        <v>36</v>
      </c>
      <c r="M677" s="48" t="s">
        <v>36</v>
      </c>
      <c r="N677" s="48" t="s">
        <v>36</v>
      </c>
      <c r="O677" s="48" t="s">
        <v>36</v>
      </c>
      <c r="P677" s="48" t="s">
        <v>36</v>
      </c>
      <c r="Q677" s="48" t="s">
        <v>36</v>
      </c>
      <c r="R677" s="48" t="s">
        <v>36</v>
      </c>
      <c r="S677" s="49" t="s">
        <v>36</v>
      </c>
      <c r="T677" s="50" t="s">
        <v>36</v>
      </c>
      <c r="U677" s="51" t="s">
        <v>36</v>
      </c>
      <c r="V677" s="52" t="str">
        <f t="shared" ref="V677:X677" si="683">IF(lenb(SUBSTITUTE($Z677,V$1&amp;" (1)",""))&lt;lenb($Z677),1,IF(lenb(SUBSTITUTE($Z677,V$1&amp;" (2)",""))&lt;lenb($Z677),2,IF(lenb(SUBSTITUTE($Z677,V$1&amp;" (3)",""))&lt;lenb($Z677),3,IF(lenb(SUBSTITUTE($Z677,V$1&amp;" (4)",""))&lt;lenb($Z677),4,IF(lenb(SUBSTITUTE($Z677,V$1&amp;" (5)",""))&lt;lenb($Z677),5,IF(lenb(SUBSTITUTE($Z677,V$1&amp;" (6)",""))&lt;lenb($Z677),6,IF(lenb(SUBSTITUTE($Z677,V$1&amp;" (7)",""))&lt;lenb($Z677),1,IF(lenb(SUBSTITUTE($Z677,V$1&amp;" (8)",""))&lt;lenb($Z677),8,IF(lenb(SUBSTITUTE($Z677,V$1&amp;" (9)",""))&lt;lenb($Z677),9,IF(lenb(SUBSTITUTE($Z677,V$1&amp;" (10)",""))&lt;lenb($Z677),10,IF(lenb(SUBSTITUTE($Z677,V$1,""))&lt;lenb($Z677),"ERROR",IF($Z677=$Y$1,"-",0))))))))))))</f>
        <v>-</v>
      </c>
      <c r="W677" s="52" t="str">
        <f t="shared" si="683"/>
        <v>-</v>
      </c>
      <c r="X677" s="52" t="str">
        <f t="shared" si="683"/>
        <v>-</v>
      </c>
      <c r="Y677" s="52">
        <f t="shared" si="3"/>
        <v>1</v>
      </c>
      <c r="Z677" s="52" t="s">
        <v>23</v>
      </c>
      <c r="AA677" s="53">
        <f t="shared" si="4"/>
        <v>0</v>
      </c>
      <c r="AB677" s="54">
        <f>COUNTIFS(Links!B:B,"ICSE",Links!C:C,A677,Links!AD:AD,1)</f>
        <v>0</v>
      </c>
      <c r="AC677" s="55" t="s">
        <v>36</v>
      </c>
      <c r="AD677" s="47" t="str">
        <f t="shared" si="5"/>
        <v>No</v>
      </c>
      <c r="AE677" s="56" t="s">
        <v>36</v>
      </c>
      <c r="AF677" s="57" t="s">
        <v>42</v>
      </c>
      <c r="AG677" s="57" t="s">
        <v>42</v>
      </c>
      <c r="AH677" s="57" t="s">
        <v>42</v>
      </c>
      <c r="AI677" s="49" t="str">
        <f t="shared" si="661"/>
        <v>----</v>
      </c>
      <c r="AJ677" s="58" t="str">
        <f t="shared" si="7"/>
        <v>Paper has no link and no statement</v>
      </c>
      <c r="AK677" s="59">
        <v>45027.0</v>
      </c>
      <c r="AL677" s="43" t="s">
        <v>43</v>
      </c>
      <c r="AM677" s="60" t="str">
        <f t="shared" si="8"/>
        <v>[IP0805]</v>
      </c>
    </row>
    <row r="678" ht="67.5" customHeight="1">
      <c r="A678" s="61">
        <v>806.0</v>
      </c>
      <c r="B678" s="22" t="s">
        <v>1798</v>
      </c>
      <c r="C678" s="23">
        <v>2020.0</v>
      </c>
      <c r="D678" s="24" t="s">
        <v>35</v>
      </c>
      <c r="E678" s="25" t="s">
        <v>36</v>
      </c>
      <c r="F678" s="25" t="s">
        <v>36</v>
      </c>
      <c r="G678" s="25" t="s">
        <v>36</v>
      </c>
      <c r="H678" s="25" t="s">
        <v>36</v>
      </c>
      <c r="I678" s="25" t="s">
        <v>36</v>
      </c>
      <c r="J678" s="26" t="s">
        <v>36</v>
      </c>
      <c r="K678" s="27" t="s">
        <v>37</v>
      </c>
      <c r="L678" s="28" t="s">
        <v>35</v>
      </c>
      <c r="M678" s="28" t="s">
        <v>37</v>
      </c>
      <c r="N678" s="28" t="s">
        <v>37</v>
      </c>
      <c r="O678" s="28" t="s">
        <v>35</v>
      </c>
      <c r="P678" s="28" t="s">
        <v>35</v>
      </c>
      <c r="Q678" s="28" t="s">
        <v>35</v>
      </c>
      <c r="R678" s="28" t="s">
        <v>37</v>
      </c>
      <c r="S678" s="29" t="s">
        <v>1799</v>
      </c>
      <c r="T678" s="30" t="s">
        <v>1800</v>
      </c>
      <c r="U678" s="31" t="s">
        <v>1800</v>
      </c>
      <c r="V678" s="32">
        <f t="shared" ref="V678:X678" si="684">IF(lenb(SUBSTITUTE($Z678,V$1&amp;" (1)",""))&lt;lenb($Z678),1,IF(lenb(SUBSTITUTE($Z678,V$1&amp;" (2)",""))&lt;lenb($Z678),2,IF(lenb(SUBSTITUTE($Z678,V$1&amp;" (3)",""))&lt;lenb($Z678),3,IF(lenb(SUBSTITUTE($Z678,V$1&amp;" (4)",""))&lt;lenb($Z678),4,IF(lenb(SUBSTITUTE($Z678,V$1&amp;" (5)",""))&lt;lenb($Z678),5,IF(lenb(SUBSTITUTE($Z678,V$1&amp;" (6)",""))&lt;lenb($Z678),6,IF(lenb(SUBSTITUTE($Z678,V$1&amp;" (7)",""))&lt;lenb($Z678),1,IF(lenb(SUBSTITUTE($Z678,V$1&amp;" (8)",""))&lt;lenb($Z678),8,IF(lenb(SUBSTITUTE($Z678,V$1&amp;" (9)",""))&lt;lenb($Z678),9,IF(lenb(SUBSTITUTE($Z678,V$1&amp;" (10)",""))&lt;lenb($Z678),10,IF(lenb(SUBSTITUTE($Z678,V$1,""))&lt;lenb($Z678),"ERROR",IF($Z678=$Y$1,"-",0))))))))))))</f>
        <v>1</v>
      </c>
      <c r="W678" s="32">
        <f t="shared" si="684"/>
        <v>0</v>
      </c>
      <c r="X678" s="32">
        <f t="shared" si="684"/>
        <v>0</v>
      </c>
      <c r="Y678" s="32" t="str">
        <f t="shared" si="3"/>
        <v>-</v>
      </c>
      <c r="Z678" s="32" t="s">
        <v>62</v>
      </c>
      <c r="AA678" s="33">
        <f t="shared" si="4"/>
        <v>1</v>
      </c>
      <c r="AB678" s="34">
        <f>COUNTIFS(Links!B:B,"ICSE",Links!C:C,A678,Links!AD:AD,1)</f>
        <v>0</v>
      </c>
      <c r="AC678" s="35" t="s">
        <v>35</v>
      </c>
      <c r="AD678" s="27" t="str">
        <f t="shared" si="5"/>
        <v>No</v>
      </c>
      <c r="AE678" s="36" t="s">
        <v>36</v>
      </c>
      <c r="AF678" s="37" t="s">
        <v>42</v>
      </c>
      <c r="AG678" s="37" t="s">
        <v>42</v>
      </c>
      <c r="AH678" s="37" t="s">
        <v>42</v>
      </c>
      <c r="AI678" s="29" t="str">
        <f t="shared" si="661"/>
        <v>----</v>
      </c>
      <c r="AJ678" s="38" t="str">
        <f t="shared" si="7"/>
        <v>Paper has link but no statement</v>
      </c>
      <c r="AK678" s="39">
        <v>45027.0</v>
      </c>
      <c r="AL678" s="23" t="s">
        <v>43</v>
      </c>
      <c r="AM678" s="40" t="str">
        <f t="shared" si="8"/>
        <v>[IP0806]</v>
      </c>
    </row>
    <row r="679" ht="67.5" customHeight="1">
      <c r="A679" s="41">
        <v>807.0</v>
      </c>
      <c r="B679" s="42" t="s">
        <v>1801</v>
      </c>
      <c r="C679" s="43">
        <v>2020.0</v>
      </c>
      <c r="D679" s="44" t="s">
        <v>35</v>
      </c>
      <c r="E679" s="45" t="s">
        <v>36</v>
      </c>
      <c r="F679" s="45" t="s">
        <v>36</v>
      </c>
      <c r="G679" s="45" t="s">
        <v>36</v>
      </c>
      <c r="H679" s="45" t="s">
        <v>36</v>
      </c>
      <c r="I679" s="45" t="s">
        <v>36</v>
      </c>
      <c r="J679" s="46" t="s">
        <v>36</v>
      </c>
      <c r="K679" s="47" t="s">
        <v>37</v>
      </c>
      <c r="L679" s="48" t="s">
        <v>35</v>
      </c>
      <c r="M679" s="48" t="s">
        <v>35</v>
      </c>
      <c r="N679" s="48" t="s">
        <v>35</v>
      </c>
      <c r="O679" s="48" t="s">
        <v>37</v>
      </c>
      <c r="P679" s="48" t="s">
        <v>35</v>
      </c>
      <c r="Q679" s="48" t="s">
        <v>35</v>
      </c>
      <c r="R679" s="48" t="s">
        <v>35</v>
      </c>
      <c r="S679" s="49" t="s">
        <v>1802</v>
      </c>
      <c r="T679" s="50" t="s">
        <v>1803</v>
      </c>
      <c r="U679" s="51" t="s">
        <v>1803</v>
      </c>
      <c r="V679" s="52">
        <f t="shared" ref="V679:X679" si="685">IF(lenb(SUBSTITUTE($Z679,V$1&amp;" (1)",""))&lt;lenb($Z679),1,IF(lenb(SUBSTITUTE($Z679,V$1&amp;" (2)",""))&lt;lenb($Z679),2,IF(lenb(SUBSTITUTE($Z679,V$1&amp;" (3)",""))&lt;lenb($Z679),3,IF(lenb(SUBSTITUTE($Z679,V$1&amp;" (4)",""))&lt;lenb($Z679),4,IF(lenb(SUBSTITUTE($Z679,V$1&amp;" (5)",""))&lt;lenb($Z679),5,IF(lenb(SUBSTITUTE($Z679,V$1&amp;" (6)",""))&lt;lenb($Z679),6,IF(lenb(SUBSTITUTE($Z679,V$1&amp;" (7)",""))&lt;lenb($Z679),1,IF(lenb(SUBSTITUTE($Z679,V$1&amp;" (8)",""))&lt;lenb($Z679),8,IF(lenb(SUBSTITUTE($Z679,V$1&amp;" (9)",""))&lt;lenb($Z679),9,IF(lenb(SUBSTITUTE($Z679,V$1&amp;" (10)",""))&lt;lenb($Z679),10,IF(lenb(SUBSTITUTE($Z679,V$1,""))&lt;lenb($Z679),"ERROR",IF($Z679=$Y$1,"-",0))))))))))))</f>
        <v>1</v>
      </c>
      <c r="W679" s="52">
        <f t="shared" si="685"/>
        <v>0</v>
      </c>
      <c r="X679" s="52">
        <f t="shared" si="685"/>
        <v>0</v>
      </c>
      <c r="Y679" s="52" t="str">
        <f t="shared" si="3"/>
        <v>-</v>
      </c>
      <c r="Z679" s="52" t="s">
        <v>62</v>
      </c>
      <c r="AA679" s="53">
        <f t="shared" si="4"/>
        <v>1</v>
      </c>
      <c r="AB679" s="54">
        <f>COUNTIFS(Links!B:B,"ICSE",Links!C:C,A679,Links!AD:AD,1)</f>
        <v>0</v>
      </c>
      <c r="AC679" s="55" t="s">
        <v>35</v>
      </c>
      <c r="AD679" s="47" t="str">
        <f t="shared" si="5"/>
        <v>No</v>
      </c>
      <c r="AE679" s="56" t="s">
        <v>36</v>
      </c>
      <c r="AF679" s="57" t="s">
        <v>42</v>
      </c>
      <c r="AG679" s="57" t="s">
        <v>42</v>
      </c>
      <c r="AH679" s="57" t="s">
        <v>42</v>
      </c>
      <c r="AI679" s="49" t="str">
        <f t="shared" si="661"/>
        <v>----</v>
      </c>
      <c r="AJ679" s="58" t="str">
        <f t="shared" si="7"/>
        <v>Paper has link but no statement</v>
      </c>
      <c r="AK679" s="59">
        <v>45027.0</v>
      </c>
      <c r="AL679" s="43" t="s">
        <v>43</v>
      </c>
      <c r="AM679" s="60" t="str">
        <f t="shared" si="8"/>
        <v>[IP0807]</v>
      </c>
    </row>
    <row r="680" ht="67.5" customHeight="1">
      <c r="A680" s="61">
        <v>808.0</v>
      </c>
      <c r="B680" s="22" t="s">
        <v>1804</v>
      </c>
      <c r="C680" s="23">
        <v>2020.0</v>
      </c>
      <c r="D680" s="24" t="s">
        <v>35</v>
      </c>
      <c r="E680" s="25" t="s">
        <v>36</v>
      </c>
      <c r="F680" s="25" t="s">
        <v>36</v>
      </c>
      <c r="G680" s="25" t="s">
        <v>36</v>
      </c>
      <c r="H680" s="25" t="s">
        <v>36</v>
      </c>
      <c r="I680" s="25" t="s">
        <v>36</v>
      </c>
      <c r="J680" s="26" t="s">
        <v>36</v>
      </c>
      <c r="K680" s="27" t="s">
        <v>37</v>
      </c>
      <c r="L680" s="28" t="s">
        <v>35</v>
      </c>
      <c r="M680" s="28" t="s">
        <v>37</v>
      </c>
      <c r="N680" s="28" t="s">
        <v>37</v>
      </c>
      <c r="O680" s="28" t="s">
        <v>35</v>
      </c>
      <c r="P680" s="28" t="s">
        <v>35</v>
      </c>
      <c r="Q680" s="28" t="s">
        <v>35</v>
      </c>
      <c r="R680" s="28" t="s">
        <v>37</v>
      </c>
      <c r="S680" s="29" t="s">
        <v>1805</v>
      </c>
      <c r="T680" s="30" t="s">
        <v>1806</v>
      </c>
      <c r="U680" s="31" t="s">
        <v>1806</v>
      </c>
      <c r="V680" s="32">
        <f t="shared" ref="V680:X680" si="686">IF(lenb(SUBSTITUTE($Z680,V$1&amp;" (1)",""))&lt;lenb($Z680),1,IF(lenb(SUBSTITUTE($Z680,V$1&amp;" (2)",""))&lt;lenb($Z680),2,IF(lenb(SUBSTITUTE($Z680,V$1&amp;" (3)",""))&lt;lenb($Z680),3,IF(lenb(SUBSTITUTE($Z680,V$1&amp;" (4)",""))&lt;lenb($Z680),4,IF(lenb(SUBSTITUTE($Z680,V$1&amp;" (5)",""))&lt;lenb($Z680),5,IF(lenb(SUBSTITUTE($Z680,V$1&amp;" (6)",""))&lt;lenb($Z680),6,IF(lenb(SUBSTITUTE($Z680,V$1&amp;" (7)",""))&lt;lenb($Z680),1,IF(lenb(SUBSTITUTE($Z680,V$1&amp;" (8)",""))&lt;lenb($Z680),8,IF(lenb(SUBSTITUTE($Z680,V$1&amp;" (9)",""))&lt;lenb($Z680),9,IF(lenb(SUBSTITUTE($Z680,V$1&amp;" (10)",""))&lt;lenb($Z680),10,IF(lenb(SUBSTITUTE($Z680,V$1,""))&lt;lenb($Z680),"ERROR",IF($Z680=$Y$1,"-",0))))))))))))</f>
        <v>1</v>
      </c>
      <c r="W680" s="32">
        <f t="shared" si="686"/>
        <v>0</v>
      </c>
      <c r="X680" s="32">
        <f t="shared" si="686"/>
        <v>0</v>
      </c>
      <c r="Y680" s="32" t="str">
        <f t="shared" si="3"/>
        <v>-</v>
      </c>
      <c r="Z680" s="32" t="s">
        <v>62</v>
      </c>
      <c r="AA680" s="33">
        <f t="shared" si="4"/>
        <v>1</v>
      </c>
      <c r="AB680" s="34">
        <f>COUNTIFS(Links!B:B,"ICSE",Links!C:C,A680,Links!AD:AD,1)</f>
        <v>0</v>
      </c>
      <c r="AC680" s="35" t="s">
        <v>35</v>
      </c>
      <c r="AD680" s="27" t="str">
        <f t="shared" si="5"/>
        <v>No</v>
      </c>
      <c r="AE680" s="36" t="s">
        <v>36</v>
      </c>
      <c r="AF680" s="37" t="s">
        <v>42</v>
      </c>
      <c r="AG680" s="37" t="s">
        <v>42</v>
      </c>
      <c r="AH680" s="37" t="s">
        <v>42</v>
      </c>
      <c r="AI680" s="29" t="str">
        <f t="shared" si="661"/>
        <v>----</v>
      </c>
      <c r="AJ680" s="38" t="str">
        <f t="shared" si="7"/>
        <v>Paper has link but no statement</v>
      </c>
      <c r="AK680" s="39">
        <v>45027.0</v>
      </c>
      <c r="AL680" s="23" t="s">
        <v>43</v>
      </c>
      <c r="AM680" s="40" t="str">
        <f t="shared" si="8"/>
        <v>[IP0808]</v>
      </c>
    </row>
    <row r="681" ht="67.5" customHeight="1">
      <c r="A681" s="41">
        <v>809.0</v>
      </c>
      <c r="B681" s="42" t="s">
        <v>1807</v>
      </c>
      <c r="C681" s="43">
        <v>2020.0</v>
      </c>
      <c r="D681" s="44" t="s">
        <v>37</v>
      </c>
      <c r="E681" s="45" t="s">
        <v>37</v>
      </c>
      <c r="F681" s="45" t="s">
        <v>35</v>
      </c>
      <c r="G681" s="45" t="s">
        <v>37</v>
      </c>
      <c r="H681" s="45" t="s">
        <v>35</v>
      </c>
      <c r="I681" s="45" t="s">
        <v>35</v>
      </c>
      <c r="J681" s="46" t="s">
        <v>36</v>
      </c>
      <c r="K681" s="47" t="s">
        <v>37</v>
      </c>
      <c r="L681" s="48" t="s">
        <v>35</v>
      </c>
      <c r="M681" s="48" t="s">
        <v>35</v>
      </c>
      <c r="N681" s="48" t="s">
        <v>37</v>
      </c>
      <c r="O681" s="48" t="s">
        <v>35</v>
      </c>
      <c r="P681" s="48" t="s">
        <v>35</v>
      </c>
      <c r="Q681" s="48" t="s">
        <v>35</v>
      </c>
      <c r="R681" s="48" t="s">
        <v>37</v>
      </c>
      <c r="S681" s="49" t="s">
        <v>1808</v>
      </c>
      <c r="T681" s="50" t="s">
        <v>1809</v>
      </c>
      <c r="U681" s="51" t="s">
        <v>1809</v>
      </c>
      <c r="V681" s="52">
        <f t="shared" ref="V681:X681" si="687">IF(lenb(SUBSTITUTE($Z681,V$1&amp;" (1)",""))&lt;lenb($Z681),1,IF(lenb(SUBSTITUTE($Z681,V$1&amp;" (2)",""))&lt;lenb($Z681),2,IF(lenb(SUBSTITUTE($Z681,V$1&amp;" (3)",""))&lt;lenb($Z681),3,IF(lenb(SUBSTITUTE($Z681,V$1&amp;" (4)",""))&lt;lenb($Z681),4,IF(lenb(SUBSTITUTE($Z681,V$1&amp;" (5)",""))&lt;lenb($Z681),5,IF(lenb(SUBSTITUTE($Z681,V$1&amp;" (6)",""))&lt;lenb($Z681),6,IF(lenb(SUBSTITUTE($Z681,V$1&amp;" (7)",""))&lt;lenb($Z681),1,IF(lenb(SUBSTITUTE($Z681,V$1&amp;" (8)",""))&lt;lenb($Z681),8,IF(lenb(SUBSTITUTE($Z681,V$1&amp;" (9)",""))&lt;lenb($Z681),9,IF(lenb(SUBSTITUTE($Z681,V$1&amp;" (10)",""))&lt;lenb($Z681),10,IF(lenb(SUBSTITUTE($Z681,V$1,""))&lt;lenb($Z681),"ERROR",IF($Z681=$Y$1,"-",0))))))))))))</f>
        <v>1</v>
      </c>
      <c r="W681" s="52">
        <f t="shared" si="687"/>
        <v>0</v>
      </c>
      <c r="X681" s="52">
        <f t="shared" si="687"/>
        <v>0</v>
      </c>
      <c r="Y681" s="52" t="str">
        <f t="shared" si="3"/>
        <v>-</v>
      </c>
      <c r="Z681" s="52" t="s">
        <v>62</v>
      </c>
      <c r="AA681" s="53">
        <f t="shared" si="4"/>
        <v>1</v>
      </c>
      <c r="AB681" s="54">
        <f>COUNTIFS(Links!B:B,"ICSE",Links!C:C,A681,Links!AD:AD,1)</f>
        <v>0</v>
      </c>
      <c r="AC681" s="55" t="s">
        <v>35</v>
      </c>
      <c r="AD681" s="47" t="str">
        <f t="shared" si="5"/>
        <v>No</v>
      </c>
      <c r="AE681" s="56" t="s">
        <v>36</v>
      </c>
      <c r="AF681" s="57" t="s">
        <v>42</v>
      </c>
      <c r="AG681" s="57" t="s">
        <v>42</v>
      </c>
      <c r="AH681" s="57" t="s">
        <v>42</v>
      </c>
      <c r="AI681" s="49" t="str">
        <f t="shared" si="661"/>
        <v>----</v>
      </c>
      <c r="AJ681" s="58" t="str">
        <f t="shared" si="7"/>
        <v>Paper has link but no statement</v>
      </c>
      <c r="AK681" s="59">
        <v>45027.0</v>
      </c>
      <c r="AL681" s="43" t="s">
        <v>43</v>
      </c>
      <c r="AM681" s="60" t="str">
        <f t="shared" si="8"/>
        <v>[IP0809]</v>
      </c>
    </row>
    <row r="682" ht="67.5" customHeight="1">
      <c r="A682" s="61">
        <v>810.0</v>
      </c>
      <c r="B682" s="22" t="s">
        <v>1810</v>
      </c>
      <c r="C682" s="23">
        <v>2020.0</v>
      </c>
      <c r="D682" s="24" t="s">
        <v>35</v>
      </c>
      <c r="E682" s="25" t="s">
        <v>36</v>
      </c>
      <c r="F682" s="25" t="s">
        <v>36</v>
      </c>
      <c r="G682" s="25" t="s">
        <v>36</v>
      </c>
      <c r="H682" s="25" t="s">
        <v>36</v>
      </c>
      <c r="I682" s="25" t="s">
        <v>36</v>
      </c>
      <c r="J682" s="26" t="s">
        <v>36</v>
      </c>
      <c r="K682" s="27" t="s">
        <v>37</v>
      </c>
      <c r="L682" s="28" t="s">
        <v>37</v>
      </c>
      <c r="M682" s="28" t="s">
        <v>35</v>
      </c>
      <c r="N682" s="28" t="s">
        <v>35</v>
      </c>
      <c r="O682" s="28" t="s">
        <v>35</v>
      </c>
      <c r="P682" s="28" t="s">
        <v>35</v>
      </c>
      <c r="Q682" s="28" t="s">
        <v>35</v>
      </c>
      <c r="R682" s="28" t="s">
        <v>37</v>
      </c>
      <c r="S682" s="29" t="s">
        <v>1811</v>
      </c>
      <c r="T682" s="30" t="s">
        <v>1812</v>
      </c>
      <c r="U682" s="31" t="s">
        <v>1812</v>
      </c>
      <c r="V682" s="32">
        <f t="shared" ref="V682:X682" si="688">IF(lenb(SUBSTITUTE($Z682,V$1&amp;" (1)",""))&lt;lenb($Z682),1,IF(lenb(SUBSTITUTE($Z682,V$1&amp;" (2)",""))&lt;lenb($Z682),2,IF(lenb(SUBSTITUTE($Z682,V$1&amp;" (3)",""))&lt;lenb($Z682),3,IF(lenb(SUBSTITUTE($Z682,V$1&amp;" (4)",""))&lt;lenb($Z682),4,IF(lenb(SUBSTITUTE($Z682,V$1&amp;" (5)",""))&lt;lenb($Z682),5,IF(lenb(SUBSTITUTE($Z682,V$1&amp;" (6)",""))&lt;lenb($Z682),6,IF(lenb(SUBSTITUTE($Z682,V$1&amp;" (7)",""))&lt;lenb($Z682),1,IF(lenb(SUBSTITUTE($Z682,V$1&amp;" (8)",""))&lt;lenb($Z682),8,IF(lenb(SUBSTITUTE($Z682,V$1&amp;" (9)",""))&lt;lenb($Z682),9,IF(lenb(SUBSTITUTE($Z682,V$1&amp;" (10)",""))&lt;lenb($Z682),10,IF(lenb(SUBSTITUTE($Z682,V$1,""))&lt;lenb($Z682),"ERROR",IF($Z682=$Y$1,"-",0))))))))))))</f>
        <v>0</v>
      </c>
      <c r="W682" s="32">
        <f t="shared" si="688"/>
        <v>1</v>
      </c>
      <c r="X682" s="32">
        <f t="shared" si="688"/>
        <v>0</v>
      </c>
      <c r="Y682" s="32" t="str">
        <f t="shared" si="3"/>
        <v>-</v>
      </c>
      <c r="Z682" s="32" t="s">
        <v>47</v>
      </c>
      <c r="AA682" s="33">
        <f t="shared" si="4"/>
        <v>1</v>
      </c>
      <c r="AB682" s="34">
        <f>COUNTIFS(Links!B:B,"ICSE",Links!C:C,A682,Links!AD:AD,1)</f>
        <v>1</v>
      </c>
      <c r="AC682" s="35" t="s">
        <v>35</v>
      </c>
      <c r="AD682" s="27" t="str">
        <f t="shared" si="5"/>
        <v>No</v>
      </c>
      <c r="AE682" s="36" t="s">
        <v>36</v>
      </c>
      <c r="AF682" s="37" t="s">
        <v>42</v>
      </c>
      <c r="AG682" s="37" t="s">
        <v>42</v>
      </c>
      <c r="AH682" s="37" t="s">
        <v>42</v>
      </c>
      <c r="AI682" s="29" t="str">
        <f t="shared" si="661"/>
        <v>----</v>
      </c>
      <c r="AJ682" s="38" t="str">
        <f t="shared" si="7"/>
        <v>Paper has link but no statement</v>
      </c>
      <c r="AK682" s="39">
        <v>45027.0</v>
      </c>
      <c r="AL682" s="23" t="s">
        <v>43</v>
      </c>
      <c r="AM682" s="40" t="str">
        <f t="shared" si="8"/>
        <v>[IP0810]</v>
      </c>
    </row>
    <row r="683" ht="67.5" customHeight="1">
      <c r="A683" s="41">
        <v>811.0</v>
      </c>
      <c r="B683" s="42" t="s">
        <v>1813</v>
      </c>
      <c r="C683" s="43">
        <v>2020.0</v>
      </c>
      <c r="D683" s="44" t="s">
        <v>35</v>
      </c>
      <c r="E683" s="45" t="s">
        <v>36</v>
      </c>
      <c r="F683" s="45" t="s">
        <v>36</v>
      </c>
      <c r="G683" s="45" t="s">
        <v>36</v>
      </c>
      <c r="H683" s="45" t="s">
        <v>36</v>
      </c>
      <c r="I683" s="45" t="s">
        <v>36</v>
      </c>
      <c r="J683" s="46" t="s">
        <v>36</v>
      </c>
      <c r="K683" s="47" t="s">
        <v>37</v>
      </c>
      <c r="L683" s="48" t="s">
        <v>37</v>
      </c>
      <c r="M683" s="48" t="s">
        <v>35</v>
      </c>
      <c r="N683" s="48" t="s">
        <v>37</v>
      </c>
      <c r="O683" s="48" t="s">
        <v>35</v>
      </c>
      <c r="P683" s="48" t="s">
        <v>35</v>
      </c>
      <c r="Q683" s="48" t="s">
        <v>35</v>
      </c>
      <c r="R683" s="48" t="s">
        <v>35</v>
      </c>
      <c r="S683" s="49" t="s">
        <v>1706</v>
      </c>
      <c r="T683" s="50" t="s">
        <v>1814</v>
      </c>
      <c r="U683" s="51" t="s">
        <v>1814</v>
      </c>
      <c r="V683" s="52">
        <f t="shared" ref="V683:X683" si="689">IF(lenb(SUBSTITUTE($Z683,V$1&amp;" (1)",""))&lt;lenb($Z683),1,IF(lenb(SUBSTITUTE($Z683,V$1&amp;" (2)",""))&lt;lenb($Z683),2,IF(lenb(SUBSTITUTE($Z683,V$1&amp;" (3)",""))&lt;lenb($Z683),3,IF(lenb(SUBSTITUTE($Z683,V$1&amp;" (4)",""))&lt;lenb($Z683),4,IF(lenb(SUBSTITUTE($Z683,V$1&amp;" (5)",""))&lt;lenb($Z683),5,IF(lenb(SUBSTITUTE($Z683,V$1&amp;" (6)",""))&lt;lenb($Z683),6,IF(lenb(SUBSTITUTE($Z683,V$1&amp;" (7)",""))&lt;lenb($Z683),1,IF(lenb(SUBSTITUTE($Z683,V$1&amp;" (8)",""))&lt;lenb($Z683),8,IF(lenb(SUBSTITUTE($Z683,V$1&amp;" (9)",""))&lt;lenb($Z683),9,IF(lenb(SUBSTITUTE($Z683,V$1&amp;" (10)",""))&lt;lenb($Z683),10,IF(lenb(SUBSTITUTE($Z683,V$1,""))&lt;lenb($Z683),"ERROR",IF($Z683=$Y$1,"-",0))))))))))))</f>
        <v>1</v>
      </c>
      <c r="W683" s="52">
        <f t="shared" si="689"/>
        <v>0</v>
      </c>
      <c r="X683" s="52">
        <f t="shared" si="689"/>
        <v>0</v>
      </c>
      <c r="Y683" s="52" t="str">
        <f t="shared" si="3"/>
        <v>-</v>
      </c>
      <c r="Z683" s="52" t="s">
        <v>62</v>
      </c>
      <c r="AA683" s="53">
        <f t="shared" si="4"/>
        <v>1</v>
      </c>
      <c r="AB683" s="54">
        <f>COUNTIFS(Links!B:B,"ICSE",Links!C:C,A683,Links!AD:AD,1)</f>
        <v>0</v>
      </c>
      <c r="AC683" s="55" t="s">
        <v>35</v>
      </c>
      <c r="AD683" s="47" t="str">
        <f t="shared" si="5"/>
        <v>No</v>
      </c>
      <c r="AE683" s="56" t="s">
        <v>36</v>
      </c>
      <c r="AF683" s="57" t="s">
        <v>42</v>
      </c>
      <c r="AG683" s="57" t="s">
        <v>42</v>
      </c>
      <c r="AH683" s="57" t="s">
        <v>42</v>
      </c>
      <c r="AI683" s="49" t="str">
        <f t="shared" si="661"/>
        <v>----</v>
      </c>
      <c r="AJ683" s="58" t="str">
        <f t="shared" si="7"/>
        <v>Paper has link but no statement</v>
      </c>
      <c r="AK683" s="59">
        <v>45027.0</v>
      </c>
      <c r="AL683" s="43" t="s">
        <v>43</v>
      </c>
      <c r="AM683" s="60" t="str">
        <f t="shared" si="8"/>
        <v>[IP0811]</v>
      </c>
    </row>
    <row r="684" ht="67.5" customHeight="1">
      <c r="A684" s="61">
        <v>812.0</v>
      </c>
      <c r="B684" s="22" t="s">
        <v>1815</v>
      </c>
      <c r="C684" s="23">
        <v>2020.0</v>
      </c>
      <c r="D684" s="24" t="s">
        <v>37</v>
      </c>
      <c r="E684" s="25" t="s">
        <v>37</v>
      </c>
      <c r="F684" s="25" t="s">
        <v>35</v>
      </c>
      <c r="G684" s="25" t="s">
        <v>35</v>
      </c>
      <c r="H684" s="25" t="s">
        <v>35</v>
      </c>
      <c r="I684" s="25" t="s">
        <v>35</v>
      </c>
      <c r="J684" s="26" t="s">
        <v>36</v>
      </c>
      <c r="K684" s="27" t="s">
        <v>37</v>
      </c>
      <c r="L684" s="28" t="s">
        <v>35</v>
      </c>
      <c r="M684" s="28" t="s">
        <v>35</v>
      </c>
      <c r="N684" s="28" t="s">
        <v>35</v>
      </c>
      <c r="O684" s="28" t="s">
        <v>35</v>
      </c>
      <c r="P684" s="28" t="s">
        <v>35</v>
      </c>
      <c r="Q684" s="28" t="s">
        <v>35</v>
      </c>
      <c r="R684" s="28" t="s">
        <v>37</v>
      </c>
      <c r="S684" s="29" t="s">
        <v>1816</v>
      </c>
      <c r="T684" s="30" t="s">
        <v>1817</v>
      </c>
      <c r="U684" s="31" t="s">
        <v>1817</v>
      </c>
      <c r="V684" s="32">
        <f t="shared" ref="V684:X684" si="690">IF(lenb(SUBSTITUTE($Z684,V$1&amp;" (1)",""))&lt;lenb($Z684),1,IF(lenb(SUBSTITUTE($Z684,V$1&amp;" (2)",""))&lt;lenb($Z684),2,IF(lenb(SUBSTITUTE($Z684,V$1&amp;" (3)",""))&lt;lenb($Z684),3,IF(lenb(SUBSTITUTE($Z684,V$1&amp;" (4)",""))&lt;lenb($Z684),4,IF(lenb(SUBSTITUTE($Z684,V$1&amp;" (5)",""))&lt;lenb($Z684),5,IF(lenb(SUBSTITUTE($Z684,V$1&amp;" (6)",""))&lt;lenb($Z684),6,IF(lenb(SUBSTITUTE($Z684,V$1&amp;" (7)",""))&lt;lenb($Z684),1,IF(lenb(SUBSTITUTE($Z684,V$1&amp;" (8)",""))&lt;lenb($Z684),8,IF(lenb(SUBSTITUTE($Z684,V$1&amp;" (9)",""))&lt;lenb($Z684),9,IF(lenb(SUBSTITUTE($Z684,V$1&amp;" (10)",""))&lt;lenb($Z684),10,IF(lenb(SUBSTITUTE($Z684,V$1,""))&lt;lenb($Z684),"ERROR",IF($Z684=$Y$1,"-",0))))))))))))</f>
        <v>2</v>
      </c>
      <c r="W684" s="32">
        <f t="shared" si="690"/>
        <v>0</v>
      </c>
      <c r="X684" s="32">
        <f t="shared" si="690"/>
        <v>0</v>
      </c>
      <c r="Y684" s="32" t="str">
        <f t="shared" si="3"/>
        <v>-</v>
      </c>
      <c r="Z684" s="32" t="s">
        <v>57</v>
      </c>
      <c r="AA684" s="33">
        <f t="shared" si="4"/>
        <v>2</v>
      </c>
      <c r="AB684" s="34">
        <f>COUNTIFS(Links!B:B,"ICSE",Links!C:C,A684,Links!AD:AD,1)</f>
        <v>0</v>
      </c>
      <c r="AC684" s="35" t="s">
        <v>37</v>
      </c>
      <c r="AD684" s="27" t="str">
        <f t="shared" si="5"/>
        <v>No</v>
      </c>
      <c r="AE684" s="36" t="s">
        <v>36</v>
      </c>
      <c r="AF684" s="37" t="s">
        <v>42</v>
      </c>
      <c r="AG684" s="37" t="s">
        <v>42</v>
      </c>
      <c r="AH684" s="37" t="s">
        <v>42</v>
      </c>
      <c r="AI684" s="29" t="str">
        <f t="shared" si="661"/>
        <v>----</v>
      </c>
      <c r="AJ684" s="38" t="str">
        <f t="shared" si="7"/>
        <v>Paper has link but no statement</v>
      </c>
      <c r="AK684" s="39">
        <v>45027.0</v>
      </c>
      <c r="AL684" s="23" t="s">
        <v>43</v>
      </c>
      <c r="AM684" s="40" t="str">
        <f t="shared" si="8"/>
        <v>[IP0812]</v>
      </c>
    </row>
    <row r="685" ht="67.5" customHeight="1">
      <c r="A685" s="41">
        <v>813.0</v>
      </c>
      <c r="B685" s="42" t="s">
        <v>1818</v>
      </c>
      <c r="C685" s="43">
        <v>2020.0</v>
      </c>
      <c r="D685" s="44" t="s">
        <v>37</v>
      </c>
      <c r="E685" s="45" t="s">
        <v>37</v>
      </c>
      <c r="F685" s="45" t="s">
        <v>35</v>
      </c>
      <c r="G685" s="45" t="s">
        <v>37</v>
      </c>
      <c r="H685" s="45" t="s">
        <v>35</v>
      </c>
      <c r="I685" s="45" t="s">
        <v>35</v>
      </c>
      <c r="J685" s="46" t="s">
        <v>36</v>
      </c>
      <c r="K685" s="47" t="s">
        <v>35</v>
      </c>
      <c r="L685" s="48" t="s">
        <v>36</v>
      </c>
      <c r="M685" s="48" t="s">
        <v>36</v>
      </c>
      <c r="N685" s="48" t="s">
        <v>36</v>
      </c>
      <c r="O685" s="48" t="s">
        <v>36</v>
      </c>
      <c r="P685" s="48" t="s">
        <v>36</v>
      </c>
      <c r="Q685" s="48" t="s">
        <v>36</v>
      </c>
      <c r="R685" s="48" t="s">
        <v>36</v>
      </c>
      <c r="S685" s="49" t="s">
        <v>36</v>
      </c>
      <c r="T685" s="50" t="s">
        <v>36</v>
      </c>
      <c r="U685" s="51" t="s">
        <v>36</v>
      </c>
      <c r="V685" s="52" t="str">
        <f t="shared" ref="V685:X685" si="691">IF(lenb(SUBSTITUTE($Z685,V$1&amp;" (1)",""))&lt;lenb($Z685),1,IF(lenb(SUBSTITUTE($Z685,V$1&amp;" (2)",""))&lt;lenb($Z685),2,IF(lenb(SUBSTITUTE($Z685,V$1&amp;" (3)",""))&lt;lenb($Z685),3,IF(lenb(SUBSTITUTE($Z685,V$1&amp;" (4)",""))&lt;lenb($Z685),4,IF(lenb(SUBSTITUTE($Z685,V$1&amp;" (5)",""))&lt;lenb($Z685),5,IF(lenb(SUBSTITUTE($Z685,V$1&amp;" (6)",""))&lt;lenb($Z685),6,IF(lenb(SUBSTITUTE($Z685,V$1&amp;" (7)",""))&lt;lenb($Z685),1,IF(lenb(SUBSTITUTE($Z685,V$1&amp;" (8)",""))&lt;lenb($Z685),8,IF(lenb(SUBSTITUTE($Z685,V$1&amp;" (9)",""))&lt;lenb($Z685),9,IF(lenb(SUBSTITUTE($Z685,V$1&amp;" (10)",""))&lt;lenb($Z685),10,IF(lenb(SUBSTITUTE($Z685,V$1,""))&lt;lenb($Z685),"ERROR",IF($Z685=$Y$1,"-",0))))))))))))</f>
        <v>-</v>
      </c>
      <c r="W685" s="52" t="str">
        <f t="shared" si="691"/>
        <v>-</v>
      </c>
      <c r="X685" s="52" t="str">
        <f t="shared" si="691"/>
        <v>-</v>
      </c>
      <c r="Y685" s="52">
        <f t="shared" si="3"/>
        <v>1</v>
      </c>
      <c r="Z685" s="52" t="s">
        <v>23</v>
      </c>
      <c r="AA685" s="53">
        <f t="shared" si="4"/>
        <v>0</v>
      </c>
      <c r="AB685" s="54">
        <f>COUNTIFS(Links!B:B,"ICSE",Links!C:C,A685,Links!AD:AD,1)</f>
        <v>0</v>
      </c>
      <c r="AC685" s="55" t="s">
        <v>36</v>
      </c>
      <c r="AD685" s="47" t="str">
        <f t="shared" si="5"/>
        <v>No</v>
      </c>
      <c r="AE685" s="56" t="s">
        <v>36</v>
      </c>
      <c r="AF685" s="57" t="s">
        <v>42</v>
      </c>
      <c r="AG685" s="57" t="s">
        <v>42</v>
      </c>
      <c r="AH685" s="57" t="s">
        <v>42</v>
      </c>
      <c r="AI685" s="49" t="str">
        <f t="shared" si="661"/>
        <v>----</v>
      </c>
      <c r="AJ685" s="58" t="str">
        <f t="shared" si="7"/>
        <v>Paper has no link and no statement</v>
      </c>
      <c r="AK685" s="59">
        <v>45027.0</v>
      </c>
      <c r="AL685" s="43" t="s">
        <v>43</v>
      </c>
      <c r="AM685" s="60" t="str">
        <f t="shared" si="8"/>
        <v>[IP0813]</v>
      </c>
    </row>
    <row r="686" ht="67.5" customHeight="1">
      <c r="A686" s="61">
        <v>814.0</v>
      </c>
      <c r="B686" s="22" t="s">
        <v>1819</v>
      </c>
      <c r="C686" s="23">
        <v>2020.0</v>
      </c>
      <c r="D686" s="24" t="s">
        <v>35</v>
      </c>
      <c r="E686" s="25" t="s">
        <v>36</v>
      </c>
      <c r="F686" s="25" t="s">
        <v>36</v>
      </c>
      <c r="G686" s="25" t="s">
        <v>36</v>
      </c>
      <c r="H686" s="25" t="s">
        <v>36</v>
      </c>
      <c r="I686" s="25" t="s">
        <v>36</v>
      </c>
      <c r="J686" s="26" t="s">
        <v>36</v>
      </c>
      <c r="K686" s="27" t="s">
        <v>37</v>
      </c>
      <c r="L686" s="28" t="s">
        <v>35</v>
      </c>
      <c r="M686" s="28" t="s">
        <v>37</v>
      </c>
      <c r="N686" s="28" t="s">
        <v>37</v>
      </c>
      <c r="O686" s="28" t="s">
        <v>35</v>
      </c>
      <c r="P686" s="28" t="s">
        <v>35</v>
      </c>
      <c r="Q686" s="28" t="s">
        <v>35</v>
      </c>
      <c r="R686" s="28" t="s">
        <v>37</v>
      </c>
      <c r="S686" s="29" t="s">
        <v>1820</v>
      </c>
      <c r="T686" s="30" t="s">
        <v>1821</v>
      </c>
      <c r="U686" s="31" t="s">
        <v>1821</v>
      </c>
      <c r="V686" s="32">
        <f t="shared" ref="V686:X686" si="692">IF(lenb(SUBSTITUTE($Z686,V$1&amp;" (1)",""))&lt;lenb($Z686),1,IF(lenb(SUBSTITUTE($Z686,V$1&amp;" (2)",""))&lt;lenb($Z686),2,IF(lenb(SUBSTITUTE($Z686,V$1&amp;" (3)",""))&lt;lenb($Z686),3,IF(lenb(SUBSTITUTE($Z686,V$1&amp;" (4)",""))&lt;lenb($Z686),4,IF(lenb(SUBSTITUTE($Z686,V$1&amp;" (5)",""))&lt;lenb($Z686),5,IF(lenb(SUBSTITUTE($Z686,V$1&amp;" (6)",""))&lt;lenb($Z686),6,IF(lenb(SUBSTITUTE($Z686,V$1&amp;" (7)",""))&lt;lenb($Z686),1,IF(lenb(SUBSTITUTE($Z686,V$1&amp;" (8)",""))&lt;lenb($Z686),8,IF(lenb(SUBSTITUTE($Z686,V$1&amp;" (9)",""))&lt;lenb($Z686),9,IF(lenb(SUBSTITUTE($Z686,V$1&amp;" (10)",""))&lt;lenb($Z686),10,IF(lenb(SUBSTITUTE($Z686,V$1,""))&lt;lenb($Z686),"ERROR",IF($Z686=$Y$1,"-",0))))))))))))</f>
        <v>1</v>
      </c>
      <c r="W686" s="32">
        <f t="shared" si="692"/>
        <v>0</v>
      </c>
      <c r="X686" s="32">
        <f t="shared" si="692"/>
        <v>0</v>
      </c>
      <c r="Y686" s="32" t="str">
        <f t="shared" si="3"/>
        <v>-</v>
      </c>
      <c r="Z686" s="32" t="s">
        <v>62</v>
      </c>
      <c r="AA686" s="33">
        <f t="shared" si="4"/>
        <v>1</v>
      </c>
      <c r="AB686" s="34">
        <f>COUNTIFS(Links!B:B,"ICSE",Links!C:C,A686,Links!AD:AD,1)</f>
        <v>0</v>
      </c>
      <c r="AC686" s="35" t="s">
        <v>35</v>
      </c>
      <c r="AD686" s="27" t="str">
        <f t="shared" si="5"/>
        <v>No</v>
      </c>
      <c r="AE686" s="36" t="s">
        <v>36</v>
      </c>
      <c r="AF686" s="37" t="s">
        <v>42</v>
      </c>
      <c r="AG686" s="37" t="s">
        <v>42</v>
      </c>
      <c r="AH686" s="37" t="s">
        <v>42</v>
      </c>
      <c r="AI686" s="29" t="str">
        <f t="shared" si="661"/>
        <v>----</v>
      </c>
      <c r="AJ686" s="38" t="str">
        <f t="shared" si="7"/>
        <v>Paper has link but no statement</v>
      </c>
      <c r="AK686" s="39">
        <v>45027.0</v>
      </c>
      <c r="AL686" s="23" t="s">
        <v>43</v>
      </c>
      <c r="AM686" s="40" t="str">
        <f t="shared" si="8"/>
        <v>[IP0814]</v>
      </c>
    </row>
    <row r="687" ht="67.5" customHeight="1">
      <c r="A687" s="41">
        <v>815.0</v>
      </c>
      <c r="B687" s="42" t="s">
        <v>1822</v>
      </c>
      <c r="C687" s="43">
        <v>2020.0</v>
      </c>
      <c r="D687" s="44" t="s">
        <v>37</v>
      </c>
      <c r="E687" s="45" t="s">
        <v>37</v>
      </c>
      <c r="F687" s="45" t="s">
        <v>35</v>
      </c>
      <c r="G687" s="45" t="s">
        <v>35</v>
      </c>
      <c r="H687" s="45" t="s">
        <v>35</v>
      </c>
      <c r="I687" s="45" t="s">
        <v>35</v>
      </c>
      <c r="J687" s="46" t="s">
        <v>36</v>
      </c>
      <c r="K687" s="47" t="s">
        <v>37</v>
      </c>
      <c r="L687" s="48" t="s">
        <v>37</v>
      </c>
      <c r="M687" s="48" t="s">
        <v>35</v>
      </c>
      <c r="N687" s="48" t="s">
        <v>35</v>
      </c>
      <c r="O687" s="48" t="s">
        <v>35</v>
      </c>
      <c r="P687" s="48" t="s">
        <v>35</v>
      </c>
      <c r="Q687" s="48" t="s">
        <v>35</v>
      </c>
      <c r="R687" s="48" t="s">
        <v>37</v>
      </c>
      <c r="S687" s="49" t="s">
        <v>1823</v>
      </c>
      <c r="T687" s="50" t="s">
        <v>1824</v>
      </c>
      <c r="U687" s="51" t="s">
        <v>1824</v>
      </c>
      <c r="V687" s="52">
        <f t="shared" ref="V687:X687" si="693">IF(lenb(SUBSTITUTE($Z687,V$1&amp;" (1)",""))&lt;lenb($Z687),1,IF(lenb(SUBSTITUTE($Z687,V$1&amp;" (2)",""))&lt;lenb($Z687),2,IF(lenb(SUBSTITUTE($Z687,V$1&amp;" (3)",""))&lt;lenb($Z687),3,IF(lenb(SUBSTITUTE($Z687,V$1&amp;" (4)",""))&lt;lenb($Z687),4,IF(lenb(SUBSTITUTE($Z687,V$1&amp;" (5)",""))&lt;lenb($Z687),5,IF(lenb(SUBSTITUTE($Z687,V$1&amp;" (6)",""))&lt;lenb($Z687),6,IF(lenb(SUBSTITUTE($Z687,V$1&amp;" (7)",""))&lt;lenb($Z687),1,IF(lenb(SUBSTITUTE($Z687,V$1&amp;" (8)",""))&lt;lenb($Z687),8,IF(lenb(SUBSTITUTE($Z687,V$1&amp;" (9)",""))&lt;lenb($Z687),9,IF(lenb(SUBSTITUTE($Z687,V$1&amp;" (10)",""))&lt;lenb($Z687),10,IF(lenb(SUBSTITUTE($Z687,V$1,""))&lt;lenb($Z687),"ERROR",IF($Z687=$Y$1,"-",0))))))))))))</f>
        <v>1</v>
      </c>
      <c r="W687" s="52">
        <f t="shared" si="693"/>
        <v>0</v>
      </c>
      <c r="X687" s="52">
        <f t="shared" si="693"/>
        <v>0</v>
      </c>
      <c r="Y687" s="52" t="str">
        <f t="shared" si="3"/>
        <v>-</v>
      </c>
      <c r="Z687" s="52" t="s">
        <v>62</v>
      </c>
      <c r="AA687" s="53">
        <f t="shared" si="4"/>
        <v>1</v>
      </c>
      <c r="AB687" s="54">
        <f>COUNTIFS(Links!B:B,"ICSE",Links!C:C,A687,Links!AD:AD,1)</f>
        <v>0</v>
      </c>
      <c r="AC687" s="55" t="s">
        <v>35</v>
      </c>
      <c r="AD687" s="47" t="str">
        <f t="shared" si="5"/>
        <v>No</v>
      </c>
      <c r="AE687" s="56" t="s">
        <v>36</v>
      </c>
      <c r="AF687" s="57" t="s">
        <v>42</v>
      </c>
      <c r="AG687" s="57" t="s">
        <v>42</v>
      </c>
      <c r="AH687" s="57" t="s">
        <v>42</v>
      </c>
      <c r="AI687" s="49" t="str">
        <f t="shared" si="661"/>
        <v>----</v>
      </c>
      <c r="AJ687" s="58" t="str">
        <f t="shared" si="7"/>
        <v>Paper has link but no statement</v>
      </c>
      <c r="AK687" s="59">
        <v>45027.0</v>
      </c>
      <c r="AL687" s="43" t="s">
        <v>43</v>
      </c>
      <c r="AM687" s="60" t="str">
        <f t="shared" si="8"/>
        <v>[IP0815]</v>
      </c>
    </row>
    <row r="688" ht="67.5" customHeight="1">
      <c r="A688" s="61">
        <v>816.0</v>
      </c>
      <c r="B688" s="22" t="s">
        <v>1825</v>
      </c>
      <c r="C688" s="23">
        <v>2020.0</v>
      </c>
      <c r="D688" s="24" t="s">
        <v>35</v>
      </c>
      <c r="E688" s="25" t="s">
        <v>36</v>
      </c>
      <c r="F688" s="25" t="s">
        <v>36</v>
      </c>
      <c r="G688" s="25" t="s">
        <v>36</v>
      </c>
      <c r="H688" s="25" t="s">
        <v>36</v>
      </c>
      <c r="I688" s="25" t="s">
        <v>36</v>
      </c>
      <c r="J688" s="26" t="s">
        <v>36</v>
      </c>
      <c r="K688" s="27" t="s">
        <v>35</v>
      </c>
      <c r="L688" s="28" t="s">
        <v>36</v>
      </c>
      <c r="M688" s="28" t="s">
        <v>36</v>
      </c>
      <c r="N688" s="28" t="s">
        <v>36</v>
      </c>
      <c r="O688" s="28" t="s">
        <v>36</v>
      </c>
      <c r="P688" s="28" t="s">
        <v>36</v>
      </c>
      <c r="Q688" s="28" t="s">
        <v>36</v>
      </c>
      <c r="R688" s="28" t="s">
        <v>36</v>
      </c>
      <c r="S688" s="29" t="s">
        <v>36</v>
      </c>
      <c r="T688" s="30" t="s">
        <v>36</v>
      </c>
      <c r="U688" s="31" t="s">
        <v>36</v>
      </c>
      <c r="V688" s="32" t="str">
        <f t="shared" ref="V688:X688" si="694">IF(lenb(SUBSTITUTE($Z688,V$1&amp;" (1)",""))&lt;lenb($Z688),1,IF(lenb(SUBSTITUTE($Z688,V$1&amp;" (2)",""))&lt;lenb($Z688),2,IF(lenb(SUBSTITUTE($Z688,V$1&amp;" (3)",""))&lt;lenb($Z688),3,IF(lenb(SUBSTITUTE($Z688,V$1&amp;" (4)",""))&lt;lenb($Z688),4,IF(lenb(SUBSTITUTE($Z688,V$1&amp;" (5)",""))&lt;lenb($Z688),5,IF(lenb(SUBSTITUTE($Z688,V$1&amp;" (6)",""))&lt;lenb($Z688),6,IF(lenb(SUBSTITUTE($Z688,V$1&amp;" (7)",""))&lt;lenb($Z688),1,IF(lenb(SUBSTITUTE($Z688,V$1&amp;" (8)",""))&lt;lenb($Z688),8,IF(lenb(SUBSTITUTE($Z688,V$1&amp;" (9)",""))&lt;lenb($Z688),9,IF(lenb(SUBSTITUTE($Z688,V$1&amp;" (10)",""))&lt;lenb($Z688),10,IF(lenb(SUBSTITUTE($Z688,V$1,""))&lt;lenb($Z688),"ERROR",IF($Z688=$Y$1,"-",0))))))))))))</f>
        <v>-</v>
      </c>
      <c r="W688" s="32" t="str">
        <f t="shared" si="694"/>
        <v>-</v>
      </c>
      <c r="X688" s="32" t="str">
        <f t="shared" si="694"/>
        <v>-</v>
      </c>
      <c r="Y688" s="32">
        <f t="shared" si="3"/>
        <v>1</v>
      </c>
      <c r="Z688" s="32" t="s">
        <v>23</v>
      </c>
      <c r="AA688" s="33">
        <f t="shared" si="4"/>
        <v>0</v>
      </c>
      <c r="AB688" s="34">
        <f>COUNTIFS(Links!B:B,"ICSE",Links!C:C,A688,Links!AD:AD,1)</f>
        <v>0</v>
      </c>
      <c r="AC688" s="35" t="s">
        <v>36</v>
      </c>
      <c r="AD688" s="27" t="str">
        <f t="shared" si="5"/>
        <v>No</v>
      </c>
      <c r="AE688" s="36" t="s">
        <v>36</v>
      </c>
      <c r="AF688" s="37" t="s">
        <v>42</v>
      </c>
      <c r="AG688" s="37" t="s">
        <v>42</v>
      </c>
      <c r="AH688" s="37" t="s">
        <v>42</v>
      </c>
      <c r="AI688" s="29" t="str">
        <f t="shared" si="661"/>
        <v>----</v>
      </c>
      <c r="AJ688" s="38" t="str">
        <f t="shared" si="7"/>
        <v>Paper has no link and no statement</v>
      </c>
      <c r="AK688" s="39">
        <v>45027.0</v>
      </c>
      <c r="AL688" s="23" t="s">
        <v>43</v>
      </c>
      <c r="AM688" s="40" t="str">
        <f t="shared" si="8"/>
        <v>[IP0816]</v>
      </c>
    </row>
    <row r="689" ht="67.5" customHeight="1">
      <c r="A689" s="41">
        <v>817.0</v>
      </c>
      <c r="B689" s="42" t="s">
        <v>1826</v>
      </c>
      <c r="C689" s="43">
        <v>2020.0</v>
      </c>
      <c r="D689" s="44" t="s">
        <v>37</v>
      </c>
      <c r="E689" s="45" t="s">
        <v>37</v>
      </c>
      <c r="F689" s="45" t="s">
        <v>35</v>
      </c>
      <c r="G689" s="45" t="s">
        <v>37</v>
      </c>
      <c r="H689" s="45" t="s">
        <v>35</v>
      </c>
      <c r="I689" s="45" t="s">
        <v>35</v>
      </c>
      <c r="J689" s="46" t="s">
        <v>36</v>
      </c>
      <c r="K689" s="47" t="s">
        <v>37</v>
      </c>
      <c r="L689" s="48" t="s">
        <v>37</v>
      </c>
      <c r="M689" s="48" t="s">
        <v>35</v>
      </c>
      <c r="N689" s="48" t="s">
        <v>37</v>
      </c>
      <c r="O689" s="48" t="s">
        <v>35</v>
      </c>
      <c r="P689" s="48" t="s">
        <v>35</v>
      </c>
      <c r="Q689" s="48" t="s">
        <v>35</v>
      </c>
      <c r="R689" s="48" t="s">
        <v>37</v>
      </c>
      <c r="S689" s="79" t="s">
        <v>1827</v>
      </c>
      <c r="T689" s="80" t="s">
        <v>1828</v>
      </c>
      <c r="U689" s="51" t="s">
        <v>1829</v>
      </c>
      <c r="V689" s="52">
        <f t="shared" ref="V689:X689" si="695">IF(lenb(SUBSTITUTE($Z689,V$1&amp;" (1)",""))&lt;lenb($Z689),1,IF(lenb(SUBSTITUTE($Z689,V$1&amp;" (2)",""))&lt;lenb($Z689),2,IF(lenb(SUBSTITUTE($Z689,V$1&amp;" (3)",""))&lt;lenb($Z689),3,IF(lenb(SUBSTITUTE($Z689,V$1&amp;" (4)",""))&lt;lenb($Z689),4,IF(lenb(SUBSTITUTE($Z689,V$1&amp;" (5)",""))&lt;lenb($Z689),5,IF(lenb(SUBSTITUTE($Z689,V$1&amp;" (6)",""))&lt;lenb($Z689),6,IF(lenb(SUBSTITUTE($Z689,V$1&amp;" (7)",""))&lt;lenb($Z689),1,IF(lenb(SUBSTITUTE($Z689,V$1&amp;" (8)",""))&lt;lenb($Z689),8,IF(lenb(SUBSTITUTE($Z689,V$1&amp;" (9)",""))&lt;lenb($Z689),9,IF(lenb(SUBSTITUTE($Z689,V$1&amp;" (10)",""))&lt;lenb($Z689),10,IF(lenb(SUBSTITUTE($Z689,V$1,""))&lt;lenb($Z689),"ERROR",IF($Z689=$Y$1,"-",0))))))))))))</f>
        <v>5</v>
      </c>
      <c r="W689" s="52">
        <f t="shared" si="695"/>
        <v>0</v>
      </c>
      <c r="X689" s="52">
        <f t="shared" si="695"/>
        <v>0</v>
      </c>
      <c r="Y689" s="52" t="str">
        <f t="shared" si="3"/>
        <v>-</v>
      </c>
      <c r="Z689" s="52" t="s">
        <v>1606</v>
      </c>
      <c r="AA689" s="53">
        <f t="shared" si="4"/>
        <v>5</v>
      </c>
      <c r="AB689" s="54">
        <f>COUNTIFS(Links!B:B,"ICSE",Links!C:C,A689,Links!AD:AD,1)</f>
        <v>0</v>
      </c>
      <c r="AC689" s="55" t="s">
        <v>37</v>
      </c>
      <c r="AD689" s="47" t="str">
        <f t="shared" si="5"/>
        <v>No</v>
      </c>
      <c r="AE689" s="56" t="s">
        <v>36</v>
      </c>
      <c r="AF689" s="57" t="s">
        <v>42</v>
      </c>
      <c r="AG689" s="57" t="s">
        <v>42</v>
      </c>
      <c r="AH689" s="57" t="s">
        <v>42</v>
      </c>
      <c r="AI689" s="49" t="str">
        <f t="shared" si="661"/>
        <v>----</v>
      </c>
      <c r="AJ689" s="58" t="str">
        <f t="shared" si="7"/>
        <v>Paper has link but no statement</v>
      </c>
      <c r="AK689" s="59">
        <v>45027.0</v>
      </c>
      <c r="AL689" s="43" t="s">
        <v>43</v>
      </c>
      <c r="AM689" s="60" t="str">
        <f t="shared" si="8"/>
        <v>[IP0817]</v>
      </c>
    </row>
    <row r="690" ht="67.5" customHeight="1">
      <c r="A690" s="61">
        <v>818.0</v>
      </c>
      <c r="B690" s="22" t="s">
        <v>1830</v>
      </c>
      <c r="C690" s="23">
        <v>2020.0</v>
      </c>
      <c r="D690" s="24" t="s">
        <v>35</v>
      </c>
      <c r="E690" s="25" t="s">
        <v>36</v>
      </c>
      <c r="F690" s="25" t="s">
        <v>36</v>
      </c>
      <c r="G690" s="25" t="s">
        <v>36</v>
      </c>
      <c r="H690" s="25" t="s">
        <v>36</v>
      </c>
      <c r="I690" s="25" t="s">
        <v>36</v>
      </c>
      <c r="J690" s="26" t="s">
        <v>36</v>
      </c>
      <c r="K690" s="27" t="s">
        <v>37</v>
      </c>
      <c r="L690" s="28" t="s">
        <v>35</v>
      </c>
      <c r="M690" s="28" t="s">
        <v>37</v>
      </c>
      <c r="N690" s="28" t="s">
        <v>37</v>
      </c>
      <c r="O690" s="28" t="s">
        <v>37</v>
      </c>
      <c r="P690" s="28" t="s">
        <v>35</v>
      </c>
      <c r="Q690" s="28" t="s">
        <v>35</v>
      </c>
      <c r="R690" s="28" t="s">
        <v>35</v>
      </c>
      <c r="S690" s="81" t="s">
        <v>1831</v>
      </c>
      <c r="T690" s="30" t="s">
        <v>1832</v>
      </c>
      <c r="U690" s="31" t="s">
        <v>1832</v>
      </c>
      <c r="V690" s="32">
        <f t="shared" ref="V690:X690" si="696">IF(lenb(SUBSTITUTE($Z690,V$1&amp;" (1)",""))&lt;lenb($Z690),1,IF(lenb(SUBSTITUTE($Z690,V$1&amp;" (2)",""))&lt;lenb($Z690),2,IF(lenb(SUBSTITUTE($Z690,V$1&amp;" (3)",""))&lt;lenb($Z690),3,IF(lenb(SUBSTITUTE($Z690,V$1&amp;" (4)",""))&lt;lenb($Z690),4,IF(lenb(SUBSTITUTE($Z690,V$1&amp;" (5)",""))&lt;lenb($Z690),5,IF(lenb(SUBSTITUTE($Z690,V$1&amp;" (6)",""))&lt;lenb($Z690),6,IF(lenb(SUBSTITUTE($Z690,V$1&amp;" (7)",""))&lt;lenb($Z690),1,IF(lenb(SUBSTITUTE($Z690,V$1&amp;" (8)",""))&lt;lenb($Z690),8,IF(lenb(SUBSTITUTE($Z690,V$1&amp;" (9)",""))&lt;lenb($Z690),9,IF(lenb(SUBSTITUTE($Z690,V$1&amp;" (10)",""))&lt;lenb($Z690),10,IF(lenb(SUBSTITUTE($Z690,V$1,""))&lt;lenb($Z690),"ERROR",IF($Z690=$Y$1,"-",0))))))))))))</f>
        <v>1</v>
      </c>
      <c r="W690" s="32">
        <f t="shared" si="696"/>
        <v>0</v>
      </c>
      <c r="X690" s="32">
        <f t="shared" si="696"/>
        <v>0</v>
      </c>
      <c r="Y690" s="32" t="str">
        <f t="shared" si="3"/>
        <v>-</v>
      </c>
      <c r="Z690" s="32" t="s">
        <v>62</v>
      </c>
      <c r="AA690" s="33">
        <f t="shared" si="4"/>
        <v>1</v>
      </c>
      <c r="AB690" s="34">
        <f>COUNTIFS(Links!B:B,"ICSE",Links!C:C,A690,Links!AD:AD,1)</f>
        <v>0</v>
      </c>
      <c r="AC690" s="35" t="s">
        <v>35</v>
      </c>
      <c r="AD690" s="27" t="str">
        <f t="shared" si="5"/>
        <v>No</v>
      </c>
      <c r="AE690" s="36" t="s">
        <v>36</v>
      </c>
      <c r="AF690" s="37" t="s">
        <v>42</v>
      </c>
      <c r="AG690" s="37" t="s">
        <v>42</v>
      </c>
      <c r="AH690" s="37" t="s">
        <v>42</v>
      </c>
      <c r="AI690" s="29" t="str">
        <f t="shared" si="661"/>
        <v>----</v>
      </c>
      <c r="AJ690" s="38" t="str">
        <f t="shared" si="7"/>
        <v>Paper has link but no statement</v>
      </c>
      <c r="AK690" s="39">
        <v>45027.0</v>
      </c>
      <c r="AL690" s="23" t="s">
        <v>43</v>
      </c>
      <c r="AM690" s="40" t="str">
        <f t="shared" si="8"/>
        <v>[IP0818]</v>
      </c>
    </row>
    <row r="691" ht="67.5" customHeight="1">
      <c r="A691" s="41">
        <v>819.0</v>
      </c>
      <c r="B691" s="42" t="s">
        <v>1833</v>
      </c>
      <c r="C691" s="43">
        <v>2020.0</v>
      </c>
      <c r="D691" s="44" t="s">
        <v>35</v>
      </c>
      <c r="E691" s="45" t="s">
        <v>36</v>
      </c>
      <c r="F691" s="45" t="s">
        <v>36</v>
      </c>
      <c r="G691" s="45" t="s">
        <v>36</v>
      </c>
      <c r="H691" s="45" t="s">
        <v>36</v>
      </c>
      <c r="I691" s="45" t="s">
        <v>36</v>
      </c>
      <c r="J691" s="46" t="s">
        <v>36</v>
      </c>
      <c r="K691" s="47" t="s">
        <v>37</v>
      </c>
      <c r="L691" s="48" t="s">
        <v>37</v>
      </c>
      <c r="M691" s="48" t="s">
        <v>35</v>
      </c>
      <c r="N691" s="48" t="s">
        <v>37</v>
      </c>
      <c r="O691" s="48" t="s">
        <v>35</v>
      </c>
      <c r="P691" s="48" t="s">
        <v>35</v>
      </c>
      <c r="Q691" s="48" t="s">
        <v>35</v>
      </c>
      <c r="R691" s="48" t="s">
        <v>35</v>
      </c>
      <c r="S691" s="79" t="s">
        <v>1057</v>
      </c>
      <c r="T691" s="50" t="s">
        <v>1834</v>
      </c>
      <c r="U691" s="51" t="s">
        <v>1834</v>
      </c>
      <c r="V691" s="52">
        <f t="shared" ref="V691:X691" si="697">IF(lenb(SUBSTITUTE($Z691,V$1&amp;" (1)",""))&lt;lenb($Z691),1,IF(lenb(SUBSTITUTE($Z691,V$1&amp;" (2)",""))&lt;lenb($Z691),2,IF(lenb(SUBSTITUTE($Z691,V$1&amp;" (3)",""))&lt;lenb($Z691),3,IF(lenb(SUBSTITUTE($Z691,V$1&amp;" (4)",""))&lt;lenb($Z691),4,IF(lenb(SUBSTITUTE($Z691,V$1&amp;" (5)",""))&lt;lenb($Z691),5,IF(lenb(SUBSTITUTE($Z691,V$1&amp;" (6)",""))&lt;lenb($Z691),6,IF(lenb(SUBSTITUTE($Z691,V$1&amp;" (7)",""))&lt;lenb($Z691),1,IF(lenb(SUBSTITUTE($Z691,V$1&amp;" (8)",""))&lt;lenb($Z691),8,IF(lenb(SUBSTITUTE($Z691,V$1&amp;" (9)",""))&lt;lenb($Z691),9,IF(lenb(SUBSTITUTE($Z691,V$1&amp;" (10)",""))&lt;lenb($Z691),10,IF(lenb(SUBSTITUTE($Z691,V$1,""))&lt;lenb($Z691),"ERROR",IF($Z691=$Y$1,"-",0))))))))))))</f>
        <v>1</v>
      </c>
      <c r="W691" s="52">
        <f t="shared" si="697"/>
        <v>0</v>
      </c>
      <c r="X691" s="52">
        <f t="shared" si="697"/>
        <v>0</v>
      </c>
      <c r="Y691" s="52" t="str">
        <f t="shared" si="3"/>
        <v>-</v>
      </c>
      <c r="Z691" s="52" t="s">
        <v>62</v>
      </c>
      <c r="AA691" s="53">
        <f t="shared" si="4"/>
        <v>1</v>
      </c>
      <c r="AB691" s="54">
        <f>COUNTIFS(Links!B:B,"ICSE",Links!C:C,A691,Links!AD:AD,1)</f>
        <v>0</v>
      </c>
      <c r="AC691" s="55" t="s">
        <v>35</v>
      </c>
      <c r="AD691" s="47" t="str">
        <f t="shared" si="5"/>
        <v>No</v>
      </c>
      <c r="AE691" s="56" t="s">
        <v>36</v>
      </c>
      <c r="AF691" s="57" t="s">
        <v>42</v>
      </c>
      <c r="AG691" s="57" t="s">
        <v>42</v>
      </c>
      <c r="AH691" s="57" t="s">
        <v>42</v>
      </c>
      <c r="AI691" s="49" t="str">
        <f t="shared" si="661"/>
        <v>----</v>
      </c>
      <c r="AJ691" s="58" t="str">
        <f t="shared" si="7"/>
        <v>Paper has link but no statement</v>
      </c>
      <c r="AK691" s="59">
        <v>45027.0</v>
      </c>
      <c r="AL691" s="43" t="s">
        <v>43</v>
      </c>
      <c r="AM691" s="60" t="str">
        <f t="shared" si="8"/>
        <v>[IP0819]</v>
      </c>
    </row>
    <row r="692" ht="67.5" customHeight="1">
      <c r="A692" s="61">
        <v>820.0</v>
      </c>
      <c r="B692" s="22" t="s">
        <v>1835</v>
      </c>
      <c r="C692" s="23">
        <v>2020.0</v>
      </c>
      <c r="D692" s="24" t="s">
        <v>35</v>
      </c>
      <c r="E692" s="25" t="s">
        <v>36</v>
      </c>
      <c r="F692" s="25" t="s">
        <v>36</v>
      </c>
      <c r="G692" s="25" t="s">
        <v>36</v>
      </c>
      <c r="H692" s="25" t="s">
        <v>36</v>
      </c>
      <c r="I692" s="25" t="s">
        <v>36</v>
      </c>
      <c r="J692" s="26" t="s">
        <v>36</v>
      </c>
      <c r="K692" s="27" t="s">
        <v>37</v>
      </c>
      <c r="L692" s="28" t="s">
        <v>37</v>
      </c>
      <c r="M692" s="28" t="s">
        <v>35</v>
      </c>
      <c r="N692" s="28" t="s">
        <v>37</v>
      </c>
      <c r="O692" s="28" t="s">
        <v>35</v>
      </c>
      <c r="P692" s="28" t="s">
        <v>35</v>
      </c>
      <c r="Q692" s="28" t="s">
        <v>35</v>
      </c>
      <c r="R692" s="28" t="s">
        <v>35</v>
      </c>
      <c r="S692" s="81" t="s">
        <v>1057</v>
      </c>
      <c r="T692" s="30" t="s">
        <v>1836</v>
      </c>
      <c r="U692" s="31" t="s">
        <v>1836</v>
      </c>
      <c r="V692" s="32">
        <f t="shared" ref="V692:X692" si="698">IF(lenb(SUBSTITUTE($Z692,V$1&amp;" (1)",""))&lt;lenb($Z692),1,IF(lenb(SUBSTITUTE($Z692,V$1&amp;" (2)",""))&lt;lenb($Z692),2,IF(lenb(SUBSTITUTE($Z692,V$1&amp;" (3)",""))&lt;lenb($Z692),3,IF(lenb(SUBSTITUTE($Z692,V$1&amp;" (4)",""))&lt;lenb($Z692),4,IF(lenb(SUBSTITUTE($Z692,V$1&amp;" (5)",""))&lt;lenb($Z692),5,IF(lenb(SUBSTITUTE($Z692,V$1&amp;" (6)",""))&lt;lenb($Z692),6,IF(lenb(SUBSTITUTE($Z692,V$1&amp;" (7)",""))&lt;lenb($Z692),1,IF(lenb(SUBSTITUTE($Z692,V$1&amp;" (8)",""))&lt;lenb($Z692),8,IF(lenb(SUBSTITUTE($Z692,V$1&amp;" (9)",""))&lt;lenb($Z692),9,IF(lenb(SUBSTITUTE($Z692,V$1&amp;" (10)",""))&lt;lenb($Z692),10,IF(lenb(SUBSTITUTE($Z692,V$1,""))&lt;lenb($Z692),"ERROR",IF($Z692=$Y$1,"-",0))))))))))))</f>
        <v>1</v>
      </c>
      <c r="W692" s="32">
        <f t="shared" si="698"/>
        <v>0</v>
      </c>
      <c r="X692" s="32">
        <f t="shared" si="698"/>
        <v>0</v>
      </c>
      <c r="Y692" s="32" t="str">
        <f t="shared" si="3"/>
        <v>-</v>
      </c>
      <c r="Z692" s="32" t="s">
        <v>62</v>
      </c>
      <c r="AA692" s="33">
        <f t="shared" si="4"/>
        <v>1</v>
      </c>
      <c r="AB692" s="34">
        <f>COUNTIFS(Links!B:B,"ICSE",Links!C:C,A692,Links!AD:AD,1)</f>
        <v>0</v>
      </c>
      <c r="AC692" s="35" t="s">
        <v>35</v>
      </c>
      <c r="AD692" s="27" t="str">
        <f t="shared" si="5"/>
        <v>No</v>
      </c>
      <c r="AE692" s="36" t="s">
        <v>36</v>
      </c>
      <c r="AF692" s="37" t="s">
        <v>42</v>
      </c>
      <c r="AG692" s="37" t="s">
        <v>42</v>
      </c>
      <c r="AH692" s="37" t="s">
        <v>42</v>
      </c>
      <c r="AI692" s="29" t="str">
        <f t="shared" si="661"/>
        <v>----</v>
      </c>
      <c r="AJ692" s="38" t="str">
        <f t="shared" si="7"/>
        <v>Paper has link but no statement</v>
      </c>
      <c r="AK692" s="39">
        <v>45027.0</v>
      </c>
      <c r="AL692" s="23" t="s">
        <v>43</v>
      </c>
      <c r="AM692" s="40" t="str">
        <f t="shared" si="8"/>
        <v>[IP0820]</v>
      </c>
    </row>
    <row r="693" ht="67.5" customHeight="1">
      <c r="A693" s="41">
        <v>821.0</v>
      </c>
      <c r="B693" s="42" t="s">
        <v>1837</v>
      </c>
      <c r="C693" s="43">
        <v>2020.0</v>
      </c>
      <c r="D693" s="44" t="s">
        <v>35</v>
      </c>
      <c r="E693" s="45" t="s">
        <v>36</v>
      </c>
      <c r="F693" s="45" t="s">
        <v>36</v>
      </c>
      <c r="G693" s="45" t="s">
        <v>36</v>
      </c>
      <c r="H693" s="45" t="s">
        <v>36</v>
      </c>
      <c r="I693" s="45" t="s">
        <v>36</v>
      </c>
      <c r="J693" s="46" t="s">
        <v>36</v>
      </c>
      <c r="K693" s="47" t="s">
        <v>37</v>
      </c>
      <c r="L693" s="48" t="s">
        <v>37</v>
      </c>
      <c r="M693" s="48" t="s">
        <v>35</v>
      </c>
      <c r="N693" s="48" t="s">
        <v>35</v>
      </c>
      <c r="O693" s="48" t="s">
        <v>35</v>
      </c>
      <c r="P693" s="48" t="s">
        <v>35</v>
      </c>
      <c r="Q693" s="48" t="s">
        <v>35</v>
      </c>
      <c r="R693" s="48" t="s">
        <v>37</v>
      </c>
      <c r="S693" s="79" t="s">
        <v>1838</v>
      </c>
      <c r="T693" s="50" t="s">
        <v>1839</v>
      </c>
      <c r="U693" s="51" t="s">
        <v>1839</v>
      </c>
      <c r="V693" s="52">
        <f t="shared" ref="V693:X693" si="699">IF(lenb(SUBSTITUTE($Z693,V$1&amp;" (1)",""))&lt;lenb($Z693),1,IF(lenb(SUBSTITUTE($Z693,V$1&amp;" (2)",""))&lt;lenb($Z693),2,IF(lenb(SUBSTITUTE($Z693,V$1&amp;" (3)",""))&lt;lenb($Z693),3,IF(lenb(SUBSTITUTE($Z693,V$1&amp;" (4)",""))&lt;lenb($Z693),4,IF(lenb(SUBSTITUTE($Z693,V$1&amp;" (5)",""))&lt;lenb($Z693),5,IF(lenb(SUBSTITUTE($Z693,V$1&amp;" (6)",""))&lt;lenb($Z693),6,IF(lenb(SUBSTITUTE($Z693,V$1&amp;" (7)",""))&lt;lenb($Z693),1,IF(lenb(SUBSTITUTE($Z693,V$1&amp;" (8)",""))&lt;lenb($Z693),8,IF(lenb(SUBSTITUTE($Z693,V$1&amp;" (9)",""))&lt;lenb($Z693),9,IF(lenb(SUBSTITUTE($Z693,V$1&amp;" (10)",""))&lt;lenb($Z693),10,IF(lenb(SUBSTITUTE($Z693,V$1,""))&lt;lenb($Z693),"ERROR",IF($Z693=$Y$1,"-",0))))))))))))</f>
        <v>1</v>
      </c>
      <c r="W693" s="52">
        <f t="shared" si="699"/>
        <v>0</v>
      </c>
      <c r="X693" s="52">
        <f t="shared" si="699"/>
        <v>0</v>
      </c>
      <c r="Y693" s="52" t="str">
        <f t="shared" si="3"/>
        <v>-</v>
      </c>
      <c r="Z693" s="52" t="s">
        <v>62</v>
      </c>
      <c r="AA693" s="53">
        <f t="shared" si="4"/>
        <v>1</v>
      </c>
      <c r="AB693" s="54">
        <f>COUNTIFS(Links!B:B,"ICSE",Links!C:C,A693,Links!AD:AD,1)</f>
        <v>0</v>
      </c>
      <c r="AC693" s="55" t="s">
        <v>35</v>
      </c>
      <c r="AD693" s="47" t="str">
        <f t="shared" si="5"/>
        <v>No</v>
      </c>
      <c r="AE693" s="56" t="s">
        <v>36</v>
      </c>
      <c r="AF693" s="57" t="s">
        <v>42</v>
      </c>
      <c r="AG693" s="57" t="s">
        <v>42</v>
      </c>
      <c r="AH693" s="57" t="s">
        <v>42</v>
      </c>
      <c r="AI693" s="49" t="str">
        <f t="shared" si="661"/>
        <v>----</v>
      </c>
      <c r="AJ693" s="58" t="str">
        <f t="shared" si="7"/>
        <v>Paper has link but no statement</v>
      </c>
      <c r="AK693" s="59">
        <v>45027.0</v>
      </c>
      <c r="AL693" s="43" t="s">
        <v>43</v>
      </c>
      <c r="AM693" s="60" t="str">
        <f t="shared" si="8"/>
        <v>[IP0821]</v>
      </c>
    </row>
    <row r="694" ht="67.5" customHeight="1">
      <c r="A694" s="61">
        <v>822.0</v>
      </c>
      <c r="B694" s="22" t="s">
        <v>1840</v>
      </c>
      <c r="C694" s="23">
        <v>2020.0</v>
      </c>
      <c r="D694" s="24" t="s">
        <v>37</v>
      </c>
      <c r="E694" s="25" t="s">
        <v>37</v>
      </c>
      <c r="F694" s="25" t="s">
        <v>35</v>
      </c>
      <c r="G694" s="25" t="s">
        <v>35</v>
      </c>
      <c r="H694" s="25" t="s">
        <v>35</v>
      </c>
      <c r="I694" s="25" t="s">
        <v>35</v>
      </c>
      <c r="J694" s="26" t="s">
        <v>36</v>
      </c>
      <c r="K694" s="27" t="s">
        <v>37</v>
      </c>
      <c r="L694" s="28" t="s">
        <v>37</v>
      </c>
      <c r="M694" s="28" t="s">
        <v>35</v>
      </c>
      <c r="N694" s="28" t="s">
        <v>35</v>
      </c>
      <c r="O694" s="28" t="s">
        <v>35</v>
      </c>
      <c r="P694" s="28" t="s">
        <v>35</v>
      </c>
      <c r="Q694" s="28" t="s">
        <v>35</v>
      </c>
      <c r="R694" s="28" t="s">
        <v>37</v>
      </c>
      <c r="S694" s="29" t="s">
        <v>1841</v>
      </c>
      <c r="T694" s="30" t="s">
        <v>1842</v>
      </c>
      <c r="U694" s="31" t="s">
        <v>1842</v>
      </c>
      <c r="V694" s="32">
        <f t="shared" ref="V694:X694" si="700">IF(lenb(SUBSTITUTE($Z694,V$1&amp;" (1)",""))&lt;lenb($Z694),1,IF(lenb(SUBSTITUTE($Z694,V$1&amp;" (2)",""))&lt;lenb($Z694),2,IF(lenb(SUBSTITUTE($Z694,V$1&amp;" (3)",""))&lt;lenb($Z694),3,IF(lenb(SUBSTITUTE($Z694,V$1&amp;" (4)",""))&lt;lenb($Z694),4,IF(lenb(SUBSTITUTE($Z694,V$1&amp;" (5)",""))&lt;lenb($Z694),5,IF(lenb(SUBSTITUTE($Z694,V$1&amp;" (6)",""))&lt;lenb($Z694),6,IF(lenb(SUBSTITUTE($Z694,V$1&amp;" (7)",""))&lt;lenb($Z694),1,IF(lenb(SUBSTITUTE($Z694,V$1&amp;" (8)",""))&lt;lenb($Z694),8,IF(lenb(SUBSTITUTE($Z694,V$1&amp;" (9)",""))&lt;lenb($Z694),9,IF(lenb(SUBSTITUTE($Z694,V$1&amp;" (10)",""))&lt;lenb($Z694),10,IF(lenb(SUBSTITUTE($Z694,V$1,""))&lt;lenb($Z694),"ERROR",IF($Z694=$Y$1,"-",0))))))))))))</f>
        <v>0</v>
      </c>
      <c r="W694" s="32">
        <f t="shared" si="700"/>
        <v>1</v>
      </c>
      <c r="X694" s="32">
        <f t="shared" si="700"/>
        <v>0</v>
      </c>
      <c r="Y694" s="32" t="str">
        <f t="shared" si="3"/>
        <v>-</v>
      </c>
      <c r="Z694" s="32" t="s">
        <v>47</v>
      </c>
      <c r="AA694" s="33">
        <f t="shared" si="4"/>
        <v>1</v>
      </c>
      <c r="AB694" s="34">
        <f>COUNTIFS(Links!B:B,"ICSE",Links!C:C,A694,Links!AD:AD,1)</f>
        <v>0</v>
      </c>
      <c r="AC694" s="35" t="s">
        <v>35</v>
      </c>
      <c r="AD694" s="27" t="str">
        <f t="shared" si="5"/>
        <v>No</v>
      </c>
      <c r="AE694" s="36" t="s">
        <v>36</v>
      </c>
      <c r="AF694" s="37" t="s">
        <v>42</v>
      </c>
      <c r="AG694" s="37" t="s">
        <v>42</v>
      </c>
      <c r="AH694" s="37" t="s">
        <v>42</v>
      </c>
      <c r="AI694" s="29" t="str">
        <f t="shared" si="661"/>
        <v>----</v>
      </c>
      <c r="AJ694" s="38" t="str">
        <f t="shared" si="7"/>
        <v>Paper has link but no statement</v>
      </c>
      <c r="AK694" s="39">
        <v>45027.0</v>
      </c>
      <c r="AL694" s="23" t="s">
        <v>43</v>
      </c>
      <c r="AM694" s="40" t="str">
        <f t="shared" si="8"/>
        <v>[IP0822]</v>
      </c>
    </row>
    <row r="695" ht="67.5" customHeight="1">
      <c r="A695" s="41">
        <v>823.0</v>
      </c>
      <c r="B695" s="42" t="s">
        <v>1843</v>
      </c>
      <c r="C695" s="43">
        <v>2020.0</v>
      </c>
      <c r="D695" s="44" t="s">
        <v>35</v>
      </c>
      <c r="E695" s="45" t="s">
        <v>36</v>
      </c>
      <c r="F695" s="45" t="s">
        <v>36</v>
      </c>
      <c r="G695" s="45" t="s">
        <v>36</v>
      </c>
      <c r="H695" s="45" t="s">
        <v>36</v>
      </c>
      <c r="I695" s="45" t="s">
        <v>36</v>
      </c>
      <c r="J695" s="46" t="s">
        <v>36</v>
      </c>
      <c r="K695" s="47" t="s">
        <v>37</v>
      </c>
      <c r="L695" s="48" t="s">
        <v>37</v>
      </c>
      <c r="M695" s="48" t="s">
        <v>37</v>
      </c>
      <c r="N695" s="48" t="s">
        <v>37</v>
      </c>
      <c r="O695" s="48" t="s">
        <v>35</v>
      </c>
      <c r="P695" s="48" t="s">
        <v>35</v>
      </c>
      <c r="Q695" s="48" t="s">
        <v>35</v>
      </c>
      <c r="R695" s="48" t="s">
        <v>37</v>
      </c>
      <c r="S695" s="49" t="s">
        <v>1844</v>
      </c>
      <c r="T695" s="50" t="s">
        <v>1845</v>
      </c>
      <c r="U695" s="51" t="s">
        <v>1846</v>
      </c>
      <c r="V695" s="52">
        <f t="shared" ref="V695:X695" si="701">IF(lenb(SUBSTITUTE($Z695,V$1&amp;" (1)",""))&lt;lenb($Z695),1,IF(lenb(SUBSTITUTE($Z695,V$1&amp;" (2)",""))&lt;lenb($Z695),2,IF(lenb(SUBSTITUTE($Z695,V$1&amp;" (3)",""))&lt;lenb($Z695),3,IF(lenb(SUBSTITUTE($Z695,V$1&amp;" (4)",""))&lt;lenb($Z695),4,IF(lenb(SUBSTITUTE($Z695,V$1&amp;" (5)",""))&lt;lenb($Z695),5,IF(lenb(SUBSTITUTE($Z695,V$1&amp;" (6)",""))&lt;lenb($Z695),6,IF(lenb(SUBSTITUTE($Z695,V$1&amp;" (7)",""))&lt;lenb($Z695),1,IF(lenb(SUBSTITUTE($Z695,V$1&amp;" (8)",""))&lt;lenb($Z695),8,IF(lenb(SUBSTITUTE($Z695,V$1&amp;" (9)",""))&lt;lenb($Z695),9,IF(lenb(SUBSTITUTE($Z695,V$1&amp;" (10)",""))&lt;lenb($Z695),10,IF(lenb(SUBSTITUTE($Z695,V$1,""))&lt;lenb($Z695),"ERROR",IF($Z695=$Y$1,"-",0))))))))))))</f>
        <v>3</v>
      </c>
      <c r="W695" s="52">
        <f t="shared" si="701"/>
        <v>0</v>
      </c>
      <c r="X695" s="52">
        <f t="shared" si="701"/>
        <v>0</v>
      </c>
      <c r="Y695" s="52" t="str">
        <f t="shared" si="3"/>
        <v>-</v>
      </c>
      <c r="Z695" s="52" t="s">
        <v>193</v>
      </c>
      <c r="AA695" s="53">
        <f t="shared" si="4"/>
        <v>3</v>
      </c>
      <c r="AB695" s="54">
        <f>COUNTIFS(Links!B:B,"ICSE",Links!C:C,A695,Links!AD:AD,1)</f>
        <v>3</v>
      </c>
      <c r="AC695" s="55" t="s">
        <v>35</v>
      </c>
      <c r="AD695" s="47" t="str">
        <f t="shared" si="5"/>
        <v>No</v>
      </c>
      <c r="AE695" s="56" t="s">
        <v>36</v>
      </c>
      <c r="AF695" s="57" t="s">
        <v>42</v>
      </c>
      <c r="AG695" s="57" t="s">
        <v>42</v>
      </c>
      <c r="AH695" s="57" t="s">
        <v>42</v>
      </c>
      <c r="AI695" s="49" t="str">
        <f t="shared" si="661"/>
        <v>----</v>
      </c>
      <c r="AJ695" s="58" t="str">
        <f t="shared" si="7"/>
        <v>Paper has link but no statement</v>
      </c>
      <c r="AK695" s="59">
        <v>45027.0</v>
      </c>
      <c r="AL695" s="43" t="s">
        <v>43</v>
      </c>
      <c r="AM695" s="60" t="str">
        <f t="shared" si="8"/>
        <v>[IP0823]</v>
      </c>
    </row>
    <row r="696" ht="67.5" customHeight="1">
      <c r="A696" s="61">
        <v>452.0</v>
      </c>
      <c r="B696" s="22" t="s">
        <v>1847</v>
      </c>
      <c r="C696" s="23">
        <v>2021.0</v>
      </c>
      <c r="D696" s="24" t="s">
        <v>35</v>
      </c>
      <c r="E696" s="25" t="s">
        <v>36</v>
      </c>
      <c r="F696" s="25" t="s">
        <v>36</v>
      </c>
      <c r="G696" s="25" t="s">
        <v>36</v>
      </c>
      <c r="H696" s="25" t="s">
        <v>36</v>
      </c>
      <c r="I696" s="25" t="s">
        <v>36</v>
      </c>
      <c r="J696" s="26" t="s">
        <v>36</v>
      </c>
      <c r="K696" s="82" t="s">
        <v>37</v>
      </c>
      <c r="L696" s="70" t="s">
        <v>37</v>
      </c>
      <c r="M696" s="70" t="s">
        <v>35</v>
      </c>
      <c r="N696" s="70" t="s">
        <v>37</v>
      </c>
      <c r="O696" s="70" t="s">
        <v>35</v>
      </c>
      <c r="P696" s="70" t="s">
        <v>35</v>
      </c>
      <c r="Q696" s="70" t="s">
        <v>35</v>
      </c>
      <c r="R696" s="70" t="s">
        <v>35</v>
      </c>
      <c r="S696" s="37" t="s">
        <v>1848</v>
      </c>
      <c r="T696" s="30" t="s">
        <v>1849</v>
      </c>
      <c r="U696" s="31" t="s">
        <v>1849</v>
      </c>
      <c r="V696" s="32">
        <f t="shared" ref="V696:X696" si="702">IF(lenb(SUBSTITUTE($Z696,V$1&amp;" (1)",""))&lt;lenb($Z696),1,IF(lenb(SUBSTITUTE($Z696,V$1&amp;" (2)",""))&lt;lenb($Z696),2,IF(lenb(SUBSTITUTE($Z696,V$1&amp;" (3)",""))&lt;lenb($Z696),3,IF(lenb(SUBSTITUTE($Z696,V$1&amp;" (4)",""))&lt;lenb($Z696),4,IF(lenb(SUBSTITUTE($Z696,V$1&amp;" (5)",""))&lt;lenb($Z696),5,IF(lenb(SUBSTITUTE($Z696,V$1&amp;" (6)",""))&lt;lenb($Z696),6,IF(lenb(SUBSTITUTE($Z696,V$1&amp;" (7)",""))&lt;lenb($Z696),1,IF(lenb(SUBSTITUTE($Z696,V$1&amp;" (8)",""))&lt;lenb($Z696),8,IF(lenb(SUBSTITUTE($Z696,V$1&amp;" (9)",""))&lt;lenb($Z696),9,IF(lenb(SUBSTITUTE($Z696,V$1&amp;" (10)",""))&lt;lenb($Z696),10,IF(lenb(SUBSTITUTE($Z696,V$1,""))&lt;lenb($Z696),"ERROR",IF($Z696=$Y$1,"-",0))))))))))))</f>
        <v>1</v>
      </c>
      <c r="W696" s="32">
        <f t="shared" si="702"/>
        <v>0</v>
      </c>
      <c r="X696" s="32">
        <f t="shared" si="702"/>
        <v>0</v>
      </c>
      <c r="Y696" s="32" t="str">
        <f t="shared" si="3"/>
        <v>-</v>
      </c>
      <c r="Z696" s="32" t="s">
        <v>62</v>
      </c>
      <c r="AA696" s="33">
        <f t="shared" si="4"/>
        <v>1</v>
      </c>
      <c r="AB696" s="34">
        <f>COUNTIFS(Links!B:B,"ICSE",Links!C:C,A696,Links!AD:AD,1)</f>
        <v>0</v>
      </c>
      <c r="AC696" s="35" t="s">
        <v>35</v>
      </c>
      <c r="AD696" s="27" t="str">
        <f t="shared" si="5"/>
        <v>No</v>
      </c>
      <c r="AE696" s="36" t="s">
        <v>36</v>
      </c>
      <c r="AF696" s="37" t="s">
        <v>42</v>
      </c>
      <c r="AG696" s="37" t="s">
        <v>42</v>
      </c>
      <c r="AH696" s="37" t="s">
        <v>42</v>
      </c>
      <c r="AI696" s="29" t="str">
        <f t="shared" si="661"/>
        <v>----</v>
      </c>
      <c r="AJ696" s="38" t="str">
        <f t="shared" si="7"/>
        <v>Paper has link but no statement</v>
      </c>
      <c r="AK696" s="39">
        <v>45022.0</v>
      </c>
      <c r="AL696" s="23" t="s">
        <v>43</v>
      </c>
      <c r="AM696" s="40" t="str">
        <f t="shared" si="8"/>
        <v>[IP0452]</v>
      </c>
    </row>
    <row r="697" ht="67.5" customHeight="1">
      <c r="A697" s="41">
        <v>453.0</v>
      </c>
      <c r="B697" s="42" t="s">
        <v>1850</v>
      </c>
      <c r="C697" s="43">
        <v>2021.0</v>
      </c>
      <c r="D697" s="44" t="s">
        <v>37</v>
      </c>
      <c r="E697" s="45" t="s">
        <v>37</v>
      </c>
      <c r="F697" s="45" t="s">
        <v>35</v>
      </c>
      <c r="G697" s="45" t="s">
        <v>37</v>
      </c>
      <c r="H697" s="45" t="s">
        <v>35</v>
      </c>
      <c r="I697" s="45" t="s">
        <v>35</v>
      </c>
      <c r="J697" s="46" t="s">
        <v>36</v>
      </c>
      <c r="K697" s="83" t="s">
        <v>35</v>
      </c>
      <c r="L697" s="71" t="s">
        <v>36</v>
      </c>
      <c r="M697" s="71" t="s">
        <v>36</v>
      </c>
      <c r="N697" s="71" t="s">
        <v>36</v>
      </c>
      <c r="O697" s="71" t="s">
        <v>36</v>
      </c>
      <c r="P697" s="71" t="s">
        <v>36</v>
      </c>
      <c r="Q697" s="71" t="s">
        <v>36</v>
      </c>
      <c r="R697" s="71" t="s">
        <v>36</v>
      </c>
      <c r="S697" s="57" t="s">
        <v>36</v>
      </c>
      <c r="T697" s="50" t="s">
        <v>36</v>
      </c>
      <c r="U697" s="51" t="s">
        <v>36</v>
      </c>
      <c r="V697" s="52" t="str">
        <f t="shared" ref="V697:X697" si="703">IF(lenb(SUBSTITUTE($Z697,V$1&amp;" (1)",""))&lt;lenb($Z697),1,IF(lenb(SUBSTITUTE($Z697,V$1&amp;" (2)",""))&lt;lenb($Z697),2,IF(lenb(SUBSTITUTE($Z697,V$1&amp;" (3)",""))&lt;lenb($Z697),3,IF(lenb(SUBSTITUTE($Z697,V$1&amp;" (4)",""))&lt;lenb($Z697),4,IF(lenb(SUBSTITUTE($Z697,V$1&amp;" (5)",""))&lt;lenb($Z697),5,IF(lenb(SUBSTITUTE($Z697,V$1&amp;" (6)",""))&lt;lenb($Z697),6,IF(lenb(SUBSTITUTE($Z697,V$1&amp;" (7)",""))&lt;lenb($Z697),1,IF(lenb(SUBSTITUTE($Z697,V$1&amp;" (8)",""))&lt;lenb($Z697),8,IF(lenb(SUBSTITUTE($Z697,V$1&amp;" (9)",""))&lt;lenb($Z697),9,IF(lenb(SUBSTITUTE($Z697,V$1&amp;" (10)",""))&lt;lenb($Z697),10,IF(lenb(SUBSTITUTE($Z697,V$1,""))&lt;lenb($Z697),"ERROR",IF($Z697=$Y$1,"-",0))))))))))))</f>
        <v>-</v>
      </c>
      <c r="W697" s="52" t="str">
        <f t="shared" si="703"/>
        <v>-</v>
      </c>
      <c r="X697" s="52" t="str">
        <f t="shared" si="703"/>
        <v>-</v>
      </c>
      <c r="Y697" s="52">
        <f t="shared" si="3"/>
        <v>1</v>
      </c>
      <c r="Z697" s="52" t="s">
        <v>23</v>
      </c>
      <c r="AA697" s="53">
        <f t="shared" si="4"/>
        <v>0</v>
      </c>
      <c r="AB697" s="54">
        <f>COUNTIFS(Links!B:B,"ICSE",Links!C:C,A697,Links!AD:AD,1)</f>
        <v>0</v>
      </c>
      <c r="AC697" s="55" t="s">
        <v>36</v>
      </c>
      <c r="AD697" s="47" t="str">
        <f t="shared" si="5"/>
        <v>No</v>
      </c>
      <c r="AE697" s="56" t="s">
        <v>36</v>
      </c>
      <c r="AF697" s="57" t="s">
        <v>42</v>
      </c>
      <c r="AG697" s="57" t="s">
        <v>42</v>
      </c>
      <c r="AH697" s="57" t="s">
        <v>42</v>
      </c>
      <c r="AI697" s="49" t="str">
        <f t="shared" si="661"/>
        <v>----</v>
      </c>
      <c r="AJ697" s="58" t="str">
        <f t="shared" si="7"/>
        <v>Paper has no link and no statement</v>
      </c>
      <c r="AK697" s="59">
        <v>45022.0</v>
      </c>
      <c r="AL697" s="43" t="s">
        <v>43</v>
      </c>
      <c r="AM697" s="60" t="str">
        <f t="shared" si="8"/>
        <v>[IP0453]</v>
      </c>
    </row>
    <row r="698" ht="67.5" customHeight="1">
      <c r="A698" s="61">
        <v>454.0</v>
      </c>
      <c r="B698" s="22" t="s">
        <v>1851</v>
      </c>
      <c r="C698" s="23">
        <v>2021.0</v>
      </c>
      <c r="D698" s="24" t="s">
        <v>37</v>
      </c>
      <c r="E698" s="25" t="s">
        <v>35</v>
      </c>
      <c r="F698" s="25" t="s">
        <v>35</v>
      </c>
      <c r="G698" s="25" t="s">
        <v>37</v>
      </c>
      <c r="H698" s="25" t="s">
        <v>35</v>
      </c>
      <c r="I698" s="25" t="s">
        <v>35</v>
      </c>
      <c r="J698" s="26" t="s">
        <v>36</v>
      </c>
      <c r="K698" s="82" t="s">
        <v>37</v>
      </c>
      <c r="L698" s="70" t="s">
        <v>35</v>
      </c>
      <c r="M698" s="70" t="s">
        <v>37</v>
      </c>
      <c r="N698" s="70" t="s">
        <v>35</v>
      </c>
      <c r="O698" s="70" t="s">
        <v>35</v>
      </c>
      <c r="P698" s="70" t="s">
        <v>35</v>
      </c>
      <c r="Q698" s="70" t="s">
        <v>35</v>
      </c>
      <c r="R698" s="70" t="s">
        <v>37</v>
      </c>
      <c r="S698" s="37" t="s">
        <v>1852</v>
      </c>
      <c r="T698" s="30" t="s">
        <v>1853</v>
      </c>
      <c r="U698" s="31" t="s">
        <v>1853</v>
      </c>
      <c r="V698" s="32">
        <f t="shared" ref="V698:X698" si="704">IF(lenb(SUBSTITUTE($Z698,V$1&amp;" (1)",""))&lt;lenb($Z698),1,IF(lenb(SUBSTITUTE($Z698,V$1&amp;" (2)",""))&lt;lenb($Z698),2,IF(lenb(SUBSTITUTE($Z698,V$1&amp;" (3)",""))&lt;lenb($Z698),3,IF(lenb(SUBSTITUTE($Z698,V$1&amp;" (4)",""))&lt;lenb($Z698),4,IF(lenb(SUBSTITUTE($Z698,V$1&amp;" (5)",""))&lt;lenb($Z698),5,IF(lenb(SUBSTITUTE($Z698,V$1&amp;" (6)",""))&lt;lenb($Z698),6,IF(lenb(SUBSTITUTE($Z698,V$1&amp;" (7)",""))&lt;lenb($Z698),1,IF(lenb(SUBSTITUTE($Z698,V$1&amp;" (8)",""))&lt;lenb($Z698),8,IF(lenb(SUBSTITUTE($Z698,V$1&amp;" (9)",""))&lt;lenb($Z698),9,IF(lenb(SUBSTITUTE($Z698,V$1&amp;" (10)",""))&lt;lenb($Z698),10,IF(lenb(SUBSTITUTE($Z698,V$1,""))&lt;lenb($Z698),"ERROR",IF($Z698=$Y$1,"-",0))))))))))))</f>
        <v>1</v>
      </c>
      <c r="W698" s="32">
        <f t="shared" si="704"/>
        <v>0</v>
      </c>
      <c r="X698" s="32">
        <f t="shared" si="704"/>
        <v>0</v>
      </c>
      <c r="Y698" s="32" t="str">
        <f t="shared" si="3"/>
        <v>-</v>
      </c>
      <c r="Z698" s="32" t="s">
        <v>62</v>
      </c>
      <c r="AA698" s="33">
        <f t="shared" si="4"/>
        <v>1</v>
      </c>
      <c r="AB698" s="34">
        <f>COUNTIFS(Links!B:B,"ICSE",Links!C:C,A698,Links!AD:AD,1)</f>
        <v>1</v>
      </c>
      <c r="AC698" s="35" t="s">
        <v>35</v>
      </c>
      <c r="AD698" s="27" t="str">
        <f t="shared" si="5"/>
        <v>No</v>
      </c>
      <c r="AE698" s="36" t="s">
        <v>36</v>
      </c>
      <c r="AF698" s="37" t="s">
        <v>42</v>
      </c>
      <c r="AG698" s="37" t="s">
        <v>42</v>
      </c>
      <c r="AH698" s="37" t="s">
        <v>42</v>
      </c>
      <c r="AI698" s="29" t="str">
        <f t="shared" si="661"/>
        <v>----</v>
      </c>
      <c r="AJ698" s="38" t="str">
        <f t="shared" si="7"/>
        <v>Paper has link but no statement</v>
      </c>
      <c r="AK698" s="39">
        <v>45022.0</v>
      </c>
      <c r="AL698" s="23" t="s">
        <v>43</v>
      </c>
      <c r="AM698" s="40" t="str">
        <f t="shared" si="8"/>
        <v>[IP0454]</v>
      </c>
    </row>
    <row r="699" ht="67.5" customHeight="1">
      <c r="A699" s="62">
        <v>455.0</v>
      </c>
      <c r="B699" s="42" t="s">
        <v>1854</v>
      </c>
      <c r="C699" s="43">
        <v>2021.0</v>
      </c>
      <c r="D699" s="44" t="s">
        <v>37</v>
      </c>
      <c r="E699" s="45" t="s">
        <v>35</v>
      </c>
      <c r="F699" s="45" t="s">
        <v>35</v>
      </c>
      <c r="G699" s="45" t="s">
        <v>37</v>
      </c>
      <c r="H699" s="45" t="s">
        <v>35</v>
      </c>
      <c r="I699" s="45" t="s">
        <v>35</v>
      </c>
      <c r="J699" s="46" t="s">
        <v>36</v>
      </c>
      <c r="K699" s="83" t="s">
        <v>37</v>
      </c>
      <c r="L699" s="71" t="s">
        <v>35</v>
      </c>
      <c r="M699" s="71" t="s">
        <v>37</v>
      </c>
      <c r="N699" s="71" t="s">
        <v>35</v>
      </c>
      <c r="O699" s="71" t="s">
        <v>35</v>
      </c>
      <c r="P699" s="71" t="s">
        <v>35</v>
      </c>
      <c r="Q699" s="71" t="s">
        <v>35</v>
      </c>
      <c r="R699" s="71" t="s">
        <v>37</v>
      </c>
      <c r="S699" s="57" t="s">
        <v>1855</v>
      </c>
      <c r="T699" s="50" t="s">
        <v>1856</v>
      </c>
      <c r="U699" s="51" t="s">
        <v>1857</v>
      </c>
      <c r="V699" s="52">
        <f t="shared" ref="V699:X699" si="705">IF(lenb(SUBSTITUTE($Z699,V$1&amp;" (1)",""))&lt;lenb($Z699),1,IF(lenb(SUBSTITUTE($Z699,V$1&amp;" (2)",""))&lt;lenb($Z699),2,IF(lenb(SUBSTITUTE($Z699,V$1&amp;" (3)",""))&lt;lenb($Z699),3,IF(lenb(SUBSTITUTE($Z699,V$1&amp;" (4)",""))&lt;lenb($Z699),4,IF(lenb(SUBSTITUTE($Z699,V$1&amp;" (5)",""))&lt;lenb($Z699),5,IF(lenb(SUBSTITUTE($Z699,V$1&amp;" (6)",""))&lt;lenb($Z699),6,IF(lenb(SUBSTITUTE($Z699,V$1&amp;" (7)",""))&lt;lenb($Z699),1,IF(lenb(SUBSTITUTE($Z699,V$1&amp;" (8)",""))&lt;lenb($Z699),8,IF(lenb(SUBSTITUTE($Z699,V$1&amp;" (9)",""))&lt;lenb($Z699),9,IF(lenb(SUBSTITUTE($Z699,V$1&amp;" (10)",""))&lt;lenb($Z699),10,IF(lenb(SUBSTITUTE($Z699,V$1,""))&lt;lenb($Z699),"ERROR",IF($Z699=$Y$1,"-",0))))))))))))</f>
        <v>3</v>
      </c>
      <c r="W699" s="52">
        <f t="shared" si="705"/>
        <v>0</v>
      </c>
      <c r="X699" s="52">
        <f t="shared" si="705"/>
        <v>0</v>
      </c>
      <c r="Y699" s="52" t="str">
        <f t="shared" si="3"/>
        <v>-</v>
      </c>
      <c r="Z699" s="52" t="s">
        <v>193</v>
      </c>
      <c r="AA699" s="53">
        <f t="shared" si="4"/>
        <v>3</v>
      </c>
      <c r="AB699" s="54">
        <f>COUNTIFS(Links!B:B,"ICSE",Links!C:C,A699,Links!AD:AD,1)</f>
        <v>1</v>
      </c>
      <c r="AC699" s="55" t="s">
        <v>37</v>
      </c>
      <c r="AD699" s="47" t="str">
        <f t="shared" si="5"/>
        <v>No</v>
      </c>
      <c r="AE699" s="56" t="s">
        <v>36</v>
      </c>
      <c r="AF699" s="57" t="s">
        <v>42</v>
      </c>
      <c r="AG699" s="57" t="s">
        <v>42</v>
      </c>
      <c r="AH699" s="57" t="s">
        <v>42</v>
      </c>
      <c r="AI699" s="49" t="str">
        <f t="shared" si="661"/>
        <v>----</v>
      </c>
      <c r="AJ699" s="58" t="str">
        <f t="shared" si="7"/>
        <v>Paper has link but no statement</v>
      </c>
      <c r="AK699" s="59">
        <v>45022.0</v>
      </c>
      <c r="AL699" s="43" t="s">
        <v>43</v>
      </c>
      <c r="AM699" s="60" t="str">
        <f t="shared" si="8"/>
        <v>[IP0455]</v>
      </c>
    </row>
    <row r="700" ht="67.5" customHeight="1">
      <c r="A700" s="61">
        <v>456.0</v>
      </c>
      <c r="B700" s="22" t="s">
        <v>1858</v>
      </c>
      <c r="C700" s="23">
        <v>2021.0</v>
      </c>
      <c r="D700" s="24" t="s">
        <v>35</v>
      </c>
      <c r="E700" s="25" t="s">
        <v>36</v>
      </c>
      <c r="F700" s="25" t="s">
        <v>36</v>
      </c>
      <c r="G700" s="25" t="s">
        <v>36</v>
      </c>
      <c r="H700" s="25" t="s">
        <v>36</v>
      </c>
      <c r="I700" s="25" t="s">
        <v>36</v>
      </c>
      <c r="J700" s="26" t="s">
        <v>36</v>
      </c>
      <c r="K700" s="82" t="s">
        <v>37</v>
      </c>
      <c r="L700" s="70" t="s">
        <v>35</v>
      </c>
      <c r="M700" s="70" t="s">
        <v>37</v>
      </c>
      <c r="N700" s="70" t="s">
        <v>35</v>
      </c>
      <c r="O700" s="70" t="s">
        <v>35</v>
      </c>
      <c r="P700" s="70" t="s">
        <v>35</v>
      </c>
      <c r="Q700" s="70" t="s">
        <v>37</v>
      </c>
      <c r="R700" s="70" t="s">
        <v>35</v>
      </c>
      <c r="S700" s="37" t="s">
        <v>1859</v>
      </c>
      <c r="T700" s="30" t="s">
        <v>1860</v>
      </c>
      <c r="U700" s="31" t="s">
        <v>1860</v>
      </c>
      <c r="V700" s="32">
        <f t="shared" ref="V700:X700" si="706">IF(lenb(SUBSTITUTE($Z700,V$1&amp;" (1)",""))&lt;lenb($Z700),1,IF(lenb(SUBSTITUTE($Z700,V$1&amp;" (2)",""))&lt;lenb($Z700),2,IF(lenb(SUBSTITUTE($Z700,V$1&amp;" (3)",""))&lt;lenb($Z700),3,IF(lenb(SUBSTITUTE($Z700,V$1&amp;" (4)",""))&lt;lenb($Z700),4,IF(lenb(SUBSTITUTE($Z700,V$1&amp;" (5)",""))&lt;lenb($Z700),5,IF(lenb(SUBSTITUTE($Z700,V$1&amp;" (6)",""))&lt;lenb($Z700),6,IF(lenb(SUBSTITUTE($Z700,V$1&amp;" (7)",""))&lt;lenb($Z700),1,IF(lenb(SUBSTITUTE($Z700,V$1&amp;" (8)",""))&lt;lenb($Z700),8,IF(lenb(SUBSTITUTE($Z700,V$1&amp;" (9)",""))&lt;lenb($Z700),9,IF(lenb(SUBSTITUTE($Z700,V$1&amp;" (10)",""))&lt;lenb($Z700),10,IF(lenb(SUBSTITUTE($Z700,V$1,""))&lt;lenb($Z700),"ERROR",IF($Z700=$Y$1,"-",0))))))))))))</f>
        <v>1</v>
      </c>
      <c r="W700" s="32">
        <f t="shared" si="706"/>
        <v>0</v>
      </c>
      <c r="X700" s="32">
        <f t="shared" si="706"/>
        <v>0</v>
      </c>
      <c r="Y700" s="32" t="str">
        <f t="shared" si="3"/>
        <v>-</v>
      </c>
      <c r="Z700" s="32" t="s">
        <v>62</v>
      </c>
      <c r="AA700" s="33">
        <f t="shared" si="4"/>
        <v>1</v>
      </c>
      <c r="AB700" s="34">
        <f>COUNTIFS(Links!B:B,"ICSE",Links!C:C,A700,Links!AD:AD,1)</f>
        <v>0</v>
      </c>
      <c r="AC700" s="35" t="s">
        <v>37</v>
      </c>
      <c r="AD700" s="27" t="str">
        <f t="shared" si="5"/>
        <v>Yes</v>
      </c>
      <c r="AE700" s="36" t="s">
        <v>1861</v>
      </c>
      <c r="AF700" s="36" t="s">
        <v>223</v>
      </c>
      <c r="AG700" s="37" t="s">
        <v>42</v>
      </c>
      <c r="AH700" s="37" t="s">
        <v>42</v>
      </c>
      <c r="AI700" s="29" t="str">
        <f t="shared" si="661"/>
        <v>Barriers (Agreements and legal rights)</v>
      </c>
      <c r="AJ700" s="38" t="str">
        <f t="shared" si="7"/>
        <v>Paper has link and statement</v>
      </c>
      <c r="AK700" s="39">
        <v>45022.0</v>
      </c>
      <c r="AL700" s="23" t="s">
        <v>43</v>
      </c>
      <c r="AM700" s="40" t="str">
        <f t="shared" si="8"/>
        <v>[IP0456]</v>
      </c>
    </row>
    <row r="701" ht="67.5" customHeight="1">
      <c r="A701" s="41">
        <v>457.0</v>
      </c>
      <c r="B701" s="42" t="s">
        <v>1862</v>
      </c>
      <c r="C701" s="43">
        <v>2021.0</v>
      </c>
      <c r="D701" s="44" t="s">
        <v>35</v>
      </c>
      <c r="E701" s="45" t="s">
        <v>36</v>
      </c>
      <c r="F701" s="45" t="s">
        <v>36</v>
      </c>
      <c r="G701" s="45" t="s">
        <v>36</v>
      </c>
      <c r="H701" s="45" t="s">
        <v>36</v>
      </c>
      <c r="I701" s="45" t="s">
        <v>36</v>
      </c>
      <c r="J701" s="46" t="s">
        <v>36</v>
      </c>
      <c r="K701" s="83" t="s">
        <v>37</v>
      </c>
      <c r="L701" s="71" t="s">
        <v>37</v>
      </c>
      <c r="M701" s="71" t="s">
        <v>35</v>
      </c>
      <c r="N701" s="71" t="s">
        <v>35</v>
      </c>
      <c r="O701" s="71" t="s">
        <v>35</v>
      </c>
      <c r="P701" s="71" t="s">
        <v>35</v>
      </c>
      <c r="Q701" s="71" t="s">
        <v>35</v>
      </c>
      <c r="R701" s="71" t="s">
        <v>37</v>
      </c>
      <c r="S701" s="57" t="s">
        <v>1863</v>
      </c>
      <c r="T701" s="50" t="s">
        <v>1864</v>
      </c>
      <c r="U701" s="51" t="s">
        <v>1864</v>
      </c>
      <c r="V701" s="52">
        <f t="shared" ref="V701:X701" si="707">IF(lenb(SUBSTITUTE($Z701,V$1&amp;" (1)",""))&lt;lenb($Z701),1,IF(lenb(SUBSTITUTE($Z701,V$1&amp;" (2)",""))&lt;lenb($Z701),2,IF(lenb(SUBSTITUTE($Z701,V$1&amp;" (3)",""))&lt;lenb($Z701),3,IF(lenb(SUBSTITUTE($Z701,V$1&amp;" (4)",""))&lt;lenb($Z701),4,IF(lenb(SUBSTITUTE($Z701,V$1&amp;" (5)",""))&lt;lenb($Z701),5,IF(lenb(SUBSTITUTE($Z701,V$1&amp;" (6)",""))&lt;lenb($Z701),6,IF(lenb(SUBSTITUTE($Z701,V$1&amp;" (7)",""))&lt;lenb($Z701),1,IF(lenb(SUBSTITUTE($Z701,V$1&amp;" (8)",""))&lt;lenb($Z701),8,IF(lenb(SUBSTITUTE($Z701,V$1&amp;" (9)",""))&lt;lenb($Z701),9,IF(lenb(SUBSTITUTE($Z701,V$1&amp;" (10)",""))&lt;lenb($Z701),10,IF(lenb(SUBSTITUTE($Z701,V$1,""))&lt;lenb($Z701),"ERROR",IF($Z701=$Y$1,"-",0))))))))))))</f>
        <v>1</v>
      </c>
      <c r="W701" s="52">
        <f t="shared" si="707"/>
        <v>0</v>
      </c>
      <c r="X701" s="52">
        <f t="shared" si="707"/>
        <v>0</v>
      </c>
      <c r="Y701" s="52" t="str">
        <f t="shared" si="3"/>
        <v>-</v>
      </c>
      <c r="Z701" s="52" t="s">
        <v>62</v>
      </c>
      <c r="AA701" s="53">
        <f t="shared" si="4"/>
        <v>1</v>
      </c>
      <c r="AB701" s="54">
        <f>COUNTIFS(Links!B:B,"ICSE",Links!C:C,A701,Links!AD:AD,1)</f>
        <v>0</v>
      </c>
      <c r="AC701" s="55" t="s">
        <v>35</v>
      </c>
      <c r="AD701" s="47" t="str">
        <f t="shared" si="5"/>
        <v>No</v>
      </c>
      <c r="AE701" s="56" t="s">
        <v>36</v>
      </c>
      <c r="AF701" s="57" t="s">
        <v>42</v>
      </c>
      <c r="AG701" s="57" t="s">
        <v>42</v>
      </c>
      <c r="AH701" s="57" t="s">
        <v>42</v>
      </c>
      <c r="AI701" s="49" t="str">
        <f t="shared" si="661"/>
        <v>----</v>
      </c>
      <c r="AJ701" s="58" t="str">
        <f t="shared" si="7"/>
        <v>Paper has link but no statement</v>
      </c>
      <c r="AK701" s="59">
        <v>45022.0</v>
      </c>
      <c r="AL701" s="43" t="s">
        <v>43</v>
      </c>
      <c r="AM701" s="60" t="str">
        <f t="shared" si="8"/>
        <v>[IP0457]</v>
      </c>
    </row>
    <row r="702" ht="67.5" customHeight="1">
      <c r="A702" s="61">
        <v>458.0</v>
      </c>
      <c r="B702" s="22" t="s">
        <v>1865</v>
      </c>
      <c r="C702" s="23">
        <v>2021.0</v>
      </c>
      <c r="D702" s="24" t="s">
        <v>37</v>
      </c>
      <c r="E702" s="25" t="s">
        <v>35</v>
      </c>
      <c r="F702" s="25" t="s">
        <v>35</v>
      </c>
      <c r="G702" s="25" t="s">
        <v>37</v>
      </c>
      <c r="H702" s="25" t="s">
        <v>35</v>
      </c>
      <c r="I702" s="25" t="s">
        <v>35</v>
      </c>
      <c r="J702" s="26" t="s">
        <v>36</v>
      </c>
      <c r="K702" s="82" t="s">
        <v>37</v>
      </c>
      <c r="L702" s="70" t="s">
        <v>37</v>
      </c>
      <c r="M702" s="70" t="s">
        <v>37</v>
      </c>
      <c r="N702" s="70" t="s">
        <v>35</v>
      </c>
      <c r="O702" s="70" t="s">
        <v>35</v>
      </c>
      <c r="P702" s="70" t="s">
        <v>35</v>
      </c>
      <c r="Q702" s="70" t="s">
        <v>35</v>
      </c>
      <c r="R702" s="70" t="s">
        <v>37</v>
      </c>
      <c r="S702" s="37" t="s">
        <v>1866</v>
      </c>
      <c r="T702" s="30" t="s">
        <v>1867</v>
      </c>
      <c r="U702" s="31" t="s">
        <v>1867</v>
      </c>
      <c r="V702" s="32">
        <f t="shared" ref="V702:X702" si="708">IF(lenb(SUBSTITUTE($Z702,V$1&amp;" (1)",""))&lt;lenb($Z702),1,IF(lenb(SUBSTITUTE($Z702,V$1&amp;" (2)",""))&lt;lenb($Z702),2,IF(lenb(SUBSTITUTE($Z702,V$1&amp;" (3)",""))&lt;lenb($Z702),3,IF(lenb(SUBSTITUTE($Z702,V$1&amp;" (4)",""))&lt;lenb($Z702),4,IF(lenb(SUBSTITUTE($Z702,V$1&amp;" (5)",""))&lt;lenb($Z702),5,IF(lenb(SUBSTITUTE($Z702,V$1&amp;" (6)",""))&lt;lenb($Z702),6,IF(lenb(SUBSTITUTE($Z702,V$1&amp;" (7)",""))&lt;lenb($Z702),1,IF(lenb(SUBSTITUTE($Z702,V$1&amp;" (8)",""))&lt;lenb($Z702),8,IF(lenb(SUBSTITUTE($Z702,V$1&amp;" (9)",""))&lt;lenb($Z702),9,IF(lenb(SUBSTITUTE($Z702,V$1&amp;" (10)",""))&lt;lenb($Z702),10,IF(lenb(SUBSTITUTE($Z702,V$1,""))&lt;lenb($Z702),"ERROR",IF($Z702=$Y$1,"-",0))))))))))))</f>
        <v>1</v>
      </c>
      <c r="W702" s="32">
        <f t="shared" si="708"/>
        <v>0</v>
      </c>
      <c r="X702" s="32">
        <f t="shared" si="708"/>
        <v>0</v>
      </c>
      <c r="Y702" s="32" t="str">
        <f t="shared" si="3"/>
        <v>-</v>
      </c>
      <c r="Z702" s="32" t="s">
        <v>62</v>
      </c>
      <c r="AA702" s="33">
        <f t="shared" si="4"/>
        <v>1</v>
      </c>
      <c r="AB702" s="34">
        <f>COUNTIFS(Links!B:B,"ICSE",Links!C:C,A702,Links!AD:AD,1)</f>
        <v>0</v>
      </c>
      <c r="AC702" s="35" t="s">
        <v>35</v>
      </c>
      <c r="AD702" s="27" t="str">
        <f t="shared" si="5"/>
        <v>No</v>
      </c>
      <c r="AE702" s="36" t="s">
        <v>36</v>
      </c>
      <c r="AF702" s="37" t="s">
        <v>42</v>
      </c>
      <c r="AG702" s="37" t="s">
        <v>42</v>
      </c>
      <c r="AH702" s="37" t="s">
        <v>42</v>
      </c>
      <c r="AI702" s="29" t="str">
        <f t="shared" si="661"/>
        <v>----</v>
      </c>
      <c r="AJ702" s="38" t="str">
        <f t="shared" si="7"/>
        <v>Paper has link but no statement</v>
      </c>
      <c r="AK702" s="39">
        <v>45022.0</v>
      </c>
      <c r="AL702" s="23" t="s">
        <v>43</v>
      </c>
      <c r="AM702" s="40" t="str">
        <f t="shared" si="8"/>
        <v>[IP0458]</v>
      </c>
    </row>
    <row r="703" ht="67.5" customHeight="1">
      <c r="A703" s="41">
        <v>459.0</v>
      </c>
      <c r="B703" s="42" t="s">
        <v>1868</v>
      </c>
      <c r="C703" s="43">
        <v>2021.0</v>
      </c>
      <c r="D703" s="44" t="s">
        <v>35</v>
      </c>
      <c r="E703" s="45" t="s">
        <v>36</v>
      </c>
      <c r="F703" s="45" t="s">
        <v>36</v>
      </c>
      <c r="G703" s="45" t="s">
        <v>36</v>
      </c>
      <c r="H703" s="45" t="s">
        <v>36</v>
      </c>
      <c r="I703" s="45" t="s">
        <v>36</v>
      </c>
      <c r="J703" s="46" t="s">
        <v>36</v>
      </c>
      <c r="K703" s="83" t="s">
        <v>37</v>
      </c>
      <c r="L703" s="71" t="s">
        <v>37</v>
      </c>
      <c r="M703" s="71" t="s">
        <v>35</v>
      </c>
      <c r="N703" s="71" t="s">
        <v>35</v>
      </c>
      <c r="O703" s="71" t="s">
        <v>35</v>
      </c>
      <c r="P703" s="71" t="s">
        <v>35</v>
      </c>
      <c r="Q703" s="71" t="s">
        <v>35</v>
      </c>
      <c r="R703" s="71" t="s">
        <v>37</v>
      </c>
      <c r="S703" s="57" t="s">
        <v>1869</v>
      </c>
      <c r="T703" s="50" t="s">
        <v>1870</v>
      </c>
      <c r="U703" s="51" t="s">
        <v>1870</v>
      </c>
      <c r="V703" s="52">
        <f t="shared" ref="V703:X703" si="709">IF(lenb(SUBSTITUTE($Z703,V$1&amp;" (1)",""))&lt;lenb($Z703),1,IF(lenb(SUBSTITUTE($Z703,V$1&amp;" (2)",""))&lt;lenb($Z703),2,IF(lenb(SUBSTITUTE($Z703,V$1&amp;" (3)",""))&lt;lenb($Z703),3,IF(lenb(SUBSTITUTE($Z703,V$1&amp;" (4)",""))&lt;lenb($Z703),4,IF(lenb(SUBSTITUTE($Z703,V$1&amp;" (5)",""))&lt;lenb($Z703),5,IF(lenb(SUBSTITUTE($Z703,V$1&amp;" (6)",""))&lt;lenb($Z703),6,IF(lenb(SUBSTITUTE($Z703,V$1&amp;" (7)",""))&lt;lenb($Z703),1,IF(lenb(SUBSTITUTE($Z703,V$1&amp;" (8)",""))&lt;lenb($Z703),8,IF(lenb(SUBSTITUTE($Z703,V$1&amp;" (9)",""))&lt;lenb($Z703),9,IF(lenb(SUBSTITUTE($Z703,V$1&amp;" (10)",""))&lt;lenb($Z703),10,IF(lenb(SUBSTITUTE($Z703,V$1,""))&lt;lenb($Z703),"ERROR",IF($Z703=$Y$1,"-",0))))))))))))</f>
        <v>1</v>
      </c>
      <c r="W703" s="52">
        <f t="shared" si="709"/>
        <v>0</v>
      </c>
      <c r="X703" s="52">
        <f t="shared" si="709"/>
        <v>0</v>
      </c>
      <c r="Y703" s="52" t="str">
        <f t="shared" si="3"/>
        <v>-</v>
      </c>
      <c r="Z703" s="52" t="s">
        <v>62</v>
      </c>
      <c r="AA703" s="53">
        <f t="shared" si="4"/>
        <v>1</v>
      </c>
      <c r="AB703" s="54">
        <f>COUNTIFS(Links!B:B,"ICSE",Links!C:C,A703,Links!AD:AD,1)</f>
        <v>0</v>
      </c>
      <c r="AC703" s="55" t="s">
        <v>35</v>
      </c>
      <c r="AD703" s="47" t="str">
        <f t="shared" si="5"/>
        <v>No</v>
      </c>
      <c r="AE703" s="56" t="s">
        <v>36</v>
      </c>
      <c r="AF703" s="57" t="s">
        <v>42</v>
      </c>
      <c r="AG703" s="57" t="s">
        <v>42</v>
      </c>
      <c r="AH703" s="57" t="s">
        <v>42</v>
      </c>
      <c r="AI703" s="49" t="str">
        <f t="shared" si="661"/>
        <v>----</v>
      </c>
      <c r="AJ703" s="58" t="str">
        <f t="shared" si="7"/>
        <v>Paper has link but no statement</v>
      </c>
      <c r="AK703" s="59">
        <v>45022.0</v>
      </c>
      <c r="AL703" s="43" t="s">
        <v>43</v>
      </c>
      <c r="AM703" s="60" t="str">
        <f t="shared" si="8"/>
        <v>[IP0459]</v>
      </c>
    </row>
    <row r="704" ht="67.5" customHeight="1">
      <c r="A704" s="61">
        <v>460.0</v>
      </c>
      <c r="B704" s="22" t="s">
        <v>1871</v>
      </c>
      <c r="C704" s="23">
        <v>2021.0</v>
      </c>
      <c r="D704" s="24" t="s">
        <v>35</v>
      </c>
      <c r="E704" s="25" t="s">
        <v>36</v>
      </c>
      <c r="F704" s="25" t="s">
        <v>36</v>
      </c>
      <c r="G704" s="25" t="s">
        <v>36</v>
      </c>
      <c r="H704" s="25" t="s">
        <v>36</v>
      </c>
      <c r="I704" s="25" t="s">
        <v>36</v>
      </c>
      <c r="J704" s="26" t="s">
        <v>36</v>
      </c>
      <c r="K704" s="82" t="s">
        <v>37</v>
      </c>
      <c r="L704" s="70" t="s">
        <v>37</v>
      </c>
      <c r="M704" s="70" t="s">
        <v>35</v>
      </c>
      <c r="N704" s="70" t="s">
        <v>37</v>
      </c>
      <c r="O704" s="70" t="s">
        <v>35</v>
      </c>
      <c r="P704" s="70" t="s">
        <v>35</v>
      </c>
      <c r="Q704" s="70" t="s">
        <v>35</v>
      </c>
      <c r="R704" s="70" t="s">
        <v>37</v>
      </c>
      <c r="S704" s="37" t="s">
        <v>1872</v>
      </c>
      <c r="T704" s="30" t="s">
        <v>1873</v>
      </c>
      <c r="U704" s="31" t="s">
        <v>1873</v>
      </c>
      <c r="V704" s="32">
        <f t="shared" ref="V704:X704" si="710">IF(lenb(SUBSTITUTE($Z704,V$1&amp;" (1)",""))&lt;lenb($Z704),1,IF(lenb(SUBSTITUTE($Z704,V$1&amp;" (2)",""))&lt;lenb($Z704),2,IF(lenb(SUBSTITUTE($Z704,V$1&amp;" (3)",""))&lt;lenb($Z704),3,IF(lenb(SUBSTITUTE($Z704,V$1&amp;" (4)",""))&lt;lenb($Z704),4,IF(lenb(SUBSTITUTE($Z704,V$1&amp;" (5)",""))&lt;lenb($Z704),5,IF(lenb(SUBSTITUTE($Z704,V$1&amp;" (6)",""))&lt;lenb($Z704),6,IF(lenb(SUBSTITUTE($Z704,V$1&amp;" (7)",""))&lt;lenb($Z704),1,IF(lenb(SUBSTITUTE($Z704,V$1&amp;" (8)",""))&lt;lenb($Z704),8,IF(lenb(SUBSTITUTE($Z704,V$1&amp;" (9)",""))&lt;lenb($Z704),9,IF(lenb(SUBSTITUTE($Z704,V$1&amp;" (10)",""))&lt;lenb($Z704),10,IF(lenb(SUBSTITUTE($Z704,V$1,""))&lt;lenb($Z704),"ERROR",IF($Z704=$Y$1,"-",0))))))))))))</f>
        <v>1</v>
      </c>
      <c r="W704" s="32">
        <f t="shared" si="710"/>
        <v>0</v>
      </c>
      <c r="X704" s="32">
        <f t="shared" si="710"/>
        <v>0</v>
      </c>
      <c r="Y704" s="32" t="str">
        <f t="shared" si="3"/>
        <v>-</v>
      </c>
      <c r="Z704" s="32" t="s">
        <v>62</v>
      </c>
      <c r="AA704" s="33">
        <f t="shared" si="4"/>
        <v>1</v>
      </c>
      <c r="AB704" s="34">
        <f>COUNTIFS(Links!B:B,"ICSE",Links!C:C,A704,Links!AD:AD,1)</f>
        <v>0</v>
      </c>
      <c r="AC704" s="35" t="s">
        <v>35</v>
      </c>
      <c r="AD704" s="27" t="str">
        <f t="shared" si="5"/>
        <v>Yes</v>
      </c>
      <c r="AE704" s="36" t="s">
        <v>1874</v>
      </c>
      <c r="AF704" s="36" t="s">
        <v>146</v>
      </c>
      <c r="AG704" s="37" t="s">
        <v>42</v>
      </c>
      <c r="AH704" s="37" t="s">
        <v>42</v>
      </c>
      <c r="AI704" s="29" t="str">
        <f t="shared" si="661"/>
        <v>Future plans (—)</v>
      </c>
      <c r="AJ704" s="38" t="str">
        <f t="shared" si="7"/>
        <v>Paper has link and statement</v>
      </c>
      <c r="AK704" s="39">
        <v>45022.0</v>
      </c>
      <c r="AL704" s="23" t="s">
        <v>43</v>
      </c>
      <c r="AM704" s="40" t="str">
        <f t="shared" si="8"/>
        <v>[IP0460]</v>
      </c>
    </row>
    <row r="705" ht="67.5" customHeight="1">
      <c r="A705" s="41">
        <v>461.0</v>
      </c>
      <c r="B705" s="42" t="s">
        <v>1875</v>
      </c>
      <c r="C705" s="43">
        <v>2021.0</v>
      </c>
      <c r="D705" s="44" t="s">
        <v>37</v>
      </c>
      <c r="E705" s="45" t="s">
        <v>37</v>
      </c>
      <c r="F705" s="45" t="s">
        <v>35</v>
      </c>
      <c r="G705" s="45" t="s">
        <v>37</v>
      </c>
      <c r="H705" s="45" t="s">
        <v>35</v>
      </c>
      <c r="I705" s="45" t="s">
        <v>35</v>
      </c>
      <c r="J705" s="46" t="s">
        <v>36</v>
      </c>
      <c r="K705" s="83" t="s">
        <v>37</v>
      </c>
      <c r="L705" s="71" t="s">
        <v>37</v>
      </c>
      <c r="M705" s="71" t="s">
        <v>35</v>
      </c>
      <c r="N705" s="71" t="s">
        <v>35</v>
      </c>
      <c r="O705" s="71" t="s">
        <v>35</v>
      </c>
      <c r="P705" s="71" t="s">
        <v>35</v>
      </c>
      <c r="Q705" s="71" t="s">
        <v>35</v>
      </c>
      <c r="R705" s="71" t="s">
        <v>37</v>
      </c>
      <c r="S705" s="57" t="s">
        <v>1876</v>
      </c>
      <c r="T705" s="50" t="s">
        <v>1877</v>
      </c>
      <c r="U705" s="51" t="s">
        <v>1877</v>
      </c>
      <c r="V705" s="52">
        <f t="shared" ref="V705:X705" si="711">IF(lenb(SUBSTITUTE($Z705,V$1&amp;" (1)",""))&lt;lenb($Z705),1,IF(lenb(SUBSTITUTE($Z705,V$1&amp;" (2)",""))&lt;lenb($Z705),2,IF(lenb(SUBSTITUTE($Z705,V$1&amp;" (3)",""))&lt;lenb($Z705),3,IF(lenb(SUBSTITUTE($Z705,V$1&amp;" (4)",""))&lt;lenb($Z705),4,IF(lenb(SUBSTITUTE($Z705,V$1&amp;" (5)",""))&lt;lenb($Z705),5,IF(lenb(SUBSTITUTE($Z705,V$1&amp;" (6)",""))&lt;lenb($Z705),6,IF(lenb(SUBSTITUTE($Z705,V$1&amp;" (7)",""))&lt;lenb($Z705),1,IF(lenb(SUBSTITUTE($Z705,V$1&amp;" (8)",""))&lt;lenb($Z705),8,IF(lenb(SUBSTITUTE($Z705,V$1&amp;" (9)",""))&lt;lenb($Z705),9,IF(lenb(SUBSTITUTE($Z705,V$1&amp;" (10)",""))&lt;lenb($Z705),10,IF(lenb(SUBSTITUTE($Z705,V$1,""))&lt;lenb($Z705),"ERROR",IF($Z705=$Y$1,"-",0))))))))))))</f>
        <v>1</v>
      </c>
      <c r="W705" s="52">
        <f t="shared" si="711"/>
        <v>0</v>
      </c>
      <c r="X705" s="52">
        <f t="shared" si="711"/>
        <v>0</v>
      </c>
      <c r="Y705" s="52" t="str">
        <f t="shared" si="3"/>
        <v>-</v>
      </c>
      <c r="Z705" s="52" t="s">
        <v>62</v>
      </c>
      <c r="AA705" s="53">
        <f t="shared" si="4"/>
        <v>1</v>
      </c>
      <c r="AB705" s="54">
        <f>COUNTIFS(Links!B:B,"ICSE",Links!C:C,A705,Links!AD:AD,1)</f>
        <v>0</v>
      </c>
      <c r="AC705" s="55" t="s">
        <v>37</v>
      </c>
      <c r="AD705" s="47" t="str">
        <f t="shared" si="5"/>
        <v>No</v>
      </c>
      <c r="AE705" s="56" t="s">
        <v>36</v>
      </c>
      <c r="AF705" s="57" t="s">
        <v>42</v>
      </c>
      <c r="AG705" s="57" t="s">
        <v>42</v>
      </c>
      <c r="AH705" s="57" t="s">
        <v>42</v>
      </c>
      <c r="AI705" s="49" t="str">
        <f t="shared" si="661"/>
        <v>----</v>
      </c>
      <c r="AJ705" s="58" t="str">
        <f t="shared" si="7"/>
        <v>Paper has link but no statement</v>
      </c>
      <c r="AK705" s="59">
        <v>45022.0</v>
      </c>
      <c r="AL705" s="43" t="s">
        <v>43</v>
      </c>
      <c r="AM705" s="60" t="str">
        <f t="shared" si="8"/>
        <v>[IP0461]</v>
      </c>
    </row>
    <row r="706" ht="67.5" customHeight="1">
      <c r="A706" s="61">
        <v>462.0</v>
      </c>
      <c r="B706" s="22" t="s">
        <v>1878</v>
      </c>
      <c r="C706" s="23">
        <v>2021.0</v>
      </c>
      <c r="D706" s="24" t="s">
        <v>37</v>
      </c>
      <c r="E706" s="25" t="s">
        <v>35</v>
      </c>
      <c r="F706" s="25" t="s">
        <v>35</v>
      </c>
      <c r="G706" s="25" t="s">
        <v>37</v>
      </c>
      <c r="H706" s="25" t="s">
        <v>35</v>
      </c>
      <c r="I706" s="25" t="s">
        <v>35</v>
      </c>
      <c r="J706" s="26" t="s">
        <v>36</v>
      </c>
      <c r="K706" s="82" t="s">
        <v>37</v>
      </c>
      <c r="L706" s="70" t="s">
        <v>35</v>
      </c>
      <c r="M706" s="70" t="s">
        <v>37</v>
      </c>
      <c r="N706" s="70" t="s">
        <v>37</v>
      </c>
      <c r="O706" s="70" t="s">
        <v>35</v>
      </c>
      <c r="P706" s="70" t="s">
        <v>35</v>
      </c>
      <c r="Q706" s="70" t="s">
        <v>37</v>
      </c>
      <c r="R706" s="70" t="s">
        <v>37</v>
      </c>
      <c r="S706" s="37" t="s">
        <v>1879</v>
      </c>
      <c r="T706" s="30" t="s">
        <v>1880</v>
      </c>
      <c r="U706" s="31" t="s">
        <v>1880</v>
      </c>
      <c r="V706" s="32">
        <f t="shared" ref="V706:X706" si="712">IF(lenb(SUBSTITUTE($Z706,V$1&amp;" (1)",""))&lt;lenb($Z706),1,IF(lenb(SUBSTITUTE($Z706,V$1&amp;" (2)",""))&lt;lenb($Z706),2,IF(lenb(SUBSTITUTE($Z706,V$1&amp;" (3)",""))&lt;lenb($Z706),3,IF(lenb(SUBSTITUTE($Z706,V$1&amp;" (4)",""))&lt;lenb($Z706),4,IF(lenb(SUBSTITUTE($Z706,V$1&amp;" (5)",""))&lt;lenb($Z706),5,IF(lenb(SUBSTITUTE($Z706,V$1&amp;" (6)",""))&lt;lenb($Z706),6,IF(lenb(SUBSTITUTE($Z706,V$1&amp;" (7)",""))&lt;lenb($Z706),1,IF(lenb(SUBSTITUTE($Z706,V$1&amp;" (8)",""))&lt;lenb($Z706),8,IF(lenb(SUBSTITUTE($Z706,V$1&amp;" (9)",""))&lt;lenb($Z706),9,IF(lenb(SUBSTITUTE($Z706,V$1&amp;" (10)",""))&lt;lenb($Z706),10,IF(lenb(SUBSTITUTE($Z706,V$1,""))&lt;lenb($Z706),"ERROR",IF($Z706=$Y$1,"-",0))))))))))))</f>
        <v>1</v>
      </c>
      <c r="W706" s="32">
        <f t="shared" si="712"/>
        <v>0</v>
      </c>
      <c r="X706" s="32">
        <f t="shared" si="712"/>
        <v>0</v>
      </c>
      <c r="Y706" s="32" t="str">
        <f t="shared" si="3"/>
        <v>-</v>
      </c>
      <c r="Z706" s="32" t="s">
        <v>62</v>
      </c>
      <c r="AA706" s="33">
        <f t="shared" si="4"/>
        <v>1</v>
      </c>
      <c r="AB706" s="34">
        <f>COUNTIFS(Links!B:B,"ICSE",Links!C:C,A706,Links!AD:AD,1)</f>
        <v>1</v>
      </c>
      <c r="AC706" s="35" t="s">
        <v>35</v>
      </c>
      <c r="AD706" s="27" t="str">
        <f t="shared" si="5"/>
        <v>No</v>
      </c>
      <c r="AE706" s="36" t="s">
        <v>36</v>
      </c>
      <c r="AF706" s="37" t="s">
        <v>42</v>
      </c>
      <c r="AG706" s="37" t="s">
        <v>42</v>
      </c>
      <c r="AH706" s="37" t="s">
        <v>42</v>
      </c>
      <c r="AI706" s="29" t="str">
        <f t="shared" si="661"/>
        <v>----</v>
      </c>
      <c r="AJ706" s="38" t="str">
        <f t="shared" si="7"/>
        <v>Paper has link but no statement</v>
      </c>
      <c r="AK706" s="39">
        <v>45022.0</v>
      </c>
      <c r="AL706" s="23" t="s">
        <v>43</v>
      </c>
      <c r="AM706" s="40" t="str">
        <f t="shared" si="8"/>
        <v>[IP0462]</v>
      </c>
    </row>
    <row r="707" ht="67.5" customHeight="1">
      <c r="A707" s="41">
        <v>463.0</v>
      </c>
      <c r="B707" s="42" t="s">
        <v>1881</v>
      </c>
      <c r="C707" s="43">
        <v>2021.0</v>
      </c>
      <c r="D707" s="44" t="s">
        <v>35</v>
      </c>
      <c r="E707" s="45" t="s">
        <v>36</v>
      </c>
      <c r="F707" s="45" t="s">
        <v>36</v>
      </c>
      <c r="G707" s="45" t="s">
        <v>36</v>
      </c>
      <c r="H707" s="45" t="s">
        <v>36</v>
      </c>
      <c r="I707" s="45" t="s">
        <v>36</v>
      </c>
      <c r="J707" s="46" t="s">
        <v>36</v>
      </c>
      <c r="K707" s="83" t="s">
        <v>37</v>
      </c>
      <c r="L707" s="71" t="s">
        <v>35</v>
      </c>
      <c r="M707" s="71" t="s">
        <v>37</v>
      </c>
      <c r="N707" s="71" t="s">
        <v>35</v>
      </c>
      <c r="O707" s="71" t="s">
        <v>35</v>
      </c>
      <c r="P707" s="71" t="s">
        <v>35</v>
      </c>
      <c r="Q707" s="71" t="s">
        <v>35</v>
      </c>
      <c r="R707" s="71" t="s">
        <v>37</v>
      </c>
      <c r="S707" s="57" t="s">
        <v>1882</v>
      </c>
      <c r="T707" s="50" t="s">
        <v>1883</v>
      </c>
      <c r="U707" s="51" t="s">
        <v>1883</v>
      </c>
      <c r="V707" s="52">
        <f t="shared" ref="V707:X707" si="713">IF(lenb(SUBSTITUTE($Z707,V$1&amp;" (1)",""))&lt;lenb($Z707),1,IF(lenb(SUBSTITUTE($Z707,V$1&amp;" (2)",""))&lt;lenb($Z707),2,IF(lenb(SUBSTITUTE($Z707,V$1&amp;" (3)",""))&lt;lenb($Z707),3,IF(lenb(SUBSTITUTE($Z707,V$1&amp;" (4)",""))&lt;lenb($Z707),4,IF(lenb(SUBSTITUTE($Z707,V$1&amp;" (5)",""))&lt;lenb($Z707),5,IF(lenb(SUBSTITUTE($Z707,V$1&amp;" (6)",""))&lt;lenb($Z707),6,IF(lenb(SUBSTITUTE($Z707,V$1&amp;" (7)",""))&lt;lenb($Z707),1,IF(lenb(SUBSTITUTE($Z707,V$1&amp;" (8)",""))&lt;lenb($Z707),8,IF(lenb(SUBSTITUTE($Z707,V$1&amp;" (9)",""))&lt;lenb($Z707),9,IF(lenb(SUBSTITUTE($Z707,V$1&amp;" (10)",""))&lt;lenb($Z707),10,IF(lenb(SUBSTITUTE($Z707,V$1,""))&lt;lenb($Z707),"ERROR",IF($Z707=$Y$1,"-",0))))))))))))</f>
        <v>1</v>
      </c>
      <c r="W707" s="52">
        <f t="shared" si="713"/>
        <v>0</v>
      </c>
      <c r="X707" s="52">
        <f t="shared" si="713"/>
        <v>0</v>
      </c>
      <c r="Y707" s="52" t="str">
        <f t="shared" si="3"/>
        <v>-</v>
      </c>
      <c r="Z707" s="52" t="s">
        <v>62</v>
      </c>
      <c r="AA707" s="53">
        <f t="shared" si="4"/>
        <v>1</v>
      </c>
      <c r="AB707" s="54">
        <f>COUNTIFS(Links!B:B,"ICSE",Links!C:C,A707,Links!AD:AD,1)</f>
        <v>0</v>
      </c>
      <c r="AC707" s="55" t="s">
        <v>35</v>
      </c>
      <c r="AD707" s="47" t="str">
        <f t="shared" si="5"/>
        <v>No</v>
      </c>
      <c r="AE707" s="56" t="s">
        <v>36</v>
      </c>
      <c r="AF707" s="57" t="s">
        <v>42</v>
      </c>
      <c r="AG707" s="57" t="s">
        <v>42</v>
      </c>
      <c r="AH707" s="57" t="s">
        <v>42</v>
      </c>
      <c r="AI707" s="49" t="str">
        <f t="shared" si="661"/>
        <v>----</v>
      </c>
      <c r="AJ707" s="58" t="str">
        <f t="shared" si="7"/>
        <v>Paper has link but no statement</v>
      </c>
      <c r="AK707" s="59">
        <v>45022.0</v>
      </c>
      <c r="AL707" s="43" t="s">
        <v>43</v>
      </c>
      <c r="AM707" s="60" t="str">
        <f t="shared" si="8"/>
        <v>[IP0463]</v>
      </c>
    </row>
    <row r="708" ht="67.5" customHeight="1">
      <c r="A708" s="61">
        <v>464.0</v>
      </c>
      <c r="B708" s="22" t="s">
        <v>1884</v>
      </c>
      <c r="C708" s="23">
        <v>2021.0</v>
      </c>
      <c r="D708" s="24" t="s">
        <v>35</v>
      </c>
      <c r="E708" s="25" t="s">
        <v>36</v>
      </c>
      <c r="F708" s="25" t="s">
        <v>36</v>
      </c>
      <c r="G708" s="25" t="s">
        <v>36</v>
      </c>
      <c r="H708" s="25" t="s">
        <v>36</v>
      </c>
      <c r="I708" s="25" t="s">
        <v>36</v>
      </c>
      <c r="J708" s="26" t="s">
        <v>36</v>
      </c>
      <c r="K708" s="82" t="s">
        <v>37</v>
      </c>
      <c r="L708" s="70" t="s">
        <v>35</v>
      </c>
      <c r="M708" s="70" t="s">
        <v>35</v>
      </c>
      <c r="N708" s="70" t="s">
        <v>35</v>
      </c>
      <c r="O708" s="70" t="s">
        <v>35</v>
      </c>
      <c r="P708" s="70" t="s">
        <v>35</v>
      </c>
      <c r="Q708" s="70" t="s">
        <v>35</v>
      </c>
      <c r="R708" s="70" t="s">
        <v>37</v>
      </c>
      <c r="S708" s="37" t="s">
        <v>1885</v>
      </c>
      <c r="T708" s="30" t="s">
        <v>1886</v>
      </c>
      <c r="U708" s="31" t="s">
        <v>1886</v>
      </c>
      <c r="V708" s="32">
        <f t="shared" ref="V708:X708" si="714">IF(lenb(SUBSTITUTE($Z708,V$1&amp;" (1)",""))&lt;lenb($Z708),1,IF(lenb(SUBSTITUTE($Z708,V$1&amp;" (2)",""))&lt;lenb($Z708),2,IF(lenb(SUBSTITUTE($Z708,V$1&amp;" (3)",""))&lt;lenb($Z708),3,IF(lenb(SUBSTITUTE($Z708,V$1&amp;" (4)",""))&lt;lenb($Z708),4,IF(lenb(SUBSTITUTE($Z708,V$1&amp;" (5)",""))&lt;lenb($Z708),5,IF(lenb(SUBSTITUTE($Z708,V$1&amp;" (6)",""))&lt;lenb($Z708),6,IF(lenb(SUBSTITUTE($Z708,V$1&amp;" (7)",""))&lt;lenb($Z708),1,IF(lenb(SUBSTITUTE($Z708,V$1&amp;" (8)",""))&lt;lenb($Z708),8,IF(lenb(SUBSTITUTE($Z708,V$1&amp;" (9)",""))&lt;lenb($Z708),9,IF(lenb(SUBSTITUTE($Z708,V$1&amp;" (10)",""))&lt;lenb($Z708),10,IF(lenb(SUBSTITUTE($Z708,V$1,""))&lt;lenb($Z708),"ERROR",IF($Z708=$Y$1,"-",0))))))))))))</f>
        <v>1</v>
      </c>
      <c r="W708" s="32">
        <f t="shared" si="714"/>
        <v>0</v>
      </c>
      <c r="X708" s="32">
        <f t="shared" si="714"/>
        <v>0</v>
      </c>
      <c r="Y708" s="32" t="str">
        <f t="shared" si="3"/>
        <v>-</v>
      </c>
      <c r="Z708" s="32" t="s">
        <v>62</v>
      </c>
      <c r="AA708" s="33">
        <f t="shared" si="4"/>
        <v>1</v>
      </c>
      <c r="AB708" s="34">
        <f>COUNTIFS(Links!B:B,"ICSE",Links!C:C,A708,Links!AD:AD,1)</f>
        <v>0</v>
      </c>
      <c r="AC708" s="35" t="s">
        <v>35</v>
      </c>
      <c r="AD708" s="27" t="str">
        <f t="shared" si="5"/>
        <v>No</v>
      </c>
      <c r="AE708" s="36" t="s">
        <v>36</v>
      </c>
      <c r="AF708" s="37" t="s">
        <v>42</v>
      </c>
      <c r="AG708" s="37" t="s">
        <v>42</v>
      </c>
      <c r="AH708" s="37" t="s">
        <v>42</v>
      </c>
      <c r="AI708" s="29" t="str">
        <f t="shared" si="661"/>
        <v>----</v>
      </c>
      <c r="AJ708" s="38" t="str">
        <f t="shared" si="7"/>
        <v>Paper has link but no statement</v>
      </c>
      <c r="AK708" s="39">
        <v>45022.0</v>
      </c>
      <c r="AL708" s="23" t="s">
        <v>43</v>
      </c>
      <c r="AM708" s="40" t="str">
        <f t="shared" si="8"/>
        <v>[IP0464]</v>
      </c>
    </row>
    <row r="709" ht="67.5" customHeight="1">
      <c r="A709" s="41">
        <v>465.0</v>
      </c>
      <c r="B709" s="42" t="s">
        <v>1887</v>
      </c>
      <c r="C709" s="43">
        <v>2021.0</v>
      </c>
      <c r="D709" s="44" t="s">
        <v>35</v>
      </c>
      <c r="E709" s="45" t="s">
        <v>36</v>
      </c>
      <c r="F709" s="45" t="s">
        <v>36</v>
      </c>
      <c r="G709" s="45" t="s">
        <v>36</v>
      </c>
      <c r="H709" s="45" t="s">
        <v>36</v>
      </c>
      <c r="I709" s="45" t="s">
        <v>36</v>
      </c>
      <c r="J709" s="46" t="s">
        <v>36</v>
      </c>
      <c r="K709" s="83" t="s">
        <v>37</v>
      </c>
      <c r="L709" s="71" t="s">
        <v>35</v>
      </c>
      <c r="M709" s="71" t="s">
        <v>37</v>
      </c>
      <c r="N709" s="71" t="s">
        <v>35</v>
      </c>
      <c r="O709" s="71" t="s">
        <v>35</v>
      </c>
      <c r="P709" s="71" t="s">
        <v>35</v>
      </c>
      <c r="Q709" s="71" t="s">
        <v>37</v>
      </c>
      <c r="R709" s="71" t="s">
        <v>37</v>
      </c>
      <c r="S709" s="57" t="s">
        <v>1888</v>
      </c>
      <c r="T709" s="50" t="s">
        <v>1889</v>
      </c>
      <c r="U709" s="51" t="s">
        <v>1889</v>
      </c>
      <c r="V709" s="52">
        <f t="shared" ref="V709:X709" si="715">IF(lenb(SUBSTITUTE($Z709,V$1&amp;" (1)",""))&lt;lenb($Z709),1,IF(lenb(SUBSTITUTE($Z709,V$1&amp;" (2)",""))&lt;lenb($Z709),2,IF(lenb(SUBSTITUTE($Z709,V$1&amp;" (3)",""))&lt;lenb($Z709),3,IF(lenb(SUBSTITUTE($Z709,V$1&amp;" (4)",""))&lt;lenb($Z709),4,IF(lenb(SUBSTITUTE($Z709,V$1&amp;" (5)",""))&lt;lenb($Z709),5,IF(lenb(SUBSTITUTE($Z709,V$1&amp;" (6)",""))&lt;lenb($Z709),6,IF(lenb(SUBSTITUTE($Z709,V$1&amp;" (7)",""))&lt;lenb($Z709),1,IF(lenb(SUBSTITUTE($Z709,V$1&amp;" (8)",""))&lt;lenb($Z709),8,IF(lenb(SUBSTITUTE($Z709,V$1&amp;" (9)",""))&lt;lenb($Z709),9,IF(lenb(SUBSTITUTE($Z709,V$1&amp;" (10)",""))&lt;lenb($Z709),10,IF(lenb(SUBSTITUTE($Z709,V$1,""))&lt;lenb($Z709),"ERROR",IF($Z709=$Y$1,"-",0))))))))))))</f>
        <v>1</v>
      </c>
      <c r="W709" s="52">
        <f t="shared" si="715"/>
        <v>0</v>
      </c>
      <c r="X709" s="52">
        <f t="shared" si="715"/>
        <v>0</v>
      </c>
      <c r="Y709" s="52" t="str">
        <f t="shared" si="3"/>
        <v>-</v>
      </c>
      <c r="Z709" s="52" t="s">
        <v>62</v>
      </c>
      <c r="AA709" s="53">
        <f t="shared" si="4"/>
        <v>1</v>
      </c>
      <c r="AB709" s="54">
        <f>COUNTIFS(Links!B:B,"ICSE",Links!C:C,A709,Links!AD:AD,1)</f>
        <v>0</v>
      </c>
      <c r="AC709" s="55" t="s">
        <v>35</v>
      </c>
      <c r="AD709" s="47" t="str">
        <f t="shared" si="5"/>
        <v>No</v>
      </c>
      <c r="AE709" s="56" t="s">
        <v>36</v>
      </c>
      <c r="AF709" s="57" t="s">
        <v>42</v>
      </c>
      <c r="AG709" s="57" t="s">
        <v>42</v>
      </c>
      <c r="AH709" s="57" t="s">
        <v>42</v>
      </c>
      <c r="AI709" s="49" t="str">
        <f t="shared" si="661"/>
        <v>----</v>
      </c>
      <c r="AJ709" s="58" t="str">
        <f t="shared" si="7"/>
        <v>Paper has link but no statement</v>
      </c>
      <c r="AK709" s="59">
        <v>45022.0</v>
      </c>
      <c r="AL709" s="43" t="s">
        <v>43</v>
      </c>
      <c r="AM709" s="60" t="str">
        <f t="shared" si="8"/>
        <v>[IP0465]</v>
      </c>
    </row>
    <row r="710" ht="67.5" customHeight="1">
      <c r="A710" s="61">
        <v>466.0</v>
      </c>
      <c r="B710" s="22" t="s">
        <v>1890</v>
      </c>
      <c r="C710" s="23">
        <v>2021.0</v>
      </c>
      <c r="D710" s="24" t="s">
        <v>35</v>
      </c>
      <c r="E710" s="25" t="s">
        <v>36</v>
      </c>
      <c r="F710" s="25" t="s">
        <v>36</v>
      </c>
      <c r="G710" s="25" t="s">
        <v>36</v>
      </c>
      <c r="H710" s="25" t="s">
        <v>36</v>
      </c>
      <c r="I710" s="25" t="s">
        <v>36</v>
      </c>
      <c r="J710" s="26" t="s">
        <v>36</v>
      </c>
      <c r="K710" s="82" t="s">
        <v>35</v>
      </c>
      <c r="L710" s="70" t="s">
        <v>36</v>
      </c>
      <c r="M710" s="70" t="s">
        <v>36</v>
      </c>
      <c r="N710" s="70" t="s">
        <v>36</v>
      </c>
      <c r="O710" s="70" t="s">
        <v>36</v>
      </c>
      <c r="P710" s="70" t="s">
        <v>36</v>
      </c>
      <c r="Q710" s="70" t="s">
        <v>36</v>
      </c>
      <c r="R710" s="70" t="s">
        <v>36</v>
      </c>
      <c r="S710" s="37" t="s">
        <v>36</v>
      </c>
      <c r="T710" s="30" t="s">
        <v>36</v>
      </c>
      <c r="U710" s="31" t="s">
        <v>36</v>
      </c>
      <c r="V710" s="32" t="str">
        <f t="shared" ref="V710:X710" si="716">IF(lenb(SUBSTITUTE($Z710,V$1&amp;" (1)",""))&lt;lenb($Z710),1,IF(lenb(SUBSTITUTE($Z710,V$1&amp;" (2)",""))&lt;lenb($Z710),2,IF(lenb(SUBSTITUTE($Z710,V$1&amp;" (3)",""))&lt;lenb($Z710),3,IF(lenb(SUBSTITUTE($Z710,V$1&amp;" (4)",""))&lt;lenb($Z710),4,IF(lenb(SUBSTITUTE($Z710,V$1&amp;" (5)",""))&lt;lenb($Z710),5,IF(lenb(SUBSTITUTE($Z710,V$1&amp;" (6)",""))&lt;lenb($Z710),6,IF(lenb(SUBSTITUTE($Z710,V$1&amp;" (7)",""))&lt;lenb($Z710),1,IF(lenb(SUBSTITUTE($Z710,V$1&amp;" (8)",""))&lt;lenb($Z710),8,IF(lenb(SUBSTITUTE($Z710,V$1&amp;" (9)",""))&lt;lenb($Z710),9,IF(lenb(SUBSTITUTE($Z710,V$1&amp;" (10)",""))&lt;lenb($Z710),10,IF(lenb(SUBSTITUTE($Z710,V$1,""))&lt;lenb($Z710),"ERROR",IF($Z710=$Y$1,"-",0))))))))))))</f>
        <v>-</v>
      </c>
      <c r="W710" s="32" t="str">
        <f t="shared" si="716"/>
        <v>-</v>
      </c>
      <c r="X710" s="32" t="str">
        <f t="shared" si="716"/>
        <v>-</v>
      </c>
      <c r="Y710" s="32">
        <f t="shared" si="3"/>
        <v>1</v>
      </c>
      <c r="Z710" s="32" t="s">
        <v>23</v>
      </c>
      <c r="AA710" s="33">
        <f t="shared" si="4"/>
        <v>0</v>
      </c>
      <c r="AB710" s="34">
        <f>COUNTIFS(Links!B:B,"ICSE",Links!C:C,A710,Links!AD:AD,1)</f>
        <v>0</v>
      </c>
      <c r="AC710" s="35" t="s">
        <v>36</v>
      </c>
      <c r="AD710" s="27" t="str">
        <f t="shared" si="5"/>
        <v>No</v>
      </c>
      <c r="AE710" s="36" t="s">
        <v>36</v>
      </c>
      <c r="AF710" s="37" t="s">
        <v>42</v>
      </c>
      <c r="AG710" s="37" t="s">
        <v>42</v>
      </c>
      <c r="AH710" s="37" t="s">
        <v>42</v>
      </c>
      <c r="AI710" s="29" t="str">
        <f t="shared" si="661"/>
        <v>----</v>
      </c>
      <c r="AJ710" s="38" t="str">
        <f t="shared" si="7"/>
        <v>Paper has no link and no statement</v>
      </c>
      <c r="AK710" s="39">
        <v>45022.0</v>
      </c>
      <c r="AL710" s="23" t="s">
        <v>43</v>
      </c>
      <c r="AM710" s="40" t="str">
        <f t="shared" si="8"/>
        <v>[IP0466]</v>
      </c>
    </row>
    <row r="711" ht="67.5" customHeight="1">
      <c r="A711" s="41">
        <v>467.0</v>
      </c>
      <c r="B711" s="42" t="s">
        <v>1891</v>
      </c>
      <c r="C711" s="43">
        <v>2021.0</v>
      </c>
      <c r="D711" s="44" t="s">
        <v>37</v>
      </c>
      <c r="E711" s="45" t="s">
        <v>35</v>
      </c>
      <c r="F711" s="45" t="s">
        <v>35</v>
      </c>
      <c r="G711" s="45" t="s">
        <v>37</v>
      </c>
      <c r="H711" s="45" t="s">
        <v>35</v>
      </c>
      <c r="I711" s="45" t="s">
        <v>35</v>
      </c>
      <c r="J711" s="46" t="s">
        <v>36</v>
      </c>
      <c r="K711" s="83" t="s">
        <v>37</v>
      </c>
      <c r="L711" s="71" t="s">
        <v>35</v>
      </c>
      <c r="M711" s="71" t="s">
        <v>37</v>
      </c>
      <c r="N711" s="71" t="s">
        <v>37</v>
      </c>
      <c r="O711" s="71" t="s">
        <v>35</v>
      </c>
      <c r="P711" s="71" t="s">
        <v>37</v>
      </c>
      <c r="Q711" s="71" t="s">
        <v>35</v>
      </c>
      <c r="R711" s="71" t="s">
        <v>35</v>
      </c>
      <c r="S711" s="57" t="s">
        <v>1892</v>
      </c>
      <c r="T711" s="50" t="s">
        <v>1893</v>
      </c>
      <c r="U711" s="51" t="s">
        <v>1894</v>
      </c>
      <c r="V711" s="52">
        <f t="shared" ref="V711:X711" si="717">IF(lenb(SUBSTITUTE($Z711,V$1&amp;" (1)",""))&lt;lenb($Z711),1,IF(lenb(SUBSTITUTE($Z711,V$1&amp;" (2)",""))&lt;lenb($Z711),2,IF(lenb(SUBSTITUTE($Z711,V$1&amp;" (3)",""))&lt;lenb($Z711),3,IF(lenb(SUBSTITUTE($Z711,V$1&amp;" (4)",""))&lt;lenb($Z711),4,IF(lenb(SUBSTITUTE($Z711,V$1&amp;" (5)",""))&lt;lenb($Z711),5,IF(lenb(SUBSTITUTE($Z711,V$1&amp;" (6)",""))&lt;lenb($Z711),6,IF(lenb(SUBSTITUTE($Z711,V$1&amp;" (7)",""))&lt;lenb($Z711),1,IF(lenb(SUBSTITUTE($Z711,V$1&amp;" (8)",""))&lt;lenb($Z711),8,IF(lenb(SUBSTITUTE($Z711,V$1&amp;" (9)",""))&lt;lenb($Z711),9,IF(lenb(SUBSTITUTE($Z711,V$1&amp;" (10)",""))&lt;lenb($Z711),10,IF(lenb(SUBSTITUTE($Z711,V$1,""))&lt;lenb($Z711),"ERROR",IF($Z711=$Y$1,"-",0))))))))))))</f>
        <v>2</v>
      </c>
      <c r="W711" s="52">
        <f t="shared" si="717"/>
        <v>0</v>
      </c>
      <c r="X711" s="52">
        <f t="shared" si="717"/>
        <v>0</v>
      </c>
      <c r="Y711" s="52" t="str">
        <f t="shared" si="3"/>
        <v>-</v>
      </c>
      <c r="Z711" s="52" t="s">
        <v>57</v>
      </c>
      <c r="AA711" s="53">
        <f t="shared" si="4"/>
        <v>2</v>
      </c>
      <c r="AB711" s="54">
        <f>COUNTIFS(Links!B:B,"ICSE",Links!C:C,A711,Links!AD:AD,1)</f>
        <v>0</v>
      </c>
      <c r="AC711" s="55" t="s">
        <v>37</v>
      </c>
      <c r="AD711" s="47" t="str">
        <f t="shared" si="5"/>
        <v>No</v>
      </c>
      <c r="AE711" s="56" t="s">
        <v>36</v>
      </c>
      <c r="AF711" s="57" t="s">
        <v>42</v>
      </c>
      <c r="AG711" s="57" t="s">
        <v>42</v>
      </c>
      <c r="AH711" s="57" t="s">
        <v>42</v>
      </c>
      <c r="AI711" s="49" t="str">
        <f t="shared" si="661"/>
        <v>----</v>
      </c>
      <c r="AJ711" s="58" t="str">
        <f t="shared" si="7"/>
        <v>Paper has link but no statement</v>
      </c>
      <c r="AK711" s="59">
        <v>45022.0</v>
      </c>
      <c r="AL711" s="43" t="s">
        <v>43</v>
      </c>
      <c r="AM711" s="60" t="str">
        <f t="shared" si="8"/>
        <v>[IP0467]</v>
      </c>
    </row>
    <row r="712" ht="67.5" customHeight="1">
      <c r="A712" s="61">
        <v>468.0</v>
      </c>
      <c r="B712" s="22" t="s">
        <v>1895</v>
      </c>
      <c r="C712" s="23">
        <v>2021.0</v>
      </c>
      <c r="D712" s="24" t="s">
        <v>35</v>
      </c>
      <c r="E712" s="25" t="s">
        <v>36</v>
      </c>
      <c r="F712" s="25" t="s">
        <v>36</v>
      </c>
      <c r="G712" s="25" t="s">
        <v>36</v>
      </c>
      <c r="H712" s="25" t="s">
        <v>36</v>
      </c>
      <c r="I712" s="25" t="s">
        <v>36</v>
      </c>
      <c r="J712" s="26" t="s">
        <v>36</v>
      </c>
      <c r="K712" s="82" t="s">
        <v>37</v>
      </c>
      <c r="L712" s="70" t="s">
        <v>37</v>
      </c>
      <c r="M712" s="70" t="s">
        <v>35</v>
      </c>
      <c r="N712" s="70" t="s">
        <v>35</v>
      </c>
      <c r="O712" s="70" t="s">
        <v>37</v>
      </c>
      <c r="P712" s="70" t="s">
        <v>35</v>
      </c>
      <c r="Q712" s="70" t="s">
        <v>35</v>
      </c>
      <c r="R712" s="70" t="s">
        <v>37</v>
      </c>
      <c r="S712" s="37" t="s">
        <v>1896</v>
      </c>
      <c r="T712" s="30" t="s">
        <v>1897</v>
      </c>
      <c r="U712" s="31" t="s">
        <v>1897</v>
      </c>
      <c r="V712" s="32">
        <f t="shared" ref="V712:X712" si="718">IF(lenb(SUBSTITUTE($Z712,V$1&amp;" (1)",""))&lt;lenb($Z712),1,IF(lenb(SUBSTITUTE($Z712,V$1&amp;" (2)",""))&lt;lenb($Z712),2,IF(lenb(SUBSTITUTE($Z712,V$1&amp;" (3)",""))&lt;lenb($Z712),3,IF(lenb(SUBSTITUTE($Z712,V$1&amp;" (4)",""))&lt;lenb($Z712),4,IF(lenb(SUBSTITUTE($Z712,V$1&amp;" (5)",""))&lt;lenb($Z712),5,IF(lenb(SUBSTITUTE($Z712,V$1&amp;" (6)",""))&lt;lenb($Z712),6,IF(lenb(SUBSTITUTE($Z712,V$1&amp;" (7)",""))&lt;lenb($Z712),1,IF(lenb(SUBSTITUTE($Z712,V$1&amp;" (8)",""))&lt;lenb($Z712),8,IF(lenb(SUBSTITUTE($Z712,V$1&amp;" (9)",""))&lt;lenb($Z712),9,IF(lenb(SUBSTITUTE($Z712,V$1&amp;" (10)",""))&lt;lenb($Z712),10,IF(lenb(SUBSTITUTE($Z712,V$1,""))&lt;lenb($Z712),"ERROR",IF($Z712=$Y$1,"-",0))))))))))))</f>
        <v>1</v>
      </c>
      <c r="W712" s="32">
        <f t="shared" si="718"/>
        <v>0</v>
      </c>
      <c r="X712" s="32">
        <f t="shared" si="718"/>
        <v>0</v>
      </c>
      <c r="Y712" s="32" t="str">
        <f t="shared" si="3"/>
        <v>-</v>
      </c>
      <c r="Z712" s="32" t="s">
        <v>62</v>
      </c>
      <c r="AA712" s="33">
        <f t="shared" si="4"/>
        <v>1</v>
      </c>
      <c r="AB712" s="34">
        <f>COUNTIFS(Links!B:B,"ICSE",Links!C:C,A712,Links!AD:AD,1)</f>
        <v>0</v>
      </c>
      <c r="AC712" s="35" t="s">
        <v>35</v>
      </c>
      <c r="AD712" s="27" t="str">
        <f t="shared" si="5"/>
        <v>No</v>
      </c>
      <c r="AE712" s="36" t="s">
        <v>36</v>
      </c>
      <c r="AF712" s="37" t="s">
        <v>42</v>
      </c>
      <c r="AG712" s="37" t="s">
        <v>42</v>
      </c>
      <c r="AH712" s="37" t="s">
        <v>42</v>
      </c>
      <c r="AI712" s="29" t="str">
        <f t="shared" si="661"/>
        <v>----</v>
      </c>
      <c r="AJ712" s="38" t="str">
        <f t="shared" si="7"/>
        <v>Paper has link but no statement</v>
      </c>
      <c r="AK712" s="39">
        <v>45022.0</v>
      </c>
      <c r="AL712" s="23" t="s">
        <v>43</v>
      </c>
      <c r="AM712" s="40" t="str">
        <f t="shared" si="8"/>
        <v>[IP0468]</v>
      </c>
    </row>
    <row r="713" ht="67.5" customHeight="1">
      <c r="A713" s="41">
        <v>469.0</v>
      </c>
      <c r="B713" s="42" t="s">
        <v>1898</v>
      </c>
      <c r="C713" s="43">
        <v>2021.0</v>
      </c>
      <c r="D713" s="44" t="s">
        <v>37</v>
      </c>
      <c r="E713" s="45" t="s">
        <v>37</v>
      </c>
      <c r="F713" s="45" t="s">
        <v>35</v>
      </c>
      <c r="G713" s="45" t="s">
        <v>37</v>
      </c>
      <c r="H713" s="45" t="s">
        <v>35</v>
      </c>
      <c r="I713" s="45" t="s">
        <v>35</v>
      </c>
      <c r="J713" s="46" t="s">
        <v>36</v>
      </c>
      <c r="K713" s="83" t="s">
        <v>37</v>
      </c>
      <c r="L713" s="71" t="s">
        <v>35</v>
      </c>
      <c r="M713" s="71" t="s">
        <v>37</v>
      </c>
      <c r="N713" s="71" t="s">
        <v>35</v>
      </c>
      <c r="O713" s="71" t="s">
        <v>35</v>
      </c>
      <c r="P713" s="71" t="s">
        <v>35</v>
      </c>
      <c r="Q713" s="71" t="s">
        <v>37</v>
      </c>
      <c r="R713" s="71" t="s">
        <v>35</v>
      </c>
      <c r="S713" s="57" t="s">
        <v>1899</v>
      </c>
      <c r="T713" s="50" t="s">
        <v>1900</v>
      </c>
      <c r="U713" s="51" t="s">
        <v>1900</v>
      </c>
      <c r="V713" s="52">
        <f t="shared" ref="V713:X713" si="719">IF(lenb(SUBSTITUTE($Z713,V$1&amp;" (1)",""))&lt;lenb($Z713),1,IF(lenb(SUBSTITUTE($Z713,V$1&amp;" (2)",""))&lt;lenb($Z713),2,IF(lenb(SUBSTITUTE($Z713,V$1&amp;" (3)",""))&lt;lenb($Z713),3,IF(lenb(SUBSTITUTE($Z713,V$1&amp;" (4)",""))&lt;lenb($Z713),4,IF(lenb(SUBSTITUTE($Z713,V$1&amp;" (5)",""))&lt;lenb($Z713),5,IF(lenb(SUBSTITUTE($Z713,V$1&amp;" (6)",""))&lt;lenb($Z713),6,IF(lenb(SUBSTITUTE($Z713,V$1&amp;" (7)",""))&lt;lenb($Z713),1,IF(lenb(SUBSTITUTE($Z713,V$1&amp;" (8)",""))&lt;lenb($Z713),8,IF(lenb(SUBSTITUTE($Z713,V$1&amp;" (9)",""))&lt;lenb($Z713),9,IF(lenb(SUBSTITUTE($Z713,V$1&amp;" (10)",""))&lt;lenb($Z713),10,IF(lenb(SUBSTITUTE($Z713,V$1,""))&lt;lenb($Z713),"ERROR",IF($Z713=$Y$1,"-",0))))))))))))</f>
        <v>1</v>
      </c>
      <c r="W713" s="52">
        <f t="shared" si="719"/>
        <v>0</v>
      </c>
      <c r="X713" s="52">
        <f t="shared" si="719"/>
        <v>0</v>
      </c>
      <c r="Y713" s="52" t="str">
        <f t="shared" si="3"/>
        <v>-</v>
      </c>
      <c r="Z713" s="52" t="s">
        <v>62</v>
      </c>
      <c r="AA713" s="53">
        <f t="shared" si="4"/>
        <v>1</v>
      </c>
      <c r="AB713" s="54">
        <f>COUNTIFS(Links!B:B,"ICSE",Links!C:C,A713,Links!AD:AD,1)</f>
        <v>0</v>
      </c>
      <c r="AC713" s="55" t="s">
        <v>37</v>
      </c>
      <c r="AD713" s="47" t="str">
        <f t="shared" si="5"/>
        <v>No</v>
      </c>
      <c r="AE713" s="56" t="s">
        <v>36</v>
      </c>
      <c r="AF713" s="57" t="s">
        <v>42</v>
      </c>
      <c r="AG713" s="57" t="s">
        <v>42</v>
      </c>
      <c r="AH713" s="57" t="s">
        <v>42</v>
      </c>
      <c r="AI713" s="49" t="str">
        <f t="shared" si="661"/>
        <v>----</v>
      </c>
      <c r="AJ713" s="58" t="str">
        <f t="shared" si="7"/>
        <v>Paper has link but no statement</v>
      </c>
      <c r="AK713" s="59">
        <v>45022.0</v>
      </c>
      <c r="AL713" s="43" t="s">
        <v>43</v>
      </c>
      <c r="AM713" s="60" t="str">
        <f t="shared" si="8"/>
        <v>[IP0469]</v>
      </c>
    </row>
    <row r="714" ht="67.5" customHeight="1">
      <c r="A714" s="61">
        <v>470.0</v>
      </c>
      <c r="B714" s="22" t="s">
        <v>1901</v>
      </c>
      <c r="C714" s="23">
        <v>2021.0</v>
      </c>
      <c r="D714" s="24" t="s">
        <v>37</v>
      </c>
      <c r="E714" s="25" t="s">
        <v>37</v>
      </c>
      <c r="F714" s="25" t="s">
        <v>35</v>
      </c>
      <c r="G714" s="25" t="s">
        <v>37</v>
      </c>
      <c r="H714" s="25" t="s">
        <v>35</v>
      </c>
      <c r="I714" s="25" t="s">
        <v>35</v>
      </c>
      <c r="J714" s="26" t="s">
        <v>36</v>
      </c>
      <c r="K714" s="82" t="s">
        <v>37</v>
      </c>
      <c r="L714" s="70" t="s">
        <v>35</v>
      </c>
      <c r="M714" s="70" t="s">
        <v>35</v>
      </c>
      <c r="N714" s="70" t="s">
        <v>35</v>
      </c>
      <c r="O714" s="70" t="s">
        <v>35</v>
      </c>
      <c r="P714" s="70" t="s">
        <v>35</v>
      </c>
      <c r="Q714" s="70" t="s">
        <v>35</v>
      </c>
      <c r="R714" s="70" t="s">
        <v>37</v>
      </c>
      <c r="S714" s="37" t="s">
        <v>1902</v>
      </c>
      <c r="T714" s="30" t="s">
        <v>1903</v>
      </c>
      <c r="U714" s="31" t="s">
        <v>1903</v>
      </c>
      <c r="V714" s="32">
        <f t="shared" ref="V714:X714" si="720">IF(lenb(SUBSTITUTE($Z714,V$1&amp;" (1)",""))&lt;lenb($Z714),1,IF(lenb(SUBSTITUTE($Z714,V$1&amp;" (2)",""))&lt;lenb($Z714),2,IF(lenb(SUBSTITUTE($Z714,V$1&amp;" (3)",""))&lt;lenb($Z714),3,IF(lenb(SUBSTITUTE($Z714,V$1&amp;" (4)",""))&lt;lenb($Z714),4,IF(lenb(SUBSTITUTE($Z714,V$1&amp;" (5)",""))&lt;lenb($Z714),5,IF(lenb(SUBSTITUTE($Z714,V$1&amp;" (6)",""))&lt;lenb($Z714),6,IF(lenb(SUBSTITUTE($Z714,V$1&amp;" (7)",""))&lt;lenb($Z714),1,IF(lenb(SUBSTITUTE($Z714,V$1&amp;" (8)",""))&lt;lenb($Z714),8,IF(lenb(SUBSTITUTE($Z714,V$1&amp;" (9)",""))&lt;lenb($Z714),9,IF(lenb(SUBSTITUTE($Z714,V$1&amp;" (10)",""))&lt;lenb($Z714),10,IF(lenb(SUBSTITUTE($Z714,V$1,""))&lt;lenb($Z714),"ERROR",IF($Z714=$Y$1,"-",0))))))))))))</f>
        <v>1</v>
      </c>
      <c r="W714" s="32">
        <f t="shared" si="720"/>
        <v>0</v>
      </c>
      <c r="X714" s="32">
        <f t="shared" si="720"/>
        <v>0</v>
      </c>
      <c r="Y714" s="32" t="str">
        <f t="shared" si="3"/>
        <v>-</v>
      </c>
      <c r="Z714" s="32" t="s">
        <v>62</v>
      </c>
      <c r="AA714" s="33">
        <f t="shared" si="4"/>
        <v>1</v>
      </c>
      <c r="AB714" s="34">
        <f>COUNTIFS(Links!B:B,"ICSE",Links!C:C,A714,Links!AD:AD,1)</f>
        <v>0</v>
      </c>
      <c r="AC714" s="35" t="s">
        <v>35</v>
      </c>
      <c r="AD714" s="27" t="str">
        <f t="shared" si="5"/>
        <v>No</v>
      </c>
      <c r="AE714" s="36" t="s">
        <v>36</v>
      </c>
      <c r="AF714" s="37" t="s">
        <v>42</v>
      </c>
      <c r="AG714" s="37" t="s">
        <v>42</v>
      </c>
      <c r="AH714" s="37" t="s">
        <v>42</v>
      </c>
      <c r="AI714" s="29" t="str">
        <f t="shared" si="661"/>
        <v>----</v>
      </c>
      <c r="AJ714" s="38" t="str">
        <f t="shared" si="7"/>
        <v>Paper has link but no statement</v>
      </c>
      <c r="AK714" s="39">
        <v>45022.0</v>
      </c>
      <c r="AL714" s="23" t="s">
        <v>43</v>
      </c>
      <c r="AM714" s="40" t="str">
        <f t="shared" si="8"/>
        <v>[IP0470]</v>
      </c>
    </row>
    <row r="715" ht="67.5" customHeight="1">
      <c r="A715" s="41">
        <v>471.0</v>
      </c>
      <c r="B715" s="42" t="s">
        <v>1904</v>
      </c>
      <c r="C715" s="43">
        <v>2021.0</v>
      </c>
      <c r="D715" s="44" t="s">
        <v>35</v>
      </c>
      <c r="E715" s="45" t="s">
        <v>36</v>
      </c>
      <c r="F715" s="45" t="s">
        <v>36</v>
      </c>
      <c r="G715" s="45" t="s">
        <v>36</v>
      </c>
      <c r="H715" s="45" t="s">
        <v>36</v>
      </c>
      <c r="I715" s="45" t="s">
        <v>36</v>
      </c>
      <c r="J715" s="46" t="s">
        <v>36</v>
      </c>
      <c r="K715" s="83" t="s">
        <v>37</v>
      </c>
      <c r="L715" s="71" t="s">
        <v>35</v>
      </c>
      <c r="M715" s="71" t="s">
        <v>37</v>
      </c>
      <c r="N715" s="71" t="s">
        <v>37</v>
      </c>
      <c r="O715" s="71" t="s">
        <v>35</v>
      </c>
      <c r="P715" s="71" t="s">
        <v>35</v>
      </c>
      <c r="Q715" s="71" t="s">
        <v>35</v>
      </c>
      <c r="R715" s="71" t="s">
        <v>35</v>
      </c>
      <c r="S715" s="57" t="s">
        <v>1905</v>
      </c>
      <c r="T715" s="50" t="s">
        <v>1906</v>
      </c>
      <c r="U715" s="51" t="s">
        <v>1907</v>
      </c>
      <c r="V715" s="52">
        <f t="shared" ref="V715:X715" si="721">IF(lenb(SUBSTITUTE($Z715,V$1&amp;" (1)",""))&lt;lenb($Z715),1,IF(lenb(SUBSTITUTE($Z715,V$1&amp;" (2)",""))&lt;lenb($Z715),2,IF(lenb(SUBSTITUTE($Z715,V$1&amp;" (3)",""))&lt;lenb($Z715),3,IF(lenb(SUBSTITUTE($Z715,V$1&amp;" (4)",""))&lt;lenb($Z715),4,IF(lenb(SUBSTITUTE($Z715,V$1&amp;" (5)",""))&lt;lenb($Z715),5,IF(lenb(SUBSTITUTE($Z715,V$1&amp;" (6)",""))&lt;lenb($Z715),6,IF(lenb(SUBSTITUTE($Z715,V$1&amp;" (7)",""))&lt;lenb($Z715),1,IF(lenb(SUBSTITUTE($Z715,V$1&amp;" (8)",""))&lt;lenb($Z715),8,IF(lenb(SUBSTITUTE($Z715,V$1&amp;" (9)",""))&lt;lenb($Z715),9,IF(lenb(SUBSTITUTE($Z715,V$1&amp;" (10)",""))&lt;lenb($Z715),10,IF(lenb(SUBSTITUTE($Z715,V$1,""))&lt;lenb($Z715),"ERROR",IF($Z715=$Y$1,"-",0))))))))))))</f>
        <v>1</v>
      </c>
      <c r="W715" s="52">
        <f t="shared" si="721"/>
        <v>0</v>
      </c>
      <c r="X715" s="52">
        <f t="shared" si="721"/>
        <v>0</v>
      </c>
      <c r="Y715" s="52" t="str">
        <f t="shared" si="3"/>
        <v>-</v>
      </c>
      <c r="Z715" s="52" t="s">
        <v>62</v>
      </c>
      <c r="AA715" s="53">
        <f t="shared" si="4"/>
        <v>1</v>
      </c>
      <c r="AB715" s="54">
        <f>COUNTIFS(Links!B:B,"ICSE",Links!C:C,A715,Links!AD:AD,1)</f>
        <v>0</v>
      </c>
      <c r="AC715" s="55" t="s">
        <v>37</v>
      </c>
      <c r="AD715" s="47" t="str">
        <f t="shared" si="5"/>
        <v>No</v>
      </c>
      <c r="AE715" s="56" t="s">
        <v>36</v>
      </c>
      <c r="AF715" s="57" t="s">
        <v>42</v>
      </c>
      <c r="AG715" s="57" t="s">
        <v>42</v>
      </c>
      <c r="AH715" s="57" t="s">
        <v>42</v>
      </c>
      <c r="AI715" s="49" t="str">
        <f t="shared" si="661"/>
        <v>----</v>
      </c>
      <c r="AJ715" s="58" t="str">
        <f t="shared" si="7"/>
        <v>Paper has link but no statement</v>
      </c>
      <c r="AK715" s="59">
        <v>45022.0</v>
      </c>
      <c r="AL715" s="43" t="s">
        <v>43</v>
      </c>
      <c r="AM715" s="60" t="str">
        <f t="shared" si="8"/>
        <v>[IP0471]</v>
      </c>
    </row>
    <row r="716" ht="67.5" customHeight="1">
      <c r="A716" s="61">
        <v>472.0</v>
      </c>
      <c r="B716" s="22" t="s">
        <v>1908</v>
      </c>
      <c r="C716" s="23">
        <v>2021.0</v>
      </c>
      <c r="D716" s="24" t="s">
        <v>35</v>
      </c>
      <c r="E716" s="25" t="s">
        <v>36</v>
      </c>
      <c r="F716" s="25" t="s">
        <v>36</v>
      </c>
      <c r="G716" s="25" t="s">
        <v>36</v>
      </c>
      <c r="H716" s="25" t="s">
        <v>36</v>
      </c>
      <c r="I716" s="25" t="s">
        <v>36</v>
      </c>
      <c r="J716" s="26" t="s">
        <v>36</v>
      </c>
      <c r="K716" s="82" t="s">
        <v>37</v>
      </c>
      <c r="L716" s="70" t="s">
        <v>35</v>
      </c>
      <c r="M716" s="70" t="s">
        <v>37</v>
      </c>
      <c r="N716" s="70" t="s">
        <v>37</v>
      </c>
      <c r="O716" s="70" t="s">
        <v>35</v>
      </c>
      <c r="P716" s="70" t="s">
        <v>35</v>
      </c>
      <c r="Q716" s="70" t="s">
        <v>35</v>
      </c>
      <c r="R716" s="70" t="s">
        <v>37</v>
      </c>
      <c r="S716" s="37" t="s">
        <v>1909</v>
      </c>
      <c r="T716" s="30" t="s">
        <v>1910</v>
      </c>
      <c r="U716" s="31" t="s">
        <v>1910</v>
      </c>
      <c r="V716" s="32">
        <f t="shared" ref="V716:X716" si="722">IF(lenb(SUBSTITUTE($Z716,V$1&amp;" (1)",""))&lt;lenb($Z716),1,IF(lenb(SUBSTITUTE($Z716,V$1&amp;" (2)",""))&lt;lenb($Z716),2,IF(lenb(SUBSTITUTE($Z716,V$1&amp;" (3)",""))&lt;lenb($Z716),3,IF(lenb(SUBSTITUTE($Z716,V$1&amp;" (4)",""))&lt;lenb($Z716),4,IF(lenb(SUBSTITUTE($Z716,V$1&amp;" (5)",""))&lt;lenb($Z716),5,IF(lenb(SUBSTITUTE($Z716,V$1&amp;" (6)",""))&lt;lenb($Z716),6,IF(lenb(SUBSTITUTE($Z716,V$1&amp;" (7)",""))&lt;lenb($Z716),1,IF(lenb(SUBSTITUTE($Z716,V$1&amp;" (8)",""))&lt;lenb($Z716),8,IF(lenb(SUBSTITUTE($Z716,V$1&amp;" (9)",""))&lt;lenb($Z716),9,IF(lenb(SUBSTITUTE($Z716,V$1&amp;" (10)",""))&lt;lenb($Z716),10,IF(lenb(SUBSTITUTE($Z716,V$1,""))&lt;lenb($Z716),"ERROR",IF($Z716=$Y$1,"-",0))))))))))))</f>
        <v>1</v>
      </c>
      <c r="W716" s="32">
        <f t="shared" si="722"/>
        <v>0</v>
      </c>
      <c r="X716" s="32">
        <f t="shared" si="722"/>
        <v>0</v>
      </c>
      <c r="Y716" s="32" t="str">
        <f t="shared" si="3"/>
        <v>-</v>
      </c>
      <c r="Z716" s="32" t="s">
        <v>62</v>
      </c>
      <c r="AA716" s="33">
        <f t="shared" si="4"/>
        <v>1</v>
      </c>
      <c r="AB716" s="34">
        <f>COUNTIFS(Links!B:B,"ICSE",Links!C:C,A716,Links!AD:AD,1)</f>
        <v>0</v>
      </c>
      <c r="AC716" s="35" t="s">
        <v>35</v>
      </c>
      <c r="AD716" s="27" t="str">
        <f t="shared" si="5"/>
        <v>No</v>
      </c>
      <c r="AE716" s="36" t="s">
        <v>36</v>
      </c>
      <c r="AF716" s="37" t="s">
        <v>42</v>
      </c>
      <c r="AG716" s="37" t="s">
        <v>42</v>
      </c>
      <c r="AH716" s="37" t="s">
        <v>42</v>
      </c>
      <c r="AI716" s="29" t="str">
        <f t="shared" si="661"/>
        <v>----</v>
      </c>
      <c r="AJ716" s="38" t="str">
        <f t="shared" si="7"/>
        <v>Paper has link but no statement</v>
      </c>
      <c r="AK716" s="39">
        <v>45022.0</v>
      </c>
      <c r="AL716" s="23" t="s">
        <v>43</v>
      </c>
      <c r="AM716" s="40" t="str">
        <f t="shared" si="8"/>
        <v>[IP0472]</v>
      </c>
    </row>
    <row r="717" ht="67.5" customHeight="1">
      <c r="A717" s="41">
        <v>473.0</v>
      </c>
      <c r="B717" s="42" t="s">
        <v>1911</v>
      </c>
      <c r="C717" s="43">
        <v>2021.0</v>
      </c>
      <c r="D717" s="44" t="s">
        <v>35</v>
      </c>
      <c r="E717" s="45" t="s">
        <v>36</v>
      </c>
      <c r="F717" s="45" t="s">
        <v>36</v>
      </c>
      <c r="G717" s="45" t="s">
        <v>36</v>
      </c>
      <c r="H717" s="45" t="s">
        <v>36</v>
      </c>
      <c r="I717" s="45" t="s">
        <v>36</v>
      </c>
      <c r="J717" s="46" t="s">
        <v>36</v>
      </c>
      <c r="K717" s="83" t="s">
        <v>35</v>
      </c>
      <c r="L717" s="71" t="s">
        <v>36</v>
      </c>
      <c r="M717" s="71" t="s">
        <v>36</v>
      </c>
      <c r="N717" s="71" t="s">
        <v>36</v>
      </c>
      <c r="O717" s="71" t="s">
        <v>36</v>
      </c>
      <c r="P717" s="71" t="s">
        <v>36</v>
      </c>
      <c r="Q717" s="71" t="s">
        <v>36</v>
      </c>
      <c r="R717" s="71" t="s">
        <v>36</v>
      </c>
      <c r="S717" s="57" t="s">
        <v>36</v>
      </c>
      <c r="T717" s="50" t="s">
        <v>36</v>
      </c>
      <c r="U717" s="51" t="s">
        <v>36</v>
      </c>
      <c r="V717" s="52" t="str">
        <f t="shared" ref="V717:X717" si="723">IF(lenb(SUBSTITUTE($Z717,V$1&amp;" (1)",""))&lt;lenb($Z717),1,IF(lenb(SUBSTITUTE($Z717,V$1&amp;" (2)",""))&lt;lenb($Z717),2,IF(lenb(SUBSTITUTE($Z717,V$1&amp;" (3)",""))&lt;lenb($Z717),3,IF(lenb(SUBSTITUTE($Z717,V$1&amp;" (4)",""))&lt;lenb($Z717),4,IF(lenb(SUBSTITUTE($Z717,V$1&amp;" (5)",""))&lt;lenb($Z717),5,IF(lenb(SUBSTITUTE($Z717,V$1&amp;" (6)",""))&lt;lenb($Z717),6,IF(lenb(SUBSTITUTE($Z717,V$1&amp;" (7)",""))&lt;lenb($Z717),1,IF(lenb(SUBSTITUTE($Z717,V$1&amp;" (8)",""))&lt;lenb($Z717),8,IF(lenb(SUBSTITUTE($Z717,V$1&amp;" (9)",""))&lt;lenb($Z717),9,IF(lenb(SUBSTITUTE($Z717,V$1&amp;" (10)",""))&lt;lenb($Z717),10,IF(lenb(SUBSTITUTE($Z717,V$1,""))&lt;lenb($Z717),"ERROR",IF($Z717=$Y$1,"-",0))))))))))))</f>
        <v>-</v>
      </c>
      <c r="W717" s="52" t="str">
        <f t="shared" si="723"/>
        <v>-</v>
      </c>
      <c r="X717" s="52" t="str">
        <f t="shared" si="723"/>
        <v>-</v>
      </c>
      <c r="Y717" s="52">
        <f t="shared" si="3"/>
        <v>1</v>
      </c>
      <c r="Z717" s="52" t="s">
        <v>23</v>
      </c>
      <c r="AA717" s="53">
        <f t="shared" si="4"/>
        <v>0</v>
      </c>
      <c r="AB717" s="54">
        <f>COUNTIFS(Links!B:B,"ICSE",Links!C:C,A717,Links!AD:AD,1)</f>
        <v>0</v>
      </c>
      <c r="AC717" s="55" t="s">
        <v>36</v>
      </c>
      <c r="AD717" s="47" t="str">
        <f t="shared" si="5"/>
        <v>No</v>
      </c>
      <c r="AE717" s="56" t="s">
        <v>36</v>
      </c>
      <c r="AF717" s="57" t="s">
        <v>42</v>
      </c>
      <c r="AG717" s="57" t="s">
        <v>42</v>
      </c>
      <c r="AH717" s="57" t="s">
        <v>42</v>
      </c>
      <c r="AI717" s="49" t="str">
        <f t="shared" si="661"/>
        <v>----</v>
      </c>
      <c r="AJ717" s="58" t="str">
        <f t="shared" si="7"/>
        <v>Paper has no link and no statement</v>
      </c>
      <c r="AK717" s="59">
        <v>45022.0</v>
      </c>
      <c r="AL717" s="43" t="s">
        <v>43</v>
      </c>
      <c r="AM717" s="60" t="str">
        <f t="shared" si="8"/>
        <v>[IP0473]</v>
      </c>
    </row>
    <row r="718" ht="67.5" customHeight="1">
      <c r="A718" s="61">
        <v>474.0</v>
      </c>
      <c r="B718" s="22" t="s">
        <v>1912</v>
      </c>
      <c r="C718" s="23">
        <v>2021.0</v>
      </c>
      <c r="D718" s="24" t="s">
        <v>37</v>
      </c>
      <c r="E718" s="25" t="s">
        <v>37</v>
      </c>
      <c r="F718" s="25" t="s">
        <v>35</v>
      </c>
      <c r="G718" s="25" t="s">
        <v>37</v>
      </c>
      <c r="H718" s="25" t="s">
        <v>35</v>
      </c>
      <c r="I718" s="25" t="s">
        <v>35</v>
      </c>
      <c r="J718" s="26" t="s">
        <v>36</v>
      </c>
      <c r="K718" s="82" t="s">
        <v>37</v>
      </c>
      <c r="L718" s="70" t="s">
        <v>37</v>
      </c>
      <c r="M718" s="70" t="s">
        <v>35</v>
      </c>
      <c r="N718" s="70" t="s">
        <v>35</v>
      </c>
      <c r="O718" s="70" t="s">
        <v>35</v>
      </c>
      <c r="P718" s="70" t="s">
        <v>35</v>
      </c>
      <c r="Q718" s="70" t="s">
        <v>37</v>
      </c>
      <c r="R718" s="70" t="s">
        <v>37</v>
      </c>
      <c r="S718" s="37" t="s">
        <v>1913</v>
      </c>
      <c r="T718" s="30" t="s">
        <v>1914</v>
      </c>
      <c r="U718" s="31" t="s">
        <v>1915</v>
      </c>
      <c r="V718" s="32">
        <f t="shared" ref="V718:X718" si="724">IF(lenb(SUBSTITUTE($Z718,V$1&amp;" (1)",""))&lt;lenb($Z718),1,IF(lenb(SUBSTITUTE($Z718,V$1&amp;" (2)",""))&lt;lenb($Z718),2,IF(lenb(SUBSTITUTE($Z718,V$1&amp;" (3)",""))&lt;lenb($Z718),3,IF(lenb(SUBSTITUTE($Z718,V$1&amp;" (4)",""))&lt;lenb($Z718),4,IF(lenb(SUBSTITUTE($Z718,V$1&amp;" (5)",""))&lt;lenb($Z718),5,IF(lenb(SUBSTITUTE($Z718,V$1&amp;" (6)",""))&lt;lenb($Z718),6,IF(lenb(SUBSTITUTE($Z718,V$1&amp;" (7)",""))&lt;lenb($Z718),1,IF(lenb(SUBSTITUTE($Z718,V$1&amp;" (8)",""))&lt;lenb($Z718),8,IF(lenb(SUBSTITUTE($Z718,V$1&amp;" (9)",""))&lt;lenb($Z718),9,IF(lenb(SUBSTITUTE($Z718,V$1&amp;" (10)",""))&lt;lenb($Z718),10,IF(lenb(SUBSTITUTE($Z718,V$1,""))&lt;lenb($Z718),"ERROR",IF($Z718=$Y$1,"-",0))))))))))))</f>
        <v>2</v>
      </c>
      <c r="W718" s="32">
        <f t="shared" si="724"/>
        <v>0</v>
      </c>
      <c r="X718" s="32">
        <f t="shared" si="724"/>
        <v>0</v>
      </c>
      <c r="Y718" s="32" t="str">
        <f t="shared" si="3"/>
        <v>-</v>
      </c>
      <c r="Z718" s="32" t="s">
        <v>57</v>
      </c>
      <c r="AA718" s="33">
        <f t="shared" si="4"/>
        <v>2</v>
      </c>
      <c r="AB718" s="34">
        <f>COUNTIFS(Links!B:B,"ICSE",Links!C:C,A718,Links!AD:AD,1)</f>
        <v>0</v>
      </c>
      <c r="AC718" s="35" t="s">
        <v>37</v>
      </c>
      <c r="AD718" s="27" t="str">
        <f t="shared" si="5"/>
        <v>No</v>
      </c>
      <c r="AE718" s="36" t="s">
        <v>36</v>
      </c>
      <c r="AF718" s="37" t="s">
        <v>42</v>
      </c>
      <c r="AG718" s="37" t="s">
        <v>42</v>
      </c>
      <c r="AH718" s="37" t="s">
        <v>42</v>
      </c>
      <c r="AI718" s="29" t="str">
        <f t="shared" si="661"/>
        <v>----</v>
      </c>
      <c r="AJ718" s="38" t="str">
        <f t="shared" si="7"/>
        <v>Paper has link but no statement</v>
      </c>
      <c r="AK718" s="39">
        <v>45022.0</v>
      </c>
      <c r="AL718" s="23" t="s">
        <v>43</v>
      </c>
      <c r="AM718" s="40" t="str">
        <f t="shared" si="8"/>
        <v>[IP0474]</v>
      </c>
    </row>
    <row r="719" ht="67.5" customHeight="1">
      <c r="A719" s="41">
        <v>475.0</v>
      </c>
      <c r="B719" s="42" t="s">
        <v>1916</v>
      </c>
      <c r="C719" s="43">
        <v>2021.0</v>
      </c>
      <c r="D719" s="44" t="s">
        <v>35</v>
      </c>
      <c r="E719" s="45" t="s">
        <v>36</v>
      </c>
      <c r="F719" s="45" t="s">
        <v>36</v>
      </c>
      <c r="G719" s="45" t="s">
        <v>36</v>
      </c>
      <c r="H719" s="45" t="s">
        <v>36</v>
      </c>
      <c r="I719" s="45" t="s">
        <v>36</v>
      </c>
      <c r="J719" s="46" t="s">
        <v>36</v>
      </c>
      <c r="K719" s="83" t="s">
        <v>37</v>
      </c>
      <c r="L719" s="71" t="s">
        <v>35</v>
      </c>
      <c r="M719" s="71" t="s">
        <v>35</v>
      </c>
      <c r="N719" s="71" t="s">
        <v>37</v>
      </c>
      <c r="O719" s="71" t="s">
        <v>35</v>
      </c>
      <c r="P719" s="71" t="s">
        <v>35</v>
      </c>
      <c r="Q719" s="71" t="s">
        <v>35</v>
      </c>
      <c r="R719" s="71" t="s">
        <v>35</v>
      </c>
      <c r="S719" s="57" t="s">
        <v>289</v>
      </c>
      <c r="T719" s="50" t="s">
        <v>1917</v>
      </c>
      <c r="U719" s="51" t="s">
        <v>1917</v>
      </c>
      <c r="V719" s="52">
        <f t="shared" ref="V719:X719" si="725">IF(lenb(SUBSTITUTE($Z719,V$1&amp;" (1)",""))&lt;lenb($Z719),1,IF(lenb(SUBSTITUTE($Z719,V$1&amp;" (2)",""))&lt;lenb($Z719),2,IF(lenb(SUBSTITUTE($Z719,V$1&amp;" (3)",""))&lt;lenb($Z719),3,IF(lenb(SUBSTITUTE($Z719,V$1&amp;" (4)",""))&lt;lenb($Z719),4,IF(lenb(SUBSTITUTE($Z719,V$1&amp;" (5)",""))&lt;lenb($Z719),5,IF(lenb(SUBSTITUTE($Z719,V$1&amp;" (6)",""))&lt;lenb($Z719),6,IF(lenb(SUBSTITUTE($Z719,V$1&amp;" (7)",""))&lt;lenb($Z719),1,IF(lenb(SUBSTITUTE($Z719,V$1&amp;" (8)",""))&lt;lenb($Z719),8,IF(lenb(SUBSTITUTE($Z719,V$1&amp;" (9)",""))&lt;lenb($Z719),9,IF(lenb(SUBSTITUTE($Z719,V$1&amp;" (10)",""))&lt;lenb($Z719),10,IF(lenb(SUBSTITUTE($Z719,V$1,""))&lt;lenb($Z719),"ERROR",IF($Z719=$Y$1,"-",0))))))))))))</f>
        <v>1</v>
      </c>
      <c r="W719" s="52">
        <f t="shared" si="725"/>
        <v>0</v>
      </c>
      <c r="X719" s="52">
        <f t="shared" si="725"/>
        <v>0</v>
      </c>
      <c r="Y719" s="52" t="str">
        <f t="shared" si="3"/>
        <v>-</v>
      </c>
      <c r="Z719" s="52" t="s">
        <v>62</v>
      </c>
      <c r="AA719" s="53">
        <f t="shared" si="4"/>
        <v>1</v>
      </c>
      <c r="AB719" s="54">
        <f>COUNTIFS(Links!B:B,"ICSE",Links!C:C,A719,Links!AD:AD,1)</f>
        <v>0</v>
      </c>
      <c r="AC719" s="55" t="s">
        <v>35</v>
      </c>
      <c r="AD719" s="47" t="str">
        <f t="shared" si="5"/>
        <v>No</v>
      </c>
      <c r="AE719" s="56" t="s">
        <v>36</v>
      </c>
      <c r="AF719" s="57" t="s">
        <v>42</v>
      </c>
      <c r="AG719" s="57" t="s">
        <v>42</v>
      </c>
      <c r="AH719" s="57" t="s">
        <v>42</v>
      </c>
      <c r="AI719" s="49" t="str">
        <f t="shared" si="661"/>
        <v>----</v>
      </c>
      <c r="AJ719" s="58" t="str">
        <f t="shared" si="7"/>
        <v>Paper has link but no statement</v>
      </c>
      <c r="AK719" s="59">
        <v>45022.0</v>
      </c>
      <c r="AL719" s="43" t="s">
        <v>43</v>
      </c>
      <c r="AM719" s="60" t="str">
        <f t="shared" si="8"/>
        <v>[IP0475]</v>
      </c>
    </row>
    <row r="720" ht="67.5" customHeight="1">
      <c r="A720" s="61">
        <v>476.0</v>
      </c>
      <c r="B720" s="22" t="s">
        <v>1918</v>
      </c>
      <c r="C720" s="23">
        <v>2021.0</v>
      </c>
      <c r="D720" s="24" t="s">
        <v>35</v>
      </c>
      <c r="E720" s="25" t="s">
        <v>36</v>
      </c>
      <c r="F720" s="25" t="s">
        <v>36</v>
      </c>
      <c r="G720" s="25" t="s">
        <v>36</v>
      </c>
      <c r="H720" s="25" t="s">
        <v>36</v>
      </c>
      <c r="I720" s="25" t="s">
        <v>36</v>
      </c>
      <c r="J720" s="26" t="s">
        <v>36</v>
      </c>
      <c r="K720" s="82" t="s">
        <v>37</v>
      </c>
      <c r="L720" s="70" t="s">
        <v>35</v>
      </c>
      <c r="M720" s="70" t="s">
        <v>37</v>
      </c>
      <c r="N720" s="70" t="s">
        <v>37</v>
      </c>
      <c r="O720" s="70" t="s">
        <v>35</v>
      </c>
      <c r="P720" s="70" t="s">
        <v>35</v>
      </c>
      <c r="Q720" s="70" t="s">
        <v>35</v>
      </c>
      <c r="R720" s="70" t="s">
        <v>37</v>
      </c>
      <c r="S720" s="37" t="s">
        <v>1919</v>
      </c>
      <c r="T720" s="30" t="s">
        <v>1920</v>
      </c>
      <c r="U720" s="31" t="s">
        <v>1920</v>
      </c>
      <c r="V720" s="32">
        <f t="shared" ref="V720:X720" si="726">IF(lenb(SUBSTITUTE($Z720,V$1&amp;" (1)",""))&lt;lenb($Z720),1,IF(lenb(SUBSTITUTE($Z720,V$1&amp;" (2)",""))&lt;lenb($Z720),2,IF(lenb(SUBSTITUTE($Z720,V$1&amp;" (3)",""))&lt;lenb($Z720),3,IF(lenb(SUBSTITUTE($Z720,V$1&amp;" (4)",""))&lt;lenb($Z720),4,IF(lenb(SUBSTITUTE($Z720,V$1&amp;" (5)",""))&lt;lenb($Z720),5,IF(lenb(SUBSTITUTE($Z720,V$1&amp;" (6)",""))&lt;lenb($Z720),6,IF(lenb(SUBSTITUTE($Z720,V$1&amp;" (7)",""))&lt;lenb($Z720),1,IF(lenb(SUBSTITUTE($Z720,V$1&amp;" (8)",""))&lt;lenb($Z720),8,IF(lenb(SUBSTITUTE($Z720,V$1&amp;" (9)",""))&lt;lenb($Z720),9,IF(lenb(SUBSTITUTE($Z720,V$1&amp;" (10)",""))&lt;lenb($Z720),10,IF(lenb(SUBSTITUTE($Z720,V$1,""))&lt;lenb($Z720),"ERROR",IF($Z720=$Y$1,"-",0))))))))))))</f>
        <v>1</v>
      </c>
      <c r="W720" s="32">
        <f t="shared" si="726"/>
        <v>0</v>
      </c>
      <c r="X720" s="32">
        <f t="shared" si="726"/>
        <v>0</v>
      </c>
      <c r="Y720" s="32" t="str">
        <f t="shared" si="3"/>
        <v>-</v>
      </c>
      <c r="Z720" s="32" t="s">
        <v>62</v>
      </c>
      <c r="AA720" s="33">
        <f t="shared" si="4"/>
        <v>1</v>
      </c>
      <c r="AB720" s="34">
        <f>COUNTIFS(Links!B:B,"ICSE",Links!C:C,A720,Links!AD:AD,1)</f>
        <v>0</v>
      </c>
      <c r="AC720" s="35" t="s">
        <v>35</v>
      </c>
      <c r="AD720" s="27" t="str">
        <f t="shared" si="5"/>
        <v>No</v>
      </c>
      <c r="AE720" s="36" t="s">
        <v>36</v>
      </c>
      <c r="AF720" s="37" t="s">
        <v>42</v>
      </c>
      <c r="AG720" s="37" t="s">
        <v>42</v>
      </c>
      <c r="AH720" s="37" t="s">
        <v>42</v>
      </c>
      <c r="AI720" s="29" t="str">
        <f t="shared" si="661"/>
        <v>----</v>
      </c>
      <c r="AJ720" s="38" t="str">
        <f t="shared" si="7"/>
        <v>Paper has link but no statement</v>
      </c>
      <c r="AK720" s="39">
        <v>45022.0</v>
      </c>
      <c r="AL720" s="23" t="s">
        <v>43</v>
      </c>
      <c r="AM720" s="40" t="str">
        <f t="shared" si="8"/>
        <v>[IP0476]</v>
      </c>
    </row>
    <row r="721" ht="67.5" customHeight="1">
      <c r="A721" s="41">
        <v>477.0</v>
      </c>
      <c r="B721" s="42" t="s">
        <v>1921</v>
      </c>
      <c r="C721" s="43">
        <v>2021.0</v>
      </c>
      <c r="D721" s="44" t="s">
        <v>37</v>
      </c>
      <c r="E721" s="45" t="s">
        <v>35</v>
      </c>
      <c r="F721" s="45" t="s">
        <v>35</v>
      </c>
      <c r="G721" s="45" t="s">
        <v>37</v>
      </c>
      <c r="H721" s="45" t="s">
        <v>35</v>
      </c>
      <c r="I721" s="45" t="s">
        <v>35</v>
      </c>
      <c r="J721" s="46" t="s">
        <v>36</v>
      </c>
      <c r="K721" s="83" t="s">
        <v>37</v>
      </c>
      <c r="L721" s="71" t="s">
        <v>37</v>
      </c>
      <c r="M721" s="71" t="s">
        <v>35</v>
      </c>
      <c r="N721" s="71" t="s">
        <v>35</v>
      </c>
      <c r="O721" s="71" t="s">
        <v>35</v>
      </c>
      <c r="P721" s="71" t="s">
        <v>35</v>
      </c>
      <c r="Q721" s="71" t="s">
        <v>35</v>
      </c>
      <c r="R721" s="71" t="s">
        <v>37</v>
      </c>
      <c r="S721" s="57" t="s">
        <v>1344</v>
      </c>
      <c r="T721" s="50" t="s">
        <v>1922</v>
      </c>
      <c r="U721" s="51" t="s">
        <v>1922</v>
      </c>
      <c r="V721" s="52">
        <f t="shared" ref="V721:X721" si="727">IF(lenb(SUBSTITUTE($Z721,V$1&amp;" (1)",""))&lt;lenb($Z721),1,IF(lenb(SUBSTITUTE($Z721,V$1&amp;" (2)",""))&lt;lenb($Z721),2,IF(lenb(SUBSTITUTE($Z721,V$1&amp;" (3)",""))&lt;lenb($Z721),3,IF(lenb(SUBSTITUTE($Z721,V$1&amp;" (4)",""))&lt;lenb($Z721),4,IF(lenb(SUBSTITUTE($Z721,V$1&amp;" (5)",""))&lt;lenb($Z721),5,IF(lenb(SUBSTITUTE($Z721,V$1&amp;" (6)",""))&lt;lenb($Z721),6,IF(lenb(SUBSTITUTE($Z721,V$1&amp;" (7)",""))&lt;lenb($Z721),1,IF(lenb(SUBSTITUTE($Z721,V$1&amp;" (8)",""))&lt;lenb($Z721),8,IF(lenb(SUBSTITUTE($Z721,V$1&amp;" (9)",""))&lt;lenb($Z721),9,IF(lenb(SUBSTITUTE($Z721,V$1&amp;" (10)",""))&lt;lenb($Z721),10,IF(lenb(SUBSTITUTE($Z721,V$1,""))&lt;lenb($Z721),"ERROR",IF($Z721=$Y$1,"-",0))))))))))))</f>
        <v>1</v>
      </c>
      <c r="W721" s="52">
        <f t="shared" si="727"/>
        <v>0</v>
      </c>
      <c r="X721" s="52">
        <f t="shared" si="727"/>
        <v>0</v>
      </c>
      <c r="Y721" s="52" t="str">
        <f t="shared" si="3"/>
        <v>-</v>
      </c>
      <c r="Z721" s="52" t="s">
        <v>62</v>
      </c>
      <c r="AA721" s="53">
        <f t="shared" si="4"/>
        <v>1</v>
      </c>
      <c r="AB721" s="54">
        <f>COUNTIFS(Links!B:B,"ICSE",Links!C:C,A721,Links!AD:AD,1)</f>
        <v>0</v>
      </c>
      <c r="AC721" s="55" t="s">
        <v>35</v>
      </c>
      <c r="AD721" s="47" t="str">
        <f t="shared" si="5"/>
        <v>No</v>
      </c>
      <c r="AE721" s="56" t="s">
        <v>36</v>
      </c>
      <c r="AF721" s="57" t="s">
        <v>42</v>
      </c>
      <c r="AG721" s="57" t="s">
        <v>42</v>
      </c>
      <c r="AH721" s="57" t="s">
        <v>42</v>
      </c>
      <c r="AI721" s="49" t="str">
        <f t="shared" si="661"/>
        <v>----</v>
      </c>
      <c r="AJ721" s="58" t="str">
        <f t="shared" si="7"/>
        <v>Paper has link but no statement</v>
      </c>
      <c r="AK721" s="59">
        <v>45022.0</v>
      </c>
      <c r="AL721" s="43" t="s">
        <v>43</v>
      </c>
      <c r="AM721" s="60" t="str">
        <f t="shared" si="8"/>
        <v>[IP0477]</v>
      </c>
    </row>
    <row r="722" ht="67.5" customHeight="1">
      <c r="A722" s="61">
        <v>478.0</v>
      </c>
      <c r="B722" s="22" t="s">
        <v>1923</v>
      </c>
      <c r="C722" s="23">
        <v>2021.0</v>
      </c>
      <c r="D722" s="24" t="s">
        <v>35</v>
      </c>
      <c r="E722" s="25" t="s">
        <v>36</v>
      </c>
      <c r="F722" s="25" t="s">
        <v>36</v>
      </c>
      <c r="G722" s="25" t="s">
        <v>36</v>
      </c>
      <c r="H722" s="25" t="s">
        <v>36</v>
      </c>
      <c r="I722" s="25" t="s">
        <v>36</v>
      </c>
      <c r="J722" s="26" t="s">
        <v>36</v>
      </c>
      <c r="K722" s="82" t="s">
        <v>37</v>
      </c>
      <c r="L722" s="70" t="s">
        <v>37</v>
      </c>
      <c r="M722" s="70" t="s">
        <v>35</v>
      </c>
      <c r="N722" s="70" t="s">
        <v>35</v>
      </c>
      <c r="O722" s="70" t="s">
        <v>37</v>
      </c>
      <c r="P722" s="70" t="s">
        <v>35</v>
      </c>
      <c r="Q722" s="70" t="s">
        <v>35</v>
      </c>
      <c r="R722" s="70" t="s">
        <v>37</v>
      </c>
      <c r="S722" s="37" t="s">
        <v>1924</v>
      </c>
      <c r="T722" s="30" t="s">
        <v>1925</v>
      </c>
      <c r="U722" s="31" t="s">
        <v>1925</v>
      </c>
      <c r="V722" s="32">
        <f t="shared" ref="V722:X722" si="728">IF(lenb(SUBSTITUTE($Z722,V$1&amp;" (1)",""))&lt;lenb($Z722),1,IF(lenb(SUBSTITUTE($Z722,V$1&amp;" (2)",""))&lt;lenb($Z722),2,IF(lenb(SUBSTITUTE($Z722,V$1&amp;" (3)",""))&lt;lenb($Z722),3,IF(lenb(SUBSTITUTE($Z722,V$1&amp;" (4)",""))&lt;lenb($Z722),4,IF(lenb(SUBSTITUTE($Z722,V$1&amp;" (5)",""))&lt;lenb($Z722),5,IF(lenb(SUBSTITUTE($Z722,V$1&amp;" (6)",""))&lt;lenb($Z722),6,IF(lenb(SUBSTITUTE($Z722,V$1&amp;" (7)",""))&lt;lenb($Z722),1,IF(lenb(SUBSTITUTE($Z722,V$1&amp;" (8)",""))&lt;lenb($Z722),8,IF(lenb(SUBSTITUTE($Z722,V$1&amp;" (9)",""))&lt;lenb($Z722),9,IF(lenb(SUBSTITUTE($Z722,V$1&amp;" (10)",""))&lt;lenb($Z722),10,IF(lenb(SUBSTITUTE($Z722,V$1,""))&lt;lenb($Z722),"ERROR",IF($Z722=$Y$1,"-",0))))))))))))</f>
        <v>2</v>
      </c>
      <c r="W722" s="32">
        <f t="shared" si="728"/>
        <v>0</v>
      </c>
      <c r="X722" s="32">
        <f t="shared" si="728"/>
        <v>0</v>
      </c>
      <c r="Y722" s="32" t="str">
        <f t="shared" si="3"/>
        <v>-</v>
      </c>
      <c r="Z722" s="32" t="s">
        <v>57</v>
      </c>
      <c r="AA722" s="33">
        <f t="shared" si="4"/>
        <v>2</v>
      </c>
      <c r="AB722" s="34">
        <f>COUNTIFS(Links!B:B,"ICSE",Links!C:C,A722,Links!AD:AD,1)</f>
        <v>0</v>
      </c>
      <c r="AC722" s="35" t="s">
        <v>37</v>
      </c>
      <c r="AD722" s="27" t="str">
        <f t="shared" si="5"/>
        <v>No</v>
      </c>
      <c r="AE722" s="36" t="s">
        <v>36</v>
      </c>
      <c r="AF722" s="37" t="s">
        <v>42</v>
      </c>
      <c r="AG722" s="37" t="s">
        <v>42</v>
      </c>
      <c r="AH722" s="37" t="s">
        <v>42</v>
      </c>
      <c r="AI722" s="29" t="str">
        <f t="shared" si="661"/>
        <v>----</v>
      </c>
      <c r="AJ722" s="38" t="str">
        <f t="shared" si="7"/>
        <v>Paper has link but no statement</v>
      </c>
      <c r="AK722" s="39">
        <v>45022.0</v>
      </c>
      <c r="AL722" s="23" t="s">
        <v>43</v>
      </c>
      <c r="AM722" s="40" t="str">
        <f t="shared" si="8"/>
        <v>[IP0478]</v>
      </c>
    </row>
    <row r="723" ht="67.5" customHeight="1">
      <c r="A723" s="41">
        <v>479.0</v>
      </c>
      <c r="B723" s="42" t="s">
        <v>1926</v>
      </c>
      <c r="C723" s="43">
        <v>2021.0</v>
      </c>
      <c r="D723" s="44" t="s">
        <v>35</v>
      </c>
      <c r="E723" s="45" t="s">
        <v>36</v>
      </c>
      <c r="F723" s="45" t="s">
        <v>36</v>
      </c>
      <c r="G723" s="45" t="s">
        <v>36</v>
      </c>
      <c r="H723" s="45" t="s">
        <v>36</v>
      </c>
      <c r="I723" s="45" t="s">
        <v>36</v>
      </c>
      <c r="J723" s="46" t="s">
        <v>36</v>
      </c>
      <c r="K723" s="83" t="s">
        <v>37</v>
      </c>
      <c r="L723" s="71" t="s">
        <v>35</v>
      </c>
      <c r="M723" s="71" t="s">
        <v>37</v>
      </c>
      <c r="N723" s="71" t="s">
        <v>37</v>
      </c>
      <c r="O723" s="71" t="s">
        <v>37</v>
      </c>
      <c r="P723" s="71" t="s">
        <v>35</v>
      </c>
      <c r="Q723" s="71" t="s">
        <v>35</v>
      </c>
      <c r="R723" s="71" t="s">
        <v>35</v>
      </c>
      <c r="S723" s="57" t="s">
        <v>1927</v>
      </c>
      <c r="T723" s="50" t="s">
        <v>1928</v>
      </c>
      <c r="U723" s="51" t="s">
        <v>1928</v>
      </c>
      <c r="V723" s="52">
        <f t="shared" ref="V723:X723" si="729">IF(lenb(SUBSTITUTE($Z723,V$1&amp;" (1)",""))&lt;lenb($Z723),1,IF(lenb(SUBSTITUTE($Z723,V$1&amp;" (2)",""))&lt;lenb($Z723),2,IF(lenb(SUBSTITUTE($Z723,V$1&amp;" (3)",""))&lt;lenb($Z723),3,IF(lenb(SUBSTITUTE($Z723,V$1&amp;" (4)",""))&lt;lenb($Z723),4,IF(lenb(SUBSTITUTE($Z723,V$1&amp;" (5)",""))&lt;lenb($Z723),5,IF(lenb(SUBSTITUTE($Z723,V$1&amp;" (6)",""))&lt;lenb($Z723),6,IF(lenb(SUBSTITUTE($Z723,V$1&amp;" (7)",""))&lt;lenb($Z723),1,IF(lenb(SUBSTITUTE($Z723,V$1&amp;" (8)",""))&lt;lenb($Z723),8,IF(lenb(SUBSTITUTE($Z723,V$1&amp;" (9)",""))&lt;lenb($Z723),9,IF(lenb(SUBSTITUTE($Z723,V$1&amp;" (10)",""))&lt;lenb($Z723),10,IF(lenb(SUBSTITUTE($Z723,V$1,""))&lt;lenb($Z723),"ERROR",IF($Z723=$Y$1,"-",0))))))))))))</f>
        <v>1</v>
      </c>
      <c r="W723" s="52">
        <f t="shared" si="729"/>
        <v>0</v>
      </c>
      <c r="X723" s="52">
        <f t="shared" si="729"/>
        <v>0</v>
      </c>
      <c r="Y723" s="52" t="str">
        <f t="shared" si="3"/>
        <v>-</v>
      </c>
      <c r="Z723" s="52" t="s">
        <v>62</v>
      </c>
      <c r="AA723" s="53">
        <f t="shared" si="4"/>
        <v>1</v>
      </c>
      <c r="AB723" s="54">
        <f>COUNTIFS(Links!B:B,"ICSE",Links!C:C,A723,Links!AD:AD,1)</f>
        <v>0</v>
      </c>
      <c r="AC723" s="55" t="s">
        <v>35</v>
      </c>
      <c r="AD723" s="47" t="str">
        <f t="shared" si="5"/>
        <v>No</v>
      </c>
      <c r="AE723" s="56" t="s">
        <v>36</v>
      </c>
      <c r="AF723" s="57" t="s">
        <v>42</v>
      </c>
      <c r="AG723" s="57" t="s">
        <v>42</v>
      </c>
      <c r="AH723" s="57" t="s">
        <v>42</v>
      </c>
      <c r="AI723" s="49" t="str">
        <f t="shared" si="661"/>
        <v>----</v>
      </c>
      <c r="AJ723" s="58" t="str">
        <f t="shared" si="7"/>
        <v>Paper has link but no statement</v>
      </c>
      <c r="AK723" s="59">
        <v>45022.0</v>
      </c>
      <c r="AL723" s="43" t="s">
        <v>43</v>
      </c>
      <c r="AM723" s="60" t="str">
        <f t="shared" si="8"/>
        <v>[IP0479]</v>
      </c>
    </row>
    <row r="724" ht="67.5" customHeight="1">
      <c r="A724" s="61">
        <v>480.0</v>
      </c>
      <c r="B724" s="22" t="s">
        <v>1929</v>
      </c>
      <c r="C724" s="23">
        <v>2021.0</v>
      </c>
      <c r="D724" s="24" t="s">
        <v>35</v>
      </c>
      <c r="E724" s="25" t="s">
        <v>36</v>
      </c>
      <c r="F724" s="25" t="s">
        <v>36</v>
      </c>
      <c r="G724" s="25" t="s">
        <v>36</v>
      </c>
      <c r="H724" s="25" t="s">
        <v>36</v>
      </c>
      <c r="I724" s="25" t="s">
        <v>36</v>
      </c>
      <c r="J724" s="26" t="s">
        <v>36</v>
      </c>
      <c r="K724" s="82" t="s">
        <v>37</v>
      </c>
      <c r="L724" s="70" t="s">
        <v>37</v>
      </c>
      <c r="M724" s="70" t="s">
        <v>35</v>
      </c>
      <c r="N724" s="70" t="s">
        <v>35</v>
      </c>
      <c r="O724" s="70" t="s">
        <v>35</v>
      </c>
      <c r="P724" s="70" t="s">
        <v>35</v>
      </c>
      <c r="Q724" s="70" t="s">
        <v>35</v>
      </c>
      <c r="R724" s="70" t="s">
        <v>37</v>
      </c>
      <c r="S724" s="37" t="s">
        <v>1930</v>
      </c>
      <c r="T724" s="30" t="s">
        <v>1931</v>
      </c>
      <c r="U724" s="31" t="s">
        <v>1931</v>
      </c>
      <c r="V724" s="32">
        <f t="shared" ref="V724:X724" si="730">IF(lenb(SUBSTITUTE($Z724,V$1&amp;" (1)",""))&lt;lenb($Z724),1,IF(lenb(SUBSTITUTE($Z724,V$1&amp;" (2)",""))&lt;lenb($Z724),2,IF(lenb(SUBSTITUTE($Z724,V$1&amp;" (3)",""))&lt;lenb($Z724),3,IF(lenb(SUBSTITUTE($Z724,V$1&amp;" (4)",""))&lt;lenb($Z724),4,IF(lenb(SUBSTITUTE($Z724,V$1&amp;" (5)",""))&lt;lenb($Z724),5,IF(lenb(SUBSTITUTE($Z724,V$1&amp;" (6)",""))&lt;lenb($Z724),6,IF(lenb(SUBSTITUTE($Z724,V$1&amp;" (7)",""))&lt;lenb($Z724),1,IF(lenb(SUBSTITUTE($Z724,V$1&amp;" (8)",""))&lt;lenb($Z724),8,IF(lenb(SUBSTITUTE($Z724,V$1&amp;" (9)",""))&lt;lenb($Z724),9,IF(lenb(SUBSTITUTE($Z724,V$1&amp;" (10)",""))&lt;lenb($Z724),10,IF(lenb(SUBSTITUTE($Z724,V$1,""))&lt;lenb($Z724),"ERROR",IF($Z724=$Y$1,"-",0))))))))))))</f>
        <v>1</v>
      </c>
      <c r="W724" s="32">
        <f t="shared" si="730"/>
        <v>0</v>
      </c>
      <c r="X724" s="32">
        <f t="shared" si="730"/>
        <v>0</v>
      </c>
      <c r="Y724" s="32" t="str">
        <f t="shared" si="3"/>
        <v>-</v>
      </c>
      <c r="Z724" s="32" t="s">
        <v>62</v>
      </c>
      <c r="AA724" s="33">
        <f t="shared" si="4"/>
        <v>1</v>
      </c>
      <c r="AB724" s="34">
        <f>COUNTIFS(Links!B:B,"ICSE",Links!C:C,A724,Links!AD:AD,1)</f>
        <v>0</v>
      </c>
      <c r="AC724" s="35" t="s">
        <v>35</v>
      </c>
      <c r="AD724" s="27" t="str">
        <f t="shared" si="5"/>
        <v>No</v>
      </c>
      <c r="AE724" s="36" t="s">
        <v>36</v>
      </c>
      <c r="AF724" s="37" t="s">
        <v>42</v>
      </c>
      <c r="AG724" s="37" t="s">
        <v>42</v>
      </c>
      <c r="AH724" s="37" t="s">
        <v>42</v>
      </c>
      <c r="AI724" s="29" t="str">
        <f t="shared" si="661"/>
        <v>----</v>
      </c>
      <c r="AJ724" s="38" t="str">
        <f t="shared" si="7"/>
        <v>Paper has link but no statement</v>
      </c>
      <c r="AK724" s="39">
        <v>45022.0</v>
      </c>
      <c r="AL724" s="23" t="s">
        <v>43</v>
      </c>
      <c r="AM724" s="40" t="str">
        <f t="shared" si="8"/>
        <v>[IP0480]</v>
      </c>
    </row>
    <row r="725" ht="67.5" customHeight="1">
      <c r="A725" s="41">
        <v>481.0</v>
      </c>
      <c r="B725" s="42" t="s">
        <v>1932</v>
      </c>
      <c r="C725" s="43">
        <v>2021.0</v>
      </c>
      <c r="D725" s="44" t="s">
        <v>35</v>
      </c>
      <c r="E725" s="45" t="s">
        <v>36</v>
      </c>
      <c r="F725" s="45" t="s">
        <v>36</v>
      </c>
      <c r="G725" s="45" t="s">
        <v>36</v>
      </c>
      <c r="H725" s="45" t="s">
        <v>36</v>
      </c>
      <c r="I725" s="45" t="s">
        <v>36</v>
      </c>
      <c r="J725" s="46" t="s">
        <v>36</v>
      </c>
      <c r="K725" s="83" t="s">
        <v>37</v>
      </c>
      <c r="L725" s="71" t="s">
        <v>35</v>
      </c>
      <c r="M725" s="71" t="s">
        <v>37</v>
      </c>
      <c r="N725" s="71" t="s">
        <v>37</v>
      </c>
      <c r="O725" s="71" t="s">
        <v>35</v>
      </c>
      <c r="P725" s="71" t="s">
        <v>35</v>
      </c>
      <c r="Q725" s="71" t="s">
        <v>35</v>
      </c>
      <c r="R725" s="71" t="s">
        <v>37</v>
      </c>
      <c r="S725" s="57" t="s">
        <v>1933</v>
      </c>
      <c r="T725" s="50" t="s">
        <v>1934</v>
      </c>
      <c r="U725" s="51" t="s">
        <v>1934</v>
      </c>
      <c r="V725" s="52">
        <f t="shared" ref="V725:X725" si="731">IF(lenb(SUBSTITUTE($Z725,V$1&amp;" (1)",""))&lt;lenb($Z725),1,IF(lenb(SUBSTITUTE($Z725,V$1&amp;" (2)",""))&lt;lenb($Z725),2,IF(lenb(SUBSTITUTE($Z725,V$1&amp;" (3)",""))&lt;lenb($Z725),3,IF(lenb(SUBSTITUTE($Z725,V$1&amp;" (4)",""))&lt;lenb($Z725),4,IF(lenb(SUBSTITUTE($Z725,V$1&amp;" (5)",""))&lt;lenb($Z725),5,IF(lenb(SUBSTITUTE($Z725,V$1&amp;" (6)",""))&lt;lenb($Z725),6,IF(lenb(SUBSTITUTE($Z725,V$1&amp;" (7)",""))&lt;lenb($Z725),1,IF(lenb(SUBSTITUTE($Z725,V$1&amp;" (8)",""))&lt;lenb($Z725),8,IF(lenb(SUBSTITUTE($Z725,V$1&amp;" (9)",""))&lt;lenb($Z725),9,IF(lenb(SUBSTITUTE($Z725,V$1&amp;" (10)",""))&lt;lenb($Z725),10,IF(lenb(SUBSTITUTE($Z725,V$1,""))&lt;lenb($Z725),"ERROR",IF($Z725=$Y$1,"-",0))))))))))))</f>
        <v>1</v>
      </c>
      <c r="W725" s="52">
        <f t="shared" si="731"/>
        <v>0</v>
      </c>
      <c r="X725" s="52">
        <f t="shared" si="731"/>
        <v>0</v>
      </c>
      <c r="Y725" s="52" t="str">
        <f t="shared" si="3"/>
        <v>-</v>
      </c>
      <c r="Z725" s="52" t="s">
        <v>62</v>
      </c>
      <c r="AA725" s="53">
        <f t="shared" si="4"/>
        <v>1</v>
      </c>
      <c r="AB725" s="54">
        <f>COUNTIFS(Links!B:B,"ICSE",Links!C:C,A725,Links!AD:AD,1)</f>
        <v>0</v>
      </c>
      <c r="AC725" s="55" t="s">
        <v>35</v>
      </c>
      <c r="AD725" s="47" t="str">
        <f t="shared" si="5"/>
        <v>No</v>
      </c>
      <c r="AE725" s="56" t="s">
        <v>36</v>
      </c>
      <c r="AF725" s="57" t="s">
        <v>42</v>
      </c>
      <c r="AG725" s="57" t="s">
        <v>42</v>
      </c>
      <c r="AH725" s="57" t="s">
        <v>42</v>
      </c>
      <c r="AI725" s="49" t="str">
        <f t="shared" si="661"/>
        <v>----</v>
      </c>
      <c r="AJ725" s="58" t="str">
        <f t="shared" si="7"/>
        <v>Paper has link but no statement</v>
      </c>
      <c r="AK725" s="59">
        <v>45022.0</v>
      </c>
      <c r="AL725" s="43" t="s">
        <v>43</v>
      </c>
      <c r="AM725" s="60" t="str">
        <f t="shared" si="8"/>
        <v>[IP0481]</v>
      </c>
    </row>
    <row r="726" ht="67.5" customHeight="1">
      <c r="A726" s="61">
        <v>482.0</v>
      </c>
      <c r="B726" s="22" t="s">
        <v>1935</v>
      </c>
      <c r="C726" s="23">
        <v>2021.0</v>
      </c>
      <c r="D726" s="24" t="s">
        <v>35</v>
      </c>
      <c r="E726" s="25" t="s">
        <v>36</v>
      </c>
      <c r="F726" s="25" t="s">
        <v>36</v>
      </c>
      <c r="G726" s="25" t="s">
        <v>36</v>
      </c>
      <c r="H726" s="25" t="s">
        <v>36</v>
      </c>
      <c r="I726" s="25" t="s">
        <v>36</v>
      </c>
      <c r="J726" s="26" t="s">
        <v>36</v>
      </c>
      <c r="K726" s="27" t="s">
        <v>37</v>
      </c>
      <c r="L726" s="28" t="s">
        <v>37</v>
      </c>
      <c r="M726" s="28" t="s">
        <v>35</v>
      </c>
      <c r="N726" s="28" t="s">
        <v>37</v>
      </c>
      <c r="O726" s="28" t="s">
        <v>37</v>
      </c>
      <c r="P726" s="28" t="s">
        <v>35</v>
      </c>
      <c r="Q726" s="28" t="s">
        <v>35</v>
      </c>
      <c r="R726" s="28" t="s">
        <v>35</v>
      </c>
      <c r="S726" s="29" t="s">
        <v>1936</v>
      </c>
      <c r="T726" s="30" t="s">
        <v>1937</v>
      </c>
      <c r="U726" s="31" t="s">
        <v>1937</v>
      </c>
      <c r="V726" s="32">
        <f t="shared" ref="V726:X726" si="732">IF(lenb(SUBSTITUTE($Z726,V$1&amp;" (1)",""))&lt;lenb($Z726),1,IF(lenb(SUBSTITUTE($Z726,V$1&amp;" (2)",""))&lt;lenb($Z726),2,IF(lenb(SUBSTITUTE($Z726,V$1&amp;" (3)",""))&lt;lenb($Z726),3,IF(lenb(SUBSTITUTE($Z726,V$1&amp;" (4)",""))&lt;lenb($Z726),4,IF(lenb(SUBSTITUTE($Z726,V$1&amp;" (5)",""))&lt;lenb($Z726),5,IF(lenb(SUBSTITUTE($Z726,V$1&amp;" (6)",""))&lt;lenb($Z726),6,IF(lenb(SUBSTITUTE($Z726,V$1&amp;" (7)",""))&lt;lenb($Z726),1,IF(lenb(SUBSTITUTE($Z726,V$1&amp;" (8)",""))&lt;lenb($Z726),8,IF(lenb(SUBSTITUTE($Z726,V$1&amp;" (9)",""))&lt;lenb($Z726),9,IF(lenb(SUBSTITUTE($Z726,V$1&amp;" (10)",""))&lt;lenb($Z726),10,IF(lenb(SUBSTITUTE($Z726,V$1,""))&lt;lenb($Z726),"ERROR",IF($Z726=$Y$1,"-",0))))))))))))</f>
        <v>1</v>
      </c>
      <c r="W726" s="32">
        <f t="shared" si="732"/>
        <v>0</v>
      </c>
      <c r="X726" s="32">
        <f t="shared" si="732"/>
        <v>0</v>
      </c>
      <c r="Y726" s="32" t="str">
        <f t="shared" si="3"/>
        <v>-</v>
      </c>
      <c r="Z726" s="32" t="s">
        <v>62</v>
      </c>
      <c r="AA726" s="33">
        <f t="shared" si="4"/>
        <v>1</v>
      </c>
      <c r="AB726" s="34">
        <f>COUNTIFS(Links!B:B,"ICSE",Links!C:C,A726,Links!AD:AD,1)</f>
        <v>0</v>
      </c>
      <c r="AC726" s="35" t="s">
        <v>35</v>
      </c>
      <c r="AD726" s="27" t="str">
        <f t="shared" si="5"/>
        <v>No</v>
      </c>
      <c r="AE726" s="36" t="s">
        <v>36</v>
      </c>
      <c r="AF726" s="37" t="s">
        <v>42</v>
      </c>
      <c r="AG726" s="37" t="s">
        <v>42</v>
      </c>
      <c r="AH726" s="37" t="s">
        <v>42</v>
      </c>
      <c r="AI726" s="29" t="str">
        <f t="shared" si="661"/>
        <v>----</v>
      </c>
      <c r="AJ726" s="38" t="str">
        <f t="shared" si="7"/>
        <v>Paper has link but no statement</v>
      </c>
      <c r="AK726" s="39">
        <v>45022.0</v>
      </c>
      <c r="AL726" s="23" t="s">
        <v>43</v>
      </c>
      <c r="AM726" s="40" t="str">
        <f t="shared" si="8"/>
        <v>[IP0482]</v>
      </c>
    </row>
    <row r="727" ht="67.5" customHeight="1">
      <c r="A727" s="41">
        <v>483.0</v>
      </c>
      <c r="B727" s="42" t="s">
        <v>1938</v>
      </c>
      <c r="C727" s="43">
        <v>2021.0</v>
      </c>
      <c r="D727" s="44" t="s">
        <v>35</v>
      </c>
      <c r="E727" s="45" t="s">
        <v>36</v>
      </c>
      <c r="F727" s="45" t="s">
        <v>36</v>
      </c>
      <c r="G727" s="45" t="s">
        <v>36</v>
      </c>
      <c r="H727" s="45" t="s">
        <v>36</v>
      </c>
      <c r="I727" s="45" t="s">
        <v>36</v>
      </c>
      <c r="J727" s="46" t="s">
        <v>36</v>
      </c>
      <c r="K727" s="47" t="s">
        <v>37</v>
      </c>
      <c r="L727" s="48" t="s">
        <v>35</v>
      </c>
      <c r="M727" s="48" t="s">
        <v>35</v>
      </c>
      <c r="N727" s="48" t="s">
        <v>35</v>
      </c>
      <c r="O727" s="48" t="s">
        <v>35</v>
      </c>
      <c r="P727" s="48" t="s">
        <v>35</v>
      </c>
      <c r="Q727" s="48" t="s">
        <v>37</v>
      </c>
      <c r="R727" s="48" t="s">
        <v>35</v>
      </c>
      <c r="S727" s="49" t="s">
        <v>1939</v>
      </c>
      <c r="T727" s="50" t="s">
        <v>1940</v>
      </c>
      <c r="U727" s="51" t="s">
        <v>1940</v>
      </c>
      <c r="V727" s="52">
        <f t="shared" ref="V727:X727" si="733">IF(lenb(SUBSTITUTE($Z727,V$1&amp;" (1)",""))&lt;lenb($Z727),1,IF(lenb(SUBSTITUTE($Z727,V$1&amp;" (2)",""))&lt;lenb($Z727),2,IF(lenb(SUBSTITUTE($Z727,V$1&amp;" (3)",""))&lt;lenb($Z727),3,IF(lenb(SUBSTITUTE($Z727,V$1&amp;" (4)",""))&lt;lenb($Z727),4,IF(lenb(SUBSTITUTE($Z727,V$1&amp;" (5)",""))&lt;lenb($Z727),5,IF(lenb(SUBSTITUTE($Z727,V$1&amp;" (6)",""))&lt;lenb($Z727),6,IF(lenb(SUBSTITUTE($Z727,V$1&amp;" (7)",""))&lt;lenb($Z727),1,IF(lenb(SUBSTITUTE($Z727,V$1&amp;" (8)",""))&lt;lenb($Z727),8,IF(lenb(SUBSTITUTE($Z727,V$1&amp;" (9)",""))&lt;lenb($Z727),9,IF(lenb(SUBSTITUTE($Z727,V$1&amp;" (10)",""))&lt;lenb($Z727),10,IF(lenb(SUBSTITUTE($Z727,V$1,""))&lt;lenb($Z727),"ERROR",IF($Z727=$Y$1,"-",0))))))))))))</f>
        <v>1</v>
      </c>
      <c r="W727" s="52">
        <f t="shared" si="733"/>
        <v>0</v>
      </c>
      <c r="X727" s="52">
        <f t="shared" si="733"/>
        <v>0</v>
      </c>
      <c r="Y727" s="52" t="str">
        <f t="shared" si="3"/>
        <v>-</v>
      </c>
      <c r="Z727" s="52" t="s">
        <v>62</v>
      </c>
      <c r="AA727" s="53">
        <f t="shared" si="4"/>
        <v>1</v>
      </c>
      <c r="AB727" s="54">
        <f>COUNTIFS(Links!B:B,"ICSE",Links!C:C,A727,Links!AD:AD,1)</f>
        <v>0</v>
      </c>
      <c r="AC727" s="55" t="s">
        <v>35</v>
      </c>
      <c r="AD727" s="47" t="str">
        <f t="shared" si="5"/>
        <v>No</v>
      </c>
      <c r="AE727" s="56" t="s">
        <v>36</v>
      </c>
      <c r="AF727" s="57" t="s">
        <v>42</v>
      </c>
      <c r="AG727" s="57" t="s">
        <v>42</v>
      </c>
      <c r="AH727" s="57" t="s">
        <v>42</v>
      </c>
      <c r="AI727" s="49" t="str">
        <f t="shared" si="661"/>
        <v>----</v>
      </c>
      <c r="AJ727" s="58" t="str">
        <f t="shared" si="7"/>
        <v>Paper has link but no statement</v>
      </c>
      <c r="AK727" s="59">
        <v>45022.0</v>
      </c>
      <c r="AL727" s="43" t="s">
        <v>43</v>
      </c>
      <c r="AM727" s="60" t="str">
        <f t="shared" si="8"/>
        <v>[IP0483]</v>
      </c>
    </row>
    <row r="728" ht="67.5" customHeight="1">
      <c r="A728" s="61">
        <v>484.0</v>
      </c>
      <c r="B728" s="22" t="s">
        <v>1941</v>
      </c>
      <c r="C728" s="23">
        <v>2021.0</v>
      </c>
      <c r="D728" s="24" t="s">
        <v>35</v>
      </c>
      <c r="E728" s="25" t="s">
        <v>36</v>
      </c>
      <c r="F728" s="25" t="s">
        <v>36</v>
      </c>
      <c r="G728" s="25" t="s">
        <v>36</v>
      </c>
      <c r="H728" s="25" t="s">
        <v>36</v>
      </c>
      <c r="I728" s="25" t="s">
        <v>36</v>
      </c>
      <c r="J728" s="26" t="s">
        <v>36</v>
      </c>
      <c r="K728" s="27" t="s">
        <v>37</v>
      </c>
      <c r="L728" s="28" t="s">
        <v>35</v>
      </c>
      <c r="M728" s="28" t="s">
        <v>35</v>
      </c>
      <c r="N728" s="28" t="s">
        <v>35</v>
      </c>
      <c r="O728" s="28" t="s">
        <v>35</v>
      </c>
      <c r="P728" s="28" t="s">
        <v>35</v>
      </c>
      <c r="Q728" s="28" t="s">
        <v>35</v>
      </c>
      <c r="R728" s="28" t="s">
        <v>37</v>
      </c>
      <c r="S728" s="29" t="s">
        <v>1942</v>
      </c>
      <c r="T728" s="30" t="s">
        <v>1943</v>
      </c>
      <c r="U728" s="31" t="s">
        <v>1943</v>
      </c>
      <c r="V728" s="32">
        <f t="shared" ref="V728:X728" si="734">IF(lenb(SUBSTITUTE($Z728,V$1&amp;" (1)",""))&lt;lenb($Z728),1,IF(lenb(SUBSTITUTE($Z728,V$1&amp;" (2)",""))&lt;lenb($Z728),2,IF(lenb(SUBSTITUTE($Z728,V$1&amp;" (3)",""))&lt;lenb($Z728),3,IF(lenb(SUBSTITUTE($Z728,V$1&amp;" (4)",""))&lt;lenb($Z728),4,IF(lenb(SUBSTITUTE($Z728,V$1&amp;" (5)",""))&lt;lenb($Z728),5,IF(lenb(SUBSTITUTE($Z728,V$1&amp;" (6)",""))&lt;lenb($Z728),6,IF(lenb(SUBSTITUTE($Z728,V$1&amp;" (7)",""))&lt;lenb($Z728),1,IF(lenb(SUBSTITUTE($Z728,V$1&amp;" (8)",""))&lt;lenb($Z728),8,IF(lenb(SUBSTITUTE($Z728,V$1&amp;" (9)",""))&lt;lenb($Z728),9,IF(lenb(SUBSTITUTE($Z728,V$1&amp;" (10)",""))&lt;lenb($Z728),10,IF(lenb(SUBSTITUTE($Z728,V$1,""))&lt;lenb($Z728),"ERROR",IF($Z728=$Y$1,"-",0))))))))))))</f>
        <v>1</v>
      </c>
      <c r="W728" s="32">
        <f t="shared" si="734"/>
        <v>0</v>
      </c>
      <c r="X728" s="32">
        <f t="shared" si="734"/>
        <v>0</v>
      </c>
      <c r="Y728" s="32" t="str">
        <f t="shared" si="3"/>
        <v>-</v>
      </c>
      <c r="Z728" s="32" t="s">
        <v>62</v>
      </c>
      <c r="AA728" s="33">
        <f t="shared" si="4"/>
        <v>1</v>
      </c>
      <c r="AB728" s="34">
        <f>COUNTIFS(Links!B:B,"ICSE",Links!C:C,A728,Links!AD:AD,1)</f>
        <v>0</v>
      </c>
      <c r="AC728" s="35" t="s">
        <v>35</v>
      </c>
      <c r="AD728" s="27" t="str">
        <f t="shared" si="5"/>
        <v>Yes</v>
      </c>
      <c r="AE728" s="36" t="s">
        <v>1944</v>
      </c>
      <c r="AF728" s="36" t="s">
        <v>223</v>
      </c>
      <c r="AG728" s="37" t="s">
        <v>42</v>
      </c>
      <c r="AH728" s="37" t="s">
        <v>42</v>
      </c>
      <c r="AI728" s="29" t="str">
        <f t="shared" si="661"/>
        <v>Barriers (Agreements and legal rights)</v>
      </c>
      <c r="AJ728" s="38" t="str">
        <f t="shared" si="7"/>
        <v>Paper has link and statement</v>
      </c>
      <c r="AK728" s="39">
        <v>45022.0</v>
      </c>
      <c r="AL728" s="23" t="s">
        <v>43</v>
      </c>
      <c r="AM728" s="40" t="str">
        <f t="shared" si="8"/>
        <v>[IP0484]</v>
      </c>
    </row>
    <row r="729" ht="67.5" customHeight="1">
      <c r="A729" s="41">
        <v>485.0</v>
      </c>
      <c r="B729" s="42" t="s">
        <v>1945</v>
      </c>
      <c r="C729" s="43">
        <v>2021.0</v>
      </c>
      <c r="D729" s="44" t="s">
        <v>35</v>
      </c>
      <c r="E729" s="45" t="s">
        <v>36</v>
      </c>
      <c r="F729" s="45" t="s">
        <v>36</v>
      </c>
      <c r="G729" s="45" t="s">
        <v>36</v>
      </c>
      <c r="H729" s="45" t="s">
        <v>36</v>
      </c>
      <c r="I729" s="45" t="s">
        <v>36</v>
      </c>
      <c r="J729" s="46" t="s">
        <v>36</v>
      </c>
      <c r="K729" s="47" t="s">
        <v>35</v>
      </c>
      <c r="L729" s="71" t="s">
        <v>36</v>
      </c>
      <c r="M729" s="71" t="s">
        <v>36</v>
      </c>
      <c r="N729" s="71" t="s">
        <v>36</v>
      </c>
      <c r="O729" s="71" t="s">
        <v>36</v>
      </c>
      <c r="P729" s="71" t="s">
        <v>36</v>
      </c>
      <c r="Q729" s="71" t="s">
        <v>36</v>
      </c>
      <c r="R729" s="71" t="s">
        <v>36</v>
      </c>
      <c r="S729" s="57" t="s">
        <v>36</v>
      </c>
      <c r="T729" s="50" t="s">
        <v>36</v>
      </c>
      <c r="U729" s="51" t="s">
        <v>36</v>
      </c>
      <c r="V729" s="52" t="str">
        <f t="shared" ref="V729:X729" si="735">IF(lenb(SUBSTITUTE($Z729,V$1&amp;" (1)",""))&lt;lenb($Z729),1,IF(lenb(SUBSTITUTE($Z729,V$1&amp;" (2)",""))&lt;lenb($Z729),2,IF(lenb(SUBSTITUTE($Z729,V$1&amp;" (3)",""))&lt;lenb($Z729),3,IF(lenb(SUBSTITUTE($Z729,V$1&amp;" (4)",""))&lt;lenb($Z729),4,IF(lenb(SUBSTITUTE($Z729,V$1&amp;" (5)",""))&lt;lenb($Z729),5,IF(lenb(SUBSTITUTE($Z729,V$1&amp;" (6)",""))&lt;lenb($Z729),6,IF(lenb(SUBSTITUTE($Z729,V$1&amp;" (7)",""))&lt;lenb($Z729),1,IF(lenb(SUBSTITUTE($Z729,V$1&amp;" (8)",""))&lt;lenb($Z729),8,IF(lenb(SUBSTITUTE($Z729,V$1&amp;" (9)",""))&lt;lenb($Z729),9,IF(lenb(SUBSTITUTE($Z729,V$1&amp;" (10)",""))&lt;lenb($Z729),10,IF(lenb(SUBSTITUTE($Z729,V$1,""))&lt;lenb($Z729),"ERROR",IF($Z729=$Y$1,"-",0))))))))))))</f>
        <v>-</v>
      </c>
      <c r="W729" s="52" t="str">
        <f t="shared" si="735"/>
        <v>-</v>
      </c>
      <c r="X729" s="52" t="str">
        <f t="shared" si="735"/>
        <v>-</v>
      </c>
      <c r="Y729" s="52">
        <f t="shared" si="3"/>
        <v>1</v>
      </c>
      <c r="Z729" s="52" t="s">
        <v>23</v>
      </c>
      <c r="AA729" s="53">
        <f t="shared" si="4"/>
        <v>0</v>
      </c>
      <c r="AB729" s="54">
        <f>COUNTIFS(Links!B:B,"ICSE",Links!C:C,A729,Links!AD:AD,1)</f>
        <v>0</v>
      </c>
      <c r="AC729" s="55" t="s">
        <v>36</v>
      </c>
      <c r="AD729" s="47" t="str">
        <f t="shared" si="5"/>
        <v>No</v>
      </c>
      <c r="AE729" s="56" t="s">
        <v>36</v>
      </c>
      <c r="AF729" s="57" t="s">
        <v>42</v>
      </c>
      <c r="AG729" s="57" t="s">
        <v>42</v>
      </c>
      <c r="AH729" s="57" t="s">
        <v>42</v>
      </c>
      <c r="AI729" s="49" t="str">
        <f t="shared" si="661"/>
        <v>----</v>
      </c>
      <c r="AJ729" s="58" t="str">
        <f t="shared" si="7"/>
        <v>Paper has no link and no statement</v>
      </c>
      <c r="AK729" s="59">
        <v>45022.0</v>
      </c>
      <c r="AL729" s="43" t="s">
        <v>43</v>
      </c>
      <c r="AM729" s="60" t="str">
        <f t="shared" si="8"/>
        <v>[IP0485]</v>
      </c>
    </row>
    <row r="730" ht="67.5" customHeight="1">
      <c r="A730" s="61">
        <v>486.0</v>
      </c>
      <c r="B730" s="22" t="s">
        <v>1946</v>
      </c>
      <c r="C730" s="23">
        <v>2021.0</v>
      </c>
      <c r="D730" s="24" t="s">
        <v>35</v>
      </c>
      <c r="E730" s="25" t="s">
        <v>36</v>
      </c>
      <c r="F730" s="25" t="s">
        <v>36</v>
      </c>
      <c r="G730" s="25" t="s">
        <v>36</v>
      </c>
      <c r="H730" s="25" t="s">
        <v>36</v>
      </c>
      <c r="I730" s="25" t="s">
        <v>36</v>
      </c>
      <c r="J730" s="26" t="s">
        <v>36</v>
      </c>
      <c r="K730" s="27" t="s">
        <v>37</v>
      </c>
      <c r="L730" s="28" t="s">
        <v>37</v>
      </c>
      <c r="M730" s="28" t="s">
        <v>37</v>
      </c>
      <c r="N730" s="28" t="s">
        <v>35</v>
      </c>
      <c r="O730" s="28" t="s">
        <v>35</v>
      </c>
      <c r="P730" s="28" t="s">
        <v>35</v>
      </c>
      <c r="Q730" s="28" t="s">
        <v>35</v>
      </c>
      <c r="R730" s="28" t="s">
        <v>37</v>
      </c>
      <c r="S730" s="29" t="s">
        <v>1947</v>
      </c>
      <c r="T730" s="30" t="s">
        <v>1948</v>
      </c>
      <c r="U730" s="31" t="s">
        <v>1948</v>
      </c>
      <c r="V730" s="32">
        <f t="shared" ref="V730:X730" si="736">IF(lenb(SUBSTITUTE($Z730,V$1&amp;" (1)",""))&lt;lenb($Z730),1,IF(lenb(SUBSTITUTE($Z730,V$1&amp;" (2)",""))&lt;lenb($Z730),2,IF(lenb(SUBSTITUTE($Z730,V$1&amp;" (3)",""))&lt;lenb($Z730),3,IF(lenb(SUBSTITUTE($Z730,V$1&amp;" (4)",""))&lt;lenb($Z730),4,IF(lenb(SUBSTITUTE($Z730,V$1&amp;" (5)",""))&lt;lenb($Z730),5,IF(lenb(SUBSTITUTE($Z730,V$1&amp;" (6)",""))&lt;lenb($Z730),6,IF(lenb(SUBSTITUTE($Z730,V$1&amp;" (7)",""))&lt;lenb($Z730),1,IF(lenb(SUBSTITUTE($Z730,V$1&amp;" (8)",""))&lt;lenb($Z730),8,IF(lenb(SUBSTITUTE($Z730,V$1&amp;" (9)",""))&lt;lenb($Z730),9,IF(lenb(SUBSTITUTE($Z730,V$1&amp;" (10)",""))&lt;lenb($Z730),10,IF(lenb(SUBSTITUTE($Z730,V$1,""))&lt;lenb($Z730),"ERROR",IF($Z730=$Y$1,"-",0))))))))))))</f>
        <v>1</v>
      </c>
      <c r="W730" s="32">
        <f t="shared" si="736"/>
        <v>0</v>
      </c>
      <c r="X730" s="32">
        <f t="shared" si="736"/>
        <v>0</v>
      </c>
      <c r="Y730" s="32" t="str">
        <f t="shared" si="3"/>
        <v>-</v>
      </c>
      <c r="Z730" s="32" t="s">
        <v>62</v>
      </c>
      <c r="AA730" s="33">
        <f t="shared" si="4"/>
        <v>1</v>
      </c>
      <c r="AB730" s="34">
        <f>COUNTIFS(Links!B:B,"ICSE",Links!C:C,A730,Links!AD:AD,1)</f>
        <v>0</v>
      </c>
      <c r="AC730" s="35" t="s">
        <v>35</v>
      </c>
      <c r="AD730" s="27" t="str">
        <f t="shared" si="5"/>
        <v>No</v>
      </c>
      <c r="AE730" s="36" t="s">
        <v>36</v>
      </c>
      <c r="AF730" s="37" t="s">
        <v>42</v>
      </c>
      <c r="AG730" s="37" t="s">
        <v>42</v>
      </c>
      <c r="AH730" s="37" t="s">
        <v>42</v>
      </c>
      <c r="AI730" s="29" t="str">
        <f t="shared" si="661"/>
        <v>----</v>
      </c>
      <c r="AJ730" s="38" t="str">
        <f t="shared" si="7"/>
        <v>Paper has link but no statement</v>
      </c>
      <c r="AK730" s="39">
        <v>45022.0</v>
      </c>
      <c r="AL730" s="23" t="s">
        <v>43</v>
      </c>
      <c r="AM730" s="40" t="str">
        <f t="shared" si="8"/>
        <v>[IP0486]</v>
      </c>
    </row>
    <row r="731" ht="67.5" customHeight="1">
      <c r="A731" s="41">
        <v>487.0</v>
      </c>
      <c r="B731" s="42" t="s">
        <v>1949</v>
      </c>
      <c r="C731" s="43">
        <v>2021.0</v>
      </c>
      <c r="D731" s="44" t="s">
        <v>35</v>
      </c>
      <c r="E731" s="45" t="s">
        <v>36</v>
      </c>
      <c r="F731" s="45" t="s">
        <v>36</v>
      </c>
      <c r="G731" s="45" t="s">
        <v>36</v>
      </c>
      <c r="H731" s="45" t="s">
        <v>36</v>
      </c>
      <c r="I731" s="45" t="s">
        <v>36</v>
      </c>
      <c r="J731" s="46" t="s">
        <v>36</v>
      </c>
      <c r="K731" s="47" t="s">
        <v>37</v>
      </c>
      <c r="L731" s="48" t="s">
        <v>35</v>
      </c>
      <c r="M731" s="48" t="s">
        <v>37</v>
      </c>
      <c r="N731" s="48" t="s">
        <v>37</v>
      </c>
      <c r="O731" s="48" t="s">
        <v>35</v>
      </c>
      <c r="P731" s="48" t="s">
        <v>35</v>
      </c>
      <c r="Q731" s="48" t="s">
        <v>35</v>
      </c>
      <c r="R731" s="48" t="s">
        <v>37</v>
      </c>
      <c r="S731" s="49" t="s">
        <v>1950</v>
      </c>
      <c r="T731" s="50" t="s">
        <v>1951</v>
      </c>
      <c r="U731" s="51" t="s">
        <v>1951</v>
      </c>
      <c r="V731" s="52">
        <f t="shared" ref="V731:X731" si="737">IF(lenb(SUBSTITUTE($Z731,V$1&amp;" (1)",""))&lt;lenb($Z731),1,IF(lenb(SUBSTITUTE($Z731,V$1&amp;" (2)",""))&lt;lenb($Z731),2,IF(lenb(SUBSTITUTE($Z731,V$1&amp;" (3)",""))&lt;lenb($Z731),3,IF(lenb(SUBSTITUTE($Z731,V$1&amp;" (4)",""))&lt;lenb($Z731),4,IF(lenb(SUBSTITUTE($Z731,V$1&amp;" (5)",""))&lt;lenb($Z731),5,IF(lenb(SUBSTITUTE($Z731,V$1&amp;" (6)",""))&lt;lenb($Z731),6,IF(lenb(SUBSTITUTE($Z731,V$1&amp;" (7)",""))&lt;lenb($Z731),1,IF(lenb(SUBSTITUTE($Z731,V$1&amp;" (8)",""))&lt;lenb($Z731),8,IF(lenb(SUBSTITUTE($Z731,V$1&amp;" (9)",""))&lt;lenb($Z731),9,IF(lenb(SUBSTITUTE($Z731,V$1&amp;" (10)",""))&lt;lenb($Z731),10,IF(lenb(SUBSTITUTE($Z731,V$1,""))&lt;lenb($Z731),"ERROR",IF($Z731=$Y$1,"-",0))))))))))))</f>
        <v>1</v>
      </c>
      <c r="W731" s="52">
        <f t="shared" si="737"/>
        <v>0</v>
      </c>
      <c r="X731" s="52">
        <f t="shared" si="737"/>
        <v>0</v>
      </c>
      <c r="Y731" s="52" t="str">
        <f t="shared" si="3"/>
        <v>-</v>
      </c>
      <c r="Z731" s="52" t="s">
        <v>62</v>
      </c>
      <c r="AA731" s="53">
        <f t="shared" si="4"/>
        <v>1</v>
      </c>
      <c r="AB731" s="54">
        <f>COUNTIFS(Links!B:B,"ICSE",Links!C:C,A731,Links!AD:AD,1)</f>
        <v>0</v>
      </c>
      <c r="AC731" s="55" t="s">
        <v>35</v>
      </c>
      <c r="AD731" s="47" t="str">
        <f t="shared" si="5"/>
        <v>No</v>
      </c>
      <c r="AE731" s="56" t="s">
        <v>36</v>
      </c>
      <c r="AF731" s="57" t="s">
        <v>42</v>
      </c>
      <c r="AG731" s="57" t="s">
        <v>42</v>
      </c>
      <c r="AH731" s="57" t="s">
        <v>42</v>
      </c>
      <c r="AI731" s="49" t="str">
        <f t="shared" si="661"/>
        <v>----</v>
      </c>
      <c r="AJ731" s="58" t="str">
        <f t="shared" si="7"/>
        <v>Paper has link but no statement</v>
      </c>
      <c r="AK731" s="59">
        <v>45022.0</v>
      </c>
      <c r="AL731" s="43" t="s">
        <v>43</v>
      </c>
      <c r="AM731" s="60" t="str">
        <f t="shared" si="8"/>
        <v>[IP0487]</v>
      </c>
    </row>
    <row r="732" ht="67.5" customHeight="1">
      <c r="A732" s="61">
        <v>488.0</v>
      </c>
      <c r="B732" s="22" t="s">
        <v>1952</v>
      </c>
      <c r="C732" s="23">
        <v>2021.0</v>
      </c>
      <c r="D732" s="24" t="s">
        <v>35</v>
      </c>
      <c r="E732" s="25" t="s">
        <v>36</v>
      </c>
      <c r="F732" s="25" t="s">
        <v>36</v>
      </c>
      <c r="G732" s="25" t="s">
        <v>36</v>
      </c>
      <c r="H732" s="25" t="s">
        <v>36</v>
      </c>
      <c r="I732" s="25" t="s">
        <v>36</v>
      </c>
      <c r="J732" s="26" t="s">
        <v>36</v>
      </c>
      <c r="K732" s="27" t="s">
        <v>37</v>
      </c>
      <c r="L732" s="28" t="s">
        <v>37</v>
      </c>
      <c r="M732" s="28" t="s">
        <v>35</v>
      </c>
      <c r="N732" s="28" t="s">
        <v>37</v>
      </c>
      <c r="O732" s="28" t="s">
        <v>35</v>
      </c>
      <c r="P732" s="28" t="s">
        <v>35</v>
      </c>
      <c r="Q732" s="28" t="s">
        <v>35</v>
      </c>
      <c r="R732" s="28" t="s">
        <v>35</v>
      </c>
      <c r="S732" s="29" t="s">
        <v>1953</v>
      </c>
      <c r="T732" s="30" t="s">
        <v>1954</v>
      </c>
      <c r="U732" s="31" t="s">
        <v>1954</v>
      </c>
      <c r="V732" s="32">
        <f t="shared" ref="V732:X732" si="738">IF(lenb(SUBSTITUTE($Z732,V$1&amp;" (1)",""))&lt;lenb($Z732),1,IF(lenb(SUBSTITUTE($Z732,V$1&amp;" (2)",""))&lt;lenb($Z732),2,IF(lenb(SUBSTITUTE($Z732,V$1&amp;" (3)",""))&lt;lenb($Z732),3,IF(lenb(SUBSTITUTE($Z732,V$1&amp;" (4)",""))&lt;lenb($Z732),4,IF(lenb(SUBSTITUTE($Z732,V$1&amp;" (5)",""))&lt;lenb($Z732),5,IF(lenb(SUBSTITUTE($Z732,V$1&amp;" (6)",""))&lt;lenb($Z732),6,IF(lenb(SUBSTITUTE($Z732,V$1&amp;" (7)",""))&lt;lenb($Z732),1,IF(lenb(SUBSTITUTE($Z732,V$1&amp;" (8)",""))&lt;lenb($Z732),8,IF(lenb(SUBSTITUTE($Z732,V$1&amp;" (9)",""))&lt;lenb($Z732),9,IF(lenb(SUBSTITUTE($Z732,V$1&amp;" (10)",""))&lt;lenb($Z732),10,IF(lenb(SUBSTITUTE($Z732,V$1,""))&lt;lenb($Z732),"ERROR",IF($Z732=$Y$1,"-",0))))))))))))</f>
        <v>1</v>
      </c>
      <c r="W732" s="32">
        <f t="shared" si="738"/>
        <v>0</v>
      </c>
      <c r="X732" s="32">
        <f t="shared" si="738"/>
        <v>0</v>
      </c>
      <c r="Y732" s="32" t="str">
        <f t="shared" si="3"/>
        <v>-</v>
      </c>
      <c r="Z732" s="32" t="s">
        <v>62</v>
      </c>
      <c r="AA732" s="33">
        <f t="shared" si="4"/>
        <v>1</v>
      </c>
      <c r="AB732" s="34">
        <f>COUNTIFS(Links!B:B,"ICSE",Links!C:C,A732,Links!AD:AD,1)</f>
        <v>0</v>
      </c>
      <c r="AC732" s="35" t="s">
        <v>37</v>
      </c>
      <c r="AD732" s="27" t="str">
        <f t="shared" si="5"/>
        <v>No</v>
      </c>
      <c r="AE732" s="36" t="s">
        <v>36</v>
      </c>
      <c r="AF732" s="37" t="s">
        <v>42</v>
      </c>
      <c r="AG732" s="37" t="s">
        <v>42</v>
      </c>
      <c r="AH732" s="37" t="s">
        <v>42</v>
      </c>
      <c r="AI732" s="29" t="str">
        <f t="shared" si="661"/>
        <v>----</v>
      </c>
      <c r="AJ732" s="38" t="str">
        <f t="shared" si="7"/>
        <v>Paper has link but no statement</v>
      </c>
      <c r="AK732" s="39">
        <v>45022.0</v>
      </c>
      <c r="AL732" s="23" t="s">
        <v>43</v>
      </c>
      <c r="AM732" s="40" t="str">
        <f t="shared" si="8"/>
        <v>[IP0488]</v>
      </c>
    </row>
    <row r="733" ht="67.5" customHeight="1">
      <c r="A733" s="41">
        <v>489.0</v>
      </c>
      <c r="B733" s="42" t="s">
        <v>1955</v>
      </c>
      <c r="C733" s="43">
        <v>2021.0</v>
      </c>
      <c r="D733" s="44" t="s">
        <v>37</v>
      </c>
      <c r="E733" s="45" t="s">
        <v>35</v>
      </c>
      <c r="F733" s="45" t="s">
        <v>35</v>
      </c>
      <c r="G733" s="45" t="s">
        <v>37</v>
      </c>
      <c r="H733" s="45" t="s">
        <v>35</v>
      </c>
      <c r="I733" s="45" t="s">
        <v>35</v>
      </c>
      <c r="J733" s="46" t="s">
        <v>36</v>
      </c>
      <c r="K733" s="47" t="s">
        <v>37</v>
      </c>
      <c r="L733" s="48" t="s">
        <v>35</v>
      </c>
      <c r="M733" s="48" t="s">
        <v>37</v>
      </c>
      <c r="N733" s="48" t="s">
        <v>35</v>
      </c>
      <c r="O733" s="48" t="s">
        <v>35</v>
      </c>
      <c r="P733" s="48" t="s">
        <v>35</v>
      </c>
      <c r="Q733" s="48" t="s">
        <v>35</v>
      </c>
      <c r="R733" s="48" t="s">
        <v>37</v>
      </c>
      <c r="S733" s="49" t="s">
        <v>1956</v>
      </c>
      <c r="T733" s="50" t="s">
        <v>1957</v>
      </c>
      <c r="U733" s="51" t="s">
        <v>1957</v>
      </c>
      <c r="V733" s="52">
        <f t="shared" ref="V733:X733" si="739">IF(lenb(SUBSTITUTE($Z733,V$1&amp;" (1)",""))&lt;lenb($Z733),1,IF(lenb(SUBSTITUTE($Z733,V$1&amp;" (2)",""))&lt;lenb($Z733),2,IF(lenb(SUBSTITUTE($Z733,V$1&amp;" (3)",""))&lt;lenb($Z733),3,IF(lenb(SUBSTITUTE($Z733,V$1&amp;" (4)",""))&lt;lenb($Z733),4,IF(lenb(SUBSTITUTE($Z733,V$1&amp;" (5)",""))&lt;lenb($Z733),5,IF(lenb(SUBSTITUTE($Z733,V$1&amp;" (6)",""))&lt;lenb($Z733),6,IF(lenb(SUBSTITUTE($Z733,V$1&amp;" (7)",""))&lt;lenb($Z733),1,IF(lenb(SUBSTITUTE($Z733,V$1&amp;" (8)",""))&lt;lenb($Z733),8,IF(lenb(SUBSTITUTE($Z733,V$1&amp;" (9)",""))&lt;lenb($Z733),9,IF(lenb(SUBSTITUTE($Z733,V$1&amp;" (10)",""))&lt;lenb($Z733),10,IF(lenb(SUBSTITUTE($Z733,V$1,""))&lt;lenb($Z733),"ERROR",IF($Z733=$Y$1,"-",0))))))))))))</f>
        <v>1</v>
      </c>
      <c r="W733" s="52">
        <f t="shared" si="739"/>
        <v>0</v>
      </c>
      <c r="X733" s="52">
        <f t="shared" si="739"/>
        <v>0</v>
      </c>
      <c r="Y733" s="52" t="str">
        <f t="shared" si="3"/>
        <v>-</v>
      </c>
      <c r="Z733" s="52" t="s">
        <v>62</v>
      </c>
      <c r="AA733" s="53">
        <f t="shared" si="4"/>
        <v>1</v>
      </c>
      <c r="AB733" s="54">
        <f>COUNTIFS(Links!B:B,"ICSE",Links!C:C,A733,Links!AD:AD,1)</f>
        <v>0</v>
      </c>
      <c r="AC733" s="55" t="s">
        <v>35</v>
      </c>
      <c r="AD733" s="47" t="str">
        <f t="shared" si="5"/>
        <v>No</v>
      </c>
      <c r="AE733" s="56" t="s">
        <v>36</v>
      </c>
      <c r="AF733" s="57" t="s">
        <v>42</v>
      </c>
      <c r="AG733" s="57" t="s">
        <v>42</v>
      </c>
      <c r="AH733" s="57" t="s">
        <v>42</v>
      </c>
      <c r="AI733" s="49" t="str">
        <f t="shared" si="661"/>
        <v>----</v>
      </c>
      <c r="AJ733" s="58" t="str">
        <f t="shared" si="7"/>
        <v>Paper has link but no statement</v>
      </c>
      <c r="AK733" s="59">
        <v>45022.0</v>
      </c>
      <c r="AL733" s="43" t="s">
        <v>43</v>
      </c>
      <c r="AM733" s="60" t="str">
        <f t="shared" si="8"/>
        <v>[IP0489]</v>
      </c>
    </row>
    <row r="734" ht="67.5" customHeight="1">
      <c r="A734" s="61">
        <v>490.0</v>
      </c>
      <c r="B734" s="22" t="s">
        <v>1958</v>
      </c>
      <c r="C734" s="23">
        <v>2021.0</v>
      </c>
      <c r="D734" s="24" t="s">
        <v>35</v>
      </c>
      <c r="E734" s="25" t="s">
        <v>36</v>
      </c>
      <c r="F734" s="25" t="s">
        <v>36</v>
      </c>
      <c r="G734" s="25" t="s">
        <v>36</v>
      </c>
      <c r="H734" s="25" t="s">
        <v>36</v>
      </c>
      <c r="I734" s="25" t="s">
        <v>36</v>
      </c>
      <c r="J734" s="26" t="s">
        <v>36</v>
      </c>
      <c r="K734" s="27" t="s">
        <v>37</v>
      </c>
      <c r="L734" s="28" t="s">
        <v>37</v>
      </c>
      <c r="M734" s="28" t="s">
        <v>35</v>
      </c>
      <c r="N734" s="28" t="s">
        <v>37</v>
      </c>
      <c r="O734" s="28" t="s">
        <v>35</v>
      </c>
      <c r="P734" s="28" t="s">
        <v>35</v>
      </c>
      <c r="Q734" s="28" t="s">
        <v>35</v>
      </c>
      <c r="R734" s="28" t="s">
        <v>35</v>
      </c>
      <c r="S734" s="29" t="s">
        <v>1959</v>
      </c>
      <c r="T734" s="30" t="s">
        <v>1960</v>
      </c>
      <c r="U734" s="31" t="s">
        <v>1960</v>
      </c>
      <c r="V734" s="32">
        <f t="shared" ref="V734:X734" si="740">IF(lenb(SUBSTITUTE($Z734,V$1&amp;" (1)",""))&lt;lenb($Z734),1,IF(lenb(SUBSTITUTE($Z734,V$1&amp;" (2)",""))&lt;lenb($Z734),2,IF(lenb(SUBSTITUTE($Z734,V$1&amp;" (3)",""))&lt;lenb($Z734),3,IF(lenb(SUBSTITUTE($Z734,V$1&amp;" (4)",""))&lt;lenb($Z734),4,IF(lenb(SUBSTITUTE($Z734,V$1&amp;" (5)",""))&lt;lenb($Z734),5,IF(lenb(SUBSTITUTE($Z734,V$1&amp;" (6)",""))&lt;lenb($Z734),6,IF(lenb(SUBSTITUTE($Z734,V$1&amp;" (7)",""))&lt;lenb($Z734),1,IF(lenb(SUBSTITUTE($Z734,V$1&amp;" (8)",""))&lt;lenb($Z734),8,IF(lenb(SUBSTITUTE($Z734,V$1&amp;" (9)",""))&lt;lenb($Z734),9,IF(lenb(SUBSTITUTE($Z734,V$1&amp;" (10)",""))&lt;lenb($Z734),10,IF(lenb(SUBSTITUTE($Z734,V$1,""))&lt;lenb($Z734),"ERROR",IF($Z734=$Y$1,"-",0))))))))))))</f>
        <v>1</v>
      </c>
      <c r="W734" s="32">
        <f t="shared" si="740"/>
        <v>0</v>
      </c>
      <c r="X734" s="32">
        <f t="shared" si="740"/>
        <v>0</v>
      </c>
      <c r="Y734" s="32" t="str">
        <f t="shared" si="3"/>
        <v>-</v>
      </c>
      <c r="Z734" s="32" t="s">
        <v>62</v>
      </c>
      <c r="AA734" s="33">
        <f t="shared" si="4"/>
        <v>1</v>
      </c>
      <c r="AB734" s="34">
        <f>COUNTIFS(Links!B:B,"ICSE",Links!C:C,A734,Links!AD:AD,1)</f>
        <v>0</v>
      </c>
      <c r="AC734" s="35" t="s">
        <v>35</v>
      </c>
      <c r="AD734" s="27" t="str">
        <f t="shared" si="5"/>
        <v>No</v>
      </c>
      <c r="AE734" s="36" t="s">
        <v>36</v>
      </c>
      <c r="AF734" s="37" t="s">
        <v>42</v>
      </c>
      <c r="AG734" s="37" t="s">
        <v>42</v>
      </c>
      <c r="AH734" s="37" t="s">
        <v>42</v>
      </c>
      <c r="AI734" s="29" t="str">
        <f t="shared" si="661"/>
        <v>----</v>
      </c>
      <c r="AJ734" s="38" t="str">
        <f t="shared" si="7"/>
        <v>Paper has link but no statement</v>
      </c>
      <c r="AK734" s="39">
        <v>45022.0</v>
      </c>
      <c r="AL734" s="23" t="s">
        <v>43</v>
      </c>
      <c r="AM734" s="40" t="str">
        <f t="shared" si="8"/>
        <v>[IP0490]</v>
      </c>
    </row>
    <row r="735" ht="67.5" customHeight="1">
      <c r="A735" s="41">
        <v>491.0</v>
      </c>
      <c r="B735" s="42" t="s">
        <v>1961</v>
      </c>
      <c r="C735" s="43">
        <v>2021.0</v>
      </c>
      <c r="D735" s="44" t="s">
        <v>35</v>
      </c>
      <c r="E735" s="45" t="s">
        <v>36</v>
      </c>
      <c r="F735" s="45" t="s">
        <v>36</v>
      </c>
      <c r="G735" s="45" t="s">
        <v>36</v>
      </c>
      <c r="H735" s="45" t="s">
        <v>36</v>
      </c>
      <c r="I735" s="45" t="s">
        <v>36</v>
      </c>
      <c r="J735" s="46" t="s">
        <v>36</v>
      </c>
      <c r="K735" s="47" t="s">
        <v>35</v>
      </c>
      <c r="L735" s="71" t="s">
        <v>36</v>
      </c>
      <c r="M735" s="71" t="s">
        <v>36</v>
      </c>
      <c r="N735" s="71" t="s">
        <v>36</v>
      </c>
      <c r="O735" s="71" t="s">
        <v>36</v>
      </c>
      <c r="P735" s="71" t="s">
        <v>36</v>
      </c>
      <c r="Q735" s="71" t="s">
        <v>36</v>
      </c>
      <c r="R735" s="71" t="s">
        <v>36</v>
      </c>
      <c r="S735" s="57" t="s">
        <v>36</v>
      </c>
      <c r="T735" s="50" t="s">
        <v>36</v>
      </c>
      <c r="U735" s="51" t="s">
        <v>36</v>
      </c>
      <c r="V735" s="52" t="str">
        <f t="shared" ref="V735:X735" si="741">IF(lenb(SUBSTITUTE($Z735,V$1&amp;" (1)",""))&lt;lenb($Z735),1,IF(lenb(SUBSTITUTE($Z735,V$1&amp;" (2)",""))&lt;lenb($Z735),2,IF(lenb(SUBSTITUTE($Z735,V$1&amp;" (3)",""))&lt;lenb($Z735),3,IF(lenb(SUBSTITUTE($Z735,V$1&amp;" (4)",""))&lt;lenb($Z735),4,IF(lenb(SUBSTITUTE($Z735,V$1&amp;" (5)",""))&lt;lenb($Z735),5,IF(lenb(SUBSTITUTE($Z735,V$1&amp;" (6)",""))&lt;lenb($Z735),6,IF(lenb(SUBSTITUTE($Z735,V$1&amp;" (7)",""))&lt;lenb($Z735),1,IF(lenb(SUBSTITUTE($Z735,V$1&amp;" (8)",""))&lt;lenb($Z735),8,IF(lenb(SUBSTITUTE($Z735,V$1&amp;" (9)",""))&lt;lenb($Z735),9,IF(lenb(SUBSTITUTE($Z735,V$1&amp;" (10)",""))&lt;lenb($Z735),10,IF(lenb(SUBSTITUTE($Z735,V$1,""))&lt;lenb($Z735),"ERROR",IF($Z735=$Y$1,"-",0))))))))))))</f>
        <v>-</v>
      </c>
      <c r="W735" s="52" t="str">
        <f t="shared" si="741"/>
        <v>-</v>
      </c>
      <c r="X735" s="52" t="str">
        <f t="shared" si="741"/>
        <v>-</v>
      </c>
      <c r="Y735" s="52">
        <f t="shared" si="3"/>
        <v>1</v>
      </c>
      <c r="Z735" s="52" t="s">
        <v>23</v>
      </c>
      <c r="AA735" s="53">
        <f t="shared" si="4"/>
        <v>0</v>
      </c>
      <c r="AB735" s="54">
        <f>COUNTIFS(Links!B:B,"ICSE",Links!C:C,A735,Links!AD:AD,1)</f>
        <v>0</v>
      </c>
      <c r="AC735" s="55" t="s">
        <v>36</v>
      </c>
      <c r="AD735" s="47" t="str">
        <f t="shared" si="5"/>
        <v>Yes</v>
      </c>
      <c r="AE735" s="56" t="s">
        <v>1962</v>
      </c>
      <c r="AF735" s="56" t="s">
        <v>281</v>
      </c>
      <c r="AG735" s="56" t="s">
        <v>822</v>
      </c>
      <c r="AH735" s="57" t="s">
        <v>42</v>
      </c>
      <c r="AI735" s="49" t="str">
        <f t="shared" si="661"/>
        <v>Barriers (Confidentiality and privacy)
Limited access (Request required)</v>
      </c>
      <c r="AJ735" s="58" t="str">
        <f t="shared" si="7"/>
        <v>Paper has no link but has statement</v>
      </c>
      <c r="AK735" s="59">
        <v>45022.0</v>
      </c>
      <c r="AL735" s="43" t="s">
        <v>43</v>
      </c>
      <c r="AM735" s="60" t="str">
        <f t="shared" si="8"/>
        <v>[IP0491]</v>
      </c>
    </row>
    <row r="736" ht="67.5" customHeight="1">
      <c r="A736" s="61">
        <v>492.0</v>
      </c>
      <c r="B736" s="22" t="s">
        <v>1963</v>
      </c>
      <c r="C736" s="23">
        <v>2021.0</v>
      </c>
      <c r="D736" s="24" t="s">
        <v>37</v>
      </c>
      <c r="E736" s="25" t="s">
        <v>37</v>
      </c>
      <c r="F736" s="25" t="s">
        <v>35</v>
      </c>
      <c r="G736" s="25" t="s">
        <v>37</v>
      </c>
      <c r="H736" s="25" t="s">
        <v>35</v>
      </c>
      <c r="I736" s="25" t="s">
        <v>35</v>
      </c>
      <c r="J736" s="26" t="s">
        <v>36</v>
      </c>
      <c r="K736" s="27" t="s">
        <v>37</v>
      </c>
      <c r="L736" s="28" t="s">
        <v>35</v>
      </c>
      <c r="M736" s="28" t="s">
        <v>37</v>
      </c>
      <c r="N736" s="28" t="s">
        <v>35</v>
      </c>
      <c r="O736" s="28" t="s">
        <v>35</v>
      </c>
      <c r="P736" s="28" t="s">
        <v>35</v>
      </c>
      <c r="Q736" s="28" t="s">
        <v>35</v>
      </c>
      <c r="R736" s="28" t="s">
        <v>37</v>
      </c>
      <c r="S736" s="29" t="s">
        <v>1964</v>
      </c>
      <c r="T736" s="30" t="s">
        <v>1965</v>
      </c>
      <c r="U736" s="31" t="s">
        <v>1965</v>
      </c>
      <c r="V736" s="32">
        <f t="shared" ref="V736:X736" si="742">IF(lenb(SUBSTITUTE($Z736,V$1&amp;" (1)",""))&lt;lenb($Z736),1,IF(lenb(SUBSTITUTE($Z736,V$1&amp;" (2)",""))&lt;lenb($Z736),2,IF(lenb(SUBSTITUTE($Z736,V$1&amp;" (3)",""))&lt;lenb($Z736),3,IF(lenb(SUBSTITUTE($Z736,V$1&amp;" (4)",""))&lt;lenb($Z736),4,IF(lenb(SUBSTITUTE($Z736,V$1&amp;" (5)",""))&lt;lenb($Z736),5,IF(lenb(SUBSTITUTE($Z736,V$1&amp;" (6)",""))&lt;lenb($Z736),6,IF(lenb(SUBSTITUTE($Z736,V$1&amp;" (7)",""))&lt;lenb($Z736),1,IF(lenb(SUBSTITUTE($Z736,V$1&amp;" (8)",""))&lt;lenb($Z736),8,IF(lenb(SUBSTITUTE($Z736,V$1&amp;" (9)",""))&lt;lenb($Z736),9,IF(lenb(SUBSTITUTE($Z736,V$1&amp;" (10)",""))&lt;lenb($Z736),10,IF(lenb(SUBSTITUTE($Z736,V$1,""))&lt;lenb($Z736),"ERROR",IF($Z736=$Y$1,"-",0))))))))))))</f>
        <v>1</v>
      </c>
      <c r="W736" s="32">
        <f t="shared" si="742"/>
        <v>0</v>
      </c>
      <c r="X736" s="32">
        <f t="shared" si="742"/>
        <v>0</v>
      </c>
      <c r="Y736" s="32" t="str">
        <f t="shared" si="3"/>
        <v>-</v>
      </c>
      <c r="Z736" s="32" t="s">
        <v>62</v>
      </c>
      <c r="AA736" s="33">
        <f t="shared" si="4"/>
        <v>1</v>
      </c>
      <c r="AB736" s="34">
        <f>COUNTIFS(Links!B:B,"ICSE",Links!C:C,A736,Links!AD:AD,1)</f>
        <v>0</v>
      </c>
      <c r="AC736" s="35" t="s">
        <v>37</v>
      </c>
      <c r="AD736" s="27" t="str">
        <f t="shared" si="5"/>
        <v>No</v>
      </c>
      <c r="AE736" s="36" t="s">
        <v>36</v>
      </c>
      <c r="AF736" s="37" t="s">
        <v>42</v>
      </c>
      <c r="AG736" s="37" t="s">
        <v>42</v>
      </c>
      <c r="AH736" s="37" t="s">
        <v>42</v>
      </c>
      <c r="AI736" s="29" t="str">
        <f t="shared" si="661"/>
        <v>----</v>
      </c>
      <c r="AJ736" s="38" t="str">
        <f t="shared" si="7"/>
        <v>Paper has link but no statement</v>
      </c>
      <c r="AK736" s="39">
        <v>45022.0</v>
      </c>
      <c r="AL736" s="23" t="s">
        <v>43</v>
      </c>
      <c r="AM736" s="40" t="str">
        <f t="shared" si="8"/>
        <v>[IP0492]</v>
      </c>
    </row>
    <row r="737" ht="67.5" customHeight="1">
      <c r="A737" s="41">
        <v>493.0</v>
      </c>
      <c r="B737" s="42" t="s">
        <v>1966</v>
      </c>
      <c r="C737" s="43">
        <v>2021.0</v>
      </c>
      <c r="D737" s="44" t="s">
        <v>35</v>
      </c>
      <c r="E737" s="45" t="s">
        <v>36</v>
      </c>
      <c r="F737" s="45" t="s">
        <v>36</v>
      </c>
      <c r="G737" s="45" t="s">
        <v>36</v>
      </c>
      <c r="H737" s="45" t="s">
        <v>36</v>
      </c>
      <c r="I737" s="45" t="s">
        <v>36</v>
      </c>
      <c r="J737" s="46" t="s">
        <v>36</v>
      </c>
      <c r="K737" s="47" t="s">
        <v>37</v>
      </c>
      <c r="L737" s="48" t="s">
        <v>35</v>
      </c>
      <c r="M737" s="48" t="s">
        <v>37</v>
      </c>
      <c r="N737" s="48" t="s">
        <v>35</v>
      </c>
      <c r="O737" s="48" t="s">
        <v>35</v>
      </c>
      <c r="P737" s="48" t="s">
        <v>35</v>
      </c>
      <c r="Q737" s="48" t="s">
        <v>37</v>
      </c>
      <c r="R737" s="48" t="s">
        <v>35</v>
      </c>
      <c r="S737" s="49" t="s">
        <v>1967</v>
      </c>
      <c r="T737" s="50" t="s">
        <v>1968</v>
      </c>
      <c r="U737" s="51" t="s">
        <v>1968</v>
      </c>
      <c r="V737" s="52">
        <f t="shared" ref="V737:X737" si="743">IF(lenb(SUBSTITUTE($Z737,V$1&amp;" (1)",""))&lt;lenb($Z737),1,IF(lenb(SUBSTITUTE($Z737,V$1&amp;" (2)",""))&lt;lenb($Z737),2,IF(lenb(SUBSTITUTE($Z737,V$1&amp;" (3)",""))&lt;lenb($Z737),3,IF(lenb(SUBSTITUTE($Z737,V$1&amp;" (4)",""))&lt;lenb($Z737),4,IF(lenb(SUBSTITUTE($Z737,V$1&amp;" (5)",""))&lt;lenb($Z737),5,IF(lenb(SUBSTITUTE($Z737,V$1&amp;" (6)",""))&lt;lenb($Z737),6,IF(lenb(SUBSTITUTE($Z737,V$1&amp;" (7)",""))&lt;lenb($Z737),1,IF(lenb(SUBSTITUTE($Z737,V$1&amp;" (8)",""))&lt;lenb($Z737),8,IF(lenb(SUBSTITUTE($Z737,V$1&amp;" (9)",""))&lt;lenb($Z737),9,IF(lenb(SUBSTITUTE($Z737,V$1&amp;" (10)",""))&lt;lenb($Z737),10,IF(lenb(SUBSTITUTE($Z737,V$1,""))&lt;lenb($Z737),"ERROR",IF($Z737=$Y$1,"-",0))))))))))))</f>
        <v>1</v>
      </c>
      <c r="W737" s="52">
        <f t="shared" si="743"/>
        <v>0</v>
      </c>
      <c r="X737" s="52">
        <f t="shared" si="743"/>
        <v>0</v>
      </c>
      <c r="Y737" s="52" t="str">
        <f t="shared" si="3"/>
        <v>-</v>
      </c>
      <c r="Z737" s="52" t="s">
        <v>62</v>
      </c>
      <c r="AA737" s="53">
        <f t="shared" si="4"/>
        <v>1</v>
      </c>
      <c r="AB737" s="54">
        <f>COUNTIFS(Links!B:B,"ICSE",Links!C:C,A737,Links!AD:AD,1)</f>
        <v>0</v>
      </c>
      <c r="AC737" s="55" t="s">
        <v>37</v>
      </c>
      <c r="AD737" s="47" t="str">
        <f t="shared" si="5"/>
        <v>No</v>
      </c>
      <c r="AE737" s="56" t="s">
        <v>36</v>
      </c>
      <c r="AF737" s="57" t="s">
        <v>42</v>
      </c>
      <c r="AG737" s="57" t="s">
        <v>42</v>
      </c>
      <c r="AH737" s="57" t="s">
        <v>42</v>
      </c>
      <c r="AI737" s="49" t="str">
        <f t="shared" si="661"/>
        <v>----</v>
      </c>
      <c r="AJ737" s="58" t="str">
        <f t="shared" si="7"/>
        <v>Paper has link but no statement</v>
      </c>
      <c r="AK737" s="59">
        <v>45022.0</v>
      </c>
      <c r="AL737" s="43" t="s">
        <v>43</v>
      </c>
      <c r="AM737" s="60" t="str">
        <f t="shared" si="8"/>
        <v>[IP0493]</v>
      </c>
    </row>
    <row r="738" ht="67.5" customHeight="1">
      <c r="A738" s="61">
        <v>494.0</v>
      </c>
      <c r="B738" s="22" t="s">
        <v>1969</v>
      </c>
      <c r="C738" s="23">
        <v>2021.0</v>
      </c>
      <c r="D738" s="24" t="s">
        <v>37</v>
      </c>
      <c r="E738" s="25" t="s">
        <v>37</v>
      </c>
      <c r="F738" s="25" t="s">
        <v>35</v>
      </c>
      <c r="G738" s="25" t="s">
        <v>37</v>
      </c>
      <c r="H738" s="25" t="s">
        <v>35</v>
      </c>
      <c r="I738" s="25" t="s">
        <v>35</v>
      </c>
      <c r="J738" s="26" t="s">
        <v>36</v>
      </c>
      <c r="K738" s="27" t="s">
        <v>37</v>
      </c>
      <c r="L738" s="28" t="s">
        <v>37</v>
      </c>
      <c r="M738" s="28" t="s">
        <v>35</v>
      </c>
      <c r="N738" s="70" t="s">
        <v>37</v>
      </c>
      <c r="O738" s="28" t="s">
        <v>35</v>
      </c>
      <c r="P738" s="28" t="s">
        <v>35</v>
      </c>
      <c r="Q738" s="28" t="s">
        <v>35</v>
      </c>
      <c r="R738" s="28" t="s">
        <v>35</v>
      </c>
      <c r="S738" s="29" t="s">
        <v>1848</v>
      </c>
      <c r="T738" s="30" t="s">
        <v>1970</v>
      </c>
      <c r="U738" s="31" t="s">
        <v>1970</v>
      </c>
      <c r="V738" s="32">
        <f t="shared" ref="V738:X738" si="744">IF(lenb(SUBSTITUTE($Z738,V$1&amp;" (1)",""))&lt;lenb($Z738),1,IF(lenb(SUBSTITUTE($Z738,V$1&amp;" (2)",""))&lt;lenb($Z738),2,IF(lenb(SUBSTITUTE($Z738,V$1&amp;" (3)",""))&lt;lenb($Z738),3,IF(lenb(SUBSTITUTE($Z738,V$1&amp;" (4)",""))&lt;lenb($Z738),4,IF(lenb(SUBSTITUTE($Z738,V$1&amp;" (5)",""))&lt;lenb($Z738),5,IF(lenb(SUBSTITUTE($Z738,V$1&amp;" (6)",""))&lt;lenb($Z738),6,IF(lenb(SUBSTITUTE($Z738,V$1&amp;" (7)",""))&lt;lenb($Z738),1,IF(lenb(SUBSTITUTE($Z738,V$1&amp;" (8)",""))&lt;lenb($Z738),8,IF(lenb(SUBSTITUTE($Z738,V$1&amp;" (9)",""))&lt;lenb($Z738),9,IF(lenb(SUBSTITUTE($Z738,V$1&amp;" (10)",""))&lt;lenb($Z738),10,IF(lenb(SUBSTITUTE($Z738,V$1,""))&lt;lenb($Z738),"ERROR",IF($Z738=$Y$1,"-",0))))))))))))</f>
        <v>1</v>
      </c>
      <c r="W738" s="32">
        <f t="shared" si="744"/>
        <v>0</v>
      </c>
      <c r="X738" s="32">
        <f t="shared" si="744"/>
        <v>0</v>
      </c>
      <c r="Y738" s="32" t="str">
        <f t="shared" si="3"/>
        <v>-</v>
      </c>
      <c r="Z738" s="32" t="s">
        <v>62</v>
      </c>
      <c r="AA738" s="33">
        <f t="shared" si="4"/>
        <v>1</v>
      </c>
      <c r="AB738" s="34">
        <f>COUNTIFS(Links!B:B,"ICSE",Links!C:C,A738,Links!AD:AD,1)</f>
        <v>0</v>
      </c>
      <c r="AC738" s="35" t="s">
        <v>35</v>
      </c>
      <c r="AD738" s="27" t="str">
        <f t="shared" si="5"/>
        <v>Yes</v>
      </c>
      <c r="AE738" s="36" t="s">
        <v>1971</v>
      </c>
      <c r="AF738" s="36" t="s">
        <v>822</v>
      </c>
      <c r="AG738" s="37" t="s">
        <v>42</v>
      </c>
      <c r="AH738" s="37" t="s">
        <v>42</v>
      </c>
      <c r="AI738" s="29" t="str">
        <f t="shared" si="661"/>
        <v>Limited access (Request required)</v>
      </c>
      <c r="AJ738" s="38" t="str">
        <f t="shared" si="7"/>
        <v>Paper has link and statement</v>
      </c>
      <c r="AK738" s="39">
        <v>45022.0</v>
      </c>
      <c r="AL738" s="23" t="s">
        <v>43</v>
      </c>
      <c r="AM738" s="40" t="str">
        <f t="shared" si="8"/>
        <v>[IP0494]</v>
      </c>
    </row>
    <row r="739" ht="67.5" customHeight="1">
      <c r="A739" s="62">
        <v>495.0</v>
      </c>
      <c r="B739" s="42" t="s">
        <v>1972</v>
      </c>
      <c r="C739" s="43">
        <v>2021.0</v>
      </c>
      <c r="D739" s="44" t="s">
        <v>35</v>
      </c>
      <c r="E739" s="45" t="s">
        <v>36</v>
      </c>
      <c r="F739" s="45" t="s">
        <v>36</v>
      </c>
      <c r="G739" s="45" t="s">
        <v>36</v>
      </c>
      <c r="H739" s="45" t="s">
        <v>36</v>
      </c>
      <c r="I739" s="45" t="s">
        <v>36</v>
      </c>
      <c r="J739" s="46" t="s">
        <v>36</v>
      </c>
      <c r="K739" s="47" t="s">
        <v>35</v>
      </c>
      <c r="L739" s="71" t="s">
        <v>36</v>
      </c>
      <c r="M739" s="71" t="s">
        <v>36</v>
      </c>
      <c r="N739" s="71" t="s">
        <v>36</v>
      </c>
      <c r="O739" s="71" t="s">
        <v>36</v>
      </c>
      <c r="P739" s="71" t="s">
        <v>36</v>
      </c>
      <c r="Q739" s="71" t="s">
        <v>36</v>
      </c>
      <c r="R739" s="71" t="s">
        <v>36</v>
      </c>
      <c r="S739" s="57" t="s">
        <v>36</v>
      </c>
      <c r="T739" s="50" t="s">
        <v>36</v>
      </c>
      <c r="U739" s="51" t="s">
        <v>36</v>
      </c>
      <c r="V739" s="52" t="str">
        <f t="shared" ref="V739:X739" si="745">IF(lenb(SUBSTITUTE($Z739,V$1&amp;" (1)",""))&lt;lenb($Z739),1,IF(lenb(SUBSTITUTE($Z739,V$1&amp;" (2)",""))&lt;lenb($Z739),2,IF(lenb(SUBSTITUTE($Z739,V$1&amp;" (3)",""))&lt;lenb($Z739),3,IF(lenb(SUBSTITUTE($Z739,V$1&amp;" (4)",""))&lt;lenb($Z739),4,IF(lenb(SUBSTITUTE($Z739,V$1&amp;" (5)",""))&lt;lenb($Z739),5,IF(lenb(SUBSTITUTE($Z739,V$1&amp;" (6)",""))&lt;lenb($Z739),6,IF(lenb(SUBSTITUTE($Z739,V$1&amp;" (7)",""))&lt;lenb($Z739),1,IF(lenb(SUBSTITUTE($Z739,V$1&amp;" (8)",""))&lt;lenb($Z739),8,IF(lenb(SUBSTITUTE($Z739,V$1&amp;" (9)",""))&lt;lenb($Z739),9,IF(lenb(SUBSTITUTE($Z739,V$1&amp;" (10)",""))&lt;lenb($Z739),10,IF(lenb(SUBSTITUTE($Z739,V$1,""))&lt;lenb($Z739),"ERROR",IF($Z739=$Y$1,"-",0))))))))))))</f>
        <v>-</v>
      </c>
      <c r="W739" s="52" t="str">
        <f t="shared" si="745"/>
        <v>-</v>
      </c>
      <c r="X739" s="52" t="str">
        <f t="shared" si="745"/>
        <v>-</v>
      </c>
      <c r="Y739" s="52">
        <f t="shared" si="3"/>
        <v>1</v>
      </c>
      <c r="Z739" s="52" t="s">
        <v>23</v>
      </c>
      <c r="AA739" s="53">
        <f t="shared" si="4"/>
        <v>0</v>
      </c>
      <c r="AB739" s="54">
        <f>COUNTIFS(Links!B:B,"ICSE",Links!C:C,A739,Links!AD:AD,1)</f>
        <v>0</v>
      </c>
      <c r="AC739" s="55" t="s">
        <v>36</v>
      </c>
      <c r="AD739" s="47" t="str">
        <f t="shared" si="5"/>
        <v>No</v>
      </c>
      <c r="AE739" s="56" t="s">
        <v>36</v>
      </c>
      <c r="AF739" s="57" t="s">
        <v>42</v>
      </c>
      <c r="AG739" s="57" t="s">
        <v>42</v>
      </c>
      <c r="AH739" s="57" t="s">
        <v>42</v>
      </c>
      <c r="AI739" s="49" t="str">
        <f t="shared" si="661"/>
        <v>----</v>
      </c>
      <c r="AJ739" s="58" t="str">
        <f t="shared" si="7"/>
        <v>Paper has no link and no statement</v>
      </c>
      <c r="AK739" s="59">
        <v>45022.0</v>
      </c>
      <c r="AL739" s="43" t="s">
        <v>43</v>
      </c>
      <c r="AM739" s="60" t="str">
        <f t="shared" si="8"/>
        <v>[IP0495]</v>
      </c>
    </row>
    <row r="740" ht="67.5" customHeight="1">
      <c r="A740" s="61">
        <v>496.0</v>
      </c>
      <c r="B740" s="22" t="s">
        <v>1973</v>
      </c>
      <c r="C740" s="23">
        <v>2021.0</v>
      </c>
      <c r="D740" s="24" t="s">
        <v>35</v>
      </c>
      <c r="E740" s="25" t="s">
        <v>36</v>
      </c>
      <c r="F740" s="25" t="s">
        <v>36</v>
      </c>
      <c r="G740" s="25" t="s">
        <v>36</v>
      </c>
      <c r="H740" s="25" t="s">
        <v>36</v>
      </c>
      <c r="I740" s="25" t="s">
        <v>36</v>
      </c>
      <c r="J740" s="26" t="s">
        <v>36</v>
      </c>
      <c r="K740" s="27" t="s">
        <v>37</v>
      </c>
      <c r="L740" s="28" t="s">
        <v>35</v>
      </c>
      <c r="M740" s="28" t="s">
        <v>35</v>
      </c>
      <c r="N740" s="28" t="s">
        <v>35</v>
      </c>
      <c r="O740" s="28" t="s">
        <v>35</v>
      </c>
      <c r="P740" s="28" t="s">
        <v>35</v>
      </c>
      <c r="Q740" s="28" t="s">
        <v>37</v>
      </c>
      <c r="R740" s="28" t="s">
        <v>35</v>
      </c>
      <c r="S740" s="29" t="s">
        <v>1974</v>
      </c>
      <c r="T740" s="30" t="s">
        <v>1975</v>
      </c>
      <c r="U740" s="31" t="s">
        <v>1975</v>
      </c>
      <c r="V740" s="32">
        <f t="shared" ref="V740:X740" si="746">IF(lenb(SUBSTITUTE($Z740,V$1&amp;" (1)",""))&lt;lenb($Z740),1,IF(lenb(SUBSTITUTE($Z740,V$1&amp;" (2)",""))&lt;lenb($Z740),2,IF(lenb(SUBSTITUTE($Z740,V$1&amp;" (3)",""))&lt;lenb($Z740),3,IF(lenb(SUBSTITUTE($Z740,V$1&amp;" (4)",""))&lt;lenb($Z740),4,IF(lenb(SUBSTITUTE($Z740,V$1&amp;" (5)",""))&lt;lenb($Z740),5,IF(lenb(SUBSTITUTE($Z740,V$1&amp;" (6)",""))&lt;lenb($Z740),6,IF(lenb(SUBSTITUTE($Z740,V$1&amp;" (7)",""))&lt;lenb($Z740),1,IF(lenb(SUBSTITUTE($Z740,V$1&amp;" (8)",""))&lt;lenb($Z740),8,IF(lenb(SUBSTITUTE($Z740,V$1&amp;" (9)",""))&lt;lenb($Z740),9,IF(lenb(SUBSTITUTE($Z740,V$1&amp;" (10)",""))&lt;lenb($Z740),10,IF(lenb(SUBSTITUTE($Z740,V$1,""))&lt;lenb($Z740),"ERROR",IF($Z740=$Y$1,"-",0))))))))))))</f>
        <v>1</v>
      </c>
      <c r="W740" s="32">
        <f t="shared" si="746"/>
        <v>0</v>
      </c>
      <c r="X740" s="32">
        <f t="shared" si="746"/>
        <v>0</v>
      </c>
      <c r="Y740" s="32" t="str">
        <f t="shared" si="3"/>
        <v>-</v>
      </c>
      <c r="Z740" s="32" t="s">
        <v>62</v>
      </c>
      <c r="AA740" s="33">
        <f t="shared" si="4"/>
        <v>1</v>
      </c>
      <c r="AB740" s="34">
        <f>COUNTIFS(Links!B:B,"ICSE",Links!C:C,A740,Links!AD:AD,1)</f>
        <v>0</v>
      </c>
      <c r="AC740" s="35" t="s">
        <v>35</v>
      </c>
      <c r="AD740" s="27" t="str">
        <f t="shared" si="5"/>
        <v>No</v>
      </c>
      <c r="AE740" s="36" t="s">
        <v>36</v>
      </c>
      <c r="AF740" s="37" t="s">
        <v>42</v>
      </c>
      <c r="AG740" s="37" t="s">
        <v>42</v>
      </c>
      <c r="AH740" s="37" t="s">
        <v>42</v>
      </c>
      <c r="AI740" s="29" t="str">
        <f t="shared" si="661"/>
        <v>----</v>
      </c>
      <c r="AJ740" s="38" t="str">
        <f t="shared" si="7"/>
        <v>Paper has link but no statement</v>
      </c>
      <c r="AK740" s="39">
        <v>45022.0</v>
      </c>
      <c r="AL740" s="23" t="s">
        <v>43</v>
      </c>
      <c r="AM740" s="40" t="str">
        <f t="shared" si="8"/>
        <v>[IP0496]</v>
      </c>
    </row>
    <row r="741" ht="67.5" customHeight="1">
      <c r="A741" s="41">
        <v>497.0</v>
      </c>
      <c r="B741" s="42" t="s">
        <v>1976</v>
      </c>
      <c r="C741" s="43">
        <v>2021.0</v>
      </c>
      <c r="D741" s="44" t="s">
        <v>35</v>
      </c>
      <c r="E741" s="45" t="s">
        <v>36</v>
      </c>
      <c r="F741" s="45" t="s">
        <v>36</v>
      </c>
      <c r="G741" s="45" t="s">
        <v>36</v>
      </c>
      <c r="H741" s="45" t="s">
        <v>36</v>
      </c>
      <c r="I741" s="45" t="s">
        <v>36</v>
      </c>
      <c r="J741" s="46" t="s">
        <v>36</v>
      </c>
      <c r="K741" s="47" t="s">
        <v>37</v>
      </c>
      <c r="L741" s="48" t="s">
        <v>37</v>
      </c>
      <c r="M741" s="48" t="s">
        <v>35</v>
      </c>
      <c r="N741" s="48" t="s">
        <v>37</v>
      </c>
      <c r="O741" s="48" t="s">
        <v>35</v>
      </c>
      <c r="P741" s="48" t="s">
        <v>35</v>
      </c>
      <c r="Q741" s="48" t="s">
        <v>35</v>
      </c>
      <c r="R741" s="48" t="s">
        <v>35</v>
      </c>
      <c r="S741" s="49" t="s">
        <v>1959</v>
      </c>
      <c r="T741" s="50" t="s">
        <v>1977</v>
      </c>
      <c r="U741" s="51" t="s">
        <v>1977</v>
      </c>
      <c r="V741" s="52">
        <f t="shared" ref="V741:X741" si="747">IF(lenb(SUBSTITUTE($Z741,V$1&amp;" (1)",""))&lt;lenb($Z741),1,IF(lenb(SUBSTITUTE($Z741,V$1&amp;" (2)",""))&lt;lenb($Z741),2,IF(lenb(SUBSTITUTE($Z741,V$1&amp;" (3)",""))&lt;lenb($Z741),3,IF(lenb(SUBSTITUTE($Z741,V$1&amp;" (4)",""))&lt;lenb($Z741),4,IF(lenb(SUBSTITUTE($Z741,V$1&amp;" (5)",""))&lt;lenb($Z741),5,IF(lenb(SUBSTITUTE($Z741,V$1&amp;" (6)",""))&lt;lenb($Z741),6,IF(lenb(SUBSTITUTE($Z741,V$1&amp;" (7)",""))&lt;lenb($Z741),1,IF(lenb(SUBSTITUTE($Z741,V$1&amp;" (8)",""))&lt;lenb($Z741),8,IF(lenb(SUBSTITUTE($Z741,V$1&amp;" (9)",""))&lt;lenb($Z741),9,IF(lenb(SUBSTITUTE($Z741,V$1&amp;" (10)",""))&lt;lenb($Z741),10,IF(lenb(SUBSTITUTE($Z741,V$1,""))&lt;lenb($Z741),"ERROR",IF($Z741=$Y$1,"-",0))))))))))))</f>
        <v>1</v>
      </c>
      <c r="W741" s="52">
        <f t="shared" si="747"/>
        <v>0</v>
      </c>
      <c r="X741" s="52">
        <f t="shared" si="747"/>
        <v>0</v>
      </c>
      <c r="Y741" s="52" t="str">
        <f t="shared" si="3"/>
        <v>-</v>
      </c>
      <c r="Z741" s="52" t="s">
        <v>62</v>
      </c>
      <c r="AA741" s="53">
        <f t="shared" si="4"/>
        <v>1</v>
      </c>
      <c r="AB741" s="54">
        <f>COUNTIFS(Links!B:B,"ICSE",Links!C:C,A741,Links!AD:AD,1)</f>
        <v>0</v>
      </c>
      <c r="AC741" s="55" t="s">
        <v>35</v>
      </c>
      <c r="AD741" s="47" t="str">
        <f t="shared" si="5"/>
        <v>No</v>
      </c>
      <c r="AE741" s="56" t="s">
        <v>36</v>
      </c>
      <c r="AF741" s="57" t="s">
        <v>42</v>
      </c>
      <c r="AG741" s="57" t="s">
        <v>42</v>
      </c>
      <c r="AH741" s="57" t="s">
        <v>42</v>
      </c>
      <c r="AI741" s="49" t="str">
        <f t="shared" si="661"/>
        <v>----</v>
      </c>
      <c r="AJ741" s="58" t="str">
        <f t="shared" si="7"/>
        <v>Paper has link but no statement</v>
      </c>
      <c r="AK741" s="59">
        <v>45022.0</v>
      </c>
      <c r="AL741" s="43" t="s">
        <v>43</v>
      </c>
      <c r="AM741" s="60" t="str">
        <f t="shared" si="8"/>
        <v>[IP0497]</v>
      </c>
    </row>
    <row r="742" ht="67.5" customHeight="1">
      <c r="A742" s="61">
        <v>498.0</v>
      </c>
      <c r="B742" s="22" t="s">
        <v>1978</v>
      </c>
      <c r="C742" s="23">
        <v>2021.0</v>
      </c>
      <c r="D742" s="24" t="s">
        <v>35</v>
      </c>
      <c r="E742" s="25" t="s">
        <v>36</v>
      </c>
      <c r="F742" s="25" t="s">
        <v>36</v>
      </c>
      <c r="G742" s="25" t="s">
        <v>36</v>
      </c>
      <c r="H742" s="25" t="s">
        <v>36</v>
      </c>
      <c r="I742" s="25" t="s">
        <v>36</v>
      </c>
      <c r="J742" s="26" t="s">
        <v>36</v>
      </c>
      <c r="K742" s="27" t="s">
        <v>37</v>
      </c>
      <c r="L742" s="28" t="s">
        <v>35</v>
      </c>
      <c r="M742" s="28" t="s">
        <v>37</v>
      </c>
      <c r="N742" s="28" t="s">
        <v>37</v>
      </c>
      <c r="O742" s="28" t="s">
        <v>35</v>
      </c>
      <c r="P742" s="28" t="s">
        <v>35</v>
      </c>
      <c r="Q742" s="28" t="s">
        <v>35</v>
      </c>
      <c r="R742" s="28" t="s">
        <v>35</v>
      </c>
      <c r="S742" s="29" t="s">
        <v>1979</v>
      </c>
      <c r="T742" s="30" t="s">
        <v>1980</v>
      </c>
      <c r="U742" s="31" t="s">
        <v>1980</v>
      </c>
      <c r="V742" s="32">
        <f t="shared" ref="V742:X742" si="748">IF(lenb(SUBSTITUTE($Z742,V$1&amp;" (1)",""))&lt;lenb($Z742),1,IF(lenb(SUBSTITUTE($Z742,V$1&amp;" (2)",""))&lt;lenb($Z742),2,IF(lenb(SUBSTITUTE($Z742,V$1&amp;" (3)",""))&lt;lenb($Z742),3,IF(lenb(SUBSTITUTE($Z742,V$1&amp;" (4)",""))&lt;lenb($Z742),4,IF(lenb(SUBSTITUTE($Z742,V$1&amp;" (5)",""))&lt;lenb($Z742),5,IF(lenb(SUBSTITUTE($Z742,V$1&amp;" (6)",""))&lt;lenb($Z742),6,IF(lenb(SUBSTITUTE($Z742,V$1&amp;" (7)",""))&lt;lenb($Z742),1,IF(lenb(SUBSTITUTE($Z742,V$1&amp;" (8)",""))&lt;lenb($Z742),8,IF(lenb(SUBSTITUTE($Z742,V$1&amp;" (9)",""))&lt;lenb($Z742),9,IF(lenb(SUBSTITUTE($Z742,V$1&amp;" (10)",""))&lt;lenb($Z742),10,IF(lenb(SUBSTITUTE($Z742,V$1,""))&lt;lenb($Z742),"ERROR",IF($Z742=$Y$1,"-",0))))))))))))</f>
        <v>1</v>
      </c>
      <c r="W742" s="32">
        <f t="shared" si="748"/>
        <v>0</v>
      </c>
      <c r="X742" s="32">
        <f t="shared" si="748"/>
        <v>0</v>
      </c>
      <c r="Y742" s="32" t="str">
        <f t="shared" si="3"/>
        <v>-</v>
      </c>
      <c r="Z742" s="32" t="s">
        <v>62</v>
      </c>
      <c r="AA742" s="33">
        <f t="shared" si="4"/>
        <v>1</v>
      </c>
      <c r="AB742" s="34">
        <f>COUNTIFS(Links!B:B,"ICSE",Links!C:C,A742,Links!AD:AD,1)</f>
        <v>0</v>
      </c>
      <c r="AC742" s="35" t="s">
        <v>35</v>
      </c>
      <c r="AD742" s="27" t="str">
        <f t="shared" si="5"/>
        <v>No</v>
      </c>
      <c r="AE742" s="36" t="s">
        <v>36</v>
      </c>
      <c r="AF742" s="37" t="s">
        <v>42</v>
      </c>
      <c r="AG742" s="37" t="s">
        <v>42</v>
      </c>
      <c r="AH742" s="37" t="s">
        <v>42</v>
      </c>
      <c r="AI742" s="29" t="str">
        <f t="shared" si="661"/>
        <v>----</v>
      </c>
      <c r="AJ742" s="38" t="str">
        <f t="shared" si="7"/>
        <v>Paper has link but no statement</v>
      </c>
      <c r="AK742" s="39">
        <v>45022.0</v>
      </c>
      <c r="AL742" s="23" t="s">
        <v>43</v>
      </c>
      <c r="AM742" s="40" t="str">
        <f t="shared" si="8"/>
        <v>[IP0498]</v>
      </c>
    </row>
    <row r="743" ht="67.5" customHeight="1">
      <c r="A743" s="41">
        <v>499.0</v>
      </c>
      <c r="B743" s="42" t="s">
        <v>1981</v>
      </c>
      <c r="C743" s="43">
        <v>2021.0</v>
      </c>
      <c r="D743" s="44" t="s">
        <v>37</v>
      </c>
      <c r="E743" s="45" t="s">
        <v>37</v>
      </c>
      <c r="F743" s="45" t="s">
        <v>35</v>
      </c>
      <c r="G743" s="45" t="s">
        <v>37</v>
      </c>
      <c r="H743" s="45" t="s">
        <v>35</v>
      </c>
      <c r="I743" s="45" t="s">
        <v>35</v>
      </c>
      <c r="J743" s="46" t="s">
        <v>36</v>
      </c>
      <c r="K743" s="47" t="s">
        <v>37</v>
      </c>
      <c r="L743" s="48" t="s">
        <v>35</v>
      </c>
      <c r="M743" s="48" t="s">
        <v>37</v>
      </c>
      <c r="N743" s="48" t="s">
        <v>35</v>
      </c>
      <c r="O743" s="48" t="s">
        <v>37</v>
      </c>
      <c r="P743" s="48" t="s">
        <v>35</v>
      </c>
      <c r="Q743" s="48" t="s">
        <v>35</v>
      </c>
      <c r="R743" s="48" t="s">
        <v>35</v>
      </c>
      <c r="S743" s="49" t="s">
        <v>1982</v>
      </c>
      <c r="T743" s="50" t="s">
        <v>1983</v>
      </c>
      <c r="U743" s="51" t="s">
        <v>1984</v>
      </c>
      <c r="V743" s="52">
        <f t="shared" ref="V743:X743" si="749">IF(lenb(SUBSTITUTE($Z743,V$1&amp;" (1)",""))&lt;lenb($Z743),1,IF(lenb(SUBSTITUTE($Z743,V$1&amp;" (2)",""))&lt;lenb($Z743),2,IF(lenb(SUBSTITUTE($Z743,V$1&amp;" (3)",""))&lt;lenb($Z743),3,IF(lenb(SUBSTITUTE($Z743,V$1&amp;" (4)",""))&lt;lenb($Z743),4,IF(lenb(SUBSTITUTE($Z743,V$1&amp;" (5)",""))&lt;lenb($Z743),5,IF(lenb(SUBSTITUTE($Z743,V$1&amp;" (6)",""))&lt;lenb($Z743),6,IF(lenb(SUBSTITUTE($Z743,V$1&amp;" (7)",""))&lt;lenb($Z743),1,IF(lenb(SUBSTITUTE($Z743,V$1&amp;" (8)",""))&lt;lenb($Z743),8,IF(lenb(SUBSTITUTE($Z743,V$1&amp;" (9)",""))&lt;lenb($Z743),9,IF(lenb(SUBSTITUTE($Z743,V$1&amp;" (10)",""))&lt;lenb($Z743),10,IF(lenb(SUBSTITUTE($Z743,V$1,""))&lt;lenb($Z743),"ERROR",IF($Z743=$Y$1,"-",0))))))))))))</f>
        <v>2</v>
      </c>
      <c r="W743" s="52">
        <f t="shared" si="749"/>
        <v>0</v>
      </c>
      <c r="X743" s="52">
        <f t="shared" si="749"/>
        <v>0</v>
      </c>
      <c r="Y743" s="52" t="str">
        <f t="shared" si="3"/>
        <v>-</v>
      </c>
      <c r="Z743" s="52" t="s">
        <v>57</v>
      </c>
      <c r="AA743" s="53">
        <f t="shared" si="4"/>
        <v>2</v>
      </c>
      <c r="AB743" s="54">
        <f>COUNTIFS(Links!B:B,"ICSE",Links!C:C,A743,Links!AD:AD,1)</f>
        <v>0</v>
      </c>
      <c r="AC743" s="55" t="s">
        <v>37</v>
      </c>
      <c r="AD743" s="47" t="str">
        <f t="shared" si="5"/>
        <v>No</v>
      </c>
      <c r="AE743" s="56" t="s">
        <v>36</v>
      </c>
      <c r="AF743" s="57" t="s">
        <v>42</v>
      </c>
      <c r="AG743" s="57" t="s">
        <v>42</v>
      </c>
      <c r="AH743" s="57" t="s">
        <v>42</v>
      </c>
      <c r="AI743" s="49" t="str">
        <f t="shared" si="661"/>
        <v>----</v>
      </c>
      <c r="AJ743" s="58" t="str">
        <f t="shared" si="7"/>
        <v>Paper has link but no statement</v>
      </c>
      <c r="AK743" s="59">
        <v>45022.0</v>
      </c>
      <c r="AL743" s="43" t="s">
        <v>43</v>
      </c>
      <c r="AM743" s="60" t="str">
        <f t="shared" si="8"/>
        <v>[IP0499]</v>
      </c>
    </row>
    <row r="744" ht="67.5" customHeight="1">
      <c r="A744" s="61">
        <v>500.0</v>
      </c>
      <c r="B744" s="22" t="s">
        <v>1985</v>
      </c>
      <c r="C744" s="23">
        <v>2021.0</v>
      </c>
      <c r="D744" s="24" t="s">
        <v>35</v>
      </c>
      <c r="E744" s="25" t="s">
        <v>36</v>
      </c>
      <c r="F744" s="25" t="s">
        <v>36</v>
      </c>
      <c r="G744" s="25" t="s">
        <v>36</v>
      </c>
      <c r="H744" s="25" t="s">
        <v>36</v>
      </c>
      <c r="I744" s="25" t="s">
        <v>36</v>
      </c>
      <c r="J744" s="26" t="s">
        <v>36</v>
      </c>
      <c r="K744" s="27" t="s">
        <v>37</v>
      </c>
      <c r="L744" s="28" t="s">
        <v>37</v>
      </c>
      <c r="M744" s="28" t="s">
        <v>35</v>
      </c>
      <c r="N744" s="28" t="s">
        <v>35</v>
      </c>
      <c r="O744" s="28" t="s">
        <v>35</v>
      </c>
      <c r="P744" s="28" t="s">
        <v>35</v>
      </c>
      <c r="Q744" s="28" t="s">
        <v>35</v>
      </c>
      <c r="R744" s="28" t="s">
        <v>37</v>
      </c>
      <c r="S744" s="29" t="s">
        <v>1986</v>
      </c>
      <c r="T744" s="30" t="s">
        <v>1987</v>
      </c>
      <c r="U744" s="31" t="s">
        <v>1987</v>
      </c>
      <c r="V744" s="32">
        <f t="shared" ref="V744:X744" si="750">IF(lenb(SUBSTITUTE($Z744,V$1&amp;" (1)",""))&lt;lenb($Z744),1,IF(lenb(SUBSTITUTE($Z744,V$1&amp;" (2)",""))&lt;lenb($Z744),2,IF(lenb(SUBSTITUTE($Z744,V$1&amp;" (3)",""))&lt;lenb($Z744),3,IF(lenb(SUBSTITUTE($Z744,V$1&amp;" (4)",""))&lt;lenb($Z744),4,IF(lenb(SUBSTITUTE($Z744,V$1&amp;" (5)",""))&lt;lenb($Z744),5,IF(lenb(SUBSTITUTE($Z744,V$1&amp;" (6)",""))&lt;lenb($Z744),6,IF(lenb(SUBSTITUTE($Z744,V$1&amp;" (7)",""))&lt;lenb($Z744),1,IF(lenb(SUBSTITUTE($Z744,V$1&amp;" (8)",""))&lt;lenb($Z744),8,IF(lenb(SUBSTITUTE($Z744,V$1&amp;" (9)",""))&lt;lenb($Z744),9,IF(lenb(SUBSTITUTE($Z744,V$1&amp;" (10)",""))&lt;lenb($Z744),10,IF(lenb(SUBSTITUTE($Z744,V$1,""))&lt;lenb($Z744),"ERROR",IF($Z744=$Y$1,"-",0))))))))))))</f>
        <v>1</v>
      </c>
      <c r="W744" s="32">
        <f t="shared" si="750"/>
        <v>0</v>
      </c>
      <c r="X744" s="32">
        <f t="shared" si="750"/>
        <v>0</v>
      </c>
      <c r="Y744" s="32" t="str">
        <f t="shared" si="3"/>
        <v>-</v>
      </c>
      <c r="Z744" s="32" t="s">
        <v>62</v>
      </c>
      <c r="AA744" s="33">
        <f t="shared" si="4"/>
        <v>1</v>
      </c>
      <c r="AB744" s="34">
        <f>COUNTIFS(Links!B:B,"ICSE",Links!C:C,A744,Links!AD:AD,1)</f>
        <v>0</v>
      </c>
      <c r="AC744" s="35" t="s">
        <v>35</v>
      </c>
      <c r="AD744" s="27" t="str">
        <f t="shared" si="5"/>
        <v>No</v>
      </c>
      <c r="AE744" s="36" t="s">
        <v>36</v>
      </c>
      <c r="AF744" s="37" t="s">
        <v>42</v>
      </c>
      <c r="AG744" s="37" t="s">
        <v>42</v>
      </c>
      <c r="AH744" s="37" t="s">
        <v>42</v>
      </c>
      <c r="AI744" s="29" t="str">
        <f t="shared" si="661"/>
        <v>----</v>
      </c>
      <c r="AJ744" s="38" t="str">
        <f t="shared" si="7"/>
        <v>Paper has link but no statement</v>
      </c>
      <c r="AK744" s="39">
        <v>45022.0</v>
      </c>
      <c r="AL744" s="23" t="s">
        <v>43</v>
      </c>
      <c r="AM744" s="40" t="str">
        <f t="shared" si="8"/>
        <v>[IP0500]</v>
      </c>
    </row>
    <row r="745" ht="67.5" customHeight="1">
      <c r="A745" s="41">
        <v>501.0</v>
      </c>
      <c r="B745" s="42" t="s">
        <v>1988</v>
      </c>
      <c r="C745" s="43">
        <v>2021.0</v>
      </c>
      <c r="D745" s="44" t="s">
        <v>37</v>
      </c>
      <c r="E745" s="45" t="s">
        <v>37</v>
      </c>
      <c r="F745" s="45" t="s">
        <v>35</v>
      </c>
      <c r="G745" s="45" t="s">
        <v>37</v>
      </c>
      <c r="H745" s="45" t="s">
        <v>35</v>
      </c>
      <c r="I745" s="45" t="s">
        <v>35</v>
      </c>
      <c r="J745" s="46" t="s">
        <v>36</v>
      </c>
      <c r="K745" s="47" t="s">
        <v>37</v>
      </c>
      <c r="L745" s="48" t="s">
        <v>35</v>
      </c>
      <c r="M745" s="48" t="s">
        <v>35</v>
      </c>
      <c r="N745" s="48" t="s">
        <v>35</v>
      </c>
      <c r="O745" s="48" t="s">
        <v>35</v>
      </c>
      <c r="P745" s="48" t="s">
        <v>35</v>
      </c>
      <c r="Q745" s="48" t="s">
        <v>35</v>
      </c>
      <c r="R745" s="48" t="s">
        <v>37</v>
      </c>
      <c r="S745" s="49" t="s">
        <v>1989</v>
      </c>
      <c r="T745" s="50" t="s">
        <v>1990</v>
      </c>
      <c r="U745" s="51" t="s">
        <v>1990</v>
      </c>
      <c r="V745" s="52">
        <f t="shared" ref="V745:X745" si="751">IF(lenb(SUBSTITUTE($Z745,V$1&amp;" (1)",""))&lt;lenb($Z745),1,IF(lenb(SUBSTITUTE($Z745,V$1&amp;" (2)",""))&lt;lenb($Z745),2,IF(lenb(SUBSTITUTE($Z745,V$1&amp;" (3)",""))&lt;lenb($Z745),3,IF(lenb(SUBSTITUTE($Z745,V$1&amp;" (4)",""))&lt;lenb($Z745),4,IF(lenb(SUBSTITUTE($Z745,V$1&amp;" (5)",""))&lt;lenb($Z745),5,IF(lenb(SUBSTITUTE($Z745,V$1&amp;" (6)",""))&lt;lenb($Z745),6,IF(lenb(SUBSTITUTE($Z745,V$1&amp;" (7)",""))&lt;lenb($Z745),1,IF(lenb(SUBSTITUTE($Z745,V$1&amp;" (8)",""))&lt;lenb($Z745),8,IF(lenb(SUBSTITUTE($Z745,V$1&amp;" (9)",""))&lt;lenb($Z745),9,IF(lenb(SUBSTITUTE($Z745,V$1&amp;" (10)",""))&lt;lenb($Z745),10,IF(lenb(SUBSTITUTE($Z745,V$1,""))&lt;lenb($Z745),"ERROR",IF($Z745=$Y$1,"-",0))))))))))))</f>
        <v>1</v>
      </c>
      <c r="W745" s="52">
        <f t="shared" si="751"/>
        <v>0</v>
      </c>
      <c r="X745" s="52">
        <f t="shared" si="751"/>
        <v>0</v>
      </c>
      <c r="Y745" s="52" t="str">
        <f t="shared" si="3"/>
        <v>-</v>
      </c>
      <c r="Z745" s="52" t="s">
        <v>62</v>
      </c>
      <c r="AA745" s="53">
        <f t="shared" si="4"/>
        <v>1</v>
      </c>
      <c r="AB745" s="54">
        <f>COUNTIFS(Links!B:B,"ICSE",Links!C:C,A745,Links!AD:AD,1)</f>
        <v>0</v>
      </c>
      <c r="AC745" s="55" t="s">
        <v>37</v>
      </c>
      <c r="AD745" s="47" t="str">
        <f t="shared" si="5"/>
        <v>No</v>
      </c>
      <c r="AE745" s="56" t="s">
        <v>36</v>
      </c>
      <c r="AF745" s="57" t="s">
        <v>42</v>
      </c>
      <c r="AG745" s="57" t="s">
        <v>42</v>
      </c>
      <c r="AH745" s="57" t="s">
        <v>42</v>
      </c>
      <c r="AI745" s="49" t="str">
        <f t="shared" si="661"/>
        <v>----</v>
      </c>
      <c r="AJ745" s="58" t="str">
        <f t="shared" si="7"/>
        <v>Paper has link but no statement</v>
      </c>
      <c r="AK745" s="59">
        <v>45022.0</v>
      </c>
      <c r="AL745" s="43" t="s">
        <v>43</v>
      </c>
      <c r="AM745" s="60" t="str">
        <f t="shared" si="8"/>
        <v>[IP0501]</v>
      </c>
    </row>
    <row r="746" ht="67.5" customHeight="1">
      <c r="A746" s="61">
        <v>502.0</v>
      </c>
      <c r="B746" s="22" t="s">
        <v>1991</v>
      </c>
      <c r="C746" s="23">
        <v>2021.0</v>
      </c>
      <c r="D746" s="24" t="s">
        <v>37</v>
      </c>
      <c r="E746" s="25" t="s">
        <v>37</v>
      </c>
      <c r="F746" s="25" t="s">
        <v>35</v>
      </c>
      <c r="G746" s="25" t="s">
        <v>37</v>
      </c>
      <c r="H746" s="25" t="s">
        <v>35</v>
      </c>
      <c r="I746" s="25" t="s">
        <v>35</v>
      </c>
      <c r="J746" s="26" t="s">
        <v>36</v>
      </c>
      <c r="K746" s="27" t="s">
        <v>37</v>
      </c>
      <c r="L746" s="28" t="s">
        <v>35</v>
      </c>
      <c r="M746" s="28" t="s">
        <v>37</v>
      </c>
      <c r="N746" s="28" t="s">
        <v>35</v>
      </c>
      <c r="O746" s="28" t="s">
        <v>35</v>
      </c>
      <c r="P746" s="28" t="s">
        <v>35</v>
      </c>
      <c r="Q746" s="28" t="s">
        <v>37</v>
      </c>
      <c r="R746" s="28" t="s">
        <v>37</v>
      </c>
      <c r="S746" s="29" t="s">
        <v>1992</v>
      </c>
      <c r="T746" s="30" t="s">
        <v>1993</v>
      </c>
      <c r="U746" s="31" t="s">
        <v>1994</v>
      </c>
      <c r="V746" s="32">
        <f t="shared" ref="V746:X746" si="752">IF(lenb(SUBSTITUTE($Z746,V$1&amp;" (1)",""))&lt;lenb($Z746),1,IF(lenb(SUBSTITUTE($Z746,V$1&amp;" (2)",""))&lt;lenb($Z746),2,IF(lenb(SUBSTITUTE($Z746,V$1&amp;" (3)",""))&lt;lenb($Z746),3,IF(lenb(SUBSTITUTE($Z746,V$1&amp;" (4)",""))&lt;lenb($Z746),4,IF(lenb(SUBSTITUTE($Z746,V$1&amp;" (5)",""))&lt;lenb($Z746),5,IF(lenb(SUBSTITUTE($Z746,V$1&amp;" (6)",""))&lt;lenb($Z746),6,IF(lenb(SUBSTITUTE($Z746,V$1&amp;" (7)",""))&lt;lenb($Z746),1,IF(lenb(SUBSTITUTE($Z746,V$1&amp;" (8)",""))&lt;lenb($Z746),8,IF(lenb(SUBSTITUTE($Z746,V$1&amp;" (9)",""))&lt;lenb($Z746),9,IF(lenb(SUBSTITUTE($Z746,V$1&amp;" (10)",""))&lt;lenb($Z746),10,IF(lenb(SUBSTITUTE($Z746,V$1,""))&lt;lenb($Z746),"ERROR",IF($Z746=$Y$1,"-",0))))))))))))</f>
        <v>1</v>
      </c>
      <c r="W746" s="32">
        <f t="shared" si="752"/>
        <v>0</v>
      </c>
      <c r="X746" s="32">
        <f t="shared" si="752"/>
        <v>0</v>
      </c>
      <c r="Y746" s="32" t="str">
        <f t="shared" si="3"/>
        <v>-</v>
      </c>
      <c r="Z746" s="32" t="s">
        <v>62</v>
      </c>
      <c r="AA746" s="33">
        <f t="shared" si="4"/>
        <v>1</v>
      </c>
      <c r="AB746" s="34">
        <f>COUNTIFS(Links!B:B,"ICSE",Links!C:C,A746,Links!AD:AD,1)</f>
        <v>0</v>
      </c>
      <c r="AC746" s="35" t="s">
        <v>37</v>
      </c>
      <c r="AD746" s="27" t="str">
        <f t="shared" si="5"/>
        <v>No</v>
      </c>
      <c r="AE746" s="36" t="s">
        <v>36</v>
      </c>
      <c r="AF746" s="37" t="s">
        <v>42</v>
      </c>
      <c r="AG746" s="37" t="s">
        <v>42</v>
      </c>
      <c r="AH746" s="37" t="s">
        <v>42</v>
      </c>
      <c r="AI746" s="29" t="str">
        <f t="shared" si="661"/>
        <v>----</v>
      </c>
      <c r="AJ746" s="38" t="str">
        <f t="shared" si="7"/>
        <v>Paper has link but no statement</v>
      </c>
      <c r="AK746" s="39">
        <v>45022.0</v>
      </c>
      <c r="AL746" s="23" t="s">
        <v>43</v>
      </c>
      <c r="AM746" s="40" t="str">
        <f t="shared" si="8"/>
        <v>[IP0502]</v>
      </c>
    </row>
    <row r="747" ht="67.5" customHeight="1">
      <c r="A747" s="41">
        <v>503.0</v>
      </c>
      <c r="B747" s="42" t="s">
        <v>1995</v>
      </c>
      <c r="C747" s="43">
        <v>2021.0</v>
      </c>
      <c r="D747" s="44" t="s">
        <v>37</v>
      </c>
      <c r="E747" s="45" t="s">
        <v>37</v>
      </c>
      <c r="F747" s="45" t="s">
        <v>35</v>
      </c>
      <c r="G747" s="45" t="s">
        <v>37</v>
      </c>
      <c r="H747" s="45" t="s">
        <v>35</v>
      </c>
      <c r="I747" s="45" t="s">
        <v>35</v>
      </c>
      <c r="J747" s="46" t="s">
        <v>36</v>
      </c>
      <c r="K747" s="47" t="s">
        <v>37</v>
      </c>
      <c r="L747" s="48" t="s">
        <v>35</v>
      </c>
      <c r="M747" s="48" t="s">
        <v>37</v>
      </c>
      <c r="N747" s="48" t="s">
        <v>37</v>
      </c>
      <c r="O747" s="48" t="s">
        <v>35</v>
      </c>
      <c r="P747" s="48" t="s">
        <v>35</v>
      </c>
      <c r="Q747" s="48" t="s">
        <v>37</v>
      </c>
      <c r="R747" s="48" t="s">
        <v>35</v>
      </c>
      <c r="S747" s="49" t="s">
        <v>1996</v>
      </c>
      <c r="T747" s="50" t="s">
        <v>1997</v>
      </c>
      <c r="U747" s="51" t="s">
        <v>1997</v>
      </c>
      <c r="V747" s="52">
        <f t="shared" ref="V747:X747" si="753">IF(lenb(SUBSTITUTE($Z747,V$1&amp;" (1)",""))&lt;lenb($Z747),1,IF(lenb(SUBSTITUTE($Z747,V$1&amp;" (2)",""))&lt;lenb($Z747),2,IF(lenb(SUBSTITUTE($Z747,V$1&amp;" (3)",""))&lt;lenb($Z747),3,IF(lenb(SUBSTITUTE($Z747,V$1&amp;" (4)",""))&lt;lenb($Z747),4,IF(lenb(SUBSTITUTE($Z747,V$1&amp;" (5)",""))&lt;lenb($Z747),5,IF(lenb(SUBSTITUTE($Z747,V$1&amp;" (6)",""))&lt;lenb($Z747),6,IF(lenb(SUBSTITUTE($Z747,V$1&amp;" (7)",""))&lt;lenb($Z747),1,IF(lenb(SUBSTITUTE($Z747,V$1&amp;" (8)",""))&lt;lenb($Z747),8,IF(lenb(SUBSTITUTE($Z747,V$1&amp;" (9)",""))&lt;lenb($Z747),9,IF(lenb(SUBSTITUTE($Z747,V$1&amp;" (10)",""))&lt;lenb($Z747),10,IF(lenb(SUBSTITUTE($Z747,V$1,""))&lt;lenb($Z747),"ERROR",IF($Z747=$Y$1,"-",0))))))))))))</f>
        <v>1</v>
      </c>
      <c r="W747" s="52">
        <f t="shared" si="753"/>
        <v>0</v>
      </c>
      <c r="X747" s="52">
        <f t="shared" si="753"/>
        <v>0</v>
      </c>
      <c r="Y747" s="52" t="str">
        <f t="shared" si="3"/>
        <v>-</v>
      </c>
      <c r="Z747" s="52" t="s">
        <v>62</v>
      </c>
      <c r="AA747" s="53">
        <f t="shared" si="4"/>
        <v>1</v>
      </c>
      <c r="AB747" s="54">
        <f>COUNTIFS(Links!B:B,"ICSE",Links!C:C,A747,Links!AD:AD,1)</f>
        <v>0</v>
      </c>
      <c r="AC747" s="55" t="s">
        <v>37</v>
      </c>
      <c r="AD747" s="47" t="str">
        <f t="shared" si="5"/>
        <v>No</v>
      </c>
      <c r="AE747" s="56" t="s">
        <v>36</v>
      </c>
      <c r="AF747" s="57" t="s">
        <v>42</v>
      </c>
      <c r="AG747" s="57" t="s">
        <v>42</v>
      </c>
      <c r="AH747" s="57" t="s">
        <v>42</v>
      </c>
      <c r="AI747" s="49" t="str">
        <f t="shared" si="661"/>
        <v>----</v>
      </c>
      <c r="AJ747" s="58" t="str">
        <f t="shared" si="7"/>
        <v>Paper has link but no statement</v>
      </c>
      <c r="AK747" s="59">
        <v>45022.0</v>
      </c>
      <c r="AL747" s="43" t="s">
        <v>43</v>
      </c>
      <c r="AM747" s="60" t="str">
        <f t="shared" si="8"/>
        <v>[IP0503]</v>
      </c>
    </row>
    <row r="748" ht="67.5" customHeight="1">
      <c r="A748" s="61">
        <v>504.0</v>
      </c>
      <c r="B748" s="22" t="s">
        <v>1998</v>
      </c>
      <c r="C748" s="23">
        <v>2021.0</v>
      </c>
      <c r="D748" s="24" t="s">
        <v>37</v>
      </c>
      <c r="E748" s="25" t="s">
        <v>37</v>
      </c>
      <c r="F748" s="25" t="s">
        <v>35</v>
      </c>
      <c r="G748" s="25" t="s">
        <v>37</v>
      </c>
      <c r="H748" s="25" t="s">
        <v>35</v>
      </c>
      <c r="I748" s="25" t="s">
        <v>35</v>
      </c>
      <c r="J748" s="26" t="s">
        <v>36</v>
      </c>
      <c r="K748" s="27" t="s">
        <v>37</v>
      </c>
      <c r="L748" s="28" t="s">
        <v>35</v>
      </c>
      <c r="M748" s="28" t="s">
        <v>37</v>
      </c>
      <c r="N748" s="28" t="s">
        <v>35</v>
      </c>
      <c r="O748" s="28" t="s">
        <v>35</v>
      </c>
      <c r="P748" s="28" t="s">
        <v>35</v>
      </c>
      <c r="Q748" s="28" t="s">
        <v>37</v>
      </c>
      <c r="R748" s="28" t="s">
        <v>35</v>
      </c>
      <c r="S748" s="29" t="s">
        <v>1999</v>
      </c>
      <c r="T748" s="30" t="s">
        <v>2000</v>
      </c>
      <c r="U748" s="31" t="s">
        <v>2000</v>
      </c>
      <c r="V748" s="32">
        <f t="shared" ref="V748:X748" si="754">IF(lenb(SUBSTITUTE($Z748,V$1&amp;" (1)",""))&lt;lenb($Z748),1,IF(lenb(SUBSTITUTE($Z748,V$1&amp;" (2)",""))&lt;lenb($Z748),2,IF(lenb(SUBSTITUTE($Z748,V$1&amp;" (3)",""))&lt;lenb($Z748),3,IF(lenb(SUBSTITUTE($Z748,V$1&amp;" (4)",""))&lt;lenb($Z748),4,IF(lenb(SUBSTITUTE($Z748,V$1&amp;" (5)",""))&lt;lenb($Z748),5,IF(lenb(SUBSTITUTE($Z748,V$1&amp;" (6)",""))&lt;lenb($Z748),6,IF(lenb(SUBSTITUTE($Z748,V$1&amp;" (7)",""))&lt;lenb($Z748),1,IF(lenb(SUBSTITUTE($Z748,V$1&amp;" (8)",""))&lt;lenb($Z748),8,IF(lenb(SUBSTITUTE($Z748,V$1&amp;" (9)",""))&lt;lenb($Z748),9,IF(lenb(SUBSTITUTE($Z748,V$1&amp;" (10)",""))&lt;lenb($Z748),10,IF(lenb(SUBSTITUTE($Z748,V$1,""))&lt;lenb($Z748),"ERROR",IF($Z748=$Y$1,"-",0))))))))))))</f>
        <v>1</v>
      </c>
      <c r="W748" s="32">
        <f t="shared" si="754"/>
        <v>0</v>
      </c>
      <c r="X748" s="32">
        <f t="shared" si="754"/>
        <v>0</v>
      </c>
      <c r="Y748" s="32" t="str">
        <f t="shared" si="3"/>
        <v>-</v>
      </c>
      <c r="Z748" s="32" t="s">
        <v>62</v>
      </c>
      <c r="AA748" s="33">
        <f t="shared" si="4"/>
        <v>1</v>
      </c>
      <c r="AB748" s="34">
        <f>COUNTIFS(Links!B:B,"ICSE",Links!C:C,A748,Links!AD:AD,1)</f>
        <v>0</v>
      </c>
      <c r="AC748" s="35" t="s">
        <v>37</v>
      </c>
      <c r="AD748" s="27" t="str">
        <f t="shared" si="5"/>
        <v>No</v>
      </c>
      <c r="AE748" s="36" t="s">
        <v>36</v>
      </c>
      <c r="AF748" s="37" t="s">
        <v>42</v>
      </c>
      <c r="AG748" s="37" t="s">
        <v>42</v>
      </c>
      <c r="AH748" s="37" t="s">
        <v>42</v>
      </c>
      <c r="AI748" s="29" t="str">
        <f t="shared" si="661"/>
        <v>----</v>
      </c>
      <c r="AJ748" s="38" t="str">
        <f t="shared" si="7"/>
        <v>Paper has link but no statement</v>
      </c>
      <c r="AK748" s="39">
        <v>45022.0</v>
      </c>
      <c r="AL748" s="23" t="s">
        <v>43</v>
      </c>
      <c r="AM748" s="40" t="str">
        <f t="shared" si="8"/>
        <v>[IP0504]</v>
      </c>
    </row>
    <row r="749" ht="67.5" customHeight="1">
      <c r="A749" s="41">
        <v>505.0</v>
      </c>
      <c r="B749" s="42" t="s">
        <v>2001</v>
      </c>
      <c r="C749" s="43">
        <v>2021.0</v>
      </c>
      <c r="D749" s="44" t="s">
        <v>35</v>
      </c>
      <c r="E749" s="45" t="s">
        <v>36</v>
      </c>
      <c r="F749" s="45" t="s">
        <v>36</v>
      </c>
      <c r="G749" s="45" t="s">
        <v>36</v>
      </c>
      <c r="H749" s="45" t="s">
        <v>36</v>
      </c>
      <c r="I749" s="45" t="s">
        <v>36</v>
      </c>
      <c r="J749" s="46" t="s">
        <v>36</v>
      </c>
      <c r="K749" s="47" t="s">
        <v>37</v>
      </c>
      <c r="L749" s="48" t="s">
        <v>35</v>
      </c>
      <c r="M749" s="48" t="s">
        <v>37</v>
      </c>
      <c r="N749" s="48" t="s">
        <v>37</v>
      </c>
      <c r="O749" s="48" t="s">
        <v>35</v>
      </c>
      <c r="P749" s="48" t="s">
        <v>35</v>
      </c>
      <c r="Q749" s="48" t="s">
        <v>35</v>
      </c>
      <c r="R749" s="48" t="s">
        <v>35</v>
      </c>
      <c r="S749" s="49" t="s">
        <v>2002</v>
      </c>
      <c r="T749" s="50" t="s">
        <v>2003</v>
      </c>
      <c r="U749" s="50" t="s">
        <v>2003</v>
      </c>
      <c r="V749" s="52">
        <f t="shared" ref="V749:X749" si="755">IF(lenb(SUBSTITUTE($Z749,V$1&amp;" (1)",""))&lt;lenb($Z749),1,IF(lenb(SUBSTITUTE($Z749,V$1&amp;" (2)",""))&lt;lenb($Z749),2,IF(lenb(SUBSTITUTE($Z749,V$1&amp;" (3)",""))&lt;lenb($Z749),3,IF(lenb(SUBSTITUTE($Z749,V$1&amp;" (4)",""))&lt;lenb($Z749),4,IF(lenb(SUBSTITUTE($Z749,V$1&amp;" (5)",""))&lt;lenb($Z749),5,IF(lenb(SUBSTITUTE($Z749,V$1&amp;" (6)",""))&lt;lenb($Z749),6,IF(lenb(SUBSTITUTE($Z749,V$1&amp;" (7)",""))&lt;lenb($Z749),1,IF(lenb(SUBSTITUTE($Z749,V$1&amp;" (8)",""))&lt;lenb($Z749),8,IF(lenb(SUBSTITUTE($Z749,V$1&amp;" (9)",""))&lt;lenb($Z749),9,IF(lenb(SUBSTITUTE($Z749,V$1&amp;" (10)",""))&lt;lenb($Z749),10,IF(lenb(SUBSTITUTE($Z749,V$1,""))&lt;lenb($Z749),"ERROR",IF($Z749=$Y$1,"-",0))))))))))))</f>
        <v>0</v>
      </c>
      <c r="W749" s="52">
        <f t="shared" si="755"/>
        <v>1</v>
      </c>
      <c r="X749" s="52">
        <f t="shared" si="755"/>
        <v>0</v>
      </c>
      <c r="Y749" s="52" t="str">
        <f t="shared" si="3"/>
        <v>-</v>
      </c>
      <c r="Z749" s="52" t="s">
        <v>47</v>
      </c>
      <c r="AA749" s="53">
        <f t="shared" si="4"/>
        <v>1</v>
      </c>
      <c r="AB749" s="54">
        <f>COUNTIFS(Links!B:B,"ICSE",Links!C:C,A749,Links!AD:AD,1)</f>
        <v>0</v>
      </c>
      <c r="AC749" s="55" t="s">
        <v>35</v>
      </c>
      <c r="AD749" s="47" t="str">
        <f t="shared" si="5"/>
        <v>No</v>
      </c>
      <c r="AE749" s="56" t="s">
        <v>36</v>
      </c>
      <c r="AF749" s="57" t="s">
        <v>42</v>
      </c>
      <c r="AG749" s="57" t="s">
        <v>42</v>
      </c>
      <c r="AH749" s="57" t="s">
        <v>42</v>
      </c>
      <c r="AI749" s="49" t="str">
        <f t="shared" si="661"/>
        <v>----</v>
      </c>
      <c r="AJ749" s="58" t="str">
        <f t="shared" si="7"/>
        <v>Paper has link but no statement</v>
      </c>
      <c r="AK749" s="59">
        <v>45022.0</v>
      </c>
      <c r="AL749" s="43" t="s">
        <v>43</v>
      </c>
      <c r="AM749" s="60" t="str">
        <f t="shared" si="8"/>
        <v>[IP0505]</v>
      </c>
    </row>
    <row r="750" ht="67.5" customHeight="1">
      <c r="A750" s="61">
        <v>506.0</v>
      </c>
      <c r="B750" s="22" t="s">
        <v>2004</v>
      </c>
      <c r="C750" s="23">
        <v>2021.0</v>
      </c>
      <c r="D750" s="24" t="s">
        <v>35</v>
      </c>
      <c r="E750" s="25" t="s">
        <v>36</v>
      </c>
      <c r="F750" s="25" t="s">
        <v>36</v>
      </c>
      <c r="G750" s="25" t="s">
        <v>36</v>
      </c>
      <c r="H750" s="25" t="s">
        <v>36</v>
      </c>
      <c r="I750" s="25" t="s">
        <v>36</v>
      </c>
      <c r="J750" s="26" t="s">
        <v>36</v>
      </c>
      <c r="K750" s="27" t="s">
        <v>37</v>
      </c>
      <c r="L750" s="28" t="s">
        <v>35</v>
      </c>
      <c r="M750" s="28" t="s">
        <v>37</v>
      </c>
      <c r="N750" s="28" t="s">
        <v>37</v>
      </c>
      <c r="O750" s="28" t="s">
        <v>35</v>
      </c>
      <c r="P750" s="28" t="s">
        <v>35</v>
      </c>
      <c r="Q750" s="28" t="s">
        <v>35</v>
      </c>
      <c r="R750" s="28" t="s">
        <v>35</v>
      </c>
      <c r="S750" s="29" t="s">
        <v>2005</v>
      </c>
      <c r="T750" s="30" t="s">
        <v>2006</v>
      </c>
      <c r="U750" s="31" t="s">
        <v>2006</v>
      </c>
      <c r="V750" s="32">
        <f t="shared" ref="V750:X750" si="756">IF(lenb(SUBSTITUTE($Z750,V$1&amp;" (1)",""))&lt;lenb($Z750),1,IF(lenb(SUBSTITUTE($Z750,V$1&amp;" (2)",""))&lt;lenb($Z750),2,IF(lenb(SUBSTITUTE($Z750,V$1&amp;" (3)",""))&lt;lenb($Z750),3,IF(lenb(SUBSTITUTE($Z750,V$1&amp;" (4)",""))&lt;lenb($Z750),4,IF(lenb(SUBSTITUTE($Z750,V$1&amp;" (5)",""))&lt;lenb($Z750),5,IF(lenb(SUBSTITUTE($Z750,V$1&amp;" (6)",""))&lt;lenb($Z750),6,IF(lenb(SUBSTITUTE($Z750,V$1&amp;" (7)",""))&lt;lenb($Z750),1,IF(lenb(SUBSTITUTE($Z750,V$1&amp;" (8)",""))&lt;lenb($Z750),8,IF(lenb(SUBSTITUTE($Z750,V$1&amp;" (9)",""))&lt;lenb($Z750),9,IF(lenb(SUBSTITUTE($Z750,V$1&amp;" (10)",""))&lt;lenb($Z750),10,IF(lenb(SUBSTITUTE($Z750,V$1,""))&lt;lenb($Z750),"ERROR",IF($Z750=$Y$1,"-",0))))))))))))</f>
        <v>1</v>
      </c>
      <c r="W750" s="32">
        <f t="shared" si="756"/>
        <v>0</v>
      </c>
      <c r="X750" s="32">
        <f t="shared" si="756"/>
        <v>0</v>
      </c>
      <c r="Y750" s="32" t="str">
        <f t="shared" si="3"/>
        <v>-</v>
      </c>
      <c r="Z750" s="32" t="s">
        <v>62</v>
      </c>
      <c r="AA750" s="33">
        <f t="shared" si="4"/>
        <v>1</v>
      </c>
      <c r="AB750" s="34">
        <f>COUNTIFS(Links!B:B,"ICSE",Links!C:C,A750,Links!AD:AD,1)</f>
        <v>0</v>
      </c>
      <c r="AC750" s="35" t="s">
        <v>35</v>
      </c>
      <c r="AD750" s="27" t="str">
        <f t="shared" si="5"/>
        <v>No</v>
      </c>
      <c r="AE750" s="36" t="s">
        <v>36</v>
      </c>
      <c r="AF750" s="37" t="s">
        <v>42</v>
      </c>
      <c r="AG750" s="37" t="s">
        <v>42</v>
      </c>
      <c r="AH750" s="37" t="s">
        <v>42</v>
      </c>
      <c r="AI750" s="29" t="str">
        <f t="shared" si="661"/>
        <v>----</v>
      </c>
      <c r="AJ750" s="38" t="str">
        <f t="shared" si="7"/>
        <v>Paper has link but no statement</v>
      </c>
      <c r="AK750" s="39">
        <v>45022.0</v>
      </c>
      <c r="AL750" s="23" t="s">
        <v>43</v>
      </c>
      <c r="AM750" s="40" t="str">
        <f t="shared" si="8"/>
        <v>[IP0506]</v>
      </c>
    </row>
    <row r="751" ht="67.5" customHeight="1">
      <c r="A751" s="41">
        <v>507.0</v>
      </c>
      <c r="B751" s="42" t="s">
        <v>2007</v>
      </c>
      <c r="C751" s="43">
        <v>2021.0</v>
      </c>
      <c r="D751" s="44" t="s">
        <v>35</v>
      </c>
      <c r="E751" s="45" t="s">
        <v>36</v>
      </c>
      <c r="F751" s="45" t="s">
        <v>36</v>
      </c>
      <c r="G751" s="45" t="s">
        <v>36</v>
      </c>
      <c r="H751" s="45" t="s">
        <v>36</v>
      </c>
      <c r="I751" s="45" t="s">
        <v>36</v>
      </c>
      <c r="J751" s="46" t="s">
        <v>36</v>
      </c>
      <c r="K751" s="47" t="s">
        <v>37</v>
      </c>
      <c r="L751" s="48" t="s">
        <v>35</v>
      </c>
      <c r="M751" s="48" t="s">
        <v>37</v>
      </c>
      <c r="N751" s="48" t="s">
        <v>37</v>
      </c>
      <c r="O751" s="48" t="s">
        <v>35</v>
      </c>
      <c r="P751" s="48" t="s">
        <v>35</v>
      </c>
      <c r="Q751" s="48" t="s">
        <v>35</v>
      </c>
      <c r="R751" s="48" t="s">
        <v>37</v>
      </c>
      <c r="S751" s="49" t="s">
        <v>2008</v>
      </c>
      <c r="T751" s="50" t="s">
        <v>2009</v>
      </c>
      <c r="U751" s="51" t="s">
        <v>2009</v>
      </c>
      <c r="V751" s="52">
        <f t="shared" ref="V751:X751" si="757">IF(lenb(SUBSTITUTE($Z751,V$1&amp;" (1)",""))&lt;lenb($Z751),1,IF(lenb(SUBSTITUTE($Z751,V$1&amp;" (2)",""))&lt;lenb($Z751),2,IF(lenb(SUBSTITUTE($Z751,V$1&amp;" (3)",""))&lt;lenb($Z751),3,IF(lenb(SUBSTITUTE($Z751,V$1&amp;" (4)",""))&lt;lenb($Z751),4,IF(lenb(SUBSTITUTE($Z751,V$1&amp;" (5)",""))&lt;lenb($Z751),5,IF(lenb(SUBSTITUTE($Z751,V$1&amp;" (6)",""))&lt;lenb($Z751),6,IF(lenb(SUBSTITUTE($Z751,V$1&amp;" (7)",""))&lt;lenb($Z751),1,IF(lenb(SUBSTITUTE($Z751,V$1&amp;" (8)",""))&lt;lenb($Z751),8,IF(lenb(SUBSTITUTE($Z751,V$1&amp;" (9)",""))&lt;lenb($Z751),9,IF(lenb(SUBSTITUTE($Z751,V$1&amp;" (10)",""))&lt;lenb($Z751),10,IF(lenb(SUBSTITUTE($Z751,V$1,""))&lt;lenb($Z751),"ERROR",IF($Z751=$Y$1,"-",0))))))))))))</f>
        <v>1</v>
      </c>
      <c r="W751" s="52">
        <f t="shared" si="757"/>
        <v>0</v>
      </c>
      <c r="X751" s="52">
        <f t="shared" si="757"/>
        <v>0</v>
      </c>
      <c r="Y751" s="52" t="str">
        <f t="shared" si="3"/>
        <v>-</v>
      </c>
      <c r="Z751" s="52" t="s">
        <v>62</v>
      </c>
      <c r="AA751" s="53">
        <f t="shared" si="4"/>
        <v>1</v>
      </c>
      <c r="AB751" s="54">
        <f>COUNTIFS(Links!B:B,"ICSE",Links!C:C,A751,Links!AD:AD,1)</f>
        <v>0</v>
      </c>
      <c r="AC751" s="55" t="s">
        <v>35</v>
      </c>
      <c r="AD751" s="47" t="str">
        <f t="shared" si="5"/>
        <v>No</v>
      </c>
      <c r="AE751" s="56" t="s">
        <v>36</v>
      </c>
      <c r="AF751" s="57" t="s">
        <v>42</v>
      </c>
      <c r="AG751" s="57" t="s">
        <v>42</v>
      </c>
      <c r="AH751" s="57" t="s">
        <v>42</v>
      </c>
      <c r="AI751" s="49" t="str">
        <f t="shared" si="661"/>
        <v>----</v>
      </c>
      <c r="AJ751" s="58" t="str">
        <f t="shared" si="7"/>
        <v>Paper has link but no statement</v>
      </c>
      <c r="AK751" s="59">
        <v>45022.0</v>
      </c>
      <c r="AL751" s="43" t="s">
        <v>43</v>
      </c>
      <c r="AM751" s="60" t="str">
        <f t="shared" si="8"/>
        <v>[IP0507]</v>
      </c>
    </row>
    <row r="752" ht="67.5" customHeight="1">
      <c r="A752" s="61">
        <v>508.0</v>
      </c>
      <c r="B752" s="22" t="s">
        <v>2010</v>
      </c>
      <c r="C752" s="23">
        <v>2021.0</v>
      </c>
      <c r="D752" s="24" t="s">
        <v>37</v>
      </c>
      <c r="E752" s="25" t="s">
        <v>37</v>
      </c>
      <c r="F752" s="25" t="s">
        <v>35</v>
      </c>
      <c r="G752" s="25" t="s">
        <v>37</v>
      </c>
      <c r="H752" s="25" t="s">
        <v>35</v>
      </c>
      <c r="I752" s="25" t="s">
        <v>35</v>
      </c>
      <c r="J752" s="26" t="s">
        <v>36</v>
      </c>
      <c r="K752" s="27" t="s">
        <v>37</v>
      </c>
      <c r="L752" s="28" t="s">
        <v>37</v>
      </c>
      <c r="M752" s="28" t="s">
        <v>35</v>
      </c>
      <c r="N752" s="28" t="s">
        <v>35</v>
      </c>
      <c r="O752" s="28" t="s">
        <v>37</v>
      </c>
      <c r="P752" s="28" t="s">
        <v>35</v>
      </c>
      <c r="Q752" s="28" t="s">
        <v>35</v>
      </c>
      <c r="R752" s="28" t="s">
        <v>37</v>
      </c>
      <c r="S752" s="29" t="s">
        <v>2011</v>
      </c>
      <c r="T752" s="30" t="s">
        <v>2012</v>
      </c>
      <c r="U752" s="31" t="s">
        <v>2013</v>
      </c>
      <c r="V752" s="32">
        <f t="shared" ref="V752:X752" si="758">IF(lenb(SUBSTITUTE($Z752,V$1&amp;" (1)",""))&lt;lenb($Z752),1,IF(lenb(SUBSTITUTE($Z752,V$1&amp;" (2)",""))&lt;lenb($Z752),2,IF(lenb(SUBSTITUTE($Z752,V$1&amp;" (3)",""))&lt;lenb($Z752),3,IF(lenb(SUBSTITUTE($Z752,V$1&amp;" (4)",""))&lt;lenb($Z752),4,IF(lenb(SUBSTITUTE($Z752,V$1&amp;" (5)",""))&lt;lenb($Z752),5,IF(lenb(SUBSTITUTE($Z752,V$1&amp;" (6)",""))&lt;lenb($Z752),6,IF(lenb(SUBSTITUTE($Z752,V$1&amp;" (7)",""))&lt;lenb($Z752),1,IF(lenb(SUBSTITUTE($Z752,V$1&amp;" (8)",""))&lt;lenb($Z752),8,IF(lenb(SUBSTITUTE($Z752,V$1&amp;" (9)",""))&lt;lenb($Z752),9,IF(lenb(SUBSTITUTE($Z752,V$1&amp;" (10)",""))&lt;lenb($Z752),10,IF(lenb(SUBSTITUTE($Z752,V$1,""))&lt;lenb($Z752),"ERROR",IF($Z752=$Y$1,"-",0))))))))))))</f>
        <v>2</v>
      </c>
      <c r="W752" s="32">
        <f t="shared" si="758"/>
        <v>0</v>
      </c>
      <c r="X752" s="32">
        <f t="shared" si="758"/>
        <v>0</v>
      </c>
      <c r="Y752" s="32" t="str">
        <f t="shared" si="3"/>
        <v>-</v>
      </c>
      <c r="Z752" s="32" t="s">
        <v>57</v>
      </c>
      <c r="AA752" s="33">
        <f t="shared" si="4"/>
        <v>2</v>
      </c>
      <c r="AB752" s="34">
        <f>COUNTIFS(Links!B:B,"ICSE",Links!C:C,A752,Links!AD:AD,1)</f>
        <v>0</v>
      </c>
      <c r="AC752" s="35" t="s">
        <v>37</v>
      </c>
      <c r="AD752" s="27" t="str">
        <f t="shared" si="5"/>
        <v>No</v>
      </c>
      <c r="AE752" s="36" t="s">
        <v>36</v>
      </c>
      <c r="AF752" s="37" t="s">
        <v>42</v>
      </c>
      <c r="AG752" s="37" t="s">
        <v>42</v>
      </c>
      <c r="AH752" s="37" t="s">
        <v>42</v>
      </c>
      <c r="AI752" s="29" t="str">
        <f t="shared" si="661"/>
        <v>----</v>
      </c>
      <c r="AJ752" s="38" t="str">
        <f t="shared" si="7"/>
        <v>Paper has link but no statement</v>
      </c>
      <c r="AK752" s="39">
        <v>45022.0</v>
      </c>
      <c r="AL752" s="23" t="s">
        <v>43</v>
      </c>
      <c r="AM752" s="40" t="str">
        <f t="shared" si="8"/>
        <v>[IP0508]</v>
      </c>
    </row>
    <row r="753" ht="67.5" customHeight="1">
      <c r="A753" s="41">
        <v>509.0</v>
      </c>
      <c r="B753" s="42" t="s">
        <v>2014</v>
      </c>
      <c r="C753" s="43">
        <v>2021.0</v>
      </c>
      <c r="D753" s="44" t="s">
        <v>35</v>
      </c>
      <c r="E753" s="45" t="s">
        <v>36</v>
      </c>
      <c r="F753" s="45" t="s">
        <v>36</v>
      </c>
      <c r="G753" s="45" t="s">
        <v>36</v>
      </c>
      <c r="H753" s="45" t="s">
        <v>36</v>
      </c>
      <c r="I753" s="45" t="s">
        <v>36</v>
      </c>
      <c r="J753" s="46" t="s">
        <v>36</v>
      </c>
      <c r="K753" s="47" t="s">
        <v>37</v>
      </c>
      <c r="L753" s="48" t="s">
        <v>35</v>
      </c>
      <c r="M753" s="48" t="s">
        <v>35</v>
      </c>
      <c r="N753" s="48" t="s">
        <v>37</v>
      </c>
      <c r="O753" s="48" t="s">
        <v>35</v>
      </c>
      <c r="P753" s="48" t="s">
        <v>35</v>
      </c>
      <c r="Q753" s="48" t="s">
        <v>35</v>
      </c>
      <c r="R753" s="48" t="s">
        <v>35</v>
      </c>
      <c r="S753" s="49" t="s">
        <v>2015</v>
      </c>
      <c r="T753" s="50" t="s">
        <v>2016</v>
      </c>
      <c r="U753" s="51" t="s">
        <v>2016</v>
      </c>
      <c r="V753" s="52">
        <f t="shared" ref="V753:X753" si="759">IF(lenb(SUBSTITUTE($Z753,V$1&amp;" (1)",""))&lt;lenb($Z753),1,IF(lenb(SUBSTITUTE($Z753,V$1&amp;" (2)",""))&lt;lenb($Z753),2,IF(lenb(SUBSTITUTE($Z753,V$1&amp;" (3)",""))&lt;lenb($Z753),3,IF(lenb(SUBSTITUTE($Z753,V$1&amp;" (4)",""))&lt;lenb($Z753),4,IF(lenb(SUBSTITUTE($Z753,V$1&amp;" (5)",""))&lt;lenb($Z753),5,IF(lenb(SUBSTITUTE($Z753,V$1&amp;" (6)",""))&lt;lenb($Z753),6,IF(lenb(SUBSTITUTE($Z753,V$1&amp;" (7)",""))&lt;lenb($Z753),1,IF(lenb(SUBSTITUTE($Z753,V$1&amp;" (8)",""))&lt;lenb($Z753),8,IF(lenb(SUBSTITUTE($Z753,V$1&amp;" (9)",""))&lt;lenb($Z753),9,IF(lenb(SUBSTITUTE($Z753,V$1&amp;" (10)",""))&lt;lenb($Z753),10,IF(lenb(SUBSTITUTE($Z753,V$1,""))&lt;lenb($Z753),"ERROR",IF($Z753=$Y$1,"-",0))))))))))))</f>
        <v>1</v>
      </c>
      <c r="W753" s="52">
        <f t="shared" si="759"/>
        <v>0</v>
      </c>
      <c r="X753" s="52">
        <f t="shared" si="759"/>
        <v>0</v>
      </c>
      <c r="Y753" s="52" t="str">
        <f t="shared" si="3"/>
        <v>-</v>
      </c>
      <c r="Z753" s="52" t="s">
        <v>62</v>
      </c>
      <c r="AA753" s="53">
        <f t="shared" si="4"/>
        <v>1</v>
      </c>
      <c r="AB753" s="54">
        <f>COUNTIFS(Links!B:B,"ICSE",Links!C:C,A753,Links!AD:AD,1)</f>
        <v>0</v>
      </c>
      <c r="AC753" s="55" t="s">
        <v>35</v>
      </c>
      <c r="AD753" s="47" t="str">
        <f t="shared" si="5"/>
        <v>No</v>
      </c>
      <c r="AE753" s="56" t="s">
        <v>36</v>
      </c>
      <c r="AF753" s="57" t="s">
        <v>42</v>
      </c>
      <c r="AG753" s="57" t="s">
        <v>42</v>
      </c>
      <c r="AH753" s="57" t="s">
        <v>42</v>
      </c>
      <c r="AI753" s="49" t="str">
        <f t="shared" si="661"/>
        <v>----</v>
      </c>
      <c r="AJ753" s="58" t="str">
        <f t="shared" si="7"/>
        <v>Paper has link but no statement</v>
      </c>
      <c r="AK753" s="59">
        <v>45022.0</v>
      </c>
      <c r="AL753" s="43" t="s">
        <v>43</v>
      </c>
      <c r="AM753" s="60" t="str">
        <f t="shared" si="8"/>
        <v>[IP0509]</v>
      </c>
    </row>
    <row r="754" ht="67.5" customHeight="1">
      <c r="A754" s="61">
        <v>510.0</v>
      </c>
      <c r="B754" s="22" t="s">
        <v>2017</v>
      </c>
      <c r="C754" s="23">
        <v>2021.0</v>
      </c>
      <c r="D754" s="24" t="s">
        <v>35</v>
      </c>
      <c r="E754" s="25" t="s">
        <v>36</v>
      </c>
      <c r="F754" s="25" t="s">
        <v>36</v>
      </c>
      <c r="G754" s="25" t="s">
        <v>36</v>
      </c>
      <c r="H754" s="25" t="s">
        <v>36</v>
      </c>
      <c r="I754" s="25" t="s">
        <v>36</v>
      </c>
      <c r="J754" s="26" t="s">
        <v>36</v>
      </c>
      <c r="K754" s="27" t="s">
        <v>37</v>
      </c>
      <c r="L754" s="28" t="s">
        <v>35</v>
      </c>
      <c r="M754" s="28" t="s">
        <v>35</v>
      </c>
      <c r="N754" s="28" t="s">
        <v>37</v>
      </c>
      <c r="O754" s="28" t="s">
        <v>35</v>
      </c>
      <c r="P754" s="28" t="s">
        <v>35</v>
      </c>
      <c r="Q754" s="28" t="s">
        <v>35</v>
      </c>
      <c r="R754" s="28" t="s">
        <v>35</v>
      </c>
      <c r="S754" s="29" t="s">
        <v>2015</v>
      </c>
      <c r="T754" s="30" t="s">
        <v>2018</v>
      </c>
      <c r="U754" s="31" t="s">
        <v>2018</v>
      </c>
      <c r="V754" s="32">
        <f t="shared" ref="V754:X754" si="760">IF(lenb(SUBSTITUTE($Z754,V$1&amp;" (1)",""))&lt;lenb($Z754),1,IF(lenb(SUBSTITUTE($Z754,V$1&amp;" (2)",""))&lt;lenb($Z754),2,IF(lenb(SUBSTITUTE($Z754,V$1&amp;" (3)",""))&lt;lenb($Z754),3,IF(lenb(SUBSTITUTE($Z754,V$1&amp;" (4)",""))&lt;lenb($Z754),4,IF(lenb(SUBSTITUTE($Z754,V$1&amp;" (5)",""))&lt;lenb($Z754),5,IF(lenb(SUBSTITUTE($Z754,V$1&amp;" (6)",""))&lt;lenb($Z754),6,IF(lenb(SUBSTITUTE($Z754,V$1&amp;" (7)",""))&lt;lenb($Z754),1,IF(lenb(SUBSTITUTE($Z754,V$1&amp;" (8)",""))&lt;lenb($Z754),8,IF(lenb(SUBSTITUTE($Z754,V$1&amp;" (9)",""))&lt;lenb($Z754),9,IF(lenb(SUBSTITUTE($Z754,V$1&amp;" (10)",""))&lt;lenb($Z754),10,IF(lenb(SUBSTITUTE($Z754,V$1,""))&lt;lenb($Z754),"ERROR",IF($Z754=$Y$1,"-",0))))))))))))</f>
        <v>1</v>
      </c>
      <c r="W754" s="32">
        <f t="shared" si="760"/>
        <v>0</v>
      </c>
      <c r="X754" s="32">
        <f t="shared" si="760"/>
        <v>0</v>
      </c>
      <c r="Y754" s="32" t="str">
        <f t="shared" si="3"/>
        <v>-</v>
      </c>
      <c r="Z754" s="32" t="s">
        <v>62</v>
      </c>
      <c r="AA754" s="33">
        <f t="shared" si="4"/>
        <v>1</v>
      </c>
      <c r="AB754" s="34">
        <f>COUNTIFS(Links!B:B,"ICSE",Links!C:C,A754,Links!AD:AD,1)</f>
        <v>0</v>
      </c>
      <c r="AC754" s="35" t="s">
        <v>35</v>
      </c>
      <c r="AD754" s="27" t="str">
        <f t="shared" si="5"/>
        <v>No</v>
      </c>
      <c r="AE754" s="36" t="s">
        <v>36</v>
      </c>
      <c r="AF754" s="37" t="s">
        <v>42</v>
      </c>
      <c r="AG754" s="37" t="s">
        <v>42</v>
      </c>
      <c r="AH754" s="37" t="s">
        <v>42</v>
      </c>
      <c r="AI754" s="29" t="str">
        <f t="shared" si="661"/>
        <v>----</v>
      </c>
      <c r="AJ754" s="38" t="str">
        <f t="shared" si="7"/>
        <v>Paper has link but no statement</v>
      </c>
      <c r="AK754" s="39">
        <v>45022.0</v>
      </c>
      <c r="AL754" s="23" t="s">
        <v>43</v>
      </c>
      <c r="AM754" s="40" t="str">
        <f t="shared" si="8"/>
        <v>[IP0510]</v>
      </c>
    </row>
    <row r="755" ht="67.5" customHeight="1">
      <c r="A755" s="41">
        <v>511.0</v>
      </c>
      <c r="B755" s="42" t="s">
        <v>2019</v>
      </c>
      <c r="C755" s="43">
        <v>2021.0</v>
      </c>
      <c r="D755" s="44" t="s">
        <v>35</v>
      </c>
      <c r="E755" s="45" t="s">
        <v>36</v>
      </c>
      <c r="F755" s="45" t="s">
        <v>36</v>
      </c>
      <c r="G755" s="45" t="s">
        <v>36</v>
      </c>
      <c r="H755" s="45" t="s">
        <v>36</v>
      </c>
      <c r="I755" s="45" t="s">
        <v>36</v>
      </c>
      <c r="J755" s="46" t="s">
        <v>36</v>
      </c>
      <c r="K755" s="47" t="s">
        <v>37</v>
      </c>
      <c r="L755" s="48" t="s">
        <v>35</v>
      </c>
      <c r="M755" s="48" t="s">
        <v>37</v>
      </c>
      <c r="N755" s="48" t="s">
        <v>37</v>
      </c>
      <c r="O755" s="48" t="s">
        <v>37</v>
      </c>
      <c r="P755" s="48" t="s">
        <v>35</v>
      </c>
      <c r="Q755" s="48" t="s">
        <v>35</v>
      </c>
      <c r="R755" s="48" t="s">
        <v>37</v>
      </c>
      <c r="S755" s="49" t="s">
        <v>2020</v>
      </c>
      <c r="T755" s="50" t="s">
        <v>2021</v>
      </c>
      <c r="U755" s="51" t="s">
        <v>2021</v>
      </c>
      <c r="V755" s="52">
        <f t="shared" ref="V755:X755" si="761">IF(lenb(SUBSTITUTE($Z755,V$1&amp;" (1)",""))&lt;lenb($Z755),1,IF(lenb(SUBSTITUTE($Z755,V$1&amp;" (2)",""))&lt;lenb($Z755),2,IF(lenb(SUBSTITUTE($Z755,V$1&amp;" (3)",""))&lt;lenb($Z755),3,IF(lenb(SUBSTITUTE($Z755,V$1&amp;" (4)",""))&lt;lenb($Z755),4,IF(lenb(SUBSTITUTE($Z755,V$1&amp;" (5)",""))&lt;lenb($Z755),5,IF(lenb(SUBSTITUTE($Z755,V$1&amp;" (6)",""))&lt;lenb($Z755),6,IF(lenb(SUBSTITUTE($Z755,V$1&amp;" (7)",""))&lt;lenb($Z755),1,IF(lenb(SUBSTITUTE($Z755,V$1&amp;" (8)",""))&lt;lenb($Z755),8,IF(lenb(SUBSTITUTE($Z755,V$1&amp;" (9)",""))&lt;lenb($Z755),9,IF(lenb(SUBSTITUTE($Z755,V$1&amp;" (10)",""))&lt;lenb($Z755),10,IF(lenb(SUBSTITUTE($Z755,V$1,""))&lt;lenb($Z755),"ERROR",IF($Z755=$Y$1,"-",0))))))))))))</f>
        <v>1</v>
      </c>
      <c r="W755" s="52">
        <f t="shared" si="761"/>
        <v>0</v>
      </c>
      <c r="X755" s="52">
        <f t="shared" si="761"/>
        <v>0</v>
      </c>
      <c r="Y755" s="52" t="str">
        <f t="shared" si="3"/>
        <v>-</v>
      </c>
      <c r="Z755" s="52" t="s">
        <v>62</v>
      </c>
      <c r="AA755" s="53">
        <f t="shared" si="4"/>
        <v>1</v>
      </c>
      <c r="AB755" s="54">
        <f>COUNTIFS(Links!B:B,"ICSE",Links!C:C,A755,Links!AD:AD,1)</f>
        <v>0</v>
      </c>
      <c r="AC755" s="55" t="s">
        <v>35</v>
      </c>
      <c r="AD755" s="47" t="str">
        <f t="shared" si="5"/>
        <v>No</v>
      </c>
      <c r="AE755" s="56" t="s">
        <v>36</v>
      </c>
      <c r="AF755" s="57" t="s">
        <v>42</v>
      </c>
      <c r="AG755" s="57" t="s">
        <v>42</v>
      </c>
      <c r="AH755" s="57" t="s">
        <v>42</v>
      </c>
      <c r="AI755" s="49" t="str">
        <f t="shared" si="661"/>
        <v>----</v>
      </c>
      <c r="AJ755" s="58" t="str">
        <f t="shared" si="7"/>
        <v>Paper has link but no statement</v>
      </c>
      <c r="AK755" s="59">
        <v>45022.0</v>
      </c>
      <c r="AL755" s="43" t="s">
        <v>43</v>
      </c>
      <c r="AM755" s="60" t="str">
        <f t="shared" si="8"/>
        <v>[IP0511]</v>
      </c>
    </row>
    <row r="756" ht="67.5" customHeight="1">
      <c r="A756" s="61">
        <v>512.0</v>
      </c>
      <c r="B756" s="22" t="s">
        <v>2022</v>
      </c>
      <c r="C756" s="23">
        <v>2021.0</v>
      </c>
      <c r="D756" s="24" t="s">
        <v>35</v>
      </c>
      <c r="E756" s="25" t="s">
        <v>36</v>
      </c>
      <c r="F756" s="25" t="s">
        <v>36</v>
      </c>
      <c r="G756" s="25" t="s">
        <v>36</v>
      </c>
      <c r="H756" s="25" t="s">
        <v>36</v>
      </c>
      <c r="I756" s="25" t="s">
        <v>36</v>
      </c>
      <c r="J756" s="26" t="s">
        <v>36</v>
      </c>
      <c r="K756" s="27" t="s">
        <v>37</v>
      </c>
      <c r="L756" s="28" t="s">
        <v>37</v>
      </c>
      <c r="M756" s="28" t="s">
        <v>35</v>
      </c>
      <c r="N756" s="28" t="s">
        <v>35</v>
      </c>
      <c r="O756" s="28" t="s">
        <v>37</v>
      </c>
      <c r="P756" s="28" t="s">
        <v>35</v>
      </c>
      <c r="Q756" s="28" t="s">
        <v>35</v>
      </c>
      <c r="R756" s="28" t="s">
        <v>37</v>
      </c>
      <c r="S756" s="29" t="s">
        <v>2023</v>
      </c>
      <c r="T756" s="30" t="s">
        <v>2024</v>
      </c>
      <c r="U756" s="31" t="s">
        <v>2025</v>
      </c>
      <c r="V756" s="32">
        <f t="shared" ref="V756:X756" si="762">IF(lenb(SUBSTITUTE($Z756,V$1&amp;" (1)",""))&lt;lenb($Z756),1,IF(lenb(SUBSTITUTE($Z756,V$1&amp;" (2)",""))&lt;lenb($Z756),2,IF(lenb(SUBSTITUTE($Z756,V$1&amp;" (3)",""))&lt;lenb($Z756),3,IF(lenb(SUBSTITUTE($Z756,V$1&amp;" (4)",""))&lt;lenb($Z756),4,IF(lenb(SUBSTITUTE($Z756,V$1&amp;" (5)",""))&lt;lenb($Z756),5,IF(lenb(SUBSTITUTE($Z756,V$1&amp;" (6)",""))&lt;lenb($Z756),6,IF(lenb(SUBSTITUTE($Z756,V$1&amp;" (7)",""))&lt;lenb($Z756),1,IF(lenb(SUBSTITUTE($Z756,V$1&amp;" (8)",""))&lt;lenb($Z756),8,IF(lenb(SUBSTITUTE($Z756,V$1&amp;" (9)",""))&lt;lenb($Z756),9,IF(lenb(SUBSTITUTE($Z756,V$1&amp;" (10)",""))&lt;lenb($Z756),10,IF(lenb(SUBSTITUTE($Z756,V$1,""))&lt;lenb($Z756),"ERROR",IF($Z756=$Y$1,"-",0))))))))))))</f>
        <v>1</v>
      </c>
      <c r="W756" s="32">
        <f t="shared" si="762"/>
        <v>0</v>
      </c>
      <c r="X756" s="32">
        <f t="shared" si="762"/>
        <v>0</v>
      </c>
      <c r="Y756" s="32" t="str">
        <f t="shared" si="3"/>
        <v>-</v>
      </c>
      <c r="Z756" s="32" t="s">
        <v>62</v>
      </c>
      <c r="AA756" s="33">
        <f t="shared" si="4"/>
        <v>1</v>
      </c>
      <c r="AB756" s="34">
        <f>COUNTIFS(Links!B:B,"ICSE",Links!C:C,A756,Links!AD:AD,1)</f>
        <v>0</v>
      </c>
      <c r="AC756" s="35" t="s">
        <v>35</v>
      </c>
      <c r="AD756" s="27" t="str">
        <f t="shared" si="5"/>
        <v>No</v>
      </c>
      <c r="AE756" s="36" t="s">
        <v>36</v>
      </c>
      <c r="AF756" s="37" t="s">
        <v>42</v>
      </c>
      <c r="AG756" s="37" t="s">
        <v>42</v>
      </c>
      <c r="AH756" s="37" t="s">
        <v>42</v>
      </c>
      <c r="AI756" s="29" t="str">
        <f t="shared" si="661"/>
        <v>----</v>
      </c>
      <c r="AJ756" s="38" t="str">
        <f t="shared" si="7"/>
        <v>Paper has link but no statement</v>
      </c>
      <c r="AK756" s="39">
        <v>45022.0</v>
      </c>
      <c r="AL756" s="23" t="s">
        <v>43</v>
      </c>
      <c r="AM756" s="40" t="str">
        <f t="shared" si="8"/>
        <v>[IP0512]</v>
      </c>
    </row>
    <row r="757" ht="67.5" customHeight="1">
      <c r="A757" s="62">
        <v>513.0</v>
      </c>
      <c r="B757" s="42" t="s">
        <v>2026</v>
      </c>
      <c r="C757" s="43">
        <v>2021.0</v>
      </c>
      <c r="D757" s="44" t="s">
        <v>35</v>
      </c>
      <c r="E757" s="45" t="s">
        <v>36</v>
      </c>
      <c r="F757" s="45" t="s">
        <v>36</v>
      </c>
      <c r="G757" s="45" t="s">
        <v>36</v>
      </c>
      <c r="H757" s="45" t="s">
        <v>36</v>
      </c>
      <c r="I757" s="45" t="s">
        <v>36</v>
      </c>
      <c r="J757" s="46" t="s">
        <v>36</v>
      </c>
      <c r="K757" s="47" t="s">
        <v>35</v>
      </c>
      <c r="L757" s="48" t="s">
        <v>36</v>
      </c>
      <c r="M757" s="48" t="s">
        <v>36</v>
      </c>
      <c r="N757" s="48" t="s">
        <v>36</v>
      </c>
      <c r="O757" s="48" t="s">
        <v>36</v>
      </c>
      <c r="P757" s="48" t="s">
        <v>36</v>
      </c>
      <c r="Q757" s="48" t="s">
        <v>36</v>
      </c>
      <c r="R757" s="48" t="s">
        <v>36</v>
      </c>
      <c r="S757" s="49" t="s">
        <v>36</v>
      </c>
      <c r="T757" s="51" t="s">
        <v>2027</v>
      </c>
      <c r="U757" s="51" t="s">
        <v>36</v>
      </c>
      <c r="V757" s="52" t="str">
        <f t="shared" ref="V757:X757" si="763">IF(lenb(SUBSTITUTE($Z757,V$1&amp;" (1)",""))&lt;lenb($Z757),1,IF(lenb(SUBSTITUTE($Z757,V$1&amp;" (2)",""))&lt;lenb($Z757),2,IF(lenb(SUBSTITUTE($Z757,V$1&amp;" (3)",""))&lt;lenb($Z757),3,IF(lenb(SUBSTITUTE($Z757,V$1&amp;" (4)",""))&lt;lenb($Z757),4,IF(lenb(SUBSTITUTE($Z757,V$1&amp;" (5)",""))&lt;lenb($Z757),5,IF(lenb(SUBSTITUTE($Z757,V$1&amp;" (6)",""))&lt;lenb($Z757),6,IF(lenb(SUBSTITUTE($Z757,V$1&amp;" (7)",""))&lt;lenb($Z757),1,IF(lenb(SUBSTITUTE($Z757,V$1&amp;" (8)",""))&lt;lenb($Z757),8,IF(lenb(SUBSTITUTE($Z757,V$1&amp;" (9)",""))&lt;lenb($Z757),9,IF(lenb(SUBSTITUTE($Z757,V$1&amp;" (10)",""))&lt;lenb($Z757),10,IF(lenb(SUBSTITUTE($Z757,V$1,""))&lt;lenb($Z757),"ERROR",IF($Z757=$Y$1,"-",0))))))))))))</f>
        <v>-</v>
      </c>
      <c r="W757" s="52" t="str">
        <f t="shared" si="763"/>
        <v>-</v>
      </c>
      <c r="X757" s="52" t="str">
        <f t="shared" si="763"/>
        <v>-</v>
      </c>
      <c r="Y757" s="52">
        <f t="shared" si="3"/>
        <v>1</v>
      </c>
      <c r="Z757" s="52" t="s">
        <v>23</v>
      </c>
      <c r="AA757" s="53">
        <f t="shared" si="4"/>
        <v>0</v>
      </c>
      <c r="AB757" s="54">
        <f>COUNTIFS(Links!B:B,"ICSE",Links!C:C,A757,Links!AD:AD,1)</f>
        <v>0</v>
      </c>
      <c r="AC757" s="55" t="s">
        <v>35</v>
      </c>
      <c r="AD757" s="47" t="str">
        <f t="shared" si="5"/>
        <v>No</v>
      </c>
      <c r="AE757" s="56" t="s">
        <v>36</v>
      </c>
      <c r="AF757" s="57" t="s">
        <v>42</v>
      </c>
      <c r="AG757" s="57" t="s">
        <v>42</v>
      </c>
      <c r="AH757" s="57" t="s">
        <v>42</v>
      </c>
      <c r="AI757" s="49" t="str">
        <f t="shared" si="661"/>
        <v>----</v>
      </c>
      <c r="AJ757" s="58" t="str">
        <f t="shared" si="7"/>
        <v>Paper has no link and no statement</v>
      </c>
      <c r="AK757" s="59">
        <v>45022.0</v>
      </c>
      <c r="AL757" s="43" t="s">
        <v>43</v>
      </c>
      <c r="AM757" s="60" t="str">
        <f t="shared" si="8"/>
        <v>[IP0513]</v>
      </c>
    </row>
    <row r="758" ht="67.5" customHeight="1">
      <c r="A758" s="61">
        <v>514.0</v>
      </c>
      <c r="B758" s="22" t="s">
        <v>2028</v>
      </c>
      <c r="C758" s="23">
        <v>2021.0</v>
      </c>
      <c r="D758" s="24" t="s">
        <v>37</v>
      </c>
      <c r="E758" s="25" t="s">
        <v>37</v>
      </c>
      <c r="F758" s="25" t="s">
        <v>35</v>
      </c>
      <c r="G758" s="25" t="s">
        <v>37</v>
      </c>
      <c r="H758" s="25" t="s">
        <v>35</v>
      </c>
      <c r="I758" s="25" t="s">
        <v>35</v>
      </c>
      <c r="J758" s="26" t="s">
        <v>36</v>
      </c>
      <c r="K758" s="27" t="s">
        <v>37</v>
      </c>
      <c r="L758" s="28" t="s">
        <v>35</v>
      </c>
      <c r="M758" s="28" t="s">
        <v>35</v>
      </c>
      <c r="N758" s="28" t="s">
        <v>35</v>
      </c>
      <c r="O758" s="28" t="s">
        <v>35</v>
      </c>
      <c r="P758" s="28" t="s">
        <v>35</v>
      </c>
      <c r="Q758" s="28" t="s">
        <v>37</v>
      </c>
      <c r="R758" s="28" t="s">
        <v>35</v>
      </c>
      <c r="S758" s="29" t="s">
        <v>2029</v>
      </c>
      <c r="T758" s="30" t="s">
        <v>2030</v>
      </c>
      <c r="U758" s="31" t="s">
        <v>2030</v>
      </c>
      <c r="V758" s="32">
        <f t="shared" ref="V758:X758" si="764">IF(lenb(SUBSTITUTE($Z758,V$1&amp;" (1)",""))&lt;lenb($Z758),1,IF(lenb(SUBSTITUTE($Z758,V$1&amp;" (2)",""))&lt;lenb($Z758),2,IF(lenb(SUBSTITUTE($Z758,V$1&amp;" (3)",""))&lt;lenb($Z758),3,IF(lenb(SUBSTITUTE($Z758,V$1&amp;" (4)",""))&lt;lenb($Z758),4,IF(lenb(SUBSTITUTE($Z758,V$1&amp;" (5)",""))&lt;lenb($Z758),5,IF(lenb(SUBSTITUTE($Z758,V$1&amp;" (6)",""))&lt;lenb($Z758),6,IF(lenb(SUBSTITUTE($Z758,V$1&amp;" (7)",""))&lt;lenb($Z758),1,IF(lenb(SUBSTITUTE($Z758,V$1&amp;" (8)",""))&lt;lenb($Z758),8,IF(lenb(SUBSTITUTE($Z758,V$1&amp;" (9)",""))&lt;lenb($Z758),9,IF(lenb(SUBSTITUTE($Z758,V$1&amp;" (10)",""))&lt;lenb($Z758),10,IF(lenb(SUBSTITUTE($Z758,V$1,""))&lt;lenb($Z758),"ERROR",IF($Z758=$Y$1,"-",0))))))))))))</f>
        <v>1</v>
      </c>
      <c r="W758" s="32">
        <f t="shared" si="764"/>
        <v>0</v>
      </c>
      <c r="X758" s="32">
        <f t="shared" si="764"/>
        <v>0</v>
      </c>
      <c r="Y758" s="32" t="str">
        <f t="shared" si="3"/>
        <v>-</v>
      </c>
      <c r="Z758" s="32" t="s">
        <v>62</v>
      </c>
      <c r="AA758" s="33">
        <f t="shared" si="4"/>
        <v>1</v>
      </c>
      <c r="AB758" s="34">
        <f>COUNTIFS(Links!B:B,"ICSE",Links!C:C,A758,Links!AD:AD,1)</f>
        <v>0</v>
      </c>
      <c r="AC758" s="35" t="s">
        <v>35</v>
      </c>
      <c r="AD758" s="27" t="str">
        <f t="shared" si="5"/>
        <v>No</v>
      </c>
      <c r="AE758" s="36" t="s">
        <v>36</v>
      </c>
      <c r="AF758" s="37" t="s">
        <v>42</v>
      </c>
      <c r="AG758" s="37" t="s">
        <v>42</v>
      </c>
      <c r="AH758" s="37" t="s">
        <v>42</v>
      </c>
      <c r="AI758" s="29" t="str">
        <f t="shared" si="661"/>
        <v>----</v>
      </c>
      <c r="AJ758" s="38" t="str">
        <f t="shared" si="7"/>
        <v>Paper has link but no statement</v>
      </c>
      <c r="AK758" s="39">
        <v>45022.0</v>
      </c>
      <c r="AL758" s="23" t="s">
        <v>43</v>
      </c>
      <c r="AM758" s="40" t="str">
        <f t="shared" si="8"/>
        <v>[IP0514]</v>
      </c>
    </row>
    <row r="759" ht="67.5" customHeight="1">
      <c r="A759" s="41">
        <v>515.0</v>
      </c>
      <c r="B759" s="42" t="s">
        <v>2031</v>
      </c>
      <c r="C759" s="43">
        <v>2021.0</v>
      </c>
      <c r="D759" s="44" t="s">
        <v>35</v>
      </c>
      <c r="E759" s="45" t="s">
        <v>36</v>
      </c>
      <c r="F759" s="45" t="s">
        <v>36</v>
      </c>
      <c r="G759" s="45" t="s">
        <v>36</v>
      </c>
      <c r="H759" s="45" t="s">
        <v>36</v>
      </c>
      <c r="I759" s="45" t="s">
        <v>36</v>
      </c>
      <c r="J759" s="46" t="s">
        <v>36</v>
      </c>
      <c r="K759" s="47" t="s">
        <v>35</v>
      </c>
      <c r="L759" s="48" t="s">
        <v>36</v>
      </c>
      <c r="M759" s="48" t="s">
        <v>36</v>
      </c>
      <c r="N759" s="48" t="s">
        <v>36</v>
      </c>
      <c r="O759" s="48" t="s">
        <v>36</v>
      </c>
      <c r="P759" s="48" t="s">
        <v>36</v>
      </c>
      <c r="Q759" s="48" t="s">
        <v>36</v>
      </c>
      <c r="R759" s="48" t="s">
        <v>36</v>
      </c>
      <c r="S759" s="49" t="s">
        <v>36</v>
      </c>
      <c r="T759" s="50" t="s">
        <v>36</v>
      </c>
      <c r="U759" s="51" t="s">
        <v>36</v>
      </c>
      <c r="V759" s="52" t="str">
        <f t="shared" ref="V759:X759" si="765">IF(lenb(SUBSTITUTE($Z759,V$1&amp;" (1)",""))&lt;lenb($Z759),1,IF(lenb(SUBSTITUTE($Z759,V$1&amp;" (2)",""))&lt;lenb($Z759),2,IF(lenb(SUBSTITUTE($Z759,V$1&amp;" (3)",""))&lt;lenb($Z759),3,IF(lenb(SUBSTITUTE($Z759,V$1&amp;" (4)",""))&lt;lenb($Z759),4,IF(lenb(SUBSTITUTE($Z759,V$1&amp;" (5)",""))&lt;lenb($Z759),5,IF(lenb(SUBSTITUTE($Z759,V$1&amp;" (6)",""))&lt;lenb($Z759),6,IF(lenb(SUBSTITUTE($Z759,V$1&amp;" (7)",""))&lt;lenb($Z759),1,IF(lenb(SUBSTITUTE($Z759,V$1&amp;" (8)",""))&lt;lenb($Z759),8,IF(lenb(SUBSTITUTE($Z759,V$1&amp;" (9)",""))&lt;lenb($Z759),9,IF(lenb(SUBSTITUTE($Z759,V$1&amp;" (10)",""))&lt;lenb($Z759),10,IF(lenb(SUBSTITUTE($Z759,V$1,""))&lt;lenb($Z759),"ERROR",IF($Z759=$Y$1,"-",0))))))))))))</f>
        <v>-</v>
      </c>
      <c r="W759" s="52" t="str">
        <f t="shared" si="765"/>
        <v>-</v>
      </c>
      <c r="X759" s="52" t="str">
        <f t="shared" si="765"/>
        <v>-</v>
      </c>
      <c r="Y759" s="52">
        <f t="shared" si="3"/>
        <v>1</v>
      </c>
      <c r="Z759" s="52" t="s">
        <v>23</v>
      </c>
      <c r="AA759" s="53">
        <f t="shared" si="4"/>
        <v>0</v>
      </c>
      <c r="AB759" s="54">
        <f>COUNTIFS(Links!B:B,"ICSE",Links!C:C,A759,Links!AD:AD,1)</f>
        <v>0</v>
      </c>
      <c r="AC759" s="55" t="s">
        <v>36</v>
      </c>
      <c r="AD759" s="47" t="str">
        <f t="shared" si="5"/>
        <v>No</v>
      </c>
      <c r="AE759" s="56" t="s">
        <v>36</v>
      </c>
      <c r="AF759" s="57" t="s">
        <v>42</v>
      </c>
      <c r="AG759" s="57" t="s">
        <v>42</v>
      </c>
      <c r="AH759" s="57" t="s">
        <v>42</v>
      </c>
      <c r="AI759" s="49" t="str">
        <f t="shared" si="661"/>
        <v>----</v>
      </c>
      <c r="AJ759" s="58" t="str">
        <f t="shared" si="7"/>
        <v>Paper has no link and no statement</v>
      </c>
      <c r="AK759" s="59">
        <v>45022.0</v>
      </c>
      <c r="AL759" s="43" t="s">
        <v>43</v>
      </c>
      <c r="AM759" s="60" t="str">
        <f t="shared" si="8"/>
        <v>[IP0515]</v>
      </c>
    </row>
    <row r="760" ht="67.5" customHeight="1">
      <c r="A760" s="61">
        <v>516.0</v>
      </c>
      <c r="B760" s="22" t="s">
        <v>2032</v>
      </c>
      <c r="C760" s="23">
        <v>2021.0</v>
      </c>
      <c r="D760" s="24" t="s">
        <v>37</v>
      </c>
      <c r="E760" s="25" t="s">
        <v>35</v>
      </c>
      <c r="F760" s="25" t="s">
        <v>35</v>
      </c>
      <c r="G760" s="25" t="s">
        <v>37</v>
      </c>
      <c r="H760" s="25" t="s">
        <v>35</v>
      </c>
      <c r="I760" s="25" t="s">
        <v>35</v>
      </c>
      <c r="J760" s="26" t="s">
        <v>36</v>
      </c>
      <c r="K760" s="27" t="s">
        <v>37</v>
      </c>
      <c r="L760" s="28" t="s">
        <v>35</v>
      </c>
      <c r="M760" s="28" t="s">
        <v>35</v>
      </c>
      <c r="N760" s="28" t="s">
        <v>35</v>
      </c>
      <c r="O760" s="28" t="s">
        <v>35</v>
      </c>
      <c r="P760" s="28" t="s">
        <v>35</v>
      </c>
      <c r="Q760" s="28" t="s">
        <v>37</v>
      </c>
      <c r="R760" s="28" t="s">
        <v>35</v>
      </c>
      <c r="S760" s="29" t="s">
        <v>2033</v>
      </c>
      <c r="T760" s="30" t="s">
        <v>2034</v>
      </c>
      <c r="U760" s="31" t="s">
        <v>2034</v>
      </c>
      <c r="V760" s="32">
        <f t="shared" ref="V760:X760" si="766">IF(lenb(SUBSTITUTE($Z760,V$1&amp;" (1)",""))&lt;lenb($Z760),1,IF(lenb(SUBSTITUTE($Z760,V$1&amp;" (2)",""))&lt;lenb($Z760),2,IF(lenb(SUBSTITUTE($Z760,V$1&amp;" (3)",""))&lt;lenb($Z760),3,IF(lenb(SUBSTITUTE($Z760,V$1&amp;" (4)",""))&lt;lenb($Z760),4,IF(lenb(SUBSTITUTE($Z760,V$1&amp;" (5)",""))&lt;lenb($Z760),5,IF(lenb(SUBSTITUTE($Z760,V$1&amp;" (6)",""))&lt;lenb($Z760),6,IF(lenb(SUBSTITUTE($Z760,V$1&amp;" (7)",""))&lt;lenb($Z760),1,IF(lenb(SUBSTITUTE($Z760,V$1&amp;" (8)",""))&lt;lenb($Z760),8,IF(lenb(SUBSTITUTE($Z760,V$1&amp;" (9)",""))&lt;lenb($Z760),9,IF(lenb(SUBSTITUTE($Z760,V$1&amp;" (10)",""))&lt;lenb($Z760),10,IF(lenb(SUBSTITUTE($Z760,V$1,""))&lt;lenb($Z760),"ERROR",IF($Z760=$Y$1,"-",0))))))))))))</f>
        <v>1</v>
      </c>
      <c r="W760" s="32">
        <f t="shared" si="766"/>
        <v>0</v>
      </c>
      <c r="X760" s="32">
        <f t="shared" si="766"/>
        <v>0</v>
      </c>
      <c r="Y760" s="32" t="str">
        <f t="shared" si="3"/>
        <v>-</v>
      </c>
      <c r="Z760" s="32" t="s">
        <v>62</v>
      </c>
      <c r="AA760" s="33">
        <f t="shared" si="4"/>
        <v>1</v>
      </c>
      <c r="AB760" s="34">
        <f>COUNTIFS(Links!B:B,"ICSE",Links!C:C,A760,Links!AD:AD,1)</f>
        <v>0</v>
      </c>
      <c r="AC760" s="35" t="s">
        <v>35</v>
      </c>
      <c r="AD760" s="27" t="str">
        <f t="shared" si="5"/>
        <v>No</v>
      </c>
      <c r="AE760" s="36" t="s">
        <v>36</v>
      </c>
      <c r="AF760" s="37" t="s">
        <v>42</v>
      </c>
      <c r="AG760" s="37" t="s">
        <v>42</v>
      </c>
      <c r="AH760" s="37" t="s">
        <v>42</v>
      </c>
      <c r="AI760" s="29" t="str">
        <f t="shared" si="661"/>
        <v>----</v>
      </c>
      <c r="AJ760" s="38" t="str">
        <f t="shared" si="7"/>
        <v>Paper has link but no statement</v>
      </c>
      <c r="AK760" s="39">
        <v>45022.0</v>
      </c>
      <c r="AL760" s="23" t="s">
        <v>43</v>
      </c>
      <c r="AM760" s="40" t="str">
        <f t="shared" si="8"/>
        <v>[IP0516]</v>
      </c>
    </row>
    <row r="761" ht="67.5" customHeight="1">
      <c r="A761" s="41">
        <v>517.0</v>
      </c>
      <c r="B761" s="42" t="s">
        <v>2035</v>
      </c>
      <c r="C761" s="43">
        <v>2021.0</v>
      </c>
      <c r="D761" s="44" t="s">
        <v>35</v>
      </c>
      <c r="E761" s="45" t="s">
        <v>36</v>
      </c>
      <c r="F761" s="45" t="s">
        <v>36</v>
      </c>
      <c r="G761" s="45" t="s">
        <v>36</v>
      </c>
      <c r="H761" s="45" t="s">
        <v>36</v>
      </c>
      <c r="I761" s="45" t="s">
        <v>36</v>
      </c>
      <c r="J761" s="46" t="s">
        <v>36</v>
      </c>
      <c r="K761" s="47" t="s">
        <v>35</v>
      </c>
      <c r="L761" s="48" t="s">
        <v>36</v>
      </c>
      <c r="M761" s="48" t="s">
        <v>36</v>
      </c>
      <c r="N761" s="48" t="s">
        <v>36</v>
      </c>
      <c r="O761" s="48" t="s">
        <v>36</v>
      </c>
      <c r="P761" s="48" t="s">
        <v>36</v>
      </c>
      <c r="Q761" s="48" t="s">
        <v>36</v>
      </c>
      <c r="R761" s="48" t="s">
        <v>36</v>
      </c>
      <c r="S761" s="49" t="s">
        <v>36</v>
      </c>
      <c r="T761" s="50" t="s">
        <v>36</v>
      </c>
      <c r="U761" s="51" t="s">
        <v>36</v>
      </c>
      <c r="V761" s="52" t="str">
        <f t="shared" ref="V761:X761" si="767">IF(lenb(SUBSTITUTE($Z761,V$1&amp;" (1)",""))&lt;lenb($Z761),1,IF(lenb(SUBSTITUTE($Z761,V$1&amp;" (2)",""))&lt;lenb($Z761),2,IF(lenb(SUBSTITUTE($Z761,V$1&amp;" (3)",""))&lt;lenb($Z761),3,IF(lenb(SUBSTITUTE($Z761,V$1&amp;" (4)",""))&lt;lenb($Z761),4,IF(lenb(SUBSTITUTE($Z761,V$1&amp;" (5)",""))&lt;lenb($Z761),5,IF(lenb(SUBSTITUTE($Z761,V$1&amp;" (6)",""))&lt;lenb($Z761),6,IF(lenb(SUBSTITUTE($Z761,V$1&amp;" (7)",""))&lt;lenb($Z761),1,IF(lenb(SUBSTITUTE($Z761,V$1&amp;" (8)",""))&lt;lenb($Z761),8,IF(lenb(SUBSTITUTE($Z761,V$1&amp;" (9)",""))&lt;lenb($Z761),9,IF(lenb(SUBSTITUTE($Z761,V$1&amp;" (10)",""))&lt;lenb($Z761),10,IF(lenb(SUBSTITUTE($Z761,V$1,""))&lt;lenb($Z761),"ERROR",IF($Z761=$Y$1,"-",0))))))))))))</f>
        <v>-</v>
      </c>
      <c r="W761" s="52" t="str">
        <f t="shared" si="767"/>
        <v>-</v>
      </c>
      <c r="X761" s="52" t="str">
        <f t="shared" si="767"/>
        <v>-</v>
      </c>
      <c r="Y761" s="52">
        <f t="shared" si="3"/>
        <v>1</v>
      </c>
      <c r="Z761" s="52" t="s">
        <v>23</v>
      </c>
      <c r="AA761" s="53">
        <f t="shared" si="4"/>
        <v>0</v>
      </c>
      <c r="AB761" s="54">
        <f>COUNTIFS(Links!B:B,"ICSE",Links!C:C,A761,Links!AD:AD,1)</f>
        <v>0</v>
      </c>
      <c r="AC761" s="55" t="s">
        <v>36</v>
      </c>
      <c r="AD761" s="47" t="str">
        <f t="shared" si="5"/>
        <v>No</v>
      </c>
      <c r="AE761" s="56" t="s">
        <v>36</v>
      </c>
      <c r="AF761" s="57" t="s">
        <v>42</v>
      </c>
      <c r="AG761" s="57" t="s">
        <v>42</v>
      </c>
      <c r="AH761" s="57" t="s">
        <v>42</v>
      </c>
      <c r="AI761" s="49" t="str">
        <f t="shared" si="661"/>
        <v>----</v>
      </c>
      <c r="AJ761" s="58" t="str">
        <f t="shared" si="7"/>
        <v>Paper has no link and no statement</v>
      </c>
      <c r="AK761" s="59">
        <v>45022.0</v>
      </c>
      <c r="AL761" s="43" t="s">
        <v>43</v>
      </c>
      <c r="AM761" s="60" t="str">
        <f t="shared" si="8"/>
        <v>[IP0517]</v>
      </c>
    </row>
    <row r="762" ht="67.5" customHeight="1">
      <c r="A762" s="61">
        <v>518.0</v>
      </c>
      <c r="B762" s="22" t="s">
        <v>2036</v>
      </c>
      <c r="C762" s="23">
        <v>2021.0</v>
      </c>
      <c r="D762" s="24" t="s">
        <v>37</v>
      </c>
      <c r="E762" s="25" t="s">
        <v>37</v>
      </c>
      <c r="F762" s="25" t="s">
        <v>35</v>
      </c>
      <c r="G762" s="25" t="s">
        <v>37</v>
      </c>
      <c r="H762" s="25" t="s">
        <v>35</v>
      </c>
      <c r="I762" s="25" t="s">
        <v>35</v>
      </c>
      <c r="J762" s="26" t="s">
        <v>36</v>
      </c>
      <c r="K762" s="27" t="s">
        <v>37</v>
      </c>
      <c r="L762" s="28" t="s">
        <v>37</v>
      </c>
      <c r="M762" s="28" t="s">
        <v>35</v>
      </c>
      <c r="N762" s="28" t="s">
        <v>37</v>
      </c>
      <c r="O762" s="28" t="s">
        <v>35</v>
      </c>
      <c r="P762" s="28" t="s">
        <v>35</v>
      </c>
      <c r="Q762" s="28" t="s">
        <v>35</v>
      </c>
      <c r="R762" s="28" t="s">
        <v>37</v>
      </c>
      <c r="S762" s="29" t="s">
        <v>2037</v>
      </c>
      <c r="T762" s="30" t="s">
        <v>2038</v>
      </c>
      <c r="U762" s="30" t="s">
        <v>2039</v>
      </c>
      <c r="V762" s="32">
        <f t="shared" ref="V762:X762" si="768">IF(lenb(SUBSTITUTE($Z762,V$1&amp;" (1)",""))&lt;lenb($Z762),1,IF(lenb(SUBSTITUTE($Z762,V$1&amp;" (2)",""))&lt;lenb($Z762),2,IF(lenb(SUBSTITUTE($Z762,V$1&amp;" (3)",""))&lt;lenb($Z762),3,IF(lenb(SUBSTITUTE($Z762,V$1&amp;" (4)",""))&lt;lenb($Z762),4,IF(lenb(SUBSTITUTE($Z762,V$1&amp;" (5)",""))&lt;lenb($Z762),5,IF(lenb(SUBSTITUTE($Z762,V$1&amp;" (6)",""))&lt;lenb($Z762),6,IF(lenb(SUBSTITUTE($Z762,V$1&amp;" (7)",""))&lt;lenb($Z762),1,IF(lenb(SUBSTITUTE($Z762,V$1&amp;" (8)",""))&lt;lenb($Z762),8,IF(lenb(SUBSTITUTE($Z762,V$1&amp;" (9)",""))&lt;lenb($Z762),9,IF(lenb(SUBSTITUTE($Z762,V$1&amp;" (10)",""))&lt;lenb($Z762),10,IF(lenb(SUBSTITUTE($Z762,V$1,""))&lt;lenb($Z762),"ERROR",IF($Z762=$Y$1,"-",0))))))))))))</f>
        <v>3</v>
      </c>
      <c r="W762" s="32">
        <f t="shared" si="768"/>
        <v>0</v>
      </c>
      <c r="X762" s="32">
        <f t="shared" si="768"/>
        <v>0</v>
      </c>
      <c r="Y762" s="32" t="str">
        <f t="shared" si="3"/>
        <v>-</v>
      </c>
      <c r="Z762" s="32" t="s">
        <v>193</v>
      </c>
      <c r="AA762" s="33">
        <f t="shared" si="4"/>
        <v>3</v>
      </c>
      <c r="AB762" s="34">
        <f>COUNTIFS(Links!B:B,"ICSE",Links!C:C,A762,Links!AD:AD,1)</f>
        <v>0</v>
      </c>
      <c r="AC762" s="35" t="s">
        <v>37</v>
      </c>
      <c r="AD762" s="27" t="str">
        <f t="shared" si="5"/>
        <v>No</v>
      </c>
      <c r="AE762" s="36" t="s">
        <v>36</v>
      </c>
      <c r="AF762" s="37" t="s">
        <v>42</v>
      </c>
      <c r="AG762" s="37" t="s">
        <v>42</v>
      </c>
      <c r="AH762" s="37" t="s">
        <v>42</v>
      </c>
      <c r="AI762" s="29" t="str">
        <f t="shared" si="661"/>
        <v>----</v>
      </c>
      <c r="AJ762" s="38" t="str">
        <f t="shared" si="7"/>
        <v>Paper has link but no statement</v>
      </c>
      <c r="AK762" s="39">
        <v>45022.0</v>
      </c>
      <c r="AL762" s="23" t="s">
        <v>43</v>
      </c>
      <c r="AM762" s="40" t="str">
        <f t="shared" si="8"/>
        <v>[IP0518]</v>
      </c>
    </row>
    <row r="763" ht="67.5" customHeight="1">
      <c r="A763" s="41">
        <v>519.0</v>
      </c>
      <c r="B763" s="42" t="s">
        <v>2040</v>
      </c>
      <c r="C763" s="43">
        <v>2021.0</v>
      </c>
      <c r="D763" s="44" t="s">
        <v>35</v>
      </c>
      <c r="E763" s="45" t="s">
        <v>36</v>
      </c>
      <c r="F763" s="45" t="s">
        <v>36</v>
      </c>
      <c r="G763" s="45" t="s">
        <v>36</v>
      </c>
      <c r="H763" s="45" t="s">
        <v>36</v>
      </c>
      <c r="I763" s="45" t="s">
        <v>36</v>
      </c>
      <c r="J763" s="46" t="s">
        <v>36</v>
      </c>
      <c r="K763" s="47" t="s">
        <v>37</v>
      </c>
      <c r="L763" s="48" t="s">
        <v>35</v>
      </c>
      <c r="M763" s="48" t="s">
        <v>35</v>
      </c>
      <c r="N763" s="48" t="s">
        <v>35</v>
      </c>
      <c r="O763" s="48" t="s">
        <v>35</v>
      </c>
      <c r="P763" s="48" t="s">
        <v>35</v>
      </c>
      <c r="Q763" s="48" t="s">
        <v>35</v>
      </c>
      <c r="R763" s="48" t="s">
        <v>37</v>
      </c>
      <c r="S763" s="49" t="s">
        <v>2041</v>
      </c>
      <c r="T763" s="50" t="s">
        <v>2042</v>
      </c>
      <c r="U763" s="51" t="s">
        <v>2042</v>
      </c>
      <c r="V763" s="52">
        <f t="shared" ref="V763:X763" si="769">IF(lenb(SUBSTITUTE($Z763,V$1&amp;" (1)",""))&lt;lenb($Z763),1,IF(lenb(SUBSTITUTE($Z763,V$1&amp;" (2)",""))&lt;lenb($Z763),2,IF(lenb(SUBSTITUTE($Z763,V$1&amp;" (3)",""))&lt;lenb($Z763),3,IF(lenb(SUBSTITUTE($Z763,V$1&amp;" (4)",""))&lt;lenb($Z763),4,IF(lenb(SUBSTITUTE($Z763,V$1&amp;" (5)",""))&lt;lenb($Z763),5,IF(lenb(SUBSTITUTE($Z763,V$1&amp;" (6)",""))&lt;lenb($Z763),6,IF(lenb(SUBSTITUTE($Z763,V$1&amp;" (7)",""))&lt;lenb($Z763),1,IF(lenb(SUBSTITUTE($Z763,V$1&amp;" (8)",""))&lt;lenb($Z763),8,IF(lenb(SUBSTITUTE($Z763,V$1&amp;" (9)",""))&lt;lenb($Z763),9,IF(lenb(SUBSTITUTE($Z763,V$1&amp;" (10)",""))&lt;lenb($Z763),10,IF(lenb(SUBSTITUTE($Z763,V$1,""))&lt;lenb($Z763),"ERROR",IF($Z763=$Y$1,"-",0))))))))))))</f>
        <v>1</v>
      </c>
      <c r="W763" s="52">
        <f t="shared" si="769"/>
        <v>0</v>
      </c>
      <c r="X763" s="52">
        <f t="shared" si="769"/>
        <v>0</v>
      </c>
      <c r="Y763" s="52" t="str">
        <f t="shared" si="3"/>
        <v>-</v>
      </c>
      <c r="Z763" s="52" t="s">
        <v>62</v>
      </c>
      <c r="AA763" s="53">
        <f t="shared" si="4"/>
        <v>1</v>
      </c>
      <c r="AB763" s="54">
        <f>COUNTIFS(Links!B:B,"ICSE",Links!C:C,A763,Links!AD:AD,1)</f>
        <v>0</v>
      </c>
      <c r="AC763" s="55" t="s">
        <v>35</v>
      </c>
      <c r="AD763" s="47" t="str">
        <f t="shared" si="5"/>
        <v>No</v>
      </c>
      <c r="AE763" s="56" t="s">
        <v>36</v>
      </c>
      <c r="AF763" s="57" t="s">
        <v>42</v>
      </c>
      <c r="AG763" s="57" t="s">
        <v>42</v>
      </c>
      <c r="AH763" s="57" t="s">
        <v>42</v>
      </c>
      <c r="AI763" s="49" t="str">
        <f t="shared" si="661"/>
        <v>----</v>
      </c>
      <c r="AJ763" s="58" t="str">
        <f t="shared" si="7"/>
        <v>Paper has link but no statement</v>
      </c>
      <c r="AK763" s="59">
        <v>45022.0</v>
      </c>
      <c r="AL763" s="43" t="s">
        <v>43</v>
      </c>
      <c r="AM763" s="60" t="str">
        <f t="shared" si="8"/>
        <v>[IP0519]</v>
      </c>
    </row>
    <row r="764" ht="67.5" customHeight="1">
      <c r="A764" s="61">
        <v>520.0</v>
      </c>
      <c r="B764" s="22" t="s">
        <v>2043</v>
      </c>
      <c r="C764" s="23">
        <v>2021.0</v>
      </c>
      <c r="D764" s="24" t="s">
        <v>37</v>
      </c>
      <c r="E764" s="25" t="s">
        <v>37</v>
      </c>
      <c r="F764" s="25" t="s">
        <v>35</v>
      </c>
      <c r="G764" s="25" t="s">
        <v>37</v>
      </c>
      <c r="H764" s="25" t="s">
        <v>35</v>
      </c>
      <c r="I764" s="25" t="s">
        <v>35</v>
      </c>
      <c r="J764" s="26" t="s">
        <v>36</v>
      </c>
      <c r="K764" s="27" t="s">
        <v>37</v>
      </c>
      <c r="L764" s="28" t="s">
        <v>35</v>
      </c>
      <c r="M764" s="28" t="s">
        <v>37</v>
      </c>
      <c r="N764" s="28" t="s">
        <v>35</v>
      </c>
      <c r="O764" s="28" t="s">
        <v>35</v>
      </c>
      <c r="P764" s="28" t="s">
        <v>35</v>
      </c>
      <c r="Q764" s="28" t="s">
        <v>37</v>
      </c>
      <c r="R764" s="28" t="s">
        <v>37</v>
      </c>
      <c r="S764" s="29" t="s">
        <v>2044</v>
      </c>
      <c r="T764" s="30" t="s">
        <v>2045</v>
      </c>
      <c r="U764" s="31" t="s">
        <v>2046</v>
      </c>
      <c r="V764" s="32">
        <f t="shared" ref="V764:X764" si="770">IF(lenb(SUBSTITUTE($Z764,V$1&amp;" (1)",""))&lt;lenb($Z764),1,IF(lenb(SUBSTITUTE($Z764,V$1&amp;" (2)",""))&lt;lenb($Z764),2,IF(lenb(SUBSTITUTE($Z764,V$1&amp;" (3)",""))&lt;lenb($Z764),3,IF(lenb(SUBSTITUTE($Z764,V$1&amp;" (4)",""))&lt;lenb($Z764),4,IF(lenb(SUBSTITUTE($Z764,V$1&amp;" (5)",""))&lt;lenb($Z764),5,IF(lenb(SUBSTITUTE($Z764,V$1&amp;" (6)",""))&lt;lenb($Z764),6,IF(lenb(SUBSTITUTE($Z764,V$1&amp;" (7)",""))&lt;lenb($Z764),1,IF(lenb(SUBSTITUTE($Z764,V$1&amp;" (8)",""))&lt;lenb($Z764),8,IF(lenb(SUBSTITUTE($Z764,V$1&amp;" (9)",""))&lt;lenb($Z764),9,IF(lenb(SUBSTITUTE($Z764,V$1&amp;" (10)",""))&lt;lenb($Z764),10,IF(lenb(SUBSTITUTE($Z764,V$1,""))&lt;lenb($Z764),"ERROR",IF($Z764=$Y$1,"-",0))))))))))))</f>
        <v>2</v>
      </c>
      <c r="W764" s="32">
        <f t="shared" si="770"/>
        <v>0</v>
      </c>
      <c r="X764" s="32">
        <f t="shared" si="770"/>
        <v>0</v>
      </c>
      <c r="Y764" s="32" t="str">
        <f t="shared" si="3"/>
        <v>-</v>
      </c>
      <c r="Z764" s="32" t="s">
        <v>57</v>
      </c>
      <c r="AA764" s="33">
        <f t="shared" si="4"/>
        <v>2</v>
      </c>
      <c r="AB764" s="34">
        <f>COUNTIFS(Links!B:B,"ICSE",Links!C:C,A764,Links!AD:AD,1)</f>
        <v>0</v>
      </c>
      <c r="AC764" s="35" t="s">
        <v>37</v>
      </c>
      <c r="AD764" s="27" t="str">
        <f t="shared" si="5"/>
        <v>Yes</v>
      </c>
      <c r="AE764" s="36" t="s">
        <v>2047</v>
      </c>
      <c r="AF764" s="36" t="s">
        <v>223</v>
      </c>
      <c r="AG764" s="37" t="s">
        <v>42</v>
      </c>
      <c r="AH764" s="37" t="s">
        <v>42</v>
      </c>
      <c r="AI764" s="29" t="str">
        <f t="shared" si="661"/>
        <v>Barriers (Agreements and legal rights)</v>
      </c>
      <c r="AJ764" s="38" t="str">
        <f t="shared" si="7"/>
        <v>Paper has link and statement</v>
      </c>
      <c r="AK764" s="39">
        <v>45022.0</v>
      </c>
      <c r="AL764" s="23" t="s">
        <v>43</v>
      </c>
      <c r="AM764" s="40" t="str">
        <f t="shared" si="8"/>
        <v>[IP0520]</v>
      </c>
    </row>
    <row r="765" ht="67.5" customHeight="1">
      <c r="A765" s="41">
        <v>521.0</v>
      </c>
      <c r="B765" s="42" t="s">
        <v>2048</v>
      </c>
      <c r="C765" s="43">
        <v>2021.0</v>
      </c>
      <c r="D765" s="44" t="s">
        <v>35</v>
      </c>
      <c r="E765" s="45" t="s">
        <v>36</v>
      </c>
      <c r="F765" s="45" t="s">
        <v>36</v>
      </c>
      <c r="G765" s="45" t="s">
        <v>36</v>
      </c>
      <c r="H765" s="45" t="s">
        <v>36</v>
      </c>
      <c r="I765" s="45" t="s">
        <v>36</v>
      </c>
      <c r="J765" s="46" t="s">
        <v>36</v>
      </c>
      <c r="K765" s="47" t="s">
        <v>37</v>
      </c>
      <c r="L765" s="48" t="s">
        <v>35</v>
      </c>
      <c r="M765" s="48" t="s">
        <v>35</v>
      </c>
      <c r="N765" s="48" t="s">
        <v>35</v>
      </c>
      <c r="O765" s="48" t="s">
        <v>35</v>
      </c>
      <c r="P765" s="48" t="s">
        <v>35</v>
      </c>
      <c r="Q765" s="48" t="s">
        <v>37</v>
      </c>
      <c r="R765" s="48" t="s">
        <v>35</v>
      </c>
      <c r="S765" s="49" t="s">
        <v>2049</v>
      </c>
      <c r="T765" s="50" t="s">
        <v>2050</v>
      </c>
      <c r="U765" s="51" t="s">
        <v>2050</v>
      </c>
      <c r="V765" s="52">
        <f t="shared" ref="V765:X765" si="771">IF(lenb(SUBSTITUTE($Z765,V$1&amp;" (1)",""))&lt;lenb($Z765),1,IF(lenb(SUBSTITUTE($Z765,V$1&amp;" (2)",""))&lt;lenb($Z765),2,IF(lenb(SUBSTITUTE($Z765,V$1&amp;" (3)",""))&lt;lenb($Z765),3,IF(lenb(SUBSTITUTE($Z765,V$1&amp;" (4)",""))&lt;lenb($Z765),4,IF(lenb(SUBSTITUTE($Z765,V$1&amp;" (5)",""))&lt;lenb($Z765),5,IF(lenb(SUBSTITUTE($Z765,V$1&amp;" (6)",""))&lt;lenb($Z765),6,IF(lenb(SUBSTITUTE($Z765,V$1&amp;" (7)",""))&lt;lenb($Z765),1,IF(lenb(SUBSTITUTE($Z765,V$1&amp;" (8)",""))&lt;lenb($Z765),8,IF(lenb(SUBSTITUTE($Z765,V$1&amp;" (9)",""))&lt;lenb($Z765),9,IF(lenb(SUBSTITUTE($Z765,V$1&amp;" (10)",""))&lt;lenb($Z765),10,IF(lenb(SUBSTITUTE($Z765,V$1,""))&lt;lenb($Z765),"ERROR",IF($Z765=$Y$1,"-",0))))))))))))</f>
        <v>1</v>
      </c>
      <c r="W765" s="52">
        <f t="shared" si="771"/>
        <v>0</v>
      </c>
      <c r="X765" s="52">
        <f t="shared" si="771"/>
        <v>0</v>
      </c>
      <c r="Y765" s="52" t="str">
        <f t="shared" si="3"/>
        <v>-</v>
      </c>
      <c r="Z765" s="52" t="s">
        <v>62</v>
      </c>
      <c r="AA765" s="53">
        <f t="shared" si="4"/>
        <v>1</v>
      </c>
      <c r="AB765" s="54">
        <f>COUNTIFS(Links!B:B,"ICSE",Links!C:C,A765,Links!AD:AD,1)</f>
        <v>0</v>
      </c>
      <c r="AC765" s="55" t="s">
        <v>35</v>
      </c>
      <c r="AD765" s="47" t="str">
        <f t="shared" si="5"/>
        <v>No</v>
      </c>
      <c r="AE765" s="56" t="s">
        <v>36</v>
      </c>
      <c r="AF765" s="57" t="s">
        <v>42</v>
      </c>
      <c r="AG765" s="57" t="s">
        <v>42</v>
      </c>
      <c r="AH765" s="57" t="s">
        <v>42</v>
      </c>
      <c r="AI765" s="49" t="str">
        <f t="shared" si="661"/>
        <v>----</v>
      </c>
      <c r="AJ765" s="58" t="str">
        <f t="shared" si="7"/>
        <v>Paper has link but no statement</v>
      </c>
      <c r="AK765" s="59">
        <v>45022.0</v>
      </c>
      <c r="AL765" s="43" t="s">
        <v>43</v>
      </c>
      <c r="AM765" s="60" t="str">
        <f t="shared" si="8"/>
        <v>[IP0521]</v>
      </c>
    </row>
    <row r="766" ht="67.5" customHeight="1">
      <c r="A766" s="61">
        <v>522.0</v>
      </c>
      <c r="B766" s="22" t="s">
        <v>2051</v>
      </c>
      <c r="C766" s="23">
        <v>2021.0</v>
      </c>
      <c r="D766" s="24" t="s">
        <v>35</v>
      </c>
      <c r="E766" s="25" t="s">
        <v>36</v>
      </c>
      <c r="F766" s="25" t="s">
        <v>36</v>
      </c>
      <c r="G766" s="25" t="s">
        <v>36</v>
      </c>
      <c r="H766" s="25" t="s">
        <v>36</v>
      </c>
      <c r="I766" s="25" t="s">
        <v>36</v>
      </c>
      <c r="J766" s="26" t="s">
        <v>36</v>
      </c>
      <c r="K766" s="27" t="s">
        <v>37</v>
      </c>
      <c r="L766" s="28" t="s">
        <v>35</v>
      </c>
      <c r="M766" s="28" t="s">
        <v>37</v>
      </c>
      <c r="N766" s="28" t="s">
        <v>37</v>
      </c>
      <c r="O766" s="28" t="s">
        <v>35</v>
      </c>
      <c r="P766" s="28" t="s">
        <v>35</v>
      </c>
      <c r="Q766" s="28" t="s">
        <v>35</v>
      </c>
      <c r="R766" s="28" t="s">
        <v>37</v>
      </c>
      <c r="S766" s="29" t="s">
        <v>2052</v>
      </c>
      <c r="T766" s="30" t="s">
        <v>2053</v>
      </c>
      <c r="U766" s="31" t="s">
        <v>2053</v>
      </c>
      <c r="V766" s="32">
        <f t="shared" ref="V766:X766" si="772">IF(lenb(SUBSTITUTE($Z766,V$1&amp;" (1)",""))&lt;lenb($Z766),1,IF(lenb(SUBSTITUTE($Z766,V$1&amp;" (2)",""))&lt;lenb($Z766),2,IF(lenb(SUBSTITUTE($Z766,V$1&amp;" (3)",""))&lt;lenb($Z766),3,IF(lenb(SUBSTITUTE($Z766,V$1&amp;" (4)",""))&lt;lenb($Z766),4,IF(lenb(SUBSTITUTE($Z766,V$1&amp;" (5)",""))&lt;lenb($Z766),5,IF(lenb(SUBSTITUTE($Z766,V$1&amp;" (6)",""))&lt;lenb($Z766),6,IF(lenb(SUBSTITUTE($Z766,V$1&amp;" (7)",""))&lt;lenb($Z766),1,IF(lenb(SUBSTITUTE($Z766,V$1&amp;" (8)",""))&lt;lenb($Z766),8,IF(lenb(SUBSTITUTE($Z766,V$1&amp;" (9)",""))&lt;lenb($Z766),9,IF(lenb(SUBSTITUTE($Z766,V$1&amp;" (10)",""))&lt;lenb($Z766),10,IF(lenb(SUBSTITUTE($Z766,V$1,""))&lt;lenb($Z766),"ERROR",IF($Z766=$Y$1,"-",0))))))))))))</f>
        <v>1</v>
      </c>
      <c r="W766" s="32">
        <f t="shared" si="772"/>
        <v>0</v>
      </c>
      <c r="X766" s="32">
        <f t="shared" si="772"/>
        <v>0</v>
      </c>
      <c r="Y766" s="32" t="str">
        <f t="shared" si="3"/>
        <v>-</v>
      </c>
      <c r="Z766" s="32" t="s">
        <v>62</v>
      </c>
      <c r="AA766" s="33">
        <f t="shared" si="4"/>
        <v>1</v>
      </c>
      <c r="AB766" s="34">
        <f>COUNTIFS(Links!B:B,"ICSE",Links!C:C,A766,Links!AD:AD,1)</f>
        <v>0</v>
      </c>
      <c r="AC766" s="35" t="s">
        <v>35</v>
      </c>
      <c r="AD766" s="27" t="str">
        <f t="shared" si="5"/>
        <v>No</v>
      </c>
      <c r="AE766" s="36" t="s">
        <v>36</v>
      </c>
      <c r="AF766" s="37" t="s">
        <v>42</v>
      </c>
      <c r="AG766" s="37" t="s">
        <v>42</v>
      </c>
      <c r="AH766" s="37" t="s">
        <v>42</v>
      </c>
      <c r="AI766" s="29" t="str">
        <f t="shared" si="661"/>
        <v>----</v>
      </c>
      <c r="AJ766" s="38" t="str">
        <f t="shared" si="7"/>
        <v>Paper has link but no statement</v>
      </c>
      <c r="AK766" s="39">
        <v>45022.0</v>
      </c>
      <c r="AL766" s="23" t="s">
        <v>43</v>
      </c>
      <c r="AM766" s="40" t="str">
        <f t="shared" si="8"/>
        <v>[IP0522]</v>
      </c>
    </row>
    <row r="767" ht="67.5" customHeight="1">
      <c r="A767" s="41">
        <v>523.0</v>
      </c>
      <c r="B767" s="42" t="s">
        <v>2054</v>
      </c>
      <c r="C767" s="43">
        <v>2021.0</v>
      </c>
      <c r="D767" s="44" t="s">
        <v>35</v>
      </c>
      <c r="E767" s="45" t="s">
        <v>36</v>
      </c>
      <c r="F767" s="45" t="s">
        <v>36</v>
      </c>
      <c r="G767" s="45" t="s">
        <v>36</v>
      </c>
      <c r="H767" s="45" t="s">
        <v>36</v>
      </c>
      <c r="I767" s="45" t="s">
        <v>36</v>
      </c>
      <c r="J767" s="46" t="s">
        <v>36</v>
      </c>
      <c r="K767" s="47" t="s">
        <v>35</v>
      </c>
      <c r="L767" s="48" t="s">
        <v>36</v>
      </c>
      <c r="M767" s="48" t="s">
        <v>36</v>
      </c>
      <c r="N767" s="48" t="s">
        <v>36</v>
      </c>
      <c r="O767" s="48" t="s">
        <v>36</v>
      </c>
      <c r="P767" s="48" t="s">
        <v>36</v>
      </c>
      <c r="Q767" s="48" t="s">
        <v>36</v>
      </c>
      <c r="R767" s="48" t="s">
        <v>36</v>
      </c>
      <c r="S767" s="49" t="s">
        <v>36</v>
      </c>
      <c r="T767" s="50" t="s">
        <v>36</v>
      </c>
      <c r="U767" s="51" t="s">
        <v>36</v>
      </c>
      <c r="V767" s="52" t="str">
        <f t="shared" ref="V767:X767" si="773">IF(lenb(SUBSTITUTE($Z767,V$1&amp;" (1)",""))&lt;lenb($Z767),1,IF(lenb(SUBSTITUTE($Z767,V$1&amp;" (2)",""))&lt;lenb($Z767),2,IF(lenb(SUBSTITUTE($Z767,V$1&amp;" (3)",""))&lt;lenb($Z767),3,IF(lenb(SUBSTITUTE($Z767,V$1&amp;" (4)",""))&lt;lenb($Z767),4,IF(lenb(SUBSTITUTE($Z767,V$1&amp;" (5)",""))&lt;lenb($Z767),5,IF(lenb(SUBSTITUTE($Z767,V$1&amp;" (6)",""))&lt;lenb($Z767),6,IF(lenb(SUBSTITUTE($Z767,V$1&amp;" (7)",""))&lt;lenb($Z767),1,IF(lenb(SUBSTITUTE($Z767,V$1&amp;" (8)",""))&lt;lenb($Z767),8,IF(lenb(SUBSTITUTE($Z767,V$1&amp;" (9)",""))&lt;lenb($Z767),9,IF(lenb(SUBSTITUTE($Z767,V$1&amp;" (10)",""))&lt;lenb($Z767),10,IF(lenb(SUBSTITUTE($Z767,V$1,""))&lt;lenb($Z767),"ERROR",IF($Z767=$Y$1,"-",0))))))))))))</f>
        <v>-</v>
      </c>
      <c r="W767" s="52" t="str">
        <f t="shared" si="773"/>
        <v>-</v>
      </c>
      <c r="X767" s="52" t="str">
        <f t="shared" si="773"/>
        <v>-</v>
      </c>
      <c r="Y767" s="52">
        <f t="shared" si="3"/>
        <v>1</v>
      </c>
      <c r="Z767" s="52" t="s">
        <v>23</v>
      </c>
      <c r="AA767" s="53">
        <f t="shared" si="4"/>
        <v>0</v>
      </c>
      <c r="AB767" s="54">
        <f>COUNTIFS(Links!B:B,"ICSE",Links!C:C,A767,Links!AD:AD,1)</f>
        <v>0</v>
      </c>
      <c r="AC767" s="55" t="s">
        <v>36</v>
      </c>
      <c r="AD767" s="47" t="str">
        <f t="shared" si="5"/>
        <v>Yes</v>
      </c>
      <c r="AE767" s="56" t="s">
        <v>2055</v>
      </c>
      <c r="AF767" s="56" t="s">
        <v>281</v>
      </c>
      <c r="AG767" s="57" t="s">
        <v>42</v>
      </c>
      <c r="AH767" s="57" t="s">
        <v>42</v>
      </c>
      <c r="AI767" s="49" t="str">
        <f t="shared" si="661"/>
        <v>Barriers (Confidentiality and privacy)</v>
      </c>
      <c r="AJ767" s="58" t="str">
        <f t="shared" si="7"/>
        <v>Paper has no link but has statement</v>
      </c>
      <c r="AK767" s="59">
        <v>45022.0</v>
      </c>
      <c r="AL767" s="43" t="s">
        <v>43</v>
      </c>
      <c r="AM767" s="60" t="str">
        <f t="shared" si="8"/>
        <v>[IP0523]</v>
      </c>
    </row>
    <row r="768" ht="67.5" customHeight="1">
      <c r="A768" s="61">
        <v>524.0</v>
      </c>
      <c r="B768" s="22" t="s">
        <v>2056</v>
      </c>
      <c r="C768" s="23">
        <v>2021.0</v>
      </c>
      <c r="D768" s="24" t="s">
        <v>35</v>
      </c>
      <c r="E768" s="25" t="s">
        <v>36</v>
      </c>
      <c r="F768" s="25" t="s">
        <v>36</v>
      </c>
      <c r="G768" s="25" t="s">
        <v>36</v>
      </c>
      <c r="H768" s="25" t="s">
        <v>36</v>
      </c>
      <c r="I768" s="25" t="s">
        <v>36</v>
      </c>
      <c r="J768" s="26" t="s">
        <v>36</v>
      </c>
      <c r="K768" s="27" t="s">
        <v>37</v>
      </c>
      <c r="L768" s="28" t="s">
        <v>37</v>
      </c>
      <c r="M768" s="28" t="s">
        <v>35</v>
      </c>
      <c r="N768" s="28" t="s">
        <v>37</v>
      </c>
      <c r="O768" s="28" t="s">
        <v>35</v>
      </c>
      <c r="P768" s="28" t="s">
        <v>35</v>
      </c>
      <c r="Q768" s="28" t="s">
        <v>35</v>
      </c>
      <c r="R768" s="28" t="s">
        <v>35</v>
      </c>
      <c r="S768" s="29" t="s">
        <v>1959</v>
      </c>
      <c r="T768" s="30" t="s">
        <v>2057</v>
      </c>
      <c r="U768" s="31" t="s">
        <v>2057</v>
      </c>
      <c r="V768" s="32">
        <f t="shared" ref="V768:X768" si="774">IF(lenb(SUBSTITUTE($Z768,V$1&amp;" (1)",""))&lt;lenb($Z768),1,IF(lenb(SUBSTITUTE($Z768,V$1&amp;" (2)",""))&lt;lenb($Z768),2,IF(lenb(SUBSTITUTE($Z768,V$1&amp;" (3)",""))&lt;lenb($Z768),3,IF(lenb(SUBSTITUTE($Z768,V$1&amp;" (4)",""))&lt;lenb($Z768),4,IF(lenb(SUBSTITUTE($Z768,V$1&amp;" (5)",""))&lt;lenb($Z768),5,IF(lenb(SUBSTITUTE($Z768,V$1&amp;" (6)",""))&lt;lenb($Z768),6,IF(lenb(SUBSTITUTE($Z768,V$1&amp;" (7)",""))&lt;lenb($Z768),1,IF(lenb(SUBSTITUTE($Z768,V$1&amp;" (8)",""))&lt;lenb($Z768),8,IF(lenb(SUBSTITUTE($Z768,V$1&amp;" (9)",""))&lt;lenb($Z768),9,IF(lenb(SUBSTITUTE($Z768,V$1&amp;" (10)",""))&lt;lenb($Z768),10,IF(lenb(SUBSTITUTE($Z768,V$1,""))&lt;lenb($Z768),"ERROR",IF($Z768=$Y$1,"-",0))))))))))))</f>
        <v>1</v>
      </c>
      <c r="W768" s="32">
        <f t="shared" si="774"/>
        <v>0</v>
      </c>
      <c r="X768" s="32">
        <f t="shared" si="774"/>
        <v>0</v>
      </c>
      <c r="Y768" s="32" t="str">
        <f t="shared" si="3"/>
        <v>-</v>
      </c>
      <c r="Z768" s="32" t="s">
        <v>62</v>
      </c>
      <c r="AA768" s="33">
        <f t="shared" si="4"/>
        <v>1</v>
      </c>
      <c r="AB768" s="34">
        <f>COUNTIFS(Links!B:B,"ICSE",Links!C:C,A768,Links!AD:AD,1)</f>
        <v>0</v>
      </c>
      <c r="AC768" s="35" t="s">
        <v>35</v>
      </c>
      <c r="AD768" s="27" t="str">
        <f t="shared" si="5"/>
        <v>No</v>
      </c>
      <c r="AE768" s="36" t="s">
        <v>36</v>
      </c>
      <c r="AF768" s="37" t="s">
        <v>42</v>
      </c>
      <c r="AG768" s="37" t="s">
        <v>42</v>
      </c>
      <c r="AH768" s="37" t="s">
        <v>42</v>
      </c>
      <c r="AI768" s="29" t="str">
        <f t="shared" si="661"/>
        <v>----</v>
      </c>
      <c r="AJ768" s="38" t="str">
        <f t="shared" si="7"/>
        <v>Paper has link but no statement</v>
      </c>
      <c r="AK768" s="39">
        <v>45022.0</v>
      </c>
      <c r="AL768" s="23" t="s">
        <v>43</v>
      </c>
      <c r="AM768" s="40" t="str">
        <f t="shared" si="8"/>
        <v>[IP0524]</v>
      </c>
    </row>
    <row r="769" ht="67.5" customHeight="1">
      <c r="A769" s="41">
        <v>525.0</v>
      </c>
      <c r="B769" s="42" t="s">
        <v>2058</v>
      </c>
      <c r="C769" s="43">
        <v>2021.0</v>
      </c>
      <c r="D769" s="44" t="s">
        <v>35</v>
      </c>
      <c r="E769" s="45" t="s">
        <v>36</v>
      </c>
      <c r="F769" s="45" t="s">
        <v>36</v>
      </c>
      <c r="G769" s="45" t="s">
        <v>36</v>
      </c>
      <c r="H769" s="45" t="s">
        <v>36</v>
      </c>
      <c r="I769" s="45" t="s">
        <v>36</v>
      </c>
      <c r="J769" s="46" t="s">
        <v>36</v>
      </c>
      <c r="K769" s="47" t="s">
        <v>35</v>
      </c>
      <c r="L769" s="48" t="s">
        <v>36</v>
      </c>
      <c r="M769" s="48" t="s">
        <v>36</v>
      </c>
      <c r="N769" s="48" t="s">
        <v>36</v>
      </c>
      <c r="O769" s="48" t="s">
        <v>36</v>
      </c>
      <c r="P769" s="48" t="s">
        <v>36</v>
      </c>
      <c r="Q769" s="48" t="s">
        <v>36</v>
      </c>
      <c r="R769" s="48" t="s">
        <v>36</v>
      </c>
      <c r="S769" s="49" t="s">
        <v>36</v>
      </c>
      <c r="T769" s="50" t="s">
        <v>36</v>
      </c>
      <c r="U769" s="51" t="s">
        <v>36</v>
      </c>
      <c r="V769" s="52" t="str">
        <f t="shared" ref="V769:X769" si="775">IF(lenb(SUBSTITUTE($Z769,V$1&amp;" (1)",""))&lt;lenb($Z769),1,IF(lenb(SUBSTITUTE($Z769,V$1&amp;" (2)",""))&lt;lenb($Z769),2,IF(lenb(SUBSTITUTE($Z769,V$1&amp;" (3)",""))&lt;lenb($Z769),3,IF(lenb(SUBSTITUTE($Z769,V$1&amp;" (4)",""))&lt;lenb($Z769),4,IF(lenb(SUBSTITUTE($Z769,V$1&amp;" (5)",""))&lt;lenb($Z769),5,IF(lenb(SUBSTITUTE($Z769,V$1&amp;" (6)",""))&lt;lenb($Z769),6,IF(lenb(SUBSTITUTE($Z769,V$1&amp;" (7)",""))&lt;lenb($Z769),1,IF(lenb(SUBSTITUTE($Z769,V$1&amp;" (8)",""))&lt;lenb($Z769),8,IF(lenb(SUBSTITUTE($Z769,V$1&amp;" (9)",""))&lt;lenb($Z769),9,IF(lenb(SUBSTITUTE($Z769,V$1&amp;" (10)",""))&lt;lenb($Z769),10,IF(lenb(SUBSTITUTE($Z769,V$1,""))&lt;lenb($Z769),"ERROR",IF($Z769=$Y$1,"-",0))))))))))))</f>
        <v>-</v>
      </c>
      <c r="W769" s="52" t="str">
        <f t="shared" si="775"/>
        <v>-</v>
      </c>
      <c r="X769" s="52" t="str">
        <f t="shared" si="775"/>
        <v>-</v>
      </c>
      <c r="Y769" s="52">
        <f t="shared" si="3"/>
        <v>1</v>
      </c>
      <c r="Z769" s="52" t="s">
        <v>23</v>
      </c>
      <c r="AA769" s="53">
        <f t="shared" si="4"/>
        <v>0</v>
      </c>
      <c r="AB769" s="54">
        <f>COUNTIFS(Links!B:B,"ICSE",Links!C:C,A769,Links!AD:AD,1)</f>
        <v>0</v>
      </c>
      <c r="AC769" s="55" t="s">
        <v>36</v>
      </c>
      <c r="AD769" s="47" t="str">
        <f t="shared" si="5"/>
        <v>No</v>
      </c>
      <c r="AE769" s="56" t="s">
        <v>36</v>
      </c>
      <c r="AF769" s="57" t="s">
        <v>42</v>
      </c>
      <c r="AG769" s="57" t="s">
        <v>42</v>
      </c>
      <c r="AH769" s="57" t="s">
        <v>42</v>
      </c>
      <c r="AI769" s="49" t="str">
        <f t="shared" si="661"/>
        <v>----</v>
      </c>
      <c r="AJ769" s="58" t="str">
        <f t="shared" si="7"/>
        <v>Paper has no link and no statement</v>
      </c>
      <c r="AK769" s="59">
        <v>45022.0</v>
      </c>
      <c r="AL769" s="43" t="s">
        <v>43</v>
      </c>
      <c r="AM769" s="60" t="str">
        <f t="shared" si="8"/>
        <v>[IP0525]</v>
      </c>
    </row>
    <row r="770" ht="67.5" customHeight="1">
      <c r="A770" s="61">
        <v>526.0</v>
      </c>
      <c r="B770" s="22" t="s">
        <v>2059</v>
      </c>
      <c r="C770" s="23">
        <v>2021.0</v>
      </c>
      <c r="D770" s="24" t="s">
        <v>35</v>
      </c>
      <c r="E770" s="25" t="s">
        <v>36</v>
      </c>
      <c r="F770" s="25" t="s">
        <v>36</v>
      </c>
      <c r="G770" s="25" t="s">
        <v>36</v>
      </c>
      <c r="H770" s="25" t="s">
        <v>36</v>
      </c>
      <c r="I770" s="25" t="s">
        <v>36</v>
      </c>
      <c r="J770" s="26" t="s">
        <v>36</v>
      </c>
      <c r="K770" s="27" t="s">
        <v>37</v>
      </c>
      <c r="L770" s="28" t="s">
        <v>35</v>
      </c>
      <c r="M770" s="28" t="s">
        <v>35</v>
      </c>
      <c r="N770" s="28" t="s">
        <v>35</v>
      </c>
      <c r="O770" s="28" t="s">
        <v>35</v>
      </c>
      <c r="P770" s="28" t="s">
        <v>35</v>
      </c>
      <c r="Q770" s="28" t="s">
        <v>35</v>
      </c>
      <c r="R770" s="28" t="s">
        <v>37</v>
      </c>
      <c r="S770" s="29" t="s">
        <v>2060</v>
      </c>
      <c r="T770" s="30" t="s">
        <v>2061</v>
      </c>
      <c r="U770" s="31" t="s">
        <v>2061</v>
      </c>
      <c r="V770" s="32">
        <f t="shared" ref="V770:X770" si="776">IF(lenb(SUBSTITUTE($Z770,V$1&amp;" (1)",""))&lt;lenb($Z770),1,IF(lenb(SUBSTITUTE($Z770,V$1&amp;" (2)",""))&lt;lenb($Z770),2,IF(lenb(SUBSTITUTE($Z770,V$1&amp;" (3)",""))&lt;lenb($Z770),3,IF(lenb(SUBSTITUTE($Z770,V$1&amp;" (4)",""))&lt;lenb($Z770),4,IF(lenb(SUBSTITUTE($Z770,V$1&amp;" (5)",""))&lt;lenb($Z770),5,IF(lenb(SUBSTITUTE($Z770,V$1&amp;" (6)",""))&lt;lenb($Z770),6,IF(lenb(SUBSTITUTE($Z770,V$1&amp;" (7)",""))&lt;lenb($Z770),1,IF(lenb(SUBSTITUTE($Z770,V$1&amp;" (8)",""))&lt;lenb($Z770),8,IF(lenb(SUBSTITUTE($Z770,V$1&amp;" (9)",""))&lt;lenb($Z770),9,IF(lenb(SUBSTITUTE($Z770,V$1&amp;" (10)",""))&lt;lenb($Z770),10,IF(lenb(SUBSTITUTE($Z770,V$1,""))&lt;lenb($Z770),"ERROR",IF($Z770=$Y$1,"-",0))))))))))))</f>
        <v>1</v>
      </c>
      <c r="W770" s="32">
        <f t="shared" si="776"/>
        <v>0</v>
      </c>
      <c r="X770" s="32">
        <f t="shared" si="776"/>
        <v>0</v>
      </c>
      <c r="Y770" s="32" t="str">
        <f t="shared" si="3"/>
        <v>-</v>
      </c>
      <c r="Z770" s="32" t="s">
        <v>62</v>
      </c>
      <c r="AA770" s="33">
        <f t="shared" si="4"/>
        <v>1</v>
      </c>
      <c r="AB770" s="34">
        <f>COUNTIFS(Links!B:B,"ICSE",Links!C:C,A770,Links!AD:AD,1)</f>
        <v>0</v>
      </c>
      <c r="AC770" s="35" t="s">
        <v>35</v>
      </c>
      <c r="AD770" s="27" t="str">
        <f t="shared" si="5"/>
        <v>No</v>
      </c>
      <c r="AE770" s="36" t="s">
        <v>36</v>
      </c>
      <c r="AF770" s="37" t="s">
        <v>42</v>
      </c>
      <c r="AG770" s="37" t="s">
        <v>42</v>
      </c>
      <c r="AH770" s="37" t="s">
        <v>42</v>
      </c>
      <c r="AI770" s="29" t="str">
        <f t="shared" si="661"/>
        <v>----</v>
      </c>
      <c r="AJ770" s="38" t="str">
        <f t="shared" si="7"/>
        <v>Paper has link but no statement</v>
      </c>
      <c r="AK770" s="39">
        <v>45022.0</v>
      </c>
      <c r="AL770" s="23" t="s">
        <v>43</v>
      </c>
      <c r="AM770" s="40" t="str">
        <f t="shared" si="8"/>
        <v>[IP0526]</v>
      </c>
    </row>
    <row r="771" ht="67.5" customHeight="1">
      <c r="A771" s="41">
        <v>527.0</v>
      </c>
      <c r="B771" s="42" t="s">
        <v>2062</v>
      </c>
      <c r="C771" s="43">
        <v>2021.0</v>
      </c>
      <c r="D771" s="44" t="s">
        <v>35</v>
      </c>
      <c r="E771" s="45" t="s">
        <v>36</v>
      </c>
      <c r="F771" s="45" t="s">
        <v>36</v>
      </c>
      <c r="G771" s="45" t="s">
        <v>36</v>
      </c>
      <c r="H771" s="45" t="s">
        <v>36</v>
      </c>
      <c r="I771" s="45" t="s">
        <v>36</v>
      </c>
      <c r="J771" s="46" t="s">
        <v>36</v>
      </c>
      <c r="K771" s="47" t="s">
        <v>37</v>
      </c>
      <c r="L771" s="48" t="s">
        <v>35</v>
      </c>
      <c r="M771" s="48" t="s">
        <v>37</v>
      </c>
      <c r="N771" s="48" t="s">
        <v>37</v>
      </c>
      <c r="O771" s="48" t="s">
        <v>35</v>
      </c>
      <c r="P771" s="48" t="s">
        <v>35</v>
      </c>
      <c r="Q771" s="48" t="s">
        <v>35</v>
      </c>
      <c r="R771" s="48" t="s">
        <v>37</v>
      </c>
      <c r="S771" s="49" t="s">
        <v>2063</v>
      </c>
      <c r="T771" s="50" t="s">
        <v>2064</v>
      </c>
      <c r="U771" s="51" t="s">
        <v>2064</v>
      </c>
      <c r="V771" s="52">
        <f t="shared" ref="V771:X771" si="777">IF(lenb(SUBSTITUTE($Z771,V$1&amp;" (1)",""))&lt;lenb($Z771),1,IF(lenb(SUBSTITUTE($Z771,V$1&amp;" (2)",""))&lt;lenb($Z771),2,IF(lenb(SUBSTITUTE($Z771,V$1&amp;" (3)",""))&lt;lenb($Z771),3,IF(lenb(SUBSTITUTE($Z771,V$1&amp;" (4)",""))&lt;lenb($Z771),4,IF(lenb(SUBSTITUTE($Z771,V$1&amp;" (5)",""))&lt;lenb($Z771),5,IF(lenb(SUBSTITUTE($Z771,V$1&amp;" (6)",""))&lt;lenb($Z771),6,IF(lenb(SUBSTITUTE($Z771,V$1&amp;" (7)",""))&lt;lenb($Z771),1,IF(lenb(SUBSTITUTE($Z771,V$1&amp;" (8)",""))&lt;lenb($Z771),8,IF(lenb(SUBSTITUTE($Z771,V$1&amp;" (9)",""))&lt;lenb($Z771),9,IF(lenb(SUBSTITUTE($Z771,V$1&amp;" (10)",""))&lt;lenb($Z771),10,IF(lenb(SUBSTITUTE($Z771,V$1,""))&lt;lenb($Z771),"ERROR",IF($Z771=$Y$1,"-",0))))))))))))</f>
        <v>1</v>
      </c>
      <c r="W771" s="52">
        <f t="shared" si="777"/>
        <v>0</v>
      </c>
      <c r="X771" s="52">
        <f t="shared" si="777"/>
        <v>0</v>
      </c>
      <c r="Y771" s="52" t="str">
        <f t="shared" si="3"/>
        <v>-</v>
      </c>
      <c r="Z771" s="52" t="s">
        <v>62</v>
      </c>
      <c r="AA771" s="53">
        <f t="shared" si="4"/>
        <v>1</v>
      </c>
      <c r="AB771" s="54">
        <f>COUNTIFS(Links!B:B,"ICSE",Links!C:C,A771,Links!AD:AD,1)</f>
        <v>0</v>
      </c>
      <c r="AC771" s="55" t="s">
        <v>35</v>
      </c>
      <c r="AD771" s="47" t="str">
        <f t="shared" si="5"/>
        <v>No</v>
      </c>
      <c r="AE771" s="56" t="s">
        <v>36</v>
      </c>
      <c r="AF771" s="57" t="s">
        <v>42</v>
      </c>
      <c r="AG771" s="57" t="s">
        <v>42</v>
      </c>
      <c r="AH771" s="57" t="s">
        <v>42</v>
      </c>
      <c r="AI771" s="49" t="str">
        <f t="shared" si="661"/>
        <v>----</v>
      </c>
      <c r="AJ771" s="58" t="str">
        <f t="shared" si="7"/>
        <v>Paper has link but no statement</v>
      </c>
      <c r="AK771" s="59">
        <v>45022.0</v>
      </c>
      <c r="AL771" s="43" t="s">
        <v>43</v>
      </c>
      <c r="AM771" s="60" t="str">
        <f t="shared" si="8"/>
        <v>[IP0527]</v>
      </c>
    </row>
    <row r="772" ht="67.5" customHeight="1">
      <c r="A772" s="61">
        <v>528.0</v>
      </c>
      <c r="B772" s="22" t="s">
        <v>2065</v>
      </c>
      <c r="C772" s="23">
        <v>2021.0</v>
      </c>
      <c r="D772" s="24" t="s">
        <v>35</v>
      </c>
      <c r="E772" s="25" t="s">
        <v>36</v>
      </c>
      <c r="F772" s="25" t="s">
        <v>36</v>
      </c>
      <c r="G772" s="25" t="s">
        <v>36</v>
      </c>
      <c r="H772" s="25" t="s">
        <v>36</v>
      </c>
      <c r="I772" s="25" t="s">
        <v>36</v>
      </c>
      <c r="J772" s="26" t="s">
        <v>36</v>
      </c>
      <c r="K772" s="27" t="s">
        <v>37</v>
      </c>
      <c r="L772" s="28" t="s">
        <v>37</v>
      </c>
      <c r="M772" s="28" t="s">
        <v>35</v>
      </c>
      <c r="N772" s="28" t="s">
        <v>37</v>
      </c>
      <c r="O772" s="28" t="s">
        <v>35</v>
      </c>
      <c r="P772" s="28" t="s">
        <v>35</v>
      </c>
      <c r="Q772" s="28" t="s">
        <v>35</v>
      </c>
      <c r="R772" s="28" t="s">
        <v>35</v>
      </c>
      <c r="S772" s="29" t="s">
        <v>802</v>
      </c>
      <c r="T772" s="30" t="s">
        <v>2066</v>
      </c>
      <c r="U772" s="31" t="s">
        <v>2066</v>
      </c>
      <c r="V772" s="32">
        <f t="shared" ref="V772:X772" si="778">IF(lenb(SUBSTITUTE($Z772,V$1&amp;" (1)",""))&lt;lenb($Z772),1,IF(lenb(SUBSTITUTE($Z772,V$1&amp;" (2)",""))&lt;lenb($Z772),2,IF(lenb(SUBSTITUTE($Z772,V$1&amp;" (3)",""))&lt;lenb($Z772),3,IF(lenb(SUBSTITUTE($Z772,V$1&amp;" (4)",""))&lt;lenb($Z772),4,IF(lenb(SUBSTITUTE($Z772,V$1&amp;" (5)",""))&lt;lenb($Z772),5,IF(lenb(SUBSTITUTE($Z772,V$1&amp;" (6)",""))&lt;lenb($Z772),6,IF(lenb(SUBSTITUTE($Z772,V$1&amp;" (7)",""))&lt;lenb($Z772),1,IF(lenb(SUBSTITUTE($Z772,V$1&amp;" (8)",""))&lt;lenb($Z772),8,IF(lenb(SUBSTITUTE($Z772,V$1&amp;" (9)",""))&lt;lenb($Z772),9,IF(lenb(SUBSTITUTE($Z772,V$1&amp;" (10)",""))&lt;lenb($Z772),10,IF(lenb(SUBSTITUTE($Z772,V$1,""))&lt;lenb($Z772),"ERROR",IF($Z772=$Y$1,"-",0))))))))))))</f>
        <v>0</v>
      </c>
      <c r="W772" s="32">
        <f t="shared" si="778"/>
        <v>1</v>
      </c>
      <c r="X772" s="32">
        <f t="shared" si="778"/>
        <v>0</v>
      </c>
      <c r="Y772" s="32" t="str">
        <f t="shared" si="3"/>
        <v>-</v>
      </c>
      <c r="Z772" s="32" t="s">
        <v>47</v>
      </c>
      <c r="AA772" s="33">
        <f t="shared" si="4"/>
        <v>1</v>
      </c>
      <c r="AB772" s="34">
        <f>COUNTIFS(Links!B:B,"ICSE",Links!C:C,A772,Links!AD:AD,1)</f>
        <v>0</v>
      </c>
      <c r="AC772" s="35" t="s">
        <v>35</v>
      </c>
      <c r="AD772" s="27" t="str">
        <f t="shared" si="5"/>
        <v>No</v>
      </c>
      <c r="AE772" s="36" t="s">
        <v>36</v>
      </c>
      <c r="AF772" s="37" t="s">
        <v>42</v>
      </c>
      <c r="AG772" s="37" t="s">
        <v>42</v>
      </c>
      <c r="AH772" s="37" t="s">
        <v>42</v>
      </c>
      <c r="AI772" s="29" t="str">
        <f t="shared" si="661"/>
        <v>----</v>
      </c>
      <c r="AJ772" s="38" t="str">
        <f t="shared" si="7"/>
        <v>Paper has link but no statement</v>
      </c>
      <c r="AK772" s="39">
        <v>45022.0</v>
      </c>
      <c r="AL772" s="23" t="s">
        <v>43</v>
      </c>
      <c r="AM772" s="40" t="str">
        <f t="shared" si="8"/>
        <v>[IP0528]</v>
      </c>
    </row>
    <row r="773" ht="67.5" customHeight="1">
      <c r="A773" s="41">
        <v>529.0</v>
      </c>
      <c r="B773" s="42" t="s">
        <v>2067</v>
      </c>
      <c r="C773" s="43">
        <v>2021.0</v>
      </c>
      <c r="D773" s="44" t="s">
        <v>37</v>
      </c>
      <c r="E773" s="45" t="s">
        <v>35</v>
      </c>
      <c r="F773" s="45" t="s">
        <v>35</v>
      </c>
      <c r="G773" s="45" t="s">
        <v>37</v>
      </c>
      <c r="H773" s="45" t="s">
        <v>35</v>
      </c>
      <c r="I773" s="45" t="s">
        <v>35</v>
      </c>
      <c r="J773" s="46" t="s">
        <v>36</v>
      </c>
      <c r="K773" s="47" t="s">
        <v>37</v>
      </c>
      <c r="L773" s="48" t="s">
        <v>35</v>
      </c>
      <c r="M773" s="48" t="s">
        <v>37</v>
      </c>
      <c r="N773" s="48" t="s">
        <v>37</v>
      </c>
      <c r="O773" s="48" t="s">
        <v>35</v>
      </c>
      <c r="P773" s="48" t="s">
        <v>35</v>
      </c>
      <c r="Q773" s="48" t="s">
        <v>37</v>
      </c>
      <c r="R773" s="48" t="s">
        <v>37</v>
      </c>
      <c r="S773" s="49" t="s">
        <v>2068</v>
      </c>
      <c r="T773" s="50" t="s">
        <v>2069</v>
      </c>
      <c r="U773" s="51" t="s">
        <v>2069</v>
      </c>
      <c r="V773" s="52">
        <f t="shared" ref="V773:X773" si="779">IF(lenb(SUBSTITUTE($Z773,V$1&amp;" (1)",""))&lt;lenb($Z773),1,IF(lenb(SUBSTITUTE($Z773,V$1&amp;" (2)",""))&lt;lenb($Z773),2,IF(lenb(SUBSTITUTE($Z773,V$1&amp;" (3)",""))&lt;lenb($Z773),3,IF(lenb(SUBSTITUTE($Z773,V$1&amp;" (4)",""))&lt;lenb($Z773),4,IF(lenb(SUBSTITUTE($Z773,V$1&amp;" (5)",""))&lt;lenb($Z773),5,IF(lenb(SUBSTITUTE($Z773,V$1&amp;" (6)",""))&lt;lenb($Z773),6,IF(lenb(SUBSTITUTE($Z773,V$1&amp;" (7)",""))&lt;lenb($Z773),1,IF(lenb(SUBSTITUTE($Z773,V$1&amp;" (8)",""))&lt;lenb($Z773),8,IF(lenb(SUBSTITUTE($Z773,V$1&amp;" (9)",""))&lt;lenb($Z773),9,IF(lenb(SUBSTITUTE($Z773,V$1&amp;" (10)",""))&lt;lenb($Z773),10,IF(lenb(SUBSTITUTE($Z773,V$1,""))&lt;lenb($Z773),"ERROR",IF($Z773=$Y$1,"-",0))))))))))))</f>
        <v>1</v>
      </c>
      <c r="W773" s="52">
        <f t="shared" si="779"/>
        <v>0</v>
      </c>
      <c r="X773" s="52">
        <f t="shared" si="779"/>
        <v>0</v>
      </c>
      <c r="Y773" s="52" t="str">
        <f t="shared" si="3"/>
        <v>-</v>
      </c>
      <c r="Z773" s="52" t="s">
        <v>62</v>
      </c>
      <c r="AA773" s="53">
        <f t="shared" si="4"/>
        <v>1</v>
      </c>
      <c r="AB773" s="54">
        <f>COUNTIFS(Links!B:B,"ICSE",Links!C:C,A773,Links!AD:AD,1)</f>
        <v>0</v>
      </c>
      <c r="AC773" s="55" t="s">
        <v>35</v>
      </c>
      <c r="AD773" s="47" t="str">
        <f t="shared" si="5"/>
        <v>No</v>
      </c>
      <c r="AE773" s="56" t="s">
        <v>36</v>
      </c>
      <c r="AF773" s="57" t="s">
        <v>42</v>
      </c>
      <c r="AG773" s="57" t="s">
        <v>42</v>
      </c>
      <c r="AH773" s="57" t="s">
        <v>42</v>
      </c>
      <c r="AI773" s="49" t="str">
        <f t="shared" si="661"/>
        <v>----</v>
      </c>
      <c r="AJ773" s="58" t="str">
        <f t="shared" si="7"/>
        <v>Paper has link but no statement</v>
      </c>
      <c r="AK773" s="59">
        <v>45022.0</v>
      </c>
      <c r="AL773" s="43" t="s">
        <v>43</v>
      </c>
      <c r="AM773" s="60" t="str">
        <f t="shared" si="8"/>
        <v>[IP0529]</v>
      </c>
    </row>
    <row r="774" ht="67.5" customHeight="1">
      <c r="A774" s="61">
        <v>530.0</v>
      </c>
      <c r="B774" s="22" t="s">
        <v>2070</v>
      </c>
      <c r="C774" s="23">
        <v>2021.0</v>
      </c>
      <c r="D774" s="24" t="s">
        <v>35</v>
      </c>
      <c r="E774" s="25" t="s">
        <v>36</v>
      </c>
      <c r="F774" s="25" t="s">
        <v>36</v>
      </c>
      <c r="G774" s="25" t="s">
        <v>36</v>
      </c>
      <c r="H774" s="25" t="s">
        <v>36</v>
      </c>
      <c r="I774" s="25" t="s">
        <v>36</v>
      </c>
      <c r="J774" s="26" t="s">
        <v>36</v>
      </c>
      <c r="K774" s="27" t="s">
        <v>37</v>
      </c>
      <c r="L774" s="28" t="s">
        <v>37</v>
      </c>
      <c r="M774" s="28" t="s">
        <v>35</v>
      </c>
      <c r="N774" s="28" t="s">
        <v>37</v>
      </c>
      <c r="O774" s="28" t="s">
        <v>35</v>
      </c>
      <c r="P774" s="28" t="s">
        <v>35</v>
      </c>
      <c r="Q774" s="28" t="s">
        <v>35</v>
      </c>
      <c r="R774" s="28" t="s">
        <v>35</v>
      </c>
      <c r="S774" s="29" t="s">
        <v>1959</v>
      </c>
      <c r="T774" s="30" t="s">
        <v>2071</v>
      </c>
      <c r="U774" s="31" t="s">
        <v>2071</v>
      </c>
      <c r="V774" s="32">
        <f t="shared" ref="V774:X774" si="780">IF(lenb(SUBSTITUTE($Z774,V$1&amp;" (1)",""))&lt;lenb($Z774),1,IF(lenb(SUBSTITUTE($Z774,V$1&amp;" (2)",""))&lt;lenb($Z774),2,IF(lenb(SUBSTITUTE($Z774,V$1&amp;" (3)",""))&lt;lenb($Z774),3,IF(lenb(SUBSTITUTE($Z774,V$1&amp;" (4)",""))&lt;lenb($Z774),4,IF(lenb(SUBSTITUTE($Z774,V$1&amp;" (5)",""))&lt;lenb($Z774),5,IF(lenb(SUBSTITUTE($Z774,V$1&amp;" (6)",""))&lt;lenb($Z774),6,IF(lenb(SUBSTITUTE($Z774,V$1&amp;" (7)",""))&lt;lenb($Z774),1,IF(lenb(SUBSTITUTE($Z774,V$1&amp;" (8)",""))&lt;lenb($Z774),8,IF(lenb(SUBSTITUTE($Z774,V$1&amp;" (9)",""))&lt;lenb($Z774),9,IF(lenb(SUBSTITUTE($Z774,V$1&amp;" (10)",""))&lt;lenb($Z774),10,IF(lenb(SUBSTITUTE($Z774,V$1,""))&lt;lenb($Z774),"ERROR",IF($Z774=$Y$1,"-",0))))))))))))</f>
        <v>0</v>
      </c>
      <c r="W774" s="32">
        <f t="shared" si="780"/>
        <v>1</v>
      </c>
      <c r="X774" s="32">
        <f t="shared" si="780"/>
        <v>0</v>
      </c>
      <c r="Y774" s="32" t="str">
        <f t="shared" si="3"/>
        <v>-</v>
      </c>
      <c r="Z774" s="32" t="s">
        <v>47</v>
      </c>
      <c r="AA774" s="33">
        <f t="shared" si="4"/>
        <v>1</v>
      </c>
      <c r="AB774" s="34">
        <f>COUNTIFS(Links!B:B,"ICSE",Links!C:C,A774,Links!AD:AD,1)</f>
        <v>1</v>
      </c>
      <c r="AC774" s="35" t="s">
        <v>35</v>
      </c>
      <c r="AD774" s="27" t="str">
        <f t="shared" si="5"/>
        <v>No</v>
      </c>
      <c r="AE774" s="36" t="s">
        <v>36</v>
      </c>
      <c r="AF774" s="37" t="s">
        <v>42</v>
      </c>
      <c r="AG774" s="37" t="s">
        <v>42</v>
      </c>
      <c r="AH774" s="37" t="s">
        <v>42</v>
      </c>
      <c r="AI774" s="29" t="str">
        <f t="shared" si="661"/>
        <v>----</v>
      </c>
      <c r="AJ774" s="38" t="str">
        <f t="shared" si="7"/>
        <v>Paper has link but no statement</v>
      </c>
      <c r="AK774" s="39">
        <v>45022.0</v>
      </c>
      <c r="AL774" s="23" t="s">
        <v>43</v>
      </c>
      <c r="AM774" s="40" t="str">
        <f t="shared" si="8"/>
        <v>[IP0530]</v>
      </c>
    </row>
    <row r="775" ht="67.5" customHeight="1">
      <c r="A775" s="41">
        <v>531.0</v>
      </c>
      <c r="B775" s="42" t="s">
        <v>2072</v>
      </c>
      <c r="C775" s="43">
        <v>2021.0</v>
      </c>
      <c r="D775" s="44" t="s">
        <v>35</v>
      </c>
      <c r="E775" s="45" t="s">
        <v>36</v>
      </c>
      <c r="F775" s="45" t="s">
        <v>36</v>
      </c>
      <c r="G775" s="45" t="s">
        <v>36</v>
      </c>
      <c r="H775" s="45" t="s">
        <v>36</v>
      </c>
      <c r="I775" s="45" t="s">
        <v>36</v>
      </c>
      <c r="J775" s="46" t="s">
        <v>36</v>
      </c>
      <c r="K775" s="47" t="s">
        <v>37</v>
      </c>
      <c r="L775" s="48" t="s">
        <v>37</v>
      </c>
      <c r="M775" s="48" t="s">
        <v>35</v>
      </c>
      <c r="N775" s="48" t="s">
        <v>35</v>
      </c>
      <c r="O775" s="48" t="s">
        <v>35</v>
      </c>
      <c r="P775" s="48" t="s">
        <v>35</v>
      </c>
      <c r="Q775" s="48" t="s">
        <v>35</v>
      </c>
      <c r="R775" s="48" t="s">
        <v>37</v>
      </c>
      <c r="S775" s="49" t="s">
        <v>2073</v>
      </c>
      <c r="T775" s="50" t="s">
        <v>2074</v>
      </c>
      <c r="U775" s="51" t="s">
        <v>2074</v>
      </c>
      <c r="V775" s="52">
        <f t="shared" ref="V775:X775" si="781">IF(lenb(SUBSTITUTE($Z775,V$1&amp;" (1)",""))&lt;lenb($Z775),1,IF(lenb(SUBSTITUTE($Z775,V$1&amp;" (2)",""))&lt;lenb($Z775),2,IF(lenb(SUBSTITUTE($Z775,V$1&amp;" (3)",""))&lt;lenb($Z775),3,IF(lenb(SUBSTITUTE($Z775,V$1&amp;" (4)",""))&lt;lenb($Z775),4,IF(lenb(SUBSTITUTE($Z775,V$1&amp;" (5)",""))&lt;lenb($Z775),5,IF(lenb(SUBSTITUTE($Z775,V$1&amp;" (6)",""))&lt;lenb($Z775),6,IF(lenb(SUBSTITUTE($Z775,V$1&amp;" (7)",""))&lt;lenb($Z775),1,IF(lenb(SUBSTITUTE($Z775,V$1&amp;" (8)",""))&lt;lenb($Z775),8,IF(lenb(SUBSTITUTE($Z775,V$1&amp;" (9)",""))&lt;lenb($Z775),9,IF(lenb(SUBSTITUTE($Z775,V$1&amp;" (10)",""))&lt;lenb($Z775),10,IF(lenb(SUBSTITUTE($Z775,V$1,""))&lt;lenb($Z775),"ERROR",IF($Z775=$Y$1,"-",0))))))))))))</f>
        <v>1</v>
      </c>
      <c r="W775" s="52">
        <f t="shared" si="781"/>
        <v>0</v>
      </c>
      <c r="X775" s="52">
        <f t="shared" si="781"/>
        <v>0</v>
      </c>
      <c r="Y775" s="52" t="str">
        <f t="shared" si="3"/>
        <v>-</v>
      </c>
      <c r="Z775" s="52" t="s">
        <v>62</v>
      </c>
      <c r="AA775" s="53">
        <f t="shared" si="4"/>
        <v>1</v>
      </c>
      <c r="AB775" s="54">
        <f>COUNTIFS(Links!B:B,"ICSE",Links!C:C,A775,Links!AD:AD,1)</f>
        <v>0</v>
      </c>
      <c r="AC775" s="55" t="s">
        <v>37</v>
      </c>
      <c r="AD775" s="47" t="str">
        <f t="shared" si="5"/>
        <v>No</v>
      </c>
      <c r="AE775" s="56" t="s">
        <v>36</v>
      </c>
      <c r="AF775" s="57" t="s">
        <v>42</v>
      </c>
      <c r="AG775" s="57" t="s">
        <v>42</v>
      </c>
      <c r="AH775" s="57" t="s">
        <v>42</v>
      </c>
      <c r="AI775" s="49" t="str">
        <f t="shared" si="661"/>
        <v>----</v>
      </c>
      <c r="AJ775" s="58" t="str">
        <f t="shared" si="7"/>
        <v>Paper has link but no statement</v>
      </c>
      <c r="AK775" s="59">
        <v>45022.0</v>
      </c>
      <c r="AL775" s="43" t="s">
        <v>43</v>
      </c>
      <c r="AM775" s="60" t="str">
        <f t="shared" si="8"/>
        <v>[IP0531]</v>
      </c>
    </row>
    <row r="776" ht="67.5" customHeight="1">
      <c r="A776" s="61">
        <v>532.0</v>
      </c>
      <c r="B776" s="22" t="s">
        <v>2075</v>
      </c>
      <c r="C776" s="23">
        <v>2021.0</v>
      </c>
      <c r="D776" s="24" t="s">
        <v>37</v>
      </c>
      <c r="E776" s="25" t="s">
        <v>37</v>
      </c>
      <c r="F776" s="25" t="s">
        <v>35</v>
      </c>
      <c r="G776" s="25" t="s">
        <v>37</v>
      </c>
      <c r="H776" s="25" t="s">
        <v>35</v>
      </c>
      <c r="I776" s="25" t="s">
        <v>35</v>
      </c>
      <c r="J776" s="26" t="s">
        <v>36</v>
      </c>
      <c r="K776" s="27" t="s">
        <v>37</v>
      </c>
      <c r="L776" s="28" t="s">
        <v>35</v>
      </c>
      <c r="M776" s="28" t="s">
        <v>37</v>
      </c>
      <c r="N776" s="28" t="s">
        <v>37</v>
      </c>
      <c r="O776" s="28" t="s">
        <v>35</v>
      </c>
      <c r="P776" s="28" t="s">
        <v>35</v>
      </c>
      <c r="Q776" s="28" t="s">
        <v>37</v>
      </c>
      <c r="R776" s="28" t="s">
        <v>35</v>
      </c>
      <c r="S776" s="29" t="s">
        <v>2076</v>
      </c>
      <c r="T776" s="30" t="s">
        <v>2077</v>
      </c>
      <c r="U776" s="31" t="s">
        <v>2077</v>
      </c>
      <c r="V776" s="32">
        <f t="shared" ref="V776:X776" si="782">IF(lenb(SUBSTITUTE($Z776,V$1&amp;" (1)",""))&lt;lenb($Z776),1,IF(lenb(SUBSTITUTE($Z776,V$1&amp;" (2)",""))&lt;lenb($Z776),2,IF(lenb(SUBSTITUTE($Z776,V$1&amp;" (3)",""))&lt;lenb($Z776),3,IF(lenb(SUBSTITUTE($Z776,V$1&amp;" (4)",""))&lt;lenb($Z776),4,IF(lenb(SUBSTITUTE($Z776,V$1&amp;" (5)",""))&lt;lenb($Z776),5,IF(lenb(SUBSTITUTE($Z776,V$1&amp;" (6)",""))&lt;lenb($Z776),6,IF(lenb(SUBSTITUTE($Z776,V$1&amp;" (7)",""))&lt;lenb($Z776),1,IF(lenb(SUBSTITUTE($Z776,V$1&amp;" (8)",""))&lt;lenb($Z776),8,IF(lenb(SUBSTITUTE($Z776,V$1&amp;" (9)",""))&lt;lenb($Z776),9,IF(lenb(SUBSTITUTE($Z776,V$1&amp;" (10)",""))&lt;lenb($Z776),10,IF(lenb(SUBSTITUTE($Z776,V$1,""))&lt;lenb($Z776),"ERROR",IF($Z776=$Y$1,"-",0))))))))))))</f>
        <v>1</v>
      </c>
      <c r="W776" s="32">
        <f t="shared" si="782"/>
        <v>0</v>
      </c>
      <c r="X776" s="32">
        <f t="shared" si="782"/>
        <v>0</v>
      </c>
      <c r="Y776" s="32" t="str">
        <f t="shared" si="3"/>
        <v>-</v>
      </c>
      <c r="Z776" s="32" t="s">
        <v>62</v>
      </c>
      <c r="AA776" s="33">
        <f t="shared" si="4"/>
        <v>1</v>
      </c>
      <c r="AB776" s="34">
        <f>COUNTIFS(Links!B:B,"ICSE",Links!C:C,A776,Links!AD:AD,1)</f>
        <v>0</v>
      </c>
      <c r="AC776" s="35" t="s">
        <v>37</v>
      </c>
      <c r="AD776" s="27" t="str">
        <f t="shared" si="5"/>
        <v>Yes</v>
      </c>
      <c r="AE776" s="36" t="s">
        <v>2078</v>
      </c>
      <c r="AF776" s="36" t="s">
        <v>1251</v>
      </c>
      <c r="AG776" s="37" t="s">
        <v>42</v>
      </c>
      <c r="AH776" s="37" t="s">
        <v>42</v>
      </c>
      <c r="AI776" s="29" t="str">
        <f t="shared" si="661"/>
        <v>Barriers (Technical issues)</v>
      </c>
      <c r="AJ776" s="38" t="str">
        <f t="shared" si="7"/>
        <v>Paper has link and statement</v>
      </c>
      <c r="AK776" s="39">
        <v>45022.0</v>
      </c>
      <c r="AL776" s="23" t="s">
        <v>43</v>
      </c>
      <c r="AM776" s="40" t="str">
        <f t="shared" si="8"/>
        <v>[IP0532]</v>
      </c>
    </row>
    <row r="777" ht="67.5" customHeight="1">
      <c r="A777" s="41">
        <v>533.0</v>
      </c>
      <c r="B777" s="42" t="s">
        <v>2079</v>
      </c>
      <c r="C777" s="43">
        <v>2021.0</v>
      </c>
      <c r="D777" s="44" t="s">
        <v>35</v>
      </c>
      <c r="E777" s="45" t="s">
        <v>36</v>
      </c>
      <c r="F777" s="45" t="s">
        <v>36</v>
      </c>
      <c r="G777" s="45" t="s">
        <v>36</v>
      </c>
      <c r="H777" s="45" t="s">
        <v>36</v>
      </c>
      <c r="I777" s="45" t="s">
        <v>36</v>
      </c>
      <c r="J777" s="46" t="s">
        <v>36</v>
      </c>
      <c r="K777" s="47" t="s">
        <v>37</v>
      </c>
      <c r="L777" s="48" t="s">
        <v>37</v>
      </c>
      <c r="M777" s="48" t="s">
        <v>35</v>
      </c>
      <c r="N777" s="48" t="s">
        <v>35</v>
      </c>
      <c r="O777" s="48" t="s">
        <v>35</v>
      </c>
      <c r="P777" s="48" t="s">
        <v>35</v>
      </c>
      <c r="Q777" s="48" t="s">
        <v>35</v>
      </c>
      <c r="R777" s="48" t="s">
        <v>37</v>
      </c>
      <c r="S777" s="49" t="s">
        <v>2080</v>
      </c>
      <c r="T777" s="50" t="s">
        <v>2081</v>
      </c>
      <c r="U777" s="51" t="s">
        <v>2082</v>
      </c>
      <c r="V777" s="52">
        <f t="shared" ref="V777:X777" si="783">IF(lenb(SUBSTITUTE($Z777,V$1&amp;" (1)",""))&lt;lenb($Z777),1,IF(lenb(SUBSTITUTE($Z777,V$1&amp;" (2)",""))&lt;lenb($Z777),2,IF(lenb(SUBSTITUTE($Z777,V$1&amp;" (3)",""))&lt;lenb($Z777),3,IF(lenb(SUBSTITUTE($Z777,V$1&amp;" (4)",""))&lt;lenb($Z777),4,IF(lenb(SUBSTITUTE($Z777,V$1&amp;" (5)",""))&lt;lenb($Z777),5,IF(lenb(SUBSTITUTE($Z777,V$1&amp;" (6)",""))&lt;lenb($Z777),6,IF(lenb(SUBSTITUTE($Z777,V$1&amp;" (7)",""))&lt;lenb($Z777),1,IF(lenb(SUBSTITUTE($Z777,V$1&amp;" (8)",""))&lt;lenb($Z777),8,IF(lenb(SUBSTITUTE($Z777,V$1&amp;" (9)",""))&lt;lenb($Z777),9,IF(lenb(SUBSTITUTE($Z777,V$1&amp;" (10)",""))&lt;lenb($Z777),10,IF(lenb(SUBSTITUTE($Z777,V$1,""))&lt;lenb($Z777),"ERROR",IF($Z777=$Y$1,"-",0))))))))))))</f>
        <v>6</v>
      </c>
      <c r="W777" s="52">
        <f t="shared" si="783"/>
        <v>0</v>
      </c>
      <c r="X777" s="52">
        <f t="shared" si="783"/>
        <v>0</v>
      </c>
      <c r="Y777" s="52" t="str">
        <f t="shared" si="3"/>
        <v>-</v>
      </c>
      <c r="Z777" s="52" t="s">
        <v>2083</v>
      </c>
      <c r="AA777" s="53">
        <f t="shared" si="4"/>
        <v>6</v>
      </c>
      <c r="AB777" s="54">
        <f>COUNTIFS(Links!B:B,"ICSE",Links!C:C,A777,Links!AD:AD,1)</f>
        <v>0</v>
      </c>
      <c r="AC777" s="55" t="s">
        <v>37</v>
      </c>
      <c r="AD777" s="47" t="str">
        <f t="shared" si="5"/>
        <v>No</v>
      </c>
      <c r="AE777" s="56" t="s">
        <v>36</v>
      </c>
      <c r="AF777" s="57" t="s">
        <v>42</v>
      </c>
      <c r="AG777" s="57" t="s">
        <v>42</v>
      </c>
      <c r="AH777" s="57" t="s">
        <v>42</v>
      </c>
      <c r="AI777" s="49" t="str">
        <f t="shared" si="661"/>
        <v>----</v>
      </c>
      <c r="AJ777" s="58" t="str">
        <f t="shared" si="7"/>
        <v>Paper has link but no statement</v>
      </c>
      <c r="AK777" s="59">
        <v>45022.0</v>
      </c>
      <c r="AL777" s="43" t="s">
        <v>43</v>
      </c>
      <c r="AM777" s="60" t="str">
        <f t="shared" si="8"/>
        <v>[IP0533]</v>
      </c>
    </row>
    <row r="778" ht="67.5" customHeight="1">
      <c r="A778" s="61">
        <v>534.0</v>
      </c>
      <c r="B778" s="22" t="s">
        <v>2084</v>
      </c>
      <c r="C778" s="23">
        <v>2021.0</v>
      </c>
      <c r="D778" s="24" t="s">
        <v>35</v>
      </c>
      <c r="E778" s="25" t="s">
        <v>36</v>
      </c>
      <c r="F778" s="25" t="s">
        <v>36</v>
      </c>
      <c r="G778" s="25" t="s">
        <v>36</v>
      </c>
      <c r="H778" s="25" t="s">
        <v>36</v>
      </c>
      <c r="I778" s="25" t="s">
        <v>36</v>
      </c>
      <c r="J778" s="26" t="s">
        <v>36</v>
      </c>
      <c r="K778" s="27" t="s">
        <v>37</v>
      </c>
      <c r="L778" s="28" t="s">
        <v>35</v>
      </c>
      <c r="M778" s="28" t="s">
        <v>37</v>
      </c>
      <c r="N778" s="28" t="s">
        <v>35</v>
      </c>
      <c r="O778" s="28" t="s">
        <v>35</v>
      </c>
      <c r="P778" s="28" t="s">
        <v>35</v>
      </c>
      <c r="Q778" s="28" t="s">
        <v>35</v>
      </c>
      <c r="R778" s="28" t="s">
        <v>37</v>
      </c>
      <c r="S778" s="29" t="s">
        <v>2085</v>
      </c>
      <c r="T778" s="30" t="s">
        <v>2086</v>
      </c>
      <c r="U778" s="31" t="s">
        <v>2086</v>
      </c>
      <c r="V778" s="32">
        <f t="shared" ref="V778:X778" si="784">IF(lenb(SUBSTITUTE($Z778,V$1&amp;" (1)",""))&lt;lenb($Z778),1,IF(lenb(SUBSTITUTE($Z778,V$1&amp;" (2)",""))&lt;lenb($Z778),2,IF(lenb(SUBSTITUTE($Z778,V$1&amp;" (3)",""))&lt;lenb($Z778),3,IF(lenb(SUBSTITUTE($Z778,V$1&amp;" (4)",""))&lt;lenb($Z778),4,IF(lenb(SUBSTITUTE($Z778,V$1&amp;" (5)",""))&lt;lenb($Z778),5,IF(lenb(SUBSTITUTE($Z778,V$1&amp;" (6)",""))&lt;lenb($Z778),6,IF(lenb(SUBSTITUTE($Z778,V$1&amp;" (7)",""))&lt;lenb($Z778),1,IF(lenb(SUBSTITUTE($Z778,V$1&amp;" (8)",""))&lt;lenb($Z778),8,IF(lenb(SUBSTITUTE($Z778,V$1&amp;" (9)",""))&lt;lenb($Z778),9,IF(lenb(SUBSTITUTE($Z778,V$1&amp;" (10)",""))&lt;lenb($Z778),10,IF(lenb(SUBSTITUTE($Z778,V$1,""))&lt;lenb($Z778),"ERROR",IF($Z778=$Y$1,"-",0))))))))))))</f>
        <v>1</v>
      </c>
      <c r="W778" s="32">
        <f t="shared" si="784"/>
        <v>0</v>
      </c>
      <c r="X778" s="32">
        <f t="shared" si="784"/>
        <v>0</v>
      </c>
      <c r="Y778" s="32" t="str">
        <f t="shared" si="3"/>
        <v>-</v>
      </c>
      <c r="Z778" s="32" t="s">
        <v>62</v>
      </c>
      <c r="AA778" s="33">
        <f t="shared" si="4"/>
        <v>1</v>
      </c>
      <c r="AB778" s="34">
        <f>COUNTIFS(Links!B:B,"ICSE",Links!C:C,A778,Links!AD:AD,1)</f>
        <v>0</v>
      </c>
      <c r="AC778" s="35" t="s">
        <v>37</v>
      </c>
      <c r="AD778" s="27" t="str">
        <f t="shared" si="5"/>
        <v>No</v>
      </c>
      <c r="AE778" s="36" t="s">
        <v>36</v>
      </c>
      <c r="AF778" s="37" t="s">
        <v>42</v>
      </c>
      <c r="AG778" s="37" t="s">
        <v>42</v>
      </c>
      <c r="AH778" s="37" t="s">
        <v>42</v>
      </c>
      <c r="AI778" s="29" t="str">
        <f t="shared" si="661"/>
        <v>----</v>
      </c>
      <c r="AJ778" s="38" t="str">
        <f t="shared" si="7"/>
        <v>Paper has link but no statement</v>
      </c>
      <c r="AK778" s="39">
        <v>45022.0</v>
      </c>
      <c r="AL778" s="23" t="s">
        <v>43</v>
      </c>
      <c r="AM778" s="40" t="str">
        <f t="shared" si="8"/>
        <v>[IP0534]</v>
      </c>
    </row>
    <row r="779" ht="67.5" customHeight="1">
      <c r="A779" s="41">
        <v>535.0</v>
      </c>
      <c r="B779" s="42" t="s">
        <v>2087</v>
      </c>
      <c r="C779" s="43">
        <v>2021.0</v>
      </c>
      <c r="D779" s="44" t="s">
        <v>37</v>
      </c>
      <c r="E779" s="45" t="s">
        <v>37</v>
      </c>
      <c r="F779" s="45" t="s">
        <v>35</v>
      </c>
      <c r="G779" s="45" t="s">
        <v>37</v>
      </c>
      <c r="H779" s="45" t="s">
        <v>35</v>
      </c>
      <c r="I779" s="45" t="s">
        <v>35</v>
      </c>
      <c r="J779" s="46" t="s">
        <v>36</v>
      </c>
      <c r="K779" s="47" t="s">
        <v>37</v>
      </c>
      <c r="L779" s="48" t="s">
        <v>35</v>
      </c>
      <c r="M779" s="48" t="s">
        <v>37</v>
      </c>
      <c r="N779" s="48" t="s">
        <v>35</v>
      </c>
      <c r="O779" s="48" t="s">
        <v>37</v>
      </c>
      <c r="P779" s="48" t="s">
        <v>35</v>
      </c>
      <c r="Q779" s="48" t="s">
        <v>35</v>
      </c>
      <c r="R779" s="48" t="s">
        <v>37</v>
      </c>
      <c r="S779" s="49" t="s">
        <v>2088</v>
      </c>
      <c r="T779" s="50" t="s">
        <v>2089</v>
      </c>
      <c r="U779" s="51" t="s">
        <v>2089</v>
      </c>
      <c r="V779" s="52">
        <f t="shared" ref="V779:X779" si="785">IF(lenb(SUBSTITUTE($Z779,V$1&amp;" (1)",""))&lt;lenb($Z779),1,IF(lenb(SUBSTITUTE($Z779,V$1&amp;" (2)",""))&lt;lenb($Z779),2,IF(lenb(SUBSTITUTE($Z779,V$1&amp;" (3)",""))&lt;lenb($Z779),3,IF(lenb(SUBSTITUTE($Z779,V$1&amp;" (4)",""))&lt;lenb($Z779),4,IF(lenb(SUBSTITUTE($Z779,V$1&amp;" (5)",""))&lt;lenb($Z779),5,IF(lenb(SUBSTITUTE($Z779,V$1&amp;" (6)",""))&lt;lenb($Z779),6,IF(lenb(SUBSTITUTE($Z779,V$1&amp;" (7)",""))&lt;lenb($Z779),1,IF(lenb(SUBSTITUTE($Z779,V$1&amp;" (8)",""))&lt;lenb($Z779),8,IF(lenb(SUBSTITUTE($Z779,V$1&amp;" (9)",""))&lt;lenb($Z779),9,IF(lenb(SUBSTITUTE($Z779,V$1&amp;" (10)",""))&lt;lenb($Z779),10,IF(lenb(SUBSTITUTE($Z779,V$1,""))&lt;lenb($Z779),"ERROR",IF($Z779=$Y$1,"-",0))))))))))))</f>
        <v>1</v>
      </c>
      <c r="W779" s="52">
        <f t="shared" si="785"/>
        <v>0</v>
      </c>
      <c r="X779" s="52">
        <f t="shared" si="785"/>
        <v>0</v>
      </c>
      <c r="Y779" s="52" t="str">
        <f t="shared" si="3"/>
        <v>-</v>
      </c>
      <c r="Z779" s="52" t="s">
        <v>62</v>
      </c>
      <c r="AA779" s="53">
        <f t="shared" si="4"/>
        <v>1</v>
      </c>
      <c r="AB779" s="54">
        <f>COUNTIFS(Links!B:B,"ICSE",Links!C:C,A779,Links!AD:AD,1)</f>
        <v>0</v>
      </c>
      <c r="AC779" s="55" t="s">
        <v>37</v>
      </c>
      <c r="AD779" s="47" t="str">
        <f t="shared" si="5"/>
        <v>Yes</v>
      </c>
      <c r="AE779" s="56" t="s">
        <v>2090</v>
      </c>
      <c r="AF779" s="56" t="s">
        <v>281</v>
      </c>
      <c r="AG779" s="57" t="s">
        <v>42</v>
      </c>
      <c r="AH779" s="57" t="s">
        <v>42</v>
      </c>
      <c r="AI779" s="49" t="str">
        <f t="shared" si="661"/>
        <v>Barriers (Confidentiality and privacy)</v>
      </c>
      <c r="AJ779" s="58" t="str">
        <f t="shared" si="7"/>
        <v>Paper has link and statement</v>
      </c>
      <c r="AK779" s="59">
        <v>45022.0</v>
      </c>
      <c r="AL779" s="43" t="s">
        <v>43</v>
      </c>
      <c r="AM779" s="60" t="str">
        <f t="shared" si="8"/>
        <v>[IP0535]</v>
      </c>
    </row>
    <row r="780" ht="67.5" customHeight="1">
      <c r="A780" s="61">
        <v>536.0</v>
      </c>
      <c r="B780" s="22" t="s">
        <v>2091</v>
      </c>
      <c r="C780" s="23">
        <v>2021.0</v>
      </c>
      <c r="D780" s="24" t="s">
        <v>35</v>
      </c>
      <c r="E780" s="25" t="s">
        <v>36</v>
      </c>
      <c r="F780" s="25" t="s">
        <v>36</v>
      </c>
      <c r="G780" s="25" t="s">
        <v>36</v>
      </c>
      <c r="H780" s="25" t="s">
        <v>36</v>
      </c>
      <c r="I780" s="25" t="s">
        <v>36</v>
      </c>
      <c r="J780" s="26" t="s">
        <v>36</v>
      </c>
      <c r="K780" s="27" t="s">
        <v>37</v>
      </c>
      <c r="L780" s="28" t="s">
        <v>37</v>
      </c>
      <c r="M780" s="28" t="s">
        <v>35</v>
      </c>
      <c r="N780" s="28" t="s">
        <v>35</v>
      </c>
      <c r="O780" s="28" t="s">
        <v>35</v>
      </c>
      <c r="P780" s="28" t="s">
        <v>35</v>
      </c>
      <c r="Q780" s="28" t="s">
        <v>37</v>
      </c>
      <c r="R780" s="28" t="s">
        <v>37</v>
      </c>
      <c r="S780" s="29" t="s">
        <v>2092</v>
      </c>
      <c r="T780" s="30" t="s">
        <v>2093</v>
      </c>
      <c r="U780" s="31" t="s">
        <v>2093</v>
      </c>
      <c r="V780" s="32">
        <f t="shared" ref="V780:X780" si="786">IF(lenb(SUBSTITUTE($Z780,V$1&amp;" (1)",""))&lt;lenb($Z780),1,IF(lenb(SUBSTITUTE($Z780,V$1&amp;" (2)",""))&lt;lenb($Z780),2,IF(lenb(SUBSTITUTE($Z780,V$1&amp;" (3)",""))&lt;lenb($Z780),3,IF(lenb(SUBSTITUTE($Z780,V$1&amp;" (4)",""))&lt;lenb($Z780),4,IF(lenb(SUBSTITUTE($Z780,V$1&amp;" (5)",""))&lt;lenb($Z780),5,IF(lenb(SUBSTITUTE($Z780,V$1&amp;" (6)",""))&lt;lenb($Z780),6,IF(lenb(SUBSTITUTE($Z780,V$1&amp;" (7)",""))&lt;lenb($Z780),1,IF(lenb(SUBSTITUTE($Z780,V$1&amp;" (8)",""))&lt;lenb($Z780),8,IF(lenb(SUBSTITUTE($Z780,V$1&amp;" (9)",""))&lt;lenb($Z780),9,IF(lenb(SUBSTITUTE($Z780,V$1&amp;" (10)",""))&lt;lenb($Z780),10,IF(lenb(SUBSTITUTE($Z780,V$1,""))&lt;lenb($Z780),"ERROR",IF($Z780=$Y$1,"-",0))))))))))))</f>
        <v>1</v>
      </c>
      <c r="W780" s="32">
        <f t="shared" si="786"/>
        <v>0</v>
      </c>
      <c r="X780" s="32">
        <f t="shared" si="786"/>
        <v>0</v>
      </c>
      <c r="Y780" s="32" t="str">
        <f t="shared" si="3"/>
        <v>-</v>
      </c>
      <c r="Z780" s="32" t="s">
        <v>62</v>
      </c>
      <c r="AA780" s="33">
        <f t="shared" si="4"/>
        <v>1</v>
      </c>
      <c r="AB780" s="34">
        <f>COUNTIFS(Links!B:B,"ICSE",Links!C:C,A780,Links!AD:AD,1)</f>
        <v>0</v>
      </c>
      <c r="AC780" s="35" t="s">
        <v>37</v>
      </c>
      <c r="AD780" s="27" t="str">
        <f t="shared" si="5"/>
        <v>No</v>
      </c>
      <c r="AE780" s="36" t="s">
        <v>36</v>
      </c>
      <c r="AF780" s="37" t="s">
        <v>42</v>
      </c>
      <c r="AG780" s="37" t="s">
        <v>42</v>
      </c>
      <c r="AH780" s="37" t="s">
        <v>42</v>
      </c>
      <c r="AI780" s="29" t="str">
        <f t="shared" si="661"/>
        <v>----</v>
      </c>
      <c r="AJ780" s="38" t="str">
        <f t="shared" si="7"/>
        <v>Paper has link but no statement</v>
      </c>
      <c r="AK780" s="39">
        <v>45022.0</v>
      </c>
      <c r="AL780" s="23" t="s">
        <v>43</v>
      </c>
      <c r="AM780" s="40" t="str">
        <f t="shared" si="8"/>
        <v>[IP0536]</v>
      </c>
    </row>
    <row r="781" ht="67.5" customHeight="1">
      <c r="A781" s="41">
        <v>537.0</v>
      </c>
      <c r="B781" s="42" t="s">
        <v>2094</v>
      </c>
      <c r="C781" s="43">
        <v>2021.0</v>
      </c>
      <c r="D781" s="44" t="s">
        <v>37</v>
      </c>
      <c r="E781" s="45" t="s">
        <v>37</v>
      </c>
      <c r="F781" s="45" t="s">
        <v>35</v>
      </c>
      <c r="G781" s="45" t="s">
        <v>37</v>
      </c>
      <c r="H781" s="45" t="s">
        <v>35</v>
      </c>
      <c r="I781" s="45" t="s">
        <v>35</v>
      </c>
      <c r="J781" s="46" t="s">
        <v>36</v>
      </c>
      <c r="K781" s="47" t="s">
        <v>37</v>
      </c>
      <c r="L781" s="48" t="s">
        <v>37</v>
      </c>
      <c r="M781" s="48" t="s">
        <v>35</v>
      </c>
      <c r="N781" s="48" t="s">
        <v>37</v>
      </c>
      <c r="O781" s="48" t="s">
        <v>35</v>
      </c>
      <c r="P781" s="48" t="s">
        <v>35</v>
      </c>
      <c r="Q781" s="48" t="s">
        <v>35</v>
      </c>
      <c r="R781" s="48" t="s">
        <v>37</v>
      </c>
      <c r="S781" s="49" t="s">
        <v>2095</v>
      </c>
      <c r="T781" s="50" t="s">
        <v>2096</v>
      </c>
      <c r="U781" s="51" t="s">
        <v>2097</v>
      </c>
      <c r="V781" s="52">
        <f t="shared" ref="V781:X781" si="787">IF(lenb(SUBSTITUTE($Z781,V$1&amp;" (1)",""))&lt;lenb($Z781),1,IF(lenb(SUBSTITUTE($Z781,V$1&amp;" (2)",""))&lt;lenb($Z781),2,IF(lenb(SUBSTITUTE($Z781,V$1&amp;" (3)",""))&lt;lenb($Z781),3,IF(lenb(SUBSTITUTE($Z781,V$1&amp;" (4)",""))&lt;lenb($Z781),4,IF(lenb(SUBSTITUTE($Z781,V$1&amp;" (5)",""))&lt;lenb($Z781),5,IF(lenb(SUBSTITUTE($Z781,V$1&amp;" (6)",""))&lt;lenb($Z781),6,IF(lenb(SUBSTITUTE($Z781,V$1&amp;" (7)",""))&lt;lenb($Z781),1,IF(lenb(SUBSTITUTE($Z781,V$1&amp;" (8)",""))&lt;lenb($Z781),8,IF(lenb(SUBSTITUTE($Z781,V$1&amp;" (9)",""))&lt;lenb($Z781),9,IF(lenb(SUBSTITUTE($Z781,V$1&amp;" (10)",""))&lt;lenb($Z781),10,IF(lenb(SUBSTITUTE($Z781,V$1,""))&lt;lenb($Z781),"ERROR",IF($Z781=$Y$1,"-",0))))))))))))</f>
        <v>2</v>
      </c>
      <c r="W781" s="52">
        <f t="shared" si="787"/>
        <v>0</v>
      </c>
      <c r="X781" s="52">
        <f t="shared" si="787"/>
        <v>0</v>
      </c>
      <c r="Y781" s="52" t="str">
        <f t="shared" si="3"/>
        <v>-</v>
      </c>
      <c r="Z781" s="52" t="s">
        <v>57</v>
      </c>
      <c r="AA781" s="53">
        <f t="shared" si="4"/>
        <v>2</v>
      </c>
      <c r="AB781" s="54">
        <f>COUNTIFS(Links!B:B,"ICSE",Links!C:C,A781,Links!AD:AD,1)</f>
        <v>0</v>
      </c>
      <c r="AC781" s="55" t="s">
        <v>37</v>
      </c>
      <c r="AD781" s="47" t="str">
        <f t="shared" si="5"/>
        <v>No</v>
      </c>
      <c r="AE781" s="56" t="s">
        <v>36</v>
      </c>
      <c r="AF781" s="57" t="s">
        <v>42</v>
      </c>
      <c r="AG781" s="57" t="s">
        <v>42</v>
      </c>
      <c r="AH781" s="57" t="s">
        <v>42</v>
      </c>
      <c r="AI781" s="49" t="str">
        <f t="shared" si="661"/>
        <v>----</v>
      </c>
      <c r="AJ781" s="58" t="str">
        <f t="shared" si="7"/>
        <v>Paper has link but no statement</v>
      </c>
      <c r="AK781" s="59">
        <v>45022.0</v>
      </c>
      <c r="AL781" s="43" t="s">
        <v>43</v>
      </c>
      <c r="AM781" s="60" t="str">
        <f t="shared" si="8"/>
        <v>[IP0537]</v>
      </c>
    </row>
    <row r="782" ht="67.5" customHeight="1">
      <c r="A782" s="61">
        <v>538.0</v>
      </c>
      <c r="B782" s="22" t="s">
        <v>2098</v>
      </c>
      <c r="C782" s="23">
        <v>2021.0</v>
      </c>
      <c r="D782" s="24" t="s">
        <v>35</v>
      </c>
      <c r="E782" s="25" t="s">
        <v>36</v>
      </c>
      <c r="F782" s="25" t="s">
        <v>36</v>
      </c>
      <c r="G782" s="25" t="s">
        <v>36</v>
      </c>
      <c r="H782" s="25" t="s">
        <v>36</v>
      </c>
      <c r="I782" s="25" t="s">
        <v>36</v>
      </c>
      <c r="J782" s="26" t="s">
        <v>36</v>
      </c>
      <c r="K782" s="27" t="s">
        <v>37</v>
      </c>
      <c r="L782" s="28" t="s">
        <v>35</v>
      </c>
      <c r="M782" s="28" t="s">
        <v>37</v>
      </c>
      <c r="N782" s="28" t="s">
        <v>37</v>
      </c>
      <c r="O782" s="28" t="s">
        <v>35</v>
      </c>
      <c r="P782" s="28" t="s">
        <v>35</v>
      </c>
      <c r="Q782" s="28" t="s">
        <v>35</v>
      </c>
      <c r="R782" s="28" t="s">
        <v>37</v>
      </c>
      <c r="S782" s="29" t="s">
        <v>2099</v>
      </c>
      <c r="T782" s="30" t="s">
        <v>2100</v>
      </c>
      <c r="U782" s="31" t="s">
        <v>2101</v>
      </c>
      <c r="V782" s="32">
        <f t="shared" ref="V782:X782" si="788">IF(lenb(SUBSTITUTE($Z782,V$1&amp;" (1)",""))&lt;lenb($Z782),1,IF(lenb(SUBSTITUTE($Z782,V$1&amp;" (2)",""))&lt;lenb($Z782),2,IF(lenb(SUBSTITUTE($Z782,V$1&amp;" (3)",""))&lt;lenb($Z782),3,IF(lenb(SUBSTITUTE($Z782,V$1&amp;" (4)",""))&lt;lenb($Z782),4,IF(lenb(SUBSTITUTE($Z782,V$1&amp;" (5)",""))&lt;lenb($Z782),5,IF(lenb(SUBSTITUTE($Z782,V$1&amp;" (6)",""))&lt;lenb($Z782),6,IF(lenb(SUBSTITUTE($Z782,V$1&amp;" (7)",""))&lt;lenb($Z782),1,IF(lenb(SUBSTITUTE($Z782,V$1&amp;" (8)",""))&lt;lenb($Z782),8,IF(lenb(SUBSTITUTE($Z782,V$1&amp;" (9)",""))&lt;lenb($Z782),9,IF(lenb(SUBSTITUTE($Z782,V$1&amp;" (10)",""))&lt;lenb($Z782),10,IF(lenb(SUBSTITUTE($Z782,V$1,""))&lt;lenb($Z782),"ERROR",IF($Z782=$Y$1,"-",0))))))))))))</f>
        <v>1</v>
      </c>
      <c r="W782" s="32">
        <f t="shared" si="788"/>
        <v>0</v>
      </c>
      <c r="X782" s="32">
        <f t="shared" si="788"/>
        <v>0</v>
      </c>
      <c r="Y782" s="32" t="str">
        <f t="shared" si="3"/>
        <v>-</v>
      </c>
      <c r="Z782" s="32" t="s">
        <v>62</v>
      </c>
      <c r="AA782" s="33">
        <f t="shared" si="4"/>
        <v>1</v>
      </c>
      <c r="AB782" s="34">
        <f>COUNTIFS(Links!B:B,"ICSE",Links!C:C,A782,Links!AD:AD,1)</f>
        <v>0</v>
      </c>
      <c r="AC782" s="35" t="s">
        <v>35</v>
      </c>
      <c r="AD782" s="27" t="str">
        <f t="shared" si="5"/>
        <v>No</v>
      </c>
      <c r="AE782" s="36" t="s">
        <v>36</v>
      </c>
      <c r="AF782" s="37" t="s">
        <v>42</v>
      </c>
      <c r="AG782" s="37" t="s">
        <v>42</v>
      </c>
      <c r="AH782" s="37" t="s">
        <v>42</v>
      </c>
      <c r="AI782" s="29" t="str">
        <f t="shared" si="661"/>
        <v>----</v>
      </c>
      <c r="AJ782" s="38" t="str">
        <f t="shared" si="7"/>
        <v>Paper has link but no statement</v>
      </c>
      <c r="AK782" s="39">
        <v>45022.0</v>
      </c>
      <c r="AL782" s="23" t="s">
        <v>43</v>
      </c>
      <c r="AM782" s="40" t="str">
        <f t="shared" si="8"/>
        <v>[IP0538]</v>
      </c>
    </row>
    <row r="783" ht="67.5" customHeight="1">
      <c r="A783" s="41">
        <v>539.0</v>
      </c>
      <c r="B783" s="42" t="s">
        <v>2102</v>
      </c>
      <c r="C783" s="43">
        <v>2021.0</v>
      </c>
      <c r="D783" s="44" t="s">
        <v>37</v>
      </c>
      <c r="E783" s="45" t="s">
        <v>37</v>
      </c>
      <c r="F783" s="45" t="s">
        <v>35</v>
      </c>
      <c r="G783" s="45" t="s">
        <v>37</v>
      </c>
      <c r="H783" s="45" t="s">
        <v>35</v>
      </c>
      <c r="I783" s="45" t="s">
        <v>35</v>
      </c>
      <c r="J783" s="46" t="s">
        <v>36</v>
      </c>
      <c r="K783" s="47" t="s">
        <v>37</v>
      </c>
      <c r="L783" s="48" t="s">
        <v>37</v>
      </c>
      <c r="M783" s="48" t="s">
        <v>35</v>
      </c>
      <c r="N783" s="48" t="s">
        <v>37</v>
      </c>
      <c r="O783" s="48" t="s">
        <v>35</v>
      </c>
      <c r="P783" s="48" t="s">
        <v>35</v>
      </c>
      <c r="Q783" s="48" t="s">
        <v>35</v>
      </c>
      <c r="R783" s="48" t="s">
        <v>35</v>
      </c>
      <c r="S783" s="49" t="s">
        <v>340</v>
      </c>
      <c r="T783" s="50" t="s">
        <v>2103</v>
      </c>
      <c r="U783" s="51" t="s">
        <v>2103</v>
      </c>
      <c r="V783" s="52">
        <f t="shared" ref="V783:X783" si="789">IF(lenb(SUBSTITUTE($Z783,V$1&amp;" (1)",""))&lt;lenb($Z783),1,IF(lenb(SUBSTITUTE($Z783,V$1&amp;" (2)",""))&lt;lenb($Z783),2,IF(lenb(SUBSTITUTE($Z783,V$1&amp;" (3)",""))&lt;lenb($Z783),3,IF(lenb(SUBSTITUTE($Z783,V$1&amp;" (4)",""))&lt;lenb($Z783),4,IF(lenb(SUBSTITUTE($Z783,V$1&amp;" (5)",""))&lt;lenb($Z783),5,IF(lenb(SUBSTITUTE($Z783,V$1&amp;" (6)",""))&lt;lenb($Z783),6,IF(lenb(SUBSTITUTE($Z783,V$1&amp;" (7)",""))&lt;lenb($Z783),1,IF(lenb(SUBSTITUTE($Z783,V$1&amp;" (8)",""))&lt;lenb($Z783),8,IF(lenb(SUBSTITUTE($Z783,V$1&amp;" (9)",""))&lt;lenb($Z783),9,IF(lenb(SUBSTITUTE($Z783,V$1&amp;" (10)",""))&lt;lenb($Z783),10,IF(lenb(SUBSTITUTE($Z783,V$1,""))&lt;lenb($Z783),"ERROR",IF($Z783=$Y$1,"-",0))))))))))))</f>
        <v>1</v>
      </c>
      <c r="W783" s="52">
        <f t="shared" si="789"/>
        <v>0</v>
      </c>
      <c r="X783" s="52">
        <f t="shared" si="789"/>
        <v>0</v>
      </c>
      <c r="Y783" s="52" t="str">
        <f t="shared" si="3"/>
        <v>-</v>
      </c>
      <c r="Z783" s="52" t="s">
        <v>62</v>
      </c>
      <c r="AA783" s="53">
        <f t="shared" si="4"/>
        <v>1</v>
      </c>
      <c r="AB783" s="54">
        <f>COUNTIFS(Links!B:B,"ICSE",Links!C:C,A783,Links!AD:AD,1)</f>
        <v>0</v>
      </c>
      <c r="AC783" s="55" t="s">
        <v>35</v>
      </c>
      <c r="AD783" s="47" t="str">
        <f t="shared" si="5"/>
        <v>No</v>
      </c>
      <c r="AE783" s="56" t="s">
        <v>36</v>
      </c>
      <c r="AF783" s="57" t="s">
        <v>42</v>
      </c>
      <c r="AG783" s="57" t="s">
        <v>42</v>
      </c>
      <c r="AH783" s="57" t="s">
        <v>42</v>
      </c>
      <c r="AI783" s="49" t="str">
        <f t="shared" si="661"/>
        <v>----</v>
      </c>
      <c r="AJ783" s="58" t="str">
        <f t="shared" si="7"/>
        <v>Paper has link but no statement</v>
      </c>
      <c r="AK783" s="59">
        <v>45022.0</v>
      </c>
      <c r="AL783" s="43" t="s">
        <v>43</v>
      </c>
      <c r="AM783" s="60" t="str">
        <f t="shared" si="8"/>
        <v>[IP0539]</v>
      </c>
    </row>
    <row r="784" ht="67.5" customHeight="1">
      <c r="A784" s="61">
        <v>540.0</v>
      </c>
      <c r="B784" s="22" t="s">
        <v>2104</v>
      </c>
      <c r="C784" s="23">
        <v>2021.0</v>
      </c>
      <c r="D784" s="24" t="s">
        <v>35</v>
      </c>
      <c r="E784" s="25" t="s">
        <v>36</v>
      </c>
      <c r="F784" s="25" t="s">
        <v>36</v>
      </c>
      <c r="G784" s="25" t="s">
        <v>36</v>
      </c>
      <c r="H784" s="25" t="s">
        <v>36</v>
      </c>
      <c r="I784" s="25" t="s">
        <v>36</v>
      </c>
      <c r="J784" s="26" t="s">
        <v>36</v>
      </c>
      <c r="K784" s="27" t="s">
        <v>35</v>
      </c>
      <c r="L784" s="28" t="s">
        <v>36</v>
      </c>
      <c r="M784" s="28" t="s">
        <v>36</v>
      </c>
      <c r="N784" s="28" t="s">
        <v>36</v>
      </c>
      <c r="O784" s="28" t="s">
        <v>36</v>
      </c>
      <c r="P784" s="28" t="s">
        <v>36</v>
      </c>
      <c r="Q784" s="28" t="s">
        <v>36</v>
      </c>
      <c r="R784" s="28" t="s">
        <v>36</v>
      </c>
      <c r="S784" s="29" t="s">
        <v>36</v>
      </c>
      <c r="T784" s="30" t="s">
        <v>36</v>
      </c>
      <c r="U784" s="31" t="s">
        <v>36</v>
      </c>
      <c r="V784" s="32" t="str">
        <f t="shared" ref="V784:X784" si="790">IF(lenb(SUBSTITUTE($Z784,V$1&amp;" (1)",""))&lt;lenb($Z784),1,IF(lenb(SUBSTITUTE($Z784,V$1&amp;" (2)",""))&lt;lenb($Z784),2,IF(lenb(SUBSTITUTE($Z784,V$1&amp;" (3)",""))&lt;lenb($Z784),3,IF(lenb(SUBSTITUTE($Z784,V$1&amp;" (4)",""))&lt;lenb($Z784),4,IF(lenb(SUBSTITUTE($Z784,V$1&amp;" (5)",""))&lt;lenb($Z784),5,IF(lenb(SUBSTITUTE($Z784,V$1&amp;" (6)",""))&lt;lenb($Z784),6,IF(lenb(SUBSTITUTE($Z784,V$1&amp;" (7)",""))&lt;lenb($Z784),1,IF(lenb(SUBSTITUTE($Z784,V$1&amp;" (8)",""))&lt;lenb($Z784),8,IF(lenb(SUBSTITUTE($Z784,V$1&amp;" (9)",""))&lt;lenb($Z784),9,IF(lenb(SUBSTITUTE($Z784,V$1&amp;" (10)",""))&lt;lenb($Z784),10,IF(lenb(SUBSTITUTE($Z784,V$1,""))&lt;lenb($Z784),"ERROR",IF($Z784=$Y$1,"-",0))))))))))))</f>
        <v>-</v>
      </c>
      <c r="W784" s="32" t="str">
        <f t="shared" si="790"/>
        <v>-</v>
      </c>
      <c r="X784" s="32" t="str">
        <f t="shared" si="790"/>
        <v>-</v>
      </c>
      <c r="Y784" s="32">
        <f t="shared" si="3"/>
        <v>1</v>
      </c>
      <c r="Z784" s="32" t="s">
        <v>23</v>
      </c>
      <c r="AA784" s="33">
        <f t="shared" si="4"/>
        <v>0</v>
      </c>
      <c r="AB784" s="34">
        <f>COUNTIFS(Links!B:B,"ICSE",Links!C:C,A784,Links!AD:AD,1)</f>
        <v>0</v>
      </c>
      <c r="AC784" s="35" t="s">
        <v>36</v>
      </c>
      <c r="AD784" s="27" t="str">
        <f t="shared" si="5"/>
        <v>No</v>
      </c>
      <c r="AE784" s="36" t="s">
        <v>36</v>
      </c>
      <c r="AF784" s="37" t="s">
        <v>42</v>
      </c>
      <c r="AG784" s="37" t="s">
        <v>42</v>
      </c>
      <c r="AH784" s="37" t="s">
        <v>42</v>
      </c>
      <c r="AI784" s="29" t="str">
        <f t="shared" si="661"/>
        <v>----</v>
      </c>
      <c r="AJ784" s="38" t="str">
        <f t="shared" si="7"/>
        <v>Paper has no link and no statement</v>
      </c>
      <c r="AK784" s="39">
        <v>45022.0</v>
      </c>
      <c r="AL784" s="23" t="s">
        <v>43</v>
      </c>
      <c r="AM784" s="40" t="str">
        <f t="shared" si="8"/>
        <v>[IP0540]</v>
      </c>
    </row>
    <row r="785" ht="67.5" customHeight="1">
      <c r="A785" s="41">
        <v>541.0</v>
      </c>
      <c r="B785" s="42" t="s">
        <v>2105</v>
      </c>
      <c r="C785" s="43">
        <v>2021.0</v>
      </c>
      <c r="D785" s="44" t="s">
        <v>37</v>
      </c>
      <c r="E785" s="45" t="s">
        <v>35</v>
      </c>
      <c r="F785" s="45" t="s">
        <v>35</v>
      </c>
      <c r="G785" s="45" t="s">
        <v>37</v>
      </c>
      <c r="H785" s="45" t="s">
        <v>35</v>
      </c>
      <c r="I785" s="45" t="s">
        <v>35</v>
      </c>
      <c r="J785" s="46" t="s">
        <v>36</v>
      </c>
      <c r="K785" s="47" t="s">
        <v>37</v>
      </c>
      <c r="L785" s="48" t="s">
        <v>37</v>
      </c>
      <c r="M785" s="48" t="s">
        <v>35</v>
      </c>
      <c r="N785" s="48" t="s">
        <v>35</v>
      </c>
      <c r="O785" s="48" t="s">
        <v>35</v>
      </c>
      <c r="P785" s="48" t="s">
        <v>35</v>
      </c>
      <c r="Q785" s="48" t="s">
        <v>35</v>
      </c>
      <c r="R785" s="48" t="s">
        <v>37</v>
      </c>
      <c r="S785" s="49" t="s">
        <v>2106</v>
      </c>
      <c r="T785" s="50" t="s">
        <v>2107</v>
      </c>
      <c r="U785" s="51" t="s">
        <v>2107</v>
      </c>
      <c r="V785" s="52">
        <f t="shared" ref="V785:X785" si="791">IF(lenb(SUBSTITUTE($Z785,V$1&amp;" (1)",""))&lt;lenb($Z785),1,IF(lenb(SUBSTITUTE($Z785,V$1&amp;" (2)",""))&lt;lenb($Z785),2,IF(lenb(SUBSTITUTE($Z785,V$1&amp;" (3)",""))&lt;lenb($Z785),3,IF(lenb(SUBSTITUTE($Z785,V$1&amp;" (4)",""))&lt;lenb($Z785),4,IF(lenb(SUBSTITUTE($Z785,V$1&amp;" (5)",""))&lt;lenb($Z785),5,IF(lenb(SUBSTITUTE($Z785,V$1&amp;" (6)",""))&lt;lenb($Z785),6,IF(lenb(SUBSTITUTE($Z785,V$1&amp;" (7)",""))&lt;lenb($Z785),1,IF(lenb(SUBSTITUTE($Z785,V$1&amp;" (8)",""))&lt;lenb($Z785),8,IF(lenb(SUBSTITUTE($Z785,V$1&amp;" (9)",""))&lt;lenb($Z785),9,IF(lenb(SUBSTITUTE($Z785,V$1&amp;" (10)",""))&lt;lenb($Z785),10,IF(lenb(SUBSTITUTE($Z785,V$1,""))&lt;lenb($Z785),"ERROR",IF($Z785=$Y$1,"-",0))))))))))))</f>
        <v>1</v>
      </c>
      <c r="W785" s="52">
        <f t="shared" si="791"/>
        <v>0</v>
      </c>
      <c r="X785" s="52">
        <f t="shared" si="791"/>
        <v>0</v>
      </c>
      <c r="Y785" s="52" t="str">
        <f t="shared" si="3"/>
        <v>-</v>
      </c>
      <c r="Z785" s="52" t="s">
        <v>62</v>
      </c>
      <c r="AA785" s="53">
        <f t="shared" si="4"/>
        <v>1</v>
      </c>
      <c r="AB785" s="54">
        <f>COUNTIFS(Links!B:B,"ICSE",Links!C:C,A785,Links!AD:AD,1)</f>
        <v>0</v>
      </c>
      <c r="AC785" s="55" t="s">
        <v>35</v>
      </c>
      <c r="AD785" s="47" t="str">
        <f t="shared" si="5"/>
        <v>No</v>
      </c>
      <c r="AE785" s="56" t="s">
        <v>36</v>
      </c>
      <c r="AF785" s="57" t="s">
        <v>42</v>
      </c>
      <c r="AG785" s="57" t="s">
        <v>42</v>
      </c>
      <c r="AH785" s="57" t="s">
        <v>42</v>
      </c>
      <c r="AI785" s="49" t="str">
        <f t="shared" si="661"/>
        <v>----</v>
      </c>
      <c r="AJ785" s="58" t="str">
        <f t="shared" si="7"/>
        <v>Paper has link but no statement</v>
      </c>
      <c r="AK785" s="59">
        <v>45022.0</v>
      </c>
      <c r="AL785" s="43" t="s">
        <v>43</v>
      </c>
      <c r="AM785" s="60" t="str">
        <f t="shared" si="8"/>
        <v>[IP0541]</v>
      </c>
    </row>
    <row r="786" ht="67.5" customHeight="1">
      <c r="A786" s="61">
        <v>542.0</v>
      </c>
      <c r="B786" s="22" t="s">
        <v>2108</v>
      </c>
      <c r="C786" s="23">
        <v>2021.0</v>
      </c>
      <c r="D786" s="24" t="s">
        <v>35</v>
      </c>
      <c r="E786" s="25" t="s">
        <v>36</v>
      </c>
      <c r="F786" s="25" t="s">
        <v>36</v>
      </c>
      <c r="G786" s="25" t="s">
        <v>36</v>
      </c>
      <c r="H786" s="25" t="s">
        <v>36</v>
      </c>
      <c r="I786" s="25" t="s">
        <v>36</v>
      </c>
      <c r="J786" s="26" t="s">
        <v>36</v>
      </c>
      <c r="K786" s="27" t="s">
        <v>37</v>
      </c>
      <c r="L786" s="28" t="s">
        <v>35</v>
      </c>
      <c r="M786" s="28" t="s">
        <v>37</v>
      </c>
      <c r="N786" s="28" t="s">
        <v>37</v>
      </c>
      <c r="O786" s="28" t="s">
        <v>35</v>
      </c>
      <c r="P786" s="28" t="s">
        <v>35</v>
      </c>
      <c r="Q786" s="28" t="s">
        <v>35</v>
      </c>
      <c r="R786" s="28" t="s">
        <v>37</v>
      </c>
      <c r="S786" s="29" t="s">
        <v>2109</v>
      </c>
      <c r="T786" s="30" t="s">
        <v>2110</v>
      </c>
      <c r="U786" s="31" t="s">
        <v>2110</v>
      </c>
      <c r="V786" s="32">
        <f t="shared" ref="V786:X786" si="792">IF(lenb(SUBSTITUTE($Z786,V$1&amp;" (1)",""))&lt;lenb($Z786),1,IF(lenb(SUBSTITUTE($Z786,V$1&amp;" (2)",""))&lt;lenb($Z786),2,IF(lenb(SUBSTITUTE($Z786,V$1&amp;" (3)",""))&lt;lenb($Z786),3,IF(lenb(SUBSTITUTE($Z786,V$1&amp;" (4)",""))&lt;lenb($Z786),4,IF(lenb(SUBSTITUTE($Z786,V$1&amp;" (5)",""))&lt;lenb($Z786),5,IF(lenb(SUBSTITUTE($Z786,V$1&amp;" (6)",""))&lt;lenb($Z786),6,IF(lenb(SUBSTITUTE($Z786,V$1&amp;" (7)",""))&lt;lenb($Z786),1,IF(lenb(SUBSTITUTE($Z786,V$1&amp;" (8)",""))&lt;lenb($Z786),8,IF(lenb(SUBSTITUTE($Z786,V$1&amp;" (9)",""))&lt;lenb($Z786),9,IF(lenb(SUBSTITUTE($Z786,V$1&amp;" (10)",""))&lt;lenb($Z786),10,IF(lenb(SUBSTITUTE($Z786,V$1,""))&lt;lenb($Z786),"ERROR",IF($Z786=$Y$1,"-",0))))))))))))</f>
        <v>1</v>
      </c>
      <c r="W786" s="32">
        <f t="shared" si="792"/>
        <v>0</v>
      </c>
      <c r="X786" s="32">
        <f t="shared" si="792"/>
        <v>0</v>
      </c>
      <c r="Y786" s="32" t="str">
        <f t="shared" si="3"/>
        <v>-</v>
      </c>
      <c r="Z786" s="32" t="s">
        <v>62</v>
      </c>
      <c r="AA786" s="33">
        <f t="shared" si="4"/>
        <v>1</v>
      </c>
      <c r="AB786" s="34">
        <f>COUNTIFS(Links!B:B,"ICSE",Links!C:C,A786,Links!AD:AD,1)</f>
        <v>0</v>
      </c>
      <c r="AC786" s="35" t="s">
        <v>35</v>
      </c>
      <c r="AD786" s="27" t="str">
        <f t="shared" si="5"/>
        <v>No</v>
      </c>
      <c r="AE786" s="36" t="s">
        <v>36</v>
      </c>
      <c r="AF786" s="37" t="s">
        <v>42</v>
      </c>
      <c r="AG786" s="37" t="s">
        <v>42</v>
      </c>
      <c r="AH786" s="37" t="s">
        <v>42</v>
      </c>
      <c r="AI786" s="29" t="str">
        <f t="shared" si="661"/>
        <v>----</v>
      </c>
      <c r="AJ786" s="38" t="str">
        <f t="shared" si="7"/>
        <v>Paper has link but no statement</v>
      </c>
      <c r="AK786" s="39">
        <v>45022.0</v>
      </c>
      <c r="AL786" s="23" t="s">
        <v>43</v>
      </c>
      <c r="AM786" s="40" t="str">
        <f t="shared" si="8"/>
        <v>[IP0542]</v>
      </c>
    </row>
    <row r="787" ht="67.5" customHeight="1">
      <c r="A787" s="41">
        <v>543.0</v>
      </c>
      <c r="B787" s="42" t="s">
        <v>2111</v>
      </c>
      <c r="C787" s="43">
        <v>2021.0</v>
      </c>
      <c r="D787" s="44" t="s">
        <v>37</v>
      </c>
      <c r="E787" s="45" t="s">
        <v>37</v>
      </c>
      <c r="F787" s="45" t="s">
        <v>35</v>
      </c>
      <c r="G787" s="45" t="s">
        <v>37</v>
      </c>
      <c r="H787" s="45" t="s">
        <v>35</v>
      </c>
      <c r="I787" s="45" t="s">
        <v>35</v>
      </c>
      <c r="J787" s="46" t="s">
        <v>36</v>
      </c>
      <c r="K787" s="47" t="s">
        <v>37</v>
      </c>
      <c r="L787" s="48" t="s">
        <v>35</v>
      </c>
      <c r="M787" s="48" t="s">
        <v>37</v>
      </c>
      <c r="N787" s="48" t="s">
        <v>35</v>
      </c>
      <c r="O787" s="48" t="s">
        <v>35</v>
      </c>
      <c r="P787" s="48" t="s">
        <v>35</v>
      </c>
      <c r="Q787" s="48" t="s">
        <v>37</v>
      </c>
      <c r="R787" s="48" t="s">
        <v>35</v>
      </c>
      <c r="S787" s="49" t="s">
        <v>2112</v>
      </c>
      <c r="T787" s="51" t="s">
        <v>2113</v>
      </c>
      <c r="U787" s="51" t="s">
        <v>2113</v>
      </c>
      <c r="V787" s="52">
        <f t="shared" ref="V787:X787" si="793">IF(lenb(SUBSTITUTE($Z787,V$1&amp;" (1)",""))&lt;lenb($Z787),1,IF(lenb(SUBSTITUTE($Z787,V$1&amp;" (2)",""))&lt;lenb($Z787),2,IF(lenb(SUBSTITUTE($Z787,V$1&amp;" (3)",""))&lt;lenb($Z787),3,IF(lenb(SUBSTITUTE($Z787,V$1&amp;" (4)",""))&lt;lenb($Z787),4,IF(lenb(SUBSTITUTE($Z787,V$1&amp;" (5)",""))&lt;lenb($Z787),5,IF(lenb(SUBSTITUTE($Z787,V$1&amp;" (6)",""))&lt;lenb($Z787),6,IF(lenb(SUBSTITUTE($Z787,V$1&amp;" (7)",""))&lt;lenb($Z787),1,IF(lenb(SUBSTITUTE($Z787,V$1&amp;" (8)",""))&lt;lenb($Z787),8,IF(lenb(SUBSTITUTE($Z787,V$1&amp;" (9)",""))&lt;lenb($Z787),9,IF(lenb(SUBSTITUTE($Z787,V$1&amp;" (10)",""))&lt;lenb($Z787),10,IF(lenb(SUBSTITUTE($Z787,V$1,""))&lt;lenb($Z787),"ERROR",IF($Z787=$Y$1,"-",0))))))))))))</f>
        <v>2</v>
      </c>
      <c r="W787" s="52">
        <f t="shared" si="793"/>
        <v>0</v>
      </c>
      <c r="X787" s="52">
        <f t="shared" si="793"/>
        <v>0</v>
      </c>
      <c r="Y787" s="52" t="str">
        <f t="shared" si="3"/>
        <v>-</v>
      </c>
      <c r="Z787" s="52" t="s">
        <v>57</v>
      </c>
      <c r="AA787" s="53">
        <f t="shared" si="4"/>
        <v>2</v>
      </c>
      <c r="AB787" s="54">
        <f>COUNTIFS(Links!B:B,"ICSE",Links!C:C,A787,Links!AD:AD,1)</f>
        <v>0</v>
      </c>
      <c r="AC787" s="55" t="s">
        <v>37</v>
      </c>
      <c r="AD787" s="47" t="str">
        <f t="shared" si="5"/>
        <v>No</v>
      </c>
      <c r="AE787" s="56" t="s">
        <v>36</v>
      </c>
      <c r="AF787" s="57" t="s">
        <v>42</v>
      </c>
      <c r="AG787" s="57" t="s">
        <v>42</v>
      </c>
      <c r="AH787" s="57" t="s">
        <v>42</v>
      </c>
      <c r="AI787" s="49" t="str">
        <f t="shared" si="661"/>
        <v>----</v>
      </c>
      <c r="AJ787" s="58" t="str">
        <f t="shared" si="7"/>
        <v>Paper has link but no statement</v>
      </c>
      <c r="AK787" s="59">
        <v>45022.0</v>
      </c>
      <c r="AL787" s="43" t="s">
        <v>43</v>
      </c>
      <c r="AM787" s="60" t="str">
        <f t="shared" si="8"/>
        <v>[IP0543]</v>
      </c>
    </row>
    <row r="788" ht="67.5" customHeight="1">
      <c r="A788" s="61">
        <v>544.0</v>
      </c>
      <c r="B788" s="22" t="s">
        <v>2114</v>
      </c>
      <c r="C788" s="23">
        <v>2021.0</v>
      </c>
      <c r="D788" s="24" t="s">
        <v>37</v>
      </c>
      <c r="E788" s="25" t="s">
        <v>37</v>
      </c>
      <c r="F788" s="25" t="s">
        <v>35</v>
      </c>
      <c r="G788" s="25" t="s">
        <v>37</v>
      </c>
      <c r="H788" s="25" t="s">
        <v>35</v>
      </c>
      <c r="I788" s="25" t="s">
        <v>35</v>
      </c>
      <c r="J788" s="26" t="s">
        <v>36</v>
      </c>
      <c r="K788" s="27" t="s">
        <v>37</v>
      </c>
      <c r="L788" s="28" t="s">
        <v>35</v>
      </c>
      <c r="M788" s="28" t="s">
        <v>35</v>
      </c>
      <c r="N788" s="28" t="s">
        <v>37</v>
      </c>
      <c r="O788" s="28" t="s">
        <v>37</v>
      </c>
      <c r="P788" s="28" t="s">
        <v>37</v>
      </c>
      <c r="Q788" s="28" t="s">
        <v>35</v>
      </c>
      <c r="R788" s="28" t="s">
        <v>35</v>
      </c>
      <c r="S788" s="29" t="s">
        <v>2115</v>
      </c>
      <c r="T788" s="30" t="s">
        <v>2116</v>
      </c>
      <c r="U788" s="31" t="s">
        <v>2116</v>
      </c>
      <c r="V788" s="32">
        <f t="shared" ref="V788:X788" si="794">IF(lenb(SUBSTITUTE($Z788,V$1&amp;" (1)",""))&lt;lenb($Z788),1,IF(lenb(SUBSTITUTE($Z788,V$1&amp;" (2)",""))&lt;lenb($Z788),2,IF(lenb(SUBSTITUTE($Z788,V$1&amp;" (3)",""))&lt;lenb($Z788),3,IF(lenb(SUBSTITUTE($Z788,V$1&amp;" (4)",""))&lt;lenb($Z788),4,IF(lenb(SUBSTITUTE($Z788,V$1&amp;" (5)",""))&lt;lenb($Z788),5,IF(lenb(SUBSTITUTE($Z788,V$1&amp;" (6)",""))&lt;lenb($Z788),6,IF(lenb(SUBSTITUTE($Z788,V$1&amp;" (7)",""))&lt;lenb($Z788),1,IF(lenb(SUBSTITUTE($Z788,V$1&amp;" (8)",""))&lt;lenb($Z788),8,IF(lenb(SUBSTITUTE($Z788,V$1&amp;" (9)",""))&lt;lenb($Z788),9,IF(lenb(SUBSTITUTE($Z788,V$1&amp;" (10)",""))&lt;lenb($Z788),10,IF(lenb(SUBSTITUTE($Z788,V$1,""))&lt;lenb($Z788),"ERROR",IF($Z788=$Y$1,"-",0))))))))))))</f>
        <v>1</v>
      </c>
      <c r="W788" s="32">
        <f t="shared" si="794"/>
        <v>0</v>
      </c>
      <c r="X788" s="32">
        <f t="shared" si="794"/>
        <v>0</v>
      </c>
      <c r="Y788" s="32" t="str">
        <f t="shared" si="3"/>
        <v>-</v>
      </c>
      <c r="Z788" s="32" t="s">
        <v>62</v>
      </c>
      <c r="AA788" s="33">
        <f t="shared" si="4"/>
        <v>1</v>
      </c>
      <c r="AB788" s="34">
        <f>COUNTIFS(Links!B:B,"ICSE",Links!C:C,A788,Links!AD:AD,1)</f>
        <v>0</v>
      </c>
      <c r="AC788" s="35" t="s">
        <v>35</v>
      </c>
      <c r="AD788" s="27" t="str">
        <f t="shared" si="5"/>
        <v>No</v>
      </c>
      <c r="AE788" s="36" t="s">
        <v>36</v>
      </c>
      <c r="AF788" s="37" t="s">
        <v>42</v>
      </c>
      <c r="AG788" s="37" t="s">
        <v>42</v>
      </c>
      <c r="AH788" s="37" t="s">
        <v>42</v>
      </c>
      <c r="AI788" s="29" t="str">
        <f t="shared" si="661"/>
        <v>----</v>
      </c>
      <c r="AJ788" s="38" t="str">
        <f t="shared" si="7"/>
        <v>Paper has link but no statement</v>
      </c>
      <c r="AK788" s="39">
        <v>45022.0</v>
      </c>
      <c r="AL788" s="23" t="s">
        <v>43</v>
      </c>
      <c r="AM788" s="40" t="str">
        <f t="shared" si="8"/>
        <v>[IP0544]</v>
      </c>
    </row>
    <row r="789" ht="67.5" customHeight="1">
      <c r="A789" s="41">
        <v>545.0</v>
      </c>
      <c r="B789" s="42" t="s">
        <v>2117</v>
      </c>
      <c r="C789" s="43">
        <v>2021.0</v>
      </c>
      <c r="D789" s="44" t="s">
        <v>35</v>
      </c>
      <c r="E789" s="45" t="s">
        <v>36</v>
      </c>
      <c r="F789" s="45" t="s">
        <v>36</v>
      </c>
      <c r="G789" s="45" t="s">
        <v>36</v>
      </c>
      <c r="H789" s="45" t="s">
        <v>36</v>
      </c>
      <c r="I789" s="45" t="s">
        <v>36</v>
      </c>
      <c r="J789" s="46" t="s">
        <v>36</v>
      </c>
      <c r="K789" s="47" t="s">
        <v>37</v>
      </c>
      <c r="L789" s="48" t="s">
        <v>37</v>
      </c>
      <c r="M789" s="48" t="s">
        <v>35</v>
      </c>
      <c r="N789" s="48" t="s">
        <v>37</v>
      </c>
      <c r="O789" s="48" t="s">
        <v>35</v>
      </c>
      <c r="P789" s="48" t="s">
        <v>37</v>
      </c>
      <c r="Q789" s="48" t="s">
        <v>35</v>
      </c>
      <c r="R789" s="48" t="s">
        <v>35</v>
      </c>
      <c r="S789" s="49" t="s">
        <v>2118</v>
      </c>
      <c r="T789" s="50" t="s">
        <v>2119</v>
      </c>
      <c r="U789" s="51" t="s">
        <v>2119</v>
      </c>
      <c r="V789" s="52">
        <f t="shared" ref="V789:X789" si="795">IF(lenb(SUBSTITUTE($Z789,V$1&amp;" (1)",""))&lt;lenb($Z789),1,IF(lenb(SUBSTITUTE($Z789,V$1&amp;" (2)",""))&lt;lenb($Z789),2,IF(lenb(SUBSTITUTE($Z789,V$1&amp;" (3)",""))&lt;lenb($Z789),3,IF(lenb(SUBSTITUTE($Z789,V$1&amp;" (4)",""))&lt;lenb($Z789),4,IF(lenb(SUBSTITUTE($Z789,V$1&amp;" (5)",""))&lt;lenb($Z789),5,IF(lenb(SUBSTITUTE($Z789,V$1&amp;" (6)",""))&lt;lenb($Z789),6,IF(lenb(SUBSTITUTE($Z789,V$1&amp;" (7)",""))&lt;lenb($Z789),1,IF(lenb(SUBSTITUTE($Z789,V$1&amp;" (8)",""))&lt;lenb($Z789),8,IF(lenb(SUBSTITUTE($Z789,V$1&amp;" (9)",""))&lt;lenb($Z789),9,IF(lenb(SUBSTITUTE($Z789,V$1&amp;" (10)",""))&lt;lenb($Z789),10,IF(lenb(SUBSTITUTE($Z789,V$1,""))&lt;lenb($Z789),"ERROR",IF($Z789=$Y$1,"-",0))))))))))))</f>
        <v>1</v>
      </c>
      <c r="W789" s="52">
        <f t="shared" si="795"/>
        <v>0</v>
      </c>
      <c r="X789" s="52">
        <f t="shared" si="795"/>
        <v>0</v>
      </c>
      <c r="Y789" s="52" t="str">
        <f t="shared" si="3"/>
        <v>-</v>
      </c>
      <c r="Z789" s="52" t="s">
        <v>62</v>
      </c>
      <c r="AA789" s="53">
        <f t="shared" si="4"/>
        <v>1</v>
      </c>
      <c r="AB789" s="54">
        <f>COUNTIFS(Links!B:B,"ICSE",Links!C:C,A789,Links!AD:AD,1)</f>
        <v>0</v>
      </c>
      <c r="AC789" s="55" t="s">
        <v>35</v>
      </c>
      <c r="AD789" s="47" t="str">
        <f t="shared" si="5"/>
        <v>No</v>
      </c>
      <c r="AE789" s="56" t="s">
        <v>36</v>
      </c>
      <c r="AF789" s="57" t="s">
        <v>42</v>
      </c>
      <c r="AG789" s="57" t="s">
        <v>42</v>
      </c>
      <c r="AH789" s="57" t="s">
        <v>42</v>
      </c>
      <c r="AI789" s="49" t="str">
        <f t="shared" si="661"/>
        <v>----</v>
      </c>
      <c r="AJ789" s="58" t="str">
        <f t="shared" si="7"/>
        <v>Paper has link but no statement</v>
      </c>
      <c r="AK789" s="59">
        <v>45022.0</v>
      </c>
      <c r="AL789" s="43" t="s">
        <v>43</v>
      </c>
      <c r="AM789" s="60" t="str">
        <f t="shared" si="8"/>
        <v>[IP0545]</v>
      </c>
    </row>
    <row r="790" ht="67.5" customHeight="1">
      <c r="A790" s="61">
        <v>546.0</v>
      </c>
      <c r="B790" s="22" t="s">
        <v>2120</v>
      </c>
      <c r="C790" s="23">
        <v>2021.0</v>
      </c>
      <c r="D790" s="24" t="s">
        <v>35</v>
      </c>
      <c r="E790" s="25" t="s">
        <v>36</v>
      </c>
      <c r="F790" s="25" t="s">
        <v>36</v>
      </c>
      <c r="G790" s="25" t="s">
        <v>36</v>
      </c>
      <c r="H790" s="25" t="s">
        <v>36</v>
      </c>
      <c r="I790" s="25" t="s">
        <v>36</v>
      </c>
      <c r="J790" s="26" t="s">
        <v>36</v>
      </c>
      <c r="K790" s="27" t="s">
        <v>37</v>
      </c>
      <c r="L790" s="28" t="s">
        <v>35</v>
      </c>
      <c r="M790" s="28" t="s">
        <v>37</v>
      </c>
      <c r="N790" s="28" t="s">
        <v>37</v>
      </c>
      <c r="O790" s="28" t="s">
        <v>35</v>
      </c>
      <c r="P790" s="28" t="s">
        <v>35</v>
      </c>
      <c r="Q790" s="28" t="s">
        <v>35</v>
      </c>
      <c r="R790" s="28" t="s">
        <v>37</v>
      </c>
      <c r="S790" s="29" t="s">
        <v>2121</v>
      </c>
      <c r="T790" s="30" t="s">
        <v>2122</v>
      </c>
      <c r="U790" s="31" t="s">
        <v>2122</v>
      </c>
      <c r="V790" s="32">
        <f t="shared" ref="V790:X790" si="796">IF(lenb(SUBSTITUTE($Z790,V$1&amp;" (1)",""))&lt;lenb($Z790),1,IF(lenb(SUBSTITUTE($Z790,V$1&amp;" (2)",""))&lt;lenb($Z790),2,IF(lenb(SUBSTITUTE($Z790,V$1&amp;" (3)",""))&lt;lenb($Z790),3,IF(lenb(SUBSTITUTE($Z790,V$1&amp;" (4)",""))&lt;lenb($Z790),4,IF(lenb(SUBSTITUTE($Z790,V$1&amp;" (5)",""))&lt;lenb($Z790),5,IF(lenb(SUBSTITUTE($Z790,V$1&amp;" (6)",""))&lt;lenb($Z790),6,IF(lenb(SUBSTITUTE($Z790,V$1&amp;" (7)",""))&lt;lenb($Z790),1,IF(lenb(SUBSTITUTE($Z790,V$1&amp;" (8)",""))&lt;lenb($Z790),8,IF(lenb(SUBSTITUTE($Z790,V$1&amp;" (9)",""))&lt;lenb($Z790),9,IF(lenb(SUBSTITUTE($Z790,V$1&amp;" (10)",""))&lt;lenb($Z790),10,IF(lenb(SUBSTITUTE($Z790,V$1,""))&lt;lenb($Z790),"ERROR",IF($Z790=$Y$1,"-",0))))))))))))</f>
        <v>1</v>
      </c>
      <c r="W790" s="32">
        <f t="shared" si="796"/>
        <v>0</v>
      </c>
      <c r="X790" s="32">
        <f t="shared" si="796"/>
        <v>0</v>
      </c>
      <c r="Y790" s="32" t="str">
        <f t="shared" si="3"/>
        <v>-</v>
      </c>
      <c r="Z790" s="32" t="s">
        <v>62</v>
      </c>
      <c r="AA790" s="33">
        <f t="shared" si="4"/>
        <v>1</v>
      </c>
      <c r="AB790" s="34">
        <f>COUNTIFS(Links!B:B,"ICSE",Links!C:C,A790,Links!AD:AD,1)</f>
        <v>0</v>
      </c>
      <c r="AC790" s="35" t="s">
        <v>37</v>
      </c>
      <c r="AD790" s="27" t="str">
        <f t="shared" si="5"/>
        <v>No</v>
      </c>
      <c r="AE790" s="36" t="s">
        <v>36</v>
      </c>
      <c r="AF790" s="37" t="s">
        <v>42</v>
      </c>
      <c r="AG790" s="37" t="s">
        <v>42</v>
      </c>
      <c r="AH790" s="37" t="s">
        <v>42</v>
      </c>
      <c r="AI790" s="29" t="str">
        <f t="shared" si="661"/>
        <v>----</v>
      </c>
      <c r="AJ790" s="38" t="str">
        <f t="shared" si="7"/>
        <v>Paper has link but no statement</v>
      </c>
      <c r="AK790" s="39">
        <v>45022.0</v>
      </c>
      <c r="AL790" s="23" t="s">
        <v>43</v>
      </c>
      <c r="AM790" s="40" t="str">
        <f t="shared" si="8"/>
        <v>[IP0546]</v>
      </c>
    </row>
    <row r="791" ht="67.5" customHeight="1">
      <c r="A791" s="41">
        <v>547.0</v>
      </c>
      <c r="B791" s="42" t="s">
        <v>2123</v>
      </c>
      <c r="C791" s="43">
        <v>2021.0</v>
      </c>
      <c r="D791" s="44" t="s">
        <v>35</v>
      </c>
      <c r="E791" s="45" t="s">
        <v>36</v>
      </c>
      <c r="F791" s="45" t="s">
        <v>36</v>
      </c>
      <c r="G791" s="45" t="s">
        <v>36</v>
      </c>
      <c r="H791" s="45" t="s">
        <v>36</v>
      </c>
      <c r="I791" s="45" t="s">
        <v>36</v>
      </c>
      <c r="J791" s="46" t="s">
        <v>36</v>
      </c>
      <c r="K791" s="47" t="s">
        <v>37</v>
      </c>
      <c r="L791" s="48" t="s">
        <v>35</v>
      </c>
      <c r="M791" s="48" t="s">
        <v>35</v>
      </c>
      <c r="N791" s="48" t="s">
        <v>35</v>
      </c>
      <c r="O791" s="48" t="s">
        <v>35</v>
      </c>
      <c r="P791" s="48" t="s">
        <v>35</v>
      </c>
      <c r="Q791" s="48" t="s">
        <v>35</v>
      </c>
      <c r="R791" s="48" t="s">
        <v>37</v>
      </c>
      <c r="S791" s="49" t="s">
        <v>2124</v>
      </c>
      <c r="T791" s="50" t="s">
        <v>2125</v>
      </c>
      <c r="U791" s="51" t="s">
        <v>2125</v>
      </c>
      <c r="V791" s="52">
        <f t="shared" ref="V791:X791" si="797">IF(lenb(SUBSTITUTE($Z791,V$1&amp;" (1)",""))&lt;lenb($Z791),1,IF(lenb(SUBSTITUTE($Z791,V$1&amp;" (2)",""))&lt;lenb($Z791),2,IF(lenb(SUBSTITUTE($Z791,V$1&amp;" (3)",""))&lt;lenb($Z791),3,IF(lenb(SUBSTITUTE($Z791,V$1&amp;" (4)",""))&lt;lenb($Z791),4,IF(lenb(SUBSTITUTE($Z791,V$1&amp;" (5)",""))&lt;lenb($Z791),5,IF(lenb(SUBSTITUTE($Z791,V$1&amp;" (6)",""))&lt;lenb($Z791),6,IF(lenb(SUBSTITUTE($Z791,V$1&amp;" (7)",""))&lt;lenb($Z791),1,IF(lenb(SUBSTITUTE($Z791,V$1&amp;" (8)",""))&lt;lenb($Z791),8,IF(lenb(SUBSTITUTE($Z791,V$1&amp;" (9)",""))&lt;lenb($Z791),9,IF(lenb(SUBSTITUTE($Z791,V$1&amp;" (10)",""))&lt;lenb($Z791),10,IF(lenb(SUBSTITUTE($Z791,V$1,""))&lt;lenb($Z791),"ERROR",IF($Z791=$Y$1,"-",0))))))))))))</f>
        <v>1</v>
      </c>
      <c r="W791" s="52">
        <f t="shared" si="797"/>
        <v>0</v>
      </c>
      <c r="X791" s="52">
        <f t="shared" si="797"/>
        <v>0</v>
      </c>
      <c r="Y791" s="52" t="str">
        <f t="shared" si="3"/>
        <v>-</v>
      </c>
      <c r="Z791" s="52" t="s">
        <v>62</v>
      </c>
      <c r="AA791" s="53">
        <f t="shared" si="4"/>
        <v>1</v>
      </c>
      <c r="AB791" s="54">
        <f>COUNTIFS(Links!B:B,"ICSE",Links!C:C,A791,Links!AD:AD,1)</f>
        <v>0</v>
      </c>
      <c r="AC791" s="55" t="s">
        <v>35</v>
      </c>
      <c r="AD791" s="47" t="str">
        <f t="shared" si="5"/>
        <v>No</v>
      </c>
      <c r="AE791" s="56" t="s">
        <v>36</v>
      </c>
      <c r="AF791" s="57" t="s">
        <v>42</v>
      </c>
      <c r="AG791" s="57" t="s">
        <v>42</v>
      </c>
      <c r="AH791" s="57" t="s">
        <v>42</v>
      </c>
      <c r="AI791" s="49" t="str">
        <f t="shared" si="661"/>
        <v>----</v>
      </c>
      <c r="AJ791" s="58" t="str">
        <f t="shared" si="7"/>
        <v>Paper has link but no statement</v>
      </c>
      <c r="AK791" s="59">
        <v>45022.0</v>
      </c>
      <c r="AL791" s="43" t="s">
        <v>43</v>
      </c>
      <c r="AM791" s="60" t="str">
        <f t="shared" si="8"/>
        <v>[IP0547]</v>
      </c>
    </row>
    <row r="792" ht="67.5" customHeight="1">
      <c r="A792" s="61">
        <v>548.0</v>
      </c>
      <c r="B792" s="22" t="s">
        <v>2126</v>
      </c>
      <c r="C792" s="23">
        <v>2021.0</v>
      </c>
      <c r="D792" s="24" t="s">
        <v>35</v>
      </c>
      <c r="E792" s="25" t="s">
        <v>36</v>
      </c>
      <c r="F792" s="25" t="s">
        <v>36</v>
      </c>
      <c r="G792" s="25" t="s">
        <v>36</v>
      </c>
      <c r="H792" s="25" t="s">
        <v>36</v>
      </c>
      <c r="I792" s="25" t="s">
        <v>36</v>
      </c>
      <c r="J792" s="26" t="s">
        <v>36</v>
      </c>
      <c r="K792" s="27" t="s">
        <v>37</v>
      </c>
      <c r="L792" s="28" t="s">
        <v>35</v>
      </c>
      <c r="M792" s="28" t="s">
        <v>35</v>
      </c>
      <c r="N792" s="28" t="s">
        <v>35</v>
      </c>
      <c r="O792" s="28" t="s">
        <v>35</v>
      </c>
      <c r="P792" s="28" t="s">
        <v>35</v>
      </c>
      <c r="Q792" s="28" t="s">
        <v>35</v>
      </c>
      <c r="R792" s="28" t="s">
        <v>37</v>
      </c>
      <c r="S792" s="29" t="s">
        <v>2127</v>
      </c>
      <c r="T792" s="30" t="s">
        <v>2128</v>
      </c>
      <c r="U792" s="31" t="s">
        <v>2128</v>
      </c>
      <c r="V792" s="32">
        <f t="shared" ref="V792:X792" si="798">IF(lenb(SUBSTITUTE($Z792,V$1&amp;" (1)",""))&lt;lenb($Z792),1,IF(lenb(SUBSTITUTE($Z792,V$1&amp;" (2)",""))&lt;lenb($Z792),2,IF(lenb(SUBSTITUTE($Z792,V$1&amp;" (3)",""))&lt;lenb($Z792),3,IF(lenb(SUBSTITUTE($Z792,V$1&amp;" (4)",""))&lt;lenb($Z792),4,IF(lenb(SUBSTITUTE($Z792,V$1&amp;" (5)",""))&lt;lenb($Z792),5,IF(lenb(SUBSTITUTE($Z792,V$1&amp;" (6)",""))&lt;lenb($Z792),6,IF(lenb(SUBSTITUTE($Z792,V$1&amp;" (7)",""))&lt;lenb($Z792),1,IF(lenb(SUBSTITUTE($Z792,V$1&amp;" (8)",""))&lt;lenb($Z792),8,IF(lenb(SUBSTITUTE($Z792,V$1&amp;" (9)",""))&lt;lenb($Z792),9,IF(lenb(SUBSTITUTE($Z792,V$1&amp;" (10)",""))&lt;lenb($Z792),10,IF(lenb(SUBSTITUTE($Z792,V$1,""))&lt;lenb($Z792),"ERROR",IF($Z792=$Y$1,"-",0))))))))))))</f>
        <v>1</v>
      </c>
      <c r="W792" s="32">
        <f t="shared" si="798"/>
        <v>0</v>
      </c>
      <c r="X792" s="32">
        <f t="shared" si="798"/>
        <v>0</v>
      </c>
      <c r="Y792" s="32" t="str">
        <f t="shared" si="3"/>
        <v>-</v>
      </c>
      <c r="Z792" s="32" t="s">
        <v>62</v>
      </c>
      <c r="AA792" s="33">
        <f t="shared" si="4"/>
        <v>1</v>
      </c>
      <c r="AB792" s="34">
        <f>COUNTIFS(Links!B:B,"ICSE",Links!C:C,A792,Links!AD:AD,1)</f>
        <v>0</v>
      </c>
      <c r="AC792" s="35" t="s">
        <v>35</v>
      </c>
      <c r="AD792" s="27" t="str">
        <f t="shared" si="5"/>
        <v>No</v>
      </c>
      <c r="AE792" s="36" t="s">
        <v>36</v>
      </c>
      <c r="AF792" s="37" t="s">
        <v>42</v>
      </c>
      <c r="AG792" s="37" t="s">
        <v>42</v>
      </c>
      <c r="AH792" s="37" t="s">
        <v>42</v>
      </c>
      <c r="AI792" s="29" t="str">
        <f t="shared" si="661"/>
        <v>----</v>
      </c>
      <c r="AJ792" s="38" t="str">
        <f t="shared" si="7"/>
        <v>Paper has link but no statement</v>
      </c>
      <c r="AK792" s="39">
        <v>45022.0</v>
      </c>
      <c r="AL792" s="23" t="s">
        <v>43</v>
      </c>
      <c r="AM792" s="40" t="str">
        <f t="shared" si="8"/>
        <v>[IP0548]</v>
      </c>
    </row>
    <row r="793" ht="67.5" customHeight="1">
      <c r="A793" s="41">
        <v>549.0</v>
      </c>
      <c r="B793" s="42" t="s">
        <v>2129</v>
      </c>
      <c r="C793" s="43">
        <v>2021.0</v>
      </c>
      <c r="D793" s="44" t="s">
        <v>35</v>
      </c>
      <c r="E793" s="45" t="s">
        <v>36</v>
      </c>
      <c r="F793" s="45" t="s">
        <v>36</v>
      </c>
      <c r="G793" s="45" t="s">
        <v>36</v>
      </c>
      <c r="H793" s="45" t="s">
        <v>36</v>
      </c>
      <c r="I793" s="45" t="s">
        <v>36</v>
      </c>
      <c r="J793" s="46" t="s">
        <v>36</v>
      </c>
      <c r="K793" s="47" t="s">
        <v>35</v>
      </c>
      <c r="L793" s="48" t="s">
        <v>36</v>
      </c>
      <c r="M793" s="48" t="s">
        <v>36</v>
      </c>
      <c r="N793" s="48" t="s">
        <v>36</v>
      </c>
      <c r="O793" s="48" t="s">
        <v>36</v>
      </c>
      <c r="P793" s="48" t="s">
        <v>36</v>
      </c>
      <c r="Q793" s="48" t="s">
        <v>36</v>
      </c>
      <c r="R793" s="48" t="s">
        <v>36</v>
      </c>
      <c r="S793" s="49" t="s">
        <v>36</v>
      </c>
      <c r="T793" s="50" t="s">
        <v>36</v>
      </c>
      <c r="U793" s="51" t="s">
        <v>36</v>
      </c>
      <c r="V793" s="52" t="str">
        <f t="shared" ref="V793:X793" si="799">IF(lenb(SUBSTITUTE($Z793,V$1&amp;" (1)",""))&lt;lenb($Z793),1,IF(lenb(SUBSTITUTE($Z793,V$1&amp;" (2)",""))&lt;lenb($Z793),2,IF(lenb(SUBSTITUTE($Z793,V$1&amp;" (3)",""))&lt;lenb($Z793),3,IF(lenb(SUBSTITUTE($Z793,V$1&amp;" (4)",""))&lt;lenb($Z793),4,IF(lenb(SUBSTITUTE($Z793,V$1&amp;" (5)",""))&lt;lenb($Z793),5,IF(lenb(SUBSTITUTE($Z793,V$1&amp;" (6)",""))&lt;lenb($Z793),6,IF(lenb(SUBSTITUTE($Z793,V$1&amp;" (7)",""))&lt;lenb($Z793),1,IF(lenb(SUBSTITUTE($Z793,V$1&amp;" (8)",""))&lt;lenb($Z793),8,IF(lenb(SUBSTITUTE($Z793,V$1&amp;" (9)",""))&lt;lenb($Z793),9,IF(lenb(SUBSTITUTE($Z793,V$1&amp;" (10)",""))&lt;lenb($Z793),10,IF(lenb(SUBSTITUTE($Z793,V$1,""))&lt;lenb($Z793),"ERROR",IF($Z793=$Y$1,"-",0))))))))))))</f>
        <v>-</v>
      </c>
      <c r="W793" s="52" t="str">
        <f t="shared" si="799"/>
        <v>-</v>
      </c>
      <c r="X793" s="52" t="str">
        <f t="shared" si="799"/>
        <v>-</v>
      </c>
      <c r="Y793" s="52">
        <f t="shared" si="3"/>
        <v>1</v>
      </c>
      <c r="Z793" s="52" t="s">
        <v>23</v>
      </c>
      <c r="AA793" s="53">
        <f t="shared" si="4"/>
        <v>0</v>
      </c>
      <c r="AB793" s="54">
        <f>COUNTIFS(Links!B:B,"ICSE",Links!C:C,A793,Links!AD:AD,1)</f>
        <v>0</v>
      </c>
      <c r="AC793" s="55" t="s">
        <v>36</v>
      </c>
      <c r="AD793" s="47" t="str">
        <f t="shared" si="5"/>
        <v>No</v>
      </c>
      <c r="AE793" s="56" t="s">
        <v>36</v>
      </c>
      <c r="AF793" s="57" t="s">
        <v>42</v>
      </c>
      <c r="AG793" s="57" t="s">
        <v>42</v>
      </c>
      <c r="AH793" s="57" t="s">
        <v>42</v>
      </c>
      <c r="AI793" s="49" t="str">
        <f t="shared" si="661"/>
        <v>----</v>
      </c>
      <c r="AJ793" s="58" t="str">
        <f t="shared" si="7"/>
        <v>Paper has no link and no statement</v>
      </c>
      <c r="AK793" s="59">
        <v>45022.0</v>
      </c>
      <c r="AL793" s="43" t="s">
        <v>43</v>
      </c>
      <c r="AM793" s="60" t="str">
        <f t="shared" si="8"/>
        <v>[IP0549]</v>
      </c>
    </row>
    <row r="794" ht="67.5" customHeight="1">
      <c r="A794" s="61">
        <v>550.0</v>
      </c>
      <c r="B794" s="22" t="s">
        <v>2130</v>
      </c>
      <c r="C794" s="23">
        <v>2021.0</v>
      </c>
      <c r="D794" s="24" t="s">
        <v>37</v>
      </c>
      <c r="E794" s="25" t="s">
        <v>35</v>
      </c>
      <c r="F794" s="25" t="s">
        <v>35</v>
      </c>
      <c r="G794" s="25" t="s">
        <v>37</v>
      </c>
      <c r="H794" s="25" t="s">
        <v>35</v>
      </c>
      <c r="I794" s="25" t="s">
        <v>35</v>
      </c>
      <c r="J794" s="26" t="s">
        <v>36</v>
      </c>
      <c r="K794" s="27" t="s">
        <v>37</v>
      </c>
      <c r="L794" s="28" t="s">
        <v>35</v>
      </c>
      <c r="M794" s="28" t="s">
        <v>37</v>
      </c>
      <c r="N794" s="28" t="s">
        <v>35</v>
      </c>
      <c r="O794" s="28" t="s">
        <v>35</v>
      </c>
      <c r="P794" s="28" t="s">
        <v>35</v>
      </c>
      <c r="Q794" s="28" t="s">
        <v>35</v>
      </c>
      <c r="R794" s="28" t="s">
        <v>37</v>
      </c>
      <c r="S794" s="29" t="s">
        <v>2131</v>
      </c>
      <c r="T794" s="30" t="s">
        <v>2132</v>
      </c>
      <c r="U794" s="31" t="s">
        <v>2132</v>
      </c>
      <c r="V794" s="32">
        <f t="shared" ref="V794:X794" si="800">IF(lenb(SUBSTITUTE($Z794,V$1&amp;" (1)",""))&lt;lenb($Z794),1,IF(lenb(SUBSTITUTE($Z794,V$1&amp;" (2)",""))&lt;lenb($Z794),2,IF(lenb(SUBSTITUTE($Z794,V$1&amp;" (3)",""))&lt;lenb($Z794),3,IF(lenb(SUBSTITUTE($Z794,V$1&amp;" (4)",""))&lt;lenb($Z794),4,IF(lenb(SUBSTITUTE($Z794,V$1&amp;" (5)",""))&lt;lenb($Z794),5,IF(lenb(SUBSTITUTE($Z794,V$1&amp;" (6)",""))&lt;lenb($Z794),6,IF(lenb(SUBSTITUTE($Z794,V$1&amp;" (7)",""))&lt;lenb($Z794),1,IF(lenb(SUBSTITUTE($Z794,V$1&amp;" (8)",""))&lt;lenb($Z794),8,IF(lenb(SUBSTITUTE($Z794,V$1&amp;" (9)",""))&lt;lenb($Z794),9,IF(lenb(SUBSTITUTE($Z794,V$1&amp;" (10)",""))&lt;lenb($Z794),10,IF(lenb(SUBSTITUTE($Z794,V$1,""))&lt;lenb($Z794),"ERROR",IF($Z794=$Y$1,"-",0))))))))))))</f>
        <v>1</v>
      </c>
      <c r="W794" s="32">
        <f t="shared" si="800"/>
        <v>0</v>
      </c>
      <c r="X794" s="32">
        <f t="shared" si="800"/>
        <v>0</v>
      </c>
      <c r="Y794" s="32" t="str">
        <f t="shared" si="3"/>
        <v>-</v>
      </c>
      <c r="Z794" s="32" t="s">
        <v>62</v>
      </c>
      <c r="AA794" s="33">
        <f t="shared" si="4"/>
        <v>1</v>
      </c>
      <c r="AB794" s="34">
        <f>COUNTIFS(Links!B:B,"ICSE",Links!C:C,A794,Links!AD:AD,1)</f>
        <v>0</v>
      </c>
      <c r="AC794" s="35" t="s">
        <v>35</v>
      </c>
      <c r="AD794" s="27" t="str">
        <f t="shared" si="5"/>
        <v>No</v>
      </c>
      <c r="AE794" s="36" t="s">
        <v>36</v>
      </c>
      <c r="AF794" s="37" t="s">
        <v>42</v>
      </c>
      <c r="AG794" s="37" t="s">
        <v>42</v>
      </c>
      <c r="AH794" s="37" t="s">
        <v>42</v>
      </c>
      <c r="AI794" s="29" t="str">
        <f t="shared" si="661"/>
        <v>----</v>
      </c>
      <c r="AJ794" s="38" t="str">
        <f t="shared" si="7"/>
        <v>Paper has link but no statement</v>
      </c>
      <c r="AK794" s="39">
        <v>45022.0</v>
      </c>
      <c r="AL794" s="23" t="s">
        <v>43</v>
      </c>
      <c r="AM794" s="40" t="str">
        <f t="shared" si="8"/>
        <v>[IP0550]</v>
      </c>
    </row>
    <row r="795" ht="67.5" customHeight="1">
      <c r="A795" s="41">
        <v>551.0</v>
      </c>
      <c r="B795" s="42" t="s">
        <v>2133</v>
      </c>
      <c r="C795" s="43">
        <v>2021.0</v>
      </c>
      <c r="D795" s="44" t="s">
        <v>37</v>
      </c>
      <c r="E795" s="45" t="s">
        <v>37</v>
      </c>
      <c r="F795" s="45" t="s">
        <v>35</v>
      </c>
      <c r="G795" s="45" t="s">
        <v>37</v>
      </c>
      <c r="H795" s="45" t="s">
        <v>35</v>
      </c>
      <c r="I795" s="45" t="s">
        <v>35</v>
      </c>
      <c r="J795" s="46" t="s">
        <v>36</v>
      </c>
      <c r="K795" s="47" t="s">
        <v>37</v>
      </c>
      <c r="L795" s="48" t="s">
        <v>35</v>
      </c>
      <c r="M795" s="48" t="s">
        <v>37</v>
      </c>
      <c r="N795" s="48" t="s">
        <v>37</v>
      </c>
      <c r="O795" s="48" t="s">
        <v>35</v>
      </c>
      <c r="P795" s="48" t="s">
        <v>35</v>
      </c>
      <c r="Q795" s="48" t="s">
        <v>35</v>
      </c>
      <c r="R795" s="48" t="s">
        <v>37</v>
      </c>
      <c r="S795" s="49" t="s">
        <v>2134</v>
      </c>
      <c r="T795" s="50" t="s">
        <v>2135</v>
      </c>
      <c r="U795" s="51" t="s">
        <v>2135</v>
      </c>
      <c r="V795" s="52">
        <f t="shared" ref="V795:X795" si="801">IF(lenb(SUBSTITUTE($Z795,V$1&amp;" (1)",""))&lt;lenb($Z795),1,IF(lenb(SUBSTITUTE($Z795,V$1&amp;" (2)",""))&lt;lenb($Z795),2,IF(lenb(SUBSTITUTE($Z795,V$1&amp;" (3)",""))&lt;lenb($Z795),3,IF(lenb(SUBSTITUTE($Z795,V$1&amp;" (4)",""))&lt;lenb($Z795),4,IF(lenb(SUBSTITUTE($Z795,V$1&amp;" (5)",""))&lt;lenb($Z795),5,IF(lenb(SUBSTITUTE($Z795,V$1&amp;" (6)",""))&lt;lenb($Z795),6,IF(lenb(SUBSTITUTE($Z795,V$1&amp;" (7)",""))&lt;lenb($Z795),1,IF(lenb(SUBSTITUTE($Z795,V$1&amp;" (8)",""))&lt;lenb($Z795),8,IF(lenb(SUBSTITUTE($Z795,V$1&amp;" (9)",""))&lt;lenb($Z795),9,IF(lenb(SUBSTITUTE($Z795,V$1&amp;" (10)",""))&lt;lenb($Z795),10,IF(lenb(SUBSTITUTE($Z795,V$1,""))&lt;lenb($Z795),"ERROR",IF($Z795=$Y$1,"-",0))))))))))))</f>
        <v>1</v>
      </c>
      <c r="W795" s="52">
        <f t="shared" si="801"/>
        <v>0</v>
      </c>
      <c r="X795" s="52">
        <f t="shared" si="801"/>
        <v>0</v>
      </c>
      <c r="Y795" s="52" t="str">
        <f t="shared" si="3"/>
        <v>-</v>
      </c>
      <c r="Z795" s="52" t="s">
        <v>62</v>
      </c>
      <c r="AA795" s="53">
        <f t="shared" si="4"/>
        <v>1</v>
      </c>
      <c r="AB795" s="54">
        <f>COUNTIFS(Links!B:B,"ICSE",Links!C:C,A795,Links!AD:AD,1)</f>
        <v>0</v>
      </c>
      <c r="AC795" s="55" t="s">
        <v>35</v>
      </c>
      <c r="AD795" s="47" t="str">
        <f t="shared" si="5"/>
        <v>No</v>
      </c>
      <c r="AE795" s="56" t="s">
        <v>36</v>
      </c>
      <c r="AF795" s="57" t="s">
        <v>42</v>
      </c>
      <c r="AG795" s="57" t="s">
        <v>42</v>
      </c>
      <c r="AH795" s="57" t="s">
        <v>42</v>
      </c>
      <c r="AI795" s="49" t="str">
        <f t="shared" si="661"/>
        <v>----</v>
      </c>
      <c r="AJ795" s="58" t="str">
        <f t="shared" si="7"/>
        <v>Paper has link but no statement</v>
      </c>
      <c r="AK795" s="59">
        <v>45022.0</v>
      </c>
      <c r="AL795" s="43" t="s">
        <v>43</v>
      </c>
      <c r="AM795" s="60" t="str">
        <f t="shared" si="8"/>
        <v>[IP0551]</v>
      </c>
    </row>
    <row r="796" ht="67.5" customHeight="1">
      <c r="A796" s="61">
        <v>552.0</v>
      </c>
      <c r="B796" s="22" t="s">
        <v>2136</v>
      </c>
      <c r="C796" s="23">
        <v>2021.0</v>
      </c>
      <c r="D796" s="24" t="s">
        <v>35</v>
      </c>
      <c r="E796" s="25" t="s">
        <v>36</v>
      </c>
      <c r="F796" s="25" t="s">
        <v>36</v>
      </c>
      <c r="G796" s="25" t="s">
        <v>36</v>
      </c>
      <c r="H796" s="25" t="s">
        <v>36</v>
      </c>
      <c r="I796" s="25" t="s">
        <v>36</v>
      </c>
      <c r="J796" s="26" t="s">
        <v>36</v>
      </c>
      <c r="K796" s="27" t="s">
        <v>35</v>
      </c>
      <c r="L796" s="28" t="s">
        <v>36</v>
      </c>
      <c r="M796" s="28" t="s">
        <v>36</v>
      </c>
      <c r="N796" s="28" t="s">
        <v>36</v>
      </c>
      <c r="O796" s="28" t="s">
        <v>36</v>
      </c>
      <c r="P796" s="28" t="s">
        <v>36</v>
      </c>
      <c r="Q796" s="28" t="s">
        <v>36</v>
      </c>
      <c r="R796" s="28" t="s">
        <v>36</v>
      </c>
      <c r="S796" s="29" t="s">
        <v>36</v>
      </c>
      <c r="T796" s="30" t="s">
        <v>36</v>
      </c>
      <c r="U796" s="31" t="s">
        <v>36</v>
      </c>
      <c r="V796" s="32" t="str">
        <f t="shared" ref="V796:X796" si="802">IF(lenb(SUBSTITUTE($Z796,V$1&amp;" (1)",""))&lt;lenb($Z796),1,IF(lenb(SUBSTITUTE($Z796,V$1&amp;" (2)",""))&lt;lenb($Z796),2,IF(lenb(SUBSTITUTE($Z796,V$1&amp;" (3)",""))&lt;lenb($Z796),3,IF(lenb(SUBSTITUTE($Z796,V$1&amp;" (4)",""))&lt;lenb($Z796),4,IF(lenb(SUBSTITUTE($Z796,V$1&amp;" (5)",""))&lt;lenb($Z796),5,IF(lenb(SUBSTITUTE($Z796,V$1&amp;" (6)",""))&lt;lenb($Z796),6,IF(lenb(SUBSTITUTE($Z796,V$1&amp;" (7)",""))&lt;lenb($Z796),1,IF(lenb(SUBSTITUTE($Z796,V$1&amp;" (8)",""))&lt;lenb($Z796),8,IF(lenb(SUBSTITUTE($Z796,V$1&amp;" (9)",""))&lt;lenb($Z796),9,IF(lenb(SUBSTITUTE($Z796,V$1&amp;" (10)",""))&lt;lenb($Z796),10,IF(lenb(SUBSTITUTE($Z796,V$1,""))&lt;lenb($Z796),"ERROR",IF($Z796=$Y$1,"-",0))))))))))))</f>
        <v>-</v>
      </c>
      <c r="W796" s="32" t="str">
        <f t="shared" si="802"/>
        <v>-</v>
      </c>
      <c r="X796" s="32" t="str">
        <f t="shared" si="802"/>
        <v>-</v>
      </c>
      <c r="Y796" s="32">
        <f t="shared" si="3"/>
        <v>1</v>
      </c>
      <c r="Z796" s="32" t="s">
        <v>23</v>
      </c>
      <c r="AA796" s="33">
        <f t="shared" si="4"/>
        <v>0</v>
      </c>
      <c r="AB796" s="34">
        <f>COUNTIFS(Links!B:B,"ICSE",Links!C:C,A796,Links!AD:AD,1)</f>
        <v>0</v>
      </c>
      <c r="AC796" s="35" t="s">
        <v>36</v>
      </c>
      <c r="AD796" s="27" t="str">
        <f t="shared" si="5"/>
        <v>Yes</v>
      </c>
      <c r="AE796" s="36" t="s">
        <v>2137</v>
      </c>
      <c r="AF796" s="36" t="s">
        <v>2138</v>
      </c>
      <c r="AG796" s="37" t="s">
        <v>42</v>
      </c>
      <c r="AH796" s="37" t="s">
        <v>42</v>
      </c>
      <c r="AI796" s="29" t="str">
        <f t="shared" si="661"/>
        <v>No reason (—)</v>
      </c>
      <c r="AJ796" s="38" t="str">
        <f t="shared" si="7"/>
        <v>Paper has no link but has statement</v>
      </c>
      <c r="AK796" s="39">
        <v>45022.0</v>
      </c>
      <c r="AL796" s="23" t="s">
        <v>43</v>
      </c>
      <c r="AM796" s="40" t="str">
        <f t="shared" si="8"/>
        <v>[IP0552]</v>
      </c>
    </row>
    <row r="797" ht="67.5" customHeight="1">
      <c r="A797" s="41">
        <v>553.0</v>
      </c>
      <c r="B797" s="42" t="s">
        <v>2139</v>
      </c>
      <c r="C797" s="43">
        <v>2021.0</v>
      </c>
      <c r="D797" s="44" t="s">
        <v>35</v>
      </c>
      <c r="E797" s="45" t="s">
        <v>36</v>
      </c>
      <c r="F797" s="45" t="s">
        <v>36</v>
      </c>
      <c r="G797" s="45" t="s">
        <v>36</v>
      </c>
      <c r="H797" s="45" t="s">
        <v>36</v>
      </c>
      <c r="I797" s="45" t="s">
        <v>36</v>
      </c>
      <c r="J797" s="46" t="s">
        <v>36</v>
      </c>
      <c r="K797" s="47" t="s">
        <v>37</v>
      </c>
      <c r="L797" s="48" t="s">
        <v>37</v>
      </c>
      <c r="M797" s="48" t="s">
        <v>35</v>
      </c>
      <c r="N797" s="48" t="s">
        <v>37</v>
      </c>
      <c r="O797" s="48" t="s">
        <v>35</v>
      </c>
      <c r="P797" s="48" t="s">
        <v>35</v>
      </c>
      <c r="Q797" s="48" t="s">
        <v>35</v>
      </c>
      <c r="R797" s="48" t="s">
        <v>35</v>
      </c>
      <c r="S797" s="49" t="s">
        <v>1959</v>
      </c>
      <c r="T797" s="50" t="s">
        <v>2140</v>
      </c>
      <c r="U797" s="51" t="s">
        <v>2141</v>
      </c>
      <c r="V797" s="52">
        <f t="shared" ref="V797:X797" si="803">IF(lenb(SUBSTITUTE($Z797,V$1&amp;" (1)",""))&lt;lenb($Z797),1,IF(lenb(SUBSTITUTE($Z797,V$1&amp;" (2)",""))&lt;lenb($Z797),2,IF(lenb(SUBSTITUTE($Z797,V$1&amp;" (3)",""))&lt;lenb($Z797),3,IF(lenb(SUBSTITUTE($Z797,V$1&amp;" (4)",""))&lt;lenb($Z797),4,IF(lenb(SUBSTITUTE($Z797,V$1&amp;" (5)",""))&lt;lenb($Z797),5,IF(lenb(SUBSTITUTE($Z797,V$1&amp;" (6)",""))&lt;lenb($Z797),6,IF(lenb(SUBSTITUTE($Z797,V$1&amp;" (7)",""))&lt;lenb($Z797),1,IF(lenb(SUBSTITUTE($Z797,V$1&amp;" (8)",""))&lt;lenb($Z797),8,IF(lenb(SUBSTITUTE($Z797,V$1&amp;" (9)",""))&lt;lenb($Z797),9,IF(lenb(SUBSTITUTE($Z797,V$1&amp;" (10)",""))&lt;lenb($Z797),10,IF(lenb(SUBSTITUTE($Z797,V$1,""))&lt;lenb($Z797),"ERROR",IF($Z797=$Y$1,"-",0))))))))))))</f>
        <v>1</v>
      </c>
      <c r="W797" s="52">
        <f t="shared" si="803"/>
        <v>0</v>
      </c>
      <c r="X797" s="52">
        <f t="shared" si="803"/>
        <v>0</v>
      </c>
      <c r="Y797" s="52" t="str">
        <f t="shared" si="3"/>
        <v>-</v>
      </c>
      <c r="Z797" s="52" t="s">
        <v>62</v>
      </c>
      <c r="AA797" s="53">
        <f t="shared" si="4"/>
        <v>1</v>
      </c>
      <c r="AB797" s="54">
        <f>COUNTIFS(Links!B:B,"ICSE",Links!C:C,A797,Links!AD:AD,1)</f>
        <v>0</v>
      </c>
      <c r="AC797" s="55" t="s">
        <v>35</v>
      </c>
      <c r="AD797" s="47" t="str">
        <f t="shared" si="5"/>
        <v>No</v>
      </c>
      <c r="AE797" s="56" t="s">
        <v>36</v>
      </c>
      <c r="AF797" s="57" t="s">
        <v>42</v>
      </c>
      <c r="AG797" s="57" t="s">
        <v>42</v>
      </c>
      <c r="AH797" s="57" t="s">
        <v>42</v>
      </c>
      <c r="AI797" s="49" t="str">
        <f t="shared" si="661"/>
        <v>----</v>
      </c>
      <c r="AJ797" s="58" t="str">
        <f t="shared" si="7"/>
        <v>Paper has link but no statement</v>
      </c>
      <c r="AK797" s="59">
        <v>45022.0</v>
      </c>
      <c r="AL797" s="43" t="s">
        <v>43</v>
      </c>
      <c r="AM797" s="60" t="str">
        <f t="shared" si="8"/>
        <v>[IP0553]</v>
      </c>
    </row>
    <row r="798" ht="67.5" customHeight="1">
      <c r="A798" s="61">
        <v>554.0</v>
      </c>
      <c r="B798" s="22" t="s">
        <v>2142</v>
      </c>
      <c r="C798" s="23">
        <v>2021.0</v>
      </c>
      <c r="D798" s="24" t="s">
        <v>35</v>
      </c>
      <c r="E798" s="25" t="s">
        <v>36</v>
      </c>
      <c r="F798" s="25" t="s">
        <v>36</v>
      </c>
      <c r="G798" s="25" t="s">
        <v>36</v>
      </c>
      <c r="H798" s="25" t="s">
        <v>36</v>
      </c>
      <c r="I798" s="25" t="s">
        <v>36</v>
      </c>
      <c r="J798" s="26" t="s">
        <v>36</v>
      </c>
      <c r="K798" s="27" t="s">
        <v>37</v>
      </c>
      <c r="L798" s="28" t="s">
        <v>37</v>
      </c>
      <c r="M798" s="28" t="s">
        <v>35</v>
      </c>
      <c r="N798" s="28" t="s">
        <v>37</v>
      </c>
      <c r="O798" s="28" t="s">
        <v>35</v>
      </c>
      <c r="P798" s="28" t="s">
        <v>35</v>
      </c>
      <c r="Q798" s="28" t="s">
        <v>35</v>
      </c>
      <c r="R798" s="28" t="s">
        <v>37</v>
      </c>
      <c r="S798" s="29" t="s">
        <v>2143</v>
      </c>
      <c r="T798" s="30" t="s">
        <v>2144</v>
      </c>
      <c r="U798" s="31" t="s">
        <v>2144</v>
      </c>
      <c r="V798" s="32">
        <f t="shared" ref="V798:X798" si="804">IF(lenb(SUBSTITUTE($Z798,V$1&amp;" (1)",""))&lt;lenb($Z798),1,IF(lenb(SUBSTITUTE($Z798,V$1&amp;" (2)",""))&lt;lenb($Z798),2,IF(lenb(SUBSTITUTE($Z798,V$1&amp;" (3)",""))&lt;lenb($Z798),3,IF(lenb(SUBSTITUTE($Z798,V$1&amp;" (4)",""))&lt;lenb($Z798),4,IF(lenb(SUBSTITUTE($Z798,V$1&amp;" (5)",""))&lt;lenb($Z798),5,IF(lenb(SUBSTITUTE($Z798,V$1&amp;" (6)",""))&lt;lenb($Z798),6,IF(lenb(SUBSTITUTE($Z798,V$1&amp;" (7)",""))&lt;lenb($Z798),1,IF(lenb(SUBSTITUTE($Z798,V$1&amp;" (8)",""))&lt;lenb($Z798),8,IF(lenb(SUBSTITUTE($Z798,V$1&amp;" (9)",""))&lt;lenb($Z798),9,IF(lenb(SUBSTITUTE($Z798,V$1&amp;" (10)",""))&lt;lenb($Z798),10,IF(lenb(SUBSTITUTE($Z798,V$1,""))&lt;lenb($Z798),"ERROR",IF($Z798=$Y$1,"-",0))))))))))))</f>
        <v>1</v>
      </c>
      <c r="W798" s="32">
        <f t="shared" si="804"/>
        <v>0</v>
      </c>
      <c r="X798" s="32">
        <f t="shared" si="804"/>
        <v>0</v>
      </c>
      <c r="Y798" s="32" t="str">
        <f t="shared" si="3"/>
        <v>-</v>
      </c>
      <c r="Z798" s="32" t="s">
        <v>62</v>
      </c>
      <c r="AA798" s="33">
        <f t="shared" si="4"/>
        <v>1</v>
      </c>
      <c r="AB798" s="34">
        <f>COUNTIFS(Links!B:B,"ICSE",Links!C:C,A798,Links!AD:AD,1)</f>
        <v>0</v>
      </c>
      <c r="AC798" s="35" t="s">
        <v>35</v>
      </c>
      <c r="AD798" s="27" t="str">
        <f t="shared" si="5"/>
        <v>No</v>
      </c>
      <c r="AE798" s="36" t="s">
        <v>36</v>
      </c>
      <c r="AF798" s="37" t="s">
        <v>42</v>
      </c>
      <c r="AG798" s="37" t="s">
        <v>42</v>
      </c>
      <c r="AH798" s="37" t="s">
        <v>42</v>
      </c>
      <c r="AI798" s="29" t="str">
        <f t="shared" si="661"/>
        <v>----</v>
      </c>
      <c r="AJ798" s="38" t="str">
        <f t="shared" si="7"/>
        <v>Paper has link but no statement</v>
      </c>
      <c r="AK798" s="39">
        <v>45022.0</v>
      </c>
      <c r="AL798" s="23" t="s">
        <v>43</v>
      </c>
      <c r="AM798" s="40" t="str">
        <f t="shared" si="8"/>
        <v>[IP0554]</v>
      </c>
    </row>
    <row r="799" ht="67.5" customHeight="1">
      <c r="A799" s="41">
        <v>555.0</v>
      </c>
      <c r="B799" s="42" t="s">
        <v>2145</v>
      </c>
      <c r="C799" s="43">
        <v>2021.0</v>
      </c>
      <c r="D799" s="44" t="s">
        <v>35</v>
      </c>
      <c r="E799" s="45" t="s">
        <v>36</v>
      </c>
      <c r="F799" s="45" t="s">
        <v>36</v>
      </c>
      <c r="G799" s="45" t="s">
        <v>36</v>
      </c>
      <c r="H799" s="45" t="s">
        <v>36</v>
      </c>
      <c r="I799" s="45" t="s">
        <v>36</v>
      </c>
      <c r="J799" s="46" t="s">
        <v>36</v>
      </c>
      <c r="K799" s="47" t="s">
        <v>37</v>
      </c>
      <c r="L799" s="48" t="s">
        <v>35</v>
      </c>
      <c r="M799" s="48" t="s">
        <v>35</v>
      </c>
      <c r="N799" s="48" t="s">
        <v>35</v>
      </c>
      <c r="O799" s="48" t="s">
        <v>37</v>
      </c>
      <c r="P799" s="48" t="s">
        <v>35</v>
      </c>
      <c r="Q799" s="48" t="s">
        <v>35</v>
      </c>
      <c r="R799" s="48" t="s">
        <v>35</v>
      </c>
      <c r="S799" s="49" t="s">
        <v>2146</v>
      </c>
      <c r="T799" s="50" t="s">
        <v>2147</v>
      </c>
      <c r="U799" s="51" t="s">
        <v>2147</v>
      </c>
      <c r="V799" s="52">
        <f t="shared" ref="V799:X799" si="805">IF(lenb(SUBSTITUTE($Z799,V$1&amp;" (1)",""))&lt;lenb($Z799),1,IF(lenb(SUBSTITUTE($Z799,V$1&amp;" (2)",""))&lt;lenb($Z799),2,IF(lenb(SUBSTITUTE($Z799,V$1&amp;" (3)",""))&lt;lenb($Z799),3,IF(lenb(SUBSTITUTE($Z799,V$1&amp;" (4)",""))&lt;lenb($Z799),4,IF(lenb(SUBSTITUTE($Z799,V$1&amp;" (5)",""))&lt;lenb($Z799),5,IF(lenb(SUBSTITUTE($Z799,V$1&amp;" (6)",""))&lt;lenb($Z799),6,IF(lenb(SUBSTITUTE($Z799,V$1&amp;" (7)",""))&lt;lenb($Z799),1,IF(lenb(SUBSTITUTE($Z799,V$1&amp;" (8)",""))&lt;lenb($Z799),8,IF(lenb(SUBSTITUTE($Z799,V$1&amp;" (9)",""))&lt;lenb($Z799),9,IF(lenb(SUBSTITUTE($Z799,V$1&amp;" (10)",""))&lt;lenb($Z799),10,IF(lenb(SUBSTITUTE($Z799,V$1,""))&lt;lenb($Z799),"ERROR",IF($Z799=$Y$1,"-",0))))))))))))</f>
        <v>0</v>
      </c>
      <c r="W799" s="52">
        <f t="shared" si="805"/>
        <v>1</v>
      </c>
      <c r="X799" s="52">
        <f t="shared" si="805"/>
        <v>0</v>
      </c>
      <c r="Y799" s="52" t="str">
        <f t="shared" si="3"/>
        <v>-</v>
      </c>
      <c r="Z799" s="52" t="s">
        <v>47</v>
      </c>
      <c r="AA799" s="53">
        <f t="shared" si="4"/>
        <v>1</v>
      </c>
      <c r="AB799" s="54">
        <f>COUNTIFS(Links!B:B,"ICSE",Links!C:C,A799,Links!AD:AD,1)</f>
        <v>0</v>
      </c>
      <c r="AC799" s="55" t="s">
        <v>35</v>
      </c>
      <c r="AD799" s="47" t="str">
        <f t="shared" si="5"/>
        <v>No</v>
      </c>
      <c r="AE799" s="56" t="s">
        <v>36</v>
      </c>
      <c r="AF799" s="57" t="s">
        <v>42</v>
      </c>
      <c r="AG799" s="57" t="s">
        <v>42</v>
      </c>
      <c r="AH799" s="57" t="s">
        <v>42</v>
      </c>
      <c r="AI799" s="49" t="str">
        <f t="shared" si="661"/>
        <v>----</v>
      </c>
      <c r="AJ799" s="58" t="str">
        <f t="shared" si="7"/>
        <v>Paper has link but no statement</v>
      </c>
      <c r="AK799" s="59">
        <v>45022.0</v>
      </c>
      <c r="AL799" s="43" t="s">
        <v>43</v>
      </c>
      <c r="AM799" s="60" t="str">
        <f t="shared" si="8"/>
        <v>[IP0555]</v>
      </c>
    </row>
    <row r="800" ht="67.5" customHeight="1">
      <c r="A800" s="21">
        <v>556.0</v>
      </c>
      <c r="B800" s="22" t="s">
        <v>2148</v>
      </c>
      <c r="C800" s="23">
        <v>2021.0</v>
      </c>
      <c r="D800" s="24" t="s">
        <v>35</v>
      </c>
      <c r="E800" s="25" t="s">
        <v>36</v>
      </c>
      <c r="F800" s="25" t="s">
        <v>36</v>
      </c>
      <c r="G800" s="25" t="s">
        <v>36</v>
      </c>
      <c r="H800" s="25" t="s">
        <v>36</v>
      </c>
      <c r="I800" s="25" t="s">
        <v>36</v>
      </c>
      <c r="J800" s="26" t="s">
        <v>36</v>
      </c>
      <c r="K800" s="27" t="s">
        <v>37</v>
      </c>
      <c r="L800" s="28" t="s">
        <v>35</v>
      </c>
      <c r="M800" s="28" t="s">
        <v>37</v>
      </c>
      <c r="N800" s="28" t="s">
        <v>35</v>
      </c>
      <c r="O800" s="28" t="s">
        <v>35</v>
      </c>
      <c r="P800" s="28" t="s">
        <v>35</v>
      </c>
      <c r="Q800" s="28" t="s">
        <v>37</v>
      </c>
      <c r="R800" s="28" t="s">
        <v>37</v>
      </c>
      <c r="S800" s="29" t="s">
        <v>2149</v>
      </c>
      <c r="T800" s="30" t="s">
        <v>2150</v>
      </c>
      <c r="U800" s="31" t="s">
        <v>2151</v>
      </c>
      <c r="V800" s="32">
        <f t="shared" ref="V800:X800" si="806">IF(lenb(SUBSTITUTE($Z800,V$1&amp;" (1)",""))&lt;lenb($Z800),1,IF(lenb(SUBSTITUTE($Z800,V$1&amp;" (2)",""))&lt;lenb($Z800),2,IF(lenb(SUBSTITUTE($Z800,V$1&amp;" (3)",""))&lt;lenb($Z800),3,IF(lenb(SUBSTITUTE($Z800,V$1&amp;" (4)",""))&lt;lenb($Z800),4,IF(lenb(SUBSTITUTE($Z800,V$1&amp;" (5)",""))&lt;lenb($Z800),5,IF(lenb(SUBSTITUTE($Z800,V$1&amp;" (6)",""))&lt;lenb($Z800),6,IF(lenb(SUBSTITUTE($Z800,V$1&amp;" (7)",""))&lt;lenb($Z800),1,IF(lenb(SUBSTITUTE($Z800,V$1&amp;" (8)",""))&lt;lenb($Z800),8,IF(lenb(SUBSTITUTE($Z800,V$1&amp;" (9)",""))&lt;lenb($Z800),9,IF(lenb(SUBSTITUTE($Z800,V$1&amp;" (10)",""))&lt;lenb($Z800),10,IF(lenb(SUBSTITUTE($Z800,V$1,""))&lt;lenb($Z800),"ERROR",IF($Z800=$Y$1,"-",0))))))))))))</f>
        <v>3</v>
      </c>
      <c r="W800" s="32">
        <f t="shared" si="806"/>
        <v>0</v>
      </c>
      <c r="X800" s="32">
        <f t="shared" si="806"/>
        <v>0</v>
      </c>
      <c r="Y800" s="32" t="str">
        <f t="shared" si="3"/>
        <v>-</v>
      </c>
      <c r="Z800" s="32" t="s">
        <v>193</v>
      </c>
      <c r="AA800" s="33">
        <f t="shared" si="4"/>
        <v>3</v>
      </c>
      <c r="AB800" s="34">
        <f>COUNTIFS(Links!B:B,"ICSE",Links!C:C,A800,Links!AD:AD,1)</f>
        <v>0</v>
      </c>
      <c r="AC800" s="35" t="s">
        <v>37</v>
      </c>
      <c r="AD800" s="27" t="str">
        <f t="shared" si="5"/>
        <v>No</v>
      </c>
      <c r="AE800" s="36" t="s">
        <v>36</v>
      </c>
      <c r="AF800" s="37" t="s">
        <v>42</v>
      </c>
      <c r="AG800" s="37" t="s">
        <v>42</v>
      </c>
      <c r="AH800" s="37" t="s">
        <v>42</v>
      </c>
      <c r="AI800" s="29" t="str">
        <f t="shared" si="661"/>
        <v>----</v>
      </c>
      <c r="AJ800" s="38" t="str">
        <f t="shared" si="7"/>
        <v>Paper has link but no statement</v>
      </c>
      <c r="AK800" s="39">
        <v>45022.0</v>
      </c>
      <c r="AL800" s="23" t="s">
        <v>43</v>
      </c>
      <c r="AM800" s="40" t="str">
        <f t="shared" si="8"/>
        <v>[IP0556]</v>
      </c>
    </row>
    <row r="801" ht="67.5" customHeight="1">
      <c r="A801" s="41">
        <v>557.0</v>
      </c>
      <c r="B801" s="42" t="s">
        <v>2152</v>
      </c>
      <c r="C801" s="43">
        <v>2021.0</v>
      </c>
      <c r="D801" s="44" t="s">
        <v>35</v>
      </c>
      <c r="E801" s="45" t="s">
        <v>36</v>
      </c>
      <c r="F801" s="45" t="s">
        <v>36</v>
      </c>
      <c r="G801" s="45" t="s">
        <v>36</v>
      </c>
      <c r="H801" s="45" t="s">
        <v>36</v>
      </c>
      <c r="I801" s="45" t="s">
        <v>36</v>
      </c>
      <c r="J801" s="46" t="s">
        <v>36</v>
      </c>
      <c r="K801" s="47" t="s">
        <v>37</v>
      </c>
      <c r="L801" s="48" t="s">
        <v>37</v>
      </c>
      <c r="M801" s="48" t="s">
        <v>35</v>
      </c>
      <c r="N801" s="48" t="s">
        <v>35</v>
      </c>
      <c r="O801" s="48" t="s">
        <v>35</v>
      </c>
      <c r="P801" s="48" t="s">
        <v>37</v>
      </c>
      <c r="Q801" s="48" t="s">
        <v>35</v>
      </c>
      <c r="R801" s="48" t="s">
        <v>37</v>
      </c>
      <c r="S801" s="49" t="s">
        <v>2153</v>
      </c>
      <c r="T801" s="50" t="s">
        <v>2154</v>
      </c>
      <c r="U801" s="51" t="s">
        <v>2154</v>
      </c>
      <c r="V801" s="52">
        <f t="shared" ref="V801:X801" si="807">IF(lenb(SUBSTITUTE($Z801,V$1&amp;" (1)",""))&lt;lenb($Z801),1,IF(lenb(SUBSTITUTE($Z801,V$1&amp;" (2)",""))&lt;lenb($Z801),2,IF(lenb(SUBSTITUTE($Z801,V$1&amp;" (3)",""))&lt;lenb($Z801),3,IF(lenb(SUBSTITUTE($Z801,V$1&amp;" (4)",""))&lt;lenb($Z801),4,IF(lenb(SUBSTITUTE($Z801,V$1&amp;" (5)",""))&lt;lenb($Z801),5,IF(lenb(SUBSTITUTE($Z801,V$1&amp;" (6)",""))&lt;lenb($Z801),6,IF(lenb(SUBSTITUTE($Z801,V$1&amp;" (7)",""))&lt;lenb($Z801),1,IF(lenb(SUBSTITUTE($Z801,V$1&amp;" (8)",""))&lt;lenb($Z801),8,IF(lenb(SUBSTITUTE($Z801,V$1&amp;" (9)",""))&lt;lenb($Z801),9,IF(lenb(SUBSTITUTE($Z801,V$1&amp;" (10)",""))&lt;lenb($Z801),10,IF(lenb(SUBSTITUTE($Z801,V$1,""))&lt;lenb($Z801),"ERROR",IF($Z801=$Y$1,"-",0))))))))))))</f>
        <v>1</v>
      </c>
      <c r="W801" s="52">
        <f t="shared" si="807"/>
        <v>0</v>
      </c>
      <c r="X801" s="52">
        <f t="shared" si="807"/>
        <v>0</v>
      </c>
      <c r="Y801" s="52" t="str">
        <f t="shared" si="3"/>
        <v>-</v>
      </c>
      <c r="Z801" s="52" t="s">
        <v>62</v>
      </c>
      <c r="AA801" s="53">
        <f t="shared" si="4"/>
        <v>1</v>
      </c>
      <c r="AB801" s="54">
        <f>COUNTIFS(Links!B:B,"ICSE",Links!C:C,A801,Links!AD:AD,1)</f>
        <v>0</v>
      </c>
      <c r="AC801" s="55" t="s">
        <v>35</v>
      </c>
      <c r="AD801" s="47" t="str">
        <f t="shared" si="5"/>
        <v>No</v>
      </c>
      <c r="AE801" s="56" t="s">
        <v>36</v>
      </c>
      <c r="AF801" s="57" t="s">
        <v>42</v>
      </c>
      <c r="AG801" s="57" t="s">
        <v>42</v>
      </c>
      <c r="AH801" s="57" t="s">
        <v>42</v>
      </c>
      <c r="AI801" s="49" t="str">
        <f t="shared" si="661"/>
        <v>----</v>
      </c>
      <c r="AJ801" s="58" t="str">
        <f t="shared" si="7"/>
        <v>Paper has link but no statement</v>
      </c>
      <c r="AK801" s="59">
        <v>45022.0</v>
      </c>
      <c r="AL801" s="43" t="s">
        <v>43</v>
      </c>
      <c r="AM801" s="60" t="str">
        <f t="shared" si="8"/>
        <v>[IP0557]</v>
      </c>
    </row>
    <row r="802" ht="67.5" customHeight="1">
      <c r="A802" s="61">
        <v>558.0</v>
      </c>
      <c r="B802" s="22" t="s">
        <v>2155</v>
      </c>
      <c r="C802" s="23">
        <v>2021.0</v>
      </c>
      <c r="D802" s="24" t="s">
        <v>37</v>
      </c>
      <c r="E802" s="25" t="s">
        <v>37</v>
      </c>
      <c r="F802" s="25" t="s">
        <v>35</v>
      </c>
      <c r="G802" s="25" t="s">
        <v>37</v>
      </c>
      <c r="H802" s="25" t="s">
        <v>35</v>
      </c>
      <c r="I802" s="25" t="s">
        <v>35</v>
      </c>
      <c r="J802" s="26" t="s">
        <v>36</v>
      </c>
      <c r="K802" s="27" t="s">
        <v>37</v>
      </c>
      <c r="L802" s="28" t="s">
        <v>35</v>
      </c>
      <c r="M802" s="28" t="s">
        <v>35</v>
      </c>
      <c r="N802" s="28" t="s">
        <v>35</v>
      </c>
      <c r="O802" s="28" t="s">
        <v>35</v>
      </c>
      <c r="P802" s="28" t="s">
        <v>35</v>
      </c>
      <c r="Q802" s="28" t="s">
        <v>37</v>
      </c>
      <c r="R802" s="28" t="s">
        <v>37</v>
      </c>
      <c r="S802" s="29" t="s">
        <v>2156</v>
      </c>
      <c r="T802" s="31" t="s">
        <v>2157</v>
      </c>
      <c r="U802" s="31" t="s">
        <v>2158</v>
      </c>
      <c r="V802" s="32">
        <f t="shared" ref="V802:X802" si="808">IF(lenb(SUBSTITUTE($Z802,V$1&amp;" (1)",""))&lt;lenb($Z802),1,IF(lenb(SUBSTITUTE($Z802,V$1&amp;" (2)",""))&lt;lenb($Z802),2,IF(lenb(SUBSTITUTE($Z802,V$1&amp;" (3)",""))&lt;lenb($Z802),3,IF(lenb(SUBSTITUTE($Z802,V$1&amp;" (4)",""))&lt;lenb($Z802),4,IF(lenb(SUBSTITUTE($Z802,V$1&amp;" (5)",""))&lt;lenb($Z802),5,IF(lenb(SUBSTITUTE($Z802,V$1&amp;" (6)",""))&lt;lenb($Z802),6,IF(lenb(SUBSTITUTE($Z802,V$1&amp;" (7)",""))&lt;lenb($Z802),1,IF(lenb(SUBSTITUTE($Z802,V$1&amp;" (8)",""))&lt;lenb($Z802),8,IF(lenb(SUBSTITUTE($Z802,V$1&amp;" (9)",""))&lt;lenb($Z802),9,IF(lenb(SUBSTITUTE($Z802,V$1&amp;" (10)",""))&lt;lenb($Z802),10,IF(lenb(SUBSTITUTE($Z802,V$1,""))&lt;lenb($Z802),"ERROR",IF($Z802=$Y$1,"-",0))))))))))))</f>
        <v>1</v>
      </c>
      <c r="W802" s="32">
        <f t="shared" si="808"/>
        <v>0</v>
      </c>
      <c r="X802" s="32">
        <f t="shared" si="808"/>
        <v>0</v>
      </c>
      <c r="Y802" s="32" t="str">
        <f t="shared" si="3"/>
        <v>-</v>
      </c>
      <c r="Z802" s="32" t="s">
        <v>62</v>
      </c>
      <c r="AA802" s="33">
        <f t="shared" si="4"/>
        <v>1</v>
      </c>
      <c r="AB802" s="34">
        <f>COUNTIFS(Links!B:B,"ICSE",Links!C:C,A802,Links!AD:AD,1)</f>
        <v>1</v>
      </c>
      <c r="AC802" s="35" t="s">
        <v>37</v>
      </c>
      <c r="AD802" s="27" t="str">
        <f t="shared" si="5"/>
        <v>No</v>
      </c>
      <c r="AE802" s="36" t="s">
        <v>36</v>
      </c>
      <c r="AF802" s="37" t="s">
        <v>42</v>
      </c>
      <c r="AG802" s="37" t="s">
        <v>42</v>
      </c>
      <c r="AH802" s="37" t="s">
        <v>42</v>
      </c>
      <c r="AI802" s="29" t="str">
        <f t="shared" si="661"/>
        <v>----</v>
      </c>
      <c r="AJ802" s="38" t="str">
        <f t="shared" si="7"/>
        <v>Paper has link but no statement</v>
      </c>
      <c r="AK802" s="39">
        <v>45022.0</v>
      </c>
      <c r="AL802" s="23" t="s">
        <v>43</v>
      </c>
      <c r="AM802" s="40" t="str">
        <f t="shared" si="8"/>
        <v>[IP0558]</v>
      </c>
    </row>
    <row r="803" ht="67.5" customHeight="1">
      <c r="A803" s="41">
        <v>559.0</v>
      </c>
      <c r="B803" s="42" t="s">
        <v>2159</v>
      </c>
      <c r="C803" s="43">
        <v>2021.0</v>
      </c>
      <c r="D803" s="44" t="s">
        <v>35</v>
      </c>
      <c r="E803" s="45" t="s">
        <v>36</v>
      </c>
      <c r="F803" s="45" t="s">
        <v>36</v>
      </c>
      <c r="G803" s="45" t="s">
        <v>36</v>
      </c>
      <c r="H803" s="45" t="s">
        <v>36</v>
      </c>
      <c r="I803" s="45" t="s">
        <v>36</v>
      </c>
      <c r="J803" s="46" t="s">
        <v>36</v>
      </c>
      <c r="K803" s="47" t="s">
        <v>37</v>
      </c>
      <c r="L803" s="48" t="s">
        <v>35</v>
      </c>
      <c r="M803" s="48" t="s">
        <v>35</v>
      </c>
      <c r="N803" s="48" t="s">
        <v>37</v>
      </c>
      <c r="O803" s="48" t="s">
        <v>35</v>
      </c>
      <c r="P803" s="48" t="s">
        <v>35</v>
      </c>
      <c r="Q803" s="48" t="s">
        <v>35</v>
      </c>
      <c r="R803" s="48" t="s">
        <v>35</v>
      </c>
      <c r="S803" s="49" t="s">
        <v>2160</v>
      </c>
      <c r="T803" s="50" t="s">
        <v>2161</v>
      </c>
      <c r="U803" s="51" t="s">
        <v>2161</v>
      </c>
      <c r="V803" s="52">
        <f t="shared" ref="V803:X803" si="809">IF(lenb(SUBSTITUTE($Z803,V$1&amp;" (1)",""))&lt;lenb($Z803),1,IF(lenb(SUBSTITUTE($Z803,V$1&amp;" (2)",""))&lt;lenb($Z803),2,IF(lenb(SUBSTITUTE($Z803,V$1&amp;" (3)",""))&lt;lenb($Z803),3,IF(lenb(SUBSTITUTE($Z803,V$1&amp;" (4)",""))&lt;lenb($Z803),4,IF(lenb(SUBSTITUTE($Z803,V$1&amp;" (5)",""))&lt;lenb($Z803),5,IF(lenb(SUBSTITUTE($Z803,V$1&amp;" (6)",""))&lt;lenb($Z803),6,IF(lenb(SUBSTITUTE($Z803,V$1&amp;" (7)",""))&lt;lenb($Z803),1,IF(lenb(SUBSTITUTE($Z803,V$1&amp;" (8)",""))&lt;lenb($Z803),8,IF(lenb(SUBSTITUTE($Z803,V$1&amp;" (9)",""))&lt;lenb($Z803),9,IF(lenb(SUBSTITUTE($Z803,V$1&amp;" (10)",""))&lt;lenb($Z803),10,IF(lenb(SUBSTITUTE($Z803,V$1,""))&lt;lenb($Z803),"ERROR",IF($Z803=$Y$1,"-",0))))))))))))</f>
        <v>1</v>
      </c>
      <c r="W803" s="52">
        <f t="shared" si="809"/>
        <v>0</v>
      </c>
      <c r="X803" s="52">
        <f t="shared" si="809"/>
        <v>0</v>
      </c>
      <c r="Y803" s="52" t="str">
        <f t="shared" si="3"/>
        <v>-</v>
      </c>
      <c r="Z803" s="52" t="s">
        <v>62</v>
      </c>
      <c r="AA803" s="53">
        <f t="shared" si="4"/>
        <v>1</v>
      </c>
      <c r="AB803" s="54">
        <f>COUNTIFS(Links!B:B,"ICSE",Links!C:C,A803,Links!AD:AD,1)</f>
        <v>0</v>
      </c>
      <c r="AC803" s="55" t="s">
        <v>35</v>
      </c>
      <c r="AD803" s="47" t="str">
        <f t="shared" si="5"/>
        <v>No</v>
      </c>
      <c r="AE803" s="56" t="s">
        <v>36</v>
      </c>
      <c r="AF803" s="57" t="s">
        <v>42</v>
      </c>
      <c r="AG803" s="57" t="s">
        <v>42</v>
      </c>
      <c r="AH803" s="57" t="s">
        <v>42</v>
      </c>
      <c r="AI803" s="49" t="str">
        <f t="shared" si="661"/>
        <v>----</v>
      </c>
      <c r="AJ803" s="58" t="str">
        <f t="shared" si="7"/>
        <v>Paper has link but no statement</v>
      </c>
      <c r="AK803" s="59">
        <v>45022.0</v>
      </c>
      <c r="AL803" s="43" t="s">
        <v>43</v>
      </c>
      <c r="AM803" s="60" t="str">
        <f t="shared" si="8"/>
        <v>[IP0559]</v>
      </c>
    </row>
    <row r="804" ht="67.5" customHeight="1">
      <c r="A804" s="61">
        <v>560.0</v>
      </c>
      <c r="B804" s="22" t="s">
        <v>2162</v>
      </c>
      <c r="C804" s="23">
        <v>2021.0</v>
      </c>
      <c r="D804" s="24" t="s">
        <v>37</v>
      </c>
      <c r="E804" s="25" t="s">
        <v>37</v>
      </c>
      <c r="F804" s="25" t="s">
        <v>35</v>
      </c>
      <c r="G804" s="25" t="s">
        <v>37</v>
      </c>
      <c r="H804" s="25" t="s">
        <v>35</v>
      </c>
      <c r="I804" s="25" t="s">
        <v>35</v>
      </c>
      <c r="J804" s="26" t="s">
        <v>36</v>
      </c>
      <c r="K804" s="27" t="s">
        <v>37</v>
      </c>
      <c r="L804" s="28" t="s">
        <v>35</v>
      </c>
      <c r="M804" s="28" t="s">
        <v>37</v>
      </c>
      <c r="N804" s="28" t="s">
        <v>37</v>
      </c>
      <c r="O804" s="28" t="s">
        <v>35</v>
      </c>
      <c r="P804" s="28" t="s">
        <v>35</v>
      </c>
      <c r="Q804" s="28" t="s">
        <v>37</v>
      </c>
      <c r="R804" s="28" t="s">
        <v>35</v>
      </c>
      <c r="S804" s="29" t="s">
        <v>2163</v>
      </c>
      <c r="T804" s="30" t="s">
        <v>2164</v>
      </c>
      <c r="U804" s="31" t="s">
        <v>2164</v>
      </c>
      <c r="V804" s="32">
        <f t="shared" ref="V804:X804" si="810">IF(lenb(SUBSTITUTE($Z804,V$1&amp;" (1)",""))&lt;lenb($Z804),1,IF(lenb(SUBSTITUTE($Z804,V$1&amp;" (2)",""))&lt;lenb($Z804),2,IF(lenb(SUBSTITUTE($Z804,V$1&amp;" (3)",""))&lt;lenb($Z804),3,IF(lenb(SUBSTITUTE($Z804,V$1&amp;" (4)",""))&lt;lenb($Z804),4,IF(lenb(SUBSTITUTE($Z804,V$1&amp;" (5)",""))&lt;lenb($Z804),5,IF(lenb(SUBSTITUTE($Z804,V$1&amp;" (6)",""))&lt;lenb($Z804),6,IF(lenb(SUBSTITUTE($Z804,V$1&amp;" (7)",""))&lt;lenb($Z804),1,IF(lenb(SUBSTITUTE($Z804,V$1&amp;" (8)",""))&lt;lenb($Z804),8,IF(lenb(SUBSTITUTE($Z804,V$1&amp;" (9)",""))&lt;lenb($Z804),9,IF(lenb(SUBSTITUTE($Z804,V$1&amp;" (10)",""))&lt;lenb($Z804),10,IF(lenb(SUBSTITUTE($Z804,V$1,""))&lt;lenb($Z804),"ERROR",IF($Z804=$Y$1,"-",0))))))))))))</f>
        <v>1</v>
      </c>
      <c r="W804" s="32">
        <f t="shared" si="810"/>
        <v>0</v>
      </c>
      <c r="X804" s="32">
        <f t="shared" si="810"/>
        <v>0</v>
      </c>
      <c r="Y804" s="32" t="str">
        <f t="shared" si="3"/>
        <v>-</v>
      </c>
      <c r="Z804" s="32" t="s">
        <v>62</v>
      </c>
      <c r="AA804" s="33">
        <f t="shared" si="4"/>
        <v>1</v>
      </c>
      <c r="AB804" s="34">
        <f>COUNTIFS(Links!B:B,"ICSE",Links!C:C,A804,Links!AD:AD,1)</f>
        <v>0</v>
      </c>
      <c r="AC804" s="35" t="s">
        <v>35</v>
      </c>
      <c r="AD804" s="27" t="str">
        <f t="shared" si="5"/>
        <v>No</v>
      </c>
      <c r="AE804" s="36" t="s">
        <v>36</v>
      </c>
      <c r="AF804" s="37" t="s">
        <v>42</v>
      </c>
      <c r="AG804" s="37" t="s">
        <v>42</v>
      </c>
      <c r="AH804" s="37" t="s">
        <v>42</v>
      </c>
      <c r="AI804" s="29" t="str">
        <f t="shared" si="661"/>
        <v>----</v>
      </c>
      <c r="AJ804" s="38" t="str">
        <f t="shared" si="7"/>
        <v>Paper has link but no statement</v>
      </c>
      <c r="AK804" s="39">
        <v>45022.0</v>
      </c>
      <c r="AL804" s="23" t="s">
        <v>43</v>
      </c>
      <c r="AM804" s="40" t="str">
        <f t="shared" si="8"/>
        <v>[IP0560]</v>
      </c>
    </row>
    <row r="805" ht="67.5" customHeight="1">
      <c r="A805" s="41">
        <v>561.0</v>
      </c>
      <c r="B805" s="42" t="s">
        <v>2165</v>
      </c>
      <c r="C805" s="43">
        <v>2021.0</v>
      </c>
      <c r="D805" s="44" t="s">
        <v>35</v>
      </c>
      <c r="E805" s="45" t="s">
        <v>36</v>
      </c>
      <c r="F805" s="45" t="s">
        <v>36</v>
      </c>
      <c r="G805" s="45" t="s">
        <v>36</v>
      </c>
      <c r="H805" s="45" t="s">
        <v>36</v>
      </c>
      <c r="I805" s="45" t="s">
        <v>36</v>
      </c>
      <c r="J805" s="46" t="s">
        <v>36</v>
      </c>
      <c r="K805" s="47" t="s">
        <v>35</v>
      </c>
      <c r="L805" s="48" t="s">
        <v>36</v>
      </c>
      <c r="M805" s="48" t="s">
        <v>36</v>
      </c>
      <c r="N805" s="48" t="s">
        <v>36</v>
      </c>
      <c r="O805" s="48" t="s">
        <v>36</v>
      </c>
      <c r="P805" s="48" t="s">
        <v>36</v>
      </c>
      <c r="Q805" s="48" t="s">
        <v>36</v>
      </c>
      <c r="R805" s="48" t="s">
        <v>36</v>
      </c>
      <c r="S805" s="49" t="s">
        <v>36</v>
      </c>
      <c r="T805" s="50" t="s">
        <v>36</v>
      </c>
      <c r="U805" s="51" t="s">
        <v>36</v>
      </c>
      <c r="V805" s="52" t="str">
        <f t="shared" ref="V805:X805" si="811">IF(lenb(SUBSTITUTE($Z805,V$1&amp;" (1)",""))&lt;lenb($Z805),1,IF(lenb(SUBSTITUTE($Z805,V$1&amp;" (2)",""))&lt;lenb($Z805),2,IF(lenb(SUBSTITUTE($Z805,V$1&amp;" (3)",""))&lt;lenb($Z805),3,IF(lenb(SUBSTITUTE($Z805,V$1&amp;" (4)",""))&lt;lenb($Z805),4,IF(lenb(SUBSTITUTE($Z805,V$1&amp;" (5)",""))&lt;lenb($Z805),5,IF(lenb(SUBSTITUTE($Z805,V$1&amp;" (6)",""))&lt;lenb($Z805),6,IF(lenb(SUBSTITUTE($Z805,V$1&amp;" (7)",""))&lt;lenb($Z805),1,IF(lenb(SUBSTITUTE($Z805,V$1&amp;" (8)",""))&lt;lenb($Z805),8,IF(lenb(SUBSTITUTE($Z805,V$1&amp;" (9)",""))&lt;lenb($Z805),9,IF(lenb(SUBSTITUTE($Z805,V$1&amp;" (10)",""))&lt;lenb($Z805),10,IF(lenb(SUBSTITUTE($Z805,V$1,""))&lt;lenb($Z805),"ERROR",IF($Z805=$Y$1,"-",0))))))))))))</f>
        <v>-</v>
      </c>
      <c r="W805" s="52" t="str">
        <f t="shared" si="811"/>
        <v>-</v>
      </c>
      <c r="X805" s="52" t="str">
        <f t="shared" si="811"/>
        <v>-</v>
      </c>
      <c r="Y805" s="52">
        <f t="shared" si="3"/>
        <v>1</v>
      </c>
      <c r="Z805" s="52" t="s">
        <v>23</v>
      </c>
      <c r="AA805" s="53">
        <f t="shared" si="4"/>
        <v>0</v>
      </c>
      <c r="AB805" s="54">
        <f>COUNTIFS(Links!B:B,"ICSE",Links!C:C,A805,Links!AD:AD,1)</f>
        <v>0</v>
      </c>
      <c r="AC805" s="55" t="s">
        <v>36</v>
      </c>
      <c r="AD805" s="47" t="str">
        <f t="shared" si="5"/>
        <v>No</v>
      </c>
      <c r="AE805" s="56" t="s">
        <v>36</v>
      </c>
      <c r="AF805" s="57" t="s">
        <v>42</v>
      </c>
      <c r="AG805" s="57" t="s">
        <v>42</v>
      </c>
      <c r="AH805" s="57" t="s">
        <v>42</v>
      </c>
      <c r="AI805" s="49" t="str">
        <f t="shared" si="661"/>
        <v>----</v>
      </c>
      <c r="AJ805" s="58" t="str">
        <f t="shared" si="7"/>
        <v>Paper has no link and no statement</v>
      </c>
      <c r="AK805" s="59">
        <v>45022.0</v>
      </c>
      <c r="AL805" s="43" t="s">
        <v>43</v>
      </c>
      <c r="AM805" s="60" t="str">
        <f t="shared" si="8"/>
        <v>[IP0561]</v>
      </c>
    </row>
    <row r="806" ht="67.5" customHeight="1">
      <c r="A806" s="61">
        <v>562.0</v>
      </c>
      <c r="B806" s="22" t="s">
        <v>2166</v>
      </c>
      <c r="C806" s="23">
        <v>2021.0</v>
      </c>
      <c r="D806" s="24" t="s">
        <v>37</v>
      </c>
      <c r="E806" s="25" t="s">
        <v>37</v>
      </c>
      <c r="F806" s="25" t="s">
        <v>35</v>
      </c>
      <c r="G806" s="25" t="s">
        <v>37</v>
      </c>
      <c r="H806" s="25" t="s">
        <v>35</v>
      </c>
      <c r="I806" s="25" t="s">
        <v>35</v>
      </c>
      <c r="J806" s="26" t="s">
        <v>36</v>
      </c>
      <c r="K806" s="27" t="s">
        <v>37</v>
      </c>
      <c r="L806" s="28" t="s">
        <v>35</v>
      </c>
      <c r="M806" s="28" t="s">
        <v>37</v>
      </c>
      <c r="N806" s="28" t="s">
        <v>37</v>
      </c>
      <c r="O806" s="28" t="s">
        <v>35</v>
      </c>
      <c r="P806" s="28" t="s">
        <v>35</v>
      </c>
      <c r="Q806" s="28" t="s">
        <v>35</v>
      </c>
      <c r="R806" s="28" t="s">
        <v>37</v>
      </c>
      <c r="S806" s="29" t="s">
        <v>2167</v>
      </c>
      <c r="T806" s="30" t="s">
        <v>2168</v>
      </c>
      <c r="U806" s="31" t="s">
        <v>2168</v>
      </c>
      <c r="V806" s="32">
        <f t="shared" ref="V806:X806" si="812">IF(lenb(SUBSTITUTE($Z806,V$1&amp;" (1)",""))&lt;lenb($Z806),1,IF(lenb(SUBSTITUTE($Z806,V$1&amp;" (2)",""))&lt;lenb($Z806),2,IF(lenb(SUBSTITUTE($Z806,V$1&amp;" (3)",""))&lt;lenb($Z806),3,IF(lenb(SUBSTITUTE($Z806,V$1&amp;" (4)",""))&lt;lenb($Z806),4,IF(lenb(SUBSTITUTE($Z806,V$1&amp;" (5)",""))&lt;lenb($Z806),5,IF(lenb(SUBSTITUTE($Z806,V$1&amp;" (6)",""))&lt;lenb($Z806),6,IF(lenb(SUBSTITUTE($Z806,V$1&amp;" (7)",""))&lt;lenb($Z806),1,IF(lenb(SUBSTITUTE($Z806,V$1&amp;" (8)",""))&lt;lenb($Z806),8,IF(lenb(SUBSTITUTE($Z806,V$1&amp;" (9)",""))&lt;lenb($Z806),9,IF(lenb(SUBSTITUTE($Z806,V$1&amp;" (10)",""))&lt;lenb($Z806),10,IF(lenb(SUBSTITUTE($Z806,V$1,""))&lt;lenb($Z806),"ERROR",IF($Z806=$Y$1,"-",0))))))))))))</f>
        <v>1</v>
      </c>
      <c r="W806" s="32">
        <f t="shared" si="812"/>
        <v>0</v>
      </c>
      <c r="X806" s="32">
        <f t="shared" si="812"/>
        <v>0</v>
      </c>
      <c r="Y806" s="32" t="str">
        <f t="shared" si="3"/>
        <v>-</v>
      </c>
      <c r="Z806" s="32" t="s">
        <v>62</v>
      </c>
      <c r="AA806" s="33">
        <f t="shared" si="4"/>
        <v>1</v>
      </c>
      <c r="AB806" s="34">
        <f>COUNTIFS(Links!B:B,"ICSE",Links!C:C,A806,Links!AD:AD,1)</f>
        <v>0</v>
      </c>
      <c r="AC806" s="35" t="s">
        <v>37</v>
      </c>
      <c r="AD806" s="27" t="str">
        <f t="shared" si="5"/>
        <v>No</v>
      </c>
      <c r="AE806" s="36" t="s">
        <v>36</v>
      </c>
      <c r="AF806" s="37" t="s">
        <v>42</v>
      </c>
      <c r="AG806" s="37" t="s">
        <v>42</v>
      </c>
      <c r="AH806" s="37" t="s">
        <v>42</v>
      </c>
      <c r="AI806" s="29" t="str">
        <f t="shared" si="661"/>
        <v>----</v>
      </c>
      <c r="AJ806" s="38" t="str">
        <f t="shared" si="7"/>
        <v>Paper has link but no statement</v>
      </c>
      <c r="AK806" s="39">
        <v>45022.0</v>
      </c>
      <c r="AL806" s="23" t="s">
        <v>43</v>
      </c>
      <c r="AM806" s="40" t="str">
        <f t="shared" si="8"/>
        <v>[IP0562]</v>
      </c>
    </row>
    <row r="807" ht="67.5" customHeight="1">
      <c r="A807" s="41">
        <v>563.0</v>
      </c>
      <c r="B807" s="42" t="s">
        <v>2169</v>
      </c>
      <c r="C807" s="43">
        <v>2021.0</v>
      </c>
      <c r="D807" s="44" t="s">
        <v>35</v>
      </c>
      <c r="E807" s="45" t="s">
        <v>36</v>
      </c>
      <c r="F807" s="45" t="s">
        <v>36</v>
      </c>
      <c r="G807" s="45" t="s">
        <v>36</v>
      </c>
      <c r="H807" s="45" t="s">
        <v>36</v>
      </c>
      <c r="I807" s="45" t="s">
        <v>36</v>
      </c>
      <c r="J807" s="46" t="s">
        <v>36</v>
      </c>
      <c r="K807" s="47" t="s">
        <v>37</v>
      </c>
      <c r="L807" s="48" t="s">
        <v>35</v>
      </c>
      <c r="M807" s="48" t="s">
        <v>35</v>
      </c>
      <c r="N807" s="48" t="s">
        <v>35</v>
      </c>
      <c r="O807" s="48" t="s">
        <v>35</v>
      </c>
      <c r="P807" s="48" t="s">
        <v>35</v>
      </c>
      <c r="Q807" s="48" t="s">
        <v>35</v>
      </c>
      <c r="R807" s="48" t="s">
        <v>37</v>
      </c>
      <c r="S807" s="49" t="s">
        <v>2170</v>
      </c>
      <c r="T807" s="50" t="s">
        <v>2171</v>
      </c>
      <c r="U807" s="51" t="s">
        <v>2171</v>
      </c>
      <c r="V807" s="52">
        <f t="shared" ref="V807:X807" si="813">IF(lenb(SUBSTITUTE($Z807,V$1&amp;" (1)",""))&lt;lenb($Z807),1,IF(lenb(SUBSTITUTE($Z807,V$1&amp;" (2)",""))&lt;lenb($Z807),2,IF(lenb(SUBSTITUTE($Z807,V$1&amp;" (3)",""))&lt;lenb($Z807),3,IF(lenb(SUBSTITUTE($Z807,V$1&amp;" (4)",""))&lt;lenb($Z807),4,IF(lenb(SUBSTITUTE($Z807,V$1&amp;" (5)",""))&lt;lenb($Z807),5,IF(lenb(SUBSTITUTE($Z807,V$1&amp;" (6)",""))&lt;lenb($Z807),6,IF(lenb(SUBSTITUTE($Z807,V$1&amp;" (7)",""))&lt;lenb($Z807),1,IF(lenb(SUBSTITUTE($Z807,V$1&amp;" (8)",""))&lt;lenb($Z807),8,IF(lenb(SUBSTITUTE($Z807,V$1&amp;" (9)",""))&lt;lenb($Z807),9,IF(lenb(SUBSTITUTE($Z807,V$1&amp;" (10)",""))&lt;lenb($Z807),10,IF(lenb(SUBSTITUTE($Z807,V$1,""))&lt;lenb($Z807),"ERROR",IF($Z807=$Y$1,"-",0))))))))))))</f>
        <v>1</v>
      </c>
      <c r="W807" s="52">
        <f t="shared" si="813"/>
        <v>0</v>
      </c>
      <c r="X807" s="52">
        <f t="shared" si="813"/>
        <v>0</v>
      </c>
      <c r="Y807" s="52" t="str">
        <f t="shared" si="3"/>
        <v>-</v>
      </c>
      <c r="Z807" s="52" t="s">
        <v>62</v>
      </c>
      <c r="AA807" s="53">
        <f t="shared" si="4"/>
        <v>1</v>
      </c>
      <c r="AB807" s="54">
        <f>COUNTIFS(Links!B:B,"ICSE",Links!C:C,A807,Links!AD:AD,1)</f>
        <v>0</v>
      </c>
      <c r="AC807" s="55" t="s">
        <v>35</v>
      </c>
      <c r="AD807" s="47" t="str">
        <f t="shared" si="5"/>
        <v>No</v>
      </c>
      <c r="AE807" s="56" t="s">
        <v>36</v>
      </c>
      <c r="AF807" s="57" t="s">
        <v>42</v>
      </c>
      <c r="AG807" s="57" t="s">
        <v>42</v>
      </c>
      <c r="AH807" s="57" t="s">
        <v>42</v>
      </c>
      <c r="AI807" s="49" t="str">
        <f t="shared" si="661"/>
        <v>----</v>
      </c>
      <c r="AJ807" s="58" t="str">
        <f t="shared" si="7"/>
        <v>Paper has link but no statement</v>
      </c>
      <c r="AK807" s="59">
        <v>45022.0</v>
      </c>
      <c r="AL807" s="43" t="s">
        <v>43</v>
      </c>
      <c r="AM807" s="60" t="str">
        <f t="shared" si="8"/>
        <v>[IP0563]</v>
      </c>
    </row>
    <row r="808" ht="67.5" customHeight="1">
      <c r="A808" s="61">
        <v>564.0</v>
      </c>
      <c r="B808" s="22" t="s">
        <v>2172</v>
      </c>
      <c r="C808" s="23">
        <v>2021.0</v>
      </c>
      <c r="D808" s="24" t="s">
        <v>37</v>
      </c>
      <c r="E808" s="25" t="s">
        <v>37</v>
      </c>
      <c r="F808" s="25" t="s">
        <v>35</v>
      </c>
      <c r="G808" s="25" t="s">
        <v>37</v>
      </c>
      <c r="H808" s="25" t="s">
        <v>35</v>
      </c>
      <c r="I808" s="25" t="s">
        <v>35</v>
      </c>
      <c r="J808" s="26" t="s">
        <v>36</v>
      </c>
      <c r="K808" s="27" t="s">
        <v>37</v>
      </c>
      <c r="L808" s="28" t="s">
        <v>37</v>
      </c>
      <c r="M808" s="28" t="s">
        <v>35</v>
      </c>
      <c r="N808" s="28" t="s">
        <v>35</v>
      </c>
      <c r="O808" s="28" t="s">
        <v>35</v>
      </c>
      <c r="P808" s="28" t="s">
        <v>35</v>
      </c>
      <c r="Q808" s="28" t="s">
        <v>37</v>
      </c>
      <c r="R808" s="28" t="s">
        <v>37</v>
      </c>
      <c r="S808" s="29" t="s">
        <v>2173</v>
      </c>
      <c r="T808" s="30" t="s">
        <v>2174</v>
      </c>
      <c r="U808" s="31" t="s">
        <v>2174</v>
      </c>
      <c r="V808" s="32">
        <f t="shared" ref="V808:X808" si="814">IF(lenb(SUBSTITUTE($Z808,V$1&amp;" (1)",""))&lt;lenb($Z808),1,IF(lenb(SUBSTITUTE($Z808,V$1&amp;" (2)",""))&lt;lenb($Z808),2,IF(lenb(SUBSTITUTE($Z808,V$1&amp;" (3)",""))&lt;lenb($Z808),3,IF(lenb(SUBSTITUTE($Z808,V$1&amp;" (4)",""))&lt;lenb($Z808),4,IF(lenb(SUBSTITUTE($Z808,V$1&amp;" (5)",""))&lt;lenb($Z808),5,IF(lenb(SUBSTITUTE($Z808,V$1&amp;" (6)",""))&lt;lenb($Z808),6,IF(lenb(SUBSTITUTE($Z808,V$1&amp;" (7)",""))&lt;lenb($Z808),1,IF(lenb(SUBSTITUTE($Z808,V$1&amp;" (8)",""))&lt;lenb($Z808),8,IF(lenb(SUBSTITUTE($Z808,V$1&amp;" (9)",""))&lt;lenb($Z808),9,IF(lenb(SUBSTITUTE($Z808,V$1&amp;" (10)",""))&lt;lenb($Z808),10,IF(lenb(SUBSTITUTE($Z808,V$1,""))&lt;lenb($Z808),"ERROR",IF($Z808=$Y$1,"-",0))))))))))))</f>
        <v>1</v>
      </c>
      <c r="W808" s="32">
        <f t="shared" si="814"/>
        <v>0</v>
      </c>
      <c r="X808" s="32">
        <f t="shared" si="814"/>
        <v>0</v>
      </c>
      <c r="Y808" s="32" t="str">
        <f t="shared" si="3"/>
        <v>-</v>
      </c>
      <c r="Z808" s="32" t="s">
        <v>62</v>
      </c>
      <c r="AA808" s="33">
        <f t="shared" si="4"/>
        <v>1</v>
      </c>
      <c r="AB808" s="34">
        <f>COUNTIFS(Links!B:B,"ICSE",Links!C:C,A808,Links!AD:AD,1)</f>
        <v>0</v>
      </c>
      <c r="AC808" s="35" t="s">
        <v>35</v>
      </c>
      <c r="AD808" s="27" t="str">
        <f t="shared" si="5"/>
        <v>No</v>
      </c>
      <c r="AE808" s="36" t="s">
        <v>36</v>
      </c>
      <c r="AF808" s="37" t="s">
        <v>42</v>
      </c>
      <c r="AG808" s="37" t="s">
        <v>42</v>
      </c>
      <c r="AH808" s="37" t="s">
        <v>42</v>
      </c>
      <c r="AI808" s="29" t="str">
        <f t="shared" si="661"/>
        <v>----</v>
      </c>
      <c r="AJ808" s="38" t="str">
        <f t="shared" si="7"/>
        <v>Paper has link but no statement</v>
      </c>
      <c r="AK808" s="39">
        <v>45022.0</v>
      </c>
      <c r="AL808" s="23" t="s">
        <v>43</v>
      </c>
      <c r="AM808" s="40" t="str">
        <f t="shared" si="8"/>
        <v>[IP0564]</v>
      </c>
    </row>
    <row r="809" ht="67.5" customHeight="1">
      <c r="A809" s="41">
        <v>565.0</v>
      </c>
      <c r="B809" s="42" t="s">
        <v>2175</v>
      </c>
      <c r="C809" s="43">
        <v>2021.0</v>
      </c>
      <c r="D809" s="44" t="s">
        <v>37</v>
      </c>
      <c r="E809" s="45" t="s">
        <v>37</v>
      </c>
      <c r="F809" s="45" t="s">
        <v>35</v>
      </c>
      <c r="G809" s="45" t="s">
        <v>37</v>
      </c>
      <c r="H809" s="45" t="s">
        <v>35</v>
      </c>
      <c r="I809" s="45" t="s">
        <v>35</v>
      </c>
      <c r="J809" s="46" t="s">
        <v>36</v>
      </c>
      <c r="K809" s="47" t="s">
        <v>37</v>
      </c>
      <c r="L809" s="48" t="s">
        <v>37</v>
      </c>
      <c r="M809" s="48" t="s">
        <v>35</v>
      </c>
      <c r="N809" s="48" t="s">
        <v>37</v>
      </c>
      <c r="O809" s="48" t="s">
        <v>35</v>
      </c>
      <c r="P809" s="48" t="s">
        <v>35</v>
      </c>
      <c r="Q809" s="48" t="s">
        <v>35</v>
      </c>
      <c r="R809" s="48" t="s">
        <v>37</v>
      </c>
      <c r="S809" s="49" t="s">
        <v>2176</v>
      </c>
      <c r="T809" s="50" t="s">
        <v>2177</v>
      </c>
      <c r="U809" s="51" t="s">
        <v>2177</v>
      </c>
      <c r="V809" s="52">
        <f t="shared" ref="V809:X809" si="815">IF(lenb(SUBSTITUTE($Z809,V$1&amp;" (1)",""))&lt;lenb($Z809),1,IF(lenb(SUBSTITUTE($Z809,V$1&amp;" (2)",""))&lt;lenb($Z809),2,IF(lenb(SUBSTITUTE($Z809,V$1&amp;" (3)",""))&lt;lenb($Z809),3,IF(lenb(SUBSTITUTE($Z809,V$1&amp;" (4)",""))&lt;lenb($Z809),4,IF(lenb(SUBSTITUTE($Z809,V$1&amp;" (5)",""))&lt;lenb($Z809),5,IF(lenb(SUBSTITUTE($Z809,V$1&amp;" (6)",""))&lt;lenb($Z809),6,IF(lenb(SUBSTITUTE($Z809,V$1&amp;" (7)",""))&lt;lenb($Z809),1,IF(lenb(SUBSTITUTE($Z809,V$1&amp;" (8)",""))&lt;lenb($Z809),8,IF(lenb(SUBSTITUTE($Z809,V$1&amp;" (9)",""))&lt;lenb($Z809),9,IF(lenb(SUBSTITUTE($Z809,V$1&amp;" (10)",""))&lt;lenb($Z809),10,IF(lenb(SUBSTITUTE($Z809,V$1,""))&lt;lenb($Z809),"ERROR",IF($Z809=$Y$1,"-",0))))))))))))</f>
        <v>1</v>
      </c>
      <c r="W809" s="52">
        <f t="shared" si="815"/>
        <v>0</v>
      </c>
      <c r="X809" s="52">
        <f t="shared" si="815"/>
        <v>0</v>
      </c>
      <c r="Y809" s="52" t="str">
        <f t="shared" si="3"/>
        <v>-</v>
      </c>
      <c r="Z809" s="52" t="s">
        <v>62</v>
      </c>
      <c r="AA809" s="53">
        <f t="shared" si="4"/>
        <v>1</v>
      </c>
      <c r="AB809" s="54">
        <f>COUNTIFS(Links!B:B,"ICSE",Links!C:C,A809,Links!AD:AD,1)</f>
        <v>0</v>
      </c>
      <c r="AC809" s="55" t="s">
        <v>37</v>
      </c>
      <c r="AD809" s="47" t="str">
        <f t="shared" si="5"/>
        <v>No</v>
      </c>
      <c r="AE809" s="56" t="s">
        <v>36</v>
      </c>
      <c r="AF809" s="57" t="s">
        <v>42</v>
      </c>
      <c r="AG809" s="57" t="s">
        <v>42</v>
      </c>
      <c r="AH809" s="57" t="s">
        <v>42</v>
      </c>
      <c r="AI809" s="49" t="str">
        <f t="shared" si="661"/>
        <v>----</v>
      </c>
      <c r="AJ809" s="58" t="str">
        <f t="shared" si="7"/>
        <v>Paper has link but no statement</v>
      </c>
      <c r="AK809" s="59">
        <v>45022.0</v>
      </c>
      <c r="AL809" s="43" t="s">
        <v>43</v>
      </c>
      <c r="AM809" s="60" t="str">
        <f t="shared" si="8"/>
        <v>[IP0565]</v>
      </c>
    </row>
    <row r="810" ht="67.5" customHeight="1">
      <c r="A810" s="61">
        <v>566.0</v>
      </c>
      <c r="B810" s="22" t="s">
        <v>2178</v>
      </c>
      <c r="C810" s="23">
        <v>2021.0</v>
      </c>
      <c r="D810" s="24" t="s">
        <v>35</v>
      </c>
      <c r="E810" s="25" t="s">
        <v>36</v>
      </c>
      <c r="F810" s="25" t="s">
        <v>36</v>
      </c>
      <c r="G810" s="25" t="s">
        <v>36</v>
      </c>
      <c r="H810" s="25" t="s">
        <v>36</v>
      </c>
      <c r="I810" s="25" t="s">
        <v>36</v>
      </c>
      <c r="J810" s="26" t="s">
        <v>36</v>
      </c>
      <c r="K810" s="27" t="s">
        <v>37</v>
      </c>
      <c r="L810" s="28" t="s">
        <v>35</v>
      </c>
      <c r="M810" s="28" t="s">
        <v>37</v>
      </c>
      <c r="N810" s="28" t="s">
        <v>35</v>
      </c>
      <c r="O810" s="28" t="s">
        <v>35</v>
      </c>
      <c r="P810" s="28" t="s">
        <v>35</v>
      </c>
      <c r="Q810" s="28" t="s">
        <v>35</v>
      </c>
      <c r="R810" s="28" t="s">
        <v>37</v>
      </c>
      <c r="S810" s="29" t="s">
        <v>2179</v>
      </c>
      <c r="T810" s="30" t="s">
        <v>2180</v>
      </c>
      <c r="U810" s="31" t="s">
        <v>2180</v>
      </c>
      <c r="V810" s="32">
        <f t="shared" ref="V810:X810" si="816">IF(lenb(SUBSTITUTE($Z810,V$1&amp;" (1)",""))&lt;lenb($Z810),1,IF(lenb(SUBSTITUTE($Z810,V$1&amp;" (2)",""))&lt;lenb($Z810),2,IF(lenb(SUBSTITUTE($Z810,V$1&amp;" (3)",""))&lt;lenb($Z810),3,IF(lenb(SUBSTITUTE($Z810,V$1&amp;" (4)",""))&lt;lenb($Z810),4,IF(lenb(SUBSTITUTE($Z810,V$1&amp;" (5)",""))&lt;lenb($Z810),5,IF(lenb(SUBSTITUTE($Z810,V$1&amp;" (6)",""))&lt;lenb($Z810),6,IF(lenb(SUBSTITUTE($Z810,V$1&amp;" (7)",""))&lt;lenb($Z810),1,IF(lenb(SUBSTITUTE($Z810,V$1&amp;" (8)",""))&lt;lenb($Z810),8,IF(lenb(SUBSTITUTE($Z810,V$1&amp;" (9)",""))&lt;lenb($Z810),9,IF(lenb(SUBSTITUTE($Z810,V$1&amp;" (10)",""))&lt;lenb($Z810),10,IF(lenb(SUBSTITUTE($Z810,V$1,""))&lt;lenb($Z810),"ERROR",IF($Z810=$Y$1,"-",0))))))))))))</f>
        <v>1</v>
      </c>
      <c r="W810" s="32">
        <f t="shared" si="816"/>
        <v>0</v>
      </c>
      <c r="X810" s="32">
        <f t="shared" si="816"/>
        <v>0</v>
      </c>
      <c r="Y810" s="32" t="str">
        <f t="shared" si="3"/>
        <v>-</v>
      </c>
      <c r="Z810" s="32" t="s">
        <v>62</v>
      </c>
      <c r="AA810" s="33">
        <f t="shared" si="4"/>
        <v>1</v>
      </c>
      <c r="AB810" s="34">
        <f>COUNTIFS(Links!B:B,"ICSE",Links!C:C,A810,Links!AD:AD,1)</f>
        <v>0</v>
      </c>
      <c r="AC810" s="35" t="s">
        <v>37</v>
      </c>
      <c r="AD810" s="27" t="str">
        <f t="shared" si="5"/>
        <v>No</v>
      </c>
      <c r="AE810" s="36" t="s">
        <v>36</v>
      </c>
      <c r="AF810" s="37" t="s">
        <v>42</v>
      </c>
      <c r="AG810" s="37" t="s">
        <v>42</v>
      </c>
      <c r="AH810" s="37" t="s">
        <v>42</v>
      </c>
      <c r="AI810" s="29" t="str">
        <f t="shared" si="661"/>
        <v>----</v>
      </c>
      <c r="AJ810" s="38" t="str">
        <f t="shared" si="7"/>
        <v>Paper has link but no statement</v>
      </c>
      <c r="AK810" s="39">
        <v>45022.0</v>
      </c>
      <c r="AL810" s="23" t="s">
        <v>43</v>
      </c>
      <c r="AM810" s="40" t="str">
        <f t="shared" si="8"/>
        <v>[IP0566]</v>
      </c>
    </row>
    <row r="811" ht="67.5" customHeight="1">
      <c r="A811" s="41">
        <v>567.0</v>
      </c>
      <c r="B811" s="42" t="s">
        <v>2181</v>
      </c>
      <c r="C811" s="43">
        <v>2021.0</v>
      </c>
      <c r="D811" s="44" t="s">
        <v>35</v>
      </c>
      <c r="E811" s="45" t="s">
        <v>36</v>
      </c>
      <c r="F811" s="45" t="s">
        <v>36</v>
      </c>
      <c r="G811" s="45" t="s">
        <v>36</v>
      </c>
      <c r="H811" s="45" t="s">
        <v>36</v>
      </c>
      <c r="I811" s="45" t="s">
        <v>36</v>
      </c>
      <c r="J811" s="46" t="s">
        <v>36</v>
      </c>
      <c r="K811" s="47" t="s">
        <v>37</v>
      </c>
      <c r="L811" s="48" t="s">
        <v>35</v>
      </c>
      <c r="M811" s="48" t="s">
        <v>37</v>
      </c>
      <c r="N811" s="48" t="s">
        <v>35</v>
      </c>
      <c r="O811" s="48" t="s">
        <v>35</v>
      </c>
      <c r="P811" s="48" t="s">
        <v>35</v>
      </c>
      <c r="Q811" s="48" t="s">
        <v>37</v>
      </c>
      <c r="R811" s="48" t="s">
        <v>37</v>
      </c>
      <c r="S811" s="49" t="s">
        <v>2182</v>
      </c>
      <c r="T811" s="51" t="s">
        <v>2183</v>
      </c>
      <c r="U811" s="51" t="s">
        <v>2184</v>
      </c>
      <c r="V811" s="52">
        <f t="shared" ref="V811:X811" si="817">IF(lenb(SUBSTITUTE($Z811,V$1&amp;" (1)",""))&lt;lenb($Z811),1,IF(lenb(SUBSTITUTE($Z811,V$1&amp;" (2)",""))&lt;lenb($Z811),2,IF(lenb(SUBSTITUTE($Z811,V$1&amp;" (3)",""))&lt;lenb($Z811),3,IF(lenb(SUBSTITUTE($Z811,V$1&amp;" (4)",""))&lt;lenb($Z811),4,IF(lenb(SUBSTITUTE($Z811,V$1&amp;" (5)",""))&lt;lenb($Z811),5,IF(lenb(SUBSTITUTE($Z811,V$1&amp;" (6)",""))&lt;lenb($Z811),6,IF(lenb(SUBSTITUTE($Z811,V$1&amp;" (7)",""))&lt;lenb($Z811),1,IF(lenb(SUBSTITUTE($Z811,V$1&amp;" (8)",""))&lt;lenb($Z811),8,IF(lenb(SUBSTITUTE($Z811,V$1&amp;" (9)",""))&lt;lenb($Z811),9,IF(lenb(SUBSTITUTE($Z811,V$1&amp;" (10)",""))&lt;lenb($Z811),10,IF(lenb(SUBSTITUTE($Z811,V$1,""))&lt;lenb($Z811),"ERROR",IF($Z811=$Y$1,"-",0))))))))))))</f>
        <v>1</v>
      </c>
      <c r="W811" s="52">
        <f t="shared" si="817"/>
        <v>0</v>
      </c>
      <c r="X811" s="52">
        <f t="shared" si="817"/>
        <v>0</v>
      </c>
      <c r="Y811" s="52" t="str">
        <f t="shared" si="3"/>
        <v>-</v>
      </c>
      <c r="Z811" s="52" t="s">
        <v>62</v>
      </c>
      <c r="AA811" s="53">
        <f t="shared" si="4"/>
        <v>1</v>
      </c>
      <c r="AB811" s="54">
        <f>COUNTIFS(Links!B:B,"ICSE",Links!C:C,A811,Links!AD:AD,1)</f>
        <v>0</v>
      </c>
      <c r="AC811" s="55" t="s">
        <v>37</v>
      </c>
      <c r="AD811" s="47" t="str">
        <f t="shared" si="5"/>
        <v>No</v>
      </c>
      <c r="AE811" s="56" t="s">
        <v>36</v>
      </c>
      <c r="AF811" s="57" t="s">
        <v>42</v>
      </c>
      <c r="AG811" s="57" t="s">
        <v>42</v>
      </c>
      <c r="AH811" s="57" t="s">
        <v>42</v>
      </c>
      <c r="AI811" s="49" t="str">
        <f t="shared" si="661"/>
        <v>----</v>
      </c>
      <c r="AJ811" s="58" t="str">
        <f t="shared" si="7"/>
        <v>Paper has link but no statement</v>
      </c>
      <c r="AK811" s="59">
        <v>45022.0</v>
      </c>
      <c r="AL811" s="43" t="s">
        <v>43</v>
      </c>
      <c r="AM811" s="60" t="str">
        <f t="shared" si="8"/>
        <v>[IP0567]</v>
      </c>
    </row>
    <row r="812" ht="67.5" customHeight="1">
      <c r="A812" s="61">
        <v>568.0</v>
      </c>
      <c r="B812" s="22" t="s">
        <v>2185</v>
      </c>
      <c r="C812" s="23">
        <v>2021.0</v>
      </c>
      <c r="D812" s="24" t="s">
        <v>37</v>
      </c>
      <c r="E812" s="25" t="s">
        <v>37</v>
      </c>
      <c r="F812" s="25" t="s">
        <v>35</v>
      </c>
      <c r="G812" s="25" t="s">
        <v>37</v>
      </c>
      <c r="H812" s="25" t="s">
        <v>35</v>
      </c>
      <c r="I812" s="25" t="s">
        <v>35</v>
      </c>
      <c r="J812" s="26" t="s">
        <v>36</v>
      </c>
      <c r="K812" s="27" t="s">
        <v>37</v>
      </c>
      <c r="L812" s="28" t="s">
        <v>37</v>
      </c>
      <c r="M812" s="28" t="s">
        <v>35</v>
      </c>
      <c r="N812" s="28" t="s">
        <v>35</v>
      </c>
      <c r="O812" s="28" t="s">
        <v>35</v>
      </c>
      <c r="P812" s="28" t="s">
        <v>35</v>
      </c>
      <c r="Q812" s="28" t="s">
        <v>35</v>
      </c>
      <c r="R812" s="28" t="s">
        <v>37</v>
      </c>
      <c r="S812" s="29" t="s">
        <v>1876</v>
      </c>
      <c r="T812" s="30" t="s">
        <v>2186</v>
      </c>
      <c r="U812" s="31" t="s">
        <v>2186</v>
      </c>
      <c r="V812" s="32">
        <f t="shared" ref="V812:X812" si="818">IF(lenb(SUBSTITUTE($Z812,V$1&amp;" (1)",""))&lt;lenb($Z812),1,IF(lenb(SUBSTITUTE($Z812,V$1&amp;" (2)",""))&lt;lenb($Z812),2,IF(lenb(SUBSTITUTE($Z812,V$1&amp;" (3)",""))&lt;lenb($Z812),3,IF(lenb(SUBSTITUTE($Z812,V$1&amp;" (4)",""))&lt;lenb($Z812),4,IF(lenb(SUBSTITUTE($Z812,V$1&amp;" (5)",""))&lt;lenb($Z812),5,IF(lenb(SUBSTITUTE($Z812,V$1&amp;" (6)",""))&lt;lenb($Z812),6,IF(lenb(SUBSTITUTE($Z812,V$1&amp;" (7)",""))&lt;lenb($Z812),1,IF(lenb(SUBSTITUTE($Z812,V$1&amp;" (8)",""))&lt;lenb($Z812),8,IF(lenb(SUBSTITUTE($Z812,V$1&amp;" (9)",""))&lt;lenb($Z812),9,IF(lenb(SUBSTITUTE($Z812,V$1&amp;" (10)",""))&lt;lenb($Z812),10,IF(lenb(SUBSTITUTE($Z812,V$1,""))&lt;lenb($Z812),"ERROR",IF($Z812=$Y$1,"-",0))))))))))))</f>
        <v>1</v>
      </c>
      <c r="W812" s="32">
        <f t="shared" si="818"/>
        <v>0</v>
      </c>
      <c r="X812" s="32">
        <f t="shared" si="818"/>
        <v>0</v>
      </c>
      <c r="Y812" s="32" t="str">
        <f t="shared" si="3"/>
        <v>-</v>
      </c>
      <c r="Z812" s="32" t="s">
        <v>62</v>
      </c>
      <c r="AA812" s="33">
        <f t="shared" si="4"/>
        <v>1</v>
      </c>
      <c r="AB812" s="34">
        <f>COUNTIFS(Links!B:B,"ICSE",Links!C:C,A812,Links!AD:AD,1)</f>
        <v>0</v>
      </c>
      <c r="AC812" s="35" t="s">
        <v>35</v>
      </c>
      <c r="AD812" s="27" t="str">
        <f t="shared" si="5"/>
        <v>No</v>
      </c>
      <c r="AE812" s="36" t="s">
        <v>36</v>
      </c>
      <c r="AF812" s="37" t="s">
        <v>42</v>
      </c>
      <c r="AG812" s="37" t="s">
        <v>42</v>
      </c>
      <c r="AH812" s="37" t="s">
        <v>42</v>
      </c>
      <c r="AI812" s="29" t="str">
        <f t="shared" si="661"/>
        <v>----</v>
      </c>
      <c r="AJ812" s="38" t="str">
        <f t="shared" si="7"/>
        <v>Paper has link but no statement</v>
      </c>
      <c r="AK812" s="39">
        <v>45022.0</v>
      </c>
      <c r="AL812" s="23" t="s">
        <v>43</v>
      </c>
      <c r="AM812" s="40" t="str">
        <f t="shared" si="8"/>
        <v>[IP0568]</v>
      </c>
    </row>
    <row r="813" ht="67.5" customHeight="1">
      <c r="A813" s="41">
        <v>569.0</v>
      </c>
      <c r="B813" s="42" t="s">
        <v>2187</v>
      </c>
      <c r="C813" s="43">
        <v>2021.0</v>
      </c>
      <c r="D813" s="44" t="s">
        <v>35</v>
      </c>
      <c r="E813" s="45" t="s">
        <v>36</v>
      </c>
      <c r="F813" s="45" t="s">
        <v>36</v>
      </c>
      <c r="G813" s="45" t="s">
        <v>36</v>
      </c>
      <c r="H813" s="45" t="s">
        <v>36</v>
      </c>
      <c r="I813" s="45" t="s">
        <v>36</v>
      </c>
      <c r="J813" s="46" t="s">
        <v>36</v>
      </c>
      <c r="K813" s="47" t="s">
        <v>37</v>
      </c>
      <c r="L813" s="48" t="s">
        <v>37</v>
      </c>
      <c r="M813" s="48" t="s">
        <v>35</v>
      </c>
      <c r="N813" s="48" t="s">
        <v>37</v>
      </c>
      <c r="O813" s="48" t="s">
        <v>35</v>
      </c>
      <c r="P813" s="48" t="s">
        <v>35</v>
      </c>
      <c r="Q813" s="48" t="s">
        <v>35</v>
      </c>
      <c r="R813" s="48" t="s">
        <v>35</v>
      </c>
      <c r="S813" s="49" t="s">
        <v>1959</v>
      </c>
      <c r="T813" s="50" t="s">
        <v>2188</v>
      </c>
      <c r="U813" s="51" t="s">
        <v>2188</v>
      </c>
      <c r="V813" s="52">
        <f t="shared" ref="V813:X813" si="819">IF(lenb(SUBSTITUTE($Z813,V$1&amp;" (1)",""))&lt;lenb($Z813),1,IF(lenb(SUBSTITUTE($Z813,V$1&amp;" (2)",""))&lt;lenb($Z813),2,IF(lenb(SUBSTITUTE($Z813,V$1&amp;" (3)",""))&lt;lenb($Z813),3,IF(lenb(SUBSTITUTE($Z813,V$1&amp;" (4)",""))&lt;lenb($Z813),4,IF(lenb(SUBSTITUTE($Z813,V$1&amp;" (5)",""))&lt;lenb($Z813),5,IF(lenb(SUBSTITUTE($Z813,V$1&amp;" (6)",""))&lt;lenb($Z813),6,IF(lenb(SUBSTITUTE($Z813,V$1&amp;" (7)",""))&lt;lenb($Z813),1,IF(lenb(SUBSTITUTE($Z813,V$1&amp;" (8)",""))&lt;lenb($Z813),8,IF(lenb(SUBSTITUTE($Z813,V$1&amp;" (9)",""))&lt;lenb($Z813),9,IF(lenb(SUBSTITUTE($Z813,V$1&amp;" (10)",""))&lt;lenb($Z813),10,IF(lenb(SUBSTITUTE($Z813,V$1,""))&lt;lenb($Z813),"ERROR",IF($Z813=$Y$1,"-",0))))))))))))</f>
        <v>1</v>
      </c>
      <c r="W813" s="52">
        <f t="shared" si="819"/>
        <v>0</v>
      </c>
      <c r="X813" s="52">
        <f t="shared" si="819"/>
        <v>0</v>
      </c>
      <c r="Y813" s="52" t="str">
        <f t="shared" si="3"/>
        <v>-</v>
      </c>
      <c r="Z813" s="52" t="s">
        <v>62</v>
      </c>
      <c r="AA813" s="53">
        <f t="shared" si="4"/>
        <v>1</v>
      </c>
      <c r="AB813" s="54">
        <f>COUNTIFS(Links!B:B,"ICSE",Links!C:C,A813,Links!AD:AD,1)</f>
        <v>0</v>
      </c>
      <c r="AC813" s="55" t="s">
        <v>35</v>
      </c>
      <c r="AD813" s="47" t="str">
        <f t="shared" si="5"/>
        <v>No</v>
      </c>
      <c r="AE813" s="56" t="s">
        <v>36</v>
      </c>
      <c r="AF813" s="57" t="s">
        <v>42</v>
      </c>
      <c r="AG813" s="57" t="s">
        <v>42</v>
      </c>
      <c r="AH813" s="57" t="s">
        <v>42</v>
      </c>
      <c r="AI813" s="49" t="str">
        <f t="shared" si="661"/>
        <v>----</v>
      </c>
      <c r="AJ813" s="58" t="str">
        <f t="shared" si="7"/>
        <v>Paper has link but no statement</v>
      </c>
      <c r="AK813" s="59">
        <v>45022.0</v>
      </c>
      <c r="AL813" s="43" t="s">
        <v>43</v>
      </c>
      <c r="AM813" s="60" t="str">
        <f t="shared" si="8"/>
        <v>[IP0569]</v>
      </c>
    </row>
    <row r="814" ht="67.5" customHeight="1">
      <c r="A814" s="61">
        <v>570.0</v>
      </c>
      <c r="B814" s="22" t="s">
        <v>2189</v>
      </c>
      <c r="C814" s="23">
        <v>2021.0</v>
      </c>
      <c r="D814" s="24" t="s">
        <v>35</v>
      </c>
      <c r="E814" s="25" t="s">
        <v>36</v>
      </c>
      <c r="F814" s="25" t="s">
        <v>36</v>
      </c>
      <c r="G814" s="25" t="s">
        <v>36</v>
      </c>
      <c r="H814" s="25" t="s">
        <v>36</v>
      </c>
      <c r="I814" s="25" t="s">
        <v>36</v>
      </c>
      <c r="J814" s="26" t="s">
        <v>36</v>
      </c>
      <c r="K814" s="27" t="s">
        <v>35</v>
      </c>
      <c r="L814" s="28" t="s">
        <v>36</v>
      </c>
      <c r="M814" s="28" t="s">
        <v>36</v>
      </c>
      <c r="N814" s="28" t="s">
        <v>36</v>
      </c>
      <c r="O814" s="28" t="s">
        <v>36</v>
      </c>
      <c r="P814" s="28" t="s">
        <v>36</v>
      </c>
      <c r="Q814" s="28" t="s">
        <v>36</v>
      </c>
      <c r="R814" s="28" t="s">
        <v>36</v>
      </c>
      <c r="S814" s="29" t="s">
        <v>36</v>
      </c>
      <c r="T814" s="30" t="s">
        <v>36</v>
      </c>
      <c r="U814" s="31" t="s">
        <v>36</v>
      </c>
      <c r="V814" s="32" t="str">
        <f t="shared" ref="V814:X814" si="820">IF(lenb(SUBSTITUTE($Z814,V$1&amp;" (1)",""))&lt;lenb($Z814),1,IF(lenb(SUBSTITUTE($Z814,V$1&amp;" (2)",""))&lt;lenb($Z814),2,IF(lenb(SUBSTITUTE($Z814,V$1&amp;" (3)",""))&lt;lenb($Z814),3,IF(lenb(SUBSTITUTE($Z814,V$1&amp;" (4)",""))&lt;lenb($Z814),4,IF(lenb(SUBSTITUTE($Z814,V$1&amp;" (5)",""))&lt;lenb($Z814),5,IF(lenb(SUBSTITUTE($Z814,V$1&amp;" (6)",""))&lt;lenb($Z814),6,IF(lenb(SUBSTITUTE($Z814,V$1&amp;" (7)",""))&lt;lenb($Z814),1,IF(lenb(SUBSTITUTE($Z814,V$1&amp;" (8)",""))&lt;lenb($Z814),8,IF(lenb(SUBSTITUTE($Z814,V$1&amp;" (9)",""))&lt;lenb($Z814),9,IF(lenb(SUBSTITUTE($Z814,V$1&amp;" (10)",""))&lt;lenb($Z814),10,IF(lenb(SUBSTITUTE($Z814,V$1,""))&lt;lenb($Z814),"ERROR",IF($Z814=$Y$1,"-",0))))))))))))</f>
        <v>-</v>
      </c>
      <c r="W814" s="32" t="str">
        <f t="shared" si="820"/>
        <v>-</v>
      </c>
      <c r="X814" s="32" t="str">
        <f t="shared" si="820"/>
        <v>-</v>
      </c>
      <c r="Y814" s="32">
        <f t="shared" si="3"/>
        <v>1</v>
      </c>
      <c r="Z814" s="32" t="s">
        <v>23</v>
      </c>
      <c r="AA814" s="33">
        <f t="shared" si="4"/>
        <v>0</v>
      </c>
      <c r="AB814" s="34">
        <f>COUNTIFS(Links!B:B,"ICSE",Links!C:C,A814,Links!AD:AD,1)</f>
        <v>0</v>
      </c>
      <c r="AC814" s="35" t="s">
        <v>36</v>
      </c>
      <c r="AD814" s="27" t="str">
        <f t="shared" si="5"/>
        <v>No</v>
      </c>
      <c r="AE814" s="36" t="s">
        <v>36</v>
      </c>
      <c r="AF814" s="37" t="s">
        <v>42</v>
      </c>
      <c r="AG814" s="37" t="s">
        <v>42</v>
      </c>
      <c r="AH814" s="37" t="s">
        <v>42</v>
      </c>
      <c r="AI814" s="29" t="str">
        <f t="shared" si="661"/>
        <v>----</v>
      </c>
      <c r="AJ814" s="38" t="str">
        <f t="shared" si="7"/>
        <v>Paper has no link and no statement</v>
      </c>
      <c r="AK814" s="39">
        <v>45022.0</v>
      </c>
      <c r="AL814" s="23" t="s">
        <v>43</v>
      </c>
      <c r="AM814" s="40" t="str">
        <f t="shared" si="8"/>
        <v>[IP0570]</v>
      </c>
    </row>
    <row r="815" ht="67.5" customHeight="1">
      <c r="A815" s="41">
        <v>571.0</v>
      </c>
      <c r="B815" s="42" t="s">
        <v>2190</v>
      </c>
      <c r="C815" s="43">
        <v>2021.0</v>
      </c>
      <c r="D815" s="44" t="s">
        <v>37</v>
      </c>
      <c r="E815" s="45" t="s">
        <v>37</v>
      </c>
      <c r="F815" s="45" t="s">
        <v>35</v>
      </c>
      <c r="G815" s="45" t="s">
        <v>37</v>
      </c>
      <c r="H815" s="45" t="s">
        <v>35</v>
      </c>
      <c r="I815" s="45" t="s">
        <v>35</v>
      </c>
      <c r="J815" s="46" t="s">
        <v>36</v>
      </c>
      <c r="K815" s="47" t="s">
        <v>37</v>
      </c>
      <c r="L815" s="48" t="s">
        <v>35</v>
      </c>
      <c r="M815" s="48" t="s">
        <v>35</v>
      </c>
      <c r="N815" s="48" t="s">
        <v>37</v>
      </c>
      <c r="O815" s="48" t="s">
        <v>35</v>
      </c>
      <c r="P815" s="48" t="s">
        <v>35</v>
      </c>
      <c r="Q815" s="48" t="s">
        <v>35</v>
      </c>
      <c r="R815" s="48" t="s">
        <v>35</v>
      </c>
      <c r="S815" s="49" t="s">
        <v>2015</v>
      </c>
      <c r="T815" s="50" t="s">
        <v>2191</v>
      </c>
      <c r="U815" s="51" t="s">
        <v>2191</v>
      </c>
      <c r="V815" s="52">
        <f t="shared" ref="V815:X815" si="821">IF(lenb(SUBSTITUTE($Z815,V$1&amp;" (1)",""))&lt;lenb($Z815),1,IF(lenb(SUBSTITUTE($Z815,V$1&amp;" (2)",""))&lt;lenb($Z815),2,IF(lenb(SUBSTITUTE($Z815,V$1&amp;" (3)",""))&lt;lenb($Z815),3,IF(lenb(SUBSTITUTE($Z815,V$1&amp;" (4)",""))&lt;lenb($Z815),4,IF(lenb(SUBSTITUTE($Z815,V$1&amp;" (5)",""))&lt;lenb($Z815),5,IF(lenb(SUBSTITUTE($Z815,V$1&amp;" (6)",""))&lt;lenb($Z815),6,IF(lenb(SUBSTITUTE($Z815,V$1&amp;" (7)",""))&lt;lenb($Z815),1,IF(lenb(SUBSTITUTE($Z815,V$1&amp;" (8)",""))&lt;lenb($Z815),8,IF(lenb(SUBSTITUTE($Z815,V$1&amp;" (9)",""))&lt;lenb($Z815),9,IF(lenb(SUBSTITUTE($Z815,V$1&amp;" (10)",""))&lt;lenb($Z815),10,IF(lenb(SUBSTITUTE($Z815,V$1,""))&lt;lenb($Z815),"ERROR",IF($Z815=$Y$1,"-",0))))))))))))</f>
        <v>1</v>
      </c>
      <c r="W815" s="52">
        <f t="shared" si="821"/>
        <v>0</v>
      </c>
      <c r="X815" s="52">
        <f t="shared" si="821"/>
        <v>0</v>
      </c>
      <c r="Y815" s="52" t="str">
        <f t="shared" si="3"/>
        <v>-</v>
      </c>
      <c r="Z815" s="52" t="s">
        <v>62</v>
      </c>
      <c r="AA815" s="53">
        <f t="shared" si="4"/>
        <v>1</v>
      </c>
      <c r="AB815" s="54">
        <f>COUNTIFS(Links!B:B,"ICSE",Links!C:C,A815,Links!AD:AD,1)</f>
        <v>0</v>
      </c>
      <c r="AC815" s="55" t="s">
        <v>35</v>
      </c>
      <c r="AD815" s="47" t="str">
        <f t="shared" si="5"/>
        <v>No</v>
      </c>
      <c r="AE815" s="56" t="s">
        <v>36</v>
      </c>
      <c r="AF815" s="57" t="s">
        <v>42</v>
      </c>
      <c r="AG815" s="57" t="s">
        <v>42</v>
      </c>
      <c r="AH815" s="57" t="s">
        <v>42</v>
      </c>
      <c r="AI815" s="49" t="str">
        <f t="shared" si="661"/>
        <v>----</v>
      </c>
      <c r="AJ815" s="58" t="str">
        <f t="shared" si="7"/>
        <v>Paper has link but no statement</v>
      </c>
      <c r="AK815" s="59">
        <v>45022.0</v>
      </c>
      <c r="AL815" s="43" t="s">
        <v>43</v>
      </c>
      <c r="AM815" s="60" t="str">
        <f t="shared" si="8"/>
        <v>[IP0571]</v>
      </c>
    </row>
    <row r="816" ht="67.5" customHeight="1">
      <c r="A816" s="61">
        <v>572.0</v>
      </c>
      <c r="B816" s="22" t="s">
        <v>2192</v>
      </c>
      <c r="C816" s="23">
        <v>2021.0</v>
      </c>
      <c r="D816" s="24" t="s">
        <v>37</v>
      </c>
      <c r="E816" s="25" t="s">
        <v>37</v>
      </c>
      <c r="F816" s="25" t="s">
        <v>35</v>
      </c>
      <c r="G816" s="25" t="s">
        <v>37</v>
      </c>
      <c r="H816" s="25" t="s">
        <v>35</v>
      </c>
      <c r="I816" s="25" t="s">
        <v>35</v>
      </c>
      <c r="J816" s="26" t="s">
        <v>36</v>
      </c>
      <c r="K816" s="27" t="s">
        <v>37</v>
      </c>
      <c r="L816" s="28" t="s">
        <v>37</v>
      </c>
      <c r="M816" s="28" t="s">
        <v>35</v>
      </c>
      <c r="N816" s="28" t="s">
        <v>35</v>
      </c>
      <c r="O816" s="28" t="s">
        <v>35</v>
      </c>
      <c r="P816" s="28" t="s">
        <v>35</v>
      </c>
      <c r="Q816" s="28" t="s">
        <v>35</v>
      </c>
      <c r="R816" s="28" t="s">
        <v>37</v>
      </c>
      <c r="S816" s="29" t="s">
        <v>2193</v>
      </c>
      <c r="T816" s="30" t="s">
        <v>2194</v>
      </c>
      <c r="U816" s="31" t="s">
        <v>2194</v>
      </c>
      <c r="V816" s="32">
        <f t="shared" ref="V816:X816" si="822">IF(lenb(SUBSTITUTE($Z816,V$1&amp;" (1)",""))&lt;lenb($Z816),1,IF(lenb(SUBSTITUTE($Z816,V$1&amp;" (2)",""))&lt;lenb($Z816),2,IF(lenb(SUBSTITUTE($Z816,V$1&amp;" (3)",""))&lt;lenb($Z816),3,IF(lenb(SUBSTITUTE($Z816,V$1&amp;" (4)",""))&lt;lenb($Z816),4,IF(lenb(SUBSTITUTE($Z816,V$1&amp;" (5)",""))&lt;lenb($Z816),5,IF(lenb(SUBSTITUTE($Z816,V$1&amp;" (6)",""))&lt;lenb($Z816),6,IF(lenb(SUBSTITUTE($Z816,V$1&amp;" (7)",""))&lt;lenb($Z816),1,IF(lenb(SUBSTITUTE($Z816,V$1&amp;" (8)",""))&lt;lenb($Z816),8,IF(lenb(SUBSTITUTE($Z816,V$1&amp;" (9)",""))&lt;lenb($Z816),9,IF(lenb(SUBSTITUTE($Z816,V$1&amp;" (10)",""))&lt;lenb($Z816),10,IF(lenb(SUBSTITUTE($Z816,V$1,""))&lt;lenb($Z816),"ERROR",IF($Z816=$Y$1,"-",0))))))))))))</f>
        <v>1</v>
      </c>
      <c r="W816" s="32">
        <f t="shared" si="822"/>
        <v>0</v>
      </c>
      <c r="X816" s="32">
        <f t="shared" si="822"/>
        <v>0</v>
      </c>
      <c r="Y816" s="32" t="str">
        <f t="shared" si="3"/>
        <v>-</v>
      </c>
      <c r="Z816" s="32" t="s">
        <v>62</v>
      </c>
      <c r="AA816" s="33">
        <f t="shared" si="4"/>
        <v>1</v>
      </c>
      <c r="AB816" s="34">
        <f>COUNTIFS(Links!B:B,"ICSE",Links!C:C,A816,Links!AD:AD,1)</f>
        <v>0</v>
      </c>
      <c r="AC816" s="35" t="s">
        <v>35</v>
      </c>
      <c r="AD816" s="27" t="str">
        <f t="shared" si="5"/>
        <v>No</v>
      </c>
      <c r="AE816" s="36" t="s">
        <v>36</v>
      </c>
      <c r="AF816" s="37" t="s">
        <v>42</v>
      </c>
      <c r="AG816" s="37" t="s">
        <v>42</v>
      </c>
      <c r="AH816" s="37" t="s">
        <v>42</v>
      </c>
      <c r="AI816" s="29" t="str">
        <f t="shared" si="661"/>
        <v>----</v>
      </c>
      <c r="AJ816" s="38" t="str">
        <f t="shared" si="7"/>
        <v>Paper has link but no statement</v>
      </c>
      <c r="AK816" s="39">
        <v>45022.0</v>
      </c>
      <c r="AL816" s="23" t="s">
        <v>43</v>
      </c>
      <c r="AM816" s="40" t="str">
        <f t="shared" si="8"/>
        <v>[IP0572]</v>
      </c>
    </row>
    <row r="817" ht="67.5" customHeight="1">
      <c r="A817" s="41">
        <v>573.0</v>
      </c>
      <c r="B817" s="42" t="s">
        <v>2195</v>
      </c>
      <c r="C817" s="43">
        <v>2021.0</v>
      </c>
      <c r="D817" s="44" t="s">
        <v>37</v>
      </c>
      <c r="E817" s="45" t="s">
        <v>37</v>
      </c>
      <c r="F817" s="45" t="s">
        <v>35</v>
      </c>
      <c r="G817" s="45" t="s">
        <v>37</v>
      </c>
      <c r="H817" s="45" t="s">
        <v>35</v>
      </c>
      <c r="I817" s="45" t="s">
        <v>35</v>
      </c>
      <c r="J817" s="46" t="s">
        <v>36</v>
      </c>
      <c r="K817" s="47" t="s">
        <v>37</v>
      </c>
      <c r="L817" s="48" t="s">
        <v>37</v>
      </c>
      <c r="M817" s="48" t="s">
        <v>35</v>
      </c>
      <c r="N817" s="48" t="s">
        <v>35</v>
      </c>
      <c r="O817" s="48" t="s">
        <v>35</v>
      </c>
      <c r="P817" s="48" t="s">
        <v>35</v>
      </c>
      <c r="Q817" s="48" t="s">
        <v>35</v>
      </c>
      <c r="R817" s="48" t="s">
        <v>37</v>
      </c>
      <c r="S817" s="49" t="s">
        <v>2196</v>
      </c>
      <c r="T817" s="50" t="s">
        <v>2197</v>
      </c>
      <c r="U817" s="51" t="s">
        <v>2198</v>
      </c>
      <c r="V817" s="52">
        <f t="shared" ref="V817:X817" si="823">IF(lenb(SUBSTITUTE($Z817,V$1&amp;" (1)",""))&lt;lenb($Z817),1,IF(lenb(SUBSTITUTE($Z817,V$1&amp;" (2)",""))&lt;lenb($Z817),2,IF(lenb(SUBSTITUTE($Z817,V$1&amp;" (3)",""))&lt;lenb($Z817),3,IF(lenb(SUBSTITUTE($Z817,V$1&amp;" (4)",""))&lt;lenb($Z817),4,IF(lenb(SUBSTITUTE($Z817,V$1&amp;" (5)",""))&lt;lenb($Z817),5,IF(lenb(SUBSTITUTE($Z817,V$1&amp;" (6)",""))&lt;lenb($Z817),6,IF(lenb(SUBSTITUTE($Z817,V$1&amp;" (7)",""))&lt;lenb($Z817),1,IF(lenb(SUBSTITUTE($Z817,V$1&amp;" (8)",""))&lt;lenb($Z817),8,IF(lenb(SUBSTITUTE($Z817,V$1&amp;" (9)",""))&lt;lenb($Z817),9,IF(lenb(SUBSTITUTE($Z817,V$1&amp;" (10)",""))&lt;lenb($Z817),10,IF(lenb(SUBSTITUTE($Z817,V$1,""))&lt;lenb($Z817),"ERROR",IF($Z817=$Y$1,"-",0))))))))))))</f>
        <v>2</v>
      </c>
      <c r="W817" s="52">
        <f t="shared" si="823"/>
        <v>0</v>
      </c>
      <c r="X817" s="52">
        <f t="shared" si="823"/>
        <v>0</v>
      </c>
      <c r="Y817" s="52" t="str">
        <f t="shared" si="3"/>
        <v>-</v>
      </c>
      <c r="Z817" s="52" t="s">
        <v>57</v>
      </c>
      <c r="AA817" s="53">
        <f t="shared" si="4"/>
        <v>2</v>
      </c>
      <c r="AB817" s="54">
        <f>COUNTIFS(Links!B:B,"ICSE",Links!C:C,A817,Links!AD:AD,1)</f>
        <v>1</v>
      </c>
      <c r="AC817" s="55" t="s">
        <v>35</v>
      </c>
      <c r="AD817" s="47" t="str">
        <f t="shared" si="5"/>
        <v>No</v>
      </c>
      <c r="AE817" s="56" t="s">
        <v>36</v>
      </c>
      <c r="AF817" s="57" t="s">
        <v>42</v>
      </c>
      <c r="AG817" s="57" t="s">
        <v>42</v>
      </c>
      <c r="AH817" s="57" t="s">
        <v>42</v>
      </c>
      <c r="AI817" s="49" t="str">
        <f t="shared" si="661"/>
        <v>----</v>
      </c>
      <c r="AJ817" s="58" t="str">
        <f t="shared" si="7"/>
        <v>Paper has link but no statement</v>
      </c>
      <c r="AK817" s="59">
        <v>45022.0</v>
      </c>
      <c r="AL817" s="43" t="s">
        <v>43</v>
      </c>
      <c r="AM817" s="60" t="str">
        <f t="shared" si="8"/>
        <v>[IP0573]</v>
      </c>
    </row>
    <row r="818" ht="67.5" customHeight="1">
      <c r="A818" s="61">
        <v>574.0</v>
      </c>
      <c r="B818" s="22" t="s">
        <v>2199</v>
      </c>
      <c r="C818" s="23">
        <v>2021.0</v>
      </c>
      <c r="D818" s="24" t="s">
        <v>35</v>
      </c>
      <c r="E818" s="25" t="s">
        <v>36</v>
      </c>
      <c r="F818" s="25" t="s">
        <v>36</v>
      </c>
      <c r="G818" s="25" t="s">
        <v>36</v>
      </c>
      <c r="H818" s="25" t="s">
        <v>36</v>
      </c>
      <c r="I818" s="25" t="s">
        <v>36</v>
      </c>
      <c r="J818" s="26" t="s">
        <v>36</v>
      </c>
      <c r="K818" s="27" t="s">
        <v>37</v>
      </c>
      <c r="L818" s="28" t="s">
        <v>37</v>
      </c>
      <c r="M818" s="28" t="s">
        <v>35</v>
      </c>
      <c r="N818" s="28" t="s">
        <v>35</v>
      </c>
      <c r="O818" s="28" t="s">
        <v>35</v>
      </c>
      <c r="P818" s="28" t="s">
        <v>35</v>
      </c>
      <c r="Q818" s="28" t="s">
        <v>35</v>
      </c>
      <c r="R818" s="28" t="s">
        <v>37</v>
      </c>
      <c r="S818" s="29" t="s">
        <v>2200</v>
      </c>
      <c r="T818" s="30" t="s">
        <v>2201</v>
      </c>
      <c r="U818" s="31" t="s">
        <v>2202</v>
      </c>
      <c r="V818" s="32">
        <f t="shared" ref="V818:X818" si="824">IF(lenb(SUBSTITUTE($Z818,V$1&amp;" (1)",""))&lt;lenb($Z818),1,IF(lenb(SUBSTITUTE($Z818,V$1&amp;" (2)",""))&lt;lenb($Z818),2,IF(lenb(SUBSTITUTE($Z818,V$1&amp;" (3)",""))&lt;lenb($Z818),3,IF(lenb(SUBSTITUTE($Z818,V$1&amp;" (4)",""))&lt;lenb($Z818),4,IF(lenb(SUBSTITUTE($Z818,V$1&amp;" (5)",""))&lt;lenb($Z818),5,IF(lenb(SUBSTITUTE($Z818,V$1&amp;" (6)",""))&lt;lenb($Z818),6,IF(lenb(SUBSTITUTE($Z818,V$1&amp;" (7)",""))&lt;lenb($Z818),1,IF(lenb(SUBSTITUTE($Z818,V$1&amp;" (8)",""))&lt;lenb($Z818),8,IF(lenb(SUBSTITUTE($Z818,V$1&amp;" (9)",""))&lt;lenb($Z818),9,IF(lenb(SUBSTITUTE($Z818,V$1&amp;" (10)",""))&lt;lenb($Z818),10,IF(lenb(SUBSTITUTE($Z818,V$1,""))&lt;lenb($Z818),"ERROR",IF($Z818=$Y$1,"-",0))))))))))))</f>
        <v>0</v>
      </c>
      <c r="W818" s="32">
        <f t="shared" si="824"/>
        <v>1</v>
      </c>
      <c r="X818" s="32">
        <f t="shared" si="824"/>
        <v>0</v>
      </c>
      <c r="Y818" s="32" t="str">
        <f t="shared" si="3"/>
        <v>-</v>
      </c>
      <c r="Z818" s="32" t="s">
        <v>47</v>
      </c>
      <c r="AA818" s="33">
        <f t="shared" si="4"/>
        <v>1</v>
      </c>
      <c r="AB818" s="34">
        <f>COUNTIFS(Links!B:B,"ICSE",Links!C:C,A818,Links!AD:AD,1)</f>
        <v>0</v>
      </c>
      <c r="AC818" s="35" t="s">
        <v>35</v>
      </c>
      <c r="AD818" s="27" t="str">
        <f t="shared" si="5"/>
        <v>Yes</v>
      </c>
      <c r="AE818" s="36" t="s">
        <v>2203</v>
      </c>
      <c r="AF818" s="36" t="s">
        <v>281</v>
      </c>
      <c r="AG818" s="37" t="s">
        <v>42</v>
      </c>
      <c r="AH818" s="37" t="s">
        <v>42</v>
      </c>
      <c r="AI818" s="29" t="str">
        <f t="shared" si="661"/>
        <v>Barriers (Confidentiality and privacy)</v>
      </c>
      <c r="AJ818" s="38" t="str">
        <f t="shared" si="7"/>
        <v>Paper has link and statement</v>
      </c>
      <c r="AK818" s="39">
        <v>45022.0</v>
      </c>
      <c r="AL818" s="23" t="s">
        <v>43</v>
      </c>
      <c r="AM818" s="40" t="str">
        <f t="shared" si="8"/>
        <v>[IP0574]</v>
      </c>
    </row>
    <row r="819" ht="67.5" customHeight="1">
      <c r="A819" s="41">
        <v>575.0</v>
      </c>
      <c r="B819" s="42" t="s">
        <v>2204</v>
      </c>
      <c r="C819" s="43">
        <v>2021.0</v>
      </c>
      <c r="D819" s="44" t="s">
        <v>37</v>
      </c>
      <c r="E819" s="45" t="s">
        <v>37</v>
      </c>
      <c r="F819" s="45" t="s">
        <v>35</v>
      </c>
      <c r="G819" s="45" t="s">
        <v>37</v>
      </c>
      <c r="H819" s="45" t="s">
        <v>35</v>
      </c>
      <c r="I819" s="45" t="s">
        <v>35</v>
      </c>
      <c r="J819" s="46" t="s">
        <v>36</v>
      </c>
      <c r="K819" s="47" t="s">
        <v>37</v>
      </c>
      <c r="L819" s="48" t="s">
        <v>35</v>
      </c>
      <c r="M819" s="48" t="s">
        <v>35</v>
      </c>
      <c r="N819" s="48" t="s">
        <v>37</v>
      </c>
      <c r="O819" s="48" t="s">
        <v>35</v>
      </c>
      <c r="P819" s="48" t="s">
        <v>37</v>
      </c>
      <c r="Q819" s="48" t="s">
        <v>35</v>
      </c>
      <c r="R819" s="48" t="s">
        <v>35</v>
      </c>
      <c r="S819" s="49" t="s">
        <v>2205</v>
      </c>
      <c r="T819" s="50" t="s">
        <v>2206</v>
      </c>
      <c r="U819" s="51" t="s">
        <v>2207</v>
      </c>
      <c r="V819" s="52">
        <f t="shared" ref="V819:X819" si="825">IF(lenb(SUBSTITUTE($Z819,V$1&amp;" (1)",""))&lt;lenb($Z819),1,IF(lenb(SUBSTITUTE($Z819,V$1&amp;" (2)",""))&lt;lenb($Z819),2,IF(lenb(SUBSTITUTE($Z819,V$1&amp;" (3)",""))&lt;lenb($Z819),3,IF(lenb(SUBSTITUTE($Z819,V$1&amp;" (4)",""))&lt;lenb($Z819),4,IF(lenb(SUBSTITUTE($Z819,V$1&amp;" (5)",""))&lt;lenb($Z819),5,IF(lenb(SUBSTITUTE($Z819,V$1&amp;" (6)",""))&lt;lenb($Z819),6,IF(lenb(SUBSTITUTE($Z819,V$1&amp;" (7)",""))&lt;lenb($Z819),1,IF(lenb(SUBSTITUTE($Z819,V$1&amp;" (8)",""))&lt;lenb($Z819),8,IF(lenb(SUBSTITUTE($Z819,V$1&amp;" (9)",""))&lt;lenb($Z819),9,IF(lenb(SUBSTITUTE($Z819,V$1&amp;" (10)",""))&lt;lenb($Z819),10,IF(lenb(SUBSTITUTE($Z819,V$1,""))&lt;lenb($Z819),"ERROR",IF($Z819=$Y$1,"-",0))))))))))))</f>
        <v>2</v>
      </c>
      <c r="W819" s="52">
        <f t="shared" si="825"/>
        <v>0</v>
      </c>
      <c r="X819" s="52">
        <f t="shared" si="825"/>
        <v>0</v>
      </c>
      <c r="Y819" s="52" t="str">
        <f t="shared" si="3"/>
        <v>-</v>
      </c>
      <c r="Z819" s="52" t="s">
        <v>57</v>
      </c>
      <c r="AA819" s="53">
        <f t="shared" si="4"/>
        <v>2</v>
      </c>
      <c r="AB819" s="54">
        <f>COUNTIFS(Links!B:B,"ICSE",Links!C:C,A819,Links!AD:AD,1)</f>
        <v>0</v>
      </c>
      <c r="AC819" s="55" t="s">
        <v>37</v>
      </c>
      <c r="AD819" s="47" t="str">
        <f t="shared" si="5"/>
        <v>No</v>
      </c>
      <c r="AE819" s="56" t="s">
        <v>36</v>
      </c>
      <c r="AF819" s="57" t="s">
        <v>42</v>
      </c>
      <c r="AG819" s="57" t="s">
        <v>42</v>
      </c>
      <c r="AH819" s="57" t="s">
        <v>42</v>
      </c>
      <c r="AI819" s="49" t="str">
        <f t="shared" si="661"/>
        <v>----</v>
      </c>
      <c r="AJ819" s="58" t="str">
        <f t="shared" si="7"/>
        <v>Paper has link but no statement</v>
      </c>
      <c r="AK819" s="59">
        <v>45022.0</v>
      </c>
      <c r="AL819" s="43" t="s">
        <v>43</v>
      </c>
      <c r="AM819" s="60" t="str">
        <f t="shared" si="8"/>
        <v>[IP0575]</v>
      </c>
    </row>
    <row r="820" ht="67.5" customHeight="1">
      <c r="A820" s="61">
        <v>576.0</v>
      </c>
      <c r="B820" s="22" t="s">
        <v>2208</v>
      </c>
      <c r="C820" s="23">
        <v>2021.0</v>
      </c>
      <c r="D820" s="24" t="s">
        <v>35</v>
      </c>
      <c r="E820" s="25" t="s">
        <v>36</v>
      </c>
      <c r="F820" s="25" t="s">
        <v>36</v>
      </c>
      <c r="G820" s="25" t="s">
        <v>36</v>
      </c>
      <c r="H820" s="25" t="s">
        <v>36</v>
      </c>
      <c r="I820" s="25" t="s">
        <v>36</v>
      </c>
      <c r="J820" s="26" t="s">
        <v>36</v>
      </c>
      <c r="K820" s="27" t="s">
        <v>35</v>
      </c>
      <c r="L820" s="28" t="s">
        <v>36</v>
      </c>
      <c r="M820" s="28" t="s">
        <v>36</v>
      </c>
      <c r="N820" s="28" t="s">
        <v>36</v>
      </c>
      <c r="O820" s="28" t="s">
        <v>36</v>
      </c>
      <c r="P820" s="28" t="s">
        <v>36</v>
      </c>
      <c r="Q820" s="28" t="s">
        <v>36</v>
      </c>
      <c r="R820" s="28" t="s">
        <v>36</v>
      </c>
      <c r="S820" s="29" t="s">
        <v>36</v>
      </c>
      <c r="T820" s="30" t="s">
        <v>36</v>
      </c>
      <c r="U820" s="31" t="s">
        <v>36</v>
      </c>
      <c r="V820" s="32" t="str">
        <f t="shared" ref="V820:X820" si="826">IF(lenb(SUBSTITUTE($Z820,V$1&amp;" (1)",""))&lt;lenb($Z820),1,IF(lenb(SUBSTITUTE($Z820,V$1&amp;" (2)",""))&lt;lenb($Z820),2,IF(lenb(SUBSTITUTE($Z820,V$1&amp;" (3)",""))&lt;lenb($Z820),3,IF(lenb(SUBSTITUTE($Z820,V$1&amp;" (4)",""))&lt;lenb($Z820),4,IF(lenb(SUBSTITUTE($Z820,V$1&amp;" (5)",""))&lt;lenb($Z820),5,IF(lenb(SUBSTITUTE($Z820,V$1&amp;" (6)",""))&lt;lenb($Z820),6,IF(lenb(SUBSTITUTE($Z820,V$1&amp;" (7)",""))&lt;lenb($Z820),1,IF(lenb(SUBSTITUTE($Z820,V$1&amp;" (8)",""))&lt;lenb($Z820),8,IF(lenb(SUBSTITUTE($Z820,V$1&amp;" (9)",""))&lt;lenb($Z820),9,IF(lenb(SUBSTITUTE($Z820,V$1&amp;" (10)",""))&lt;lenb($Z820),10,IF(lenb(SUBSTITUTE($Z820,V$1,""))&lt;lenb($Z820),"ERROR",IF($Z820=$Y$1,"-",0))))))))))))</f>
        <v>-</v>
      </c>
      <c r="W820" s="32" t="str">
        <f t="shared" si="826"/>
        <v>-</v>
      </c>
      <c r="X820" s="32" t="str">
        <f t="shared" si="826"/>
        <v>-</v>
      </c>
      <c r="Y820" s="32">
        <f t="shared" si="3"/>
        <v>1</v>
      </c>
      <c r="Z820" s="32" t="s">
        <v>23</v>
      </c>
      <c r="AA820" s="33">
        <f t="shared" si="4"/>
        <v>0</v>
      </c>
      <c r="AB820" s="34">
        <f>COUNTIFS(Links!B:B,"ICSE",Links!C:C,A820,Links!AD:AD,1)</f>
        <v>0</v>
      </c>
      <c r="AC820" s="35" t="s">
        <v>36</v>
      </c>
      <c r="AD820" s="27" t="str">
        <f t="shared" si="5"/>
        <v>No</v>
      </c>
      <c r="AE820" s="36" t="s">
        <v>36</v>
      </c>
      <c r="AF820" s="37" t="s">
        <v>42</v>
      </c>
      <c r="AG820" s="37" t="s">
        <v>42</v>
      </c>
      <c r="AH820" s="37" t="s">
        <v>42</v>
      </c>
      <c r="AI820" s="29" t="str">
        <f t="shared" si="661"/>
        <v>----</v>
      </c>
      <c r="AJ820" s="38" t="str">
        <f t="shared" si="7"/>
        <v>Paper has no link and no statement</v>
      </c>
      <c r="AK820" s="39">
        <v>45022.0</v>
      </c>
      <c r="AL820" s="23" t="s">
        <v>43</v>
      </c>
      <c r="AM820" s="40" t="str">
        <f t="shared" si="8"/>
        <v>[IP0576]</v>
      </c>
    </row>
    <row r="821" ht="67.5" customHeight="1">
      <c r="A821" s="41">
        <v>577.0</v>
      </c>
      <c r="B821" s="42" t="s">
        <v>2209</v>
      </c>
      <c r="C821" s="43">
        <v>2021.0</v>
      </c>
      <c r="D821" s="44" t="s">
        <v>35</v>
      </c>
      <c r="E821" s="45" t="s">
        <v>36</v>
      </c>
      <c r="F821" s="45" t="s">
        <v>36</v>
      </c>
      <c r="G821" s="45" t="s">
        <v>36</v>
      </c>
      <c r="H821" s="45" t="s">
        <v>36</v>
      </c>
      <c r="I821" s="45" t="s">
        <v>36</v>
      </c>
      <c r="J821" s="46" t="s">
        <v>36</v>
      </c>
      <c r="K821" s="47" t="s">
        <v>37</v>
      </c>
      <c r="L821" s="48" t="s">
        <v>35</v>
      </c>
      <c r="M821" s="48" t="s">
        <v>35</v>
      </c>
      <c r="N821" s="48" t="s">
        <v>37</v>
      </c>
      <c r="O821" s="48" t="s">
        <v>35</v>
      </c>
      <c r="P821" s="48" t="s">
        <v>35</v>
      </c>
      <c r="Q821" s="48" t="s">
        <v>35</v>
      </c>
      <c r="R821" s="48" t="s">
        <v>35</v>
      </c>
      <c r="S821" s="49" t="s">
        <v>2015</v>
      </c>
      <c r="T821" s="50" t="s">
        <v>2210</v>
      </c>
      <c r="U821" s="51" t="s">
        <v>2210</v>
      </c>
      <c r="V821" s="52">
        <f t="shared" ref="V821:X821" si="827">IF(lenb(SUBSTITUTE($Z821,V$1&amp;" (1)",""))&lt;lenb($Z821),1,IF(lenb(SUBSTITUTE($Z821,V$1&amp;" (2)",""))&lt;lenb($Z821),2,IF(lenb(SUBSTITUTE($Z821,V$1&amp;" (3)",""))&lt;lenb($Z821),3,IF(lenb(SUBSTITUTE($Z821,V$1&amp;" (4)",""))&lt;lenb($Z821),4,IF(lenb(SUBSTITUTE($Z821,V$1&amp;" (5)",""))&lt;lenb($Z821),5,IF(lenb(SUBSTITUTE($Z821,V$1&amp;" (6)",""))&lt;lenb($Z821),6,IF(lenb(SUBSTITUTE($Z821,V$1&amp;" (7)",""))&lt;lenb($Z821),1,IF(lenb(SUBSTITUTE($Z821,V$1&amp;" (8)",""))&lt;lenb($Z821),8,IF(lenb(SUBSTITUTE($Z821,V$1&amp;" (9)",""))&lt;lenb($Z821),9,IF(lenb(SUBSTITUTE($Z821,V$1&amp;" (10)",""))&lt;lenb($Z821),10,IF(lenb(SUBSTITUTE($Z821,V$1,""))&lt;lenb($Z821),"ERROR",IF($Z821=$Y$1,"-",0))))))))))))</f>
        <v>0</v>
      </c>
      <c r="W821" s="52">
        <f t="shared" si="827"/>
        <v>1</v>
      </c>
      <c r="X821" s="52">
        <f t="shared" si="827"/>
        <v>0</v>
      </c>
      <c r="Y821" s="52" t="str">
        <f t="shared" si="3"/>
        <v>-</v>
      </c>
      <c r="Z821" s="52" t="s">
        <v>47</v>
      </c>
      <c r="AA821" s="53">
        <f t="shared" si="4"/>
        <v>1</v>
      </c>
      <c r="AB821" s="54">
        <f>COUNTIFS(Links!B:B,"ICSE",Links!C:C,A821,Links!AD:AD,1)</f>
        <v>0</v>
      </c>
      <c r="AC821" s="55" t="s">
        <v>35</v>
      </c>
      <c r="AD821" s="47" t="str">
        <f t="shared" si="5"/>
        <v>No</v>
      </c>
      <c r="AE821" s="56" t="s">
        <v>36</v>
      </c>
      <c r="AF821" s="57" t="s">
        <v>42</v>
      </c>
      <c r="AG821" s="57" t="s">
        <v>42</v>
      </c>
      <c r="AH821" s="57" t="s">
        <v>42</v>
      </c>
      <c r="AI821" s="49" t="str">
        <f t="shared" si="661"/>
        <v>----</v>
      </c>
      <c r="AJ821" s="58" t="str">
        <f t="shared" si="7"/>
        <v>Paper has link but no statement</v>
      </c>
      <c r="AK821" s="59">
        <v>45022.0</v>
      </c>
      <c r="AL821" s="43" t="s">
        <v>43</v>
      </c>
      <c r="AM821" s="60" t="str">
        <f t="shared" si="8"/>
        <v>[IP0577]</v>
      </c>
    </row>
    <row r="822" ht="67.5" customHeight="1">
      <c r="A822" s="61">
        <v>578.0</v>
      </c>
      <c r="B822" s="22" t="s">
        <v>2211</v>
      </c>
      <c r="C822" s="23">
        <v>2021.0</v>
      </c>
      <c r="D822" s="24" t="s">
        <v>37</v>
      </c>
      <c r="E822" s="25" t="s">
        <v>37</v>
      </c>
      <c r="F822" s="25" t="s">
        <v>35</v>
      </c>
      <c r="G822" s="25" t="s">
        <v>37</v>
      </c>
      <c r="H822" s="25" t="s">
        <v>35</v>
      </c>
      <c r="I822" s="25" t="s">
        <v>35</v>
      </c>
      <c r="J822" s="26" t="s">
        <v>36</v>
      </c>
      <c r="K822" s="27" t="s">
        <v>37</v>
      </c>
      <c r="L822" s="28" t="s">
        <v>35</v>
      </c>
      <c r="M822" s="28" t="s">
        <v>37</v>
      </c>
      <c r="N822" s="28" t="s">
        <v>37</v>
      </c>
      <c r="O822" s="28" t="s">
        <v>35</v>
      </c>
      <c r="P822" s="28" t="s">
        <v>35</v>
      </c>
      <c r="Q822" s="28" t="s">
        <v>37</v>
      </c>
      <c r="R822" s="28" t="s">
        <v>37</v>
      </c>
      <c r="S822" s="29" t="s">
        <v>2212</v>
      </c>
      <c r="T822" s="30" t="s">
        <v>2213</v>
      </c>
      <c r="U822" s="31" t="s">
        <v>2214</v>
      </c>
      <c r="V822" s="32">
        <f t="shared" ref="V822:X822" si="828">IF(lenb(SUBSTITUTE($Z822,V$1&amp;" (1)",""))&lt;lenb($Z822),1,IF(lenb(SUBSTITUTE($Z822,V$1&amp;" (2)",""))&lt;lenb($Z822),2,IF(lenb(SUBSTITUTE($Z822,V$1&amp;" (3)",""))&lt;lenb($Z822),3,IF(lenb(SUBSTITUTE($Z822,V$1&amp;" (4)",""))&lt;lenb($Z822),4,IF(lenb(SUBSTITUTE($Z822,V$1&amp;" (5)",""))&lt;lenb($Z822),5,IF(lenb(SUBSTITUTE($Z822,V$1&amp;" (6)",""))&lt;lenb($Z822),6,IF(lenb(SUBSTITUTE($Z822,V$1&amp;" (7)",""))&lt;lenb($Z822),1,IF(lenb(SUBSTITUTE($Z822,V$1&amp;" (8)",""))&lt;lenb($Z822),8,IF(lenb(SUBSTITUTE($Z822,V$1&amp;" (9)",""))&lt;lenb($Z822),9,IF(lenb(SUBSTITUTE($Z822,V$1&amp;" (10)",""))&lt;lenb($Z822),10,IF(lenb(SUBSTITUTE($Z822,V$1,""))&lt;lenb($Z822),"ERROR",IF($Z822=$Y$1,"-",0))))))))))))</f>
        <v>2</v>
      </c>
      <c r="W822" s="32">
        <f t="shared" si="828"/>
        <v>0</v>
      </c>
      <c r="X822" s="32">
        <f t="shared" si="828"/>
        <v>0</v>
      </c>
      <c r="Y822" s="32" t="str">
        <f t="shared" si="3"/>
        <v>-</v>
      </c>
      <c r="Z822" s="32" t="s">
        <v>57</v>
      </c>
      <c r="AA822" s="33">
        <f t="shared" si="4"/>
        <v>2</v>
      </c>
      <c r="AB822" s="34">
        <f>COUNTIFS(Links!B:B,"ICSE",Links!C:C,A822,Links!AD:AD,1)</f>
        <v>0</v>
      </c>
      <c r="AC822" s="35" t="s">
        <v>37</v>
      </c>
      <c r="AD822" s="27" t="str">
        <f t="shared" si="5"/>
        <v>No</v>
      </c>
      <c r="AE822" s="36" t="s">
        <v>36</v>
      </c>
      <c r="AF822" s="37" t="s">
        <v>42</v>
      </c>
      <c r="AG822" s="37" t="s">
        <v>42</v>
      </c>
      <c r="AH822" s="37" t="s">
        <v>42</v>
      </c>
      <c r="AI822" s="29" t="str">
        <f t="shared" si="661"/>
        <v>----</v>
      </c>
      <c r="AJ822" s="38" t="str">
        <f t="shared" si="7"/>
        <v>Paper has link but no statement</v>
      </c>
      <c r="AK822" s="39">
        <v>45022.0</v>
      </c>
      <c r="AL822" s="23" t="s">
        <v>43</v>
      </c>
      <c r="AM822" s="40" t="str">
        <f t="shared" si="8"/>
        <v>[IP0578]</v>
      </c>
    </row>
    <row r="823" ht="67.5" customHeight="1">
      <c r="A823" s="41">
        <v>579.0</v>
      </c>
      <c r="B823" s="42" t="s">
        <v>2215</v>
      </c>
      <c r="C823" s="43">
        <v>2021.0</v>
      </c>
      <c r="D823" s="44" t="s">
        <v>37</v>
      </c>
      <c r="E823" s="45" t="s">
        <v>37</v>
      </c>
      <c r="F823" s="45" t="s">
        <v>35</v>
      </c>
      <c r="G823" s="45" t="s">
        <v>37</v>
      </c>
      <c r="H823" s="45" t="s">
        <v>35</v>
      </c>
      <c r="I823" s="45" t="s">
        <v>35</v>
      </c>
      <c r="J823" s="46" t="s">
        <v>36</v>
      </c>
      <c r="K823" s="47" t="s">
        <v>37</v>
      </c>
      <c r="L823" s="48" t="s">
        <v>35</v>
      </c>
      <c r="M823" s="48" t="s">
        <v>35</v>
      </c>
      <c r="N823" s="48" t="s">
        <v>35</v>
      </c>
      <c r="O823" s="48" t="s">
        <v>37</v>
      </c>
      <c r="P823" s="48" t="s">
        <v>35</v>
      </c>
      <c r="Q823" s="48" t="s">
        <v>35</v>
      </c>
      <c r="R823" s="48" t="s">
        <v>35</v>
      </c>
      <c r="S823" s="49" t="s">
        <v>2216</v>
      </c>
      <c r="T823" s="50" t="s">
        <v>2217</v>
      </c>
      <c r="U823" s="51" t="s">
        <v>2217</v>
      </c>
      <c r="V823" s="52">
        <f t="shared" ref="V823:X823" si="829">IF(lenb(SUBSTITUTE($Z823,V$1&amp;" (1)",""))&lt;lenb($Z823),1,IF(lenb(SUBSTITUTE($Z823,V$1&amp;" (2)",""))&lt;lenb($Z823),2,IF(lenb(SUBSTITUTE($Z823,V$1&amp;" (3)",""))&lt;lenb($Z823),3,IF(lenb(SUBSTITUTE($Z823,V$1&amp;" (4)",""))&lt;lenb($Z823),4,IF(lenb(SUBSTITUTE($Z823,V$1&amp;" (5)",""))&lt;lenb($Z823),5,IF(lenb(SUBSTITUTE($Z823,V$1&amp;" (6)",""))&lt;lenb($Z823),6,IF(lenb(SUBSTITUTE($Z823,V$1&amp;" (7)",""))&lt;lenb($Z823),1,IF(lenb(SUBSTITUTE($Z823,V$1&amp;" (8)",""))&lt;lenb($Z823),8,IF(lenb(SUBSTITUTE($Z823,V$1&amp;" (9)",""))&lt;lenb($Z823),9,IF(lenb(SUBSTITUTE($Z823,V$1&amp;" (10)",""))&lt;lenb($Z823),10,IF(lenb(SUBSTITUTE($Z823,V$1,""))&lt;lenb($Z823),"ERROR",IF($Z823=$Y$1,"-",0))))))))))))</f>
        <v>1</v>
      </c>
      <c r="W823" s="52">
        <f t="shared" si="829"/>
        <v>0</v>
      </c>
      <c r="X823" s="52">
        <f t="shared" si="829"/>
        <v>0</v>
      </c>
      <c r="Y823" s="52" t="str">
        <f t="shared" si="3"/>
        <v>-</v>
      </c>
      <c r="Z823" s="52" t="s">
        <v>62</v>
      </c>
      <c r="AA823" s="53">
        <f t="shared" si="4"/>
        <v>1</v>
      </c>
      <c r="AB823" s="54">
        <f>COUNTIFS(Links!B:B,"ICSE",Links!C:C,A823,Links!AD:AD,1)</f>
        <v>0</v>
      </c>
      <c r="AC823" s="55" t="s">
        <v>35</v>
      </c>
      <c r="AD823" s="47" t="str">
        <f t="shared" si="5"/>
        <v>No</v>
      </c>
      <c r="AE823" s="56" t="s">
        <v>36</v>
      </c>
      <c r="AF823" s="57" t="s">
        <v>42</v>
      </c>
      <c r="AG823" s="57" t="s">
        <v>42</v>
      </c>
      <c r="AH823" s="57" t="s">
        <v>42</v>
      </c>
      <c r="AI823" s="49" t="str">
        <f t="shared" si="661"/>
        <v>----</v>
      </c>
      <c r="AJ823" s="58" t="str">
        <f t="shared" si="7"/>
        <v>Paper has link but no statement</v>
      </c>
      <c r="AK823" s="59">
        <v>45022.0</v>
      </c>
      <c r="AL823" s="43" t="s">
        <v>43</v>
      </c>
      <c r="AM823" s="60" t="str">
        <f t="shared" si="8"/>
        <v>[IP0579]</v>
      </c>
    </row>
    <row r="824" ht="67.5" customHeight="1">
      <c r="A824" s="61">
        <v>580.0</v>
      </c>
      <c r="B824" s="22" t="s">
        <v>2218</v>
      </c>
      <c r="C824" s="23">
        <v>2021.0</v>
      </c>
      <c r="D824" s="24" t="s">
        <v>37</v>
      </c>
      <c r="E824" s="25" t="s">
        <v>37</v>
      </c>
      <c r="F824" s="25" t="s">
        <v>35</v>
      </c>
      <c r="G824" s="25" t="s">
        <v>37</v>
      </c>
      <c r="H824" s="25" t="s">
        <v>35</v>
      </c>
      <c r="I824" s="25" t="s">
        <v>35</v>
      </c>
      <c r="J824" s="26" t="s">
        <v>36</v>
      </c>
      <c r="K824" s="27" t="s">
        <v>37</v>
      </c>
      <c r="L824" s="28" t="s">
        <v>35</v>
      </c>
      <c r="M824" s="28" t="s">
        <v>37</v>
      </c>
      <c r="N824" s="28" t="s">
        <v>37</v>
      </c>
      <c r="O824" s="28" t="s">
        <v>35</v>
      </c>
      <c r="P824" s="28" t="s">
        <v>35</v>
      </c>
      <c r="Q824" s="28" t="s">
        <v>37</v>
      </c>
      <c r="R824" s="28" t="s">
        <v>37</v>
      </c>
      <c r="S824" s="29" t="s">
        <v>2219</v>
      </c>
      <c r="T824" s="30" t="s">
        <v>2220</v>
      </c>
      <c r="U824" s="31" t="s">
        <v>2221</v>
      </c>
      <c r="V824" s="32">
        <f t="shared" ref="V824:X824" si="830">IF(lenb(SUBSTITUTE($Z824,V$1&amp;" (1)",""))&lt;lenb($Z824),1,IF(lenb(SUBSTITUTE($Z824,V$1&amp;" (2)",""))&lt;lenb($Z824),2,IF(lenb(SUBSTITUTE($Z824,V$1&amp;" (3)",""))&lt;lenb($Z824),3,IF(lenb(SUBSTITUTE($Z824,V$1&amp;" (4)",""))&lt;lenb($Z824),4,IF(lenb(SUBSTITUTE($Z824,V$1&amp;" (5)",""))&lt;lenb($Z824),5,IF(lenb(SUBSTITUTE($Z824,V$1&amp;" (6)",""))&lt;lenb($Z824),6,IF(lenb(SUBSTITUTE($Z824,V$1&amp;" (7)",""))&lt;lenb($Z824),1,IF(lenb(SUBSTITUTE($Z824,V$1&amp;" (8)",""))&lt;lenb($Z824),8,IF(lenb(SUBSTITUTE($Z824,V$1&amp;" (9)",""))&lt;lenb($Z824),9,IF(lenb(SUBSTITUTE($Z824,V$1&amp;" (10)",""))&lt;lenb($Z824),10,IF(lenb(SUBSTITUTE($Z824,V$1,""))&lt;lenb($Z824),"ERROR",IF($Z824=$Y$1,"-",0))))))))))))</f>
        <v>2</v>
      </c>
      <c r="W824" s="32">
        <f t="shared" si="830"/>
        <v>0</v>
      </c>
      <c r="X824" s="32">
        <f t="shared" si="830"/>
        <v>0</v>
      </c>
      <c r="Y824" s="32" t="str">
        <f t="shared" si="3"/>
        <v>-</v>
      </c>
      <c r="Z824" s="32" t="s">
        <v>57</v>
      </c>
      <c r="AA824" s="33">
        <f t="shared" si="4"/>
        <v>2</v>
      </c>
      <c r="AB824" s="34">
        <f>COUNTIFS(Links!B:B,"ICSE",Links!C:C,A824,Links!AD:AD,1)</f>
        <v>0</v>
      </c>
      <c r="AC824" s="35" t="s">
        <v>37</v>
      </c>
      <c r="AD824" s="27" t="str">
        <f t="shared" si="5"/>
        <v>No</v>
      </c>
      <c r="AE824" s="36" t="s">
        <v>36</v>
      </c>
      <c r="AF824" s="37" t="s">
        <v>42</v>
      </c>
      <c r="AG824" s="37" t="s">
        <v>42</v>
      </c>
      <c r="AH824" s="37" t="s">
        <v>42</v>
      </c>
      <c r="AI824" s="29" t="str">
        <f t="shared" si="661"/>
        <v>----</v>
      </c>
      <c r="AJ824" s="38" t="str">
        <f t="shared" si="7"/>
        <v>Paper has link but no statement</v>
      </c>
      <c r="AK824" s="39">
        <v>45022.0</v>
      </c>
      <c r="AL824" s="23" t="s">
        <v>43</v>
      </c>
      <c r="AM824" s="40" t="str">
        <f t="shared" si="8"/>
        <v>[IP0580]</v>
      </c>
    </row>
    <row r="825" ht="67.5" customHeight="1">
      <c r="A825" s="41">
        <v>581.0</v>
      </c>
      <c r="B825" s="42" t="s">
        <v>2222</v>
      </c>
      <c r="C825" s="43">
        <v>2021.0</v>
      </c>
      <c r="D825" s="44" t="s">
        <v>35</v>
      </c>
      <c r="E825" s="45" t="s">
        <v>36</v>
      </c>
      <c r="F825" s="45" t="s">
        <v>36</v>
      </c>
      <c r="G825" s="45" t="s">
        <v>36</v>
      </c>
      <c r="H825" s="45" t="s">
        <v>36</v>
      </c>
      <c r="I825" s="45" t="s">
        <v>36</v>
      </c>
      <c r="J825" s="46" t="s">
        <v>36</v>
      </c>
      <c r="K825" s="47" t="s">
        <v>37</v>
      </c>
      <c r="L825" s="48" t="s">
        <v>35</v>
      </c>
      <c r="M825" s="48" t="s">
        <v>37</v>
      </c>
      <c r="N825" s="48" t="s">
        <v>35</v>
      </c>
      <c r="O825" s="48" t="s">
        <v>35</v>
      </c>
      <c r="P825" s="48" t="s">
        <v>35</v>
      </c>
      <c r="Q825" s="48" t="s">
        <v>35</v>
      </c>
      <c r="R825" s="48" t="s">
        <v>37</v>
      </c>
      <c r="S825" s="49" t="s">
        <v>2223</v>
      </c>
      <c r="T825" s="50" t="s">
        <v>2224</v>
      </c>
      <c r="U825" s="51" t="s">
        <v>2224</v>
      </c>
      <c r="V825" s="52">
        <f t="shared" ref="V825:X825" si="831">IF(lenb(SUBSTITUTE($Z825,V$1&amp;" (1)",""))&lt;lenb($Z825),1,IF(lenb(SUBSTITUTE($Z825,V$1&amp;" (2)",""))&lt;lenb($Z825),2,IF(lenb(SUBSTITUTE($Z825,V$1&amp;" (3)",""))&lt;lenb($Z825),3,IF(lenb(SUBSTITUTE($Z825,V$1&amp;" (4)",""))&lt;lenb($Z825),4,IF(lenb(SUBSTITUTE($Z825,V$1&amp;" (5)",""))&lt;lenb($Z825),5,IF(lenb(SUBSTITUTE($Z825,V$1&amp;" (6)",""))&lt;lenb($Z825),6,IF(lenb(SUBSTITUTE($Z825,V$1&amp;" (7)",""))&lt;lenb($Z825),1,IF(lenb(SUBSTITUTE($Z825,V$1&amp;" (8)",""))&lt;lenb($Z825),8,IF(lenb(SUBSTITUTE($Z825,V$1&amp;" (9)",""))&lt;lenb($Z825),9,IF(lenb(SUBSTITUTE($Z825,V$1&amp;" (10)",""))&lt;lenb($Z825),10,IF(lenb(SUBSTITUTE($Z825,V$1,""))&lt;lenb($Z825),"ERROR",IF($Z825=$Y$1,"-",0))))))))))))</f>
        <v>1</v>
      </c>
      <c r="W825" s="52">
        <f t="shared" si="831"/>
        <v>0</v>
      </c>
      <c r="X825" s="52">
        <f t="shared" si="831"/>
        <v>0</v>
      </c>
      <c r="Y825" s="52" t="str">
        <f t="shared" si="3"/>
        <v>-</v>
      </c>
      <c r="Z825" s="52" t="s">
        <v>62</v>
      </c>
      <c r="AA825" s="53">
        <f t="shared" si="4"/>
        <v>1</v>
      </c>
      <c r="AB825" s="54">
        <f>COUNTIFS(Links!B:B,"ICSE",Links!C:C,A825,Links!AD:AD,1)</f>
        <v>0</v>
      </c>
      <c r="AC825" s="55" t="s">
        <v>35</v>
      </c>
      <c r="AD825" s="47" t="str">
        <f t="shared" si="5"/>
        <v>No</v>
      </c>
      <c r="AE825" s="56" t="s">
        <v>36</v>
      </c>
      <c r="AF825" s="57" t="s">
        <v>42</v>
      </c>
      <c r="AG825" s="57" t="s">
        <v>42</v>
      </c>
      <c r="AH825" s="57" t="s">
        <v>42</v>
      </c>
      <c r="AI825" s="49" t="str">
        <f t="shared" si="661"/>
        <v>----</v>
      </c>
      <c r="AJ825" s="58" t="str">
        <f t="shared" si="7"/>
        <v>Paper has link but no statement</v>
      </c>
      <c r="AK825" s="59">
        <v>45022.0</v>
      </c>
      <c r="AL825" s="43" t="s">
        <v>43</v>
      </c>
      <c r="AM825" s="60" t="str">
        <f t="shared" si="8"/>
        <v>[IP0581]</v>
      </c>
    </row>
    <row r="826" ht="67.5" customHeight="1">
      <c r="A826" s="61">
        <v>582.0</v>
      </c>
      <c r="B826" s="22" t="s">
        <v>2225</v>
      </c>
      <c r="C826" s="23">
        <v>2021.0</v>
      </c>
      <c r="D826" s="24" t="s">
        <v>35</v>
      </c>
      <c r="E826" s="25" t="s">
        <v>36</v>
      </c>
      <c r="F826" s="25" t="s">
        <v>36</v>
      </c>
      <c r="G826" s="25" t="s">
        <v>36</v>
      </c>
      <c r="H826" s="25" t="s">
        <v>36</v>
      </c>
      <c r="I826" s="25" t="s">
        <v>36</v>
      </c>
      <c r="J826" s="26" t="s">
        <v>36</v>
      </c>
      <c r="K826" s="27" t="s">
        <v>37</v>
      </c>
      <c r="L826" s="28" t="s">
        <v>35</v>
      </c>
      <c r="M826" s="28" t="s">
        <v>35</v>
      </c>
      <c r="N826" s="28" t="s">
        <v>35</v>
      </c>
      <c r="O826" s="28" t="s">
        <v>37</v>
      </c>
      <c r="P826" s="28" t="s">
        <v>35</v>
      </c>
      <c r="Q826" s="28" t="s">
        <v>35</v>
      </c>
      <c r="R826" s="28" t="s">
        <v>35</v>
      </c>
      <c r="S826" s="29" t="s">
        <v>2226</v>
      </c>
      <c r="T826" s="30" t="s">
        <v>2227</v>
      </c>
      <c r="U826" s="31" t="s">
        <v>2227</v>
      </c>
      <c r="V826" s="32">
        <f t="shared" ref="V826:X826" si="832">IF(lenb(SUBSTITUTE($Z826,V$1&amp;" (1)",""))&lt;lenb($Z826),1,IF(lenb(SUBSTITUTE($Z826,V$1&amp;" (2)",""))&lt;lenb($Z826),2,IF(lenb(SUBSTITUTE($Z826,V$1&amp;" (3)",""))&lt;lenb($Z826),3,IF(lenb(SUBSTITUTE($Z826,V$1&amp;" (4)",""))&lt;lenb($Z826),4,IF(lenb(SUBSTITUTE($Z826,V$1&amp;" (5)",""))&lt;lenb($Z826),5,IF(lenb(SUBSTITUTE($Z826,V$1&amp;" (6)",""))&lt;lenb($Z826),6,IF(lenb(SUBSTITUTE($Z826,V$1&amp;" (7)",""))&lt;lenb($Z826),1,IF(lenb(SUBSTITUTE($Z826,V$1&amp;" (8)",""))&lt;lenb($Z826),8,IF(lenb(SUBSTITUTE($Z826,V$1&amp;" (9)",""))&lt;lenb($Z826),9,IF(lenb(SUBSTITUTE($Z826,V$1&amp;" (10)",""))&lt;lenb($Z826),10,IF(lenb(SUBSTITUTE($Z826,V$1,""))&lt;lenb($Z826),"ERROR",IF($Z826=$Y$1,"-",0))))))))))))</f>
        <v>1</v>
      </c>
      <c r="W826" s="32">
        <f t="shared" si="832"/>
        <v>0</v>
      </c>
      <c r="X826" s="32">
        <f t="shared" si="832"/>
        <v>0</v>
      </c>
      <c r="Y826" s="32" t="str">
        <f t="shared" si="3"/>
        <v>-</v>
      </c>
      <c r="Z826" s="32" t="s">
        <v>62</v>
      </c>
      <c r="AA826" s="33">
        <f t="shared" si="4"/>
        <v>1</v>
      </c>
      <c r="AB826" s="34">
        <f>COUNTIFS(Links!B:B,"ICSE",Links!C:C,A826,Links!AD:AD,1)</f>
        <v>0</v>
      </c>
      <c r="AC826" s="35" t="s">
        <v>35</v>
      </c>
      <c r="AD826" s="27" t="str">
        <f t="shared" si="5"/>
        <v>No</v>
      </c>
      <c r="AE826" s="36" t="s">
        <v>36</v>
      </c>
      <c r="AF826" s="37" t="s">
        <v>42</v>
      </c>
      <c r="AG826" s="37" t="s">
        <v>42</v>
      </c>
      <c r="AH826" s="37" t="s">
        <v>42</v>
      </c>
      <c r="AI826" s="29" t="str">
        <f t="shared" si="661"/>
        <v>----</v>
      </c>
      <c r="AJ826" s="38" t="str">
        <f t="shared" si="7"/>
        <v>Paper has link but no statement</v>
      </c>
      <c r="AK826" s="39">
        <v>45022.0</v>
      </c>
      <c r="AL826" s="23" t="s">
        <v>43</v>
      </c>
      <c r="AM826" s="40" t="str">
        <f t="shared" si="8"/>
        <v>[IP0582]</v>
      </c>
    </row>
    <row r="827" ht="67.5" customHeight="1">
      <c r="A827" s="41">
        <v>583.0</v>
      </c>
      <c r="B827" s="42" t="s">
        <v>2228</v>
      </c>
      <c r="C827" s="43">
        <v>2021.0</v>
      </c>
      <c r="D827" s="44" t="s">
        <v>37</v>
      </c>
      <c r="E827" s="45" t="s">
        <v>35</v>
      </c>
      <c r="F827" s="45" t="s">
        <v>35</v>
      </c>
      <c r="G827" s="45" t="s">
        <v>37</v>
      </c>
      <c r="H827" s="45" t="s">
        <v>35</v>
      </c>
      <c r="I827" s="45" t="s">
        <v>35</v>
      </c>
      <c r="J827" s="46" t="s">
        <v>36</v>
      </c>
      <c r="K827" s="47" t="s">
        <v>37</v>
      </c>
      <c r="L827" s="48" t="s">
        <v>37</v>
      </c>
      <c r="M827" s="48" t="s">
        <v>35</v>
      </c>
      <c r="N827" s="48" t="s">
        <v>37</v>
      </c>
      <c r="O827" s="48" t="s">
        <v>35</v>
      </c>
      <c r="P827" s="48" t="s">
        <v>35</v>
      </c>
      <c r="Q827" s="48" t="s">
        <v>35</v>
      </c>
      <c r="R827" s="48" t="s">
        <v>35</v>
      </c>
      <c r="S827" s="49" t="s">
        <v>2229</v>
      </c>
      <c r="T827" s="50" t="s">
        <v>2230</v>
      </c>
      <c r="U827" s="51" t="s">
        <v>2230</v>
      </c>
      <c r="V827" s="52">
        <f t="shared" ref="V827:X827" si="833">IF(lenb(SUBSTITUTE($Z827,V$1&amp;" (1)",""))&lt;lenb($Z827),1,IF(lenb(SUBSTITUTE($Z827,V$1&amp;" (2)",""))&lt;lenb($Z827),2,IF(lenb(SUBSTITUTE($Z827,V$1&amp;" (3)",""))&lt;lenb($Z827),3,IF(lenb(SUBSTITUTE($Z827,V$1&amp;" (4)",""))&lt;lenb($Z827),4,IF(lenb(SUBSTITUTE($Z827,V$1&amp;" (5)",""))&lt;lenb($Z827),5,IF(lenb(SUBSTITUTE($Z827,V$1&amp;" (6)",""))&lt;lenb($Z827),6,IF(lenb(SUBSTITUTE($Z827,V$1&amp;" (7)",""))&lt;lenb($Z827),1,IF(lenb(SUBSTITUTE($Z827,V$1&amp;" (8)",""))&lt;lenb($Z827),8,IF(lenb(SUBSTITUTE($Z827,V$1&amp;" (9)",""))&lt;lenb($Z827),9,IF(lenb(SUBSTITUTE($Z827,V$1&amp;" (10)",""))&lt;lenb($Z827),10,IF(lenb(SUBSTITUTE($Z827,V$1,""))&lt;lenb($Z827),"ERROR",IF($Z827=$Y$1,"-",0))))))))))))</f>
        <v>1</v>
      </c>
      <c r="W827" s="52">
        <f t="shared" si="833"/>
        <v>0</v>
      </c>
      <c r="X827" s="52">
        <f t="shared" si="833"/>
        <v>0</v>
      </c>
      <c r="Y827" s="52" t="str">
        <f t="shared" si="3"/>
        <v>-</v>
      </c>
      <c r="Z827" s="52" t="s">
        <v>62</v>
      </c>
      <c r="AA827" s="53">
        <f t="shared" si="4"/>
        <v>1</v>
      </c>
      <c r="AB827" s="54">
        <f>COUNTIFS(Links!B:B,"ICSE",Links!C:C,A827,Links!AD:AD,1)</f>
        <v>0</v>
      </c>
      <c r="AC827" s="55" t="s">
        <v>35</v>
      </c>
      <c r="AD827" s="47" t="str">
        <f t="shared" si="5"/>
        <v>No</v>
      </c>
      <c r="AE827" s="56" t="s">
        <v>36</v>
      </c>
      <c r="AF827" s="57" t="s">
        <v>42</v>
      </c>
      <c r="AG827" s="57" t="s">
        <v>42</v>
      </c>
      <c r="AH827" s="57" t="s">
        <v>42</v>
      </c>
      <c r="AI827" s="49" t="str">
        <f t="shared" si="661"/>
        <v>----</v>
      </c>
      <c r="AJ827" s="58" t="str">
        <f t="shared" si="7"/>
        <v>Paper has link but no statement</v>
      </c>
      <c r="AK827" s="59">
        <v>45022.0</v>
      </c>
      <c r="AL827" s="43" t="s">
        <v>43</v>
      </c>
      <c r="AM827" s="60" t="str">
        <f t="shared" si="8"/>
        <v>[IP0583]</v>
      </c>
    </row>
    <row r="828" ht="67.5" customHeight="1">
      <c r="A828" s="61">
        <v>584.0</v>
      </c>
      <c r="B828" s="22" t="s">
        <v>2231</v>
      </c>
      <c r="C828" s="23">
        <v>2021.0</v>
      </c>
      <c r="D828" s="24" t="s">
        <v>37</v>
      </c>
      <c r="E828" s="25" t="s">
        <v>37</v>
      </c>
      <c r="F828" s="25" t="s">
        <v>35</v>
      </c>
      <c r="G828" s="25" t="s">
        <v>37</v>
      </c>
      <c r="H828" s="25" t="s">
        <v>35</v>
      </c>
      <c r="I828" s="25" t="s">
        <v>35</v>
      </c>
      <c r="J828" s="26" t="s">
        <v>36</v>
      </c>
      <c r="K828" s="27" t="s">
        <v>37</v>
      </c>
      <c r="L828" s="28" t="s">
        <v>35</v>
      </c>
      <c r="M828" s="28" t="s">
        <v>35</v>
      </c>
      <c r="N828" s="28" t="s">
        <v>37</v>
      </c>
      <c r="O828" s="28" t="s">
        <v>35</v>
      </c>
      <c r="P828" s="28" t="s">
        <v>37</v>
      </c>
      <c r="Q828" s="28" t="s">
        <v>35</v>
      </c>
      <c r="R828" s="28" t="s">
        <v>35</v>
      </c>
      <c r="S828" s="29" t="s">
        <v>2205</v>
      </c>
      <c r="T828" s="30" t="s">
        <v>2232</v>
      </c>
      <c r="U828" s="31" t="s">
        <v>2233</v>
      </c>
      <c r="V828" s="32">
        <f t="shared" ref="V828:X828" si="834">IF(lenb(SUBSTITUTE($Z828,V$1&amp;" (1)",""))&lt;lenb($Z828),1,IF(lenb(SUBSTITUTE($Z828,V$1&amp;" (2)",""))&lt;lenb($Z828),2,IF(lenb(SUBSTITUTE($Z828,V$1&amp;" (3)",""))&lt;lenb($Z828),3,IF(lenb(SUBSTITUTE($Z828,V$1&amp;" (4)",""))&lt;lenb($Z828),4,IF(lenb(SUBSTITUTE($Z828,V$1&amp;" (5)",""))&lt;lenb($Z828),5,IF(lenb(SUBSTITUTE($Z828,V$1&amp;" (6)",""))&lt;lenb($Z828),6,IF(lenb(SUBSTITUTE($Z828,V$1&amp;" (7)",""))&lt;lenb($Z828),1,IF(lenb(SUBSTITUTE($Z828,V$1&amp;" (8)",""))&lt;lenb($Z828),8,IF(lenb(SUBSTITUTE($Z828,V$1&amp;" (9)",""))&lt;lenb($Z828),9,IF(lenb(SUBSTITUTE($Z828,V$1&amp;" (10)",""))&lt;lenb($Z828),10,IF(lenb(SUBSTITUTE($Z828,V$1,""))&lt;lenb($Z828),"ERROR",IF($Z828=$Y$1,"-",0))))))))))))</f>
        <v>2</v>
      </c>
      <c r="W828" s="32">
        <f t="shared" si="834"/>
        <v>0</v>
      </c>
      <c r="X828" s="32">
        <f t="shared" si="834"/>
        <v>0</v>
      </c>
      <c r="Y828" s="32" t="str">
        <f t="shared" si="3"/>
        <v>-</v>
      </c>
      <c r="Z828" s="32" t="s">
        <v>57</v>
      </c>
      <c r="AA828" s="33">
        <f t="shared" si="4"/>
        <v>2</v>
      </c>
      <c r="AB828" s="34">
        <f>COUNTIFS(Links!B:B,"ICSE",Links!C:C,A828,Links!AD:AD,1)</f>
        <v>0</v>
      </c>
      <c r="AC828" s="35" t="s">
        <v>37</v>
      </c>
      <c r="AD828" s="27" t="str">
        <f t="shared" si="5"/>
        <v>No</v>
      </c>
      <c r="AE828" s="36" t="s">
        <v>36</v>
      </c>
      <c r="AF828" s="37" t="s">
        <v>42</v>
      </c>
      <c r="AG828" s="37" t="s">
        <v>42</v>
      </c>
      <c r="AH828" s="37" t="s">
        <v>42</v>
      </c>
      <c r="AI828" s="29" t="str">
        <f t="shared" si="661"/>
        <v>----</v>
      </c>
      <c r="AJ828" s="38" t="str">
        <f t="shared" si="7"/>
        <v>Paper has link but no statement</v>
      </c>
      <c r="AK828" s="39">
        <v>45022.0</v>
      </c>
      <c r="AL828" s="23" t="s">
        <v>43</v>
      </c>
      <c r="AM828" s="40" t="str">
        <f t="shared" si="8"/>
        <v>[IP0584]</v>
      </c>
    </row>
    <row r="829" ht="67.5" customHeight="1">
      <c r="A829" s="41">
        <v>585.0</v>
      </c>
      <c r="B829" s="42" t="s">
        <v>2234</v>
      </c>
      <c r="C829" s="43">
        <v>2021.0</v>
      </c>
      <c r="D829" s="44" t="s">
        <v>35</v>
      </c>
      <c r="E829" s="45" t="s">
        <v>36</v>
      </c>
      <c r="F829" s="45" t="s">
        <v>36</v>
      </c>
      <c r="G829" s="45" t="s">
        <v>36</v>
      </c>
      <c r="H829" s="45" t="s">
        <v>36</v>
      </c>
      <c r="I829" s="45" t="s">
        <v>36</v>
      </c>
      <c r="J829" s="46" t="s">
        <v>36</v>
      </c>
      <c r="K829" s="47" t="s">
        <v>37</v>
      </c>
      <c r="L829" s="48" t="s">
        <v>35</v>
      </c>
      <c r="M829" s="48" t="s">
        <v>37</v>
      </c>
      <c r="N829" s="48" t="s">
        <v>37</v>
      </c>
      <c r="O829" s="48" t="s">
        <v>35</v>
      </c>
      <c r="P829" s="48" t="s">
        <v>35</v>
      </c>
      <c r="Q829" s="48" t="s">
        <v>35</v>
      </c>
      <c r="R829" s="48" t="s">
        <v>37</v>
      </c>
      <c r="S829" s="49" t="s">
        <v>2235</v>
      </c>
      <c r="T829" s="50" t="s">
        <v>2236</v>
      </c>
      <c r="U829" s="51" t="s">
        <v>2237</v>
      </c>
      <c r="V829" s="52">
        <f t="shared" ref="V829:X829" si="835">IF(lenb(SUBSTITUTE($Z829,V$1&amp;" (1)",""))&lt;lenb($Z829),1,IF(lenb(SUBSTITUTE($Z829,V$1&amp;" (2)",""))&lt;lenb($Z829),2,IF(lenb(SUBSTITUTE($Z829,V$1&amp;" (3)",""))&lt;lenb($Z829),3,IF(lenb(SUBSTITUTE($Z829,V$1&amp;" (4)",""))&lt;lenb($Z829),4,IF(lenb(SUBSTITUTE($Z829,V$1&amp;" (5)",""))&lt;lenb($Z829),5,IF(lenb(SUBSTITUTE($Z829,V$1&amp;" (6)",""))&lt;lenb($Z829),6,IF(lenb(SUBSTITUTE($Z829,V$1&amp;" (7)",""))&lt;lenb($Z829),1,IF(lenb(SUBSTITUTE($Z829,V$1&amp;" (8)",""))&lt;lenb($Z829),8,IF(lenb(SUBSTITUTE($Z829,V$1&amp;" (9)",""))&lt;lenb($Z829),9,IF(lenb(SUBSTITUTE($Z829,V$1&amp;" (10)",""))&lt;lenb($Z829),10,IF(lenb(SUBSTITUTE($Z829,V$1,""))&lt;lenb($Z829),"ERROR",IF($Z829=$Y$1,"-",0))))))))))))</f>
        <v>1</v>
      </c>
      <c r="W829" s="52">
        <f t="shared" si="835"/>
        <v>0</v>
      </c>
      <c r="X829" s="52">
        <f t="shared" si="835"/>
        <v>0</v>
      </c>
      <c r="Y829" s="52" t="str">
        <f t="shared" si="3"/>
        <v>-</v>
      </c>
      <c r="Z829" s="52" t="s">
        <v>62</v>
      </c>
      <c r="AA829" s="53">
        <f t="shared" si="4"/>
        <v>1</v>
      </c>
      <c r="AB829" s="54">
        <f>COUNTIFS(Links!B:B,"ICSE",Links!C:C,A829,Links!AD:AD,1)</f>
        <v>0</v>
      </c>
      <c r="AC829" s="55" t="s">
        <v>35</v>
      </c>
      <c r="AD829" s="47" t="str">
        <f t="shared" si="5"/>
        <v>No</v>
      </c>
      <c r="AE829" s="56" t="s">
        <v>36</v>
      </c>
      <c r="AF829" s="57" t="s">
        <v>42</v>
      </c>
      <c r="AG829" s="57" t="s">
        <v>42</v>
      </c>
      <c r="AH829" s="57" t="s">
        <v>42</v>
      </c>
      <c r="AI829" s="49" t="str">
        <f t="shared" si="661"/>
        <v>----</v>
      </c>
      <c r="AJ829" s="58" t="str">
        <f t="shared" si="7"/>
        <v>Paper has link but no statement</v>
      </c>
      <c r="AK829" s="59">
        <v>45022.0</v>
      </c>
      <c r="AL829" s="43" t="s">
        <v>43</v>
      </c>
      <c r="AM829" s="60" t="str">
        <f t="shared" si="8"/>
        <v>[IP0585]</v>
      </c>
    </row>
    <row r="830" ht="67.5" customHeight="1">
      <c r="A830" s="61">
        <v>586.0</v>
      </c>
      <c r="B830" s="22" t="s">
        <v>2238</v>
      </c>
      <c r="C830" s="23">
        <v>2021.0</v>
      </c>
      <c r="D830" s="24" t="s">
        <v>35</v>
      </c>
      <c r="E830" s="25" t="s">
        <v>36</v>
      </c>
      <c r="F830" s="25" t="s">
        <v>36</v>
      </c>
      <c r="G830" s="25" t="s">
        <v>36</v>
      </c>
      <c r="H830" s="25" t="s">
        <v>36</v>
      </c>
      <c r="I830" s="25" t="s">
        <v>36</v>
      </c>
      <c r="J830" s="26" t="s">
        <v>36</v>
      </c>
      <c r="K830" s="27" t="s">
        <v>35</v>
      </c>
      <c r="L830" s="28" t="s">
        <v>36</v>
      </c>
      <c r="M830" s="28" t="s">
        <v>36</v>
      </c>
      <c r="N830" s="28" t="s">
        <v>36</v>
      </c>
      <c r="O830" s="28" t="s">
        <v>36</v>
      </c>
      <c r="P830" s="28" t="s">
        <v>36</v>
      </c>
      <c r="Q830" s="28" t="s">
        <v>36</v>
      </c>
      <c r="R830" s="28" t="s">
        <v>36</v>
      </c>
      <c r="S830" s="29" t="s">
        <v>36</v>
      </c>
      <c r="T830" s="30" t="s">
        <v>36</v>
      </c>
      <c r="U830" s="31" t="s">
        <v>36</v>
      </c>
      <c r="V830" s="32" t="str">
        <f t="shared" ref="V830:X830" si="836">IF(lenb(SUBSTITUTE($Z830,V$1&amp;" (1)",""))&lt;lenb($Z830),1,IF(lenb(SUBSTITUTE($Z830,V$1&amp;" (2)",""))&lt;lenb($Z830),2,IF(lenb(SUBSTITUTE($Z830,V$1&amp;" (3)",""))&lt;lenb($Z830),3,IF(lenb(SUBSTITUTE($Z830,V$1&amp;" (4)",""))&lt;lenb($Z830),4,IF(lenb(SUBSTITUTE($Z830,V$1&amp;" (5)",""))&lt;lenb($Z830),5,IF(lenb(SUBSTITUTE($Z830,V$1&amp;" (6)",""))&lt;lenb($Z830),6,IF(lenb(SUBSTITUTE($Z830,V$1&amp;" (7)",""))&lt;lenb($Z830),1,IF(lenb(SUBSTITUTE($Z830,V$1&amp;" (8)",""))&lt;lenb($Z830),8,IF(lenb(SUBSTITUTE($Z830,V$1&amp;" (9)",""))&lt;lenb($Z830),9,IF(lenb(SUBSTITUTE($Z830,V$1&amp;" (10)",""))&lt;lenb($Z830),10,IF(lenb(SUBSTITUTE($Z830,V$1,""))&lt;lenb($Z830),"ERROR",IF($Z830=$Y$1,"-",0))))))))))))</f>
        <v>-</v>
      </c>
      <c r="W830" s="32" t="str">
        <f t="shared" si="836"/>
        <v>-</v>
      </c>
      <c r="X830" s="32" t="str">
        <f t="shared" si="836"/>
        <v>-</v>
      </c>
      <c r="Y830" s="32">
        <f t="shared" si="3"/>
        <v>1</v>
      </c>
      <c r="Z830" s="32" t="s">
        <v>23</v>
      </c>
      <c r="AA830" s="33">
        <f t="shared" si="4"/>
        <v>0</v>
      </c>
      <c r="AB830" s="34">
        <f>COUNTIFS(Links!B:B,"ICSE",Links!C:C,A830,Links!AD:AD,1)</f>
        <v>0</v>
      </c>
      <c r="AC830" s="35" t="s">
        <v>36</v>
      </c>
      <c r="AD830" s="27" t="str">
        <f t="shared" si="5"/>
        <v>No</v>
      </c>
      <c r="AE830" s="36" t="s">
        <v>36</v>
      </c>
      <c r="AF830" s="37" t="s">
        <v>42</v>
      </c>
      <c r="AG830" s="37" t="s">
        <v>42</v>
      </c>
      <c r="AH830" s="37" t="s">
        <v>42</v>
      </c>
      <c r="AI830" s="29" t="str">
        <f t="shared" si="661"/>
        <v>----</v>
      </c>
      <c r="AJ830" s="38" t="str">
        <f t="shared" si="7"/>
        <v>Paper has no link and no statement</v>
      </c>
      <c r="AK830" s="39">
        <v>45022.0</v>
      </c>
      <c r="AL830" s="23" t="s">
        <v>43</v>
      </c>
      <c r="AM830" s="40" t="str">
        <f t="shared" si="8"/>
        <v>[IP0586]</v>
      </c>
    </row>
    <row r="831" ht="67.5" customHeight="1">
      <c r="A831" s="41">
        <v>587.0</v>
      </c>
      <c r="B831" s="42" t="s">
        <v>2239</v>
      </c>
      <c r="C831" s="43">
        <v>2021.0</v>
      </c>
      <c r="D831" s="44" t="s">
        <v>35</v>
      </c>
      <c r="E831" s="45" t="s">
        <v>36</v>
      </c>
      <c r="F831" s="45" t="s">
        <v>36</v>
      </c>
      <c r="G831" s="45" t="s">
        <v>36</v>
      </c>
      <c r="H831" s="45" t="s">
        <v>36</v>
      </c>
      <c r="I831" s="45" t="s">
        <v>36</v>
      </c>
      <c r="J831" s="46" t="s">
        <v>36</v>
      </c>
      <c r="K831" s="47" t="s">
        <v>37</v>
      </c>
      <c r="L831" s="48" t="s">
        <v>35</v>
      </c>
      <c r="M831" s="48" t="s">
        <v>35</v>
      </c>
      <c r="N831" s="48" t="s">
        <v>37</v>
      </c>
      <c r="O831" s="48" t="s">
        <v>35</v>
      </c>
      <c r="P831" s="48" t="s">
        <v>35</v>
      </c>
      <c r="Q831" s="48" t="s">
        <v>35</v>
      </c>
      <c r="R831" s="48" t="s">
        <v>37</v>
      </c>
      <c r="S831" s="49" t="s">
        <v>2240</v>
      </c>
      <c r="T831" s="50" t="s">
        <v>2241</v>
      </c>
      <c r="U831" s="51" t="s">
        <v>2242</v>
      </c>
      <c r="V831" s="52">
        <f t="shared" ref="V831:X831" si="837">IF(lenb(SUBSTITUTE($Z831,V$1&amp;" (1)",""))&lt;lenb($Z831),1,IF(lenb(SUBSTITUTE($Z831,V$1&amp;" (2)",""))&lt;lenb($Z831),2,IF(lenb(SUBSTITUTE($Z831,V$1&amp;" (3)",""))&lt;lenb($Z831),3,IF(lenb(SUBSTITUTE($Z831,V$1&amp;" (4)",""))&lt;lenb($Z831),4,IF(lenb(SUBSTITUTE($Z831,V$1&amp;" (5)",""))&lt;lenb($Z831),5,IF(lenb(SUBSTITUTE($Z831,V$1&amp;" (6)",""))&lt;lenb($Z831),6,IF(lenb(SUBSTITUTE($Z831,V$1&amp;" (7)",""))&lt;lenb($Z831),1,IF(lenb(SUBSTITUTE($Z831,V$1&amp;" (8)",""))&lt;lenb($Z831),8,IF(lenb(SUBSTITUTE($Z831,V$1&amp;" (9)",""))&lt;lenb($Z831),9,IF(lenb(SUBSTITUTE($Z831,V$1&amp;" (10)",""))&lt;lenb($Z831),10,IF(lenb(SUBSTITUTE($Z831,V$1,""))&lt;lenb($Z831),"ERROR",IF($Z831=$Y$1,"-",0))))))))))))</f>
        <v>2</v>
      </c>
      <c r="W831" s="52">
        <f t="shared" si="837"/>
        <v>0</v>
      </c>
      <c r="X831" s="52">
        <f t="shared" si="837"/>
        <v>0</v>
      </c>
      <c r="Y831" s="52" t="str">
        <f t="shared" si="3"/>
        <v>-</v>
      </c>
      <c r="Z831" s="52" t="s">
        <v>57</v>
      </c>
      <c r="AA831" s="53">
        <f t="shared" si="4"/>
        <v>2</v>
      </c>
      <c r="AB831" s="54">
        <f>COUNTIFS(Links!B:B,"ICSE",Links!C:C,A831,Links!AD:AD,1)</f>
        <v>0</v>
      </c>
      <c r="AC831" s="55" t="s">
        <v>35</v>
      </c>
      <c r="AD831" s="47" t="str">
        <f t="shared" si="5"/>
        <v>No</v>
      </c>
      <c r="AE831" s="56" t="s">
        <v>36</v>
      </c>
      <c r="AF831" s="57" t="s">
        <v>42</v>
      </c>
      <c r="AG831" s="57" t="s">
        <v>42</v>
      </c>
      <c r="AH831" s="57" t="s">
        <v>42</v>
      </c>
      <c r="AI831" s="49" t="str">
        <f t="shared" si="661"/>
        <v>----</v>
      </c>
      <c r="AJ831" s="58" t="str">
        <f t="shared" si="7"/>
        <v>Paper has link but no statement</v>
      </c>
      <c r="AK831" s="59">
        <v>45022.0</v>
      </c>
      <c r="AL831" s="43" t="s">
        <v>43</v>
      </c>
      <c r="AM831" s="60" t="str">
        <f t="shared" si="8"/>
        <v>[IP0587]</v>
      </c>
    </row>
    <row r="832" ht="67.5" customHeight="1">
      <c r="A832" s="61">
        <v>588.0</v>
      </c>
      <c r="B832" s="22" t="s">
        <v>2243</v>
      </c>
      <c r="C832" s="23">
        <v>2021.0</v>
      </c>
      <c r="D832" s="24" t="s">
        <v>35</v>
      </c>
      <c r="E832" s="25" t="s">
        <v>36</v>
      </c>
      <c r="F832" s="25" t="s">
        <v>36</v>
      </c>
      <c r="G832" s="25" t="s">
        <v>36</v>
      </c>
      <c r="H832" s="25" t="s">
        <v>36</v>
      </c>
      <c r="I832" s="25" t="s">
        <v>36</v>
      </c>
      <c r="J832" s="26" t="s">
        <v>36</v>
      </c>
      <c r="K832" s="27" t="s">
        <v>37</v>
      </c>
      <c r="L832" s="28" t="s">
        <v>35</v>
      </c>
      <c r="M832" s="28" t="s">
        <v>37</v>
      </c>
      <c r="N832" s="28" t="s">
        <v>37</v>
      </c>
      <c r="O832" s="28" t="s">
        <v>35</v>
      </c>
      <c r="P832" s="28" t="s">
        <v>35</v>
      </c>
      <c r="Q832" s="28" t="s">
        <v>35</v>
      </c>
      <c r="R832" s="28" t="s">
        <v>37</v>
      </c>
      <c r="S832" s="29" t="s">
        <v>2244</v>
      </c>
      <c r="T832" s="30" t="s">
        <v>2245</v>
      </c>
      <c r="U832" s="31" t="s">
        <v>2245</v>
      </c>
      <c r="V832" s="32">
        <f t="shared" ref="V832:X832" si="838">IF(lenb(SUBSTITUTE($Z832,V$1&amp;" (1)",""))&lt;lenb($Z832),1,IF(lenb(SUBSTITUTE($Z832,V$1&amp;" (2)",""))&lt;lenb($Z832),2,IF(lenb(SUBSTITUTE($Z832,V$1&amp;" (3)",""))&lt;lenb($Z832),3,IF(lenb(SUBSTITUTE($Z832,V$1&amp;" (4)",""))&lt;lenb($Z832),4,IF(lenb(SUBSTITUTE($Z832,V$1&amp;" (5)",""))&lt;lenb($Z832),5,IF(lenb(SUBSTITUTE($Z832,V$1&amp;" (6)",""))&lt;lenb($Z832),6,IF(lenb(SUBSTITUTE($Z832,V$1&amp;" (7)",""))&lt;lenb($Z832),1,IF(lenb(SUBSTITUTE($Z832,V$1&amp;" (8)",""))&lt;lenb($Z832),8,IF(lenb(SUBSTITUTE($Z832,V$1&amp;" (9)",""))&lt;lenb($Z832),9,IF(lenb(SUBSTITUTE($Z832,V$1&amp;" (10)",""))&lt;lenb($Z832),10,IF(lenb(SUBSTITUTE($Z832,V$1,""))&lt;lenb($Z832),"ERROR",IF($Z832=$Y$1,"-",0))))))))))))</f>
        <v>1</v>
      </c>
      <c r="W832" s="32">
        <f t="shared" si="838"/>
        <v>0</v>
      </c>
      <c r="X832" s="32">
        <f t="shared" si="838"/>
        <v>0</v>
      </c>
      <c r="Y832" s="32" t="str">
        <f t="shared" si="3"/>
        <v>-</v>
      </c>
      <c r="Z832" s="32" t="s">
        <v>62</v>
      </c>
      <c r="AA832" s="33">
        <f t="shared" si="4"/>
        <v>1</v>
      </c>
      <c r="AB832" s="34">
        <f>COUNTIFS(Links!B:B,"ICSE",Links!C:C,A832,Links!AD:AD,1)</f>
        <v>0</v>
      </c>
      <c r="AC832" s="35" t="s">
        <v>35</v>
      </c>
      <c r="AD832" s="27" t="str">
        <f t="shared" si="5"/>
        <v>No</v>
      </c>
      <c r="AE832" s="36" t="s">
        <v>36</v>
      </c>
      <c r="AF832" s="37" t="s">
        <v>42</v>
      </c>
      <c r="AG832" s="37" t="s">
        <v>42</v>
      </c>
      <c r="AH832" s="37" t="s">
        <v>42</v>
      </c>
      <c r="AI832" s="29" t="str">
        <f t="shared" si="661"/>
        <v>----</v>
      </c>
      <c r="AJ832" s="38" t="str">
        <f t="shared" si="7"/>
        <v>Paper has link but no statement</v>
      </c>
      <c r="AK832" s="39">
        <v>45022.0</v>
      </c>
      <c r="AL832" s="23" t="s">
        <v>43</v>
      </c>
      <c r="AM832" s="40" t="str">
        <f t="shared" si="8"/>
        <v>[IP0588]</v>
      </c>
    </row>
    <row r="833" ht="67.5" customHeight="1">
      <c r="A833" s="41">
        <v>589.0</v>
      </c>
      <c r="B833" s="42" t="s">
        <v>2246</v>
      </c>
      <c r="C833" s="43">
        <v>2021.0</v>
      </c>
      <c r="D833" s="44" t="s">
        <v>37</v>
      </c>
      <c r="E833" s="45" t="s">
        <v>37</v>
      </c>
      <c r="F833" s="45" t="s">
        <v>35</v>
      </c>
      <c r="G833" s="45" t="s">
        <v>37</v>
      </c>
      <c r="H833" s="45" t="s">
        <v>35</v>
      </c>
      <c r="I833" s="45" t="s">
        <v>35</v>
      </c>
      <c r="J833" s="46" t="s">
        <v>36</v>
      </c>
      <c r="K833" s="47" t="s">
        <v>37</v>
      </c>
      <c r="L833" s="48" t="s">
        <v>37</v>
      </c>
      <c r="M833" s="48" t="s">
        <v>37</v>
      </c>
      <c r="N833" s="48" t="s">
        <v>37</v>
      </c>
      <c r="O833" s="48" t="s">
        <v>35</v>
      </c>
      <c r="P833" s="48" t="s">
        <v>35</v>
      </c>
      <c r="Q833" s="48" t="s">
        <v>35</v>
      </c>
      <c r="R833" s="48" t="s">
        <v>37</v>
      </c>
      <c r="S833" s="49" t="s">
        <v>2247</v>
      </c>
      <c r="T833" s="50" t="s">
        <v>2248</v>
      </c>
      <c r="U833" s="51" t="s">
        <v>2249</v>
      </c>
      <c r="V833" s="52">
        <f t="shared" ref="V833:X833" si="839">IF(lenb(SUBSTITUTE($Z833,V$1&amp;" (1)",""))&lt;lenb($Z833),1,IF(lenb(SUBSTITUTE($Z833,V$1&amp;" (2)",""))&lt;lenb($Z833),2,IF(lenb(SUBSTITUTE($Z833,V$1&amp;" (3)",""))&lt;lenb($Z833),3,IF(lenb(SUBSTITUTE($Z833,V$1&amp;" (4)",""))&lt;lenb($Z833),4,IF(lenb(SUBSTITUTE($Z833,V$1&amp;" (5)",""))&lt;lenb($Z833),5,IF(lenb(SUBSTITUTE($Z833,V$1&amp;" (6)",""))&lt;lenb($Z833),6,IF(lenb(SUBSTITUTE($Z833,V$1&amp;" (7)",""))&lt;lenb($Z833),1,IF(lenb(SUBSTITUTE($Z833,V$1&amp;" (8)",""))&lt;lenb($Z833),8,IF(lenb(SUBSTITUTE($Z833,V$1&amp;" (9)",""))&lt;lenb($Z833),9,IF(lenb(SUBSTITUTE($Z833,V$1&amp;" (10)",""))&lt;lenb($Z833),10,IF(lenb(SUBSTITUTE($Z833,V$1,""))&lt;lenb($Z833),"ERROR",IF($Z833=$Y$1,"-",0))))))))))))</f>
        <v>1</v>
      </c>
      <c r="W833" s="52">
        <f t="shared" si="839"/>
        <v>0</v>
      </c>
      <c r="X833" s="52">
        <f t="shared" si="839"/>
        <v>0</v>
      </c>
      <c r="Y833" s="52" t="str">
        <f t="shared" si="3"/>
        <v>-</v>
      </c>
      <c r="Z833" s="52" t="s">
        <v>62</v>
      </c>
      <c r="AA833" s="53">
        <f t="shared" si="4"/>
        <v>1</v>
      </c>
      <c r="AB833" s="54">
        <f>COUNTIFS(Links!B:B,"ICSE",Links!C:C,A833,Links!AD:AD,1)</f>
        <v>0</v>
      </c>
      <c r="AC833" s="55" t="s">
        <v>35</v>
      </c>
      <c r="AD833" s="47" t="str">
        <f t="shared" si="5"/>
        <v>No</v>
      </c>
      <c r="AE833" s="56" t="s">
        <v>36</v>
      </c>
      <c r="AF833" s="57" t="s">
        <v>42</v>
      </c>
      <c r="AG833" s="57" t="s">
        <v>42</v>
      </c>
      <c r="AH833" s="57" t="s">
        <v>42</v>
      </c>
      <c r="AI833" s="49" t="str">
        <f t="shared" si="661"/>
        <v>----</v>
      </c>
      <c r="AJ833" s="58" t="str">
        <f t="shared" si="7"/>
        <v>Paper has link but no statement</v>
      </c>
      <c r="AK833" s="59">
        <v>45022.0</v>
      </c>
      <c r="AL833" s="43" t="s">
        <v>43</v>
      </c>
      <c r="AM833" s="60" t="str">
        <f t="shared" si="8"/>
        <v>[IP0589]</v>
      </c>
    </row>
    <row r="834" ht="67.5" customHeight="1">
      <c r="A834" s="21">
        <v>1.0</v>
      </c>
      <c r="B834" s="22" t="s">
        <v>2250</v>
      </c>
      <c r="C834" s="23">
        <v>2022.0</v>
      </c>
      <c r="D834" s="24" t="s">
        <v>37</v>
      </c>
      <c r="E834" s="25" t="s">
        <v>37</v>
      </c>
      <c r="F834" s="25" t="s">
        <v>37</v>
      </c>
      <c r="G834" s="25" t="s">
        <v>35</v>
      </c>
      <c r="H834" s="25" t="s">
        <v>35</v>
      </c>
      <c r="I834" s="25" t="s">
        <v>35</v>
      </c>
      <c r="J834" s="26" t="s">
        <v>36</v>
      </c>
      <c r="K834" s="82" t="s">
        <v>35</v>
      </c>
      <c r="L834" s="70" t="s">
        <v>36</v>
      </c>
      <c r="M834" s="70" t="s">
        <v>36</v>
      </c>
      <c r="N834" s="70" t="s">
        <v>36</v>
      </c>
      <c r="O834" s="70" t="s">
        <v>36</v>
      </c>
      <c r="P834" s="70" t="s">
        <v>36</v>
      </c>
      <c r="Q834" s="70" t="s">
        <v>36</v>
      </c>
      <c r="R834" s="70" t="s">
        <v>36</v>
      </c>
      <c r="S834" s="37" t="s">
        <v>36</v>
      </c>
      <c r="T834" s="30" t="s">
        <v>36</v>
      </c>
      <c r="U834" s="31" t="s">
        <v>36</v>
      </c>
      <c r="V834" s="32" t="str">
        <f t="shared" ref="V834:X834" si="840">IF(lenb(SUBSTITUTE($Z834,V$1&amp;" (1)",""))&lt;lenb($Z834),1,IF(lenb(SUBSTITUTE($Z834,V$1&amp;" (2)",""))&lt;lenb($Z834),2,IF(lenb(SUBSTITUTE($Z834,V$1&amp;" (3)",""))&lt;lenb($Z834),3,IF(lenb(SUBSTITUTE($Z834,V$1&amp;" (4)",""))&lt;lenb($Z834),4,IF(lenb(SUBSTITUTE($Z834,V$1&amp;" (5)",""))&lt;lenb($Z834),5,IF(lenb(SUBSTITUTE($Z834,V$1&amp;" (6)",""))&lt;lenb($Z834),6,IF(lenb(SUBSTITUTE($Z834,V$1&amp;" (7)",""))&lt;lenb($Z834),1,IF(lenb(SUBSTITUTE($Z834,V$1&amp;" (8)",""))&lt;lenb($Z834),8,IF(lenb(SUBSTITUTE($Z834,V$1&amp;" (9)",""))&lt;lenb($Z834),9,IF(lenb(SUBSTITUTE($Z834,V$1&amp;" (10)",""))&lt;lenb($Z834),10,IF(lenb(SUBSTITUTE($Z834,V$1,""))&lt;lenb($Z834),"ERROR",IF($Z834=$Y$1,"-",0))))))))))))</f>
        <v>-</v>
      </c>
      <c r="W834" s="32" t="str">
        <f t="shared" si="840"/>
        <v>-</v>
      </c>
      <c r="X834" s="32" t="str">
        <f t="shared" si="840"/>
        <v>-</v>
      </c>
      <c r="Y834" s="32">
        <f t="shared" si="3"/>
        <v>1</v>
      </c>
      <c r="Z834" s="32" t="s">
        <v>23</v>
      </c>
      <c r="AA834" s="33">
        <f t="shared" si="4"/>
        <v>0</v>
      </c>
      <c r="AB834" s="34">
        <f>COUNTIFS(Links!B:B,"ICSE",Links!C:C,A834,Links!AD:AD,1)</f>
        <v>0</v>
      </c>
      <c r="AC834" s="35" t="s">
        <v>36</v>
      </c>
      <c r="AD834" s="27" t="str">
        <f t="shared" si="5"/>
        <v>No</v>
      </c>
      <c r="AE834" s="36" t="s">
        <v>36</v>
      </c>
      <c r="AF834" s="37" t="s">
        <v>42</v>
      </c>
      <c r="AG834" s="37" t="s">
        <v>42</v>
      </c>
      <c r="AH834" s="37" t="s">
        <v>42</v>
      </c>
      <c r="AI834" s="29" t="str">
        <f t="shared" si="661"/>
        <v>----</v>
      </c>
      <c r="AJ834" s="38" t="str">
        <f t="shared" si="7"/>
        <v>Paper has no link and no statement</v>
      </c>
      <c r="AK834" s="84">
        <v>44859.0</v>
      </c>
      <c r="AL834" s="23" t="s">
        <v>43</v>
      </c>
      <c r="AM834" s="40" t="str">
        <f t="shared" si="8"/>
        <v>[IP0001]</v>
      </c>
    </row>
    <row r="835" ht="67.5" customHeight="1">
      <c r="A835" s="41">
        <v>2.0</v>
      </c>
      <c r="B835" s="42" t="s">
        <v>2251</v>
      </c>
      <c r="C835" s="43">
        <v>2022.0</v>
      </c>
      <c r="D835" s="44" t="s">
        <v>37</v>
      </c>
      <c r="E835" s="45" t="s">
        <v>37</v>
      </c>
      <c r="F835" s="45" t="s">
        <v>37</v>
      </c>
      <c r="G835" s="45" t="s">
        <v>35</v>
      </c>
      <c r="H835" s="45" t="s">
        <v>35</v>
      </c>
      <c r="I835" s="45" t="s">
        <v>35</v>
      </c>
      <c r="J835" s="46" t="s">
        <v>36</v>
      </c>
      <c r="K835" s="83" t="s">
        <v>37</v>
      </c>
      <c r="L835" s="71" t="s">
        <v>37</v>
      </c>
      <c r="M835" s="71" t="s">
        <v>35</v>
      </c>
      <c r="N835" s="71" t="s">
        <v>37</v>
      </c>
      <c r="O835" s="71" t="s">
        <v>35</v>
      </c>
      <c r="P835" s="71" t="s">
        <v>35</v>
      </c>
      <c r="Q835" s="71" t="s">
        <v>35</v>
      </c>
      <c r="R835" s="71" t="s">
        <v>35</v>
      </c>
      <c r="S835" s="57" t="s">
        <v>2252</v>
      </c>
      <c r="T835" s="50" t="s">
        <v>2253</v>
      </c>
      <c r="U835" s="51" t="s">
        <v>2254</v>
      </c>
      <c r="V835" s="52">
        <f t="shared" ref="V835:X835" si="841">IF(lenb(SUBSTITUTE($Z835,V$1&amp;" (1)",""))&lt;lenb($Z835),1,IF(lenb(SUBSTITUTE($Z835,V$1&amp;" (2)",""))&lt;lenb($Z835),2,IF(lenb(SUBSTITUTE($Z835,V$1&amp;" (3)",""))&lt;lenb($Z835),3,IF(lenb(SUBSTITUTE($Z835,V$1&amp;" (4)",""))&lt;lenb($Z835),4,IF(lenb(SUBSTITUTE($Z835,V$1&amp;" (5)",""))&lt;lenb($Z835),5,IF(lenb(SUBSTITUTE($Z835,V$1&amp;" (6)",""))&lt;lenb($Z835),6,IF(lenb(SUBSTITUTE($Z835,V$1&amp;" (7)",""))&lt;lenb($Z835),1,IF(lenb(SUBSTITUTE($Z835,V$1&amp;" (8)",""))&lt;lenb($Z835),8,IF(lenb(SUBSTITUTE($Z835,V$1&amp;" (9)",""))&lt;lenb($Z835),9,IF(lenb(SUBSTITUTE($Z835,V$1&amp;" (10)",""))&lt;lenb($Z835),10,IF(lenb(SUBSTITUTE($Z835,V$1,""))&lt;lenb($Z835),"ERROR",IF($Z835=$Y$1,"-",0))))))))))))</f>
        <v>2</v>
      </c>
      <c r="W835" s="52">
        <f t="shared" si="841"/>
        <v>0</v>
      </c>
      <c r="X835" s="52">
        <f t="shared" si="841"/>
        <v>0</v>
      </c>
      <c r="Y835" s="52" t="str">
        <f t="shared" si="3"/>
        <v>-</v>
      </c>
      <c r="Z835" s="52" t="s">
        <v>57</v>
      </c>
      <c r="AA835" s="53">
        <f t="shared" si="4"/>
        <v>2</v>
      </c>
      <c r="AB835" s="54">
        <f>COUNTIFS(Links!B:B,"ICSE",Links!C:C,A835,Links!AD:AD,1)</f>
        <v>0</v>
      </c>
      <c r="AC835" s="55" t="s">
        <v>37</v>
      </c>
      <c r="AD835" s="47" t="str">
        <f t="shared" si="5"/>
        <v>No</v>
      </c>
      <c r="AE835" s="56" t="s">
        <v>36</v>
      </c>
      <c r="AF835" s="57" t="s">
        <v>42</v>
      </c>
      <c r="AG835" s="57" t="s">
        <v>42</v>
      </c>
      <c r="AH835" s="57" t="s">
        <v>42</v>
      </c>
      <c r="AI835" s="49" t="str">
        <f t="shared" si="661"/>
        <v>----</v>
      </c>
      <c r="AJ835" s="58" t="str">
        <f t="shared" si="7"/>
        <v>Paper has link but no statement</v>
      </c>
      <c r="AK835" s="85">
        <v>44859.0</v>
      </c>
      <c r="AL835" s="43" t="s">
        <v>43</v>
      </c>
      <c r="AM835" s="60" t="str">
        <f t="shared" si="8"/>
        <v>[IP0002]</v>
      </c>
    </row>
    <row r="836" ht="67.5" customHeight="1">
      <c r="A836" s="61">
        <v>3.0</v>
      </c>
      <c r="B836" s="22" t="s">
        <v>2255</v>
      </c>
      <c r="C836" s="23">
        <v>2022.0</v>
      </c>
      <c r="D836" s="24" t="s">
        <v>37</v>
      </c>
      <c r="E836" s="25" t="s">
        <v>37</v>
      </c>
      <c r="F836" s="25" t="s">
        <v>35</v>
      </c>
      <c r="G836" s="25" t="s">
        <v>37</v>
      </c>
      <c r="H836" s="25" t="s">
        <v>35</v>
      </c>
      <c r="I836" s="25" t="s">
        <v>35</v>
      </c>
      <c r="J836" s="26" t="s">
        <v>36</v>
      </c>
      <c r="K836" s="82" t="s">
        <v>37</v>
      </c>
      <c r="L836" s="70" t="s">
        <v>37</v>
      </c>
      <c r="M836" s="70" t="s">
        <v>35</v>
      </c>
      <c r="N836" s="70" t="s">
        <v>35</v>
      </c>
      <c r="O836" s="70" t="s">
        <v>35</v>
      </c>
      <c r="P836" s="70" t="s">
        <v>35</v>
      </c>
      <c r="Q836" s="70" t="s">
        <v>37</v>
      </c>
      <c r="R836" s="70" t="s">
        <v>37</v>
      </c>
      <c r="S836" s="37" t="s">
        <v>2256</v>
      </c>
      <c r="T836" s="30" t="s">
        <v>2257</v>
      </c>
      <c r="U836" s="31" t="s">
        <v>2257</v>
      </c>
      <c r="V836" s="32">
        <f t="shared" ref="V836:X836" si="842">IF(lenb(SUBSTITUTE($Z836,V$1&amp;" (1)",""))&lt;lenb($Z836),1,IF(lenb(SUBSTITUTE($Z836,V$1&amp;" (2)",""))&lt;lenb($Z836),2,IF(lenb(SUBSTITUTE($Z836,V$1&amp;" (3)",""))&lt;lenb($Z836),3,IF(lenb(SUBSTITUTE($Z836,V$1&amp;" (4)",""))&lt;lenb($Z836),4,IF(lenb(SUBSTITUTE($Z836,V$1&amp;" (5)",""))&lt;lenb($Z836),5,IF(lenb(SUBSTITUTE($Z836,V$1&amp;" (6)",""))&lt;lenb($Z836),6,IF(lenb(SUBSTITUTE($Z836,V$1&amp;" (7)",""))&lt;lenb($Z836),1,IF(lenb(SUBSTITUTE($Z836,V$1&amp;" (8)",""))&lt;lenb($Z836),8,IF(lenb(SUBSTITUTE($Z836,V$1&amp;" (9)",""))&lt;lenb($Z836),9,IF(lenb(SUBSTITUTE($Z836,V$1&amp;" (10)",""))&lt;lenb($Z836),10,IF(lenb(SUBSTITUTE($Z836,V$1,""))&lt;lenb($Z836),"ERROR",IF($Z836=$Y$1,"-",0))))))))))))</f>
        <v>2</v>
      </c>
      <c r="W836" s="32">
        <f t="shared" si="842"/>
        <v>0</v>
      </c>
      <c r="X836" s="32">
        <f t="shared" si="842"/>
        <v>0</v>
      </c>
      <c r="Y836" s="32" t="str">
        <f t="shared" si="3"/>
        <v>-</v>
      </c>
      <c r="Z836" s="32" t="s">
        <v>57</v>
      </c>
      <c r="AA836" s="33">
        <f t="shared" si="4"/>
        <v>2</v>
      </c>
      <c r="AB836" s="34">
        <f>COUNTIFS(Links!B:B,"ICSE",Links!C:C,A836,Links!AD:AD,1)</f>
        <v>0</v>
      </c>
      <c r="AC836" s="35" t="s">
        <v>37</v>
      </c>
      <c r="AD836" s="27" t="str">
        <f t="shared" si="5"/>
        <v>No</v>
      </c>
      <c r="AE836" s="36" t="s">
        <v>36</v>
      </c>
      <c r="AF836" s="37" t="s">
        <v>42</v>
      </c>
      <c r="AG836" s="37" t="s">
        <v>42</v>
      </c>
      <c r="AH836" s="37" t="s">
        <v>42</v>
      </c>
      <c r="AI836" s="29" t="str">
        <f t="shared" si="661"/>
        <v>----</v>
      </c>
      <c r="AJ836" s="38" t="str">
        <f t="shared" si="7"/>
        <v>Paper has link but no statement</v>
      </c>
      <c r="AK836" s="84">
        <v>44859.0</v>
      </c>
      <c r="AL836" s="23" t="s">
        <v>43</v>
      </c>
      <c r="AM836" s="40" t="str">
        <f t="shared" si="8"/>
        <v>[IP0003]</v>
      </c>
    </row>
    <row r="837" ht="67.5" customHeight="1">
      <c r="A837" s="41">
        <v>4.0</v>
      </c>
      <c r="B837" s="42" t="s">
        <v>2258</v>
      </c>
      <c r="C837" s="43">
        <v>2022.0</v>
      </c>
      <c r="D837" s="44" t="s">
        <v>37</v>
      </c>
      <c r="E837" s="45" t="s">
        <v>37</v>
      </c>
      <c r="F837" s="45" t="s">
        <v>35</v>
      </c>
      <c r="G837" s="45" t="s">
        <v>37</v>
      </c>
      <c r="H837" s="45" t="s">
        <v>35</v>
      </c>
      <c r="I837" s="45" t="s">
        <v>35</v>
      </c>
      <c r="J837" s="46" t="s">
        <v>36</v>
      </c>
      <c r="K837" s="83" t="s">
        <v>37</v>
      </c>
      <c r="L837" s="71" t="s">
        <v>37</v>
      </c>
      <c r="M837" s="71" t="s">
        <v>37</v>
      </c>
      <c r="N837" s="71" t="s">
        <v>37</v>
      </c>
      <c r="O837" s="71" t="s">
        <v>35</v>
      </c>
      <c r="P837" s="71" t="s">
        <v>35</v>
      </c>
      <c r="Q837" s="71" t="s">
        <v>35</v>
      </c>
      <c r="R837" s="71" t="s">
        <v>37</v>
      </c>
      <c r="S837" s="57" t="s">
        <v>2259</v>
      </c>
      <c r="T837" s="50" t="s">
        <v>2260</v>
      </c>
      <c r="U837" s="51" t="s">
        <v>2260</v>
      </c>
      <c r="V837" s="52">
        <f t="shared" ref="V837:X837" si="843">IF(lenb(SUBSTITUTE($Z837,V$1&amp;" (1)",""))&lt;lenb($Z837),1,IF(lenb(SUBSTITUTE($Z837,V$1&amp;" (2)",""))&lt;lenb($Z837),2,IF(lenb(SUBSTITUTE($Z837,V$1&amp;" (3)",""))&lt;lenb($Z837),3,IF(lenb(SUBSTITUTE($Z837,V$1&amp;" (4)",""))&lt;lenb($Z837),4,IF(lenb(SUBSTITUTE($Z837,V$1&amp;" (5)",""))&lt;lenb($Z837),5,IF(lenb(SUBSTITUTE($Z837,V$1&amp;" (6)",""))&lt;lenb($Z837),6,IF(lenb(SUBSTITUTE($Z837,V$1&amp;" (7)",""))&lt;lenb($Z837),1,IF(lenb(SUBSTITUTE($Z837,V$1&amp;" (8)",""))&lt;lenb($Z837),8,IF(lenb(SUBSTITUTE($Z837,V$1&amp;" (9)",""))&lt;lenb($Z837),9,IF(lenb(SUBSTITUTE($Z837,V$1&amp;" (10)",""))&lt;lenb($Z837),10,IF(lenb(SUBSTITUTE($Z837,V$1,""))&lt;lenb($Z837),"ERROR",IF($Z837=$Y$1,"-",0))))))))))))</f>
        <v>1</v>
      </c>
      <c r="W837" s="52">
        <f t="shared" si="843"/>
        <v>0</v>
      </c>
      <c r="X837" s="52">
        <f t="shared" si="843"/>
        <v>0</v>
      </c>
      <c r="Y837" s="52" t="str">
        <f t="shared" si="3"/>
        <v>-</v>
      </c>
      <c r="Z837" s="52" t="s">
        <v>62</v>
      </c>
      <c r="AA837" s="53">
        <f t="shared" si="4"/>
        <v>1</v>
      </c>
      <c r="AB837" s="54">
        <f>COUNTIFS(Links!B:B,"ICSE",Links!C:C,A837,Links!AD:AD,1)</f>
        <v>0</v>
      </c>
      <c r="AC837" s="55" t="s">
        <v>37</v>
      </c>
      <c r="AD837" s="47" t="str">
        <f t="shared" si="5"/>
        <v>No</v>
      </c>
      <c r="AE837" s="56" t="s">
        <v>36</v>
      </c>
      <c r="AF837" s="57" t="s">
        <v>42</v>
      </c>
      <c r="AG837" s="57" t="s">
        <v>42</v>
      </c>
      <c r="AH837" s="57" t="s">
        <v>42</v>
      </c>
      <c r="AI837" s="49" t="str">
        <f t="shared" si="661"/>
        <v>----</v>
      </c>
      <c r="AJ837" s="58" t="str">
        <f t="shared" si="7"/>
        <v>Paper has link but no statement</v>
      </c>
      <c r="AK837" s="85">
        <v>44859.0</v>
      </c>
      <c r="AL837" s="43" t="s">
        <v>43</v>
      </c>
      <c r="AM837" s="60" t="str">
        <f t="shared" si="8"/>
        <v>[IP0004]</v>
      </c>
    </row>
    <row r="838" ht="67.5" customHeight="1">
      <c r="A838" s="61">
        <v>5.0</v>
      </c>
      <c r="B838" s="22" t="s">
        <v>2261</v>
      </c>
      <c r="C838" s="23">
        <v>2022.0</v>
      </c>
      <c r="D838" s="24" t="s">
        <v>35</v>
      </c>
      <c r="E838" s="25" t="s">
        <v>36</v>
      </c>
      <c r="F838" s="25" t="s">
        <v>36</v>
      </c>
      <c r="G838" s="25" t="s">
        <v>36</v>
      </c>
      <c r="H838" s="25" t="s">
        <v>36</v>
      </c>
      <c r="I838" s="25" t="s">
        <v>36</v>
      </c>
      <c r="J838" s="26" t="s">
        <v>36</v>
      </c>
      <c r="K838" s="82" t="s">
        <v>37</v>
      </c>
      <c r="L838" s="70" t="s">
        <v>37</v>
      </c>
      <c r="M838" s="70" t="s">
        <v>35</v>
      </c>
      <c r="N838" s="70" t="s">
        <v>37</v>
      </c>
      <c r="O838" s="70" t="s">
        <v>35</v>
      </c>
      <c r="P838" s="70" t="s">
        <v>35</v>
      </c>
      <c r="Q838" s="70" t="s">
        <v>35</v>
      </c>
      <c r="R838" s="70" t="s">
        <v>35</v>
      </c>
      <c r="S838" s="37" t="s">
        <v>1057</v>
      </c>
      <c r="T838" s="30" t="s">
        <v>2262</v>
      </c>
      <c r="U838" s="31" t="s">
        <v>2262</v>
      </c>
      <c r="V838" s="32">
        <f t="shared" ref="V838:X838" si="844">IF(lenb(SUBSTITUTE($Z838,V$1&amp;" (1)",""))&lt;lenb($Z838),1,IF(lenb(SUBSTITUTE($Z838,V$1&amp;" (2)",""))&lt;lenb($Z838),2,IF(lenb(SUBSTITUTE($Z838,V$1&amp;" (3)",""))&lt;lenb($Z838),3,IF(lenb(SUBSTITUTE($Z838,V$1&amp;" (4)",""))&lt;lenb($Z838),4,IF(lenb(SUBSTITUTE($Z838,V$1&amp;" (5)",""))&lt;lenb($Z838),5,IF(lenb(SUBSTITUTE($Z838,V$1&amp;" (6)",""))&lt;lenb($Z838),6,IF(lenb(SUBSTITUTE($Z838,V$1&amp;" (7)",""))&lt;lenb($Z838),1,IF(lenb(SUBSTITUTE($Z838,V$1&amp;" (8)",""))&lt;lenb($Z838),8,IF(lenb(SUBSTITUTE($Z838,V$1&amp;" (9)",""))&lt;lenb($Z838),9,IF(lenb(SUBSTITUTE($Z838,V$1&amp;" (10)",""))&lt;lenb($Z838),10,IF(lenb(SUBSTITUTE($Z838,V$1,""))&lt;lenb($Z838),"ERROR",IF($Z838=$Y$1,"-",0))))))))))))</f>
        <v>1</v>
      </c>
      <c r="W838" s="32">
        <f t="shared" si="844"/>
        <v>0</v>
      </c>
      <c r="X838" s="32">
        <f t="shared" si="844"/>
        <v>0</v>
      </c>
      <c r="Y838" s="32" t="str">
        <f t="shared" si="3"/>
        <v>-</v>
      </c>
      <c r="Z838" s="32" t="s">
        <v>62</v>
      </c>
      <c r="AA838" s="33">
        <f t="shared" si="4"/>
        <v>1</v>
      </c>
      <c r="AB838" s="34">
        <f>COUNTIFS(Links!B:B,"ICSE",Links!C:C,A838,Links!AD:AD,1)</f>
        <v>0</v>
      </c>
      <c r="AC838" s="35" t="s">
        <v>35</v>
      </c>
      <c r="AD838" s="27" t="str">
        <f t="shared" si="5"/>
        <v>No</v>
      </c>
      <c r="AE838" s="36" t="s">
        <v>36</v>
      </c>
      <c r="AF838" s="37" t="s">
        <v>42</v>
      </c>
      <c r="AG838" s="37" t="s">
        <v>42</v>
      </c>
      <c r="AH838" s="37" t="s">
        <v>42</v>
      </c>
      <c r="AI838" s="29" t="str">
        <f t="shared" si="661"/>
        <v>----</v>
      </c>
      <c r="AJ838" s="38" t="str">
        <f t="shared" si="7"/>
        <v>Paper has link but no statement</v>
      </c>
      <c r="AK838" s="39">
        <v>44868.0</v>
      </c>
      <c r="AL838" s="23" t="s">
        <v>43</v>
      </c>
      <c r="AM838" s="40" t="str">
        <f t="shared" si="8"/>
        <v>[IP0005]</v>
      </c>
    </row>
    <row r="839" ht="67.5" customHeight="1">
      <c r="A839" s="41">
        <v>6.0</v>
      </c>
      <c r="B839" s="42" t="s">
        <v>2263</v>
      </c>
      <c r="C839" s="43">
        <v>2022.0</v>
      </c>
      <c r="D839" s="44" t="s">
        <v>35</v>
      </c>
      <c r="E839" s="45" t="s">
        <v>36</v>
      </c>
      <c r="F839" s="45" t="s">
        <v>36</v>
      </c>
      <c r="G839" s="45" t="s">
        <v>36</v>
      </c>
      <c r="H839" s="45" t="s">
        <v>36</v>
      </c>
      <c r="I839" s="45" t="s">
        <v>36</v>
      </c>
      <c r="J839" s="46" t="s">
        <v>36</v>
      </c>
      <c r="K839" s="83" t="s">
        <v>37</v>
      </c>
      <c r="L839" s="71" t="s">
        <v>37</v>
      </c>
      <c r="M839" s="71" t="s">
        <v>35</v>
      </c>
      <c r="N839" s="71" t="s">
        <v>37</v>
      </c>
      <c r="O839" s="71" t="s">
        <v>35</v>
      </c>
      <c r="P839" s="71" t="s">
        <v>35</v>
      </c>
      <c r="Q839" s="71" t="s">
        <v>35</v>
      </c>
      <c r="R839" s="71" t="s">
        <v>35</v>
      </c>
      <c r="S839" s="57" t="s">
        <v>1057</v>
      </c>
      <c r="T839" s="50" t="s">
        <v>2264</v>
      </c>
      <c r="U839" s="51" t="s">
        <v>2264</v>
      </c>
      <c r="V839" s="52">
        <f t="shared" ref="V839:X839" si="845">IF(lenb(SUBSTITUTE($Z839,V$1&amp;" (1)",""))&lt;lenb($Z839),1,IF(lenb(SUBSTITUTE($Z839,V$1&amp;" (2)",""))&lt;lenb($Z839),2,IF(lenb(SUBSTITUTE($Z839,V$1&amp;" (3)",""))&lt;lenb($Z839),3,IF(lenb(SUBSTITUTE($Z839,V$1&amp;" (4)",""))&lt;lenb($Z839),4,IF(lenb(SUBSTITUTE($Z839,V$1&amp;" (5)",""))&lt;lenb($Z839),5,IF(lenb(SUBSTITUTE($Z839,V$1&amp;" (6)",""))&lt;lenb($Z839),6,IF(lenb(SUBSTITUTE($Z839,V$1&amp;" (7)",""))&lt;lenb($Z839),1,IF(lenb(SUBSTITUTE($Z839,V$1&amp;" (8)",""))&lt;lenb($Z839),8,IF(lenb(SUBSTITUTE($Z839,V$1&amp;" (9)",""))&lt;lenb($Z839),9,IF(lenb(SUBSTITUTE($Z839,V$1&amp;" (10)",""))&lt;lenb($Z839),10,IF(lenb(SUBSTITUTE($Z839,V$1,""))&lt;lenb($Z839),"ERROR",IF($Z839=$Y$1,"-",0))))))))))))</f>
        <v>1</v>
      </c>
      <c r="W839" s="52">
        <f t="shared" si="845"/>
        <v>0</v>
      </c>
      <c r="X839" s="52">
        <f t="shared" si="845"/>
        <v>0</v>
      </c>
      <c r="Y839" s="52" t="str">
        <f t="shared" si="3"/>
        <v>-</v>
      </c>
      <c r="Z839" s="52" t="s">
        <v>62</v>
      </c>
      <c r="AA839" s="53">
        <f t="shared" si="4"/>
        <v>1</v>
      </c>
      <c r="AB839" s="54">
        <f>COUNTIFS(Links!B:B,"ICSE",Links!C:C,A839,Links!AD:AD,1)</f>
        <v>0</v>
      </c>
      <c r="AC839" s="55" t="s">
        <v>35</v>
      </c>
      <c r="AD839" s="47" t="str">
        <f t="shared" si="5"/>
        <v>No</v>
      </c>
      <c r="AE839" s="56" t="s">
        <v>36</v>
      </c>
      <c r="AF839" s="57" t="s">
        <v>42</v>
      </c>
      <c r="AG839" s="57" t="s">
        <v>42</v>
      </c>
      <c r="AH839" s="57" t="s">
        <v>42</v>
      </c>
      <c r="AI839" s="49" t="str">
        <f t="shared" si="661"/>
        <v>----</v>
      </c>
      <c r="AJ839" s="58" t="str">
        <f t="shared" si="7"/>
        <v>Paper has link but no statement</v>
      </c>
      <c r="AK839" s="59">
        <v>44868.0</v>
      </c>
      <c r="AL839" s="43" t="s">
        <v>43</v>
      </c>
      <c r="AM839" s="60" t="str">
        <f t="shared" si="8"/>
        <v>[IP0006]</v>
      </c>
    </row>
    <row r="840" ht="67.5" customHeight="1">
      <c r="A840" s="61">
        <v>7.0</v>
      </c>
      <c r="B840" s="22" t="s">
        <v>2265</v>
      </c>
      <c r="C840" s="23">
        <v>2022.0</v>
      </c>
      <c r="D840" s="24" t="s">
        <v>37</v>
      </c>
      <c r="E840" s="25" t="s">
        <v>35</v>
      </c>
      <c r="F840" s="25" t="s">
        <v>37</v>
      </c>
      <c r="G840" s="25" t="s">
        <v>35</v>
      </c>
      <c r="H840" s="25" t="s">
        <v>35</v>
      </c>
      <c r="I840" s="25" t="s">
        <v>35</v>
      </c>
      <c r="J840" s="26" t="s">
        <v>36</v>
      </c>
      <c r="K840" s="82" t="s">
        <v>37</v>
      </c>
      <c r="L840" s="70" t="s">
        <v>35</v>
      </c>
      <c r="M840" s="70" t="s">
        <v>35</v>
      </c>
      <c r="N840" s="70" t="s">
        <v>37</v>
      </c>
      <c r="O840" s="70" t="s">
        <v>35</v>
      </c>
      <c r="P840" s="70" t="s">
        <v>35</v>
      </c>
      <c r="Q840" s="70" t="s">
        <v>35</v>
      </c>
      <c r="R840" s="70" t="s">
        <v>35</v>
      </c>
      <c r="S840" s="37" t="s">
        <v>944</v>
      </c>
      <c r="T840" s="30" t="s">
        <v>2266</v>
      </c>
      <c r="U840" s="31" t="s">
        <v>2266</v>
      </c>
      <c r="V840" s="32">
        <f t="shared" ref="V840:X840" si="846">IF(lenb(SUBSTITUTE($Z840,V$1&amp;" (1)",""))&lt;lenb($Z840),1,IF(lenb(SUBSTITUTE($Z840,V$1&amp;" (2)",""))&lt;lenb($Z840),2,IF(lenb(SUBSTITUTE($Z840,V$1&amp;" (3)",""))&lt;lenb($Z840),3,IF(lenb(SUBSTITUTE($Z840,V$1&amp;" (4)",""))&lt;lenb($Z840),4,IF(lenb(SUBSTITUTE($Z840,V$1&amp;" (5)",""))&lt;lenb($Z840),5,IF(lenb(SUBSTITUTE($Z840,V$1&amp;" (6)",""))&lt;lenb($Z840),6,IF(lenb(SUBSTITUTE($Z840,V$1&amp;" (7)",""))&lt;lenb($Z840),1,IF(lenb(SUBSTITUTE($Z840,V$1&amp;" (8)",""))&lt;lenb($Z840),8,IF(lenb(SUBSTITUTE($Z840,V$1&amp;" (9)",""))&lt;lenb($Z840),9,IF(lenb(SUBSTITUTE($Z840,V$1&amp;" (10)",""))&lt;lenb($Z840),10,IF(lenb(SUBSTITUTE($Z840,V$1,""))&lt;lenb($Z840),"ERROR",IF($Z840=$Y$1,"-",0))))))))))))</f>
        <v>1</v>
      </c>
      <c r="W840" s="32">
        <f t="shared" si="846"/>
        <v>0</v>
      </c>
      <c r="X840" s="32">
        <f t="shared" si="846"/>
        <v>0</v>
      </c>
      <c r="Y840" s="32" t="str">
        <f t="shared" si="3"/>
        <v>-</v>
      </c>
      <c r="Z840" s="32" t="s">
        <v>62</v>
      </c>
      <c r="AA840" s="33">
        <f t="shared" si="4"/>
        <v>1</v>
      </c>
      <c r="AB840" s="34">
        <f>COUNTIFS(Links!B:B,"ICSE",Links!C:C,A840,Links!AD:AD,1)</f>
        <v>0</v>
      </c>
      <c r="AC840" s="35" t="s">
        <v>35</v>
      </c>
      <c r="AD840" s="27" t="str">
        <f t="shared" si="5"/>
        <v>No</v>
      </c>
      <c r="AE840" s="36" t="s">
        <v>36</v>
      </c>
      <c r="AF840" s="37" t="s">
        <v>42</v>
      </c>
      <c r="AG840" s="37" t="s">
        <v>42</v>
      </c>
      <c r="AH840" s="37" t="s">
        <v>42</v>
      </c>
      <c r="AI840" s="29" t="str">
        <f t="shared" si="661"/>
        <v>----</v>
      </c>
      <c r="AJ840" s="38" t="str">
        <f t="shared" si="7"/>
        <v>Paper has link but no statement</v>
      </c>
      <c r="AK840" s="39">
        <v>44868.0</v>
      </c>
      <c r="AL840" s="23" t="s">
        <v>43</v>
      </c>
      <c r="AM840" s="40" t="str">
        <f t="shared" si="8"/>
        <v>[IP0007]</v>
      </c>
    </row>
    <row r="841" ht="67.5" customHeight="1">
      <c r="A841" s="41">
        <v>8.0</v>
      </c>
      <c r="B841" s="42" t="s">
        <v>2267</v>
      </c>
      <c r="C841" s="43">
        <v>2022.0</v>
      </c>
      <c r="D841" s="44" t="s">
        <v>35</v>
      </c>
      <c r="E841" s="45" t="s">
        <v>36</v>
      </c>
      <c r="F841" s="45" t="s">
        <v>36</v>
      </c>
      <c r="G841" s="45" t="s">
        <v>36</v>
      </c>
      <c r="H841" s="45" t="s">
        <v>36</v>
      </c>
      <c r="I841" s="45" t="s">
        <v>36</v>
      </c>
      <c r="J841" s="46" t="s">
        <v>36</v>
      </c>
      <c r="K841" s="83" t="s">
        <v>37</v>
      </c>
      <c r="L841" s="71" t="s">
        <v>35</v>
      </c>
      <c r="M841" s="71" t="s">
        <v>37</v>
      </c>
      <c r="N841" s="71" t="s">
        <v>35</v>
      </c>
      <c r="O841" s="71" t="s">
        <v>35</v>
      </c>
      <c r="P841" s="71" t="s">
        <v>35</v>
      </c>
      <c r="Q841" s="71" t="s">
        <v>35</v>
      </c>
      <c r="R841" s="71" t="s">
        <v>37</v>
      </c>
      <c r="S841" s="57" t="s">
        <v>2268</v>
      </c>
      <c r="T841" s="50" t="s">
        <v>2269</v>
      </c>
      <c r="U841" s="51" t="s">
        <v>2269</v>
      </c>
      <c r="V841" s="52">
        <f t="shared" ref="V841:X841" si="847">IF(lenb(SUBSTITUTE($Z841,V$1&amp;" (1)",""))&lt;lenb($Z841),1,IF(lenb(SUBSTITUTE($Z841,V$1&amp;" (2)",""))&lt;lenb($Z841),2,IF(lenb(SUBSTITUTE($Z841,V$1&amp;" (3)",""))&lt;lenb($Z841),3,IF(lenb(SUBSTITUTE($Z841,V$1&amp;" (4)",""))&lt;lenb($Z841),4,IF(lenb(SUBSTITUTE($Z841,V$1&amp;" (5)",""))&lt;lenb($Z841),5,IF(lenb(SUBSTITUTE($Z841,V$1&amp;" (6)",""))&lt;lenb($Z841),6,IF(lenb(SUBSTITUTE($Z841,V$1&amp;" (7)",""))&lt;lenb($Z841),1,IF(lenb(SUBSTITUTE($Z841,V$1&amp;" (8)",""))&lt;lenb($Z841),8,IF(lenb(SUBSTITUTE($Z841,V$1&amp;" (9)",""))&lt;lenb($Z841),9,IF(lenb(SUBSTITUTE($Z841,V$1&amp;" (10)",""))&lt;lenb($Z841),10,IF(lenb(SUBSTITUTE($Z841,V$1,""))&lt;lenb($Z841),"ERROR",IF($Z841=$Y$1,"-",0))))))))))))</f>
        <v>1</v>
      </c>
      <c r="W841" s="52">
        <f t="shared" si="847"/>
        <v>0</v>
      </c>
      <c r="X841" s="52">
        <f t="shared" si="847"/>
        <v>0</v>
      </c>
      <c r="Y841" s="52" t="str">
        <f t="shared" si="3"/>
        <v>-</v>
      </c>
      <c r="Z841" s="52" t="s">
        <v>62</v>
      </c>
      <c r="AA841" s="53">
        <f t="shared" si="4"/>
        <v>1</v>
      </c>
      <c r="AB841" s="54">
        <f>COUNTIFS(Links!B:B,"ICSE",Links!C:C,A841,Links!AD:AD,1)</f>
        <v>0</v>
      </c>
      <c r="AC841" s="55" t="s">
        <v>35</v>
      </c>
      <c r="AD841" s="47" t="str">
        <f t="shared" si="5"/>
        <v>No</v>
      </c>
      <c r="AE841" s="56" t="s">
        <v>36</v>
      </c>
      <c r="AF841" s="57" t="s">
        <v>42</v>
      </c>
      <c r="AG841" s="57" t="s">
        <v>42</v>
      </c>
      <c r="AH841" s="57" t="s">
        <v>42</v>
      </c>
      <c r="AI841" s="49" t="str">
        <f t="shared" si="661"/>
        <v>----</v>
      </c>
      <c r="AJ841" s="58" t="str">
        <f t="shared" si="7"/>
        <v>Paper has link but no statement</v>
      </c>
      <c r="AK841" s="59">
        <v>44868.0</v>
      </c>
      <c r="AL841" s="43" t="s">
        <v>43</v>
      </c>
      <c r="AM841" s="60" t="str">
        <f t="shared" si="8"/>
        <v>[IP0008]</v>
      </c>
    </row>
    <row r="842" ht="67.5" customHeight="1">
      <c r="A842" s="61">
        <v>9.0</v>
      </c>
      <c r="B842" s="22" t="s">
        <v>2270</v>
      </c>
      <c r="C842" s="23">
        <v>2022.0</v>
      </c>
      <c r="D842" s="24" t="s">
        <v>35</v>
      </c>
      <c r="E842" s="25" t="s">
        <v>36</v>
      </c>
      <c r="F842" s="25" t="s">
        <v>36</v>
      </c>
      <c r="G842" s="25" t="s">
        <v>36</v>
      </c>
      <c r="H842" s="25" t="s">
        <v>36</v>
      </c>
      <c r="I842" s="25" t="s">
        <v>36</v>
      </c>
      <c r="J842" s="26" t="s">
        <v>36</v>
      </c>
      <c r="K842" s="82" t="s">
        <v>37</v>
      </c>
      <c r="L842" s="70" t="s">
        <v>35</v>
      </c>
      <c r="M842" s="70" t="s">
        <v>35</v>
      </c>
      <c r="N842" s="70" t="s">
        <v>35</v>
      </c>
      <c r="O842" s="70" t="s">
        <v>35</v>
      </c>
      <c r="P842" s="70" t="s">
        <v>35</v>
      </c>
      <c r="Q842" s="70" t="s">
        <v>37</v>
      </c>
      <c r="R842" s="70" t="s">
        <v>35</v>
      </c>
      <c r="S842" s="37" t="s">
        <v>2271</v>
      </c>
      <c r="T842" s="30" t="s">
        <v>2272</v>
      </c>
      <c r="U842" s="31" t="s">
        <v>2272</v>
      </c>
      <c r="V842" s="32">
        <f t="shared" ref="V842:X842" si="848">IF(lenb(SUBSTITUTE($Z842,V$1&amp;" (1)",""))&lt;lenb($Z842),1,IF(lenb(SUBSTITUTE($Z842,V$1&amp;" (2)",""))&lt;lenb($Z842),2,IF(lenb(SUBSTITUTE($Z842,V$1&amp;" (3)",""))&lt;lenb($Z842),3,IF(lenb(SUBSTITUTE($Z842,V$1&amp;" (4)",""))&lt;lenb($Z842),4,IF(lenb(SUBSTITUTE($Z842,V$1&amp;" (5)",""))&lt;lenb($Z842),5,IF(lenb(SUBSTITUTE($Z842,V$1&amp;" (6)",""))&lt;lenb($Z842),6,IF(lenb(SUBSTITUTE($Z842,V$1&amp;" (7)",""))&lt;lenb($Z842),1,IF(lenb(SUBSTITUTE($Z842,V$1&amp;" (8)",""))&lt;lenb($Z842),8,IF(lenb(SUBSTITUTE($Z842,V$1&amp;" (9)",""))&lt;lenb($Z842),9,IF(lenb(SUBSTITUTE($Z842,V$1&amp;" (10)",""))&lt;lenb($Z842),10,IF(lenb(SUBSTITUTE($Z842,V$1,""))&lt;lenb($Z842),"ERROR",IF($Z842=$Y$1,"-",0))))))))))))</f>
        <v>0</v>
      </c>
      <c r="W842" s="32">
        <f t="shared" si="848"/>
        <v>1</v>
      </c>
      <c r="X842" s="32">
        <f t="shared" si="848"/>
        <v>0</v>
      </c>
      <c r="Y842" s="32" t="str">
        <f t="shared" si="3"/>
        <v>-</v>
      </c>
      <c r="Z842" s="32" t="s">
        <v>47</v>
      </c>
      <c r="AA842" s="33">
        <f t="shared" si="4"/>
        <v>1</v>
      </c>
      <c r="AB842" s="34">
        <f>COUNTIFS(Links!B:B,"ICSE",Links!C:C,A842,Links!AD:AD,1)</f>
        <v>0</v>
      </c>
      <c r="AC842" s="35" t="s">
        <v>37</v>
      </c>
      <c r="AD842" s="27" t="str">
        <f t="shared" si="5"/>
        <v>Yes</v>
      </c>
      <c r="AE842" s="36" t="s">
        <v>2273</v>
      </c>
      <c r="AF842" s="36" t="s">
        <v>281</v>
      </c>
      <c r="AG842" s="37" t="s">
        <v>42</v>
      </c>
      <c r="AH842" s="37" t="s">
        <v>42</v>
      </c>
      <c r="AI842" s="29" t="str">
        <f t="shared" si="661"/>
        <v>Barriers (Confidentiality and privacy)</v>
      </c>
      <c r="AJ842" s="38" t="str">
        <f t="shared" si="7"/>
        <v>Paper has link and statement</v>
      </c>
      <c r="AK842" s="39">
        <v>44868.0</v>
      </c>
      <c r="AL842" s="23" t="s">
        <v>43</v>
      </c>
      <c r="AM842" s="40" t="str">
        <f t="shared" si="8"/>
        <v>[IP0009]</v>
      </c>
    </row>
    <row r="843" ht="67.5" customHeight="1">
      <c r="A843" s="41">
        <v>10.0</v>
      </c>
      <c r="B843" s="42" t="s">
        <v>2274</v>
      </c>
      <c r="C843" s="43">
        <v>2022.0</v>
      </c>
      <c r="D843" s="44" t="s">
        <v>35</v>
      </c>
      <c r="E843" s="45" t="s">
        <v>36</v>
      </c>
      <c r="F843" s="45" t="s">
        <v>36</v>
      </c>
      <c r="G843" s="45" t="s">
        <v>36</v>
      </c>
      <c r="H843" s="45" t="s">
        <v>36</v>
      </c>
      <c r="I843" s="45" t="s">
        <v>36</v>
      </c>
      <c r="J843" s="46" t="s">
        <v>36</v>
      </c>
      <c r="K843" s="83" t="s">
        <v>35</v>
      </c>
      <c r="L843" s="71" t="s">
        <v>36</v>
      </c>
      <c r="M843" s="71" t="s">
        <v>36</v>
      </c>
      <c r="N843" s="71" t="s">
        <v>36</v>
      </c>
      <c r="O843" s="71" t="s">
        <v>36</v>
      </c>
      <c r="P843" s="71" t="s">
        <v>36</v>
      </c>
      <c r="Q843" s="71" t="s">
        <v>36</v>
      </c>
      <c r="R843" s="71" t="s">
        <v>36</v>
      </c>
      <c r="S843" s="57" t="s">
        <v>36</v>
      </c>
      <c r="T843" s="50" t="s">
        <v>36</v>
      </c>
      <c r="U843" s="51" t="s">
        <v>36</v>
      </c>
      <c r="V843" s="52" t="str">
        <f t="shared" ref="V843:X843" si="849">IF(lenb(SUBSTITUTE($Z843,V$1&amp;" (1)",""))&lt;lenb($Z843),1,IF(lenb(SUBSTITUTE($Z843,V$1&amp;" (2)",""))&lt;lenb($Z843),2,IF(lenb(SUBSTITUTE($Z843,V$1&amp;" (3)",""))&lt;lenb($Z843),3,IF(lenb(SUBSTITUTE($Z843,V$1&amp;" (4)",""))&lt;lenb($Z843),4,IF(lenb(SUBSTITUTE($Z843,V$1&amp;" (5)",""))&lt;lenb($Z843),5,IF(lenb(SUBSTITUTE($Z843,V$1&amp;" (6)",""))&lt;lenb($Z843),6,IF(lenb(SUBSTITUTE($Z843,V$1&amp;" (7)",""))&lt;lenb($Z843),1,IF(lenb(SUBSTITUTE($Z843,V$1&amp;" (8)",""))&lt;lenb($Z843),8,IF(lenb(SUBSTITUTE($Z843,V$1&amp;" (9)",""))&lt;lenb($Z843),9,IF(lenb(SUBSTITUTE($Z843,V$1&amp;" (10)",""))&lt;lenb($Z843),10,IF(lenb(SUBSTITUTE($Z843,V$1,""))&lt;lenb($Z843),"ERROR",IF($Z843=$Y$1,"-",0))))))))))))</f>
        <v>-</v>
      </c>
      <c r="W843" s="52" t="str">
        <f t="shared" si="849"/>
        <v>-</v>
      </c>
      <c r="X843" s="52" t="str">
        <f t="shared" si="849"/>
        <v>-</v>
      </c>
      <c r="Y843" s="52">
        <f t="shared" si="3"/>
        <v>1</v>
      </c>
      <c r="Z843" s="52" t="s">
        <v>23</v>
      </c>
      <c r="AA843" s="53">
        <f t="shared" si="4"/>
        <v>0</v>
      </c>
      <c r="AB843" s="54">
        <f>COUNTIFS(Links!B:B,"ICSE",Links!C:C,A843,Links!AD:AD,1)</f>
        <v>0</v>
      </c>
      <c r="AC843" s="55" t="s">
        <v>36</v>
      </c>
      <c r="AD843" s="47" t="str">
        <f t="shared" si="5"/>
        <v>Yes</v>
      </c>
      <c r="AE843" s="56" t="s">
        <v>2275</v>
      </c>
      <c r="AF843" s="56" t="s">
        <v>281</v>
      </c>
      <c r="AG843" s="56" t="s">
        <v>223</v>
      </c>
      <c r="AH843" s="57" t="s">
        <v>42</v>
      </c>
      <c r="AI843" s="49" t="str">
        <f t="shared" si="661"/>
        <v>Barriers (Confidentiality and privacy)
Barriers (Agreements and legal rights)</v>
      </c>
      <c r="AJ843" s="58" t="str">
        <f t="shared" si="7"/>
        <v>Paper has no link but has statement</v>
      </c>
      <c r="AK843" s="59">
        <v>44868.0</v>
      </c>
      <c r="AL843" s="43" t="s">
        <v>43</v>
      </c>
      <c r="AM843" s="60" t="str">
        <f t="shared" si="8"/>
        <v>[IP0010]</v>
      </c>
    </row>
    <row r="844" ht="67.5" customHeight="1">
      <c r="A844" s="61">
        <v>11.0</v>
      </c>
      <c r="B844" s="22" t="s">
        <v>2276</v>
      </c>
      <c r="C844" s="23">
        <v>2022.0</v>
      </c>
      <c r="D844" s="24" t="s">
        <v>35</v>
      </c>
      <c r="E844" s="25" t="s">
        <v>36</v>
      </c>
      <c r="F844" s="25" t="s">
        <v>36</v>
      </c>
      <c r="G844" s="25" t="s">
        <v>36</v>
      </c>
      <c r="H844" s="25" t="s">
        <v>36</v>
      </c>
      <c r="I844" s="25" t="s">
        <v>36</v>
      </c>
      <c r="J844" s="26" t="s">
        <v>36</v>
      </c>
      <c r="K844" s="82" t="s">
        <v>37</v>
      </c>
      <c r="L844" s="70" t="s">
        <v>35</v>
      </c>
      <c r="M844" s="70" t="s">
        <v>35</v>
      </c>
      <c r="N844" s="70" t="s">
        <v>37</v>
      </c>
      <c r="O844" s="70" t="s">
        <v>35</v>
      </c>
      <c r="P844" s="70" t="s">
        <v>35</v>
      </c>
      <c r="Q844" s="70" t="s">
        <v>35</v>
      </c>
      <c r="R844" s="70" t="s">
        <v>35</v>
      </c>
      <c r="S844" s="37" t="s">
        <v>944</v>
      </c>
      <c r="T844" s="30" t="s">
        <v>2277</v>
      </c>
      <c r="U844" s="31" t="s">
        <v>2277</v>
      </c>
      <c r="V844" s="32">
        <f t="shared" ref="V844:X844" si="850">IF(lenb(SUBSTITUTE($Z844,V$1&amp;" (1)",""))&lt;lenb($Z844),1,IF(lenb(SUBSTITUTE($Z844,V$1&amp;" (2)",""))&lt;lenb($Z844),2,IF(lenb(SUBSTITUTE($Z844,V$1&amp;" (3)",""))&lt;lenb($Z844),3,IF(lenb(SUBSTITUTE($Z844,V$1&amp;" (4)",""))&lt;lenb($Z844),4,IF(lenb(SUBSTITUTE($Z844,V$1&amp;" (5)",""))&lt;lenb($Z844),5,IF(lenb(SUBSTITUTE($Z844,V$1&amp;" (6)",""))&lt;lenb($Z844),6,IF(lenb(SUBSTITUTE($Z844,V$1&amp;" (7)",""))&lt;lenb($Z844),1,IF(lenb(SUBSTITUTE($Z844,V$1&amp;" (8)",""))&lt;lenb($Z844),8,IF(lenb(SUBSTITUTE($Z844,V$1&amp;" (9)",""))&lt;lenb($Z844),9,IF(lenb(SUBSTITUTE($Z844,V$1&amp;" (10)",""))&lt;lenb($Z844),10,IF(lenb(SUBSTITUTE($Z844,V$1,""))&lt;lenb($Z844),"ERROR",IF($Z844=$Y$1,"-",0))))))))))))</f>
        <v>1</v>
      </c>
      <c r="W844" s="32">
        <f t="shared" si="850"/>
        <v>0</v>
      </c>
      <c r="X844" s="32">
        <f t="shared" si="850"/>
        <v>0</v>
      </c>
      <c r="Y844" s="32" t="str">
        <f t="shared" si="3"/>
        <v>-</v>
      </c>
      <c r="Z844" s="32" t="s">
        <v>62</v>
      </c>
      <c r="AA844" s="33">
        <f t="shared" si="4"/>
        <v>1</v>
      </c>
      <c r="AB844" s="34">
        <f>COUNTIFS(Links!B:B,"ICSE",Links!C:C,A844,Links!AD:AD,1)</f>
        <v>0</v>
      </c>
      <c r="AC844" s="35" t="s">
        <v>35</v>
      </c>
      <c r="AD844" s="27" t="str">
        <f t="shared" si="5"/>
        <v>No</v>
      </c>
      <c r="AE844" s="36" t="s">
        <v>36</v>
      </c>
      <c r="AF844" s="37" t="s">
        <v>42</v>
      </c>
      <c r="AG844" s="37" t="s">
        <v>42</v>
      </c>
      <c r="AH844" s="37" t="s">
        <v>42</v>
      </c>
      <c r="AI844" s="29" t="str">
        <f t="shared" si="661"/>
        <v>----</v>
      </c>
      <c r="AJ844" s="38" t="str">
        <f t="shared" si="7"/>
        <v>Paper has link but no statement</v>
      </c>
      <c r="AK844" s="39">
        <v>44868.0</v>
      </c>
      <c r="AL844" s="23" t="s">
        <v>43</v>
      </c>
      <c r="AM844" s="40" t="str">
        <f t="shared" si="8"/>
        <v>[IP0011]</v>
      </c>
    </row>
    <row r="845" ht="67.5" customHeight="1">
      <c r="A845" s="41">
        <v>12.0</v>
      </c>
      <c r="B845" s="42" t="s">
        <v>2278</v>
      </c>
      <c r="C845" s="43">
        <v>2022.0</v>
      </c>
      <c r="D845" s="44" t="s">
        <v>35</v>
      </c>
      <c r="E845" s="45" t="s">
        <v>36</v>
      </c>
      <c r="F845" s="45" t="s">
        <v>36</v>
      </c>
      <c r="G845" s="45" t="s">
        <v>36</v>
      </c>
      <c r="H845" s="45" t="s">
        <v>36</v>
      </c>
      <c r="I845" s="45" t="s">
        <v>36</v>
      </c>
      <c r="J845" s="46" t="s">
        <v>36</v>
      </c>
      <c r="K845" s="83" t="s">
        <v>37</v>
      </c>
      <c r="L845" s="71" t="s">
        <v>35</v>
      </c>
      <c r="M845" s="71" t="s">
        <v>37</v>
      </c>
      <c r="N845" s="71" t="s">
        <v>35</v>
      </c>
      <c r="O845" s="71" t="s">
        <v>35</v>
      </c>
      <c r="P845" s="71" t="s">
        <v>35</v>
      </c>
      <c r="Q845" s="71" t="s">
        <v>35</v>
      </c>
      <c r="R845" s="71" t="s">
        <v>37</v>
      </c>
      <c r="S845" s="57" t="s">
        <v>2279</v>
      </c>
      <c r="T845" s="50" t="s">
        <v>2280</v>
      </c>
      <c r="U845" s="51" t="s">
        <v>2280</v>
      </c>
      <c r="V845" s="52">
        <f t="shared" ref="V845:X845" si="851">IF(lenb(SUBSTITUTE($Z845,V$1&amp;" (1)",""))&lt;lenb($Z845),1,IF(lenb(SUBSTITUTE($Z845,V$1&amp;" (2)",""))&lt;lenb($Z845),2,IF(lenb(SUBSTITUTE($Z845,V$1&amp;" (3)",""))&lt;lenb($Z845),3,IF(lenb(SUBSTITUTE($Z845,V$1&amp;" (4)",""))&lt;lenb($Z845),4,IF(lenb(SUBSTITUTE($Z845,V$1&amp;" (5)",""))&lt;lenb($Z845),5,IF(lenb(SUBSTITUTE($Z845,V$1&amp;" (6)",""))&lt;lenb($Z845),6,IF(lenb(SUBSTITUTE($Z845,V$1&amp;" (7)",""))&lt;lenb($Z845),1,IF(lenb(SUBSTITUTE($Z845,V$1&amp;" (8)",""))&lt;lenb($Z845),8,IF(lenb(SUBSTITUTE($Z845,V$1&amp;" (9)",""))&lt;lenb($Z845),9,IF(lenb(SUBSTITUTE($Z845,V$1&amp;" (10)",""))&lt;lenb($Z845),10,IF(lenb(SUBSTITUTE($Z845,V$1,""))&lt;lenb($Z845),"ERROR",IF($Z845=$Y$1,"-",0))))))))))))</f>
        <v>1</v>
      </c>
      <c r="W845" s="52">
        <f t="shared" si="851"/>
        <v>0</v>
      </c>
      <c r="X845" s="52">
        <f t="shared" si="851"/>
        <v>0</v>
      </c>
      <c r="Y845" s="52" t="str">
        <f t="shared" si="3"/>
        <v>-</v>
      </c>
      <c r="Z845" s="52" t="s">
        <v>62</v>
      </c>
      <c r="AA845" s="53">
        <f t="shared" si="4"/>
        <v>1</v>
      </c>
      <c r="AB845" s="54">
        <f>COUNTIFS(Links!B:B,"ICSE",Links!C:C,A845,Links!AD:AD,1)</f>
        <v>0</v>
      </c>
      <c r="AC845" s="55" t="s">
        <v>37</v>
      </c>
      <c r="AD845" s="47" t="str">
        <f t="shared" si="5"/>
        <v>Yes</v>
      </c>
      <c r="AE845" s="56" t="s">
        <v>2281</v>
      </c>
      <c r="AF845" s="56" t="s">
        <v>281</v>
      </c>
      <c r="AG845" s="57" t="s">
        <v>42</v>
      </c>
      <c r="AH845" s="57" t="s">
        <v>42</v>
      </c>
      <c r="AI845" s="49" t="str">
        <f t="shared" si="661"/>
        <v>Barriers (Confidentiality and privacy)</v>
      </c>
      <c r="AJ845" s="58" t="str">
        <f t="shared" si="7"/>
        <v>Paper has link and statement</v>
      </c>
      <c r="AK845" s="59">
        <v>44868.0</v>
      </c>
      <c r="AL845" s="43" t="s">
        <v>43</v>
      </c>
      <c r="AM845" s="60" t="str">
        <f t="shared" si="8"/>
        <v>[IP0012]</v>
      </c>
    </row>
    <row r="846" ht="67.5" customHeight="1">
      <c r="A846" s="61">
        <v>13.0</v>
      </c>
      <c r="B846" s="22" t="s">
        <v>2282</v>
      </c>
      <c r="C846" s="23">
        <v>2022.0</v>
      </c>
      <c r="D846" s="24" t="s">
        <v>35</v>
      </c>
      <c r="E846" s="25" t="s">
        <v>36</v>
      </c>
      <c r="F846" s="25" t="s">
        <v>36</v>
      </c>
      <c r="G846" s="25" t="s">
        <v>36</v>
      </c>
      <c r="H846" s="25" t="s">
        <v>36</v>
      </c>
      <c r="I846" s="25" t="s">
        <v>36</v>
      </c>
      <c r="J846" s="26" t="s">
        <v>36</v>
      </c>
      <c r="K846" s="82" t="s">
        <v>37</v>
      </c>
      <c r="L846" s="70" t="s">
        <v>35</v>
      </c>
      <c r="M846" s="70" t="s">
        <v>35</v>
      </c>
      <c r="N846" s="70" t="s">
        <v>37</v>
      </c>
      <c r="O846" s="70" t="s">
        <v>35</v>
      </c>
      <c r="P846" s="70" t="s">
        <v>35</v>
      </c>
      <c r="Q846" s="70" t="s">
        <v>35</v>
      </c>
      <c r="R846" s="70" t="s">
        <v>35</v>
      </c>
      <c r="S846" s="37" t="s">
        <v>944</v>
      </c>
      <c r="T846" s="30" t="s">
        <v>2283</v>
      </c>
      <c r="U846" s="31" t="s">
        <v>2283</v>
      </c>
      <c r="V846" s="32">
        <f t="shared" ref="V846:X846" si="852">IF(lenb(SUBSTITUTE($Z846,V$1&amp;" (1)",""))&lt;lenb($Z846),1,IF(lenb(SUBSTITUTE($Z846,V$1&amp;" (2)",""))&lt;lenb($Z846),2,IF(lenb(SUBSTITUTE($Z846,V$1&amp;" (3)",""))&lt;lenb($Z846),3,IF(lenb(SUBSTITUTE($Z846,V$1&amp;" (4)",""))&lt;lenb($Z846),4,IF(lenb(SUBSTITUTE($Z846,V$1&amp;" (5)",""))&lt;lenb($Z846),5,IF(lenb(SUBSTITUTE($Z846,V$1&amp;" (6)",""))&lt;lenb($Z846),6,IF(lenb(SUBSTITUTE($Z846,V$1&amp;" (7)",""))&lt;lenb($Z846),1,IF(lenb(SUBSTITUTE($Z846,V$1&amp;" (8)",""))&lt;lenb($Z846),8,IF(lenb(SUBSTITUTE($Z846,V$1&amp;" (9)",""))&lt;lenb($Z846),9,IF(lenb(SUBSTITUTE($Z846,V$1&amp;" (10)",""))&lt;lenb($Z846),10,IF(lenb(SUBSTITUTE($Z846,V$1,""))&lt;lenb($Z846),"ERROR",IF($Z846=$Y$1,"-",0))))))))))))</f>
        <v>1</v>
      </c>
      <c r="W846" s="32">
        <f t="shared" si="852"/>
        <v>0</v>
      </c>
      <c r="X846" s="32">
        <f t="shared" si="852"/>
        <v>0</v>
      </c>
      <c r="Y846" s="32" t="str">
        <f t="shared" si="3"/>
        <v>-</v>
      </c>
      <c r="Z846" s="32" t="s">
        <v>62</v>
      </c>
      <c r="AA846" s="33">
        <f t="shared" si="4"/>
        <v>1</v>
      </c>
      <c r="AB846" s="34">
        <f>COUNTIFS(Links!B:B,"ICSE",Links!C:C,A846,Links!AD:AD,1)</f>
        <v>0</v>
      </c>
      <c r="AC846" s="35" t="s">
        <v>35</v>
      </c>
      <c r="AD846" s="27" t="str">
        <f t="shared" si="5"/>
        <v>No</v>
      </c>
      <c r="AE846" s="36" t="s">
        <v>36</v>
      </c>
      <c r="AF846" s="37" t="s">
        <v>42</v>
      </c>
      <c r="AG846" s="37" t="s">
        <v>42</v>
      </c>
      <c r="AH846" s="37" t="s">
        <v>42</v>
      </c>
      <c r="AI846" s="29" t="str">
        <f t="shared" si="661"/>
        <v>----</v>
      </c>
      <c r="AJ846" s="38" t="str">
        <f t="shared" si="7"/>
        <v>Paper has link but no statement</v>
      </c>
      <c r="AK846" s="39">
        <v>44868.0</v>
      </c>
      <c r="AL846" s="23" t="s">
        <v>43</v>
      </c>
      <c r="AM846" s="40" t="str">
        <f t="shared" si="8"/>
        <v>[IP0013]</v>
      </c>
    </row>
    <row r="847" ht="67.5" customHeight="1">
      <c r="A847" s="41">
        <v>14.0</v>
      </c>
      <c r="B847" s="42" t="s">
        <v>2284</v>
      </c>
      <c r="C847" s="43">
        <v>2022.0</v>
      </c>
      <c r="D847" s="44" t="s">
        <v>35</v>
      </c>
      <c r="E847" s="45" t="s">
        <v>36</v>
      </c>
      <c r="F847" s="45" t="s">
        <v>36</v>
      </c>
      <c r="G847" s="45" t="s">
        <v>36</v>
      </c>
      <c r="H847" s="45" t="s">
        <v>36</v>
      </c>
      <c r="I847" s="45" t="s">
        <v>36</v>
      </c>
      <c r="J847" s="46" t="s">
        <v>36</v>
      </c>
      <c r="K847" s="83" t="s">
        <v>37</v>
      </c>
      <c r="L847" s="71" t="s">
        <v>37</v>
      </c>
      <c r="M847" s="71" t="s">
        <v>35</v>
      </c>
      <c r="N847" s="71" t="s">
        <v>37</v>
      </c>
      <c r="O847" s="71" t="s">
        <v>35</v>
      </c>
      <c r="P847" s="71" t="s">
        <v>35</v>
      </c>
      <c r="Q847" s="71" t="s">
        <v>35</v>
      </c>
      <c r="R847" s="71" t="s">
        <v>35</v>
      </c>
      <c r="S847" s="57" t="s">
        <v>1703</v>
      </c>
      <c r="T847" s="50" t="s">
        <v>2285</v>
      </c>
      <c r="U847" s="51" t="s">
        <v>2285</v>
      </c>
      <c r="V847" s="52">
        <f t="shared" ref="V847:X847" si="853">IF(lenb(SUBSTITUTE($Z847,V$1&amp;" (1)",""))&lt;lenb($Z847),1,IF(lenb(SUBSTITUTE($Z847,V$1&amp;" (2)",""))&lt;lenb($Z847),2,IF(lenb(SUBSTITUTE($Z847,V$1&amp;" (3)",""))&lt;lenb($Z847),3,IF(lenb(SUBSTITUTE($Z847,V$1&amp;" (4)",""))&lt;lenb($Z847),4,IF(lenb(SUBSTITUTE($Z847,V$1&amp;" (5)",""))&lt;lenb($Z847),5,IF(lenb(SUBSTITUTE($Z847,V$1&amp;" (6)",""))&lt;lenb($Z847),6,IF(lenb(SUBSTITUTE($Z847,V$1&amp;" (7)",""))&lt;lenb($Z847),1,IF(lenb(SUBSTITUTE($Z847,V$1&amp;" (8)",""))&lt;lenb($Z847),8,IF(lenb(SUBSTITUTE($Z847,V$1&amp;" (9)",""))&lt;lenb($Z847),9,IF(lenb(SUBSTITUTE($Z847,V$1&amp;" (10)",""))&lt;lenb($Z847),10,IF(lenb(SUBSTITUTE($Z847,V$1,""))&lt;lenb($Z847),"ERROR",IF($Z847=$Y$1,"-",0))))))))))))</f>
        <v>1</v>
      </c>
      <c r="W847" s="52">
        <f t="shared" si="853"/>
        <v>0</v>
      </c>
      <c r="X847" s="52">
        <f t="shared" si="853"/>
        <v>0</v>
      </c>
      <c r="Y847" s="52" t="str">
        <f t="shared" si="3"/>
        <v>-</v>
      </c>
      <c r="Z847" s="52" t="s">
        <v>62</v>
      </c>
      <c r="AA847" s="53">
        <f t="shared" si="4"/>
        <v>1</v>
      </c>
      <c r="AB847" s="54">
        <f>COUNTIFS(Links!B:B,"ICSE",Links!C:C,A847,Links!AD:AD,1)</f>
        <v>0</v>
      </c>
      <c r="AC847" s="55" t="s">
        <v>35</v>
      </c>
      <c r="AD847" s="47" t="str">
        <f t="shared" si="5"/>
        <v>No</v>
      </c>
      <c r="AE847" s="56" t="s">
        <v>36</v>
      </c>
      <c r="AF847" s="57" t="s">
        <v>42</v>
      </c>
      <c r="AG847" s="57" t="s">
        <v>42</v>
      </c>
      <c r="AH847" s="57" t="s">
        <v>42</v>
      </c>
      <c r="AI847" s="49" t="str">
        <f t="shared" si="661"/>
        <v>----</v>
      </c>
      <c r="AJ847" s="58" t="str">
        <f t="shared" si="7"/>
        <v>Paper has link but no statement</v>
      </c>
      <c r="AK847" s="59">
        <v>44868.0</v>
      </c>
      <c r="AL847" s="43" t="s">
        <v>43</v>
      </c>
      <c r="AM847" s="60" t="str">
        <f t="shared" si="8"/>
        <v>[IP0014]</v>
      </c>
    </row>
    <row r="848" ht="67.5" customHeight="1">
      <c r="A848" s="61">
        <v>15.0</v>
      </c>
      <c r="B848" s="22" t="s">
        <v>2286</v>
      </c>
      <c r="C848" s="23">
        <v>2022.0</v>
      </c>
      <c r="D848" s="24" t="s">
        <v>37</v>
      </c>
      <c r="E848" s="25" t="s">
        <v>37</v>
      </c>
      <c r="F848" s="25" t="s">
        <v>35</v>
      </c>
      <c r="G848" s="25" t="s">
        <v>37</v>
      </c>
      <c r="H848" s="25" t="s">
        <v>35</v>
      </c>
      <c r="I848" s="25" t="s">
        <v>35</v>
      </c>
      <c r="J848" s="26" t="s">
        <v>36</v>
      </c>
      <c r="K848" s="82" t="s">
        <v>37</v>
      </c>
      <c r="L848" s="70" t="s">
        <v>37</v>
      </c>
      <c r="M848" s="70" t="s">
        <v>35</v>
      </c>
      <c r="N848" s="70" t="s">
        <v>37</v>
      </c>
      <c r="O848" s="70" t="s">
        <v>35</v>
      </c>
      <c r="P848" s="70" t="s">
        <v>35</v>
      </c>
      <c r="Q848" s="70" t="s">
        <v>35</v>
      </c>
      <c r="R848" s="70" t="s">
        <v>35</v>
      </c>
      <c r="S848" s="37" t="s">
        <v>1706</v>
      </c>
      <c r="T848" s="30" t="s">
        <v>2287</v>
      </c>
      <c r="U848" s="31" t="s">
        <v>2287</v>
      </c>
      <c r="V848" s="32">
        <f t="shared" ref="V848:X848" si="854">IF(lenb(SUBSTITUTE($Z848,V$1&amp;" (1)",""))&lt;lenb($Z848),1,IF(lenb(SUBSTITUTE($Z848,V$1&amp;" (2)",""))&lt;lenb($Z848),2,IF(lenb(SUBSTITUTE($Z848,V$1&amp;" (3)",""))&lt;lenb($Z848),3,IF(lenb(SUBSTITUTE($Z848,V$1&amp;" (4)",""))&lt;lenb($Z848),4,IF(lenb(SUBSTITUTE($Z848,V$1&amp;" (5)",""))&lt;lenb($Z848),5,IF(lenb(SUBSTITUTE($Z848,V$1&amp;" (6)",""))&lt;lenb($Z848),6,IF(lenb(SUBSTITUTE($Z848,V$1&amp;" (7)",""))&lt;lenb($Z848),1,IF(lenb(SUBSTITUTE($Z848,V$1&amp;" (8)",""))&lt;lenb($Z848),8,IF(lenb(SUBSTITUTE($Z848,V$1&amp;" (9)",""))&lt;lenb($Z848),9,IF(lenb(SUBSTITUTE($Z848,V$1&amp;" (10)",""))&lt;lenb($Z848),10,IF(lenb(SUBSTITUTE($Z848,V$1,""))&lt;lenb($Z848),"ERROR",IF($Z848=$Y$1,"-",0))))))))))))</f>
        <v>1</v>
      </c>
      <c r="W848" s="32">
        <f t="shared" si="854"/>
        <v>0</v>
      </c>
      <c r="X848" s="32">
        <f t="shared" si="854"/>
        <v>0</v>
      </c>
      <c r="Y848" s="32" t="str">
        <f t="shared" si="3"/>
        <v>-</v>
      </c>
      <c r="Z848" s="32" t="s">
        <v>62</v>
      </c>
      <c r="AA848" s="33">
        <f t="shared" si="4"/>
        <v>1</v>
      </c>
      <c r="AB848" s="34">
        <f>COUNTIFS(Links!B:B,"ICSE",Links!C:C,A848,Links!AD:AD,1)</f>
        <v>0</v>
      </c>
      <c r="AC848" s="35" t="s">
        <v>35</v>
      </c>
      <c r="AD848" s="27" t="str">
        <f t="shared" si="5"/>
        <v>No</v>
      </c>
      <c r="AE848" s="36" t="s">
        <v>36</v>
      </c>
      <c r="AF848" s="37" t="s">
        <v>42</v>
      </c>
      <c r="AG848" s="37" t="s">
        <v>42</v>
      </c>
      <c r="AH848" s="37" t="s">
        <v>42</v>
      </c>
      <c r="AI848" s="29" t="str">
        <f t="shared" si="661"/>
        <v>----</v>
      </c>
      <c r="AJ848" s="38" t="str">
        <f t="shared" si="7"/>
        <v>Paper has link but no statement</v>
      </c>
      <c r="AK848" s="39">
        <v>44869.0</v>
      </c>
      <c r="AL848" s="23" t="s">
        <v>43</v>
      </c>
      <c r="AM848" s="40" t="str">
        <f t="shared" si="8"/>
        <v>[IP0015]</v>
      </c>
    </row>
    <row r="849" ht="67.5" customHeight="1">
      <c r="A849" s="62">
        <v>16.0</v>
      </c>
      <c r="B849" s="42" t="s">
        <v>2288</v>
      </c>
      <c r="C849" s="43">
        <v>2022.0</v>
      </c>
      <c r="D849" s="44" t="s">
        <v>35</v>
      </c>
      <c r="E849" s="45" t="s">
        <v>36</v>
      </c>
      <c r="F849" s="45" t="s">
        <v>36</v>
      </c>
      <c r="G849" s="45" t="s">
        <v>36</v>
      </c>
      <c r="H849" s="45" t="s">
        <v>36</v>
      </c>
      <c r="I849" s="45" t="s">
        <v>36</v>
      </c>
      <c r="J849" s="46" t="s">
        <v>36</v>
      </c>
      <c r="K849" s="83" t="s">
        <v>37</v>
      </c>
      <c r="L849" s="71" t="s">
        <v>37</v>
      </c>
      <c r="M849" s="71" t="s">
        <v>35</v>
      </c>
      <c r="N849" s="71" t="s">
        <v>35</v>
      </c>
      <c r="O849" s="71" t="s">
        <v>35</v>
      </c>
      <c r="P849" s="71" t="s">
        <v>35</v>
      </c>
      <c r="Q849" s="71" t="s">
        <v>35</v>
      </c>
      <c r="R849" s="71" t="s">
        <v>37</v>
      </c>
      <c r="S849" s="57" t="s">
        <v>2289</v>
      </c>
      <c r="T849" s="50" t="s">
        <v>2290</v>
      </c>
      <c r="U849" s="51" t="s">
        <v>2290</v>
      </c>
      <c r="V849" s="52">
        <f t="shared" ref="V849:X849" si="855">IF(lenb(SUBSTITUTE($Z849,V$1&amp;" (1)",""))&lt;lenb($Z849),1,IF(lenb(SUBSTITUTE($Z849,V$1&amp;" (2)",""))&lt;lenb($Z849),2,IF(lenb(SUBSTITUTE($Z849,V$1&amp;" (3)",""))&lt;lenb($Z849),3,IF(lenb(SUBSTITUTE($Z849,V$1&amp;" (4)",""))&lt;lenb($Z849),4,IF(lenb(SUBSTITUTE($Z849,V$1&amp;" (5)",""))&lt;lenb($Z849),5,IF(lenb(SUBSTITUTE($Z849,V$1&amp;" (6)",""))&lt;lenb($Z849),6,IF(lenb(SUBSTITUTE($Z849,V$1&amp;" (7)",""))&lt;lenb($Z849),1,IF(lenb(SUBSTITUTE($Z849,V$1&amp;" (8)",""))&lt;lenb($Z849),8,IF(lenb(SUBSTITUTE($Z849,V$1&amp;" (9)",""))&lt;lenb($Z849),9,IF(lenb(SUBSTITUTE($Z849,V$1&amp;" (10)",""))&lt;lenb($Z849),10,IF(lenb(SUBSTITUTE($Z849,V$1,""))&lt;lenb($Z849),"ERROR",IF($Z849=$Y$1,"-",0))))))))))))</f>
        <v>1</v>
      </c>
      <c r="W849" s="52">
        <f t="shared" si="855"/>
        <v>0</v>
      </c>
      <c r="X849" s="52">
        <f t="shared" si="855"/>
        <v>0</v>
      </c>
      <c r="Y849" s="52" t="str">
        <f t="shared" si="3"/>
        <v>-</v>
      </c>
      <c r="Z849" s="52" t="s">
        <v>62</v>
      </c>
      <c r="AA849" s="53">
        <f t="shared" si="4"/>
        <v>1</v>
      </c>
      <c r="AB849" s="54">
        <f>COUNTIFS(Links!B:B,"ICSE",Links!C:C,A849,Links!AD:AD,1)</f>
        <v>0</v>
      </c>
      <c r="AC849" s="55" t="s">
        <v>35</v>
      </c>
      <c r="AD849" s="47" t="str">
        <f t="shared" si="5"/>
        <v>No</v>
      </c>
      <c r="AE849" s="56" t="s">
        <v>36</v>
      </c>
      <c r="AF849" s="57" t="s">
        <v>42</v>
      </c>
      <c r="AG849" s="57" t="s">
        <v>42</v>
      </c>
      <c r="AH849" s="57" t="s">
        <v>42</v>
      </c>
      <c r="AI849" s="49" t="str">
        <f t="shared" si="661"/>
        <v>----</v>
      </c>
      <c r="AJ849" s="58" t="str">
        <f t="shared" si="7"/>
        <v>Paper has link but no statement</v>
      </c>
      <c r="AK849" s="59">
        <v>44869.0</v>
      </c>
      <c r="AL849" s="43" t="s">
        <v>43</v>
      </c>
      <c r="AM849" s="60" t="str">
        <f t="shared" si="8"/>
        <v>[IP0016]</v>
      </c>
    </row>
    <row r="850" ht="67.5" customHeight="1">
      <c r="A850" s="61">
        <v>17.0</v>
      </c>
      <c r="B850" s="22" t="s">
        <v>2291</v>
      </c>
      <c r="C850" s="23">
        <v>2022.0</v>
      </c>
      <c r="D850" s="24" t="s">
        <v>35</v>
      </c>
      <c r="E850" s="25" t="s">
        <v>36</v>
      </c>
      <c r="F850" s="25" t="s">
        <v>36</v>
      </c>
      <c r="G850" s="25" t="s">
        <v>36</v>
      </c>
      <c r="H850" s="25" t="s">
        <v>36</v>
      </c>
      <c r="I850" s="25" t="s">
        <v>36</v>
      </c>
      <c r="J850" s="26" t="s">
        <v>36</v>
      </c>
      <c r="K850" s="82" t="s">
        <v>37</v>
      </c>
      <c r="L850" s="70" t="s">
        <v>37</v>
      </c>
      <c r="M850" s="70" t="s">
        <v>35</v>
      </c>
      <c r="N850" s="70" t="s">
        <v>35</v>
      </c>
      <c r="O850" s="70" t="s">
        <v>35</v>
      </c>
      <c r="P850" s="70" t="s">
        <v>35</v>
      </c>
      <c r="Q850" s="70" t="s">
        <v>35</v>
      </c>
      <c r="R850" s="70" t="s">
        <v>37</v>
      </c>
      <c r="S850" s="37" t="s">
        <v>2292</v>
      </c>
      <c r="T850" s="30" t="s">
        <v>2293</v>
      </c>
      <c r="U850" s="31" t="s">
        <v>2293</v>
      </c>
      <c r="V850" s="32">
        <f t="shared" ref="V850:X850" si="856">IF(lenb(SUBSTITUTE($Z850,V$1&amp;" (1)",""))&lt;lenb($Z850),1,IF(lenb(SUBSTITUTE($Z850,V$1&amp;" (2)",""))&lt;lenb($Z850),2,IF(lenb(SUBSTITUTE($Z850,V$1&amp;" (3)",""))&lt;lenb($Z850),3,IF(lenb(SUBSTITUTE($Z850,V$1&amp;" (4)",""))&lt;lenb($Z850),4,IF(lenb(SUBSTITUTE($Z850,V$1&amp;" (5)",""))&lt;lenb($Z850),5,IF(lenb(SUBSTITUTE($Z850,V$1&amp;" (6)",""))&lt;lenb($Z850),6,IF(lenb(SUBSTITUTE($Z850,V$1&amp;" (7)",""))&lt;lenb($Z850),1,IF(lenb(SUBSTITUTE($Z850,V$1&amp;" (8)",""))&lt;lenb($Z850),8,IF(lenb(SUBSTITUTE($Z850,V$1&amp;" (9)",""))&lt;lenb($Z850),9,IF(lenb(SUBSTITUTE($Z850,V$1&amp;" (10)",""))&lt;lenb($Z850),10,IF(lenb(SUBSTITUTE($Z850,V$1,""))&lt;lenb($Z850),"ERROR",IF($Z850=$Y$1,"-",0))))))))))))</f>
        <v>1</v>
      </c>
      <c r="W850" s="32">
        <f t="shared" si="856"/>
        <v>0</v>
      </c>
      <c r="X850" s="32">
        <f t="shared" si="856"/>
        <v>0</v>
      </c>
      <c r="Y850" s="32" t="str">
        <f t="shared" si="3"/>
        <v>-</v>
      </c>
      <c r="Z850" s="32" t="s">
        <v>62</v>
      </c>
      <c r="AA850" s="33">
        <f t="shared" si="4"/>
        <v>1</v>
      </c>
      <c r="AB850" s="34">
        <f>COUNTIFS(Links!B:B,"ICSE",Links!C:C,A850,Links!AD:AD,1)</f>
        <v>0</v>
      </c>
      <c r="AC850" s="35" t="s">
        <v>35</v>
      </c>
      <c r="AD850" s="27" t="str">
        <f t="shared" si="5"/>
        <v>No</v>
      </c>
      <c r="AE850" s="36" t="s">
        <v>36</v>
      </c>
      <c r="AF850" s="37" t="s">
        <v>42</v>
      </c>
      <c r="AG850" s="37" t="s">
        <v>42</v>
      </c>
      <c r="AH850" s="37" t="s">
        <v>42</v>
      </c>
      <c r="AI850" s="29" t="str">
        <f t="shared" si="661"/>
        <v>----</v>
      </c>
      <c r="AJ850" s="38" t="str">
        <f t="shared" si="7"/>
        <v>Paper has link but no statement</v>
      </c>
      <c r="AK850" s="39">
        <v>44869.0</v>
      </c>
      <c r="AL850" s="23" t="s">
        <v>43</v>
      </c>
      <c r="AM850" s="40" t="str">
        <f t="shared" si="8"/>
        <v>[IP0017]</v>
      </c>
    </row>
    <row r="851" ht="67.5" customHeight="1">
      <c r="A851" s="41">
        <v>18.0</v>
      </c>
      <c r="B851" s="42" t="s">
        <v>2294</v>
      </c>
      <c r="C851" s="43">
        <v>2022.0</v>
      </c>
      <c r="D851" s="44" t="s">
        <v>35</v>
      </c>
      <c r="E851" s="45" t="s">
        <v>36</v>
      </c>
      <c r="F851" s="45" t="s">
        <v>36</v>
      </c>
      <c r="G851" s="45" t="s">
        <v>36</v>
      </c>
      <c r="H851" s="45" t="s">
        <v>36</v>
      </c>
      <c r="I851" s="45" t="s">
        <v>36</v>
      </c>
      <c r="J851" s="46" t="s">
        <v>36</v>
      </c>
      <c r="K851" s="83" t="s">
        <v>37</v>
      </c>
      <c r="L851" s="71" t="s">
        <v>35</v>
      </c>
      <c r="M851" s="71" t="s">
        <v>37</v>
      </c>
      <c r="N851" s="71" t="s">
        <v>35</v>
      </c>
      <c r="O851" s="71" t="s">
        <v>35</v>
      </c>
      <c r="P851" s="71" t="s">
        <v>35</v>
      </c>
      <c r="Q851" s="71" t="s">
        <v>35</v>
      </c>
      <c r="R851" s="71" t="s">
        <v>37</v>
      </c>
      <c r="S851" s="57" t="s">
        <v>2295</v>
      </c>
      <c r="T851" s="50" t="s">
        <v>2296</v>
      </c>
      <c r="U851" s="51" t="s">
        <v>2296</v>
      </c>
      <c r="V851" s="52">
        <f t="shared" ref="V851:X851" si="857">IF(lenb(SUBSTITUTE($Z851,V$1&amp;" (1)",""))&lt;lenb($Z851),1,IF(lenb(SUBSTITUTE($Z851,V$1&amp;" (2)",""))&lt;lenb($Z851),2,IF(lenb(SUBSTITUTE($Z851,V$1&amp;" (3)",""))&lt;lenb($Z851),3,IF(lenb(SUBSTITUTE($Z851,V$1&amp;" (4)",""))&lt;lenb($Z851),4,IF(lenb(SUBSTITUTE($Z851,V$1&amp;" (5)",""))&lt;lenb($Z851),5,IF(lenb(SUBSTITUTE($Z851,V$1&amp;" (6)",""))&lt;lenb($Z851),6,IF(lenb(SUBSTITUTE($Z851,V$1&amp;" (7)",""))&lt;lenb($Z851),1,IF(lenb(SUBSTITUTE($Z851,V$1&amp;" (8)",""))&lt;lenb($Z851),8,IF(lenb(SUBSTITUTE($Z851,V$1&amp;" (9)",""))&lt;lenb($Z851),9,IF(lenb(SUBSTITUTE($Z851,V$1&amp;" (10)",""))&lt;lenb($Z851),10,IF(lenb(SUBSTITUTE($Z851,V$1,""))&lt;lenb($Z851),"ERROR",IF($Z851=$Y$1,"-",0))))))))))))</f>
        <v>1</v>
      </c>
      <c r="W851" s="52">
        <f t="shared" si="857"/>
        <v>0</v>
      </c>
      <c r="X851" s="52">
        <f t="shared" si="857"/>
        <v>0</v>
      </c>
      <c r="Y851" s="52" t="str">
        <f t="shared" si="3"/>
        <v>-</v>
      </c>
      <c r="Z851" s="52" t="s">
        <v>62</v>
      </c>
      <c r="AA851" s="53">
        <f t="shared" si="4"/>
        <v>1</v>
      </c>
      <c r="AB851" s="54">
        <f>COUNTIFS(Links!B:B,"ICSE",Links!C:C,A851,Links!AD:AD,1)</f>
        <v>0</v>
      </c>
      <c r="AC851" s="55" t="s">
        <v>35</v>
      </c>
      <c r="AD851" s="47" t="str">
        <f t="shared" si="5"/>
        <v>No</v>
      </c>
      <c r="AE851" s="56" t="s">
        <v>36</v>
      </c>
      <c r="AF851" s="57" t="s">
        <v>42</v>
      </c>
      <c r="AG851" s="57" t="s">
        <v>42</v>
      </c>
      <c r="AH851" s="57" t="s">
        <v>42</v>
      </c>
      <c r="AI851" s="49" t="str">
        <f t="shared" si="661"/>
        <v>----</v>
      </c>
      <c r="AJ851" s="58" t="str">
        <f t="shared" si="7"/>
        <v>Paper has link but no statement</v>
      </c>
      <c r="AK851" s="59">
        <v>44869.0</v>
      </c>
      <c r="AL851" s="43" t="s">
        <v>43</v>
      </c>
      <c r="AM851" s="60" t="str">
        <f t="shared" si="8"/>
        <v>[IP0018]</v>
      </c>
    </row>
    <row r="852" ht="67.5" customHeight="1">
      <c r="A852" s="61">
        <v>19.0</v>
      </c>
      <c r="B852" s="22" t="s">
        <v>2297</v>
      </c>
      <c r="C852" s="23">
        <v>2022.0</v>
      </c>
      <c r="D852" s="24" t="s">
        <v>35</v>
      </c>
      <c r="E852" s="25" t="s">
        <v>36</v>
      </c>
      <c r="F852" s="25" t="s">
        <v>36</v>
      </c>
      <c r="G852" s="25" t="s">
        <v>36</v>
      </c>
      <c r="H852" s="25" t="s">
        <v>36</v>
      </c>
      <c r="I852" s="25" t="s">
        <v>36</v>
      </c>
      <c r="J852" s="26" t="s">
        <v>36</v>
      </c>
      <c r="K852" s="82" t="s">
        <v>37</v>
      </c>
      <c r="L852" s="70" t="s">
        <v>35</v>
      </c>
      <c r="M852" s="70" t="s">
        <v>37</v>
      </c>
      <c r="N852" s="70" t="s">
        <v>35</v>
      </c>
      <c r="O852" s="70" t="s">
        <v>35</v>
      </c>
      <c r="P852" s="70" t="s">
        <v>35</v>
      </c>
      <c r="Q852" s="70" t="s">
        <v>35</v>
      </c>
      <c r="R852" s="70" t="s">
        <v>37</v>
      </c>
      <c r="S852" s="37" t="s">
        <v>2298</v>
      </c>
      <c r="T852" s="30" t="s">
        <v>2299</v>
      </c>
      <c r="U852" s="31" t="s">
        <v>2299</v>
      </c>
      <c r="V852" s="32">
        <f t="shared" ref="V852:X852" si="858">IF(lenb(SUBSTITUTE($Z852,V$1&amp;" (1)",""))&lt;lenb($Z852),1,IF(lenb(SUBSTITUTE($Z852,V$1&amp;" (2)",""))&lt;lenb($Z852),2,IF(lenb(SUBSTITUTE($Z852,V$1&amp;" (3)",""))&lt;lenb($Z852),3,IF(lenb(SUBSTITUTE($Z852,V$1&amp;" (4)",""))&lt;lenb($Z852),4,IF(lenb(SUBSTITUTE($Z852,V$1&amp;" (5)",""))&lt;lenb($Z852),5,IF(lenb(SUBSTITUTE($Z852,V$1&amp;" (6)",""))&lt;lenb($Z852),6,IF(lenb(SUBSTITUTE($Z852,V$1&amp;" (7)",""))&lt;lenb($Z852),1,IF(lenb(SUBSTITUTE($Z852,V$1&amp;" (8)",""))&lt;lenb($Z852),8,IF(lenb(SUBSTITUTE($Z852,V$1&amp;" (9)",""))&lt;lenb($Z852),9,IF(lenb(SUBSTITUTE($Z852,V$1&amp;" (10)",""))&lt;lenb($Z852),10,IF(lenb(SUBSTITUTE($Z852,V$1,""))&lt;lenb($Z852),"ERROR",IF($Z852=$Y$1,"-",0))))))))))))</f>
        <v>1</v>
      </c>
      <c r="W852" s="32">
        <f t="shared" si="858"/>
        <v>0</v>
      </c>
      <c r="X852" s="32">
        <f t="shared" si="858"/>
        <v>0</v>
      </c>
      <c r="Y852" s="32" t="str">
        <f t="shared" si="3"/>
        <v>-</v>
      </c>
      <c r="Z852" s="32" t="s">
        <v>62</v>
      </c>
      <c r="AA852" s="33">
        <f t="shared" si="4"/>
        <v>1</v>
      </c>
      <c r="AB852" s="34">
        <f>COUNTIFS(Links!B:B,"ICSE",Links!C:C,A852,Links!AD:AD,1)</f>
        <v>0</v>
      </c>
      <c r="AC852" s="35" t="s">
        <v>35</v>
      </c>
      <c r="AD852" s="27" t="str">
        <f t="shared" si="5"/>
        <v>No</v>
      </c>
      <c r="AE852" s="36" t="s">
        <v>36</v>
      </c>
      <c r="AF852" s="37" t="s">
        <v>42</v>
      </c>
      <c r="AG852" s="37" t="s">
        <v>42</v>
      </c>
      <c r="AH852" s="37" t="s">
        <v>42</v>
      </c>
      <c r="AI852" s="29" t="str">
        <f t="shared" si="661"/>
        <v>----</v>
      </c>
      <c r="AJ852" s="38" t="str">
        <f t="shared" si="7"/>
        <v>Paper has link but no statement</v>
      </c>
      <c r="AK852" s="39">
        <v>44869.0</v>
      </c>
      <c r="AL852" s="23" t="s">
        <v>43</v>
      </c>
      <c r="AM852" s="40" t="str">
        <f t="shared" si="8"/>
        <v>[IP0019]</v>
      </c>
    </row>
    <row r="853" ht="67.5" customHeight="1">
      <c r="A853" s="41">
        <v>20.0</v>
      </c>
      <c r="B853" s="42" t="s">
        <v>2300</v>
      </c>
      <c r="C853" s="43">
        <v>2022.0</v>
      </c>
      <c r="D853" s="44" t="s">
        <v>37</v>
      </c>
      <c r="E853" s="45" t="s">
        <v>37</v>
      </c>
      <c r="F853" s="45" t="s">
        <v>35</v>
      </c>
      <c r="G853" s="45" t="s">
        <v>37</v>
      </c>
      <c r="H853" s="45" t="s">
        <v>35</v>
      </c>
      <c r="I853" s="45" t="s">
        <v>35</v>
      </c>
      <c r="J853" s="46" t="s">
        <v>36</v>
      </c>
      <c r="K853" s="83" t="s">
        <v>37</v>
      </c>
      <c r="L853" s="71" t="s">
        <v>37</v>
      </c>
      <c r="M853" s="71" t="s">
        <v>37</v>
      </c>
      <c r="N853" s="71" t="s">
        <v>37</v>
      </c>
      <c r="O853" s="71" t="s">
        <v>35</v>
      </c>
      <c r="P853" s="71" t="s">
        <v>35</v>
      </c>
      <c r="Q853" s="71" t="s">
        <v>35</v>
      </c>
      <c r="R853" s="71" t="s">
        <v>37</v>
      </c>
      <c r="S853" s="57" t="s">
        <v>2301</v>
      </c>
      <c r="T853" s="50" t="s">
        <v>2302</v>
      </c>
      <c r="U853" s="51" t="s">
        <v>2303</v>
      </c>
      <c r="V853" s="52">
        <f t="shared" ref="V853:X853" si="859">IF(lenb(SUBSTITUTE($Z853,V$1&amp;" (1)",""))&lt;lenb($Z853),1,IF(lenb(SUBSTITUTE($Z853,V$1&amp;" (2)",""))&lt;lenb($Z853),2,IF(lenb(SUBSTITUTE($Z853,V$1&amp;" (3)",""))&lt;lenb($Z853),3,IF(lenb(SUBSTITUTE($Z853,V$1&amp;" (4)",""))&lt;lenb($Z853),4,IF(lenb(SUBSTITUTE($Z853,V$1&amp;" (5)",""))&lt;lenb($Z853),5,IF(lenb(SUBSTITUTE($Z853,V$1&amp;" (6)",""))&lt;lenb($Z853),6,IF(lenb(SUBSTITUTE($Z853,V$1&amp;" (7)",""))&lt;lenb($Z853),1,IF(lenb(SUBSTITUTE($Z853,V$1&amp;" (8)",""))&lt;lenb($Z853),8,IF(lenb(SUBSTITUTE($Z853,V$1&amp;" (9)",""))&lt;lenb($Z853),9,IF(lenb(SUBSTITUTE($Z853,V$1&amp;" (10)",""))&lt;lenb($Z853),10,IF(lenb(SUBSTITUTE($Z853,V$1,""))&lt;lenb($Z853),"ERROR",IF($Z853=$Y$1,"-",0))))))))))))</f>
        <v>1</v>
      </c>
      <c r="W853" s="52">
        <f t="shared" si="859"/>
        <v>1</v>
      </c>
      <c r="X853" s="52">
        <f t="shared" si="859"/>
        <v>0</v>
      </c>
      <c r="Y853" s="52" t="str">
        <f t="shared" si="3"/>
        <v>-</v>
      </c>
      <c r="Z853" s="52" t="s">
        <v>2304</v>
      </c>
      <c r="AA853" s="53">
        <f t="shared" si="4"/>
        <v>2</v>
      </c>
      <c r="AB853" s="54">
        <f>COUNTIFS(Links!B:B,"ICSE",Links!C:C,A853,Links!AD:AD,1)</f>
        <v>0</v>
      </c>
      <c r="AC853" s="55" t="s">
        <v>35</v>
      </c>
      <c r="AD853" s="47" t="str">
        <f t="shared" si="5"/>
        <v>No</v>
      </c>
      <c r="AE853" s="56" t="s">
        <v>36</v>
      </c>
      <c r="AF853" s="57" t="s">
        <v>42</v>
      </c>
      <c r="AG853" s="57" t="s">
        <v>42</v>
      </c>
      <c r="AH853" s="57" t="s">
        <v>42</v>
      </c>
      <c r="AI853" s="49" t="str">
        <f t="shared" si="661"/>
        <v>----</v>
      </c>
      <c r="AJ853" s="58" t="str">
        <f t="shared" si="7"/>
        <v>Paper has link but no statement</v>
      </c>
      <c r="AK853" s="59">
        <v>44869.0</v>
      </c>
      <c r="AL853" s="43" t="s">
        <v>43</v>
      </c>
      <c r="AM853" s="60" t="str">
        <f t="shared" si="8"/>
        <v>[IP0020]</v>
      </c>
    </row>
    <row r="854" ht="67.5" customHeight="1">
      <c r="A854" s="61">
        <v>21.0</v>
      </c>
      <c r="B854" s="22" t="s">
        <v>2305</v>
      </c>
      <c r="C854" s="23">
        <v>2022.0</v>
      </c>
      <c r="D854" s="24" t="s">
        <v>35</v>
      </c>
      <c r="E854" s="25" t="s">
        <v>36</v>
      </c>
      <c r="F854" s="25" t="s">
        <v>36</v>
      </c>
      <c r="G854" s="25" t="s">
        <v>36</v>
      </c>
      <c r="H854" s="25" t="s">
        <v>36</v>
      </c>
      <c r="I854" s="25" t="s">
        <v>36</v>
      </c>
      <c r="J854" s="26" t="s">
        <v>36</v>
      </c>
      <c r="K854" s="82" t="s">
        <v>37</v>
      </c>
      <c r="L854" s="70" t="s">
        <v>35</v>
      </c>
      <c r="M854" s="70" t="s">
        <v>35</v>
      </c>
      <c r="N854" s="70" t="s">
        <v>37</v>
      </c>
      <c r="O854" s="70" t="s">
        <v>35</v>
      </c>
      <c r="P854" s="70" t="s">
        <v>35</v>
      </c>
      <c r="Q854" s="70" t="s">
        <v>35</v>
      </c>
      <c r="R854" s="70" t="s">
        <v>35</v>
      </c>
      <c r="S854" s="37" t="s">
        <v>944</v>
      </c>
      <c r="T854" s="30" t="s">
        <v>2306</v>
      </c>
      <c r="U854" s="31" t="s">
        <v>2306</v>
      </c>
      <c r="V854" s="32">
        <f t="shared" ref="V854:X854" si="860">IF(lenb(SUBSTITUTE($Z854,V$1&amp;" (1)",""))&lt;lenb($Z854),1,IF(lenb(SUBSTITUTE($Z854,V$1&amp;" (2)",""))&lt;lenb($Z854),2,IF(lenb(SUBSTITUTE($Z854,V$1&amp;" (3)",""))&lt;lenb($Z854),3,IF(lenb(SUBSTITUTE($Z854,V$1&amp;" (4)",""))&lt;lenb($Z854),4,IF(lenb(SUBSTITUTE($Z854,V$1&amp;" (5)",""))&lt;lenb($Z854),5,IF(lenb(SUBSTITUTE($Z854,V$1&amp;" (6)",""))&lt;lenb($Z854),6,IF(lenb(SUBSTITUTE($Z854,V$1&amp;" (7)",""))&lt;lenb($Z854),1,IF(lenb(SUBSTITUTE($Z854,V$1&amp;" (8)",""))&lt;lenb($Z854),8,IF(lenb(SUBSTITUTE($Z854,V$1&amp;" (9)",""))&lt;lenb($Z854),9,IF(lenb(SUBSTITUTE($Z854,V$1&amp;" (10)",""))&lt;lenb($Z854),10,IF(lenb(SUBSTITUTE($Z854,V$1,""))&lt;lenb($Z854),"ERROR",IF($Z854=$Y$1,"-",0))))))))))))</f>
        <v>1</v>
      </c>
      <c r="W854" s="32">
        <f t="shared" si="860"/>
        <v>0</v>
      </c>
      <c r="X854" s="32">
        <f t="shared" si="860"/>
        <v>0</v>
      </c>
      <c r="Y854" s="32" t="str">
        <f t="shared" si="3"/>
        <v>-</v>
      </c>
      <c r="Z854" s="32" t="s">
        <v>62</v>
      </c>
      <c r="AA854" s="33">
        <f t="shared" si="4"/>
        <v>1</v>
      </c>
      <c r="AB854" s="34">
        <f>COUNTIFS(Links!B:B,"ICSE",Links!C:C,A854,Links!AD:AD,1)</f>
        <v>0</v>
      </c>
      <c r="AC854" s="35" t="s">
        <v>35</v>
      </c>
      <c r="AD854" s="27" t="str">
        <f t="shared" si="5"/>
        <v>No</v>
      </c>
      <c r="AE854" s="36" t="s">
        <v>36</v>
      </c>
      <c r="AF854" s="37" t="s">
        <v>42</v>
      </c>
      <c r="AG854" s="37" t="s">
        <v>42</v>
      </c>
      <c r="AH854" s="37" t="s">
        <v>42</v>
      </c>
      <c r="AI854" s="29" t="str">
        <f t="shared" si="661"/>
        <v>----</v>
      </c>
      <c r="AJ854" s="38" t="str">
        <f t="shared" si="7"/>
        <v>Paper has link but no statement</v>
      </c>
      <c r="AK854" s="39">
        <v>44869.0</v>
      </c>
      <c r="AL854" s="23" t="s">
        <v>43</v>
      </c>
      <c r="AM854" s="40" t="str">
        <f t="shared" si="8"/>
        <v>[IP0021]</v>
      </c>
    </row>
    <row r="855" ht="67.5" customHeight="1">
      <c r="A855" s="41">
        <v>22.0</v>
      </c>
      <c r="B855" s="42" t="s">
        <v>2307</v>
      </c>
      <c r="C855" s="43">
        <v>2022.0</v>
      </c>
      <c r="D855" s="44" t="s">
        <v>37</v>
      </c>
      <c r="E855" s="45" t="s">
        <v>37</v>
      </c>
      <c r="F855" s="45" t="s">
        <v>35</v>
      </c>
      <c r="G855" s="45" t="s">
        <v>37</v>
      </c>
      <c r="H855" s="45" t="s">
        <v>35</v>
      </c>
      <c r="I855" s="45" t="s">
        <v>35</v>
      </c>
      <c r="J855" s="46" t="s">
        <v>36</v>
      </c>
      <c r="K855" s="83" t="s">
        <v>37</v>
      </c>
      <c r="L855" s="71" t="s">
        <v>35</v>
      </c>
      <c r="M855" s="71" t="s">
        <v>37</v>
      </c>
      <c r="N855" s="71" t="s">
        <v>35</v>
      </c>
      <c r="O855" s="71" t="s">
        <v>35</v>
      </c>
      <c r="P855" s="71" t="s">
        <v>35</v>
      </c>
      <c r="Q855" s="71" t="s">
        <v>37</v>
      </c>
      <c r="R855" s="71" t="s">
        <v>37</v>
      </c>
      <c r="S855" s="57" t="s">
        <v>2308</v>
      </c>
      <c r="T855" s="50" t="s">
        <v>1880</v>
      </c>
      <c r="U855" s="51" t="s">
        <v>1880</v>
      </c>
      <c r="V855" s="52">
        <f t="shared" ref="V855:X855" si="861">IF(lenb(SUBSTITUTE($Z855,V$1&amp;" (1)",""))&lt;lenb($Z855),1,IF(lenb(SUBSTITUTE($Z855,V$1&amp;" (2)",""))&lt;lenb($Z855),2,IF(lenb(SUBSTITUTE($Z855,V$1&amp;" (3)",""))&lt;lenb($Z855),3,IF(lenb(SUBSTITUTE($Z855,V$1&amp;" (4)",""))&lt;lenb($Z855),4,IF(lenb(SUBSTITUTE($Z855,V$1&amp;" (5)",""))&lt;lenb($Z855),5,IF(lenb(SUBSTITUTE($Z855,V$1&amp;" (6)",""))&lt;lenb($Z855),6,IF(lenb(SUBSTITUTE($Z855,V$1&amp;" (7)",""))&lt;lenb($Z855),1,IF(lenb(SUBSTITUTE($Z855,V$1&amp;" (8)",""))&lt;lenb($Z855),8,IF(lenb(SUBSTITUTE($Z855,V$1&amp;" (9)",""))&lt;lenb($Z855),9,IF(lenb(SUBSTITUTE($Z855,V$1&amp;" (10)",""))&lt;lenb($Z855),10,IF(lenb(SUBSTITUTE($Z855,V$1,""))&lt;lenb($Z855),"ERROR",IF($Z855=$Y$1,"-",0))))))))))))</f>
        <v>1</v>
      </c>
      <c r="W855" s="52">
        <f t="shared" si="861"/>
        <v>0</v>
      </c>
      <c r="X855" s="52">
        <f t="shared" si="861"/>
        <v>0</v>
      </c>
      <c r="Y855" s="52" t="str">
        <f t="shared" si="3"/>
        <v>-</v>
      </c>
      <c r="Z855" s="52" t="s">
        <v>62</v>
      </c>
      <c r="AA855" s="53">
        <f t="shared" si="4"/>
        <v>1</v>
      </c>
      <c r="AB855" s="54">
        <f>COUNTIFS(Links!B:B,"ICSE",Links!C:C,A855,Links!AD:AD,1)</f>
        <v>1</v>
      </c>
      <c r="AC855" s="55" t="s">
        <v>35</v>
      </c>
      <c r="AD855" s="47" t="str">
        <f t="shared" si="5"/>
        <v>No</v>
      </c>
      <c r="AE855" s="56" t="s">
        <v>36</v>
      </c>
      <c r="AF855" s="57" t="s">
        <v>42</v>
      </c>
      <c r="AG855" s="57" t="s">
        <v>42</v>
      </c>
      <c r="AH855" s="57" t="s">
        <v>42</v>
      </c>
      <c r="AI855" s="49" t="str">
        <f t="shared" si="661"/>
        <v>----</v>
      </c>
      <c r="AJ855" s="58" t="str">
        <f t="shared" si="7"/>
        <v>Paper has link but no statement</v>
      </c>
      <c r="AK855" s="59">
        <v>44869.0</v>
      </c>
      <c r="AL855" s="43" t="s">
        <v>43</v>
      </c>
      <c r="AM855" s="60" t="str">
        <f t="shared" si="8"/>
        <v>[IP0022]</v>
      </c>
    </row>
    <row r="856" ht="67.5" customHeight="1">
      <c r="A856" s="61">
        <v>23.0</v>
      </c>
      <c r="B856" s="22" t="s">
        <v>2309</v>
      </c>
      <c r="C856" s="23">
        <v>2022.0</v>
      </c>
      <c r="D856" s="24" t="s">
        <v>37</v>
      </c>
      <c r="E856" s="25" t="s">
        <v>37</v>
      </c>
      <c r="F856" s="25" t="s">
        <v>37</v>
      </c>
      <c r="G856" s="25" t="s">
        <v>35</v>
      </c>
      <c r="H856" s="25" t="s">
        <v>35</v>
      </c>
      <c r="I856" s="25" t="s">
        <v>35</v>
      </c>
      <c r="J856" s="26" t="s">
        <v>36</v>
      </c>
      <c r="K856" s="82" t="s">
        <v>37</v>
      </c>
      <c r="L856" s="70" t="s">
        <v>35</v>
      </c>
      <c r="M856" s="70" t="s">
        <v>37</v>
      </c>
      <c r="N856" s="70" t="s">
        <v>37</v>
      </c>
      <c r="O856" s="70" t="s">
        <v>35</v>
      </c>
      <c r="P856" s="70" t="s">
        <v>35</v>
      </c>
      <c r="Q856" s="70" t="s">
        <v>35</v>
      </c>
      <c r="R856" s="70" t="s">
        <v>37</v>
      </c>
      <c r="S856" s="37" t="s">
        <v>2310</v>
      </c>
      <c r="T856" s="30" t="s">
        <v>2311</v>
      </c>
      <c r="U856" s="31" t="s">
        <v>2312</v>
      </c>
      <c r="V856" s="32">
        <f t="shared" ref="V856:X856" si="862">IF(lenb(SUBSTITUTE($Z856,V$1&amp;" (1)",""))&lt;lenb($Z856),1,IF(lenb(SUBSTITUTE($Z856,V$1&amp;" (2)",""))&lt;lenb($Z856),2,IF(lenb(SUBSTITUTE($Z856,V$1&amp;" (3)",""))&lt;lenb($Z856),3,IF(lenb(SUBSTITUTE($Z856,V$1&amp;" (4)",""))&lt;lenb($Z856),4,IF(lenb(SUBSTITUTE($Z856,V$1&amp;" (5)",""))&lt;lenb($Z856),5,IF(lenb(SUBSTITUTE($Z856,V$1&amp;" (6)",""))&lt;lenb($Z856),6,IF(lenb(SUBSTITUTE($Z856,V$1&amp;" (7)",""))&lt;lenb($Z856),1,IF(lenb(SUBSTITUTE($Z856,V$1&amp;" (8)",""))&lt;lenb($Z856),8,IF(lenb(SUBSTITUTE($Z856,V$1&amp;" (9)",""))&lt;lenb($Z856),9,IF(lenb(SUBSTITUTE($Z856,V$1&amp;" (10)",""))&lt;lenb($Z856),10,IF(lenb(SUBSTITUTE($Z856,V$1,""))&lt;lenb($Z856),"ERROR",IF($Z856=$Y$1,"-",0))))))))))))</f>
        <v>1</v>
      </c>
      <c r="W856" s="32">
        <f t="shared" si="862"/>
        <v>0</v>
      </c>
      <c r="X856" s="32">
        <f t="shared" si="862"/>
        <v>0</v>
      </c>
      <c r="Y856" s="32" t="str">
        <f t="shared" si="3"/>
        <v>-</v>
      </c>
      <c r="Z856" s="32" t="s">
        <v>62</v>
      </c>
      <c r="AA856" s="33">
        <f t="shared" si="4"/>
        <v>1</v>
      </c>
      <c r="AB856" s="34">
        <f>COUNTIFS(Links!B:B,"ICSE",Links!C:C,A856,Links!AD:AD,1)</f>
        <v>0</v>
      </c>
      <c r="AC856" s="35" t="s">
        <v>35</v>
      </c>
      <c r="AD856" s="27" t="str">
        <f t="shared" si="5"/>
        <v>No</v>
      </c>
      <c r="AE856" s="36" t="s">
        <v>36</v>
      </c>
      <c r="AF856" s="37" t="s">
        <v>42</v>
      </c>
      <c r="AG856" s="37" t="s">
        <v>42</v>
      </c>
      <c r="AH856" s="37" t="s">
        <v>42</v>
      </c>
      <c r="AI856" s="29" t="str">
        <f t="shared" si="661"/>
        <v>----</v>
      </c>
      <c r="AJ856" s="38" t="str">
        <f t="shared" si="7"/>
        <v>Paper has link but no statement</v>
      </c>
      <c r="AK856" s="39">
        <v>44869.0</v>
      </c>
      <c r="AL856" s="23" t="s">
        <v>43</v>
      </c>
      <c r="AM856" s="40" t="str">
        <f t="shared" si="8"/>
        <v>[IP0023]</v>
      </c>
    </row>
    <row r="857" ht="67.5" customHeight="1">
      <c r="A857" s="41">
        <v>24.0</v>
      </c>
      <c r="B857" s="42" t="s">
        <v>2313</v>
      </c>
      <c r="C857" s="43">
        <v>2022.0</v>
      </c>
      <c r="D857" s="44" t="s">
        <v>35</v>
      </c>
      <c r="E857" s="45" t="s">
        <v>36</v>
      </c>
      <c r="F857" s="45" t="s">
        <v>36</v>
      </c>
      <c r="G857" s="45" t="s">
        <v>36</v>
      </c>
      <c r="H857" s="45" t="s">
        <v>36</v>
      </c>
      <c r="I857" s="45" t="s">
        <v>36</v>
      </c>
      <c r="J857" s="46" t="s">
        <v>36</v>
      </c>
      <c r="K857" s="83" t="s">
        <v>37</v>
      </c>
      <c r="L857" s="71" t="s">
        <v>37</v>
      </c>
      <c r="M857" s="71" t="s">
        <v>37</v>
      </c>
      <c r="N857" s="71" t="s">
        <v>37</v>
      </c>
      <c r="O857" s="71" t="s">
        <v>35</v>
      </c>
      <c r="P857" s="71" t="s">
        <v>37</v>
      </c>
      <c r="Q857" s="71" t="s">
        <v>35</v>
      </c>
      <c r="R857" s="71" t="s">
        <v>37</v>
      </c>
      <c r="S857" s="57" t="s">
        <v>2314</v>
      </c>
      <c r="T857" s="50" t="s">
        <v>2315</v>
      </c>
      <c r="U857" s="51" t="s">
        <v>2315</v>
      </c>
      <c r="V857" s="52">
        <f t="shared" ref="V857:X857" si="863">IF(lenb(SUBSTITUTE($Z857,V$1&amp;" (1)",""))&lt;lenb($Z857),1,IF(lenb(SUBSTITUTE($Z857,V$1&amp;" (2)",""))&lt;lenb($Z857),2,IF(lenb(SUBSTITUTE($Z857,V$1&amp;" (3)",""))&lt;lenb($Z857),3,IF(lenb(SUBSTITUTE($Z857,V$1&amp;" (4)",""))&lt;lenb($Z857),4,IF(lenb(SUBSTITUTE($Z857,V$1&amp;" (5)",""))&lt;lenb($Z857),5,IF(lenb(SUBSTITUTE($Z857,V$1&amp;" (6)",""))&lt;lenb($Z857),6,IF(lenb(SUBSTITUTE($Z857,V$1&amp;" (7)",""))&lt;lenb($Z857),1,IF(lenb(SUBSTITUTE($Z857,V$1&amp;" (8)",""))&lt;lenb($Z857),8,IF(lenb(SUBSTITUTE($Z857,V$1&amp;" (9)",""))&lt;lenb($Z857),9,IF(lenb(SUBSTITUTE($Z857,V$1&amp;" (10)",""))&lt;lenb($Z857),10,IF(lenb(SUBSTITUTE($Z857,V$1,""))&lt;lenb($Z857),"ERROR",IF($Z857=$Y$1,"-",0))))))))))))</f>
        <v>1</v>
      </c>
      <c r="W857" s="52">
        <f t="shared" si="863"/>
        <v>0</v>
      </c>
      <c r="X857" s="52">
        <f t="shared" si="863"/>
        <v>0</v>
      </c>
      <c r="Y857" s="52" t="str">
        <f t="shared" si="3"/>
        <v>-</v>
      </c>
      <c r="Z857" s="52" t="s">
        <v>62</v>
      </c>
      <c r="AA857" s="53">
        <f t="shared" si="4"/>
        <v>1</v>
      </c>
      <c r="AB857" s="54">
        <f>COUNTIFS(Links!B:B,"ICSE",Links!C:C,A857,Links!AD:AD,1)</f>
        <v>0</v>
      </c>
      <c r="AC857" s="55" t="s">
        <v>35</v>
      </c>
      <c r="AD857" s="47" t="str">
        <f t="shared" si="5"/>
        <v>No</v>
      </c>
      <c r="AE857" s="56" t="s">
        <v>36</v>
      </c>
      <c r="AF857" s="57" t="s">
        <v>42</v>
      </c>
      <c r="AG857" s="57" t="s">
        <v>42</v>
      </c>
      <c r="AH857" s="57" t="s">
        <v>42</v>
      </c>
      <c r="AI857" s="49" t="str">
        <f t="shared" si="661"/>
        <v>----</v>
      </c>
      <c r="AJ857" s="58" t="str">
        <f t="shared" si="7"/>
        <v>Paper has link but no statement</v>
      </c>
      <c r="AK857" s="59">
        <v>44869.0</v>
      </c>
      <c r="AL857" s="43" t="s">
        <v>43</v>
      </c>
      <c r="AM857" s="60" t="str">
        <f t="shared" si="8"/>
        <v>[IP0024]</v>
      </c>
    </row>
    <row r="858" ht="67.5" customHeight="1">
      <c r="A858" s="61">
        <v>25.0</v>
      </c>
      <c r="B858" s="22" t="s">
        <v>2316</v>
      </c>
      <c r="C858" s="23">
        <v>2022.0</v>
      </c>
      <c r="D858" s="24" t="s">
        <v>35</v>
      </c>
      <c r="E858" s="25" t="s">
        <v>36</v>
      </c>
      <c r="F858" s="25" t="s">
        <v>36</v>
      </c>
      <c r="G858" s="25" t="s">
        <v>36</v>
      </c>
      <c r="H858" s="25" t="s">
        <v>36</v>
      </c>
      <c r="I858" s="25" t="s">
        <v>36</v>
      </c>
      <c r="J858" s="26" t="s">
        <v>36</v>
      </c>
      <c r="K858" s="82" t="s">
        <v>37</v>
      </c>
      <c r="L858" s="70" t="s">
        <v>35</v>
      </c>
      <c r="M858" s="70" t="s">
        <v>37</v>
      </c>
      <c r="N858" s="70" t="s">
        <v>37</v>
      </c>
      <c r="O858" s="70" t="s">
        <v>35</v>
      </c>
      <c r="P858" s="70" t="s">
        <v>35</v>
      </c>
      <c r="Q858" s="70" t="s">
        <v>35</v>
      </c>
      <c r="R858" s="70" t="s">
        <v>37</v>
      </c>
      <c r="S858" s="37" t="s">
        <v>2317</v>
      </c>
      <c r="T858" s="30" t="s">
        <v>2318</v>
      </c>
      <c r="U858" s="31" t="s">
        <v>2318</v>
      </c>
      <c r="V858" s="32">
        <f t="shared" ref="V858:X858" si="864">IF(lenb(SUBSTITUTE($Z858,V$1&amp;" (1)",""))&lt;lenb($Z858),1,IF(lenb(SUBSTITUTE($Z858,V$1&amp;" (2)",""))&lt;lenb($Z858),2,IF(lenb(SUBSTITUTE($Z858,V$1&amp;" (3)",""))&lt;lenb($Z858),3,IF(lenb(SUBSTITUTE($Z858,V$1&amp;" (4)",""))&lt;lenb($Z858),4,IF(lenb(SUBSTITUTE($Z858,V$1&amp;" (5)",""))&lt;lenb($Z858),5,IF(lenb(SUBSTITUTE($Z858,V$1&amp;" (6)",""))&lt;lenb($Z858),6,IF(lenb(SUBSTITUTE($Z858,V$1&amp;" (7)",""))&lt;lenb($Z858),1,IF(lenb(SUBSTITUTE($Z858,V$1&amp;" (8)",""))&lt;lenb($Z858),8,IF(lenb(SUBSTITUTE($Z858,V$1&amp;" (9)",""))&lt;lenb($Z858),9,IF(lenb(SUBSTITUTE($Z858,V$1&amp;" (10)",""))&lt;lenb($Z858),10,IF(lenb(SUBSTITUTE($Z858,V$1,""))&lt;lenb($Z858),"ERROR",IF($Z858=$Y$1,"-",0))))))))))))</f>
        <v>1</v>
      </c>
      <c r="W858" s="32">
        <f t="shared" si="864"/>
        <v>0</v>
      </c>
      <c r="X858" s="32">
        <f t="shared" si="864"/>
        <v>0</v>
      </c>
      <c r="Y858" s="32" t="str">
        <f t="shared" si="3"/>
        <v>-</v>
      </c>
      <c r="Z858" s="32" t="s">
        <v>62</v>
      </c>
      <c r="AA858" s="33">
        <f t="shared" si="4"/>
        <v>1</v>
      </c>
      <c r="AB858" s="34">
        <f>COUNTIFS(Links!B:B,"ICSE",Links!C:C,A858,Links!AD:AD,1)</f>
        <v>0</v>
      </c>
      <c r="AC858" s="35" t="s">
        <v>35</v>
      </c>
      <c r="AD858" s="27" t="str">
        <f t="shared" si="5"/>
        <v>No</v>
      </c>
      <c r="AE858" s="36" t="s">
        <v>36</v>
      </c>
      <c r="AF858" s="37" t="s">
        <v>42</v>
      </c>
      <c r="AG858" s="37" t="s">
        <v>42</v>
      </c>
      <c r="AH858" s="37" t="s">
        <v>42</v>
      </c>
      <c r="AI858" s="29" t="str">
        <f t="shared" si="661"/>
        <v>----</v>
      </c>
      <c r="AJ858" s="38" t="str">
        <f t="shared" si="7"/>
        <v>Paper has link but no statement</v>
      </c>
      <c r="AK858" s="39">
        <v>44869.0</v>
      </c>
      <c r="AL858" s="23" t="s">
        <v>43</v>
      </c>
      <c r="AM858" s="40" t="str">
        <f t="shared" si="8"/>
        <v>[IP0025]</v>
      </c>
    </row>
    <row r="859" ht="67.5" customHeight="1">
      <c r="A859" s="41">
        <v>26.0</v>
      </c>
      <c r="B859" s="42" t="s">
        <v>2319</v>
      </c>
      <c r="C859" s="43">
        <v>2022.0</v>
      </c>
      <c r="D859" s="44" t="s">
        <v>35</v>
      </c>
      <c r="E859" s="45" t="s">
        <v>36</v>
      </c>
      <c r="F859" s="45" t="s">
        <v>36</v>
      </c>
      <c r="G859" s="45" t="s">
        <v>36</v>
      </c>
      <c r="H859" s="45" t="s">
        <v>36</v>
      </c>
      <c r="I859" s="45" t="s">
        <v>36</v>
      </c>
      <c r="J859" s="46" t="s">
        <v>36</v>
      </c>
      <c r="K859" s="83" t="s">
        <v>37</v>
      </c>
      <c r="L859" s="71" t="s">
        <v>37</v>
      </c>
      <c r="M859" s="71" t="s">
        <v>35</v>
      </c>
      <c r="N859" s="71" t="s">
        <v>35</v>
      </c>
      <c r="O859" s="71" t="s">
        <v>35</v>
      </c>
      <c r="P859" s="71" t="s">
        <v>35</v>
      </c>
      <c r="Q859" s="71" t="s">
        <v>37</v>
      </c>
      <c r="R859" s="71" t="s">
        <v>37</v>
      </c>
      <c r="S859" s="57" t="s">
        <v>2320</v>
      </c>
      <c r="T859" s="50" t="s">
        <v>2321</v>
      </c>
      <c r="U859" s="51" t="s">
        <v>2321</v>
      </c>
      <c r="V859" s="52">
        <f t="shared" ref="V859:X859" si="865">IF(lenb(SUBSTITUTE($Z859,V$1&amp;" (1)",""))&lt;lenb($Z859),1,IF(lenb(SUBSTITUTE($Z859,V$1&amp;" (2)",""))&lt;lenb($Z859),2,IF(lenb(SUBSTITUTE($Z859,V$1&amp;" (3)",""))&lt;lenb($Z859),3,IF(lenb(SUBSTITUTE($Z859,V$1&amp;" (4)",""))&lt;lenb($Z859),4,IF(lenb(SUBSTITUTE($Z859,V$1&amp;" (5)",""))&lt;lenb($Z859),5,IF(lenb(SUBSTITUTE($Z859,V$1&amp;" (6)",""))&lt;lenb($Z859),6,IF(lenb(SUBSTITUTE($Z859,V$1&amp;" (7)",""))&lt;lenb($Z859),1,IF(lenb(SUBSTITUTE($Z859,V$1&amp;" (8)",""))&lt;lenb($Z859),8,IF(lenb(SUBSTITUTE($Z859,V$1&amp;" (9)",""))&lt;lenb($Z859),9,IF(lenb(SUBSTITUTE($Z859,V$1&amp;" (10)",""))&lt;lenb($Z859),10,IF(lenb(SUBSTITUTE($Z859,V$1,""))&lt;lenb($Z859),"ERROR",IF($Z859=$Y$1,"-",0))))))))))))</f>
        <v>2</v>
      </c>
      <c r="W859" s="52">
        <f t="shared" si="865"/>
        <v>0</v>
      </c>
      <c r="X859" s="52">
        <f t="shared" si="865"/>
        <v>0</v>
      </c>
      <c r="Y859" s="52" t="str">
        <f t="shared" si="3"/>
        <v>-</v>
      </c>
      <c r="Z859" s="52" t="s">
        <v>57</v>
      </c>
      <c r="AA859" s="53">
        <f t="shared" si="4"/>
        <v>2</v>
      </c>
      <c r="AB859" s="54">
        <f>COUNTIFS(Links!B:B,"ICSE",Links!C:C,A859,Links!AD:AD,1)</f>
        <v>0</v>
      </c>
      <c r="AC859" s="55" t="s">
        <v>37</v>
      </c>
      <c r="AD859" s="47" t="str">
        <f t="shared" si="5"/>
        <v>No</v>
      </c>
      <c r="AE859" s="56" t="s">
        <v>36</v>
      </c>
      <c r="AF859" s="57" t="s">
        <v>42</v>
      </c>
      <c r="AG859" s="57" t="s">
        <v>42</v>
      </c>
      <c r="AH859" s="57" t="s">
        <v>42</v>
      </c>
      <c r="AI859" s="49" t="str">
        <f t="shared" si="661"/>
        <v>----</v>
      </c>
      <c r="AJ859" s="58" t="str">
        <f t="shared" si="7"/>
        <v>Paper has link but no statement</v>
      </c>
      <c r="AK859" s="59">
        <v>44869.0</v>
      </c>
      <c r="AL859" s="43" t="s">
        <v>43</v>
      </c>
      <c r="AM859" s="60" t="str">
        <f t="shared" si="8"/>
        <v>[IP0026]</v>
      </c>
    </row>
    <row r="860" ht="67.5" customHeight="1">
      <c r="A860" s="61">
        <v>27.0</v>
      </c>
      <c r="B860" s="22" t="s">
        <v>2322</v>
      </c>
      <c r="C860" s="23">
        <v>2022.0</v>
      </c>
      <c r="D860" s="24" t="s">
        <v>35</v>
      </c>
      <c r="E860" s="25" t="s">
        <v>36</v>
      </c>
      <c r="F860" s="25" t="s">
        <v>36</v>
      </c>
      <c r="G860" s="25" t="s">
        <v>36</v>
      </c>
      <c r="H860" s="25" t="s">
        <v>36</v>
      </c>
      <c r="I860" s="25" t="s">
        <v>36</v>
      </c>
      <c r="J860" s="26" t="s">
        <v>36</v>
      </c>
      <c r="K860" s="82" t="s">
        <v>37</v>
      </c>
      <c r="L860" s="70" t="s">
        <v>37</v>
      </c>
      <c r="M860" s="70" t="s">
        <v>35</v>
      </c>
      <c r="N860" s="70" t="s">
        <v>35</v>
      </c>
      <c r="O860" s="70" t="s">
        <v>35</v>
      </c>
      <c r="P860" s="70" t="s">
        <v>35</v>
      </c>
      <c r="Q860" s="70" t="s">
        <v>35</v>
      </c>
      <c r="R860" s="70" t="s">
        <v>37</v>
      </c>
      <c r="S860" s="37" t="s">
        <v>2323</v>
      </c>
      <c r="T860" s="30" t="s">
        <v>2324</v>
      </c>
      <c r="U860" s="31" t="s">
        <v>2324</v>
      </c>
      <c r="V860" s="32">
        <f t="shared" ref="V860:X860" si="866">IF(lenb(SUBSTITUTE($Z860,V$1&amp;" (1)",""))&lt;lenb($Z860),1,IF(lenb(SUBSTITUTE($Z860,V$1&amp;" (2)",""))&lt;lenb($Z860),2,IF(lenb(SUBSTITUTE($Z860,V$1&amp;" (3)",""))&lt;lenb($Z860),3,IF(lenb(SUBSTITUTE($Z860,V$1&amp;" (4)",""))&lt;lenb($Z860),4,IF(lenb(SUBSTITUTE($Z860,V$1&amp;" (5)",""))&lt;lenb($Z860),5,IF(lenb(SUBSTITUTE($Z860,V$1&amp;" (6)",""))&lt;lenb($Z860),6,IF(lenb(SUBSTITUTE($Z860,V$1&amp;" (7)",""))&lt;lenb($Z860),1,IF(lenb(SUBSTITUTE($Z860,V$1&amp;" (8)",""))&lt;lenb($Z860),8,IF(lenb(SUBSTITUTE($Z860,V$1&amp;" (9)",""))&lt;lenb($Z860),9,IF(lenb(SUBSTITUTE($Z860,V$1&amp;" (10)",""))&lt;lenb($Z860),10,IF(lenb(SUBSTITUTE($Z860,V$1,""))&lt;lenb($Z860),"ERROR",IF($Z860=$Y$1,"-",0))))))))))))</f>
        <v>1</v>
      </c>
      <c r="W860" s="32">
        <f t="shared" si="866"/>
        <v>0</v>
      </c>
      <c r="X860" s="32">
        <f t="shared" si="866"/>
        <v>0</v>
      </c>
      <c r="Y860" s="32" t="str">
        <f t="shared" si="3"/>
        <v>-</v>
      </c>
      <c r="Z860" s="32" t="s">
        <v>62</v>
      </c>
      <c r="AA860" s="33">
        <f t="shared" si="4"/>
        <v>1</v>
      </c>
      <c r="AB860" s="34">
        <f>COUNTIFS(Links!B:B,"ICSE",Links!C:C,A860,Links!AD:AD,1)</f>
        <v>0</v>
      </c>
      <c r="AC860" s="35" t="s">
        <v>37</v>
      </c>
      <c r="AD860" s="27" t="str">
        <f t="shared" si="5"/>
        <v>Yes</v>
      </c>
      <c r="AE860" s="36" t="s">
        <v>2325</v>
      </c>
      <c r="AF860" s="36" t="s">
        <v>281</v>
      </c>
      <c r="AG860" s="37" t="s">
        <v>42</v>
      </c>
      <c r="AH860" s="37" t="s">
        <v>42</v>
      </c>
      <c r="AI860" s="29" t="str">
        <f t="shared" si="661"/>
        <v>Barriers (Confidentiality and privacy)</v>
      </c>
      <c r="AJ860" s="38" t="str">
        <f t="shared" si="7"/>
        <v>Paper has link and statement</v>
      </c>
      <c r="AK860" s="39">
        <v>44869.0</v>
      </c>
      <c r="AL860" s="23" t="s">
        <v>43</v>
      </c>
      <c r="AM860" s="40" t="str">
        <f t="shared" si="8"/>
        <v>[IP0027]</v>
      </c>
    </row>
    <row r="861" ht="67.5" customHeight="1">
      <c r="A861" s="41">
        <v>28.0</v>
      </c>
      <c r="B861" s="42" t="s">
        <v>2326</v>
      </c>
      <c r="C861" s="43">
        <v>2022.0</v>
      </c>
      <c r="D861" s="44" t="s">
        <v>35</v>
      </c>
      <c r="E861" s="45" t="s">
        <v>36</v>
      </c>
      <c r="F861" s="45" t="s">
        <v>36</v>
      </c>
      <c r="G861" s="45" t="s">
        <v>36</v>
      </c>
      <c r="H861" s="45" t="s">
        <v>36</v>
      </c>
      <c r="I861" s="45" t="s">
        <v>36</v>
      </c>
      <c r="J861" s="46" t="s">
        <v>36</v>
      </c>
      <c r="K861" s="83" t="s">
        <v>37</v>
      </c>
      <c r="L861" s="71" t="s">
        <v>35</v>
      </c>
      <c r="M861" s="71" t="s">
        <v>35</v>
      </c>
      <c r="N861" s="71" t="s">
        <v>37</v>
      </c>
      <c r="O861" s="71" t="s">
        <v>35</v>
      </c>
      <c r="P861" s="71" t="s">
        <v>35</v>
      </c>
      <c r="Q861" s="71" t="s">
        <v>35</v>
      </c>
      <c r="R861" s="71" t="s">
        <v>35</v>
      </c>
      <c r="S861" s="57" t="s">
        <v>944</v>
      </c>
      <c r="T861" s="50" t="s">
        <v>2327</v>
      </c>
      <c r="U861" s="51" t="s">
        <v>2327</v>
      </c>
      <c r="V861" s="52">
        <f t="shared" ref="V861:X861" si="867">IF(lenb(SUBSTITUTE($Z861,V$1&amp;" (1)",""))&lt;lenb($Z861),1,IF(lenb(SUBSTITUTE($Z861,V$1&amp;" (2)",""))&lt;lenb($Z861),2,IF(lenb(SUBSTITUTE($Z861,V$1&amp;" (3)",""))&lt;lenb($Z861),3,IF(lenb(SUBSTITUTE($Z861,V$1&amp;" (4)",""))&lt;lenb($Z861),4,IF(lenb(SUBSTITUTE($Z861,V$1&amp;" (5)",""))&lt;lenb($Z861),5,IF(lenb(SUBSTITUTE($Z861,V$1&amp;" (6)",""))&lt;lenb($Z861),6,IF(lenb(SUBSTITUTE($Z861,V$1&amp;" (7)",""))&lt;lenb($Z861),1,IF(lenb(SUBSTITUTE($Z861,V$1&amp;" (8)",""))&lt;lenb($Z861),8,IF(lenb(SUBSTITUTE($Z861,V$1&amp;" (9)",""))&lt;lenb($Z861),9,IF(lenb(SUBSTITUTE($Z861,V$1&amp;" (10)",""))&lt;lenb($Z861),10,IF(lenb(SUBSTITUTE($Z861,V$1,""))&lt;lenb($Z861),"ERROR",IF($Z861=$Y$1,"-",0))))))))))))</f>
        <v>1</v>
      </c>
      <c r="W861" s="52">
        <f t="shared" si="867"/>
        <v>0</v>
      </c>
      <c r="X861" s="52">
        <f t="shared" si="867"/>
        <v>0</v>
      </c>
      <c r="Y861" s="52" t="str">
        <f t="shared" si="3"/>
        <v>-</v>
      </c>
      <c r="Z861" s="52" t="s">
        <v>62</v>
      </c>
      <c r="AA861" s="53">
        <f t="shared" si="4"/>
        <v>1</v>
      </c>
      <c r="AB861" s="54">
        <f>COUNTIFS(Links!B:B,"ICSE",Links!C:C,A861,Links!AD:AD,1)</f>
        <v>0</v>
      </c>
      <c r="AC861" s="55" t="s">
        <v>35</v>
      </c>
      <c r="AD861" s="47" t="str">
        <f t="shared" si="5"/>
        <v>No</v>
      </c>
      <c r="AE861" s="56" t="s">
        <v>36</v>
      </c>
      <c r="AF861" s="57" t="s">
        <v>42</v>
      </c>
      <c r="AG861" s="57" t="s">
        <v>42</v>
      </c>
      <c r="AH861" s="57" t="s">
        <v>42</v>
      </c>
      <c r="AI861" s="49" t="str">
        <f t="shared" si="661"/>
        <v>----</v>
      </c>
      <c r="AJ861" s="58" t="str">
        <f t="shared" si="7"/>
        <v>Paper has link but no statement</v>
      </c>
      <c r="AK861" s="59">
        <v>44869.0</v>
      </c>
      <c r="AL861" s="43" t="s">
        <v>43</v>
      </c>
      <c r="AM861" s="60" t="str">
        <f t="shared" si="8"/>
        <v>[IP0028]</v>
      </c>
    </row>
    <row r="862" ht="67.5" customHeight="1">
      <c r="A862" s="61">
        <v>29.0</v>
      </c>
      <c r="B862" s="22" t="s">
        <v>2328</v>
      </c>
      <c r="C862" s="23">
        <v>2022.0</v>
      </c>
      <c r="D862" s="24" t="s">
        <v>35</v>
      </c>
      <c r="E862" s="25" t="s">
        <v>36</v>
      </c>
      <c r="F862" s="25" t="s">
        <v>36</v>
      </c>
      <c r="G862" s="25" t="s">
        <v>36</v>
      </c>
      <c r="H862" s="25" t="s">
        <v>36</v>
      </c>
      <c r="I862" s="25" t="s">
        <v>36</v>
      </c>
      <c r="J862" s="26" t="s">
        <v>36</v>
      </c>
      <c r="K862" s="82" t="s">
        <v>37</v>
      </c>
      <c r="L862" s="70" t="s">
        <v>37</v>
      </c>
      <c r="M862" s="70" t="s">
        <v>37</v>
      </c>
      <c r="N862" s="70" t="s">
        <v>37</v>
      </c>
      <c r="O862" s="70" t="s">
        <v>35</v>
      </c>
      <c r="P862" s="70" t="s">
        <v>37</v>
      </c>
      <c r="Q862" s="70" t="s">
        <v>35</v>
      </c>
      <c r="R862" s="70" t="s">
        <v>37</v>
      </c>
      <c r="S862" s="37" t="s">
        <v>2329</v>
      </c>
      <c r="T862" s="30" t="s">
        <v>2330</v>
      </c>
      <c r="U862" s="31" t="s">
        <v>2330</v>
      </c>
      <c r="V862" s="32">
        <f t="shared" ref="V862:X862" si="868">IF(lenb(SUBSTITUTE($Z862,V$1&amp;" (1)",""))&lt;lenb($Z862),1,IF(lenb(SUBSTITUTE($Z862,V$1&amp;" (2)",""))&lt;lenb($Z862),2,IF(lenb(SUBSTITUTE($Z862,V$1&amp;" (3)",""))&lt;lenb($Z862),3,IF(lenb(SUBSTITUTE($Z862,V$1&amp;" (4)",""))&lt;lenb($Z862),4,IF(lenb(SUBSTITUTE($Z862,V$1&amp;" (5)",""))&lt;lenb($Z862),5,IF(lenb(SUBSTITUTE($Z862,V$1&amp;" (6)",""))&lt;lenb($Z862),6,IF(lenb(SUBSTITUTE($Z862,V$1&amp;" (7)",""))&lt;lenb($Z862),1,IF(lenb(SUBSTITUTE($Z862,V$1&amp;" (8)",""))&lt;lenb($Z862),8,IF(lenb(SUBSTITUTE($Z862,V$1&amp;" (9)",""))&lt;lenb($Z862),9,IF(lenb(SUBSTITUTE($Z862,V$1&amp;" (10)",""))&lt;lenb($Z862),10,IF(lenb(SUBSTITUTE($Z862,V$1,""))&lt;lenb($Z862),"ERROR",IF($Z862=$Y$1,"-",0))))))))))))</f>
        <v>1</v>
      </c>
      <c r="W862" s="32">
        <f t="shared" si="868"/>
        <v>0</v>
      </c>
      <c r="X862" s="32">
        <f t="shared" si="868"/>
        <v>0</v>
      </c>
      <c r="Y862" s="32" t="str">
        <f t="shared" si="3"/>
        <v>-</v>
      </c>
      <c r="Z862" s="32" t="s">
        <v>62</v>
      </c>
      <c r="AA862" s="33">
        <f t="shared" si="4"/>
        <v>1</v>
      </c>
      <c r="AB862" s="34">
        <f>COUNTIFS(Links!B:B,"ICSE",Links!C:C,A862,Links!AD:AD,1)</f>
        <v>0</v>
      </c>
      <c r="AC862" s="35" t="s">
        <v>35</v>
      </c>
      <c r="AD862" s="27" t="str">
        <f t="shared" si="5"/>
        <v>No</v>
      </c>
      <c r="AE862" s="36" t="s">
        <v>36</v>
      </c>
      <c r="AF862" s="37" t="s">
        <v>42</v>
      </c>
      <c r="AG862" s="37" t="s">
        <v>42</v>
      </c>
      <c r="AH862" s="37" t="s">
        <v>42</v>
      </c>
      <c r="AI862" s="29" t="str">
        <f t="shared" si="661"/>
        <v>----</v>
      </c>
      <c r="AJ862" s="38" t="str">
        <f t="shared" si="7"/>
        <v>Paper has link but no statement</v>
      </c>
      <c r="AK862" s="39">
        <v>44869.0</v>
      </c>
      <c r="AL862" s="23" t="s">
        <v>43</v>
      </c>
      <c r="AM862" s="40" t="str">
        <f t="shared" si="8"/>
        <v>[IP0029]</v>
      </c>
    </row>
    <row r="863" ht="67.5" customHeight="1">
      <c r="A863" s="41">
        <v>30.0</v>
      </c>
      <c r="B863" s="42" t="s">
        <v>2331</v>
      </c>
      <c r="C863" s="43">
        <v>2022.0</v>
      </c>
      <c r="D863" s="44" t="s">
        <v>35</v>
      </c>
      <c r="E863" s="45" t="s">
        <v>36</v>
      </c>
      <c r="F863" s="45" t="s">
        <v>36</v>
      </c>
      <c r="G863" s="45" t="s">
        <v>36</v>
      </c>
      <c r="H863" s="45" t="s">
        <v>36</v>
      </c>
      <c r="I863" s="45" t="s">
        <v>36</v>
      </c>
      <c r="J863" s="46" t="s">
        <v>36</v>
      </c>
      <c r="K863" s="83" t="s">
        <v>37</v>
      </c>
      <c r="L863" s="71" t="s">
        <v>35</v>
      </c>
      <c r="M863" s="71" t="s">
        <v>37</v>
      </c>
      <c r="N863" s="71" t="s">
        <v>35</v>
      </c>
      <c r="O863" s="71" t="s">
        <v>35</v>
      </c>
      <c r="P863" s="71" t="s">
        <v>35</v>
      </c>
      <c r="Q863" s="71" t="s">
        <v>35</v>
      </c>
      <c r="R863" s="71" t="s">
        <v>37</v>
      </c>
      <c r="S863" s="57" t="s">
        <v>2332</v>
      </c>
      <c r="T863" s="50" t="s">
        <v>2333</v>
      </c>
      <c r="U863" s="51" t="s">
        <v>2333</v>
      </c>
      <c r="V863" s="52">
        <f t="shared" ref="V863:X863" si="869">IF(lenb(SUBSTITUTE($Z863,V$1&amp;" (1)",""))&lt;lenb($Z863),1,IF(lenb(SUBSTITUTE($Z863,V$1&amp;" (2)",""))&lt;lenb($Z863),2,IF(lenb(SUBSTITUTE($Z863,V$1&amp;" (3)",""))&lt;lenb($Z863),3,IF(lenb(SUBSTITUTE($Z863,V$1&amp;" (4)",""))&lt;lenb($Z863),4,IF(lenb(SUBSTITUTE($Z863,V$1&amp;" (5)",""))&lt;lenb($Z863),5,IF(lenb(SUBSTITUTE($Z863,V$1&amp;" (6)",""))&lt;lenb($Z863),6,IF(lenb(SUBSTITUTE($Z863,V$1&amp;" (7)",""))&lt;lenb($Z863),1,IF(lenb(SUBSTITUTE($Z863,V$1&amp;" (8)",""))&lt;lenb($Z863),8,IF(lenb(SUBSTITUTE($Z863,V$1&amp;" (9)",""))&lt;lenb($Z863),9,IF(lenb(SUBSTITUTE($Z863,V$1&amp;" (10)",""))&lt;lenb($Z863),10,IF(lenb(SUBSTITUTE($Z863,V$1,""))&lt;lenb($Z863),"ERROR",IF($Z863=$Y$1,"-",0))))))))))))</f>
        <v>1</v>
      </c>
      <c r="W863" s="52">
        <f t="shared" si="869"/>
        <v>0</v>
      </c>
      <c r="X863" s="52">
        <f t="shared" si="869"/>
        <v>0</v>
      </c>
      <c r="Y863" s="52" t="str">
        <f t="shared" si="3"/>
        <v>-</v>
      </c>
      <c r="Z863" s="52" t="s">
        <v>62</v>
      </c>
      <c r="AA863" s="53">
        <f t="shared" si="4"/>
        <v>1</v>
      </c>
      <c r="AB863" s="54">
        <f>COUNTIFS(Links!B:B,"ICSE",Links!C:C,A863,Links!AD:AD,1)</f>
        <v>0</v>
      </c>
      <c r="AC863" s="55" t="s">
        <v>35</v>
      </c>
      <c r="AD863" s="47" t="str">
        <f t="shared" si="5"/>
        <v>No</v>
      </c>
      <c r="AE863" s="56" t="s">
        <v>36</v>
      </c>
      <c r="AF863" s="57" t="s">
        <v>42</v>
      </c>
      <c r="AG863" s="57" t="s">
        <v>42</v>
      </c>
      <c r="AH863" s="57" t="s">
        <v>42</v>
      </c>
      <c r="AI863" s="49" t="str">
        <f t="shared" si="661"/>
        <v>----</v>
      </c>
      <c r="AJ863" s="58" t="str">
        <f t="shared" si="7"/>
        <v>Paper has link but no statement</v>
      </c>
      <c r="AK863" s="59">
        <v>44869.0</v>
      </c>
      <c r="AL863" s="43" t="s">
        <v>43</v>
      </c>
      <c r="AM863" s="60" t="str">
        <f t="shared" si="8"/>
        <v>[IP0030]</v>
      </c>
    </row>
    <row r="864" ht="67.5" customHeight="1">
      <c r="A864" s="21">
        <v>31.0</v>
      </c>
      <c r="B864" s="22" t="s">
        <v>2334</v>
      </c>
      <c r="C864" s="23">
        <v>2022.0</v>
      </c>
      <c r="D864" s="24" t="s">
        <v>35</v>
      </c>
      <c r="E864" s="25" t="s">
        <v>36</v>
      </c>
      <c r="F864" s="25" t="s">
        <v>36</v>
      </c>
      <c r="G864" s="25" t="s">
        <v>36</v>
      </c>
      <c r="H864" s="25" t="s">
        <v>36</v>
      </c>
      <c r="I864" s="25" t="s">
        <v>36</v>
      </c>
      <c r="J864" s="26" t="s">
        <v>36</v>
      </c>
      <c r="K864" s="27" t="s">
        <v>37</v>
      </c>
      <c r="L864" s="70" t="s">
        <v>35</v>
      </c>
      <c r="M864" s="70" t="s">
        <v>37</v>
      </c>
      <c r="N864" s="70" t="s">
        <v>35</v>
      </c>
      <c r="O864" s="70" t="s">
        <v>35</v>
      </c>
      <c r="P864" s="70" t="s">
        <v>35</v>
      </c>
      <c r="Q864" s="70" t="s">
        <v>37</v>
      </c>
      <c r="R864" s="70" t="s">
        <v>35</v>
      </c>
      <c r="S864" s="37" t="s">
        <v>2335</v>
      </c>
      <c r="T864" s="30" t="s">
        <v>2336</v>
      </c>
      <c r="U864" s="31" t="s">
        <v>2337</v>
      </c>
      <c r="V864" s="32">
        <f t="shared" ref="V864:X864" si="870">IF(lenb(SUBSTITUTE($Z864,V$1&amp;" (1)",""))&lt;lenb($Z864),1,IF(lenb(SUBSTITUTE($Z864,V$1&amp;" (2)",""))&lt;lenb($Z864),2,IF(lenb(SUBSTITUTE($Z864,V$1&amp;" (3)",""))&lt;lenb($Z864),3,IF(lenb(SUBSTITUTE($Z864,V$1&amp;" (4)",""))&lt;lenb($Z864),4,IF(lenb(SUBSTITUTE($Z864,V$1&amp;" (5)",""))&lt;lenb($Z864),5,IF(lenb(SUBSTITUTE($Z864,V$1&amp;" (6)",""))&lt;lenb($Z864),6,IF(lenb(SUBSTITUTE($Z864,V$1&amp;" (7)",""))&lt;lenb($Z864),1,IF(lenb(SUBSTITUTE($Z864,V$1&amp;" (8)",""))&lt;lenb($Z864),8,IF(lenb(SUBSTITUTE($Z864,V$1&amp;" (9)",""))&lt;lenb($Z864),9,IF(lenb(SUBSTITUTE($Z864,V$1&amp;" (10)",""))&lt;lenb($Z864),10,IF(lenb(SUBSTITUTE($Z864,V$1,""))&lt;lenb($Z864),"ERROR",IF($Z864=$Y$1,"-",0))))))))))))</f>
        <v>1</v>
      </c>
      <c r="W864" s="32">
        <f t="shared" si="870"/>
        <v>0</v>
      </c>
      <c r="X864" s="32">
        <f t="shared" si="870"/>
        <v>0</v>
      </c>
      <c r="Y864" s="32" t="str">
        <f t="shared" si="3"/>
        <v>-</v>
      </c>
      <c r="Z864" s="32" t="s">
        <v>62</v>
      </c>
      <c r="AA864" s="33">
        <f t="shared" si="4"/>
        <v>1</v>
      </c>
      <c r="AB864" s="34">
        <f>COUNTIFS(Links!B:B,"ICSE",Links!C:C,A864,Links!AD:AD,1)</f>
        <v>0</v>
      </c>
      <c r="AC864" s="35" t="s">
        <v>35</v>
      </c>
      <c r="AD864" s="27" t="str">
        <f t="shared" si="5"/>
        <v>No</v>
      </c>
      <c r="AE864" s="36" t="s">
        <v>36</v>
      </c>
      <c r="AF864" s="37" t="s">
        <v>42</v>
      </c>
      <c r="AG864" s="37" t="s">
        <v>42</v>
      </c>
      <c r="AH864" s="37" t="s">
        <v>42</v>
      </c>
      <c r="AI864" s="29" t="str">
        <f t="shared" si="661"/>
        <v>----</v>
      </c>
      <c r="AJ864" s="38" t="str">
        <f t="shared" si="7"/>
        <v>Paper has link but no statement</v>
      </c>
      <c r="AK864" s="39">
        <v>44869.0</v>
      </c>
      <c r="AL864" s="23" t="s">
        <v>43</v>
      </c>
      <c r="AM864" s="40" t="str">
        <f t="shared" si="8"/>
        <v>[IP0031]</v>
      </c>
    </row>
    <row r="865" ht="67.5" customHeight="1">
      <c r="A865" s="62">
        <v>32.0</v>
      </c>
      <c r="B865" s="42" t="s">
        <v>2338</v>
      </c>
      <c r="C865" s="43">
        <v>2022.0</v>
      </c>
      <c r="D865" s="44" t="s">
        <v>37</v>
      </c>
      <c r="E865" s="45" t="s">
        <v>37</v>
      </c>
      <c r="F865" s="45" t="s">
        <v>35</v>
      </c>
      <c r="G865" s="45" t="s">
        <v>37</v>
      </c>
      <c r="H865" s="45" t="s">
        <v>35</v>
      </c>
      <c r="I865" s="45" t="s">
        <v>35</v>
      </c>
      <c r="J865" s="46" t="s">
        <v>36</v>
      </c>
      <c r="K865" s="83" t="s">
        <v>37</v>
      </c>
      <c r="L865" s="71" t="s">
        <v>35</v>
      </c>
      <c r="M865" s="71" t="s">
        <v>37</v>
      </c>
      <c r="N865" s="71" t="s">
        <v>37</v>
      </c>
      <c r="O865" s="71" t="s">
        <v>35</v>
      </c>
      <c r="P865" s="71" t="s">
        <v>37</v>
      </c>
      <c r="Q865" s="71" t="s">
        <v>35</v>
      </c>
      <c r="R865" s="71" t="s">
        <v>35</v>
      </c>
      <c r="S865" s="57" t="s">
        <v>2339</v>
      </c>
      <c r="T865" s="50" t="s">
        <v>2340</v>
      </c>
      <c r="U865" s="51" t="s">
        <v>2340</v>
      </c>
      <c r="V865" s="52">
        <f t="shared" ref="V865:X865" si="871">IF(lenb(SUBSTITUTE($Z865,V$1&amp;" (1)",""))&lt;lenb($Z865),1,IF(lenb(SUBSTITUTE($Z865,V$1&amp;" (2)",""))&lt;lenb($Z865),2,IF(lenb(SUBSTITUTE($Z865,V$1&amp;" (3)",""))&lt;lenb($Z865),3,IF(lenb(SUBSTITUTE($Z865,V$1&amp;" (4)",""))&lt;lenb($Z865),4,IF(lenb(SUBSTITUTE($Z865,V$1&amp;" (5)",""))&lt;lenb($Z865),5,IF(lenb(SUBSTITUTE($Z865,V$1&amp;" (6)",""))&lt;lenb($Z865),6,IF(lenb(SUBSTITUTE($Z865,V$1&amp;" (7)",""))&lt;lenb($Z865),1,IF(lenb(SUBSTITUTE($Z865,V$1&amp;" (8)",""))&lt;lenb($Z865),8,IF(lenb(SUBSTITUTE($Z865,V$1&amp;" (9)",""))&lt;lenb($Z865),9,IF(lenb(SUBSTITUTE($Z865,V$1&amp;" (10)",""))&lt;lenb($Z865),10,IF(lenb(SUBSTITUTE($Z865,V$1,""))&lt;lenb($Z865),"ERROR",IF($Z865=$Y$1,"-",0))))))))))))</f>
        <v>1</v>
      </c>
      <c r="W865" s="52">
        <f t="shared" si="871"/>
        <v>0</v>
      </c>
      <c r="X865" s="52">
        <f t="shared" si="871"/>
        <v>0</v>
      </c>
      <c r="Y865" s="52" t="str">
        <f t="shared" si="3"/>
        <v>-</v>
      </c>
      <c r="Z865" s="52" t="s">
        <v>62</v>
      </c>
      <c r="AA865" s="53">
        <f t="shared" si="4"/>
        <v>1</v>
      </c>
      <c r="AB865" s="54">
        <f>COUNTIFS(Links!B:B,"ICSE",Links!C:C,A865,Links!AD:AD,1)</f>
        <v>0</v>
      </c>
      <c r="AC865" s="55" t="s">
        <v>35</v>
      </c>
      <c r="AD865" s="47" t="str">
        <f t="shared" si="5"/>
        <v>No</v>
      </c>
      <c r="AE865" s="56" t="s">
        <v>36</v>
      </c>
      <c r="AF865" s="57" t="s">
        <v>42</v>
      </c>
      <c r="AG865" s="57" t="s">
        <v>42</v>
      </c>
      <c r="AH865" s="57" t="s">
        <v>42</v>
      </c>
      <c r="AI865" s="49" t="str">
        <f t="shared" si="661"/>
        <v>----</v>
      </c>
      <c r="AJ865" s="58" t="str">
        <f t="shared" si="7"/>
        <v>Paper has link but no statement</v>
      </c>
      <c r="AK865" s="59">
        <v>44869.0</v>
      </c>
      <c r="AL865" s="43" t="s">
        <v>43</v>
      </c>
      <c r="AM865" s="60" t="str">
        <f t="shared" si="8"/>
        <v>[IP0032]</v>
      </c>
    </row>
    <row r="866" ht="67.5" customHeight="1">
      <c r="A866" s="61">
        <v>33.0</v>
      </c>
      <c r="B866" s="22" t="s">
        <v>2341</v>
      </c>
      <c r="C866" s="23">
        <v>2022.0</v>
      </c>
      <c r="D866" s="24" t="s">
        <v>35</v>
      </c>
      <c r="E866" s="25" t="s">
        <v>36</v>
      </c>
      <c r="F866" s="25" t="s">
        <v>36</v>
      </c>
      <c r="G866" s="25" t="s">
        <v>36</v>
      </c>
      <c r="H866" s="25" t="s">
        <v>36</v>
      </c>
      <c r="I866" s="25" t="s">
        <v>36</v>
      </c>
      <c r="J866" s="26" t="s">
        <v>36</v>
      </c>
      <c r="K866" s="82" t="s">
        <v>37</v>
      </c>
      <c r="L866" s="70" t="s">
        <v>35</v>
      </c>
      <c r="M866" s="70" t="s">
        <v>35</v>
      </c>
      <c r="N866" s="70" t="s">
        <v>37</v>
      </c>
      <c r="O866" s="70" t="s">
        <v>35</v>
      </c>
      <c r="P866" s="70" t="s">
        <v>35</v>
      </c>
      <c r="Q866" s="70" t="s">
        <v>35</v>
      </c>
      <c r="R866" s="70" t="s">
        <v>35</v>
      </c>
      <c r="S866" s="37" t="s">
        <v>944</v>
      </c>
      <c r="T866" s="30" t="s">
        <v>2342</v>
      </c>
      <c r="U866" s="31" t="s">
        <v>2342</v>
      </c>
      <c r="V866" s="32">
        <f t="shared" ref="V866:X866" si="872">IF(lenb(SUBSTITUTE($Z866,V$1&amp;" (1)",""))&lt;lenb($Z866),1,IF(lenb(SUBSTITUTE($Z866,V$1&amp;" (2)",""))&lt;lenb($Z866),2,IF(lenb(SUBSTITUTE($Z866,V$1&amp;" (3)",""))&lt;lenb($Z866),3,IF(lenb(SUBSTITUTE($Z866,V$1&amp;" (4)",""))&lt;lenb($Z866),4,IF(lenb(SUBSTITUTE($Z866,V$1&amp;" (5)",""))&lt;lenb($Z866),5,IF(lenb(SUBSTITUTE($Z866,V$1&amp;" (6)",""))&lt;lenb($Z866),6,IF(lenb(SUBSTITUTE($Z866,V$1&amp;" (7)",""))&lt;lenb($Z866),1,IF(lenb(SUBSTITUTE($Z866,V$1&amp;" (8)",""))&lt;lenb($Z866),8,IF(lenb(SUBSTITUTE($Z866,V$1&amp;" (9)",""))&lt;lenb($Z866),9,IF(lenb(SUBSTITUTE($Z866,V$1&amp;" (10)",""))&lt;lenb($Z866),10,IF(lenb(SUBSTITUTE($Z866,V$1,""))&lt;lenb($Z866),"ERROR",IF($Z866=$Y$1,"-",0))))))))))))</f>
        <v>1</v>
      </c>
      <c r="W866" s="32">
        <f t="shared" si="872"/>
        <v>0</v>
      </c>
      <c r="X866" s="32">
        <f t="shared" si="872"/>
        <v>0</v>
      </c>
      <c r="Y866" s="32" t="str">
        <f t="shared" si="3"/>
        <v>-</v>
      </c>
      <c r="Z866" s="32" t="s">
        <v>62</v>
      </c>
      <c r="AA866" s="33">
        <f t="shared" si="4"/>
        <v>1</v>
      </c>
      <c r="AB866" s="34">
        <f>COUNTIFS(Links!B:B,"ICSE",Links!C:C,A866,Links!AD:AD,1)</f>
        <v>0</v>
      </c>
      <c r="AC866" s="35" t="s">
        <v>35</v>
      </c>
      <c r="AD866" s="27" t="str">
        <f t="shared" si="5"/>
        <v>No</v>
      </c>
      <c r="AE866" s="36" t="s">
        <v>36</v>
      </c>
      <c r="AF866" s="37" t="s">
        <v>42</v>
      </c>
      <c r="AG866" s="37" t="s">
        <v>42</v>
      </c>
      <c r="AH866" s="37" t="s">
        <v>42</v>
      </c>
      <c r="AI866" s="29" t="str">
        <f t="shared" si="661"/>
        <v>----</v>
      </c>
      <c r="AJ866" s="38" t="str">
        <f t="shared" si="7"/>
        <v>Paper has link but no statement</v>
      </c>
      <c r="AK866" s="39">
        <v>44869.0</v>
      </c>
      <c r="AL866" s="23" t="s">
        <v>43</v>
      </c>
      <c r="AM866" s="40" t="str">
        <f t="shared" si="8"/>
        <v>[IP0033]</v>
      </c>
    </row>
    <row r="867" ht="67.5" customHeight="1">
      <c r="A867" s="41">
        <v>34.0</v>
      </c>
      <c r="B867" s="42" t="s">
        <v>2343</v>
      </c>
      <c r="C867" s="43">
        <v>2022.0</v>
      </c>
      <c r="D867" s="44" t="s">
        <v>35</v>
      </c>
      <c r="E867" s="45" t="s">
        <v>36</v>
      </c>
      <c r="F867" s="45" t="s">
        <v>36</v>
      </c>
      <c r="G867" s="45" t="s">
        <v>36</v>
      </c>
      <c r="H867" s="45" t="s">
        <v>36</v>
      </c>
      <c r="I867" s="45" t="s">
        <v>36</v>
      </c>
      <c r="J867" s="46" t="s">
        <v>36</v>
      </c>
      <c r="K867" s="83" t="s">
        <v>37</v>
      </c>
      <c r="L867" s="71" t="s">
        <v>37</v>
      </c>
      <c r="M867" s="71" t="s">
        <v>35</v>
      </c>
      <c r="N867" s="71" t="s">
        <v>37</v>
      </c>
      <c r="O867" s="71" t="s">
        <v>35</v>
      </c>
      <c r="P867" s="71" t="s">
        <v>35</v>
      </c>
      <c r="Q867" s="71" t="s">
        <v>35</v>
      </c>
      <c r="R867" s="71" t="s">
        <v>35</v>
      </c>
      <c r="S867" s="57" t="s">
        <v>1093</v>
      </c>
      <c r="T867" s="50" t="s">
        <v>2344</v>
      </c>
      <c r="U867" s="51" t="s">
        <v>2344</v>
      </c>
      <c r="V867" s="52">
        <f t="shared" ref="V867:X867" si="873">IF(lenb(SUBSTITUTE($Z867,V$1&amp;" (1)",""))&lt;lenb($Z867),1,IF(lenb(SUBSTITUTE($Z867,V$1&amp;" (2)",""))&lt;lenb($Z867),2,IF(lenb(SUBSTITUTE($Z867,V$1&amp;" (3)",""))&lt;lenb($Z867),3,IF(lenb(SUBSTITUTE($Z867,V$1&amp;" (4)",""))&lt;lenb($Z867),4,IF(lenb(SUBSTITUTE($Z867,V$1&amp;" (5)",""))&lt;lenb($Z867),5,IF(lenb(SUBSTITUTE($Z867,V$1&amp;" (6)",""))&lt;lenb($Z867),6,IF(lenb(SUBSTITUTE($Z867,V$1&amp;" (7)",""))&lt;lenb($Z867),1,IF(lenb(SUBSTITUTE($Z867,V$1&amp;" (8)",""))&lt;lenb($Z867),8,IF(lenb(SUBSTITUTE($Z867,V$1&amp;" (9)",""))&lt;lenb($Z867),9,IF(lenb(SUBSTITUTE($Z867,V$1&amp;" (10)",""))&lt;lenb($Z867),10,IF(lenb(SUBSTITUTE($Z867,V$1,""))&lt;lenb($Z867),"ERROR",IF($Z867=$Y$1,"-",0))))))))))))</f>
        <v>1</v>
      </c>
      <c r="W867" s="52">
        <f t="shared" si="873"/>
        <v>0</v>
      </c>
      <c r="X867" s="52">
        <f t="shared" si="873"/>
        <v>0</v>
      </c>
      <c r="Y867" s="52" t="str">
        <f t="shared" si="3"/>
        <v>-</v>
      </c>
      <c r="Z867" s="52" t="s">
        <v>62</v>
      </c>
      <c r="AA867" s="53">
        <f t="shared" si="4"/>
        <v>1</v>
      </c>
      <c r="AB867" s="54">
        <f>COUNTIFS(Links!B:B,"ICSE",Links!C:C,A867,Links!AD:AD,1)</f>
        <v>0</v>
      </c>
      <c r="AC867" s="55" t="s">
        <v>35</v>
      </c>
      <c r="AD867" s="47" t="str">
        <f t="shared" si="5"/>
        <v>No</v>
      </c>
      <c r="AE867" s="56" t="s">
        <v>36</v>
      </c>
      <c r="AF867" s="57" t="s">
        <v>42</v>
      </c>
      <c r="AG867" s="57" t="s">
        <v>42</v>
      </c>
      <c r="AH867" s="57" t="s">
        <v>42</v>
      </c>
      <c r="AI867" s="49" t="str">
        <f t="shared" si="661"/>
        <v>----</v>
      </c>
      <c r="AJ867" s="58" t="str">
        <f t="shared" si="7"/>
        <v>Paper has link but no statement</v>
      </c>
      <c r="AK867" s="59">
        <v>44869.0</v>
      </c>
      <c r="AL867" s="43" t="s">
        <v>43</v>
      </c>
      <c r="AM867" s="60" t="str">
        <f t="shared" si="8"/>
        <v>[IP0034]</v>
      </c>
    </row>
    <row r="868" ht="67.5" customHeight="1">
      <c r="A868" s="61">
        <v>35.0</v>
      </c>
      <c r="B868" s="22" t="s">
        <v>2345</v>
      </c>
      <c r="C868" s="23">
        <v>2022.0</v>
      </c>
      <c r="D868" s="24" t="s">
        <v>35</v>
      </c>
      <c r="E868" s="25" t="s">
        <v>36</v>
      </c>
      <c r="F868" s="25" t="s">
        <v>36</v>
      </c>
      <c r="G868" s="25" t="s">
        <v>36</v>
      </c>
      <c r="H868" s="25" t="s">
        <v>36</v>
      </c>
      <c r="I868" s="25" t="s">
        <v>36</v>
      </c>
      <c r="J868" s="26" t="s">
        <v>36</v>
      </c>
      <c r="K868" s="82" t="s">
        <v>37</v>
      </c>
      <c r="L868" s="70" t="s">
        <v>37</v>
      </c>
      <c r="M868" s="70" t="s">
        <v>35</v>
      </c>
      <c r="N868" s="70" t="s">
        <v>37</v>
      </c>
      <c r="O868" s="70" t="s">
        <v>35</v>
      </c>
      <c r="P868" s="70" t="s">
        <v>35</v>
      </c>
      <c r="Q868" s="70" t="s">
        <v>35</v>
      </c>
      <c r="R868" s="70" t="s">
        <v>35</v>
      </c>
      <c r="S868" s="37" t="s">
        <v>1057</v>
      </c>
      <c r="T868" s="30" t="s">
        <v>2346</v>
      </c>
      <c r="U868" s="31" t="s">
        <v>2346</v>
      </c>
      <c r="V868" s="32">
        <f t="shared" ref="V868:X868" si="874">IF(lenb(SUBSTITUTE($Z868,V$1&amp;" (1)",""))&lt;lenb($Z868),1,IF(lenb(SUBSTITUTE($Z868,V$1&amp;" (2)",""))&lt;lenb($Z868),2,IF(lenb(SUBSTITUTE($Z868,V$1&amp;" (3)",""))&lt;lenb($Z868),3,IF(lenb(SUBSTITUTE($Z868,V$1&amp;" (4)",""))&lt;lenb($Z868),4,IF(lenb(SUBSTITUTE($Z868,V$1&amp;" (5)",""))&lt;lenb($Z868),5,IF(lenb(SUBSTITUTE($Z868,V$1&amp;" (6)",""))&lt;lenb($Z868),6,IF(lenb(SUBSTITUTE($Z868,V$1&amp;" (7)",""))&lt;lenb($Z868),1,IF(lenb(SUBSTITUTE($Z868,V$1&amp;" (8)",""))&lt;lenb($Z868),8,IF(lenb(SUBSTITUTE($Z868,V$1&amp;" (9)",""))&lt;lenb($Z868),9,IF(lenb(SUBSTITUTE($Z868,V$1&amp;" (10)",""))&lt;lenb($Z868),10,IF(lenb(SUBSTITUTE($Z868,V$1,""))&lt;lenb($Z868),"ERROR",IF($Z868=$Y$1,"-",0))))))))))))</f>
        <v>1</v>
      </c>
      <c r="W868" s="32">
        <f t="shared" si="874"/>
        <v>0</v>
      </c>
      <c r="X868" s="32">
        <f t="shared" si="874"/>
        <v>0</v>
      </c>
      <c r="Y868" s="32" t="str">
        <f t="shared" si="3"/>
        <v>-</v>
      </c>
      <c r="Z868" s="32" t="s">
        <v>62</v>
      </c>
      <c r="AA868" s="33">
        <f t="shared" si="4"/>
        <v>1</v>
      </c>
      <c r="AB868" s="34">
        <f>COUNTIFS(Links!B:B,"ICSE",Links!C:C,A868,Links!AD:AD,1)</f>
        <v>0</v>
      </c>
      <c r="AC868" s="35" t="s">
        <v>35</v>
      </c>
      <c r="AD868" s="27" t="str">
        <f t="shared" si="5"/>
        <v>No</v>
      </c>
      <c r="AE868" s="36" t="s">
        <v>36</v>
      </c>
      <c r="AF868" s="37" t="s">
        <v>42</v>
      </c>
      <c r="AG868" s="37" t="s">
        <v>42</v>
      </c>
      <c r="AH868" s="37" t="s">
        <v>42</v>
      </c>
      <c r="AI868" s="29" t="str">
        <f t="shared" si="661"/>
        <v>----</v>
      </c>
      <c r="AJ868" s="38" t="str">
        <f t="shared" si="7"/>
        <v>Paper has link but no statement</v>
      </c>
      <c r="AK868" s="39">
        <v>44869.0</v>
      </c>
      <c r="AL868" s="23" t="s">
        <v>43</v>
      </c>
      <c r="AM868" s="40" t="str">
        <f t="shared" si="8"/>
        <v>[IP0035]</v>
      </c>
    </row>
    <row r="869" ht="67.5" customHeight="1">
      <c r="A869" s="41">
        <v>36.0</v>
      </c>
      <c r="B869" s="42" t="s">
        <v>2347</v>
      </c>
      <c r="C869" s="43">
        <v>2022.0</v>
      </c>
      <c r="D869" s="44" t="s">
        <v>37</v>
      </c>
      <c r="E869" s="45" t="s">
        <v>37</v>
      </c>
      <c r="F869" s="45" t="s">
        <v>35</v>
      </c>
      <c r="G869" s="45" t="s">
        <v>37</v>
      </c>
      <c r="H869" s="45" t="s">
        <v>35</v>
      </c>
      <c r="I869" s="45" t="s">
        <v>35</v>
      </c>
      <c r="J869" s="46" t="s">
        <v>36</v>
      </c>
      <c r="K869" s="83" t="s">
        <v>37</v>
      </c>
      <c r="L869" s="71" t="s">
        <v>35</v>
      </c>
      <c r="M869" s="71" t="s">
        <v>37</v>
      </c>
      <c r="N869" s="71" t="s">
        <v>37</v>
      </c>
      <c r="O869" s="71" t="s">
        <v>35</v>
      </c>
      <c r="P869" s="71" t="s">
        <v>35</v>
      </c>
      <c r="Q869" s="71" t="s">
        <v>35</v>
      </c>
      <c r="R869" s="71" t="s">
        <v>35</v>
      </c>
      <c r="S869" s="57" t="s">
        <v>2348</v>
      </c>
      <c r="T869" s="50" t="s">
        <v>2349</v>
      </c>
      <c r="U869" s="51" t="s">
        <v>2349</v>
      </c>
      <c r="V869" s="52">
        <f t="shared" ref="V869:X869" si="875">IF(lenb(SUBSTITUTE($Z869,V$1&amp;" (1)",""))&lt;lenb($Z869),1,IF(lenb(SUBSTITUTE($Z869,V$1&amp;" (2)",""))&lt;lenb($Z869),2,IF(lenb(SUBSTITUTE($Z869,V$1&amp;" (3)",""))&lt;lenb($Z869),3,IF(lenb(SUBSTITUTE($Z869,V$1&amp;" (4)",""))&lt;lenb($Z869),4,IF(lenb(SUBSTITUTE($Z869,V$1&amp;" (5)",""))&lt;lenb($Z869),5,IF(lenb(SUBSTITUTE($Z869,V$1&amp;" (6)",""))&lt;lenb($Z869),6,IF(lenb(SUBSTITUTE($Z869,V$1&amp;" (7)",""))&lt;lenb($Z869),1,IF(lenb(SUBSTITUTE($Z869,V$1&amp;" (8)",""))&lt;lenb($Z869),8,IF(lenb(SUBSTITUTE($Z869,V$1&amp;" (9)",""))&lt;lenb($Z869),9,IF(lenb(SUBSTITUTE($Z869,V$1&amp;" (10)",""))&lt;lenb($Z869),10,IF(lenb(SUBSTITUTE($Z869,V$1,""))&lt;lenb($Z869),"ERROR",IF($Z869=$Y$1,"-",0))))))))))))</f>
        <v>1</v>
      </c>
      <c r="W869" s="52">
        <f t="shared" si="875"/>
        <v>0</v>
      </c>
      <c r="X869" s="52">
        <f t="shared" si="875"/>
        <v>0</v>
      </c>
      <c r="Y869" s="52" t="str">
        <f t="shared" si="3"/>
        <v>-</v>
      </c>
      <c r="Z869" s="52" t="s">
        <v>62</v>
      </c>
      <c r="AA869" s="53">
        <f t="shared" si="4"/>
        <v>1</v>
      </c>
      <c r="AB869" s="54">
        <f>COUNTIFS(Links!B:B,"ICSE",Links!C:C,A869,Links!AD:AD,1)</f>
        <v>0</v>
      </c>
      <c r="AC869" s="55" t="s">
        <v>35</v>
      </c>
      <c r="AD869" s="47" t="str">
        <f t="shared" si="5"/>
        <v>No</v>
      </c>
      <c r="AE869" s="56" t="s">
        <v>36</v>
      </c>
      <c r="AF869" s="57" t="s">
        <v>42</v>
      </c>
      <c r="AG869" s="57" t="s">
        <v>42</v>
      </c>
      <c r="AH869" s="57" t="s">
        <v>42</v>
      </c>
      <c r="AI869" s="49" t="str">
        <f t="shared" si="661"/>
        <v>----</v>
      </c>
      <c r="AJ869" s="58" t="str">
        <f t="shared" si="7"/>
        <v>Paper has link but no statement</v>
      </c>
      <c r="AK869" s="59">
        <v>44869.0</v>
      </c>
      <c r="AL869" s="43" t="s">
        <v>43</v>
      </c>
      <c r="AM869" s="60" t="str">
        <f t="shared" si="8"/>
        <v>[IP0036]</v>
      </c>
    </row>
    <row r="870" ht="67.5" customHeight="1">
      <c r="A870" s="61">
        <v>37.0</v>
      </c>
      <c r="B870" s="22" t="s">
        <v>2350</v>
      </c>
      <c r="C870" s="23">
        <v>2022.0</v>
      </c>
      <c r="D870" s="24" t="s">
        <v>35</v>
      </c>
      <c r="E870" s="25" t="s">
        <v>36</v>
      </c>
      <c r="F870" s="25" t="s">
        <v>36</v>
      </c>
      <c r="G870" s="25" t="s">
        <v>36</v>
      </c>
      <c r="H870" s="25" t="s">
        <v>36</v>
      </c>
      <c r="I870" s="25" t="s">
        <v>36</v>
      </c>
      <c r="J870" s="26" t="s">
        <v>36</v>
      </c>
      <c r="K870" s="82" t="s">
        <v>37</v>
      </c>
      <c r="L870" s="70" t="s">
        <v>35</v>
      </c>
      <c r="M870" s="70" t="s">
        <v>37</v>
      </c>
      <c r="N870" s="70" t="s">
        <v>35</v>
      </c>
      <c r="O870" s="70" t="s">
        <v>35</v>
      </c>
      <c r="P870" s="70" t="s">
        <v>35</v>
      </c>
      <c r="Q870" s="70" t="s">
        <v>35</v>
      </c>
      <c r="R870" s="70" t="s">
        <v>37</v>
      </c>
      <c r="S870" s="37" t="s">
        <v>2351</v>
      </c>
      <c r="T870" s="30" t="s">
        <v>2352</v>
      </c>
      <c r="U870" s="31" t="s">
        <v>2353</v>
      </c>
      <c r="V870" s="32">
        <f t="shared" ref="V870:X870" si="876">IF(lenb(SUBSTITUTE($Z870,V$1&amp;" (1)",""))&lt;lenb($Z870),1,IF(lenb(SUBSTITUTE($Z870,V$1&amp;" (2)",""))&lt;lenb($Z870),2,IF(lenb(SUBSTITUTE($Z870,V$1&amp;" (3)",""))&lt;lenb($Z870),3,IF(lenb(SUBSTITUTE($Z870,V$1&amp;" (4)",""))&lt;lenb($Z870),4,IF(lenb(SUBSTITUTE($Z870,V$1&amp;" (5)",""))&lt;lenb($Z870),5,IF(lenb(SUBSTITUTE($Z870,V$1&amp;" (6)",""))&lt;lenb($Z870),6,IF(lenb(SUBSTITUTE($Z870,V$1&amp;" (7)",""))&lt;lenb($Z870),1,IF(lenb(SUBSTITUTE($Z870,V$1&amp;" (8)",""))&lt;lenb($Z870),8,IF(lenb(SUBSTITUTE($Z870,V$1&amp;" (9)",""))&lt;lenb($Z870),9,IF(lenb(SUBSTITUTE($Z870,V$1&amp;" (10)",""))&lt;lenb($Z870),10,IF(lenb(SUBSTITUTE($Z870,V$1,""))&lt;lenb($Z870),"ERROR",IF($Z870=$Y$1,"-",0))))))))))))</f>
        <v>1</v>
      </c>
      <c r="W870" s="32">
        <f t="shared" si="876"/>
        <v>0</v>
      </c>
      <c r="X870" s="32">
        <f t="shared" si="876"/>
        <v>0</v>
      </c>
      <c r="Y870" s="32" t="str">
        <f t="shared" si="3"/>
        <v>-</v>
      </c>
      <c r="Z870" s="32" t="s">
        <v>62</v>
      </c>
      <c r="AA870" s="33">
        <f t="shared" si="4"/>
        <v>1</v>
      </c>
      <c r="AB870" s="34">
        <f>COUNTIFS(Links!B:B,"ICSE",Links!C:C,A870,Links!AD:AD,1)</f>
        <v>0</v>
      </c>
      <c r="AC870" s="35" t="s">
        <v>37</v>
      </c>
      <c r="AD870" s="27" t="str">
        <f t="shared" si="5"/>
        <v>No</v>
      </c>
      <c r="AE870" s="36" t="s">
        <v>36</v>
      </c>
      <c r="AF870" s="37" t="s">
        <v>42</v>
      </c>
      <c r="AG870" s="37" t="s">
        <v>42</v>
      </c>
      <c r="AH870" s="37" t="s">
        <v>42</v>
      </c>
      <c r="AI870" s="29" t="str">
        <f t="shared" si="661"/>
        <v>----</v>
      </c>
      <c r="AJ870" s="38" t="str">
        <f t="shared" si="7"/>
        <v>Paper has link but no statement</v>
      </c>
      <c r="AK870" s="39">
        <v>44869.0</v>
      </c>
      <c r="AL870" s="23" t="s">
        <v>43</v>
      </c>
      <c r="AM870" s="40" t="str">
        <f t="shared" si="8"/>
        <v>[IP0037]</v>
      </c>
    </row>
    <row r="871" ht="67.5" customHeight="1">
      <c r="A871" s="41">
        <v>38.0</v>
      </c>
      <c r="B871" s="42" t="s">
        <v>2354</v>
      </c>
      <c r="C871" s="43">
        <v>2022.0</v>
      </c>
      <c r="D871" s="44" t="s">
        <v>37</v>
      </c>
      <c r="E871" s="45" t="s">
        <v>37</v>
      </c>
      <c r="F871" s="45" t="s">
        <v>35</v>
      </c>
      <c r="G871" s="45" t="s">
        <v>37</v>
      </c>
      <c r="H871" s="45" t="s">
        <v>35</v>
      </c>
      <c r="I871" s="45" t="s">
        <v>35</v>
      </c>
      <c r="J871" s="46" t="s">
        <v>36</v>
      </c>
      <c r="K871" s="83" t="s">
        <v>37</v>
      </c>
      <c r="L871" s="71" t="s">
        <v>37</v>
      </c>
      <c r="M871" s="71" t="s">
        <v>35</v>
      </c>
      <c r="N871" s="71" t="s">
        <v>37</v>
      </c>
      <c r="O871" s="71" t="s">
        <v>37</v>
      </c>
      <c r="P871" s="71" t="s">
        <v>35</v>
      </c>
      <c r="Q871" s="71" t="s">
        <v>35</v>
      </c>
      <c r="R871" s="71" t="s">
        <v>35</v>
      </c>
      <c r="S871" s="57" t="s">
        <v>2355</v>
      </c>
      <c r="T871" s="50" t="s">
        <v>2356</v>
      </c>
      <c r="U871" s="51" t="s">
        <v>2357</v>
      </c>
      <c r="V871" s="52">
        <f t="shared" ref="V871:X871" si="877">IF(lenb(SUBSTITUTE($Z871,V$1&amp;" (1)",""))&lt;lenb($Z871),1,IF(lenb(SUBSTITUTE($Z871,V$1&amp;" (2)",""))&lt;lenb($Z871),2,IF(lenb(SUBSTITUTE($Z871,V$1&amp;" (3)",""))&lt;lenb($Z871),3,IF(lenb(SUBSTITUTE($Z871,V$1&amp;" (4)",""))&lt;lenb($Z871),4,IF(lenb(SUBSTITUTE($Z871,V$1&amp;" (5)",""))&lt;lenb($Z871),5,IF(lenb(SUBSTITUTE($Z871,V$1&amp;" (6)",""))&lt;lenb($Z871),6,IF(lenb(SUBSTITUTE($Z871,V$1&amp;" (7)",""))&lt;lenb($Z871),1,IF(lenb(SUBSTITUTE($Z871,V$1&amp;" (8)",""))&lt;lenb($Z871),8,IF(lenb(SUBSTITUTE($Z871,V$1&amp;" (9)",""))&lt;lenb($Z871),9,IF(lenb(SUBSTITUTE($Z871,V$1&amp;" (10)",""))&lt;lenb($Z871),10,IF(lenb(SUBSTITUTE($Z871,V$1,""))&lt;lenb($Z871),"ERROR",IF($Z871=$Y$1,"-",0))))))))))))</f>
        <v>2</v>
      </c>
      <c r="W871" s="52">
        <f t="shared" si="877"/>
        <v>0</v>
      </c>
      <c r="X871" s="52">
        <f t="shared" si="877"/>
        <v>0</v>
      </c>
      <c r="Y871" s="52" t="str">
        <f t="shared" si="3"/>
        <v>-</v>
      </c>
      <c r="Z871" s="52" t="s">
        <v>57</v>
      </c>
      <c r="AA871" s="53">
        <f t="shared" si="4"/>
        <v>2</v>
      </c>
      <c r="AB871" s="54">
        <f>COUNTIFS(Links!B:B,"ICSE",Links!C:C,A871,Links!AD:AD,1)</f>
        <v>0</v>
      </c>
      <c r="AC871" s="55" t="s">
        <v>37</v>
      </c>
      <c r="AD871" s="47" t="str">
        <f t="shared" si="5"/>
        <v>No</v>
      </c>
      <c r="AE871" s="56" t="s">
        <v>36</v>
      </c>
      <c r="AF871" s="57" t="s">
        <v>42</v>
      </c>
      <c r="AG871" s="57" t="s">
        <v>42</v>
      </c>
      <c r="AH871" s="57" t="s">
        <v>42</v>
      </c>
      <c r="AI871" s="49" t="str">
        <f t="shared" si="661"/>
        <v>----</v>
      </c>
      <c r="AJ871" s="58" t="str">
        <f t="shared" si="7"/>
        <v>Paper has link but no statement</v>
      </c>
      <c r="AK871" s="59">
        <v>44869.0</v>
      </c>
      <c r="AL871" s="43" t="s">
        <v>43</v>
      </c>
      <c r="AM871" s="60" t="str">
        <f t="shared" si="8"/>
        <v>[IP0038]</v>
      </c>
    </row>
    <row r="872" ht="67.5" customHeight="1">
      <c r="A872" s="61">
        <v>39.0</v>
      </c>
      <c r="B872" s="22" t="s">
        <v>2358</v>
      </c>
      <c r="C872" s="23">
        <v>2022.0</v>
      </c>
      <c r="D872" s="24" t="s">
        <v>37</v>
      </c>
      <c r="E872" s="25" t="s">
        <v>37</v>
      </c>
      <c r="F872" s="25" t="s">
        <v>35</v>
      </c>
      <c r="G872" s="25" t="s">
        <v>37</v>
      </c>
      <c r="H872" s="25" t="s">
        <v>35</v>
      </c>
      <c r="I872" s="25" t="s">
        <v>35</v>
      </c>
      <c r="J872" s="26" t="s">
        <v>36</v>
      </c>
      <c r="K872" s="82" t="s">
        <v>37</v>
      </c>
      <c r="L872" s="70" t="s">
        <v>35</v>
      </c>
      <c r="M872" s="70" t="s">
        <v>37</v>
      </c>
      <c r="N872" s="70" t="s">
        <v>37</v>
      </c>
      <c r="O872" s="70" t="s">
        <v>37</v>
      </c>
      <c r="P872" s="70" t="s">
        <v>35</v>
      </c>
      <c r="Q872" s="70" t="s">
        <v>37</v>
      </c>
      <c r="R872" s="70" t="s">
        <v>37</v>
      </c>
      <c r="S872" s="37" t="s">
        <v>2359</v>
      </c>
      <c r="T872" s="30" t="s">
        <v>2360</v>
      </c>
      <c r="U872" s="31" t="s">
        <v>2361</v>
      </c>
      <c r="V872" s="32">
        <f t="shared" ref="V872:X872" si="878">IF(lenb(SUBSTITUTE($Z872,V$1&amp;" (1)",""))&lt;lenb($Z872),1,IF(lenb(SUBSTITUTE($Z872,V$1&amp;" (2)",""))&lt;lenb($Z872),2,IF(lenb(SUBSTITUTE($Z872,V$1&amp;" (3)",""))&lt;lenb($Z872),3,IF(lenb(SUBSTITUTE($Z872,V$1&amp;" (4)",""))&lt;lenb($Z872),4,IF(lenb(SUBSTITUTE($Z872,V$1&amp;" (5)",""))&lt;lenb($Z872),5,IF(lenb(SUBSTITUTE($Z872,V$1&amp;" (6)",""))&lt;lenb($Z872),6,IF(lenb(SUBSTITUTE($Z872,V$1&amp;" (7)",""))&lt;lenb($Z872),1,IF(lenb(SUBSTITUTE($Z872,V$1&amp;" (8)",""))&lt;lenb($Z872),8,IF(lenb(SUBSTITUTE($Z872,V$1&amp;" (9)",""))&lt;lenb($Z872),9,IF(lenb(SUBSTITUTE($Z872,V$1&amp;" (10)",""))&lt;lenb($Z872),10,IF(lenb(SUBSTITUTE($Z872,V$1,""))&lt;lenb($Z872),"ERROR",IF($Z872=$Y$1,"-",0))))))))))))</f>
        <v>2</v>
      </c>
      <c r="W872" s="32">
        <f t="shared" si="878"/>
        <v>0</v>
      </c>
      <c r="X872" s="32">
        <f t="shared" si="878"/>
        <v>0</v>
      </c>
      <c r="Y872" s="32" t="str">
        <f t="shared" si="3"/>
        <v>-</v>
      </c>
      <c r="Z872" s="32" t="s">
        <v>57</v>
      </c>
      <c r="AA872" s="33">
        <f t="shared" si="4"/>
        <v>2</v>
      </c>
      <c r="AB872" s="34">
        <f>COUNTIFS(Links!B:B,"ICSE",Links!C:C,A872,Links!AD:AD,1)</f>
        <v>0</v>
      </c>
      <c r="AC872" s="35" t="s">
        <v>37</v>
      </c>
      <c r="AD872" s="27" t="str">
        <f t="shared" si="5"/>
        <v>No</v>
      </c>
      <c r="AE872" s="36" t="s">
        <v>36</v>
      </c>
      <c r="AF872" s="37" t="s">
        <v>42</v>
      </c>
      <c r="AG872" s="37" t="s">
        <v>42</v>
      </c>
      <c r="AH872" s="37" t="s">
        <v>42</v>
      </c>
      <c r="AI872" s="29" t="str">
        <f t="shared" si="661"/>
        <v>----</v>
      </c>
      <c r="AJ872" s="38" t="str">
        <f t="shared" si="7"/>
        <v>Paper has link but no statement</v>
      </c>
      <c r="AK872" s="39">
        <v>44869.0</v>
      </c>
      <c r="AL872" s="23" t="s">
        <v>43</v>
      </c>
      <c r="AM872" s="40" t="str">
        <f t="shared" si="8"/>
        <v>[IP0039]</v>
      </c>
    </row>
    <row r="873" ht="67.5" customHeight="1">
      <c r="A873" s="41">
        <v>40.0</v>
      </c>
      <c r="B873" s="42" t="s">
        <v>2362</v>
      </c>
      <c r="C873" s="43">
        <v>2022.0</v>
      </c>
      <c r="D873" s="44" t="s">
        <v>35</v>
      </c>
      <c r="E873" s="45" t="s">
        <v>36</v>
      </c>
      <c r="F873" s="45" t="s">
        <v>36</v>
      </c>
      <c r="G873" s="45" t="s">
        <v>36</v>
      </c>
      <c r="H873" s="45" t="s">
        <v>36</v>
      </c>
      <c r="I873" s="45" t="s">
        <v>36</v>
      </c>
      <c r="J873" s="46" t="s">
        <v>36</v>
      </c>
      <c r="K873" s="47" t="s">
        <v>37</v>
      </c>
      <c r="L873" s="71" t="s">
        <v>35</v>
      </c>
      <c r="M873" s="48" t="s">
        <v>35</v>
      </c>
      <c r="N873" s="71" t="s">
        <v>37</v>
      </c>
      <c r="O873" s="71" t="s">
        <v>35</v>
      </c>
      <c r="P873" s="48" t="s">
        <v>35</v>
      </c>
      <c r="Q873" s="71" t="s">
        <v>35</v>
      </c>
      <c r="R873" s="48" t="s">
        <v>35</v>
      </c>
      <c r="S873" s="49" t="s">
        <v>944</v>
      </c>
      <c r="T873" s="50" t="s">
        <v>2363</v>
      </c>
      <c r="U873" s="51" t="s">
        <v>2363</v>
      </c>
      <c r="V873" s="52">
        <f t="shared" ref="V873:X873" si="879">IF(lenb(SUBSTITUTE($Z873,V$1&amp;" (1)",""))&lt;lenb($Z873),1,IF(lenb(SUBSTITUTE($Z873,V$1&amp;" (2)",""))&lt;lenb($Z873),2,IF(lenb(SUBSTITUTE($Z873,V$1&amp;" (3)",""))&lt;lenb($Z873),3,IF(lenb(SUBSTITUTE($Z873,V$1&amp;" (4)",""))&lt;lenb($Z873),4,IF(lenb(SUBSTITUTE($Z873,V$1&amp;" (5)",""))&lt;lenb($Z873),5,IF(lenb(SUBSTITUTE($Z873,V$1&amp;" (6)",""))&lt;lenb($Z873),6,IF(lenb(SUBSTITUTE($Z873,V$1&amp;" (7)",""))&lt;lenb($Z873),1,IF(lenb(SUBSTITUTE($Z873,V$1&amp;" (8)",""))&lt;lenb($Z873),8,IF(lenb(SUBSTITUTE($Z873,V$1&amp;" (9)",""))&lt;lenb($Z873),9,IF(lenb(SUBSTITUTE($Z873,V$1&amp;" (10)",""))&lt;lenb($Z873),10,IF(lenb(SUBSTITUTE($Z873,V$1,""))&lt;lenb($Z873),"ERROR",IF($Z873=$Y$1,"-",0))))))))))))</f>
        <v>1</v>
      </c>
      <c r="W873" s="52">
        <f t="shared" si="879"/>
        <v>0</v>
      </c>
      <c r="X873" s="52">
        <f t="shared" si="879"/>
        <v>0</v>
      </c>
      <c r="Y873" s="52" t="str">
        <f t="shared" si="3"/>
        <v>-</v>
      </c>
      <c r="Z873" s="52" t="s">
        <v>62</v>
      </c>
      <c r="AA873" s="53">
        <f t="shared" si="4"/>
        <v>1</v>
      </c>
      <c r="AB873" s="54">
        <f>COUNTIFS(Links!B:B,"ICSE",Links!C:C,A873,Links!AD:AD,1)</f>
        <v>0</v>
      </c>
      <c r="AC873" s="55" t="s">
        <v>35</v>
      </c>
      <c r="AD873" s="47" t="str">
        <f t="shared" si="5"/>
        <v>No</v>
      </c>
      <c r="AE873" s="56" t="s">
        <v>36</v>
      </c>
      <c r="AF873" s="57" t="s">
        <v>42</v>
      </c>
      <c r="AG873" s="57" t="s">
        <v>42</v>
      </c>
      <c r="AH873" s="57" t="s">
        <v>42</v>
      </c>
      <c r="AI873" s="49" t="str">
        <f t="shared" si="661"/>
        <v>----</v>
      </c>
      <c r="AJ873" s="58" t="str">
        <f t="shared" si="7"/>
        <v>Paper has link but no statement</v>
      </c>
      <c r="AK873" s="59">
        <v>44869.0</v>
      </c>
      <c r="AL873" s="43" t="s">
        <v>43</v>
      </c>
      <c r="AM873" s="60" t="str">
        <f t="shared" si="8"/>
        <v>[IP0040]</v>
      </c>
    </row>
    <row r="874" ht="67.5" customHeight="1">
      <c r="A874" s="61">
        <v>41.0</v>
      </c>
      <c r="B874" s="22" t="s">
        <v>2364</v>
      </c>
      <c r="C874" s="23">
        <v>2022.0</v>
      </c>
      <c r="D874" s="24" t="s">
        <v>37</v>
      </c>
      <c r="E874" s="25" t="s">
        <v>37</v>
      </c>
      <c r="F874" s="25" t="s">
        <v>35</v>
      </c>
      <c r="G874" s="25" t="s">
        <v>37</v>
      </c>
      <c r="H874" s="25" t="s">
        <v>35</v>
      </c>
      <c r="I874" s="25" t="s">
        <v>35</v>
      </c>
      <c r="J874" s="26" t="s">
        <v>36</v>
      </c>
      <c r="K874" s="82" t="s">
        <v>37</v>
      </c>
      <c r="L874" s="70" t="s">
        <v>37</v>
      </c>
      <c r="M874" s="70" t="s">
        <v>35</v>
      </c>
      <c r="N874" s="70" t="s">
        <v>35</v>
      </c>
      <c r="O874" s="70" t="s">
        <v>35</v>
      </c>
      <c r="P874" s="70" t="s">
        <v>35</v>
      </c>
      <c r="Q874" s="70" t="s">
        <v>35</v>
      </c>
      <c r="R874" s="70" t="s">
        <v>37</v>
      </c>
      <c r="S874" s="37" t="s">
        <v>2365</v>
      </c>
      <c r="T874" s="30" t="s">
        <v>2366</v>
      </c>
      <c r="U874" s="31" t="s">
        <v>2366</v>
      </c>
      <c r="V874" s="32">
        <f t="shared" ref="V874:X874" si="880">IF(lenb(SUBSTITUTE($Z874,V$1&amp;" (1)",""))&lt;lenb($Z874),1,IF(lenb(SUBSTITUTE($Z874,V$1&amp;" (2)",""))&lt;lenb($Z874),2,IF(lenb(SUBSTITUTE($Z874,V$1&amp;" (3)",""))&lt;lenb($Z874),3,IF(lenb(SUBSTITUTE($Z874,V$1&amp;" (4)",""))&lt;lenb($Z874),4,IF(lenb(SUBSTITUTE($Z874,V$1&amp;" (5)",""))&lt;lenb($Z874),5,IF(lenb(SUBSTITUTE($Z874,V$1&amp;" (6)",""))&lt;lenb($Z874),6,IF(lenb(SUBSTITUTE($Z874,V$1&amp;" (7)",""))&lt;lenb($Z874),1,IF(lenb(SUBSTITUTE($Z874,V$1&amp;" (8)",""))&lt;lenb($Z874),8,IF(lenb(SUBSTITUTE($Z874,V$1&amp;" (9)",""))&lt;lenb($Z874),9,IF(lenb(SUBSTITUTE($Z874,V$1&amp;" (10)",""))&lt;lenb($Z874),10,IF(lenb(SUBSTITUTE($Z874,V$1,""))&lt;lenb($Z874),"ERROR",IF($Z874=$Y$1,"-",0))))))))))))</f>
        <v>1</v>
      </c>
      <c r="W874" s="32">
        <f t="shared" si="880"/>
        <v>0</v>
      </c>
      <c r="X874" s="32">
        <f t="shared" si="880"/>
        <v>0</v>
      </c>
      <c r="Y874" s="32" t="str">
        <f t="shared" si="3"/>
        <v>-</v>
      </c>
      <c r="Z874" s="32" t="s">
        <v>62</v>
      </c>
      <c r="AA874" s="33">
        <f t="shared" si="4"/>
        <v>1</v>
      </c>
      <c r="AB874" s="34">
        <f>COUNTIFS(Links!B:B,"ICSE",Links!C:C,A874,Links!AD:AD,1)</f>
        <v>0</v>
      </c>
      <c r="AC874" s="35" t="s">
        <v>35</v>
      </c>
      <c r="AD874" s="27" t="str">
        <f t="shared" si="5"/>
        <v>No</v>
      </c>
      <c r="AE874" s="36" t="s">
        <v>36</v>
      </c>
      <c r="AF874" s="37" t="s">
        <v>42</v>
      </c>
      <c r="AG874" s="37" t="s">
        <v>42</v>
      </c>
      <c r="AH874" s="37" t="s">
        <v>42</v>
      </c>
      <c r="AI874" s="29" t="str">
        <f t="shared" si="661"/>
        <v>----</v>
      </c>
      <c r="AJ874" s="38" t="str">
        <f t="shared" si="7"/>
        <v>Paper has link but no statement</v>
      </c>
      <c r="AK874" s="39">
        <v>44869.0</v>
      </c>
      <c r="AL874" s="23" t="s">
        <v>43</v>
      </c>
      <c r="AM874" s="40" t="str">
        <f t="shared" si="8"/>
        <v>[IP0041]</v>
      </c>
    </row>
    <row r="875" ht="67.5" customHeight="1">
      <c r="A875" s="41">
        <v>42.0</v>
      </c>
      <c r="B875" s="42" t="s">
        <v>2367</v>
      </c>
      <c r="C875" s="43">
        <v>2022.0</v>
      </c>
      <c r="D875" s="44" t="s">
        <v>35</v>
      </c>
      <c r="E875" s="45" t="s">
        <v>36</v>
      </c>
      <c r="F875" s="45" t="s">
        <v>36</v>
      </c>
      <c r="G875" s="45" t="s">
        <v>36</v>
      </c>
      <c r="H875" s="45" t="s">
        <v>36</v>
      </c>
      <c r="I875" s="45" t="s">
        <v>36</v>
      </c>
      <c r="J875" s="46" t="s">
        <v>36</v>
      </c>
      <c r="K875" s="83" t="s">
        <v>37</v>
      </c>
      <c r="L875" s="71" t="s">
        <v>35</v>
      </c>
      <c r="M875" s="71" t="s">
        <v>35</v>
      </c>
      <c r="N875" s="71" t="s">
        <v>37</v>
      </c>
      <c r="O875" s="71" t="s">
        <v>35</v>
      </c>
      <c r="P875" s="71" t="s">
        <v>35</v>
      </c>
      <c r="Q875" s="71" t="s">
        <v>35</v>
      </c>
      <c r="R875" s="71" t="s">
        <v>35</v>
      </c>
      <c r="S875" s="57" t="s">
        <v>944</v>
      </c>
      <c r="T875" s="50" t="s">
        <v>2368</v>
      </c>
      <c r="U875" s="51" t="s">
        <v>2368</v>
      </c>
      <c r="V875" s="52">
        <f t="shared" ref="V875:X875" si="881">IF(lenb(SUBSTITUTE($Z875,V$1&amp;" (1)",""))&lt;lenb($Z875),1,IF(lenb(SUBSTITUTE($Z875,V$1&amp;" (2)",""))&lt;lenb($Z875),2,IF(lenb(SUBSTITUTE($Z875,V$1&amp;" (3)",""))&lt;lenb($Z875),3,IF(lenb(SUBSTITUTE($Z875,V$1&amp;" (4)",""))&lt;lenb($Z875),4,IF(lenb(SUBSTITUTE($Z875,V$1&amp;" (5)",""))&lt;lenb($Z875),5,IF(lenb(SUBSTITUTE($Z875,V$1&amp;" (6)",""))&lt;lenb($Z875),6,IF(lenb(SUBSTITUTE($Z875,V$1&amp;" (7)",""))&lt;lenb($Z875),1,IF(lenb(SUBSTITUTE($Z875,V$1&amp;" (8)",""))&lt;lenb($Z875),8,IF(lenb(SUBSTITUTE($Z875,V$1&amp;" (9)",""))&lt;lenb($Z875),9,IF(lenb(SUBSTITUTE($Z875,V$1&amp;" (10)",""))&lt;lenb($Z875),10,IF(lenb(SUBSTITUTE($Z875,V$1,""))&lt;lenb($Z875),"ERROR",IF($Z875=$Y$1,"-",0))))))))))))</f>
        <v>1</v>
      </c>
      <c r="W875" s="52">
        <f t="shared" si="881"/>
        <v>0</v>
      </c>
      <c r="X875" s="52">
        <f t="shared" si="881"/>
        <v>0</v>
      </c>
      <c r="Y875" s="52" t="str">
        <f t="shared" si="3"/>
        <v>-</v>
      </c>
      <c r="Z875" s="52" t="s">
        <v>62</v>
      </c>
      <c r="AA875" s="53">
        <f t="shared" si="4"/>
        <v>1</v>
      </c>
      <c r="AB875" s="54">
        <f>COUNTIFS(Links!B:B,"ICSE",Links!C:C,A875,Links!AD:AD,1)</f>
        <v>0</v>
      </c>
      <c r="AC875" s="55" t="s">
        <v>35</v>
      </c>
      <c r="AD875" s="47" t="str">
        <f t="shared" si="5"/>
        <v>No</v>
      </c>
      <c r="AE875" s="56" t="s">
        <v>36</v>
      </c>
      <c r="AF875" s="57" t="s">
        <v>42</v>
      </c>
      <c r="AG875" s="57" t="s">
        <v>42</v>
      </c>
      <c r="AH875" s="57" t="s">
        <v>42</v>
      </c>
      <c r="AI875" s="49" t="str">
        <f t="shared" si="661"/>
        <v>----</v>
      </c>
      <c r="AJ875" s="58" t="str">
        <f t="shared" si="7"/>
        <v>Paper has link but no statement</v>
      </c>
      <c r="AK875" s="59">
        <v>44869.0</v>
      </c>
      <c r="AL875" s="43" t="s">
        <v>43</v>
      </c>
      <c r="AM875" s="60" t="str">
        <f t="shared" si="8"/>
        <v>[IP0042]</v>
      </c>
    </row>
    <row r="876" ht="67.5" customHeight="1">
      <c r="A876" s="61">
        <v>43.0</v>
      </c>
      <c r="B876" s="22" t="s">
        <v>2369</v>
      </c>
      <c r="C876" s="23">
        <v>2022.0</v>
      </c>
      <c r="D876" s="24" t="s">
        <v>35</v>
      </c>
      <c r="E876" s="25" t="s">
        <v>36</v>
      </c>
      <c r="F876" s="25" t="s">
        <v>36</v>
      </c>
      <c r="G876" s="25" t="s">
        <v>36</v>
      </c>
      <c r="H876" s="25" t="s">
        <v>36</v>
      </c>
      <c r="I876" s="25" t="s">
        <v>36</v>
      </c>
      <c r="J876" s="26" t="s">
        <v>36</v>
      </c>
      <c r="K876" s="82" t="s">
        <v>37</v>
      </c>
      <c r="L876" s="70" t="s">
        <v>35</v>
      </c>
      <c r="M876" s="70" t="s">
        <v>35</v>
      </c>
      <c r="N876" s="70" t="s">
        <v>35</v>
      </c>
      <c r="O876" s="70" t="s">
        <v>37</v>
      </c>
      <c r="P876" s="70" t="s">
        <v>35</v>
      </c>
      <c r="Q876" s="70" t="s">
        <v>35</v>
      </c>
      <c r="R876" s="70" t="s">
        <v>35</v>
      </c>
      <c r="S876" s="37" t="s">
        <v>2370</v>
      </c>
      <c r="T876" s="30" t="s">
        <v>2371</v>
      </c>
      <c r="U876" s="31" t="s">
        <v>2371</v>
      </c>
      <c r="V876" s="32">
        <f t="shared" ref="V876:X876" si="882">IF(lenb(SUBSTITUTE($Z876,V$1&amp;" (1)",""))&lt;lenb($Z876),1,IF(lenb(SUBSTITUTE($Z876,V$1&amp;" (2)",""))&lt;lenb($Z876),2,IF(lenb(SUBSTITUTE($Z876,V$1&amp;" (3)",""))&lt;lenb($Z876),3,IF(lenb(SUBSTITUTE($Z876,V$1&amp;" (4)",""))&lt;lenb($Z876),4,IF(lenb(SUBSTITUTE($Z876,V$1&amp;" (5)",""))&lt;lenb($Z876),5,IF(lenb(SUBSTITUTE($Z876,V$1&amp;" (6)",""))&lt;lenb($Z876),6,IF(lenb(SUBSTITUTE($Z876,V$1&amp;" (7)",""))&lt;lenb($Z876),1,IF(lenb(SUBSTITUTE($Z876,V$1&amp;" (8)",""))&lt;lenb($Z876),8,IF(lenb(SUBSTITUTE($Z876,V$1&amp;" (9)",""))&lt;lenb($Z876),9,IF(lenb(SUBSTITUTE($Z876,V$1&amp;" (10)",""))&lt;lenb($Z876),10,IF(lenb(SUBSTITUTE($Z876,V$1,""))&lt;lenb($Z876),"ERROR",IF($Z876=$Y$1,"-",0))))))))))))</f>
        <v>1</v>
      </c>
      <c r="W876" s="32">
        <f t="shared" si="882"/>
        <v>0</v>
      </c>
      <c r="X876" s="32">
        <f t="shared" si="882"/>
        <v>0</v>
      </c>
      <c r="Y876" s="32" t="str">
        <f t="shared" si="3"/>
        <v>-</v>
      </c>
      <c r="Z876" s="32" t="s">
        <v>62</v>
      </c>
      <c r="AA876" s="33">
        <f t="shared" si="4"/>
        <v>1</v>
      </c>
      <c r="AB876" s="34">
        <f>COUNTIFS(Links!B:B,"ICSE",Links!C:C,A876,Links!AD:AD,1)</f>
        <v>0</v>
      </c>
      <c r="AC876" s="35" t="s">
        <v>35</v>
      </c>
      <c r="AD876" s="27" t="str">
        <f t="shared" si="5"/>
        <v>No</v>
      </c>
      <c r="AE876" s="36" t="s">
        <v>36</v>
      </c>
      <c r="AF876" s="37" t="s">
        <v>42</v>
      </c>
      <c r="AG876" s="37" t="s">
        <v>42</v>
      </c>
      <c r="AH876" s="37" t="s">
        <v>42</v>
      </c>
      <c r="AI876" s="29" t="str">
        <f t="shared" si="661"/>
        <v>----</v>
      </c>
      <c r="AJ876" s="38" t="str">
        <f t="shared" si="7"/>
        <v>Paper has link but no statement</v>
      </c>
      <c r="AK876" s="39">
        <v>44869.0</v>
      </c>
      <c r="AL876" s="23" t="s">
        <v>43</v>
      </c>
      <c r="AM876" s="40" t="str">
        <f t="shared" si="8"/>
        <v>[IP0043]</v>
      </c>
    </row>
    <row r="877" ht="67.5" customHeight="1">
      <c r="A877" s="41">
        <v>44.0</v>
      </c>
      <c r="B877" s="42" t="s">
        <v>2372</v>
      </c>
      <c r="C877" s="43">
        <v>2022.0</v>
      </c>
      <c r="D877" s="44" t="s">
        <v>37</v>
      </c>
      <c r="E877" s="45" t="s">
        <v>37</v>
      </c>
      <c r="F877" s="45" t="s">
        <v>35</v>
      </c>
      <c r="G877" s="45" t="s">
        <v>37</v>
      </c>
      <c r="H877" s="45" t="s">
        <v>35</v>
      </c>
      <c r="I877" s="45" t="s">
        <v>35</v>
      </c>
      <c r="J877" s="46" t="s">
        <v>36</v>
      </c>
      <c r="K877" s="83" t="s">
        <v>37</v>
      </c>
      <c r="L877" s="71" t="s">
        <v>37</v>
      </c>
      <c r="M877" s="71" t="s">
        <v>35</v>
      </c>
      <c r="N877" s="71" t="s">
        <v>35</v>
      </c>
      <c r="O877" s="71" t="s">
        <v>35</v>
      </c>
      <c r="P877" s="71" t="s">
        <v>35</v>
      </c>
      <c r="Q877" s="71" t="s">
        <v>35</v>
      </c>
      <c r="R877" s="71" t="s">
        <v>37</v>
      </c>
      <c r="S877" s="57" t="s">
        <v>2373</v>
      </c>
      <c r="T877" s="50" t="s">
        <v>2374</v>
      </c>
      <c r="U877" s="51" t="s">
        <v>2375</v>
      </c>
      <c r="V877" s="52">
        <f t="shared" ref="V877:X877" si="883">IF(lenb(SUBSTITUTE($Z877,V$1&amp;" (1)",""))&lt;lenb($Z877),1,IF(lenb(SUBSTITUTE($Z877,V$1&amp;" (2)",""))&lt;lenb($Z877),2,IF(lenb(SUBSTITUTE($Z877,V$1&amp;" (3)",""))&lt;lenb($Z877),3,IF(lenb(SUBSTITUTE($Z877,V$1&amp;" (4)",""))&lt;lenb($Z877),4,IF(lenb(SUBSTITUTE($Z877,V$1&amp;" (5)",""))&lt;lenb($Z877),5,IF(lenb(SUBSTITUTE($Z877,V$1&amp;" (6)",""))&lt;lenb($Z877),6,IF(lenb(SUBSTITUTE($Z877,V$1&amp;" (7)",""))&lt;lenb($Z877),1,IF(lenb(SUBSTITUTE($Z877,V$1&amp;" (8)",""))&lt;lenb($Z877),8,IF(lenb(SUBSTITUTE($Z877,V$1&amp;" (9)",""))&lt;lenb($Z877),9,IF(lenb(SUBSTITUTE($Z877,V$1&amp;" (10)",""))&lt;lenb($Z877),10,IF(lenb(SUBSTITUTE($Z877,V$1,""))&lt;lenb($Z877),"ERROR",IF($Z877=$Y$1,"-",0))))))))))))</f>
        <v>1</v>
      </c>
      <c r="W877" s="52">
        <f t="shared" si="883"/>
        <v>0</v>
      </c>
      <c r="X877" s="52">
        <f t="shared" si="883"/>
        <v>0</v>
      </c>
      <c r="Y877" s="52" t="str">
        <f t="shared" si="3"/>
        <v>-</v>
      </c>
      <c r="Z877" s="52" t="s">
        <v>62</v>
      </c>
      <c r="AA877" s="53">
        <f t="shared" si="4"/>
        <v>1</v>
      </c>
      <c r="AB877" s="54">
        <f>COUNTIFS(Links!B:B,"ICSE",Links!C:C,A877,Links!AD:AD,1)</f>
        <v>0</v>
      </c>
      <c r="AC877" s="55" t="s">
        <v>37</v>
      </c>
      <c r="AD877" s="47" t="str">
        <f t="shared" si="5"/>
        <v>No</v>
      </c>
      <c r="AE877" s="56" t="s">
        <v>36</v>
      </c>
      <c r="AF877" s="57" t="s">
        <v>42</v>
      </c>
      <c r="AG877" s="57" t="s">
        <v>42</v>
      </c>
      <c r="AH877" s="57" t="s">
        <v>42</v>
      </c>
      <c r="AI877" s="49" t="str">
        <f t="shared" si="661"/>
        <v>----</v>
      </c>
      <c r="AJ877" s="58" t="str">
        <f t="shared" si="7"/>
        <v>Paper has link but no statement</v>
      </c>
      <c r="AK877" s="59">
        <v>44869.0</v>
      </c>
      <c r="AL877" s="43" t="s">
        <v>43</v>
      </c>
      <c r="AM877" s="60" t="str">
        <f t="shared" si="8"/>
        <v>[IP0044]</v>
      </c>
    </row>
    <row r="878" ht="67.5" customHeight="1">
      <c r="A878" s="61">
        <v>45.0</v>
      </c>
      <c r="B878" s="22" t="s">
        <v>2376</v>
      </c>
      <c r="C878" s="23">
        <v>2022.0</v>
      </c>
      <c r="D878" s="24" t="s">
        <v>35</v>
      </c>
      <c r="E878" s="25" t="s">
        <v>36</v>
      </c>
      <c r="F878" s="25" t="s">
        <v>36</v>
      </c>
      <c r="G878" s="25" t="s">
        <v>36</v>
      </c>
      <c r="H878" s="25" t="s">
        <v>36</v>
      </c>
      <c r="I878" s="25" t="s">
        <v>36</v>
      </c>
      <c r="J878" s="26" t="s">
        <v>36</v>
      </c>
      <c r="K878" s="82" t="s">
        <v>37</v>
      </c>
      <c r="L878" s="70" t="s">
        <v>35</v>
      </c>
      <c r="M878" s="70" t="s">
        <v>37</v>
      </c>
      <c r="N878" s="70" t="s">
        <v>37</v>
      </c>
      <c r="O878" s="70" t="s">
        <v>35</v>
      </c>
      <c r="P878" s="70" t="s">
        <v>35</v>
      </c>
      <c r="Q878" s="70" t="s">
        <v>35</v>
      </c>
      <c r="R878" s="70" t="s">
        <v>35</v>
      </c>
      <c r="S878" s="37" t="s">
        <v>2377</v>
      </c>
      <c r="T878" s="30" t="s">
        <v>2378</v>
      </c>
      <c r="U878" s="31" t="s">
        <v>2378</v>
      </c>
      <c r="V878" s="32">
        <f t="shared" ref="V878:X878" si="884">IF(lenb(SUBSTITUTE($Z878,V$1&amp;" (1)",""))&lt;lenb($Z878),1,IF(lenb(SUBSTITUTE($Z878,V$1&amp;" (2)",""))&lt;lenb($Z878),2,IF(lenb(SUBSTITUTE($Z878,V$1&amp;" (3)",""))&lt;lenb($Z878),3,IF(lenb(SUBSTITUTE($Z878,V$1&amp;" (4)",""))&lt;lenb($Z878),4,IF(lenb(SUBSTITUTE($Z878,V$1&amp;" (5)",""))&lt;lenb($Z878),5,IF(lenb(SUBSTITUTE($Z878,V$1&amp;" (6)",""))&lt;lenb($Z878),6,IF(lenb(SUBSTITUTE($Z878,V$1&amp;" (7)",""))&lt;lenb($Z878),1,IF(lenb(SUBSTITUTE($Z878,V$1&amp;" (8)",""))&lt;lenb($Z878),8,IF(lenb(SUBSTITUTE($Z878,V$1&amp;" (9)",""))&lt;lenb($Z878),9,IF(lenb(SUBSTITUTE($Z878,V$1&amp;" (10)",""))&lt;lenb($Z878),10,IF(lenb(SUBSTITUTE($Z878,V$1,""))&lt;lenb($Z878),"ERROR",IF($Z878=$Y$1,"-",0))))))))))))</f>
        <v>1</v>
      </c>
      <c r="W878" s="32">
        <f t="shared" si="884"/>
        <v>0</v>
      </c>
      <c r="X878" s="32">
        <f t="shared" si="884"/>
        <v>0</v>
      </c>
      <c r="Y878" s="32" t="str">
        <f t="shared" si="3"/>
        <v>-</v>
      </c>
      <c r="Z878" s="32" t="s">
        <v>62</v>
      </c>
      <c r="AA878" s="33">
        <f t="shared" si="4"/>
        <v>1</v>
      </c>
      <c r="AB878" s="34">
        <f>COUNTIFS(Links!B:B,"ICSE",Links!C:C,A878,Links!AD:AD,1)</f>
        <v>0</v>
      </c>
      <c r="AC878" s="35" t="s">
        <v>35</v>
      </c>
      <c r="AD878" s="27" t="str">
        <f t="shared" si="5"/>
        <v>No</v>
      </c>
      <c r="AE878" s="36" t="s">
        <v>36</v>
      </c>
      <c r="AF878" s="37" t="s">
        <v>42</v>
      </c>
      <c r="AG878" s="37" t="s">
        <v>42</v>
      </c>
      <c r="AH878" s="37" t="s">
        <v>42</v>
      </c>
      <c r="AI878" s="29" t="str">
        <f t="shared" si="661"/>
        <v>----</v>
      </c>
      <c r="AJ878" s="38" t="str">
        <f t="shared" si="7"/>
        <v>Paper has link but no statement</v>
      </c>
      <c r="AK878" s="39">
        <v>44869.0</v>
      </c>
      <c r="AL878" s="23" t="s">
        <v>43</v>
      </c>
      <c r="AM878" s="40" t="str">
        <f t="shared" si="8"/>
        <v>[IP0045]</v>
      </c>
    </row>
    <row r="879" ht="67.5" customHeight="1">
      <c r="A879" s="41">
        <v>46.0</v>
      </c>
      <c r="B879" s="42" t="s">
        <v>2379</v>
      </c>
      <c r="C879" s="43">
        <v>2022.0</v>
      </c>
      <c r="D879" s="44" t="s">
        <v>37</v>
      </c>
      <c r="E879" s="45" t="s">
        <v>37</v>
      </c>
      <c r="F879" s="45" t="s">
        <v>35</v>
      </c>
      <c r="G879" s="45" t="s">
        <v>37</v>
      </c>
      <c r="H879" s="45" t="s">
        <v>35</v>
      </c>
      <c r="I879" s="45" t="s">
        <v>35</v>
      </c>
      <c r="J879" s="46" t="s">
        <v>36</v>
      </c>
      <c r="K879" s="83" t="s">
        <v>37</v>
      </c>
      <c r="L879" s="71" t="s">
        <v>37</v>
      </c>
      <c r="M879" s="71" t="s">
        <v>37</v>
      </c>
      <c r="N879" s="71" t="s">
        <v>35</v>
      </c>
      <c r="O879" s="71" t="s">
        <v>35</v>
      </c>
      <c r="P879" s="71" t="s">
        <v>37</v>
      </c>
      <c r="Q879" s="71" t="s">
        <v>35</v>
      </c>
      <c r="R879" s="71" t="s">
        <v>37</v>
      </c>
      <c r="S879" s="57" t="s">
        <v>2380</v>
      </c>
      <c r="T879" s="50" t="s">
        <v>2381</v>
      </c>
      <c r="U879" s="51" t="s">
        <v>2381</v>
      </c>
      <c r="V879" s="52">
        <f t="shared" ref="V879:X879" si="885">IF(lenb(SUBSTITUTE($Z879,V$1&amp;" (1)",""))&lt;lenb($Z879),1,IF(lenb(SUBSTITUTE($Z879,V$1&amp;" (2)",""))&lt;lenb($Z879),2,IF(lenb(SUBSTITUTE($Z879,V$1&amp;" (3)",""))&lt;lenb($Z879),3,IF(lenb(SUBSTITUTE($Z879,V$1&amp;" (4)",""))&lt;lenb($Z879),4,IF(lenb(SUBSTITUTE($Z879,V$1&amp;" (5)",""))&lt;lenb($Z879),5,IF(lenb(SUBSTITUTE($Z879,V$1&amp;" (6)",""))&lt;lenb($Z879),6,IF(lenb(SUBSTITUTE($Z879,V$1&amp;" (7)",""))&lt;lenb($Z879),1,IF(lenb(SUBSTITUTE($Z879,V$1&amp;" (8)",""))&lt;lenb($Z879),8,IF(lenb(SUBSTITUTE($Z879,V$1&amp;" (9)",""))&lt;lenb($Z879),9,IF(lenb(SUBSTITUTE($Z879,V$1&amp;" (10)",""))&lt;lenb($Z879),10,IF(lenb(SUBSTITUTE($Z879,V$1,""))&lt;lenb($Z879),"ERROR",IF($Z879=$Y$1,"-",0))))))))))))</f>
        <v>2</v>
      </c>
      <c r="W879" s="52">
        <f t="shared" si="885"/>
        <v>0</v>
      </c>
      <c r="X879" s="52">
        <f t="shared" si="885"/>
        <v>0</v>
      </c>
      <c r="Y879" s="52" t="str">
        <f t="shared" si="3"/>
        <v>-</v>
      </c>
      <c r="Z879" s="52" t="s">
        <v>57</v>
      </c>
      <c r="AA879" s="53">
        <f t="shared" si="4"/>
        <v>2</v>
      </c>
      <c r="AB879" s="54">
        <f>COUNTIFS(Links!B:B,"ICSE",Links!C:C,A879,Links!AD:AD,1)</f>
        <v>0</v>
      </c>
      <c r="AC879" s="55" t="s">
        <v>37</v>
      </c>
      <c r="AD879" s="47" t="str">
        <f t="shared" si="5"/>
        <v>No</v>
      </c>
      <c r="AE879" s="56" t="s">
        <v>36</v>
      </c>
      <c r="AF879" s="57" t="s">
        <v>42</v>
      </c>
      <c r="AG879" s="57" t="s">
        <v>42</v>
      </c>
      <c r="AH879" s="57" t="s">
        <v>42</v>
      </c>
      <c r="AI879" s="49" t="str">
        <f t="shared" si="661"/>
        <v>----</v>
      </c>
      <c r="AJ879" s="58" t="str">
        <f t="shared" si="7"/>
        <v>Paper has link but no statement</v>
      </c>
      <c r="AK879" s="59">
        <v>44869.0</v>
      </c>
      <c r="AL879" s="43" t="s">
        <v>43</v>
      </c>
      <c r="AM879" s="60" t="str">
        <f t="shared" si="8"/>
        <v>[IP0046]</v>
      </c>
    </row>
    <row r="880" ht="67.5" customHeight="1">
      <c r="A880" s="61">
        <v>47.0</v>
      </c>
      <c r="B880" s="22" t="s">
        <v>2382</v>
      </c>
      <c r="C880" s="23">
        <v>2022.0</v>
      </c>
      <c r="D880" s="24" t="s">
        <v>35</v>
      </c>
      <c r="E880" s="25" t="s">
        <v>36</v>
      </c>
      <c r="F880" s="25" t="s">
        <v>36</v>
      </c>
      <c r="G880" s="25" t="s">
        <v>36</v>
      </c>
      <c r="H880" s="25" t="s">
        <v>36</v>
      </c>
      <c r="I880" s="25" t="s">
        <v>36</v>
      </c>
      <c r="J880" s="26" t="s">
        <v>36</v>
      </c>
      <c r="K880" s="82" t="s">
        <v>35</v>
      </c>
      <c r="L880" s="70" t="s">
        <v>36</v>
      </c>
      <c r="M880" s="70" t="s">
        <v>36</v>
      </c>
      <c r="N880" s="70" t="s">
        <v>36</v>
      </c>
      <c r="O880" s="70" t="s">
        <v>36</v>
      </c>
      <c r="P880" s="70" t="s">
        <v>36</v>
      </c>
      <c r="Q880" s="70" t="s">
        <v>36</v>
      </c>
      <c r="R880" s="70" t="s">
        <v>36</v>
      </c>
      <c r="S880" s="37" t="s">
        <v>36</v>
      </c>
      <c r="T880" s="30" t="s">
        <v>36</v>
      </c>
      <c r="U880" s="31" t="s">
        <v>36</v>
      </c>
      <c r="V880" s="32" t="str">
        <f t="shared" ref="V880:X880" si="886">IF(lenb(SUBSTITUTE($Z880,V$1&amp;" (1)",""))&lt;lenb($Z880),1,IF(lenb(SUBSTITUTE($Z880,V$1&amp;" (2)",""))&lt;lenb($Z880),2,IF(lenb(SUBSTITUTE($Z880,V$1&amp;" (3)",""))&lt;lenb($Z880),3,IF(lenb(SUBSTITUTE($Z880,V$1&amp;" (4)",""))&lt;lenb($Z880),4,IF(lenb(SUBSTITUTE($Z880,V$1&amp;" (5)",""))&lt;lenb($Z880),5,IF(lenb(SUBSTITUTE($Z880,V$1&amp;" (6)",""))&lt;lenb($Z880),6,IF(lenb(SUBSTITUTE($Z880,V$1&amp;" (7)",""))&lt;lenb($Z880),1,IF(lenb(SUBSTITUTE($Z880,V$1&amp;" (8)",""))&lt;lenb($Z880),8,IF(lenb(SUBSTITUTE($Z880,V$1&amp;" (9)",""))&lt;lenb($Z880),9,IF(lenb(SUBSTITUTE($Z880,V$1&amp;" (10)",""))&lt;lenb($Z880),10,IF(lenb(SUBSTITUTE($Z880,V$1,""))&lt;lenb($Z880),"ERROR",IF($Z880=$Y$1,"-",0))))))))))))</f>
        <v>-</v>
      </c>
      <c r="W880" s="32" t="str">
        <f t="shared" si="886"/>
        <v>-</v>
      </c>
      <c r="X880" s="32" t="str">
        <f t="shared" si="886"/>
        <v>-</v>
      </c>
      <c r="Y880" s="32">
        <f t="shared" si="3"/>
        <v>1</v>
      </c>
      <c r="Z880" s="32" t="s">
        <v>23</v>
      </c>
      <c r="AA880" s="33">
        <f t="shared" si="4"/>
        <v>0</v>
      </c>
      <c r="AB880" s="34">
        <f>COUNTIFS(Links!B:B,"ICSE",Links!C:C,A880,Links!AD:AD,1)</f>
        <v>0</v>
      </c>
      <c r="AC880" s="35" t="s">
        <v>36</v>
      </c>
      <c r="AD880" s="27" t="str">
        <f t="shared" si="5"/>
        <v>No</v>
      </c>
      <c r="AE880" s="36" t="s">
        <v>36</v>
      </c>
      <c r="AF880" s="37" t="s">
        <v>42</v>
      </c>
      <c r="AG880" s="37" t="s">
        <v>42</v>
      </c>
      <c r="AH880" s="37" t="s">
        <v>42</v>
      </c>
      <c r="AI880" s="29" t="str">
        <f t="shared" si="661"/>
        <v>----</v>
      </c>
      <c r="AJ880" s="38" t="str">
        <f t="shared" si="7"/>
        <v>Paper has no link and no statement</v>
      </c>
      <c r="AK880" s="39">
        <v>44869.0</v>
      </c>
      <c r="AL880" s="23" t="s">
        <v>43</v>
      </c>
      <c r="AM880" s="40" t="str">
        <f t="shared" si="8"/>
        <v>[IP0047]</v>
      </c>
    </row>
    <row r="881" ht="67.5" customHeight="1">
      <c r="A881" s="41">
        <v>48.0</v>
      </c>
      <c r="B881" s="42" t="s">
        <v>2383</v>
      </c>
      <c r="C881" s="43">
        <v>2022.0</v>
      </c>
      <c r="D881" s="44" t="s">
        <v>35</v>
      </c>
      <c r="E881" s="45" t="s">
        <v>36</v>
      </c>
      <c r="F881" s="45" t="s">
        <v>36</v>
      </c>
      <c r="G881" s="45" t="s">
        <v>36</v>
      </c>
      <c r="H881" s="45" t="s">
        <v>36</v>
      </c>
      <c r="I881" s="45" t="s">
        <v>36</v>
      </c>
      <c r="J881" s="46" t="s">
        <v>36</v>
      </c>
      <c r="K881" s="83" t="s">
        <v>35</v>
      </c>
      <c r="L881" s="71" t="s">
        <v>36</v>
      </c>
      <c r="M881" s="71" t="s">
        <v>36</v>
      </c>
      <c r="N881" s="71" t="s">
        <v>36</v>
      </c>
      <c r="O881" s="71" t="s">
        <v>36</v>
      </c>
      <c r="P881" s="71" t="s">
        <v>36</v>
      </c>
      <c r="Q881" s="71" t="s">
        <v>36</v>
      </c>
      <c r="R881" s="71" t="s">
        <v>36</v>
      </c>
      <c r="S881" s="57" t="s">
        <v>36</v>
      </c>
      <c r="T881" s="50" t="s">
        <v>36</v>
      </c>
      <c r="U881" s="51" t="s">
        <v>36</v>
      </c>
      <c r="V881" s="52" t="str">
        <f t="shared" ref="V881:X881" si="887">IF(lenb(SUBSTITUTE($Z881,V$1&amp;" (1)",""))&lt;lenb($Z881),1,IF(lenb(SUBSTITUTE($Z881,V$1&amp;" (2)",""))&lt;lenb($Z881),2,IF(lenb(SUBSTITUTE($Z881,V$1&amp;" (3)",""))&lt;lenb($Z881),3,IF(lenb(SUBSTITUTE($Z881,V$1&amp;" (4)",""))&lt;lenb($Z881),4,IF(lenb(SUBSTITUTE($Z881,V$1&amp;" (5)",""))&lt;lenb($Z881),5,IF(lenb(SUBSTITUTE($Z881,V$1&amp;" (6)",""))&lt;lenb($Z881),6,IF(lenb(SUBSTITUTE($Z881,V$1&amp;" (7)",""))&lt;lenb($Z881),1,IF(lenb(SUBSTITUTE($Z881,V$1&amp;" (8)",""))&lt;lenb($Z881),8,IF(lenb(SUBSTITUTE($Z881,V$1&amp;" (9)",""))&lt;lenb($Z881),9,IF(lenb(SUBSTITUTE($Z881,V$1&amp;" (10)",""))&lt;lenb($Z881),10,IF(lenb(SUBSTITUTE($Z881,V$1,""))&lt;lenb($Z881),"ERROR",IF($Z881=$Y$1,"-",0))))))))))))</f>
        <v>-</v>
      </c>
      <c r="W881" s="52" t="str">
        <f t="shared" si="887"/>
        <v>-</v>
      </c>
      <c r="X881" s="52" t="str">
        <f t="shared" si="887"/>
        <v>-</v>
      </c>
      <c r="Y881" s="52">
        <f t="shared" si="3"/>
        <v>1</v>
      </c>
      <c r="Z881" s="52" t="s">
        <v>23</v>
      </c>
      <c r="AA881" s="53">
        <f t="shared" si="4"/>
        <v>0</v>
      </c>
      <c r="AB881" s="54">
        <f>COUNTIFS(Links!B:B,"ICSE",Links!C:C,A881,Links!AD:AD,1)</f>
        <v>0</v>
      </c>
      <c r="AC881" s="55" t="s">
        <v>36</v>
      </c>
      <c r="AD881" s="47" t="str">
        <f t="shared" si="5"/>
        <v>No</v>
      </c>
      <c r="AE881" s="56" t="s">
        <v>36</v>
      </c>
      <c r="AF881" s="57" t="s">
        <v>42</v>
      </c>
      <c r="AG881" s="57" t="s">
        <v>42</v>
      </c>
      <c r="AH881" s="57" t="s">
        <v>42</v>
      </c>
      <c r="AI881" s="49" t="str">
        <f t="shared" si="661"/>
        <v>----</v>
      </c>
      <c r="AJ881" s="58" t="str">
        <f t="shared" si="7"/>
        <v>Paper has no link and no statement</v>
      </c>
      <c r="AK881" s="59">
        <v>44869.0</v>
      </c>
      <c r="AL881" s="43" t="s">
        <v>43</v>
      </c>
      <c r="AM881" s="60" t="str">
        <f t="shared" si="8"/>
        <v>[IP0048]</v>
      </c>
    </row>
    <row r="882" ht="67.5" customHeight="1">
      <c r="A882" s="61">
        <v>49.0</v>
      </c>
      <c r="B882" s="22" t="s">
        <v>2384</v>
      </c>
      <c r="C882" s="23">
        <v>2022.0</v>
      </c>
      <c r="D882" s="24" t="s">
        <v>35</v>
      </c>
      <c r="E882" s="25" t="s">
        <v>36</v>
      </c>
      <c r="F882" s="25" t="s">
        <v>36</v>
      </c>
      <c r="G882" s="25" t="s">
        <v>36</v>
      </c>
      <c r="H882" s="25" t="s">
        <v>36</v>
      </c>
      <c r="I882" s="25" t="s">
        <v>36</v>
      </c>
      <c r="J882" s="26" t="s">
        <v>36</v>
      </c>
      <c r="K882" s="82" t="s">
        <v>37</v>
      </c>
      <c r="L882" s="70" t="s">
        <v>35</v>
      </c>
      <c r="M882" s="70" t="s">
        <v>37</v>
      </c>
      <c r="N882" s="70" t="s">
        <v>37</v>
      </c>
      <c r="O882" s="70" t="s">
        <v>35</v>
      </c>
      <c r="P882" s="70" t="s">
        <v>35</v>
      </c>
      <c r="Q882" s="70" t="s">
        <v>35</v>
      </c>
      <c r="R882" s="70" t="s">
        <v>37</v>
      </c>
      <c r="S882" s="37" t="s">
        <v>2385</v>
      </c>
      <c r="T882" s="30" t="s">
        <v>2386</v>
      </c>
      <c r="U882" s="31" t="s">
        <v>2386</v>
      </c>
      <c r="V882" s="32">
        <f t="shared" ref="V882:X882" si="888">IF(lenb(SUBSTITUTE($Z882,V$1&amp;" (1)",""))&lt;lenb($Z882),1,IF(lenb(SUBSTITUTE($Z882,V$1&amp;" (2)",""))&lt;lenb($Z882),2,IF(lenb(SUBSTITUTE($Z882,V$1&amp;" (3)",""))&lt;lenb($Z882),3,IF(lenb(SUBSTITUTE($Z882,V$1&amp;" (4)",""))&lt;lenb($Z882),4,IF(lenb(SUBSTITUTE($Z882,V$1&amp;" (5)",""))&lt;lenb($Z882),5,IF(lenb(SUBSTITUTE($Z882,V$1&amp;" (6)",""))&lt;lenb($Z882),6,IF(lenb(SUBSTITUTE($Z882,V$1&amp;" (7)",""))&lt;lenb($Z882),1,IF(lenb(SUBSTITUTE($Z882,V$1&amp;" (8)",""))&lt;lenb($Z882),8,IF(lenb(SUBSTITUTE($Z882,V$1&amp;" (9)",""))&lt;lenb($Z882),9,IF(lenb(SUBSTITUTE($Z882,V$1&amp;" (10)",""))&lt;lenb($Z882),10,IF(lenb(SUBSTITUTE($Z882,V$1,""))&lt;lenb($Z882),"ERROR",IF($Z882=$Y$1,"-",0))))))))))))</f>
        <v>1</v>
      </c>
      <c r="W882" s="32">
        <f t="shared" si="888"/>
        <v>0</v>
      </c>
      <c r="X882" s="32">
        <f t="shared" si="888"/>
        <v>0</v>
      </c>
      <c r="Y882" s="32" t="str">
        <f t="shared" si="3"/>
        <v>-</v>
      </c>
      <c r="Z882" s="32" t="s">
        <v>62</v>
      </c>
      <c r="AA882" s="33">
        <f t="shared" si="4"/>
        <v>1</v>
      </c>
      <c r="AB882" s="34">
        <f>COUNTIFS(Links!B:B,"ICSE",Links!C:C,A882,Links!AD:AD,1)</f>
        <v>0</v>
      </c>
      <c r="AC882" s="35" t="s">
        <v>35</v>
      </c>
      <c r="AD882" s="27" t="str">
        <f t="shared" si="5"/>
        <v>No</v>
      </c>
      <c r="AE882" s="36" t="s">
        <v>36</v>
      </c>
      <c r="AF882" s="37" t="s">
        <v>42</v>
      </c>
      <c r="AG882" s="37" t="s">
        <v>42</v>
      </c>
      <c r="AH882" s="37" t="s">
        <v>42</v>
      </c>
      <c r="AI882" s="29" t="str">
        <f t="shared" si="661"/>
        <v>----</v>
      </c>
      <c r="AJ882" s="38" t="str">
        <f t="shared" si="7"/>
        <v>Paper has link but no statement</v>
      </c>
      <c r="AK882" s="39">
        <v>44869.0</v>
      </c>
      <c r="AL882" s="23" t="s">
        <v>43</v>
      </c>
      <c r="AM882" s="40" t="str">
        <f t="shared" si="8"/>
        <v>[IP0049]</v>
      </c>
    </row>
    <row r="883" ht="67.5" customHeight="1">
      <c r="A883" s="41">
        <v>50.0</v>
      </c>
      <c r="B883" s="42" t="s">
        <v>2387</v>
      </c>
      <c r="C883" s="43">
        <v>2022.0</v>
      </c>
      <c r="D883" s="44" t="s">
        <v>35</v>
      </c>
      <c r="E883" s="45" t="s">
        <v>36</v>
      </c>
      <c r="F883" s="45" t="s">
        <v>36</v>
      </c>
      <c r="G883" s="45" t="s">
        <v>36</v>
      </c>
      <c r="H883" s="45" t="s">
        <v>36</v>
      </c>
      <c r="I883" s="45" t="s">
        <v>36</v>
      </c>
      <c r="J883" s="46" t="s">
        <v>36</v>
      </c>
      <c r="K883" s="83" t="s">
        <v>37</v>
      </c>
      <c r="L883" s="71" t="s">
        <v>37</v>
      </c>
      <c r="M883" s="71" t="s">
        <v>37</v>
      </c>
      <c r="N883" s="71" t="s">
        <v>37</v>
      </c>
      <c r="O883" s="71" t="s">
        <v>35</v>
      </c>
      <c r="P883" s="71" t="s">
        <v>35</v>
      </c>
      <c r="Q883" s="71" t="s">
        <v>35</v>
      </c>
      <c r="R883" s="71" t="s">
        <v>37</v>
      </c>
      <c r="S883" s="57" t="s">
        <v>2388</v>
      </c>
      <c r="T883" s="50" t="s">
        <v>2389</v>
      </c>
      <c r="U883" s="51" t="s">
        <v>2389</v>
      </c>
      <c r="V883" s="52">
        <f t="shared" ref="V883:X883" si="889">IF(lenb(SUBSTITUTE($Z883,V$1&amp;" (1)",""))&lt;lenb($Z883),1,IF(lenb(SUBSTITUTE($Z883,V$1&amp;" (2)",""))&lt;lenb($Z883),2,IF(lenb(SUBSTITUTE($Z883,V$1&amp;" (3)",""))&lt;lenb($Z883),3,IF(lenb(SUBSTITUTE($Z883,V$1&amp;" (4)",""))&lt;lenb($Z883),4,IF(lenb(SUBSTITUTE($Z883,V$1&amp;" (5)",""))&lt;lenb($Z883),5,IF(lenb(SUBSTITUTE($Z883,V$1&amp;" (6)",""))&lt;lenb($Z883),6,IF(lenb(SUBSTITUTE($Z883,V$1&amp;" (7)",""))&lt;lenb($Z883),1,IF(lenb(SUBSTITUTE($Z883,V$1&amp;" (8)",""))&lt;lenb($Z883),8,IF(lenb(SUBSTITUTE($Z883,V$1&amp;" (9)",""))&lt;lenb($Z883),9,IF(lenb(SUBSTITUTE($Z883,V$1&amp;" (10)",""))&lt;lenb($Z883),10,IF(lenb(SUBSTITUTE($Z883,V$1,""))&lt;lenb($Z883),"ERROR",IF($Z883=$Y$1,"-",0))))))))))))</f>
        <v>1</v>
      </c>
      <c r="W883" s="52">
        <f t="shared" si="889"/>
        <v>0</v>
      </c>
      <c r="X883" s="52">
        <f t="shared" si="889"/>
        <v>0</v>
      </c>
      <c r="Y883" s="52" t="str">
        <f t="shared" si="3"/>
        <v>-</v>
      </c>
      <c r="Z883" s="52" t="s">
        <v>62</v>
      </c>
      <c r="AA883" s="53">
        <f t="shared" si="4"/>
        <v>1</v>
      </c>
      <c r="AB883" s="54">
        <f>COUNTIFS(Links!B:B,"ICSE",Links!C:C,A883,Links!AD:AD,1)</f>
        <v>0</v>
      </c>
      <c r="AC883" s="55" t="s">
        <v>35</v>
      </c>
      <c r="AD883" s="47" t="str">
        <f t="shared" si="5"/>
        <v>No</v>
      </c>
      <c r="AE883" s="56" t="s">
        <v>36</v>
      </c>
      <c r="AF883" s="57" t="s">
        <v>42</v>
      </c>
      <c r="AG883" s="57" t="s">
        <v>42</v>
      </c>
      <c r="AH883" s="57" t="s">
        <v>42</v>
      </c>
      <c r="AI883" s="49" t="str">
        <f t="shared" si="661"/>
        <v>----</v>
      </c>
      <c r="AJ883" s="58" t="str">
        <f t="shared" si="7"/>
        <v>Paper has link but no statement</v>
      </c>
      <c r="AK883" s="59">
        <v>44869.0</v>
      </c>
      <c r="AL883" s="43" t="s">
        <v>43</v>
      </c>
      <c r="AM883" s="60" t="str">
        <f t="shared" si="8"/>
        <v>[IP0050]</v>
      </c>
    </row>
    <row r="884" ht="67.5" customHeight="1">
      <c r="A884" s="61">
        <v>51.0</v>
      </c>
      <c r="B884" s="22" t="s">
        <v>2390</v>
      </c>
      <c r="C884" s="23">
        <v>2022.0</v>
      </c>
      <c r="D884" s="24" t="s">
        <v>35</v>
      </c>
      <c r="E884" s="25" t="s">
        <v>36</v>
      </c>
      <c r="F884" s="25" t="s">
        <v>36</v>
      </c>
      <c r="G884" s="25" t="s">
        <v>36</v>
      </c>
      <c r="H884" s="25" t="s">
        <v>36</v>
      </c>
      <c r="I884" s="25" t="s">
        <v>36</v>
      </c>
      <c r="J884" s="26" t="s">
        <v>36</v>
      </c>
      <c r="K884" s="82" t="s">
        <v>37</v>
      </c>
      <c r="L884" s="70" t="s">
        <v>37</v>
      </c>
      <c r="M884" s="70" t="s">
        <v>35</v>
      </c>
      <c r="N884" s="70" t="s">
        <v>37</v>
      </c>
      <c r="O884" s="70" t="s">
        <v>35</v>
      </c>
      <c r="P884" s="70" t="s">
        <v>35</v>
      </c>
      <c r="Q884" s="70" t="s">
        <v>35</v>
      </c>
      <c r="R884" s="70" t="s">
        <v>37</v>
      </c>
      <c r="S884" s="37" t="s">
        <v>2391</v>
      </c>
      <c r="T884" s="30" t="s">
        <v>2392</v>
      </c>
      <c r="U884" s="31" t="s">
        <v>2392</v>
      </c>
      <c r="V884" s="32">
        <f t="shared" ref="V884:X884" si="890">IF(lenb(SUBSTITUTE($Z884,V$1&amp;" (1)",""))&lt;lenb($Z884),1,IF(lenb(SUBSTITUTE($Z884,V$1&amp;" (2)",""))&lt;lenb($Z884),2,IF(lenb(SUBSTITUTE($Z884,V$1&amp;" (3)",""))&lt;lenb($Z884),3,IF(lenb(SUBSTITUTE($Z884,V$1&amp;" (4)",""))&lt;lenb($Z884),4,IF(lenb(SUBSTITUTE($Z884,V$1&amp;" (5)",""))&lt;lenb($Z884),5,IF(lenb(SUBSTITUTE($Z884,V$1&amp;" (6)",""))&lt;lenb($Z884),6,IF(lenb(SUBSTITUTE($Z884,V$1&amp;" (7)",""))&lt;lenb($Z884),1,IF(lenb(SUBSTITUTE($Z884,V$1&amp;" (8)",""))&lt;lenb($Z884),8,IF(lenb(SUBSTITUTE($Z884,V$1&amp;" (9)",""))&lt;lenb($Z884),9,IF(lenb(SUBSTITUTE($Z884,V$1&amp;" (10)",""))&lt;lenb($Z884),10,IF(lenb(SUBSTITUTE($Z884,V$1,""))&lt;lenb($Z884),"ERROR",IF($Z884=$Y$1,"-",0))))))))))))</f>
        <v>1</v>
      </c>
      <c r="W884" s="32">
        <f t="shared" si="890"/>
        <v>0</v>
      </c>
      <c r="X884" s="32">
        <f t="shared" si="890"/>
        <v>0</v>
      </c>
      <c r="Y884" s="32" t="str">
        <f t="shared" si="3"/>
        <v>-</v>
      </c>
      <c r="Z884" s="32" t="s">
        <v>62</v>
      </c>
      <c r="AA884" s="33">
        <f t="shared" si="4"/>
        <v>1</v>
      </c>
      <c r="AB884" s="34">
        <f>COUNTIFS(Links!B:B,"ICSE",Links!C:C,A884,Links!AD:AD,1)</f>
        <v>0</v>
      </c>
      <c r="AC884" s="35" t="s">
        <v>35</v>
      </c>
      <c r="AD884" s="27" t="str">
        <f t="shared" si="5"/>
        <v>No</v>
      </c>
      <c r="AE884" s="36" t="s">
        <v>36</v>
      </c>
      <c r="AF884" s="37" t="s">
        <v>42</v>
      </c>
      <c r="AG884" s="37" t="s">
        <v>42</v>
      </c>
      <c r="AH884" s="37" t="s">
        <v>42</v>
      </c>
      <c r="AI884" s="29" t="str">
        <f t="shared" si="661"/>
        <v>----</v>
      </c>
      <c r="AJ884" s="38" t="str">
        <f t="shared" si="7"/>
        <v>Paper has link but no statement</v>
      </c>
      <c r="AK884" s="39">
        <v>44869.0</v>
      </c>
      <c r="AL884" s="23" t="s">
        <v>43</v>
      </c>
      <c r="AM884" s="40" t="str">
        <f t="shared" si="8"/>
        <v>[IP0051]</v>
      </c>
    </row>
    <row r="885" ht="67.5" customHeight="1">
      <c r="A885" s="41">
        <v>52.0</v>
      </c>
      <c r="B885" s="42" t="s">
        <v>2393</v>
      </c>
      <c r="C885" s="43">
        <v>2022.0</v>
      </c>
      <c r="D885" s="44" t="s">
        <v>35</v>
      </c>
      <c r="E885" s="45" t="s">
        <v>36</v>
      </c>
      <c r="F885" s="45" t="s">
        <v>36</v>
      </c>
      <c r="G885" s="45" t="s">
        <v>36</v>
      </c>
      <c r="H885" s="45" t="s">
        <v>36</v>
      </c>
      <c r="I885" s="45" t="s">
        <v>36</v>
      </c>
      <c r="J885" s="46" t="s">
        <v>36</v>
      </c>
      <c r="K885" s="83" t="s">
        <v>37</v>
      </c>
      <c r="L885" s="71" t="s">
        <v>37</v>
      </c>
      <c r="M885" s="71" t="s">
        <v>35</v>
      </c>
      <c r="N885" s="71" t="s">
        <v>37</v>
      </c>
      <c r="O885" s="71" t="s">
        <v>35</v>
      </c>
      <c r="P885" s="71" t="s">
        <v>35</v>
      </c>
      <c r="Q885" s="71" t="s">
        <v>35</v>
      </c>
      <c r="R885" s="71" t="s">
        <v>35</v>
      </c>
      <c r="S885" s="57" t="s">
        <v>1057</v>
      </c>
      <c r="T885" s="50" t="s">
        <v>2394</v>
      </c>
      <c r="U885" s="51" t="s">
        <v>2394</v>
      </c>
      <c r="V885" s="52">
        <f t="shared" ref="V885:X885" si="891">IF(lenb(SUBSTITUTE($Z885,V$1&amp;" (1)",""))&lt;lenb($Z885),1,IF(lenb(SUBSTITUTE($Z885,V$1&amp;" (2)",""))&lt;lenb($Z885),2,IF(lenb(SUBSTITUTE($Z885,V$1&amp;" (3)",""))&lt;lenb($Z885),3,IF(lenb(SUBSTITUTE($Z885,V$1&amp;" (4)",""))&lt;lenb($Z885),4,IF(lenb(SUBSTITUTE($Z885,V$1&amp;" (5)",""))&lt;lenb($Z885),5,IF(lenb(SUBSTITUTE($Z885,V$1&amp;" (6)",""))&lt;lenb($Z885),6,IF(lenb(SUBSTITUTE($Z885,V$1&amp;" (7)",""))&lt;lenb($Z885),1,IF(lenb(SUBSTITUTE($Z885,V$1&amp;" (8)",""))&lt;lenb($Z885),8,IF(lenb(SUBSTITUTE($Z885,V$1&amp;" (9)",""))&lt;lenb($Z885),9,IF(lenb(SUBSTITUTE($Z885,V$1&amp;" (10)",""))&lt;lenb($Z885),10,IF(lenb(SUBSTITUTE($Z885,V$1,""))&lt;lenb($Z885),"ERROR",IF($Z885=$Y$1,"-",0))))))))))))</f>
        <v>1</v>
      </c>
      <c r="W885" s="52">
        <f t="shared" si="891"/>
        <v>0</v>
      </c>
      <c r="X885" s="52">
        <f t="shared" si="891"/>
        <v>0</v>
      </c>
      <c r="Y885" s="52" t="str">
        <f t="shared" si="3"/>
        <v>-</v>
      </c>
      <c r="Z885" s="52" t="s">
        <v>62</v>
      </c>
      <c r="AA885" s="53">
        <f t="shared" si="4"/>
        <v>1</v>
      </c>
      <c r="AB885" s="54">
        <f>COUNTIFS(Links!B:B,"ICSE",Links!C:C,A885,Links!AD:AD,1)</f>
        <v>0</v>
      </c>
      <c r="AC885" s="55" t="s">
        <v>35</v>
      </c>
      <c r="AD885" s="47" t="str">
        <f t="shared" si="5"/>
        <v>No</v>
      </c>
      <c r="AE885" s="56" t="s">
        <v>36</v>
      </c>
      <c r="AF885" s="57" t="s">
        <v>42</v>
      </c>
      <c r="AG885" s="57" t="s">
        <v>42</v>
      </c>
      <c r="AH885" s="57" t="s">
        <v>42</v>
      </c>
      <c r="AI885" s="49" t="str">
        <f t="shared" si="661"/>
        <v>----</v>
      </c>
      <c r="AJ885" s="58" t="str">
        <f t="shared" si="7"/>
        <v>Paper has link but no statement</v>
      </c>
      <c r="AK885" s="59">
        <v>44869.0</v>
      </c>
      <c r="AL885" s="43" t="s">
        <v>43</v>
      </c>
      <c r="AM885" s="60" t="str">
        <f t="shared" si="8"/>
        <v>[IP0052]</v>
      </c>
    </row>
    <row r="886" ht="67.5" customHeight="1">
      <c r="A886" s="61">
        <v>53.0</v>
      </c>
      <c r="B886" s="22" t="s">
        <v>2395</v>
      </c>
      <c r="C886" s="23">
        <v>2022.0</v>
      </c>
      <c r="D886" s="24" t="s">
        <v>37</v>
      </c>
      <c r="E886" s="25" t="s">
        <v>37</v>
      </c>
      <c r="F886" s="25" t="s">
        <v>35</v>
      </c>
      <c r="G886" s="25" t="s">
        <v>37</v>
      </c>
      <c r="H886" s="25" t="s">
        <v>35</v>
      </c>
      <c r="I886" s="25" t="s">
        <v>35</v>
      </c>
      <c r="J886" s="26" t="s">
        <v>36</v>
      </c>
      <c r="K886" s="82" t="s">
        <v>37</v>
      </c>
      <c r="L886" s="70" t="s">
        <v>37</v>
      </c>
      <c r="M886" s="70" t="s">
        <v>35</v>
      </c>
      <c r="N886" s="70" t="s">
        <v>37</v>
      </c>
      <c r="O886" s="70" t="s">
        <v>35</v>
      </c>
      <c r="P886" s="70" t="s">
        <v>35</v>
      </c>
      <c r="Q886" s="70" t="s">
        <v>35</v>
      </c>
      <c r="R886" s="70" t="s">
        <v>35</v>
      </c>
      <c r="S886" s="37" t="s">
        <v>2396</v>
      </c>
      <c r="T886" s="31" t="s">
        <v>2397</v>
      </c>
      <c r="U886" s="31" t="s">
        <v>2398</v>
      </c>
      <c r="V886" s="32">
        <f t="shared" ref="V886:X886" si="892">IF(lenb(SUBSTITUTE($Z886,V$1&amp;" (1)",""))&lt;lenb($Z886),1,IF(lenb(SUBSTITUTE($Z886,V$1&amp;" (2)",""))&lt;lenb($Z886),2,IF(lenb(SUBSTITUTE($Z886,V$1&amp;" (3)",""))&lt;lenb($Z886),3,IF(lenb(SUBSTITUTE($Z886,V$1&amp;" (4)",""))&lt;lenb($Z886),4,IF(lenb(SUBSTITUTE($Z886,V$1&amp;" (5)",""))&lt;lenb($Z886),5,IF(lenb(SUBSTITUTE($Z886,V$1&amp;" (6)",""))&lt;lenb($Z886),6,IF(lenb(SUBSTITUTE($Z886,V$1&amp;" (7)",""))&lt;lenb($Z886),1,IF(lenb(SUBSTITUTE($Z886,V$1&amp;" (8)",""))&lt;lenb($Z886),8,IF(lenb(SUBSTITUTE($Z886,V$1&amp;" (9)",""))&lt;lenb($Z886),9,IF(lenb(SUBSTITUTE($Z886,V$1&amp;" (10)",""))&lt;lenb($Z886),10,IF(lenb(SUBSTITUTE($Z886,V$1,""))&lt;lenb($Z886),"ERROR",IF($Z886=$Y$1,"-",0))))))))))))</f>
        <v>2</v>
      </c>
      <c r="W886" s="32">
        <f t="shared" si="892"/>
        <v>0</v>
      </c>
      <c r="X886" s="32">
        <f t="shared" si="892"/>
        <v>0</v>
      </c>
      <c r="Y886" s="32" t="str">
        <f t="shared" si="3"/>
        <v>-</v>
      </c>
      <c r="Z886" s="32" t="s">
        <v>57</v>
      </c>
      <c r="AA886" s="33">
        <f t="shared" si="4"/>
        <v>2</v>
      </c>
      <c r="AB886" s="34">
        <f>COUNTIFS(Links!B:B,"ICSE",Links!C:C,A886,Links!AD:AD,1)</f>
        <v>0</v>
      </c>
      <c r="AC886" s="35" t="s">
        <v>37</v>
      </c>
      <c r="AD886" s="27" t="str">
        <f t="shared" si="5"/>
        <v>No</v>
      </c>
      <c r="AE886" s="36" t="s">
        <v>36</v>
      </c>
      <c r="AF886" s="37" t="s">
        <v>42</v>
      </c>
      <c r="AG886" s="37" t="s">
        <v>42</v>
      </c>
      <c r="AH886" s="37" t="s">
        <v>42</v>
      </c>
      <c r="AI886" s="29" t="str">
        <f t="shared" si="661"/>
        <v>----</v>
      </c>
      <c r="AJ886" s="38" t="str">
        <f t="shared" si="7"/>
        <v>Paper has link but no statement</v>
      </c>
      <c r="AK886" s="39">
        <v>44869.0</v>
      </c>
      <c r="AL886" s="23" t="s">
        <v>43</v>
      </c>
      <c r="AM886" s="40" t="str">
        <f t="shared" si="8"/>
        <v>[IP0053]</v>
      </c>
    </row>
    <row r="887" ht="67.5" customHeight="1">
      <c r="A887" s="41">
        <v>54.0</v>
      </c>
      <c r="B887" s="42" t="s">
        <v>2399</v>
      </c>
      <c r="C887" s="43">
        <v>2022.0</v>
      </c>
      <c r="D887" s="44" t="s">
        <v>35</v>
      </c>
      <c r="E887" s="45" t="s">
        <v>36</v>
      </c>
      <c r="F887" s="45" t="s">
        <v>36</v>
      </c>
      <c r="G887" s="45" t="s">
        <v>36</v>
      </c>
      <c r="H887" s="45" t="s">
        <v>36</v>
      </c>
      <c r="I887" s="45" t="s">
        <v>36</v>
      </c>
      <c r="J887" s="46" t="s">
        <v>36</v>
      </c>
      <c r="K887" s="83" t="s">
        <v>37</v>
      </c>
      <c r="L887" s="71" t="s">
        <v>35</v>
      </c>
      <c r="M887" s="71" t="s">
        <v>37</v>
      </c>
      <c r="N887" s="71" t="s">
        <v>35</v>
      </c>
      <c r="O887" s="71" t="s">
        <v>35</v>
      </c>
      <c r="P887" s="71" t="s">
        <v>35</v>
      </c>
      <c r="Q887" s="71" t="s">
        <v>37</v>
      </c>
      <c r="R887" s="71" t="s">
        <v>37</v>
      </c>
      <c r="S887" s="57" t="s">
        <v>2400</v>
      </c>
      <c r="T887" s="50" t="s">
        <v>2401</v>
      </c>
      <c r="U887" s="51" t="s">
        <v>2401</v>
      </c>
      <c r="V887" s="52">
        <f t="shared" ref="V887:X887" si="893">IF(lenb(SUBSTITUTE($Z887,V$1&amp;" (1)",""))&lt;lenb($Z887),1,IF(lenb(SUBSTITUTE($Z887,V$1&amp;" (2)",""))&lt;lenb($Z887),2,IF(lenb(SUBSTITUTE($Z887,V$1&amp;" (3)",""))&lt;lenb($Z887),3,IF(lenb(SUBSTITUTE($Z887,V$1&amp;" (4)",""))&lt;lenb($Z887),4,IF(lenb(SUBSTITUTE($Z887,V$1&amp;" (5)",""))&lt;lenb($Z887),5,IF(lenb(SUBSTITUTE($Z887,V$1&amp;" (6)",""))&lt;lenb($Z887),6,IF(lenb(SUBSTITUTE($Z887,V$1&amp;" (7)",""))&lt;lenb($Z887),1,IF(lenb(SUBSTITUTE($Z887,V$1&amp;" (8)",""))&lt;lenb($Z887),8,IF(lenb(SUBSTITUTE($Z887,V$1&amp;" (9)",""))&lt;lenb($Z887),9,IF(lenb(SUBSTITUTE($Z887,V$1&amp;" (10)",""))&lt;lenb($Z887),10,IF(lenb(SUBSTITUTE($Z887,V$1,""))&lt;lenb($Z887),"ERROR",IF($Z887=$Y$1,"-",0))))))))))))</f>
        <v>1</v>
      </c>
      <c r="W887" s="52">
        <f t="shared" si="893"/>
        <v>0</v>
      </c>
      <c r="X887" s="52">
        <f t="shared" si="893"/>
        <v>0</v>
      </c>
      <c r="Y887" s="52" t="str">
        <f t="shared" si="3"/>
        <v>-</v>
      </c>
      <c r="Z887" s="52" t="s">
        <v>62</v>
      </c>
      <c r="AA887" s="53">
        <f t="shared" si="4"/>
        <v>1</v>
      </c>
      <c r="AB887" s="54">
        <f>COUNTIFS(Links!B:B,"ICSE",Links!C:C,A887,Links!AD:AD,1)</f>
        <v>0</v>
      </c>
      <c r="AC887" s="55" t="s">
        <v>35</v>
      </c>
      <c r="AD887" s="47" t="str">
        <f t="shared" si="5"/>
        <v>No</v>
      </c>
      <c r="AE887" s="56" t="s">
        <v>36</v>
      </c>
      <c r="AF887" s="57" t="s">
        <v>42</v>
      </c>
      <c r="AG887" s="57" t="s">
        <v>42</v>
      </c>
      <c r="AH887" s="57" t="s">
        <v>42</v>
      </c>
      <c r="AI887" s="49" t="str">
        <f t="shared" si="661"/>
        <v>----</v>
      </c>
      <c r="AJ887" s="58" t="str">
        <f t="shared" si="7"/>
        <v>Paper has link but no statement</v>
      </c>
      <c r="AK887" s="59">
        <v>44869.0</v>
      </c>
      <c r="AL887" s="43" t="s">
        <v>43</v>
      </c>
      <c r="AM887" s="60" t="str">
        <f t="shared" si="8"/>
        <v>[IP0054]</v>
      </c>
    </row>
    <row r="888" ht="67.5" customHeight="1">
      <c r="A888" s="61">
        <v>55.0</v>
      </c>
      <c r="B888" s="22" t="s">
        <v>2402</v>
      </c>
      <c r="C888" s="23">
        <v>2022.0</v>
      </c>
      <c r="D888" s="24" t="s">
        <v>35</v>
      </c>
      <c r="E888" s="25" t="s">
        <v>36</v>
      </c>
      <c r="F888" s="25" t="s">
        <v>36</v>
      </c>
      <c r="G888" s="25" t="s">
        <v>36</v>
      </c>
      <c r="H888" s="25" t="s">
        <v>36</v>
      </c>
      <c r="I888" s="25" t="s">
        <v>36</v>
      </c>
      <c r="J888" s="26" t="s">
        <v>36</v>
      </c>
      <c r="K888" s="82" t="s">
        <v>37</v>
      </c>
      <c r="L888" s="70" t="s">
        <v>37</v>
      </c>
      <c r="M888" s="70" t="s">
        <v>35</v>
      </c>
      <c r="N888" s="70" t="s">
        <v>37</v>
      </c>
      <c r="O888" s="70" t="s">
        <v>35</v>
      </c>
      <c r="P888" s="70" t="s">
        <v>35</v>
      </c>
      <c r="Q888" s="70" t="s">
        <v>35</v>
      </c>
      <c r="R888" s="70" t="s">
        <v>35</v>
      </c>
      <c r="S888" s="37" t="s">
        <v>1057</v>
      </c>
      <c r="T888" s="30" t="s">
        <v>2403</v>
      </c>
      <c r="U888" s="31" t="s">
        <v>2403</v>
      </c>
      <c r="V888" s="32">
        <f t="shared" ref="V888:X888" si="894">IF(lenb(SUBSTITUTE($Z888,V$1&amp;" (1)",""))&lt;lenb($Z888),1,IF(lenb(SUBSTITUTE($Z888,V$1&amp;" (2)",""))&lt;lenb($Z888),2,IF(lenb(SUBSTITUTE($Z888,V$1&amp;" (3)",""))&lt;lenb($Z888),3,IF(lenb(SUBSTITUTE($Z888,V$1&amp;" (4)",""))&lt;lenb($Z888),4,IF(lenb(SUBSTITUTE($Z888,V$1&amp;" (5)",""))&lt;lenb($Z888),5,IF(lenb(SUBSTITUTE($Z888,V$1&amp;" (6)",""))&lt;lenb($Z888),6,IF(lenb(SUBSTITUTE($Z888,V$1&amp;" (7)",""))&lt;lenb($Z888),1,IF(lenb(SUBSTITUTE($Z888,V$1&amp;" (8)",""))&lt;lenb($Z888),8,IF(lenb(SUBSTITUTE($Z888,V$1&amp;" (9)",""))&lt;lenb($Z888),9,IF(lenb(SUBSTITUTE($Z888,V$1&amp;" (10)",""))&lt;lenb($Z888),10,IF(lenb(SUBSTITUTE($Z888,V$1,""))&lt;lenb($Z888),"ERROR",IF($Z888=$Y$1,"-",0))))))))))))</f>
        <v>0</v>
      </c>
      <c r="W888" s="32">
        <f t="shared" si="894"/>
        <v>1</v>
      </c>
      <c r="X888" s="32">
        <f t="shared" si="894"/>
        <v>0</v>
      </c>
      <c r="Y888" s="32" t="str">
        <f t="shared" si="3"/>
        <v>-</v>
      </c>
      <c r="Z888" s="32" t="s">
        <v>2404</v>
      </c>
      <c r="AA888" s="33">
        <f t="shared" si="4"/>
        <v>1</v>
      </c>
      <c r="AB888" s="34">
        <f>COUNTIFS(Links!B:B,"ICSE",Links!C:C,A888,Links!AD:AD,1)</f>
        <v>0</v>
      </c>
      <c r="AC888" s="35" t="s">
        <v>35</v>
      </c>
      <c r="AD888" s="27" t="str">
        <f t="shared" si="5"/>
        <v>No</v>
      </c>
      <c r="AE888" s="36" t="s">
        <v>36</v>
      </c>
      <c r="AF888" s="37" t="s">
        <v>42</v>
      </c>
      <c r="AG888" s="37" t="s">
        <v>42</v>
      </c>
      <c r="AH888" s="37" t="s">
        <v>42</v>
      </c>
      <c r="AI888" s="29" t="str">
        <f t="shared" si="661"/>
        <v>----</v>
      </c>
      <c r="AJ888" s="38" t="str">
        <f t="shared" si="7"/>
        <v>Paper has link but no statement</v>
      </c>
      <c r="AK888" s="39">
        <v>44869.0</v>
      </c>
      <c r="AL888" s="23" t="s">
        <v>43</v>
      </c>
      <c r="AM888" s="40" t="str">
        <f t="shared" si="8"/>
        <v>[IP0055]</v>
      </c>
    </row>
    <row r="889" ht="67.5" customHeight="1">
      <c r="A889" s="41">
        <v>56.0</v>
      </c>
      <c r="B889" s="42" t="s">
        <v>2405</v>
      </c>
      <c r="C889" s="43">
        <v>2022.0</v>
      </c>
      <c r="D889" s="44" t="s">
        <v>35</v>
      </c>
      <c r="E889" s="45" t="s">
        <v>36</v>
      </c>
      <c r="F889" s="45" t="s">
        <v>36</v>
      </c>
      <c r="G889" s="45" t="s">
        <v>36</v>
      </c>
      <c r="H889" s="45" t="s">
        <v>36</v>
      </c>
      <c r="I889" s="45" t="s">
        <v>36</v>
      </c>
      <c r="J889" s="46" t="s">
        <v>36</v>
      </c>
      <c r="K889" s="83" t="s">
        <v>35</v>
      </c>
      <c r="L889" s="71" t="s">
        <v>36</v>
      </c>
      <c r="M889" s="71" t="s">
        <v>36</v>
      </c>
      <c r="N889" s="71" t="s">
        <v>36</v>
      </c>
      <c r="O889" s="71" t="s">
        <v>36</v>
      </c>
      <c r="P889" s="71" t="s">
        <v>36</v>
      </c>
      <c r="Q889" s="71" t="s">
        <v>36</v>
      </c>
      <c r="R889" s="71" t="s">
        <v>36</v>
      </c>
      <c r="S889" s="57" t="s">
        <v>36</v>
      </c>
      <c r="T889" s="50" t="s">
        <v>36</v>
      </c>
      <c r="U889" s="51" t="s">
        <v>36</v>
      </c>
      <c r="V889" s="52" t="str">
        <f t="shared" ref="V889:X889" si="895">IF(lenb(SUBSTITUTE($Z889,V$1&amp;" (1)",""))&lt;lenb($Z889),1,IF(lenb(SUBSTITUTE($Z889,V$1&amp;" (2)",""))&lt;lenb($Z889),2,IF(lenb(SUBSTITUTE($Z889,V$1&amp;" (3)",""))&lt;lenb($Z889),3,IF(lenb(SUBSTITUTE($Z889,V$1&amp;" (4)",""))&lt;lenb($Z889),4,IF(lenb(SUBSTITUTE($Z889,V$1&amp;" (5)",""))&lt;lenb($Z889),5,IF(lenb(SUBSTITUTE($Z889,V$1&amp;" (6)",""))&lt;lenb($Z889),6,IF(lenb(SUBSTITUTE($Z889,V$1&amp;" (7)",""))&lt;lenb($Z889),1,IF(lenb(SUBSTITUTE($Z889,V$1&amp;" (8)",""))&lt;lenb($Z889),8,IF(lenb(SUBSTITUTE($Z889,V$1&amp;" (9)",""))&lt;lenb($Z889),9,IF(lenb(SUBSTITUTE($Z889,V$1&amp;" (10)",""))&lt;lenb($Z889),10,IF(lenb(SUBSTITUTE($Z889,V$1,""))&lt;lenb($Z889),"ERROR",IF($Z889=$Y$1,"-",0))))))))))))</f>
        <v>-</v>
      </c>
      <c r="W889" s="52" t="str">
        <f t="shared" si="895"/>
        <v>-</v>
      </c>
      <c r="X889" s="52" t="str">
        <f t="shared" si="895"/>
        <v>-</v>
      </c>
      <c r="Y889" s="52">
        <f t="shared" si="3"/>
        <v>1</v>
      </c>
      <c r="Z889" s="52" t="s">
        <v>23</v>
      </c>
      <c r="AA889" s="53">
        <f t="shared" si="4"/>
        <v>0</v>
      </c>
      <c r="AB889" s="54">
        <f>COUNTIFS(Links!B:B,"ICSE",Links!C:C,A889,Links!AD:AD,1)</f>
        <v>0</v>
      </c>
      <c r="AC889" s="55" t="s">
        <v>36</v>
      </c>
      <c r="AD889" s="47" t="str">
        <f t="shared" si="5"/>
        <v>No</v>
      </c>
      <c r="AE889" s="56" t="s">
        <v>36</v>
      </c>
      <c r="AF889" s="57" t="s">
        <v>42</v>
      </c>
      <c r="AG889" s="57" t="s">
        <v>42</v>
      </c>
      <c r="AH889" s="57" t="s">
        <v>42</v>
      </c>
      <c r="AI889" s="49" t="str">
        <f t="shared" si="661"/>
        <v>----</v>
      </c>
      <c r="AJ889" s="58" t="str">
        <f t="shared" si="7"/>
        <v>Paper has no link and no statement</v>
      </c>
      <c r="AK889" s="59">
        <v>44869.0</v>
      </c>
      <c r="AL889" s="43" t="s">
        <v>43</v>
      </c>
      <c r="AM889" s="60" t="str">
        <f t="shared" si="8"/>
        <v>[IP0056]</v>
      </c>
    </row>
    <row r="890" ht="67.5" customHeight="1">
      <c r="A890" s="61">
        <v>57.0</v>
      </c>
      <c r="B890" s="22" t="s">
        <v>2406</v>
      </c>
      <c r="C890" s="23">
        <v>2022.0</v>
      </c>
      <c r="D890" s="24" t="s">
        <v>37</v>
      </c>
      <c r="E890" s="25" t="s">
        <v>37</v>
      </c>
      <c r="F890" s="25" t="s">
        <v>35</v>
      </c>
      <c r="G890" s="25" t="s">
        <v>37</v>
      </c>
      <c r="H890" s="25" t="s">
        <v>35</v>
      </c>
      <c r="I890" s="25" t="s">
        <v>35</v>
      </c>
      <c r="J890" s="26" t="s">
        <v>36</v>
      </c>
      <c r="K890" s="82" t="s">
        <v>37</v>
      </c>
      <c r="L890" s="70" t="s">
        <v>35</v>
      </c>
      <c r="M890" s="70" t="s">
        <v>35</v>
      </c>
      <c r="N890" s="70" t="s">
        <v>35</v>
      </c>
      <c r="O890" s="70" t="s">
        <v>35</v>
      </c>
      <c r="P890" s="70" t="s">
        <v>35</v>
      </c>
      <c r="Q890" s="70" t="s">
        <v>37</v>
      </c>
      <c r="R890" s="70" t="s">
        <v>35</v>
      </c>
      <c r="S890" s="37" t="s">
        <v>2271</v>
      </c>
      <c r="T890" s="30" t="s">
        <v>2407</v>
      </c>
      <c r="U890" s="31" t="s">
        <v>2407</v>
      </c>
      <c r="V890" s="32">
        <f t="shared" ref="V890:X890" si="896">IF(lenb(SUBSTITUTE($Z890,V$1&amp;" (1)",""))&lt;lenb($Z890),1,IF(lenb(SUBSTITUTE($Z890,V$1&amp;" (2)",""))&lt;lenb($Z890),2,IF(lenb(SUBSTITUTE($Z890,V$1&amp;" (3)",""))&lt;lenb($Z890),3,IF(lenb(SUBSTITUTE($Z890,V$1&amp;" (4)",""))&lt;lenb($Z890),4,IF(lenb(SUBSTITUTE($Z890,V$1&amp;" (5)",""))&lt;lenb($Z890),5,IF(lenb(SUBSTITUTE($Z890,V$1&amp;" (6)",""))&lt;lenb($Z890),6,IF(lenb(SUBSTITUTE($Z890,V$1&amp;" (7)",""))&lt;lenb($Z890),1,IF(lenb(SUBSTITUTE($Z890,V$1&amp;" (8)",""))&lt;lenb($Z890),8,IF(lenb(SUBSTITUTE($Z890,V$1&amp;" (9)",""))&lt;lenb($Z890),9,IF(lenb(SUBSTITUTE($Z890,V$1&amp;" (10)",""))&lt;lenb($Z890),10,IF(lenb(SUBSTITUTE($Z890,V$1,""))&lt;lenb($Z890),"ERROR",IF($Z890=$Y$1,"-",0))))))))))))</f>
        <v>2</v>
      </c>
      <c r="W890" s="32">
        <f t="shared" si="896"/>
        <v>0</v>
      </c>
      <c r="X890" s="32">
        <f t="shared" si="896"/>
        <v>0</v>
      </c>
      <c r="Y890" s="32" t="str">
        <f t="shared" si="3"/>
        <v>-</v>
      </c>
      <c r="Z890" s="32" t="s">
        <v>57</v>
      </c>
      <c r="AA890" s="33">
        <f t="shared" si="4"/>
        <v>2</v>
      </c>
      <c r="AB890" s="34">
        <f>COUNTIFS(Links!B:B,"ICSE",Links!C:C,A890,Links!AD:AD,1)</f>
        <v>0</v>
      </c>
      <c r="AC890" s="35" t="s">
        <v>37</v>
      </c>
      <c r="AD890" s="27" t="str">
        <f t="shared" si="5"/>
        <v>Yes</v>
      </c>
      <c r="AE890" s="36" t="s">
        <v>2408</v>
      </c>
      <c r="AF890" s="36" t="s">
        <v>1251</v>
      </c>
      <c r="AG890" s="36" t="s">
        <v>146</v>
      </c>
      <c r="AH890" s="37" t="s">
        <v>42</v>
      </c>
      <c r="AI890" s="29" t="str">
        <f t="shared" si="661"/>
        <v>Barriers (Technical issues)
Future plans (—)</v>
      </c>
      <c r="AJ890" s="38" t="str">
        <f t="shared" si="7"/>
        <v>Paper has link and statement</v>
      </c>
      <c r="AK890" s="39">
        <v>44869.0</v>
      </c>
      <c r="AL890" s="23" t="s">
        <v>43</v>
      </c>
      <c r="AM890" s="40" t="str">
        <f t="shared" si="8"/>
        <v>[IP0057]</v>
      </c>
    </row>
    <row r="891" ht="67.5" customHeight="1">
      <c r="A891" s="41">
        <v>58.0</v>
      </c>
      <c r="B891" s="42" t="s">
        <v>2409</v>
      </c>
      <c r="C891" s="43">
        <v>2022.0</v>
      </c>
      <c r="D891" s="44" t="s">
        <v>35</v>
      </c>
      <c r="E891" s="45" t="s">
        <v>36</v>
      </c>
      <c r="F891" s="45" t="s">
        <v>36</v>
      </c>
      <c r="G891" s="45" t="s">
        <v>36</v>
      </c>
      <c r="H891" s="45" t="s">
        <v>36</v>
      </c>
      <c r="I891" s="45" t="s">
        <v>36</v>
      </c>
      <c r="J891" s="46" t="s">
        <v>36</v>
      </c>
      <c r="K891" s="83" t="s">
        <v>37</v>
      </c>
      <c r="L891" s="71" t="s">
        <v>37</v>
      </c>
      <c r="M891" s="71" t="s">
        <v>35</v>
      </c>
      <c r="N891" s="71" t="s">
        <v>37</v>
      </c>
      <c r="O891" s="71" t="s">
        <v>35</v>
      </c>
      <c r="P891" s="71" t="s">
        <v>35</v>
      </c>
      <c r="Q891" s="71" t="s">
        <v>35</v>
      </c>
      <c r="R891" s="71" t="s">
        <v>37</v>
      </c>
      <c r="S891" s="57" t="s">
        <v>2410</v>
      </c>
      <c r="T891" s="50" t="s">
        <v>2411</v>
      </c>
      <c r="U891" s="51" t="s">
        <v>2411</v>
      </c>
      <c r="V891" s="52">
        <f t="shared" ref="V891:X891" si="897">IF(lenb(SUBSTITUTE($Z891,V$1&amp;" (1)",""))&lt;lenb($Z891),1,IF(lenb(SUBSTITUTE($Z891,V$1&amp;" (2)",""))&lt;lenb($Z891),2,IF(lenb(SUBSTITUTE($Z891,V$1&amp;" (3)",""))&lt;lenb($Z891),3,IF(lenb(SUBSTITUTE($Z891,V$1&amp;" (4)",""))&lt;lenb($Z891),4,IF(lenb(SUBSTITUTE($Z891,V$1&amp;" (5)",""))&lt;lenb($Z891),5,IF(lenb(SUBSTITUTE($Z891,V$1&amp;" (6)",""))&lt;lenb($Z891),6,IF(lenb(SUBSTITUTE($Z891,V$1&amp;" (7)",""))&lt;lenb($Z891),1,IF(lenb(SUBSTITUTE($Z891,V$1&amp;" (8)",""))&lt;lenb($Z891),8,IF(lenb(SUBSTITUTE($Z891,V$1&amp;" (9)",""))&lt;lenb($Z891),9,IF(lenb(SUBSTITUTE($Z891,V$1&amp;" (10)",""))&lt;lenb($Z891),10,IF(lenb(SUBSTITUTE($Z891,V$1,""))&lt;lenb($Z891),"ERROR",IF($Z891=$Y$1,"-",0))))))))))))</f>
        <v>1</v>
      </c>
      <c r="W891" s="52">
        <f t="shared" si="897"/>
        <v>0</v>
      </c>
      <c r="X891" s="52">
        <f t="shared" si="897"/>
        <v>0</v>
      </c>
      <c r="Y891" s="52" t="str">
        <f t="shared" si="3"/>
        <v>-</v>
      </c>
      <c r="Z891" s="52" t="s">
        <v>62</v>
      </c>
      <c r="AA891" s="53">
        <f t="shared" si="4"/>
        <v>1</v>
      </c>
      <c r="AB891" s="54">
        <f>COUNTIFS(Links!B:B,"ICSE",Links!C:C,A891,Links!AD:AD,1)</f>
        <v>0</v>
      </c>
      <c r="AC891" s="55" t="s">
        <v>35</v>
      </c>
      <c r="AD891" s="47" t="str">
        <f t="shared" si="5"/>
        <v>No</v>
      </c>
      <c r="AE891" s="56" t="s">
        <v>36</v>
      </c>
      <c r="AF891" s="57" t="s">
        <v>42</v>
      </c>
      <c r="AG891" s="57" t="s">
        <v>42</v>
      </c>
      <c r="AH891" s="57" t="s">
        <v>42</v>
      </c>
      <c r="AI891" s="49" t="str">
        <f t="shared" si="661"/>
        <v>----</v>
      </c>
      <c r="AJ891" s="58" t="str">
        <f t="shared" si="7"/>
        <v>Paper has link but no statement</v>
      </c>
      <c r="AK891" s="59">
        <v>44869.0</v>
      </c>
      <c r="AL891" s="43" t="s">
        <v>43</v>
      </c>
      <c r="AM891" s="60" t="str">
        <f t="shared" si="8"/>
        <v>[IP0058]</v>
      </c>
    </row>
    <row r="892" ht="67.5" customHeight="1">
      <c r="A892" s="61">
        <v>59.0</v>
      </c>
      <c r="B892" s="22" t="s">
        <v>2412</v>
      </c>
      <c r="C892" s="23">
        <v>2022.0</v>
      </c>
      <c r="D892" s="24" t="s">
        <v>35</v>
      </c>
      <c r="E892" s="25" t="s">
        <v>36</v>
      </c>
      <c r="F892" s="25" t="s">
        <v>36</v>
      </c>
      <c r="G892" s="25" t="s">
        <v>36</v>
      </c>
      <c r="H892" s="25" t="s">
        <v>36</v>
      </c>
      <c r="I892" s="25" t="s">
        <v>36</v>
      </c>
      <c r="J892" s="26" t="s">
        <v>36</v>
      </c>
      <c r="K892" s="82" t="s">
        <v>37</v>
      </c>
      <c r="L892" s="70" t="s">
        <v>35</v>
      </c>
      <c r="M892" s="70" t="s">
        <v>37</v>
      </c>
      <c r="N892" s="70" t="s">
        <v>37</v>
      </c>
      <c r="O892" s="70" t="s">
        <v>35</v>
      </c>
      <c r="P892" s="70" t="s">
        <v>35</v>
      </c>
      <c r="Q892" s="70" t="s">
        <v>35</v>
      </c>
      <c r="R892" s="70" t="s">
        <v>37</v>
      </c>
      <c r="S892" s="37" t="s">
        <v>2413</v>
      </c>
      <c r="T892" s="30" t="s">
        <v>2414</v>
      </c>
      <c r="U892" s="31" t="s">
        <v>2414</v>
      </c>
      <c r="V892" s="32">
        <f t="shared" ref="V892:X892" si="898">IF(lenb(SUBSTITUTE($Z892,V$1&amp;" (1)",""))&lt;lenb($Z892),1,IF(lenb(SUBSTITUTE($Z892,V$1&amp;" (2)",""))&lt;lenb($Z892),2,IF(lenb(SUBSTITUTE($Z892,V$1&amp;" (3)",""))&lt;lenb($Z892),3,IF(lenb(SUBSTITUTE($Z892,V$1&amp;" (4)",""))&lt;lenb($Z892),4,IF(lenb(SUBSTITUTE($Z892,V$1&amp;" (5)",""))&lt;lenb($Z892),5,IF(lenb(SUBSTITUTE($Z892,V$1&amp;" (6)",""))&lt;lenb($Z892),6,IF(lenb(SUBSTITUTE($Z892,V$1&amp;" (7)",""))&lt;lenb($Z892),1,IF(lenb(SUBSTITUTE($Z892,V$1&amp;" (8)",""))&lt;lenb($Z892),8,IF(lenb(SUBSTITUTE($Z892,V$1&amp;" (9)",""))&lt;lenb($Z892),9,IF(lenb(SUBSTITUTE($Z892,V$1&amp;" (10)",""))&lt;lenb($Z892),10,IF(lenb(SUBSTITUTE($Z892,V$1,""))&lt;lenb($Z892),"ERROR",IF($Z892=$Y$1,"-",0))))))))))))</f>
        <v>1</v>
      </c>
      <c r="W892" s="32">
        <f t="shared" si="898"/>
        <v>0</v>
      </c>
      <c r="X892" s="32">
        <f t="shared" si="898"/>
        <v>0</v>
      </c>
      <c r="Y892" s="32" t="str">
        <f t="shared" si="3"/>
        <v>-</v>
      </c>
      <c r="Z892" s="32" t="s">
        <v>62</v>
      </c>
      <c r="AA892" s="33">
        <f t="shared" si="4"/>
        <v>1</v>
      </c>
      <c r="AB892" s="34">
        <f>COUNTIFS(Links!B:B,"ICSE",Links!C:C,A892,Links!AD:AD,1)</f>
        <v>0</v>
      </c>
      <c r="AC892" s="35" t="s">
        <v>35</v>
      </c>
      <c r="AD892" s="27" t="str">
        <f t="shared" si="5"/>
        <v>No</v>
      </c>
      <c r="AE892" s="36" t="s">
        <v>36</v>
      </c>
      <c r="AF892" s="37" t="s">
        <v>42</v>
      </c>
      <c r="AG892" s="37" t="s">
        <v>42</v>
      </c>
      <c r="AH892" s="37" t="s">
        <v>42</v>
      </c>
      <c r="AI892" s="29" t="str">
        <f t="shared" si="661"/>
        <v>----</v>
      </c>
      <c r="AJ892" s="38" t="str">
        <f t="shared" si="7"/>
        <v>Paper has link but no statement</v>
      </c>
      <c r="AK892" s="39">
        <v>44869.0</v>
      </c>
      <c r="AL892" s="23" t="s">
        <v>43</v>
      </c>
      <c r="AM892" s="40" t="str">
        <f t="shared" si="8"/>
        <v>[IP0059]</v>
      </c>
    </row>
    <row r="893" ht="67.5" customHeight="1">
      <c r="A893" s="41">
        <v>60.0</v>
      </c>
      <c r="B893" s="42" t="s">
        <v>2415</v>
      </c>
      <c r="C893" s="43">
        <v>2022.0</v>
      </c>
      <c r="D893" s="44" t="s">
        <v>35</v>
      </c>
      <c r="E893" s="45" t="s">
        <v>36</v>
      </c>
      <c r="F893" s="45" t="s">
        <v>36</v>
      </c>
      <c r="G893" s="45" t="s">
        <v>36</v>
      </c>
      <c r="H893" s="45" t="s">
        <v>36</v>
      </c>
      <c r="I893" s="45" t="s">
        <v>36</v>
      </c>
      <c r="J893" s="46" t="s">
        <v>36</v>
      </c>
      <c r="K893" s="83" t="s">
        <v>37</v>
      </c>
      <c r="L893" s="71" t="s">
        <v>35</v>
      </c>
      <c r="M893" s="71" t="s">
        <v>37</v>
      </c>
      <c r="N893" s="71" t="s">
        <v>35</v>
      </c>
      <c r="O893" s="71" t="s">
        <v>37</v>
      </c>
      <c r="P893" s="71" t="s">
        <v>35</v>
      </c>
      <c r="Q893" s="71" t="s">
        <v>35</v>
      </c>
      <c r="R893" s="71" t="s">
        <v>37</v>
      </c>
      <c r="S893" s="57" t="s">
        <v>2416</v>
      </c>
      <c r="T893" s="50" t="s">
        <v>2417</v>
      </c>
      <c r="U893" s="51" t="s">
        <v>2417</v>
      </c>
      <c r="V893" s="52">
        <f t="shared" ref="V893:X893" si="899">IF(lenb(SUBSTITUTE($Z893,V$1&amp;" (1)",""))&lt;lenb($Z893),1,IF(lenb(SUBSTITUTE($Z893,V$1&amp;" (2)",""))&lt;lenb($Z893),2,IF(lenb(SUBSTITUTE($Z893,V$1&amp;" (3)",""))&lt;lenb($Z893),3,IF(lenb(SUBSTITUTE($Z893,V$1&amp;" (4)",""))&lt;lenb($Z893),4,IF(lenb(SUBSTITUTE($Z893,V$1&amp;" (5)",""))&lt;lenb($Z893),5,IF(lenb(SUBSTITUTE($Z893,V$1&amp;" (6)",""))&lt;lenb($Z893),6,IF(lenb(SUBSTITUTE($Z893,V$1&amp;" (7)",""))&lt;lenb($Z893),1,IF(lenb(SUBSTITUTE($Z893,V$1&amp;" (8)",""))&lt;lenb($Z893),8,IF(lenb(SUBSTITUTE($Z893,V$1&amp;" (9)",""))&lt;lenb($Z893),9,IF(lenb(SUBSTITUTE($Z893,V$1&amp;" (10)",""))&lt;lenb($Z893),10,IF(lenb(SUBSTITUTE($Z893,V$1,""))&lt;lenb($Z893),"ERROR",IF($Z893=$Y$1,"-",0))))))))))))</f>
        <v>1</v>
      </c>
      <c r="W893" s="52">
        <f t="shared" si="899"/>
        <v>0</v>
      </c>
      <c r="X893" s="52">
        <f t="shared" si="899"/>
        <v>0</v>
      </c>
      <c r="Y893" s="52" t="str">
        <f t="shared" si="3"/>
        <v>-</v>
      </c>
      <c r="Z893" s="52" t="s">
        <v>62</v>
      </c>
      <c r="AA893" s="53">
        <f t="shared" si="4"/>
        <v>1</v>
      </c>
      <c r="AB893" s="54">
        <f>COUNTIFS(Links!B:B,"ICSE",Links!C:C,A893,Links!AD:AD,1)</f>
        <v>0</v>
      </c>
      <c r="AC893" s="55" t="s">
        <v>35</v>
      </c>
      <c r="AD893" s="47" t="str">
        <f t="shared" si="5"/>
        <v>No</v>
      </c>
      <c r="AE893" s="56" t="s">
        <v>36</v>
      </c>
      <c r="AF893" s="57" t="s">
        <v>42</v>
      </c>
      <c r="AG893" s="57" t="s">
        <v>42</v>
      </c>
      <c r="AH893" s="57" t="s">
        <v>42</v>
      </c>
      <c r="AI893" s="49" t="str">
        <f t="shared" si="661"/>
        <v>----</v>
      </c>
      <c r="AJ893" s="58" t="str">
        <f t="shared" si="7"/>
        <v>Paper has link but no statement</v>
      </c>
      <c r="AK893" s="59">
        <v>44869.0</v>
      </c>
      <c r="AL893" s="43" t="s">
        <v>43</v>
      </c>
      <c r="AM893" s="60" t="str">
        <f t="shared" si="8"/>
        <v>[IP0060]</v>
      </c>
    </row>
    <row r="894" ht="67.5" customHeight="1">
      <c r="A894" s="61">
        <v>61.0</v>
      </c>
      <c r="B894" s="22" t="s">
        <v>2418</v>
      </c>
      <c r="C894" s="23">
        <v>2022.0</v>
      </c>
      <c r="D894" s="24" t="s">
        <v>35</v>
      </c>
      <c r="E894" s="25" t="s">
        <v>36</v>
      </c>
      <c r="F894" s="25" t="s">
        <v>36</v>
      </c>
      <c r="G894" s="25" t="s">
        <v>36</v>
      </c>
      <c r="H894" s="25" t="s">
        <v>36</v>
      </c>
      <c r="I894" s="25" t="s">
        <v>36</v>
      </c>
      <c r="J894" s="26" t="s">
        <v>36</v>
      </c>
      <c r="K894" s="82" t="s">
        <v>35</v>
      </c>
      <c r="L894" s="70" t="s">
        <v>36</v>
      </c>
      <c r="M894" s="70" t="s">
        <v>36</v>
      </c>
      <c r="N894" s="70" t="s">
        <v>36</v>
      </c>
      <c r="O894" s="70" t="s">
        <v>36</v>
      </c>
      <c r="P894" s="70" t="s">
        <v>36</v>
      </c>
      <c r="Q894" s="70" t="s">
        <v>36</v>
      </c>
      <c r="R894" s="70" t="s">
        <v>36</v>
      </c>
      <c r="S894" s="37" t="s">
        <v>36</v>
      </c>
      <c r="T894" s="30" t="s">
        <v>36</v>
      </c>
      <c r="U894" s="31" t="s">
        <v>36</v>
      </c>
      <c r="V894" s="32" t="str">
        <f t="shared" ref="V894:X894" si="900">IF(lenb(SUBSTITUTE($Z894,V$1&amp;" (1)",""))&lt;lenb($Z894),1,IF(lenb(SUBSTITUTE($Z894,V$1&amp;" (2)",""))&lt;lenb($Z894),2,IF(lenb(SUBSTITUTE($Z894,V$1&amp;" (3)",""))&lt;lenb($Z894),3,IF(lenb(SUBSTITUTE($Z894,V$1&amp;" (4)",""))&lt;lenb($Z894),4,IF(lenb(SUBSTITUTE($Z894,V$1&amp;" (5)",""))&lt;lenb($Z894),5,IF(lenb(SUBSTITUTE($Z894,V$1&amp;" (6)",""))&lt;lenb($Z894),6,IF(lenb(SUBSTITUTE($Z894,V$1&amp;" (7)",""))&lt;lenb($Z894),1,IF(lenb(SUBSTITUTE($Z894,V$1&amp;" (8)",""))&lt;lenb($Z894),8,IF(lenb(SUBSTITUTE($Z894,V$1&amp;" (9)",""))&lt;lenb($Z894),9,IF(lenb(SUBSTITUTE($Z894,V$1&amp;" (10)",""))&lt;lenb($Z894),10,IF(lenb(SUBSTITUTE($Z894,V$1,""))&lt;lenb($Z894),"ERROR",IF($Z894=$Y$1,"-",0))))))))))))</f>
        <v>-</v>
      </c>
      <c r="W894" s="32" t="str">
        <f t="shared" si="900"/>
        <v>-</v>
      </c>
      <c r="X894" s="32" t="str">
        <f t="shared" si="900"/>
        <v>-</v>
      </c>
      <c r="Y894" s="32">
        <f t="shared" si="3"/>
        <v>1</v>
      </c>
      <c r="Z894" s="32" t="s">
        <v>23</v>
      </c>
      <c r="AA894" s="33">
        <f t="shared" si="4"/>
        <v>0</v>
      </c>
      <c r="AB894" s="34">
        <f>COUNTIFS(Links!B:B,"ICSE",Links!C:C,A894,Links!AD:AD,1)</f>
        <v>0</v>
      </c>
      <c r="AC894" s="35" t="s">
        <v>36</v>
      </c>
      <c r="AD894" s="27" t="str">
        <f t="shared" si="5"/>
        <v>Yes</v>
      </c>
      <c r="AE894" s="36" t="s">
        <v>2419</v>
      </c>
      <c r="AF894" s="36" t="s">
        <v>281</v>
      </c>
      <c r="AG894" s="36" t="s">
        <v>822</v>
      </c>
      <c r="AH894" s="37" t="s">
        <v>42</v>
      </c>
      <c r="AI894" s="29" t="str">
        <f t="shared" si="661"/>
        <v>Barriers (Confidentiality and privacy)
Limited access (Request required)</v>
      </c>
      <c r="AJ894" s="38" t="str">
        <f t="shared" si="7"/>
        <v>Paper has no link but has statement</v>
      </c>
      <c r="AK894" s="39">
        <v>44869.0</v>
      </c>
      <c r="AL894" s="23" t="s">
        <v>43</v>
      </c>
      <c r="AM894" s="40" t="str">
        <f t="shared" si="8"/>
        <v>[IP0061]</v>
      </c>
    </row>
    <row r="895" ht="67.5" customHeight="1">
      <c r="A895" s="41">
        <v>62.0</v>
      </c>
      <c r="B895" s="42" t="s">
        <v>2420</v>
      </c>
      <c r="C895" s="43">
        <v>2022.0</v>
      </c>
      <c r="D895" s="44" t="s">
        <v>35</v>
      </c>
      <c r="E895" s="45" t="s">
        <v>36</v>
      </c>
      <c r="F895" s="45" t="s">
        <v>36</v>
      </c>
      <c r="G895" s="45" t="s">
        <v>36</v>
      </c>
      <c r="H895" s="45" t="s">
        <v>36</v>
      </c>
      <c r="I895" s="45" t="s">
        <v>36</v>
      </c>
      <c r="J895" s="46" t="s">
        <v>36</v>
      </c>
      <c r="K895" s="83" t="s">
        <v>37</v>
      </c>
      <c r="L895" s="71" t="s">
        <v>35</v>
      </c>
      <c r="M895" s="71" t="s">
        <v>35</v>
      </c>
      <c r="N895" s="71" t="s">
        <v>37</v>
      </c>
      <c r="O895" s="71" t="s">
        <v>35</v>
      </c>
      <c r="P895" s="71" t="s">
        <v>35</v>
      </c>
      <c r="Q895" s="71" t="s">
        <v>37</v>
      </c>
      <c r="R895" s="71" t="s">
        <v>35</v>
      </c>
      <c r="S895" s="57" t="s">
        <v>2421</v>
      </c>
      <c r="T895" s="50" t="s">
        <v>2422</v>
      </c>
      <c r="U895" s="51" t="s">
        <v>2422</v>
      </c>
      <c r="V895" s="52">
        <f t="shared" ref="V895:X895" si="901">IF(lenb(SUBSTITUTE($Z895,V$1&amp;" (1)",""))&lt;lenb($Z895),1,IF(lenb(SUBSTITUTE($Z895,V$1&amp;" (2)",""))&lt;lenb($Z895),2,IF(lenb(SUBSTITUTE($Z895,V$1&amp;" (3)",""))&lt;lenb($Z895),3,IF(lenb(SUBSTITUTE($Z895,V$1&amp;" (4)",""))&lt;lenb($Z895),4,IF(lenb(SUBSTITUTE($Z895,V$1&amp;" (5)",""))&lt;lenb($Z895),5,IF(lenb(SUBSTITUTE($Z895,V$1&amp;" (6)",""))&lt;lenb($Z895),6,IF(lenb(SUBSTITUTE($Z895,V$1&amp;" (7)",""))&lt;lenb($Z895),1,IF(lenb(SUBSTITUTE($Z895,V$1&amp;" (8)",""))&lt;lenb($Z895),8,IF(lenb(SUBSTITUTE($Z895,V$1&amp;" (9)",""))&lt;lenb($Z895),9,IF(lenb(SUBSTITUTE($Z895,V$1&amp;" (10)",""))&lt;lenb($Z895),10,IF(lenb(SUBSTITUTE($Z895,V$1,""))&lt;lenb($Z895),"ERROR",IF($Z895=$Y$1,"-",0))))))))))))</f>
        <v>1</v>
      </c>
      <c r="W895" s="52">
        <f t="shared" si="901"/>
        <v>0</v>
      </c>
      <c r="X895" s="52">
        <f t="shared" si="901"/>
        <v>0</v>
      </c>
      <c r="Y895" s="52" t="str">
        <f t="shared" si="3"/>
        <v>-</v>
      </c>
      <c r="Z895" s="52" t="s">
        <v>62</v>
      </c>
      <c r="AA895" s="53">
        <f t="shared" si="4"/>
        <v>1</v>
      </c>
      <c r="AB895" s="54">
        <f>COUNTIFS(Links!B:B,"ICSE",Links!C:C,A895,Links!AD:AD,1)</f>
        <v>0</v>
      </c>
      <c r="AC895" s="55" t="s">
        <v>35</v>
      </c>
      <c r="AD895" s="47" t="str">
        <f t="shared" si="5"/>
        <v>No</v>
      </c>
      <c r="AE895" s="56" t="s">
        <v>36</v>
      </c>
      <c r="AF895" s="57" t="s">
        <v>42</v>
      </c>
      <c r="AG895" s="57" t="s">
        <v>42</v>
      </c>
      <c r="AH895" s="57" t="s">
        <v>42</v>
      </c>
      <c r="AI895" s="49" t="str">
        <f t="shared" si="661"/>
        <v>----</v>
      </c>
      <c r="AJ895" s="58" t="str">
        <f t="shared" si="7"/>
        <v>Paper has link but no statement</v>
      </c>
      <c r="AK895" s="59">
        <v>44869.0</v>
      </c>
      <c r="AL895" s="43" t="s">
        <v>43</v>
      </c>
      <c r="AM895" s="60" t="str">
        <f t="shared" si="8"/>
        <v>[IP0062]</v>
      </c>
    </row>
    <row r="896" ht="67.5" customHeight="1">
      <c r="A896" s="61">
        <v>63.0</v>
      </c>
      <c r="B896" s="22" t="s">
        <v>2423</v>
      </c>
      <c r="C896" s="23">
        <v>2022.0</v>
      </c>
      <c r="D896" s="24" t="s">
        <v>37</v>
      </c>
      <c r="E896" s="25" t="s">
        <v>37</v>
      </c>
      <c r="F896" s="25" t="s">
        <v>35</v>
      </c>
      <c r="G896" s="25" t="s">
        <v>37</v>
      </c>
      <c r="H896" s="25" t="s">
        <v>35</v>
      </c>
      <c r="I896" s="25" t="s">
        <v>35</v>
      </c>
      <c r="J896" s="26" t="s">
        <v>36</v>
      </c>
      <c r="K896" s="82" t="s">
        <v>37</v>
      </c>
      <c r="L896" s="70" t="s">
        <v>35</v>
      </c>
      <c r="M896" s="70" t="s">
        <v>37</v>
      </c>
      <c r="N896" s="70" t="s">
        <v>37</v>
      </c>
      <c r="O896" s="70" t="s">
        <v>37</v>
      </c>
      <c r="P896" s="70" t="s">
        <v>37</v>
      </c>
      <c r="Q896" s="70" t="s">
        <v>35</v>
      </c>
      <c r="R896" s="70" t="s">
        <v>37</v>
      </c>
      <c r="S896" s="37" t="s">
        <v>2424</v>
      </c>
      <c r="T896" s="30" t="s">
        <v>2425</v>
      </c>
      <c r="U896" s="31" t="s">
        <v>2425</v>
      </c>
      <c r="V896" s="32">
        <f t="shared" ref="V896:X896" si="902">IF(lenb(SUBSTITUTE($Z896,V$1&amp;" (1)",""))&lt;lenb($Z896),1,IF(lenb(SUBSTITUTE($Z896,V$1&amp;" (2)",""))&lt;lenb($Z896),2,IF(lenb(SUBSTITUTE($Z896,V$1&amp;" (3)",""))&lt;lenb($Z896),3,IF(lenb(SUBSTITUTE($Z896,V$1&amp;" (4)",""))&lt;lenb($Z896),4,IF(lenb(SUBSTITUTE($Z896,V$1&amp;" (5)",""))&lt;lenb($Z896),5,IF(lenb(SUBSTITUTE($Z896,V$1&amp;" (6)",""))&lt;lenb($Z896),6,IF(lenb(SUBSTITUTE($Z896,V$1&amp;" (7)",""))&lt;lenb($Z896),1,IF(lenb(SUBSTITUTE($Z896,V$1&amp;" (8)",""))&lt;lenb($Z896),8,IF(lenb(SUBSTITUTE($Z896,V$1&amp;" (9)",""))&lt;lenb($Z896),9,IF(lenb(SUBSTITUTE($Z896,V$1&amp;" (10)",""))&lt;lenb($Z896),10,IF(lenb(SUBSTITUTE($Z896,V$1,""))&lt;lenb($Z896),"ERROR",IF($Z896=$Y$1,"-",0))))))))))))</f>
        <v>2</v>
      </c>
      <c r="W896" s="32">
        <f t="shared" si="902"/>
        <v>0</v>
      </c>
      <c r="X896" s="32">
        <f t="shared" si="902"/>
        <v>0</v>
      </c>
      <c r="Y896" s="32" t="str">
        <f t="shared" si="3"/>
        <v>-</v>
      </c>
      <c r="Z896" s="32" t="s">
        <v>57</v>
      </c>
      <c r="AA896" s="33">
        <f t="shared" si="4"/>
        <v>2</v>
      </c>
      <c r="AB896" s="34">
        <f>COUNTIFS(Links!B:B,"ICSE",Links!C:C,A896,Links!AD:AD,1)</f>
        <v>0</v>
      </c>
      <c r="AC896" s="35" t="s">
        <v>35</v>
      </c>
      <c r="AD896" s="27" t="str">
        <f t="shared" si="5"/>
        <v>No</v>
      </c>
      <c r="AE896" s="36" t="s">
        <v>36</v>
      </c>
      <c r="AF896" s="37" t="s">
        <v>42</v>
      </c>
      <c r="AG896" s="37" t="s">
        <v>42</v>
      </c>
      <c r="AH896" s="37" t="s">
        <v>42</v>
      </c>
      <c r="AI896" s="29" t="str">
        <f t="shared" si="661"/>
        <v>----</v>
      </c>
      <c r="AJ896" s="38" t="str">
        <f t="shared" si="7"/>
        <v>Paper has link but no statement</v>
      </c>
      <c r="AK896" s="39">
        <v>44869.0</v>
      </c>
      <c r="AL896" s="23" t="s">
        <v>43</v>
      </c>
      <c r="AM896" s="40" t="str">
        <f t="shared" si="8"/>
        <v>[IP0063]</v>
      </c>
    </row>
    <row r="897" ht="67.5" customHeight="1">
      <c r="A897" s="41">
        <v>64.0</v>
      </c>
      <c r="B897" s="42" t="s">
        <v>2426</v>
      </c>
      <c r="C897" s="43">
        <v>2022.0</v>
      </c>
      <c r="D897" s="44" t="s">
        <v>37</v>
      </c>
      <c r="E897" s="45" t="s">
        <v>37</v>
      </c>
      <c r="F897" s="45" t="s">
        <v>35</v>
      </c>
      <c r="G897" s="45" t="s">
        <v>35</v>
      </c>
      <c r="H897" s="45" t="s">
        <v>35</v>
      </c>
      <c r="I897" s="45" t="s">
        <v>35</v>
      </c>
      <c r="J897" s="46" t="s">
        <v>36</v>
      </c>
      <c r="K897" s="83" t="s">
        <v>37</v>
      </c>
      <c r="L897" s="71" t="s">
        <v>35</v>
      </c>
      <c r="M897" s="71" t="s">
        <v>37</v>
      </c>
      <c r="N897" s="71" t="s">
        <v>37</v>
      </c>
      <c r="O897" s="71" t="s">
        <v>35</v>
      </c>
      <c r="P897" s="71" t="s">
        <v>35</v>
      </c>
      <c r="Q897" s="71" t="s">
        <v>37</v>
      </c>
      <c r="R897" s="71" t="s">
        <v>37</v>
      </c>
      <c r="S897" s="57" t="s">
        <v>2427</v>
      </c>
      <c r="T897" s="50" t="s">
        <v>2428</v>
      </c>
      <c r="U897" s="51" t="s">
        <v>2428</v>
      </c>
      <c r="V897" s="52">
        <f t="shared" ref="V897:X897" si="903">IF(lenb(SUBSTITUTE($Z897,V$1&amp;" (1)",""))&lt;lenb($Z897),1,IF(lenb(SUBSTITUTE($Z897,V$1&amp;" (2)",""))&lt;lenb($Z897),2,IF(lenb(SUBSTITUTE($Z897,V$1&amp;" (3)",""))&lt;lenb($Z897),3,IF(lenb(SUBSTITUTE($Z897,V$1&amp;" (4)",""))&lt;lenb($Z897),4,IF(lenb(SUBSTITUTE($Z897,V$1&amp;" (5)",""))&lt;lenb($Z897),5,IF(lenb(SUBSTITUTE($Z897,V$1&amp;" (6)",""))&lt;lenb($Z897),6,IF(lenb(SUBSTITUTE($Z897,V$1&amp;" (7)",""))&lt;lenb($Z897),1,IF(lenb(SUBSTITUTE($Z897,V$1&amp;" (8)",""))&lt;lenb($Z897),8,IF(lenb(SUBSTITUTE($Z897,V$1&amp;" (9)",""))&lt;lenb($Z897),9,IF(lenb(SUBSTITUTE($Z897,V$1&amp;" (10)",""))&lt;lenb($Z897),10,IF(lenb(SUBSTITUTE($Z897,V$1,""))&lt;lenb($Z897),"ERROR",IF($Z897=$Y$1,"-",0))))))))))))</f>
        <v>2</v>
      </c>
      <c r="W897" s="52">
        <f t="shared" si="903"/>
        <v>0</v>
      </c>
      <c r="X897" s="52">
        <f t="shared" si="903"/>
        <v>0</v>
      </c>
      <c r="Y897" s="52" t="str">
        <f t="shared" si="3"/>
        <v>-</v>
      </c>
      <c r="Z897" s="52" t="s">
        <v>57</v>
      </c>
      <c r="AA897" s="53">
        <f t="shared" si="4"/>
        <v>2</v>
      </c>
      <c r="AB897" s="54">
        <f>COUNTIFS(Links!B:B,"ICSE",Links!C:C,A897,Links!AD:AD,1)</f>
        <v>0</v>
      </c>
      <c r="AC897" s="55" t="s">
        <v>37</v>
      </c>
      <c r="AD897" s="47" t="str">
        <f t="shared" si="5"/>
        <v>No</v>
      </c>
      <c r="AE897" s="56" t="s">
        <v>36</v>
      </c>
      <c r="AF897" s="57" t="s">
        <v>42</v>
      </c>
      <c r="AG897" s="57" t="s">
        <v>42</v>
      </c>
      <c r="AH897" s="57" t="s">
        <v>42</v>
      </c>
      <c r="AI897" s="49" t="str">
        <f t="shared" si="661"/>
        <v>----</v>
      </c>
      <c r="AJ897" s="58" t="str">
        <f t="shared" si="7"/>
        <v>Paper has link but no statement</v>
      </c>
      <c r="AK897" s="59">
        <v>44869.0</v>
      </c>
      <c r="AL897" s="43" t="s">
        <v>43</v>
      </c>
      <c r="AM897" s="60" t="str">
        <f t="shared" si="8"/>
        <v>[IP0064]</v>
      </c>
    </row>
    <row r="898" ht="67.5" customHeight="1">
      <c r="A898" s="61">
        <v>65.0</v>
      </c>
      <c r="B898" s="22" t="s">
        <v>2429</v>
      </c>
      <c r="C898" s="23">
        <v>2022.0</v>
      </c>
      <c r="D898" s="24" t="s">
        <v>35</v>
      </c>
      <c r="E898" s="25" t="s">
        <v>36</v>
      </c>
      <c r="F898" s="25" t="s">
        <v>36</v>
      </c>
      <c r="G898" s="25" t="s">
        <v>36</v>
      </c>
      <c r="H898" s="25" t="s">
        <v>36</v>
      </c>
      <c r="I898" s="25" t="s">
        <v>36</v>
      </c>
      <c r="J898" s="26" t="s">
        <v>36</v>
      </c>
      <c r="K898" s="82" t="s">
        <v>35</v>
      </c>
      <c r="L898" s="70" t="s">
        <v>36</v>
      </c>
      <c r="M898" s="70" t="s">
        <v>36</v>
      </c>
      <c r="N898" s="70" t="s">
        <v>36</v>
      </c>
      <c r="O898" s="70" t="s">
        <v>36</v>
      </c>
      <c r="P898" s="70" t="s">
        <v>36</v>
      </c>
      <c r="Q898" s="70" t="s">
        <v>36</v>
      </c>
      <c r="R898" s="70" t="s">
        <v>36</v>
      </c>
      <c r="S898" s="37" t="s">
        <v>36</v>
      </c>
      <c r="T898" s="30" t="s">
        <v>36</v>
      </c>
      <c r="U898" s="31" t="s">
        <v>36</v>
      </c>
      <c r="V898" s="32" t="str">
        <f t="shared" ref="V898:X898" si="904">IF(lenb(SUBSTITUTE($Z898,V$1&amp;" (1)",""))&lt;lenb($Z898),1,IF(lenb(SUBSTITUTE($Z898,V$1&amp;" (2)",""))&lt;lenb($Z898),2,IF(lenb(SUBSTITUTE($Z898,V$1&amp;" (3)",""))&lt;lenb($Z898),3,IF(lenb(SUBSTITUTE($Z898,V$1&amp;" (4)",""))&lt;lenb($Z898),4,IF(lenb(SUBSTITUTE($Z898,V$1&amp;" (5)",""))&lt;lenb($Z898),5,IF(lenb(SUBSTITUTE($Z898,V$1&amp;" (6)",""))&lt;lenb($Z898),6,IF(lenb(SUBSTITUTE($Z898,V$1&amp;" (7)",""))&lt;lenb($Z898),1,IF(lenb(SUBSTITUTE($Z898,V$1&amp;" (8)",""))&lt;lenb($Z898),8,IF(lenb(SUBSTITUTE($Z898,V$1&amp;" (9)",""))&lt;lenb($Z898),9,IF(lenb(SUBSTITUTE($Z898,V$1&amp;" (10)",""))&lt;lenb($Z898),10,IF(lenb(SUBSTITUTE($Z898,V$1,""))&lt;lenb($Z898),"ERROR",IF($Z898=$Y$1,"-",0))))))))))))</f>
        <v>-</v>
      </c>
      <c r="W898" s="32" t="str">
        <f t="shared" si="904"/>
        <v>-</v>
      </c>
      <c r="X898" s="32" t="str">
        <f t="shared" si="904"/>
        <v>-</v>
      </c>
      <c r="Y898" s="32">
        <f t="shared" si="3"/>
        <v>1</v>
      </c>
      <c r="Z898" s="32" t="s">
        <v>23</v>
      </c>
      <c r="AA898" s="33">
        <f t="shared" si="4"/>
        <v>0</v>
      </c>
      <c r="AB898" s="34">
        <f>COUNTIFS(Links!B:B,"ICSE",Links!C:C,A898,Links!AD:AD,1)</f>
        <v>0</v>
      </c>
      <c r="AC898" s="35" t="s">
        <v>36</v>
      </c>
      <c r="AD898" s="27" t="str">
        <f t="shared" si="5"/>
        <v>Yes</v>
      </c>
      <c r="AE898" s="36" t="s">
        <v>2430</v>
      </c>
      <c r="AF898" s="36" t="s">
        <v>146</v>
      </c>
      <c r="AG898" s="37" t="s">
        <v>42</v>
      </c>
      <c r="AH898" s="37" t="s">
        <v>42</v>
      </c>
      <c r="AI898" s="29" t="str">
        <f t="shared" si="661"/>
        <v>Future plans (—)</v>
      </c>
      <c r="AJ898" s="38" t="str">
        <f t="shared" si="7"/>
        <v>Paper has no link but has statement</v>
      </c>
      <c r="AK898" s="39">
        <v>44869.0</v>
      </c>
      <c r="AL898" s="23" t="s">
        <v>43</v>
      </c>
      <c r="AM898" s="40" t="str">
        <f t="shared" si="8"/>
        <v>[IP0065]</v>
      </c>
    </row>
    <row r="899" ht="67.5" customHeight="1">
      <c r="A899" s="41">
        <v>66.0</v>
      </c>
      <c r="B899" s="42" t="s">
        <v>2431</v>
      </c>
      <c r="C899" s="43">
        <v>2022.0</v>
      </c>
      <c r="D899" s="44" t="s">
        <v>35</v>
      </c>
      <c r="E899" s="45" t="s">
        <v>36</v>
      </c>
      <c r="F899" s="45" t="s">
        <v>36</v>
      </c>
      <c r="G899" s="45" t="s">
        <v>36</v>
      </c>
      <c r="H899" s="45" t="s">
        <v>36</v>
      </c>
      <c r="I899" s="45" t="s">
        <v>36</v>
      </c>
      <c r="J899" s="46" t="s">
        <v>36</v>
      </c>
      <c r="K899" s="83" t="s">
        <v>37</v>
      </c>
      <c r="L899" s="71" t="s">
        <v>35</v>
      </c>
      <c r="M899" s="71" t="s">
        <v>37</v>
      </c>
      <c r="N899" s="71" t="s">
        <v>37</v>
      </c>
      <c r="O899" s="71" t="s">
        <v>35</v>
      </c>
      <c r="P899" s="71" t="s">
        <v>35</v>
      </c>
      <c r="Q899" s="71" t="s">
        <v>35</v>
      </c>
      <c r="R899" s="71" t="s">
        <v>37</v>
      </c>
      <c r="S899" s="57" t="s">
        <v>2432</v>
      </c>
      <c r="T899" s="50" t="s">
        <v>2433</v>
      </c>
      <c r="U899" s="51" t="s">
        <v>2433</v>
      </c>
      <c r="V899" s="52">
        <f t="shared" ref="V899:X899" si="905">IF(lenb(SUBSTITUTE($Z899,V$1&amp;" (1)",""))&lt;lenb($Z899),1,IF(lenb(SUBSTITUTE($Z899,V$1&amp;" (2)",""))&lt;lenb($Z899),2,IF(lenb(SUBSTITUTE($Z899,V$1&amp;" (3)",""))&lt;lenb($Z899),3,IF(lenb(SUBSTITUTE($Z899,V$1&amp;" (4)",""))&lt;lenb($Z899),4,IF(lenb(SUBSTITUTE($Z899,V$1&amp;" (5)",""))&lt;lenb($Z899),5,IF(lenb(SUBSTITUTE($Z899,V$1&amp;" (6)",""))&lt;lenb($Z899),6,IF(lenb(SUBSTITUTE($Z899,V$1&amp;" (7)",""))&lt;lenb($Z899),1,IF(lenb(SUBSTITUTE($Z899,V$1&amp;" (8)",""))&lt;lenb($Z899),8,IF(lenb(SUBSTITUTE($Z899,V$1&amp;" (9)",""))&lt;lenb($Z899),9,IF(lenb(SUBSTITUTE($Z899,V$1&amp;" (10)",""))&lt;lenb($Z899),10,IF(lenb(SUBSTITUTE($Z899,V$1,""))&lt;lenb($Z899),"ERROR",IF($Z899=$Y$1,"-",0))))))))))))</f>
        <v>1</v>
      </c>
      <c r="W899" s="52">
        <f t="shared" si="905"/>
        <v>0</v>
      </c>
      <c r="X899" s="52">
        <f t="shared" si="905"/>
        <v>0</v>
      </c>
      <c r="Y899" s="52" t="str">
        <f t="shared" si="3"/>
        <v>-</v>
      </c>
      <c r="Z899" s="52" t="s">
        <v>62</v>
      </c>
      <c r="AA899" s="53">
        <f t="shared" si="4"/>
        <v>1</v>
      </c>
      <c r="AB899" s="54">
        <f>COUNTIFS(Links!B:B,"ICSE",Links!C:C,A899,Links!AD:AD,1)</f>
        <v>1</v>
      </c>
      <c r="AC899" s="55" t="s">
        <v>35</v>
      </c>
      <c r="AD899" s="47" t="str">
        <f t="shared" si="5"/>
        <v>No</v>
      </c>
      <c r="AE899" s="56" t="s">
        <v>36</v>
      </c>
      <c r="AF899" s="57" t="s">
        <v>42</v>
      </c>
      <c r="AG899" s="57" t="s">
        <v>42</v>
      </c>
      <c r="AH899" s="57" t="s">
        <v>42</v>
      </c>
      <c r="AI899" s="49" t="str">
        <f t="shared" si="661"/>
        <v>----</v>
      </c>
      <c r="AJ899" s="58" t="str">
        <f t="shared" si="7"/>
        <v>Paper has link but no statement</v>
      </c>
      <c r="AK899" s="59">
        <v>44869.0</v>
      </c>
      <c r="AL899" s="43" t="s">
        <v>43</v>
      </c>
      <c r="AM899" s="60" t="str">
        <f t="shared" si="8"/>
        <v>[IP0066]</v>
      </c>
    </row>
    <row r="900" ht="67.5" customHeight="1">
      <c r="A900" s="61">
        <v>67.0</v>
      </c>
      <c r="B900" s="22" t="s">
        <v>2434</v>
      </c>
      <c r="C900" s="23">
        <v>2022.0</v>
      </c>
      <c r="D900" s="24" t="s">
        <v>35</v>
      </c>
      <c r="E900" s="25" t="s">
        <v>36</v>
      </c>
      <c r="F900" s="25" t="s">
        <v>36</v>
      </c>
      <c r="G900" s="25" t="s">
        <v>36</v>
      </c>
      <c r="H900" s="25" t="s">
        <v>36</v>
      </c>
      <c r="I900" s="25" t="s">
        <v>36</v>
      </c>
      <c r="J900" s="26" t="s">
        <v>36</v>
      </c>
      <c r="K900" s="82" t="s">
        <v>37</v>
      </c>
      <c r="L900" s="70" t="s">
        <v>37</v>
      </c>
      <c r="M900" s="70" t="s">
        <v>35</v>
      </c>
      <c r="N900" s="70" t="s">
        <v>37</v>
      </c>
      <c r="O900" s="70" t="s">
        <v>35</v>
      </c>
      <c r="P900" s="70" t="s">
        <v>37</v>
      </c>
      <c r="Q900" s="70" t="s">
        <v>35</v>
      </c>
      <c r="R900" s="70" t="s">
        <v>35</v>
      </c>
      <c r="S900" s="37" t="s">
        <v>2435</v>
      </c>
      <c r="T900" s="30" t="s">
        <v>2436</v>
      </c>
      <c r="U900" s="31" t="s">
        <v>2436</v>
      </c>
      <c r="V900" s="32">
        <f t="shared" ref="V900:X900" si="906">IF(lenb(SUBSTITUTE($Z900,V$1&amp;" (1)",""))&lt;lenb($Z900),1,IF(lenb(SUBSTITUTE($Z900,V$1&amp;" (2)",""))&lt;lenb($Z900),2,IF(lenb(SUBSTITUTE($Z900,V$1&amp;" (3)",""))&lt;lenb($Z900),3,IF(lenb(SUBSTITUTE($Z900,V$1&amp;" (4)",""))&lt;lenb($Z900),4,IF(lenb(SUBSTITUTE($Z900,V$1&amp;" (5)",""))&lt;lenb($Z900),5,IF(lenb(SUBSTITUTE($Z900,V$1&amp;" (6)",""))&lt;lenb($Z900),6,IF(lenb(SUBSTITUTE($Z900,V$1&amp;" (7)",""))&lt;lenb($Z900),1,IF(lenb(SUBSTITUTE($Z900,V$1&amp;" (8)",""))&lt;lenb($Z900),8,IF(lenb(SUBSTITUTE($Z900,V$1&amp;" (9)",""))&lt;lenb($Z900),9,IF(lenb(SUBSTITUTE($Z900,V$1&amp;" (10)",""))&lt;lenb($Z900),10,IF(lenb(SUBSTITUTE($Z900,V$1,""))&lt;lenb($Z900),"ERROR",IF($Z900=$Y$1,"-",0))))))))))))</f>
        <v>1</v>
      </c>
      <c r="W900" s="32">
        <f t="shared" si="906"/>
        <v>0</v>
      </c>
      <c r="X900" s="32">
        <f t="shared" si="906"/>
        <v>0</v>
      </c>
      <c r="Y900" s="32" t="str">
        <f t="shared" si="3"/>
        <v>-</v>
      </c>
      <c r="Z900" s="32" t="s">
        <v>62</v>
      </c>
      <c r="AA900" s="33">
        <f t="shared" si="4"/>
        <v>1</v>
      </c>
      <c r="AB900" s="34">
        <f>COUNTIFS(Links!B:B,"ICSE",Links!C:C,A900,Links!AD:AD,1)</f>
        <v>0</v>
      </c>
      <c r="AC900" s="35" t="s">
        <v>35</v>
      </c>
      <c r="AD900" s="27" t="str">
        <f t="shared" si="5"/>
        <v>No</v>
      </c>
      <c r="AE900" s="36" t="s">
        <v>36</v>
      </c>
      <c r="AF900" s="37" t="s">
        <v>42</v>
      </c>
      <c r="AG900" s="37" t="s">
        <v>42</v>
      </c>
      <c r="AH900" s="37" t="s">
        <v>42</v>
      </c>
      <c r="AI900" s="29" t="str">
        <f t="shared" si="661"/>
        <v>----</v>
      </c>
      <c r="AJ900" s="38" t="str">
        <f t="shared" si="7"/>
        <v>Paper has link but no statement</v>
      </c>
      <c r="AK900" s="39">
        <v>44869.0</v>
      </c>
      <c r="AL900" s="23" t="s">
        <v>43</v>
      </c>
      <c r="AM900" s="40" t="str">
        <f t="shared" si="8"/>
        <v>[IP0067]</v>
      </c>
    </row>
    <row r="901" ht="67.5" customHeight="1">
      <c r="A901" s="41">
        <v>68.0</v>
      </c>
      <c r="B901" s="42" t="s">
        <v>2437</v>
      </c>
      <c r="C901" s="43">
        <v>2022.0</v>
      </c>
      <c r="D901" s="44" t="s">
        <v>37</v>
      </c>
      <c r="E901" s="45" t="s">
        <v>37</v>
      </c>
      <c r="F901" s="45" t="s">
        <v>35</v>
      </c>
      <c r="G901" s="45" t="s">
        <v>35</v>
      </c>
      <c r="H901" s="45" t="s">
        <v>35</v>
      </c>
      <c r="I901" s="45" t="s">
        <v>35</v>
      </c>
      <c r="J901" s="46" t="s">
        <v>36</v>
      </c>
      <c r="K901" s="83" t="s">
        <v>37</v>
      </c>
      <c r="L901" s="71" t="s">
        <v>35</v>
      </c>
      <c r="M901" s="71" t="s">
        <v>37</v>
      </c>
      <c r="N901" s="71" t="s">
        <v>35</v>
      </c>
      <c r="O901" s="71" t="s">
        <v>35</v>
      </c>
      <c r="P901" s="71" t="s">
        <v>35</v>
      </c>
      <c r="Q901" s="71" t="s">
        <v>37</v>
      </c>
      <c r="R901" s="71" t="s">
        <v>37</v>
      </c>
      <c r="S901" s="57" t="s">
        <v>2438</v>
      </c>
      <c r="T901" s="50" t="s">
        <v>2439</v>
      </c>
      <c r="U901" s="51" t="s">
        <v>2439</v>
      </c>
      <c r="V901" s="52">
        <f t="shared" ref="V901:X901" si="907">IF(lenb(SUBSTITUTE($Z901,V$1&amp;" (1)",""))&lt;lenb($Z901),1,IF(lenb(SUBSTITUTE($Z901,V$1&amp;" (2)",""))&lt;lenb($Z901),2,IF(lenb(SUBSTITUTE($Z901,V$1&amp;" (3)",""))&lt;lenb($Z901),3,IF(lenb(SUBSTITUTE($Z901,V$1&amp;" (4)",""))&lt;lenb($Z901),4,IF(lenb(SUBSTITUTE($Z901,V$1&amp;" (5)",""))&lt;lenb($Z901),5,IF(lenb(SUBSTITUTE($Z901,V$1&amp;" (6)",""))&lt;lenb($Z901),6,IF(lenb(SUBSTITUTE($Z901,V$1&amp;" (7)",""))&lt;lenb($Z901),1,IF(lenb(SUBSTITUTE($Z901,V$1&amp;" (8)",""))&lt;lenb($Z901),8,IF(lenb(SUBSTITUTE($Z901,V$1&amp;" (9)",""))&lt;lenb($Z901),9,IF(lenb(SUBSTITUTE($Z901,V$1&amp;" (10)",""))&lt;lenb($Z901),10,IF(lenb(SUBSTITUTE($Z901,V$1,""))&lt;lenb($Z901),"ERROR",IF($Z901=$Y$1,"-",0))))))))))))</f>
        <v>1</v>
      </c>
      <c r="W901" s="52">
        <f t="shared" si="907"/>
        <v>0</v>
      </c>
      <c r="X901" s="52">
        <f t="shared" si="907"/>
        <v>0</v>
      </c>
      <c r="Y901" s="52" t="str">
        <f t="shared" si="3"/>
        <v>-</v>
      </c>
      <c r="Z901" s="52" t="s">
        <v>62</v>
      </c>
      <c r="AA901" s="53">
        <f t="shared" si="4"/>
        <v>1</v>
      </c>
      <c r="AB901" s="54">
        <f>COUNTIFS(Links!B:B,"ICSE",Links!C:C,A901,Links!AD:AD,1)</f>
        <v>0</v>
      </c>
      <c r="AC901" s="55" t="s">
        <v>37</v>
      </c>
      <c r="AD901" s="47" t="str">
        <f t="shared" si="5"/>
        <v>No</v>
      </c>
      <c r="AE901" s="56" t="s">
        <v>36</v>
      </c>
      <c r="AF901" s="57" t="s">
        <v>42</v>
      </c>
      <c r="AG901" s="57" t="s">
        <v>42</v>
      </c>
      <c r="AH901" s="57" t="s">
        <v>42</v>
      </c>
      <c r="AI901" s="49" t="str">
        <f t="shared" si="661"/>
        <v>----</v>
      </c>
      <c r="AJ901" s="58" t="str">
        <f t="shared" si="7"/>
        <v>Paper has link but no statement</v>
      </c>
      <c r="AK901" s="59">
        <v>44869.0</v>
      </c>
      <c r="AL901" s="43" t="s">
        <v>43</v>
      </c>
      <c r="AM901" s="60" t="str">
        <f t="shared" si="8"/>
        <v>[IP0068]</v>
      </c>
    </row>
    <row r="902" ht="67.5" customHeight="1">
      <c r="A902" s="61">
        <v>69.0</v>
      </c>
      <c r="B902" s="22" t="s">
        <v>2440</v>
      </c>
      <c r="C902" s="23">
        <v>2022.0</v>
      </c>
      <c r="D902" s="24" t="s">
        <v>37</v>
      </c>
      <c r="E902" s="25" t="s">
        <v>37</v>
      </c>
      <c r="F902" s="25" t="s">
        <v>35</v>
      </c>
      <c r="G902" s="25" t="s">
        <v>35</v>
      </c>
      <c r="H902" s="25" t="s">
        <v>35</v>
      </c>
      <c r="I902" s="25" t="s">
        <v>35</v>
      </c>
      <c r="J902" s="26" t="s">
        <v>36</v>
      </c>
      <c r="K902" s="82" t="s">
        <v>37</v>
      </c>
      <c r="L902" s="70" t="s">
        <v>35</v>
      </c>
      <c r="M902" s="70" t="s">
        <v>35</v>
      </c>
      <c r="N902" s="70" t="s">
        <v>37</v>
      </c>
      <c r="O902" s="70" t="s">
        <v>35</v>
      </c>
      <c r="P902" s="70" t="s">
        <v>35</v>
      </c>
      <c r="Q902" s="70" t="s">
        <v>35</v>
      </c>
      <c r="R902" s="70" t="s">
        <v>35</v>
      </c>
      <c r="S902" s="37" t="s">
        <v>944</v>
      </c>
      <c r="T902" s="30" t="s">
        <v>2441</v>
      </c>
      <c r="U902" s="31" t="s">
        <v>2441</v>
      </c>
      <c r="V902" s="32">
        <f t="shared" ref="V902:X902" si="908">IF(lenb(SUBSTITUTE($Z902,V$1&amp;" (1)",""))&lt;lenb($Z902),1,IF(lenb(SUBSTITUTE($Z902,V$1&amp;" (2)",""))&lt;lenb($Z902),2,IF(lenb(SUBSTITUTE($Z902,V$1&amp;" (3)",""))&lt;lenb($Z902),3,IF(lenb(SUBSTITUTE($Z902,V$1&amp;" (4)",""))&lt;lenb($Z902),4,IF(lenb(SUBSTITUTE($Z902,V$1&amp;" (5)",""))&lt;lenb($Z902),5,IF(lenb(SUBSTITUTE($Z902,V$1&amp;" (6)",""))&lt;lenb($Z902),6,IF(lenb(SUBSTITUTE($Z902,V$1&amp;" (7)",""))&lt;lenb($Z902),1,IF(lenb(SUBSTITUTE($Z902,V$1&amp;" (8)",""))&lt;lenb($Z902),8,IF(lenb(SUBSTITUTE($Z902,V$1&amp;" (9)",""))&lt;lenb($Z902),9,IF(lenb(SUBSTITUTE($Z902,V$1&amp;" (10)",""))&lt;lenb($Z902),10,IF(lenb(SUBSTITUTE($Z902,V$1,""))&lt;lenb($Z902),"ERROR",IF($Z902=$Y$1,"-",0))))))))))))</f>
        <v>1</v>
      </c>
      <c r="W902" s="32">
        <f t="shared" si="908"/>
        <v>0</v>
      </c>
      <c r="X902" s="32">
        <f t="shared" si="908"/>
        <v>0</v>
      </c>
      <c r="Y902" s="32" t="str">
        <f t="shared" si="3"/>
        <v>-</v>
      </c>
      <c r="Z902" s="32" t="s">
        <v>62</v>
      </c>
      <c r="AA902" s="33">
        <f t="shared" si="4"/>
        <v>1</v>
      </c>
      <c r="AB902" s="34">
        <f>COUNTIFS(Links!B:B,"ICSE",Links!C:C,A902,Links!AD:AD,1)</f>
        <v>0</v>
      </c>
      <c r="AC902" s="35" t="s">
        <v>35</v>
      </c>
      <c r="AD902" s="27" t="str">
        <f t="shared" si="5"/>
        <v>No</v>
      </c>
      <c r="AE902" s="36" t="s">
        <v>36</v>
      </c>
      <c r="AF902" s="37" t="s">
        <v>42</v>
      </c>
      <c r="AG902" s="37" t="s">
        <v>42</v>
      </c>
      <c r="AH902" s="37" t="s">
        <v>42</v>
      </c>
      <c r="AI902" s="29" t="str">
        <f t="shared" si="661"/>
        <v>----</v>
      </c>
      <c r="AJ902" s="38" t="str">
        <f t="shared" si="7"/>
        <v>Paper has link but no statement</v>
      </c>
      <c r="AK902" s="39">
        <v>44869.0</v>
      </c>
      <c r="AL902" s="23" t="s">
        <v>43</v>
      </c>
      <c r="AM902" s="40" t="str">
        <f t="shared" si="8"/>
        <v>[IP0069]</v>
      </c>
    </row>
    <row r="903" ht="67.5" customHeight="1">
      <c r="A903" s="41">
        <v>70.0</v>
      </c>
      <c r="B903" s="42" t="s">
        <v>2442</v>
      </c>
      <c r="C903" s="43">
        <v>2022.0</v>
      </c>
      <c r="D903" s="44" t="s">
        <v>35</v>
      </c>
      <c r="E903" s="45" t="s">
        <v>36</v>
      </c>
      <c r="F903" s="45" t="s">
        <v>36</v>
      </c>
      <c r="G903" s="45" t="s">
        <v>36</v>
      </c>
      <c r="H903" s="45" t="s">
        <v>36</v>
      </c>
      <c r="I903" s="45" t="s">
        <v>36</v>
      </c>
      <c r="J903" s="46" t="s">
        <v>36</v>
      </c>
      <c r="K903" s="83" t="s">
        <v>37</v>
      </c>
      <c r="L903" s="71" t="s">
        <v>37</v>
      </c>
      <c r="M903" s="71" t="s">
        <v>35</v>
      </c>
      <c r="N903" s="71" t="s">
        <v>35</v>
      </c>
      <c r="O903" s="71" t="s">
        <v>37</v>
      </c>
      <c r="P903" s="71" t="s">
        <v>35</v>
      </c>
      <c r="Q903" s="71" t="s">
        <v>35</v>
      </c>
      <c r="R903" s="71" t="s">
        <v>37</v>
      </c>
      <c r="S903" s="57" t="s">
        <v>2443</v>
      </c>
      <c r="T903" s="50" t="s">
        <v>2444</v>
      </c>
      <c r="U903" s="51" t="s">
        <v>2444</v>
      </c>
      <c r="V903" s="52">
        <f t="shared" ref="V903:X903" si="909">IF(lenb(SUBSTITUTE($Z903,V$1&amp;" (1)",""))&lt;lenb($Z903),1,IF(lenb(SUBSTITUTE($Z903,V$1&amp;" (2)",""))&lt;lenb($Z903),2,IF(lenb(SUBSTITUTE($Z903,V$1&amp;" (3)",""))&lt;lenb($Z903),3,IF(lenb(SUBSTITUTE($Z903,V$1&amp;" (4)",""))&lt;lenb($Z903),4,IF(lenb(SUBSTITUTE($Z903,V$1&amp;" (5)",""))&lt;lenb($Z903),5,IF(lenb(SUBSTITUTE($Z903,V$1&amp;" (6)",""))&lt;lenb($Z903),6,IF(lenb(SUBSTITUTE($Z903,V$1&amp;" (7)",""))&lt;lenb($Z903),1,IF(lenb(SUBSTITUTE($Z903,V$1&amp;" (8)",""))&lt;lenb($Z903),8,IF(lenb(SUBSTITUTE($Z903,V$1&amp;" (9)",""))&lt;lenb($Z903),9,IF(lenb(SUBSTITUTE($Z903,V$1&amp;" (10)",""))&lt;lenb($Z903),10,IF(lenb(SUBSTITUTE($Z903,V$1,""))&lt;lenb($Z903),"ERROR",IF($Z903=$Y$1,"-",0))))))))))))</f>
        <v>1</v>
      </c>
      <c r="W903" s="52">
        <f t="shared" si="909"/>
        <v>0</v>
      </c>
      <c r="X903" s="52">
        <f t="shared" si="909"/>
        <v>0</v>
      </c>
      <c r="Y903" s="52" t="str">
        <f t="shared" si="3"/>
        <v>-</v>
      </c>
      <c r="Z903" s="52" t="s">
        <v>62</v>
      </c>
      <c r="AA903" s="53">
        <f t="shared" si="4"/>
        <v>1</v>
      </c>
      <c r="AB903" s="54">
        <f>COUNTIFS(Links!B:B,"ICSE",Links!C:C,A903,Links!AD:AD,1)</f>
        <v>0</v>
      </c>
      <c r="AC903" s="55" t="s">
        <v>35</v>
      </c>
      <c r="AD903" s="47" t="str">
        <f t="shared" si="5"/>
        <v>No</v>
      </c>
      <c r="AE903" s="56" t="s">
        <v>36</v>
      </c>
      <c r="AF903" s="57" t="s">
        <v>42</v>
      </c>
      <c r="AG903" s="57" t="s">
        <v>42</v>
      </c>
      <c r="AH903" s="57" t="s">
        <v>42</v>
      </c>
      <c r="AI903" s="49" t="str">
        <f t="shared" si="661"/>
        <v>----</v>
      </c>
      <c r="AJ903" s="58" t="str">
        <f t="shared" si="7"/>
        <v>Paper has link but no statement</v>
      </c>
      <c r="AK903" s="59">
        <v>44869.0</v>
      </c>
      <c r="AL903" s="43" t="s">
        <v>43</v>
      </c>
      <c r="AM903" s="60" t="str">
        <f t="shared" si="8"/>
        <v>[IP0070]</v>
      </c>
    </row>
    <row r="904" ht="67.5" customHeight="1">
      <c r="A904" s="61">
        <v>71.0</v>
      </c>
      <c r="B904" s="22" t="s">
        <v>2445</v>
      </c>
      <c r="C904" s="23">
        <v>2022.0</v>
      </c>
      <c r="D904" s="24" t="s">
        <v>35</v>
      </c>
      <c r="E904" s="25" t="s">
        <v>36</v>
      </c>
      <c r="F904" s="25" t="s">
        <v>36</v>
      </c>
      <c r="G904" s="25" t="s">
        <v>36</v>
      </c>
      <c r="H904" s="25" t="s">
        <v>36</v>
      </c>
      <c r="I904" s="25" t="s">
        <v>36</v>
      </c>
      <c r="J904" s="26" t="s">
        <v>36</v>
      </c>
      <c r="K904" s="82" t="s">
        <v>37</v>
      </c>
      <c r="L904" s="70" t="s">
        <v>37</v>
      </c>
      <c r="M904" s="70" t="s">
        <v>37</v>
      </c>
      <c r="N904" s="70" t="s">
        <v>37</v>
      </c>
      <c r="O904" s="70" t="s">
        <v>35</v>
      </c>
      <c r="P904" s="70" t="s">
        <v>35</v>
      </c>
      <c r="Q904" s="70" t="s">
        <v>35</v>
      </c>
      <c r="R904" s="70" t="s">
        <v>37</v>
      </c>
      <c r="S904" s="37" t="s">
        <v>2446</v>
      </c>
      <c r="T904" s="30" t="s">
        <v>2447</v>
      </c>
      <c r="U904" s="31" t="s">
        <v>2447</v>
      </c>
      <c r="V904" s="32">
        <f t="shared" ref="V904:X904" si="910">IF(lenb(SUBSTITUTE($Z904,V$1&amp;" (1)",""))&lt;lenb($Z904),1,IF(lenb(SUBSTITUTE($Z904,V$1&amp;" (2)",""))&lt;lenb($Z904),2,IF(lenb(SUBSTITUTE($Z904,V$1&amp;" (3)",""))&lt;lenb($Z904),3,IF(lenb(SUBSTITUTE($Z904,V$1&amp;" (4)",""))&lt;lenb($Z904),4,IF(lenb(SUBSTITUTE($Z904,V$1&amp;" (5)",""))&lt;lenb($Z904),5,IF(lenb(SUBSTITUTE($Z904,V$1&amp;" (6)",""))&lt;lenb($Z904),6,IF(lenb(SUBSTITUTE($Z904,V$1&amp;" (7)",""))&lt;lenb($Z904),1,IF(lenb(SUBSTITUTE($Z904,V$1&amp;" (8)",""))&lt;lenb($Z904),8,IF(lenb(SUBSTITUTE($Z904,V$1&amp;" (9)",""))&lt;lenb($Z904),9,IF(lenb(SUBSTITUTE($Z904,V$1&amp;" (10)",""))&lt;lenb($Z904),10,IF(lenb(SUBSTITUTE($Z904,V$1,""))&lt;lenb($Z904),"ERROR",IF($Z904=$Y$1,"-",0))))))))))))</f>
        <v>1</v>
      </c>
      <c r="W904" s="32">
        <f t="shared" si="910"/>
        <v>0</v>
      </c>
      <c r="X904" s="32">
        <f t="shared" si="910"/>
        <v>0</v>
      </c>
      <c r="Y904" s="32" t="str">
        <f t="shared" si="3"/>
        <v>-</v>
      </c>
      <c r="Z904" s="32" t="s">
        <v>62</v>
      </c>
      <c r="AA904" s="33">
        <f t="shared" si="4"/>
        <v>1</v>
      </c>
      <c r="AB904" s="34">
        <f>COUNTIFS(Links!B:B,"ICSE",Links!C:C,A904,Links!AD:AD,1)</f>
        <v>0</v>
      </c>
      <c r="AC904" s="35" t="s">
        <v>35</v>
      </c>
      <c r="AD904" s="27" t="str">
        <f t="shared" si="5"/>
        <v>No</v>
      </c>
      <c r="AE904" s="36" t="s">
        <v>36</v>
      </c>
      <c r="AF904" s="37" t="s">
        <v>42</v>
      </c>
      <c r="AG904" s="37" t="s">
        <v>42</v>
      </c>
      <c r="AH904" s="37" t="s">
        <v>42</v>
      </c>
      <c r="AI904" s="29" t="str">
        <f t="shared" si="661"/>
        <v>----</v>
      </c>
      <c r="AJ904" s="38" t="str">
        <f t="shared" si="7"/>
        <v>Paper has link but no statement</v>
      </c>
      <c r="AK904" s="39">
        <v>44869.0</v>
      </c>
      <c r="AL904" s="23" t="s">
        <v>43</v>
      </c>
      <c r="AM904" s="40" t="str">
        <f t="shared" si="8"/>
        <v>[IP0071]</v>
      </c>
    </row>
    <row r="905" ht="67.5" customHeight="1">
      <c r="A905" s="41">
        <v>72.0</v>
      </c>
      <c r="B905" s="42" t="s">
        <v>2448</v>
      </c>
      <c r="C905" s="43">
        <v>2022.0</v>
      </c>
      <c r="D905" s="44" t="s">
        <v>35</v>
      </c>
      <c r="E905" s="45" t="s">
        <v>36</v>
      </c>
      <c r="F905" s="45" t="s">
        <v>36</v>
      </c>
      <c r="G905" s="45" t="s">
        <v>36</v>
      </c>
      <c r="H905" s="45" t="s">
        <v>36</v>
      </c>
      <c r="I905" s="45" t="s">
        <v>36</v>
      </c>
      <c r="J905" s="46" t="s">
        <v>36</v>
      </c>
      <c r="K905" s="83" t="s">
        <v>37</v>
      </c>
      <c r="L905" s="71" t="s">
        <v>35</v>
      </c>
      <c r="M905" s="71" t="s">
        <v>37</v>
      </c>
      <c r="N905" s="71" t="s">
        <v>35</v>
      </c>
      <c r="O905" s="71" t="s">
        <v>35</v>
      </c>
      <c r="P905" s="71" t="s">
        <v>35</v>
      </c>
      <c r="Q905" s="71" t="s">
        <v>35</v>
      </c>
      <c r="R905" s="71" t="s">
        <v>37</v>
      </c>
      <c r="S905" s="57" t="s">
        <v>2449</v>
      </c>
      <c r="T905" s="50" t="s">
        <v>2450</v>
      </c>
      <c r="U905" s="51" t="s">
        <v>2450</v>
      </c>
      <c r="V905" s="52">
        <f t="shared" ref="V905:X905" si="911">IF(lenb(SUBSTITUTE($Z905,V$1&amp;" (1)",""))&lt;lenb($Z905),1,IF(lenb(SUBSTITUTE($Z905,V$1&amp;" (2)",""))&lt;lenb($Z905),2,IF(lenb(SUBSTITUTE($Z905,V$1&amp;" (3)",""))&lt;lenb($Z905),3,IF(lenb(SUBSTITUTE($Z905,V$1&amp;" (4)",""))&lt;lenb($Z905),4,IF(lenb(SUBSTITUTE($Z905,V$1&amp;" (5)",""))&lt;lenb($Z905),5,IF(lenb(SUBSTITUTE($Z905,V$1&amp;" (6)",""))&lt;lenb($Z905),6,IF(lenb(SUBSTITUTE($Z905,V$1&amp;" (7)",""))&lt;lenb($Z905),1,IF(lenb(SUBSTITUTE($Z905,V$1&amp;" (8)",""))&lt;lenb($Z905),8,IF(lenb(SUBSTITUTE($Z905,V$1&amp;" (9)",""))&lt;lenb($Z905),9,IF(lenb(SUBSTITUTE($Z905,V$1&amp;" (10)",""))&lt;lenb($Z905),10,IF(lenb(SUBSTITUTE($Z905,V$1,""))&lt;lenb($Z905),"ERROR",IF($Z905=$Y$1,"-",0))))))))))))</f>
        <v>1</v>
      </c>
      <c r="W905" s="52">
        <f t="shared" si="911"/>
        <v>0</v>
      </c>
      <c r="X905" s="52">
        <f t="shared" si="911"/>
        <v>0</v>
      </c>
      <c r="Y905" s="52" t="str">
        <f t="shared" si="3"/>
        <v>-</v>
      </c>
      <c r="Z905" s="52" t="s">
        <v>62</v>
      </c>
      <c r="AA905" s="53">
        <f t="shared" si="4"/>
        <v>1</v>
      </c>
      <c r="AB905" s="54">
        <f>COUNTIFS(Links!B:B,"ICSE",Links!C:C,A905,Links!AD:AD,1)</f>
        <v>0</v>
      </c>
      <c r="AC905" s="55" t="s">
        <v>35</v>
      </c>
      <c r="AD905" s="47" t="str">
        <f t="shared" si="5"/>
        <v>No</v>
      </c>
      <c r="AE905" s="56" t="s">
        <v>36</v>
      </c>
      <c r="AF905" s="57" t="s">
        <v>42</v>
      </c>
      <c r="AG905" s="57" t="s">
        <v>42</v>
      </c>
      <c r="AH905" s="57" t="s">
        <v>42</v>
      </c>
      <c r="AI905" s="49" t="str">
        <f t="shared" si="661"/>
        <v>----</v>
      </c>
      <c r="AJ905" s="58" t="str">
        <f t="shared" si="7"/>
        <v>Paper has link but no statement</v>
      </c>
      <c r="AK905" s="59">
        <v>44869.0</v>
      </c>
      <c r="AL905" s="43" t="s">
        <v>43</v>
      </c>
      <c r="AM905" s="60" t="str">
        <f t="shared" si="8"/>
        <v>[IP0072]</v>
      </c>
    </row>
    <row r="906" ht="67.5" customHeight="1">
      <c r="A906" s="61">
        <v>73.0</v>
      </c>
      <c r="B906" s="22" t="s">
        <v>2451</v>
      </c>
      <c r="C906" s="23">
        <v>2022.0</v>
      </c>
      <c r="D906" s="24" t="s">
        <v>35</v>
      </c>
      <c r="E906" s="25" t="s">
        <v>36</v>
      </c>
      <c r="F906" s="25" t="s">
        <v>36</v>
      </c>
      <c r="G906" s="25" t="s">
        <v>36</v>
      </c>
      <c r="H906" s="25" t="s">
        <v>36</v>
      </c>
      <c r="I906" s="25" t="s">
        <v>36</v>
      </c>
      <c r="J906" s="26" t="s">
        <v>36</v>
      </c>
      <c r="K906" s="82" t="s">
        <v>37</v>
      </c>
      <c r="L906" s="70" t="s">
        <v>37</v>
      </c>
      <c r="M906" s="70" t="s">
        <v>35</v>
      </c>
      <c r="N906" s="70" t="s">
        <v>37</v>
      </c>
      <c r="O906" s="70" t="s">
        <v>35</v>
      </c>
      <c r="P906" s="70" t="s">
        <v>35</v>
      </c>
      <c r="Q906" s="70" t="s">
        <v>35</v>
      </c>
      <c r="R906" s="70" t="s">
        <v>35</v>
      </c>
      <c r="S906" s="37" t="s">
        <v>1057</v>
      </c>
      <c r="T906" s="30" t="s">
        <v>2452</v>
      </c>
      <c r="U906" s="31" t="s">
        <v>2452</v>
      </c>
      <c r="V906" s="32">
        <f t="shared" ref="V906:X906" si="912">IF(lenb(SUBSTITUTE($Z906,V$1&amp;" (1)",""))&lt;lenb($Z906),1,IF(lenb(SUBSTITUTE($Z906,V$1&amp;" (2)",""))&lt;lenb($Z906),2,IF(lenb(SUBSTITUTE($Z906,V$1&amp;" (3)",""))&lt;lenb($Z906),3,IF(lenb(SUBSTITUTE($Z906,V$1&amp;" (4)",""))&lt;lenb($Z906),4,IF(lenb(SUBSTITUTE($Z906,V$1&amp;" (5)",""))&lt;lenb($Z906),5,IF(lenb(SUBSTITUTE($Z906,V$1&amp;" (6)",""))&lt;lenb($Z906),6,IF(lenb(SUBSTITUTE($Z906,V$1&amp;" (7)",""))&lt;lenb($Z906),1,IF(lenb(SUBSTITUTE($Z906,V$1&amp;" (8)",""))&lt;lenb($Z906),8,IF(lenb(SUBSTITUTE($Z906,V$1&amp;" (9)",""))&lt;lenb($Z906),9,IF(lenb(SUBSTITUTE($Z906,V$1&amp;" (10)",""))&lt;lenb($Z906),10,IF(lenb(SUBSTITUTE($Z906,V$1,""))&lt;lenb($Z906),"ERROR",IF($Z906=$Y$1,"-",0))))))))))))</f>
        <v>1</v>
      </c>
      <c r="W906" s="32">
        <f t="shared" si="912"/>
        <v>0</v>
      </c>
      <c r="X906" s="32">
        <f t="shared" si="912"/>
        <v>0</v>
      </c>
      <c r="Y906" s="32" t="str">
        <f t="shared" si="3"/>
        <v>-</v>
      </c>
      <c r="Z906" s="32" t="s">
        <v>62</v>
      </c>
      <c r="AA906" s="33">
        <f t="shared" si="4"/>
        <v>1</v>
      </c>
      <c r="AB906" s="34">
        <f>COUNTIFS(Links!B:B,"ICSE",Links!C:C,A906,Links!AD:AD,1)</f>
        <v>0</v>
      </c>
      <c r="AC906" s="35" t="s">
        <v>35</v>
      </c>
      <c r="AD906" s="27" t="str">
        <f t="shared" si="5"/>
        <v>No</v>
      </c>
      <c r="AE906" s="36" t="s">
        <v>36</v>
      </c>
      <c r="AF906" s="37" t="s">
        <v>42</v>
      </c>
      <c r="AG906" s="37" t="s">
        <v>42</v>
      </c>
      <c r="AH906" s="37" t="s">
        <v>42</v>
      </c>
      <c r="AI906" s="29" t="str">
        <f t="shared" si="661"/>
        <v>----</v>
      </c>
      <c r="AJ906" s="38" t="str">
        <f t="shared" si="7"/>
        <v>Paper has link but no statement</v>
      </c>
      <c r="AK906" s="39">
        <v>44869.0</v>
      </c>
      <c r="AL906" s="23" t="s">
        <v>43</v>
      </c>
      <c r="AM906" s="40" t="str">
        <f t="shared" si="8"/>
        <v>[IP0073]</v>
      </c>
    </row>
    <row r="907" ht="67.5" customHeight="1">
      <c r="A907" s="41">
        <v>74.0</v>
      </c>
      <c r="B907" s="42" t="s">
        <v>2453</v>
      </c>
      <c r="C907" s="43">
        <v>2022.0</v>
      </c>
      <c r="D907" s="44" t="s">
        <v>37</v>
      </c>
      <c r="E907" s="45" t="s">
        <v>37</v>
      </c>
      <c r="F907" s="45" t="s">
        <v>35</v>
      </c>
      <c r="G907" s="45" t="s">
        <v>37</v>
      </c>
      <c r="H907" s="45" t="s">
        <v>35</v>
      </c>
      <c r="I907" s="45" t="s">
        <v>35</v>
      </c>
      <c r="J907" s="46" t="s">
        <v>36</v>
      </c>
      <c r="K907" s="83" t="s">
        <v>37</v>
      </c>
      <c r="L907" s="71" t="s">
        <v>35</v>
      </c>
      <c r="M907" s="71" t="s">
        <v>35</v>
      </c>
      <c r="N907" s="71" t="s">
        <v>35</v>
      </c>
      <c r="O907" s="71" t="s">
        <v>35</v>
      </c>
      <c r="P907" s="71" t="s">
        <v>37</v>
      </c>
      <c r="Q907" s="71" t="s">
        <v>37</v>
      </c>
      <c r="R907" s="71" t="s">
        <v>35</v>
      </c>
      <c r="S907" s="57" t="s">
        <v>2454</v>
      </c>
      <c r="T907" s="50" t="s">
        <v>2455</v>
      </c>
      <c r="U907" s="51" t="s">
        <v>2455</v>
      </c>
      <c r="V907" s="52">
        <f t="shared" ref="V907:X907" si="913">IF(lenb(SUBSTITUTE($Z907,V$1&amp;" (1)",""))&lt;lenb($Z907),1,IF(lenb(SUBSTITUTE($Z907,V$1&amp;" (2)",""))&lt;lenb($Z907),2,IF(lenb(SUBSTITUTE($Z907,V$1&amp;" (3)",""))&lt;lenb($Z907),3,IF(lenb(SUBSTITUTE($Z907,V$1&amp;" (4)",""))&lt;lenb($Z907),4,IF(lenb(SUBSTITUTE($Z907,V$1&amp;" (5)",""))&lt;lenb($Z907),5,IF(lenb(SUBSTITUTE($Z907,V$1&amp;" (6)",""))&lt;lenb($Z907),6,IF(lenb(SUBSTITUTE($Z907,V$1&amp;" (7)",""))&lt;lenb($Z907),1,IF(lenb(SUBSTITUTE($Z907,V$1&amp;" (8)",""))&lt;lenb($Z907),8,IF(lenb(SUBSTITUTE($Z907,V$1&amp;" (9)",""))&lt;lenb($Z907),9,IF(lenb(SUBSTITUTE($Z907,V$1&amp;" (10)",""))&lt;lenb($Z907),10,IF(lenb(SUBSTITUTE($Z907,V$1,""))&lt;lenb($Z907),"ERROR",IF($Z907=$Y$1,"-",0))))))))))))</f>
        <v>3</v>
      </c>
      <c r="W907" s="52">
        <f t="shared" si="913"/>
        <v>0</v>
      </c>
      <c r="X907" s="52">
        <f t="shared" si="913"/>
        <v>0</v>
      </c>
      <c r="Y907" s="52" t="str">
        <f t="shared" si="3"/>
        <v>-</v>
      </c>
      <c r="Z907" s="52" t="s">
        <v>193</v>
      </c>
      <c r="AA907" s="53">
        <f t="shared" si="4"/>
        <v>3</v>
      </c>
      <c r="AB907" s="54">
        <f>COUNTIFS(Links!B:B,"ICSE",Links!C:C,A907,Links!AD:AD,1)</f>
        <v>0</v>
      </c>
      <c r="AC907" s="55" t="s">
        <v>37</v>
      </c>
      <c r="AD907" s="47" t="str">
        <f t="shared" si="5"/>
        <v>No</v>
      </c>
      <c r="AE907" s="56" t="s">
        <v>36</v>
      </c>
      <c r="AF907" s="57" t="s">
        <v>42</v>
      </c>
      <c r="AG907" s="57" t="s">
        <v>42</v>
      </c>
      <c r="AH907" s="57" t="s">
        <v>42</v>
      </c>
      <c r="AI907" s="49" t="str">
        <f t="shared" si="661"/>
        <v>----</v>
      </c>
      <c r="AJ907" s="58" t="str">
        <f t="shared" si="7"/>
        <v>Paper has link but no statement</v>
      </c>
      <c r="AK907" s="59">
        <v>44869.0</v>
      </c>
      <c r="AL907" s="43" t="s">
        <v>43</v>
      </c>
      <c r="AM907" s="60" t="str">
        <f t="shared" si="8"/>
        <v>[IP0074]</v>
      </c>
    </row>
    <row r="908" ht="67.5" customHeight="1">
      <c r="A908" s="61">
        <v>75.0</v>
      </c>
      <c r="B908" s="22" t="s">
        <v>2456</v>
      </c>
      <c r="C908" s="23">
        <v>2022.0</v>
      </c>
      <c r="D908" s="24" t="s">
        <v>35</v>
      </c>
      <c r="E908" s="25" t="s">
        <v>36</v>
      </c>
      <c r="F908" s="25" t="s">
        <v>36</v>
      </c>
      <c r="G908" s="25" t="s">
        <v>36</v>
      </c>
      <c r="H908" s="25" t="s">
        <v>36</v>
      </c>
      <c r="I908" s="25" t="s">
        <v>36</v>
      </c>
      <c r="J908" s="26" t="s">
        <v>36</v>
      </c>
      <c r="K908" s="82" t="s">
        <v>37</v>
      </c>
      <c r="L908" s="70" t="s">
        <v>35</v>
      </c>
      <c r="M908" s="70" t="s">
        <v>35</v>
      </c>
      <c r="N908" s="70" t="s">
        <v>35</v>
      </c>
      <c r="O908" s="70" t="s">
        <v>35</v>
      </c>
      <c r="P908" s="70" t="s">
        <v>35</v>
      </c>
      <c r="Q908" s="70" t="s">
        <v>35</v>
      </c>
      <c r="R908" s="70" t="s">
        <v>37</v>
      </c>
      <c r="S908" s="37" t="s">
        <v>2457</v>
      </c>
      <c r="T908" s="30" t="s">
        <v>2458</v>
      </c>
      <c r="U908" s="31" t="s">
        <v>2458</v>
      </c>
      <c r="V908" s="32">
        <f t="shared" ref="V908:X908" si="914">IF(lenb(SUBSTITUTE($Z908,V$1&amp;" (1)",""))&lt;lenb($Z908),1,IF(lenb(SUBSTITUTE($Z908,V$1&amp;" (2)",""))&lt;lenb($Z908),2,IF(lenb(SUBSTITUTE($Z908,V$1&amp;" (3)",""))&lt;lenb($Z908),3,IF(lenb(SUBSTITUTE($Z908,V$1&amp;" (4)",""))&lt;lenb($Z908),4,IF(lenb(SUBSTITUTE($Z908,V$1&amp;" (5)",""))&lt;lenb($Z908),5,IF(lenb(SUBSTITUTE($Z908,V$1&amp;" (6)",""))&lt;lenb($Z908),6,IF(lenb(SUBSTITUTE($Z908,V$1&amp;" (7)",""))&lt;lenb($Z908),1,IF(lenb(SUBSTITUTE($Z908,V$1&amp;" (8)",""))&lt;lenb($Z908),8,IF(lenb(SUBSTITUTE($Z908,V$1&amp;" (9)",""))&lt;lenb($Z908),9,IF(lenb(SUBSTITUTE($Z908,V$1&amp;" (10)",""))&lt;lenb($Z908),10,IF(lenb(SUBSTITUTE($Z908,V$1,""))&lt;lenb($Z908),"ERROR",IF($Z908=$Y$1,"-",0))))))))))))</f>
        <v>1</v>
      </c>
      <c r="W908" s="32">
        <f t="shared" si="914"/>
        <v>0</v>
      </c>
      <c r="X908" s="32">
        <f t="shared" si="914"/>
        <v>0</v>
      </c>
      <c r="Y908" s="32" t="str">
        <f t="shared" si="3"/>
        <v>-</v>
      </c>
      <c r="Z908" s="32" t="s">
        <v>62</v>
      </c>
      <c r="AA908" s="33">
        <f t="shared" si="4"/>
        <v>1</v>
      </c>
      <c r="AB908" s="34">
        <f>COUNTIFS(Links!B:B,"ICSE",Links!C:C,A908,Links!AD:AD,1)</f>
        <v>0</v>
      </c>
      <c r="AC908" s="35" t="s">
        <v>35</v>
      </c>
      <c r="AD908" s="27" t="str">
        <f t="shared" si="5"/>
        <v>No</v>
      </c>
      <c r="AE908" s="36" t="s">
        <v>36</v>
      </c>
      <c r="AF908" s="37" t="s">
        <v>42</v>
      </c>
      <c r="AG908" s="37" t="s">
        <v>42</v>
      </c>
      <c r="AH908" s="37" t="s">
        <v>42</v>
      </c>
      <c r="AI908" s="29" t="str">
        <f t="shared" si="661"/>
        <v>----</v>
      </c>
      <c r="AJ908" s="38" t="str">
        <f t="shared" si="7"/>
        <v>Paper has link but no statement</v>
      </c>
      <c r="AK908" s="39">
        <v>44869.0</v>
      </c>
      <c r="AL908" s="23" t="s">
        <v>43</v>
      </c>
      <c r="AM908" s="40" t="str">
        <f t="shared" si="8"/>
        <v>[IP0075]</v>
      </c>
    </row>
    <row r="909" ht="67.5" customHeight="1">
      <c r="A909" s="41">
        <v>76.0</v>
      </c>
      <c r="B909" s="42" t="s">
        <v>2459</v>
      </c>
      <c r="C909" s="43">
        <v>2022.0</v>
      </c>
      <c r="D909" s="44" t="s">
        <v>37</v>
      </c>
      <c r="E909" s="45" t="s">
        <v>37</v>
      </c>
      <c r="F909" s="45" t="s">
        <v>35</v>
      </c>
      <c r="G909" s="45" t="s">
        <v>37</v>
      </c>
      <c r="H909" s="45" t="s">
        <v>35</v>
      </c>
      <c r="I909" s="45" t="s">
        <v>35</v>
      </c>
      <c r="J909" s="46" t="s">
        <v>36</v>
      </c>
      <c r="K909" s="83" t="s">
        <v>37</v>
      </c>
      <c r="L909" s="71" t="s">
        <v>35</v>
      </c>
      <c r="M909" s="71" t="s">
        <v>35</v>
      </c>
      <c r="N909" s="71" t="s">
        <v>37</v>
      </c>
      <c r="O909" s="71" t="s">
        <v>35</v>
      </c>
      <c r="P909" s="71" t="s">
        <v>35</v>
      </c>
      <c r="Q909" s="71" t="s">
        <v>35</v>
      </c>
      <c r="R909" s="71" t="s">
        <v>37</v>
      </c>
      <c r="S909" s="57" t="s">
        <v>2460</v>
      </c>
      <c r="T909" s="50" t="s">
        <v>2461</v>
      </c>
      <c r="U909" s="51" t="s">
        <v>2461</v>
      </c>
      <c r="V909" s="52">
        <f t="shared" ref="V909:X909" si="915">IF(lenb(SUBSTITUTE($Z909,V$1&amp;" (1)",""))&lt;lenb($Z909),1,IF(lenb(SUBSTITUTE($Z909,V$1&amp;" (2)",""))&lt;lenb($Z909),2,IF(lenb(SUBSTITUTE($Z909,V$1&amp;" (3)",""))&lt;lenb($Z909),3,IF(lenb(SUBSTITUTE($Z909,V$1&amp;" (4)",""))&lt;lenb($Z909),4,IF(lenb(SUBSTITUTE($Z909,V$1&amp;" (5)",""))&lt;lenb($Z909),5,IF(lenb(SUBSTITUTE($Z909,V$1&amp;" (6)",""))&lt;lenb($Z909),6,IF(lenb(SUBSTITUTE($Z909,V$1&amp;" (7)",""))&lt;lenb($Z909),1,IF(lenb(SUBSTITUTE($Z909,V$1&amp;" (8)",""))&lt;lenb($Z909),8,IF(lenb(SUBSTITUTE($Z909,V$1&amp;" (9)",""))&lt;lenb($Z909),9,IF(lenb(SUBSTITUTE($Z909,V$1&amp;" (10)",""))&lt;lenb($Z909),10,IF(lenb(SUBSTITUTE($Z909,V$1,""))&lt;lenb($Z909),"ERROR",IF($Z909=$Y$1,"-",0))))))))))))</f>
        <v>1</v>
      </c>
      <c r="W909" s="52">
        <f t="shared" si="915"/>
        <v>0</v>
      </c>
      <c r="X909" s="52">
        <f t="shared" si="915"/>
        <v>0</v>
      </c>
      <c r="Y909" s="52" t="str">
        <f t="shared" si="3"/>
        <v>-</v>
      </c>
      <c r="Z909" s="52" t="s">
        <v>62</v>
      </c>
      <c r="AA909" s="53">
        <f t="shared" si="4"/>
        <v>1</v>
      </c>
      <c r="AB909" s="54">
        <f>COUNTIFS(Links!B:B,"ICSE",Links!C:C,A909,Links!AD:AD,1)</f>
        <v>0</v>
      </c>
      <c r="AC909" s="55" t="s">
        <v>35</v>
      </c>
      <c r="AD909" s="47" t="str">
        <f t="shared" si="5"/>
        <v>No</v>
      </c>
      <c r="AE909" s="56" t="s">
        <v>36</v>
      </c>
      <c r="AF909" s="57" t="s">
        <v>42</v>
      </c>
      <c r="AG909" s="57" t="s">
        <v>42</v>
      </c>
      <c r="AH909" s="57" t="s">
        <v>42</v>
      </c>
      <c r="AI909" s="49" t="str">
        <f t="shared" si="661"/>
        <v>----</v>
      </c>
      <c r="AJ909" s="58" t="str">
        <f t="shared" si="7"/>
        <v>Paper has link but no statement</v>
      </c>
      <c r="AK909" s="59">
        <v>44869.0</v>
      </c>
      <c r="AL909" s="43" t="s">
        <v>43</v>
      </c>
      <c r="AM909" s="60" t="str">
        <f t="shared" si="8"/>
        <v>[IP0076]</v>
      </c>
    </row>
    <row r="910" ht="67.5" customHeight="1">
      <c r="A910" s="61">
        <v>77.0</v>
      </c>
      <c r="B910" s="22" t="s">
        <v>2462</v>
      </c>
      <c r="C910" s="23">
        <v>2022.0</v>
      </c>
      <c r="D910" s="24" t="s">
        <v>37</v>
      </c>
      <c r="E910" s="25" t="s">
        <v>37</v>
      </c>
      <c r="F910" s="25" t="s">
        <v>37</v>
      </c>
      <c r="G910" s="25" t="s">
        <v>35</v>
      </c>
      <c r="H910" s="25" t="s">
        <v>35</v>
      </c>
      <c r="I910" s="25" t="s">
        <v>35</v>
      </c>
      <c r="J910" s="26" t="s">
        <v>36</v>
      </c>
      <c r="K910" s="82" t="s">
        <v>37</v>
      </c>
      <c r="L910" s="70" t="s">
        <v>35</v>
      </c>
      <c r="M910" s="70" t="s">
        <v>37</v>
      </c>
      <c r="N910" s="70" t="s">
        <v>37</v>
      </c>
      <c r="O910" s="70" t="s">
        <v>35</v>
      </c>
      <c r="P910" s="70" t="s">
        <v>35</v>
      </c>
      <c r="Q910" s="70" t="s">
        <v>35</v>
      </c>
      <c r="R910" s="70" t="s">
        <v>35</v>
      </c>
      <c r="S910" s="37" t="s">
        <v>2463</v>
      </c>
      <c r="T910" s="30" t="s">
        <v>2464</v>
      </c>
      <c r="U910" s="31" t="s">
        <v>2464</v>
      </c>
      <c r="V910" s="32">
        <f t="shared" ref="V910:X910" si="916">IF(lenb(SUBSTITUTE($Z910,V$1&amp;" (1)",""))&lt;lenb($Z910),1,IF(lenb(SUBSTITUTE($Z910,V$1&amp;" (2)",""))&lt;lenb($Z910),2,IF(lenb(SUBSTITUTE($Z910,V$1&amp;" (3)",""))&lt;lenb($Z910),3,IF(lenb(SUBSTITUTE($Z910,V$1&amp;" (4)",""))&lt;lenb($Z910),4,IF(lenb(SUBSTITUTE($Z910,V$1&amp;" (5)",""))&lt;lenb($Z910),5,IF(lenb(SUBSTITUTE($Z910,V$1&amp;" (6)",""))&lt;lenb($Z910),6,IF(lenb(SUBSTITUTE($Z910,V$1&amp;" (7)",""))&lt;lenb($Z910),1,IF(lenb(SUBSTITUTE($Z910,V$1&amp;" (8)",""))&lt;lenb($Z910),8,IF(lenb(SUBSTITUTE($Z910,V$1&amp;" (9)",""))&lt;lenb($Z910),9,IF(lenb(SUBSTITUTE($Z910,V$1&amp;" (10)",""))&lt;lenb($Z910),10,IF(lenb(SUBSTITUTE($Z910,V$1,""))&lt;lenb($Z910),"ERROR",IF($Z910=$Y$1,"-",0))))))))))))</f>
        <v>1</v>
      </c>
      <c r="W910" s="32">
        <f t="shared" si="916"/>
        <v>0</v>
      </c>
      <c r="X910" s="32">
        <f t="shared" si="916"/>
        <v>0</v>
      </c>
      <c r="Y910" s="32" t="str">
        <f t="shared" si="3"/>
        <v>-</v>
      </c>
      <c r="Z910" s="32" t="s">
        <v>62</v>
      </c>
      <c r="AA910" s="33">
        <f t="shared" si="4"/>
        <v>1</v>
      </c>
      <c r="AB910" s="34">
        <f>COUNTIFS(Links!B:B,"ICSE",Links!C:C,A910,Links!AD:AD,1)</f>
        <v>0</v>
      </c>
      <c r="AC910" s="35" t="s">
        <v>35</v>
      </c>
      <c r="AD910" s="27" t="str">
        <f t="shared" si="5"/>
        <v>No</v>
      </c>
      <c r="AE910" s="36" t="s">
        <v>36</v>
      </c>
      <c r="AF910" s="37" t="s">
        <v>42</v>
      </c>
      <c r="AG910" s="37" t="s">
        <v>42</v>
      </c>
      <c r="AH910" s="37" t="s">
        <v>42</v>
      </c>
      <c r="AI910" s="29" t="str">
        <f t="shared" si="661"/>
        <v>----</v>
      </c>
      <c r="AJ910" s="38" t="str">
        <f t="shared" si="7"/>
        <v>Paper has link but no statement</v>
      </c>
      <c r="AK910" s="39">
        <v>44869.0</v>
      </c>
      <c r="AL910" s="23" t="s">
        <v>43</v>
      </c>
      <c r="AM910" s="40" t="str">
        <f t="shared" si="8"/>
        <v>[IP0077]</v>
      </c>
    </row>
    <row r="911" ht="67.5" customHeight="1">
      <c r="A911" s="41">
        <v>78.0</v>
      </c>
      <c r="B911" s="42" t="s">
        <v>2465</v>
      </c>
      <c r="C911" s="43">
        <v>2022.0</v>
      </c>
      <c r="D911" s="44" t="s">
        <v>37</v>
      </c>
      <c r="E911" s="45" t="s">
        <v>37</v>
      </c>
      <c r="F911" s="45" t="s">
        <v>37</v>
      </c>
      <c r="G911" s="45" t="s">
        <v>35</v>
      </c>
      <c r="H911" s="45" t="s">
        <v>35</v>
      </c>
      <c r="I911" s="45" t="s">
        <v>35</v>
      </c>
      <c r="J911" s="46" t="s">
        <v>36</v>
      </c>
      <c r="K911" s="83" t="s">
        <v>37</v>
      </c>
      <c r="L911" s="71" t="s">
        <v>35</v>
      </c>
      <c r="M911" s="71" t="s">
        <v>37</v>
      </c>
      <c r="N911" s="71" t="s">
        <v>35</v>
      </c>
      <c r="O911" s="71" t="s">
        <v>35</v>
      </c>
      <c r="P911" s="71" t="s">
        <v>35</v>
      </c>
      <c r="Q911" s="71" t="s">
        <v>35</v>
      </c>
      <c r="R911" s="71" t="s">
        <v>37</v>
      </c>
      <c r="S911" s="57" t="s">
        <v>2466</v>
      </c>
      <c r="T911" s="50" t="s">
        <v>2467</v>
      </c>
      <c r="U911" s="51" t="s">
        <v>2467</v>
      </c>
      <c r="V911" s="52">
        <f t="shared" ref="V911:X911" si="917">IF(lenb(SUBSTITUTE($Z911,V$1&amp;" (1)",""))&lt;lenb($Z911),1,IF(lenb(SUBSTITUTE($Z911,V$1&amp;" (2)",""))&lt;lenb($Z911),2,IF(lenb(SUBSTITUTE($Z911,V$1&amp;" (3)",""))&lt;lenb($Z911),3,IF(lenb(SUBSTITUTE($Z911,V$1&amp;" (4)",""))&lt;lenb($Z911),4,IF(lenb(SUBSTITUTE($Z911,V$1&amp;" (5)",""))&lt;lenb($Z911),5,IF(lenb(SUBSTITUTE($Z911,V$1&amp;" (6)",""))&lt;lenb($Z911),6,IF(lenb(SUBSTITUTE($Z911,V$1&amp;" (7)",""))&lt;lenb($Z911),1,IF(lenb(SUBSTITUTE($Z911,V$1&amp;" (8)",""))&lt;lenb($Z911),8,IF(lenb(SUBSTITUTE($Z911,V$1&amp;" (9)",""))&lt;lenb($Z911),9,IF(lenb(SUBSTITUTE($Z911,V$1&amp;" (10)",""))&lt;lenb($Z911),10,IF(lenb(SUBSTITUTE($Z911,V$1,""))&lt;lenb($Z911),"ERROR",IF($Z911=$Y$1,"-",0))))))))))))</f>
        <v>1</v>
      </c>
      <c r="W911" s="52">
        <f t="shared" si="917"/>
        <v>0</v>
      </c>
      <c r="X911" s="52">
        <f t="shared" si="917"/>
        <v>0</v>
      </c>
      <c r="Y911" s="52" t="str">
        <f t="shared" si="3"/>
        <v>-</v>
      </c>
      <c r="Z911" s="52" t="s">
        <v>62</v>
      </c>
      <c r="AA911" s="53">
        <f t="shared" si="4"/>
        <v>1</v>
      </c>
      <c r="AB911" s="54">
        <f>COUNTIFS(Links!B:B,"ICSE",Links!C:C,A911,Links!AD:AD,1)</f>
        <v>0</v>
      </c>
      <c r="AC911" s="55" t="s">
        <v>37</v>
      </c>
      <c r="AD911" s="47" t="str">
        <f t="shared" si="5"/>
        <v>No</v>
      </c>
      <c r="AE911" s="56" t="s">
        <v>36</v>
      </c>
      <c r="AF911" s="57" t="s">
        <v>42</v>
      </c>
      <c r="AG911" s="57" t="s">
        <v>42</v>
      </c>
      <c r="AH911" s="57" t="s">
        <v>42</v>
      </c>
      <c r="AI911" s="49" t="str">
        <f t="shared" si="661"/>
        <v>----</v>
      </c>
      <c r="AJ911" s="58" t="str">
        <f t="shared" si="7"/>
        <v>Paper has link but no statement</v>
      </c>
      <c r="AK911" s="59">
        <v>44869.0</v>
      </c>
      <c r="AL911" s="43" t="s">
        <v>43</v>
      </c>
      <c r="AM911" s="60" t="str">
        <f t="shared" si="8"/>
        <v>[IP0078]</v>
      </c>
    </row>
    <row r="912" ht="67.5" customHeight="1">
      <c r="A912" s="61">
        <v>79.0</v>
      </c>
      <c r="B912" s="22" t="s">
        <v>2468</v>
      </c>
      <c r="C912" s="23">
        <v>2022.0</v>
      </c>
      <c r="D912" s="24" t="s">
        <v>35</v>
      </c>
      <c r="E912" s="25" t="s">
        <v>36</v>
      </c>
      <c r="F912" s="25" t="s">
        <v>36</v>
      </c>
      <c r="G912" s="25" t="s">
        <v>36</v>
      </c>
      <c r="H912" s="25" t="s">
        <v>36</v>
      </c>
      <c r="I912" s="25" t="s">
        <v>36</v>
      </c>
      <c r="J912" s="26" t="s">
        <v>36</v>
      </c>
      <c r="K912" s="82" t="s">
        <v>37</v>
      </c>
      <c r="L912" s="70" t="s">
        <v>35</v>
      </c>
      <c r="M912" s="70" t="s">
        <v>37</v>
      </c>
      <c r="N912" s="70" t="s">
        <v>35</v>
      </c>
      <c r="O912" s="70" t="s">
        <v>35</v>
      </c>
      <c r="P912" s="70" t="s">
        <v>35</v>
      </c>
      <c r="Q912" s="70" t="s">
        <v>35</v>
      </c>
      <c r="R912" s="70" t="s">
        <v>37</v>
      </c>
      <c r="S912" s="37" t="s">
        <v>2469</v>
      </c>
      <c r="T912" s="30" t="s">
        <v>2470</v>
      </c>
      <c r="U912" s="31" t="s">
        <v>2470</v>
      </c>
      <c r="V912" s="32">
        <f t="shared" ref="V912:X912" si="918">IF(lenb(SUBSTITUTE($Z912,V$1&amp;" (1)",""))&lt;lenb($Z912),1,IF(lenb(SUBSTITUTE($Z912,V$1&amp;" (2)",""))&lt;lenb($Z912),2,IF(lenb(SUBSTITUTE($Z912,V$1&amp;" (3)",""))&lt;lenb($Z912),3,IF(lenb(SUBSTITUTE($Z912,V$1&amp;" (4)",""))&lt;lenb($Z912),4,IF(lenb(SUBSTITUTE($Z912,V$1&amp;" (5)",""))&lt;lenb($Z912),5,IF(lenb(SUBSTITUTE($Z912,V$1&amp;" (6)",""))&lt;lenb($Z912),6,IF(lenb(SUBSTITUTE($Z912,V$1&amp;" (7)",""))&lt;lenb($Z912),1,IF(lenb(SUBSTITUTE($Z912,V$1&amp;" (8)",""))&lt;lenb($Z912),8,IF(lenb(SUBSTITUTE($Z912,V$1&amp;" (9)",""))&lt;lenb($Z912),9,IF(lenb(SUBSTITUTE($Z912,V$1&amp;" (10)",""))&lt;lenb($Z912),10,IF(lenb(SUBSTITUTE($Z912,V$1,""))&lt;lenb($Z912),"ERROR",IF($Z912=$Y$1,"-",0))))))))))))</f>
        <v>0</v>
      </c>
      <c r="W912" s="32">
        <f t="shared" si="918"/>
        <v>1</v>
      </c>
      <c r="X912" s="32">
        <f t="shared" si="918"/>
        <v>0</v>
      </c>
      <c r="Y912" s="32" t="str">
        <f t="shared" si="3"/>
        <v>-</v>
      </c>
      <c r="Z912" s="32" t="s">
        <v>2471</v>
      </c>
      <c r="AA912" s="33">
        <f t="shared" si="4"/>
        <v>1</v>
      </c>
      <c r="AB912" s="34">
        <f>COUNTIFS(Links!B:B,"ICSE",Links!C:C,A912,Links!AD:AD,1)</f>
        <v>0</v>
      </c>
      <c r="AC912" s="35" t="s">
        <v>35</v>
      </c>
      <c r="AD912" s="27" t="str">
        <f t="shared" si="5"/>
        <v>No</v>
      </c>
      <c r="AE912" s="36" t="s">
        <v>36</v>
      </c>
      <c r="AF912" s="37" t="s">
        <v>42</v>
      </c>
      <c r="AG912" s="37" t="s">
        <v>42</v>
      </c>
      <c r="AH912" s="37" t="s">
        <v>42</v>
      </c>
      <c r="AI912" s="29" t="str">
        <f t="shared" si="661"/>
        <v>----</v>
      </c>
      <c r="AJ912" s="38" t="str">
        <f t="shared" si="7"/>
        <v>Paper has link but no statement</v>
      </c>
      <c r="AK912" s="39">
        <v>44869.0</v>
      </c>
      <c r="AL912" s="23" t="s">
        <v>43</v>
      </c>
      <c r="AM912" s="40" t="str">
        <f t="shared" si="8"/>
        <v>[IP0079]</v>
      </c>
    </row>
    <row r="913" ht="67.5" customHeight="1">
      <c r="A913" s="41">
        <v>80.0</v>
      </c>
      <c r="B913" s="42" t="s">
        <v>2472</v>
      </c>
      <c r="C913" s="43">
        <v>2022.0</v>
      </c>
      <c r="D913" s="44" t="s">
        <v>35</v>
      </c>
      <c r="E913" s="45" t="s">
        <v>36</v>
      </c>
      <c r="F913" s="45" t="s">
        <v>36</v>
      </c>
      <c r="G913" s="45" t="s">
        <v>36</v>
      </c>
      <c r="H913" s="45" t="s">
        <v>36</v>
      </c>
      <c r="I913" s="45" t="s">
        <v>36</v>
      </c>
      <c r="J913" s="46" t="s">
        <v>36</v>
      </c>
      <c r="K913" s="83" t="s">
        <v>37</v>
      </c>
      <c r="L913" s="71" t="s">
        <v>35</v>
      </c>
      <c r="M913" s="71" t="s">
        <v>35</v>
      </c>
      <c r="N913" s="71" t="s">
        <v>35</v>
      </c>
      <c r="O913" s="71" t="s">
        <v>37</v>
      </c>
      <c r="P913" s="71" t="s">
        <v>35</v>
      </c>
      <c r="Q913" s="71" t="s">
        <v>35</v>
      </c>
      <c r="R913" s="71" t="s">
        <v>35</v>
      </c>
      <c r="S913" s="57" t="s">
        <v>2473</v>
      </c>
      <c r="T913" s="50" t="s">
        <v>2474</v>
      </c>
      <c r="U913" s="51" t="s">
        <v>2474</v>
      </c>
      <c r="V913" s="52">
        <f t="shared" ref="V913:X913" si="919">IF(lenb(SUBSTITUTE($Z913,V$1&amp;" (1)",""))&lt;lenb($Z913),1,IF(lenb(SUBSTITUTE($Z913,V$1&amp;" (2)",""))&lt;lenb($Z913),2,IF(lenb(SUBSTITUTE($Z913,V$1&amp;" (3)",""))&lt;lenb($Z913),3,IF(lenb(SUBSTITUTE($Z913,V$1&amp;" (4)",""))&lt;lenb($Z913),4,IF(lenb(SUBSTITUTE($Z913,V$1&amp;" (5)",""))&lt;lenb($Z913),5,IF(lenb(SUBSTITUTE($Z913,V$1&amp;" (6)",""))&lt;lenb($Z913),6,IF(lenb(SUBSTITUTE($Z913,V$1&amp;" (7)",""))&lt;lenb($Z913),1,IF(lenb(SUBSTITUTE($Z913,V$1&amp;" (8)",""))&lt;lenb($Z913),8,IF(lenb(SUBSTITUTE($Z913,V$1&amp;" (9)",""))&lt;lenb($Z913),9,IF(lenb(SUBSTITUTE($Z913,V$1&amp;" (10)",""))&lt;lenb($Z913),10,IF(lenb(SUBSTITUTE($Z913,V$1,""))&lt;lenb($Z913),"ERROR",IF($Z913=$Y$1,"-",0))))))))))))</f>
        <v>1</v>
      </c>
      <c r="W913" s="52">
        <f t="shared" si="919"/>
        <v>0</v>
      </c>
      <c r="X913" s="52">
        <f t="shared" si="919"/>
        <v>0</v>
      </c>
      <c r="Y913" s="52" t="str">
        <f t="shared" si="3"/>
        <v>-</v>
      </c>
      <c r="Z913" s="52" t="s">
        <v>62</v>
      </c>
      <c r="AA913" s="53">
        <f t="shared" si="4"/>
        <v>1</v>
      </c>
      <c r="AB913" s="54">
        <f>COUNTIFS(Links!B:B,"ICSE",Links!C:C,A913,Links!AD:AD,1)</f>
        <v>0</v>
      </c>
      <c r="AC913" s="55" t="s">
        <v>35</v>
      </c>
      <c r="AD913" s="47" t="str">
        <f t="shared" si="5"/>
        <v>No</v>
      </c>
      <c r="AE913" s="56" t="s">
        <v>36</v>
      </c>
      <c r="AF913" s="57" t="s">
        <v>42</v>
      </c>
      <c r="AG913" s="57" t="s">
        <v>42</v>
      </c>
      <c r="AH913" s="57" t="s">
        <v>42</v>
      </c>
      <c r="AI913" s="49" t="str">
        <f t="shared" si="661"/>
        <v>----</v>
      </c>
      <c r="AJ913" s="58" t="str">
        <f t="shared" si="7"/>
        <v>Paper has link but no statement</v>
      </c>
      <c r="AK913" s="59">
        <v>44869.0</v>
      </c>
      <c r="AL913" s="43" t="s">
        <v>43</v>
      </c>
      <c r="AM913" s="60" t="str">
        <f t="shared" si="8"/>
        <v>[IP0080]</v>
      </c>
    </row>
    <row r="914" ht="67.5" customHeight="1">
      <c r="A914" s="61">
        <v>81.0</v>
      </c>
      <c r="B914" s="22" t="s">
        <v>2475</v>
      </c>
      <c r="C914" s="23">
        <v>2022.0</v>
      </c>
      <c r="D914" s="24" t="s">
        <v>37</v>
      </c>
      <c r="E914" s="25" t="s">
        <v>37</v>
      </c>
      <c r="F914" s="25" t="s">
        <v>35</v>
      </c>
      <c r="G914" s="25" t="s">
        <v>37</v>
      </c>
      <c r="H914" s="25" t="s">
        <v>35</v>
      </c>
      <c r="I914" s="25" t="s">
        <v>35</v>
      </c>
      <c r="J914" s="26" t="s">
        <v>36</v>
      </c>
      <c r="K914" s="82" t="s">
        <v>37</v>
      </c>
      <c r="L914" s="70" t="s">
        <v>35</v>
      </c>
      <c r="M914" s="70" t="s">
        <v>35</v>
      </c>
      <c r="N914" s="70" t="s">
        <v>37</v>
      </c>
      <c r="O914" s="70" t="s">
        <v>35</v>
      </c>
      <c r="P914" s="70" t="s">
        <v>37</v>
      </c>
      <c r="Q914" s="70" t="s">
        <v>35</v>
      </c>
      <c r="R914" s="70" t="s">
        <v>35</v>
      </c>
      <c r="S914" s="37" t="s">
        <v>2476</v>
      </c>
      <c r="T914" s="30" t="s">
        <v>2477</v>
      </c>
      <c r="U914" s="31" t="s">
        <v>2477</v>
      </c>
      <c r="V914" s="32">
        <f t="shared" ref="V914:X914" si="920">IF(lenb(SUBSTITUTE($Z914,V$1&amp;" (1)",""))&lt;lenb($Z914),1,IF(lenb(SUBSTITUTE($Z914,V$1&amp;" (2)",""))&lt;lenb($Z914),2,IF(lenb(SUBSTITUTE($Z914,V$1&amp;" (3)",""))&lt;lenb($Z914),3,IF(lenb(SUBSTITUTE($Z914,V$1&amp;" (4)",""))&lt;lenb($Z914),4,IF(lenb(SUBSTITUTE($Z914,V$1&amp;" (5)",""))&lt;lenb($Z914),5,IF(lenb(SUBSTITUTE($Z914,V$1&amp;" (6)",""))&lt;lenb($Z914),6,IF(lenb(SUBSTITUTE($Z914,V$1&amp;" (7)",""))&lt;lenb($Z914),1,IF(lenb(SUBSTITUTE($Z914,V$1&amp;" (8)",""))&lt;lenb($Z914),8,IF(lenb(SUBSTITUTE($Z914,V$1&amp;" (9)",""))&lt;lenb($Z914),9,IF(lenb(SUBSTITUTE($Z914,V$1&amp;" (10)",""))&lt;lenb($Z914),10,IF(lenb(SUBSTITUTE($Z914,V$1,""))&lt;lenb($Z914),"ERROR",IF($Z914=$Y$1,"-",0))))))))))))</f>
        <v>1</v>
      </c>
      <c r="W914" s="32">
        <f t="shared" si="920"/>
        <v>0</v>
      </c>
      <c r="X914" s="32">
        <f t="shared" si="920"/>
        <v>0</v>
      </c>
      <c r="Y914" s="32" t="str">
        <f t="shared" si="3"/>
        <v>-</v>
      </c>
      <c r="Z914" s="32" t="s">
        <v>62</v>
      </c>
      <c r="AA914" s="33">
        <f t="shared" si="4"/>
        <v>1</v>
      </c>
      <c r="AB914" s="34">
        <f>COUNTIFS(Links!B:B,"ICSE",Links!C:C,A914,Links!AD:AD,1)</f>
        <v>0</v>
      </c>
      <c r="AC914" s="35" t="s">
        <v>35</v>
      </c>
      <c r="AD914" s="27" t="str">
        <f t="shared" si="5"/>
        <v>No</v>
      </c>
      <c r="AE914" s="36" t="s">
        <v>36</v>
      </c>
      <c r="AF914" s="37" t="s">
        <v>42</v>
      </c>
      <c r="AG914" s="37" t="s">
        <v>42</v>
      </c>
      <c r="AH914" s="37" t="s">
        <v>42</v>
      </c>
      <c r="AI914" s="29" t="str">
        <f t="shared" si="661"/>
        <v>----</v>
      </c>
      <c r="AJ914" s="38" t="str">
        <f t="shared" si="7"/>
        <v>Paper has link but no statement</v>
      </c>
      <c r="AK914" s="39">
        <v>44869.0</v>
      </c>
      <c r="AL914" s="23" t="s">
        <v>43</v>
      </c>
      <c r="AM914" s="40" t="str">
        <f t="shared" si="8"/>
        <v>[IP0081]</v>
      </c>
    </row>
    <row r="915" ht="67.5" customHeight="1">
      <c r="A915" s="41">
        <v>82.0</v>
      </c>
      <c r="B915" s="42" t="s">
        <v>2478</v>
      </c>
      <c r="C915" s="43">
        <v>2022.0</v>
      </c>
      <c r="D915" s="44" t="s">
        <v>35</v>
      </c>
      <c r="E915" s="45" t="s">
        <v>36</v>
      </c>
      <c r="F915" s="45" t="s">
        <v>36</v>
      </c>
      <c r="G915" s="45" t="s">
        <v>36</v>
      </c>
      <c r="H915" s="45" t="s">
        <v>36</v>
      </c>
      <c r="I915" s="45" t="s">
        <v>36</v>
      </c>
      <c r="J915" s="46" t="s">
        <v>36</v>
      </c>
      <c r="K915" s="83" t="s">
        <v>37</v>
      </c>
      <c r="L915" s="71" t="s">
        <v>37</v>
      </c>
      <c r="M915" s="71" t="s">
        <v>35</v>
      </c>
      <c r="N915" s="71" t="s">
        <v>35</v>
      </c>
      <c r="O915" s="71" t="s">
        <v>35</v>
      </c>
      <c r="P915" s="71" t="s">
        <v>35</v>
      </c>
      <c r="Q915" s="71" t="s">
        <v>35</v>
      </c>
      <c r="R915" s="71" t="s">
        <v>37</v>
      </c>
      <c r="S915" s="57" t="s">
        <v>2479</v>
      </c>
      <c r="T915" s="50" t="s">
        <v>2480</v>
      </c>
      <c r="U915" s="50" t="s">
        <v>2480</v>
      </c>
      <c r="V915" s="52">
        <f t="shared" ref="V915:X915" si="921">IF(lenb(SUBSTITUTE($Z915,V$1&amp;" (1)",""))&lt;lenb($Z915),1,IF(lenb(SUBSTITUTE($Z915,V$1&amp;" (2)",""))&lt;lenb($Z915),2,IF(lenb(SUBSTITUTE($Z915,V$1&amp;" (3)",""))&lt;lenb($Z915),3,IF(lenb(SUBSTITUTE($Z915,V$1&amp;" (4)",""))&lt;lenb($Z915),4,IF(lenb(SUBSTITUTE($Z915,V$1&amp;" (5)",""))&lt;lenb($Z915),5,IF(lenb(SUBSTITUTE($Z915,V$1&amp;" (6)",""))&lt;lenb($Z915),6,IF(lenb(SUBSTITUTE($Z915,V$1&amp;" (7)",""))&lt;lenb($Z915),1,IF(lenb(SUBSTITUTE($Z915,V$1&amp;" (8)",""))&lt;lenb($Z915),8,IF(lenb(SUBSTITUTE($Z915,V$1&amp;" (9)",""))&lt;lenb($Z915),9,IF(lenb(SUBSTITUTE($Z915,V$1&amp;" (10)",""))&lt;lenb($Z915),10,IF(lenb(SUBSTITUTE($Z915,V$1,""))&lt;lenb($Z915),"ERROR",IF($Z915=$Y$1,"-",0))))))))))))</f>
        <v>2</v>
      </c>
      <c r="W915" s="52">
        <f t="shared" si="921"/>
        <v>0</v>
      </c>
      <c r="X915" s="52">
        <f t="shared" si="921"/>
        <v>0</v>
      </c>
      <c r="Y915" s="52" t="str">
        <f t="shared" si="3"/>
        <v>-</v>
      </c>
      <c r="Z915" s="52" t="s">
        <v>57</v>
      </c>
      <c r="AA915" s="53">
        <f t="shared" si="4"/>
        <v>2</v>
      </c>
      <c r="AB915" s="54">
        <f>COUNTIFS(Links!B:B,"ICSE",Links!C:C,A915,Links!AD:AD,1)</f>
        <v>0</v>
      </c>
      <c r="AC915" s="55" t="s">
        <v>35</v>
      </c>
      <c r="AD915" s="47" t="str">
        <f t="shared" si="5"/>
        <v>No</v>
      </c>
      <c r="AE915" s="56" t="s">
        <v>36</v>
      </c>
      <c r="AF915" s="57" t="s">
        <v>42</v>
      </c>
      <c r="AG915" s="57" t="s">
        <v>42</v>
      </c>
      <c r="AH915" s="57" t="s">
        <v>42</v>
      </c>
      <c r="AI915" s="49" t="str">
        <f t="shared" si="661"/>
        <v>----</v>
      </c>
      <c r="AJ915" s="58" t="str">
        <f t="shared" si="7"/>
        <v>Paper has link but no statement</v>
      </c>
      <c r="AK915" s="59">
        <v>44869.0</v>
      </c>
      <c r="AL915" s="43" t="s">
        <v>43</v>
      </c>
      <c r="AM915" s="60" t="str">
        <f t="shared" si="8"/>
        <v>[IP0082]</v>
      </c>
    </row>
    <row r="916" ht="67.5" customHeight="1">
      <c r="A916" s="61">
        <v>83.0</v>
      </c>
      <c r="B916" s="22" t="s">
        <v>2481</v>
      </c>
      <c r="C916" s="23">
        <v>2022.0</v>
      </c>
      <c r="D916" s="24" t="s">
        <v>35</v>
      </c>
      <c r="E916" s="25" t="s">
        <v>36</v>
      </c>
      <c r="F916" s="25" t="s">
        <v>36</v>
      </c>
      <c r="G916" s="25" t="s">
        <v>36</v>
      </c>
      <c r="H916" s="25" t="s">
        <v>36</v>
      </c>
      <c r="I916" s="25" t="s">
        <v>36</v>
      </c>
      <c r="J916" s="26" t="s">
        <v>36</v>
      </c>
      <c r="K916" s="82" t="s">
        <v>37</v>
      </c>
      <c r="L916" s="70" t="s">
        <v>35</v>
      </c>
      <c r="M916" s="70" t="s">
        <v>37</v>
      </c>
      <c r="N916" s="70" t="s">
        <v>35</v>
      </c>
      <c r="O916" s="70" t="s">
        <v>35</v>
      </c>
      <c r="P916" s="70" t="s">
        <v>35</v>
      </c>
      <c r="Q916" s="70" t="s">
        <v>35</v>
      </c>
      <c r="R916" s="70" t="s">
        <v>37</v>
      </c>
      <c r="S916" s="37" t="s">
        <v>2482</v>
      </c>
      <c r="T916" s="30" t="s">
        <v>2483</v>
      </c>
      <c r="U916" s="31" t="s">
        <v>2483</v>
      </c>
      <c r="V916" s="32">
        <f t="shared" ref="V916:X916" si="922">IF(lenb(SUBSTITUTE($Z916,V$1&amp;" (1)",""))&lt;lenb($Z916),1,IF(lenb(SUBSTITUTE($Z916,V$1&amp;" (2)",""))&lt;lenb($Z916),2,IF(lenb(SUBSTITUTE($Z916,V$1&amp;" (3)",""))&lt;lenb($Z916),3,IF(lenb(SUBSTITUTE($Z916,V$1&amp;" (4)",""))&lt;lenb($Z916),4,IF(lenb(SUBSTITUTE($Z916,V$1&amp;" (5)",""))&lt;lenb($Z916),5,IF(lenb(SUBSTITUTE($Z916,V$1&amp;" (6)",""))&lt;lenb($Z916),6,IF(lenb(SUBSTITUTE($Z916,V$1&amp;" (7)",""))&lt;lenb($Z916),1,IF(lenb(SUBSTITUTE($Z916,V$1&amp;" (8)",""))&lt;lenb($Z916),8,IF(lenb(SUBSTITUTE($Z916,V$1&amp;" (9)",""))&lt;lenb($Z916),9,IF(lenb(SUBSTITUTE($Z916,V$1&amp;" (10)",""))&lt;lenb($Z916),10,IF(lenb(SUBSTITUTE($Z916,V$1,""))&lt;lenb($Z916),"ERROR",IF($Z916=$Y$1,"-",0))))))))))))</f>
        <v>1</v>
      </c>
      <c r="W916" s="32">
        <f t="shared" si="922"/>
        <v>0</v>
      </c>
      <c r="X916" s="32">
        <f t="shared" si="922"/>
        <v>0</v>
      </c>
      <c r="Y916" s="32" t="str">
        <f t="shared" si="3"/>
        <v>-</v>
      </c>
      <c r="Z916" s="32" t="s">
        <v>62</v>
      </c>
      <c r="AA916" s="33">
        <f t="shared" si="4"/>
        <v>1</v>
      </c>
      <c r="AB916" s="34">
        <f>COUNTIFS(Links!B:B,"ICSE",Links!C:C,A916,Links!AD:AD,1)</f>
        <v>0</v>
      </c>
      <c r="AC916" s="35" t="s">
        <v>35</v>
      </c>
      <c r="AD916" s="27" t="str">
        <f t="shared" si="5"/>
        <v>No</v>
      </c>
      <c r="AE916" s="36" t="s">
        <v>36</v>
      </c>
      <c r="AF916" s="37" t="s">
        <v>42</v>
      </c>
      <c r="AG916" s="37" t="s">
        <v>42</v>
      </c>
      <c r="AH916" s="37" t="s">
        <v>42</v>
      </c>
      <c r="AI916" s="29" t="str">
        <f t="shared" si="661"/>
        <v>----</v>
      </c>
      <c r="AJ916" s="38" t="str">
        <f t="shared" si="7"/>
        <v>Paper has link but no statement</v>
      </c>
      <c r="AK916" s="39">
        <v>44869.0</v>
      </c>
      <c r="AL916" s="23" t="s">
        <v>43</v>
      </c>
      <c r="AM916" s="40" t="str">
        <f t="shared" si="8"/>
        <v>[IP0083]</v>
      </c>
    </row>
    <row r="917" ht="67.5" customHeight="1">
      <c r="A917" s="41">
        <v>84.0</v>
      </c>
      <c r="B917" s="42" t="s">
        <v>2484</v>
      </c>
      <c r="C917" s="43">
        <v>2022.0</v>
      </c>
      <c r="D917" s="44" t="s">
        <v>35</v>
      </c>
      <c r="E917" s="45" t="s">
        <v>36</v>
      </c>
      <c r="F917" s="45" t="s">
        <v>36</v>
      </c>
      <c r="G917" s="45" t="s">
        <v>36</v>
      </c>
      <c r="H917" s="45" t="s">
        <v>36</v>
      </c>
      <c r="I917" s="45" t="s">
        <v>36</v>
      </c>
      <c r="J917" s="46" t="s">
        <v>36</v>
      </c>
      <c r="K917" s="83" t="s">
        <v>37</v>
      </c>
      <c r="L917" s="71" t="s">
        <v>35</v>
      </c>
      <c r="M917" s="71" t="s">
        <v>37</v>
      </c>
      <c r="N917" s="71" t="s">
        <v>37</v>
      </c>
      <c r="O917" s="71" t="s">
        <v>35</v>
      </c>
      <c r="P917" s="71" t="s">
        <v>37</v>
      </c>
      <c r="Q917" s="71" t="s">
        <v>35</v>
      </c>
      <c r="R917" s="71" t="s">
        <v>37</v>
      </c>
      <c r="S917" s="57" t="s">
        <v>2485</v>
      </c>
      <c r="T917" s="50" t="s">
        <v>2486</v>
      </c>
      <c r="U917" s="51" t="s">
        <v>2486</v>
      </c>
      <c r="V917" s="52">
        <f t="shared" ref="V917:X917" si="923">IF(lenb(SUBSTITUTE($Z917,V$1&amp;" (1)",""))&lt;lenb($Z917),1,IF(lenb(SUBSTITUTE($Z917,V$1&amp;" (2)",""))&lt;lenb($Z917),2,IF(lenb(SUBSTITUTE($Z917,V$1&amp;" (3)",""))&lt;lenb($Z917),3,IF(lenb(SUBSTITUTE($Z917,V$1&amp;" (4)",""))&lt;lenb($Z917),4,IF(lenb(SUBSTITUTE($Z917,V$1&amp;" (5)",""))&lt;lenb($Z917),5,IF(lenb(SUBSTITUTE($Z917,V$1&amp;" (6)",""))&lt;lenb($Z917),6,IF(lenb(SUBSTITUTE($Z917,V$1&amp;" (7)",""))&lt;lenb($Z917),1,IF(lenb(SUBSTITUTE($Z917,V$1&amp;" (8)",""))&lt;lenb($Z917),8,IF(lenb(SUBSTITUTE($Z917,V$1&amp;" (9)",""))&lt;lenb($Z917),9,IF(lenb(SUBSTITUTE($Z917,V$1&amp;" (10)",""))&lt;lenb($Z917),10,IF(lenb(SUBSTITUTE($Z917,V$1,""))&lt;lenb($Z917),"ERROR",IF($Z917=$Y$1,"-",0))))))))))))</f>
        <v>1</v>
      </c>
      <c r="W917" s="52">
        <f t="shared" si="923"/>
        <v>0</v>
      </c>
      <c r="X917" s="52">
        <f t="shared" si="923"/>
        <v>0</v>
      </c>
      <c r="Y917" s="52" t="str">
        <f t="shared" si="3"/>
        <v>-</v>
      </c>
      <c r="Z917" s="52" t="s">
        <v>62</v>
      </c>
      <c r="AA917" s="53">
        <f t="shared" si="4"/>
        <v>1</v>
      </c>
      <c r="AB917" s="54">
        <f>COUNTIFS(Links!B:B,"ICSE",Links!C:C,A917,Links!AD:AD,1)</f>
        <v>0</v>
      </c>
      <c r="AC917" s="55" t="s">
        <v>35</v>
      </c>
      <c r="AD917" s="47" t="str">
        <f t="shared" si="5"/>
        <v>No</v>
      </c>
      <c r="AE917" s="56" t="s">
        <v>36</v>
      </c>
      <c r="AF917" s="57" t="s">
        <v>42</v>
      </c>
      <c r="AG917" s="57" t="s">
        <v>42</v>
      </c>
      <c r="AH917" s="57" t="s">
        <v>42</v>
      </c>
      <c r="AI917" s="49" t="str">
        <f t="shared" si="661"/>
        <v>----</v>
      </c>
      <c r="AJ917" s="58" t="str">
        <f t="shared" si="7"/>
        <v>Paper has link but no statement</v>
      </c>
      <c r="AK917" s="59">
        <v>44869.0</v>
      </c>
      <c r="AL917" s="43" t="s">
        <v>43</v>
      </c>
      <c r="AM917" s="60" t="str">
        <f t="shared" si="8"/>
        <v>[IP0084]</v>
      </c>
    </row>
    <row r="918" ht="67.5" customHeight="1">
      <c r="A918" s="61">
        <v>85.0</v>
      </c>
      <c r="B918" s="22" t="s">
        <v>2487</v>
      </c>
      <c r="C918" s="23">
        <v>2022.0</v>
      </c>
      <c r="D918" s="24" t="s">
        <v>37</v>
      </c>
      <c r="E918" s="25" t="s">
        <v>37</v>
      </c>
      <c r="F918" s="25" t="s">
        <v>35</v>
      </c>
      <c r="G918" s="25" t="s">
        <v>37</v>
      </c>
      <c r="H918" s="25" t="s">
        <v>35</v>
      </c>
      <c r="I918" s="25" t="s">
        <v>35</v>
      </c>
      <c r="J918" s="26" t="s">
        <v>36</v>
      </c>
      <c r="K918" s="82" t="s">
        <v>37</v>
      </c>
      <c r="L918" s="70" t="s">
        <v>37</v>
      </c>
      <c r="M918" s="70" t="s">
        <v>35</v>
      </c>
      <c r="N918" s="70" t="s">
        <v>35</v>
      </c>
      <c r="O918" s="70" t="s">
        <v>35</v>
      </c>
      <c r="P918" s="70" t="s">
        <v>35</v>
      </c>
      <c r="Q918" s="70" t="s">
        <v>35</v>
      </c>
      <c r="R918" s="70" t="s">
        <v>37</v>
      </c>
      <c r="S918" s="37" t="s">
        <v>2488</v>
      </c>
      <c r="T918" s="30" t="s">
        <v>2489</v>
      </c>
      <c r="U918" s="31" t="s">
        <v>2489</v>
      </c>
      <c r="V918" s="32">
        <f t="shared" ref="V918:X918" si="924">IF(lenb(SUBSTITUTE($Z918,V$1&amp;" (1)",""))&lt;lenb($Z918),1,IF(lenb(SUBSTITUTE($Z918,V$1&amp;" (2)",""))&lt;lenb($Z918),2,IF(lenb(SUBSTITUTE($Z918,V$1&amp;" (3)",""))&lt;lenb($Z918),3,IF(lenb(SUBSTITUTE($Z918,V$1&amp;" (4)",""))&lt;lenb($Z918),4,IF(lenb(SUBSTITUTE($Z918,V$1&amp;" (5)",""))&lt;lenb($Z918),5,IF(lenb(SUBSTITUTE($Z918,V$1&amp;" (6)",""))&lt;lenb($Z918),6,IF(lenb(SUBSTITUTE($Z918,V$1&amp;" (7)",""))&lt;lenb($Z918),1,IF(lenb(SUBSTITUTE($Z918,V$1&amp;" (8)",""))&lt;lenb($Z918),8,IF(lenb(SUBSTITUTE($Z918,V$1&amp;" (9)",""))&lt;lenb($Z918),9,IF(lenb(SUBSTITUTE($Z918,V$1&amp;" (10)",""))&lt;lenb($Z918),10,IF(lenb(SUBSTITUTE($Z918,V$1,""))&lt;lenb($Z918),"ERROR",IF($Z918=$Y$1,"-",0))))))))))))</f>
        <v>2</v>
      </c>
      <c r="W918" s="32">
        <f t="shared" si="924"/>
        <v>0</v>
      </c>
      <c r="X918" s="32">
        <f t="shared" si="924"/>
        <v>0</v>
      </c>
      <c r="Y918" s="32" t="str">
        <f t="shared" si="3"/>
        <v>-</v>
      </c>
      <c r="Z918" s="32" t="s">
        <v>57</v>
      </c>
      <c r="AA918" s="33">
        <f t="shared" si="4"/>
        <v>2</v>
      </c>
      <c r="AB918" s="34">
        <f>COUNTIFS(Links!B:B,"ICSE",Links!C:C,A918,Links!AD:AD,1)</f>
        <v>0</v>
      </c>
      <c r="AC918" s="35" t="s">
        <v>37</v>
      </c>
      <c r="AD918" s="27" t="str">
        <f t="shared" si="5"/>
        <v>No</v>
      </c>
      <c r="AE918" s="36" t="s">
        <v>36</v>
      </c>
      <c r="AF918" s="37" t="s">
        <v>42</v>
      </c>
      <c r="AG918" s="37" t="s">
        <v>42</v>
      </c>
      <c r="AH918" s="37" t="s">
        <v>42</v>
      </c>
      <c r="AI918" s="29" t="str">
        <f t="shared" si="661"/>
        <v>----</v>
      </c>
      <c r="AJ918" s="38" t="str">
        <f t="shared" si="7"/>
        <v>Paper has link but no statement</v>
      </c>
      <c r="AK918" s="39">
        <v>44869.0</v>
      </c>
      <c r="AL918" s="23" t="s">
        <v>43</v>
      </c>
      <c r="AM918" s="40" t="str">
        <f t="shared" si="8"/>
        <v>[IP0085]</v>
      </c>
    </row>
    <row r="919" ht="67.5" customHeight="1">
      <c r="A919" s="41">
        <v>86.0</v>
      </c>
      <c r="B919" s="42" t="s">
        <v>2490</v>
      </c>
      <c r="C919" s="43">
        <v>2022.0</v>
      </c>
      <c r="D919" s="44" t="s">
        <v>35</v>
      </c>
      <c r="E919" s="45" t="s">
        <v>36</v>
      </c>
      <c r="F919" s="45" t="s">
        <v>36</v>
      </c>
      <c r="G919" s="45" t="s">
        <v>36</v>
      </c>
      <c r="H919" s="45" t="s">
        <v>36</v>
      </c>
      <c r="I919" s="45" t="s">
        <v>36</v>
      </c>
      <c r="J919" s="46" t="s">
        <v>36</v>
      </c>
      <c r="K919" s="83" t="s">
        <v>37</v>
      </c>
      <c r="L919" s="71" t="s">
        <v>37</v>
      </c>
      <c r="M919" s="71" t="s">
        <v>35</v>
      </c>
      <c r="N919" s="71" t="s">
        <v>35</v>
      </c>
      <c r="O919" s="71" t="s">
        <v>37</v>
      </c>
      <c r="P919" s="71" t="s">
        <v>35</v>
      </c>
      <c r="Q919" s="71" t="s">
        <v>35</v>
      </c>
      <c r="R919" s="71" t="s">
        <v>37</v>
      </c>
      <c r="S919" s="57" t="s">
        <v>2491</v>
      </c>
      <c r="T919" s="50" t="s">
        <v>2492</v>
      </c>
      <c r="U919" s="50" t="s">
        <v>2492</v>
      </c>
      <c r="V919" s="52">
        <f t="shared" ref="V919:X919" si="925">IF(lenb(SUBSTITUTE($Z919,V$1&amp;" (1)",""))&lt;lenb($Z919),1,IF(lenb(SUBSTITUTE($Z919,V$1&amp;" (2)",""))&lt;lenb($Z919),2,IF(lenb(SUBSTITUTE($Z919,V$1&amp;" (3)",""))&lt;lenb($Z919),3,IF(lenb(SUBSTITUTE($Z919,V$1&amp;" (4)",""))&lt;lenb($Z919),4,IF(lenb(SUBSTITUTE($Z919,V$1&amp;" (5)",""))&lt;lenb($Z919),5,IF(lenb(SUBSTITUTE($Z919,V$1&amp;" (6)",""))&lt;lenb($Z919),6,IF(lenb(SUBSTITUTE($Z919,V$1&amp;" (7)",""))&lt;lenb($Z919),1,IF(lenb(SUBSTITUTE($Z919,V$1&amp;" (8)",""))&lt;lenb($Z919),8,IF(lenb(SUBSTITUTE($Z919,V$1&amp;" (9)",""))&lt;lenb($Z919),9,IF(lenb(SUBSTITUTE($Z919,V$1&amp;" (10)",""))&lt;lenb($Z919),10,IF(lenb(SUBSTITUTE($Z919,V$1,""))&lt;lenb($Z919),"ERROR",IF($Z919=$Y$1,"-",0))))))))))))</f>
        <v>3</v>
      </c>
      <c r="W919" s="52">
        <f t="shared" si="925"/>
        <v>0</v>
      </c>
      <c r="X919" s="52">
        <f t="shared" si="925"/>
        <v>0</v>
      </c>
      <c r="Y919" s="52" t="str">
        <f t="shared" si="3"/>
        <v>-</v>
      </c>
      <c r="Z919" s="52" t="s">
        <v>193</v>
      </c>
      <c r="AA919" s="53">
        <f t="shared" si="4"/>
        <v>3</v>
      </c>
      <c r="AB919" s="54">
        <f>COUNTIFS(Links!B:B,"ICSE",Links!C:C,A919,Links!AD:AD,1)</f>
        <v>0</v>
      </c>
      <c r="AC919" s="55" t="s">
        <v>37</v>
      </c>
      <c r="AD919" s="47" t="str">
        <f t="shared" si="5"/>
        <v>No</v>
      </c>
      <c r="AE919" s="56" t="s">
        <v>36</v>
      </c>
      <c r="AF919" s="57" t="s">
        <v>42</v>
      </c>
      <c r="AG919" s="57" t="s">
        <v>42</v>
      </c>
      <c r="AH919" s="57" t="s">
        <v>42</v>
      </c>
      <c r="AI919" s="49" t="str">
        <f t="shared" si="661"/>
        <v>----</v>
      </c>
      <c r="AJ919" s="58" t="str">
        <f t="shared" si="7"/>
        <v>Paper has link but no statement</v>
      </c>
      <c r="AK919" s="59">
        <v>44869.0</v>
      </c>
      <c r="AL919" s="43" t="s">
        <v>43</v>
      </c>
      <c r="AM919" s="60" t="str">
        <f t="shared" si="8"/>
        <v>[IP0086]</v>
      </c>
    </row>
    <row r="920" ht="67.5" customHeight="1">
      <c r="A920" s="61">
        <v>87.0</v>
      </c>
      <c r="B920" s="22" t="s">
        <v>2493</v>
      </c>
      <c r="C920" s="23">
        <v>2022.0</v>
      </c>
      <c r="D920" s="24" t="s">
        <v>35</v>
      </c>
      <c r="E920" s="25" t="s">
        <v>36</v>
      </c>
      <c r="F920" s="25" t="s">
        <v>36</v>
      </c>
      <c r="G920" s="25" t="s">
        <v>36</v>
      </c>
      <c r="H920" s="25" t="s">
        <v>36</v>
      </c>
      <c r="I920" s="25" t="s">
        <v>36</v>
      </c>
      <c r="J920" s="26" t="s">
        <v>36</v>
      </c>
      <c r="K920" s="82" t="s">
        <v>37</v>
      </c>
      <c r="L920" s="70" t="s">
        <v>37</v>
      </c>
      <c r="M920" s="70" t="s">
        <v>35</v>
      </c>
      <c r="N920" s="70" t="s">
        <v>37</v>
      </c>
      <c r="O920" s="70" t="s">
        <v>35</v>
      </c>
      <c r="P920" s="70" t="s">
        <v>35</v>
      </c>
      <c r="Q920" s="70" t="s">
        <v>35</v>
      </c>
      <c r="R920" s="70" t="s">
        <v>37</v>
      </c>
      <c r="S920" s="37" t="s">
        <v>2494</v>
      </c>
      <c r="T920" s="30" t="s">
        <v>2495</v>
      </c>
      <c r="U920" s="31" t="s">
        <v>2495</v>
      </c>
      <c r="V920" s="32">
        <f t="shared" ref="V920:X920" si="926">IF(lenb(SUBSTITUTE($Z920,V$1&amp;" (1)",""))&lt;lenb($Z920),1,IF(lenb(SUBSTITUTE($Z920,V$1&amp;" (2)",""))&lt;lenb($Z920),2,IF(lenb(SUBSTITUTE($Z920,V$1&amp;" (3)",""))&lt;lenb($Z920),3,IF(lenb(SUBSTITUTE($Z920,V$1&amp;" (4)",""))&lt;lenb($Z920),4,IF(lenb(SUBSTITUTE($Z920,V$1&amp;" (5)",""))&lt;lenb($Z920),5,IF(lenb(SUBSTITUTE($Z920,V$1&amp;" (6)",""))&lt;lenb($Z920),6,IF(lenb(SUBSTITUTE($Z920,V$1&amp;" (7)",""))&lt;lenb($Z920),1,IF(lenb(SUBSTITUTE($Z920,V$1&amp;" (8)",""))&lt;lenb($Z920),8,IF(lenb(SUBSTITUTE($Z920,V$1&amp;" (9)",""))&lt;lenb($Z920),9,IF(lenb(SUBSTITUTE($Z920,V$1&amp;" (10)",""))&lt;lenb($Z920),10,IF(lenb(SUBSTITUTE($Z920,V$1,""))&lt;lenb($Z920),"ERROR",IF($Z920=$Y$1,"-",0))))))))))))</f>
        <v>2</v>
      </c>
      <c r="W920" s="32">
        <f t="shared" si="926"/>
        <v>0</v>
      </c>
      <c r="X920" s="32">
        <f t="shared" si="926"/>
        <v>0</v>
      </c>
      <c r="Y920" s="32" t="str">
        <f t="shared" si="3"/>
        <v>-</v>
      </c>
      <c r="Z920" s="32" t="s">
        <v>57</v>
      </c>
      <c r="AA920" s="33">
        <f t="shared" si="4"/>
        <v>2</v>
      </c>
      <c r="AB920" s="34">
        <f>COUNTIFS(Links!B:B,"ICSE",Links!C:C,A920,Links!AD:AD,1)</f>
        <v>0</v>
      </c>
      <c r="AC920" s="35" t="s">
        <v>35</v>
      </c>
      <c r="AD920" s="27" t="str">
        <f t="shared" si="5"/>
        <v>No</v>
      </c>
      <c r="AE920" s="36" t="s">
        <v>36</v>
      </c>
      <c r="AF920" s="37" t="s">
        <v>42</v>
      </c>
      <c r="AG920" s="37" t="s">
        <v>42</v>
      </c>
      <c r="AH920" s="37" t="s">
        <v>42</v>
      </c>
      <c r="AI920" s="29" t="str">
        <f t="shared" si="661"/>
        <v>----</v>
      </c>
      <c r="AJ920" s="38" t="str">
        <f t="shared" si="7"/>
        <v>Paper has link but no statement</v>
      </c>
      <c r="AK920" s="39">
        <v>44869.0</v>
      </c>
      <c r="AL920" s="23" t="s">
        <v>43</v>
      </c>
      <c r="AM920" s="40" t="str">
        <f t="shared" si="8"/>
        <v>[IP0087]</v>
      </c>
    </row>
    <row r="921" ht="67.5" customHeight="1">
      <c r="A921" s="41">
        <v>88.0</v>
      </c>
      <c r="B921" s="42" t="s">
        <v>2496</v>
      </c>
      <c r="C921" s="43">
        <v>2022.0</v>
      </c>
      <c r="D921" s="44" t="s">
        <v>37</v>
      </c>
      <c r="E921" s="45" t="s">
        <v>37</v>
      </c>
      <c r="F921" s="45" t="s">
        <v>35</v>
      </c>
      <c r="G921" s="45" t="s">
        <v>37</v>
      </c>
      <c r="H921" s="45" t="s">
        <v>35</v>
      </c>
      <c r="I921" s="45" t="s">
        <v>35</v>
      </c>
      <c r="J921" s="46" t="s">
        <v>36</v>
      </c>
      <c r="K921" s="83" t="s">
        <v>37</v>
      </c>
      <c r="L921" s="71" t="s">
        <v>35</v>
      </c>
      <c r="M921" s="71" t="s">
        <v>35</v>
      </c>
      <c r="N921" s="71" t="s">
        <v>35</v>
      </c>
      <c r="O921" s="71" t="s">
        <v>35</v>
      </c>
      <c r="P921" s="71" t="s">
        <v>35</v>
      </c>
      <c r="Q921" s="71" t="s">
        <v>37</v>
      </c>
      <c r="R921" s="71" t="s">
        <v>35</v>
      </c>
      <c r="S921" s="57" t="s">
        <v>2497</v>
      </c>
      <c r="T921" s="50" t="s">
        <v>2498</v>
      </c>
      <c r="U921" s="51" t="s">
        <v>2498</v>
      </c>
      <c r="V921" s="52">
        <f t="shared" ref="V921:X921" si="927">IF(lenb(SUBSTITUTE($Z921,V$1&amp;" (1)",""))&lt;lenb($Z921),1,IF(lenb(SUBSTITUTE($Z921,V$1&amp;" (2)",""))&lt;lenb($Z921),2,IF(lenb(SUBSTITUTE($Z921,V$1&amp;" (3)",""))&lt;lenb($Z921),3,IF(lenb(SUBSTITUTE($Z921,V$1&amp;" (4)",""))&lt;lenb($Z921),4,IF(lenb(SUBSTITUTE($Z921,V$1&amp;" (5)",""))&lt;lenb($Z921),5,IF(lenb(SUBSTITUTE($Z921,V$1&amp;" (6)",""))&lt;lenb($Z921),6,IF(lenb(SUBSTITUTE($Z921,V$1&amp;" (7)",""))&lt;lenb($Z921),1,IF(lenb(SUBSTITUTE($Z921,V$1&amp;" (8)",""))&lt;lenb($Z921),8,IF(lenb(SUBSTITUTE($Z921,V$1&amp;" (9)",""))&lt;lenb($Z921),9,IF(lenb(SUBSTITUTE($Z921,V$1&amp;" (10)",""))&lt;lenb($Z921),10,IF(lenb(SUBSTITUTE($Z921,V$1,""))&lt;lenb($Z921),"ERROR",IF($Z921=$Y$1,"-",0))))))))))))</f>
        <v>2</v>
      </c>
      <c r="W921" s="52">
        <f t="shared" si="927"/>
        <v>0</v>
      </c>
      <c r="X921" s="52">
        <f t="shared" si="927"/>
        <v>0</v>
      </c>
      <c r="Y921" s="52" t="str">
        <f t="shared" si="3"/>
        <v>-</v>
      </c>
      <c r="Z921" s="52" t="s">
        <v>57</v>
      </c>
      <c r="AA921" s="53">
        <f t="shared" si="4"/>
        <v>2</v>
      </c>
      <c r="AB921" s="54">
        <f>COUNTIFS(Links!B:B,"ICSE",Links!C:C,A921,Links!AD:AD,1)</f>
        <v>0</v>
      </c>
      <c r="AC921" s="55" t="s">
        <v>37</v>
      </c>
      <c r="AD921" s="47" t="str">
        <f t="shared" si="5"/>
        <v>No</v>
      </c>
      <c r="AE921" s="56" t="s">
        <v>36</v>
      </c>
      <c r="AF921" s="57" t="s">
        <v>42</v>
      </c>
      <c r="AG921" s="57" t="s">
        <v>42</v>
      </c>
      <c r="AH921" s="57" t="s">
        <v>42</v>
      </c>
      <c r="AI921" s="49" t="str">
        <f t="shared" si="661"/>
        <v>----</v>
      </c>
      <c r="AJ921" s="58" t="str">
        <f t="shared" si="7"/>
        <v>Paper has link but no statement</v>
      </c>
      <c r="AK921" s="59">
        <v>44869.0</v>
      </c>
      <c r="AL921" s="43" t="s">
        <v>43</v>
      </c>
      <c r="AM921" s="60" t="str">
        <f t="shared" si="8"/>
        <v>[IP0088]</v>
      </c>
    </row>
    <row r="922" ht="67.5" customHeight="1">
      <c r="A922" s="61">
        <v>89.0</v>
      </c>
      <c r="B922" s="22" t="s">
        <v>2499</v>
      </c>
      <c r="C922" s="23">
        <v>2022.0</v>
      </c>
      <c r="D922" s="24" t="s">
        <v>35</v>
      </c>
      <c r="E922" s="25" t="s">
        <v>36</v>
      </c>
      <c r="F922" s="25" t="s">
        <v>36</v>
      </c>
      <c r="G922" s="25" t="s">
        <v>36</v>
      </c>
      <c r="H922" s="25" t="s">
        <v>36</v>
      </c>
      <c r="I922" s="25" t="s">
        <v>36</v>
      </c>
      <c r="J922" s="26" t="s">
        <v>36</v>
      </c>
      <c r="K922" s="82" t="s">
        <v>37</v>
      </c>
      <c r="L922" s="70" t="s">
        <v>35</v>
      </c>
      <c r="M922" s="70" t="s">
        <v>35</v>
      </c>
      <c r="N922" s="70" t="s">
        <v>35</v>
      </c>
      <c r="O922" s="70" t="s">
        <v>35</v>
      </c>
      <c r="P922" s="70" t="s">
        <v>35</v>
      </c>
      <c r="Q922" s="70" t="s">
        <v>35</v>
      </c>
      <c r="R922" s="70" t="s">
        <v>37</v>
      </c>
      <c r="S922" s="37" t="s">
        <v>2500</v>
      </c>
      <c r="T922" s="30" t="s">
        <v>2501</v>
      </c>
      <c r="U922" s="31" t="s">
        <v>2501</v>
      </c>
      <c r="V922" s="32">
        <f t="shared" ref="V922:X922" si="928">IF(lenb(SUBSTITUTE($Z922,V$1&amp;" (1)",""))&lt;lenb($Z922),1,IF(lenb(SUBSTITUTE($Z922,V$1&amp;" (2)",""))&lt;lenb($Z922),2,IF(lenb(SUBSTITUTE($Z922,V$1&amp;" (3)",""))&lt;lenb($Z922),3,IF(lenb(SUBSTITUTE($Z922,V$1&amp;" (4)",""))&lt;lenb($Z922),4,IF(lenb(SUBSTITUTE($Z922,V$1&amp;" (5)",""))&lt;lenb($Z922),5,IF(lenb(SUBSTITUTE($Z922,V$1&amp;" (6)",""))&lt;lenb($Z922),6,IF(lenb(SUBSTITUTE($Z922,V$1&amp;" (7)",""))&lt;lenb($Z922),1,IF(lenb(SUBSTITUTE($Z922,V$1&amp;" (8)",""))&lt;lenb($Z922),8,IF(lenb(SUBSTITUTE($Z922,V$1&amp;" (9)",""))&lt;lenb($Z922),9,IF(lenb(SUBSTITUTE($Z922,V$1&amp;" (10)",""))&lt;lenb($Z922),10,IF(lenb(SUBSTITUTE($Z922,V$1,""))&lt;lenb($Z922),"ERROR",IF($Z922=$Y$1,"-",0))))))))))))</f>
        <v>1</v>
      </c>
      <c r="W922" s="32">
        <f t="shared" si="928"/>
        <v>0</v>
      </c>
      <c r="X922" s="32">
        <f t="shared" si="928"/>
        <v>0</v>
      </c>
      <c r="Y922" s="32" t="str">
        <f t="shared" si="3"/>
        <v>-</v>
      </c>
      <c r="Z922" s="32" t="s">
        <v>62</v>
      </c>
      <c r="AA922" s="33">
        <f t="shared" si="4"/>
        <v>1</v>
      </c>
      <c r="AB922" s="34">
        <f>COUNTIFS(Links!B:B,"ICSE",Links!C:C,A922,Links!AD:AD,1)</f>
        <v>0</v>
      </c>
      <c r="AC922" s="35" t="s">
        <v>35</v>
      </c>
      <c r="AD922" s="27" t="str">
        <f t="shared" si="5"/>
        <v>No</v>
      </c>
      <c r="AE922" s="36" t="s">
        <v>36</v>
      </c>
      <c r="AF922" s="37" t="s">
        <v>42</v>
      </c>
      <c r="AG922" s="37" t="s">
        <v>42</v>
      </c>
      <c r="AH922" s="37" t="s">
        <v>42</v>
      </c>
      <c r="AI922" s="29" t="str">
        <f t="shared" si="661"/>
        <v>----</v>
      </c>
      <c r="AJ922" s="38" t="str">
        <f t="shared" si="7"/>
        <v>Paper has link but no statement</v>
      </c>
      <c r="AK922" s="39">
        <v>44869.0</v>
      </c>
      <c r="AL922" s="23" t="s">
        <v>43</v>
      </c>
      <c r="AM922" s="40" t="str">
        <f t="shared" si="8"/>
        <v>[IP0089]</v>
      </c>
    </row>
    <row r="923" ht="67.5" customHeight="1">
      <c r="A923" s="41">
        <v>90.0</v>
      </c>
      <c r="B923" s="42" t="s">
        <v>2502</v>
      </c>
      <c r="C923" s="43">
        <v>2022.0</v>
      </c>
      <c r="D923" s="44" t="s">
        <v>35</v>
      </c>
      <c r="E923" s="45" t="s">
        <v>36</v>
      </c>
      <c r="F923" s="45" t="s">
        <v>36</v>
      </c>
      <c r="G923" s="45" t="s">
        <v>36</v>
      </c>
      <c r="H923" s="45" t="s">
        <v>36</v>
      </c>
      <c r="I923" s="45" t="s">
        <v>36</v>
      </c>
      <c r="J923" s="46" t="s">
        <v>36</v>
      </c>
      <c r="K923" s="83" t="s">
        <v>37</v>
      </c>
      <c r="L923" s="71" t="s">
        <v>35</v>
      </c>
      <c r="M923" s="71" t="s">
        <v>37</v>
      </c>
      <c r="N923" s="71" t="s">
        <v>37</v>
      </c>
      <c r="O923" s="71" t="s">
        <v>35</v>
      </c>
      <c r="P923" s="71" t="s">
        <v>37</v>
      </c>
      <c r="Q923" s="71" t="s">
        <v>35</v>
      </c>
      <c r="R923" s="71" t="s">
        <v>37</v>
      </c>
      <c r="S923" s="57" t="s">
        <v>2503</v>
      </c>
      <c r="T923" s="50" t="s">
        <v>2504</v>
      </c>
      <c r="U923" s="51" t="s">
        <v>2505</v>
      </c>
      <c r="V923" s="52">
        <f t="shared" ref="V923:X923" si="929">IF(lenb(SUBSTITUTE($Z923,V$1&amp;" (1)",""))&lt;lenb($Z923),1,IF(lenb(SUBSTITUTE($Z923,V$1&amp;" (2)",""))&lt;lenb($Z923),2,IF(lenb(SUBSTITUTE($Z923,V$1&amp;" (3)",""))&lt;lenb($Z923),3,IF(lenb(SUBSTITUTE($Z923,V$1&amp;" (4)",""))&lt;lenb($Z923),4,IF(lenb(SUBSTITUTE($Z923,V$1&amp;" (5)",""))&lt;lenb($Z923),5,IF(lenb(SUBSTITUTE($Z923,V$1&amp;" (6)",""))&lt;lenb($Z923),6,IF(lenb(SUBSTITUTE($Z923,V$1&amp;" (7)",""))&lt;lenb($Z923),1,IF(lenb(SUBSTITUTE($Z923,V$1&amp;" (8)",""))&lt;lenb($Z923),8,IF(lenb(SUBSTITUTE($Z923,V$1&amp;" (9)",""))&lt;lenb($Z923),9,IF(lenb(SUBSTITUTE($Z923,V$1&amp;" (10)",""))&lt;lenb($Z923),10,IF(lenb(SUBSTITUTE($Z923,V$1,""))&lt;lenb($Z923),"ERROR",IF($Z923=$Y$1,"-",0))))))))))))</f>
        <v>2</v>
      </c>
      <c r="W923" s="52">
        <f t="shared" si="929"/>
        <v>0</v>
      </c>
      <c r="X923" s="52">
        <f t="shared" si="929"/>
        <v>0</v>
      </c>
      <c r="Y923" s="52" t="str">
        <f t="shared" si="3"/>
        <v>-</v>
      </c>
      <c r="Z923" s="52" t="s">
        <v>57</v>
      </c>
      <c r="AA923" s="53">
        <f t="shared" si="4"/>
        <v>2</v>
      </c>
      <c r="AB923" s="54">
        <f>COUNTIFS(Links!B:B,"ICSE",Links!C:C,A923,Links!AD:AD,1)</f>
        <v>0</v>
      </c>
      <c r="AC923" s="55" t="s">
        <v>37</v>
      </c>
      <c r="AD923" s="47" t="str">
        <f t="shared" si="5"/>
        <v>No</v>
      </c>
      <c r="AE923" s="56" t="s">
        <v>36</v>
      </c>
      <c r="AF923" s="57" t="s">
        <v>42</v>
      </c>
      <c r="AG923" s="57" t="s">
        <v>42</v>
      </c>
      <c r="AH923" s="57" t="s">
        <v>42</v>
      </c>
      <c r="AI923" s="49" t="str">
        <f t="shared" si="661"/>
        <v>----</v>
      </c>
      <c r="AJ923" s="58" t="str">
        <f t="shared" si="7"/>
        <v>Paper has link but no statement</v>
      </c>
      <c r="AK923" s="59">
        <v>44869.0</v>
      </c>
      <c r="AL923" s="43" t="s">
        <v>43</v>
      </c>
      <c r="AM923" s="60" t="str">
        <f t="shared" si="8"/>
        <v>[IP0090]</v>
      </c>
    </row>
    <row r="924" ht="67.5" customHeight="1">
      <c r="A924" s="61">
        <v>91.0</v>
      </c>
      <c r="B924" s="22" t="s">
        <v>2506</v>
      </c>
      <c r="C924" s="23">
        <v>2022.0</v>
      </c>
      <c r="D924" s="24" t="s">
        <v>37</v>
      </c>
      <c r="E924" s="25" t="s">
        <v>37</v>
      </c>
      <c r="F924" s="25" t="s">
        <v>35</v>
      </c>
      <c r="G924" s="25" t="s">
        <v>37</v>
      </c>
      <c r="H924" s="25" t="s">
        <v>35</v>
      </c>
      <c r="I924" s="25" t="s">
        <v>35</v>
      </c>
      <c r="J924" s="26" t="s">
        <v>36</v>
      </c>
      <c r="K924" s="82" t="s">
        <v>37</v>
      </c>
      <c r="L924" s="70" t="s">
        <v>35</v>
      </c>
      <c r="M924" s="70" t="s">
        <v>37</v>
      </c>
      <c r="N924" s="70" t="s">
        <v>35</v>
      </c>
      <c r="O924" s="70" t="s">
        <v>35</v>
      </c>
      <c r="P924" s="70" t="s">
        <v>35</v>
      </c>
      <c r="Q924" s="70" t="s">
        <v>37</v>
      </c>
      <c r="R924" s="70" t="s">
        <v>37</v>
      </c>
      <c r="S924" s="37" t="s">
        <v>2507</v>
      </c>
      <c r="T924" s="30" t="s">
        <v>2508</v>
      </c>
      <c r="U924" s="31" t="s">
        <v>2508</v>
      </c>
      <c r="V924" s="32">
        <f t="shared" ref="V924:X924" si="930">IF(lenb(SUBSTITUTE($Z924,V$1&amp;" (1)",""))&lt;lenb($Z924),1,IF(lenb(SUBSTITUTE($Z924,V$1&amp;" (2)",""))&lt;lenb($Z924),2,IF(lenb(SUBSTITUTE($Z924,V$1&amp;" (3)",""))&lt;lenb($Z924),3,IF(lenb(SUBSTITUTE($Z924,V$1&amp;" (4)",""))&lt;lenb($Z924),4,IF(lenb(SUBSTITUTE($Z924,V$1&amp;" (5)",""))&lt;lenb($Z924),5,IF(lenb(SUBSTITUTE($Z924,V$1&amp;" (6)",""))&lt;lenb($Z924),6,IF(lenb(SUBSTITUTE($Z924,V$1&amp;" (7)",""))&lt;lenb($Z924),1,IF(lenb(SUBSTITUTE($Z924,V$1&amp;" (8)",""))&lt;lenb($Z924),8,IF(lenb(SUBSTITUTE($Z924,V$1&amp;" (9)",""))&lt;lenb($Z924),9,IF(lenb(SUBSTITUTE($Z924,V$1&amp;" (10)",""))&lt;lenb($Z924),10,IF(lenb(SUBSTITUTE($Z924,V$1,""))&lt;lenb($Z924),"ERROR",IF($Z924=$Y$1,"-",0))))))))))))</f>
        <v>1</v>
      </c>
      <c r="W924" s="32">
        <f t="shared" si="930"/>
        <v>0</v>
      </c>
      <c r="X924" s="32">
        <f t="shared" si="930"/>
        <v>0</v>
      </c>
      <c r="Y924" s="32" t="str">
        <f t="shared" si="3"/>
        <v>-</v>
      </c>
      <c r="Z924" s="32" t="s">
        <v>62</v>
      </c>
      <c r="AA924" s="33">
        <f t="shared" si="4"/>
        <v>1</v>
      </c>
      <c r="AB924" s="34">
        <f>COUNTIFS(Links!B:B,"ICSE",Links!C:C,A924,Links!AD:AD,1)</f>
        <v>0</v>
      </c>
      <c r="AC924" s="35" t="s">
        <v>37</v>
      </c>
      <c r="AD924" s="27" t="str">
        <f t="shared" si="5"/>
        <v>No</v>
      </c>
      <c r="AE924" s="36" t="s">
        <v>36</v>
      </c>
      <c r="AF924" s="37" t="s">
        <v>42</v>
      </c>
      <c r="AG924" s="37" t="s">
        <v>42</v>
      </c>
      <c r="AH924" s="37" t="s">
        <v>42</v>
      </c>
      <c r="AI924" s="29" t="str">
        <f t="shared" si="661"/>
        <v>----</v>
      </c>
      <c r="AJ924" s="38" t="str">
        <f t="shared" si="7"/>
        <v>Paper has link but no statement</v>
      </c>
      <c r="AK924" s="39">
        <v>44869.0</v>
      </c>
      <c r="AL924" s="23" t="s">
        <v>43</v>
      </c>
      <c r="AM924" s="40" t="str">
        <f t="shared" si="8"/>
        <v>[IP0091]</v>
      </c>
    </row>
    <row r="925" ht="67.5" customHeight="1">
      <c r="A925" s="41">
        <v>92.0</v>
      </c>
      <c r="B925" s="42" t="s">
        <v>2509</v>
      </c>
      <c r="C925" s="43">
        <v>2022.0</v>
      </c>
      <c r="D925" s="44" t="s">
        <v>35</v>
      </c>
      <c r="E925" s="45" t="s">
        <v>36</v>
      </c>
      <c r="F925" s="45" t="s">
        <v>36</v>
      </c>
      <c r="G925" s="45" t="s">
        <v>36</v>
      </c>
      <c r="H925" s="45" t="s">
        <v>36</v>
      </c>
      <c r="I925" s="45" t="s">
        <v>36</v>
      </c>
      <c r="J925" s="46" t="s">
        <v>36</v>
      </c>
      <c r="K925" s="83" t="s">
        <v>37</v>
      </c>
      <c r="L925" s="71" t="s">
        <v>37</v>
      </c>
      <c r="M925" s="71" t="s">
        <v>35</v>
      </c>
      <c r="N925" s="71" t="s">
        <v>35</v>
      </c>
      <c r="O925" s="71" t="s">
        <v>35</v>
      </c>
      <c r="P925" s="71" t="s">
        <v>35</v>
      </c>
      <c r="Q925" s="71" t="s">
        <v>35</v>
      </c>
      <c r="R925" s="71" t="s">
        <v>37</v>
      </c>
      <c r="S925" s="57" t="s">
        <v>2510</v>
      </c>
      <c r="T925" s="50" t="s">
        <v>2511</v>
      </c>
      <c r="U925" s="51" t="s">
        <v>2511</v>
      </c>
      <c r="V925" s="52">
        <f t="shared" ref="V925:X925" si="931">IF(lenb(SUBSTITUTE($Z925,V$1&amp;" (1)",""))&lt;lenb($Z925),1,IF(lenb(SUBSTITUTE($Z925,V$1&amp;" (2)",""))&lt;lenb($Z925),2,IF(lenb(SUBSTITUTE($Z925,V$1&amp;" (3)",""))&lt;lenb($Z925),3,IF(lenb(SUBSTITUTE($Z925,V$1&amp;" (4)",""))&lt;lenb($Z925),4,IF(lenb(SUBSTITUTE($Z925,V$1&amp;" (5)",""))&lt;lenb($Z925),5,IF(lenb(SUBSTITUTE($Z925,V$1&amp;" (6)",""))&lt;lenb($Z925),6,IF(lenb(SUBSTITUTE($Z925,V$1&amp;" (7)",""))&lt;lenb($Z925),1,IF(lenb(SUBSTITUTE($Z925,V$1&amp;" (8)",""))&lt;lenb($Z925),8,IF(lenb(SUBSTITUTE($Z925,V$1&amp;" (9)",""))&lt;lenb($Z925),9,IF(lenb(SUBSTITUTE($Z925,V$1&amp;" (10)",""))&lt;lenb($Z925),10,IF(lenb(SUBSTITUTE($Z925,V$1,""))&lt;lenb($Z925),"ERROR",IF($Z925=$Y$1,"-",0))))))))))))</f>
        <v>1</v>
      </c>
      <c r="W925" s="52">
        <f t="shared" si="931"/>
        <v>0</v>
      </c>
      <c r="X925" s="52">
        <f t="shared" si="931"/>
        <v>0</v>
      </c>
      <c r="Y925" s="52" t="str">
        <f t="shared" si="3"/>
        <v>-</v>
      </c>
      <c r="Z925" s="52" t="s">
        <v>62</v>
      </c>
      <c r="AA925" s="53">
        <f t="shared" si="4"/>
        <v>1</v>
      </c>
      <c r="AB925" s="54">
        <f>COUNTIFS(Links!B:B,"ICSE",Links!C:C,A925,Links!AD:AD,1)</f>
        <v>0</v>
      </c>
      <c r="AC925" s="55" t="s">
        <v>35</v>
      </c>
      <c r="AD925" s="47" t="str">
        <f t="shared" si="5"/>
        <v>Yes</v>
      </c>
      <c r="AE925" s="56" t="s">
        <v>2512</v>
      </c>
      <c r="AF925" s="56" t="s">
        <v>281</v>
      </c>
      <c r="AG925" s="57" t="s">
        <v>42</v>
      </c>
      <c r="AH925" s="57" t="s">
        <v>42</v>
      </c>
      <c r="AI925" s="49" t="str">
        <f t="shared" si="661"/>
        <v>Barriers (Confidentiality and privacy)</v>
      </c>
      <c r="AJ925" s="58" t="str">
        <f t="shared" si="7"/>
        <v>Paper has link and statement</v>
      </c>
      <c r="AK925" s="59">
        <v>44869.0</v>
      </c>
      <c r="AL925" s="43" t="s">
        <v>43</v>
      </c>
      <c r="AM925" s="60" t="str">
        <f t="shared" si="8"/>
        <v>[IP0092]</v>
      </c>
    </row>
    <row r="926" ht="67.5" customHeight="1">
      <c r="A926" s="61">
        <v>93.0</v>
      </c>
      <c r="B926" s="22" t="s">
        <v>2513</v>
      </c>
      <c r="C926" s="23">
        <v>2022.0</v>
      </c>
      <c r="D926" s="24" t="s">
        <v>35</v>
      </c>
      <c r="E926" s="25" t="s">
        <v>36</v>
      </c>
      <c r="F926" s="25" t="s">
        <v>36</v>
      </c>
      <c r="G926" s="25" t="s">
        <v>36</v>
      </c>
      <c r="H926" s="25" t="s">
        <v>36</v>
      </c>
      <c r="I926" s="25" t="s">
        <v>36</v>
      </c>
      <c r="J926" s="26" t="s">
        <v>36</v>
      </c>
      <c r="K926" s="82" t="s">
        <v>35</v>
      </c>
      <c r="L926" s="70" t="s">
        <v>36</v>
      </c>
      <c r="M926" s="70" t="s">
        <v>36</v>
      </c>
      <c r="N926" s="70" t="s">
        <v>36</v>
      </c>
      <c r="O926" s="70" t="s">
        <v>36</v>
      </c>
      <c r="P926" s="70" t="s">
        <v>36</v>
      </c>
      <c r="Q926" s="70" t="s">
        <v>36</v>
      </c>
      <c r="R926" s="70" t="s">
        <v>36</v>
      </c>
      <c r="S926" s="37" t="s">
        <v>36</v>
      </c>
      <c r="T926" s="30" t="s">
        <v>36</v>
      </c>
      <c r="U926" s="31" t="s">
        <v>36</v>
      </c>
      <c r="V926" s="32" t="str">
        <f t="shared" ref="V926:X926" si="932">IF(lenb(SUBSTITUTE($Z926,V$1&amp;" (1)",""))&lt;lenb($Z926),1,IF(lenb(SUBSTITUTE($Z926,V$1&amp;" (2)",""))&lt;lenb($Z926),2,IF(lenb(SUBSTITUTE($Z926,V$1&amp;" (3)",""))&lt;lenb($Z926),3,IF(lenb(SUBSTITUTE($Z926,V$1&amp;" (4)",""))&lt;lenb($Z926),4,IF(lenb(SUBSTITUTE($Z926,V$1&amp;" (5)",""))&lt;lenb($Z926),5,IF(lenb(SUBSTITUTE($Z926,V$1&amp;" (6)",""))&lt;lenb($Z926),6,IF(lenb(SUBSTITUTE($Z926,V$1&amp;" (7)",""))&lt;lenb($Z926),1,IF(lenb(SUBSTITUTE($Z926,V$1&amp;" (8)",""))&lt;lenb($Z926),8,IF(lenb(SUBSTITUTE($Z926,V$1&amp;" (9)",""))&lt;lenb($Z926),9,IF(lenb(SUBSTITUTE($Z926,V$1&amp;" (10)",""))&lt;lenb($Z926),10,IF(lenb(SUBSTITUTE($Z926,V$1,""))&lt;lenb($Z926),"ERROR",IF($Z926=$Y$1,"-",0))))))))))))</f>
        <v>-</v>
      </c>
      <c r="W926" s="32" t="str">
        <f t="shared" si="932"/>
        <v>-</v>
      </c>
      <c r="X926" s="32" t="str">
        <f t="shared" si="932"/>
        <v>-</v>
      </c>
      <c r="Y926" s="32">
        <f t="shared" si="3"/>
        <v>1</v>
      </c>
      <c r="Z926" s="32" t="s">
        <v>23</v>
      </c>
      <c r="AA926" s="33">
        <f t="shared" si="4"/>
        <v>0</v>
      </c>
      <c r="AB926" s="34">
        <f>COUNTIFS(Links!B:B,"ICSE",Links!C:C,A926,Links!AD:AD,1)</f>
        <v>0</v>
      </c>
      <c r="AC926" s="35" t="s">
        <v>36</v>
      </c>
      <c r="AD926" s="27" t="str">
        <f t="shared" si="5"/>
        <v>No</v>
      </c>
      <c r="AE926" s="36" t="s">
        <v>36</v>
      </c>
      <c r="AF926" s="37" t="s">
        <v>42</v>
      </c>
      <c r="AG926" s="37" t="s">
        <v>42</v>
      </c>
      <c r="AH926" s="37" t="s">
        <v>42</v>
      </c>
      <c r="AI926" s="29" t="str">
        <f t="shared" si="661"/>
        <v>----</v>
      </c>
      <c r="AJ926" s="38" t="str">
        <f t="shared" si="7"/>
        <v>Paper has no link and no statement</v>
      </c>
      <c r="AK926" s="39">
        <v>44869.0</v>
      </c>
      <c r="AL926" s="23" t="s">
        <v>43</v>
      </c>
      <c r="AM926" s="40" t="str">
        <f t="shared" si="8"/>
        <v>[IP0093]</v>
      </c>
    </row>
    <row r="927" ht="67.5" customHeight="1">
      <c r="A927" s="41">
        <v>94.0</v>
      </c>
      <c r="B927" s="42" t="s">
        <v>2514</v>
      </c>
      <c r="C927" s="43">
        <v>2022.0</v>
      </c>
      <c r="D927" s="44" t="s">
        <v>35</v>
      </c>
      <c r="E927" s="45" t="s">
        <v>36</v>
      </c>
      <c r="F927" s="45" t="s">
        <v>36</v>
      </c>
      <c r="G927" s="45" t="s">
        <v>36</v>
      </c>
      <c r="H927" s="45" t="s">
        <v>36</v>
      </c>
      <c r="I927" s="45" t="s">
        <v>36</v>
      </c>
      <c r="J927" s="46" t="s">
        <v>36</v>
      </c>
      <c r="K927" s="83" t="s">
        <v>37</v>
      </c>
      <c r="L927" s="71" t="s">
        <v>35</v>
      </c>
      <c r="M927" s="71" t="s">
        <v>37</v>
      </c>
      <c r="N927" s="71" t="s">
        <v>37</v>
      </c>
      <c r="O927" s="71" t="s">
        <v>35</v>
      </c>
      <c r="P927" s="71" t="s">
        <v>35</v>
      </c>
      <c r="Q927" s="71" t="s">
        <v>35</v>
      </c>
      <c r="R927" s="71" t="s">
        <v>37</v>
      </c>
      <c r="S927" s="57" t="s">
        <v>1700</v>
      </c>
      <c r="T927" s="50" t="s">
        <v>2515</v>
      </c>
      <c r="U927" s="51" t="s">
        <v>2515</v>
      </c>
      <c r="V927" s="52">
        <f t="shared" ref="V927:X927" si="933">IF(lenb(SUBSTITUTE($Z927,V$1&amp;" (1)",""))&lt;lenb($Z927),1,IF(lenb(SUBSTITUTE($Z927,V$1&amp;" (2)",""))&lt;lenb($Z927),2,IF(lenb(SUBSTITUTE($Z927,V$1&amp;" (3)",""))&lt;lenb($Z927),3,IF(lenb(SUBSTITUTE($Z927,V$1&amp;" (4)",""))&lt;lenb($Z927),4,IF(lenb(SUBSTITUTE($Z927,V$1&amp;" (5)",""))&lt;lenb($Z927),5,IF(lenb(SUBSTITUTE($Z927,V$1&amp;" (6)",""))&lt;lenb($Z927),6,IF(lenb(SUBSTITUTE($Z927,V$1&amp;" (7)",""))&lt;lenb($Z927),1,IF(lenb(SUBSTITUTE($Z927,V$1&amp;" (8)",""))&lt;lenb($Z927),8,IF(lenb(SUBSTITUTE($Z927,V$1&amp;" (9)",""))&lt;lenb($Z927),9,IF(lenb(SUBSTITUTE($Z927,V$1&amp;" (10)",""))&lt;lenb($Z927),10,IF(lenb(SUBSTITUTE($Z927,V$1,""))&lt;lenb($Z927),"ERROR",IF($Z927=$Y$1,"-",0))))))))))))</f>
        <v>1</v>
      </c>
      <c r="W927" s="52">
        <f t="shared" si="933"/>
        <v>0</v>
      </c>
      <c r="X927" s="52">
        <f t="shared" si="933"/>
        <v>0</v>
      </c>
      <c r="Y927" s="52" t="str">
        <f t="shared" si="3"/>
        <v>-</v>
      </c>
      <c r="Z927" s="52" t="s">
        <v>62</v>
      </c>
      <c r="AA927" s="53">
        <f t="shared" si="4"/>
        <v>1</v>
      </c>
      <c r="AB927" s="54">
        <f>COUNTIFS(Links!B:B,"ICSE",Links!C:C,A927,Links!AD:AD,1)</f>
        <v>0</v>
      </c>
      <c r="AC927" s="55" t="s">
        <v>35</v>
      </c>
      <c r="AD927" s="47" t="str">
        <f t="shared" si="5"/>
        <v>No</v>
      </c>
      <c r="AE927" s="56" t="s">
        <v>36</v>
      </c>
      <c r="AF927" s="57" t="s">
        <v>42</v>
      </c>
      <c r="AG927" s="57" t="s">
        <v>42</v>
      </c>
      <c r="AH927" s="57" t="s">
        <v>42</v>
      </c>
      <c r="AI927" s="49" t="str">
        <f t="shared" si="661"/>
        <v>----</v>
      </c>
      <c r="AJ927" s="58" t="str">
        <f t="shared" si="7"/>
        <v>Paper has link but no statement</v>
      </c>
      <c r="AK927" s="59">
        <v>44869.0</v>
      </c>
      <c r="AL927" s="43" t="s">
        <v>43</v>
      </c>
      <c r="AM927" s="60" t="str">
        <f t="shared" si="8"/>
        <v>[IP0094]</v>
      </c>
    </row>
    <row r="928" ht="67.5" customHeight="1">
      <c r="A928" s="61">
        <v>95.0</v>
      </c>
      <c r="B928" s="22" t="s">
        <v>2516</v>
      </c>
      <c r="C928" s="23">
        <v>2022.0</v>
      </c>
      <c r="D928" s="24" t="s">
        <v>35</v>
      </c>
      <c r="E928" s="25" t="s">
        <v>36</v>
      </c>
      <c r="F928" s="25" t="s">
        <v>36</v>
      </c>
      <c r="G928" s="25" t="s">
        <v>36</v>
      </c>
      <c r="H928" s="25" t="s">
        <v>36</v>
      </c>
      <c r="I928" s="25" t="s">
        <v>36</v>
      </c>
      <c r="J928" s="26" t="s">
        <v>36</v>
      </c>
      <c r="K928" s="82" t="s">
        <v>37</v>
      </c>
      <c r="L928" s="70" t="s">
        <v>37</v>
      </c>
      <c r="M928" s="70" t="s">
        <v>35</v>
      </c>
      <c r="N928" s="70" t="s">
        <v>35</v>
      </c>
      <c r="O928" s="70" t="s">
        <v>35</v>
      </c>
      <c r="P928" s="70" t="s">
        <v>35</v>
      </c>
      <c r="Q928" s="70" t="s">
        <v>35</v>
      </c>
      <c r="R928" s="70" t="s">
        <v>37</v>
      </c>
      <c r="S928" s="37" t="s">
        <v>2517</v>
      </c>
      <c r="T928" s="30" t="s">
        <v>2518</v>
      </c>
      <c r="U928" s="31" t="s">
        <v>2518</v>
      </c>
      <c r="V928" s="32">
        <f t="shared" ref="V928:X928" si="934">IF(lenb(SUBSTITUTE($Z928,V$1&amp;" (1)",""))&lt;lenb($Z928),1,IF(lenb(SUBSTITUTE($Z928,V$1&amp;" (2)",""))&lt;lenb($Z928),2,IF(lenb(SUBSTITUTE($Z928,V$1&amp;" (3)",""))&lt;lenb($Z928),3,IF(lenb(SUBSTITUTE($Z928,V$1&amp;" (4)",""))&lt;lenb($Z928),4,IF(lenb(SUBSTITUTE($Z928,V$1&amp;" (5)",""))&lt;lenb($Z928),5,IF(lenb(SUBSTITUTE($Z928,V$1&amp;" (6)",""))&lt;lenb($Z928),6,IF(lenb(SUBSTITUTE($Z928,V$1&amp;" (7)",""))&lt;lenb($Z928),1,IF(lenb(SUBSTITUTE($Z928,V$1&amp;" (8)",""))&lt;lenb($Z928),8,IF(lenb(SUBSTITUTE($Z928,V$1&amp;" (9)",""))&lt;lenb($Z928),9,IF(lenb(SUBSTITUTE($Z928,V$1&amp;" (10)",""))&lt;lenb($Z928),10,IF(lenb(SUBSTITUTE($Z928,V$1,""))&lt;lenb($Z928),"ERROR",IF($Z928=$Y$1,"-",0))))))))))))</f>
        <v>1</v>
      </c>
      <c r="W928" s="32">
        <f t="shared" si="934"/>
        <v>0</v>
      </c>
      <c r="X928" s="32">
        <f t="shared" si="934"/>
        <v>0</v>
      </c>
      <c r="Y928" s="32" t="str">
        <f t="shared" si="3"/>
        <v>-</v>
      </c>
      <c r="Z928" s="32" t="s">
        <v>62</v>
      </c>
      <c r="AA928" s="33">
        <f t="shared" si="4"/>
        <v>1</v>
      </c>
      <c r="AB928" s="34">
        <f>COUNTIFS(Links!B:B,"ICSE",Links!C:C,A928,Links!AD:AD,1)</f>
        <v>0</v>
      </c>
      <c r="AC928" s="35" t="s">
        <v>35</v>
      </c>
      <c r="AD928" s="27" t="str">
        <f t="shared" si="5"/>
        <v>No</v>
      </c>
      <c r="AE928" s="36" t="s">
        <v>36</v>
      </c>
      <c r="AF928" s="37" t="s">
        <v>42</v>
      </c>
      <c r="AG928" s="37" t="s">
        <v>42</v>
      </c>
      <c r="AH928" s="37" t="s">
        <v>42</v>
      </c>
      <c r="AI928" s="29" t="str">
        <f t="shared" si="661"/>
        <v>----</v>
      </c>
      <c r="AJ928" s="38" t="str">
        <f t="shared" si="7"/>
        <v>Paper has link but no statement</v>
      </c>
      <c r="AK928" s="39">
        <v>44870.0</v>
      </c>
      <c r="AL928" s="23" t="s">
        <v>43</v>
      </c>
      <c r="AM928" s="40" t="str">
        <f t="shared" si="8"/>
        <v>[IP0095]</v>
      </c>
    </row>
    <row r="929" ht="67.5" customHeight="1">
      <c r="A929" s="41">
        <v>96.0</v>
      </c>
      <c r="B929" s="42" t="s">
        <v>2519</v>
      </c>
      <c r="C929" s="43">
        <v>2022.0</v>
      </c>
      <c r="D929" s="44" t="s">
        <v>35</v>
      </c>
      <c r="E929" s="45" t="s">
        <v>36</v>
      </c>
      <c r="F929" s="45" t="s">
        <v>36</v>
      </c>
      <c r="G929" s="45" t="s">
        <v>36</v>
      </c>
      <c r="H929" s="45" t="s">
        <v>36</v>
      </c>
      <c r="I929" s="45" t="s">
        <v>36</v>
      </c>
      <c r="J929" s="46" t="s">
        <v>36</v>
      </c>
      <c r="K929" s="83" t="s">
        <v>37</v>
      </c>
      <c r="L929" s="71" t="s">
        <v>37</v>
      </c>
      <c r="M929" s="71" t="s">
        <v>35</v>
      </c>
      <c r="N929" s="71" t="s">
        <v>35</v>
      </c>
      <c r="O929" s="71" t="s">
        <v>35</v>
      </c>
      <c r="P929" s="71" t="s">
        <v>35</v>
      </c>
      <c r="Q929" s="71" t="s">
        <v>35</v>
      </c>
      <c r="R929" s="71" t="s">
        <v>37</v>
      </c>
      <c r="S929" s="57" t="s">
        <v>2520</v>
      </c>
      <c r="T929" s="50" t="s">
        <v>2521</v>
      </c>
      <c r="U929" s="51" t="s">
        <v>2521</v>
      </c>
      <c r="V929" s="52">
        <f t="shared" ref="V929:X929" si="935">IF(lenb(SUBSTITUTE($Z929,V$1&amp;" (1)",""))&lt;lenb($Z929),1,IF(lenb(SUBSTITUTE($Z929,V$1&amp;" (2)",""))&lt;lenb($Z929),2,IF(lenb(SUBSTITUTE($Z929,V$1&amp;" (3)",""))&lt;lenb($Z929),3,IF(lenb(SUBSTITUTE($Z929,V$1&amp;" (4)",""))&lt;lenb($Z929),4,IF(lenb(SUBSTITUTE($Z929,V$1&amp;" (5)",""))&lt;lenb($Z929),5,IF(lenb(SUBSTITUTE($Z929,V$1&amp;" (6)",""))&lt;lenb($Z929),6,IF(lenb(SUBSTITUTE($Z929,V$1&amp;" (7)",""))&lt;lenb($Z929),1,IF(lenb(SUBSTITUTE($Z929,V$1&amp;" (8)",""))&lt;lenb($Z929),8,IF(lenb(SUBSTITUTE($Z929,V$1&amp;" (9)",""))&lt;lenb($Z929),9,IF(lenb(SUBSTITUTE($Z929,V$1&amp;" (10)",""))&lt;lenb($Z929),10,IF(lenb(SUBSTITUTE($Z929,V$1,""))&lt;lenb($Z929),"ERROR",IF($Z929=$Y$1,"-",0))))))))))))</f>
        <v>1</v>
      </c>
      <c r="W929" s="52">
        <f t="shared" si="935"/>
        <v>0</v>
      </c>
      <c r="X929" s="52">
        <f t="shared" si="935"/>
        <v>0</v>
      </c>
      <c r="Y929" s="52" t="str">
        <f t="shared" si="3"/>
        <v>-</v>
      </c>
      <c r="Z929" s="52" t="s">
        <v>62</v>
      </c>
      <c r="AA929" s="53">
        <f t="shared" si="4"/>
        <v>1</v>
      </c>
      <c r="AB929" s="54">
        <f>COUNTIFS(Links!B:B,"ICSE",Links!C:C,A929,Links!AD:AD,1)</f>
        <v>0</v>
      </c>
      <c r="AC929" s="55" t="s">
        <v>35</v>
      </c>
      <c r="AD929" s="47" t="str">
        <f t="shared" si="5"/>
        <v>No</v>
      </c>
      <c r="AE929" s="56" t="s">
        <v>36</v>
      </c>
      <c r="AF929" s="57" t="s">
        <v>42</v>
      </c>
      <c r="AG929" s="57" t="s">
        <v>42</v>
      </c>
      <c r="AH929" s="57" t="s">
        <v>42</v>
      </c>
      <c r="AI929" s="49" t="str">
        <f t="shared" si="661"/>
        <v>----</v>
      </c>
      <c r="AJ929" s="58" t="str">
        <f t="shared" si="7"/>
        <v>Paper has link but no statement</v>
      </c>
      <c r="AK929" s="59">
        <v>44870.0</v>
      </c>
      <c r="AL929" s="43" t="s">
        <v>43</v>
      </c>
      <c r="AM929" s="60" t="str">
        <f t="shared" si="8"/>
        <v>[IP0096]</v>
      </c>
    </row>
    <row r="930" ht="67.5" customHeight="1">
      <c r="A930" s="61">
        <v>97.0</v>
      </c>
      <c r="B930" s="22" t="s">
        <v>2522</v>
      </c>
      <c r="C930" s="23">
        <v>2022.0</v>
      </c>
      <c r="D930" s="24" t="s">
        <v>35</v>
      </c>
      <c r="E930" s="25" t="s">
        <v>36</v>
      </c>
      <c r="F930" s="25" t="s">
        <v>36</v>
      </c>
      <c r="G930" s="25" t="s">
        <v>36</v>
      </c>
      <c r="H930" s="25" t="s">
        <v>36</v>
      </c>
      <c r="I930" s="25" t="s">
        <v>36</v>
      </c>
      <c r="J930" s="26" t="s">
        <v>36</v>
      </c>
      <c r="K930" s="82" t="s">
        <v>37</v>
      </c>
      <c r="L930" s="70" t="s">
        <v>35</v>
      </c>
      <c r="M930" s="70" t="s">
        <v>35</v>
      </c>
      <c r="N930" s="70" t="s">
        <v>35</v>
      </c>
      <c r="O930" s="70" t="s">
        <v>37</v>
      </c>
      <c r="P930" s="70" t="s">
        <v>35</v>
      </c>
      <c r="Q930" s="70" t="s">
        <v>35</v>
      </c>
      <c r="R930" s="70" t="s">
        <v>35</v>
      </c>
      <c r="S930" s="37" t="s">
        <v>1802</v>
      </c>
      <c r="T930" s="30" t="s">
        <v>2523</v>
      </c>
      <c r="U930" s="31" t="s">
        <v>2523</v>
      </c>
      <c r="V930" s="32">
        <f t="shared" ref="V930:X930" si="936">IF(lenb(SUBSTITUTE($Z930,V$1&amp;" (1)",""))&lt;lenb($Z930),1,IF(lenb(SUBSTITUTE($Z930,V$1&amp;" (2)",""))&lt;lenb($Z930),2,IF(lenb(SUBSTITUTE($Z930,V$1&amp;" (3)",""))&lt;lenb($Z930),3,IF(lenb(SUBSTITUTE($Z930,V$1&amp;" (4)",""))&lt;lenb($Z930),4,IF(lenb(SUBSTITUTE($Z930,V$1&amp;" (5)",""))&lt;lenb($Z930),5,IF(lenb(SUBSTITUTE($Z930,V$1&amp;" (6)",""))&lt;lenb($Z930),6,IF(lenb(SUBSTITUTE($Z930,V$1&amp;" (7)",""))&lt;lenb($Z930),1,IF(lenb(SUBSTITUTE($Z930,V$1&amp;" (8)",""))&lt;lenb($Z930),8,IF(lenb(SUBSTITUTE($Z930,V$1&amp;" (9)",""))&lt;lenb($Z930),9,IF(lenb(SUBSTITUTE($Z930,V$1&amp;" (10)",""))&lt;lenb($Z930),10,IF(lenb(SUBSTITUTE($Z930,V$1,""))&lt;lenb($Z930),"ERROR",IF($Z930=$Y$1,"-",0))))))))))))</f>
        <v>1</v>
      </c>
      <c r="W930" s="32">
        <f t="shared" si="936"/>
        <v>0</v>
      </c>
      <c r="X930" s="32">
        <f t="shared" si="936"/>
        <v>0</v>
      </c>
      <c r="Y930" s="32" t="str">
        <f t="shared" si="3"/>
        <v>-</v>
      </c>
      <c r="Z930" s="32" t="s">
        <v>62</v>
      </c>
      <c r="AA930" s="33">
        <f t="shared" si="4"/>
        <v>1</v>
      </c>
      <c r="AB930" s="34">
        <f>COUNTIFS(Links!B:B,"ICSE",Links!C:C,A930,Links!AD:AD,1)</f>
        <v>0</v>
      </c>
      <c r="AC930" s="35" t="s">
        <v>35</v>
      </c>
      <c r="AD930" s="27" t="str">
        <f t="shared" si="5"/>
        <v>No</v>
      </c>
      <c r="AE930" s="36" t="s">
        <v>36</v>
      </c>
      <c r="AF930" s="37" t="s">
        <v>42</v>
      </c>
      <c r="AG930" s="37" t="s">
        <v>42</v>
      </c>
      <c r="AH930" s="37" t="s">
        <v>42</v>
      </c>
      <c r="AI930" s="29" t="str">
        <f t="shared" si="661"/>
        <v>----</v>
      </c>
      <c r="AJ930" s="38" t="str">
        <f t="shared" si="7"/>
        <v>Paper has link but no statement</v>
      </c>
      <c r="AK930" s="39">
        <v>44870.0</v>
      </c>
      <c r="AL930" s="23" t="s">
        <v>43</v>
      </c>
      <c r="AM930" s="40" t="str">
        <f t="shared" si="8"/>
        <v>[IP0097]</v>
      </c>
    </row>
    <row r="931" ht="67.5" customHeight="1">
      <c r="A931" s="41">
        <v>98.0</v>
      </c>
      <c r="B931" s="42" t="s">
        <v>2524</v>
      </c>
      <c r="C931" s="43">
        <v>2022.0</v>
      </c>
      <c r="D931" s="44" t="s">
        <v>37</v>
      </c>
      <c r="E931" s="45" t="s">
        <v>37</v>
      </c>
      <c r="F931" s="45" t="s">
        <v>35</v>
      </c>
      <c r="G931" s="45" t="s">
        <v>37</v>
      </c>
      <c r="H931" s="45" t="s">
        <v>35</v>
      </c>
      <c r="I931" s="45" t="s">
        <v>35</v>
      </c>
      <c r="J931" s="46" t="s">
        <v>36</v>
      </c>
      <c r="K931" s="83" t="s">
        <v>37</v>
      </c>
      <c r="L931" s="71" t="s">
        <v>35</v>
      </c>
      <c r="M931" s="71" t="s">
        <v>35</v>
      </c>
      <c r="N931" s="71" t="s">
        <v>37</v>
      </c>
      <c r="O931" s="71" t="s">
        <v>35</v>
      </c>
      <c r="P931" s="71" t="s">
        <v>35</v>
      </c>
      <c r="Q931" s="71" t="s">
        <v>35</v>
      </c>
      <c r="R931" s="71" t="s">
        <v>37</v>
      </c>
      <c r="S931" s="57" t="s">
        <v>2525</v>
      </c>
      <c r="T931" s="50" t="s">
        <v>2526</v>
      </c>
      <c r="U931" s="51" t="s">
        <v>2526</v>
      </c>
      <c r="V931" s="52">
        <f t="shared" ref="V931:X931" si="937">IF(lenb(SUBSTITUTE($Z931,V$1&amp;" (1)",""))&lt;lenb($Z931),1,IF(lenb(SUBSTITUTE($Z931,V$1&amp;" (2)",""))&lt;lenb($Z931),2,IF(lenb(SUBSTITUTE($Z931,V$1&amp;" (3)",""))&lt;lenb($Z931),3,IF(lenb(SUBSTITUTE($Z931,V$1&amp;" (4)",""))&lt;lenb($Z931),4,IF(lenb(SUBSTITUTE($Z931,V$1&amp;" (5)",""))&lt;lenb($Z931),5,IF(lenb(SUBSTITUTE($Z931,V$1&amp;" (6)",""))&lt;lenb($Z931),6,IF(lenb(SUBSTITUTE($Z931,V$1&amp;" (7)",""))&lt;lenb($Z931),1,IF(lenb(SUBSTITUTE($Z931,V$1&amp;" (8)",""))&lt;lenb($Z931),8,IF(lenb(SUBSTITUTE($Z931,V$1&amp;" (9)",""))&lt;lenb($Z931),9,IF(lenb(SUBSTITUTE($Z931,V$1&amp;" (10)",""))&lt;lenb($Z931),10,IF(lenb(SUBSTITUTE($Z931,V$1,""))&lt;lenb($Z931),"ERROR",IF($Z931=$Y$1,"-",0))))))))))))</f>
        <v>1</v>
      </c>
      <c r="W931" s="52">
        <f t="shared" si="937"/>
        <v>0</v>
      </c>
      <c r="X931" s="52">
        <f t="shared" si="937"/>
        <v>0</v>
      </c>
      <c r="Y931" s="52" t="str">
        <f t="shared" si="3"/>
        <v>-</v>
      </c>
      <c r="Z931" s="52" t="s">
        <v>62</v>
      </c>
      <c r="AA931" s="53">
        <f t="shared" si="4"/>
        <v>1</v>
      </c>
      <c r="AB931" s="54">
        <f>COUNTIFS(Links!B:B,"ICSE",Links!C:C,A931,Links!AD:AD,1)</f>
        <v>0</v>
      </c>
      <c r="AC931" s="55" t="s">
        <v>35</v>
      </c>
      <c r="AD931" s="47" t="str">
        <f t="shared" si="5"/>
        <v>No</v>
      </c>
      <c r="AE931" s="56" t="s">
        <v>36</v>
      </c>
      <c r="AF931" s="57" t="s">
        <v>42</v>
      </c>
      <c r="AG931" s="57" t="s">
        <v>42</v>
      </c>
      <c r="AH931" s="57" t="s">
        <v>42</v>
      </c>
      <c r="AI931" s="49" t="str">
        <f t="shared" si="661"/>
        <v>----</v>
      </c>
      <c r="AJ931" s="58" t="str">
        <f t="shared" si="7"/>
        <v>Paper has link but no statement</v>
      </c>
      <c r="AK931" s="59">
        <v>44870.0</v>
      </c>
      <c r="AL931" s="43" t="s">
        <v>43</v>
      </c>
      <c r="AM931" s="60" t="str">
        <f t="shared" si="8"/>
        <v>[IP0098]</v>
      </c>
    </row>
    <row r="932" ht="67.5" customHeight="1">
      <c r="A932" s="61">
        <v>99.0</v>
      </c>
      <c r="B932" s="22" t="s">
        <v>2527</v>
      </c>
      <c r="C932" s="23">
        <v>2022.0</v>
      </c>
      <c r="D932" s="24" t="s">
        <v>37</v>
      </c>
      <c r="E932" s="25" t="s">
        <v>37</v>
      </c>
      <c r="F932" s="25" t="s">
        <v>35</v>
      </c>
      <c r="G932" s="25" t="s">
        <v>37</v>
      </c>
      <c r="H932" s="25" t="s">
        <v>35</v>
      </c>
      <c r="I932" s="25" t="s">
        <v>35</v>
      </c>
      <c r="J932" s="26" t="s">
        <v>36</v>
      </c>
      <c r="K932" s="82" t="s">
        <v>37</v>
      </c>
      <c r="L932" s="70" t="s">
        <v>37</v>
      </c>
      <c r="M932" s="70" t="s">
        <v>35</v>
      </c>
      <c r="N932" s="70" t="s">
        <v>35</v>
      </c>
      <c r="O932" s="70" t="s">
        <v>35</v>
      </c>
      <c r="P932" s="70" t="s">
        <v>35</v>
      </c>
      <c r="Q932" s="70" t="s">
        <v>35</v>
      </c>
      <c r="R932" s="70" t="s">
        <v>37</v>
      </c>
      <c r="S932" s="37" t="s">
        <v>2528</v>
      </c>
      <c r="T932" s="30" t="s">
        <v>2529</v>
      </c>
      <c r="U932" s="31" t="s">
        <v>2529</v>
      </c>
      <c r="V932" s="32">
        <f t="shared" ref="V932:X932" si="938">IF(lenb(SUBSTITUTE($Z932,V$1&amp;" (1)",""))&lt;lenb($Z932),1,IF(lenb(SUBSTITUTE($Z932,V$1&amp;" (2)",""))&lt;lenb($Z932),2,IF(lenb(SUBSTITUTE($Z932,V$1&amp;" (3)",""))&lt;lenb($Z932),3,IF(lenb(SUBSTITUTE($Z932,V$1&amp;" (4)",""))&lt;lenb($Z932),4,IF(lenb(SUBSTITUTE($Z932,V$1&amp;" (5)",""))&lt;lenb($Z932),5,IF(lenb(SUBSTITUTE($Z932,V$1&amp;" (6)",""))&lt;lenb($Z932),6,IF(lenb(SUBSTITUTE($Z932,V$1&amp;" (7)",""))&lt;lenb($Z932),1,IF(lenb(SUBSTITUTE($Z932,V$1&amp;" (8)",""))&lt;lenb($Z932),8,IF(lenb(SUBSTITUTE($Z932,V$1&amp;" (9)",""))&lt;lenb($Z932),9,IF(lenb(SUBSTITUTE($Z932,V$1&amp;" (10)",""))&lt;lenb($Z932),10,IF(lenb(SUBSTITUTE($Z932,V$1,""))&lt;lenb($Z932),"ERROR",IF($Z932=$Y$1,"-",0))))))))))))</f>
        <v>1</v>
      </c>
      <c r="W932" s="32">
        <f t="shared" si="938"/>
        <v>0</v>
      </c>
      <c r="X932" s="32">
        <f t="shared" si="938"/>
        <v>0</v>
      </c>
      <c r="Y932" s="32" t="str">
        <f t="shared" si="3"/>
        <v>-</v>
      </c>
      <c r="Z932" s="32" t="s">
        <v>62</v>
      </c>
      <c r="AA932" s="33">
        <f t="shared" si="4"/>
        <v>1</v>
      </c>
      <c r="AB932" s="34">
        <f>COUNTIFS(Links!B:B,"ICSE",Links!C:C,A932,Links!AD:AD,1)</f>
        <v>0</v>
      </c>
      <c r="AC932" s="35" t="s">
        <v>37</v>
      </c>
      <c r="AD932" s="27" t="str">
        <f t="shared" si="5"/>
        <v>No</v>
      </c>
      <c r="AE932" s="36" t="s">
        <v>36</v>
      </c>
      <c r="AF932" s="37" t="s">
        <v>42</v>
      </c>
      <c r="AG932" s="37" t="s">
        <v>42</v>
      </c>
      <c r="AH932" s="37" t="s">
        <v>42</v>
      </c>
      <c r="AI932" s="29" t="str">
        <f t="shared" si="661"/>
        <v>----</v>
      </c>
      <c r="AJ932" s="38" t="str">
        <f t="shared" si="7"/>
        <v>Paper has link but no statement</v>
      </c>
      <c r="AK932" s="39">
        <v>44870.0</v>
      </c>
      <c r="AL932" s="23" t="s">
        <v>43</v>
      </c>
      <c r="AM932" s="40" t="str">
        <f t="shared" si="8"/>
        <v>[IP0099]</v>
      </c>
    </row>
    <row r="933" ht="67.5" customHeight="1">
      <c r="A933" s="41">
        <v>100.0</v>
      </c>
      <c r="B933" s="42" t="s">
        <v>2530</v>
      </c>
      <c r="C933" s="43">
        <v>2022.0</v>
      </c>
      <c r="D933" s="44" t="s">
        <v>35</v>
      </c>
      <c r="E933" s="45" t="s">
        <v>36</v>
      </c>
      <c r="F933" s="45" t="s">
        <v>36</v>
      </c>
      <c r="G933" s="45" t="s">
        <v>36</v>
      </c>
      <c r="H933" s="45" t="s">
        <v>36</v>
      </c>
      <c r="I933" s="45" t="s">
        <v>36</v>
      </c>
      <c r="J933" s="46" t="s">
        <v>36</v>
      </c>
      <c r="K933" s="83" t="s">
        <v>37</v>
      </c>
      <c r="L933" s="71" t="s">
        <v>37</v>
      </c>
      <c r="M933" s="71" t="s">
        <v>37</v>
      </c>
      <c r="N933" s="71" t="s">
        <v>37</v>
      </c>
      <c r="O933" s="71" t="s">
        <v>35</v>
      </c>
      <c r="P933" s="71" t="s">
        <v>37</v>
      </c>
      <c r="Q933" s="71" t="s">
        <v>35</v>
      </c>
      <c r="R933" s="71" t="s">
        <v>37</v>
      </c>
      <c r="S933" s="57" t="s">
        <v>2531</v>
      </c>
      <c r="T933" s="50" t="s">
        <v>2532</v>
      </c>
      <c r="U933" s="51" t="s">
        <v>2532</v>
      </c>
      <c r="V933" s="52">
        <f t="shared" ref="V933:X933" si="939">IF(lenb(SUBSTITUTE($Z933,V$1&amp;" (1)",""))&lt;lenb($Z933),1,IF(lenb(SUBSTITUTE($Z933,V$1&amp;" (2)",""))&lt;lenb($Z933),2,IF(lenb(SUBSTITUTE($Z933,V$1&amp;" (3)",""))&lt;lenb($Z933),3,IF(lenb(SUBSTITUTE($Z933,V$1&amp;" (4)",""))&lt;lenb($Z933),4,IF(lenb(SUBSTITUTE($Z933,V$1&amp;" (5)",""))&lt;lenb($Z933),5,IF(lenb(SUBSTITUTE($Z933,V$1&amp;" (6)",""))&lt;lenb($Z933),6,IF(lenb(SUBSTITUTE($Z933,V$1&amp;" (7)",""))&lt;lenb($Z933),1,IF(lenb(SUBSTITUTE($Z933,V$1&amp;" (8)",""))&lt;lenb($Z933),8,IF(lenb(SUBSTITUTE($Z933,V$1&amp;" (9)",""))&lt;lenb($Z933),9,IF(lenb(SUBSTITUTE($Z933,V$1&amp;" (10)",""))&lt;lenb($Z933),10,IF(lenb(SUBSTITUTE($Z933,V$1,""))&lt;lenb($Z933),"ERROR",IF($Z933=$Y$1,"-",0))))))))))))</f>
        <v>2</v>
      </c>
      <c r="W933" s="52">
        <f t="shared" si="939"/>
        <v>0</v>
      </c>
      <c r="X933" s="52">
        <f t="shared" si="939"/>
        <v>0</v>
      </c>
      <c r="Y933" s="52" t="str">
        <f t="shared" si="3"/>
        <v>-</v>
      </c>
      <c r="Z933" s="52" t="s">
        <v>57</v>
      </c>
      <c r="AA933" s="53">
        <f t="shared" si="4"/>
        <v>2</v>
      </c>
      <c r="AB933" s="54">
        <f>COUNTIFS(Links!B:B,"ICSE",Links!C:C,A933,Links!AD:AD,1)</f>
        <v>0</v>
      </c>
      <c r="AC933" s="55" t="s">
        <v>37</v>
      </c>
      <c r="AD933" s="47" t="str">
        <f t="shared" si="5"/>
        <v>No</v>
      </c>
      <c r="AE933" s="56" t="s">
        <v>36</v>
      </c>
      <c r="AF933" s="57" t="s">
        <v>42</v>
      </c>
      <c r="AG933" s="57" t="s">
        <v>42</v>
      </c>
      <c r="AH933" s="57" t="s">
        <v>42</v>
      </c>
      <c r="AI933" s="49" t="str">
        <f t="shared" si="661"/>
        <v>----</v>
      </c>
      <c r="AJ933" s="58" t="str">
        <f t="shared" si="7"/>
        <v>Paper has link but no statement</v>
      </c>
      <c r="AK933" s="59">
        <v>44870.0</v>
      </c>
      <c r="AL933" s="43" t="s">
        <v>43</v>
      </c>
      <c r="AM933" s="60" t="str">
        <f t="shared" si="8"/>
        <v>[IP0100]</v>
      </c>
    </row>
    <row r="934" ht="67.5" customHeight="1">
      <c r="A934" s="61">
        <v>101.0</v>
      </c>
      <c r="B934" s="22" t="s">
        <v>2533</v>
      </c>
      <c r="C934" s="23">
        <v>2022.0</v>
      </c>
      <c r="D934" s="24" t="s">
        <v>35</v>
      </c>
      <c r="E934" s="25" t="s">
        <v>36</v>
      </c>
      <c r="F934" s="25" t="s">
        <v>36</v>
      </c>
      <c r="G934" s="25" t="s">
        <v>36</v>
      </c>
      <c r="H934" s="25" t="s">
        <v>36</v>
      </c>
      <c r="I934" s="25" t="s">
        <v>36</v>
      </c>
      <c r="J934" s="26" t="s">
        <v>36</v>
      </c>
      <c r="K934" s="82" t="s">
        <v>37</v>
      </c>
      <c r="L934" s="70" t="s">
        <v>37</v>
      </c>
      <c r="M934" s="70" t="s">
        <v>35</v>
      </c>
      <c r="N934" s="70" t="s">
        <v>35</v>
      </c>
      <c r="O934" s="70" t="s">
        <v>35</v>
      </c>
      <c r="P934" s="70" t="s">
        <v>35</v>
      </c>
      <c r="Q934" s="70" t="s">
        <v>35</v>
      </c>
      <c r="R934" s="70" t="s">
        <v>37</v>
      </c>
      <c r="S934" s="37" t="s">
        <v>2534</v>
      </c>
      <c r="T934" s="30" t="s">
        <v>2535</v>
      </c>
      <c r="U934" s="31" t="s">
        <v>2535</v>
      </c>
      <c r="V934" s="32">
        <f t="shared" ref="V934:X934" si="940">IF(lenb(SUBSTITUTE($Z934,V$1&amp;" (1)",""))&lt;lenb($Z934),1,IF(lenb(SUBSTITUTE($Z934,V$1&amp;" (2)",""))&lt;lenb($Z934),2,IF(lenb(SUBSTITUTE($Z934,V$1&amp;" (3)",""))&lt;lenb($Z934),3,IF(lenb(SUBSTITUTE($Z934,V$1&amp;" (4)",""))&lt;lenb($Z934),4,IF(lenb(SUBSTITUTE($Z934,V$1&amp;" (5)",""))&lt;lenb($Z934),5,IF(lenb(SUBSTITUTE($Z934,V$1&amp;" (6)",""))&lt;lenb($Z934),6,IF(lenb(SUBSTITUTE($Z934,V$1&amp;" (7)",""))&lt;lenb($Z934),1,IF(lenb(SUBSTITUTE($Z934,V$1&amp;" (8)",""))&lt;lenb($Z934),8,IF(lenb(SUBSTITUTE($Z934,V$1&amp;" (9)",""))&lt;lenb($Z934),9,IF(lenb(SUBSTITUTE($Z934,V$1&amp;" (10)",""))&lt;lenb($Z934),10,IF(lenb(SUBSTITUTE($Z934,V$1,""))&lt;lenb($Z934),"ERROR",IF($Z934=$Y$1,"-",0))))))))))))</f>
        <v>1</v>
      </c>
      <c r="W934" s="32">
        <f t="shared" si="940"/>
        <v>0</v>
      </c>
      <c r="X934" s="32">
        <f t="shared" si="940"/>
        <v>0</v>
      </c>
      <c r="Y934" s="32" t="str">
        <f t="shared" si="3"/>
        <v>-</v>
      </c>
      <c r="Z934" s="32" t="s">
        <v>62</v>
      </c>
      <c r="AA934" s="33">
        <f t="shared" si="4"/>
        <v>1</v>
      </c>
      <c r="AB934" s="34">
        <f>COUNTIFS(Links!B:B,"ICSE",Links!C:C,A934,Links!AD:AD,1)</f>
        <v>0</v>
      </c>
      <c r="AC934" s="35" t="s">
        <v>35</v>
      </c>
      <c r="AD934" s="27" t="str">
        <f t="shared" si="5"/>
        <v>No</v>
      </c>
      <c r="AE934" s="36" t="s">
        <v>36</v>
      </c>
      <c r="AF934" s="37" t="s">
        <v>42</v>
      </c>
      <c r="AG934" s="37" t="s">
        <v>42</v>
      </c>
      <c r="AH934" s="37" t="s">
        <v>42</v>
      </c>
      <c r="AI934" s="29" t="str">
        <f t="shared" si="661"/>
        <v>----</v>
      </c>
      <c r="AJ934" s="38" t="str">
        <f t="shared" si="7"/>
        <v>Paper has link but no statement</v>
      </c>
      <c r="AK934" s="39">
        <v>44870.0</v>
      </c>
      <c r="AL934" s="23" t="s">
        <v>43</v>
      </c>
      <c r="AM934" s="40" t="str">
        <f t="shared" si="8"/>
        <v>[IP0101]</v>
      </c>
    </row>
    <row r="935" ht="67.5" customHeight="1">
      <c r="A935" s="41">
        <v>102.0</v>
      </c>
      <c r="B935" s="42" t="s">
        <v>2536</v>
      </c>
      <c r="C935" s="43">
        <v>2022.0</v>
      </c>
      <c r="D935" s="44" t="s">
        <v>35</v>
      </c>
      <c r="E935" s="45" t="s">
        <v>36</v>
      </c>
      <c r="F935" s="45" t="s">
        <v>36</v>
      </c>
      <c r="G935" s="45" t="s">
        <v>36</v>
      </c>
      <c r="H935" s="45" t="s">
        <v>36</v>
      </c>
      <c r="I935" s="45" t="s">
        <v>36</v>
      </c>
      <c r="J935" s="46" t="s">
        <v>36</v>
      </c>
      <c r="K935" s="83" t="s">
        <v>37</v>
      </c>
      <c r="L935" s="71" t="s">
        <v>37</v>
      </c>
      <c r="M935" s="71" t="s">
        <v>35</v>
      </c>
      <c r="N935" s="71" t="s">
        <v>37</v>
      </c>
      <c r="O935" s="71" t="s">
        <v>35</v>
      </c>
      <c r="P935" s="71" t="s">
        <v>35</v>
      </c>
      <c r="Q935" s="71" t="s">
        <v>37</v>
      </c>
      <c r="R935" s="71" t="s">
        <v>37</v>
      </c>
      <c r="S935" s="57" t="s">
        <v>2537</v>
      </c>
      <c r="T935" s="50" t="s">
        <v>2538</v>
      </c>
      <c r="U935" s="51" t="s">
        <v>2538</v>
      </c>
      <c r="V935" s="52">
        <f t="shared" ref="V935:X935" si="941">IF(lenb(SUBSTITUTE($Z935,V$1&amp;" (1)",""))&lt;lenb($Z935),1,IF(lenb(SUBSTITUTE($Z935,V$1&amp;" (2)",""))&lt;lenb($Z935),2,IF(lenb(SUBSTITUTE($Z935,V$1&amp;" (3)",""))&lt;lenb($Z935),3,IF(lenb(SUBSTITUTE($Z935,V$1&amp;" (4)",""))&lt;lenb($Z935),4,IF(lenb(SUBSTITUTE($Z935,V$1&amp;" (5)",""))&lt;lenb($Z935),5,IF(lenb(SUBSTITUTE($Z935,V$1&amp;" (6)",""))&lt;lenb($Z935),6,IF(lenb(SUBSTITUTE($Z935,V$1&amp;" (7)",""))&lt;lenb($Z935),1,IF(lenb(SUBSTITUTE($Z935,V$1&amp;" (8)",""))&lt;lenb($Z935),8,IF(lenb(SUBSTITUTE($Z935,V$1&amp;" (9)",""))&lt;lenb($Z935),9,IF(lenb(SUBSTITUTE($Z935,V$1&amp;" (10)",""))&lt;lenb($Z935),10,IF(lenb(SUBSTITUTE($Z935,V$1,""))&lt;lenb($Z935),"ERROR",IF($Z935=$Y$1,"-",0))))))))))))</f>
        <v>1</v>
      </c>
      <c r="W935" s="52">
        <f t="shared" si="941"/>
        <v>0</v>
      </c>
      <c r="X935" s="52">
        <f t="shared" si="941"/>
        <v>0</v>
      </c>
      <c r="Y935" s="52" t="str">
        <f t="shared" si="3"/>
        <v>-</v>
      </c>
      <c r="Z935" s="52" t="s">
        <v>62</v>
      </c>
      <c r="AA935" s="53">
        <f t="shared" si="4"/>
        <v>1</v>
      </c>
      <c r="AB935" s="54">
        <f>COUNTIFS(Links!B:B,"ICSE",Links!C:C,A935,Links!AD:AD,1)</f>
        <v>0</v>
      </c>
      <c r="AC935" s="55" t="s">
        <v>35</v>
      </c>
      <c r="AD935" s="47" t="str">
        <f t="shared" si="5"/>
        <v>No</v>
      </c>
      <c r="AE935" s="56" t="s">
        <v>36</v>
      </c>
      <c r="AF935" s="57" t="s">
        <v>42</v>
      </c>
      <c r="AG935" s="57" t="s">
        <v>42</v>
      </c>
      <c r="AH935" s="57" t="s">
        <v>42</v>
      </c>
      <c r="AI935" s="49" t="str">
        <f t="shared" si="661"/>
        <v>----</v>
      </c>
      <c r="AJ935" s="58" t="str">
        <f t="shared" si="7"/>
        <v>Paper has link but no statement</v>
      </c>
      <c r="AK935" s="59">
        <v>44870.0</v>
      </c>
      <c r="AL935" s="43" t="s">
        <v>43</v>
      </c>
      <c r="AM935" s="60" t="str">
        <f t="shared" si="8"/>
        <v>[IP0102]</v>
      </c>
    </row>
    <row r="936" ht="67.5" customHeight="1">
      <c r="A936" s="61">
        <v>103.0</v>
      </c>
      <c r="B936" s="22" t="s">
        <v>2539</v>
      </c>
      <c r="C936" s="23">
        <v>2022.0</v>
      </c>
      <c r="D936" s="24" t="s">
        <v>35</v>
      </c>
      <c r="E936" s="25" t="s">
        <v>36</v>
      </c>
      <c r="F936" s="25" t="s">
        <v>36</v>
      </c>
      <c r="G936" s="25" t="s">
        <v>36</v>
      </c>
      <c r="H936" s="25" t="s">
        <v>36</v>
      </c>
      <c r="I936" s="25" t="s">
        <v>36</v>
      </c>
      <c r="J936" s="26" t="s">
        <v>36</v>
      </c>
      <c r="K936" s="82" t="s">
        <v>37</v>
      </c>
      <c r="L936" s="70" t="s">
        <v>35</v>
      </c>
      <c r="M936" s="70" t="s">
        <v>35</v>
      </c>
      <c r="N936" s="70" t="s">
        <v>35</v>
      </c>
      <c r="O936" s="70" t="s">
        <v>35</v>
      </c>
      <c r="P936" s="70" t="s">
        <v>35</v>
      </c>
      <c r="Q936" s="70" t="s">
        <v>37</v>
      </c>
      <c r="R936" s="70" t="s">
        <v>35</v>
      </c>
      <c r="S936" s="37" t="s">
        <v>2540</v>
      </c>
      <c r="T936" s="30" t="s">
        <v>2541</v>
      </c>
      <c r="U936" s="31" t="s">
        <v>2541</v>
      </c>
      <c r="V936" s="32">
        <f t="shared" ref="V936:X936" si="942">IF(lenb(SUBSTITUTE($Z936,V$1&amp;" (1)",""))&lt;lenb($Z936),1,IF(lenb(SUBSTITUTE($Z936,V$1&amp;" (2)",""))&lt;lenb($Z936),2,IF(lenb(SUBSTITUTE($Z936,V$1&amp;" (3)",""))&lt;lenb($Z936),3,IF(lenb(SUBSTITUTE($Z936,V$1&amp;" (4)",""))&lt;lenb($Z936),4,IF(lenb(SUBSTITUTE($Z936,V$1&amp;" (5)",""))&lt;lenb($Z936),5,IF(lenb(SUBSTITUTE($Z936,V$1&amp;" (6)",""))&lt;lenb($Z936),6,IF(lenb(SUBSTITUTE($Z936,V$1&amp;" (7)",""))&lt;lenb($Z936),1,IF(lenb(SUBSTITUTE($Z936,V$1&amp;" (8)",""))&lt;lenb($Z936),8,IF(lenb(SUBSTITUTE($Z936,V$1&amp;" (9)",""))&lt;lenb($Z936),9,IF(lenb(SUBSTITUTE($Z936,V$1&amp;" (10)",""))&lt;lenb($Z936),10,IF(lenb(SUBSTITUTE($Z936,V$1,""))&lt;lenb($Z936),"ERROR",IF($Z936=$Y$1,"-",0))))))))))))</f>
        <v>1</v>
      </c>
      <c r="W936" s="32">
        <f t="shared" si="942"/>
        <v>0</v>
      </c>
      <c r="X936" s="32">
        <f t="shared" si="942"/>
        <v>0</v>
      </c>
      <c r="Y936" s="32" t="str">
        <f t="shared" si="3"/>
        <v>-</v>
      </c>
      <c r="Z936" s="32" t="s">
        <v>62</v>
      </c>
      <c r="AA936" s="33">
        <f t="shared" si="4"/>
        <v>1</v>
      </c>
      <c r="AB936" s="34">
        <f>COUNTIFS(Links!B:B,"ICSE",Links!C:C,A936,Links!AD:AD,1)</f>
        <v>0</v>
      </c>
      <c r="AC936" s="35" t="s">
        <v>35</v>
      </c>
      <c r="AD936" s="27" t="str">
        <f t="shared" si="5"/>
        <v>No</v>
      </c>
      <c r="AE936" s="36" t="s">
        <v>36</v>
      </c>
      <c r="AF936" s="37" t="s">
        <v>42</v>
      </c>
      <c r="AG936" s="37" t="s">
        <v>42</v>
      </c>
      <c r="AH936" s="37" t="s">
        <v>42</v>
      </c>
      <c r="AI936" s="29" t="str">
        <f t="shared" si="661"/>
        <v>----</v>
      </c>
      <c r="AJ936" s="38" t="str">
        <f t="shared" si="7"/>
        <v>Paper has link but no statement</v>
      </c>
      <c r="AK936" s="39">
        <v>44870.0</v>
      </c>
      <c r="AL936" s="23" t="s">
        <v>43</v>
      </c>
      <c r="AM936" s="40" t="str">
        <f t="shared" si="8"/>
        <v>[IP0103]</v>
      </c>
    </row>
    <row r="937" ht="67.5" customHeight="1">
      <c r="A937" s="41">
        <v>104.0</v>
      </c>
      <c r="B937" s="42" t="s">
        <v>2542</v>
      </c>
      <c r="C937" s="43">
        <v>2022.0</v>
      </c>
      <c r="D937" s="44" t="s">
        <v>35</v>
      </c>
      <c r="E937" s="45" t="s">
        <v>36</v>
      </c>
      <c r="F937" s="45" t="s">
        <v>36</v>
      </c>
      <c r="G937" s="45" t="s">
        <v>36</v>
      </c>
      <c r="H937" s="45" t="s">
        <v>36</v>
      </c>
      <c r="I937" s="45" t="s">
        <v>36</v>
      </c>
      <c r="J937" s="46" t="s">
        <v>36</v>
      </c>
      <c r="K937" s="83" t="s">
        <v>37</v>
      </c>
      <c r="L937" s="71" t="s">
        <v>35</v>
      </c>
      <c r="M937" s="71" t="s">
        <v>35</v>
      </c>
      <c r="N937" s="71" t="s">
        <v>37</v>
      </c>
      <c r="O937" s="71" t="s">
        <v>35</v>
      </c>
      <c r="P937" s="71" t="s">
        <v>35</v>
      </c>
      <c r="Q937" s="71" t="s">
        <v>35</v>
      </c>
      <c r="R937" s="71" t="s">
        <v>35</v>
      </c>
      <c r="S937" s="57" t="s">
        <v>944</v>
      </c>
      <c r="T937" s="50" t="s">
        <v>2543</v>
      </c>
      <c r="U937" s="51" t="s">
        <v>2543</v>
      </c>
      <c r="V937" s="52">
        <f t="shared" ref="V937:X937" si="943">IF(lenb(SUBSTITUTE($Z937,V$1&amp;" (1)",""))&lt;lenb($Z937),1,IF(lenb(SUBSTITUTE($Z937,V$1&amp;" (2)",""))&lt;lenb($Z937),2,IF(lenb(SUBSTITUTE($Z937,V$1&amp;" (3)",""))&lt;lenb($Z937),3,IF(lenb(SUBSTITUTE($Z937,V$1&amp;" (4)",""))&lt;lenb($Z937),4,IF(lenb(SUBSTITUTE($Z937,V$1&amp;" (5)",""))&lt;lenb($Z937),5,IF(lenb(SUBSTITUTE($Z937,V$1&amp;" (6)",""))&lt;lenb($Z937),6,IF(lenb(SUBSTITUTE($Z937,V$1&amp;" (7)",""))&lt;lenb($Z937),1,IF(lenb(SUBSTITUTE($Z937,V$1&amp;" (8)",""))&lt;lenb($Z937),8,IF(lenb(SUBSTITUTE($Z937,V$1&amp;" (9)",""))&lt;lenb($Z937),9,IF(lenb(SUBSTITUTE($Z937,V$1&amp;" (10)",""))&lt;lenb($Z937),10,IF(lenb(SUBSTITUTE($Z937,V$1,""))&lt;lenb($Z937),"ERROR",IF($Z937=$Y$1,"-",0))))))))))))</f>
        <v>1</v>
      </c>
      <c r="W937" s="52">
        <f t="shared" si="943"/>
        <v>0</v>
      </c>
      <c r="X937" s="52">
        <f t="shared" si="943"/>
        <v>0</v>
      </c>
      <c r="Y937" s="52" t="str">
        <f t="shared" si="3"/>
        <v>-</v>
      </c>
      <c r="Z937" s="52" t="s">
        <v>62</v>
      </c>
      <c r="AA937" s="53">
        <f t="shared" si="4"/>
        <v>1</v>
      </c>
      <c r="AB937" s="54">
        <f>COUNTIFS(Links!B:B,"ICSE",Links!C:C,A937,Links!AD:AD,1)</f>
        <v>0</v>
      </c>
      <c r="AC937" s="55" t="s">
        <v>35</v>
      </c>
      <c r="AD937" s="47" t="str">
        <f t="shared" si="5"/>
        <v>No</v>
      </c>
      <c r="AE937" s="56" t="s">
        <v>36</v>
      </c>
      <c r="AF937" s="57" t="s">
        <v>42</v>
      </c>
      <c r="AG937" s="57" t="s">
        <v>42</v>
      </c>
      <c r="AH937" s="57" t="s">
        <v>42</v>
      </c>
      <c r="AI937" s="49" t="str">
        <f t="shared" si="661"/>
        <v>----</v>
      </c>
      <c r="AJ937" s="58" t="str">
        <f t="shared" si="7"/>
        <v>Paper has link but no statement</v>
      </c>
      <c r="AK937" s="59">
        <v>44870.0</v>
      </c>
      <c r="AL937" s="43" t="s">
        <v>43</v>
      </c>
      <c r="AM937" s="60" t="str">
        <f t="shared" si="8"/>
        <v>[IP0104]</v>
      </c>
    </row>
    <row r="938" ht="67.5" customHeight="1">
      <c r="A938" s="61">
        <v>105.0</v>
      </c>
      <c r="B938" s="22" t="s">
        <v>2544</v>
      </c>
      <c r="C938" s="23">
        <v>2022.0</v>
      </c>
      <c r="D938" s="24" t="s">
        <v>37</v>
      </c>
      <c r="E938" s="25" t="s">
        <v>37</v>
      </c>
      <c r="F938" s="25" t="s">
        <v>35</v>
      </c>
      <c r="G938" s="25" t="s">
        <v>37</v>
      </c>
      <c r="H938" s="25" t="s">
        <v>35</v>
      </c>
      <c r="I938" s="25" t="s">
        <v>35</v>
      </c>
      <c r="J938" s="26" t="s">
        <v>36</v>
      </c>
      <c r="K938" s="82" t="s">
        <v>37</v>
      </c>
      <c r="L938" s="70" t="s">
        <v>35</v>
      </c>
      <c r="M938" s="70" t="s">
        <v>35</v>
      </c>
      <c r="N938" s="70" t="s">
        <v>37</v>
      </c>
      <c r="O938" s="70" t="s">
        <v>35</v>
      </c>
      <c r="P938" s="70" t="s">
        <v>35</v>
      </c>
      <c r="Q938" s="70" t="s">
        <v>35</v>
      </c>
      <c r="R938" s="70" t="s">
        <v>35</v>
      </c>
      <c r="S938" s="37" t="s">
        <v>944</v>
      </c>
      <c r="T938" s="30" t="s">
        <v>2545</v>
      </c>
      <c r="U938" s="31" t="s">
        <v>2546</v>
      </c>
      <c r="V938" s="32">
        <f t="shared" ref="V938:X938" si="944">IF(lenb(SUBSTITUTE($Z938,V$1&amp;" (1)",""))&lt;lenb($Z938),1,IF(lenb(SUBSTITUTE($Z938,V$1&amp;" (2)",""))&lt;lenb($Z938),2,IF(lenb(SUBSTITUTE($Z938,V$1&amp;" (3)",""))&lt;lenb($Z938),3,IF(lenb(SUBSTITUTE($Z938,V$1&amp;" (4)",""))&lt;lenb($Z938),4,IF(lenb(SUBSTITUTE($Z938,V$1&amp;" (5)",""))&lt;lenb($Z938),5,IF(lenb(SUBSTITUTE($Z938,V$1&amp;" (6)",""))&lt;lenb($Z938),6,IF(lenb(SUBSTITUTE($Z938,V$1&amp;" (7)",""))&lt;lenb($Z938),1,IF(lenb(SUBSTITUTE($Z938,V$1&amp;" (8)",""))&lt;lenb($Z938),8,IF(lenb(SUBSTITUTE($Z938,V$1&amp;" (9)",""))&lt;lenb($Z938),9,IF(lenb(SUBSTITUTE($Z938,V$1&amp;" (10)",""))&lt;lenb($Z938),10,IF(lenb(SUBSTITUTE($Z938,V$1,""))&lt;lenb($Z938),"ERROR",IF($Z938=$Y$1,"-",0))))))))))))</f>
        <v>1</v>
      </c>
      <c r="W938" s="32">
        <f t="shared" si="944"/>
        <v>0</v>
      </c>
      <c r="X938" s="32">
        <f t="shared" si="944"/>
        <v>0</v>
      </c>
      <c r="Y938" s="32" t="str">
        <f t="shared" si="3"/>
        <v>-</v>
      </c>
      <c r="Z938" s="32" t="s">
        <v>62</v>
      </c>
      <c r="AA938" s="33">
        <f t="shared" si="4"/>
        <v>1</v>
      </c>
      <c r="AB938" s="34">
        <f>COUNTIFS(Links!B:B,"ICSE",Links!C:C,A938,Links!AD:AD,1)</f>
        <v>0</v>
      </c>
      <c r="AC938" s="35" t="s">
        <v>35</v>
      </c>
      <c r="AD938" s="27" t="str">
        <f t="shared" si="5"/>
        <v>No</v>
      </c>
      <c r="AE938" s="36" t="s">
        <v>36</v>
      </c>
      <c r="AF938" s="37" t="s">
        <v>42</v>
      </c>
      <c r="AG938" s="37" t="s">
        <v>42</v>
      </c>
      <c r="AH938" s="37" t="s">
        <v>42</v>
      </c>
      <c r="AI938" s="29" t="str">
        <f t="shared" si="661"/>
        <v>----</v>
      </c>
      <c r="AJ938" s="38" t="str">
        <f t="shared" si="7"/>
        <v>Paper has link but no statement</v>
      </c>
      <c r="AK938" s="39">
        <v>44870.0</v>
      </c>
      <c r="AL938" s="23" t="s">
        <v>43</v>
      </c>
      <c r="AM938" s="40" t="str">
        <f t="shared" si="8"/>
        <v>[IP0105]</v>
      </c>
    </row>
    <row r="939" ht="67.5" customHeight="1">
      <c r="A939" s="41">
        <v>106.0</v>
      </c>
      <c r="B939" s="42" t="s">
        <v>2547</v>
      </c>
      <c r="C939" s="43">
        <v>2022.0</v>
      </c>
      <c r="D939" s="44" t="s">
        <v>35</v>
      </c>
      <c r="E939" s="45" t="s">
        <v>36</v>
      </c>
      <c r="F939" s="45" t="s">
        <v>36</v>
      </c>
      <c r="G939" s="45" t="s">
        <v>36</v>
      </c>
      <c r="H939" s="45" t="s">
        <v>36</v>
      </c>
      <c r="I939" s="45" t="s">
        <v>36</v>
      </c>
      <c r="J939" s="46" t="s">
        <v>36</v>
      </c>
      <c r="K939" s="83" t="s">
        <v>35</v>
      </c>
      <c r="L939" s="71" t="s">
        <v>36</v>
      </c>
      <c r="M939" s="71" t="s">
        <v>36</v>
      </c>
      <c r="N939" s="71" t="s">
        <v>36</v>
      </c>
      <c r="O939" s="71" t="s">
        <v>36</v>
      </c>
      <c r="P939" s="71" t="s">
        <v>36</v>
      </c>
      <c r="Q939" s="71" t="s">
        <v>36</v>
      </c>
      <c r="R939" s="71" t="s">
        <v>36</v>
      </c>
      <c r="S939" s="57" t="s">
        <v>36</v>
      </c>
      <c r="T939" s="50" t="s">
        <v>36</v>
      </c>
      <c r="U939" s="51" t="s">
        <v>36</v>
      </c>
      <c r="V939" s="52" t="str">
        <f t="shared" ref="V939:X939" si="945">IF(lenb(SUBSTITUTE($Z939,V$1&amp;" (1)",""))&lt;lenb($Z939),1,IF(lenb(SUBSTITUTE($Z939,V$1&amp;" (2)",""))&lt;lenb($Z939),2,IF(lenb(SUBSTITUTE($Z939,V$1&amp;" (3)",""))&lt;lenb($Z939),3,IF(lenb(SUBSTITUTE($Z939,V$1&amp;" (4)",""))&lt;lenb($Z939),4,IF(lenb(SUBSTITUTE($Z939,V$1&amp;" (5)",""))&lt;lenb($Z939),5,IF(lenb(SUBSTITUTE($Z939,V$1&amp;" (6)",""))&lt;lenb($Z939),6,IF(lenb(SUBSTITUTE($Z939,V$1&amp;" (7)",""))&lt;lenb($Z939),1,IF(lenb(SUBSTITUTE($Z939,V$1&amp;" (8)",""))&lt;lenb($Z939),8,IF(lenb(SUBSTITUTE($Z939,V$1&amp;" (9)",""))&lt;lenb($Z939),9,IF(lenb(SUBSTITUTE($Z939,V$1&amp;" (10)",""))&lt;lenb($Z939),10,IF(lenb(SUBSTITUTE($Z939,V$1,""))&lt;lenb($Z939),"ERROR",IF($Z939=$Y$1,"-",0))))))))))))</f>
        <v>-</v>
      </c>
      <c r="W939" s="52" t="str">
        <f t="shared" si="945"/>
        <v>-</v>
      </c>
      <c r="X939" s="52" t="str">
        <f t="shared" si="945"/>
        <v>-</v>
      </c>
      <c r="Y939" s="52">
        <f t="shared" si="3"/>
        <v>1</v>
      </c>
      <c r="Z939" s="52" t="s">
        <v>23</v>
      </c>
      <c r="AA939" s="53">
        <f t="shared" si="4"/>
        <v>0</v>
      </c>
      <c r="AB939" s="54">
        <f>COUNTIFS(Links!B:B,"ICSE",Links!C:C,A939,Links!AD:AD,1)</f>
        <v>0</v>
      </c>
      <c r="AC939" s="55" t="s">
        <v>36</v>
      </c>
      <c r="AD939" s="47" t="str">
        <f t="shared" si="5"/>
        <v>No</v>
      </c>
      <c r="AE939" s="56" t="s">
        <v>36</v>
      </c>
      <c r="AF939" s="57" t="s">
        <v>42</v>
      </c>
      <c r="AG939" s="57" t="s">
        <v>42</v>
      </c>
      <c r="AH939" s="57" t="s">
        <v>42</v>
      </c>
      <c r="AI939" s="49" t="str">
        <f t="shared" si="661"/>
        <v>----</v>
      </c>
      <c r="AJ939" s="58" t="str">
        <f t="shared" si="7"/>
        <v>Paper has no link and no statement</v>
      </c>
      <c r="AK939" s="59">
        <v>44870.0</v>
      </c>
      <c r="AL939" s="43" t="s">
        <v>43</v>
      </c>
      <c r="AM939" s="60" t="str">
        <f t="shared" si="8"/>
        <v>[IP0106]</v>
      </c>
    </row>
    <row r="940" ht="67.5" customHeight="1">
      <c r="A940" s="61">
        <v>107.0</v>
      </c>
      <c r="B940" s="22" t="s">
        <v>2548</v>
      </c>
      <c r="C940" s="23">
        <v>2022.0</v>
      </c>
      <c r="D940" s="24" t="s">
        <v>35</v>
      </c>
      <c r="E940" s="25" t="s">
        <v>36</v>
      </c>
      <c r="F940" s="25" t="s">
        <v>36</v>
      </c>
      <c r="G940" s="25" t="s">
        <v>36</v>
      </c>
      <c r="H940" s="25" t="s">
        <v>36</v>
      </c>
      <c r="I940" s="25" t="s">
        <v>36</v>
      </c>
      <c r="J940" s="26" t="s">
        <v>36</v>
      </c>
      <c r="K940" s="82" t="s">
        <v>35</v>
      </c>
      <c r="L940" s="70" t="s">
        <v>36</v>
      </c>
      <c r="M940" s="70" t="s">
        <v>36</v>
      </c>
      <c r="N940" s="70" t="s">
        <v>36</v>
      </c>
      <c r="O940" s="70" t="s">
        <v>36</v>
      </c>
      <c r="P940" s="70" t="s">
        <v>36</v>
      </c>
      <c r="Q940" s="70" t="s">
        <v>36</v>
      </c>
      <c r="R940" s="70" t="s">
        <v>36</v>
      </c>
      <c r="S940" s="37" t="s">
        <v>36</v>
      </c>
      <c r="T940" s="30" t="s">
        <v>36</v>
      </c>
      <c r="U940" s="31" t="s">
        <v>36</v>
      </c>
      <c r="V940" s="32" t="str">
        <f t="shared" ref="V940:X940" si="946">IF(lenb(SUBSTITUTE($Z940,V$1&amp;" (1)",""))&lt;lenb($Z940),1,IF(lenb(SUBSTITUTE($Z940,V$1&amp;" (2)",""))&lt;lenb($Z940),2,IF(lenb(SUBSTITUTE($Z940,V$1&amp;" (3)",""))&lt;lenb($Z940),3,IF(lenb(SUBSTITUTE($Z940,V$1&amp;" (4)",""))&lt;lenb($Z940),4,IF(lenb(SUBSTITUTE($Z940,V$1&amp;" (5)",""))&lt;lenb($Z940),5,IF(lenb(SUBSTITUTE($Z940,V$1&amp;" (6)",""))&lt;lenb($Z940),6,IF(lenb(SUBSTITUTE($Z940,V$1&amp;" (7)",""))&lt;lenb($Z940),1,IF(lenb(SUBSTITUTE($Z940,V$1&amp;" (8)",""))&lt;lenb($Z940),8,IF(lenb(SUBSTITUTE($Z940,V$1&amp;" (9)",""))&lt;lenb($Z940),9,IF(lenb(SUBSTITUTE($Z940,V$1&amp;" (10)",""))&lt;lenb($Z940),10,IF(lenb(SUBSTITUTE($Z940,V$1,""))&lt;lenb($Z940),"ERROR",IF($Z940=$Y$1,"-",0))))))))))))</f>
        <v>-</v>
      </c>
      <c r="W940" s="32" t="str">
        <f t="shared" si="946"/>
        <v>-</v>
      </c>
      <c r="X940" s="32" t="str">
        <f t="shared" si="946"/>
        <v>-</v>
      </c>
      <c r="Y940" s="32">
        <f t="shared" si="3"/>
        <v>1</v>
      </c>
      <c r="Z940" s="32" t="s">
        <v>23</v>
      </c>
      <c r="AA940" s="33">
        <f t="shared" si="4"/>
        <v>0</v>
      </c>
      <c r="AB940" s="34">
        <f>COUNTIFS(Links!B:B,"ICSE",Links!C:C,A940,Links!AD:AD,1)</f>
        <v>0</v>
      </c>
      <c r="AC940" s="35" t="s">
        <v>36</v>
      </c>
      <c r="AD940" s="27" t="str">
        <f t="shared" si="5"/>
        <v>Yes</v>
      </c>
      <c r="AE940" s="36" t="s">
        <v>2549</v>
      </c>
      <c r="AF940" s="36" t="s">
        <v>223</v>
      </c>
      <c r="AG940" s="36" t="s">
        <v>146</v>
      </c>
      <c r="AH940" s="37" t="s">
        <v>42</v>
      </c>
      <c r="AI940" s="29" t="str">
        <f t="shared" si="661"/>
        <v>Barriers (Agreements and legal rights)
Future plans (—)</v>
      </c>
      <c r="AJ940" s="38" t="str">
        <f t="shared" si="7"/>
        <v>Paper has no link but has statement</v>
      </c>
      <c r="AK940" s="39">
        <v>44870.0</v>
      </c>
      <c r="AL940" s="23" t="s">
        <v>43</v>
      </c>
      <c r="AM940" s="40" t="str">
        <f t="shared" si="8"/>
        <v>[IP0107]</v>
      </c>
    </row>
    <row r="941" ht="67.5" customHeight="1">
      <c r="A941" s="41">
        <v>108.0</v>
      </c>
      <c r="B941" s="42" t="s">
        <v>2550</v>
      </c>
      <c r="C941" s="43">
        <v>2022.0</v>
      </c>
      <c r="D941" s="44" t="s">
        <v>35</v>
      </c>
      <c r="E941" s="45" t="s">
        <v>36</v>
      </c>
      <c r="F941" s="45" t="s">
        <v>36</v>
      </c>
      <c r="G941" s="45" t="s">
        <v>36</v>
      </c>
      <c r="H941" s="45" t="s">
        <v>36</v>
      </c>
      <c r="I941" s="45" t="s">
        <v>36</v>
      </c>
      <c r="J941" s="46" t="s">
        <v>36</v>
      </c>
      <c r="K941" s="83" t="s">
        <v>37</v>
      </c>
      <c r="L941" s="71" t="s">
        <v>35</v>
      </c>
      <c r="M941" s="71" t="s">
        <v>37</v>
      </c>
      <c r="N941" s="71" t="s">
        <v>35</v>
      </c>
      <c r="O941" s="71" t="s">
        <v>35</v>
      </c>
      <c r="P941" s="71" t="s">
        <v>35</v>
      </c>
      <c r="Q941" s="71" t="s">
        <v>35</v>
      </c>
      <c r="R941" s="71" t="s">
        <v>37</v>
      </c>
      <c r="S941" s="57" t="s">
        <v>2551</v>
      </c>
      <c r="T941" s="50" t="s">
        <v>2552</v>
      </c>
      <c r="U941" s="51" t="s">
        <v>2552</v>
      </c>
      <c r="V941" s="52">
        <f t="shared" ref="V941:X941" si="947">IF(lenb(SUBSTITUTE($Z941,V$1&amp;" (1)",""))&lt;lenb($Z941),1,IF(lenb(SUBSTITUTE($Z941,V$1&amp;" (2)",""))&lt;lenb($Z941),2,IF(lenb(SUBSTITUTE($Z941,V$1&amp;" (3)",""))&lt;lenb($Z941),3,IF(lenb(SUBSTITUTE($Z941,V$1&amp;" (4)",""))&lt;lenb($Z941),4,IF(lenb(SUBSTITUTE($Z941,V$1&amp;" (5)",""))&lt;lenb($Z941),5,IF(lenb(SUBSTITUTE($Z941,V$1&amp;" (6)",""))&lt;lenb($Z941),6,IF(lenb(SUBSTITUTE($Z941,V$1&amp;" (7)",""))&lt;lenb($Z941),1,IF(lenb(SUBSTITUTE($Z941,V$1&amp;" (8)",""))&lt;lenb($Z941),8,IF(lenb(SUBSTITUTE($Z941,V$1&amp;" (9)",""))&lt;lenb($Z941),9,IF(lenb(SUBSTITUTE($Z941,V$1&amp;" (10)",""))&lt;lenb($Z941),10,IF(lenb(SUBSTITUTE($Z941,V$1,""))&lt;lenb($Z941),"ERROR",IF($Z941=$Y$1,"-",0))))))))))))</f>
        <v>1</v>
      </c>
      <c r="W941" s="52">
        <f t="shared" si="947"/>
        <v>0</v>
      </c>
      <c r="X941" s="52">
        <f t="shared" si="947"/>
        <v>0</v>
      </c>
      <c r="Y941" s="52" t="str">
        <f t="shared" si="3"/>
        <v>-</v>
      </c>
      <c r="Z941" s="52" t="s">
        <v>62</v>
      </c>
      <c r="AA941" s="53">
        <f t="shared" si="4"/>
        <v>1</v>
      </c>
      <c r="AB941" s="54">
        <f>COUNTIFS(Links!B:B,"ICSE",Links!C:C,A941,Links!AD:AD,1)</f>
        <v>0</v>
      </c>
      <c r="AC941" s="55" t="s">
        <v>37</v>
      </c>
      <c r="AD941" s="47" t="str">
        <f t="shared" si="5"/>
        <v>No</v>
      </c>
      <c r="AE941" s="56" t="s">
        <v>36</v>
      </c>
      <c r="AF941" s="57" t="s">
        <v>42</v>
      </c>
      <c r="AG941" s="57" t="s">
        <v>42</v>
      </c>
      <c r="AH941" s="57" t="s">
        <v>42</v>
      </c>
      <c r="AI941" s="49" t="str">
        <f t="shared" si="661"/>
        <v>----</v>
      </c>
      <c r="AJ941" s="58" t="str">
        <f t="shared" si="7"/>
        <v>Paper has link but no statement</v>
      </c>
      <c r="AK941" s="59">
        <v>44870.0</v>
      </c>
      <c r="AL941" s="43" t="s">
        <v>43</v>
      </c>
      <c r="AM941" s="60" t="str">
        <f t="shared" si="8"/>
        <v>[IP0108]</v>
      </c>
    </row>
    <row r="942" ht="67.5" customHeight="1">
      <c r="A942" s="61">
        <v>109.0</v>
      </c>
      <c r="B942" s="22" t="s">
        <v>2553</v>
      </c>
      <c r="C942" s="23">
        <v>2022.0</v>
      </c>
      <c r="D942" s="24" t="s">
        <v>35</v>
      </c>
      <c r="E942" s="25" t="s">
        <v>36</v>
      </c>
      <c r="F942" s="25" t="s">
        <v>36</v>
      </c>
      <c r="G942" s="25" t="s">
        <v>36</v>
      </c>
      <c r="H942" s="25" t="s">
        <v>36</v>
      </c>
      <c r="I942" s="25" t="s">
        <v>36</v>
      </c>
      <c r="J942" s="26" t="s">
        <v>36</v>
      </c>
      <c r="K942" s="82" t="s">
        <v>37</v>
      </c>
      <c r="L942" s="70" t="s">
        <v>37</v>
      </c>
      <c r="M942" s="70" t="s">
        <v>35</v>
      </c>
      <c r="N942" s="70" t="s">
        <v>35</v>
      </c>
      <c r="O942" s="70" t="s">
        <v>37</v>
      </c>
      <c r="P942" s="70" t="s">
        <v>35</v>
      </c>
      <c r="Q942" s="70" t="s">
        <v>35</v>
      </c>
      <c r="R942" s="70" t="s">
        <v>35</v>
      </c>
      <c r="S942" s="37" t="s">
        <v>2554</v>
      </c>
      <c r="T942" s="30" t="s">
        <v>2555</v>
      </c>
      <c r="U942" s="31" t="s">
        <v>2555</v>
      </c>
      <c r="V942" s="32">
        <f t="shared" ref="V942:X942" si="948">IF(lenb(SUBSTITUTE($Z942,V$1&amp;" (1)",""))&lt;lenb($Z942),1,IF(lenb(SUBSTITUTE($Z942,V$1&amp;" (2)",""))&lt;lenb($Z942),2,IF(lenb(SUBSTITUTE($Z942,V$1&amp;" (3)",""))&lt;lenb($Z942),3,IF(lenb(SUBSTITUTE($Z942,V$1&amp;" (4)",""))&lt;lenb($Z942),4,IF(lenb(SUBSTITUTE($Z942,V$1&amp;" (5)",""))&lt;lenb($Z942),5,IF(lenb(SUBSTITUTE($Z942,V$1&amp;" (6)",""))&lt;lenb($Z942),6,IF(lenb(SUBSTITUTE($Z942,V$1&amp;" (7)",""))&lt;lenb($Z942),1,IF(lenb(SUBSTITUTE($Z942,V$1&amp;" (8)",""))&lt;lenb($Z942),8,IF(lenb(SUBSTITUTE($Z942,V$1&amp;" (9)",""))&lt;lenb($Z942),9,IF(lenb(SUBSTITUTE($Z942,V$1&amp;" (10)",""))&lt;lenb($Z942),10,IF(lenb(SUBSTITUTE($Z942,V$1,""))&lt;lenb($Z942),"ERROR",IF($Z942=$Y$1,"-",0))))))))))))</f>
        <v>1</v>
      </c>
      <c r="W942" s="32">
        <f t="shared" si="948"/>
        <v>0</v>
      </c>
      <c r="X942" s="32">
        <f t="shared" si="948"/>
        <v>0</v>
      </c>
      <c r="Y942" s="32" t="str">
        <f t="shared" si="3"/>
        <v>-</v>
      </c>
      <c r="Z942" s="32" t="s">
        <v>62</v>
      </c>
      <c r="AA942" s="33">
        <f t="shared" si="4"/>
        <v>1</v>
      </c>
      <c r="AB942" s="34">
        <f>COUNTIFS(Links!B:B,"ICSE",Links!C:C,A942,Links!AD:AD,1)</f>
        <v>0</v>
      </c>
      <c r="AC942" s="35" t="s">
        <v>37</v>
      </c>
      <c r="AD942" s="27" t="str">
        <f t="shared" si="5"/>
        <v>No</v>
      </c>
      <c r="AE942" s="36" t="s">
        <v>36</v>
      </c>
      <c r="AF942" s="37" t="s">
        <v>42</v>
      </c>
      <c r="AG942" s="37" t="s">
        <v>42</v>
      </c>
      <c r="AH942" s="37" t="s">
        <v>42</v>
      </c>
      <c r="AI942" s="29" t="str">
        <f t="shared" si="661"/>
        <v>----</v>
      </c>
      <c r="AJ942" s="38" t="str">
        <f t="shared" si="7"/>
        <v>Paper has link but no statement</v>
      </c>
      <c r="AK942" s="39">
        <v>44870.0</v>
      </c>
      <c r="AL942" s="23" t="s">
        <v>43</v>
      </c>
      <c r="AM942" s="40" t="str">
        <f t="shared" si="8"/>
        <v>[IP0109]</v>
      </c>
    </row>
    <row r="943" ht="67.5" customHeight="1">
      <c r="A943" s="41">
        <v>110.0</v>
      </c>
      <c r="B943" s="42" t="s">
        <v>2556</v>
      </c>
      <c r="C943" s="43">
        <v>2022.0</v>
      </c>
      <c r="D943" s="44" t="s">
        <v>35</v>
      </c>
      <c r="E943" s="45" t="s">
        <v>36</v>
      </c>
      <c r="F943" s="45" t="s">
        <v>36</v>
      </c>
      <c r="G943" s="45" t="s">
        <v>36</v>
      </c>
      <c r="H943" s="45" t="s">
        <v>36</v>
      </c>
      <c r="I943" s="45" t="s">
        <v>36</v>
      </c>
      <c r="J943" s="46" t="s">
        <v>36</v>
      </c>
      <c r="K943" s="83" t="s">
        <v>37</v>
      </c>
      <c r="L943" s="71" t="s">
        <v>37</v>
      </c>
      <c r="M943" s="71" t="s">
        <v>35</v>
      </c>
      <c r="N943" s="71" t="s">
        <v>37</v>
      </c>
      <c r="O943" s="71" t="s">
        <v>35</v>
      </c>
      <c r="P943" s="71" t="s">
        <v>35</v>
      </c>
      <c r="Q943" s="71" t="s">
        <v>35</v>
      </c>
      <c r="R943" s="71" t="s">
        <v>37</v>
      </c>
      <c r="S943" s="57" t="s">
        <v>2557</v>
      </c>
      <c r="T943" s="50" t="s">
        <v>2558</v>
      </c>
      <c r="U943" s="51" t="s">
        <v>2559</v>
      </c>
      <c r="V943" s="52">
        <f t="shared" ref="V943:X943" si="949">IF(lenb(SUBSTITUTE($Z943,V$1&amp;" (1)",""))&lt;lenb($Z943),1,IF(lenb(SUBSTITUTE($Z943,V$1&amp;" (2)",""))&lt;lenb($Z943),2,IF(lenb(SUBSTITUTE($Z943,V$1&amp;" (3)",""))&lt;lenb($Z943),3,IF(lenb(SUBSTITUTE($Z943,V$1&amp;" (4)",""))&lt;lenb($Z943),4,IF(lenb(SUBSTITUTE($Z943,V$1&amp;" (5)",""))&lt;lenb($Z943),5,IF(lenb(SUBSTITUTE($Z943,V$1&amp;" (6)",""))&lt;lenb($Z943),6,IF(lenb(SUBSTITUTE($Z943,V$1&amp;" (7)",""))&lt;lenb($Z943),1,IF(lenb(SUBSTITUTE($Z943,V$1&amp;" (8)",""))&lt;lenb($Z943),8,IF(lenb(SUBSTITUTE($Z943,V$1&amp;" (9)",""))&lt;lenb($Z943),9,IF(lenb(SUBSTITUTE($Z943,V$1&amp;" (10)",""))&lt;lenb($Z943),10,IF(lenb(SUBSTITUTE($Z943,V$1,""))&lt;lenb($Z943),"ERROR",IF($Z943=$Y$1,"-",0))))))))))))</f>
        <v>2</v>
      </c>
      <c r="W943" s="52">
        <f t="shared" si="949"/>
        <v>0</v>
      </c>
      <c r="X943" s="52">
        <f t="shared" si="949"/>
        <v>0</v>
      </c>
      <c r="Y943" s="52" t="str">
        <f t="shared" si="3"/>
        <v>-</v>
      </c>
      <c r="Z943" s="52" t="s">
        <v>57</v>
      </c>
      <c r="AA943" s="53">
        <f t="shared" si="4"/>
        <v>2</v>
      </c>
      <c r="AB943" s="54">
        <f>COUNTIFS(Links!B:B,"ICSE",Links!C:C,A943,Links!AD:AD,1)</f>
        <v>0</v>
      </c>
      <c r="AC943" s="55" t="s">
        <v>37</v>
      </c>
      <c r="AD943" s="47" t="str">
        <f t="shared" si="5"/>
        <v>No</v>
      </c>
      <c r="AE943" s="56" t="s">
        <v>36</v>
      </c>
      <c r="AF943" s="57" t="s">
        <v>42</v>
      </c>
      <c r="AG943" s="57" t="s">
        <v>42</v>
      </c>
      <c r="AH943" s="57" t="s">
        <v>42</v>
      </c>
      <c r="AI943" s="49" t="str">
        <f t="shared" si="661"/>
        <v>----</v>
      </c>
      <c r="AJ943" s="58" t="str">
        <f t="shared" si="7"/>
        <v>Paper has link but no statement</v>
      </c>
      <c r="AK943" s="59">
        <v>44870.0</v>
      </c>
      <c r="AL943" s="43" t="s">
        <v>43</v>
      </c>
      <c r="AM943" s="60" t="str">
        <f t="shared" si="8"/>
        <v>[IP0110]</v>
      </c>
    </row>
    <row r="944" ht="67.5" customHeight="1">
      <c r="A944" s="61">
        <v>111.0</v>
      </c>
      <c r="B944" s="22" t="s">
        <v>2560</v>
      </c>
      <c r="C944" s="23">
        <v>2022.0</v>
      </c>
      <c r="D944" s="24" t="s">
        <v>35</v>
      </c>
      <c r="E944" s="25" t="s">
        <v>36</v>
      </c>
      <c r="F944" s="25" t="s">
        <v>36</v>
      </c>
      <c r="G944" s="25" t="s">
        <v>36</v>
      </c>
      <c r="H944" s="25" t="s">
        <v>36</v>
      </c>
      <c r="I944" s="25" t="s">
        <v>36</v>
      </c>
      <c r="J944" s="26" t="s">
        <v>36</v>
      </c>
      <c r="K944" s="82" t="s">
        <v>37</v>
      </c>
      <c r="L944" s="70" t="s">
        <v>35</v>
      </c>
      <c r="M944" s="70" t="s">
        <v>35</v>
      </c>
      <c r="N944" s="70" t="s">
        <v>35</v>
      </c>
      <c r="O944" s="70" t="s">
        <v>37</v>
      </c>
      <c r="P944" s="70" t="s">
        <v>35</v>
      </c>
      <c r="Q944" s="70" t="s">
        <v>35</v>
      </c>
      <c r="R944" s="70" t="s">
        <v>35</v>
      </c>
      <c r="S944" s="37" t="s">
        <v>1802</v>
      </c>
      <c r="T944" s="31" t="s">
        <v>2561</v>
      </c>
      <c r="U944" s="31" t="s">
        <v>2561</v>
      </c>
      <c r="V944" s="32">
        <f t="shared" ref="V944:X944" si="950">IF(lenb(SUBSTITUTE($Z944,V$1&amp;" (1)",""))&lt;lenb($Z944),1,IF(lenb(SUBSTITUTE($Z944,V$1&amp;" (2)",""))&lt;lenb($Z944),2,IF(lenb(SUBSTITUTE($Z944,V$1&amp;" (3)",""))&lt;lenb($Z944),3,IF(lenb(SUBSTITUTE($Z944,V$1&amp;" (4)",""))&lt;lenb($Z944),4,IF(lenb(SUBSTITUTE($Z944,V$1&amp;" (5)",""))&lt;lenb($Z944),5,IF(lenb(SUBSTITUTE($Z944,V$1&amp;" (6)",""))&lt;lenb($Z944),6,IF(lenb(SUBSTITUTE($Z944,V$1&amp;" (7)",""))&lt;lenb($Z944),1,IF(lenb(SUBSTITUTE($Z944,V$1&amp;" (8)",""))&lt;lenb($Z944),8,IF(lenb(SUBSTITUTE($Z944,V$1&amp;" (9)",""))&lt;lenb($Z944),9,IF(lenb(SUBSTITUTE($Z944,V$1&amp;" (10)",""))&lt;lenb($Z944),10,IF(lenb(SUBSTITUTE($Z944,V$1,""))&lt;lenb($Z944),"ERROR",IF($Z944=$Y$1,"-",0))))))))))))</f>
        <v>1</v>
      </c>
      <c r="W944" s="32">
        <f t="shared" si="950"/>
        <v>0</v>
      </c>
      <c r="X944" s="32">
        <f t="shared" si="950"/>
        <v>0</v>
      </c>
      <c r="Y944" s="32" t="str">
        <f t="shared" si="3"/>
        <v>-</v>
      </c>
      <c r="Z944" s="32" t="s">
        <v>62</v>
      </c>
      <c r="AA944" s="33">
        <f t="shared" si="4"/>
        <v>1</v>
      </c>
      <c r="AB944" s="34">
        <f>COUNTIFS(Links!B:B,"ICSE",Links!C:C,A944,Links!AD:AD,1)</f>
        <v>0</v>
      </c>
      <c r="AC944" s="35" t="s">
        <v>35</v>
      </c>
      <c r="AD944" s="27" t="str">
        <f t="shared" si="5"/>
        <v>No</v>
      </c>
      <c r="AE944" s="36" t="s">
        <v>36</v>
      </c>
      <c r="AF944" s="37" t="s">
        <v>42</v>
      </c>
      <c r="AG944" s="37" t="s">
        <v>42</v>
      </c>
      <c r="AH944" s="37" t="s">
        <v>42</v>
      </c>
      <c r="AI944" s="29" t="str">
        <f t="shared" si="661"/>
        <v>----</v>
      </c>
      <c r="AJ944" s="38" t="str">
        <f t="shared" si="7"/>
        <v>Paper has link but no statement</v>
      </c>
      <c r="AK944" s="39">
        <v>44870.0</v>
      </c>
      <c r="AL944" s="23" t="s">
        <v>43</v>
      </c>
      <c r="AM944" s="40" t="str">
        <f t="shared" si="8"/>
        <v>[IP0111]</v>
      </c>
    </row>
    <row r="945" ht="67.5" customHeight="1">
      <c r="A945" s="41">
        <v>112.0</v>
      </c>
      <c r="B945" s="42" t="s">
        <v>2562</v>
      </c>
      <c r="C945" s="43">
        <v>2022.0</v>
      </c>
      <c r="D945" s="44" t="s">
        <v>35</v>
      </c>
      <c r="E945" s="45" t="s">
        <v>36</v>
      </c>
      <c r="F945" s="45" t="s">
        <v>36</v>
      </c>
      <c r="G945" s="45" t="s">
        <v>36</v>
      </c>
      <c r="H945" s="45" t="s">
        <v>36</v>
      </c>
      <c r="I945" s="45" t="s">
        <v>36</v>
      </c>
      <c r="J945" s="46" t="s">
        <v>36</v>
      </c>
      <c r="K945" s="83" t="s">
        <v>37</v>
      </c>
      <c r="L945" s="71" t="s">
        <v>35</v>
      </c>
      <c r="M945" s="71" t="s">
        <v>37</v>
      </c>
      <c r="N945" s="71" t="s">
        <v>37</v>
      </c>
      <c r="O945" s="71" t="s">
        <v>35</v>
      </c>
      <c r="P945" s="71" t="s">
        <v>35</v>
      </c>
      <c r="Q945" s="71" t="s">
        <v>35</v>
      </c>
      <c r="R945" s="71" t="s">
        <v>35</v>
      </c>
      <c r="S945" s="57" t="s">
        <v>2563</v>
      </c>
      <c r="T945" s="50" t="s">
        <v>2564</v>
      </c>
      <c r="U945" s="51" t="s">
        <v>2564</v>
      </c>
      <c r="V945" s="52">
        <f t="shared" ref="V945:X945" si="951">IF(lenb(SUBSTITUTE($Z945,V$1&amp;" (1)",""))&lt;lenb($Z945),1,IF(lenb(SUBSTITUTE($Z945,V$1&amp;" (2)",""))&lt;lenb($Z945),2,IF(lenb(SUBSTITUTE($Z945,V$1&amp;" (3)",""))&lt;lenb($Z945),3,IF(lenb(SUBSTITUTE($Z945,V$1&amp;" (4)",""))&lt;lenb($Z945),4,IF(lenb(SUBSTITUTE($Z945,V$1&amp;" (5)",""))&lt;lenb($Z945),5,IF(lenb(SUBSTITUTE($Z945,V$1&amp;" (6)",""))&lt;lenb($Z945),6,IF(lenb(SUBSTITUTE($Z945,V$1&amp;" (7)",""))&lt;lenb($Z945),1,IF(lenb(SUBSTITUTE($Z945,V$1&amp;" (8)",""))&lt;lenb($Z945),8,IF(lenb(SUBSTITUTE($Z945,V$1&amp;" (9)",""))&lt;lenb($Z945),9,IF(lenb(SUBSTITUTE($Z945,V$1&amp;" (10)",""))&lt;lenb($Z945),10,IF(lenb(SUBSTITUTE($Z945,V$1,""))&lt;lenb($Z945),"ERROR",IF($Z945=$Y$1,"-",0))))))))))))</f>
        <v>1</v>
      </c>
      <c r="W945" s="52">
        <f t="shared" si="951"/>
        <v>0</v>
      </c>
      <c r="X945" s="52">
        <f t="shared" si="951"/>
        <v>0</v>
      </c>
      <c r="Y945" s="52" t="str">
        <f t="shared" si="3"/>
        <v>-</v>
      </c>
      <c r="Z945" s="52" t="s">
        <v>62</v>
      </c>
      <c r="AA945" s="53">
        <f t="shared" si="4"/>
        <v>1</v>
      </c>
      <c r="AB945" s="54">
        <f>COUNTIFS(Links!B:B,"ICSE",Links!C:C,A945,Links!AD:AD,1)</f>
        <v>0</v>
      </c>
      <c r="AC945" s="55" t="s">
        <v>35</v>
      </c>
      <c r="AD945" s="47" t="str">
        <f t="shared" si="5"/>
        <v>No</v>
      </c>
      <c r="AE945" s="56" t="s">
        <v>36</v>
      </c>
      <c r="AF945" s="57" t="s">
        <v>42</v>
      </c>
      <c r="AG945" s="57" t="s">
        <v>42</v>
      </c>
      <c r="AH945" s="57" t="s">
        <v>42</v>
      </c>
      <c r="AI945" s="49" t="str">
        <f t="shared" si="661"/>
        <v>----</v>
      </c>
      <c r="AJ945" s="58" t="str">
        <f t="shared" si="7"/>
        <v>Paper has link but no statement</v>
      </c>
      <c r="AK945" s="59">
        <v>44870.0</v>
      </c>
      <c r="AL945" s="43" t="s">
        <v>43</v>
      </c>
      <c r="AM945" s="60" t="str">
        <f t="shared" si="8"/>
        <v>[IP0112]</v>
      </c>
    </row>
    <row r="946" ht="67.5" customHeight="1">
      <c r="A946" s="61">
        <v>113.0</v>
      </c>
      <c r="B946" s="22" t="s">
        <v>2565</v>
      </c>
      <c r="C946" s="23">
        <v>2022.0</v>
      </c>
      <c r="D946" s="24" t="s">
        <v>35</v>
      </c>
      <c r="E946" s="25" t="s">
        <v>36</v>
      </c>
      <c r="F946" s="25" t="s">
        <v>36</v>
      </c>
      <c r="G946" s="25" t="s">
        <v>36</v>
      </c>
      <c r="H946" s="25" t="s">
        <v>36</v>
      </c>
      <c r="I946" s="25" t="s">
        <v>36</v>
      </c>
      <c r="J946" s="26" t="s">
        <v>36</v>
      </c>
      <c r="K946" s="82" t="s">
        <v>37</v>
      </c>
      <c r="L946" s="70" t="s">
        <v>37</v>
      </c>
      <c r="M946" s="70" t="s">
        <v>35</v>
      </c>
      <c r="N946" s="70" t="s">
        <v>35</v>
      </c>
      <c r="O946" s="70" t="s">
        <v>35</v>
      </c>
      <c r="P946" s="70" t="s">
        <v>35</v>
      </c>
      <c r="Q946" s="70" t="s">
        <v>35</v>
      </c>
      <c r="R946" s="70" t="s">
        <v>37</v>
      </c>
      <c r="S946" s="37" t="s">
        <v>2566</v>
      </c>
      <c r="T946" s="30" t="s">
        <v>2567</v>
      </c>
      <c r="U946" s="31" t="s">
        <v>2567</v>
      </c>
      <c r="V946" s="32">
        <f t="shared" ref="V946:X946" si="952">IF(lenb(SUBSTITUTE($Z946,V$1&amp;" (1)",""))&lt;lenb($Z946),1,IF(lenb(SUBSTITUTE($Z946,V$1&amp;" (2)",""))&lt;lenb($Z946),2,IF(lenb(SUBSTITUTE($Z946,V$1&amp;" (3)",""))&lt;lenb($Z946),3,IF(lenb(SUBSTITUTE($Z946,V$1&amp;" (4)",""))&lt;lenb($Z946),4,IF(lenb(SUBSTITUTE($Z946,V$1&amp;" (5)",""))&lt;lenb($Z946),5,IF(lenb(SUBSTITUTE($Z946,V$1&amp;" (6)",""))&lt;lenb($Z946),6,IF(lenb(SUBSTITUTE($Z946,V$1&amp;" (7)",""))&lt;lenb($Z946),1,IF(lenb(SUBSTITUTE($Z946,V$1&amp;" (8)",""))&lt;lenb($Z946),8,IF(lenb(SUBSTITUTE($Z946,V$1&amp;" (9)",""))&lt;lenb($Z946),9,IF(lenb(SUBSTITUTE($Z946,V$1&amp;" (10)",""))&lt;lenb($Z946),10,IF(lenb(SUBSTITUTE($Z946,V$1,""))&lt;lenb($Z946),"ERROR",IF($Z946=$Y$1,"-",0))))))))))))</f>
        <v>1</v>
      </c>
      <c r="W946" s="32">
        <f t="shared" si="952"/>
        <v>0</v>
      </c>
      <c r="X946" s="32">
        <f t="shared" si="952"/>
        <v>0</v>
      </c>
      <c r="Y946" s="32" t="str">
        <f t="shared" si="3"/>
        <v>-</v>
      </c>
      <c r="Z946" s="32" t="s">
        <v>62</v>
      </c>
      <c r="AA946" s="33">
        <f t="shared" si="4"/>
        <v>1</v>
      </c>
      <c r="AB946" s="34">
        <f>COUNTIFS(Links!B:B,"ICSE",Links!C:C,A946,Links!AD:AD,1)</f>
        <v>0</v>
      </c>
      <c r="AC946" s="35" t="s">
        <v>37</v>
      </c>
      <c r="AD946" s="27" t="str">
        <f t="shared" si="5"/>
        <v>No</v>
      </c>
      <c r="AE946" s="36" t="s">
        <v>36</v>
      </c>
      <c r="AF946" s="37" t="s">
        <v>42</v>
      </c>
      <c r="AG946" s="37" t="s">
        <v>42</v>
      </c>
      <c r="AH946" s="37" t="s">
        <v>42</v>
      </c>
      <c r="AI946" s="29" t="str">
        <f t="shared" si="661"/>
        <v>----</v>
      </c>
      <c r="AJ946" s="38" t="str">
        <f t="shared" si="7"/>
        <v>Paper has link but no statement</v>
      </c>
      <c r="AK946" s="39">
        <v>44870.0</v>
      </c>
      <c r="AL946" s="23" t="s">
        <v>43</v>
      </c>
      <c r="AM946" s="40" t="str">
        <f t="shared" si="8"/>
        <v>[IP0113]</v>
      </c>
    </row>
    <row r="947" ht="67.5" customHeight="1">
      <c r="A947" s="41">
        <v>114.0</v>
      </c>
      <c r="B947" s="42" t="s">
        <v>2568</v>
      </c>
      <c r="C947" s="43">
        <v>2022.0</v>
      </c>
      <c r="D947" s="44" t="s">
        <v>35</v>
      </c>
      <c r="E947" s="45" t="s">
        <v>36</v>
      </c>
      <c r="F947" s="45" t="s">
        <v>36</v>
      </c>
      <c r="G947" s="45" t="s">
        <v>36</v>
      </c>
      <c r="H947" s="45" t="s">
        <v>36</v>
      </c>
      <c r="I947" s="45" t="s">
        <v>36</v>
      </c>
      <c r="J947" s="46" t="s">
        <v>36</v>
      </c>
      <c r="K947" s="83" t="s">
        <v>35</v>
      </c>
      <c r="L947" s="71" t="s">
        <v>36</v>
      </c>
      <c r="M947" s="71" t="s">
        <v>36</v>
      </c>
      <c r="N947" s="71" t="s">
        <v>36</v>
      </c>
      <c r="O947" s="71" t="s">
        <v>36</v>
      </c>
      <c r="P947" s="71" t="s">
        <v>36</v>
      </c>
      <c r="Q947" s="71" t="s">
        <v>36</v>
      </c>
      <c r="R947" s="71" t="s">
        <v>36</v>
      </c>
      <c r="S947" s="57" t="s">
        <v>36</v>
      </c>
      <c r="T947" s="50" t="s">
        <v>36</v>
      </c>
      <c r="U947" s="51" t="s">
        <v>36</v>
      </c>
      <c r="V947" s="52" t="str">
        <f t="shared" ref="V947:X947" si="953">IF(lenb(SUBSTITUTE($Z947,V$1&amp;" (1)",""))&lt;lenb($Z947),1,IF(lenb(SUBSTITUTE($Z947,V$1&amp;" (2)",""))&lt;lenb($Z947),2,IF(lenb(SUBSTITUTE($Z947,V$1&amp;" (3)",""))&lt;lenb($Z947),3,IF(lenb(SUBSTITUTE($Z947,V$1&amp;" (4)",""))&lt;lenb($Z947),4,IF(lenb(SUBSTITUTE($Z947,V$1&amp;" (5)",""))&lt;lenb($Z947),5,IF(lenb(SUBSTITUTE($Z947,V$1&amp;" (6)",""))&lt;lenb($Z947),6,IF(lenb(SUBSTITUTE($Z947,V$1&amp;" (7)",""))&lt;lenb($Z947),1,IF(lenb(SUBSTITUTE($Z947,V$1&amp;" (8)",""))&lt;lenb($Z947),8,IF(lenb(SUBSTITUTE($Z947,V$1&amp;" (9)",""))&lt;lenb($Z947),9,IF(lenb(SUBSTITUTE($Z947,V$1&amp;" (10)",""))&lt;lenb($Z947),10,IF(lenb(SUBSTITUTE($Z947,V$1,""))&lt;lenb($Z947),"ERROR",IF($Z947=$Y$1,"-",0))))))))))))</f>
        <v>-</v>
      </c>
      <c r="W947" s="52" t="str">
        <f t="shared" si="953"/>
        <v>-</v>
      </c>
      <c r="X947" s="52" t="str">
        <f t="shared" si="953"/>
        <v>-</v>
      </c>
      <c r="Y947" s="52">
        <f t="shared" si="3"/>
        <v>1</v>
      </c>
      <c r="Z947" s="52" t="s">
        <v>23</v>
      </c>
      <c r="AA947" s="53">
        <f t="shared" si="4"/>
        <v>0</v>
      </c>
      <c r="AB947" s="54">
        <f>COUNTIFS(Links!B:B,"ICSE",Links!C:C,A947,Links!AD:AD,1)</f>
        <v>0</v>
      </c>
      <c r="AC947" s="55" t="s">
        <v>36</v>
      </c>
      <c r="AD947" s="47" t="str">
        <f t="shared" si="5"/>
        <v>No</v>
      </c>
      <c r="AE947" s="56" t="s">
        <v>36</v>
      </c>
      <c r="AF947" s="57" t="s">
        <v>42</v>
      </c>
      <c r="AG947" s="57" t="s">
        <v>42</v>
      </c>
      <c r="AH947" s="57" t="s">
        <v>42</v>
      </c>
      <c r="AI947" s="49" t="str">
        <f t="shared" si="661"/>
        <v>----</v>
      </c>
      <c r="AJ947" s="58" t="str">
        <f t="shared" si="7"/>
        <v>Paper has no link and no statement</v>
      </c>
      <c r="AK947" s="59">
        <v>44870.0</v>
      </c>
      <c r="AL947" s="43" t="s">
        <v>43</v>
      </c>
      <c r="AM947" s="60" t="str">
        <f t="shared" si="8"/>
        <v>[IP0114]</v>
      </c>
    </row>
    <row r="948" ht="67.5" customHeight="1">
      <c r="A948" s="61">
        <v>115.0</v>
      </c>
      <c r="B948" s="22" t="s">
        <v>2569</v>
      </c>
      <c r="C948" s="23">
        <v>2022.0</v>
      </c>
      <c r="D948" s="24" t="s">
        <v>35</v>
      </c>
      <c r="E948" s="25" t="s">
        <v>36</v>
      </c>
      <c r="F948" s="25" t="s">
        <v>36</v>
      </c>
      <c r="G948" s="25" t="s">
        <v>36</v>
      </c>
      <c r="H948" s="25" t="s">
        <v>36</v>
      </c>
      <c r="I948" s="25" t="s">
        <v>36</v>
      </c>
      <c r="J948" s="26" t="s">
        <v>36</v>
      </c>
      <c r="K948" s="82" t="s">
        <v>37</v>
      </c>
      <c r="L948" s="70" t="s">
        <v>37</v>
      </c>
      <c r="M948" s="70" t="s">
        <v>37</v>
      </c>
      <c r="N948" s="70" t="s">
        <v>37</v>
      </c>
      <c r="O948" s="70" t="s">
        <v>35</v>
      </c>
      <c r="P948" s="70" t="s">
        <v>35</v>
      </c>
      <c r="Q948" s="70" t="s">
        <v>35</v>
      </c>
      <c r="R948" s="70" t="s">
        <v>37</v>
      </c>
      <c r="S948" s="37" t="s">
        <v>2570</v>
      </c>
      <c r="T948" s="30" t="s">
        <v>2571</v>
      </c>
      <c r="U948" s="31" t="s">
        <v>2571</v>
      </c>
      <c r="V948" s="32">
        <f t="shared" ref="V948:X948" si="954">IF(lenb(SUBSTITUTE($Z948,V$1&amp;" (1)",""))&lt;lenb($Z948),1,IF(lenb(SUBSTITUTE($Z948,V$1&amp;" (2)",""))&lt;lenb($Z948),2,IF(lenb(SUBSTITUTE($Z948,V$1&amp;" (3)",""))&lt;lenb($Z948),3,IF(lenb(SUBSTITUTE($Z948,V$1&amp;" (4)",""))&lt;lenb($Z948),4,IF(lenb(SUBSTITUTE($Z948,V$1&amp;" (5)",""))&lt;lenb($Z948),5,IF(lenb(SUBSTITUTE($Z948,V$1&amp;" (6)",""))&lt;lenb($Z948),6,IF(lenb(SUBSTITUTE($Z948,V$1&amp;" (7)",""))&lt;lenb($Z948),1,IF(lenb(SUBSTITUTE($Z948,V$1&amp;" (8)",""))&lt;lenb($Z948),8,IF(lenb(SUBSTITUTE($Z948,V$1&amp;" (9)",""))&lt;lenb($Z948),9,IF(lenb(SUBSTITUTE($Z948,V$1&amp;" (10)",""))&lt;lenb($Z948),10,IF(lenb(SUBSTITUTE($Z948,V$1,""))&lt;lenb($Z948),"ERROR",IF($Z948=$Y$1,"-",0))))))))))))</f>
        <v>1</v>
      </c>
      <c r="W948" s="32">
        <f t="shared" si="954"/>
        <v>0</v>
      </c>
      <c r="X948" s="32">
        <f t="shared" si="954"/>
        <v>0</v>
      </c>
      <c r="Y948" s="32" t="str">
        <f t="shared" si="3"/>
        <v>-</v>
      </c>
      <c r="Z948" s="32" t="s">
        <v>62</v>
      </c>
      <c r="AA948" s="33">
        <f t="shared" si="4"/>
        <v>1</v>
      </c>
      <c r="AB948" s="34">
        <f>COUNTIFS(Links!B:B,"ICSE",Links!C:C,A948,Links!AD:AD,1)</f>
        <v>0</v>
      </c>
      <c r="AC948" s="35" t="s">
        <v>35</v>
      </c>
      <c r="AD948" s="27" t="str">
        <f t="shared" si="5"/>
        <v>No</v>
      </c>
      <c r="AE948" s="36" t="s">
        <v>36</v>
      </c>
      <c r="AF948" s="37" t="s">
        <v>42</v>
      </c>
      <c r="AG948" s="37" t="s">
        <v>42</v>
      </c>
      <c r="AH948" s="37" t="s">
        <v>42</v>
      </c>
      <c r="AI948" s="29" t="str">
        <f t="shared" si="661"/>
        <v>----</v>
      </c>
      <c r="AJ948" s="38" t="str">
        <f t="shared" si="7"/>
        <v>Paper has link but no statement</v>
      </c>
      <c r="AK948" s="39">
        <v>44870.0</v>
      </c>
      <c r="AL948" s="23" t="s">
        <v>43</v>
      </c>
      <c r="AM948" s="40" t="str">
        <f t="shared" si="8"/>
        <v>[IP0115]</v>
      </c>
    </row>
    <row r="949" ht="67.5" customHeight="1">
      <c r="A949" s="41">
        <v>116.0</v>
      </c>
      <c r="B949" s="42" t="s">
        <v>2572</v>
      </c>
      <c r="C949" s="43">
        <v>2022.0</v>
      </c>
      <c r="D949" s="44" t="s">
        <v>35</v>
      </c>
      <c r="E949" s="45" t="s">
        <v>36</v>
      </c>
      <c r="F949" s="45" t="s">
        <v>36</v>
      </c>
      <c r="G949" s="45" t="s">
        <v>36</v>
      </c>
      <c r="H949" s="45" t="s">
        <v>36</v>
      </c>
      <c r="I949" s="45" t="s">
        <v>36</v>
      </c>
      <c r="J949" s="46" t="s">
        <v>36</v>
      </c>
      <c r="K949" s="83" t="s">
        <v>37</v>
      </c>
      <c r="L949" s="71" t="s">
        <v>37</v>
      </c>
      <c r="M949" s="71" t="s">
        <v>35</v>
      </c>
      <c r="N949" s="71" t="s">
        <v>35</v>
      </c>
      <c r="O949" s="71" t="s">
        <v>35</v>
      </c>
      <c r="P949" s="71" t="s">
        <v>35</v>
      </c>
      <c r="Q949" s="71" t="s">
        <v>35</v>
      </c>
      <c r="R949" s="71" t="s">
        <v>37</v>
      </c>
      <c r="S949" s="57" t="s">
        <v>2573</v>
      </c>
      <c r="T949" s="50" t="s">
        <v>2574</v>
      </c>
      <c r="U949" s="51" t="s">
        <v>2574</v>
      </c>
      <c r="V949" s="52">
        <f t="shared" ref="V949:X949" si="955">IF(lenb(SUBSTITUTE($Z949,V$1&amp;" (1)",""))&lt;lenb($Z949),1,IF(lenb(SUBSTITUTE($Z949,V$1&amp;" (2)",""))&lt;lenb($Z949),2,IF(lenb(SUBSTITUTE($Z949,V$1&amp;" (3)",""))&lt;lenb($Z949),3,IF(lenb(SUBSTITUTE($Z949,V$1&amp;" (4)",""))&lt;lenb($Z949),4,IF(lenb(SUBSTITUTE($Z949,V$1&amp;" (5)",""))&lt;lenb($Z949),5,IF(lenb(SUBSTITUTE($Z949,V$1&amp;" (6)",""))&lt;lenb($Z949),6,IF(lenb(SUBSTITUTE($Z949,V$1&amp;" (7)",""))&lt;lenb($Z949),1,IF(lenb(SUBSTITUTE($Z949,V$1&amp;" (8)",""))&lt;lenb($Z949),8,IF(lenb(SUBSTITUTE($Z949,V$1&amp;" (9)",""))&lt;lenb($Z949),9,IF(lenb(SUBSTITUTE($Z949,V$1&amp;" (10)",""))&lt;lenb($Z949),10,IF(lenb(SUBSTITUTE($Z949,V$1,""))&lt;lenb($Z949),"ERROR",IF($Z949=$Y$1,"-",0))))))))))))</f>
        <v>1</v>
      </c>
      <c r="W949" s="52">
        <f t="shared" si="955"/>
        <v>0</v>
      </c>
      <c r="X949" s="52">
        <f t="shared" si="955"/>
        <v>0</v>
      </c>
      <c r="Y949" s="52" t="str">
        <f t="shared" si="3"/>
        <v>-</v>
      </c>
      <c r="Z949" s="52" t="s">
        <v>62</v>
      </c>
      <c r="AA949" s="53">
        <f t="shared" si="4"/>
        <v>1</v>
      </c>
      <c r="AB949" s="54">
        <f>COUNTIFS(Links!B:B,"ICSE",Links!C:C,A949,Links!AD:AD,1)</f>
        <v>0</v>
      </c>
      <c r="AC949" s="55" t="s">
        <v>35</v>
      </c>
      <c r="AD949" s="47" t="str">
        <f t="shared" si="5"/>
        <v>No</v>
      </c>
      <c r="AE949" s="56" t="s">
        <v>36</v>
      </c>
      <c r="AF949" s="57" t="s">
        <v>42</v>
      </c>
      <c r="AG949" s="57" t="s">
        <v>42</v>
      </c>
      <c r="AH949" s="57" t="s">
        <v>42</v>
      </c>
      <c r="AI949" s="49" t="str">
        <f t="shared" si="661"/>
        <v>----</v>
      </c>
      <c r="AJ949" s="58" t="str">
        <f t="shared" si="7"/>
        <v>Paper has link but no statement</v>
      </c>
      <c r="AK949" s="59">
        <v>44870.0</v>
      </c>
      <c r="AL949" s="43" t="s">
        <v>43</v>
      </c>
      <c r="AM949" s="60" t="str">
        <f t="shared" si="8"/>
        <v>[IP0116]</v>
      </c>
    </row>
    <row r="950" ht="67.5" customHeight="1">
      <c r="A950" s="61">
        <v>117.0</v>
      </c>
      <c r="B950" s="22" t="s">
        <v>2575</v>
      </c>
      <c r="C950" s="23">
        <v>2022.0</v>
      </c>
      <c r="D950" s="24" t="s">
        <v>35</v>
      </c>
      <c r="E950" s="25" t="s">
        <v>36</v>
      </c>
      <c r="F950" s="25" t="s">
        <v>36</v>
      </c>
      <c r="G950" s="25" t="s">
        <v>36</v>
      </c>
      <c r="H950" s="25" t="s">
        <v>36</v>
      </c>
      <c r="I950" s="25" t="s">
        <v>36</v>
      </c>
      <c r="J950" s="26" t="s">
        <v>36</v>
      </c>
      <c r="K950" s="82" t="s">
        <v>37</v>
      </c>
      <c r="L950" s="70" t="s">
        <v>35</v>
      </c>
      <c r="M950" s="70" t="s">
        <v>35</v>
      </c>
      <c r="N950" s="70" t="s">
        <v>37</v>
      </c>
      <c r="O950" s="70" t="s">
        <v>35</v>
      </c>
      <c r="P950" s="70" t="s">
        <v>35</v>
      </c>
      <c r="Q950" s="70" t="s">
        <v>35</v>
      </c>
      <c r="R950" s="70" t="s">
        <v>35</v>
      </c>
      <c r="S950" s="37" t="s">
        <v>944</v>
      </c>
      <c r="T950" s="30" t="s">
        <v>2576</v>
      </c>
      <c r="U950" s="31" t="s">
        <v>2576</v>
      </c>
      <c r="V950" s="32">
        <f t="shared" ref="V950:X950" si="956">IF(lenb(SUBSTITUTE($Z950,V$1&amp;" (1)",""))&lt;lenb($Z950),1,IF(lenb(SUBSTITUTE($Z950,V$1&amp;" (2)",""))&lt;lenb($Z950),2,IF(lenb(SUBSTITUTE($Z950,V$1&amp;" (3)",""))&lt;lenb($Z950),3,IF(lenb(SUBSTITUTE($Z950,V$1&amp;" (4)",""))&lt;lenb($Z950),4,IF(lenb(SUBSTITUTE($Z950,V$1&amp;" (5)",""))&lt;lenb($Z950),5,IF(lenb(SUBSTITUTE($Z950,V$1&amp;" (6)",""))&lt;lenb($Z950),6,IF(lenb(SUBSTITUTE($Z950,V$1&amp;" (7)",""))&lt;lenb($Z950),1,IF(lenb(SUBSTITUTE($Z950,V$1&amp;" (8)",""))&lt;lenb($Z950),8,IF(lenb(SUBSTITUTE($Z950,V$1&amp;" (9)",""))&lt;lenb($Z950),9,IF(lenb(SUBSTITUTE($Z950,V$1&amp;" (10)",""))&lt;lenb($Z950),10,IF(lenb(SUBSTITUTE($Z950,V$1,""))&lt;lenb($Z950),"ERROR",IF($Z950=$Y$1,"-",0))))))))))))</f>
        <v>1</v>
      </c>
      <c r="W950" s="32">
        <f t="shared" si="956"/>
        <v>0</v>
      </c>
      <c r="X950" s="32">
        <f t="shared" si="956"/>
        <v>0</v>
      </c>
      <c r="Y950" s="32" t="str">
        <f t="shared" si="3"/>
        <v>-</v>
      </c>
      <c r="Z950" s="32" t="s">
        <v>62</v>
      </c>
      <c r="AA950" s="33">
        <f t="shared" si="4"/>
        <v>1</v>
      </c>
      <c r="AB950" s="34">
        <f>COUNTIFS(Links!B:B,"ICSE",Links!C:C,A950,Links!AD:AD,1)</f>
        <v>0</v>
      </c>
      <c r="AC950" s="35" t="s">
        <v>35</v>
      </c>
      <c r="AD950" s="27" t="str">
        <f t="shared" si="5"/>
        <v>No</v>
      </c>
      <c r="AE950" s="36" t="s">
        <v>36</v>
      </c>
      <c r="AF950" s="37" t="s">
        <v>42</v>
      </c>
      <c r="AG950" s="37" t="s">
        <v>42</v>
      </c>
      <c r="AH950" s="37" t="s">
        <v>42</v>
      </c>
      <c r="AI950" s="29" t="str">
        <f t="shared" si="661"/>
        <v>----</v>
      </c>
      <c r="AJ950" s="38" t="str">
        <f t="shared" si="7"/>
        <v>Paper has link but no statement</v>
      </c>
      <c r="AK950" s="39">
        <v>44870.0</v>
      </c>
      <c r="AL950" s="23" t="s">
        <v>43</v>
      </c>
      <c r="AM950" s="40" t="str">
        <f t="shared" si="8"/>
        <v>[IP0117]</v>
      </c>
    </row>
    <row r="951" ht="67.5" customHeight="1">
      <c r="A951" s="41">
        <v>118.0</v>
      </c>
      <c r="B951" s="42" t="s">
        <v>2577</v>
      </c>
      <c r="C951" s="43">
        <v>2022.0</v>
      </c>
      <c r="D951" s="44" t="s">
        <v>35</v>
      </c>
      <c r="E951" s="45" t="s">
        <v>36</v>
      </c>
      <c r="F951" s="45" t="s">
        <v>36</v>
      </c>
      <c r="G951" s="45" t="s">
        <v>36</v>
      </c>
      <c r="H951" s="45" t="s">
        <v>36</v>
      </c>
      <c r="I951" s="45" t="s">
        <v>36</v>
      </c>
      <c r="J951" s="46" t="s">
        <v>36</v>
      </c>
      <c r="K951" s="83" t="s">
        <v>35</v>
      </c>
      <c r="L951" s="71" t="s">
        <v>36</v>
      </c>
      <c r="M951" s="71" t="s">
        <v>36</v>
      </c>
      <c r="N951" s="71" t="s">
        <v>36</v>
      </c>
      <c r="O951" s="71" t="s">
        <v>36</v>
      </c>
      <c r="P951" s="71" t="s">
        <v>36</v>
      </c>
      <c r="Q951" s="71" t="s">
        <v>36</v>
      </c>
      <c r="R951" s="71" t="s">
        <v>36</v>
      </c>
      <c r="S951" s="57" t="s">
        <v>36</v>
      </c>
      <c r="T951" s="50" t="s">
        <v>36</v>
      </c>
      <c r="U951" s="51" t="s">
        <v>36</v>
      </c>
      <c r="V951" s="52" t="str">
        <f t="shared" ref="V951:X951" si="957">IF(lenb(SUBSTITUTE($Z951,V$1&amp;" (1)",""))&lt;lenb($Z951),1,IF(lenb(SUBSTITUTE($Z951,V$1&amp;" (2)",""))&lt;lenb($Z951),2,IF(lenb(SUBSTITUTE($Z951,V$1&amp;" (3)",""))&lt;lenb($Z951),3,IF(lenb(SUBSTITUTE($Z951,V$1&amp;" (4)",""))&lt;lenb($Z951),4,IF(lenb(SUBSTITUTE($Z951,V$1&amp;" (5)",""))&lt;lenb($Z951),5,IF(lenb(SUBSTITUTE($Z951,V$1&amp;" (6)",""))&lt;lenb($Z951),6,IF(lenb(SUBSTITUTE($Z951,V$1&amp;" (7)",""))&lt;lenb($Z951),1,IF(lenb(SUBSTITUTE($Z951,V$1&amp;" (8)",""))&lt;lenb($Z951),8,IF(lenb(SUBSTITUTE($Z951,V$1&amp;" (9)",""))&lt;lenb($Z951),9,IF(lenb(SUBSTITUTE($Z951,V$1&amp;" (10)",""))&lt;lenb($Z951),10,IF(lenb(SUBSTITUTE($Z951,V$1,""))&lt;lenb($Z951),"ERROR",IF($Z951=$Y$1,"-",0))))))))))))</f>
        <v>-</v>
      </c>
      <c r="W951" s="52" t="str">
        <f t="shared" si="957"/>
        <v>-</v>
      </c>
      <c r="X951" s="52" t="str">
        <f t="shared" si="957"/>
        <v>-</v>
      </c>
      <c r="Y951" s="52">
        <f t="shared" si="3"/>
        <v>1</v>
      </c>
      <c r="Z951" s="52" t="s">
        <v>23</v>
      </c>
      <c r="AA951" s="53">
        <f t="shared" si="4"/>
        <v>0</v>
      </c>
      <c r="AB951" s="54">
        <f>COUNTIFS(Links!B:B,"ICSE",Links!C:C,A951,Links!AD:AD,1)</f>
        <v>0</v>
      </c>
      <c r="AC951" s="55" t="s">
        <v>36</v>
      </c>
      <c r="AD951" s="47" t="str">
        <f t="shared" si="5"/>
        <v>No</v>
      </c>
      <c r="AE951" s="56" t="s">
        <v>36</v>
      </c>
      <c r="AF951" s="57" t="s">
        <v>42</v>
      </c>
      <c r="AG951" s="57" t="s">
        <v>42</v>
      </c>
      <c r="AH951" s="57" t="s">
        <v>42</v>
      </c>
      <c r="AI951" s="49" t="str">
        <f t="shared" si="661"/>
        <v>----</v>
      </c>
      <c r="AJ951" s="58" t="str">
        <f t="shared" si="7"/>
        <v>Paper has no link and no statement</v>
      </c>
      <c r="AK951" s="59">
        <v>44870.0</v>
      </c>
      <c r="AL951" s="43" t="s">
        <v>43</v>
      </c>
      <c r="AM951" s="60" t="str">
        <f t="shared" si="8"/>
        <v>[IP0118]</v>
      </c>
    </row>
    <row r="952" ht="67.5" customHeight="1">
      <c r="A952" s="61">
        <v>119.0</v>
      </c>
      <c r="B952" s="22" t="s">
        <v>2578</v>
      </c>
      <c r="C952" s="23">
        <v>2022.0</v>
      </c>
      <c r="D952" s="24" t="s">
        <v>35</v>
      </c>
      <c r="E952" s="25" t="s">
        <v>36</v>
      </c>
      <c r="F952" s="25" t="s">
        <v>36</v>
      </c>
      <c r="G952" s="25" t="s">
        <v>36</v>
      </c>
      <c r="H952" s="25" t="s">
        <v>36</v>
      </c>
      <c r="I952" s="25" t="s">
        <v>36</v>
      </c>
      <c r="J952" s="26" t="s">
        <v>36</v>
      </c>
      <c r="K952" s="82" t="s">
        <v>37</v>
      </c>
      <c r="L952" s="70" t="s">
        <v>37</v>
      </c>
      <c r="M952" s="70" t="s">
        <v>35</v>
      </c>
      <c r="N952" s="70" t="s">
        <v>37</v>
      </c>
      <c r="O952" s="70" t="s">
        <v>35</v>
      </c>
      <c r="P952" s="70" t="s">
        <v>35</v>
      </c>
      <c r="Q952" s="70" t="s">
        <v>35</v>
      </c>
      <c r="R952" s="70" t="s">
        <v>35</v>
      </c>
      <c r="S952" s="37" t="s">
        <v>1057</v>
      </c>
      <c r="T952" s="30" t="s">
        <v>2579</v>
      </c>
      <c r="U952" s="31" t="s">
        <v>2579</v>
      </c>
      <c r="V952" s="32">
        <f t="shared" ref="V952:X952" si="958">IF(lenb(SUBSTITUTE($Z952,V$1&amp;" (1)",""))&lt;lenb($Z952),1,IF(lenb(SUBSTITUTE($Z952,V$1&amp;" (2)",""))&lt;lenb($Z952),2,IF(lenb(SUBSTITUTE($Z952,V$1&amp;" (3)",""))&lt;lenb($Z952),3,IF(lenb(SUBSTITUTE($Z952,V$1&amp;" (4)",""))&lt;lenb($Z952),4,IF(lenb(SUBSTITUTE($Z952,V$1&amp;" (5)",""))&lt;lenb($Z952),5,IF(lenb(SUBSTITUTE($Z952,V$1&amp;" (6)",""))&lt;lenb($Z952),6,IF(lenb(SUBSTITUTE($Z952,V$1&amp;" (7)",""))&lt;lenb($Z952),1,IF(lenb(SUBSTITUTE($Z952,V$1&amp;" (8)",""))&lt;lenb($Z952),8,IF(lenb(SUBSTITUTE($Z952,V$1&amp;" (9)",""))&lt;lenb($Z952),9,IF(lenb(SUBSTITUTE($Z952,V$1&amp;" (10)",""))&lt;lenb($Z952),10,IF(lenb(SUBSTITUTE($Z952,V$1,""))&lt;lenb($Z952),"ERROR",IF($Z952=$Y$1,"-",0))))))))))))</f>
        <v>1</v>
      </c>
      <c r="W952" s="32">
        <f t="shared" si="958"/>
        <v>0</v>
      </c>
      <c r="X952" s="32">
        <f t="shared" si="958"/>
        <v>0</v>
      </c>
      <c r="Y952" s="32" t="str">
        <f t="shared" si="3"/>
        <v>-</v>
      </c>
      <c r="Z952" s="32" t="s">
        <v>62</v>
      </c>
      <c r="AA952" s="33">
        <f t="shared" si="4"/>
        <v>1</v>
      </c>
      <c r="AB952" s="34">
        <f>COUNTIFS(Links!B:B,"ICSE",Links!C:C,A952,Links!AD:AD,1)</f>
        <v>0</v>
      </c>
      <c r="AC952" s="35" t="s">
        <v>35</v>
      </c>
      <c r="AD952" s="27" t="str">
        <f t="shared" si="5"/>
        <v>No</v>
      </c>
      <c r="AE952" s="36" t="s">
        <v>36</v>
      </c>
      <c r="AF952" s="37" t="s">
        <v>42</v>
      </c>
      <c r="AG952" s="37" t="s">
        <v>42</v>
      </c>
      <c r="AH952" s="37" t="s">
        <v>42</v>
      </c>
      <c r="AI952" s="29" t="str">
        <f t="shared" si="661"/>
        <v>----</v>
      </c>
      <c r="AJ952" s="38" t="str">
        <f t="shared" si="7"/>
        <v>Paper has link but no statement</v>
      </c>
      <c r="AK952" s="39">
        <v>44870.0</v>
      </c>
      <c r="AL952" s="23" t="s">
        <v>43</v>
      </c>
      <c r="AM952" s="40" t="str">
        <f t="shared" si="8"/>
        <v>[IP0119]</v>
      </c>
    </row>
    <row r="953" ht="67.5" customHeight="1">
      <c r="A953" s="41">
        <v>120.0</v>
      </c>
      <c r="B953" s="42" t="s">
        <v>2580</v>
      </c>
      <c r="C953" s="43">
        <v>2022.0</v>
      </c>
      <c r="D953" s="44" t="s">
        <v>37</v>
      </c>
      <c r="E953" s="45" t="s">
        <v>37</v>
      </c>
      <c r="F953" s="45" t="s">
        <v>37</v>
      </c>
      <c r="G953" s="45" t="s">
        <v>35</v>
      </c>
      <c r="H953" s="45" t="s">
        <v>35</v>
      </c>
      <c r="I953" s="45" t="s">
        <v>35</v>
      </c>
      <c r="J953" s="46" t="s">
        <v>36</v>
      </c>
      <c r="K953" s="83" t="s">
        <v>37</v>
      </c>
      <c r="L953" s="71" t="s">
        <v>35</v>
      </c>
      <c r="M953" s="71" t="s">
        <v>35</v>
      </c>
      <c r="N953" s="71" t="s">
        <v>35</v>
      </c>
      <c r="O953" s="71" t="s">
        <v>37</v>
      </c>
      <c r="P953" s="71" t="s">
        <v>35</v>
      </c>
      <c r="Q953" s="71" t="s">
        <v>35</v>
      </c>
      <c r="R953" s="71" t="s">
        <v>35</v>
      </c>
      <c r="S953" s="57" t="s">
        <v>2473</v>
      </c>
      <c r="T953" s="50" t="s">
        <v>2581</v>
      </c>
      <c r="U953" s="51" t="s">
        <v>2581</v>
      </c>
      <c r="V953" s="52">
        <f t="shared" ref="V953:X953" si="959">IF(lenb(SUBSTITUTE($Z953,V$1&amp;" (1)",""))&lt;lenb($Z953),1,IF(lenb(SUBSTITUTE($Z953,V$1&amp;" (2)",""))&lt;lenb($Z953),2,IF(lenb(SUBSTITUTE($Z953,V$1&amp;" (3)",""))&lt;lenb($Z953),3,IF(lenb(SUBSTITUTE($Z953,V$1&amp;" (4)",""))&lt;lenb($Z953),4,IF(lenb(SUBSTITUTE($Z953,V$1&amp;" (5)",""))&lt;lenb($Z953),5,IF(lenb(SUBSTITUTE($Z953,V$1&amp;" (6)",""))&lt;lenb($Z953),6,IF(lenb(SUBSTITUTE($Z953,V$1&amp;" (7)",""))&lt;lenb($Z953),1,IF(lenb(SUBSTITUTE($Z953,V$1&amp;" (8)",""))&lt;lenb($Z953),8,IF(lenb(SUBSTITUTE($Z953,V$1&amp;" (9)",""))&lt;lenb($Z953),9,IF(lenb(SUBSTITUTE($Z953,V$1&amp;" (10)",""))&lt;lenb($Z953),10,IF(lenb(SUBSTITUTE($Z953,V$1,""))&lt;lenb($Z953),"ERROR",IF($Z953=$Y$1,"-",0))))))))))))</f>
        <v>1</v>
      </c>
      <c r="W953" s="52">
        <f t="shared" si="959"/>
        <v>0</v>
      </c>
      <c r="X953" s="52">
        <f t="shared" si="959"/>
        <v>0</v>
      </c>
      <c r="Y953" s="52" t="str">
        <f t="shared" si="3"/>
        <v>-</v>
      </c>
      <c r="Z953" s="52" t="s">
        <v>62</v>
      </c>
      <c r="AA953" s="53">
        <f t="shared" si="4"/>
        <v>1</v>
      </c>
      <c r="AB953" s="54">
        <f>COUNTIFS(Links!B:B,"ICSE",Links!C:C,A953,Links!AD:AD,1)</f>
        <v>0</v>
      </c>
      <c r="AC953" s="55" t="s">
        <v>35</v>
      </c>
      <c r="AD953" s="47" t="str">
        <f t="shared" si="5"/>
        <v>No</v>
      </c>
      <c r="AE953" s="56" t="s">
        <v>36</v>
      </c>
      <c r="AF953" s="57" t="s">
        <v>42</v>
      </c>
      <c r="AG953" s="57" t="s">
        <v>42</v>
      </c>
      <c r="AH953" s="57" t="s">
        <v>42</v>
      </c>
      <c r="AI953" s="49" t="str">
        <f t="shared" si="661"/>
        <v>----</v>
      </c>
      <c r="AJ953" s="58" t="str">
        <f t="shared" si="7"/>
        <v>Paper has link but no statement</v>
      </c>
      <c r="AK953" s="59">
        <v>44870.0</v>
      </c>
      <c r="AL953" s="43" t="s">
        <v>43</v>
      </c>
      <c r="AM953" s="60" t="str">
        <f t="shared" si="8"/>
        <v>[IP0120]</v>
      </c>
    </row>
    <row r="954" ht="67.5" customHeight="1">
      <c r="A954" s="61">
        <v>121.0</v>
      </c>
      <c r="B954" s="22" t="s">
        <v>2582</v>
      </c>
      <c r="C954" s="23">
        <v>2022.0</v>
      </c>
      <c r="D954" s="24" t="s">
        <v>35</v>
      </c>
      <c r="E954" s="25" t="s">
        <v>36</v>
      </c>
      <c r="F954" s="25" t="s">
        <v>36</v>
      </c>
      <c r="G954" s="25" t="s">
        <v>36</v>
      </c>
      <c r="H954" s="25" t="s">
        <v>36</v>
      </c>
      <c r="I954" s="25" t="s">
        <v>36</v>
      </c>
      <c r="J954" s="26" t="s">
        <v>36</v>
      </c>
      <c r="K954" s="82" t="s">
        <v>37</v>
      </c>
      <c r="L954" s="70" t="s">
        <v>35</v>
      </c>
      <c r="M954" s="70" t="s">
        <v>35</v>
      </c>
      <c r="N954" s="70" t="s">
        <v>35</v>
      </c>
      <c r="O954" s="70" t="s">
        <v>37</v>
      </c>
      <c r="P954" s="70" t="s">
        <v>35</v>
      </c>
      <c r="Q954" s="70" t="s">
        <v>35</v>
      </c>
      <c r="R954" s="70" t="s">
        <v>35</v>
      </c>
      <c r="S954" s="37" t="s">
        <v>2583</v>
      </c>
      <c r="T954" s="30" t="s">
        <v>2584</v>
      </c>
      <c r="U954" s="31" t="s">
        <v>2584</v>
      </c>
      <c r="V954" s="32">
        <f t="shared" ref="V954:X954" si="960">IF(lenb(SUBSTITUTE($Z954,V$1&amp;" (1)",""))&lt;lenb($Z954),1,IF(lenb(SUBSTITUTE($Z954,V$1&amp;" (2)",""))&lt;lenb($Z954),2,IF(lenb(SUBSTITUTE($Z954,V$1&amp;" (3)",""))&lt;lenb($Z954),3,IF(lenb(SUBSTITUTE($Z954,V$1&amp;" (4)",""))&lt;lenb($Z954),4,IF(lenb(SUBSTITUTE($Z954,V$1&amp;" (5)",""))&lt;lenb($Z954),5,IF(lenb(SUBSTITUTE($Z954,V$1&amp;" (6)",""))&lt;lenb($Z954),6,IF(lenb(SUBSTITUTE($Z954,V$1&amp;" (7)",""))&lt;lenb($Z954),1,IF(lenb(SUBSTITUTE($Z954,V$1&amp;" (8)",""))&lt;lenb($Z954),8,IF(lenb(SUBSTITUTE($Z954,V$1&amp;" (9)",""))&lt;lenb($Z954),9,IF(lenb(SUBSTITUTE($Z954,V$1&amp;" (10)",""))&lt;lenb($Z954),10,IF(lenb(SUBSTITUTE($Z954,V$1,""))&lt;lenb($Z954),"ERROR",IF($Z954=$Y$1,"-",0))))))))))))</f>
        <v>1</v>
      </c>
      <c r="W954" s="32">
        <f t="shared" si="960"/>
        <v>0</v>
      </c>
      <c r="X954" s="32">
        <f t="shared" si="960"/>
        <v>0</v>
      </c>
      <c r="Y954" s="32" t="str">
        <f t="shared" si="3"/>
        <v>-</v>
      </c>
      <c r="Z954" s="32" t="s">
        <v>62</v>
      </c>
      <c r="AA954" s="33">
        <f t="shared" si="4"/>
        <v>1</v>
      </c>
      <c r="AB954" s="34">
        <f>COUNTIFS(Links!B:B,"ICSE",Links!C:C,A954,Links!AD:AD,1)</f>
        <v>0</v>
      </c>
      <c r="AC954" s="35" t="s">
        <v>35</v>
      </c>
      <c r="AD954" s="27" t="str">
        <f t="shared" si="5"/>
        <v>No</v>
      </c>
      <c r="AE954" s="36" t="s">
        <v>36</v>
      </c>
      <c r="AF954" s="37" t="s">
        <v>42</v>
      </c>
      <c r="AG954" s="37" t="s">
        <v>42</v>
      </c>
      <c r="AH954" s="37" t="s">
        <v>42</v>
      </c>
      <c r="AI954" s="29" t="str">
        <f t="shared" si="661"/>
        <v>----</v>
      </c>
      <c r="AJ954" s="38" t="str">
        <f t="shared" si="7"/>
        <v>Paper has link but no statement</v>
      </c>
      <c r="AK954" s="39">
        <v>44870.0</v>
      </c>
      <c r="AL954" s="23" t="s">
        <v>43</v>
      </c>
      <c r="AM954" s="40" t="str">
        <f t="shared" si="8"/>
        <v>[IP0121]</v>
      </c>
    </row>
    <row r="955" ht="67.5" customHeight="1">
      <c r="A955" s="41">
        <v>122.0</v>
      </c>
      <c r="B955" s="42" t="s">
        <v>2585</v>
      </c>
      <c r="C955" s="43">
        <v>2022.0</v>
      </c>
      <c r="D955" s="44" t="s">
        <v>37</v>
      </c>
      <c r="E955" s="45" t="s">
        <v>37</v>
      </c>
      <c r="F955" s="45" t="s">
        <v>35</v>
      </c>
      <c r="G955" s="45" t="s">
        <v>37</v>
      </c>
      <c r="H955" s="45" t="s">
        <v>35</v>
      </c>
      <c r="I955" s="45" t="s">
        <v>35</v>
      </c>
      <c r="J955" s="46" t="s">
        <v>36</v>
      </c>
      <c r="K955" s="83" t="s">
        <v>37</v>
      </c>
      <c r="L955" s="71" t="s">
        <v>35</v>
      </c>
      <c r="M955" s="71" t="s">
        <v>35</v>
      </c>
      <c r="N955" s="71" t="s">
        <v>35</v>
      </c>
      <c r="O955" s="71" t="s">
        <v>35</v>
      </c>
      <c r="P955" s="71" t="s">
        <v>35</v>
      </c>
      <c r="Q955" s="71" t="s">
        <v>37</v>
      </c>
      <c r="R955" s="71" t="s">
        <v>35</v>
      </c>
      <c r="S955" s="57" t="s">
        <v>2586</v>
      </c>
      <c r="T955" s="50" t="s">
        <v>2587</v>
      </c>
      <c r="U955" s="51" t="s">
        <v>2587</v>
      </c>
      <c r="V955" s="52">
        <f t="shared" ref="V955:X955" si="961">IF(lenb(SUBSTITUTE($Z955,V$1&amp;" (1)",""))&lt;lenb($Z955),1,IF(lenb(SUBSTITUTE($Z955,V$1&amp;" (2)",""))&lt;lenb($Z955),2,IF(lenb(SUBSTITUTE($Z955,V$1&amp;" (3)",""))&lt;lenb($Z955),3,IF(lenb(SUBSTITUTE($Z955,V$1&amp;" (4)",""))&lt;lenb($Z955),4,IF(lenb(SUBSTITUTE($Z955,V$1&amp;" (5)",""))&lt;lenb($Z955),5,IF(lenb(SUBSTITUTE($Z955,V$1&amp;" (6)",""))&lt;lenb($Z955),6,IF(lenb(SUBSTITUTE($Z955,V$1&amp;" (7)",""))&lt;lenb($Z955),1,IF(lenb(SUBSTITUTE($Z955,V$1&amp;" (8)",""))&lt;lenb($Z955),8,IF(lenb(SUBSTITUTE($Z955,V$1&amp;" (9)",""))&lt;lenb($Z955),9,IF(lenb(SUBSTITUTE($Z955,V$1&amp;" (10)",""))&lt;lenb($Z955),10,IF(lenb(SUBSTITUTE($Z955,V$1,""))&lt;lenb($Z955),"ERROR",IF($Z955=$Y$1,"-",0))))))))))))</f>
        <v>1</v>
      </c>
      <c r="W955" s="52">
        <f t="shared" si="961"/>
        <v>0</v>
      </c>
      <c r="X955" s="52">
        <f t="shared" si="961"/>
        <v>0</v>
      </c>
      <c r="Y955" s="52" t="str">
        <f t="shared" si="3"/>
        <v>-</v>
      </c>
      <c r="Z955" s="52" t="s">
        <v>62</v>
      </c>
      <c r="AA955" s="53">
        <f t="shared" si="4"/>
        <v>1</v>
      </c>
      <c r="AB955" s="54">
        <f>COUNTIFS(Links!B:B,"ICSE",Links!C:C,A955,Links!AD:AD,1)</f>
        <v>0</v>
      </c>
      <c r="AC955" s="55" t="s">
        <v>37</v>
      </c>
      <c r="AD955" s="47" t="str">
        <f t="shared" si="5"/>
        <v>No</v>
      </c>
      <c r="AE955" s="56" t="s">
        <v>36</v>
      </c>
      <c r="AF955" s="57" t="s">
        <v>42</v>
      </c>
      <c r="AG955" s="57" t="s">
        <v>42</v>
      </c>
      <c r="AH955" s="57" t="s">
        <v>42</v>
      </c>
      <c r="AI955" s="49" t="str">
        <f t="shared" si="661"/>
        <v>----</v>
      </c>
      <c r="AJ955" s="58" t="str">
        <f t="shared" si="7"/>
        <v>Paper has link but no statement</v>
      </c>
      <c r="AK955" s="59">
        <v>44870.0</v>
      </c>
      <c r="AL955" s="43" t="s">
        <v>43</v>
      </c>
      <c r="AM955" s="60" t="str">
        <f t="shared" si="8"/>
        <v>[IP0122]</v>
      </c>
    </row>
    <row r="956" ht="67.5" customHeight="1">
      <c r="A956" s="61">
        <v>123.0</v>
      </c>
      <c r="B956" s="22" t="s">
        <v>2588</v>
      </c>
      <c r="C956" s="23">
        <v>2022.0</v>
      </c>
      <c r="D956" s="24" t="s">
        <v>35</v>
      </c>
      <c r="E956" s="25" t="s">
        <v>36</v>
      </c>
      <c r="F956" s="25" t="s">
        <v>36</v>
      </c>
      <c r="G956" s="25" t="s">
        <v>36</v>
      </c>
      <c r="H956" s="25" t="s">
        <v>36</v>
      </c>
      <c r="I956" s="25" t="s">
        <v>36</v>
      </c>
      <c r="J956" s="26" t="s">
        <v>36</v>
      </c>
      <c r="K956" s="82" t="s">
        <v>37</v>
      </c>
      <c r="L956" s="70" t="s">
        <v>35</v>
      </c>
      <c r="M956" s="70" t="s">
        <v>37</v>
      </c>
      <c r="N956" s="70" t="s">
        <v>37</v>
      </c>
      <c r="O956" s="70" t="s">
        <v>35</v>
      </c>
      <c r="P956" s="70" t="s">
        <v>35</v>
      </c>
      <c r="Q956" s="70" t="s">
        <v>35</v>
      </c>
      <c r="R956" s="70" t="s">
        <v>37</v>
      </c>
      <c r="S956" s="37" t="s">
        <v>2589</v>
      </c>
      <c r="T956" s="30" t="s">
        <v>2590</v>
      </c>
      <c r="U956" s="31" t="s">
        <v>2590</v>
      </c>
      <c r="V956" s="32">
        <f t="shared" ref="V956:X956" si="962">IF(lenb(SUBSTITUTE($Z956,V$1&amp;" (1)",""))&lt;lenb($Z956),1,IF(lenb(SUBSTITUTE($Z956,V$1&amp;" (2)",""))&lt;lenb($Z956),2,IF(lenb(SUBSTITUTE($Z956,V$1&amp;" (3)",""))&lt;lenb($Z956),3,IF(lenb(SUBSTITUTE($Z956,V$1&amp;" (4)",""))&lt;lenb($Z956),4,IF(lenb(SUBSTITUTE($Z956,V$1&amp;" (5)",""))&lt;lenb($Z956),5,IF(lenb(SUBSTITUTE($Z956,V$1&amp;" (6)",""))&lt;lenb($Z956),6,IF(lenb(SUBSTITUTE($Z956,V$1&amp;" (7)",""))&lt;lenb($Z956),1,IF(lenb(SUBSTITUTE($Z956,V$1&amp;" (8)",""))&lt;lenb($Z956),8,IF(lenb(SUBSTITUTE($Z956,V$1&amp;" (9)",""))&lt;lenb($Z956),9,IF(lenb(SUBSTITUTE($Z956,V$1&amp;" (10)",""))&lt;lenb($Z956),10,IF(lenb(SUBSTITUTE($Z956,V$1,""))&lt;lenb($Z956),"ERROR",IF($Z956=$Y$1,"-",0))))))))))))</f>
        <v>1</v>
      </c>
      <c r="W956" s="32">
        <f t="shared" si="962"/>
        <v>0</v>
      </c>
      <c r="X956" s="32">
        <f t="shared" si="962"/>
        <v>0</v>
      </c>
      <c r="Y956" s="32" t="str">
        <f t="shared" si="3"/>
        <v>-</v>
      </c>
      <c r="Z956" s="32" t="s">
        <v>62</v>
      </c>
      <c r="AA956" s="33">
        <f t="shared" si="4"/>
        <v>1</v>
      </c>
      <c r="AB956" s="34">
        <f>COUNTIFS(Links!B:B,"ICSE",Links!C:C,A956,Links!AD:AD,1)</f>
        <v>0</v>
      </c>
      <c r="AC956" s="35" t="s">
        <v>35</v>
      </c>
      <c r="AD956" s="27" t="str">
        <f t="shared" si="5"/>
        <v>No</v>
      </c>
      <c r="AE956" s="36" t="s">
        <v>36</v>
      </c>
      <c r="AF956" s="37" t="s">
        <v>42</v>
      </c>
      <c r="AG956" s="37" t="s">
        <v>42</v>
      </c>
      <c r="AH956" s="37" t="s">
        <v>42</v>
      </c>
      <c r="AI956" s="29" t="str">
        <f t="shared" si="661"/>
        <v>----</v>
      </c>
      <c r="AJ956" s="38" t="str">
        <f t="shared" si="7"/>
        <v>Paper has link but no statement</v>
      </c>
      <c r="AK956" s="39">
        <v>44870.0</v>
      </c>
      <c r="AL956" s="23" t="s">
        <v>43</v>
      </c>
      <c r="AM956" s="40" t="str">
        <f t="shared" si="8"/>
        <v>[IP0123]</v>
      </c>
    </row>
    <row r="957" ht="67.5" customHeight="1">
      <c r="A957" s="41">
        <v>124.0</v>
      </c>
      <c r="B957" s="42" t="s">
        <v>2591</v>
      </c>
      <c r="C957" s="43">
        <v>2022.0</v>
      </c>
      <c r="D957" s="44" t="s">
        <v>35</v>
      </c>
      <c r="E957" s="45" t="s">
        <v>36</v>
      </c>
      <c r="F957" s="45" t="s">
        <v>36</v>
      </c>
      <c r="G957" s="45" t="s">
        <v>36</v>
      </c>
      <c r="H957" s="45" t="s">
        <v>36</v>
      </c>
      <c r="I957" s="45" t="s">
        <v>36</v>
      </c>
      <c r="J957" s="46" t="s">
        <v>36</v>
      </c>
      <c r="K957" s="83" t="s">
        <v>37</v>
      </c>
      <c r="L957" s="71" t="s">
        <v>35</v>
      </c>
      <c r="M957" s="71" t="s">
        <v>35</v>
      </c>
      <c r="N957" s="71" t="s">
        <v>35</v>
      </c>
      <c r="O957" s="71" t="s">
        <v>35</v>
      </c>
      <c r="P957" s="71" t="s">
        <v>35</v>
      </c>
      <c r="Q957" s="71" t="s">
        <v>35</v>
      </c>
      <c r="R957" s="71" t="s">
        <v>37</v>
      </c>
      <c r="S957" s="57" t="s">
        <v>1618</v>
      </c>
      <c r="T957" s="50" t="s">
        <v>2592</v>
      </c>
      <c r="U957" s="51" t="s">
        <v>2592</v>
      </c>
      <c r="V957" s="52">
        <f t="shared" ref="V957:X957" si="963">IF(lenb(SUBSTITUTE($Z957,V$1&amp;" (1)",""))&lt;lenb($Z957),1,IF(lenb(SUBSTITUTE($Z957,V$1&amp;" (2)",""))&lt;lenb($Z957),2,IF(lenb(SUBSTITUTE($Z957,V$1&amp;" (3)",""))&lt;lenb($Z957),3,IF(lenb(SUBSTITUTE($Z957,V$1&amp;" (4)",""))&lt;lenb($Z957),4,IF(lenb(SUBSTITUTE($Z957,V$1&amp;" (5)",""))&lt;lenb($Z957),5,IF(lenb(SUBSTITUTE($Z957,V$1&amp;" (6)",""))&lt;lenb($Z957),6,IF(lenb(SUBSTITUTE($Z957,V$1&amp;" (7)",""))&lt;lenb($Z957),1,IF(lenb(SUBSTITUTE($Z957,V$1&amp;" (8)",""))&lt;lenb($Z957),8,IF(lenb(SUBSTITUTE($Z957,V$1&amp;" (9)",""))&lt;lenb($Z957),9,IF(lenb(SUBSTITUTE($Z957,V$1&amp;" (10)",""))&lt;lenb($Z957),10,IF(lenb(SUBSTITUTE($Z957,V$1,""))&lt;lenb($Z957),"ERROR",IF($Z957=$Y$1,"-",0))))))))))))</f>
        <v>1</v>
      </c>
      <c r="W957" s="52">
        <f t="shared" si="963"/>
        <v>0</v>
      </c>
      <c r="X957" s="52">
        <f t="shared" si="963"/>
        <v>0</v>
      </c>
      <c r="Y957" s="52" t="str">
        <f t="shared" si="3"/>
        <v>-</v>
      </c>
      <c r="Z957" s="52" t="s">
        <v>62</v>
      </c>
      <c r="AA957" s="53">
        <f t="shared" si="4"/>
        <v>1</v>
      </c>
      <c r="AB957" s="54">
        <f>COUNTIFS(Links!B:B,"ICSE",Links!C:C,A957,Links!AD:AD,1)</f>
        <v>0</v>
      </c>
      <c r="AC957" s="55" t="s">
        <v>35</v>
      </c>
      <c r="AD957" s="47" t="str">
        <f t="shared" si="5"/>
        <v>No</v>
      </c>
      <c r="AE957" s="56" t="s">
        <v>36</v>
      </c>
      <c r="AF957" s="57" t="s">
        <v>42</v>
      </c>
      <c r="AG957" s="57" t="s">
        <v>42</v>
      </c>
      <c r="AH957" s="57" t="s">
        <v>42</v>
      </c>
      <c r="AI957" s="49" t="str">
        <f t="shared" si="661"/>
        <v>----</v>
      </c>
      <c r="AJ957" s="58" t="str">
        <f t="shared" si="7"/>
        <v>Paper has link but no statement</v>
      </c>
      <c r="AK957" s="59">
        <v>44870.0</v>
      </c>
      <c r="AL957" s="43" t="s">
        <v>43</v>
      </c>
      <c r="AM957" s="60" t="str">
        <f t="shared" si="8"/>
        <v>[IP0124]</v>
      </c>
    </row>
    <row r="958" ht="67.5" customHeight="1">
      <c r="A958" s="61">
        <v>125.0</v>
      </c>
      <c r="B958" s="22" t="s">
        <v>2593</v>
      </c>
      <c r="C958" s="23">
        <v>2022.0</v>
      </c>
      <c r="D958" s="24" t="s">
        <v>37</v>
      </c>
      <c r="E958" s="25" t="s">
        <v>37</v>
      </c>
      <c r="F958" s="25" t="s">
        <v>35</v>
      </c>
      <c r="G958" s="25" t="s">
        <v>37</v>
      </c>
      <c r="H958" s="25" t="s">
        <v>35</v>
      </c>
      <c r="I958" s="25" t="s">
        <v>35</v>
      </c>
      <c r="J958" s="26" t="s">
        <v>36</v>
      </c>
      <c r="K958" s="82" t="s">
        <v>37</v>
      </c>
      <c r="L958" s="70" t="s">
        <v>37</v>
      </c>
      <c r="M958" s="70" t="s">
        <v>35</v>
      </c>
      <c r="N958" s="70" t="s">
        <v>37</v>
      </c>
      <c r="O958" s="70" t="s">
        <v>35</v>
      </c>
      <c r="P958" s="70" t="s">
        <v>35</v>
      </c>
      <c r="Q958" s="70" t="s">
        <v>35</v>
      </c>
      <c r="R958" s="70" t="s">
        <v>35</v>
      </c>
      <c r="S958" s="37" t="s">
        <v>1057</v>
      </c>
      <c r="T958" s="30" t="s">
        <v>2594</v>
      </c>
      <c r="U958" s="31" t="s">
        <v>2594</v>
      </c>
      <c r="V958" s="32">
        <f t="shared" ref="V958:X958" si="964">IF(lenb(SUBSTITUTE($Z958,V$1&amp;" (1)",""))&lt;lenb($Z958),1,IF(lenb(SUBSTITUTE($Z958,V$1&amp;" (2)",""))&lt;lenb($Z958),2,IF(lenb(SUBSTITUTE($Z958,V$1&amp;" (3)",""))&lt;lenb($Z958),3,IF(lenb(SUBSTITUTE($Z958,V$1&amp;" (4)",""))&lt;lenb($Z958),4,IF(lenb(SUBSTITUTE($Z958,V$1&amp;" (5)",""))&lt;lenb($Z958),5,IF(lenb(SUBSTITUTE($Z958,V$1&amp;" (6)",""))&lt;lenb($Z958),6,IF(lenb(SUBSTITUTE($Z958,V$1&amp;" (7)",""))&lt;lenb($Z958),1,IF(lenb(SUBSTITUTE($Z958,V$1&amp;" (8)",""))&lt;lenb($Z958),8,IF(lenb(SUBSTITUTE($Z958,V$1&amp;" (9)",""))&lt;lenb($Z958),9,IF(lenb(SUBSTITUTE($Z958,V$1&amp;" (10)",""))&lt;lenb($Z958),10,IF(lenb(SUBSTITUTE($Z958,V$1,""))&lt;lenb($Z958),"ERROR",IF($Z958=$Y$1,"-",0))))))))))))</f>
        <v>1</v>
      </c>
      <c r="W958" s="32">
        <f t="shared" si="964"/>
        <v>0</v>
      </c>
      <c r="X958" s="32">
        <f t="shared" si="964"/>
        <v>0</v>
      </c>
      <c r="Y958" s="32" t="str">
        <f t="shared" si="3"/>
        <v>-</v>
      </c>
      <c r="Z958" s="32" t="s">
        <v>62</v>
      </c>
      <c r="AA958" s="33">
        <f t="shared" si="4"/>
        <v>1</v>
      </c>
      <c r="AB958" s="34">
        <f>COUNTIFS(Links!B:B,"ICSE",Links!C:C,A958,Links!AD:AD,1)</f>
        <v>0</v>
      </c>
      <c r="AC958" s="35" t="s">
        <v>35</v>
      </c>
      <c r="AD958" s="27" t="str">
        <f t="shared" si="5"/>
        <v>No</v>
      </c>
      <c r="AE958" s="36" t="s">
        <v>36</v>
      </c>
      <c r="AF958" s="37" t="s">
        <v>42</v>
      </c>
      <c r="AG958" s="37" t="s">
        <v>42</v>
      </c>
      <c r="AH958" s="37" t="s">
        <v>42</v>
      </c>
      <c r="AI958" s="29" t="str">
        <f t="shared" si="661"/>
        <v>----</v>
      </c>
      <c r="AJ958" s="38" t="str">
        <f t="shared" si="7"/>
        <v>Paper has link but no statement</v>
      </c>
      <c r="AK958" s="39">
        <v>44870.0</v>
      </c>
      <c r="AL958" s="23" t="s">
        <v>43</v>
      </c>
      <c r="AM958" s="40" t="str">
        <f t="shared" si="8"/>
        <v>[IP0125]</v>
      </c>
    </row>
    <row r="959" ht="67.5" customHeight="1">
      <c r="A959" s="41">
        <v>126.0</v>
      </c>
      <c r="B959" s="42" t="s">
        <v>2595</v>
      </c>
      <c r="C959" s="43">
        <v>2022.0</v>
      </c>
      <c r="D959" s="44" t="s">
        <v>37</v>
      </c>
      <c r="E959" s="45" t="s">
        <v>37</v>
      </c>
      <c r="F959" s="45" t="s">
        <v>37</v>
      </c>
      <c r="G959" s="45" t="s">
        <v>35</v>
      </c>
      <c r="H959" s="45" t="s">
        <v>35</v>
      </c>
      <c r="I959" s="45" t="s">
        <v>35</v>
      </c>
      <c r="J959" s="46" t="s">
        <v>36</v>
      </c>
      <c r="K959" s="83" t="s">
        <v>37</v>
      </c>
      <c r="L959" s="71" t="s">
        <v>35</v>
      </c>
      <c r="M959" s="71" t="s">
        <v>35</v>
      </c>
      <c r="N959" s="71" t="s">
        <v>37</v>
      </c>
      <c r="O959" s="71" t="s">
        <v>35</v>
      </c>
      <c r="P959" s="71" t="s">
        <v>37</v>
      </c>
      <c r="Q959" s="71" t="s">
        <v>35</v>
      </c>
      <c r="R959" s="71" t="s">
        <v>35</v>
      </c>
      <c r="S959" s="57" t="s">
        <v>2596</v>
      </c>
      <c r="T959" s="50" t="s">
        <v>2597</v>
      </c>
      <c r="U959" s="51" t="s">
        <v>2597</v>
      </c>
      <c r="V959" s="52">
        <f t="shared" ref="V959:X959" si="965">IF(lenb(SUBSTITUTE($Z959,V$1&amp;" (1)",""))&lt;lenb($Z959),1,IF(lenb(SUBSTITUTE($Z959,V$1&amp;" (2)",""))&lt;lenb($Z959),2,IF(lenb(SUBSTITUTE($Z959,V$1&amp;" (3)",""))&lt;lenb($Z959),3,IF(lenb(SUBSTITUTE($Z959,V$1&amp;" (4)",""))&lt;lenb($Z959),4,IF(lenb(SUBSTITUTE($Z959,V$1&amp;" (5)",""))&lt;lenb($Z959),5,IF(lenb(SUBSTITUTE($Z959,V$1&amp;" (6)",""))&lt;lenb($Z959),6,IF(lenb(SUBSTITUTE($Z959,V$1&amp;" (7)",""))&lt;lenb($Z959),1,IF(lenb(SUBSTITUTE($Z959,V$1&amp;" (8)",""))&lt;lenb($Z959),8,IF(lenb(SUBSTITUTE($Z959,V$1&amp;" (9)",""))&lt;lenb($Z959),9,IF(lenb(SUBSTITUTE($Z959,V$1&amp;" (10)",""))&lt;lenb($Z959),10,IF(lenb(SUBSTITUTE($Z959,V$1,""))&lt;lenb($Z959),"ERROR",IF($Z959=$Y$1,"-",0))))))))))))</f>
        <v>1</v>
      </c>
      <c r="W959" s="52">
        <f t="shared" si="965"/>
        <v>0</v>
      </c>
      <c r="X959" s="52">
        <f t="shared" si="965"/>
        <v>0</v>
      </c>
      <c r="Y959" s="52" t="str">
        <f t="shared" si="3"/>
        <v>-</v>
      </c>
      <c r="Z959" s="52" t="s">
        <v>62</v>
      </c>
      <c r="AA959" s="53">
        <f t="shared" si="4"/>
        <v>1</v>
      </c>
      <c r="AB959" s="54">
        <f>COUNTIFS(Links!B:B,"ICSE",Links!C:C,A959,Links!AD:AD,1)</f>
        <v>0</v>
      </c>
      <c r="AC959" s="55" t="s">
        <v>35</v>
      </c>
      <c r="AD959" s="47" t="str">
        <f t="shared" si="5"/>
        <v>No</v>
      </c>
      <c r="AE959" s="56" t="s">
        <v>36</v>
      </c>
      <c r="AF959" s="57" t="s">
        <v>42</v>
      </c>
      <c r="AG959" s="57" t="s">
        <v>42</v>
      </c>
      <c r="AH959" s="57" t="s">
        <v>42</v>
      </c>
      <c r="AI959" s="49" t="str">
        <f t="shared" si="661"/>
        <v>----</v>
      </c>
      <c r="AJ959" s="58" t="str">
        <f t="shared" si="7"/>
        <v>Paper has link but no statement</v>
      </c>
      <c r="AK959" s="59">
        <v>44870.0</v>
      </c>
      <c r="AL959" s="43" t="s">
        <v>43</v>
      </c>
      <c r="AM959" s="60" t="str">
        <f t="shared" si="8"/>
        <v>[IP0126]</v>
      </c>
    </row>
    <row r="960" ht="67.5" customHeight="1">
      <c r="A960" s="61">
        <v>127.0</v>
      </c>
      <c r="B960" s="22" t="s">
        <v>2598</v>
      </c>
      <c r="C960" s="23">
        <v>2022.0</v>
      </c>
      <c r="D960" s="24" t="s">
        <v>35</v>
      </c>
      <c r="E960" s="25" t="s">
        <v>36</v>
      </c>
      <c r="F960" s="25" t="s">
        <v>36</v>
      </c>
      <c r="G960" s="25" t="s">
        <v>36</v>
      </c>
      <c r="H960" s="25" t="s">
        <v>36</v>
      </c>
      <c r="I960" s="25" t="s">
        <v>36</v>
      </c>
      <c r="J960" s="26" t="s">
        <v>36</v>
      </c>
      <c r="K960" s="82" t="s">
        <v>37</v>
      </c>
      <c r="L960" s="70" t="s">
        <v>35</v>
      </c>
      <c r="M960" s="70" t="s">
        <v>35</v>
      </c>
      <c r="N960" s="70" t="s">
        <v>35</v>
      </c>
      <c r="O960" s="70" t="s">
        <v>37</v>
      </c>
      <c r="P960" s="70" t="s">
        <v>35</v>
      </c>
      <c r="Q960" s="70" t="s">
        <v>35</v>
      </c>
      <c r="R960" s="70" t="s">
        <v>35</v>
      </c>
      <c r="S960" s="37" t="s">
        <v>2599</v>
      </c>
      <c r="T960" s="30" t="s">
        <v>2600</v>
      </c>
      <c r="U960" s="31" t="s">
        <v>2600</v>
      </c>
      <c r="V960" s="32">
        <f t="shared" ref="V960:X960" si="966">IF(lenb(SUBSTITUTE($Z960,V$1&amp;" (1)",""))&lt;lenb($Z960),1,IF(lenb(SUBSTITUTE($Z960,V$1&amp;" (2)",""))&lt;lenb($Z960),2,IF(lenb(SUBSTITUTE($Z960,V$1&amp;" (3)",""))&lt;lenb($Z960),3,IF(lenb(SUBSTITUTE($Z960,V$1&amp;" (4)",""))&lt;lenb($Z960),4,IF(lenb(SUBSTITUTE($Z960,V$1&amp;" (5)",""))&lt;lenb($Z960),5,IF(lenb(SUBSTITUTE($Z960,V$1&amp;" (6)",""))&lt;lenb($Z960),6,IF(lenb(SUBSTITUTE($Z960,V$1&amp;" (7)",""))&lt;lenb($Z960),1,IF(lenb(SUBSTITUTE($Z960,V$1&amp;" (8)",""))&lt;lenb($Z960),8,IF(lenb(SUBSTITUTE($Z960,V$1&amp;" (9)",""))&lt;lenb($Z960),9,IF(lenb(SUBSTITUTE($Z960,V$1&amp;" (10)",""))&lt;lenb($Z960),10,IF(lenb(SUBSTITUTE($Z960,V$1,""))&lt;lenb($Z960),"ERROR",IF($Z960=$Y$1,"-",0))))))))))))</f>
        <v>1</v>
      </c>
      <c r="W960" s="32">
        <f t="shared" si="966"/>
        <v>0</v>
      </c>
      <c r="X960" s="32">
        <f t="shared" si="966"/>
        <v>0</v>
      </c>
      <c r="Y960" s="32" t="str">
        <f t="shared" si="3"/>
        <v>-</v>
      </c>
      <c r="Z960" s="32" t="s">
        <v>62</v>
      </c>
      <c r="AA960" s="33">
        <f t="shared" si="4"/>
        <v>1</v>
      </c>
      <c r="AB960" s="34">
        <f>COUNTIFS(Links!B:B,"ICSE",Links!C:C,A960,Links!AD:AD,1)</f>
        <v>0</v>
      </c>
      <c r="AC960" s="35" t="s">
        <v>35</v>
      </c>
      <c r="AD960" s="27" t="str">
        <f t="shared" si="5"/>
        <v>No</v>
      </c>
      <c r="AE960" s="36" t="s">
        <v>36</v>
      </c>
      <c r="AF960" s="37" t="s">
        <v>42</v>
      </c>
      <c r="AG960" s="37" t="s">
        <v>42</v>
      </c>
      <c r="AH960" s="37" t="s">
        <v>42</v>
      </c>
      <c r="AI960" s="29" t="str">
        <f t="shared" si="661"/>
        <v>----</v>
      </c>
      <c r="AJ960" s="38" t="str">
        <f t="shared" si="7"/>
        <v>Paper has link but no statement</v>
      </c>
      <c r="AK960" s="39">
        <v>44870.0</v>
      </c>
      <c r="AL960" s="23" t="s">
        <v>43</v>
      </c>
      <c r="AM960" s="40" t="str">
        <f t="shared" si="8"/>
        <v>[IP0127]</v>
      </c>
    </row>
    <row r="961" ht="67.5" customHeight="1">
      <c r="A961" s="41">
        <v>128.0</v>
      </c>
      <c r="B961" s="42" t="s">
        <v>2601</v>
      </c>
      <c r="C961" s="43">
        <v>2022.0</v>
      </c>
      <c r="D961" s="44" t="s">
        <v>35</v>
      </c>
      <c r="E961" s="45" t="s">
        <v>36</v>
      </c>
      <c r="F961" s="45" t="s">
        <v>36</v>
      </c>
      <c r="G961" s="45" t="s">
        <v>36</v>
      </c>
      <c r="H961" s="45" t="s">
        <v>36</v>
      </c>
      <c r="I961" s="45" t="s">
        <v>36</v>
      </c>
      <c r="J961" s="46" t="s">
        <v>36</v>
      </c>
      <c r="K961" s="83" t="s">
        <v>37</v>
      </c>
      <c r="L961" s="71" t="s">
        <v>35</v>
      </c>
      <c r="M961" s="71" t="s">
        <v>37</v>
      </c>
      <c r="N961" s="71" t="s">
        <v>35</v>
      </c>
      <c r="O961" s="71" t="s">
        <v>35</v>
      </c>
      <c r="P961" s="71" t="s">
        <v>35</v>
      </c>
      <c r="Q961" s="71" t="s">
        <v>35</v>
      </c>
      <c r="R961" s="71" t="s">
        <v>37</v>
      </c>
      <c r="S961" s="57" t="s">
        <v>2602</v>
      </c>
      <c r="T961" s="50" t="s">
        <v>2603</v>
      </c>
      <c r="U961" s="51" t="s">
        <v>2604</v>
      </c>
      <c r="V961" s="52">
        <f t="shared" ref="V961:X961" si="967">IF(lenb(SUBSTITUTE($Z961,V$1&amp;" (1)",""))&lt;lenb($Z961),1,IF(lenb(SUBSTITUTE($Z961,V$1&amp;" (2)",""))&lt;lenb($Z961),2,IF(lenb(SUBSTITUTE($Z961,V$1&amp;" (3)",""))&lt;lenb($Z961),3,IF(lenb(SUBSTITUTE($Z961,V$1&amp;" (4)",""))&lt;lenb($Z961),4,IF(lenb(SUBSTITUTE($Z961,V$1&amp;" (5)",""))&lt;lenb($Z961),5,IF(lenb(SUBSTITUTE($Z961,V$1&amp;" (6)",""))&lt;lenb($Z961),6,IF(lenb(SUBSTITUTE($Z961,V$1&amp;" (7)",""))&lt;lenb($Z961),1,IF(lenb(SUBSTITUTE($Z961,V$1&amp;" (8)",""))&lt;lenb($Z961),8,IF(lenb(SUBSTITUTE($Z961,V$1&amp;" (9)",""))&lt;lenb($Z961),9,IF(lenb(SUBSTITUTE($Z961,V$1&amp;" (10)",""))&lt;lenb($Z961),10,IF(lenb(SUBSTITUTE($Z961,V$1,""))&lt;lenb($Z961),"ERROR",IF($Z961=$Y$1,"-",0))))))))))))</f>
        <v>1</v>
      </c>
      <c r="W961" s="52">
        <f t="shared" si="967"/>
        <v>0</v>
      </c>
      <c r="X961" s="52">
        <f t="shared" si="967"/>
        <v>0</v>
      </c>
      <c r="Y961" s="52" t="str">
        <f t="shared" si="3"/>
        <v>-</v>
      </c>
      <c r="Z961" s="52" t="s">
        <v>62</v>
      </c>
      <c r="AA961" s="53">
        <f t="shared" si="4"/>
        <v>1</v>
      </c>
      <c r="AB961" s="54">
        <f>COUNTIFS(Links!B:B,"ICSE",Links!C:C,A961,Links!AD:AD,1)</f>
        <v>0</v>
      </c>
      <c r="AC961" s="55" t="s">
        <v>35</v>
      </c>
      <c r="AD961" s="47" t="str">
        <f t="shared" si="5"/>
        <v>No</v>
      </c>
      <c r="AE961" s="56" t="s">
        <v>36</v>
      </c>
      <c r="AF961" s="57" t="s">
        <v>42</v>
      </c>
      <c r="AG961" s="57" t="s">
        <v>42</v>
      </c>
      <c r="AH961" s="57" t="s">
        <v>42</v>
      </c>
      <c r="AI961" s="49" t="str">
        <f t="shared" si="661"/>
        <v>----</v>
      </c>
      <c r="AJ961" s="58" t="str">
        <f t="shared" si="7"/>
        <v>Paper has link but no statement</v>
      </c>
      <c r="AK961" s="59">
        <v>44870.0</v>
      </c>
      <c r="AL961" s="43" t="s">
        <v>43</v>
      </c>
      <c r="AM961" s="60" t="str">
        <f t="shared" si="8"/>
        <v>[IP0128]</v>
      </c>
    </row>
    <row r="962" ht="67.5" customHeight="1">
      <c r="A962" s="61">
        <v>129.0</v>
      </c>
      <c r="B962" s="22" t="s">
        <v>2605</v>
      </c>
      <c r="C962" s="23">
        <v>2022.0</v>
      </c>
      <c r="D962" s="24" t="s">
        <v>35</v>
      </c>
      <c r="E962" s="25" t="s">
        <v>36</v>
      </c>
      <c r="F962" s="25" t="s">
        <v>36</v>
      </c>
      <c r="G962" s="25" t="s">
        <v>36</v>
      </c>
      <c r="H962" s="25" t="s">
        <v>36</v>
      </c>
      <c r="I962" s="25" t="s">
        <v>36</v>
      </c>
      <c r="J962" s="26" t="s">
        <v>36</v>
      </c>
      <c r="K962" s="82" t="s">
        <v>37</v>
      </c>
      <c r="L962" s="70" t="s">
        <v>35</v>
      </c>
      <c r="M962" s="70" t="s">
        <v>37</v>
      </c>
      <c r="N962" s="70" t="s">
        <v>37</v>
      </c>
      <c r="O962" s="70" t="s">
        <v>35</v>
      </c>
      <c r="P962" s="70" t="s">
        <v>35</v>
      </c>
      <c r="Q962" s="70" t="s">
        <v>35</v>
      </c>
      <c r="R962" s="70" t="s">
        <v>37</v>
      </c>
      <c r="S962" s="37" t="s">
        <v>2606</v>
      </c>
      <c r="T962" s="30" t="s">
        <v>2607</v>
      </c>
      <c r="U962" s="31" t="s">
        <v>2607</v>
      </c>
      <c r="V962" s="32">
        <f t="shared" ref="V962:X962" si="968">IF(lenb(SUBSTITUTE($Z962,V$1&amp;" (1)",""))&lt;lenb($Z962),1,IF(lenb(SUBSTITUTE($Z962,V$1&amp;" (2)",""))&lt;lenb($Z962),2,IF(lenb(SUBSTITUTE($Z962,V$1&amp;" (3)",""))&lt;lenb($Z962),3,IF(lenb(SUBSTITUTE($Z962,V$1&amp;" (4)",""))&lt;lenb($Z962),4,IF(lenb(SUBSTITUTE($Z962,V$1&amp;" (5)",""))&lt;lenb($Z962),5,IF(lenb(SUBSTITUTE($Z962,V$1&amp;" (6)",""))&lt;lenb($Z962),6,IF(lenb(SUBSTITUTE($Z962,V$1&amp;" (7)",""))&lt;lenb($Z962),1,IF(lenb(SUBSTITUTE($Z962,V$1&amp;" (8)",""))&lt;lenb($Z962),8,IF(lenb(SUBSTITUTE($Z962,V$1&amp;" (9)",""))&lt;lenb($Z962),9,IF(lenb(SUBSTITUTE($Z962,V$1&amp;" (10)",""))&lt;lenb($Z962),10,IF(lenb(SUBSTITUTE($Z962,V$1,""))&lt;lenb($Z962),"ERROR",IF($Z962=$Y$1,"-",0))))))))))))</f>
        <v>1</v>
      </c>
      <c r="W962" s="32">
        <f t="shared" si="968"/>
        <v>0</v>
      </c>
      <c r="X962" s="32">
        <f t="shared" si="968"/>
        <v>0</v>
      </c>
      <c r="Y962" s="32" t="str">
        <f t="shared" si="3"/>
        <v>-</v>
      </c>
      <c r="Z962" s="32" t="s">
        <v>62</v>
      </c>
      <c r="AA962" s="33">
        <f t="shared" si="4"/>
        <v>1</v>
      </c>
      <c r="AB962" s="34">
        <f>COUNTIFS(Links!B:B,"ICSE",Links!C:C,A962,Links!AD:AD,1)</f>
        <v>0</v>
      </c>
      <c r="AC962" s="35" t="s">
        <v>35</v>
      </c>
      <c r="AD962" s="27" t="str">
        <f t="shared" si="5"/>
        <v>No</v>
      </c>
      <c r="AE962" s="36" t="s">
        <v>36</v>
      </c>
      <c r="AF962" s="37" t="s">
        <v>42</v>
      </c>
      <c r="AG962" s="37" t="s">
        <v>42</v>
      </c>
      <c r="AH962" s="37" t="s">
        <v>42</v>
      </c>
      <c r="AI962" s="29" t="str">
        <f t="shared" si="661"/>
        <v>----</v>
      </c>
      <c r="AJ962" s="38" t="str">
        <f t="shared" si="7"/>
        <v>Paper has link but no statement</v>
      </c>
      <c r="AK962" s="39">
        <v>44870.0</v>
      </c>
      <c r="AL962" s="23" t="s">
        <v>43</v>
      </c>
      <c r="AM962" s="40" t="str">
        <f t="shared" si="8"/>
        <v>[IP0129]</v>
      </c>
    </row>
    <row r="963" ht="67.5" customHeight="1">
      <c r="A963" s="41">
        <v>130.0</v>
      </c>
      <c r="B963" s="42" t="s">
        <v>2608</v>
      </c>
      <c r="C963" s="43">
        <v>2022.0</v>
      </c>
      <c r="D963" s="44" t="s">
        <v>35</v>
      </c>
      <c r="E963" s="45" t="s">
        <v>36</v>
      </c>
      <c r="F963" s="45" t="s">
        <v>36</v>
      </c>
      <c r="G963" s="45" t="s">
        <v>36</v>
      </c>
      <c r="H963" s="45" t="s">
        <v>36</v>
      </c>
      <c r="I963" s="45" t="s">
        <v>36</v>
      </c>
      <c r="J963" s="46" t="s">
        <v>36</v>
      </c>
      <c r="K963" s="83" t="s">
        <v>37</v>
      </c>
      <c r="L963" s="71" t="s">
        <v>35</v>
      </c>
      <c r="M963" s="71" t="s">
        <v>35</v>
      </c>
      <c r="N963" s="71" t="s">
        <v>35</v>
      </c>
      <c r="O963" s="71" t="s">
        <v>35</v>
      </c>
      <c r="P963" s="71" t="s">
        <v>35</v>
      </c>
      <c r="Q963" s="71" t="s">
        <v>35</v>
      </c>
      <c r="R963" s="71" t="s">
        <v>37</v>
      </c>
      <c r="S963" s="57" t="s">
        <v>2609</v>
      </c>
      <c r="T963" s="50" t="s">
        <v>2610</v>
      </c>
      <c r="U963" s="50" t="s">
        <v>2611</v>
      </c>
      <c r="V963" s="52">
        <f t="shared" ref="V963:X963" si="969">IF(lenb(SUBSTITUTE($Z963,V$1&amp;" (1)",""))&lt;lenb($Z963),1,IF(lenb(SUBSTITUTE($Z963,V$1&amp;" (2)",""))&lt;lenb($Z963),2,IF(lenb(SUBSTITUTE($Z963,V$1&amp;" (3)",""))&lt;lenb($Z963),3,IF(lenb(SUBSTITUTE($Z963,V$1&amp;" (4)",""))&lt;lenb($Z963),4,IF(lenb(SUBSTITUTE($Z963,V$1&amp;" (5)",""))&lt;lenb($Z963),5,IF(lenb(SUBSTITUTE($Z963,V$1&amp;" (6)",""))&lt;lenb($Z963),6,IF(lenb(SUBSTITUTE($Z963,V$1&amp;" (7)",""))&lt;lenb($Z963),1,IF(lenb(SUBSTITUTE($Z963,V$1&amp;" (8)",""))&lt;lenb($Z963),8,IF(lenb(SUBSTITUTE($Z963,V$1&amp;" (9)",""))&lt;lenb($Z963),9,IF(lenb(SUBSTITUTE($Z963,V$1&amp;" (10)",""))&lt;lenb($Z963),10,IF(lenb(SUBSTITUTE($Z963,V$1,""))&lt;lenb($Z963),"ERROR",IF($Z963=$Y$1,"-",0))))))))))))</f>
        <v>2</v>
      </c>
      <c r="W963" s="52">
        <f t="shared" si="969"/>
        <v>0</v>
      </c>
      <c r="X963" s="52">
        <f t="shared" si="969"/>
        <v>0</v>
      </c>
      <c r="Y963" s="52" t="str">
        <f t="shared" si="3"/>
        <v>-</v>
      </c>
      <c r="Z963" s="52" t="s">
        <v>57</v>
      </c>
      <c r="AA963" s="53">
        <f t="shared" si="4"/>
        <v>2</v>
      </c>
      <c r="AB963" s="54">
        <f>COUNTIFS(Links!B:B,"ICSE",Links!C:C,A963,Links!AD:AD,1)</f>
        <v>0</v>
      </c>
      <c r="AC963" s="55" t="s">
        <v>37</v>
      </c>
      <c r="AD963" s="47" t="str">
        <f t="shared" si="5"/>
        <v>Yes</v>
      </c>
      <c r="AE963" s="56" t="s">
        <v>2612</v>
      </c>
      <c r="AF963" s="56" t="s">
        <v>281</v>
      </c>
      <c r="AG963" s="57" t="s">
        <v>42</v>
      </c>
      <c r="AH963" s="57" t="s">
        <v>42</v>
      </c>
      <c r="AI963" s="49" t="str">
        <f t="shared" si="661"/>
        <v>Barriers (Confidentiality and privacy)</v>
      </c>
      <c r="AJ963" s="58" t="str">
        <f t="shared" si="7"/>
        <v>Paper has link and statement</v>
      </c>
      <c r="AK963" s="59">
        <v>44870.0</v>
      </c>
      <c r="AL963" s="43" t="s">
        <v>43</v>
      </c>
      <c r="AM963" s="60" t="str">
        <f t="shared" si="8"/>
        <v>[IP0130]</v>
      </c>
    </row>
    <row r="964" ht="67.5" customHeight="1">
      <c r="A964" s="61">
        <v>131.0</v>
      </c>
      <c r="B964" s="22" t="s">
        <v>2613</v>
      </c>
      <c r="C964" s="23">
        <v>2022.0</v>
      </c>
      <c r="D964" s="24" t="s">
        <v>37</v>
      </c>
      <c r="E964" s="25" t="s">
        <v>37</v>
      </c>
      <c r="F964" s="25" t="s">
        <v>35</v>
      </c>
      <c r="G964" s="25" t="s">
        <v>37</v>
      </c>
      <c r="H964" s="25" t="s">
        <v>35</v>
      </c>
      <c r="I964" s="25" t="s">
        <v>35</v>
      </c>
      <c r="J964" s="26" t="s">
        <v>36</v>
      </c>
      <c r="K964" s="82" t="s">
        <v>37</v>
      </c>
      <c r="L964" s="70" t="s">
        <v>37</v>
      </c>
      <c r="M964" s="70" t="s">
        <v>35</v>
      </c>
      <c r="N964" s="70" t="s">
        <v>35</v>
      </c>
      <c r="O964" s="70" t="s">
        <v>35</v>
      </c>
      <c r="P964" s="70" t="s">
        <v>35</v>
      </c>
      <c r="Q964" s="70" t="s">
        <v>35</v>
      </c>
      <c r="R964" s="70" t="s">
        <v>37</v>
      </c>
      <c r="S964" s="37" t="s">
        <v>2614</v>
      </c>
      <c r="T964" s="30" t="s">
        <v>2615</v>
      </c>
      <c r="U964" s="31" t="s">
        <v>2615</v>
      </c>
      <c r="V964" s="32">
        <f t="shared" ref="V964:X964" si="970">IF(lenb(SUBSTITUTE($Z964,V$1&amp;" (1)",""))&lt;lenb($Z964),1,IF(lenb(SUBSTITUTE($Z964,V$1&amp;" (2)",""))&lt;lenb($Z964),2,IF(lenb(SUBSTITUTE($Z964,V$1&amp;" (3)",""))&lt;lenb($Z964),3,IF(lenb(SUBSTITUTE($Z964,V$1&amp;" (4)",""))&lt;lenb($Z964),4,IF(lenb(SUBSTITUTE($Z964,V$1&amp;" (5)",""))&lt;lenb($Z964),5,IF(lenb(SUBSTITUTE($Z964,V$1&amp;" (6)",""))&lt;lenb($Z964),6,IF(lenb(SUBSTITUTE($Z964,V$1&amp;" (7)",""))&lt;lenb($Z964),1,IF(lenb(SUBSTITUTE($Z964,V$1&amp;" (8)",""))&lt;lenb($Z964),8,IF(lenb(SUBSTITUTE($Z964,V$1&amp;" (9)",""))&lt;lenb($Z964),9,IF(lenb(SUBSTITUTE($Z964,V$1&amp;" (10)",""))&lt;lenb($Z964),10,IF(lenb(SUBSTITUTE($Z964,V$1,""))&lt;lenb($Z964),"ERROR",IF($Z964=$Y$1,"-",0))))))))))))</f>
        <v>1</v>
      </c>
      <c r="W964" s="32">
        <f t="shared" si="970"/>
        <v>0</v>
      </c>
      <c r="X964" s="32">
        <f t="shared" si="970"/>
        <v>0</v>
      </c>
      <c r="Y964" s="32" t="str">
        <f t="shared" si="3"/>
        <v>-</v>
      </c>
      <c r="Z964" s="32" t="s">
        <v>62</v>
      </c>
      <c r="AA964" s="33">
        <f t="shared" si="4"/>
        <v>1</v>
      </c>
      <c r="AB964" s="34">
        <f>COUNTIFS(Links!B:B,"ICSE",Links!C:C,A964,Links!AD:AD,1)</f>
        <v>0</v>
      </c>
      <c r="AC964" s="35" t="s">
        <v>37</v>
      </c>
      <c r="AD964" s="27" t="str">
        <f t="shared" si="5"/>
        <v>No</v>
      </c>
      <c r="AE964" s="36" t="s">
        <v>36</v>
      </c>
      <c r="AF964" s="37" t="s">
        <v>42</v>
      </c>
      <c r="AG964" s="37" t="s">
        <v>42</v>
      </c>
      <c r="AH964" s="37" t="s">
        <v>42</v>
      </c>
      <c r="AI964" s="29" t="str">
        <f t="shared" si="661"/>
        <v>----</v>
      </c>
      <c r="AJ964" s="38" t="str">
        <f t="shared" si="7"/>
        <v>Paper has link but no statement</v>
      </c>
      <c r="AK964" s="39">
        <v>44870.0</v>
      </c>
      <c r="AL964" s="23" t="s">
        <v>43</v>
      </c>
      <c r="AM964" s="40" t="str">
        <f t="shared" si="8"/>
        <v>[IP0131]</v>
      </c>
    </row>
    <row r="965" ht="67.5" customHeight="1">
      <c r="A965" s="41">
        <v>132.0</v>
      </c>
      <c r="B965" s="42" t="s">
        <v>2616</v>
      </c>
      <c r="C965" s="43">
        <v>2022.0</v>
      </c>
      <c r="D965" s="44" t="s">
        <v>35</v>
      </c>
      <c r="E965" s="45" t="s">
        <v>36</v>
      </c>
      <c r="F965" s="45" t="s">
        <v>36</v>
      </c>
      <c r="G965" s="45" t="s">
        <v>36</v>
      </c>
      <c r="H965" s="45" t="s">
        <v>36</v>
      </c>
      <c r="I965" s="45" t="s">
        <v>36</v>
      </c>
      <c r="J965" s="46" t="s">
        <v>36</v>
      </c>
      <c r="K965" s="83" t="s">
        <v>37</v>
      </c>
      <c r="L965" s="71" t="s">
        <v>37</v>
      </c>
      <c r="M965" s="71" t="s">
        <v>35</v>
      </c>
      <c r="N965" s="71" t="s">
        <v>37</v>
      </c>
      <c r="O965" s="71" t="s">
        <v>37</v>
      </c>
      <c r="P965" s="71" t="s">
        <v>35</v>
      </c>
      <c r="Q965" s="71" t="s">
        <v>35</v>
      </c>
      <c r="R965" s="71" t="s">
        <v>37</v>
      </c>
      <c r="S965" s="57" t="s">
        <v>2617</v>
      </c>
      <c r="T965" s="50" t="s">
        <v>2618</v>
      </c>
      <c r="U965" s="51" t="s">
        <v>2619</v>
      </c>
      <c r="V965" s="52">
        <f t="shared" ref="V965:X965" si="971">IF(lenb(SUBSTITUTE($Z965,V$1&amp;" (1)",""))&lt;lenb($Z965),1,IF(lenb(SUBSTITUTE($Z965,V$1&amp;" (2)",""))&lt;lenb($Z965),2,IF(lenb(SUBSTITUTE($Z965,V$1&amp;" (3)",""))&lt;lenb($Z965),3,IF(lenb(SUBSTITUTE($Z965,V$1&amp;" (4)",""))&lt;lenb($Z965),4,IF(lenb(SUBSTITUTE($Z965,V$1&amp;" (5)",""))&lt;lenb($Z965),5,IF(lenb(SUBSTITUTE($Z965,V$1&amp;" (6)",""))&lt;lenb($Z965),6,IF(lenb(SUBSTITUTE($Z965,V$1&amp;" (7)",""))&lt;lenb($Z965),1,IF(lenb(SUBSTITUTE($Z965,V$1&amp;" (8)",""))&lt;lenb($Z965),8,IF(lenb(SUBSTITUTE($Z965,V$1&amp;" (9)",""))&lt;lenb($Z965),9,IF(lenb(SUBSTITUTE($Z965,V$1&amp;" (10)",""))&lt;lenb($Z965),10,IF(lenb(SUBSTITUTE($Z965,V$1,""))&lt;lenb($Z965),"ERROR",IF($Z965=$Y$1,"-",0))))))))))))</f>
        <v>1</v>
      </c>
      <c r="W965" s="52">
        <f t="shared" si="971"/>
        <v>0</v>
      </c>
      <c r="X965" s="52">
        <f t="shared" si="971"/>
        <v>0</v>
      </c>
      <c r="Y965" s="52" t="str">
        <f t="shared" si="3"/>
        <v>-</v>
      </c>
      <c r="Z965" s="52" t="s">
        <v>62</v>
      </c>
      <c r="AA965" s="53">
        <f t="shared" si="4"/>
        <v>1</v>
      </c>
      <c r="AB965" s="54">
        <f>COUNTIFS(Links!B:B,"ICSE",Links!C:C,A965,Links!AD:AD,1)</f>
        <v>0</v>
      </c>
      <c r="AC965" s="55" t="s">
        <v>35</v>
      </c>
      <c r="AD965" s="47" t="str">
        <f t="shared" si="5"/>
        <v>No</v>
      </c>
      <c r="AE965" s="56" t="s">
        <v>36</v>
      </c>
      <c r="AF965" s="57" t="s">
        <v>42</v>
      </c>
      <c r="AG965" s="57" t="s">
        <v>42</v>
      </c>
      <c r="AH965" s="57" t="s">
        <v>42</v>
      </c>
      <c r="AI965" s="49" t="str">
        <f t="shared" si="661"/>
        <v>----</v>
      </c>
      <c r="AJ965" s="58" t="str">
        <f t="shared" si="7"/>
        <v>Paper has link but no statement</v>
      </c>
      <c r="AK965" s="59">
        <v>44870.0</v>
      </c>
      <c r="AL965" s="43" t="s">
        <v>43</v>
      </c>
      <c r="AM965" s="60" t="str">
        <f t="shared" si="8"/>
        <v>[IP0132]</v>
      </c>
    </row>
    <row r="966" ht="67.5" customHeight="1">
      <c r="A966" s="61">
        <v>133.0</v>
      </c>
      <c r="B966" s="22" t="s">
        <v>2620</v>
      </c>
      <c r="C966" s="23">
        <v>2022.0</v>
      </c>
      <c r="D966" s="24" t="s">
        <v>37</v>
      </c>
      <c r="E966" s="25" t="s">
        <v>37</v>
      </c>
      <c r="F966" s="25" t="s">
        <v>35</v>
      </c>
      <c r="G966" s="25" t="s">
        <v>37</v>
      </c>
      <c r="H966" s="25" t="s">
        <v>35</v>
      </c>
      <c r="I966" s="25" t="s">
        <v>35</v>
      </c>
      <c r="J966" s="26" t="s">
        <v>36</v>
      </c>
      <c r="K966" s="82" t="s">
        <v>37</v>
      </c>
      <c r="L966" s="70" t="s">
        <v>35</v>
      </c>
      <c r="M966" s="70" t="s">
        <v>35</v>
      </c>
      <c r="N966" s="70" t="s">
        <v>37</v>
      </c>
      <c r="O966" s="70" t="s">
        <v>35</v>
      </c>
      <c r="P966" s="70" t="s">
        <v>35</v>
      </c>
      <c r="Q966" s="70" t="s">
        <v>35</v>
      </c>
      <c r="R966" s="70" t="s">
        <v>35</v>
      </c>
      <c r="S966" s="37" t="s">
        <v>944</v>
      </c>
      <c r="T966" s="30" t="s">
        <v>2621</v>
      </c>
      <c r="U966" s="31" t="s">
        <v>2621</v>
      </c>
      <c r="V966" s="32">
        <f t="shared" ref="V966:X966" si="972">IF(lenb(SUBSTITUTE($Z966,V$1&amp;" (1)",""))&lt;lenb($Z966),1,IF(lenb(SUBSTITUTE($Z966,V$1&amp;" (2)",""))&lt;lenb($Z966),2,IF(lenb(SUBSTITUTE($Z966,V$1&amp;" (3)",""))&lt;lenb($Z966),3,IF(lenb(SUBSTITUTE($Z966,V$1&amp;" (4)",""))&lt;lenb($Z966),4,IF(lenb(SUBSTITUTE($Z966,V$1&amp;" (5)",""))&lt;lenb($Z966),5,IF(lenb(SUBSTITUTE($Z966,V$1&amp;" (6)",""))&lt;lenb($Z966),6,IF(lenb(SUBSTITUTE($Z966,V$1&amp;" (7)",""))&lt;lenb($Z966),1,IF(lenb(SUBSTITUTE($Z966,V$1&amp;" (8)",""))&lt;lenb($Z966),8,IF(lenb(SUBSTITUTE($Z966,V$1&amp;" (9)",""))&lt;lenb($Z966),9,IF(lenb(SUBSTITUTE($Z966,V$1&amp;" (10)",""))&lt;lenb($Z966),10,IF(lenb(SUBSTITUTE($Z966,V$1,""))&lt;lenb($Z966),"ERROR",IF($Z966=$Y$1,"-",0))))))))))))</f>
        <v>1</v>
      </c>
      <c r="W966" s="32">
        <f t="shared" si="972"/>
        <v>0</v>
      </c>
      <c r="X966" s="32">
        <f t="shared" si="972"/>
        <v>0</v>
      </c>
      <c r="Y966" s="32" t="str">
        <f t="shared" si="3"/>
        <v>-</v>
      </c>
      <c r="Z966" s="32" t="s">
        <v>62</v>
      </c>
      <c r="AA966" s="33">
        <f t="shared" si="4"/>
        <v>1</v>
      </c>
      <c r="AB966" s="34">
        <f>COUNTIFS(Links!B:B,"ICSE",Links!C:C,A966,Links!AD:AD,1)</f>
        <v>0</v>
      </c>
      <c r="AC966" s="35" t="s">
        <v>35</v>
      </c>
      <c r="AD966" s="27" t="str">
        <f t="shared" si="5"/>
        <v>No</v>
      </c>
      <c r="AE966" s="36" t="s">
        <v>36</v>
      </c>
      <c r="AF966" s="37" t="s">
        <v>42</v>
      </c>
      <c r="AG966" s="37" t="s">
        <v>42</v>
      </c>
      <c r="AH966" s="37" t="s">
        <v>42</v>
      </c>
      <c r="AI966" s="29" t="str">
        <f t="shared" si="661"/>
        <v>----</v>
      </c>
      <c r="AJ966" s="38" t="str">
        <f t="shared" si="7"/>
        <v>Paper has link but no statement</v>
      </c>
      <c r="AK966" s="39">
        <v>44870.0</v>
      </c>
      <c r="AL966" s="23" t="s">
        <v>43</v>
      </c>
      <c r="AM966" s="40" t="str">
        <f t="shared" si="8"/>
        <v>[IP0133]</v>
      </c>
    </row>
    <row r="967" ht="67.5" customHeight="1">
      <c r="A967" s="41">
        <v>134.0</v>
      </c>
      <c r="B967" s="42" t="s">
        <v>2622</v>
      </c>
      <c r="C967" s="43">
        <v>2022.0</v>
      </c>
      <c r="D967" s="44" t="s">
        <v>35</v>
      </c>
      <c r="E967" s="45" t="s">
        <v>36</v>
      </c>
      <c r="F967" s="45" t="s">
        <v>36</v>
      </c>
      <c r="G967" s="45" t="s">
        <v>36</v>
      </c>
      <c r="H967" s="45" t="s">
        <v>36</v>
      </c>
      <c r="I967" s="45" t="s">
        <v>36</v>
      </c>
      <c r="J967" s="46" t="s">
        <v>36</v>
      </c>
      <c r="K967" s="83" t="s">
        <v>37</v>
      </c>
      <c r="L967" s="71" t="s">
        <v>35</v>
      </c>
      <c r="M967" s="71" t="s">
        <v>35</v>
      </c>
      <c r="N967" s="71" t="s">
        <v>37</v>
      </c>
      <c r="O967" s="71" t="s">
        <v>35</v>
      </c>
      <c r="P967" s="71" t="s">
        <v>37</v>
      </c>
      <c r="Q967" s="71" t="s">
        <v>37</v>
      </c>
      <c r="R967" s="71" t="s">
        <v>37</v>
      </c>
      <c r="S967" s="57" t="s">
        <v>2623</v>
      </c>
      <c r="T967" s="51" t="s">
        <v>2624</v>
      </c>
      <c r="U967" s="51" t="s">
        <v>2625</v>
      </c>
      <c r="V967" s="52">
        <f t="shared" ref="V967:X967" si="973">IF(lenb(SUBSTITUTE($Z967,V$1&amp;" (1)",""))&lt;lenb($Z967),1,IF(lenb(SUBSTITUTE($Z967,V$1&amp;" (2)",""))&lt;lenb($Z967),2,IF(lenb(SUBSTITUTE($Z967,V$1&amp;" (3)",""))&lt;lenb($Z967),3,IF(lenb(SUBSTITUTE($Z967,V$1&amp;" (4)",""))&lt;lenb($Z967),4,IF(lenb(SUBSTITUTE($Z967,V$1&amp;" (5)",""))&lt;lenb($Z967),5,IF(lenb(SUBSTITUTE($Z967,V$1&amp;" (6)",""))&lt;lenb($Z967),6,IF(lenb(SUBSTITUTE($Z967,V$1&amp;" (7)",""))&lt;lenb($Z967),1,IF(lenb(SUBSTITUTE($Z967,V$1&amp;" (8)",""))&lt;lenb($Z967),8,IF(lenb(SUBSTITUTE($Z967,V$1&amp;" (9)",""))&lt;lenb($Z967),9,IF(lenb(SUBSTITUTE($Z967,V$1&amp;" (10)",""))&lt;lenb($Z967),10,IF(lenb(SUBSTITUTE($Z967,V$1,""))&lt;lenb($Z967),"ERROR",IF($Z967=$Y$1,"-",0))))))))))))</f>
        <v>5</v>
      </c>
      <c r="W967" s="52">
        <f t="shared" si="973"/>
        <v>0</v>
      </c>
      <c r="X967" s="52">
        <f t="shared" si="973"/>
        <v>0</v>
      </c>
      <c r="Y967" s="52" t="str">
        <f t="shared" si="3"/>
        <v>-</v>
      </c>
      <c r="Z967" s="52" t="s">
        <v>1606</v>
      </c>
      <c r="AA967" s="53">
        <f t="shared" si="4"/>
        <v>5</v>
      </c>
      <c r="AB967" s="54">
        <f>COUNTIFS(Links!B:B,"ICSE",Links!C:C,A967,Links!AD:AD,1)</f>
        <v>0</v>
      </c>
      <c r="AC967" s="55" t="s">
        <v>37</v>
      </c>
      <c r="AD967" s="47" t="str">
        <f t="shared" si="5"/>
        <v>No</v>
      </c>
      <c r="AE967" s="56" t="s">
        <v>36</v>
      </c>
      <c r="AF967" s="57" t="s">
        <v>42</v>
      </c>
      <c r="AG967" s="57" t="s">
        <v>42</v>
      </c>
      <c r="AH967" s="57" t="s">
        <v>42</v>
      </c>
      <c r="AI967" s="49" t="str">
        <f t="shared" si="661"/>
        <v>----</v>
      </c>
      <c r="AJ967" s="58" t="str">
        <f t="shared" si="7"/>
        <v>Paper has link but no statement</v>
      </c>
      <c r="AK967" s="59">
        <v>44870.0</v>
      </c>
      <c r="AL967" s="43" t="s">
        <v>43</v>
      </c>
      <c r="AM967" s="60" t="str">
        <f t="shared" si="8"/>
        <v>[IP0134]</v>
      </c>
    </row>
    <row r="968" ht="67.5" customHeight="1">
      <c r="A968" s="61">
        <v>135.0</v>
      </c>
      <c r="B968" s="22" t="s">
        <v>2626</v>
      </c>
      <c r="C968" s="23">
        <v>2022.0</v>
      </c>
      <c r="D968" s="24" t="s">
        <v>35</v>
      </c>
      <c r="E968" s="25" t="s">
        <v>36</v>
      </c>
      <c r="F968" s="25" t="s">
        <v>36</v>
      </c>
      <c r="G968" s="25" t="s">
        <v>36</v>
      </c>
      <c r="H968" s="25" t="s">
        <v>36</v>
      </c>
      <c r="I968" s="25" t="s">
        <v>36</v>
      </c>
      <c r="J968" s="26" t="s">
        <v>36</v>
      </c>
      <c r="K968" s="82" t="s">
        <v>37</v>
      </c>
      <c r="L968" s="70" t="s">
        <v>35</v>
      </c>
      <c r="M968" s="70" t="s">
        <v>35</v>
      </c>
      <c r="N968" s="70" t="s">
        <v>35</v>
      </c>
      <c r="O968" s="70" t="s">
        <v>35</v>
      </c>
      <c r="P968" s="70" t="s">
        <v>35</v>
      </c>
      <c r="Q968" s="70" t="s">
        <v>37</v>
      </c>
      <c r="R968" s="70" t="s">
        <v>35</v>
      </c>
      <c r="S968" s="37" t="s">
        <v>2271</v>
      </c>
      <c r="T968" s="30" t="s">
        <v>2627</v>
      </c>
      <c r="U968" s="31" t="s">
        <v>2627</v>
      </c>
      <c r="V968" s="32">
        <f t="shared" ref="V968:X968" si="974">IF(lenb(SUBSTITUTE($Z968,V$1&amp;" (1)",""))&lt;lenb($Z968),1,IF(lenb(SUBSTITUTE($Z968,V$1&amp;" (2)",""))&lt;lenb($Z968),2,IF(lenb(SUBSTITUTE($Z968,V$1&amp;" (3)",""))&lt;lenb($Z968),3,IF(lenb(SUBSTITUTE($Z968,V$1&amp;" (4)",""))&lt;lenb($Z968),4,IF(lenb(SUBSTITUTE($Z968,V$1&amp;" (5)",""))&lt;lenb($Z968),5,IF(lenb(SUBSTITUTE($Z968,V$1&amp;" (6)",""))&lt;lenb($Z968),6,IF(lenb(SUBSTITUTE($Z968,V$1&amp;" (7)",""))&lt;lenb($Z968),1,IF(lenb(SUBSTITUTE($Z968,V$1&amp;" (8)",""))&lt;lenb($Z968),8,IF(lenb(SUBSTITUTE($Z968,V$1&amp;" (9)",""))&lt;lenb($Z968),9,IF(lenb(SUBSTITUTE($Z968,V$1&amp;" (10)",""))&lt;lenb($Z968),10,IF(lenb(SUBSTITUTE($Z968,V$1,""))&lt;lenb($Z968),"ERROR",IF($Z968=$Y$1,"-",0))))))))))))</f>
        <v>1</v>
      </c>
      <c r="W968" s="32">
        <f t="shared" si="974"/>
        <v>0</v>
      </c>
      <c r="X968" s="32">
        <f t="shared" si="974"/>
        <v>0</v>
      </c>
      <c r="Y968" s="32" t="str">
        <f t="shared" si="3"/>
        <v>-</v>
      </c>
      <c r="Z968" s="32" t="s">
        <v>62</v>
      </c>
      <c r="AA968" s="33">
        <f t="shared" si="4"/>
        <v>1</v>
      </c>
      <c r="AB968" s="34">
        <f>COUNTIFS(Links!B:B,"ICSE",Links!C:C,A968,Links!AD:AD,1)</f>
        <v>0</v>
      </c>
      <c r="AC968" s="35" t="s">
        <v>35</v>
      </c>
      <c r="AD968" s="27" t="str">
        <f t="shared" si="5"/>
        <v>No</v>
      </c>
      <c r="AE968" s="36" t="s">
        <v>36</v>
      </c>
      <c r="AF968" s="37" t="s">
        <v>42</v>
      </c>
      <c r="AG968" s="37" t="s">
        <v>42</v>
      </c>
      <c r="AH968" s="37" t="s">
        <v>42</v>
      </c>
      <c r="AI968" s="29" t="str">
        <f t="shared" si="661"/>
        <v>----</v>
      </c>
      <c r="AJ968" s="38" t="str">
        <f t="shared" si="7"/>
        <v>Paper has link but no statement</v>
      </c>
      <c r="AK968" s="39">
        <v>44870.0</v>
      </c>
      <c r="AL968" s="23" t="s">
        <v>43</v>
      </c>
      <c r="AM968" s="40" t="str">
        <f t="shared" si="8"/>
        <v>[IP0135]</v>
      </c>
    </row>
    <row r="969" ht="67.5" customHeight="1">
      <c r="A969" s="41">
        <v>136.0</v>
      </c>
      <c r="B969" s="42" t="s">
        <v>2628</v>
      </c>
      <c r="C969" s="43">
        <v>2022.0</v>
      </c>
      <c r="D969" s="44" t="s">
        <v>35</v>
      </c>
      <c r="E969" s="45" t="s">
        <v>36</v>
      </c>
      <c r="F969" s="45" t="s">
        <v>36</v>
      </c>
      <c r="G969" s="45" t="s">
        <v>36</v>
      </c>
      <c r="H969" s="45" t="s">
        <v>36</v>
      </c>
      <c r="I969" s="45" t="s">
        <v>36</v>
      </c>
      <c r="J969" s="46" t="s">
        <v>36</v>
      </c>
      <c r="K969" s="83" t="s">
        <v>37</v>
      </c>
      <c r="L969" s="71" t="s">
        <v>35</v>
      </c>
      <c r="M969" s="71" t="s">
        <v>35</v>
      </c>
      <c r="N969" s="71" t="s">
        <v>35</v>
      </c>
      <c r="O969" s="71" t="s">
        <v>35</v>
      </c>
      <c r="P969" s="71" t="s">
        <v>35</v>
      </c>
      <c r="Q969" s="71" t="s">
        <v>37</v>
      </c>
      <c r="R969" s="71" t="s">
        <v>35</v>
      </c>
      <c r="S969" s="57" t="s">
        <v>2629</v>
      </c>
      <c r="T969" s="50" t="s">
        <v>2630</v>
      </c>
      <c r="U969" s="51" t="s">
        <v>2630</v>
      </c>
      <c r="V969" s="52">
        <f t="shared" ref="V969:X969" si="975">IF(lenb(SUBSTITUTE($Z969,V$1&amp;" (1)",""))&lt;lenb($Z969),1,IF(lenb(SUBSTITUTE($Z969,V$1&amp;" (2)",""))&lt;lenb($Z969),2,IF(lenb(SUBSTITUTE($Z969,V$1&amp;" (3)",""))&lt;lenb($Z969),3,IF(lenb(SUBSTITUTE($Z969,V$1&amp;" (4)",""))&lt;lenb($Z969),4,IF(lenb(SUBSTITUTE($Z969,V$1&amp;" (5)",""))&lt;lenb($Z969),5,IF(lenb(SUBSTITUTE($Z969,V$1&amp;" (6)",""))&lt;lenb($Z969),6,IF(lenb(SUBSTITUTE($Z969,V$1&amp;" (7)",""))&lt;lenb($Z969),1,IF(lenb(SUBSTITUTE($Z969,V$1&amp;" (8)",""))&lt;lenb($Z969),8,IF(lenb(SUBSTITUTE($Z969,V$1&amp;" (9)",""))&lt;lenb($Z969),9,IF(lenb(SUBSTITUTE($Z969,V$1&amp;" (10)",""))&lt;lenb($Z969),10,IF(lenb(SUBSTITUTE($Z969,V$1,""))&lt;lenb($Z969),"ERROR",IF($Z969=$Y$1,"-",0))))))))))))</f>
        <v>1</v>
      </c>
      <c r="W969" s="52">
        <f t="shared" si="975"/>
        <v>0</v>
      </c>
      <c r="X969" s="52">
        <f t="shared" si="975"/>
        <v>0</v>
      </c>
      <c r="Y969" s="52" t="str">
        <f t="shared" si="3"/>
        <v>-</v>
      </c>
      <c r="Z969" s="52" t="s">
        <v>62</v>
      </c>
      <c r="AA969" s="53">
        <f t="shared" si="4"/>
        <v>1</v>
      </c>
      <c r="AB969" s="54">
        <f>COUNTIFS(Links!B:B,"ICSE",Links!C:C,A969,Links!AD:AD,1)</f>
        <v>0</v>
      </c>
      <c r="AC969" s="55" t="s">
        <v>35</v>
      </c>
      <c r="AD969" s="47" t="str">
        <f t="shared" si="5"/>
        <v>No</v>
      </c>
      <c r="AE969" s="56" t="s">
        <v>36</v>
      </c>
      <c r="AF969" s="57" t="s">
        <v>42</v>
      </c>
      <c r="AG969" s="57" t="s">
        <v>42</v>
      </c>
      <c r="AH969" s="57" t="s">
        <v>42</v>
      </c>
      <c r="AI969" s="49" t="str">
        <f t="shared" si="661"/>
        <v>----</v>
      </c>
      <c r="AJ969" s="58" t="str">
        <f t="shared" si="7"/>
        <v>Paper has link but no statement</v>
      </c>
      <c r="AK969" s="59">
        <v>44870.0</v>
      </c>
      <c r="AL969" s="43" t="s">
        <v>43</v>
      </c>
      <c r="AM969" s="60" t="str">
        <f t="shared" si="8"/>
        <v>[IP0136]</v>
      </c>
    </row>
    <row r="970" ht="67.5" customHeight="1">
      <c r="A970" s="61">
        <v>137.0</v>
      </c>
      <c r="B970" s="22" t="s">
        <v>2631</v>
      </c>
      <c r="C970" s="23">
        <v>2022.0</v>
      </c>
      <c r="D970" s="24" t="s">
        <v>37</v>
      </c>
      <c r="E970" s="25" t="s">
        <v>37</v>
      </c>
      <c r="F970" s="25" t="s">
        <v>35</v>
      </c>
      <c r="G970" s="25" t="s">
        <v>35</v>
      </c>
      <c r="H970" s="25" t="s">
        <v>35</v>
      </c>
      <c r="I970" s="25" t="s">
        <v>35</v>
      </c>
      <c r="J970" s="26" t="s">
        <v>36</v>
      </c>
      <c r="K970" s="82" t="s">
        <v>37</v>
      </c>
      <c r="L970" s="70" t="s">
        <v>35</v>
      </c>
      <c r="M970" s="70" t="s">
        <v>35</v>
      </c>
      <c r="N970" s="70" t="s">
        <v>37</v>
      </c>
      <c r="O970" s="70" t="s">
        <v>35</v>
      </c>
      <c r="P970" s="70" t="s">
        <v>35</v>
      </c>
      <c r="Q970" s="70" t="s">
        <v>35</v>
      </c>
      <c r="R970" s="70" t="s">
        <v>35</v>
      </c>
      <c r="S970" s="37" t="s">
        <v>944</v>
      </c>
      <c r="T970" s="30" t="s">
        <v>2632</v>
      </c>
      <c r="U970" s="31" t="s">
        <v>2633</v>
      </c>
      <c r="V970" s="32">
        <f t="shared" ref="V970:X970" si="976">IF(lenb(SUBSTITUTE($Z970,V$1&amp;" (1)",""))&lt;lenb($Z970),1,IF(lenb(SUBSTITUTE($Z970,V$1&amp;" (2)",""))&lt;lenb($Z970),2,IF(lenb(SUBSTITUTE($Z970,V$1&amp;" (3)",""))&lt;lenb($Z970),3,IF(lenb(SUBSTITUTE($Z970,V$1&amp;" (4)",""))&lt;lenb($Z970),4,IF(lenb(SUBSTITUTE($Z970,V$1&amp;" (5)",""))&lt;lenb($Z970),5,IF(lenb(SUBSTITUTE($Z970,V$1&amp;" (6)",""))&lt;lenb($Z970),6,IF(lenb(SUBSTITUTE($Z970,V$1&amp;" (7)",""))&lt;lenb($Z970),1,IF(lenb(SUBSTITUTE($Z970,V$1&amp;" (8)",""))&lt;lenb($Z970),8,IF(lenb(SUBSTITUTE($Z970,V$1&amp;" (9)",""))&lt;lenb($Z970),9,IF(lenb(SUBSTITUTE($Z970,V$1&amp;" (10)",""))&lt;lenb($Z970),10,IF(lenb(SUBSTITUTE($Z970,V$1,""))&lt;lenb($Z970),"ERROR",IF($Z970=$Y$1,"-",0))))))))))))</f>
        <v>2</v>
      </c>
      <c r="W970" s="32">
        <f t="shared" si="976"/>
        <v>0</v>
      </c>
      <c r="X970" s="32">
        <f t="shared" si="976"/>
        <v>0</v>
      </c>
      <c r="Y970" s="32" t="str">
        <f t="shared" si="3"/>
        <v>-</v>
      </c>
      <c r="Z970" s="32" t="s">
        <v>57</v>
      </c>
      <c r="AA970" s="33">
        <f t="shared" si="4"/>
        <v>2</v>
      </c>
      <c r="AB970" s="34">
        <f>COUNTIFS(Links!B:B,"ICSE",Links!C:C,A970,Links!AD:AD,1)</f>
        <v>0</v>
      </c>
      <c r="AC970" s="35" t="s">
        <v>37</v>
      </c>
      <c r="AD970" s="27" t="str">
        <f t="shared" si="5"/>
        <v>No</v>
      </c>
      <c r="AE970" s="36" t="s">
        <v>36</v>
      </c>
      <c r="AF970" s="37" t="s">
        <v>42</v>
      </c>
      <c r="AG970" s="37" t="s">
        <v>42</v>
      </c>
      <c r="AH970" s="37" t="s">
        <v>42</v>
      </c>
      <c r="AI970" s="29" t="str">
        <f t="shared" si="661"/>
        <v>----</v>
      </c>
      <c r="AJ970" s="38" t="str">
        <f t="shared" si="7"/>
        <v>Paper has link but no statement</v>
      </c>
      <c r="AK970" s="39">
        <v>44870.0</v>
      </c>
      <c r="AL970" s="23" t="s">
        <v>43</v>
      </c>
      <c r="AM970" s="40" t="str">
        <f t="shared" si="8"/>
        <v>[IP0137]</v>
      </c>
    </row>
    <row r="971" ht="67.5" customHeight="1">
      <c r="A971" s="41">
        <v>138.0</v>
      </c>
      <c r="B971" s="42" t="s">
        <v>2634</v>
      </c>
      <c r="C971" s="43">
        <v>2022.0</v>
      </c>
      <c r="D971" s="44" t="s">
        <v>35</v>
      </c>
      <c r="E971" s="45" t="s">
        <v>36</v>
      </c>
      <c r="F971" s="45" t="s">
        <v>36</v>
      </c>
      <c r="G971" s="45" t="s">
        <v>36</v>
      </c>
      <c r="H971" s="45" t="s">
        <v>36</v>
      </c>
      <c r="I971" s="45" t="s">
        <v>36</v>
      </c>
      <c r="J971" s="46" t="s">
        <v>36</v>
      </c>
      <c r="K971" s="83" t="s">
        <v>37</v>
      </c>
      <c r="L971" s="71" t="s">
        <v>35</v>
      </c>
      <c r="M971" s="71" t="s">
        <v>37</v>
      </c>
      <c r="N971" s="71" t="s">
        <v>35</v>
      </c>
      <c r="O971" s="71" t="s">
        <v>35</v>
      </c>
      <c r="P971" s="71" t="s">
        <v>37</v>
      </c>
      <c r="Q971" s="48" t="s">
        <v>35</v>
      </c>
      <c r="R971" s="71" t="s">
        <v>37</v>
      </c>
      <c r="S971" s="57" t="s">
        <v>2635</v>
      </c>
      <c r="T971" s="50" t="s">
        <v>2636</v>
      </c>
      <c r="U971" s="51" t="s">
        <v>2636</v>
      </c>
      <c r="V971" s="52">
        <f t="shared" ref="V971:X971" si="977">IF(lenb(SUBSTITUTE($Z971,V$1&amp;" (1)",""))&lt;lenb($Z971),1,IF(lenb(SUBSTITUTE($Z971,V$1&amp;" (2)",""))&lt;lenb($Z971),2,IF(lenb(SUBSTITUTE($Z971,V$1&amp;" (3)",""))&lt;lenb($Z971),3,IF(lenb(SUBSTITUTE($Z971,V$1&amp;" (4)",""))&lt;lenb($Z971),4,IF(lenb(SUBSTITUTE($Z971,V$1&amp;" (5)",""))&lt;lenb($Z971),5,IF(lenb(SUBSTITUTE($Z971,V$1&amp;" (6)",""))&lt;lenb($Z971),6,IF(lenb(SUBSTITUTE($Z971,V$1&amp;" (7)",""))&lt;lenb($Z971),1,IF(lenb(SUBSTITUTE($Z971,V$1&amp;" (8)",""))&lt;lenb($Z971),8,IF(lenb(SUBSTITUTE($Z971,V$1&amp;" (9)",""))&lt;lenb($Z971),9,IF(lenb(SUBSTITUTE($Z971,V$1&amp;" (10)",""))&lt;lenb($Z971),10,IF(lenb(SUBSTITUTE($Z971,V$1,""))&lt;lenb($Z971),"ERROR",IF($Z971=$Y$1,"-",0))))))))))))</f>
        <v>1</v>
      </c>
      <c r="W971" s="52">
        <f t="shared" si="977"/>
        <v>0</v>
      </c>
      <c r="X971" s="52">
        <f t="shared" si="977"/>
        <v>0</v>
      </c>
      <c r="Y971" s="52" t="str">
        <f t="shared" si="3"/>
        <v>-</v>
      </c>
      <c r="Z971" s="52" t="s">
        <v>62</v>
      </c>
      <c r="AA971" s="53">
        <f t="shared" si="4"/>
        <v>1</v>
      </c>
      <c r="AB971" s="54">
        <f>COUNTIFS(Links!B:B,"ICSE",Links!C:C,A971,Links!AD:AD,1)</f>
        <v>0</v>
      </c>
      <c r="AC971" s="55" t="s">
        <v>35</v>
      </c>
      <c r="AD971" s="47" t="str">
        <f t="shared" si="5"/>
        <v>No</v>
      </c>
      <c r="AE971" s="56" t="s">
        <v>36</v>
      </c>
      <c r="AF971" s="57" t="s">
        <v>42</v>
      </c>
      <c r="AG971" s="57" t="s">
        <v>42</v>
      </c>
      <c r="AH971" s="57" t="s">
        <v>42</v>
      </c>
      <c r="AI971" s="49" t="str">
        <f t="shared" si="661"/>
        <v>----</v>
      </c>
      <c r="AJ971" s="58" t="str">
        <f t="shared" si="7"/>
        <v>Paper has link but no statement</v>
      </c>
      <c r="AK971" s="59">
        <v>44870.0</v>
      </c>
      <c r="AL971" s="43" t="s">
        <v>43</v>
      </c>
      <c r="AM971" s="60" t="str">
        <f t="shared" si="8"/>
        <v>[IP0138]</v>
      </c>
    </row>
    <row r="972" ht="67.5" customHeight="1">
      <c r="A972" s="61">
        <v>139.0</v>
      </c>
      <c r="B972" s="22" t="s">
        <v>2637</v>
      </c>
      <c r="C972" s="23">
        <v>2022.0</v>
      </c>
      <c r="D972" s="24" t="s">
        <v>37</v>
      </c>
      <c r="E972" s="25" t="s">
        <v>37</v>
      </c>
      <c r="F972" s="25" t="s">
        <v>35</v>
      </c>
      <c r="G972" s="25" t="s">
        <v>37</v>
      </c>
      <c r="H972" s="25" t="s">
        <v>35</v>
      </c>
      <c r="I972" s="25" t="s">
        <v>35</v>
      </c>
      <c r="J972" s="26" t="s">
        <v>36</v>
      </c>
      <c r="K972" s="82" t="s">
        <v>37</v>
      </c>
      <c r="L972" s="70" t="s">
        <v>35</v>
      </c>
      <c r="M972" s="70" t="s">
        <v>37</v>
      </c>
      <c r="N972" s="70" t="s">
        <v>35</v>
      </c>
      <c r="O972" s="70" t="s">
        <v>35</v>
      </c>
      <c r="P972" s="70" t="s">
        <v>35</v>
      </c>
      <c r="Q972" s="70" t="s">
        <v>35</v>
      </c>
      <c r="R972" s="70" t="s">
        <v>37</v>
      </c>
      <c r="S972" s="37" t="s">
        <v>2638</v>
      </c>
      <c r="T972" s="30" t="s">
        <v>2639</v>
      </c>
      <c r="U972" s="31" t="s">
        <v>2639</v>
      </c>
      <c r="V972" s="32">
        <f t="shared" ref="V972:X972" si="978">IF(lenb(SUBSTITUTE($Z972,V$1&amp;" (1)",""))&lt;lenb($Z972),1,IF(lenb(SUBSTITUTE($Z972,V$1&amp;" (2)",""))&lt;lenb($Z972),2,IF(lenb(SUBSTITUTE($Z972,V$1&amp;" (3)",""))&lt;lenb($Z972),3,IF(lenb(SUBSTITUTE($Z972,V$1&amp;" (4)",""))&lt;lenb($Z972),4,IF(lenb(SUBSTITUTE($Z972,V$1&amp;" (5)",""))&lt;lenb($Z972),5,IF(lenb(SUBSTITUTE($Z972,V$1&amp;" (6)",""))&lt;lenb($Z972),6,IF(lenb(SUBSTITUTE($Z972,V$1&amp;" (7)",""))&lt;lenb($Z972),1,IF(lenb(SUBSTITUTE($Z972,V$1&amp;" (8)",""))&lt;lenb($Z972),8,IF(lenb(SUBSTITUTE($Z972,V$1&amp;" (9)",""))&lt;lenb($Z972),9,IF(lenb(SUBSTITUTE($Z972,V$1&amp;" (10)",""))&lt;lenb($Z972),10,IF(lenb(SUBSTITUTE($Z972,V$1,""))&lt;lenb($Z972),"ERROR",IF($Z972=$Y$1,"-",0))))))))))))</f>
        <v>1</v>
      </c>
      <c r="W972" s="32">
        <f t="shared" si="978"/>
        <v>0</v>
      </c>
      <c r="X972" s="32">
        <f t="shared" si="978"/>
        <v>0</v>
      </c>
      <c r="Y972" s="32" t="str">
        <f t="shared" si="3"/>
        <v>-</v>
      </c>
      <c r="Z972" s="32" t="s">
        <v>62</v>
      </c>
      <c r="AA972" s="33">
        <f t="shared" si="4"/>
        <v>1</v>
      </c>
      <c r="AB972" s="34">
        <f>COUNTIFS(Links!B:B,"ICSE",Links!C:C,A972,Links!AD:AD,1)</f>
        <v>0</v>
      </c>
      <c r="AC972" s="35" t="s">
        <v>37</v>
      </c>
      <c r="AD972" s="27" t="str">
        <f t="shared" si="5"/>
        <v>No</v>
      </c>
      <c r="AE972" s="36" t="s">
        <v>36</v>
      </c>
      <c r="AF972" s="37" t="s">
        <v>42</v>
      </c>
      <c r="AG972" s="37" t="s">
        <v>42</v>
      </c>
      <c r="AH972" s="37" t="s">
        <v>42</v>
      </c>
      <c r="AI972" s="29" t="str">
        <f t="shared" si="661"/>
        <v>----</v>
      </c>
      <c r="AJ972" s="38" t="str">
        <f t="shared" si="7"/>
        <v>Paper has link but no statement</v>
      </c>
      <c r="AK972" s="39">
        <v>44870.0</v>
      </c>
      <c r="AL972" s="23" t="s">
        <v>43</v>
      </c>
      <c r="AM972" s="40" t="str">
        <f t="shared" si="8"/>
        <v>[IP0139]</v>
      </c>
    </row>
    <row r="973" ht="67.5" customHeight="1">
      <c r="A973" s="41">
        <v>140.0</v>
      </c>
      <c r="B973" s="42" t="s">
        <v>2640</v>
      </c>
      <c r="C973" s="43">
        <v>2022.0</v>
      </c>
      <c r="D973" s="44" t="s">
        <v>37</v>
      </c>
      <c r="E973" s="45" t="s">
        <v>35</v>
      </c>
      <c r="F973" s="45" t="s">
        <v>35</v>
      </c>
      <c r="G973" s="45" t="s">
        <v>37</v>
      </c>
      <c r="H973" s="45" t="s">
        <v>35</v>
      </c>
      <c r="I973" s="45" t="s">
        <v>35</v>
      </c>
      <c r="J973" s="46" t="s">
        <v>36</v>
      </c>
      <c r="K973" s="83" t="s">
        <v>37</v>
      </c>
      <c r="L973" s="71" t="s">
        <v>35</v>
      </c>
      <c r="M973" s="71" t="s">
        <v>35</v>
      </c>
      <c r="N973" s="71" t="s">
        <v>35</v>
      </c>
      <c r="O973" s="71" t="s">
        <v>35</v>
      </c>
      <c r="P973" s="71" t="s">
        <v>37</v>
      </c>
      <c r="Q973" s="48" t="s">
        <v>35</v>
      </c>
      <c r="R973" s="71" t="s">
        <v>37</v>
      </c>
      <c r="S973" s="57" t="s">
        <v>2641</v>
      </c>
      <c r="T973" s="50" t="s">
        <v>2642</v>
      </c>
      <c r="U973" s="51" t="s">
        <v>2642</v>
      </c>
      <c r="V973" s="52">
        <f t="shared" ref="V973:X973" si="979">IF(lenb(SUBSTITUTE($Z973,V$1&amp;" (1)",""))&lt;lenb($Z973),1,IF(lenb(SUBSTITUTE($Z973,V$1&amp;" (2)",""))&lt;lenb($Z973),2,IF(lenb(SUBSTITUTE($Z973,V$1&amp;" (3)",""))&lt;lenb($Z973),3,IF(lenb(SUBSTITUTE($Z973,V$1&amp;" (4)",""))&lt;lenb($Z973),4,IF(lenb(SUBSTITUTE($Z973,V$1&amp;" (5)",""))&lt;lenb($Z973),5,IF(lenb(SUBSTITUTE($Z973,V$1&amp;" (6)",""))&lt;lenb($Z973),6,IF(lenb(SUBSTITUTE($Z973,V$1&amp;" (7)",""))&lt;lenb($Z973),1,IF(lenb(SUBSTITUTE($Z973,V$1&amp;" (8)",""))&lt;lenb($Z973),8,IF(lenb(SUBSTITUTE($Z973,V$1&amp;" (9)",""))&lt;lenb($Z973),9,IF(lenb(SUBSTITUTE($Z973,V$1&amp;" (10)",""))&lt;lenb($Z973),10,IF(lenb(SUBSTITUTE($Z973,V$1,""))&lt;lenb($Z973),"ERROR",IF($Z973=$Y$1,"-",0))))))))))))</f>
        <v>1</v>
      </c>
      <c r="W973" s="52">
        <f t="shared" si="979"/>
        <v>0</v>
      </c>
      <c r="X973" s="52">
        <f t="shared" si="979"/>
        <v>0</v>
      </c>
      <c r="Y973" s="52" t="str">
        <f t="shared" si="3"/>
        <v>-</v>
      </c>
      <c r="Z973" s="52" t="s">
        <v>62</v>
      </c>
      <c r="AA973" s="53">
        <f t="shared" si="4"/>
        <v>1</v>
      </c>
      <c r="AB973" s="54">
        <f>COUNTIFS(Links!B:B,"ICSE",Links!C:C,A973,Links!AD:AD,1)</f>
        <v>0</v>
      </c>
      <c r="AC973" s="55" t="s">
        <v>35</v>
      </c>
      <c r="AD973" s="47" t="str">
        <f t="shared" si="5"/>
        <v>No</v>
      </c>
      <c r="AE973" s="56" t="s">
        <v>36</v>
      </c>
      <c r="AF973" s="57" t="s">
        <v>42</v>
      </c>
      <c r="AG973" s="57" t="s">
        <v>42</v>
      </c>
      <c r="AH973" s="57" t="s">
        <v>42</v>
      </c>
      <c r="AI973" s="49" t="str">
        <f t="shared" si="661"/>
        <v>----</v>
      </c>
      <c r="AJ973" s="58" t="str">
        <f t="shared" si="7"/>
        <v>Paper has link but no statement</v>
      </c>
      <c r="AK973" s="59">
        <v>44870.0</v>
      </c>
      <c r="AL973" s="43" t="s">
        <v>43</v>
      </c>
      <c r="AM973" s="60" t="str">
        <f t="shared" si="8"/>
        <v>[IP0140]</v>
      </c>
    </row>
    <row r="974" ht="67.5" customHeight="1">
      <c r="A974" s="61">
        <v>141.0</v>
      </c>
      <c r="B974" s="22" t="s">
        <v>2643</v>
      </c>
      <c r="C974" s="23">
        <v>2022.0</v>
      </c>
      <c r="D974" s="24" t="s">
        <v>35</v>
      </c>
      <c r="E974" s="25" t="s">
        <v>36</v>
      </c>
      <c r="F974" s="25" t="s">
        <v>36</v>
      </c>
      <c r="G974" s="25" t="s">
        <v>36</v>
      </c>
      <c r="H974" s="25" t="s">
        <v>36</v>
      </c>
      <c r="I974" s="25" t="s">
        <v>36</v>
      </c>
      <c r="J974" s="26" t="s">
        <v>36</v>
      </c>
      <c r="K974" s="82" t="s">
        <v>37</v>
      </c>
      <c r="L974" s="70" t="s">
        <v>35</v>
      </c>
      <c r="M974" s="70" t="s">
        <v>37</v>
      </c>
      <c r="N974" s="70" t="s">
        <v>37</v>
      </c>
      <c r="O974" s="70" t="s">
        <v>37</v>
      </c>
      <c r="P974" s="70" t="s">
        <v>35</v>
      </c>
      <c r="Q974" s="70" t="s">
        <v>35</v>
      </c>
      <c r="R974" s="70" t="s">
        <v>35</v>
      </c>
      <c r="S974" s="37" t="s">
        <v>2644</v>
      </c>
      <c r="T974" s="30" t="s">
        <v>2645</v>
      </c>
      <c r="U974" s="31" t="s">
        <v>2645</v>
      </c>
      <c r="V974" s="32">
        <f t="shared" ref="V974:X974" si="980">IF(lenb(SUBSTITUTE($Z974,V$1&amp;" (1)",""))&lt;lenb($Z974),1,IF(lenb(SUBSTITUTE($Z974,V$1&amp;" (2)",""))&lt;lenb($Z974),2,IF(lenb(SUBSTITUTE($Z974,V$1&amp;" (3)",""))&lt;lenb($Z974),3,IF(lenb(SUBSTITUTE($Z974,V$1&amp;" (4)",""))&lt;lenb($Z974),4,IF(lenb(SUBSTITUTE($Z974,V$1&amp;" (5)",""))&lt;lenb($Z974),5,IF(lenb(SUBSTITUTE($Z974,V$1&amp;" (6)",""))&lt;lenb($Z974),6,IF(lenb(SUBSTITUTE($Z974,V$1&amp;" (7)",""))&lt;lenb($Z974),1,IF(lenb(SUBSTITUTE($Z974,V$1&amp;" (8)",""))&lt;lenb($Z974),8,IF(lenb(SUBSTITUTE($Z974,V$1&amp;" (9)",""))&lt;lenb($Z974),9,IF(lenb(SUBSTITUTE($Z974,V$1&amp;" (10)",""))&lt;lenb($Z974),10,IF(lenb(SUBSTITUTE($Z974,V$1,""))&lt;lenb($Z974),"ERROR",IF($Z974=$Y$1,"-",0))))))))))))</f>
        <v>1</v>
      </c>
      <c r="W974" s="32">
        <f t="shared" si="980"/>
        <v>0</v>
      </c>
      <c r="X974" s="32">
        <f t="shared" si="980"/>
        <v>0</v>
      </c>
      <c r="Y974" s="32" t="str">
        <f t="shared" si="3"/>
        <v>-</v>
      </c>
      <c r="Z974" s="32" t="s">
        <v>62</v>
      </c>
      <c r="AA974" s="33">
        <f t="shared" si="4"/>
        <v>1</v>
      </c>
      <c r="AB974" s="34">
        <f>COUNTIFS(Links!B:B,"ICSE",Links!C:C,A974,Links!AD:AD,1)</f>
        <v>0</v>
      </c>
      <c r="AC974" s="35" t="s">
        <v>35</v>
      </c>
      <c r="AD974" s="27" t="str">
        <f t="shared" si="5"/>
        <v>No</v>
      </c>
      <c r="AE974" s="36" t="s">
        <v>36</v>
      </c>
      <c r="AF974" s="37" t="s">
        <v>42</v>
      </c>
      <c r="AG974" s="37" t="s">
        <v>42</v>
      </c>
      <c r="AH974" s="37" t="s">
        <v>42</v>
      </c>
      <c r="AI974" s="29" t="str">
        <f t="shared" si="661"/>
        <v>----</v>
      </c>
      <c r="AJ974" s="38" t="str">
        <f t="shared" si="7"/>
        <v>Paper has link but no statement</v>
      </c>
      <c r="AK974" s="39">
        <v>44870.0</v>
      </c>
      <c r="AL974" s="23" t="s">
        <v>43</v>
      </c>
      <c r="AM974" s="40" t="str">
        <f t="shared" si="8"/>
        <v>[IP0141]</v>
      </c>
    </row>
    <row r="975" ht="67.5" customHeight="1">
      <c r="A975" s="41">
        <v>142.0</v>
      </c>
      <c r="B975" s="42" t="s">
        <v>2646</v>
      </c>
      <c r="C975" s="43">
        <v>2022.0</v>
      </c>
      <c r="D975" s="44" t="s">
        <v>37</v>
      </c>
      <c r="E975" s="45" t="s">
        <v>37</v>
      </c>
      <c r="F975" s="45" t="s">
        <v>35</v>
      </c>
      <c r="G975" s="45" t="s">
        <v>37</v>
      </c>
      <c r="H975" s="45" t="s">
        <v>35</v>
      </c>
      <c r="I975" s="45" t="s">
        <v>35</v>
      </c>
      <c r="J975" s="46" t="s">
        <v>36</v>
      </c>
      <c r="K975" s="83" t="s">
        <v>37</v>
      </c>
      <c r="L975" s="71" t="s">
        <v>35</v>
      </c>
      <c r="M975" s="71" t="s">
        <v>35</v>
      </c>
      <c r="N975" s="71" t="s">
        <v>35</v>
      </c>
      <c r="O975" s="71" t="s">
        <v>35</v>
      </c>
      <c r="P975" s="71" t="s">
        <v>35</v>
      </c>
      <c r="Q975" s="71" t="s">
        <v>37</v>
      </c>
      <c r="R975" s="71" t="s">
        <v>35</v>
      </c>
      <c r="S975" s="57" t="s">
        <v>2647</v>
      </c>
      <c r="T975" s="50" t="s">
        <v>2648</v>
      </c>
      <c r="U975" s="51" t="s">
        <v>2648</v>
      </c>
      <c r="V975" s="52">
        <f t="shared" ref="V975:X975" si="981">IF(lenb(SUBSTITUTE($Z975,V$1&amp;" (1)",""))&lt;lenb($Z975),1,IF(lenb(SUBSTITUTE($Z975,V$1&amp;" (2)",""))&lt;lenb($Z975),2,IF(lenb(SUBSTITUTE($Z975,V$1&amp;" (3)",""))&lt;lenb($Z975),3,IF(lenb(SUBSTITUTE($Z975,V$1&amp;" (4)",""))&lt;lenb($Z975),4,IF(lenb(SUBSTITUTE($Z975,V$1&amp;" (5)",""))&lt;lenb($Z975),5,IF(lenb(SUBSTITUTE($Z975,V$1&amp;" (6)",""))&lt;lenb($Z975),6,IF(lenb(SUBSTITUTE($Z975,V$1&amp;" (7)",""))&lt;lenb($Z975),1,IF(lenb(SUBSTITUTE($Z975,V$1&amp;" (8)",""))&lt;lenb($Z975),8,IF(lenb(SUBSTITUTE($Z975,V$1&amp;" (9)",""))&lt;lenb($Z975),9,IF(lenb(SUBSTITUTE($Z975,V$1&amp;" (10)",""))&lt;lenb($Z975),10,IF(lenb(SUBSTITUTE($Z975,V$1,""))&lt;lenb($Z975),"ERROR",IF($Z975=$Y$1,"-",0))))))))))))</f>
        <v>1</v>
      </c>
      <c r="W975" s="52">
        <f t="shared" si="981"/>
        <v>0</v>
      </c>
      <c r="X975" s="52">
        <f t="shared" si="981"/>
        <v>0</v>
      </c>
      <c r="Y975" s="52" t="str">
        <f t="shared" si="3"/>
        <v>-</v>
      </c>
      <c r="Z975" s="52" t="s">
        <v>62</v>
      </c>
      <c r="AA975" s="53">
        <f t="shared" si="4"/>
        <v>1</v>
      </c>
      <c r="AB975" s="54">
        <f>COUNTIFS(Links!B:B,"ICSE",Links!C:C,A975,Links!AD:AD,1)</f>
        <v>0</v>
      </c>
      <c r="AC975" s="55" t="s">
        <v>37</v>
      </c>
      <c r="AD975" s="47" t="str">
        <f t="shared" si="5"/>
        <v>No</v>
      </c>
      <c r="AE975" s="56" t="s">
        <v>36</v>
      </c>
      <c r="AF975" s="57" t="s">
        <v>42</v>
      </c>
      <c r="AG975" s="57" t="s">
        <v>42</v>
      </c>
      <c r="AH975" s="57" t="s">
        <v>42</v>
      </c>
      <c r="AI975" s="49" t="str">
        <f t="shared" si="661"/>
        <v>----</v>
      </c>
      <c r="AJ975" s="58" t="str">
        <f t="shared" si="7"/>
        <v>Paper has link but no statement</v>
      </c>
      <c r="AK975" s="59">
        <v>44870.0</v>
      </c>
      <c r="AL975" s="43" t="s">
        <v>43</v>
      </c>
      <c r="AM975" s="60" t="str">
        <f t="shared" si="8"/>
        <v>[IP0142]</v>
      </c>
    </row>
    <row r="976" ht="67.5" customHeight="1">
      <c r="A976" s="61">
        <v>143.0</v>
      </c>
      <c r="B976" s="22" t="s">
        <v>2649</v>
      </c>
      <c r="C976" s="23">
        <v>2022.0</v>
      </c>
      <c r="D976" s="24" t="s">
        <v>35</v>
      </c>
      <c r="E976" s="25" t="s">
        <v>36</v>
      </c>
      <c r="F976" s="25" t="s">
        <v>36</v>
      </c>
      <c r="G976" s="25" t="s">
        <v>36</v>
      </c>
      <c r="H976" s="25" t="s">
        <v>36</v>
      </c>
      <c r="I976" s="25" t="s">
        <v>36</v>
      </c>
      <c r="J976" s="26" t="s">
        <v>36</v>
      </c>
      <c r="K976" s="82" t="s">
        <v>37</v>
      </c>
      <c r="L976" s="70" t="s">
        <v>35</v>
      </c>
      <c r="M976" s="70" t="s">
        <v>37</v>
      </c>
      <c r="N976" s="70" t="s">
        <v>37</v>
      </c>
      <c r="O976" s="70" t="s">
        <v>35</v>
      </c>
      <c r="P976" s="70" t="s">
        <v>35</v>
      </c>
      <c r="Q976" s="70" t="s">
        <v>35</v>
      </c>
      <c r="R976" s="70" t="s">
        <v>37</v>
      </c>
      <c r="S976" s="37" t="s">
        <v>2650</v>
      </c>
      <c r="T976" s="30" t="s">
        <v>2651</v>
      </c>
      <c r="U976" s="31" t="s">
        <v>2651</v>
      </c>
      <c r="V976" s="32">
        <f t="shared" ref="V976:X976" si="982">IF(lenb(SUBSTITUTE($Z976,V$1&amp;" (1)",""))&lt;lenb($Z976),1,IF(lenb(SUBSTITUTE($Z976,V$1&amp;" (2)",""))&lt;lenb($Z976),2,IF(lenb(SUBSTITUTE($Z976,V$1&amp;" (3)",""))&lt;lenb($Z976),3,IF(lenb(SUBSTITUTE($Z976,V$1&amp;" (4)",""))&lt;lenb($Z976),4,IF(lenb(SUBSTITUTE($Z976,V$1&amp;" (5)",""))&lt;lenb($Z976),5,IF(lenb(SUBSTITUTE($Z976,V$1&amp;" (6)",""))&lt;lenb($Z976),6,IF(lenb(SUBSTITUTE($Z976,V$1&amp;" (7)",""))&lt;lenb($Z976),1,IF(lenb(SUBSTITUTE($Z976,V$1&amp;" (8)",""))&lt;lenb($Z976),8,IF(lenb(SUBSTITUTE($Z976,V$1&amp;" (9)",""))&lt;lenb($Z976),9,IF(lenb(SUBSTITUTE($Z976,V$1&amp;" (10)",""))&lt;lenb($Z976),10,IF(lenb(SUBSTITUTE($Z976,V$1,""))&lt;lenb($Z976),"ERROR",IF($Z976=$Y$1,"-",0))))))))))))</f>
        <v>1</v>
      </c>
      <c r="W976" s="32">
        <f t="shared" si="982"/>
        <v>0</v>
      </c>
      <c r="X976" s="32">
        <f t="shared" si="982"/>
        <v>0</v>
      </c>
      <c r="Y976" s="32" t="str">
        <f t="shared" si="3"/>
        <v>-</v>
      </c>
      <c r="Z976" s="32" t="s">
        <v>62</v>
      </c>
      <c r="AA976" s="33">
        <f t="shared" si="4"/>
        <v>1</v>
      </c>
      <c r="AB976" s="34">
        <f>COUNTIFS(Links!B:B,"ICSE",Links!C:C,A976,Links!AD:AD,1)</f>
        <v>0</v>
      </c>
      <c r="AC976" s="35" t="s">
        <v>35</v>
      </c>
      <c r="AD976" s="27" t="str">
        <f t="shared" si="5"/>
        <v>No</v>
      </c>
      <c r="AE976" s="36" t="s">
        <v>36</v>
      </c>
      <c r="AF976" s="37" t="s">
        <v>42</v>
      </c>
      <c r="AG976" s="37" t="s">
        <v>42</v>
      </c>
      <c r="AH976" s="37" t="s">
        <v>42</v>
      </c>
      <c r="AI976" s="29" t="str">
        <f t="shared" si="661"/>
        <v>----</v>
      </c>
      <c r="AJ976" s="38" t="str">
        <f t="shared" si="7"/>
        <v>Paper has link but no statement</v>
      </c>
      <c r="AK976" s="39">
        <v>44870.0</v>
      </c>
      <c r="AL976" s="23" t="s">
        <v>43</v>
      </c>
      <c r="AM976" s="40" t="str">
        <f t="shared" si="8"/>
        <v>[IP0143]</v>
      </c>
    </row>
    <row r="977" ht="67.5" customHeight="1">
      <c r="A977" s="41">
        <v>144.0</v>
      </c>
      <c r="B977" s="42" t="s">
        <v>2652</v>
      </c>
      <c r="C977" s="43">
        <v>2022.0</v>
      </c>
      <c r="D977" s="44" t="s">
        <v>37</v>
      </c>
      <c r="E977" s="45" t="s">
        <v>37</v>
      </c>
      <c r="F977" s="45" t="s">
        <v>35</v>
      </c>
      <c r="G977" s="45" t="s">
        <v>35</v>
      </c>
      <c r="H977" s="45" t="s">
        <v>35</v>
      </c>
      <c r="I977" s="45" t="s">
        <v>35</v>
      </c>
      <c r="J977" s="46" t="s">
        <v>36</v>
      </c>
      <c r="K977" s="83" t="s">
        <v>37</v>
      </c>
      <c r="L977" s="71" t="s">
        <v>35</v>
      </c>
      <c r="M977" s="71" t="s">
        <v>35</v>
      </c>
      <c r="N977" s="71" t="s">
        <v>35</v>
      </c>
      <c r="O977" s="71" t="s">
        <v>35</v>
      </c>
      <c r="P977" s="71" t="s">
        <v>35</v>
      </c>
      <c r="Q977" s="71" t="s">
        <v>37</v>
      </c>
      <c r="R977" s="71" t="s">
        <v>35</v>
      </c>
      <c r="S977" s="57" t="s">
        <v>2653</v>
      </c>
      <c r="T977" s="50" t="s">
        <v>2654</v>
      </c>
      <c r="U977" s="51" t="s">
        <v>2655</v>
      </c>
      <c r="V977" s="52">
        <f t="shared" ref="V977:X977" si="983">IF(lenb(SUBSTITUTE($Z977,V$1&amp;" (1)",""))&lt;lenb($Z977),1,IF(lenb(SUBSTITUTE($Z977,V$1&amp;" (2)",""))&lt;lenb($Z977),2,IF(lenb(SUBSTITUTE($Z977,V$1&amp;" (3)",""))&lt;lenb($Z977),3,IF(lenb(SUBSTITUTE($Z977,V$1&amp;" (4)",""))&lt;lenb($Z977),4,IF(lenb(SUBSTITUTE($Z977,V$1&amp;" (5)",""))&lt;lenb($Z977),5,IF(lenb(SUBSTITUTE($Z977,V$1&amp;" (6)",""))&lt;lenb($Z977),6,IF(lenb(SUBSTITUTE($Z977,V$1&amp;" (7)",""))&lt;lenb($Z977),1,IF(lenb(SUBSTITUTE($Z977,V$1&amp;" (8)",""))&lt;lenb($Z977),8,IF(lenb(SUBSTITUTE($Z977,V$1&amp;" (9)",""))&lt;lenb($Z977),9,IF(lenb(SUBSTITUTE($Z977,V$1&amp;" (10)",""))&lt;lenb($Z977),10,IF(lenb(SUBSTITUTE($Z977,V$1,""))&lt;lenb($Z977),"ERROR",IF($Z977=$Y$1,"-",0))))))))))))</f>
        <v>2</v>
      </c>
      <c r="W977" s="52">
        <f t="shared" si="983"/>
        <v>0</v>
      </c>
      <c r="X977" s="52">
        <f t="shared" si="983"/>
        <v>0</v>
      </c>
      <c r="Y977" s="52" t="str">
        <f t="shared" si="3"/>
        <v>-</v>
      </c>
      <c r="Z977" s="52" t="s">
        <v>57</v>
      </c>
      <c r="AA977" s="53">
        <f t="shared" si="4"/>
        <v>2</v>
      </c>
      <c r="AB977" s="54">
        <f>COUNTIFS(Links!B:B,"ICSE",Links!C:C,A977,Links!AD:AD,1)</f>
        <v>0</v>
      </c>
      <c r="AC977" s="55" t="s">
        <v>37</v>
      </c>
      <c r="AD977" s="47" t="str">
        <f t="shared" si="5"/>
        <v>No</v>
      </c>
      <c r="AE977" s="56" t="s">
        <v>36</v>
      </c>
      <c r="AF977" s="57" t="s">
        <v>42</v>
      </c>
      <c r="AG977" s="57" t="s">
        <v>42</v>
      </c>
      <c r="AH977" s="57" t="s">
        <v>42</v>
      </c>
      <c r="AI977" s="49" t="str">
        <f t="shared" si="661"/>
        <v>----</v>
      </c>
      <c r="AJ977" s="58" t="str">
        <f t="shared" si="7"/>
        <v>Paper has link but no statement</v>
      </c>
      <c r="AK977" s="59">
        <v>44870.0</v>
      </c>
      <c r="AL977" s="43" t="s">
        <v>43</v>
      </c>
      <c r="AM977" s="60" t="str">
        <f t="shared" si="8"/>
        <v>[IP0144]</v>
      </c>
    </row>
    <row r="978" ht="67.5" customHeight="1">
      <c r="A978" s="21">
        <v>145.0</v>
      </c>
      <c r="B978" s="22" t="s">
        <v>2656</v>
      </c>
      <c r="C978" s="23">
        <v>2022.0</v>
      </c>
      <c r="D978" s="24" t="s">
        <v>35</v>
      </c>
      <c r="E978" s="25" t="s">
        <v>36</v>
      </c>
      <c r="F978" s="25" t="s">
        <v>36</v>
      </c>
      <c r="G978" s="25" t="s">
        <v>36</v>
      </c>
      <c r="H978" s="25" t="s">
        <v>36</v>
      </c>
      <c r="I978" s="25" t="s">
        <v>36</v>
      </c>
      <c r="J978" s="26" t="s">
        <v>36</v>
      </c>
      <c r="K978" s="82" t="s">
        <v>35</v>
      </c>
      <c r="L978" s="70" t="s">
        <v>36</v>
      </c>
      <c r="M978" s="70" t="s">
        <v>36</v>
      </c>
      <c r="N978" s="70" t="s">
        <v>36</v>
      </c>
      <c r="O978" s="70" t="s">
        <v>36</v>
      </c>
      <c r="P978" s="70" t="s">
        <v>36</v>
      </c>
      <c r="Q978" s="70" t="s">
        <v>36</v>
      </c>
      <c r="R978" s="70" t="s">
        <v>36</v>
      </c>
      <c r="S978" s="37" t="s">
        <v>36</v>
      </c>
      <c r="T978" s="30" t="s">
        <v>36</v>
      </c>
      <c r="U978" s="31" t="s">
        <v>36</v>
      </c>
      <c r="V978" s="32" t="str">
        <f t="shared" ref="V978:X978" si="984">IF(lenb(SUBSTITUTE($Z978,V$1&amp;" (1)",""))&lt;lenb($Z978),1,IF(lenb(SUBSTITUTE($Z978,V$1&amp;" (2)",""))&lt;lenb($Z978),2,IF(lenb(SUBSTITUTE($Z978,V$1&amp;" (3)",""))&lt;lenb($Z978),3,IF(lenb(SUBSTITUTE($Z978,V$1&amp;" (4)",""))&lt;lenb($Z978),4,IF(lenb(SUBSTITUTE($Z978,V$1&amp;" (5)",""))&lt;lenb($Z978),5,IF(lenb(SUBSTITUTE($Z978,V$1&amp;" (6)",""))&lt;lenb($Z978),6,IF(lenb(SUBSTITUTE($Z978,V$1&amp;" (7)",""))&lt;lenb($Z978),1,IF(lenb(SUBSTITUTE($Z978,V$1&amp;" (8)",""))&lt;lenb($Z978),8,IF(lenb(SUBSTITUTE($Z978,V$1&amp;" (9)",""))&lt;lenb($Z978),9,IF(lenb(SUBSTITUTE($Z978,V$1&amp;" (10)",""))&lt;lenb($Z978),10,IF(lenb(SUBSTITUTE($Z978,V$1,""))&lt;lenb($Z978),"ERROR",IF($Z978=$Y$1,"-",0))))))))))))</f>
        <v>-</v>
      </c>
      <c r="W978" s="32" t="str">
        <f t="shared" si="984"/>
        <v>-</v>
      </c>
      <c r="X978" s="32" t="str">
        <f t="shared" si="984"/>
        <v>-</v>
      </c>
      <c r="Y978" s="32">
        <f t="shared" si="3"/>
        <v>1</v>
      </c>
      <c r="Z978" s="32" t="s">
        <v>23</v>
      </c>
      <c r="AA978" s="33">
        <f t="shared" si="4"/>
        <v>0</v>
      </c>
      <c r="AB978" s="34">
        <f>COUNTIFS(Links!B:B,"ICSE",Links!C:C,A978,Links!AD:AD,1)</f>
        <v>0</v>
      </c>
      <c r="AC978" s="35" t="s">
        <v>36</v>
      </c>
      <c r="AD978" s="27" t="str">
        <f t="shared" si="5"/>
        <v>No</v>
      </c>
      <c r="AE978" s="36" t="s">
        <v>36</v>
      </c>
      <c r="AF978" s="37" t="s">
        <v>42</v>
      </c>
      <c r="AG978" s="37" t="s">
        <v>42</v>
      </c>
      <c r="AH978" s="37" t="s">
        <v>42</v>
      </c>
      <c r="AI978" s="29" t="str">
        <f t="shared" si="661"/>
        <v>----</v>
      </c>
      <c r="AJ978" s="38" t="str">
        <f t="shared" si="7"/>
        <v>Paper has no link and no statement</v>
      </c>
      <c r="AK978" s="39">
        <v>44870.0</v>
      </c>
      <c r="AL978" s="23" t="s">
        <v>43</v>
      </c>
      <c r="AM978" s="40" t="str">
        <f t="shared" si="8"/>
        <v>[IP0145]</v>
      </c>
    </row>
    <row r="979" ht="67.5" customHeight="1">
      <c r="A979" s="41">
        <v>146.0</v>
      </c>
      <c r="B979" s="42" t="s">
        <v>2657</v>
      </c>
      <c r="C979" s="43">
        <v>2022.0</v>
      </c>
      <c r="D979" s="44" t="s">
        <v>37</v>
      </c>
      <c r="E979" s="45" t="s">
        <v>37</v>
      </c>
      <c r="F979" s="45" t="s">
        <v>35</v>
      </c>
      <c r="G979" s="45" t="s">
        <v>37</v>
      </c>
      <c r="H979" s="45" t="s">
        <v>35</v>
      </c>
      <c r="I979" s="45" t="s">
        <v>35</v>
      </c>
      <c r="J979" s="46" t="s">
        <v>36</v>
      </c>
      <c r="K979" s="83" t="s">
        <v>37</v>
      </c>
      <c r="L979" s="71" t="s">
        <v>35</v>
      </c>
      <c r="M979" s="71" t="s">
        <v>35</v>
      </c>
      <c r="N979" s="71" t="s">
        <v>37</v>
      </c>
      <c r="O979" s="71" t="s">
        <v>35</v>
      </c>
      <c r="P979" s="71" t="s">
        <v>35</v>
      </c>
      <c r="Q979" s="71" t="s">
        <v>35</v>
      </c>
      <c r="R979" s="71" t="s">
        <v>35</v>
      </c>
      <c r="S979" s="57" t="s">
        <v>944</v>
      </c>
      <c r="T979" s="51" t="s">
        <v>2658</v>
      </c>
      <c r="U979" s="51" t="s">
        <v>2658</v>
      </c>
      <c r="V979" s="52">
        <f t="shared" ref="V979:X979" si="985">IF(lenb(SUBSTITUTE($Z979,V$1&amp;" (1)",""))&lt;lenb($Z979),1,IF(lenb(SUBSTITUTE($Z979,V$1&amp;" (2)",""))&lt;lenb($Z979),2,IF(lenb(SUBSTITUTE($Z979,V$1&amp;" (3)",""))&lt;lenb($Z979),3,IF(lenb(SUBSTITUTE($Z979,V$1&amp;" (4)",""))&lt;lenb($Z979),4,IF(lenb(SUBSTITUTE($Z979,V$1&amp;" (5)",""))&lt;lenb($Z979),5,IF(lenb(SUBSTITUTE($Z979,V$1&amp;" (6)",""))&lt;lenb($Z979),6,IF(lenb(SUBSTITUTE($Z979,V$1&amp;" (7)",""))&lt;lenb($Z979),1,IF(lenb(SUBSTITUTE($Z979,V$1&amp;" (8)",""))&lt;lenb($Z979),8,IF(lenb(SUBSTITUTE($Z979,V$1&amp;" (9)",""))&lt;lenb($Z979),9,IF(lenb(SUBSTITUTE($Z979,V$1&amp;" (10)",""))&lt;lenb($Z979),10,IF(lenb(SUBSTITUTE($Z979,V$1,""))&lt;lenb($Z979),"ERROR",IF($Z979=$Y$1,"-",0))))))))))))</f>
        <v>1</v>
      </c>
      <c r="W979" s="52">
        <f t="shared" si="985"/>
        <v>0</v>
      </c>
      <c r="X979" s="52">
        <f t="shared" si="985"/>
        <v>0</v>
      </c>
      <c r="Y979" s="52" t="str">
        <f t="shared" si="3"/>
        <v>-</v>
      </c>
      <c r="Z979" s="52" t="s">
        <v>62</v>
      </c>
      <c r="AA979" s="53">
        <f t="shared" si="4"/>
        <v>1</v>
      </c>
      <c r="AB979" s="54">
        <f>COUNTIFS(Links!B:B,"ICSE",Links!C:C,A979,Links!AD:AD,1)</f>
        <v>0</v>
      </c>
      <c r="AC979" s="55" t="s">
        <v>35</v>
      </c>
      <c r="AD979" s="47" t="str">
        <f t="shared" si="5"/>
        <v>No</v>
      </c>
      <c r="AE979" s="56" t="s">
        <v>36</v>
      </c>
      <c r="AF979" s="57" t="s">
        <v>42</v>
      </c>
      <c r="AG979" s="57" t="s">
        <v>42</v>
      </c>
      <c r="AH979" s="57" t="s">
        <v>42</v>
      </c>
      <c r="AI979" s="49" t="str">
        <f t="shared" si="661"/>
        <v>----</v>
      </c>
      <c r="AJ979" s="58" t="str">
        <f t="shared" si="7"/>
        <v>Paper has link but no statement</v>
      </c>
      <c r="AK979" s="59">
        <v>44870.0</v>
      </c>
      <c r="AL979" s="43" t="s">
        <v>43</v>
      </c>
      <c r="AM979" s="60" t="str">
        <f t="shared" si="8"/>
        <v>[IP0146]</v>
      </c>
    </row>
    <row r="980" ht="67.5" customHeight="1">
      <c r="A980" s="61">
        <v>147.0</v>
      </c>
      <c r="B980" s="22" t="s">
        <v>2659</v>
      </c>
      <c r="C980" s="23">
        <v>2022.0</v>
      </c>
      <c r="D980" s="24" t="s">
        <v>37</v>
      </c>
      <c r="E980" s="25" t="s">
        <v>37</v>
      </c>
      <c r="F980" s="25" t="s">
        <v>35</v>
      </c>
      <c r="G980" s="25" t="s">
        <v>37</v>
      </c>
      <c r="H980" s="25" t="s">
        <v>35</v>
      </c>
      <c r="I980" s="25" t="s">
        <v>35</v>
      </c>
      <c r="J980" s="26" t="s">
        <v>36</v>
      </c>
      <c r="K980" s="82" t="s">
        <v>37</v>
      </c>
      <c r="L980" s="70" t="s">
        <v>37</v>
      </c>
      <c r="M980" s="70" t="s">
        <v>35</v>
      </c>
      <c r="N980" s="70" t="s">
        <v>35</v>
      </c>
      <c r="O980" s="70" t="s">
        <v>35</v>
      </c>
      <c r="P980" s="70" t="s">
        <v>35</v>
      </c>
      <c r="Q980" s="70" t="s">
        <v>35</v>
      </c>
      <c r="R980" s="70" t="s">
        <v>37</v>
      </c>
      <c r="S980" s="37" t="s">
        <v>2660</v>
      </c>
      <c r="T980" s="30" t="s">
        <v>2661</v>
      </c>
      <c r="U980" s="31" t="s">
        <v>2661</v>
      </c>
      <c r="V980" s="32">
        <f t="shared" ref="V980:X980" si="986">IF(lenb(SUBSTITUTE($Z980,V$1&amp;" (1)",""))&lt;lenb($Z980),1,IF(lenb(SUBSTITUTE($Z980,V$1&amp;" (2)",""))&lt;lenb($Z980),2,IF(lenb(SUBSTITUTE($Z980,V$1&amp;" (3)",""))&lt;lenb($Z980),3,IF(lenb(SUBSTITUTE($Z980,V$1&amp;" (4)",""))&lt;lenb($Z980),4,IF(lenb(SUBSTITUTE($Z980,V$1&amp;" (5)",""))&lt;lenb($Z980),5,IF(lenb(SUBSTITUTE($Z980,V$1&amp;" (6)",""))&lt;lenb($Z980),6,IF(lenb(SUBSTITUTE($Z980,V$1&amp;" (7)",""))&lt;lenb($Z980),1,IF(lenb(SUBSTITUTE($Z980,V$1&amp;" (8)",""))&lt;lenb($Z980),8,IF(lenb(SUBSTITUTE($Z980,V$1&amp;" (9)",""))&lt;lenb($Z980),9,IF(lenb(SUBSTITUTE($Z980,V$1&amp;" (10)",""))&lt;lenb($Z980),10,IF(lenb(SUBSTITUTE($Z980,V$1,""))&lt;lenb($Z980),"ERROR",IF($Z980=$Y$1,"-",0))))))))))))</f>
        <v>1</v>
      </c>
      <c r="W980" s="32">
        <f t="shared" si="986"/>
        <v>0</v>
      </c>
      <c r="X980" s="32">
        <f t="shared" si="986"/>
        <v>0</v>
      </c>
      <c r="Y980" s="32" t="str">
        <f t="shared" si="3"/>
        <v>-</v>
      </c>
      <c r="Z980" s="32" t="s">
        <v>62</v>
      </c>
      <c r="AA980" s="33">
        <f t="shared" si="4"/>
        <v>1</v>
      </c>
      <c r="AB980" s="34">
        <f>COUNTIFS(Links!B:B,"ICSE",Links!C:C,A980,Links!AD:AD,1)</f>
        <v>0</v>
      </c>
      <c r="AC980" s="35" t="s">
        <v>35</v>
      </c>
      <c r="AD980" s="27" t="str">
        <f t="shared" si="5"/>
        <v>Yes</v>
      </c>
      <c r="AE980" s="36" t="s">
        <v>2662</v>
      </c>
      <c r="AF980" s="36" t="s">
        <v>281</v>
      </c>
      <c r="AG980" s="37" t="s">
        <v>42</v>
      </c>
      <c r="AH980" s="37" t="s">
        <v>42</v>
      </c>
      <c r="AI980" s="29" t="str">
        <f t="shared" si="661"/>
        <v>Barriers (Confidentiality and privacy)</v>
      </c>
      <c r="AJ980" s="38" t="str">
        <f t="shared" si="7"/>
        <v>Paper has link and statement</v>
      </c>
      <c r="AK980" s="39">
        <v>44871.0</v>
      </c>
      <c r="AL980" s="23" t="s">
        <v>43</v>
      </c>
      <c r="AM980" s="40" t="str">
        <f t="shared" si="8"/>
        <v>[IP0147]</v>
      </c>
    </row>
    <row r="981" ht="67.5" customHeight="1">
      <c r="A981" s="41">
        <v>148.0</v>
      </c>
      <c r="B981" s="42" t="s">
        <v>2663</v>
      </c>
      <c r="C981" s="43">
        <v>2022.0</v>
      </c>
      <c r="D981" s="44" t="s">
        <v>37</v>
      </c>
      <c r="E981" s="45" t="s">
        <v>37</v>
      </c>
      <c r="F981" s="45" t="s">
        <v>35</v>
      </c>
      <c r="G981" s="45" t="s">
        <v>35</v>
      </c>
      <c r="H981" s="45" t="s">
        <v>35</v>
      </c>
      <c r="I981" s="45" t="s">
        <v>35</v>
      </c>
      <c r="J981" s="46" t="s">
        <v>36</v>
      </c>
      <c r="K981" s="83" t="s">
        <v>37</v>
      </c>
      <c r="L981" s="71" t="s">
        <v>35</v>
      </c>
      <c r="M981" s="71" t="s">
        <v>35</v>
      </c>
      <c r="N981" s="71" t="s">
        <v>35</v>
      </c>
      <c r="O981" s="71" t="s">
        <v>35</v>
      </c>
      <c r="P981" s="71" t="s">
        <v>35</v>
      </c>
      <c r="Q981" s="71" t="s">
        <v>37</v>
      </c>
      <c r="R981" s="71" t="s">
        <v>35</v>
      </c>
      <c r="S981" s="57" t="s">
        <v>2540</v>
      </c>
      <c r="T981" s="50" t="s">
        <v>2664</v>
      </c>
      <c r="U981" s="51" t="s">
        <v>2664</v>
      </c>
      <c r="V981" s="52">
        <f t="shared" ref="V981:X981" si="987">IF(lenb(SUBSTITUTE($Z981,V$1&amp;" (1)",""))&lt;lenb($Z981),1,IF(lenb(SUBSTITUTE($Z981,V$1&amp;" (2)",""))&lt;lenb($Z981),2,IF(lenb(SUBSTITUTE($Z981,V$1&amp;" (3)",""))&lt;lenb($Z981),3,IF(lenb(SUBSTITUTE($Z981,V$1&amp;" (4)",""))&lt;lenb($Z981),4,IF(lenb(SUBSTITUTE($Z981,V$1&amp;" (5)",""))&lt;lenb($Z981),5,IF(lenb(SUBSTITUTE($Z981,V$1&amp;" (6)",""))&lt;lenb($Z981),6,IF(lenb(SUBSTITUTE($Z981,V$1&amp;" (7)",""))&lt;lenb($Z981),1,IF(lenb(SUBSTITUTE($Z981,V$1&amp;" (8)",""))&lt;lenb($Z981),8,IF(lenb(SUBSTITUTE($Z981,V$1&amp;" (9)",""))&lt;lenb($Z981),9,IF(lenb(SUBSTITUTE($Z981,V$1&amp;" (10)",""))&lt;lenb($Z981),10,IF(lenb(SUBSTITUTE($Z981,V$1,""))&lt;lenb($Z981),"ERROR",IF($Z981=$Y$1,"-",0))))))))))))</f>
        <v>1</v>
      </c>
      <c r="W981" s="52">
        <f t="shared" si="987"/>
        <v>0</v>
      </c>
      <c r="X981" s="52">
        <f t="shared" si="987"/>
        <v>0</v>
      </c>
      <c r="Y981" s="52" t="str">
        <f t="shared" si="3"/>
        <v>-</v>
      </c>
      <c r="Z981" s="52" t="s">
        <v>62</v>
      </c>
      <c r="AA981" s="53">
        <f t="shared" si="4"/>
        <v>1</v>
      </c>
      <c r="AB981" s="54">
        <f>COUNTIFS(Links!B:B,"ICSE",Links!C:C,A981,Links!AD:AD,1)</f>
        <v>0</v>
      </c>
      <c r="AC981" s="55" t="s">
        <v>37</v>
      </c>
      <c r="AD981" s="47" t="str">
        <f t="shared" si="5"/>
        <v>No</v>
      </c>
      <c r="AE981" s="56" t="s">
        <v>36</v>
      </c>
      <c r="AF981" s="57" t="s">
        <v>42</v>
      </c>
      <c r="AG981" s="57" t="s">
        <v>42</v>
      </c>
      <c r="AH981" s="57" t="s">
        <v>42</v>
      </c>
      <c r="AI981" s="49" t="str">
        <f t="shared" si="661"/>
        <v>----</v>
      </c>
      <c r="AJ981" s="58" t="str">
        <f t="shared" si="7"/>
        <v>Paper has link but no statement</v>
      </c>
      <c r="AK981" s="59">
        <v>44871.0</v>
      </c>
      <c r="AL981" s="43" t="s">
        <v>43</v>
      </c>
      <c r="AM981" s="60" t="str">
        <f t="shared" si="8"/>
        <v>[IP0148]</v>
      </c>
    </row>
    <row r="982" ht="67.5" customHeight="1">
      <c r="A982" s="61">
        <v>149.0</v>
      </c>
      <c r="B982" s="22" t="s">
        <v>2665</v>
      </c>
      <c r="C982" s="23">
        <v>2022.0</v>
      </c>
      <c r="D982" s="24" t="s">
        <v>37</v>
      </c>
      <c r="E982" s="25" t="s">
        <v>37</v>
      </c>
      <c r="F982" s="25" t="s">
        <v>35</v>
      </c>
      <c r="G982" s="25" t="s">
        <v>37</v>
      </c>
      <c r="H982" s="25" t="s">
        <v>35</v>
      </c>
      <c r="I982" s="25" t="s">
        <v>35</v>
      </c>
      <c r="J982" s="26" t="s">
        <v>36</v>
      </c>
      <c r="K982" s="82" t="s">
        <v>37</v>
      </c>
      <c r="L982" s="70" t="s">
        <v>35</v>
      </c>
      <c r="M982" s="70" t="s">
        <v>35</v>
      </c>
      <c r="N982" s="70" t="s">
        <v>37</v>
      </c>
      <c r="O982" s="70" t="s">
        <v>35</v>
      </c>
      <c r="P982" s="70" t="s">
        <v>35</v>
      </c>
      <c r="Q982" s="70" t="s">
        <v>35</v>
      </c>
      <c r="R982" s="70" t="s">
        <v>35</v>
      </c>
      <c r="S982" s="37" t="s">
        <v>944</v>
      </c>
      <c r="T982" s="30" t="s">
        <v>2666</v>
      </c>
      <c r="U982" s="31" t="s">
        <v>2666</v>
      </c>
      <c r="V982" s="32">
        <f t="shared" ref="V982:X982" si="988">IF(lenb(SUBSTITUTE($Z982,V$1&amp;" (1)",""))&lt;lenb($Z982),1,IF(lenb(SUBSTITUTE($Z982,V$1&amp;" (2)",""))&lt;lenb($Z982),2,IF(lenb(SUBSTITUTE($Z982,V$1&amp;" (3)",""))&lt;lenb($Z982),3,IF(lenb(SUBSTITUTE($Z982,V$1&amp;" (4)",""))&lt;lenb($Z982),4,IF(lenb(SUBSTITUTE($Z982,V$1&amp;" (5)",""))&lt;lenb($Z982),5,IF(lenb(SUBSTITUTE($Z982,V$1&amp;" (6)",""))&lt;lenb($Z982),6,IF(lenb(SUBSTITUTE($Z982,V$1&amp;" (7)",""))&lt;lenb($Z982),1,IF(lenb(SUBSTITUTE($Z982,V$1&amp;" (8)",""))&lt;lenb($Z982),8,IF(lenb(SUBSTITUTE($Z982,V$1&amp;" (9)",""))&lt;lenb($Z982),9,IF(lenb(SUBSTITUTE($Z982,V$1&amp;" (10)",""))&lt;lenb($Z982),10,IF(lenb(SUBSTITUTE($Z982,V$1,""))&lt;lenb($Z982),"ERROR",IF($Z982=$Y$1,"-",0))))))))))))</f>
        <v>1</v>
      </c>
      <c r="W982" s="32">
        <f t="shared" si="988"/>
        <v>0</v>
      </c>
      <c r="X982" s="32">
        <f t="shared" si="988"/>
        <v>0</v>
      </c>
      <c r="Y982" s="32" t="str">
        <f t="shared" si="3"/>
        <v>-</v>
      </c>
      <c r="Z982" s="32" t="s">
        <v>62</v>
      </c>
      <c r="AA982" s="33">
        <f t="shared" si="4"/>
        <v>1</v>
      </c>
      <c r="AB982" s="34">
        <f>COUNTIFS(Links!B:B,"ICSE",Links!C:C,A982,Links!AD:AD,1)</f>
        <v>0</v>
      </c>
      <c r="AC982" s="35" t="s">
        <v>37</v>
      </c>
      <c r="AD982" s="27" t="str">
        <f t="shared" si="5"/>
        <v>No</v>
      </c>
      <c r="AE982" s="36" t="s">
        <v>36</v>
      </c>
      <c r="AF982" s="37" t="s">
        <v>42</v>
      </c>
      <c r="AG982" s="37" t="s">
        <v>42</v>
      </c>
      <c r="AH982" s="37" t="s">
        <v>42</v>
      </c>
      <c r="AI982" s="29" t="str">
        <f t="shared" si="661"/>
        <v>----</v>
      </c>
      <c r="AJ982" s="38" t="str">
        <f t="shared" si="7"/>
        <v>Paper has link but no statement</v>
      </c>
      <c r="AK982" s="39">
        <v>44871.0</v>
      </c>
      <c r="AL982" s="23" t="s">
        <v>43</v>
      </c>
      <c r="AM982" s="40" t="str">
        <f t="shared" si="8"/>
        <v>[IP0149]</v>
      </c>
    </row>
    <row r="983" ht="67.5" customHeight="1">
      <c r="A983" s="41">
        <v>150.0</v>
      </c>
      <c r="B983" s="42" t="s">
        <v>2667</v>
      </c>
      <c r="C983" s="43">
        <v>2022.0</v>
      </c>
      <c r="D983" s="44" t="s">
        <v>35</v>
      </c>
      <c r="E983" s="45" t="s">
        <v>36</v>
      </c>
      <c r="F983" s="45" t="s">
        <v>36</v>
      </c>
      <c r="G983" s="45" t="s">
        <v>36</v>
      </c>
      <c r="H983" s="45" t="s">
        <v>36</v>
      </c>
      <c r="I983" s="45" t="s">
        <v>36</v>
      </c>
      <c r="J983" s="46" t="s">
        <v>36</v>
      </c>
      <c r="K983" s="83" t="s">
        <v>35</v>
      </c>
      <c r="L983" s="71" t="s">
        <v>36</v>
      </c>
      <c r="M983" s="71" t="s">
        <v>36</v>
      </c>
      <c r="N983" s="71" t="s">
        <v>36</v>
      </c>
      <c r="O983" s="71" t="s">
        <v>36</v>
      </c>
      <c r="P983" s="71" t="s">
        <v>36</v>
      </c>
      <c r="Q983" s="71" t="s">
        <v>36</v>
      </c>
      <c r="R983" s="71" t="s">
        <v>36</v>
      </c>
      <c r="S983" s="57" t="s">
        <v>36</v>
      </c>
      <c r="T983" s="50" t="s">
        <v>36</v>
      </c>
      <c r="U983" s="51" t="s">
        <v>36</v>
      </c>
      <c r="V983" s="52" t="str">
        <f t="shared" ref="V983:X983" si="989">IF(lenb(SUBSTITUTE($Z983,V$1&amp;" (1)",""))&lt;lenb($Z983),1,IF(lenb(SUBSTITUTE($Z983,V$1&amp;" (2)",""))&lt;lenb($Z983),2,IF(lenb(SUBSTITUTE($Z983,V$1&amp;" (3)",""))&lt;lenb($Z983),3,IF(lenb(SUBSTITUTE($Z983,V$1&amp;" (4)",""))&lt;lenb($Z983),4,IF(lenb(SUBSTITUTE($Z983,V$1&amp;" (5)",""))&lt;lenb($Z983),5,IF(lenb(SUBSTITUTE($Z983,V$1&amp;" (6)",""))&lt;lenb($Z983),6,IF(lenb(SUBSTITUTE($Z983,V$1&amp;" (7)",""))&lt;lenb($Z983),1,IF(lenb(SUBSTITUTE($Z983,V$1&amp;" (8)",""))&lt;lenb($Z983),8,IF(lenb(SUBSTITUTE($Z983,V$1&amp;" (9)",""))&lt;lenb($Z983),9,IF(lenb(SUBSTITUTE($Z983,V$1&amp;" (10)",""))&lt;lenb($Z983),10,IF(lenb(SUBSTITUTE($Z983,V$1,""))&lt;lenb($Z983),"ERROR",IF($Z983=$Y$1,"-",0))))))))))))</f>
        <v>-</v>
      </c>
      <c r="W983" s="52" t="str">
        <f t="shared" si="989"/>
        <v>-</v>
      </c>
      <c r="X983" s="52" t="str">
        <f t="shared" si="989"/>
        <v>-</v>
      </c>
      <c r="Y983" s="52">
        <f t="shared" si="3"/>
        <v>1</v>
      </c>
      <c r="Z983" s="52" t="s">
        <v>23</v>
      </c>
      <c r="AA983" s="53">
        <f t="shared" si="4"/>
        <v>0</v>
      </c>
      <c r="AB983" s="54">
        <f>COUNTIFS(Links!B:B,"ICSE",Links!C:C,A983,Links!AD:AD,1)</f>
        <v>0</v>
      </c>
      <c r="AC983" s="55" t="s">
        <v>36</v>
      </c>
      <c r="AD983" s="47" t="str">
        <f t="shared" si="5"/>
        <v>No</v>
      </c>
      <c r="AE983" s="56" t="s">
        <v>36</v>
      </c>
      <c r="AF983" s="57" t="s">
        <v>42</v>
      </c>
      <c r="AG983" s="57" t="s">
        <v>42</v>
      </c>
      <c r="AH983" s="57" t="s">
        <v>42</v>
      </c>
      <c r="AI983" s="49" t="str">
        <f t="shared" si="661"/>
        <v>----</v>
      </c>
      <c r="AJ983" s="58" t="str">
        <f t="shared" si="7"/>
        <v>Paper has no link and no statement</v>
      </c>
      <c r="AK983" s="59">
        <v>44871.0</v>
      </c>
      <c r="AL983" s="43" t="s">
        <v>43</v>
      </c>
      <c r="AM983" s="60" t="str">
        <f t="shared" si="8"/>
        <v>[IP0150]</v>
      </c>
    </row>
    <row r="984" ht="67.5" customHeight="1">
      <c r="A984" s="61">
        <v>151.0</v>
      </c>
      <c r="B984" s="22" t="s">
        <v>2668</v>
      </c>
      <c r="C984" s="23">
        <v>2022.0</v>
      </c>
      <c r="D984" s="24" t="s">
        <v>37</v>
      </c>
      <c r="E984" s="25" t="s">
        <v>37</v>
      </c>
      <c r="F984" s="25" t="s">
        <v>37</v>
      </c>
      <c r="G984" s="25" t="s">
        <v>35</v>
      </c>
      <c r="H984" s="25" t="s">
        <v>35</v>
      </c>
      <c r="I984" s="25" t="s">
        <v>35</v>
      </c>
      <c r="J984" s="26" t="s">
        <v>36</v>
      </c>
      <c r="K984" s="82" t="s">
        <v>35</v>
      </c>
      <c r="L984" s="70" t="s">
        <v>36</v>
      </c>
      <c r="M984" s="70" t="s">
        <v>36</v>
      </c>
      <c r="N984" s="70" t="s">
        <v>36</v>
      </c>
      <c r="O984" s="70" t="s">
        <v>36</v>
      </c>
      <c r="P984" s="70" t="s">
        <v>36</v>
      </c>
      <c r="Q984" s="70" t="s">
        <v>36</v>
      </c>
      <c r="R984" s="70" t="s">
        <v>36</v>
      </c>
      <c r="S984" s="37" t="s">
        <v>36</v>
      </c>
      <c r="T984" s="30" t="s">
        <v>36</v>
      </c>
      <c r="U984" s="31" t="s">
        <v>36</v>
      </c>
      <c r="V984" s="32" t="str">
        <f t="shared" ref="V984:X984" si="990">IF(lenb(SUBSTITUTE($Z984,V$1&amp;" (1)",""))&lt;lenb($Z984),1,IF(lenb(SUBSTITUTE($Z984,V$1&amp;" (2)",""))&lt;lenb($Z984),2,IF(lenb(SUBSTITUTE($Z984,V$1&amp;" (3)",""))&lt;lenb($Z984),3,IF(lenb(SUBSTITUTE($Z984,V$1&amp;" (4)",""))&lt;lenb($Z984),4,IF(lenb(SUBSTITUTE($Z984,V$1&amp;" (5)",""))&lt;lenb($Z984),5,IF(lenb(SUBSTITUTE($Z984,V$1&amp;" (6)",""))&lt;lenb($Z984),6,IF(lenb(SUBSTITUTE($Z984,V$1&amp;" (7)",""))&lt;lenb($Z984),1,IF(lenb(SUBSTITUTE($Z984,V$1&amp;" (8)",""))&lt;lenb($Z984),8,IF(lenb(SUBSTITUTE($Z984,V$1&amp;" (9)",""))&lt;lenb($Z984),9,IF(lenb(SUBSTITUTE($Z984,V$1&amp;" (10)",""))&lt;lenb($Z984),10,IF(lenb(SUBSTITUTE($Z984,V$1,""))&lt;lenb($Z984),"ERROR",IF($Z984=$Y$1,"-",0))))))))))))</f>
        <v>-</v>
      </c>
      <c r="W984" s="32" t="str">
        <f t="shared" si="990"/>
        <v>-</v>
      </c>
      <c r="X984" s="32" t="str">
        <f t="shared" si="990"/>
        <v>-</v>
      </c>
      <c r="Y984" s="32">
        <f t="shared" si="3"/>
        <v>1</v>
      </c>
      <c r="Z984" s="32" t="s">
        <v>23</v>
      </c>
      <c r="AA984" s="33">
        <f t="shared" si="4"/>
        <v>0</v>
      </c>
      <c r="AB984" s="34">
        <f>COUNTIFS(Links!B:B,"ICSE",Links!C:C,A984,Links!AD:AD,1)</f>
        <v>0</v>
      </c>
      <c r="AC984" s="35" t="s">
        <v>36</v>
      </c>
      <c r="AD984" s="27" t="str">
        <f t="shared" si="5"/>
        <v>No</v>
      </c>
      <c r="AE984" s="36" t="s">
        <v>36</v>
      </c>
      <c r="AF984" s="37" t="s">
        <v>42</v>
      </c>
      <c r="AG984" s="37" t="s">
        <v>42</v>
      </c>
      <c r="AH984" s="37" t="s">
        <v>42</v>
      </c>
      <c r="AI984" s="29" t="str">
        <f t="shared" si="661"/>
        <v>----</v>
      </c>
      <c r="AJ984" s="38" t="str">
        <f t="shared" si="7"/>
        <v>Paper has no link and no statement</v>
      </c>
      <c r="AK984" s="39">
        <v>44871.0</v>
      </c>
      <c r="AL984" s="23" t="s">
        <v>43</v>
      </c>
      <c r="AM984" s="40" t="str">
        <f t="shared" si="8"/>
        <v>[IP0151]</v>
      </c>
    </row>
    <row r="985" ht="67.5" customHeight="1">
      <c r="A985" s="41">
        <v>152.0</v>
      </c>
      <c r="B985" s="42" t="s">
        <v>2669</v>
      </c>
      <c r="C985" s="43">
        <v>2022.0</v>
      </c>
      <c r="D985" s="44" t="s">
        <v>35</v>
      </c>
      <c r="E985" s="45" t="s">
        <v>36</v>
      </c>
      <c r="F985" s="45" t="s">
        <v>36</v>
      </c>
      <c r="G985" s="45" t="s">
        <v>36</v>
      </c>
      <c r="H985" s="45" t="s">
        <v>36</v>
      </c>
      <c r="I985" s="45" t="s">
        <v>36</v>
      </c>
      <c r="J985" s="46" t="s">
        <v>36</v>
      </c>
      <c r="K985" s="83" t="s">
        <v>35</v>
      </c>
      <c r="L985" s="71" t="s">
        <v>36</v>
      </c>
      <c r="M985" s="71" t="s">
        <v>36</v>
      </c>
      <c r="N985" s="71" t="s">
        <v>36</v>
      </c>
      <c r="O985" s="71" t="s">
        <v>36</v>
      </c>
      <c r="P985" s="71" t="s">
        <v>36</v>
      </c>
      <c r="Q985" s="71" t="s">
        <v>36</v>
      </c>
      <c r="R985" s="71" t="s">
        <v>36</v>
      </c>
      <c r="S985" s="57" t="s">
        <v>36</v>
      </c>
      <c r="T985" s="50" t="s">
        <v>36</v>
      </c>
      <c r="U985" s="51" t="s">
        <v>36</v>
      </c>
      <c r="V985" s="52" t="str">
        <f t="shared" ref="V985:X985" si="991">IF(lenb(SUBSTITUTE($Z985,V$1&amp;" (1)",""))&lt;lenb($Z985),1,IF(lenb(SUBSTITUTE($Z985,V$1&amp;" (2)",""))&lt;lenb($Z985),2,IF(lenb(SUBSTITUTE($Z985,V$1&amp;" (3)",""))&lt;lenb($Z985),3,IF(lenb(SUBSTITUTE($Z985,V$1&amp;" (4)",""))&lt;lenb($Z985),4,IF(lenb(SUBSTITUTE($Z985,V$1&amp;" (5)",""))&lt;lenb($Z985),5,IF(lenb(SUBSTITUTE($Z985,V$1&amp;" (6)",""))&lt;lenb($Z985),6,IF(lenb(SUBSTITUTE($Z985,V$1&amp;" (7)",""))&lt;lenb($Z985),1,IF(lenb(SUBSTITUTE($Z985,V$1&amp;" (8)",""))&lt;lenb($Z985),8,IF(lenb(SUBSTITUTE($Z985,V$1&amp;" (9)",""))&lt;lenb($Z985),9,IF(lenb(SUBSTITUTE($Z985,V$1&amp;" (10)",""))&lt;lenb($Z985),10,IF(lenb(SUBSTITUTE($Z985,V$1,""))&lt;lenb($Z985),"ERROR",IF($Z985=$Y$1,"-",0))))))))))))</f>
        <v>-</v>
      </c>
      <c r="W985" s="52" t="str">
        <f t="shared" si="991"/>
        <v>-</v>
      </c>
      <c r="X985" s="52" t="str">
        <f t="shared" si="991"/>
        <v>-</v>
      </c>
      <c r="Y985" s="52">
        <f t="shared" si="3"/>
        <v>1</v>
      </c>
      <c r="Z985" s="52" t="s">
        <v>23</v>
      </c>
      <c r="AA985" s="53">
        <f t="shared" si="4"/>
        <v>0</v>
      </c>
      <c r="AB985" s="54">
        <f>COUNTIFS(Links!B:B,"ICSE",Links!C:C,A985,Links!AD:AD,1)</f>
        <v>0</v>
      </c>
      <c r="AC985" s="55" t="s">
        <v>36</v>
      </c>
      <c r="AD985" s="47" t="str">
        <f t="shared" si="5"/>
        <v>No</v>
      </c>
      <c r="AE985" s="56" t="s">
        <v>36</v>
      </c>
      <c r="AF985" s="57" t="s">
        <v>42</v>
      </c>
      <c r="AG985" s="57" t="s">
        <v>42</v>
      </c>
      <c r="AH985" s="57" t="s">
        <v>42</v>
      </c>
      <c r="AI985" s="49" t="str">
        <f t="shared" si="661"/>
        <v>----</v>
      </c>
      <c r="AJ985" s="58" t="str">
        <f t="shared" si="7"/>
        <v>Paper has no link and no statement</v>
      </c>
      <c r="AK985" s="59">
        <v>44871.0</v>
      </c>
      <c r="AL985" s="43" t="s">
        <v>43</v>
      </c>
      <c r="AM985" s="60" t="str">
        <f t="shared" si="8"/>
        <v>[IP0152]</v>
      </c>
    </row>
    <row r="986" ht="67.5" customHeight="1">
      <c r="A986" s="61">
        <v>153.0</v>
      </c>
      <c r="B986" s="22" t="s">
        <v>2670</v>
      </c>
      <c r="C986" s="23">
        <v>2022.0</v>
      </c>
      <c r="D986" s="24" t="s">
        <v>35</v>
      </c>
      <c r="E986" s="25" t="s">
        <v>36</v>
      </c>
      <c r="F986" s="25" t="s">
        <v>36</v>
      </c>
      <c r="G986" s="25" t="s">
        <v>36</v>
      </c>
      <c r="H986" s="25" t="s">
        <v>36</v>
      </c>
      <c r="I986" s="25" t="s">
        <v>36</v>
      </c>
      <c r="J986" s="26" t="s">
        <v>36</v>
      </c>
      <c r="K986" s="82" t="s">
        <v>37</v>
      </c>
      <c r="L986" s="70" t="s">
        <v>35</v>
      </c>
      <c r="M986" s="70" t="s">
        <v>35</v>
      </c>
      <c r="N986" s="70" t="s">
        <v>35</v>
      </c>
      <c r="O986" s="70" t="s">
        <v>35</v>
      </c>
      <c r="P986" s="70" t="s">
        <v>35</v>
      </c>
      <c r="Q986" s="70" t="s">
        <v>37</v>
      </c>
      <c r="R986" s="70" t="s">
        <v>35</v>
      </c>
      <c r="S986" s="37" t="s">
        <v>2671</v>
      </c>
      <c r="T986" s="31" t="s">
        <v>2672</v>
      </c>
      <c r="U986" s="31" t="s">
        <v>2672</v>
      </c>
      <c r="V986" s="32">
        <f t="shared" ref="V986:X986" si="992">IF(lenb(SUBSTITUTE($Z986,V$1&amp;" (1)",""))&lt;lenb($Z986),1,IF(lenb(SUBSTITUTE($Z986,V$1&amp;" (2)",""))&lt;lenb($Z986),2,IF(lenb(SUBSTITUTE($Z986,V$1&amp;" (3)",""))&lt;lenb($Z986),3,IF(lenb(SUBSTITUTE($Z986,V$1&amp;" (4)",""))&lt;lenb($Z986),4,IF(lenb(SUBSTITUTE($Z986,V$1&amp;" (5)",""))&lt;lenb($Z986),5,IF(lenb(SUBSTITUTE($Z986,V$1&amp;" (6)",""))&lt;lenb($Z986),6,IF(lenb(SUBSTITUTE($Z986,V$1&amp;" (7)",""))&lt;lenb($Z986),1,IF(lenb(SUBSTITUTE($Z986,V$1&amp;" (8)",""))&lt;lenb($Z986),8,IF(lenb(SUBSTITUTE($Z986,V$1&amp;" (9)",""))&lt;lenb($Z986),9,IF(lenb(SUBSTITUTE($Z986,V$1&amp;" (10)",""))&lt;lenb($Z986),10,IF(lenb(SUBSTITUTE($Z986,V$1,""))&lt;lenb($Z986),"ERROR",IF($Z986=$Y$1,"-",0))))))))))))</f>
        <v>1</v>
      </c>
      <c r="W986" s="32">
        <f t="shared" si="992"/>
        <v>0</v>
      </c>
      <c r="X986" s="32">
        <f t="shared" si="992"/>
        <v>0</v>
      </c>
      <c r="Y986" s="32" t="str">
        <f t="shared" si="3"/>
        <v>-</v>
      </c>
      <c r="Z986" s="32" t="s">
        <v>62</v>
      </c>
      <c r="AA986" s="33">
        <f t="shared" si="4"/>
        <v>1</v>
      </c>
      <c r="AB986" s="34">
        <f>COUNTIFS(Links!B:B,"ICSE",Links!C:C,A986,Links!AD:AD,1)</f>
        <v>0</v>
      </c>
      <c r="AC986" s="35" t="s">
        <v>35</v>
      </c>
      <c r="AD986" s="27" t="str">
        <f t="shared" si="5"/>
        <v>No</v>
      </c>
      <c r="AE986" s="36" t="s">
        <v>36</v>
      </c>
      <c r="AF986" s="37" t="s">
        <v>42</v>
      </c>
      <c r="AG986" s="37" t="s">
        <v>42</v>
      </c>
      <c r="AH986" s="37" t="s">
        <v>42</v>
      </c>
      <c r="AI986" s="29" t="str">
        <f t="shared" si="661"/>
        <v>----</v>
      </c>
      <c r="AJ986" s="38" t="str">
        <f t="shared" si="7"/>
        <v>Paper has link but no statement</v>
      </c>
      <c r="AK986" s="39">
        <v>44871.0</v>
      </c>
      <c r="AL986" s="23" t="s">
        <v>43</v>
      </c>
      <c r="AM986" s="40" t="str">
        <f t="shared" si="8"/>
        <v>[IP0153]</v>
      </c>
    </row>
    <row r="987" ht="67.5" customHeight="1">
      <c r="A987" s="41">
        <v>154.0</v>
      </c>
      <c r="B987" s="42" t="s">
        <v>2673</v>
      </c>
      <c r="C987" s="43">
        <v>2022.0</v>
      </c>
      <c r="D987" s="44" t="s">
        <v>37</v>
      </c>
      <c r="E987" s="45" t="s">
        <v>37</v>
      </c>
      <c r="F987" s="45" t="s">
        <v>35</v>
      </c>
      <c r="G987" s="45" t="s">
        <v>37</v>
      </c>
      <c r="H987" s="45" t="s">
        <v>35</v>
      </c>
      <c r="I987" s="45" t="s">
        <v>35</v>
      </c>
      <c r="J987" s="46" t="s">
        <v>36</v>
      </c>
      <c r="K987" s="83" t="s">
        <v>37</v>
      </c>
      <c r="L987" s="71" t="s">
        <v>35</v>
      </c>
      <c r="M987" s="71" t="s">
        <v>37</v>
      </c>
      <c r="N987" s="71" t="s">
        <v>37</v>
      </c>
      <c r="O987" s="71" t="s">
        <v>35</v>
      </c>
      <c r="P987" s="71" t="s">
        <v>35</v>
      </c>
      <c r="Q987" s="71" t="s">
        <v>35</v>
      </c>
      <c r="R987" s="71" t="s">
        <v>37</v>
      </c>
      <c r="S987" s="57" t="s">
        <v>2674</v>
      </c>
      <c r="T987" s="50" t="s">
        <v>2675</v>
      </c>
      <c r="U987" s="51" t="s">
        <v>2675</v>
      </c>
      <c r="V987" s="52">
        <f t="shared" ref="V987:X987" si="993">IF(lenb(SUBSTITUTE($Z987,V$1&amp;" (1)",""))&lt;lenb($Z987),1,IF(lenb(SUBSTITUTE($Z987,V$1&amp;" (2)",""))&lt;lenb($Z987),2,IF(lenb(SUBSTITUTE($Z987,V$1&amp;" (3)",""))&lt;lenb($Z987),3,IF(lenb(SUBSTITUTE($Z987,V$1&amp;" (4)",""))&lt;lenb($Z987),4,IF(lenb(SUBSTITUTE($Z987,V$1&amp;" (5)",""))&lt;lenb($Z987),5,IF(lenb(SUBSTITUTE($Z987,V$1&amp;" (6)",""))&lt;lenb($Z987),6,IF(lenb(SUBSTITUTE($Z987,V$1&amp;" (7)",""))&lt;lenb($Z987),1,IF(lenb(SUBSTITUTE($Z987,V$1&amp;" (8)",""))&lt;lenb($Z987),8,IF(lenb(SUBSTITUTE($Z987,V$1&amp;" (9)",""))&lt;lenb($Z987),9,IF(lenb(SUBSTITUTE($Z987,V$1&amp;" (10)",""))&lt;lenb($Z987),10,IF(lenb(SUBSTITUTE($Z987,V$1,""))&lt;lenb($Z987),"ERROR",IF($Z987=$Y$1,"-",0))))))))))))</f>
        <v>1</v>
      </c>
      <c r="W987" s="52">
        <f t="shared" si="993"/>
        <v>0</v>
      </c>
      <c r="X987" s="52">
        <f t="shared" si="993"/>
        <v>0</v>
      </c>
      <c r="Y987" s="52" t="str">
        <f t="shared" si="3"/>
        <v>-</v>
      </c>
      <c r="Z987" s="52" t="s">
        <v>62</v>
      </c>
      <c r="AA987" s="53">
        <f t="shared" si="4"/>
        <v>1</v>
      </c>
      <c r="AB987" s="54">
        <f>COUNTIFS(Links!B:B,"ICSE",Links!C:C,A987,Links!AD:AD,1)</f>
        <v>0</v>
      </c>
      <c r="AC987" s="55" t="s">
        <v>37</v>
      </c>
      <c r="AD987" s="47" t="str">
        <f t="shared" si="5"/>
        <v>No</v>
      </c>
      <c r="AE987" s="56" t="s">
        <v>36</v>
      </c>
      <c r="AF987" s="57" t="s">
        <v>42</v>
      </c>
      <c r="AG987" s="57" t="s">
        <v>42</v>
      </c>
      <c r="AH987" s="57" t="s">
        <v>42</v>
      </c>
      <c r="AI987" s="49" t="str">
        <f t="shared" si="661"/>
        <v>----</v>
      </c>
      <c r="AJ987" s="58" t="str">
        <f t="shared" si="7"/>
        <v>Paper has link but no statement</v>
      </c>
      <c r="AK987" s="59">
        <v>44871.0</v>
      </c>
      <c r="AL987" s="43" t="s">
        <v>43</v>
      </c>
      <c r="AM987" s="60" t="str">
        <f t="shared" si="8"/>
        <v>[IP0154]</v>
      </c>
    </row>
    <row r="988" ht="67.5" customHeight="1">
      <c r="A988" s="61">
        <v>155.0</v>
      </c>
      <c r="B988" s="22" t="s">
        <v>2676</v>
      </c>
      <c r="C988" s="23">
        <v>2022.0</v>
      </c>
      <c r="D988" s="24" t="s">
        <v>35</v>
      </c>
      <c r="E988" s="25" t="s">
        <v>36</v>
      </c>
      <c r="F988" s="25" t="s">
        <v>36</v>
      </c>
      <c r="G988" s="25" t="s">
        <v>36</v>
      </c>
      <c r="H988" s="25" t="s">
        <v>36</v>
      </c>
      <c r="I988" s="25" t="s">
        <v>36</v>
      </c>
      <c r="J988" s="26" t="s">
        <v>36</v>
      </c>
      <c r="K988" s="82" t="s">
        <v>37</v>
      </c>
      <c r="L988" s="70" t="s">
        <v>35</v>
      </c>
      <c r="M988" s="70" t="s">
        <v>35</v>
      </c>
      <c r="N988" s="70" t="s">
        <v>37</v>
      </c>
      <c r="O988" s="70" t="s">
        <v>35</v>
      </c>
      <c r="P988" s="70" t="s">
        <v>35</v>
      </c>
      <c r="Q988" s="70" t="s">
        <v>35</v>
      </c>
      <c r="R988" s="70" t="s">
        <v>35</v>
      </c>
      <c r="S988" s="37" t="s">
        <v>944</v>
      </c>
      <c r="T988" s="30" t="s">
        <v>2677</v>
      </c>
      <c r="U988" s="31" t="s">
        <v>2677</v>
      </c>
      <c r="V988" s="32">
        <f t="shared" ref="V988:X988" si="994">IF(lenb(SUBSTITUTE($Z988,V$1&amp;" (1)",""))&lt;lenb($Z988),1,IF(lenb(SUBSTITUTE($Z988,V$1&amp;" (2)",""))&lt;lenb($Z988),2,IF(lenb(SUBSTITUTE($Z988,V$1&amp;" (3)",""))&lt;lenb($Z988),3,IF(lenb(SUBSTITUTE($Z988,V$1&amp;" (4)",""))&lt;lenb($Z988),4,IF(lenb(SUBSTITUTE($Z988,V$1&amp;" (5)",""))&lt;lenb($Z988),5,IF(lenb(SUBSTITUTE($Z988,V$1&amp;" (6)",""))&lt;lenb($Z988),6,IF(lenb(SUBSTITUTE($Z988,V$1&amp;" (7)",""))&lt;lenb($Z988),1,IF(lenb(SUBSTITUTE($Z988,V$1&amp;" (8)",""))&lt;lenb($Z988),8,IF(lenb(SUBSTITUTE($Z988,V$1&amp;" (9)",""))&lt;lenb($Z988),9,IF(lenb(SUBSTITUTE($Z988,V$1&amp;" (10)",""))&lt;lenb($Z988),10,IF(lenb(SUBSTITUTE($Z988,V$1,""))&lt;lenb($Z988),"ERROR",IF($Z988=$Y$1,"-",0))))))))))))</f>
        <v>1</v>
      </c>
      <c r="W988" s="32">
        <f t="shared" si="994"/>
        <v>0</v>
      </c>
      <c r="X988" s="32">
        <f t="shared" si="994"/>
        <v>0</v>
      </c>
      <c r="Y988" s="32" t="str">
        <f t="shared" si="3"/>
        <v>-</v>
      </c>
      <c r="Z988" s="32" t="s">
        <v>62</v>
      </c>
      <c r="AA988" s="33">
        <f t="shared" si="4"/>
        <v>1</v>
      </c>
      <c r="AB988" s="34">
        <f>COUNTIFS(Links!B:B,"ICSE",Links!C:C,A988,Links!AD:AD,1)</f>
        <v>0</v>
      </c>
      <c r="AC988" s="35" t="s">
        <v>35</v>
      </c>
      <c r="AD988" s="27" t="str">
        <f t="shared" si="5"/>
        <v>No</v>
      </c>
      <c r="AE988" s="36" t="s">
        <v>36</v>
      </c>
      <c r="AF988" s="37" t="s">
        <v>42</v>
      </c>
      <c r="AG988" s="37" t="s">
        <v>42</v>
      </c>
      <c r="AH988" s="37" t="s">
        <v>42</v>
      </c>
      <c r="AI988" s="29" t="str">
        <f t="shared" si="661"/>
        <v>----</v>
      </c>
      <c r="AJ988" s="38" t="str">
        <f t="shared" si="7"/>
        <v>Paper has link but no statement</v>
      </c>
      <c r="AK988" s="39">
        <v>44871.0</v>
      </c>
      <c r="AL988" s="23" t="s">
        <v>43</v>
      </c>
      <c r="AM988" s="40" t="str">
        <f t="shared" si="8"/>
        <v>[IP0155]</v>
      </c>
    </row>
    <row r="989" ht="67.5" customHeight="1">
      <c r="A989" s="41">
        <v>156.0</v>
      </c>
      <c r="B989" s="42" t="s">
        <v>2678</v>
      </c>
      <c r="C989" s="43">
        <v>2022.0</v>
      </c>
      <c r="D989" s="44" t="s">
        <v>37</v>
      </c>
      <c r="E989" s="45" t="s">
        <v>37</v>
      </c>
      <c r="F989" s="45" t="s">
        <v>35</v>
      </c>
      <c r="G989" s="45" t="s">
        <v>35</v>
      </c>
      <c r="H989" s="45" t="s">
        <v>35</v>
      </c>
      <c r="I989" s="45" t="s">
        <v>35</v>
      </c>
      <c r="J989" s="46" t="s">
        <v>36</v>
      </c>
      <c r="K989" s="83" t="s">
        <v>37</v>
      </c>
      <c r="L989" s="71" t="s">
        <v>35</v>
      </c>
      <c r="M989" s="71" t="s">
        <v>37</v>
      </c>
      <c r="N989" s="71" t="s">
        <v>37</v>
      </c>
      <c r="O989" s="71" t="s">
        <v>35</v>
      </c>
      <c r="P989" s="71" t="s">
        <v>37</v>
      </c>
      <c r="Q989" s="71" t="s">
        <v>35</v>
      </c>
      <c r="R989" s="71" t="s">
        <v>35</v>
      </c>
      <c r="S989" s="57" t="s">
        <v>2679</v>
      </c>
      <c r="T989" s="50" t="s">
        <v>2680</v>
      </c>
      <c r="U989" s="51" t="s">
        <v>2681</v>
      </c>
      <c r="V989" s="52">
        <f t="shared" ref="V989:X989" si="995">IF(lenb(SUBSTITUTE($Z989,V$1&amp;" (1)",""))&lt;lenb($Z989),1,IF(lenb(SUBSTITUTE($Z989,V$1&amp;" (2)",""))&lt;lenb($Z989),2,IF(lenb(SUBSTITUTE($Z989,V$1&amp;" (3)",""))&lt;lenb($Z989),3,IF(lenb(SUBSTITUTE($Z989,V$1&amp;" (4)",""))&lt;lenb($Z989),4,IF(lenb(SUBSTITUTE($Z989,V$1&amp;" (5)",""))&lt;lenb($Z989),5,IF(lenb(SUBSTITUTE($Z989,V$1&amp;" (6)",""))&lt;lenb($Z989),6,IF(lenb(SUBSTITUTE($Z989,V$1&amp;" (7)",""))&lt;lenb($Z989),1,IF(lenb(SUBSTITUTE($Z989,V$1&amp;" (8)",""))&lt;lenb($Z989),8,IF(lenb(SUBSTITUTE($Z989,V$1&amp;" (9)",""))&lt;lenb($Z989),9,IF(lenb(SUBSTITUTE($Z989,V$1&amp;" (10)",""))&lt;lenb($Z989),10,IF(lenb(SUBSTITUTE($Z989,V$1,""))&lt;lenb($Z989),"ERROR",IF($Z989=$Y$1,"-",0))))))))))))</f>
        <v>2</v>
      </c>
      <c r="W989" s="52">
        <f t="shared" si="995"/>
        <v>0</v>
      </c>
      <c r="X989" s="52">
        <f t="shared" si="995"/>
        <v>0</v>
      </c>
      <c r="Y989" s="52" t="str">
        <f t="shared" si="3"/>
        <v>-</v>
      </c>
      <c r="Z989" s="52" t="s">
        <v>57</v>
      </c>
      <c r="AA989" s="53">
        <f t="shared" si="4"/>
        <v>2</v>
      </c>
      <c r="AB989" s="54">
        <f>COUNTIFS(Links!B:B,"ICSE",Links!C:C,A989,Links!AD:AD,1)</f>
        <v>0</v>
      </c>
      <c r="AC989" s="55" t="s">
        <v>37</v>
      </c>
      <c r="AD989" s="47" t="str">
        <f t="shared" si="5"/>
        <v>No</v>
      </c>
      <c r="AE989" s="56" t="s">
        <v>36</v>
      </c>
      <c r="AF989" s="57" t="s">
        <v>42</v>
      </c>
      <c r="AG989" s="57" t="s">
        <v>42</v>
      </c>
      <c r="AH989" s="57" t="s">
        <v>42</v>
      </c>
      <c r="AI989" s="49" t="str">
        <f t="shared" si="661"/>
        <v>----</v>
      </c>
      <c r="AJ989" s="58" t="str">
        <f t="shared" si="7"/>
        <v>Paper has link but no statement</v>
      </c>
      <c r="AK989" s="59">
        <v>44871.0</v>
      </c>
      <c r="AL989" s="43" t="s">
        <v>43</v>
      </c>
      <c r="AM989" s="60" t="str">
        <f t="shared" si="8"/>
        <v>[IP0156]</v>
      </c>
    </row>
    <row r="990" ht="67.5" customHeight="1">
      <c r="A990" s="61">
        <v>157.0</v>
      </c>
      <c r="B990" s="22" t="s">
        <v>2682</v>
      </c>
      <c r="C990" s="23">
        <v>2022.0</v>
      </c>
      <c r="D990" s="24" t="s">
        <v>35</v>
      </c>
      <c r="E990" s="25" t="s">
        <v>36</v>
      </c>
      <c r="F990" s="25" t="s">
        <v>36</v>
      </c>
      <c r="G990" s="25" t="s">
        <v>36</v>
      </c>
      <c r="H990" s="25" t="s">
        <v>36</v>
      </c>
      <c r="I990" s="25" t="s">
        <v>36</v>
      </c>
      <c r="J990" s="26" t="s">
        <v>36</v>
      </c>
      <c r="K990" s="82" t="s">
        <v>35</v>
      </c>
      <c r="L990" s="70" t="s">
        <v>36</v>
      </c>
      <c r="M990" s="70" t="s">
        <v>36</v>
      </c>
      <c r="N990" s="70" t="s">
        <v>36</v>
      </c>
      <c r="O990" s="70" t="s">
        <v>36</v>
      </c>
      <c r="P990" s="70" t="s">
        <v>36</v>
      </c>
      <c r="Q990" s="70" t="s">
        <v>36</v>
      </c>
      <c r="R990" s="70" t="s">
        <v>36</v>
      </c>
      <c r="S990" s="37" t="s">
        <v>36</v>
      </c>
      <c r="T990" s="30" t="s">
        <v>36</v>
      </c>
      <c r="U990" s="31" t="s">
        <v>36</v>
      </c>
      <c r="V990" s="32" t="str">
        <f t="shared" ref="V990:X990" si="996">IF(lenb(SUBSTITUTE($Z990,V$1&amp;" (1)",""))&lt;lenb($Z990),1,IF(lenb(SUBSTITUTE($Z990,V$1&amp;" (2)",""))&lt;lenb($Z990),2,IF(lenb(SUBSTITUTE($Z990,V$1&amp;" (3)",""))&lt;lenb($Z990),3,IF(lenb(SUBSTITUTE($Z990,V$1&amp;" (4)",""))&lt;lenb($Z990),4,IF(lenb(SUBSTITUTE($Z990,V$1&amp;" (5)",""))&lt;lenb($Z990),5,IF(lenb(SUBSTITUTE($Z990,V$1&amp;" (6)",""))&lt;lenb($Z990),6,IF(lenb(SUBSTITUTE($Z990,V$1&amp;" (7)",""))&lt;lenb($Z990),1,IF(lenb(SUBSTITUTE($Z990,V$1&amp;" (8)",""))&lt;lenb($Z990),8,IF(lenb(SUBSTITUTE($Z990,V$1&amp;" (9)",""))&lt;lenb($Z990),9,IF(lenb(SUBSTITUTE($Z990,V$1&amp;" (10)",""))&lt;lenb($Z990),10,IF(lenb(SUBSTITUTE($Z990,V$1,""))&lt;lenb($Z990),"ERROR",IF($Z990=$Y$1,"-",0))))))))))))</f>
        <v>-</v>
      </c>
      <c r="W990" s="32" t="str">
        <f t="shared" si="996"/>
        <v>-</v>
      </c>
      <c r="X990" s="32" t="str">
        <f t="shared" si="996"/>
        <v>-</v>
      </c>
      <c r="Y990" s="32">
        <f t="shared" si="3"/>
        <v>1</v>
      </c>
      <c r="Z990" s="32" t="s">
        <v>23</v>
      </c>
      <c r="AA990" s="33">
        <f t="shared" si="4"/>
        <v>0</v>
      </c>
      <c r="AB990" s="34">
        <f>COUNTIFS(Links!B:B,"ICSE",Links!C:C,A990,Links!AD:AD,1)</f>
        <v>0</v>
      </c>
      <c r="AC990" s="35" t="s">
        <v>36</v>
      </c>
      <c r="AD990" s="27" t="str">
        <f t="shared" si="5"/>
        <v>No</v>
      </c>
      <c r="AE990" s="36" t="s">
        <v>36</v>
      </c>
      <c r="AF990" s="37" t="s">
        <v>42</v>
      </c>
      <c r="AG990" s="37" t="s">
        <v>42</v>
      </c>
      <c r="AH990" s="37" t="s">
        <v>42</v>
      </c>
      <c r="AI990" s="29" t="str">
        <f t="shared" si="661"/>
        <v>----</v>
      </c>
      <c r="AJ990" s="38" t="str">
        <f t="shared" si="7"/>
        <v>Paper has no link and no statement</v>
      </c>
      <c r="AK990" s="39">
        <v>44871.0</v>
      </c>
      <c r="AL990" s="23" t="s">
        <v>43</v>
      </c>
      <c r="AM990" s="40" t="str">
        <f t="shared" si="8"/>
        <v>[IP0157]</v>
      </c>
    </row>
    <row r="991" ht="67.5" customHeight="1">
      <c r="A991" s="41">
        <v>158.0</v>
      </c>
      <c r="B991" s="42" t="s">
        <v>2683</v>
      </c>
      <c r="C991" s="43">
        <v>2022.0</v>
      </c>
      <c r="D991" s="44" t="s">
        <v>35</v>
      </c>
      <c r="E991" s="45" t="s">
        <v>36</v>
      </c>
      <c r="F991" s="45" t="s">
        <v>36</v>
      </c>
      <c r="G991" s="45" t="s">
        <v>36</v>
      </c>
      <c r="H991" s="45" t="s">
        <v>36</v>
      </c>
      <c r="I991" s="45" t="s">
        <v>36</v>
      </c>
      <c r="J991" s="46" t="s">
        <v>36</v>
      </c>
      <c r="K991" s="83" t="s">
        <v>37</v>
      </c>
      <c r="L991" s="71" t="s">
        <v>37</v>
      </c>
      <c r="M991" s="71" t="s">
        <v>35</v>
      </c>
      <c r="N991" s="71" t="s">
        <v>35</v>
      </c>
      <c r="O991" s="71" t="s">
        <v>35</v>
      </c>
      <c r="P991" s="71" t="s">
        <v>35</v>
      </c>
      <c r="Q991" s="71" t="s">
        <v>35</v>
      </c>
      <c r="R991" s="71" t="s">
        <v>37</v>
      </c>
      <c r="S991" s="57" t="s">
        <v>2684</v>
      </c>
      <c r="T991" s="50" t="s">
        <v>2685</v>
      </c>
      <c r="U991" s="51" t="s">
        <v>2685</v>
      </c>
      <c r="V991" s="52">
        <f t="shared" ref="V991:X991" si="997">IF(lenb(SUBSTITUTE($Z991,V$1&amp;" (1)",""))&lt;lenb($Z991),1,IF(lenb(SUBSTITUTE($Z991,V$1&amp;" (2)",""))&lt;lenb($Z991),2,IF(lenb(SUBSTITUTE($Z991,V$1&amp;" (3)",""))&lt;lenb($Z991),3,IF(lenb(SUBSTITUTE($Z991,V$1&amp;" (4)",""))&lt;lenb($Z991),4,IF(lenb(SUBSTITUTE($Z991,V$1&amp;" (5)",""))&lt;lenb($Z991),5,IF(lenb(SUBSTITUTE($Z991,V$1&amp;" (6)",""))&lt;lenb($Z991),6,IF(lenb(SUBSTITUTE($Z991,V$1&amp;" (7)",""))&lt;lenb($Z991),1,IF(lenb(SUBSTITUTE($Z991,V$1&amp;" (8)",""))&lt;lenb($Z991),8,IF(lenb(SUBSTITUTE($Z991,V$1&amp;" (9)",""))&lt;lenb($Z991),9,IF(lenb(SUBSTITUTE($Z991,V$1&amp;" (10)",""))&lt;lenb($Z991),10,IF(lenb(SUBSTITUTE($Z991,V$1,""))&lt;lenb($Z991),"ERROR",IF($Z991=$Y$1,"-",0))))))))))))</f>
        <v>2</v>
      </c>
      <c r="W991" s="52">
        <f t="shared" si="997"/>
        <v>0</v>
      </c>
      <c r="X991" s="52">
        <f t="shared" si="997"/>
        <v>0</v>
      </c>
      <c r="Y991" s="52" t="str">
        <f t="shared" si="3"/>
        <v>-</v>
      </c>
      <c r="Z991" s="52" t="s">
        <v>57</v>
      </c>
      <c r="AA991" s="53">
        <f t="shared" si="4"/>
        <v>2</v>
      </c>
      <c r="AB991" s="54">
        <f>COUNTIFS(Links!B:B,"ICSE",Links!C:C,A991,Links!AD:AD,1)</f>
        <v>0</v>
      </c>
      <c r="AC991" s="55" t="s">
        <v>37</v>
      </c>
      <c r="AD991" s="47" t="str">
        <f t="shared" si="5"/>
        <v>No</v>
      </c>
      <c r="AE991" s="56" t="s">
        <v>36</v>
      </c>
      <c r="AF991" s="57" t="s">
        <v>42</v>
      </c>
      <c r="AG991" s="57" t="s">
        <v>42</v>
      </c>
      <c r="AH991" s="57" t="s">
        <v>42</v>
      </c>
      <c r="AI991" s="49" t="str">
        <f t="shared" si="661"/>
        <v>----</v>
      </c>
      <c r="AJ991" s="58" t="str">
        <f t="shared" si="7"/>
        <v>Paper has link but no statement</v>
      </c>
      <c r="AK991" s="59">
        <v>44871.0</v>
      </c>
      <c r="AL991" s="43" t="s">
        <v>43</v>
      </c>
      <c r="AM991" s="60" t="str">
        <f t="shared" si="8"/>
        <v>[IP0158]</v>
      </c>
    </row>
    <row r="992" ht="67.5" customHeight="1">
      <c r="A992" s="61">
        <v>159.0</v>
      </c>
      <c r="B992" s="22" t="s">
        <v>2686</v>
      </c>
      <c r="C992" s="23">
        <v>2022.0</v>
      </c>
      <c r="D992" s="24" t="s">
        <v>35</v>
      </c>
      <c r="E992" s="25" t="s">
        <v>36</v>
      </c>
      <c r="F992" s="25" t="s">
        <v>36</v>
      </c>
      <c r="G992" s="25" t="s">
        <v>36</v>
      </c>
      <c r="H992" s="25" t="s">
        <v>36</v>
      </c>
      <c r="I992" s="25" t="s">
        <v>36</v>
      </c>
      <c r="J992" s="26" t="s">
        <v>36</v>
      </c>
      <c r="K992" s="82" t="s">
        <v>37</v>
      </c>
      <c r="L992" s="70" t="s">
        <v>37</v>
      </c>
      <c r="M992" s="70" t="s">
        <v>35</v>
      </c>
      <c r="N992" s="70" t="s">
        <v>35</v>
      </c>
      <c r="O992" s="70" t="s">
        <v>35</v>
      </c>
      <c r="P992" s="70" t="s">
        <v>35</v>
      </c>
      <c r="Q992" s="70" t="s">
        <v>35</v>
      </c>
      <c r="R992" s="70" t="s">
        <v>37</v>
      </c>
      <c r="S992" s="37" t="s">
        <v>2687</v>
      </c>
      <c r="T992" s="30" t="s">
        <v>2688</v>
      </c>
      <c r="U992" s="30" t="s">
        <v>2688</v>
      </c>
      <c r="V992" s="32">
        <f t="shared" ref="V992:X992" si="998">IF(lenb(SUBSTITUTE($Z992,V$1&amp;" (1)",""))&lt;lenb($Z992),1,IF(lenb(SUBSTITUTE($Z992,V$1&amp;" (2)",""))&lt;lenb($Z992),2,IF(lenb(SUBSTITUTE($Z992,V$1&amp;" (3)",""))&lt;lenb($Z992),3,IF(lenb(SUBSTITUTE($Z992,V$1&amp;" (4)",""))&lt;lenb($Z992),4,IF(lenb(SUBSTITUTE($Z992,V$1&amp;" (5)",""))&lt;lenb($Z992),5,IF(lenb(SUBSTITUTE($Z992,V$1&amp;" (6)",""))&lt;lenb($Z992),6,IF(lenb(SUBSTITUTE($Z992,V$1&amp;" (7)",""))&lt;lenb($Z992),1,IF(lenb(SUBSTITUTE($Z992,V$1&amp;" (8)",""))&lt;lenb($Z992),8,IF(lenb(SUBSTITUTE($Z992,V$1&amp;" (9)",""))&lt;lenb($Z992),9,IF(lenb(SUBSTITUTE($Z992,V$1&amp;" (10)",""))&lt;lenb($Z992),10,IF(lenb(SUBSTITUTE($Z992,V$1,""))&lt;lenb($Z992),"ERROR",IF($Z992=$Y$1,"-",0))))))))))))</f>
        <v>1</v>
      </c>
      <c r="W992" s="32">
        <f t="shared" si="998"/>
        <v>0</v>
      </c>
      <c r="X992" s="32">
        <f t="shared" si="998"/>
        <v>0</v>
      </c>
      <c r="Y992" s="32" t="str">
        <f t="shared" si="3"/>
        <v>-</v>
      </c>
      <c r="Z992" s="32" t="s">
        <v>62</v>
      </c>
      <c r="AA992" s="33">
        <f t="shared" si="4"/>
        <v>1</v>
      </c>
      <c r="AB992" s="34">
        <f>COUNTIFS(Links!B:B,"ICSE",Links!C:C,A992,Links!AD:AD,1)</f>
        <v>0</v>
      </c>
      <c r="AC992" s="35" t="s">
        <v>35</v>
      </c>
      <c r="AD992" s="27" t="str">
        <f t="shared" si="5"/>
        <v>No</v>
      </c>
      <c r="AE992" s="36" t="s">
        <v>36</v>
      </c>
      <c r="AF992" s="37" t="s">
        <v>42</v>
      </c>
      <c r="AG992" s="37" t="s">
        <v>42</v>
      </c>
      <c r="AH992" s="37" t="s">
        <v>42</v>
      </c>
      <c r="AI992" s="29" t="str">
        <f t="shared" si="661"/>
        <v>----</v>
      </c>
      <c r="AJ992" s="38" t="str">
        <f t="shared" si="7"/>
        <v>Paper has link but no statement</v>
      </c>
      <c r="AK992" s="39">
        <v>44871.0</v>
      </c>
      <c r="AL992" s="23" t="s">
        <v>43</v>
      </c>
      <c r="AM992" s="40" t="str">
        <f t="shared" si="8"/>
        <v>[IP0159]</v>
      </c>
    </row>
    <row r="993" ht="67.5" customHeight="1">
      <c r="A993" s="41">
        <v>160.0</v>
      </c>
      <c r="B993" s="42" t="s">
        <v>2689</v>
      </c>
      <c r="C993" s="43">
        <v>2022.0</v>
      </c>
      <c r="D993" s="44" t="s">
        <v>35</v>
      </c>
      <c r="E993" s="45" t="s">
        <v>36</v>
      </c>
      <c r="F993" s="45" t="s">
        <v>36</v>
      </c>
      <c r="G993" s="45" t="s">
        <v>36</v>
      </c>
      <c r="H993" s="45" t="s">
        <v>36</v>
      </c>
      <c r="I993" s="45" t="s">
        <v>36</v>
      </c>
      <c r="J993" s="46" t="s">
        <v>36</v>
      </c>
      <c r="K993" s="83" t="s">
        <v>37</v>
      </c>
      <c r="L993" s="71" t="s">
        <v>35</v>
      </c>
      <c r="M993" s="71" t="s">
        <v>37</v>
      </c>
      <c r="N993" s="71" t="s">
        <v>37</v>
      </c>
      <c r="O993" s="71" t="s">
        <v>35</v>
      </c>
      <c r="P993" s="71" t="s">
        <v>35</v>
      </c>
      <c r="Q993" s="71" t="s">
        <v>35</v>
      </c>
      <c r="R993" s="71" t="s">
        <v>35</v>
      </c>
      <c r="S993" s="57" t="s">
        <v>2690</v>
      </c>
      <c r="T993" s="50" t="s">
        <v>2691</v>
      </c>
      <c r="U993" s="51" t="s">
        <v>2691</v>
      </c>
      <c r="V993" s="52">
        <f t="shared" ref="V993:X993" si="999">IF(lenb(SUBSTITUTE($Z993,V$1&amp;" (1)",""))&lt;lenb($Z993),1,IF(lenb(SUBSTITUTE($Z993,V$1&amp;" (2)",""))&lt;lenb($Z993),2,IF(lenb(SUBSTITUTE($Z993,V$1&amp;" (3)",""))&lt;lenb($Z993),3,IF(lenb(SUBSTITUTE($Z993,V$1&amp;" (4)",""))&lt;lenb($Z993),4,IF(lenb(SUBSTITUTE($Z993,V$1&amp;" (5)",""))&lt;lenb($Z993),5,IF(lenb(SUBSTITUTE($Z993,V$1&amp;" (6)",""))&lt;lenb($Z993),6,IF(lenb(SUBSTITUTE($Z993,V$1&amp;" (7)",""))&lt;lenb($Z993),1,IF(lenb(SUBSTITUTE($Z993,V$1&amp;" (8)",""))&lt;lenb($Z993),8,IF(lenb(SUBSTITUTE($Z993,V$1&amp;" (9)",""))&lt;lenb($Z993),9,IF(lenb(SUBSTITUTE($Z993,V$1&amp;" (10)",""))&lt;lenb($Z993),10,IF(lenb(SUBSTITUTE($Z993,V$1,""))&lt;lenb($Z993),"ERROR",IF($Z993=$Y$1,"-",0))))))))))))</f>
        <v>1</v>
      </c>
      <c r="W993" s="52">
        <f t="shared" si="999"/>
        <v>0</v>
      </c>
      <c r="X993" s="52">
        <f t="shared" si="999"/>
        <v>0</v>
      </c>
      <c r="Y993" s="52" t="str">
        <f t="shared" si="3"/>
        <v>-</v>
      </c>
      <c r="Z993" s="52" t="s">
        <v>62</v>
      </c>
      <c r="AA993" s="53">
        <f t="shared" si="4"/>
        <v>1</v>
      </c>
      <c r="AB993" s="54">
        <f>COUNTIFS(Links!B:B,"ICSE",Links!C:C,A993,Links!AD:AD,1)</f>
        <v>0</v>
      </c>
      <c r="AC993" s="55" t="s">
        <v>35</v>
      </c>
      <c r="AD993" s="47" t="str">
        <f t="shared" si="5"/>
        <v>No</v>
      </c>
      <c r="AE993" s="56" t="s">
        <v>36</v>
      </c>
      <c r="AF993" s="57" t="s">
        <v>42</v>
      </c>
      <c r="AG993" s="57" t="s">
        <v>42</v>
      </c>
      <c r="AH993" s="57" t="s">
        <v>42</v>
      </c>
      <c r="AI993" s="49" t="str">
        <f t="shared" si="661"/>
        <v>----</v>
      </c>
      <c r="AJ993" s="58" t="str">
        <f t="shared" si="7"/>
        <v>Paper has link but no statement</v>
      </c>
      <c r="AK993" s="59">
        <v>44871.0</v>
      </c>
      <c r="AL993" s="43" t="s">
        <v>43</v>
      </c>
      <c r="AM993" s="60" t="str">
        <f t="shared" si="8"/>
        <v>[IP0160]</v>
      </c>
    </row>
    <row r="994" ht="67.5" customHeight="1">
      <c r="A994" s="61">
        <v>161.0</v>
      </c>
      <c r="B994" s="22" t="s">
        <v>2692</v>
      </c>
      <c r="C994" s="23">
        <v>2022.0</v>
      </c>
      <c r="D994" s="24" t="s">
        <v>37</v>
      </c>
      <c r="E994" s="25" t="s">
        <v>35</v>
      </c>
      <c r="F994" s="25" t="s">
        <v>37</v>
      </c>
      <c r="G994" s="25" t="s">
        <v>35</v>
      </c>
      <c r="H994" s="25" t="s">
        <v>35</v>
      </c>
      <c r="I994" s="25" t="s">
        <v>35</v>
      </c>
      <c r="J994" s="26" t="s">
        <v>36</v>
      </c>
      <c r="K994" s="82" t="s">
        <v>37</v>
      </c>
      <c r="L994" s="70" t="s">
        <v>35</v>
      </c>
      <c r="M994" s="70" t="s">
        <v>35</v>
      </c>
      <c r="N994" s="70" t="s">
        <v>37</v>
      </c>
      <c r="O994" s="70" t="s">
        <v>35</v>
      </c>
      <c r="P994" s="70" t="s">
        <v>37</v>
      </c>
      <c r="Q994" s="70" t="s">
        <v>35</v>
      </c>
      <c r="R994" s="70" t="s">
        <v>37</v>
      </c>
      <c r="S994" s="37" t="s">
        <v>2693</v>
      </c>
      <c r="T994" s="30" t="s">
        <v>2694</v>
      </c>
      <c r="U994" s="31" t="s">
        <v>2694</v>
      </c>
      <c r="V994" s="32">
        <f t="shared" ref="V994:X994" si="1000">IF(lenb(SUBSTITUTE($Z994,V$1&amp;" (1)",""))&lt;lenb($Z994),1,IF(lenb(SUBSTITUTE($Z994,V$1&amp;" (2)",""))&lt;lenb($Z994),2,IF(lenb(SUBSTITUTE($Z994,V$1&amp;" (3)",""))&lt;lenb($Z994),3,IF(lenb(SUBSTITUTE($Z994,V$1&amp;" (4)",""))&lt;lenb($Z994),4,IF(lenb(SUBSTITUTE($Z994,V$1&amp;" (5)",""))&lt;lenb($Z994),5,IF(lenb(SUBSTITUTE($Z994,V$1&amp;" (6)",""))&lt;lenb($Z994),6,IF(lenb(SUBSTITUTE($Z994,V$1&amp;" (7)",""))&lt;lenb($Z994),1,IF(lenb(SUBSTITUTE($Z994,V$1&amp;" (8)",""))&lt;lenb($Z994),8,IF(lenb(SUBSTITUTE($Z994,V$1&amp;" (9)",""))&lt;lenb($Z994),9,IF(lenb(SUBSTITUTE($Z994,V$1&amp;" (10)",""))&lt;lenb($Z994),10,IF(lenb(SUBSTITUTE($Z994,V$1,""))&lt;lenb($Z994),"ERROR",IF($Z994=$Y$1,"-",0))))))))))))</f>
        <v>1</v>
      </c>
      <c r="W994" s="32">
        <f t="shared" si="1000"/>
        <v>0</v>
      </c>
      <c r="X994" s="32">
        <f t="shared" si="1000"/>
        <v>0</v>
      </c>
      <c r="Y994" s="32" t="str">
        <f t="shared" si="3"/>
        <v>-</v>
      </c>
      <c r="Z994" s="32" t="s">
        <v>62</v>
      </c>
      <c r="AA994" s="33">
        <f t="shared" si="4"/>
        <v>1</v>
      </c>
      <c r="AB994" s="34">
        <f>COUNTIFS(Links!B:B,"ICSE",Links!C:C,A994,Links!AD:AD,1)</f>
        <v>0</v>
      </c>
      <c r="AC994" s="35" t="s">
        <v>37</v>
      </c>
      <c r="AD994" s="27" t="str">
        <f t="shared" si="5"/>
        <v>No</v>
      </c>
      <c r="AE994" s="36" t="s">
        <v>36</v>
      </c>
      <c r="AF994" s="37" t="s">
        <v>42</v>
      </c>
      <c r="AG994" s="37" t="s">
        <v>42</v>
      </c>
      <c r="AH994" s="37" t="s">
        <v>42</v>
      </c>
      <c r="AI994" s="29" t="str">
        <f t="shared" si="661"/>
        <v>----</v>
      </c>
      <c r="AJ994" s="38" t="str">
        <f t="shared" si="7"/>
        <v>Paper has link but no statement</v>
      </c>
      <c r="AK994" s="39">
        <v>44871.0</v>
      </c>
      <c r="AL994" s="23" t="s">
        <v>43</v>
      </c>
      <c r="AM994" s="40" t="str">
        <f t="shared" si="8"/>
        <v>[IP0161]</v>
      </c>
    </row>
    <row r="995" ht="67.5" customHeight="1">
      <c r="A995" s="41">
        <v>162.0</v>
      </c>
      <c r="B995" s="42" t="s">
        <v>2695</v>
      </c>
      <c r="C995" s="43">
        <v>2022.0</v>
      </c>
      <c r="D995" s="44" t="s">
        <v>35</v>
      </c>
      <c r="E995" s="45" t="s">
        <v>36</v>
      </c>
      <c r="F995" s="45" t="s">
        <v>36</v>
      </c>
      <c r="G995" s="45" t="s">
        <v>36</v>
      </c>
      <c r="H995" s="45" t="s">
        <v>36</v>
      </c>
      <c r="I995" s="45" t="s">
        <v>36</v>
      </c>
      <c r="J995" s="46" t="s">
        <v>36</v>
      </c>
      <c r="K995" s="83" t="s">
        <v>37</v>
      </c>
      <c r="L995" s="71" t="s">
        <v>35</v>
      </c>
      <c r="M995" s="71" t="s">
        <v>35</v>
      </c>
      <c r="N995" s="71" t="s">
        <v>35</v>
      </c>
      <c r="O995" s="71" t="s">
        <v>35</v>
      </c>
      <c r="P995" s="71" t="s">
        <v>35</v>
      </c>
      <c r="Q995" s="71" t="s">
        <v>37</v>
      </c>
      <c r="R995" s="71" t="s">
        <v>35</v>
      </c>
      <c r="S995" s="57" t="s">
        <v>2271</v>
      </c>
      <c r="T995" s="50" t="s">
        <v>2696</v>
      </c>
      <c r="U995" s="51" t="s">
        <v>2696</v>
      </c>
      <c r="V995" s="52">
        <f t="shared" ref="V995:X995" si="1001">IF(lenb(SUBSTITUTE($Z995,V$1&amp;" (1)",""))&lt;lenb($Z995),1,IF(lenb(SUBSTITUTE($Z995,V$1&amp;" (2)",""))&lt;lenb($Z995),2,IF(lenb(SUBSTITUTE($Z995,V$1&amp;" (3)",""))&lt;lenb($Z995),3,IF(lenb(SUBSTITUTE($Z995,V$1&amp;" (4)",""))&lt;lenb($Z995),4,IF(lenb(SUBSTITUTE($Z995,V$1&amp;" (5)",""))&lt;lenb($Z995),5,IF(lenb(SUBSTITUTE($Z995,V$1&amp;" (6)",""))&lt;lenb($Z995),6,IF(lenb(SUBSTITUTE($Z995,V$1&amp;" (7)",""))&lt;lenb($Z995),1,IF(lenb(SUBSTITUTE($Z995,V$1&amp;" (8)",""))&lt;lenb($Z995),8,IF(lenb(SUBSTITUTE($Z995,V$1&amp;" (9)",""))&lt;lenb($Z995),9,IF(lenb(SUBSTITUTE($Z995,V$1&amp;" (10)",""))&lt;lenb($Z995),10,IF(lenb(SUBSTITUTE($Z995,V$1,""))&lt;lenb($Z995),"ERROR",IF($Z995=$Y$1,"-",0))))))))))))</f>
        <v>1</v>
      </c>
      <c r="W995" s="52">
        <f t="shared" si="1001"/>
        <v>0</v>
      </c>
      <c r="X995" s="52">
        <f t="shared" si="1001"/>
        <v>0</v>
      </c>
      <c r="Y995" s="52" t="str">
        <f t="shared" si="3"/>
        <v>-</v>
      </c>
      <c r="Z995" s="52" t="s">
        <v>62</v>
      </c>
      <c r="AA995" s="53">
        <f t="shared" si="4"/>
        <v>1</v>
      </c>
      <c r="AB995" s="54">
        <f>COUNTIFS(Links!B:B,"ICSE",Links!C:C,A995,Links!AD:AD,1)</f>
        <v>0</v>
      </c>
      <c r="AC995" s="55" t="s">
        <v>37</v>
      </c>
      <c r="AD995" s="47" t="str">
        <f t="shared" si="5"/>
        <v>No</v>
      </c>
      <c r="AE995" s="56" t="s">
        <v>36</v>
      </c>
      <c r="AF995" s="57" t="s">
        <v>42</v>
      </c>
      <c r="AG995" s="57" t="s">
        <v>42</v>
      </c>
      <c r="AH995" s="57" t="s">
        <v>42</v>
      </c>
      <c r="AI995" s="49" t="str">
        <f t="shared" si="661"/>
        <v>----</v>
      </c>
      <c r="AJ995" s="58" t="str">
        <f t="shared" si="7"/>
        <v>Paper has link but no statement</v>
      </c>
      <c r="AK995" s="59">
        <v>44871.0</v>
      </c>
      <c r="AL995" s="43" t="s">
        <v>43</v>
      </c>
      <c r="AM995" s="60" t="str">
        <f t="shared" si="8"/>
        <v>[IP0162]</v>
      </c>
    </row>
    <row r="996" ht="67.5" customHeight="1">
      <c r="A996" s="61">
        <v>163.0</v>
      </c>
      <c r="B996" s="22" t="s">
        <v>2697</v>
      </c>
      <c r="C996" s="23">
        <v>2022.0</v>
      </c>
      <c r="D996" s="24" t="s">
        <v>35</v>
      </c>
      <c r="E996" s="25" t="s">
        <v>36</v>
      </c>
      <c r="F996" s="25" t="s">
        <v>36</v>
      </c>
      <c r="G996" s="25" t="s">
        <v>36</v>
      </c>
      <c r="H996" s="25" t="s">
        <v>36</v>
      </c>
      <c r="I996" s="25" t="s">
        <v>36</v>
      </c>
      <c r="J996" s="26" t="s">
        <v>36</v>
      </c>
      <c r="K996" s="82" t="s">
        <v>37</v>
      </c>
      <c r="L996" s="70" t="s">
        <v>35</v>
      </c>
      <c r="M996" s="70" t="s">
        <v>35</v>
      </c>
      <c r="N996" s="70" t="s">
        <v>35</v>
      </c>
      <c r="O996" s="70" t="s">
        <v>37</v>
      </c>
      <c r="P996" s="70" t="s">
        <v>35</v>
      </c>
      <c r="Q996" s="70" t="s">
        <v>35</v>
      </c>
      <c r="R996" s="70" t="s">
        <v>35</v>
      </c>
      <c r="S996" s="37" t="s">
        <v>1802</v>
      </c>
      <c r="T996" s="30" t="s">
        <v>2698</v>
      </c>
      <c r="U996" s="31" t="s">
        <v>2698</v>
      </c>
      <c r="V996" s="32">
        <f t="shared" ref="V996:X996" si="1002">IF(lenb(SUBSTITUTE($Z996,V$1&amp;" (1)",""))&lt;lenb($Z996),1,IF(lenb(SUBSTITUTE($Z996,V$1&amp;" (2)",""))&lt;lenb($Z996),2,IF(lenb(SUBSTITUTE($Z996,V$1&amp;" (3)",""))&lt;lenb($Z996),3,IF(lenb(SUBSTITUTE($Z996,V$1&amp;" (4)",""))&lt;lenb($Z996),4,IF(lenb(SUBSTITUTE($Z996,V$1&amp;" (5)",""))&lt;lenb($Z996),5,IF(lenb(SUBSTITUTE($Z996,V$1&amp;" (6)",""))&lt;lenb($Z996),6,IF(lenb(SUBSTITUTE($Z996,V$1&amp;" (7)",""))&lt;lenb($Z996),1,IF(lenb(SUBSTITUTE($Z996,V$1&amp;" (8)",""))&lt;lenb($Z996),8,IF(lenb(SUBSTITUTE($Z996,V$1&amp;" (9)",""))&lt;lenb($Z996),9,IF(lenb(SUBSTITUTE($Z996,V$1&amp;" (10)",""))&lt;lenb($Z996),10,IF(lenb(SUBSTITUTE($Z996,V$1,""))&lt;lenb($Z996),"ERROR",IF($Z996=$Y$1,"-",0))))))))))))</f>
        <v>1</v>
      </c>
      <c r="W996" s="32">
        <f t="shared" si="1002"/>
        <v>0</v>
      </c>
      <c r="X996" s="32">
        <f t="shared" si="1002"/>
        <v>0</v>
      </c>
      <c r="Y996" s="32" t="str">
        <f t="shared" si="3"/>
        <v>-</v>
      </c>
      <c r="Z996" s="32" t="s">
        <v>62</v>
      </c>
      <c r="AA996" s="33">
        <f t="shared" si="4"/>
        <v>1</v>
      </c>
      <c r="AB996" s="34">
        <f>COUNTIFS(Links!B:B,"ICSE",Links!C:C,A996,Links!AD:AD,1)</f>
        <v>0</v>
      </c>
      <c r="AC996" s="35" t="s">
        <v>35</v>
      </c>
      <c r="AD996" s="27" t="str">
        <f t="shared" si="5"/>
        <v>No</v>
      </c>
      <c r="AE996" s="36" t="s">
        <v>36</v>
      </c>
      <c r="AF996" s="37" t="s">
        <v>42</v>
      </c>
      <c r="AG996" s="37" t="s">
        <v>42</v>
      </c>
      <c r="AH996" s="37" t="s">
        <v>42</v>
      </c>
      <c r="AI996" s="29" t="str">
        <f t="shared" si="661"/>
        <v>----</v>
      </c>
      <c r="AJ996" s="38" t="str">
        <f t="shared" si="7"/>
        <v>Paper has link but no statement</v>
      </c>
      <c r="AK996" s="39">
        <v>44871.0</v>
      </c>
      <c r="AL996" s="23" t="s">
        <v>43</v>
      </c>
      <c r="AM996" s="40" t="str">
        <f t="shared" si="8"/>
        <v>[IP0163]</v>
      </c>
    </row>
    <row r="997" ht="67.5" customHeight="1">
      <c r="A997" s="41">
        <v>164.0</v>
      </c>
      <c r="B997" s="42" t="s">
        <v>2699</v>
      </c>
      <c r="C997" s="43">
        <v>2022.0</v>
      </c>
      <c r="D997" s="44" t="s">
        <v>35</v>
      </c>
      <c r="E997" s="45" t="s">
        <v>36</v>
      </c>
      <c r="F997" s="45" t="s">
        <v>36</v>
      </c>
      <c r="G997" s="45" t="s">
        <v>36</v>
      </c>
      <c r="H997" s="45" t="s">
        <v>36</v>
      </c>
      <c r="I997" s="45" t="s">
        <v>36</v>
      </c>
      <c r="J997" s="46" t="s">
        <v>36</v>
      </c>
      <c r="K997" s="83" t="s">
        <v>37</v>
      </c>
      <c r="L997" s="71" t="s">
        <v>35</v>
      </c>
      <c r="M997" s="71" t="s">
        <v>35</v>
      </c>
      <c r="N997" s="71" t="s">
        <v>35</v>
      </c>
      <c r="O997" s="71" t="s">
        <v>37</v>
      </c>
      <c r="P997" s="71" t="s">
        <v>35</v>
      </c>
      <c r="Q997" s="71" t="s">
        <v>35</v>
      </c>
      <c r="R997" s="71" t="s">
        <v>35</v>
      </c>
      <c r="S997" s="57" t="s">
        <v>2473</v>
      </c>
      <c r="T997" s="50" t="s">
        <v>2700</v>
      </c>
      <c r="U997" s="51" t="s">
        <v>2700</v>
      </c>
      <c r="V997" s="52">
        <f t="shared" ref="V997:X997" si="1003">IF(lenb(SUBSTITUTE($Z997,V$1&amp;" (1)",""))&lt;lenb($Z997),1,IF(lenb(SUBSTITUTE($Z997,V$1&amp;" (2)",""))&lt;lenb($Z997),2,IF(lenb(SUBSTITUTE($Z997,V$1&amp;" (3)",""))&lt;lenb($Z997),3,IF(lenb(SUBSTITUTE($Z997,V$1&amp;" (4)",""))&lt;lenb($Z997),4,IF(lenb(SUBSTITUTE($Z997,V$1&amp;" (5)",""))&lt;lenb($Z997),5,IF(lenb(SUBSTITUTE($Z997,V$1&amp;" (6)",""))&lt;lenb($Z997),6,IF(lenb(SUBSTITUTE($Z997,V$1&amp;" (7)",""))&lt;lenb($Z997),1,IF(lenb(SUBSTITUTE($Z997,V$1&amp;" (8)",""))&lt;lenb($Z997),8,IF(lenb(SUBSTITUTE($Z997,V$1&amp;" (9)",""))&lt;lenb($Z997),9,IF(lenb(SUBSTITUTE($Z997,V$1&amp;" (10)",""))&lt;lenb($Z997),10,IF(lenb(SUBSTITUTE($Z997,V$1,""))&lt;lenb($Z997),"ERROR",IF($Z997=$Y$1,"-",0))))))))))))</f>
        <v>1</v>
      </c>
      <c r="W997" s="52">
        <f t="shared" si="1003"/>
        <v>0</v>
      </c>
      <c r="X997" s="52">
        <f t="shared" si="1003"/>
        <v>0</v>
      </c>
      <c r="Y997" s="52" t="str">
        <f t="shared" si="3"/>
        <v>-</v>
      </c>
      <c r="Z997" s="52" t="s">
        <v>62</v>
      </c>
      <c r="AA997" s="53">
        <f t="shared" si="4"/>
        <v>1</v>
      </c>
      <c r="AB997" s="54">
        <f>COUNTIFS(Links!B:B,"ICSE",Links!C:C,A997,Links!AD:AD,1)</f>
        <v>0</v>
      </c>
      <c r="AC997" s="55" t="s">
        <v>35</v>
      </c>
      <c r="AD997" s="47" t="str">
        <f t="shared" si="5"/>
        <v>No</v>
      </c>
      <c r="AE997" s="56" t="s">
        <v>36</v>
      </c>
      <c r="AF997" s="57" t="s">
        <v>42</v>
      </c>
      <c r="AG997" s="57" t="s">
        <v>42</v>
      </c>
      <c r="AH997" s="57" t="s">
        <v>42</v>
      </c>
      <c r="AI997" s="49" t="str">
        <f t="shared" si="661"/>
        <v>----</v>
      </c>
      <c r="AJ997" s="58" t="str">
        <f t="shared" si="7"/>
        <v>Paper has link but no statement</v>
      </c>
      <c r="AK997" s="59">
        <v>44871.0</v>
      </c>
      <c r="AL997" s="43" t="s">
        <v>43</v>
      </c>
      <c r="AM997" s="60" t="str">
        <f t="shared" si="8"/>
        <v>[IP0164]</v>
      </c>
    </row>
    <row r="998" ht="67.5" customHeight="1">
      <c r="A998" s="61">
        <v>165.0</v>
      </c>
      <c r="B998" s="22" t="s">
        <v>2701</v>
      </c>
      <c r="C998" s="23">
        <v>2022.0</v>
      </c>
      <c r="D998" s="24" t="s">
        <v>37</v>
      </c>
      <c r="E998" s="25" t="s">
        <v>37</v>
      </c>
      <c r="F998" s="25" t="s">
        <v>37</v>
      </c>
      <c r="G998" s="25" t="s">
        <v>35</v>
      </c>
      <c r="H998" s="25" t="s">
        <v>35</v>
      </c>
      <c r="I998" s="25" t="s">
        <v>35</v>
      </c>
      <c r="J998" s="26" t="s">
        <v>36</v>
      </c>
      <c r="K998" s="82" t="s">
        <v>37</v>
      </c>
      <c r="L998" s="70" t="s">
        <v>35</v>
      </c>
      <c r="M998" s="70" t="s">
        <v>37</v>
      </c>
      <c r="N998" s="70" t="s">
        <v>35</v>
      </c>
      <c r="O998" s="70" t="s">
        <v>35</v>
      </c>
      <c r="P998" s="70" t="s">
        <v>35</v>
      </c>
      <c r="Q998" s="70" t="s">
        <v>35</v>
      </c>
      <c r="R998" s="70" t="s">
        <v>37</v>
      </c>
      <c r="S998" s="37" t="s">
        <v>2702</v>
      </c>
      <c r="T998" s="30" t="s">
        <v>2703</v>
      </c>
      <c r="U998" s="31" t="s">
        <v>2703</v>
      </c>
      <c r="V998" s="32">
        <f t="shared" ref="V998:X998" si="1004">IF(lenb(SUBSTITUTE($Z998,V$1&amp;" (1)",""))&lt;lenb($Z998),1,IF(lenb(SUBSTITUTE($Z998,V$1&amp;" (2)",""))&lt;lenb($Z998),2,IF(lenb(SUBSTITUTE($Z998,V$1&amp;" (3)",""))&lt;lenb($Z998),3,IF(lenb(SUBSTITUTE($Z998,V$1&amp;" (4)",""))&lt;lenb($Z998),4,IF(lenb(SUBSTITUTE($Z998,V$1&amp;" (5)",""))&lt;lenb($Z998),5,IF(lenb(SUBSTITUTE($Z998,V$1&amp;" (6)",""))&lt;lenb($Z998),6,IF(lenb(SUBSTITUTE($Z998,V$1&amp;" (7)",""))&lt;lenb($Z998),1,IF(lenb(SUBSTITUTE($Z998,V$1&amp;" (8)",""))&lt;lenb($Z998),8,IF(lenb(SUBSTITUTE($Z998,V$1&amp;" (9)",""))&lt;lenb($Z998),9,IF(lenb(SUBSTITUTE($Z998,V$1&amp;" (10)",""))&lt;lenb($Z998),10,IF(lenb(SUBSTITUTE($Z998,V$1,""))&lt;lenb($Z998),"ERROR",IF($Z998=$Y$1,"-",0))))))))))))</f>
        <v>1</v>
      </c>
      <c r="W998" s="32">
        <f t="shared" si="1004"/>
        <v>0</v>
      </c>
      <c r="X998" s="32">
        <f t="shared" si="1004"/>
        <v>0</v>
      </c>
      <c r="Y998" s="32" t="str">
        <f t="shared" si="3"/>
        <v>-</v>
      </c>
      <c r="Z998" s="32" t="s">
        <v>62</v>
      </c>
      <c r="AA998" s="33">
        <f t="shared" si="4"/>
        <v>1</v>
      </c>
      <c r="AB998" s="34">
        <f>COUNTIFS(Links!B:B,"ICSE",Links!C:C,A998,Links!AD:AD,1)</f>
        <v>0</v>
      </c>
      <c r="AC998" s="35" t="s">
        <v>37</v>
      </c>
      <c r="AD998" s="27" t="str">
        <f t="shared" si="5"/>
        <v>No</v>
      </c>
      <c r="AE998" s="36" t="s">
        <v>36</v>
      </c>
      <c r="AF998" s="37" t="s">
        <v>42</v>
      </c>
      <c r="AG998" s="37" t="s">
        <v>42</v>
      </c>
      <c r="AH998" s="37" t="s">
        <v>42</v>
      </c>
      <c r="AI998" s="29" t="str">
        <f t="shared" si="661"/>
        <v>----</v>
      </c>
      <c r="AJ998" s="38" t="str">
        <f t="shared" si="7"/>
        <v>Paper has link but no statement</v>
      </c>
      <c r="AK998" s="39">
        <v>44871.0</v>
      </c>
      <c r="AL998" s="23" t="s">
        <v>43</v>
      </c>
      <c r="AM998" s="40" t="str">
        <f t="shared" si="8"/>
        <v>[IP0165]</v>
      </c>
    </row>
    <row r="999" ht="67.5" customHeight="1">
      <c r="A999" s="41">
        <v>166.0</v>
      </c>
      <c r="B999" s="42" t="s">
        <v>2704</v>
      </c>
      <c r="C999" s="43">
        <v>2022.0</v>
      </c>
      <c r="D999" s="44" t="s">
        <v>37</v>
      </c>
      <c r="E999" s="45" t="s">
        <v>37</v>
      </c>
      <c r="F999" s="45" t="s">
        <v>35</v>
      </c>
      <c r="G999" s="45" t="s">
        <v>37</v>
      </c>
      <c r="H999" s="45" t="s">
        <v>35</v>
      </c>
      <c r="I999" s="45" t="s">
        <v>35</v>
      </c>
      <c r="J999" s="46" t="s">
        <v>36</v>
      </c>
      <c r="K999" s="83" t="s">
        <v>37</v>
      </c>
      <c r="L999" s="71" t="s">
        <v>35</v>
      </c>
      <c r="M999" s="71" t="s">
        <v>37</v>
      </c>
      <c r="N999" s="71" t="s">
        <v>37</v>
      </c>
      <c r="O999" s="71" t="s">
        <v>35</v>
      </c>
      <c r="P999" s="71" t="s">
        <v>35</v>
      </c>
      <c r="Q999" s="71" t="s">
        <v>35</v>
      </c>
      <c r="R999" s="71" t="s">
        <v>35</v>
      </c>
      <c r="S999" s="57" t="s">
        <v>2705</v>
      </c>
      <c r="T999" s="50" t="s">
        <v>2706</v>
      </c>
      <c r="U999" s="51" t="s">
        <v>2706</v>
      </c>
      <c r="V999" s="52">
        <f t="shared" ref="V999:X999" si="1005">IF(lenb(SUBSTITUTE($Z999,V$1&amp;" (1)",""))&lt;lenb($Z999),1,IF(lenb(SUBSTITUTE($Z999,V$1&amp;" (2)",""))&lt;lenb($Z999),2,IF(lenb(SUBSTITUTE($Z999,V$1&amp;" (3)",""))&lt;lenb($Z999),3,IF(lenb(SUBSTITUTE($Z999,V$1&amp;" (4)",""))&lt;lenb($Z999),4,IF(lenb(SUBSTITUTE($Z999,V$1&amp;" (5)",""))&lt;lenb($Z999),5,IF(lenb(SUBSTITUTE($Z999,V$1&amp;" (6)",""))&lt;lenb($Z999),6,IF(lenb(SUBSTITUTE($Z999,V$1&amp;" (7)",""))&lt;lenb($Z999),1,IF(lenb(SUBSTITUTE($Z999,V$1&amp;" (8)",""))&lt;lenb($Z999),8,IF(lenb(SUBSTITUTE($Z999,V$1&amp;" (9)",""))&lt;lenb($Z999),9,IF(lenb(SUBSTITUTE($Z999,V$1&amp;" (10)",""))&lt;lenb($Z999),10,IF(lenb(SUBSTITUTE($Z999,V$1,""))&lt;lenb($Z999),"ERROR",IF($Z999=$Y$1,"-",0))))))))))))</f>
        <v>1</v>
      </c>
      <c r="W999" s="52">
        <f t="shared" si="1005"/>
        <v>0</v>
      </c>
      <c r="X999" s="52">
        <f t="shared" si="1005"/>
        <v>0</v>
      </c>
      <c r="Y999" s="52" t="str">
        <f t="shared" si="3"/>
        <v>-</v>
      </c>
      <c r="Z999" s="52" t="s">
        <v>62</v>
      </c>
      <c r="AA999" s="53">
        <f t="shared" si="4"/>
        <v>1</v>
      </c>
      <c r="AB999" s="54">
        <f>COUNTIFS(Links!B:B,"ICSE",Links!C:C,A999,Links!AD:AD,1)</f>
        <v>0</v>
      </c>
      <c r="AC999" s="55" t="s">
        <v>37</v>
      </c>
      <c r="AD999" s="47" t="str">
        <f t="shared" si="5"/>
        <v>No</v>
      </c>
      <c r="AE999" s="56" t="s">
        <v>36</v>
      </c>
      <c r="AF999" s="57" t="s">
        <v>42</v>
      </c>
      <c r="AG999" s="57" t="s">
        <v>42</v>
      </c>
      <c r="AH999" s="57" t="s">
        <v>42</v>
      </c>
      <c r="AI999" s="49" t="str">
        <f t="shared" si="661"/>
        <v>----</v>
      </c>
      <c r="AJ999" s="58" t="str">
        <f t="shared" si="7"/>
        <v>Paper has link but no statement</v>
      </c>
      <c r="AK999" s="59">
        <v>44871.0</v>
      </c>
      <c r="AL999" s="43" t="s">
        <v>43</v>
      </c>
      <c r="AM999" s="60" t="str">
        <f t="shared" si="8"/>
        <v>[IP0166]</v>
      </c>
    </row>
    <row r="1000" ht="67.5" customHeight="1">
      <c r="A1000" s="61">
        <v>167.0</v>
      </c>
      <c r="B1000" s="22" t="s">
        <v>2707</v>
      </c>
      <c r="C1000" s="23">
        <v>2022.0</v>
      </c>
      <c r="D1000" s="24" t="s">
        <v>37</v>
      </c>
      <c r="E1000" s="25" t="s">
        <v>37</v>
      </c>
      <c r="F1000" s="25" t="s">
        <v>35</v>
      </c>
      <c r="G1000" s="25" t="s">
        <v>37</v>
      </c>
      <c r="H1000" s="25" t="s">
        <v>35</v>
      </c>
      <c r="I1000" s="25" t="s">
        <v>35</v>
      </c>
      <c r="J1000" s="26" t="s">
        <v>36</v>
      </c>
      <c r="K1000" s="82" t="s">
        <v>37</v>
      </c>
      <c r="L1000" s="70" t="s">
        <v>37</v>
      </c>
      <c r="M1000" s="70" t="s">
        <v>35</v>
      </c>
      <c r="N1000" s="70" t="s">
        <v>37</v>
      </c>
      <c r="O1000" s="70" t="s">
        <v>35</v>
      </c>
      <c r="P1000" s="70" t="s">
        <v>35</v>
      </c>
      <c r="Q1000" s="70" t="s">
        <v>35</v>
      </c>
      <c r="R1000" s="70" t="s">
        <v>35</v>
      </c>
      <c r="S1000" s="37" t="s">
        <v>1057</v>
      </c>
      <c r="T1000" s="30" t="s">
        <v>2708</v>
      </c>
      <c r="U1000" s="31" t="s">
        <v>2708</v>
      </c>
      <c r="V1000" s="32">
        <f t="shared" ref="V1000:X1000" si="1006">IF(lenb(SUBSTITUTE($Z1000,V$1&amp;" (1)",""))&lt;lenb($Z1000),1,IF(lenb(SUBSTITUTE($Z1000,V$1&amp;" (2)",""))&lt;lenb($Z1000),2,IF(lenb(SUBSTITUTE($Z1000,V$1&amp;" (3)",""))&lt;lenb($Z1000),3,IF(lenb(SUBSTITUTE($Z1000,V$1&amp;" (4)",""))&lt;lenb($Z1000),4,IF(lenb(SUBSTITUTE($Z1000,V$1&amp;" (5)",""))&lt;lenb($Z1000),5,IF(lenb(SUBSTITUTE($Z1000,V$1&amp;" (6)",""))&lt;lenb($Z1000),6,IF(lenb(SUBSTITUTE($Z1000,V$1&amp;" (7)",""))&lt;lenb($Z1000),1,IF(lenb(SUBSTITUTE($Z1000,V$1&amp;" (8)",""))&lt;lenb($Z1000),8,IF(lenb(SUBSTITUTE($Z1000,V$1&amp;" (9)",""))&lt;lenb($Z1000),9,IF(lenb(SUBSTITUTE($Z1000,V$1&amp;" (10)",""))&lt;lenb($Z1000),10,IF(lenb(SUBSTITUTE($Z1000,V$1,""))&lt;lenb($Z1000),"ERROR",IF($Z1000=$Y$1,"-",0))))))))))))</f>
        <v>1</v>
      </c>
      <c r="W1000" s="32">
        <f t="shared" si="1006"/>
        <v>0</v>
      </c>
      <c r="X1000" s="32">
        <f t="shared" si="1006"/>
        <v>0</v>
      </c>
      <c r="Y1000" s="32" t="str">
        <f t="shared" si="3"/>
        <v>-</v>
      </c>
      <c r="Z1000" s="32" t="s">
        <v>62</v>
      </c>
      <c r="AA1000" s="33">
        <f t="shared" si="4"/>
        <v>1</v>
      </c>
      <c r="AB1000" s="34">
        <f>COUNTIFS(Links!B:B,"ICSE",Links!C:C,A1000,Links!AD:AD,1)</f>
        <v>0</v>
      </c>
      <c r="AC1000" s="35" t="s">
        <v>35</v>
      </c>
      <c r="AD1000" s="27" t="str">
        <f t="shared" si="5"/>
        <v>No</v>
      </c>
      <c r="AE1000" s="36" t="s">
        <v>36</v>
      </c>
      <c r="AF1000" s="37" t="s">
        <v>42</v>
      </c>
      <c r="AG1000" s="37" t="s">
        <v>42</v>
      </c>
      <c r="AH1000" s="37" t="s">
        <v>42</v>
      </c>
      <c r="AI1000" s="29" t="str">
        <f t="shared" si="661"/>
        <v>----</v>
      </c>
      <c r="AJ1000" s="38" t="str">
        <f t="shared" si="7"/>
        <v>Paper has link but no statement</v>
      </c>
      <c r="AK1000" s="39">
        <v>44871.0</v>
      </c>
      <c r="AL1000" s="23" t="s">
        <v>43</v>
      </c>
      <c r="AM1000" s="40" t="str">
        <f t="shared" si="8"/>
        <v>[IP0167]</v>
      </c>
    </row>
    <row r="1001" ht="67.5" customHeight="1">
      <c r="A1001" s="41">
        <v>168.0</v>
      </c>
      <c r="B1001" s="42" t="s">
        <v>2709</v>
      </c>
      <c r="C1001" s="43">
        <v>2022.0</v>
      </c>
      <c r="D1001" s="44" t="s">
        <v>35</v>
      </c>
      <c r="E1001" s="45" t="s">
        <v>36</v>
      </c>
      <c r="F1001" s="45" t="s">
        <v>36</v>
      </c>
      <c r="G1001" s="45" t="s">
        <v>36</v>
      </c>
      <c r="H1001" s="45" t="s">
        <v>36</v>
      </c>
      <c r="I1001" s="45" t="s">
        <v>36</v>
      </c>
      <c r="J1001" s="46" t="s">
        <v>36</v>
      </c>
      <c r="K1001" s="83" t="s">
        <v>37</v>
      </c>
      <c r="L1001" s="71" t="s">
        <v>35</v>
      </c>
      <c r="M1001" s="71" t="s">
        <v>35</v>
      </c>
      <c r="N1001" s="71" t="s">
        <v>35</v>
      </c>
      <c r="O1001" s="71" t="s">
        <v>35</v>
      </c>
      <c r="P1001" s="71" t="s">
        <v>35</v>
      </c>
      <c r="Q1001" s="71" t="s">
        <v>37</v>
      </c>
      <c r="R1001" s="71" t="s">
        <v>35</v>
      </c>
      <c r="S1001" s="57" t="s">
        <v>2271</v>
      </c>
      <c r="T1001" s="50" t="s">
        <v>2710</v>
      </c>
      <c r="U1001" s="51" t="s">
        <v>2710</v>
      </c>
      <c r="V1001" s="52">
        <f t="shared" ref="V1001:X1001" si="1007">IF(lenb(SUBSTITUTE($Z1001,V$1&amp;" (1)",""))&lt;lenb($Z1001),1,IF(lenb(SUBSTITUTE($Z1001,V$1&amp;" (2)",""))&lt;lenb($Z1001),2,IF(lenb(SUBSTITUTE($Z1001,V$1&amp;" (3)",""))&lt;lenb($Z1001),3,IF(lenb(SUBSTITUTE($Z1001,V$1&amp;" (4)",""))&lt;lenb($Z1001),4,IF(lenb(SUBSTITUTE($Z1001,V$1&amp;" (5)",""))&lt;lenb($Z1001),5,IF(lenb(SUBSTITUTE($Z1001,V$1&amp;" (6)",""))&lt;lenb($Z1001),6,IF(lenb(SUBSTITUTE($Z1001,V$1&amp;" (7)",""))&lt;lenb($Z1001),1,IF(lenb(SUBSTITUTE($Z1001,V$1&amp;" (8)",""))&lt;lenb($Z1001),8,IF(lenb(SUBSTITUTE($Z1001,V$1&amp;" (9)",""))&lt;lenb($Z1001),9,IF(lenb(SUBSTITUTE($Z1001,V$1&amp;" (10)",""))&lt;lenb($Z1001),10,IF(lenb(SUBSTITUTE($Z1001,V$1,""))&lt;lenb($Z1001),"ERROR",IF($Z1001=$Y$1,"-",0))))))))))))</f>
        <v>1</v>
      </c>
      <c r="W1001" s="52">
        <f t="shared" si="1007"/>
        <v>0</v>
      </c>
      <c r="X1001" s="52">
        <f t="shared" si="1007"/>
        <v>0</v>
      </c>
      <c r="Y1001" s="52" t="str">
        <f t="shared" si="3"/>
        <v>-</v>
      </c>
      <c r="Z1001" s="52" t="s">
        <v>62</v>
      </c>
      <c r="AA1001" s="53">
        <f t="shared" si="4"/>
        <v>1</v>
      </c>
      <c r="AB1001" s="54">
        <f>COUNTIFS(Links!B:B,"ICSE",Links!C:C,A1001,Links!AD:AD,1)</f>
        <v>0</v>
      </c>
      <c r="AC1001" s="55" t="s">
        <v>35</v>
      </c>
      <c r="AD1001" s="47" t="str">
        <f t="shared" si="5"/>
        <v>No</v>
      </c>
      <c r="AE1001" s="56" t="s">
        <v>36</v>
      </c>
      <c r="AF1001" s="57" t="s">
        <v>42</v>
      </c>
      <c r="AG1001" s="57" t="s">
        <v>42</v>
      </c>
      <c r="AH1001" s="57" t="s">
        <v>42</v>
      </c>
      <c r="AI1001" s="49" t="str">
        <f t="shared" si="661"/>
        <v>----</v>
      </c>
      <c r="AJ1001" s="58" t="str">
        <f t="shared" si="7"/>
        <v>Paper has link but no statement</v>
      </c>
      <c r="AK1001" s="59">
        <v>44871.0</v>
      </c>
      <c r="AL1001" s="43" t="s">
        <v>43</v>
      </c>
      <c r="AM1001" s="60" t="str">
        <f t="shared" si="8"/>
        <v>[IP0168]</v>
      </c>
    </row>
    <row r="1002" ht="67.5" customHeight="1">
      <c r="A1002" s="21">
        <v>169.0</v>
      </c>
      <c r="B1002" s="22" t="s">
        <v>2711</v>
      </c>
      <c r="C1002" s="23">
        <v>2022.0</v>
      </c>
      <c r="D1002" s="24" t="s">
        <v>35</v>
      </c>
      <c r="E1002" s="25" t="s">
        <v>36</v>
      </c>
      <c r="F1002" s="25" t="s">
        <v>36</v>
      </c>
      <c r="G1002" s="25" t="s">
        <v>36</v>
      </c>
      <c r="H1002" s="25" t="s">
        <v>36</v>
      </c>
      <c r="I1002" s="25" t="s">
        <v>36</v>
      </c>
      <c r="J1002" s="26" t="s">
        <v>36</v>
      </c>
      <c r="K1002" s="82" t="s">
        <v>35</v>
      </c>
      <c r="L1002" s="70" t="s">
        <v>36</v>
      </c>
      <c r="M1002" s="70" t="s">
        <v>36</v>
      </c>
      <c r="N1002" s="70" t="s">
        <v>36</v>
      </c>
      <c r="O1002" s="70" t="s">
        <v>36</v>
      </c>
      <c r="P1002" s="70" t="s">
        <v>36</v>
      </c>
      <c r="Q1002" s="70" t="s">
        <v>36</v>
      </c>
      <c r="R1002" s="70" t="s">
        <v>36</v>
      </c>
      <c r="S1002" s="37" t="s">
        <v>36</v>
      </c>
      <c r="T1002" s="30" t="s">
        <v>36</v>
      </c>
      <c r="U1002" s="31" t="s">
        <v>36</v>
      </c>
      <c r="V1002" s="32" t="str">
        <f t="shared" ref="V1002:X1002" si="1008">IF(lenb(SUBSTITUTE($Z1002,V$1&amp;" (1)",""))&lt;lenb($Z1002),1,IF(lenb(SUBSTITUTE($Z1002,V$1&amp;" (2)",""))&lt;lenb($Z1002),2,IF(lenb(SUBSTITUTE($Z1002,V$1&amp;" (3)",""))&lt;lenb($Z1002),3,IF(lenb(SUBSTITUTE($Z1002,V$1&amp;" (4)",""))&lt;lenb($Z1002),4,IF(lenb(SUBSTITUTE($Z1002,V$1&amp;" (5)",""))&lt;lenb($Z1002),5,IF(lenb(SUBSTITUTE($Z1002,V$1&amp;" (6)",""))&lt;lenb($Z1002),6,IF(lenb(SUBSTITUTE($Z1002,V$1&amp;" (7)",""))&lt;lenb($Z1002),1,IF(lenb(SUBSTITUTE($Z1002,V$1&amp;" (8)",""))&lt;lenb($Z1002),8,IF(lenb(SUBSTITUTE($Z1002,V$1&amp;" (9)",""))&lt;lenb($Z1002),9,IF(lenb(SUBSTITUTE($Z1002,V$1&amp;" (10)",""))&lt;lenb($Z1002),10,IF(lenb(SUBSTITUTE($Z1002,V$1,""))&lt;lenb($Z1002),"ERROR",IF($Z1002=$Y$1,"-",0))))))))))))</f>
        <v>-</v>
      </c>
      <c r="W1002" s="32" t="str">
        <f t="shared" si="1008"/>
        <v>-</v>
      </c>
      <c r="X1002" s="32" t="str">
        <f t="shared" si="1008"/>
        <v>-</v>
      </c>
      <c r="Y1002" s="32">
        <f t="shared" si="3"/>
        <v>1</v>
      </c>
      <c r="Z1002" s="32" t="s">
        <v>23</v>
      </c>
      <c r="AA1002" s="33">
        <f t="shared" si="4"/>
        <v>0</v>
      </c>
      <c r="AB1002" s="34">
        <f>COUNTIFS(Links!B:B,"ICSE",Links!C:C,A1002,Links!AD:AD,1)</f>
        <v>0</v>
      </c>
      <c r="AC1002" s="35" t="s">
        <v>36</v>
      </c>
      <c r="AD1002" s="27" t="str">
        <f t="shared" si="5"/>
        <v>No</v>
      </c>
      <c r="AE1002" s="36" t="s">
        <v>36</v>
      </c>
      <c r="AF1002" s="37" t="s">
        <v>42</v>
      </c>
      <c r="AG1002" s="37" t="s">
        <v>42</v>
      </c>
      <c r="AH1002" s="37" t="s">
        <v>42</v>
      </c>
      <c r="AI1002" s="29" t="str">
        <f t="shared" si="661"/>
        <v>----</v>
      </c>
      <c r="AJ1002" s="38" t="str">
        <f t="shared" si="7"/>
        <v>Paper has no link and no statement</v>
      </c>
      <c r="AK1002" s="39">
        <v>44871.0</v>
      </c>
      <c r="AL1002" s="23" t="s">
        <v>43</v>
      </c>
      <c r="AM1002" s="40" t="str">
        <f t="shared" si="8"/>
        <v>[IP0169]</v>
      </c>
    </row>
    <row r="1003" ht="67.5" customHeight="1">
      <c r="A1003" s="41">
        <v>170.0</v>
      </c>
      <c r="B1003" s="42" t="s">
        <v>2712</v>
      </c>
      <c r="C1003" s="43">
        <v>2022.0</v>
      </c>
      <c r="D1003" s="44" t="s">
        <v>37</v>
      </c>
      <c r="E1003" s="45" t="s">
        <v>37</v>
      </c>
      <c r="F1003" s="45" t="s">
        <v>35</v>
      </c>
      <c r="G1003" s="45" t="s">
        <v>37</v>
      </c>
      <c r="H1003" s="45" t="s">
        <v>35</v>
      </c>
      <c r="I1003" s="45" t="s">
        <v>35</v>
      </c>
      <c r="J1003" s="46" t="s">
        <v>36</v>
      </c>
      <c r="K1003" s="83" t="s">
        <v>37</v>
      </c>
      <c r="L1003" s="71" t="s">
        <v>37</v>
      </c>
      <c r="M1003" s="71" t="s">
        <v>37</v>
      </c>
      <c r="N1003" s="71" t="s">
        <v>35</v>
      </c>
      <c r="O1003" s="71" t="s">
        <v>35</v>
      </c>
      <c r="P1003" s="71" t="s">
        <v>35</v>
      </c>
      <c r="Q1003" s="71" t="s">
        <v>35</v>
      </c>
      <c r="R1003" s="71" t="s">
        <v>37</v>
      </c>
      <c r="S1003" s="57" t="s">
        <v>2713</v>
      </c>
      <c r="T1003" s="50" t="s">
        <v>2714</v>
      </c>
      <c r="U1003" s="51" t="s">
        <v>2714</v>
      </c>
      <c r="V1003" s="52">
        <f t="shared" ref="V1003:X1003" si="1009">IF(lenb(SUBSTITUTE($Z1003,V$1&amp;" (1)",""))&lt;lenb($Z1003),1,IF(lenb(SUBSTITUTE($Z1003,V$1&amp;" (2)",""))&lt;lenb($Z1003),2,IF(lenb(SUBSTITUTE($Z1003,V$1&amp;" (3)",""))&lt;lenb($Z1003),3,IF(lenb(SUBSTITUTE($Z1003,V$1&amp;" (4)",""))&lt;lenb($Z1003),4,IF(lenb(SUBSTITUTE($Z1003,V$1&amp;" (5)",""))&lt;lenb($Z1003),5,IF(lenb(SUBSTITUTE($Z1003,V$1&amp;" (6)",""))&lt;lenb($Z1003),6,IF(lenb(SUBSTITUTE($Z1003,V$1&amp;" (7)",""))&lt;lenb($Z1003),1,IF(lenb(SUBSTITUTE($Z1003,V$1&amp;" (8)",""))&lt;lenb($Z1003),8,IF(lenb(SUBSTITUTE($Z1003,V$1&amp;" (9)",""))&lt;lenb($Z1003),9,IF(lenb(SUBSTITUTE($Z1003,V$1&amp;" (10)",""))&lt;lenb($Z1003),10,IF(lenb(SUBSTITUTE($Z1003,V$1,""))&lt;lenb($Z1003),"ERROR",IF($Z1003=$Y$1,"-",0))))))))))))</f>
        <v>1</v>
      </c>
      <c r="W1003" s="52">
        <f t="shared" si="1009"/>
        <v>1</v>
      </c>
      <c r="X1003" s="52">
        <f t="shared" si="1009"/>
        <v>0</v>
      </c>
      <c r="Y1003" s="52" t="str">
        <f t="shared" si="3"/>
        <v>-</v>
      </c>
      <c r="Z1003" s="52" t="s">
        <v>41</v>
      </c>
      <c r="AA1003" s="53">
        <f t="shared" si="4"/>
        <v>2</v>
      </c>
      <c r="AB1003" s="54">
        <f>COUNTIFS(Links!B:B,"ICSE",Links!C:C,A1003,Links!AD:AD,1)</f>
        <v>0</v>
      </c>
      <c r="AC1003" s="55" t="s">
        <v>35</v>
      </c>
      <c r="AD1003" s="47" t="str">
        <f t="shared" si="5"/>
        <v>No</v>
      </c>
      <c r="AE1003" s="56" t="s">
        <v>36</v>
      </c>
      <c r="AF1003" s="57" t="s">
        <v>42</v>
      </c>
      <c r="AG1003" s="57" t="s">
        <v>42</v>
      </c>
      <c r="AH1003" s="57" t="s">
        <v>42</v>
      </c>
      <c r="AI1003" s="49" t="str">
        <f t="shared" si="661"/>
        <v>----</v>
      </c>
      <c r="AJ1003" s="58" t="str">
        <f t="shared" si="7"/>
        <v>Paper has link but no statement</v>
      </c>
      <c r="AK1003" s="59">
        <v>44871.0</v>
      </c>
      <c r="AL1003" s="43" t="s">
        <v>43</v>
      </c>
      <c r="AM1003" s="60" t="str">
        <f t="shared" si="8"/>
        <v>[IP0170]</v>
      </c>
    </row>
    <row r="1004" ht="67.5" customHeight="1">
      <c r="A1004" s="61">
        <v>171.0</v>
      </c>
      <c r="B1004" s="22" t="s">
        <v>2715</v>
      </c>
      <c r="C1004" s="23">
        <v>2022.0</v>
      </c>
      <c r="D1004" s="24" t="s">
        <v>35</v>
      </c>
      <c r="E1004" s="25" t="s">
        <v>36</v>
      </c>
      <c r="F1004" s="25" t="s">
        <v>36</v>
      </c>
      <c r="G1004" s="25" t="s">
        <v>36</v>
      </c>
      <c r="H1004" s="25" t="s">
        <v>36</v>
      </c>
      <c r="I1004" s="25" t="s">
        <v>36</v>
      </c>
      <c r="J1004" s="26" t="s">
        <v>36</v>
      </c>
      <c r="K1004" s="82" t="s">
        <v>35</v>
      </c>
      <c r="L1004" s="70" t="s">
        <v>36</v>
      </c>
      <c r="M1004" s="70" t="s">
        <v>36</v>
      </c>
      <c r="N1004" s="70" t="s">
        <v>36</v>
      </c>
      <c r="O1004" s="70" t="s">
        <v>36</v>
      </c>
      <c r="P1004" s="70" t="s">
        <v>36</v>
      </c>
      <c r="Q1004" s="70" t="s">
        <v>36</v>
      </c>
      <c r="R1004" s="70" t="s">
        <v>36</v>
      </c>
      <c r="S1004" s="37" t="s">
        <v>36</v>
      </c>
      <c r="T1004" s="30" t="s">
        <v>36</v>
      </c>
      <c r="U1004" s="31" t="s">
        <v>36</v>
      </c>
      <c r="V1004" s="32" t="str">
        <f t="shared" ref="V1004:X1004" si="1010">IF(lenb(SUBSTITUTE($Z1004,V$1&amp;" (1)",""))&lt;lenb($Z1004),1,IF(lenb(SUBSTITUTE($Z1004,V$1&amp;" (2)",""))&lt;lenb($Z1004),2,IF(lenb(SUBSTITUTE($Z1004,V$1&amp;" (3)",""))&lt;lenb($Z1004),3,IF(lenb(SUBSTITUTE($Z1004,V$1&amp;" (4)",""))&lt;lenb($Z1004),4,IF(lenb(SUBSTITUTE($Z1004,V$1&amp;" (5)",""))&lt;lenb($Z1004),5,IF(lenb(SUBSTITUTE($Z1004,V$1&amp;" (6)",""))&lt;lenb($Z1004),6,IF(lenb(SUBSTITUTE($Z1004,V$1&amp;" (7)",""))&lt;lenb($Z1004),1,IF(lenb(SUBSTITUTE($Z1004,V$1&amp;" (8)",""))&lt;lenb($Z1004),8,IF(lenb(SUBSTITUTE($Z1004,V$1&amp;" (9)",""))&lt;lenb($Z1004),9,IF(lenb(SUBSTITUTE($Z1004,V$1&amp;" (10)",""))&lt;lenb($Z1004),10,IF(lenb(SUBSTITUTE($Z1004,V$1,""))&lt;lenb($Z1004),"ERROR",IF($Z1004=$Y$1,"-",0))))))))))))</f>
        <v>-</v>
      </c>
      <c r="W1004" s="32" t="str">
        <f t="shared" si="1010"/>
        <v>-</v>
      </c>
      <c r="X1004" s="32" t="str">
        <f t="shared" si="1010"/>
        <v>-</v>
      </c>
      <c r="Y1004" s="32">
        <f t="shared" si="3"/>
        <v>1</v>
      </c>
      <c r="Z1004" s="32" t="s">
        <v>23</v>
      </c>
      <c r="AA1004" s="33">
        <f t="shared" si="4"/>
        <v>0</v>
      </c>
      <c r="AB1004" s="34">
        <f>COUNTIFS(Links!B:B,"ICSE",Links!C:C,A1004,Links!AD:AD,1)</f>
        <v>0</v>
      </c>
      <c r="AC1004" s="35" t="s">
        <v>36</v>
      </c>
      <c r="AD1004" s="27" t="str">
        <f t="shared" si="5"/>
        <v>No</v>
      </c>
      <c r="AE1004" s="36" t="s">
        <v>36</v>
      </c>
      <c r="AF1004" s="37" t="s">
        <v>42</v>
      </c>
      <c r="AG1004" s="37" t="s">
        <v>42</v>
      </c>
      <c r="AH1004" s="37" t="s">
        <v>42</v>
      </c>
      <c r="AI1004" s="29" t="str">
        <f t="shared" si="661"/>
        <v>----</v>
      </c>
      <c r="AJ1004" s="38" t="str">
        <f t="shared" si="7"/>
        <v>Paper has no link and no statement</v>
      </c>
      <c r="AK1004" s="39">
        <v>44871.0</v>
      </c>
      <c r="AL1004" s="23" t="s">
        <v>43</v>
      </c>
      <c r="AM1004" s="40" t="str">
        <f t="shared" si="8"/>
        <v>[IP0171]</v>
      </c>
    </row>
    <row r="1005" ht="67.5" customHeight="1">
      <c r="A1005" s="41">
        <v>172.0</v>
      </c>
      <c r="B1005" s="42" t="s">
        <v>2716</v>
      </c>
      <c r="C1005" s="43">
        <v>2022.0</v>
      </c>
      <c r="D1005" s="44" t="s">
        <v>35</v>
      </c>
      <c r="E1005" s="45" t="s">
        <v>36</v>
      </c>
      <c r="F1005" s="45" t="s">
        <v>36</v>
      </c>
      <c r="G1005" s="45" t="s">
        <v>36</v>
      </c>
      <c r="H1005" s="45" t="s">
        <v>36</v>
      </c>
      <c r="I1005" s="45" t="s">
        <v>36</v>
      </c>
      <c r="J1005" s="46" t="s">
        <v>36</v>
      </c>
      <c r="K1005" s="83" t="s">
        <v>37</v>
      </c>
      <c r="L1005" s="71" t="s">
        <v>35</v>
      </c>
      <c r="M1005" s="71" t="s">
        <v>37</v>
      </c>
      <c r="N1005" s="71" t="s">
        <v>37</v>
      </c>
      <c r="O1005" s="71" t="s">
        <v>35</v>
      </c>
      <c r="P1005" s="71" t="s">
        <v>35</v>
      </c>
      <c r="Q1005" s="71" t="s">
        <v>35</v>
      </c>
      <c r="R1005" s="71" t="s">
        <v>35</v>
      </c>
      <c r="S1005" s="57" t="s">
        <v>2717</v>
      </c>
      <c r="T1005" s="50" t="s">
        <v>2718</v>
      </c>
      <c r="U1005" s="51" t="s">
        <v>2719</v>
      </c>
      <c r="V1005" s="52">
        <f t="shared" ref="V1005:X1005" si="1011">IF(lenb(SUBSTITUTE($Z1005,V$1&amp;" (1)",""))&lt;lenb($Z1005),1,IF(lenb(SUBSTITUTE($Z1005,V$1&amp;" (2)",""))&lt;lenb($Z1005),2,IF(lenb(SUBSTITUTE($Z1005,V$1&amp;" (3)",""))&lt;lenb($Z1005),3,IF(lenb(SUBSTITUTE($Z1005,V$1&amp;" (4)",""))&lt;lenb($Z1005),4,IF(lenb(SUBSTITUTE($Z1005,V$1&amp;" (5)",""))&lt;lenb($Z1005),5,IF(lenb(SUBSTITUTE($Z1005,V$1&amp;" (6)",""))&lt;lenb($Z1005),6,IF(lenb(SUBSTITUTE($Z1005,V$1&amp;" (7)",""))&lt;lenb($Z1005),1,IF(lenb(SUBSTITUTE($Z1005,V$1&amp;" (8)",""))&lt;lenb($Z1005),8,IF(lenb(SUBSTITUTE($Z1005,V$1&amp;" (9)",""))&lt;lenb($Z1005),9,IF(lenb(SUBSTITUTE($Z1005,V$1&amp;" (10)",""))&lt;lenb($Z1005),10,IF(lenb(SUBSTITUTE($Z1005,V$1,""))&lt;lenb($Z1005),"ERROR",IF($Z1005=$Y$1,"-",0))))))))))))</f>
        <v>1</v>
      </c>
      <c r="W1005" s="52">
        <f t="shared" si="1011"/>
        <v>0</v>
      </c>
      <c r="X1005" s="52">
        <f t="shared" si="1011"/>
        <v>0</v>
      </c>
      <c r="Y1005" s="52" t="str">
        <f t="shared" si="3"/>
        <v>-</v>
      </c>
      <c r="Z1005" s="52" t="s">
        <v>62</v>
      </c>
      <c r="AA1005" s="53">
        <f t="shared" si="4"/>
        <v>1</v>
      </c>
      <c r="AB1005" s="54">
        <f>COUNTIFS(Links!B:B,"ICSE",Links!C:C,A1005,Links!AD:AD,1)</f>
        <v>0</v>
      </c>
      <c r="AC1005" s="55" t="s">
        <v>37</v>
      </c>
      <c r="AD1005" s="47" t="str">
        <f t="shared" si="5"/>
        <v>No</v>
      </c>
      <c r="AE1005" s="56" t="s">
        <v>36</v>
      </c>
      <c r="AF1005" s="57" t="s">
        <v>42</v>
      </c>
      <c r="AG1005" s="57" t="s">
        <v>42</v>
      </c>
      <c r="AH1005" s="57" t="s">
        <v>42</v>
      </c>
      <c r="AI1005" s="49" t="str">
        <f t="shared" si="661"/>
        <v>----</v>
      </c>
      <c r="AJ1005" s="58" t="str">
        <f t="shared" si="7"/>
        <v>Paper has link but no statement</v>
      </c>
      <c r="AK1005" s="59">
        <v>44871.0</v>
      </c>
      <c r="AL1005" s="43" t="s">
        <v>43</v>
      </c>
      <c r="AM1005" s="60" t="str">
        <f t="shared" si="8"/>
        <v>[IP0172]</v>
      </c>
    </row>
    <row r="1006" ht="67.5" customHeight="1">
      <c r="A1006" s="61">
        <v>173.0</v>
      </c>
      <c r="B1006" s="22" t="s">
        <v>2720</v>
      </c>
      <c r="C1006" s="23">
        <v>2022.0</v>
      </c>
      <c r="D1006" s="24" t="s">
        <v>35</v>
      </c>
      <c r="E1006" s="25" t="s">
        <v>36</v>
      </c>
      <c r="F1006" s="25" t="s">
        <v>36</v>
      </c>
      <c r="G1006" s="25" t="s">
        <v>36</v>
      </c>
      <c r="H1006" s="25" t="s">
        <v>36</v>
      </c>
      <c r="I1006" s="25" t="s">
        <v>36</v>
      </c>
      <c r="J1006" s="26" t="s">
        <v>36</v>
      </c>
      <c r="K1006" s="82" t="s">
        <v>37</v>
      </c>
      <c r="L1006" s="70" t="s">
        <v>35</v>
      </c>
      <c r="M1006" s="70" t="s">
        <v>35</v>
      </c>
      <c r="N1006" s="70" t="s">
        <v>37</v>
      </c>
      <c r="O1006" s="70" t="s">
        <v>35</v>
      </c>
      <c r="P1006" s="70" t="s">
        <v>35</v>
      </c>
      <c r="Q1006" s="70" t="s">
        <v>35</v>
      </c>
      <c r="R1006" s="70" t="s">
        <v>35</v>
      </c>
      <c r="S1006" s="37" t="s">
        <v>2721</v>
      </c>
      <c r="T1006" s="30" t="s">
        <v>2722</v>
      </c>
      <c r="U1006" s="31" t="s">
        <v>2722</v>
      </c>
      <c r="V1006" s="32">
        <f t="shared" ref="V1006:X1006" si="1012">IF(lenb(SUBSTITUTE($Z1006,V$1&amp;" (1)",""))&lt;lenb($Z1006),1,IF(lenb(SUBSTITUTE($Z1006,V$1&amp;" (2)",""))&lt;lenb($Z1006),2,IF(lenb(SUBSTITUTE($Z1006,V$1&amp;" (3)",""))&lt;lenb($Z1006),3,IF(lenb(SUBSTITUTE($Z1006,V$1&amp;" (4)",""))&lt;lenb($Z1006),4,IF(lenb(SUBSTITUTE($Z1006,V$1&amp;" (5)",""))&lt;lenb($Z1006),5,IF(lenb(SUBSTITUTE($Z1006,V$1&amp;" (6)",""))&lt;lenb($Z1006),6,IF(lenb(SUBSTITUTE($Z1006,V$1&amp;" (7)",""))&lt;lenb($Z1006),1,IF(lenb(SUBSTITUTE($Z1006,V$1&amp;" (8)",""))&lt;lenb($Z1006),8,IF(lenb(SUBSTITUTE($Z1006,V$1&amp;" (9)",""))&lt;lenb($Z1006),9,IF(lenb(SUBSTITUTE($Z1006,V$1&amp;" (10)",""))&lt;lenb($Z1006),10,IF(lenb(SUBSTITUTE($Z1006,V$1,""))&lt;lenb($Z1006),"ERROR",IF($Z1006=$Y$1,"-",0))))))))))))</f>
        <v>1</v>
      </c>
      <c r="W1006" s="32">
        <f t="shared" si="1012"/>
        <v>0</v>
      </c>
      <c r="X1006" s="32">
        <f t="shared" si="1012"/>
        <v>0</v>
      </c>
      <c r="Y1006" s="32" t="str">
        <f t="shared" si="3"/>
        <v>-</v>
      </c>
      <c r="Z1006" s="32" t="s">
        <v>62</v>
      </c>
      <c r="AA1006" s="33">
        <f t="shared" si="4"/>
        <v>1</v>
      </c>
      <c r="AB1006" s="34">
        <f>COUNTIFS(Links!B:B,"ICSE",Links!C:C,A1006,Links!AD:AD,1)</f>
        <v>0</v>
      </c>
      <c r="AC1006" s="35" t="s">
        <v>35</v>
      </c>
      <c r="AD1006" s="27" t="str">
        <f t="shared" si="5"/>
        <v>No</v>
      </c>
      <c r="AE1006" s="36" t="s">
        <v>36</v>
      </c>
      <c r="AF1006" s="37" t="s">
        <v>42</v>
      </c>
      <c r="AG1006" s="37" t="s">
        <v>42</v>
      </c>
      <c r="AH1006" s="37" t="s">
        <v>42</v>
      </c>
      <c r="AI1006" s="29" t="str">
        <f t="shared" si="661"/>
        <v>----</v>
      </c>
      <c r="AJ1006" s="38" t="str">
        <f t="shared" si="7"/>
        <v>Paper has link but no statement</v>
      </c>
      <c r="AK1006" s="39">
        <v>44871.0</v>
      </c>
      <c r="AL1006" s="23" t="s">
        <v>43</v>
      </c>
      <c r="AM1006" s="40" t="str">
        <f t="shared" si="8"/>
        <v>[IP0173]</v>
      </c>
    </row>
    <row r="1007" ht="67.5" customHeight="1">
      <c r="A1007" s="41">
        <v>174.0</v>
      </c>
      <c r="B1007" s="42" t="s">
        <v>2723</v>
      </c>
      <c r="C1007" s="43">
        <v>2022.0</v>
      </c>
      <c r="D1007" s="44" t="s">
        <v>35</v>
      </c>
      <c r="E1007" s="45" t="s">
        <v>36</v>
      </c>
      <c r="F1007" s="45" t="s">
        <v>36</v>
      </c>
      <c r="G1007" s="45" t="s">
        <v>36</v>
      </c>
      <c r="H1007" s="45" t="s">
        <v>36</v>
      </c>
      <c r="I1007" s="45" t="s">
        <v>36</v>
      </c>
      <c r="J1007" s="46" t="s">
        <v>36</v>
      </c>
      <c r="K1007" s="83" t="s">
        <v>37</v>
      </c>
      <c r="L1007" s="71" t="s">
        <v>35</v>
      </c>
      <c r="M1007" s="71" t="s">
        <v>37</v>
      </c>
      <c r="N1007" s="71" t="s">
        <v>37</v>
      </c>
      <c r="O1007" s="71" t="s">
        <v>35</v>
      </c>
      <c r="P1007" s="71" t="s">
        <v>37</v>
      </c>
      <c r="Q1007" s="71" t="s">
        <v>35</v>
      </c>
      <c r="R1007" s="71" t="s">
        <v>35</v>
      </c>
      <c r="S1007" s="57" t="s">
        <v>2724</v>
      </c>
      <c r="T1007" s="50" t="s">
        <v>2725</v>
      </c>
      <c r="U1007" s="51" t="s">
        <v>2725</v>
      </c>
      <c r="V1007" s="52">
        <f t="shared" ref="V1007:X1007" si="1013">IF(lenb(SUBSTITUTE($Z1007,V$1&amp;" (1)",""))&lt;lenb($Z1007),1,IF(lenb(SUBSTITUTE($Z1007,V$1&amp;" (2)",""))&lt;lenb($Z1007),2,IF(lenb(SUBSTITUTE($Z1007,V$1&amp;" (3)",""))&lt;lenb($Z1007),3,IF(lenb(SUBSTITUTE($Z1007,V$1&amp;" (4)",""))&lt;lenb($Z1007),4,IF(lenb(SUBSTITUTE($Z1007,V$1&amp;" (5)",""))&lt;lenb($Z1007),5,IF(lenb(SUBSTITUTE($Z1007,V$1&amp;" (6)",""))&lt;lenb($Z1007),6,IF(lenb(SUBSTITUTE($Z1007,V$1&amp;" (7)",""))&lt;lenb($Z1007),1,IF(lenb(SUBSTITUTE($Z1007,V$1&amp;" (8)",""))&lt;lenb($Z1007),8,IF(lenb(SUBSTITUTE($Z1007,V$1&amp;" (9)",""))&lt;lenb($Z1007),9,IF(lenb(SUBSTITUTE($Z1007,V$1&amp;" (10)",""))&lt;lenb($Z1007),10,IF(lenb(SUBSTITUTE($Z1007,V$1,""))&lt;lenb($Z1007),"ERROR",IF($Z1007=$Y$1,"-",0))))))))))))</f>
        <v>1</v>
      </c>
      <c r="W1007" s="52">
        <f t="shared" si="1013"/>
        <v>0</v>
      </c>
      <c r="X1007" s="52">
        <f t="shared" si="1013"/>
        <v>0</v>
      </c>
      <c r="Y1007" s="52" t="str">
        <f t="shared" si="3"/>
        <v>-</v>
      </c>
      <c r="Z1007" s="52" t="s">
        <v>62</v>
      </c>
      <c r="AA1007" s="53">
        <f t="shared" si="4"/>
        <v>1</v>
      </c>
      <c r="AB1007" s="54">
        <f>COUNTIFS(Links!B:B,"ICSE",Links!C:C,A1007,Links!AD:AD,1)</f>
        <v>0</v>
      </c>
      <c r="AC1007" s="55" t="s">
        <v>37</v>
      </c>
      <c r="AD1007" s="47" t="str">
        <f t="shared" si="5"/>
        <v>No</v>
      </c>
      <c r="AE1007" s="56" t="s">
        <v>36</v>
      </c>
      <c r="AF1007" s="57" t="s">
        <v>42</v>
      </c>
      <c r="AG1007" s="57" t="s">
        <v>42</v>
      </c>
      <c r="AH1007" s="57" t="s">
        <v>42</v>
      </c>
      <c r="AI1007" s="49" t="str">
        <f t="shared" si="661"/>
        <v>----</v>
      </c>
      <c r="AJ1007" s="58" t="str">
        <f t="shared" si="7"/>
        <v>Paper has link but no statement</v>
      </c>
      <c r="AK1007" s="59">
        <v>44871.0</v>
      </c>
      <c r="AL1007" s="43" t="s">
        <v>43</v>
      </c>
      <c r="AM1007" s="60" t="str">
        <f t="shared" si="8"/>
        <v>[IP0174]</v>
      </c>
    </row>
    <row r="1008" ht="67.5" customHeight="1">
      <c r="A1008" s="61">
        <v>175.0</v>
      </c>
      <c r="B1008" s="22" t="s">
        <v>2726</v>
      </c>
      <c r="C1008" s="23">
        <v>2022.0</v>
      </c>
      <c r="D1008" s="24" t="s">
        <v>37</v>
      </c>
      <c r="E1008" s="25" t="s">
        <v>35</v>
      </c>
      <c r="F1008" s="25" t="s">
        <v>35</v>
      </c>
      <c r="G1008" s="25" t="s">
        <v>37</v>
      </c>
      <c r="H1008" s="25" t="s">
        <v>35</v>
      </c>
      <c r="I1008" s="25" t="s">
        <v>35</v>
      </c>
      <c r="J1008" s="26" t="s">
        <v>36</v>
      </c>
      <c r="K1008" s="82" t="s">
        <v>37</v>
      </c>
      <c r="L1008" s="70" t="s">
        <v>37</v>
      </c>
      <c r="M1008" s="70" t="s">
        <v>35</v>
      </c>
      <c r="N1008" s="70" t="s">
        <v>37</v>
      </c>
      <c r="O1008" s="70" t="s">
        <v>35</v>
      </c>
      <c r="P1008" s="70" t="s">
        <v>35</v>
      </c>
      <c r="Q1008" s="70" t="s">
        <v>35</v>
      </c>
      <c r="R1008" s="70" t="s">
        <v>35</v>
      </c>
      <c r="S1008" s="37" t="s">
        <v>1057</v>
      </c>
      <c r="T1008" s="30" t="s">
        <v>2727</v>
      </c>
      <c r="U1008" s="31" t="s">
        <v>2727</v>
      </c>
      <c r="V1008" s="32">
        <f t="shared" ref="V1008:X1008" si="1014">IF(lenb(SUBSTITUTE($Z1008,V$1&amp;" (1)",""))&lt;lenb($Z1008),1,IF(lenb(SUBSTITUTE($Z1008,V$1&amp;" (2)",""))&lt;lenb($Z1008),2,IF(lenb(SUBSTITUTE($Z1008,V$1&amp;" (3)",""))&lt;lenb($Z1008),3,IF(lenb(SUBSTITUTE($Z1008,V$1&amp;" (4)",""))&lt;lenb($Z1008),4,IF(lenb(SUBSTITUTE($Z1008,V$1&amp;" (5)",""))&lt;lenb($Z1008),5,IF(lenb(SUBSTITUTE($Z1008,V$1&amp;" (6)",""))&lt;lenb($Z1008),6,IF(lenb(SUBSTITUTE($Z1008,V$1&amp;" (7)",""))&lt;lenb($Z1008),1,IF(lenb(SUBSTITUTE($Z1008,V$1&amp;" (8)",""))&lt;lenb($Z1008),8,IF(lenb(SUBSTITUTE($Z1008,V$1&amp;" (9)",""))&lt;lenb($Z1008),9,IF(lenb(SUBSTITUTE($Z1008,V$1&amp;" (10)",""))&lt;lenb($Z1008),10,IF(lenb(SUBSTITUTE($Z1008,V$1,""))&lt;lenb($Z1008),"ERROR",IF($Z1008=$Y$1,"-",0))))))))))))</f>
        <v>1</v>
      </c>
      <c r="W1008" s="32">
        <f t="shared" si="1014"/>
        <v>0</v>
      </c>
      <c r="X1008" s="32">
        <f t="shared" si="1014"/>
        <v>0</v>
      </c>
      <c r="Y1008" s="32" t="str">
        <f t="shared" si="3"/>
        <v>-</v>
      </c>
      <c r="Z1008" s="32" t="s">
        <v>62</v>
      </c>
      <c r="AA1008" s="33">
        <f t="shared" si="4"/>
        <v>1</v>
      </c>
      <c r="AB1008" s="34">
        <f>COUNTIFS(Links!B:B,"ICSE",Links!C:C,A1008,Links!AD:AD,1)</f>
        <v>0</v>
      </c>
      <c r="AC1008" s="35" t="s">
        <v>35</v>
      </c>
      <c r="AD1008" s="27" t="str">
        <f t="shared" si="5"/>
        <v>No</v>
      </c>
      <c r="AE1008" s="36" t="s">
        <v>36</v>
      </c>
      <c r="AF1008" s="37" t="s">
        <v>42</v>
      </c>
      <c r="AG1008" s="37" t="s">
        <v>42</v>
      </c>
      <c r="AH1008" s="37" t="s">
        <v>42</v>
      </c>
      <c r="AI1008" s="29" t="str">
        <f t="shared" si="661"/>
        <v>----</v>
      </c>
      <c r="AJ1008" s="38" t="str">
        <f t="shared" si="7"/>
        <v>Paper has link but no statement</v>
      </c>
      <c r="AK1008" s="39">
        <v>44871.0</v>
      </c>
      <c r="AL1008" s="23" t="s">
        <v>43</v>
      </c>
      <c r="AM1008" s="40" t="str">
        <f t="shared" si="8"/>
        <v>[IP0175]</v>
      </c>
    </row>
    <row r="1009" ht="67.5" customHeight="1">
      <c r="A1009" s="41">
        <v>176.0</v>
      </c>
      <c r="B1009" s="42" t="s">
        <v>2728</v>
      </c>
      <c r="C1009" s="43">
        <v>2022.0</v>
      </c>
      <c r="D1009" s="44" t="s">
        <v>35</v>
      </c>
      <c r="E1009" s="45" t="s">
        <v>36</v>
      </c>
      <c r="F1009" s="45" t="s">
        <v>36</v>
      </c>
      <c r="G1009" s="45" t="s">
        <v>36</v>
      </c>
      <c r="H1009" s="45" t="s">
        <v>36</v>
      </c>
      <c r="I1009" s="45" t="s">
        <v>36</v>
      </c>
      <c r="J1009" s="46" t="s">
        <v>36</v>
      </c>
      <c r="K1009" s="83" t="s">
        <v>35</v>
      </c>
      <c r="L1009" s="71" t="s">
        <v>36</v>
      </c>
      <c r="M1009" s="71" t="s">
        <v>36</v>
      </c>
      <c r="N1009" s="71" t="s">
        <v>36</v>
      </c>
      <c r="O1009" s="71" t="s">
        <v>36</v>
      </c>
      <c r="P1009" s="71" t="s">
        <v>36</v>
      </c>
      <c r="Q1009" s="71" t="s">
        <v>36</v>
      </c>
      <c r="R1009" s="71" t="s">
        <v>36</v>
      </c>
      <c r="S1009" s="57" t="s">
        <v>36</v>
      </c>
      <c r="T1009" s="50" t="s">
        <v>36</v>
      </c>
      <c r="U1009" s="51" t="s">
        <v>36</v>
      </c>
      <c r="V1009" s="52" t="str">
        <f t="shared" ref="V1009:X1009" si="1015">IF(lenb(SUBSTITUTE($Z1009,V$1&amp;" (1)",""))&lt;lenb($Z1009),1,IF(lenb(SUBSTITUTE($Z1009,V$1&amp;" (2)",""))&lt;lenb($Z1009),2,IF(lenb(SUBSTITUTE($Z1009,V$1&amp;" (3)",""))&lt;lenb($Z1009),3,IF(lenb(SUBSTITUTE($Z1009,V$1&amp;" (4)",""))&lt;lenb($Z1009),4,IF(lenb(SUBSTITUTE($Z1009,V$1&amp;" (5)",""))&lt;lenb($Z1009),5,IF(lenb(SUBSTITUTE($Z1009,V$1&amp;" (6)",""))&lt;lenb($Z1009),6,IF(lenb(SUBSTITUTE($Z1009,V$1&amp;" (7)",""))&lt;lenb($Z1009),1,IF(lenb(SUBSTITUTE($Z1009,V$1&amp;" (8)",""))&lt;lenb($Z1009),8,IF(lenb(SUBSTITUTE($Z1009,V$1&amp;" (9)",""))&lt;lenb($Z1009),9,IF(lenb(SUBSTITUTE($Z1009,V$1&amp;" (10)",""))&lt;lenb($Z1009),10,IF(lenb(SUBSTITUTE($Z1009,V$1,""))&lt;lenb($Z1009),"ERROR",IF($Z1009=$Y$1,"-",0))))))))))))</f>
        <v>-</v>
      </c>
      <c r="W1009" s="52" t="str">
        <f t="shared" si="1015"/>
        <v>-</v>
      </c>
      <c r="X1009" s="52" t="str">
        <f t="shared" si="1015"/>
        <v>-</v>
      </c>
      <c r="Y1009" s="52">
        <f t="shared" si="3"/>
        <v>1</v>
      </c>
      <c r="Z1009" s="52" t="s">
        <v>23</v>
      </c>
      <c r="AA1009" s="53">
        <f t="shared" si="4"/>
        <v>0</v>
      </c>
      <c r="AB1009" s="54">
        <f>COUNTIFS(Links!B:B,"ICSE",Links!C:C,A1009,Links!AD:AD,1)</f>
        <v>0</v>
      </c>
      <c r="AC1009" s="55" t="s">
        <v>36</v>
      </c>
      <c r="AD1009" s="47" t="str">
        <f t="shared" si="5"/>
        <v>No</v>
      </c>
      <c r="AE1009" s="56" t="s">
        <v>36</v>
      </c>
      <c r="AF1009" s="57" t="s">
        <v>42</v>
      </c>
      <c r="AG1009" s="57" t="s">
        <v>42</v>
      </c>
      <c r="AH1009" s="57" t="s">
        <v>42</v>
      </c>
      <c r="AI1009" s="49" t="str">
        <f t="shared" si="661"/>
        <v>----</v>
      </c>
      <c r="AJ1009" s="58" t="str">
        <f t="shared" si="7"/>
        <v>Paper has no link and no statement</v>
      </c>
      <c r="AK1009" s="59">
        <v>44871.0</v>
      </c>
      <c r="AL1009" s="43" t="s">
        <v>43</v>
      </c>
      <c r="AM1009" s="60" t="str">
        <f t="shared" si="8"/>
        <v>[IP0176]</v>
      </c>
    </row>
    <row r="1010" ht="67.5" customHeight="1">
      <c r="A1010" s="61">
        <v>177.0</v>
      </c>
      <c r="B1010" s="22" t="s">
        <v>2729</v>
      </c>
      <c r="C1010" s="23">
        <v>2022.0</v>
      </c>
      <c r="D1010" s="24" t="s">
        <v>35</v>
      </c>
      <c r="E1010" s="25" t="s">
        <v>36</v>
      </c>
      <c r="F1010" s="25" t="s">
        <v>36</v>
      </c>
      <c r="G1010" s="25" t="s">
        <v>36</v>
      </c>
      <c r="H1010" s="25" t="s">
        <v>36</v>
      </c>
      <c r="I1010" s="25" t="s">
        <v>36</v>
      </c>
      <c r="J1010" s="26" t="s">
        <v>36</v>
      </c>
      <c r="K1010" s="82" t="s">
        <v>37</v>
      </c>
      <c r="L1010" s="70" t="s">
        <v>35</v>
      </c>
      <c r="M1010" s="70" t="s">
        <v>37</v>
      </c>
      <c r="N1010" s="70" t="s">
        <v>37</v>
      </c>
      <c r="O1010" s="70" t="s">
        <v>35</v>
      </c>
      <c r="P1010" s="70" t="s">
        <v>35</v>
      </c>
      <c r="Q1010" s="70" t="s">
        <v>35</v>
      </c>
      <c r="R1010" s="70" t="s">
        <v>37</v>
      </c>
      <c r="S1010" s="37" t="s">
        <v>2730</v>
      </c>
      <c r="T1010" s="30" t="s">
        <v>2731</v>
      </c>
      <c r="U1010" s="31" t="s">
        <v>2731</v>
      </c>
      <c r="V1010" s="32">
        <f t="shared" ref="V1010:X1010" si="1016">IF(lenb(SUBSTITUTE($Z1010,V$1&amp;" (1)",""))&lt;lenb($Z1010),1,IF(lenb(SUBSTITUTE($Z1010,V$1&amp;" (2)",""))&lt;lenb($Z1010),2,IF(lenb(SUBSTITUTE($Z1010,V$1&amp;" (3)",""))&lt;lenb($Z1010),3,IF(lenb(SUBSTITUTE($Z1010,V$1&amp;" (4)",""))&lt;lenb($Z1010),4,IF(lenb(SUBSTITUTE($Z1010,V$1&amp;" (5)",""))&lt;lenb($Z1010),5,IF(lenb(SUBSTITUTE($Z1010,V$1&amp;" (6)",""))&lt;lenb($Z1010),6,IF(lenb(SUBSTITUTE($Z1010,V$1&amp;" (7)",""))&lt;lenb($Z1010),1,IF(lenb(SUBSTITUTE($Z1010,V$1&amp;" (8)",""))&lt;lenb($Z1010),8,IF(lenb(SUBSTITUTE($Z1010,V$1&amp;" (9)",""))&lt;lenb($Z1010),9,IF(lenb(SUBSTITUTE($Z1010,V$1&amp;" (10)",""))&lt;lenb($Z1010),10,IF(lenb(SUBSTITUTE($Z1010,V$1,""))&lt;lenb($Z1010),"ERROR",IF($Z1010=$Y$1,"-",0))))))))))))</f>
        <v>1</v>
      </c>
      <c r="W1010" s="32">
        <f t="shared" si="1016"/>
        <v>0</v>
      </c>
      <c r="X1010" s="32">
        <f t="shared" si="1016"/>
        <v>0</v>
      </c>
      <c r="Y1010" s="32" t="str">
        <f t="shared" si="3"/>
        <v>-</v>
      </c>
      <c r="Z1010" s="32" t="s">
        <v>62</v>
      </c>
      <c r="AA1010" s="33">
        <f t="shared" si="4"/>
        <v>1</v>
      </c>
      <c r="AB1010" s="34">
        <f>COUNTIFS(Links!B:B,"ICSE",Links!C:C,A1010,Links!AD:AD,1)</f>
        <v>0</v>
      </c>
      <c r="AC1010" s="35" t="s">
        <v>35</v>
      </c>
      <c r="AD1010" s="27" t="str">
        <f t="shared" si="5"/>
        <v>No</v>
      </c>
      <c r="AE1010" s="36" t="s">
        <v>36</v>
      </c>
      <c r="AF1010" s="37" t="s">
        <v>42</v>
      </c>
      <c r="AG1010" s="37" t="s">
        <v>42</v>
      </c>
      <c r="AH1010" s="37" t="s">
        <v>42</v>
      </c>
      <c r="AI1010" s="29" t="str">
        <f t="shared" si="661"/>
        <v>----</v>
      </c>
      <c r="AJ1010" s="38" t="str">
        <f t="shared" si="7"/>
        <v>Paper has link but no statement</v>
      </c>
      <c r="AK1010" s="39">
        <v>44871.0</v>
      </c>
      <c r="AL1010" s="23" t="s">
        <v>43</v>
      </c>
      <c r="AM1010" s="40" t="str">
        <f t="shared" si="8"/>
        <v>[IP0177]</v>
      </c>
    </row>
    <row r="1011" ht="67.5" customHeight="1">
      <c r="A1011" s="41">
        <v>178.0</v>
      </c>
      <c r="B1011" s="42" t="s">
        <v>2732</v>
      </c>
      <c r="C1011" s="43">
        <v>2022.0</v>
      </c>
      <c r="D1011" s="44" t="s">
        <v>37</v>
      </c>
      <c r="E1011" s="45" t="s">
        <v>35</v>
      </c>
      <c r="F1011" s="45" t="s">
        <v>35</v>
      </c>
      <c r="G1011" s="45" t="s">
        <v>37</v>
      </c>
      <c r="H1011" s="45" t="s">
        <v>35</v>
      </c>
      <c r="I1011" s="45" t="s">
        <v>35</v>
      </c>
      <c r="J1011" s="46" t="s">
        <v>36</v>
      </c>
      <c r="K1011" s="83" t="s">
        <v>37</v>
      </c>
      <c r="L1011" s="71" t="s">
        <v>37</v>
      </c>
      <c r="M1011" s="71" t="s">
        <v>35</v>
      </c>
      <c r="N1011" s="71" t="s">
        <v>35</v>
      </c>
      <c r="O1011" s="71" t="s">
        <v>35</v>
      </c>
      <c r="P1011" s="71" t="s">
        <v>35</v>
      </c>
      <c r="Q1011" s="71" t="s">
        <v>35</v>
      </c>
      <c r="R1011" s="71" t="s">
        <v>37</v>
      </c>
      <c r="S1011" s="57" t="s">
        <v>2733</v>
      </c>
      <c r="T1011" s="50" t="s">
        <v>2734</v>
      </c>
      <c r="U1011" s="51" t="s">
        <v>2734</v>
      </c>
      <c r="V1011" s="52">
        <f t="shared" ref="V1011:X1011" si="1017">IF(lenb(SUBSTITUTE($Z1011,V$1&amp;" (1)",""))&lt;lenb($Z1011),1,IF(lenb(SUBSTITUTE($Z1011,V$1&amp;" (2)",""))&lt;lenb($Z1011),2,IF(lenb(SUBSTITUTE($Z1011,V$1&amp;" (3)",""))&lt;lenb($Z1011),3,IF(lenb(SUBSTITUTE($Z1011,V$1&amp;" (4)",""))&lt;lenb($Z1011),4,IF(lenb(SUBSTITUTE($Z1011,V$1&amp;" (5)",""))&lt;lenb($Z1011),5,IF(lenb(SUBSTITUTE($Z1011,V$1&amp;" (6)",""))&lt;lenb($Z1011),6,IF(lenb(SUBSTITUTE($Z1011,V$1&amp;" (7)",""))&lt;lenb($Z1011),1,IF(lenb(SUBSTITUTE($Z1011,V$1&amp;" (8)",""))&lt;lenb($Z1011),8,IF(lenb(SUBSTITUTE($Z1011,V$1&amp;" (9)",""))&lt;lenb($Z1011),9,IF(lenb(SUBSTITUTE($Z1011,V$1&amp;" (10)",""))&lt;lenb($Z1011),10,IF(lenb(SUBSTITUTE($Z1011,V$1,""))&lt;lenb($Z1011),"ERROR",IF($Z1011=$Y$1,"-",0))))))))))))</f>
        <v>1</v>
      </c>
      <c r="W1011" s="52">
        <f t="shared" si="1017"/>
        <v>0</v>
      </c>
      <c r="X1011" s="52">
        <f t="shared" si="1017"/>
        <v>0</v>
      </c>
      <c r="Y1011" s="52" t="str">
        <f t="shared" si="3"/>
        <v>-</v>
      </c>
      <c r="Z1011" s="52" t="s">
        <v>62</v>
      </c>
      <c r="AA1011" s="53">
        <f t="shared" si="4"/>
        <v>1</v>
      </c>
      <c r="AB1011" s="54">
        <f>COUNTIFS(Links!B:B,"ICSE",Links!C:C,A1011,Links!AD:AD,1)</f>
        <v>0</v>
      </c>
      <c r="AC1011" s="55" t="s">
        <v>35</v>
      </c>
      <c r="AD1011" s="47" t="str">
        <f t="shared" si="5"/>
        <v>No</v>
      </c>
      <c r="AE1011" s="56" t="s">
        <v>36</v>
      </c>
      <c r="AF1011" s="57" t="s">
        <v>42</v>
      </c>
      <c r="AG1011" s="57" t="s">
        <v>42</v>
      </c>
      <c r="AH1011" s="57" t="s">
        <v>42</v>
      </c>
      <c r="AI1011" s="49" t="str">
        <f t="shared" si="661"/>
        <v>----</v>
      </c>
      <c r="AJ1011" s="58" t="str">
        <f t="shared" si="7"/>
        <v>Paper has link but no statement</v>
      </c>
      <c r="AK1011" s="59">
        <v>44871.0</v>
      </c>
      <c r="AL1011" s="43" t="s">
        <v>43</v>
      </c>
      <c r="AM1011" s="60" t="str">
        <f t="shared" si="8"/>
        <v>[IP0178]</v>
      </c>
    </row>
    <row r="1012" ht="67.5" customHeight="1">
      <c r="A1012" s="61">
        <v>179.0</v>
      </c>
      <c r="B1012" s="22" t="s">
        <v>2735</v>
      </c>
      <c r="C1012" s="23">
        <v>2022.0</v>
      </c>
      <c r="D1012" s="24" t="s">
        <v>35</v>
      </c>
      <c r="E1012" s="25" t="s">
        <v>36</v>
      </c>
      <c r="F1012" s="25" t="s">
        <v>36</v>
      </c>
      <c r="G1012" s="25" t="s">
        <v>36</v>
      </c>
      <c r="H1012" s="25" t="s">
        <v>36</v>
      </c>
      <c r="I1012" s="25" t="s">
        <v>36</v>
      </c>
      <c r="J1012" s="26" t="s">
        <v>36</v>
      </c>
      <c r="K1012" s="82" t="s">
        <v>37</v>
      </c>
      <c r="L1012" s="70" t="s">
        <v>35</v>
      </c>
      <c r="M1012" s="70" t="s">
        <v>37</v>
      </c>
      <c r="N1012" s="70" t="s">
        <v>37</v>
      </c>
      <c r="O1012" s="70" t="s">
        <v>37</v>
      </c>
      <c r="P1012" s="70" t="s">
        <v>35</v>
      </c>
      <c r="Q1012" s="70" t="s">
        <v>35</v>
      </c>
      <c r="R1012" s="70" t="s">
        <v>37</v>
      </c>
      <c r="S1012" s="37" t="s">
        <v>2736</v>
      </c>
      <c r="T1012" s="30" t="s">
        <v>2737</v>
      </c>
      <c r="U1012" s="31" t="s">
        <v>2737</v>
      </c>
      <c r="V1012" s="32">
        <f t="shared" ref="V1012:X1012" si="1018">IF(lenb(SUBSTITUTE($Z1012,V$1&amp;" (1)",""))&lt;lenb($Z1012),1,IF(lenb(SUBSTITUTE($Z1012,V$1&amp;" (2)",""))&lt;lenb($Z1012),2,IF(lenb(SUBSTITUTE($Z1012,V$1&amp;" (3)",""))&lt;lenb($Z1012),3,IF(lenb(SUBSTITUTE($Z1012,V$1&amp;" (4)",""))&lt;lenb($Z1012),4,IF(lenb(SUBSTITUTE($Z1012,V$1&amp;" (5)",""))&lt;lenb($Z1012),5,IF(lenb(SUBSTITUTE($Z1012,V$1&amp;" (6)",""))&lt;lenb($Z1012),6,IF(lenb(SUBSTITUTE($Z1012,V$1&amp;" (7)",""))&lt;lenb($Z1012),1,IF(lenb(SUBSTITUTE($Z1012,V$1&amp;" (8)",""))&lt;lenb($Z1012),8,IF(lenb(SUBSTITUTE($Z1012,V$1&amp;" (9)",""))&lt;lenb($Z1012),9,IF(lenb(SUBSTITUTE($Z1012,V$1&amp;" (10)",""))&lt;lenb($Z1012),10,IF(lenb(SUBSTITUTE($Z1012,V$1,""))&lt;lenb($Z1012),"ERROR",IF($Z1012=$Y$1,"-",0))))))))))))</f>
        <v>1</v>
      </c>
      <c r="W1012" s="32">
        <f t="shared" si="1018"/>
        <v>0</v>
      </c>
      <c r="X1012" s="32">
        <f t="shared" si="1018"/>
        <v>0</v>
      </c>
      <c r="Y1012" s="32" t="str">
        <f t="shared" si="3"/>
        <v>-</v>
      </c>
      <c r="Z1012" s="32" t="s">
        <v>62</v>
      </c>
      <c r="AA1012" s="33">
        <f t="shared" si="4"/>
        <v>1</v>
      </c>
      <c r="AB1012" s="34">
        <f>COUNTIFS(Links!B:B,"ICSE",Links!C:C,A1012,Links!AD:AD,1)</f>
        <v>0</v>
      </c>
      <c r="AC1012" s="35" t="s">
        <v>35</v>
      </c>
      <c r="AD1012" s="27" t="str">
        <f t="shared" si="5"/>
        <v>Yes</v>
      </c>
      <c r="AE1012" s="36" t="s">
        <v>2738</v>
      </c>
      <c r="AF1012" s="36" t="s">
        <v>223</v>
      </c>
      <c r="AG1012" s="36" t="s">
        <v>281</v>
      </c>
      <c r="AH1012" s="37" t="s">
        <v>42</v>
      </c>
      <c r="AI1012" s="29" t="str">
        <f t="shared" si="661"/>
        <v>Barriers (Agreements and legal rights)
Barriers (Confidentiality and privacy)</v>
      </c>
      <c r="AJ1012" s="38" t="str">
        <f t="shared" si="7"/>
        <v>Paper has link and statement</v>
      </c>
      <c r="AK1012" s="39">
        <v>44871.0</v>
      </c>
      <c r="AL1012" s="23" t="s">
        <v>43</v>
      </c>
      <c r="AM1012" s="40" t="str">
        <f t="shared" si="8"/>
        <v>[IP0179]</v>
      </c>
    </row>
    <row r="1013" ht="67.5" customHeight="1">
      <c r="A1013" s="41">
        <v>180.0</v>
      </c>
      <c r="B1013" s="42" t="s">
        <v>2739</v>
      </c>
      <c r="C1013" s="43">
        <v>2022.0</v>
      </c>
      <c r="D1013" s="44" t="s">
        <v>35</v>
      </c>
      <c r="E1013" s="45" t="s">
        <v>36</v>
      </c>
      <c r="F1013" s="45" t="s">
        <v>36</v>
      </c>
      <c r="G1013" s="45" t="s">
        <v>36</v>
      </c>
      <c r="H1013" s="45" t="s">
        <v>36</v>
      </c>
      <c r="I1013" s="45" t="s">
        <v>36</v>
      </c>
      <c r="J1013" s="46" t="s">
        <v>36</v>
      </c>
      <c r="K1013" s="83" t="s">
        <v>37</v>
      </c>
      <c r="L1013" s="71" t="s">
        <v>35</v>
      </c>
      <c r="M1013" s="71" t="s">
        <v>35</v>
      </c>
      <c r="N1013" s="71" t="s">
        <v>35</v>
      </c>
      <c r="O1013" s="71" t="s">
        <v>37</v>
      </c>
      <c r="P1013" s="71" t="s">
        <v>35</v>
      </c>
      <c r="Q1013" s="71" t="s">
        <v>37</v>
      </c>
      <c r="R1013" s="71" t="s">
        <v>35</v>
      </c>
      <c r="S1013" s="57" t="s">
        <v>2740</v>
      </c>
      <c r="T1013" s="50" t="s">
        <v>2741</v>
      </c>
      <c r="U1013" s="51" t="s">
        <v>2741</v>
      </c>
      <c r="V1013" s="52">
        <f t="shared" ref="V1013:X1013" si="1019">IF(lenb(SUBSTITUTE($Z1013,V$1&amp;" (1)",""))&lt;lenb($Z1013),1,IF(lenb(SUBSTITUTE($Z1013,V$1&amp;" (2)",""))&lt;lenb($Z1013),2,IF(lenb(SUBSTITUTE($Z1013,V$1&amp;" (3)",""))&lt;lenb($Z1013),3,IF(lenb(SUBSTITUTE($Z1013,V$1&amp;" (4)",""))&lt;lenb($Z1013),4,IF(lenb(SUBSTITUTE($Z1013,V$1&amp;" (5)",""))&lt;lenb($Z1013),5,IF(lenb(SUBSTITUTE($Z1013,V$1&amp;" (6)",""))&lt;lenb($Z1013),6,IF(lenb(SUBSTITUTE($Z1013,V$1&amp;" (7)",""))&lt;lenb($Z1013),1,IF(lenb(SUBSTITUTE($Z1013,V$1&amp;" (8)",""))&lt;lenb($Z1013),8,IF(lenb(SUBSTITUTE($Z1013,V$1&amp;" (9)",""))&lt;lenb($Z1013),9,IF(lenb(SUBSTITUTE($Z1013,V$1&amp;" (10)",""))&lt;lenb($Z1013),10,IF(lenb(SUBSTITUTE($Z1013,V$1,""))&lt;lenb($Z1013),"ERROR",IF($Z1013=$Y$1,"-",0))))))))))))</f>
        <v>1</v>
      </c>
      <c r="W1013" s="52">
        <f t="shared" si="1019"/>
        <v>0</v>
      </c>
      <c r="X1013" s="52">
        <f t="shared" si="1019"/>
        <v>0</v>
      </c>
      <c r="Y1013" s="52" t="str">
        <f t="shared" si="3"/>
        <v>-</v>
      </c>
      <c r="Z1013" s="52" t="s">
        <v>62</v>
      </c>
      <c r="AA1013" s="53">
        <f t="shared" si="4"/>
        <v>1</v>
      </c>
      <c r="AB1013" s="54">
        <f>COUNTIFS(Links!B:B,"ICSE",Links!C:C,A1013,Links!AD:AD,1)</f>
        <v>0</v>
      </c>
      <c r="AC1013" s="55" t="s">
        <v>35</v>
      </c>
      <c r="AD1013" s="47" t="str">
        <f t="shared" si="5"/>
        <v>No</v>
      </c>
      <c r="AE1013" s="56" t="s">
        <v>36</v>
      </c>
      <c r="AF1013" s="57" t="s">
        <v>42</v>
      </c>
      <c r="AG1013" s="57" t="s">
        <v>42</v>
      </c>
      <c r="AH1013" s="57" t="s">
        <v>42</v>
      </c>
      <c r="AI1013" s="49" t="str">
        <f t="shared" si="661"/>
        <v>----</v>
      </c>
      <c r="AJ1013" s="58" t="str">
        <f t="shared" si="7"/>
        <v>Paper has link but no statement</v>
      </c>
      <c r="AK1013" s="59">
        <v>44871.0</v>
      </c>
      <c r="AL1013" s="43" t="s">
        <v>43</v>
      </c>
      <c r="AM1013" s="60" t="str">
        <f t="shared" si="8"/>
        <v>[IP0180]</v>
      </c>
    </row>
    <row r="1014" ht="67.5" customHeight="1">
      <c r="A1014" s="61">
        <v>181.0</v>
      </c>
      <c r="B1014" s="22" t="s">
        <v>2742</v>
      </c>
      <c r="C1014" s="23">
        <v>2022.0</v>
      </c>
      <c r="D1014" s="24" t="s">
        <v>37</v>
      </c>
      <c r="E1014" s="25" t="s">
        <v>37</v>
      </c>
      <c r="F1014" s="25" t="s">
        <v>35</v>
      </c>
      <c r="G1014" s="25" t="s">
        <v>37</v>
      </c>
      <c r="H1014" s="25" t="s">
        <v>35</v>
      </c>
      <c r="I1014" s="25" t="s">
        <v>35</v>
      </c>
      <c r="J1014" s="26" t="s">
        <v>36</v>
      </c>
      <c r="K1014" s="82" t="s">
        <v>37</v>
      </c>
      <c r="L1014" s="70" t="s">
        <v>35</v>
      </c>
      <c r="M1014" s="70" t="s">
        <v>37</v>
      </c>
      <c r="N1014" s="70" t="s">
        <v>35</v>
      </c>
      <c r="O1014" s="70" t="s">
        <v>35</v>
      </c>
      <c r="P1014" s="70" t="s">
        <v>37</v>
      </c>
      <c r="Q1014" s="70" t="s">
        <v>37</v>
      </c>
      <c r="R1014" s="70" t="s">
        <v>37</v>
      </c>
      <c r="S1014" s="37" t="s">
        <v>2743</v>
      </c>
      <c r="T1014" s="30" t="s">
        <v>2744</v>
      </c>
      <c r="U1014" s="31" t="s">
        <v>2745</v>
      </c>
      <c r="V1014" s="32">
        <f t="shared" ref="V1014:X1014" si="1020">IF(lenb(SUBSTITUTE($Z1014,V$1&amp;" (1)",""))&lt;lenb($Z1014),1,IF(lenb(SUBSTITUTE($Z1014,V$1&amp;" (2)",""))&lt;lenb($Z1014),2,IF(lenb(SUBSTITUTE($Z1014,V$1&amp;" (3)",""))&lt;lenb($Z1014),3,IF(lenb(SUBSTITUTE($Z1014,V$1&amp;" (4)",""))&lt;lenb($Z1014),4,IF(lenb(SUBSTITUTE($Z1014,V$1&amp;" (5)",""))&lt;lenb($Z1014),5,IF(lenb(SUBSTITUTE($Z1014,V$1&amp;" (6)",""))&lt;lenb($Z1014),6,IF(lenb(SUBSTITUTE($Z1014,V$1&amp;" (7)",""))&lt;lenb($Z1014),1,IF(lenb(SUBSTITUTE($Z1014,V$1&amp;" (8)",""))&lt;lenb($Z1014),8,IF(lenb(SUBSTITUTE($Z1014,V$1&amp;" (9)",""))&lt;lenb($Z1014),9,IF(lenb(SUBSTITUTE($Z1014,V$1&amp;" (10)",""))&lt;lenb($Z1014),10,IF(lenb(SUBSTITUTE($Z1014,V$1,""))&lt;lenb($Z1014),"ERROR",IF($Z1014=$Y$1,"-",0))))))))))))</f>
        <v>1</v>
      </c>
      <c r="W1014" s="32">
        <f t="shared" si="1020"/>
        <v>0</v>
      </c>
      <c r="X1014" s="32">
        <f t="shared" si="1020"/>
        <v>0</v>
      </c>
      <c r="Y1014" s="32" t="str">
        <f t="shared" si="3"/>
        <v>-</v>
      </c>
      <c r="Z1014" s="32" t="s">
        <v>62</v>
      </c>
      <c r="AA1014" s="33">
        <f t="shared" si="4"/>
        <v>1</v>
      </c>
      <c r="AB1014" s="34">
        <f>COUNTIFS(Links!B:B,"ICSE",Links!C:C,A1014,Links!AD:AD,1)</f>
        <v>0</v>
      </c>
      <c r="AC1014" s="35" t="s">
        <v>37</v>
      </c>
      <c r="AD1014" s="27" t="str">
        <f t="shared" si="5"/>
        <v>No</v>
      </c>
      <c r="AE1014" s="36" t="s">
        <v>36</v>
      </c>
      <c r="AF1014" s="37" t="s">
        <v>42</v>
      </c>
      <c r="AG1014" s="37" t="s">
        <v>42</v>
      </c>
      <c r="AH1014" s="37" t="s">
        <v>42</v>
      </c>
      <c r="AI1014" s="29" t="str">
        <f t="shared" si="661"/>
        <v>----</v>
      </c>
      <c r="AJ1014" s="38" t="str">
        <f t="shared" si="7"/>
        <v>Paper has link but no statement</v>
      </c>
      <c r="AK1014" s="39">
        <v>44871.0</v>
      </c>
      <c r="AL1014" s="23" t="s">
        <v>43</v>
      </c>
      <c r="AM1014" s="40" t="str">
        <f t="shared" si="8"/>
        <v>[IP0181]</v>
      </c>
    </row>
    <row r="1015" ht="67.5" customHeight="1">
      <c r="A1015" s="41">
        <v>182.0</v>
      </c>
      <c r="B1015" s="42" t="s">
        <v>2746</v>
      </c>
      <c r="C1015" s="43">
        <v>2022.0</v>
      </c>
      <c r="D1015" s="44" t="s">
        <v>37</v>
      </c>
      <c r="E1015" s="45" t="s">
        <v>37</v>
      </c>
      <c r="F1015" s="45" t="s">
        <v>37</v>
      </c>
      <c r="G1015" s="45" t="s">
        <v>35</v>
      </c>
      <c r="H1015" s="45" t="s">
        <v>35</v>
      </c>
      <c r="I1015" s="45" t="s">
        <v>35</v>
      </c>
      <c r="J1015" s="46" t="s">
        <v>36</v>
      </c>
      <c r="K1015" s="83" t="s">
        <v>37</v>
      </c>
      <c r="L1015" s="71" t="s">
        <v>37</v>
      </c>
      <c r="M1015" s="71" t="s">
        <v>35</v>
      </c>
      <c r="N1015" s="71" t="s">
        <v>37</v>
      </c>
      <c r="O1015" s="71" t="s">
        <v>35</v>
      </c>
      <c r="P1015" s="71" t="s">
        <v>35</v>
      </c>
      <c r="Q1015" s="71" t="s">
        <v>35</v>
      </c>
      <c r="R1015" s="71" t="s">
        <v>35</v>
      </c>
      <c r="S1015" s="57" t="s">
        <v>677</v>
      </c>
      <c r="T1015" s="50" t="s">
        <v>2747</v>
      </c>
      <c r="U1015" s="51" t="s">
        <v>2747</v>
      </c>
      <c r="V1015" s="52">
        <f t="shared" ref="V1015:X1015" si="1021">IF(lenb(SUBSTITUTE($Z1015,V$1&amp;" (1)",""))&lt;lenb($Z1015),1,IF(lenb(SUBSTITUTE($Z1015,V$1&amp;" (2)",""))&lt;lenb($Z1015),2,IF(lenb(SUBSTITUTE($Z1015,V$1&amp;" (3)",""))&lt;lenb($Z1015),3,IF(lenb(SUBSTITUTE($Z1015,V$1&amp;" (4)",""))&lt;lenb($Z1015),4,IF(lenb(SUBSTITUTE($Z1015,V$1&amp;" (5)",""))&lt;lenb($Z1015),5,IF(lenb(SUBSTITUTE($Z1015,V$1&amp;" (6)",""))&lt;lenb($Z1015),6,IF(lenb(SUBSTITUTE($Z1015,V$1&amp;" (7)",""))&lt;lenb($Z1015),1,IF(lenb(SUBSTITUTE($Z1015,V$1&amp;" (8)",""))&lt;lenb($Z1015),8,IF(lenb(SUBSTITUTE($Z1015,V$1&amp;" (9)",""))&lt;lenb($Z1015),9,IF(lenb(SUBSTITUTE($Z1015,V$1&amp;" (10)",""))&lt;lenb($Z1015),10,IF(lenb(SUBSTITUTE($Z1015,V$1,""))&lt;lenb($Z1015),"ERROR",IF($Z1015=$Y$1,"-",0))))))))))))</f>
        <v>1</v>
      </c>
      <c r="W1015" s="52">
        <f t="shared" si="1021"/>
        <v>0</v>
      </c>
      <c r="X1015" s="52">
        <f t="shared" si="1021"/>
        <v>0</v>
      </c>
      <c r="Y1015" s="52" t="str">
        <f t="shared" si="3"/>
        <v>-</v>
      </c>
      <c r="Z1015" s="52" t="s">
        <v>62</v>
      </c>
      <c r="AA1015" s="53">
        <f t="shared" si="4"/>
        <v>1</v>
      </c>
      <c r="AB1015" s="54">
        <f>COUNTIFS(Links!B:B,"ICSE",Links!C:C,A1015,Links!AD:AD,1)</f>
        <v>0</v>
      </c>
      <c r="AC1015" s="55" t="s">
        <v>37</v>
      </c>
      <c r="AD1015" s="47" t="str">
        <f t="shared" si="5"/>
        <v>No</v>
      </c>
      <c r="AE1015" s="56" t="s">
        <v>36</v>
      </c>
      <c r="AF1015" s="57" t="s">
        <v>42</v>
      </c>
      <c r="AG1015" s="57" t="s">
        <v>42</v>
      </c>
      <c r="AH1015" s="57" t="s">
        <v>42</v>
      </c>
      <c r="AI1015" s="49" t="str">
        <f t="shared" si="661"/>
        <v>----</v>
      </c>
      <c r="AJ1015" s="58" t="str">
        <f t="shared" si="7"/>
        <v>Paper has link but no statement</v>
      </c>
      <c r="AK1015" s="59">
        <v>44871.0</v>
      </c>
      <c r="AL1015" s="43" t="s">
        <v>43</v>
      </c>
      <c r="AM1015" s="60" t="str">
        <f t="shared" si="8"/>
        <v>[IP0182]</v>
      </c>
    </row>
    <row r="1016" ht="67.5" customHeight="1">
      <c r="A1016" s="61">
        <v>183.0</v>
      </c>
      <c r="B1016" s="22" t="s">
        <v>2748</v>
      </c>
      <c r="C1016" s="23">
        <v>2022.0</v>
      </c>
      <c r="D1016" s="24" t="s">
        <v>35</v>
      </c>
      <c r="E1016" s="25" t="s">
        <v>36</v>
      </c>
      <c r="F1016" s="25" t="s">
        <v>36</v>
      </c>
      <c r="G1016" s="25" t="s">
        <v>36</v>
      </c>
      <c r="H1016" s="25" t="s">
        <v>36</v>
      </c>
      <c r="I1016" s="25" t="s">
        <v>36</v>
      </c>
      <c r="J1016" s="26" t="s">
        <v>36</v>
      </c>
      <c r="K1016" s="82" t="s">
        <v>37</v>
      </c>
      <c r="L1016" s="70" t="s">
        <v>35</v>
      </c>
      <c r="M1016" s="70" t="s">
        <v>37</v>
      </c>
      <c r="N1016" s="70" t="s">
        <v>37</v>
      </c>
      <c r="O1016" s="70" t="s">
        <v>35</v>
      </c>
      <c r="P1016" s="70" t="s">
        <v>35</v>
      </c>
      <c r="Q1016" s="70" t="s">
        <v>35</v>
      </c>
      <c r="R1016" s="70" t="s">
        <v>37</v>
      </c>
      <c r="S1016" s="37" t="s">
        <v>2749</v>
      </c>
      <c r="T1016" s="30" t="s">
        <v>2750</v>
      </c>
      <c r="U1016" s="31" t="s">
        <v>2750</v>
      </c>
      <c r="V1016" s="32">
        <f t="shared" ref="V1016:X1016" si="1022">IF(lenb(SUBSTITUTE($Z1016,V$1&amp;" (1)",""))&lt;lenb($Z1016),1,IF(lenb(SUBSTITUTE($Z1016,V$1&amp;" (2)",""))&lt;lenb($Z1016),2,IF(lenb(SUBSTITUTE($Z1016,V$1&amp;" (3)",""))&lt;lenb($Z1016),3,IF(lenb(SUBSTITUTE($Z1016,V$1&amp;" (4)",""))&lt;lenb($Z1016),4,IF(lenb(SUBSTITUTE($Z1016,V$1&amp;" (5)",""))&lt;lenb($Z1016),5,IF(lenb(SUBSTITUTE($Z1016,V$1&amp;" (6)",""))&lt;lenb($Z1016),6,IF(lenb(SUBSTITUTE($Z1016,V$1&amp;" (7)",""))&lt;lenb($Z1016),1,IF(lenb(SUBSTITUTE($Z1016,V$1&amp;" (8)",""))&lt;lenb($Z1016),8,IF(lenb(SUBSTITUTE($Z1016,V$1&amp;" (9)",""))&lt;lenb($Z1016),9,IF(lenb(SUBSTITUTE($Z1016,V$1&amp;" (10)",""))&lt;lenb($Z1016),10,IF(lenb(SUBSTITUTE($Z1016,V$1,""))&lt;lenb($Z1016),"ERROR",IF($Z1016=$Y$1,"-",0))))))))))))</f>
        <v>1</v>
      </c>
      <c r="W1016" s="32">
        <f t="shared" si="1022"/>
        <v>0</v>
      </c>
      <c r="X1016" s="32">
        <f t="shared" si="1022"/>
        <v>0</v>
      </c>
      <c r="Y1016" s="32" t="str">
        <f t="shared" si="3"/>
        <v>-</v>
      </c>
      <c r="Z1016" s="32" t="s">
        <v>62</v>
      </c>
      <c r="AA1016" s="33">
        <f t="shared" si="4"/>
        <v>1</v>
      </c>
      <c r="AB1016" s="34">
        <f>COUNTIFS(Links!B:B,"ICSE",Links!C:C,A1016,Links!AD:AD,1)</f>
        <v>0</v>
      </c>
      <c r="AC1016" s="35" t="s">
        <v>35</v>
      </c>
      <c r="AD1016" s="27" t="str">
        <f t="shared" si="5"/>
        <v>No</v>
      </c>
      <c r="AE1016" s="36" t="s">
        <v>36</v>
      </c>
      <c r="AF1016" s="37" t="s">
        <v>42</v>
      </c>
      <c r="AG1016" s="37" t="s">
        <v>42</v>
      </c>
      <c r="AH1016" s="37" t="s">
        <v>42</v>
      </c>
      <c r="AI1016" s="29" t="str">
        <f t="shared" si="661"/>
        <v>----</v>
      </c>
      <c r="AJ1016" s="38" t="str">
        <f t="shared" si="7"/>
        <v>Paper has link but no statement</v>
      </c>
      <c r="AK1016" s="39">
        <v>44871.0</v>
      </c>
      <c r="AL1016" s="23" t="s">
        <v>43</v>
      </c>
      <c r="AM1016" s="40" t="str">
        <f t="shared" si="8"/>
        <v>[IP0183]</v>
      </c>
    </row>
    <row r="1017" ht="67.5" customHeight="1">
      <c r="A1017" s="41">
        <v>184.0</v>
      </c>
      <c r="B1017" s="42" t="s">
        <v>2751</v>
      </c>
      <c r="C1017" s="43">
        <v>2022.0</v>
      </c>
      <c r="D1017" s="44" t="s">
        <v>37</v>
      </c>
      <c r="E1017" s="45" t="s">
        <v>37</v>
      </c>
      <c r="F1017" s="45" t="s">
        <v>35</v>
      </c>
      <c r="G1017" s="45" t="s">
        <v>35</v>
      </c>
      <c r="H1017" s="45" t="s">
        <v>35</v>
      </c>
      <c r="I1017" s="45" t="s">
        <v>35</v>
      </c>
      <c r="J1017" s="46" t="s">
        <v>36</v>
      </c>
      <c r="K1017" s="83" t="s">
        <v>37</v>
      </c>
      <c r="L1017" s="71" t="s">
        <v>35</v>
      </c>
      <c r="M1017" s="71" t="s">
        <v>37</v>
      </c>
      <c r="N1017" s="71" t="s">
        <v>37</v>
      </c>
      <c r="O1017" s="71" t="s">
        <v>35</v>
      </c>
      <c r="P1017" s="71" t="s">
        <v>35</v>
      </c>
      <c r="Q1017" s="71" t="s">
        <v>35</v>
      </c>
      <c r="R1017" s="71" t="s">
        <v>37</v>
      </c>
      <c r="S1017" s="57" t="s">
        <v>2752</v>
      </c>
      <c r="T1017" s="50" t="s">
        <v>2753</v>
      </c>
      <c r="U1017" s="51" t="s">
        <v>2753</v>
      </c>
      <c r="V1017" s="52">
        <f t="shared" ref="V1017:X1017" si="1023">IF(lenb(SUBSTITUTE($Z1017,V$1&amp;" (1)",""))&lt;lenb($Z1017),1,IF(lenb(SUBSTITUTE($Z1017,V$1&amp;" (2)",""))&lt;lenb($Z1017),2,IF(lenb(SUBSTITUTE($Z1017,V$1&amp;" (3)",""))&lt;lenb($Z1017),3,IF(lenb(SUBSTITUTE($Z1017,V$1&amp;" (4)",""))&lt;lenb($Z1017),4,IF(lenb(SUBSTITUTE($Z1017,V$1&amp;" (5)",""))&lt;lenb($Z1017),5,IF(lenb(SUBSTITUTE($Z1017,V$1&amp;" (6)",""))&lt;lenb($Z1017),6,IF(lenb(SUBSTITUTE($Z1017,V$1&amp;" (7)",""))&lt;lenb($Z1017),1,IF(lenb(SUBSTITUTE($Z1017,V$1&amp;" (8)",""))&lt;lenb($Z1017),8,IF(lenb(SUBSTITUTE($Z1017,V$1&amp;" (9)",""))&lt;lenb($Z1017),9,IF(lenb(SUBSTITUTE($Z1017,V$1&amp;" (10)",""))&lt;lenb($Z1017),10,IF(lenb(SUBSTITUTE($Z1017,V$1,""))&lt;lenb($Z1017),"ERROR",IF($Z1017=$Y$1,"-",0))))))))))))</f>
        <v>1</v>
      </c>
      <c r="W1017" s="52">
        <f t="shared" si="1023"/>
        <v>0</v>
      </c>
      <c r="X1017" s="52">
        <f t="shared" si="1023"/>
        <v>0</v>
      </c>
      <c r="Y1017" s="52" t="str">
        <f t="shared" si="3"/>
        <v>-</v>
      </c>
      <c r="Z1017" s="52" t="s">
        <v>62</v>
      </c>
      <c r="AA1017" s="53">
        <f t="shared" si="4"/>
        <v>1</v>
      </c>
      <c r="AB1017" s="54">
        <f>COUNTIFS(Links!B:B,"ICSE",Links!C:C,A1017,Links!AD:AD,1)</f>
        <v>0</v>
      </c>
      <c r="AC1017" s="55" t="s">
        <v>37</v>
      </c>
      <c r="AD1017" s="47" t="str">
        <f t="shared" si="5"/>
        <v>No</v>
      </c>
      <c r="AE1017" s="56" t="s">
        <v>36</v>
      </c>
      <c r="AF1017" s="57" t="s">
        <v>42</v>
      </c>
      <c r="AG1017" s="57" t="s">
        <v>42</v>
      </c>
      <c r="AH1017" s="57" t="s">
        <v>42</v>
      </c>
      <c r="AI1017" s="49" t="str">
        <f t="shared" si="661"/>
        <v>----</v>
      </c>
      <c r="AJ1017" s="58" t="str">
        <f t="shared" si="7"/>
        <v>Paper has link but no statement</v>
      </c>
      <c r="AK1017" s="59">
        <v>44871.0</v>
      </c>
      <c r="AL1017" s="43" t="s">
        <v>43</v>
      </c>
      <c r="AM1017" s="60" t="str">
        <f t="shared" si="8"/>
        <v>[IP0184]</v>
      </c>
    </row>
    <row r="1018" ht="67.5" customHeight="1">
      <c r="A1018" s="61">
        <v>185.0</v>
      </c>
      <c r="B1018" s="22" t="s">
        <v>2754</v>
      </c>
      <c r="C1018" s="23">
        <v>2022.0</v>
      </c>
      <c r="D1018" s="24" t="s">
        <v>35</v>
      </c>
      <c r="E1018" s="25" t="s">
        <v>36</v>
      </c>
      <c r="F1018" s="25" t="s">
        <v>36</v>
      </c>
      <c r="G1018" s="25" t="s">
        <v>36</v>
      </c>
      <c r="H1018" s="25" t="s">
        <v>36</v>
      </c>
      <c r="I1018" s="25" t="s">
        <v>36</v>
      </c>
      <c r="J1018" s="26" t="s">
        <v>36</v>
      </c>
      <c r="K1018" s="82" t="s">
        <v>37</v>
      </c>
      <c r="L1018" s="70" t="s">
        <v>35</v>
      </c>
      <c r="M1018" s="70" t="s">
        <v>37</v>
      </c>
      <c r="N1018" s="70" t="s">
        <v>37</v>
      </c>
      <c r="O1018" s="70" t="s">
        <v>35</v>
      </c>
      <c r="P1018" s="70" t="s">
        <v>35</v>
      </c>
      <c r="Q1018" s="70" t="s">
        <v>37</v>
      </c>
      <c r="R1018" s="70" t="s">
        <v>37</v>
      </c>
      <c r="S1018" s="37" t="s">
        <v>2755</v>
      </c>
      <c r="T1018" s="30" t="s">
        <v>2756</v>
      </c>
      <c r="U1018" s="31" t="s">
        <v>2756</v>
      </c>
      <c r="V1018" s="32">
        <f t="shared" ref="V1018:X1018" si="1024">IF(lenb(SUBSTITUTE($Z1018,V$1&amp;" (1)",""))&lt;lenb($Z1018),1,IF(lenb(SUBSTITUTE($Z1018,V$1&amp;" (2)",""))&lt;lenb($Z1018),2,IF(lenb(SUBSTITUTE($Z1018,V$1&amp;" (3)",""))&lt;lenb($Z1018),3,IF(lenb(SUBSTITUTE($Z1018,V$1&amp;" (4)",""))&lt;lenb($Z1018),4,IF(lenb(SUBSTITUTE($Z1018,V$1&amp;" (5)",""))&lt;lenb($Z1018),5,IF(lenb(SUBSTITUTE($Z1018,V$1&amp;" (6)",""))&lt;lenb($Z1018),6,IF(lenb(SUBSTITUTE($Z1018,V$1&amp;" (7)",""))&lt;lenb($Z1018),1,IF(lenb(SUBSTITUTE($Z1018,V$1&amp;" (8)",""))&lt;lenb($Z1018),8,IF(lenb(SUBSTITUTE($Z1018,V$1&amp;" (9)",""))&lt;lenb($Z1018),9,IF(lenb(SUBSTITUTE($Z1018,V$1&amp;" (10)",""))&lt;lenb($Z1018),10,IF(lenb(SUBSTITUTE($Z1018,V$1,""))&lt;lenb($Z1018),"ERROR",IF($Z1018=$Y$1,"-",0))))))))))))</f>
        <v>1</v>
      </c>
      <c r="W1018" s="32">
        <f t="shared" si="1024"/>
        <v>0</v>
      </c>
      <c r="X1018" s="32">
        <f t="shared" si="1024"/>
        <v>0</v>
      </c>
      <c r="Y1018" s="32" t="str">
        <f t="shared" si="3"/>
        <v>-</v>
      </c>
      <c r="Z1018" s="32" t="s">
        <v>62</v>
      </c>
      <c r="AA1018" s="33">
        <f t="shared" si="4"/>
        <v>1</v>
      </c>
      <c r="AB1018" s="34">
        <f>COUNTIFS(Links!B:B,"ICSE",Links!C:C,A1018,Links!AD:AD,1)</f>
        <v>0</v>
      </c>
      <c r="AC1018" s="35" t="s">
        <v>35</v>
      </c>
      <c r="AD1018" s="27" t="str">
        <f t="shared" si="5"/>
        <v>No</v>
      </c>
      <c r="AE1018" s="36" t="s">
        <v>36</v>
      </c>
      <c r="AF1018" s="37" t="s">
        <v>42</v>
      </c>
      <c r="AG1018" s="37" t="s">
        <v>42</v>
      </c>
      <c r="AH1018" s="37" t="s">
        <v>42</v>
      </c>
      <c r="AI1018" s="29" t="str">
        <f t="shared" si="661"/>
        <v>----</v>
      </c>
      <c r="AJ1018" s="38" t="str">
        <f t="shared" si="7"/>
        <v>Paper has link but no statement</v>
      </c>
      <c r="AK1018" s="39">
        <v>44871.0</v>
      </c>
      <c r="AL1018" s="23" t="s">
        <v>43</v>
      </c>
      <c r="AM1018" s="40" t="str">
        <f t="shared" si="8"/>
        <v>[IP0185]</v>
      </c>
    </row>
    <row r="1019" ht="67.5" customHeight="1">
      <c r="A1019" s="41">
        <v>186.0</v>
      </c>
      <c r="B1019" s="42" t="s">
        <v>2757</v>
      </c>
      <c r="C1019" s="43">
        <v>2022.0</v>
      </c>
      <c r="D1019" s="44" t="s">
        <v>35</v>
      </c>
      <c r="E1019" s="45" t="s">
        <v>36</v>
      </c>
      <c r="F1019" s="45" t="s">
        <v>36</v>
      </c>
      <c r="G1019" s="45" t="s">
        <v>36</v>
      </c>
      <c r="H1019" s="45" t="s">
        <v>36</v>
      </c>
      <c r="I1019" s="45" t="s">
        <v>36</v>
      </c>
      <c r="J1019" s="46" t="s">
        <v>36</v>
      </c>
      <c r="K1019" s="83" t="s">
        <v>37</v>
      </c>
      <c r="L1019" s="71" t="s">
        <v>35</v>
      </c>
      <c r="M1019" s="71" t="s">
        <v>37</v>
      </c>
      <c r="N1019" s="71" t="s">
        <v>37</v>
      </c>
      <c r="O1019" s="71" t="s">
        <v>37</v>
      </c>
      <c r="P1019" s="71" t="s">
        <v>35</v>
      </c>
      <c r="Q1019" s="71" t="s">
        <v>35</v>
      </c>
      <c r="R1019" s="71" t="s">
        <v>37</v>
      </c>
      <c r="S1019" s="57" t="s">
        <v>2758</v>
      </c>
      <c r="T1019" s="50" t="s">
        <v>2759</v>
      </c>
      <c r="U1019" s="51" t="s">
        <v>2759</v>
      </c>
      <c r="V1019" s="52">
        <f t="shared" ref="V1019:X1019" si="1025">IF(lenb(SUBSTITUTE($Z1019,V$1&amp;" (1)",""))&lt;lenb($Z1019),1,IF(lenb(SUBSTITUTE($Z1019,V$1&amp;" (2)",""))&lt;lenb($Z1019),2,IF(lenb(SUBSTITUTE($Z1019,V$1&amp;" (3)",""))&lt;lenb($Z1019),3,IF(lenb(SUBSTITUTE($Z1019,V$1&amp;" (4)",""))&lt;lenb($Z1019),4,IF(lenb(SUBSTITUTE($Z1019,V$1&amp;" (5)",""))&lt;lenb($Z1019),5,IF(lenb(SUBSTITUTE($Z1019,V$1&amp;" (6)",""))&lt;lenb($Z1019),6,IF(lenb(SUBSTITUTE($Z1019,V$1&amp;" (7)",""))&lt;lenb($Z1019),1,IF(lenb(SUBSTITUTE($Z1019,V$1&amp;" (8)",""))&lt;lenb($Z1019),8,IF(lenb(SUBSTITUTE($Z1019,V$1&amp;" (9)",""))&lt;lenb($Z1019),9,IF(lenb(SUBSTITUTE($Z1019,V$1&amp;" (10)",""))&lt;lenb($Z1019),10,IF(lenb(SUBSTITUTE($Z1019,V$1,""))&lt;lenb($Z1019),"ERROR",IF($Z1019=$Y$1,"-",0))))))))))))</f>
        <v>1</v>
      </c>
      <c r="W1019" s="52">
        <f t="shared" si="1025"/>
        <v>0</v>
      </c>
      <c r="X1019" s="52">
        <f t="shared" si="1025"/>
        <v>0</v>
      </c>
      <c r="Y1019" s="52" t="str">
        <f t="shared" si="3"/>
        <v>-</v>
      </c>
      <c r="Z1019" s="52" t="s">
        <v>62</v>
      </c>
      <c r="AA1019" s="53">
        <f t="shared" si="4"/>
        <v>1</v>
      </c>
      <c r="AB1019" s="54">
        <f>COUNTIFS(Links!B:B,"ICSE",Links!C:C,A1019,Links!AD:AD,1)</f>
        <v>0</v>
      </c>
      <c r="AC1019" s="55" t="s">
        <v>35</v>
      </c>
      <c r="AD1019" s="47" t="str">
        <f t="shared" si="5"/>
        <v>No</v>
      </c>
      <c r="AE1019" s="56" t="s">
        <v>36</v>
      </c>
      <c r="AF1019" s="57" t="s">
        <v>42</v>
      </c>
      <c r="AG1019" s="57" t="s">
        <v>42</v>
      </c>
      <c r="AH1019" s="57" t="s">
        <v>42</v>
      </c>
      <c r="AI1019" s="49" t="str">
        <f t="shared" si="661"/>
        <v>----</v>
      </c>
      <c r="AJ1019" s="58" t="str">
        <f t="shared" si="7"/>
        <v>Paper has link but no statement</v>
      </c>
      <c r="AK1019" s="59">
        <v>44871.0</v>
      </c>
      <c r="AL1019" s="43" t="s">
        <v>43</v>
      </c>
      <c r="AM1019" s="60" t="str">
        <f t="shared" si="8"/>
        <v>[IP0186]</v>
      </c>
    </row>
    <row r="1020" ht="67.5" customHeight="1">
      <c r="A1020" s="61">
        <v>187.0</v>
      </c>
      <c r="B1020" s="22" t="s">
        <v>2760</v>
      </c>
      <c r="C1020" s="23">
        <v>2022.0</v>
      </c>
      <c r="D1020" s="24" t="s">
        <v>35</v>
      </c>
      <c r="E1020" s="25" t="s">
        <v>36</v>
      </c>
      <c r="F1020" s="25" t="s">
        <v>36</v>
      </c>
      <c r="G1020" s="25" t="s">
        <v>36</v>
      </c>
      <c r="H1020" s="25" t="s">
        <v>36</v>
      </c>
      <c r="I1020" s="25" t="s">
        <v>36</v>
      </c>
      <c r="J1020" s="26" t="s">
        <v>36</v>
      </c>
      <c r="K1020" s="82" t="s">
        <v>37</v>
      </c>
      <c r="L1020" s="70" t="s">
        <v>35</v>
      </c>
      <c r="M1020" s="70" t="s">
        <v>37</v>
      </c>
      <c r="N1020" s="70" t="s">
        <v>35</v>
      </c>
      <c r="O1020" s="70" t="s">
        <v>37</v>
      </c>
      <c r="P1020" s="70" t="s">
        <v>35</v>
      </c>
      <c r="Q1020" s="70" t="s">
        <v>35</v>
      </c>
      <c r="R1020" s="70" t="s">
        <v>37</v>
      </c>
      <c r="S1020" s="37" t="s">
        <v>2761</v>
      </c>
      <c r="T1020" s="30" t="s">
        <v>2762</v>
      </c>
      <c r="U1020" s="31" t="s">
        <v>2762</v>
      </c>
      <c r="V1020" s="32">
        <f t="shared" ref="V1020:X1020" si="1026">IF(lenb(SUBSTITUTE($Z1020,V$1&amp;" (1)",""))&lt;lenb($Z1020),1,IF(lenb(SUBSTITUTE($Z1020,V$1&amp;" (2)",""))&lt;lenb($Z1020),2,IF(lenb(SUBSTITUTE($Z1020,V$1&amp;" (3)",""))&lt;lenb($Z1020),3,IF(lenb(SUBSTITUTE($Z1020,V$1&amp;" (4)",""))&lt;lenb($Z1020),4,IF(lenb(SUBSTITUTE($Z1020,V$1&amp;" (5)",""))&lt;lenb($Z1020),5,IF(lenb(SUBSTITUTE($Z1020,V$1&amp;" (6)",""))&lt;lenb($Z1020),6,IF(lenb(SUBSTITUTE($Z1020,V$1&amp;" (7)",""))&lt;lenb($Z1020),1,IF(lenb(SUBSTITUTE($Z1020,V$1&amp;" (8)",""))&lt;lenb($Z1020),8,IF(lenb(SUBSTITUTE($Z1020,V$1&amp;" (9)",""))&lt;lenb($Z1020),9,IF(lenb(SUBSTITUTE($Z1020,V$1&amp;" (10)",""))&lt;lenb($Z1020),10,IF(lenb(SUBSTITUTE($Z1020,V$1,""))&lt;lenb($Z1020),"ERROR",IF($Z1020=$Y$1,"-",0))))))))))))</f>
        <v>1</v>
      </c>
      <c r="W1020" s="32">
        <f t="shared" si="1026"/>
        <v>0</v>
      </c>
      <c r="X1020" s="32">
        <f t="shared" si="1026"/>
        <v>0</v>
      </c>
      <c r="Y1020" s="32" t="str">
        <f t="shared" si="3"/>
        <v>-</v>
      </c>
      <c r="Z1020" s="32" t="s">
        <v>62</v>
      </c>
      <c r="AA1020" s="33">
        <f t="shared" si="4"/>
        <v>1</v>
      </c>
      <c r="AB1020" s="34">
        <f>COUNTIFS(Links!B:B,"ICSE",Links!C:C,A1020,Links!AD:AD,1)</f>
        <v>0</v>
      </c>
      <c r="AC1020" s="35" t="s">
        <v>35</v>
      </c>
      <c r="AD1020" s="27" t="str">
        <f t="shared" si="5"/>
        <v>No</v>
      </c>
      <c r="AE1020" s="36" t="s">
        <v>36</v>
      </c>
      <c r="AF1020" s="37" t="s">
        <v>42</v>
      </c>
      <c r="AG1020" s="37" t="s">
        <v>42</v>
      </c>
      <c r="AH1020" s="37" t="s">
        <v>42</v>
      </c>
      <c r="AI1020" s="29" t="str">
        <f t="shared" si="661"/>
        <v>----</v>
      </c>
      <c r="AJ1020" s="38" t="str">
        <f t="shared" si="7"/>
        <v>Paper has link but no statement</v>
      </c>
      <c r="AK1020" s="39">
        <v>44871.0</v>
      </c>
      <c r="AL1020" s="23" t="s">
        <v>43</v>
      </c>
      <c r="AM1020" s="40" t="str">
        <f t="shared" si="8"/>
        <v>[IP0187]</v>
      </c>
    </row>
    <row r="1021" ht="67.5" customHeight="1">
      <c r="A1021" s="41">
        <v>188.0</v>
      </c>
      <c r="B1021" s="42" t="s">
        <v>2763</v>
      </c>
      <c r="C1021" s="43">
        <v>2022.0</v>
      </c>
      <c r="D1021" s="44" t="s">
        <v>35</v>
      </c>
      <c r="E1021" s="45" t="s">
        <v>36</v>
      </c>
      <c r="F1021" s="45" t="s">
        <v>36</v>
      </c>
      <c r="G1021" s="45" t="s">
        <v>36</v>
      </c>
      <c r="H1021" s="45" t="s">
        <v>36</v>
      </c>
      <c r="I1021" s="45" t="s">
        <v>36</v>
      </c>
      <c r="J1021" s="46" t="s">
        <v>36</v>
      </c>
      <c r="K1021" s="83" t="s">
        <v>35</v>
      </c>
      <c r="L1021" s="71" t="s">
        <v>36</v>
      </c>
      <c r="M1021" s="71" t="s">
        <v>36</v>
      </c>
      <c r="N1021" s="71" t="s">
        <v>36</v>
      </c>
      <c r="O1021" s="71" t="s">
        <v>36</v>
      </c>
      <c r="P1021" s="71" t="s">
        <v>36</v>
      </c>
      <c r="Q1021" s="71" t="s">
        <v>36</v>
      </c>
      <c r="R1021" s="71" t="s">
        <v>36</v>
      </c>
      <c r="S1021" s="57" t="s">
        <v>36</v>
      </c>
      <c r="T1021" s="50" t="s">
        <v>36</v>
      </c>
      <c r="U1021" s="51" t="s">
        <v>36</v>
      </c>
      <c r="V1021" s="52" t="str">
        <f t="shared" ref="V1021:X1021" si="1027">IF(lenb(SUBSTITUTE($Z1021,V$1&amp;" (1)",""))&lt;lenb($Z1021),1,IF(lenb(SUBSTITUTE($Z1021,V$1&amp;" (2)",""))&lt;lenb($Z1021),2,IF(lenb(SUBSTITUTE($Z1021,V$1&amp;" (3)",""))&lt;lenb($Z1021),3,IF(lenb(SUBSTITUTE($Z1021,V$1&amp;" (4)",""))&lt;lenb($Z1021),4,IF(lenb(SUBSTITUTE($Z1021,V$1&amp;" (5)",""))&lt;lenb($Z1021),5,IF(lenb(SUBSTITUTE($Z1021,V$1&amp;" (6)",""))&lt;lenb($Z1021),6,IF(lenb(SUBSTITUTE($Z1021,V$1&amp;" (7)",""))&lt;lenb($Z1021),1,IF(lenb(SUBSTITUTE($Z1021,V$1&amp;" (8)",""))&lt;lenb($Z1021),8,IF(lenb(SUBSTITUTE($Z1021,V$1&amp;" (9)",""))&lt;lenb($Z1021),9,IF(lenb(SUBSTITUTE($Z1021,V$1&amp;" (10)",""))&lt;lenb($Z1021),10,IF(lenb(SUBSTITUTE($Z1021,V$1,""))&lt;lenb($Z1021),"ERROR",IF($Z1021=$Y$1,"-",0))))))))))))</f>
        <v>-</v>
      </c>
      <c r="W1021" s="52" t="str">
        <f t="shared" si="1027"/>
        <v>-</v>
      </c>
      <c r="X1021" s="52" t="str">
        <f t="shared" si="1027"/>
        <v>-</v>
      </c>
      <c r="Y1021" s="52">
        <f t="shared" si="3"/>
        <v>1</v>
      </c>
      <c r="Z1021" s="52" t="s">
        <v>23</v>
      </c>
      <c r="AA1021" s="53">
        <f t="shared" si="4"/>
        <v>0</v>
      </c>
      <c r="AB1021" s="54">
        <f>COUNTIFS(Links!B:B,"ICSE",Links!C:C,A1021,Links!AD:AD,1)</f>
        <v>0</v>
      </c>
      <c r="AC1021" s="55" t="s">
        <v>36</v>
      </c>
      <c r="AD1021" s="47" t="str">
        <f t="shared" si="5"/>
        <v>No</v>
      </c>
      <c r="AE1021" s="56" t="s">
        <v>36</v>
      </c>
      <c r="AF1021" s="57" t="s">
        <v>42</v>
      </c>
      <c r="AG1021" s="57" t="s">
        <v>42</v>
      </c>
      <c r="AH1021" s="57" t="s">
        <v>42</v>
      </c>
      <c r="AI1021" s="49" t="str">
        <f t="shared" si="661"/>
        <v>----</v>
      </c>
      <c r="AJ1021" s="58" t="str">
        <f t="shared" si="7"/>
        <v>Paper has no link and no statement</v>
      </c>
      <c r="AK1021" s="59">
        <v>44871.0</v>
      </c>
      <c r="AL1021" s="43" t="s">
        <v>43</v>
      </c>
      <c r="AM1021" s="60" t="str">
        <f t="shared" si="8"/>
        <v>[IP0188]</v>
      </c>
    </row>
    <row r="1022" ht="67.5" customHeight="1">
      <c r="A1022" s="61">
        <v>189.0</v>
      </c>
      <c r="B1022" s="22" t="s">
        <v>2764</v>
      </c>
      <c r="C1022" s="23">
        <v>2022.0</v>
      </c>
      <c r="D1022" s="24" t="s">
        <v>35</v>
      </c>
      <c r="E1022" s="25" t="s">
        <v>36</v>
      </c>
      <c r="F1022" s="25" t="s">
        <v>36</v>
      </c>
      <c r="G1022" s="25" t="s">
        <v>36</v>
      </c>
      <c r="H1022" s="25" t="s">
        <v>36</v>
      </c>
      <c r="I1022" s="25" t="s">
        <v>36</v>
      </c>
      <c r="J1022" s="26" t="s">
        <v>36</v>
      </c>
      <c r="K1022" s="82" t="s">
        <v>37</v>
      </c>
      <c r="L1022" s="70" t="s">
        <v>37</v>
      </c>
      <c r="M1022" s="70" t="s">
        <v>35</v>
      </c>
      <c r="N1022" s="70" t="s">
        <v>37</v>
      </c>
      <c r="O1022" s="70" t="s">
        <v>35</v>
      </c>
      <c r="P1022" s="70" t="s">
        <v>35</v>
      </c>
      <c r="Q1022" s="70" t="s">
        <v>35</v>
      </c>
      <c r="R1022" s="70" t="s">
        <v>37</v>
      </c>
      <c r="S1022" s="37" t="s">
        <v>2765</v>
      </c>
      <c r="T1022" s="30" t="s">
        <v>2766</v>
      </c>
      <c r="U1022" s="31" t="s">
        <v>2767</v>
      </c>
      <c r="V1022" s="32">
        <f t="shared" ref="V1022:X1022" si="1028">IF(lenb(SUBSTITUTE($Z1022,V$1&amp;" (1)",""))&lt;lenb($Z1022),1,IF(lenb(SUBSTITUTE($Z1022,V$1&amp;" (2)",""))&lt;lenb($Z1022),2,IF(lenb(SUBSTITUTE($Z1022,V$1&amp;" (3)",""))&lt;lenb($Z1022),3,IF(lenb(SUBSTITUTE($Z1022,V$1&amp;" (4)",""))&lt;lenb($Z1022),4,IF(lenb(SUBSTITUTE($Z1022,V$1&amp;" (5)",""))&lt;lenb($Z1022),5,IF(lenb(SUBSTITUTE($Z1022,V$1&amp;" (6)",""))&lt;lenb($Z1022),6,IF(lenb(SUBSTITUTE($Z1022,V$1&amp;" (7)",""))&lt;lenb($Z1022),1,IF(lenb(SUBSTITUTE($Z1022,V$1&amp;" (8)",""))&lt;lenb($Z1022),8,IF(lenb(SUBSTITUTE($Z1022,V$1&amp;" (9)",""))&lt;lenb($Z1022),9,IF(lenb(SUBSTITUTE($Z1022,V$1&amp;" (10)",""))&lt;lenb($Z1022),10,IF(lenb(SUBSTITUTE($Z1022,V$1,""))&lt;lenb($Z1022),"ERROR",IF($Z1022=$Y$1,"-",0))))))))))))</f>
        <v>2</v>
      </c>
      <c r="W1022" s="32">
        <f t="shared" si="1028"/>
        <v>0</v>
      </c>
      <c r="X1022" s="32">
        <f t="shared" si="1028"/>
        <v>0</v>
      </c>
      <c r="Y1022" s="32" t="str">
        <f t="shared" si="3"/>
        <v>-</v>
      </c>
      <c r="Z1022" s="32" t="s">
        <v>57</v>
      </c>
      <c r="AA1022" s="33">
        <f t="shared" si="4"/>
        <v>2</v>
      </c>
      <c r="AB1022" s="34">
        <f>COUNTIFS(Links!B:B,"ICSE",Links!C:C,A1022,Links!AD:AD,1)</f>
        <v>0</v>
      </c>
      <c r="AC1022" s="35" t="s">
        <v>35</v>
      </c>
      <c r="AD1022" s="27" t="str">
        <f t="shared" si="5"/>
        <v>No</v>
      </c>
      <c r="AE1022" s="36" t="s">
        <v>36</v>
      </c>
      <c r="AF1022" s="37" t="s">
        <v>42</v>
      </c>
      <c r="AG1022" s="37" t="s">
        <v>42</v>
      </c>
      <c r="AH1022" s="37" t="s">
        <v>42</v>
      </c>
      <c r="AI1022" s="29" t="str">
        <f t="shared" si="661"/>
        <v>----</v>
      </c>
      <c r="AJ1022" s="38" t="str">
        <f t="shared" si="7"/>
        <v>Paper has link but no statement</v>
      </c>
      <c r="AK1022" s="39">
        <v>44871.0</v>
      </c>
      <c r="AL1022" s="23" t="s">
        <v>43</v>
      </c>
      <c r="AM1022" s="40" t="str">
        <f t="shared" si="8"/>
        <v>[IP0189]</v>
      </c>
    </row>
    <row r="1023" ht="67.5" customHeight="1">
      <c r="A1023" s="41">
        <v>190.0</v>
      </c>
      <c r="B1023" s="42" t="s">
        <v>2768</v>
      </c>
      <c r="C1023" s="43">
        <v>2022.0</v>
      </c>
      <c r="D1023" s="44" t="s">
        <v>37</v>
      </c>
      <c r="E1023" s="45" t="s">
        <v>37</v>
      </c>
      <c r="F1023" s="45" t="s">
        <v>37</v>
      </c>
      <c r="G1023" s="45" t="s">
        <v>35</v>
      </c>
      <c r="H1023" s="45" t="s">
        <v>35</v>
      </c>
      <c r="I1023" s="45" t="s">
        <v>35</v>
      </c>
      <c r="J1023" s="46" t="s">
        <v>36</v>
      </c>
      <c r="K1023" s="83" t="s">
        <v>37</v>
      </c>
      <c r="L1023" s="71" t="s">
        <v>35</v>
      </c>
      <c r="M1023" s="71" t="s">
        <v>37</v>
      </c>
      <c r="N1023" s="71" t="s">
        <v>35</v>
      </c>
      <c r="O1023" s="71" t="s">
        <v>35</v>
      </c>
      <c r="P1023" s="71" t="s">
        <v>35</v>
      </c>
      <c r="Q1023" s="71" t="s">
        <v>35</v>
      </c>
      <c r="R1023" s="71" t="s">
        <v>37</v>
      </c>
      <c r="S1023" s="57" t="s">
        <v>2769</v>
      </c>
      <c r="T1023" s="50" t="s">
        <v>2770</v>
      </c>
      <c r="U1023" s="51" t="s">
        <v>2770</v>
      </c>
      <c r="V1023" s="52">
        <f t="shared" ref="V1023:X1023" si="1029">IF(lenb(SUBSTITUTE($Z1023,V$1&amp;" (1)",""))&lt;lenb($Z1023),1,IF(lenb(SUBSTITUTE($Z1023,V$1&amp;" (2)",""))&lt;lenb($Z1023),2,IF(lenb(SUBSTITUTE($Z1023,V$1&amp;" (3)",""))&lt;lenb($Z1023),3,IF(lenb(SUBSTITUTE($Z1023,V$1&amp;" (4)",""))&lt;lenb($Z1023),4,IF(lenb(SUBSTITUTE($Z1023,V$1&amp;" (5)",""))&lt;lenb($Z1023),5,IF(lenb(SUBSTITUTE($Z1023,V$1&amp;" (6)",""))&lt;lenb($Z1023),6,IF(lenb(SUBSTITUTE($Z1023,V$1&amp;" (7)",""))&lt;lenb($Z1023),1,IF(lenb(SUBSTITUTE($Z1023,V$1&amp;" (8)",""))&lt;lenb($Z1023),8,IF(lenb(SUBSTITUTE($Z1023,V$1&amp;" (9)",""))&lt;lenb($Z1023),9,IF(lenb(SUBSTITUTE($Z1023,V$1&amp;" (10)",""))&lt;lenb($Z1023),10,IF(lenb(SUBSTITUTE($Z1023,V$1,""))&lt;lenb($Z1023),"ERROR",IF($Z1023=$Y$1,"-",0))))))))))))</f>
        <v>1</v>
      </c>
      <c r="W1023" s="52">
        <f t="shared" si="1029"/>
        <v>0</v>
      </c>
      <c r="X1023" s="52">
        <f t="shared" si="1029"/>
        <v>0</v>
      </c>
      <c r="Y1023" s="52" t="str">
        <f t="shared" si="3"/>
        <v>-</v>
      </c>
      <c r="Z1023" s="52" t="s">
        <v>62</v>
      </c>
      <c r="AA1023" s="53">
        <f t="shared" si="4"/>
        <v>1</v>
      </c>
      <c r="AB1023" s="54">
        <f>COUNTIFS(Links!B:B,"ICSE",Links!C:C,A1023,Links!AD:AD,1)</f>
        <v>0</v>
      </c>
      <c r="AC1023" s="55" t="s">
        <v>37</v>
      </c>
      <c r="AD1023" s="47" t="str">
        <f t="shared" si="5"/>
        <v>No</v>
      </c>
      <c r="AE1023" s="56" t="s">
        <v>36</v>
      </c>
      <c r="AF1023" s="57" t="s">
        <v>42</v>
      </c>
      <c r="AG1023" s="57" t="s">
        <v>42</v>
      </c>
      <c r="AH1023" s="57" t="s">
        <v>42</v>
      </c>
      <c r="AI1023" s="49" t="str">
        <f t="shared" si="661"/>
        <v>----</v>
      </c>
      <c r="AJ1023" s="58" t="str">
        <f t="shared" si="7"/>
        <v>Paper has link but no statement</v>
      </c>
      <c r="AK1023" s="59">
        <v>44871.0</v>
      </c>
      <c r="AL1023" s="43" t="s">
        <v>43</v>
      </c>
      <c r="AM1023" s="60" t="str">
        <f t="shared" si="8"/>
        <v>[IP0190]</v>
      </c>
    </row>
    <row r="1024" ht="67.5" customHeight="1">
      <c r="A1024" s="61">
        <v>191.0</v>
      </c>
      <c r="B1024" s="22" t="s">
        <v>2771</v>
      </c>
      <c r="C1024" s="23">
        <v>2022.0</v>
      </c>
      <c r="D1024" s="24" t="s">
        <v>35</v>
      </c>
      <c r="E1024" s="25" t="s">
        <v>36</v>
      </c>
      <c r="F1024" s="25" t="s">
        <v>36</v>
      </c>
      <c r="G1024" s="25" t="s">
        <v>36</v>
      </c>
      <c r="H1024" s="25" t="s">
        <v>36</v>
      </c>
      <c r="I1024" s="25" t="s">
        <v>36</v>
      </c>
      <c r="J1024" s="26" t="s">
        <v>36</v>
      </c>
      <c r="K1024" s="82" t="s">
        <v>37</v>
      </c>
      <c r="L1024" s="70" t="s">
        <v>37</v>
      </c>
      <c r="M1024" s="70" t="s">
        <v>35</v>
      </c>
      <c r="N1024" s="70" t="s">
        <v>37</v>
      </c>
      <c r="O1024" s="70" t="s">
        <v>35</v>
      </c>
      <c r="P1024" s="70" t="s">
        <v>35</v>
      </c>
      <c r="Q1024" s="70" t="s">
        <v>35</v>
      </c>
      <c r="R1024" s="70" t="s">
        <v>37</v>
      </c>
      <c r="S1024" s="37" t="s">
        <v>2772</v>
      </c>
      <c r="T1024" s="30" t="s">
        <v>2773</v>
      </c>
      <c r="U1024" s="31" t="s">
        <v>2773</v>
      </c>
      <c r="V1024" s="32">
        <f t="shared" ref="V1024:X1024" si="1030">IF(lenb(SUBSTITUTE($Z1024,V$1&amp;" (1)",""))&lt;lenb($Z1024),1,IF(lenb(SUBSTITUTE($Z1024,V$1&amp;" (2)",""))&lt;lenb($Z1024),2,IF(lenb(SUBSTITUTE($Z1024,V$1&amp;" (3)",""))&lt;lenb($Z1024),3,IF(lenb(SUBSTITUTE($Z1024,V$1&amp;" (4)",""))&lt;lenb($Z1024),4,IF(lenb(SUBSTITUTE($Z1024,V$1&amp;" (5)",""))&lt;lenb($Z1024),5,IF(lenb(SUBSTITUTE($Z1024,V$1&amp;" (6)",""))&lt;lenb($Z1024),6,IF(lenb(SUBSTITUTE($Z1024,V$1&amp;" (7)",""))&lt;lenb($Z1024),1,IF(lenb(SUBSTITUTE($Z1024,V$1&amp;" (8)",""))&lt;lenb($Z1024),8,IF(lenb(SUBSTITUTE($Z1024,V$1&amp;" (9)",""))&lt;lenb($Z1024),9,IF(lenb(SUBSTITUTE($Z1024,V$1&amp;" (10)",""))&lt;lenb($Z1024),10,IF(lenb(SUBSTITUTE($Z1024,V$1,""))&lt;lenb($Z1024),"ERROR",IF($Z1024=$Y$1,"-",0))))))))))))</f>
        <v>1</v>
      </c>
      <c r="W1024" s="32">
        <f t="shared" si="1030"/>
        <v>0</v>
      </c>
      <c r="X1024" s="32">
        <f t="shared" si="1030"/>
        <v>0</v>
      </c>
      <c r="Y1024" s="32" t="str">
        <f t="shared" si="3"/>
        <v>-</v>
      </c>
      <c r="Z1024" s="32" t="s">
        <v>62</v>
      </c>
      <c r="AA1024" s="33">
        <f t="shared" si="4"/>
        <v>1</v>
      </c>
      <c r="AB1024" s="34">
        <f>COUNTIFS(Links!B:B,"ICSE",Links!C:C,A1024,Links!AD:AD,1)</f>
        <v>0</v>
      </c>
      <c r="AC1024" s="35" t="s">
        <v>35</v>
      </c>
      <c r="AD1024" s="27" t="str">
        <f t="shared" si="5"/>
        <v>No</v>
      </c>
      <c r="AE1024" s="36" t="s">
        <v>36</v>
      </c>
      <c r="AF1024" s="37" t="s">
        <v>42</v>
      </c>
      <c r="AG1024" s="37" t="s">
        <v>42</v>
      </c>
      <c r="AH1024" s="37" t="s">
        <v>42</v>
      </c>
      <c r="AI1024" s="29" t="str">
        <f t="shared" si="661"/>
        <v>----</v>
      </c>
      <c r="AJ1024" s="38" t="str">
        <f t="shared" si="7"/>
        <v>Paper has link but no statement</v>
      </c>
      <c r="AK1024" s="39">
        <v>44871.0</v>
      </c>
      <c r="AL1024" s="23" t="s">
        <v>43</v>
      </c>
      <c r="AM1024" s="40" t="str">
        <f t="shared" si="8"/>
        <v>[IP0191]</v>
      </c>
    </row>
    <row r="1025" ht="67.5" customHeight="1">
      <c r="A1025" s="41">
        <v>192.0</v>
      </c>
      <c r="B1025" s="42" t="s">
        <v>2774</v>
      </c>
      <c r="C1025" s="43">
        <v>2022.0</v>
      </c>
      <c r="D1025" s="44" t="s">
        <v>35</v>
      </c>
      <c r="E1025" s="45" t="s">
        <v>36</v>
      </c>
      <c r="F1025" s="45" t="s">
        <v>36</v>
      </c>
      <c r="G1025" s="45" t="s">
        <v>36</v>
      </c>
      <c r="H1025" s="45" t="s">
        <v>36</v>
      </c>
      <c r="I1025" s="45" t="s">
        <v>36</v>
      </c>
      <c r="J1025" s="46" t="s">
        <v>36</v>
      </c>
      <c r="K1025" s="83" t="s">
        <v>37</v>
      </c>
      <c r="L1025" s="71" t="s">
        <v>35</v>
      </c>
      <c r="M1025" s="71" t="s">
        <v>35</v>
      </c>
      <c r="N1025" s="71" t="s">
        <v>35</v>
      </c>
      <c r="O1025" s="71" t="s">
        <v>37</v>
      </c>
      <c r="P1025" s="71" t="s">
        <v>37</v>
      </c>
      <c r="Q1025" s="71" t="s">
        <v>35</v>
      </c>
      <c r="R1025" s="71" t="s">
        <v>35</v>
      </c>
      <c r="S1025" s="57" t="s">
        <v>2775</v>
      </c>
      <c r="T1025" s="50" t="s">
        <v>2776</v>
      </c>
      <c r="U1025" s="51" t="s">
        <v>2776</v>
      </c>
      <c r="V1025" s="52">
        <f t="shared" ref="V1025:X1025" si="1031">IF(lenb(SUBSTITUTE($Z1025,V$1&amp;" (1)",""))&lt;lenb($Z1025),1,IF(lenb(SUBSTITUTE($Z1025,V$1&amp;" (2)",""))&lt;lenb($Z1025),2,IF(lenb(SUBSTITUTE($Z1025,V$1&amp;" (3)",""))&lt;lenb($Z1025),3,IF(lenb(SUBSTITUTE($Z1025,V$1&amp;" (4)",""))&lt;lenb($Z1025),4,IF(lenb(SUBSTITUTE($Z1025,V$1&amp;" (5)",""))&lt;lenb($Z1025),5,IF(lenb(SUBSTITUTE($Z1025,V$1&amp;" (6)",""))&lt;lenb($Z1025),6,IF(lenb(SUBSTITUTE($Z1025,V$1&amp;" (7)",""))&lt;lenb($Z1025),1,IF(lenb(SUBSTITUTE($Z1025,V$1&amp;" (8)",""))&lt;lenb($Z1025),8,IF(lenb(SUBSTITUTE($Z1025,V$1&amp;" (9)",""))&lt;lenb($Z1025),9,IF(lenb(SUBSTITUTE($Z1025,V$1&amp;" (10)",""))&lt;lenb($Z1025),10,IF(lenb(SUBSTITUTE($Z1025,V$1,""))&lt;lenb($Z1025),"ERROR",IF($Z1025=$Y$1,"-",0))))))))))))</f>
        <v>1</v>
      </c>
      <c r="W1025" s="52">
        <f t="shared" si="1031"/>
        <v>0</v>
      </c>
      <c r="X1025" s="52">
        <f t="shared" si="1031"/>
        <v>0</v>
      </c>
      <c r="Y1025" s="52" t="str">
        <f t="shared" si="3"/>
        <v>-</v>
      </c>
      <c r="Z1025" s="52" t="s">
        <v>62</v>
      </c>
      <c r="AA1025" s="53">
        <f t="shared" si="4"/>
        <v>1</v>
      </c>
      <c r="AB1025" s="54">
        <f>COUNTIFS(Links!B:B,"ICSE",Links!C:C,A1025,Links!AD:AD,1)</f>
        <v>0</v>
      </c>
      <c r="AC1025" s="55" t="s">
        <v>35</v>
      </c>
      <c r="AD1025" s="47" t="str">
        <f t="shared" si="5"/>
        <v>No</v>
      </c>
      <c r="AE1025" s="56" t="s">
        <v>36</v>
      </c>
      <c r="AF1025" s="57" t="s">
        <v>42</v>
      </c>
      <c r="AG1025" s="57" t="s">
        <v>42</v>
      </c>
      <c r="AH1025" s="57" t="s">
        <v>42</v>
      </c>
      <c r="AI1025" s="49" t="str">
        <f t="shared" si="661"/>
        <v>----</v>
      </c>
      <c r="AJ1025" s="58" t="str">
        <f t="shared" si="7"/>
        <v>Paper has link but no statement</v>
      </c>
      <c r="AK1025" s="59">
        <v>44871.0</v>
      </c>
      <c r="AL1025" s="43" t="s">
        <v>43</v>
      </c>
      <c r="AM1025" s="60" t="str">
        <f t="shared" si="8"/>
        <v>[IP0192]</v>
      </c>
    </row>
    <row r="1026" ht="67.5" customHeight="1">
      <c r="A1026" s="61">
        <v>193.0</v>
      </c>
      <c r="B1026" s="22" t="s">
        <v>2777</v>
      </c>
      <c r="C1026" s="23">
        <v>2022.0</v>
      </c>
      <c r="D1026" s="24" t="s">
        <v>35</v>
      </c>
      <c r="E1026" s="25" t="s">
        <v>36</v>
      </c>
      <c r="F1026" s="25" t="s">
        <v>36</v>
      </c>
      <c r="G1026" s="25" t="s">
        <v>36</v>
      </c>
      <c r="H1026" s="25" t="s">
        <v>36</v>
      </c>
      <c r="I1026" s="25" t="s">
        <v>36</v>
      </c>
      <c r="J1026" s="26" t="s">
        <v>36</v>
      </c>
      <c r="K1026" s="82" t="s">
        <v>37</v>
      </c>
      <c r="L1026" s="70" t="s">
        <v>35</v>
      </c>
      <c r="M1026" s="70" t="s">
        <v>37</v>
      </c>
      <c r="N1026" s="70" t="s">
        <v>35</v>
      </c>
      <c r="O1026" s="70" t="s">
        <v>35</v>
      </c>
      <c r="P1026" s="70" t="s">
        <v>35</v>
      </c>
      <c r="Q1026" s="70" t="s">
        <v>35</v>
      </c>
      <c r="R1026" s="70" t="s">
        <v>37</v>
      </c>
      <c r="S1026" s="37" t="s">
        <v>2778</v>
      </c>
      <c r="T1026" s="30" t="s">
        <v>2779</v>
      </c>
      <c r="U1026" s="31" t="s">
        <v>2779</v>
      </c>
      <c r="V1026" s="32">
        <f t="shared" ref="V1026:X1026" si="1032">IF(lenb(SUBSTITUTE($Z1026,V$1&amp;" (1)",""))&lt;lenb($Z1026),1,IF(lenb(SUBSTITUTE($Z1026,V$1&amp;" (2)",""))&lt;lenb($Z1026),2,IF(lenb(SUBSTITUTE($Z1026,V$1&amp;" (3)",""))&lt;lenb($Z1026),3,IF(lenb(SUBSTITUTE($Z1026,V$1&amp;" (4)",""))&lt;lenb($Z1026),4,IF(lenb(SUBSTITUTE($Z1026,V$1&amp;" (5)",""))&lt;lenb($Z1026),5,IF(lenb(SUBSTITUTE($Z1026,V$1&amp;" (6)",""))&lt;lenb($Z1026),6,IF(lenb(SUBSTITUTE($Z1026,V$1&amp;" (7)",""))&lt;lenb($Z1026),1,IF(lenb(SUBSTITUTE($Z1026,V$1&amp;" (8)",""))&lt;lenb($Z1026),8,IF(lenb(SUBSTITUTE($Z1026,V$1&amp;" (9)",""))&lt;lenb($Z1026),9,IF(lenb(SUBSTITUTE($Z1026,V$1&amp;" (10)",""))&lt;lenb($Z1026),10,IF(lenb(SUBSTITUTE($Z1026,V$1,""))&lt;lenb($Z1026),"ERROR",IF($Z1026=$Y$1,"-",0))))))))))))</f>
        <v>1</v>
      </c>
      <c r="W1026" s="32">
        <f t="shared" si="1032"/>
        <v>0</v>
      </c>
      <c r="X1026" s="32">
        <f t="shared" si="1032"/>
        <v>0</v>
      </c>
      <c r="Y1026" s="32" t="str">
        <f t="shared" si="3"/>
        <v>-</v>
      </c>
      <c r="Z1026" s="32" t="s">
        <v>62</v>
      </c>
      <c r="AA1026" s="33">
        <f t="shared" si="4"/>
        <v>1</v>
      </c>
      <c r="AB1026" s="34">
        <f>COUNTIFS(Links!B:B,"ICSE",Links!C:C,A1026,Links!AD:AD,1)</f>
        <v>0</v>
      </c>
      <c r="AC1026" s="35" t="s">
        <v>37</v>
      </c>
      <c r="AD1026" s="27" t="str">
        <f t="shared" si="5"/>
        <v>No</v>
      </c>
      <c r="AE1026" s="36" t="s">
        <v>36</v>
      </c>
      <c r="AF1026" s="37" t="s">
        <v>42</v>
      </c>
      <c r="AG1026" s="37" t="s">
        <v>42</v>
      </c>
      <c r="AH1026" s="37" t="s">
        <v>42</v>
      </c>
      <c r="AI1026" s="29" t="str">
        <f t="shared" si="661"/>
        <v>----</v>
      </c>
      <c r="AJ1026" s="38" t="str">
        <f t="shared" si="7"/>
        <v>Paper has link but no statement</v>
      </c>
      <c r="AK1026" s="39">
        <v>44871.0</v>
      </c>
      <c r="AL1026" s="23" t="s">
        <v>43</v>
      </c>
      <c r="AM1026" s="40" t="str">
        <f t="shared" si="8"/>
        <v>[IP0193]</v>
      </c>
    </row>
    <row r="1027" ht="67.5" customHeight="1">
      <c r="A1027" s="41">
        <v>194.0</v>
      </c>
      <c r="B1027" s="42" t="s">
        <v>2780</v>
      </c>
      <c r="C1027" s="43">
        <v>2022.0</v>
      </c>
      <c r="D1027" s="44" t="s">
        <v>35</v>
      </c>
      <c r="E1027" s="45" t="s">
        <v>36</v>
      </c>
      <c r="F1027" s="45" t="s">
        <v>36</v>
      </c>
      <c r="G1027" s="45" t="s">
        <v>36</v>
      </c>
      <c r="H1027" s="45" t="s">
        <v>36</v>
      </c>
      <c r="I1027" s="45" t="s">
        <v>36</v>
      </c>
      <c r="J1027" s="46" t="s">
        <v>36</v>
      </c>
      <c r="K1027" s="83" t="s">
        <v>37</v>
      </c>
      <c r="L1027" s="71" t="s">
        <v>35</v>
      </c>
      <c r="M1027" s="71" t="s">
        <v>35</v>
      </c>
      <c r="N1027" s="71" t="s">
        <v>35</v>
      </c>
      <c r="O1027" s="71" t="s">
        <v>35</v>
      </c>
      <c r="P1027" s="71" t="s">
        <v>35</v>
      </c>
      <c r="Q1027" s="71" t="s">
        <v>37</v>
      </c>
      <c r="R1027" s="71" t="s">
        <v>35</v>
      </c>
      <c r="S1027" s="57" t="s">
        <v>2271</v>
      </c>
      <c r="T1027" s="50" t="s">
        <v>2781</v>
      </c>
      <c r="U1027" s="51" t="s">
        <v>2781</v>
      </c>
      <c r="V1027" s="52">
        <f t="shared" ref="V1027:X1027" si="1033">IF(lenb(SUBSTITUTE($Z1027,V$1&amp;" (1)",""))&lt;lenb($Z1027),1,IF(lenb(SUBSTITUTE($Z1027,V$1&amp;" (2)",""))&lt;lenb($Z1027),2,IF(lenb(SUBSTITUTE($Z1027,V$1&amp;" (3)",""))&lt;lenb($Z1027),3,IF(lenb(SUBSTITUTE($Z1027,V$1&amp;" (4)",""))&lt;lenb($Z1027),4,IF(lenb(SUBSTITUTE($Z1027,V$1&amp;" (5)",""))&lt;lenb($Z1027),5,IF(lenb(SUBSTITUTE($Z1027,V$1&amp;" (6)",""))&lt;lenb($Z1027),6,IF(lenb(SUBSTITUTE($Z1027,V$1&amp;" (7)",""))&lt;lenb($Z1027),1,IF(lenb(SUBSTITUTE($Z1027,V$1&amp;" (8)",""))&lt;lenb($Z1027),8,IF(lenb(SUBSTITUTE($Z1027,V$1&amp;" (9)",""))&lt;lenb($Z1027),9,IF(lenb(SUBSTITUTE($Z1027,V$1&amp;" (10)",""))&lt;lenb($Z1027),10,IF(lenb(SUBSTITUTE($Z1027,V$1,""))&lt;lenb($Z1027),"ERROR",IF($Z1027=$Y$1,"-",0))))))))))))</f>
        <v>1</v>
      </c>
      <c r="W1027" s="52">
        <f t="shared" si="1033"/>
        <v>0</v>
      </c>
      <c r="X1027" s="52">
        <f t="shared" si="1033"/>
        <v>0</v>
      </c>
      <c r="Y1027" s="52" t="str">
        <f t="shared" si="3"/>
        <v>-</v>
      </c>
      <c r="Z1027" s="52" t="s">
        <v>62</v>
      </c>
      <c r="AA1027" s="53">
        <f t="shared" si="4"/>
        <v>1</v>
      </c>
      <c r="AB1027" s="54">
        <f>COUNTIFS(Links!B:B,"ICSE",Links!C:C,A1027,Links!AD:AD,1)</f>
        <v>0</v>
      </c>
      <c r="AC1027" s="55" t="s">
        <v>37</v>
      </c>
      <c r="AD1027" s="47" t="str">
        <f t="shared" si="5"/>
        <v>Yes</v>
      </c>
      <c r="AE1027" s="56" t="s">
        <v>2782</v>
      </c>
      <c r="AF1027" s="56" t="s">
        <v>281</v>
      </c>
      <c r="AG1027" s="57" t="s">
        <v>42</v>
      </c>
      <c r="AH1027" s="57" t="s">
        <v>42</v>
      </c>
      <c r="AI1027" s="49" t="str">
        <f t="shared" si="661"/>
        <v>Barriers (Confidentiality and privacy)</v>
      </c>
      <c r="AJ1027" s="58" t="str">
        <f t="shared" si="7"/>
        <v>Paper has link and statement</v>
      </c>
      <c r="AK1027" s="59">
        <v>44871.0</v>
      </c>
      <c r="AL1027" s="43" t="s">
        <v>43</v>
      </c>
      <c r="AM1027" s="60" t="str">
        <f t="shared" si="8"/>
        <v>[IP0194]</v>
      </c>
    </row>
    <row r="1028" ht="67.5" customHeight="1">
      <c r="A1028" s="61">
        <v>195.0</v>
      </c>
      <c r="B1028" s="22" t="s">
        <v>2783</v>
      </c>
      <c r="C1028" s="23">
        <v>2022.0</v>
      </c>
      <c r="D1028" s="24" t="s">
        <v>35</v>
      </c>
      <c r="E1028" s="25" t="s">
        <v>36</v>
      </c>
      <c r="F1028" s="25" t="s">
        <v>36</v>
      </c>
      <c r="G1028" s="25" t="s">
        <v>36</v>
      </c>
      <c r="H1028" s="25" t="s">
        <v>36</v>
      </c>
      <c r="I1028" s="25" t="s">
        <v>36</v>
      </c>
      <c r="J1028" s="26" t="s">
        <v>36</v>
      </c>
      <c r="K1028" s="82" t="s">
        <v>37</v>
      </c>
      <c r="L1028" s="70" t="s">
        <v>35</v>
      </c>
      <c r="M1028" s="70" t="s">
        <v>35</v>
      </c>
      <c r="N1028" s="70" t="s">
        <v>37</v>
      </c>
      <c r="O1028" s="70" t="s">
        <v>35</v>
      </c>
      <c r="P1028" s="70" t="s">
        <v>35</v>
      </c>
      <c r="Q1028" s="70" t="s">
        <v>35</v>
      </c>
      <c r="R1028" s="70" t="s">
        <v>35</v>
      </c>
      <c r="S1028" s="37" t="s">
        <v>944</v>
      </c>
      <c r="T1028" s="30" t="s">
        <v>2784</v>
      </c>
      <c r="U1028" s="31" t="s">
        <v>2784</v>
      </c>
      <c r="V1028" s="32">
        <f t="shared" ref="V1028:X1028" si="1034">IF(lenb(SUBSTITUTE($Z1028,V$1&amp;" (1)",""))&lt;lenb($Z1028),1,IF(lenb(SUBSTITUTE($Z1028,V$1&amp;" (2)",""))&lt;lenb($Z1028),2,IF(lenb(SUBSTITUTE($Z1028,V$1&amp;" (3)",""))&lt;lenb($Z1028),3,IF(lenb(SUBSTITUTE($Z1028,V$1&amp;" (4)",""))&lt;lenb($Z1028),4,IF(lenb(SUBSTITUTE($Z1028,V$1&amp;" (5)",""))&lt;lenb($Z1028),5,IF(lenb(SUBSTITUTE($Z1028,V$1&amp;" (6)",""))&lt;lenb($Z1028),6,IF(lenb(SUBSTITUTE($Z1028,V$1&amp;" (7)",""))&lt;lenb($Z1028),1,IF(lenb(SUBSTITUTE($Z1028,V$1&amp;" (8)",""))&lt;lenb($Z1028),8,IF(lenb(SUBSTITUTE($Z1028,V$1&amp;" (9)",""))&lt;lenb($Z1028),9,IF(lenb(SUBSTITUTE($Z1028,V$1&amp;" (10)",""))&lt;lenb($Z1028),10,IF(lenb(SUBSTITUTE($Z1028,V$1,""))&lt;lenb($Z1028),"ERROR",IF($Z1028=$Y$1,"-",0))))))))))))</f>
        <v>1</v>
      </c>
      <c r="W1028" s="32">
        <f t="shared" si="1034"/>
        <v>0</v>
      </c>
      <c r="X1028" s="32">
        <f t="shared" si="1034"/>
        <v>0</v>
      </c>
      <c r="Y1028" s="32" t="str">
        <f t="shared" si="3"/>
        <v>-</v>
      </c>
      <c r="Z1028" s="32" t="s">
        <v>62</v>
      </c>
      <c r="AA1028" s="33">
        <f t="shared" si="4"/>
        <v>1</v>
      </c>
      <c r="AB1028" s="34">
        <f>COUNTIFS(Links!B:B,"ICSE",Links!C:C,A1028,Links!AD:AD,1)</f>
        <v>0</v>
      </c>
      <c r="AC1028" s="35" t="s">
        <v>37</v>
      </c>
      <c r="AD1028" s="27" t="str">
        <f t="shared" si="5"/>
        <v>No</v>
      </c>
      <c r="AE1028" s="36" t="s">
        <v>36</v>
      </c>
      <c r="AF1028" s="37" t="s">
        <v>42</v>
      </c>
      <c r="AG1028" s="37" t="s">
        <v>42</v>
      </c>
      <c r="AH1028" s="37" t="s">
        <v>42</v>
      </c>
      <c r="AI1028" s="29" t="str">
        <f t="shared" si="661"/>
        <v>----</v>
      </c>
      <c r="AJ1028" s="38" t="str">
        <f t="shared" si="7"/>
        <v>Paper has link but no statement</v>
      </c>
      <c r="AK1028" s="39">
        <v>44871.0</v>
      </c>
      <c r="AL1028" s="23" t="s">
        <v>43</v>
      </c>
      <c r="AM1028" s="40" t="str">
        <f t="shared" si="8"/>
        <v>[IP0195]</v>
      </c>
    </row>
    <row r="1029" ht="67.5" customHeight="1">
      <c r="A1029" s="41">
        <v>196.0</v>
      </c>
      <c r="B1029" s="42" t="s">
        <v>2785</v>
      </c>
      <c r="C1029" s="43">
        <v>2022.0</v>
      </c>
      <c r="D1029" s="44" t="s">
        <v>35</v>
      </c>
      <c r="E1029" s="45" t="s">
        <v>36</v>
      </c>
      <c r="F1029" s="45" t="s">
        <v>36</v>
      </c>
      <c r="G1029" s="45" t="s">
        <v>36</v>
      </c>
      <c r="H1029" s="45" t="s">
        <v>36</v>
      </c>
      <c r="I1029" s="45" t="s">
        <v>36</v>
      </c>
      <c r="J1029" s="46" t="s">
        <v>36</v>
      </c>
      <c r="K1029" s="83" t="s">
        <v>37</v>
      </c>
      <c r="L1029" s="71" t="s">
        <v>37</v>
      </c>
      <c r="M1029" s="71" t="s">
        <v>35</v>
      </c>
      <c r="N1029" s="71" t="s">
        <v>37</v>
      </c>
      <c r="O1029" s="71" t="s">
        <v>37</v>
      </c>
      <c r="P1029" s="71" t="s">
        <v>35</v>
      </c>
      <c r="Q1029" s="71" t="s">
        <v>35</v>
      </c>
      <c r="R1029" s="71" t="s">
        <v>37</v>
      </c>
      <c r="S1029" s="57" t="s">
        <v>2786</v>
      </c>
      <c r="T1029" s="50" t="s">
        <v>2787</v>
      </c>
      <c r="U1029" s="51" t="s">
        <v>2787</v>
      </c>
      <c r="V1029" s="52">
        <f t="shared" ref="V1029:X1029" si="1035">IF(lenb(SUBSTITUTE($Z1029,V$1&amp;" (1)",""))&lt;lenb($Z1029),1,IF(lenb(SUBSTITUTE($Z1029,V$1&amp;" (2)",""))&lt;lenb($Z1029),2,IF(lenb(SUBSTITUTE($Z1029,V$1&amp;" (3)",""))&lt;lenb($Z1029),3,IF(lenb(SUBSTITUTE($Z1029,V$1&amp;" (4)",""))&lt;lenb($Z1029),4,IF(lenb(SUBSTITUTE($Z1029,V$1&amp;" (5)",""))&lt;lenb($Z1029),5,IF(lenb(SUBSTITUTE($Z1029,V$1&amp;" (6)",""))&lt;lenb($Z1029),6,IF(lenb(SUBSTITUTE($Z1029,V$1&amp;" (7)",""))&lt;lenb($Z1029),1,IF(lenb(SUBSTITUTE($Z1029,V$1&amp;" (8)",""))&lt;lenb($Z1029),8,IF(lenb(SUBSTITUTE($Z1029,V$1&amp;" (9)",""))&lt;lenb($Z1029),9,IF(lenb(SUBSTITUTE($Z1029,V$1&amp;" (10)",""))&lt;lenb($Z1029),10,IF(lenb(SUBSTITUTE($Z1029,V$1,""))&lt;lenb($Z1029),"ERROR",IF($Z1029=$Y$1,"-",0))))))))))))</f>
        <v>1</v>
      </c>
      <c r="W1029" s="52">
        <f t="shared" si="1035"/>
        <v>0</v>
      </c>
      <c r="X1029" s="52">
        <f t="shared" si="1035"/>
        <v>0</v>
      </c>
      <c r="Y1029" s="52" t="str">
        <f t="shared" si="3"/>
        <v>-</v>
      </c>
      <c r="Z1029" s="52" t="s">
        <v>62</v>
      </c>
      <c r="AA1029" s="53">
        <f t="shared" si="4"/>
        <v>1</v>
      </c>
      <c r="AB1029" s="54">
        <f>COUNTIFS(Links!B:B,"ICSE",Links!C:C,A1029,Links!AD:AD,1)</f>
        <v>0</v>
      </c>
      <c r="AC1029" s="55" t="s">
        <v>35</v>
      </c>
      <c r="AD1029" s="47" t="str">
        <f t="shared" si="5"/>
        <v>No</v>
      </c>
      <c r="AE1029" s="56" t="s">
        <v>36</v>
      </c>
      <c r="AF1029" s="57" t="s">
        <v>42</v>
      </c>
      <c r="AG1029" s="57" t="s">
        <v>42</v>
      </c>
      <c r="AH1029" s="57" t="s">
        <v>42</v>
      </c>
      <c r="AI1029" s="49" t="str">
        <f t="shared" si="661"/>
        <v>----</v>
      </c>
      <c r="AJ1029" s="58" t="str">
        <f t="shared" si="7"/>
        <v>Paper has link but no statement</v>
      </c>
      <c r="AK1029" s="59">
        <v>44871.0</v>
      </c>
      <c r="AL1029" s="43" t="s">
        <v>43</v>
      </c>
      <c r="AM1029" s="60" t="str">
        <f t="shared" si="8"/>
        <v>[IP0196]</v>
      </c>
    </row>
    <row r="1030" ht="67.5" customHeight="1">
      <c r="A1030" s="61">
        <v>197.0</v>
      </c>
      <c r="B1030" s="22" t="s">
        <v>2788</v>
      </c>
      <c r="C1030" s="23">
        <v>2022.0</v>
      </c>
      <c r="D1030" s="24" t="s">
        <v>37</v>
      </c>
      <c r="E1030" s="25" t="s">
        <v>37</v>
      </c>
      <c r="F1030" s="25" t="s">
        <v>35</v>
      </c>
      <c r="G1030" s="25" t="s">
        <v>37</v>
      </c>
      <c r="H1030" s="25" t="s">
        <v>35</v>
      </c>
      <c r="I1030" s="25" t="s">
        <v>35</v>
      </c>
      <c r="J1030" s="26" t="s">
        <v>36</v>
      </c>
      <c r="K1030" s="82" t="s">
        <v>37</v>
      </c>
      <c r="L1030" s="70" t="s">
        <v>35</v>
      </c>
      <c r="M1030" s="70" t="s">
        <v>37</v>
      </c>
      <c r="N1030" s="70" t="s">
        <v>37</v>
      </c>
      <c r="O1030" s="70" t="s">
        <v>35</v>
      </c>
      <c r="P1030" s="70" t="s">
        <v>35</v>
      </c>
      <c r="Q1030" s="70" t="s">
        <v>35</v>
      </c>
      <c r="R1030" s="70" t="s">
        <v>37</v>
      </c>
      <c r="S1030" s="37" t="s">
        <v>2789</v>
      </c>
      <c r="T1030" s="30" t="s">
        <v>2790</v>
      </c>
      <c r="U1030" s="31" t="s">
        <v>2790</v>
      </c>
      <c r="V1030" s="32">
        <f t="shared" ref="V1030:X1030" si="1036">IF(lenb(SUBSTITUTE($Z1030,V$1&amp;" (1)",""))&lt;lenb($Z1030),1,IF(lenb(SUBSTITUTE($Z1030,V$1&amp;" (2)",""))&lt;lenb($Z1030),2,IF(lenb(SUBSTITUTE($Z1030,V$1&amp;" (3)",""))&lt;lenb($Z1030),3,IF(lenb(SUBSTITUTE($Z1030,V$1&amp;" (4)",""))&lt;lenb($Z1030),4,IF(lenb(SUBSTITUTE($Z1030,V$1&amp;" (5)",""))&lt;lenb($Z1030),5,IF(lenb(SUBSTITUTE($Z1030,V$1&amp;" (6)",""))&lt;lenb($Z1030),6,IF(lenb(SUBSTITUTE($Z1030,V$1&amp;" (7)",""))&lt;lenb($Z1030),1,IF(lenb(SUBSTITUTE($Z1030,V$1&amp;" (8)",""))&lt;lenb($Z1030),8,IF(lenb(SUBSTITUTE($Z1030,V$1&amp;" (9)",""))&lt;lenb($Z1030),9,IF(lenb(SUBSTITUTE($Z1030,V$1&amp;" (10)",""))&lt;lenb($Z1030),10,IF(lenb(SUBSTITUTE($Z1030,V$1,""))&lt;lenb($Z1030),"ERROR",IF($Z1030=$Y$1,"-",0))))))))))))</f>
        <v>1</v>
      </c>
      <c r="W1030" s="32">
        <f t="shared" si="1036"/>
        <v>0</v>
      </c>
      <c r="X1030" s="32">
        <f t="shared" si="1036"/>
        <v>0</v>
      </c>
      <c r="Y1030" s="32" t="str">
        <f t="shared" si="3"/>
        <v>-</v>
      </c>
      <c r="Z1030" s="32" t="s">
        <v>62</v>
      </c>
      <c r="AA1030" s="33">
        <f t="shared" si="4"/>
        <v>1</v>
      </c>
      <c r="AB1030" s="34">
        <f>COUNTIFS(Links!B:B,"ICSE",Links!C:C,A1030,Links!AD:AD,1)</f>
        <v>0</v>
      </c>
      <c r="AC1030" s="35" t="s">
        <v>35</v>
      </c>
      <c r="AD1030" s="27" t="str">
        <f t="shared" si="5"/>
        <v>No</v>
      </c>
      <c r="AE1030" s="36" t="s">
        <v>36</v>
      </c>
      <c r="AF1030" s="37" t="s">
        <v>42</v>
      </c>
      <c r="AG1030" s="37" t="s">
        <v>42</v>
      </c>
      <c r="AH1030" s="37" t="s">
        <v>42</v>
      </c>
      <c r="AI1030" s="29" t="str">
        <f t="shared" si="661"/>
        <v>----</v>
      </c>
      <c r="AJ1030" s="38" t="str">
        <f t="shared" si="7"/>
        <v>Paper has link but no statement</v>
      </c>
      <c r="AK1030" s="39">
        <v>44871.0</v>
      </c>
      <c r="AL1030" s="23" t="s">
        <v>43</v>
      </c>
      <c r="AM1030" s="40" t="str">
        <f t="shared" si="8"/>
        <v>[IP0197]</v>
      </c>
    </row>
    <row r="1031" ht="67.5" customHeight="1">
      <c r="A1031" s="41">
        <v>2025.0</v>
      </c>
      <c r="B1031" s="42" t="s">
        <v>2791</v>
      </c>
      <c r="C1031" s="43">
        <v>2023.0</v>
      </c>
      <c r="D1031" s="44" t="s">
        <v>35</v>
      </c>
      <c r="E1031" s="45" t="s">
        <v>36</v>
      </c>
      <c r="F1031" s="45" t="s">
        <v>36</v>
      </c>
      <c r="G1031" s="45" t="s">
        <v>36</v>
      </c>
      <c r="H1031" s="45" t="s">
        <v>36</v>
      </c>
      <c r="I1031" s="45" t="s">
        <v>36</v>
      </c>
      <c r="J1031" s="46" t="s">
        <v>36</v>
      </c>
      <c r="K1031" s="47" t="s">
        <v>37</v>
      </c>
      <c r="L1031" s="48" t="s">
        <v>35</v>
      </c>
      <c r="M1031" s="48" t="s">
        <v>35</v>
      </c>
      <c r="N1031" s="48" t="s">
        <v>35</v>
      </c>
      <c r="O1031" s="48" t="s">
        <v>37</v>
      </c>
      <c r="P1031" s="48" t="s">
        <v>35</v>
      </c>
      <c r="Q1031" s="48" t="s">
        <v>35</v>
      </c>
      <c r="R1031" s="48" t="s">
        <v>35</v>
      </c>
      <c r="S1031" s="49" t="s">
        <v>2792</v>
      </c>
      <c r="T1031" s="50" t="s">
        <v>2793</v>
      </c>
      <c r="U1031" s="51" t="s">
        <v>2793</v>
      </c>
      <c r="V1031" s="52">
        <f t="shared" ref="V1031:X1031" si="1037">IF(lenb(SUBSTITUTE($Z1031,V$1&amp;" (1)",""))&lt;lenb($Z1031),1,IF(lenb(SUBSTITUTE($Z1031,V$1&amp;" (2)",""))&lt;lenb($Z1031),2,IF(lenb(SUBSTITUTE($Z1031,V$1&amp;" (3)",""))&lt;lenb($Z1031),3,IF(lenb(SUBSTITUTE($Z1031,V$1&amp;" (4)",""))&lt;lenb($Z1031),4,IF(lenb(SUBSTITUTE($Z1031,V$1&amp;" (5)",""))&lt;lenb($Z1031),5,IF(lenb(SUBSTITUTE($Z1031,V$1&amp;" (6)",""))&lt;lenb($Z1031),6,IF(lenb(SUBSTITUTE($Z1031,V$1&amp;" (7)",""))&lt;lenb($Z1031),1,IF(lenb(SUBSTITUTE($Z1031,V$1&amp;" (8)",""))&lt;lenb($Z1031),8,IF(lenb(SUBSTITUTE($Z1031,V$1&amp;" (9)",""))&lt;lenb($Z1031),9,IF(lenb(SUBSTITUTE($Z1031,V$1&amp;" (10)",""))&lt;lenb($Z1031),10,IF(lenb(SUBSTITUTE($Z1031,V$1,""))&lt;lenb($Z1031),"ERROR",IF($Z1031=$Y$1,"-",0))))))))))))</f>
        <v>1</v>
      </c>
      <c r="W1031" s="52">
        <f t="shared" si="1037"/>
        <v>0</v>
      </c>
      <c r="X1031" s="52">
        <f t="shared" si="1037"/>
        <v>0</v>
      </c>
      <c r="Y1031" s="52" t="str">
        <f t="shared" si="3"/>
        <v>-</v>
      </c>
      <c r="Z1031" s="52" t="s">
        <v>62</v>
      </c>
      <c r="AA1031" s="53">
        <f t="shared" si="4"/>
        <v>1</v>
      </c>
      <c r="AB1031" s="54">
        <f>COUNTIFS(Links!B:B,"ICSE",Links!C:C,A1031,Links!AD:AD,1)</f>
        <v>0</v>
      </c>
      <c r="AC1031" s="55" t="s">
        <v>35</v>
      </c>
      <c r="AD1031" s="47" t="str">
        <f t="shared" si="5"/>
        <v>No</v>
      </c>
      <c r="AE1031" s="56" t="s">
        <v>36</v>
      </c>
      <c r="AF1031" s="57" t="s">
        <v>42</v>
      </c>
      <c r="AG1031" s="57" t="s">
        <v>42</v>
      </c>
      <c r="AH1031" s="57" t="s">
        <v>42</v>
      </c>
      <c r="AI1031" s="49" t="str">
        <f t="shared" si="661"/>
        <v>----</v>
      </c>
      <c r="AJ1031" s="58" t="str">
        <f t="shared" si="7"/>
        <v>Paper has link but no statement</v>
      </c>
      <c r="AK1031" s="59">
        <v>45070.0</v>
      </c>
      <c r="AL1031" s="43" t="s">
        <v>43</v>
      </c>
      <c r="AM1031" s="60" t="str">
        <f t="shared" si="8"/>
        <v>[IP2025]</v>
      </c>
    </row>
    <row r="1032" ht="67.5" customHeight="1">
      <c r="A1032" s="61">
        <v>2026.0</v>
      </c>
      <c r="B1032" s="22" t="s">
        <v>2794</v>
      </c>
      <c r="C1032" s="23">
        <v>2023.0</v>
      </c>
      <c r="D1032" s="24" t="s">
        <v>35</v>
      </c>
      <c r="E1032" s="25" t="s">
        <v>36</v>
      </c>
      <c r="F1032" s="25" t="s">
        <v>36</v>
      </c>
      <c r="G1032" s="25" t="s">
        <v>36</v>
      </c>
      <c r="H1032" s="25" t="s">
        <v>36</v>
      </c>
      <c r="I1032" s="25" t="s">
        <v>36</v>
      </c>
      <c r="J1032" s="26" t="s">
        <v>36</v>
      </c>
      <c r="K1032" s="27" t="s">
        <v>37</v>
      </c>
      <c r="L1032" s="28" t="s">
        <v>37</v>
      </c>
      <c r="M1032" s="28" t="s">
        <v>35</v>
      </c>
      <c r="N1032" s="28" t="s">
        <v>37</v>
      </c>
      <c r="O1032" s="28" t="s">
        <v>35</v>
      </c>
      <c r="P1032" s="28" t="s">
        <v>35</v>
      </c>
      <c r="Q1032" s="28" t="s">
        <v>35</v>
      </c>
      <c r="R1032" s="28" t="s">
        <v>35</v>
      </c>
      <c r="S1032" s="29" t="s">
        <v>340</v>
      </c>
      <c r="T1032" s="30" t="s">
        <v>2795</v>
      </c>
      <c r="U1032" s="31" t="s">
        <v>2795</v>
      </c>
      <c r="V1032" s="32">
        <f t="shared" ref="V1032:X1032" si="1038">IF(lenb(SUBSTITUTE($Z1032,V$1&amp;" (1)",""))&lt;lenb($Z1032),1,IF(lenb(SUBSTITUTE($Z1032,V$1&amp;" (2)",""))&lt;lenb($Z1032),2,IF(lenb(SUBSTITUTE($Z1032,V$1&amp;" (3)",""))&lt;lenb($Z1032),3,IF(lenb(SUBSTITUTE($Z1032,V$1&amp;" (4)",""))&lt;lenb($Z1032),4,IF(lenb(SUBSTITUTE($Z1032,V$1&amp;" (5)",""))&lt;lenb($Z1032),5,IF(lenb(SUBSTITUTE($Z1032,V$1&amp;" (6)",""))&lt;lenb($Z1032),6,IF(lenb(SUBSTITUTE($Z1032,V$1&amp;" (7)",""))&lt;lenb($Z1032),1,IF(lenb(SUBSTITUTE($Z1032,V$1&amp;" (8)",""))&lt;lenb($Z1032),8,IF(lenb(SUBSTITUTE($Z1032,V$1&amp;" (9)",""))&lt;lenb($Z1032),9,IF(lenb(SUBSTITUTE($Z1032,V$1&amp;" (10)",""))&lt;lenb($Z1032),10,IF(lenb(SUBSTITUTE($Z1032,V$1,""))&lt;lenb($Z1032),"ERROR",IF($Z1032=$Y$1,"-",0))))))))))))</f>
        <v>1</v>
      </c>
      <c r="W1032" s="32">
        <f t="shared" si="1038"/>
        <v>0</v>
      </c>
      <c r="X1032" s="32">
        <f t="shared" si="1038"/>
        <v>0</v>
      </c>
      <c r="Y1032" s="32" t="str">
        <f t="shared" si="3"/>
        <v>-</v>
      </c>
      <c r="Z1032" s="32" t="s">
        <v>62</v>
      </c>
      <c r="AA1032" s="33">
        <f t="shared" si="4"/>
        <v>1</v>
      </c>
      <c r="AB1032" s="34">
        <f>COUNTIFS(Links!B:B,"ICSE",Links!C:C,A1032,Links!AD:AD,1)</f>
        <v>0</v>
      </c>
      <c r="AC1032" s="35" t="s">
        <v>35</v>
      </c>
      <c r="AD1032" s="27" t="str">
        <f t="shared" si="5"/>
        <v>No</v>
      </c>
      <c r="AE1032" s="36" t="s">
        <v>36</v>
      </c>
      <c r="AF1032" s="37" t="s">
        <v>42</v>
      </c>
      <c r="AG1032" s="37" t="s">
        <v>42</v>
      </c>
      <c r="AH1032" s="37" t="s">
        <v>42</v>
      </c>
      <c r="AI1032" s="29" t="str">
        <f t="shared" si="661"/>
        <v>----</v>
      </c>
      <c r="AJ1032" s="38" t="str">
        <f t="shared" si="7"/>
        <v>Paper has link but no statement</v>
      </c>
      <c r="AK1032" s="39">
        <v>45070.0</v>
      </c>
      <c r="AL1032" s="23" t="s">
        <v>43</v>
      </c>
      <c r="AM1032" s="40" t="str">
        <f t="shared" si="8"/>
        <v>[IP2026]</v>
      </c>
    </row>
    <row r="1033" ht="67.5" customHeight="1">
      <c r="A1033" s="41">
        <v>2027.0</v>
      </c>
      <c r="B1033" s="42" t="s">
        <v>2796</v>
      </c>
      <c r="C1033" s="43">
        <v>2023.0</v>
      </c>
      <c r="D1033" s="44" t="s">
        <v>35</v>
      </c>
      <c r="E1033" s="45" t="s">
        <v>36</v>
      </c>
      <c r="F1033" s="45" t="s">
        <v>36</v>
      </c>
      <c r="G1033" s="45" t="s">
        <v>36</v>
      </c>
      <c r="H1033" s="45" t="s">
        <v>36</v>
      </c>
      <c r="I1033" s="45" t="s">
        <v>36</v>
      </c>
      <c r="J1033" s="46" t="s">
        <v>36</v>
      </c>
      <c r="K1033" s="47" t="s">
        <v>37</v>
      </c>
      <c r="L1033" s="48" t="s">
        <v>37</v>
      </c>
      <c r="M1033" s="48" t="s">
        <v>35</v>
      </c>
      <c r="N1033" s="48" t="s">
        <v>35</v>
      </c>
      <c r="O1033" s="48" t="s">
        <v>37</v>
      </c>
      <c r="P1033" s="48" t="s">
        <v>37</v>
      </c>
      <c r="Q1033" s="48" t="s">
        <v>35</v>
      </c>
      <c r="R1033" s="48" t="s">
        <v>37</v>
      </c>
      <c r="S1033" s="49" t="s">
        <v>2797</v>
      </c>
      <c r="T1033" s="50" t="s">
        <v>2798</v>
      </c>
      <c r="U1033" s="51" t="s">
        <v>2798</v>
      </c>
      <c r="V1033" s="52">
        <f t="shared" ref="V1033:X1033" si="1039">IF(lenb(SUBSTITUTE($Z1033,V$1&amp;" (1)",""))&lt;lenb($Z1033),1,IF(lenb(SUBSTITUTE($Z1033,V$1&amp;" (2)",""))&lt;lenb($Z1033),2,IF(lenb(SUBSTITUTE($Z1033,V$1&amp;" (3)",""))&lt;lenb($Z1033),3,IF(lenb(SUBSTITUTE($Z1033,V$1&amp;" (4)",""))&lt;lenb($Z1033),4,IF(lenb(SUBSTITUTE($Z1033,V$1&amp;" (5)",""))&lt;lenb($Z1033),5,IF(lenb(SUBSTITUTE($Z1033,V$1&amp;" (6)",""))&lt;lenb($Z1033),6,IF(lenb(SUBSTITUTE($Z1033,V$1&amp;" (7)",""))&lt;lenb($Z1033),1,IF(lenb(SUBSTITUTE($Z1033,V$1&amp;" (8)",""))&lt;lenb($Z1033),8,IF(lenb(SUBSTITUTE($Z1033,V$1&amp;" (9)",""))&lt;lenb($Z1033),9,IF(lenb(SUBSTITUTE($Z1033,V$1&amp;" (10)",""))&lt;lenb($Z1033),10,IF(lenb(SUBSTITUTE($Z1033,V$1,""))&lt;lenb($Z1033),"ERROR",IF($Z1033=$Y$1,"-",0))))))))))))</f>
        <v>1</v>
      </c>
      <c r="W1033" s="52">
        <f t="shared" si="1039"/>
        <v>0</v>
      </c>
      <c r="X1033" s="52">
        <f t="shared" si="1039"/>
        <v>0</v>
      </c>
      <c r="Y1033" s="52" t="str">
        <f t="shared" si="3"/>
        <v>-</v>
      </c>
      <c r="Z1033" s="52" t="s">
        <v>62</v>
      </c>
      <c r="AA1033" s="53">
        <f t="shared" si="4"/>
        <v>1</v>
      </c>
      <c r="AB1033" s="54">
        <f>COUNTIFS(Links!B:B,"ICSE",Links!C:C,A1033,Links!AD:AD,1)</f>
        <v>0</v>
      </c>
      <c r="AC1033" s="55" t="s">
        <v>35</v>
      </c>
      <c r="AD1033" s="47" t="str">
        <f t="shared" si="5"/>
        <v>No</v>
      </c>
      <c r="AE1033" s="56" t="s">
        <v>36</v>
      </c>
      <c r="AF1033" s="57" t="s">
        <v>42</v>
      </c>
      <c r="AG1033" s="57" t="s">
        <v>42</v>
      </c>
      <c r="AH1033" s="57" t="s">
        <v>42</v>
      </c>
      <c r="AI1033" s="49" t="str">
        <f t="shared" si="661"/>
        <v>----</v>
      </c>
      <c r="AJ1033" s="58" t="str">
        <f t="shared" si="7"/>
        <v>Paper has link but no statement</v>
      </c>
      <c r="AK1033" s="59">
        <v>45070.0</v>
      </c>
      <c r="AL1033" s="43" t="s">
        <v>43</v>
      </c>
      <c r="AM1033" s="60" t="str">
        <f t="shared" si="8"/>
        <v>[IP2027]</v>
      </c>
    </row>
    <row r="1034" ht="67.5" customHeight="1">
      <c r="A1034" s="61">
        <v>2028.0</v>
      </c>
      <c r="B1034" s="22" t="s">
        <v>2799</v>
      </c>
      <c r="C1034" s="23">
        <v>2023.0</v>
      </c>
      <c r="D1034" s="24" t="s">
        <v>37</v>
      </c>
      <c r="E1034" s="25" t="s">
        <v>37</v>
      </c>
      <c r="F1034" s="25" t="s">
        <v>35</v>
      </c>
      <c r="G1034" s="25" t="s">
        <v>37</v>
      </c>
      <c r="H1034" s="25" t="s">
        <v>35</v>
      </c>
      <c r="I1034" s="25" t="s">
        <v>35</v>
      </c>
      <c r="J1034" s="26" t="s">
        <v>36</v>
      </c>
      <c r="K1034" s="27" t="s">
        <v>37</v>
      </c>
      <c r="L1034" s="28" t="s">
        <v>35</v>
      </c>
      <c r="M1034" s="28" t="s">
        <v>35</v>
      </c>
      <c r="N1034" s="28" t="s">
        <v>37</v>
      </c>
      <c r="O1034" s="28" t="s">
        <v>35</v>
      </c>
      <c r="P1034" s="28" t="s">
        <v>35</v>
      </c>
      <c r="Q1034" s="28" t="s">
        <v>35</v>
      </c>
      <c r="R1034" s="28" t="s">
        <v>35</v>
      </c>
      <c r="S1034" s="29" t="s">
        <v>289</v>
      </c>
      <c r="T1034" s="30" t="s">
        <v>2800</v>
      </c>
      <c r="U1034" s="31" t="s">
        <v>2800</v>
      </c>
      <c r="V1034" s="32">
        <f t="shared" ref="V1034:X1034" si="1040">IF(lenb(SUBSTITUTE($Z1034,V$1&amp;" (1)",""))&lt;lenb($Z1034),1,IF(lenb(SUBSTITUTE($Z1034,V$1&amp;" (2)",""))&lt;lenb($Z1034),2,IF(lenb(SUBSTITUTE($Z1034,V$1&amp;" (3)",""))&lt;lenb($Z1034),3,IF(lenb(SUBSTITUTE($Z1034,V$1&amp;" (4)",""))&lt;lenb($Z1034),4,IF(lenb(SUBSTITUTE($Z1034,V$1&amp;" (5)",""))&lt;lenb($Z1034),5,IF(lenb(SUBSTITUTE($Z1034,V$1&amp;" (6)",""))&lt;lenb($Z1034),6,IF(lenb(SUBSTITUTE($Z1034,V$1&amp;" (7)",""))&lt;lenb($Z1034),1,IF(lenb(SUBSTITUTE($Z1034,V$1&amp;" (8)",""))&lt;lenb($Z1034),8,IF(lenb(SUBSTITUTE($Z1034,V$1&amp;" (9)",""))&lt;lenb($Z1034),9,IF(lenb(SUBSTITUTE($Z1034,V$1&amp;" (10)",""))&lt;lenb($Z1034),10,IF(lenb(SUBSTITUTE($Z1034,V$1,""))&lt;lenb($Z1034),"ERROR",IF($Z1034=$Y$1,"-",0))))))))))))</f>
        <v>1</v>
      </c>
      <c r="W1034" s="32">
        <f t="shared" si="1040"/>
        <v>0</v>
      </c>
      <c r="X1034" s="32">
        <f t="shared" si="1040"/>
        <v>0</v>
      </c>
      <c r="Y1034" s="32" t="str">
        <f t="shared" si="3"/>
        <v>-</v>
      </c>
      <c r="Z1034" s="32" t="s">
        <v>62</v>
      </c>
      <c r="AA1034" s="33">
        <f t="shared" si="4"/>
        <v>1</v>
      </c>
      <c r="AB1034" s="34">
        <f>COUNTIFS(Links!B:B,"ICSE",Links!C:C,A1034,Links!AD:AD,1)</f>
        <v>0</v>
      </c>
      <c r="AC1034" s="35" t="s">
        <v>35</v>
      </c>
      <c r="AD1034" s="27" t="str">
        <f t="shared" si="5"/>
        <v>No</v>
      </c>
      <c r="AE1034" s="36" t="s">
        <v>36</v>
      </c>
      <c r="AF1034" s="37" t="s">
        <v>42</v>
      </c>
      <c r="AG1034" s="37" t="s">
        <v>42</v>
      </c>
      <c r="AH1034" s="37" t="s">
        <v>42</v>
      </c>
      <c r="AI1034" s="29" t="str">
        <f t="shared" si="661"/>
        <v>----</v>
      </c>
      <c r="AJ1034" s="38" t="str">
        <f t="shared" si="7"/>
        <v>Paper has link but no statement</v>
      </c>
      <c r="AK1034" s="39">
        <v>45070.0</v>
      </c>
      <c r="AL1034" s="23" t="s">
        <v>43</v>
      </c>
      <c r="AM1034" s="40" t="str">
        <f t="shared" si="8"/>
        <v>[IP2028]</v>
      </c>
    </row>
    <row r="1035" ht="67.5" customHeight="1">
      <c r="A1035" s="41">
        <v>2029.0</v>
      </c>
      <c r="B1035" s="42" t="s">
        <v>2801</v>
      </c>
      <c r="C1035" s="43">
        <v>2023.0</v>
      </c>
      <c r="D1035" s="44" t="s">
        <v>35</v>
      </c>
      <c r="E1035" s="45" t="s">
        <v>36</v>
      </c>
      <c r="F1035" s="45" t="s">
        <v>36</v>
      </c>
      <c r="G1035" s="45" t="s">
        <v>36</v>
      </c>
      <c r="H1035" s="45" t="s">
        <v>36</v>
      </c>
      <c r="I1035" s="45" t="s">
        <v>36</v>
      </c>
      <c r="J1035" s="46" t="s">
        <v>36</v>
      </c>
      <c r="K1035" s="47" t="s">
        <v>37</v>
      </c>
      <c r="L1035" s="48" t="s">
        <v>35</v>
      </c>
      <c r="M1035" s="48" t="s">
        <v>37</v>
      </c>
      <c r="N1035" s="48" t="s">
        <v>37</v>
      </c>
      <c r="O1035" s="48" t="s">
        <v>35</v>
      </c>
      <c r="P1035" s="48" t="s">
        <v>35</v>
      </c>
      <c r="Q1035" s="48" t="s">
        <v>35</v>
      </c>
      <c r="R1035" s="48" t="s">
        <v>37</v>
      </c>
      <c r="S1035" s="49" t="s">
        <v>2802</v>
      </c>
      <c r="T1035" s="50" t="s">
        <v>2803</v>
      </c>
      <c r="U1035" s="51" t="s">
        <v>2804</v>
      </c>
      <c r="V1035" s="52">
        <f t="shared" ref="V1035:X1035" si="1041">IF(lenb(SUBSTITUTE($Z1035,V$1&amp;" (1)",""))&lt;lenb($Z1035),1,IF(lenb(SUBSTITUTE($Z1035,V$1&amp;" (2)",""))&lt;lenb($Z1035),2,IF(lenb(SUBSTITUTE($Z1035,V$1&amp;" (3)",""))&lt;lenb($Z1035),3,IF(lenb(SUBSTITUTE($Z1035,V$1&amp;" (4)",""))&lt;lenb($Z1035),4,IF(lenb(SUBSTITUTE($Z1035,V$1&amp;" (5)",""))&lt;lenb($Z1035),5,IF(lenb(SUBSTITUTE($Z1035,V$1&amp;" (6)",""))&lt;lenb($Z1035),6,IF(lenb(SUBSTITUTE($Z1035,V$1&amp;" (7)",""))&lt;lenb($Z1035),1,IF(lenb(SUBSTITUTE($Z1035,V$1&amp;" (8)",""))&lt;lenb($Z1035),8,IF(lenb(SUBSTITUTE($Z1035,V$1&amp;" (9)",""))&lt;lenb($Z1035),9,IF(lenb(SUBSTITUTE($Z1035,V$1&amp;" (10)",""))&lt;lenb($Z1035),10,IF(lenb(SUBSTITUTE($Z1035,V$1,""))&lt;lenb($Z1035),"ERROR",IF($Z1035=$Y$1,"-",0))))))))))))</f>
        <v>1</v>
      </c>
      <c r="W1035" s="52">
        <f t="shared" si="1041"/>
        <v>0</v>
      </c>
      <c r="X1035" s="52">
        <f t="shared" si="1041"/>
        <v>0</v>
      </c>
      <c r="Y1035" s="52" t="str">
        <f t="shared" si="3"/>
        <v>-</v>
      </c>
      <c r="Z1035" s="52" t="s">
        <v>62</v>
      </c>
      <c r="AA1035" s="53">
        <f t="shared" si="4"/>
        <v>1</v>
      </c>
      <c r="AB1035" s="54">
        <f>COUNTIFS(Links!B:B,"ICSE",Links!C:C,A1035,Links!AD:AD,1)</f>
        <v>0</v>
      </c>
      <c r="AC1035" s="55" t="s">
        <v>35</v>
      </c>
      <c r="AD1035" s="47" t="str">
        <f t="shared" si="5"/>
        <v>No</v>
      </c>
      <c r="AE1035" s="56" t="s">
        <v>36</v>
      </c>
      <c r="AF1035" s="57" t="s">
        <v>42</v>
      </c>
      <c r="AG1035" s="57" t="s">
        <v>42</v>
      </c>
      <c r="AH1035" s="57" t="s">
        <v>42</v>
      </c>
      <c r="AI1035" s="49" t="str">
        <f t="shared" si="661"/>
        <v>----</v>
      </c>
      <c r="AJ1035" s="58" t="str">
        <f t="shared" si="7"/>
        <v>Paper has link but no statement</v>
      </c>
      <c r="AK1035" s="59">
        <v>45070.0</v>
      </c>
      <c r="AL1035" s="43" t="s">
        <v>43</v>
      </c>
      <c r="AM1035" s="60" t="str">
        <f t="shared" si="8"/>
        <v>[IP2029]</v>
      </c>
    </row>
    <row r="1036" ht="67.5" customHeight="1">
      <c r="A1036" s="61">
        <v>2030.0</v>
      </c>
      <c r="B1036" s="22" t="s">
        <v>2805</v>
      </c>
      <c r="C1036" s="23">
        <v>2023.0</v>
      </c>
      <c r="D1036" s="24" t="s">
        <v>37</v>
      </c>
      <c r="E1036" s="25" t="s">
        <v>37</v>
      </c>
      <c r="F1036" s="25" t="s">
        <v>35</v>
      </c>
      <c r="G1036" s="25" t="s">
        <v>37</v>
      </c>
      <c r="H1036" s="25" t="s">
        <v>35</v>
      </c>
      <c r="I1036" s="25" t="s">
        <v>35</v>
      </c>
      <c r="J1036" s="26" t="s">
        <v>36</v>
      </c>
      <c r="K1036" s="27" t="s">
        <v>37</v>
      </c>
      <c r="L1036" s="28" t="s">
        <v>35</v>
      </c>
      <c r="M1036" s="28" t="s">
        <v>35</v>
      </c>
      <c r="N1036" s="28" t="s">
        <v>37</v>
      </c>
      <c r="O1036" s="28" t="s">
        <v>35</v>
      </c>
      <c r="P1036" s="28" t="s">
        <v>35</v>
      </c>
      <c r="Q1036" s="28" t="s">
        <v>35</v>
      </c>
      <c r="R1036" s="28" t="s">
        <v>35</v>
      </c>
      <c r="S1036" s="29" t="s">
        <v>289</v>
      </c>
      <c r="T1036" s="30" t="s">
        <v>2806</v>
      </c>
      <c r="U1036" s="31" t="s">
        <v>2806</v>
      </c>
      <c r="V1036" s="32">
        <f t="shared" ref="V1036:X1036" si="1042">IF(lenb(SUBSTITUTE($Z1036,V$1&amp;" (1)",""))&lt;lenb($Z1036),1,IF(lenb(SUBSTITUTE($Z1036,V$1&amp;" (2)",""))&lt;lenb($Z1036),2,IF(lenb(SUBSTITUTE($Z1036,V$1&amp;" (3)",""))&lt;lenb($Z1036),3,IF(lenb(SUBSTITUTE($Z1036,V$1&amp;" (4)",""))&lt;lenb($Z1036),4,IF(lenb(SUBSTITUTE($Z1036,V$1&amp;" (5)",""))&lt;lenb($Z1036),5,IF(lenb(SUBSTITUTE($Z1036,V$1&amp;" (6)",""))&lt;lenb($Z1036),6,IF(lenb(SUBSTITUTE($Z1036,V$1&amp;" (7)",""))&lt;lenb($Z1036),1,IF(lenb(SUBSTITUTE($Z1036,V$1&amp;" (8)",""))&lt;lenb($Z1036),8,IF(lenb(SUBSTITUTE($Z1036,V$1&amp;" (9)",""))&lt;lenb($Z1036),9,IF(lenb(SUBSTITUTE($Z1036,V$1&amp;" (10)",""))&lt;lenb($Z1036),10,IF(lenb(SUBSTITUTE($Z1036,V$1,""))&lt;lenb($Z1036),"ERROR",IF($Z1036=$Y$1,"-",0))))))))))))</f>
        <v>1</v>
      </c>
      <c r="W1036" s="32">
        <f t="shared" si="1042"/>
        <v>0</v>
      </c>
      <c r="X1036" s="32">
        <f t="shared" si="1042"/>
        <v>0</v>
      </c>
      <c r="Y1036" s="32" t="str">
        <f t="shared" si="3"/>
        <v>-</v>
      </c>
      <c r="Z1036" s="32" t="s">
        <v>62</v>
      </c>
      <c r="AA1036" s="33">
        <f t="shared" si="4"/>
        <v>1</v>
      </c>
      <c r="AB1036" s="34">
        <f>COUNTIFS(Links!B:B,"ICSE",Links!C:C,A1036,Links!AD:AD,1)</f>
        <v>0</v>
      </c>
      <c r="AC1036" s="35" t="s">
        <v>35</v>
      </c>
      <c r="AD1036" s="27" t="str">
        <f t="shared" si="5"/>
        <v>No</v>
      </c>
      <c r="AE1036" s="36" t="s">
        <v>36</v>
      </c>
      <c r="AF1036" s="37" t="s">
        <v>42</v>
      </c>
      <c r="AG1036" s="37" t="s">
        <v>42</v>
      </c>
      <c r="AH1036" s="37" t="s">
        <v>42</v>
      </c>
      <c r="AI1036" s="29" t="str">
        <f t="shared" si="661"/>
        <v>----</v>
      </c>
      <c r="AJ1036" s="38" t="str">
        <f t="shared" si="7"/>
        <v>Paper has link but no statement</v>
      </c>
      <c r="AK1036" s="39">
        <v>45070.0</v>
      </c>
      <c r="AL1036" s="23" t="s">
        <v>43</v>
      </c>
      <c r="AM1036" s="40" t="str">
        <f t="shared" si="8"/>
        <v>[IP2030]</v>
      </c>
    </row>
    <row r="1037" ht="67.5" customHeight="1">
      <c r="A1037" s="41">
        <v>2031.0</v>
      </c>
      <c r="B1037" s="42" t="s">
        <v>2807</v>
      </c>
      <c r="C1037" s="43">
        <v>2023.0</v>
      </c>
      <c r="D1037" s="44" t="s">
        <v>37</v>
      </c>
      <c r="E1037" s="45" t="s">
        <v>37</v>
      </c>
      <c r="F1037" s="45" t="s">
        <v>35</v>
      </c>
      <c r="G1037" s="45" t="s">
        <v>37</v>
      </c>
      <c r="H1037" s="45" t="s">
        <v>35</v>
      </c>
      <c r="I1037" s="45" t="s">
        <v>35</v>
      </c>
      <c r="J1037" s="46" t="s">
        <v>36</v>
      </c>
      <c r="K1037" s="47" t="s">
        <v>37</v>
      </c>
      <c r="L1037" s="48" t="s">
        <v>35</v>
      </c>
      <c r="M1037" s="48" t="s">
        <v>35</v>
      </c>
      <c r="N1037" s="48" t="s">
        <v>35</v>
      </c>
      <c r="O1037" s="48" t="s">
        <v>35</v>
      </c>
      <c r="P1037" s="48" t="s">
        <v>35</v>
      </c>
      <c r="Q1037" s="48" t="s">
        <v>35</v>
      </c>
      <c r="R1037" s="48" t="s">
        <v>37</v>
      </c>
      <c r="S1037" s="49" t="s">
        <v>2808</v>
      </c>
      <c r="T1037" s="50" t="s">
        <v>2809</v>
      </c>
      <c r="U1037" s="51" t="s">
        <v>2809</v>
      </c>
      <c r="V1037" s="52">
        <f t="shared" ref="V1037:X1037" si="1043">IF(lenb(SUBSTITUTE($Z1037,V$1&amp;" (1)",""))&lt;lenb($Z1037),1,IF(lenb(SUBSTITUTE($Z1037,V$1&amp;" (2)",""))&lt;lenb($Z1037),2,IF(lenb(SUBSTITUTE($Z1037,V$1&amp;" (3)",""))&lt;lenb($Z1037),3,IF(lenb(SUBSTITUTE($Z1037,V$1&amp;" (4)",""))&lt;lenb($Z1037),4,IF(lenb(SUBSTITUTE($Z1037,V$1&amp;" (5)",""))&lt;lenb($Z1037),5,IF(lenb(SUBSTITUTE($Z1037,V$1&amp;" (6)",""))&lt;lenb($Z1037),6,IF(lenb(SUBSTITUTE($Z1037,V$1&amp;" (7)",""))&lt;lenb($Z1037),1,IF(lenb(SUBSTITUTE($Z1037,V$1&amp;" (8)",""))&lt;lenb($Z1037),8,IF(lenb(SUBSTITUTE($Z1037,V$1&amp;" (9)",""))&lt;lenb($Z1037),9,IF(lenb(SUBSTITUTE($Z1037,V$1&amp;" (10)",""))&lt;lenb($Z1037),10,IF(lenb(SUBSTITUTE($Z1037,V$1,""))&lt;lenb($Z1037),"ERROR",IF($Z1037=$Y$1,"-",0))))))))))))</f>
        <v>1</v>
      </c>
      <c r="W1037" s="52">
        <f t="shared" si="1043"/>
        <v>0</v>
      </c>
      <c r="X1037" s="52">
        <f t="shared" si="1043"/>
        <v>0</v>
      </c>
      <c r="Y1037" s="52" t="str">
        <f t="shared" si="3"/>
        <v>-</v>
      </c>
      <c r="Z1037" s="52" t="s">
        <v>62</v>
      </c>
      <c r="AA1037" s="53">
        <f t="shared" si="4"/>
        <v>1</v>
      </c>
      <c r="AB1037" s="54">
        <f>COUNTIFS(Links!B:B,"ICSE",Links!C:C,A1037,Links!AD:AD,1)</f>
        <v>0</v>
      </c>
      <c r="AC1037" s="55" t="s">
        <v>35</v>
      </c>
      <c r="AD1037" s="47" t="str">
        <f t="shared" si="5"/>
        <v>No</v>
      </c>
      <c r="AE1037" s="56" t="s">
        <v>36</v>
      </c>
      <c r="AF1037" s="57" t="s">
        <v>42</v>
      </c>
      <c r="AG1037" s="57" t="s">
        <v>42</v>
      </c>
      <c r="AH1037" s="57" t="s">
        <v>42</v>
      </c>
      <c r="AI1037" s="49" t="str">
        <f t="shared" si="661"/>
        <v>----</v>
      </c>
      <c r="AJ1037" s="58" t="str">
        <f t="shared" si="7"/>
        <v>Paper has link but no statement</v>
      </c>
      <c r="AK1037" s="59">
        <v>45070.0</v>
      </c>
      <c r="AL1037" s="43" t="s">
        <v>43</v>
      </c>
      <c r="AM1037" s="60" t="str">
        <f t="shared" si="8"/>
        <v>[IP2031]</v>
      </c>
    </row>
    <row r="1038" ht="67.5" customHeight="1">
      <c r="A1038" s="61">
        <v>2032.0</v>
      </c>
      <c r="B1038" s="22" t="s">
        <v>2810</v>
      </c>
      <c r="C1038" s="23">
        <v>2023.0</v>
      </c>
      <c r="D1038" s="24" t="s">
        <v>37</v>
      </c>
      <c r="E1038" s="25" t="s">
        <v>37</v>
      </c>
      <c r="F1038" s="25" t="s">
        <v>35</v>
      </c>
      <c r="G1038" s="25" t="s">
        <v>37</v>
      </c>
      <c r="H1038" s="25" t="s">
        <v>35</v>
      </c>
      <c r="I1038" s="25" t="s">
        <v>35</v>
      </c>
      <c r="J1038" s="26" t="s">
        <v>36</v>
      </c>
      <c r="K1038" s="27" t="s">
        <v>37</v>
      </c>
      <c r="L1038" s="28" t="s">
        <v>35</v>
      </c>
      <c r="M1038" s="28" t="s">
        <v>35</v>
      </c>
      <c r="N1038" s="28" t="s">
        <v>37</v>
      </c>
      <c r="O1038" s="28" t="s">
        <v>35</v>
      </c>
      <c r="P1038" s="28" t="s">
        <v>35</v>
      </c>
      <c r="Q1038" s="28" t="s">
        <v>35</v>
      </c>
      <c r="R1038" s="28" t="s">
        <v>35</v>
      </c>
      <c r="S1038" s="29" t="s">
        <v>289</v>
      </c>
      <c r="T1038" s="30" t="s">
        <v>2811</v>
      </c>
      <c r="U1038" s="31" t="s">
        <v>2811</v>
      </c>
      <c r="V1038" s="32">
        <f t="shared" ref="V1038:X1038" si="1044">IF(lenb(SUBSTITUTE($Z1038,V$1&amp;" (1)",""))&lt;lenb($Z1038),1,IF(lenb(SUBSTITUTE($Z1038,V$1&amp;" (2)",""))&lt;lenb($Z1038),2,IF(lenb(SUBSTITUTE($Z1038,V$1&amp;" (3)",""))&lt;lenb($Z1038),3,IF(lenb(SUBSTITUTE($Z1038,V$1&amp;" (4)",""))&lt;lenb($Z1038),4,IF(lenb(SUBSTITUTE($Z1038,V$1&amp;" (5)",""))&lt;lenb($Z1038),5,IF(lenb(SUBSTITUTE($Z1038,V$1&amp;" (6)",""))&lt;lenb($Z1038),6,IF(lenb(SUBSTITUTE($Z1038,V$1&amp;" (7)",""))&lt;lenb($Z1038),1,IF(lenb(SUBSTITUTE($Z1038,V$1&amp;" (8)",""))&lt;lenb($Z1038),8,IF(lenb(SUBSTITUTE($Z1038,V$1&amp;" (9)",""))&lt;lenb($Z1038),9,IF(lenb(SUBSTITUTE($Z1038,V$1&amp;" (10)",""))&lt;lenb($Z1038),10,IF(lenb(SUBSTITUTE($Z1038,V$1,""))&lt;lenb($Z1038),"ERROR",IF($Z1038=$Y$1,"-",0))))))))))))</f>
        <v>1</v>
      </c>
      <c r="W1038" s="32">
        <f t="shared" si="1044"/>
        <v>0</v>
      </c>
      <c r="X1038" s="32">
        <f t="shared" si="1044"/>
        <v>0</v>
      </c>
      <c r="Y1038" s="32" t="str">
        <f t="shared" si="3"/>
        <v>-</v>
      </c>
      <c r="Z1038" s="32" t="s">
        <v>62</v>
      </c>
      <c r="AA1038" s="33">
        <f t="shared" si="4"/>
        <v>1</v>
      </c>
      <c r="AB1038" s="34">
        <f>COUNTIFS(Links!B:B,"ICSE",Links!C:C,A1038,Links!AD:AD,1)</f>
        <v>0</v>
      </c>
      <c r="AC1038" s="35" t="s">
        <v>35</v>
      </c>
      <c r="AD1038" s="27" t="str">
        <f t="shared" si="5"/>
        <v>No</v>
      </c>
      <c r="AE1038" s="36" t="s">
        <v>36</v>
      </c>
      <c r="AF1038" s="37" t="s">
        <v>42</v>
      </c>
      <c r="AG1038" s="37" t="s">
        <v>42</v>
      </c>
      <c r="AH1038" s="37" t="s">
        <v>42</v>
      </c>
      <c r="AI1038" s="29" t="str">
        <f t="shared" si="661"/>
        <v>----</v>
      </c>
      <c r="AJ1038" s="38" t="str">
        <f t="shared" si="7"/>
        <v>Paper has link but no statement</v>
      </c>
      <c r="AK1038" s="39">
        <v>45070.0</v>
      </c>
      <c r="AL1038" s="23" t="s">
        <v>43</v>
      </c>
      <c r="AM1038" s="40" t="str">
        <f t="shared" si="8"/>
        <v>[IP2032]</v>
      </c>
    </row>
    <row r="1039" ht="67.5" customHeight="1">
      <c r="A1039" s="41">
        <v>2033.0</v>
      </c>
      <c r="B1039" s="42" t="s">
        <v>2812</v>
      </c>
      <c r="C1039" s="43">
        <v>2023.0</v>
      </c>
      <c r="D1039" s="44" t="s">
        <v>35</v>
      </c>
      <c r="E1039" s="45" t="s">
        <v>36</v>
      </c>
      <c r="F1039" s="45" t="s">
        <v>36</v>
      </c>
      <c r="G1039" s="45" t="s">
        <v>36</v>
      </c>
      <c r="H1039" s="45" t="s">
        <v>36</v>
      </c>
      <c r="I1039" s="45" t="s">
        <v>36</v>
      </c>
      <c r="J1039" s="46" t="s">
        <v>36</v>
      </c>
      <c r="K1039" s="47" t="s">
        <v>37</v>
      </c>
      <c r="L1039" s="48" t="s">
        <v>35</v>
      </c>
      <c r="M1039" s="48" t="s">
        <v>37</v>
      </c>
      <c r="N1039" s="48" t="s">
        <v>35</v>
      </c>
      <c r="O1039" s="48" t="s">
        <v>35</v>
      </c>
      <c r="P1039" s="48" t="s">
        <v>35</v>
      </c>
      <c r="Q1039" s="48" t="s">
        <v>35</v>
      </c>
      <c r="R1039" s="48" t="s">
        <v>37</v>
      </c>
      <c r="S1039" s="49" t="s">
        <v>2813</v>
      </c>
      <c r="T1039" s="50" t="s">
        <v>2814</v>
      </c>
      <c r="U1039" s="51" t="s">
        <v>2814</v>
      </c>
      <c r="V1039" s="52">
        <f t="shared" ref="V1039:X1039" si="1045">IF(lenb(SUBSTITUTE($Z1039,V$1&amp;" (1)",""))&lt;lenb($Z1039),1,IF(lenb(SUBSTITUTE($Z1039,V$1&amp;" (2)",""))&lt;lenb($Z1039),2,IF(lenb(SUBSTITUTE($Z1039,V$1&amp;" (3)",""))&lt;lenb($Z1039),3,IF(lenb(SUBSTITUTE($Z1039,V$1&amp;" (4)",""))&lt;lenb($Z1039),4,IF(lenb(SUBSTITUTE($Z1039,V$1&amp;" (5)",""))&lt;lenb($Z1039),5,IF(lenb(SUBSTITUTE($Z1039,V$1&amp;" (6)",""))&lt;lenb($Z1039),6,IF(lenb(SUBSTITUTE($Z1039,V$1&amp;" (7)",""))&lt;lenb($Z1039),1,IF(lenb(SUBSTITUTE($Z1039,V$1&amp;" (8)",""))&lt;lenb($Z1039),8,IF(lenb(SUBSTITUTE($Z1039,V$1&amp;" (9)",""))&lt;lenb($Z1039),9,IF(lenb(SUBSTITUTE($Z1039,V$1&amp;" (10)",""))&lt;lenb($Z1039),10,IF(lenb(SUBSTITUTE($Z1039,V$1,""))&lt;lenb($Z1039),"ERROR",IF($Z1039=$Y$1,"-",0))))))))))))</f>
        <v>1</v>
      </c>
      <c r="W1039" s="52">
        <f t="shared" si="1045"/>
        <v>0</v>
      </c>
      <c r="X1039" s="52">
        <f t="shared" si="1045"/>
        <v>0</v>
      </c>
      <c r="Y1039" s="52" t="str">
        <f t="shared" si="3"/>
        <v>-</v>
      </c>
      <c r="Z1039" s="52" t="s">
        <v>62</v>
      </c>
      <c r="AA1039" s="53">
        <f t="shared" si="4"/>
        <v>1</v>
      </c>
      <c r="AB1039" s="54">
        <f>COUNTIFS(Links!B:B,"ICSE",Links!C:C,A1039,Links!AD:AD,1)</f>
        <v>0</v>
      </c>
      <c r="AC1039" s="55" t="s">
        <v>35</v>
      </c>
      <c r="AD1039" s="47" t="str">
        <f t="shared" si="5"/>
        <v>No</v>
      </c>
      <c r="AE1039" s="56" t="s">
        <v>36</v>
      </c>
      <c r="AF1039" s="57" t="s">
        <v>42</v>
      </c>
      <c r="AG1039" s="57" t="s">
        <v>42</v>
      </c>
      <c r="AH1039" s="57" t="s">
        <v>42</v>
      </c>
      <c r="AI1039" s="49" t="str">
        <f t="shared" si="661"/>
        <v>----</v>
      </c>
      <c r="AJ1039" s="58" t="str">
        <f t="shared" si="7"/>
        <v>Paper has link but no statement</v>
      </c>
      <c r="AK1039" s="59">
        <v>45070.0</v>
      </c>
      <c r="AL1039" s="43" t="s">
        <v>43</v>
      </c>
      <c r="AM1039" s="60" t="str">
        <f t="shared" si="8"/>
        <v>[IP2033]</v>
      </c>
    </row>
    <row r="1040" ht="67.5" customHeight="1">
      <c r="A1040" s="61">
        <v>2034.0</v>
      </c>
      <c r="B1040" s="22" t="s">
        <v>2815</v>
      </c>
      <c r="C1040" s="23">
        <v>2023.0</v>
      </c>
      <c r="D1040" s="24" t="s">
        <v>35</v>
      </c>
      <c r="E1040" s="25" t="s">
        <v>36</v>
      </c>
      <c r="F1040" s="25" t="s">
        <v>36</v>
      </c>
      <c r="G1040" s="25" t="s">
        <v>36</v>
      </c>
      <c r="H1040" s="25" t="s">
        <v>36</v>
      </c>
      <c r="I1040" s="25" t="s">
        <v>36</v>
      </c>
      <c r="J1040" s="26" t="s">
        <v>36</v>
      </c>
      <c r="K1040" s="27" t="s">
        <v>37</v>
      </c>
      <c r="L1040" s="28" t="s">
        <v>35</v>
      </c>
      <c r="M1040" s="28" t="s">
        <v>37</v>
      </c>
      <c r="N1040" s="28" t="s">
        <v>37</v>
      </c>
      <c r="O1040" s="28" t="s">
        <v>35</v>
      </c>
      <c r="P1040" s="28" t="s">
        <v>35</v>
      </c>
      <c r="Q1040" s="28" t="s">
        <v>37</v>
      </c>
      <c r="R1040" s="28" t="s">
        <v>35</v>
      </c>
      <c r="S1040" s="29" t="s">
        <v>2816</v>
      </c>
      <c r="T1040" s="30" t="s">
        <v>2817</v>
      </c>
      <c r="U1040" s="31" t="s">
        <v>2817</v>
      </c>
      <c r="V1040" s="32">
        <f t="shared" ref="V1040:X1040" si="1046">IF(lenb(SUBSTITUTE($Z1040,V$1&amp;" (1)",""))&lt;lenb($Z1040),1,IF(lenb(SUBSTITUTE($Z1040,V$1&amp;" (2)",""))&lt;lenb($Z1040),2,IF(lenb(SUBSTITUTE($Z1040,V$1&amp;" (3)",""))&lt;lenb($Z1040),3,IF(lenb(SUBSTITUTE($Z1040,V$1&amp;" (4)",""))&lt;lenb($Z1040),4,IF(lenb(SUBSTITUTE($Z1040,V$1&amp;" (5)",""))&lt;lenb($Z1040),5,IF(lenb(SUBSTITUTE($Z1040,V$1&amp;" (6)",""))&lt;lenb($Z1040),6,IF(lenb(SUBSTITUTE($Z1040,V$1&amp;" (7)",""))&lt;lenb($Z1040),1,IF(lenb(SUBSTITUTE($Z1040,V$1&amp;" (8)",""))&lt;lenb($Z1040),8,IF(lenb(SUBSTITUTE($Z1040,V$1&amp;" (9)",""))&lt;lenb($Z1040),9,IF(lenb(SUBSTITUTE($Z1040,V$1&amp;" (10)",""))&lt;lenb($Z1040),10,IF(lenb(SUBSTITUTE($Z1040,V$1,""))&lt;lenb($Z1040),"ERROR",IF($Z1040=$Y$1,"-",0))))))))))))</f>
        <v>1</v>
      </c>
      <c r="W1040" s="32">
        <f t="shared" si="1046"/>
        <v>0</v>
      </c>
      <c r="X1040" s="32">
        <f t="shared" si="1046"/>
        <v>0</v>
      </c>
      <c r="Y1040" s="32" t="str">
        <f t="shared" si="3"/>
        <v>-</v>
      </c>
      <c r="Z1040" s="32" t="s">
        <v>62</v>
      </c>
      <c r="AA1040" s="33">
        <f t="shared" si="4"/>
        <v>1</v>
      </c>
      <c r="AB1040" s="34">
        <f>COUNTIFS(Links!B:B,"ICSE",Links!C:C,A1040,Links!AD:AD,1)</f>
        <v>0</v>
      </c>
      <c r="AC1040" s="35" t="s">
        <v>37</v>
      </c>
      <c r="AD1040" s="27" t="str">
        <f t="shared" si="5"/>
        <v>No</v>
      </c>
      <c r="AE1040" s="36" t="s">
        <v>36</v>
      </c>
      <c r="AF1040" s="37" t="s">
        <v>42</v>
      </c>
      <c r="AG1040" s="37" t="s">
        <v>42</v>
      </c>
      <c r="AH1040" s="37" t="s">
        <v>42</v>
      </c>
      <c r="AI1040" s="29" t="str">
        <f t="shared" si="661"/>
        <v>----</v>
      </c>
      <c r="AJ1040" s="38" t="str">
        <f t="shared" si="7"/>
        <v>Paper has link but no statement</v>
      </c>
      <c r="AK1040" s="39">
        <v>45070.0</v>
      </c>
      <c r="AL1040" s="23" t="s">
        <v>43</v>
      </c>
      <c r="AM1040" s="40" t="str">
        <f t="shared" si="8"/>
        <v>[IP2034]</v>
      </c>
    </row>
    <row r="1041" ht="67.5" customHeight="1">
      <c r="A1041" s="41">
        <v>2035.0</v>
      </c>
      <c r="B1041" s="42" t="s">
        <v>2818</v>
      </c>
      <c r="C1041" s="43">
        <v>2023.0</v>
      </c>
      <c r="D1041" s="44" t="s">
        <v>35</v>
      </c>
      <c r="E1041" s="45" t="s">
        <v>36</v>
      </c>
      <c r="F1041" s="45" t="s">
        <v>36</v>
      </c>
      <c r="G1041" s="45" t="s">
        <v>36</v>
      </c>
      <c r="H1041" s="45" t="s">
        <v>36</v>
      </c>
      <c r="I1041" s="45" t="s">
        <v>36</v>
      </c>
      <c r="J1041" s="46" t="s">
        <v>36</v>
      </c>
      <c r="K1041" s="47" t="s">
        <v>37</v>
      </c>
      <c r="L1041" s="48" t="s">
        <v>35</v>
      </c>
      <c r="M1041" s="48" t="s">
        <v>35</v>
      </c>
      <c r="N1041" s="48" t="s">
        <v>35</v>
      </c>
      <c r="O1041" s="48" t="s">
        <v>35</v>
      </c>
      <c r="P1041" s="48" t="s">
        <v>35</v>
      </c>
      <c r="Q1041" s="48" t="s">
        <v>35</v>
      </c>
      <c r="R1041" s="48" t="s">
        <v>37</v>
      </c>
      <c r="S1041" s="49" t="s">
        <v>2819</v>
      </c>
      <c r="T1041" s="50" t="s">
        <v>2820</v>
      </c>
      <c r="U1041" s="51" t="s">
        <v>2820</v>
      </c>
      <c r="V1041" s="52">
        <f t="shared" ref="V1041:X1041" si="1047">IF(lenb(SUBSTITUTE($Z1041,V$1&amp;" (1)",""))&lt;lenb($Z1041),1,IF(lenb(SUBSTITUTE($Z1041,V$1&amp;" (2)",""))&lt;lenb($Z1041),2,IF(lenb(SUBSTITUTE($Z1041,V$1&amp;" (3)",""))&lt;lenb($Z1041),3,IF(lenb(SUBSTITUTE($Z1041,V$1&amp;" (4)",""))&lt;lenb($Z1041),4,IF(lenb(SUBSTITUTE($Z1041,V$1&amp;" (5)",""))&lt;lenb($Z1041),5,IF(lenb(SUBSTITUTE($Z1041,V$1&amp;" (6)",""))&lt;lenb($Z1041),6,IF(lenb(SUBSTITUTE($Z1041,V$1&amp;" (7)",""))&lt;lenb($Z1041),1,IF(lenb(SUBSTITUTE($Z1041,V$1&amp;" (8)",""))&lt;lenb($Z1041),8,IF(lenb(SUBSTITUTE($Z1041,V$1&amp;" (9)",""))&lt;lenb($Z1041),9,IF(lenb(SUBSTITUTE($Z1041,V$1&amp;" (10)",""))&lt;lenb($Z1041),10,IF(lenb(SUBSTITUTE($Z1041,V$1,""))&lt;lenb($Z1041),"ERROR",IF($Z1041=$Y$1,"-",0))))))))))))</f>
        <v>1</v>
      </c>
      <c r="W1041" s="52">
        <f t="shared" si="1047"/>
        <v>0</v>
      </c>
      <c r="X1041" s="52">
        <f t="shared" si="1047"/>
        <v>0</v>
      </c>
      <c r="Y1041" s="52" t="str">
        <f t="shared" si="3"/>
        <v>-</v>
      </c>
      <c r="Z1041" s="52" t="s">
        <v>62</v>
      </c>
      <c r="AA1041" s="53">
        <f t="shared" si="4"/>
        <v>1</v>
      </c>
      <c r="AB1041" s="54">
        <f>COUNTIFS(Links!B:B,"ICSE",Links!C:C,A1041,Links!AD:AD,1)</f>
        <v>0</v>
      </c>
      <c r="AC1041" s="55" t="s">
        <v>35</v>
      </c>
      <c r="AD1041" s="47" t="str">
        <f t="shared" si="5"/>
        <v>No</v>
      </c>
      <c r="AE1041" s="56" t="s">
        <v>36</v>
      </c>
      <c r="AF1041" s="57" t="s">
        <v>42</v>
      </c>
      <c r="AG1041" s="57" t="s">
        <v>42</v>
      </c>
      <c r="AH1041" s="57" t="s">
        <v>42</v>
      </c>
      <c r="AI1041" s="49" t="str">
        <f t="shared" si="661"/>
        <v>----</v>
      </c>
      <c r="AJ1041" s="58" t="str">
        <f t="shared" si="7"/>
        <v>Paper has link but no statement</v>
      </c>
      <c r="AK1041" s="59">
        <v>45070.0</v>
      </c>
      <c r="AL1041" s="43" t="s">
        <v>43</v>
      </c>
      <c r="AM1041" s="60" t="str">
        <f t="shared" si="8"/>
        <v>[IP2035]</v>
      </c>
    </row>
    <row r="1042" ht="67.5" customHeight="1">
      <c r="A1042" s="61">
        <v>2036.0</v>
      </c>
      <c r="B1042" s="22" t="s">
        <v>2821</v>
      </c>
      <c r="C1042" s="23">
        <v>2023.0</v>
      </c>
      <c r="D1042" s="24" t="s">
        <v>35</v>
      </c>
      <c r="E1042" s="25" t="s">
        <v>36</v>
      </c>
      <c r="F1042" s="25" t="s">
        <v>36</v>
      </c>
      <c r="G1042" s="25" t="s">
        <v>36</v>
      </c>
      <c r="H1042" s="25" t="s">
        <v>36</v>
      </c>
      <c r="I1042" s="25" t="s">
        <v>36</v>
      </c>
      <c r="J1042" s="26" t="s">
        <v>36</v>
      </c>
      <c r="K1042" s="27" t="s">
        <v>37</v>
      </c>
      <c r="L1042" s="28" t="s">
        <v>35</v>
      </c>
      <c r="M1042" s="28" t="s">
        <v>35</v>
      </c>
      <c r="N1042" s="28" t="s">
        <v>37</v>
      </c>
      <c r="O1042" s="28" t="s">
        <v>35</v>
      </c>
      <c r="P1042" s="28" t="s">
        <v>35</v>
      </c>
      <c r="Q1042" s="28" t="s">
        <v>35</v>
      </c>
      <c r="R1042" s="28" t="s">
        <v>35</v>
      </c>
      <c r="S1042" s="29" t="s">
        <v>289</v>
      </c>
      <c r="T1042" s="30" t="s">
        <v>2822</v>
      </c>
      <c r="U1042" s="31" t="s">
        <v>2822</v>
      </c>
      <c r="V1042" s="32">
        <f t="shared" ref="V1042:X1042" si="1048">IF(lenb(SUBSTITUTE($Z1042,V$1&amp;" (1)",""))&lt;lenb($Z1042),1,IF(lenb(SUBSTITUTE($Z1042,V$1&amp;" (2)",""))&lt;lenb($Z1042),2,IF(lenb(SUBSTITUTE($Z1042,V$1&amp;" (3)",""))&lt;lenb($Z1042),3,IF(lenb(SUBSTITUTE($Z1042,V$1&amp;" (4)",""))&lt;lenb($Z1042),4,IF(lenb(SUBSTITUTE($Z1042,V$1&amp;" (5)",""))&lt;lenb($Z1042),5,IF(lenb(SUBSTITUTE($Z1042,V$1&amp;" (6)",""))&lt;lenb($Z1042),6,IF(lenb(SUBSTITUTE($Z1042,V$1&amp;" (7)",""))&lt;lenb($Z1042),1,IF(lenb(SUBSTITUTE($Z1042,V$1&amp;" (8)",""))&lt;lenb($Z1042),8,IF(lenb(SUBSTITUTE($Z1042,V$1&amp;" (9)",""))&lt;lenb($Z1042),9,IF(lenb(SUBSTITUTE($Z1042,V$1&amp;" (10)",""))&lt;lenb($Z1042),10,IF(lenb(SUBSTITUTE($Z1042,V$1,""))&lt;lenb($Z1042),"ERROR",IF($Z1042=$Y$1,"-",0))))))))))))</f>
        <v>1</v>
      </c>
      <c r="W1042" s="32">
        <f t="shared" si="1048"/>
        <v>0</v>
      </c>
      <c r="X1042" s="32">
        <f t="shared" si="1048"/>
        <v>0</v>
      </c>
      <c r="Y1042" s="32" t="str">
        <f t="shared" si="3"/>
        <v>-</v>
      </c>
      <c r="Z1042" s="32" t="s">
        <v>62</v>
      </c>
      <c r="AA1042" s="33">
        <f t="shared" si="4"/>
        <v>1</v>
      </c>
      <c r="AB1042" s="34">
        <f>COUNTIFS(Links!B:B,"ICSE",Links!C:C,A1042,Links!AD:AD,1)</f>
        <v>0</v>
      </c>
      <c r="AC1042" s="35" t="s">
        <v>35</v>
      </c>
      <c r="AD1042" s="27" t="str">
        <f t="shared" si="5"/>
        <v>No</v>
      </c>
      <c r="AE1042" s="36" t="s">
        <v>36</v>
      </c>
      <c r="AF1042" s="37" t="s">
        <v>42</v>
      </c>
      <c r="AG1042" s="37" t="s">
        <v>42</v>
      </c>
      <c r="AH1042" s="37" t="s">
        <v>42</v>
      </c>
      <c r="AI1042" s="29" t="str">
        <f t="shared" si="661"/>
        <v>----</v>
      </c>
      <c r="AJ1042" s="38" t="str">
        <f t="shared" si="7"/>
        <v>Paper has link but no statement</v>
      </c>
      <c r="AK1042" s="39">
        <v>45070.0</v>
      </c>
      <c r="AL1042" s="23" t="s">
        <v>43</v>
      </c>
      <c r="AM1042" s="40" t="str">
        <f t="shared" si="8"/>
        <v>[IP2036]</v>
      </c>
    </row>
    <row r="1043" ht="67.5" customHeight="1">
      <c r="A1043" s="41">
        <v>2037.0</v>
      </c>
      <c r="B1043" s="42" t="s">
        <v>2823</v>
      </c>
      <c r="C1043" s="43">
        <v>2023.0</v>
      </c>
      <c r="D1043" s="44" t="s">
        <v>37</v>
      </c>
      <c r="E1043" s="45" t="s">
        <v>37</v>
      </c>
      <c r="F1043" s="45" t="s">
        <v>35</v>
      </c>
      <c r="G1043" s="45" t="s">
        <v>37</v>
      </c>
      <c r="H1043" s="45" t="s">
        <v>35</v>
      </c>
      <c r="I1043" s="45" t="s">
        <v>35</v>
      </c>
      <c r="J1043" s="46" t="s">
        <v>36</v>
      </c>
      <c r="K1043" s="47" t="s">
        <v>37</v>
      </c>
      <c r="L1043" s="48" t="s">
        <v>35</v>
      </c>
      <c r="M1043" s="48" t="s">
        <v>37</v>
      </c>
      <c r="N1043" s="48" t="s">
        <v>35</v>
      </c>
      <c r="O1043" s="48" t="s">
        <v>37</v>
      </c>
      <c r="P1043" s="48" t="s">
        <v>35</v>
      </c>
      <c r="Q1043" s="48" t="s">
        <v>35</v>
      </c>
      <c r="R1043" s="48" t="s">
        <v>37</v>
      </c>
      <c r="S1043" s="49" t="s">
        <v>2824</v>
      </c>
      <c r="T1043" s="50" t="s">
        <v>2825</v>
      </c>
      <c r="U1043" s="51" t="s">
        <v>2825</v>
      </c>
      <c r="V1043" s="52">
        <f t="shared" ref="V1043:X1043" si="1049">IF(lenb(SUBSTITUTE($Z1043,V$1&amp;" (1)",""))&lt;lenb($Z1043),1,IF(lenb(SUBSTITUTE($Z1043,V$1&amp;" (2)",""))&lt;lenb($Z1043),2,IF(lenb(SUBSTITUTE($Z1043,V$1&amp;" (3)",""))&lt;lenb($Z1043),3,IF(lenb(SUBSTITUTE($Z1043,V$1&amp;" (4)",""))&lt;lenb($Z1043),4,IF(lenb(SUBSTITUTE($Z1043,V$1&amp;" (5)",""))&lt;lenb($Z1043),5,IF(lenb(SUBSTITUTE($Z1043,V$1&amp;" (6)",""))&lt;lenb($Z1043),6,IF(lenb(SUBSTITUTE($Z1043,V$1&amp;" (7)",""))&lt;lenb($Z1043),1,IF(lenb(SUBSTITUTE($Z1043,V$1&amp;" (8)",""))&lt;lenb($Z1043),8,IF(lenb(SUBSTITUTE($Z1043,V$1&amp;" (9)",""))&lt;lenb($Z1043),9,IF(lenb(SUBSTITUTE($Z1043,V$1&amp;" (10)",""))&lt;lenb($Z1043),10,IF(lenb(SUBSTITUTE($Z1043,V$1,""))&lt;lenb($Z1043),"ERROR",IF($Z1043=$Y$1,"-",0))))))))))))</f>
        <v>2</v>
      </c>
      <c r="W1043" s="52">
        <f t="shared" si="1049"/>
        <v>0</v>
      </c>
      <c r="X1043" s="52">
        <f t="shared" si="1049"/>
        <v>0</v>
      </c>
      <c r="Y1043" s="52" t="str">
        <f t="shared" si="3"/>
        <v>-</v>
      </c>
      <c r="Z1043" s="52" t="s">
        <v>57</v>
      </c>
      <c r="AA1043" s="53">
        <f t="shared" si="4"/>
        <v>2</v>
      </c>
      <c r="AB1043" s="54">
        <f>COUNTIFS(Links!B:B,"ICSE",Links!C:C,A1043,Links!AD:AD,1)</f>
        <v>0</v>
      </c>
      <c r="AC1043" s="55" t="s">
        <v>37</v>
      </c>
      <c r="AD1043" s="47" t="str">
        <f t="shared" si="5"/>
        <v>No</v>
      </c>
      <c r="AE1043" s="56" t="s">
        <v>36</v>
      </c>
      <c r="AF1043" s="57" t="s">
        <v>42</v>
      </c>
      <c r="AG1043" s="57" t="s">
        <v>42</v>
      </c>
      <c r="AH1043" s="57" t="s">
        <v>42</v>
      </c>
      <c r="AI1043" s="49" t="str">
        <f t="shared" si="661"/>
        <v>----</v>
      </c>
      <c r="AJ1043" s="58" t="str">
        <f t="shared" si="7"/>
        <v>Paper has link but no statement</v>
      </c>
      <c r="AK1043" s="59">
        <v>45070.0</v>
      </c>
      <c r="AL1043" s="43" t="s">
        <v>43</v>
      </c>
      <c r="AM1043" s="60" t="str">
        <f t="shared" si="8"/>
        <v>[IP2037]</v>
      </c>
    </row>
    <row r="1044" ht="67.5" customHeight="1">
      <c r="A1044" s="61">
        <v>2038.0</v>
      </c>
      <c r="B1044" s="22" t="s">
        <v>2826</v>
      </c>
      <c r="C1044" s="23">
        <v>2023.0</v>
      </c>
      <c r="D1044" s="24" t="s">
        <v>37</v>
      </c>
      <c r="E1044" s="25" t="s">
        <v>37</v>
      </c>
      <c r="F1044" s="25" t="s">
        <v>35</v>
      </c>
      <c r="G1044" s="25" t="s">
        <v>37</v>
      </c>
      <c r="H1044" s="25" t="s">
        <v>35</v>
      </c>
      <c r="I1044" s="25" t="s">
        <v>35</v>
      </c>
      <c r="J1044" s="26" t="s">
        <v>36</v>
      </c>
      <c r="K1044" s="27" t="s">
        <v>37</v>
      </c>
      <c r="L1044" s="28" t="s">
        <v>35</v>
      </c>
      <c r="M1044" s="28" t="s">
        <v>37</v>
      </c>
      <c r="N1044" s="28" t="s">
        <v>37</v>
      </c>
      <c r="O1044" s="28" t="s">
        <v>35</v>
      </c>
      <c r="P1044" s="28" t="s">
        <v>35</v>
      </c>
      <c r="Q1044" s="28" t="s">
        <v>35</v>
      </c>
      <c r="R1044" s="28" t="s">
        <v>37</v>
      </c>
      <c r="S1044" s="29" t="s">
        <v>2827</v>
      </c>
      <c r="T1044" s="30" t="s">
        <v>2828</v>
      </c>
      <c r="U1044" s="31" t="s">
        <v>2828</v>
      </c>
      <c r="V1044" s="32">
        <f t="shared" ref="V1044:X1044" si="1050">IF(lenb(SUBSTITUTE($Z1044,V$1&amp;" (1)",""))&lt;lenb($Z1044),1,IF(lenb(SUBSTITUTE($Z1044,V$1&amp;" (2)",""))&lt;lenb($Z1044),2,IF(lenb(SUBSTITUTE($Z1044,V$1&amp;" (3)",""))&lt;lenb($Z1044),3,IF(lenb(SUBSTITUTE($Z1044,V$1&amp;" (4)",""))&lt;lenb($Z1044),4,IF(lenb(SUBSTITUTE($Z1044,V$1&amp;" (5)",""))&lt;lenb($Z1044),5,IF(lenb(SUBSTITUTE($Z1044,V$1&amp;" (6)",""))&lt;lenb($Z1044),6,IF(lenb(SUBSTITUTE($Z1044,V$1&amp;" (7)",""))&lt;lenb($Z1044),1,IF(lenb(SUBSTITUTE($Z1044,V$1&amp;" (8)",""))&lt;lenb($Z1044),8,IF(lenb(SUBSTITUTE($Z1044,V$1&amp;" (9)",""))&lt;lenb($Z1044),9,IF(lenb(SUBSTITUTE($Z1044,V$1&amp;" (10)",""))&lt;lenb($Z1044),10,IF(lenb(SUBSTITUTE($Z1044,V$1,""))&lt;lenb($Z1044),"ERROR",IF($Z1044=$Y$1,"-",0))))))))))))</f>
        <v>1</v>
      </c>
      <c r="W1044" s="32">
        <f t="shared" si="1050"/>
        <v>0</v>
      </c>
      <c r="X1044" s="32">
        <f t="shared" si="1050"/>
        <v>0</v>
      </c>
      <c r="Y1044" s="32" t="str">
        <f t="shared" si="3"/>
        <v>-</v>
      </c>
      <c r="Z1044" s="32" t="s">
        <v>62</v>
      </c>
      <c r="AA1044" s="33">
        <f t="shared" si="4"/>
        <v>1</v>
      </c>
      <c r="AB1044" s="34">
        <f>COUNTIFS(Links!B:B,"ICSE",Links!C:C,A1044,Links!AD:AD,1)</f>
        <v>0</v>
      </c>
      <c r="AC1044" s="35" t="s">
        <v>35</v>
      </c>
      <c r="AD1044" s="27" t="str">
        <f t="shared" si="5"/>
        <v>No</v>
      </c>
      <c r="AE1044" s="36" t="s">
        <v>36</v>
      </c>
      <c r="AF1044" s="37" t="s">
        <v>42</v>
      </c>
      <c r="AG1044" s="37" t="s">
        <v>42</v>
      </c>
      <c r="AH1044" s="37" t="s">
        <v>42</v>
      </c>
      <c r="AI1044" s="29" t="str">
        <f t="shared" si="661"/>
        <v>----</v>
      </c>
      <c r="AJ1044" s="38" t="str">
        <f t="shared" si="7"/>
        <v>Paper has link but no statement</v>
      </c>
      <c r="AK1044" s="39">
        <v>45070.0</v>
      </c>
      <c r="AL1044" s="23" t="s">
        <v>43</v>
      </c>
      <c r="AM1044" s="40" t="str">
        <f t="shared" si="8"/>
        <v>[IP2038]</v>
      </c>
    </row>
    <row r="1045" ht="67.5" customHeight="1">
      <c r="A1045" s="41">
        <v>2039.0</v>
      </c>
      <c r="B1045" s="42" t="s">
        <v>2829</v>
      </c>
      <c r="C1045" s="43">
        <v>2023.0</v>
      </c>
      <c r="D1045" s="44" t="s">
        <v>37</v>
      </c>
      <c r="E1045" s="45" t="s">
        <v>37</v>
      </c>
      <c r="F1045" s="45" t="s">
        <v>35</v>
      </c>
      <c r="G1045" s="45" t="s">
        <v>37</v>
      </c>
      <c r="H1045" s="45" t="s">
        <v>35</v>
      </c>
      <c r="I1045" s="45" t="s">
        <v>35</v>
      </c>
      <c r="J1045" s="46" t="s">
        <v>36</v>
      </c>
      <c r="K1045" s="47" t="s">
        <v>37</v>
      </c>
      <c r="L1045" s="48" t="s">
        <v>37</v>
      </c>
      <c r="M1045" s="48" t="s">
        <v>35</v>
      </c>
      <c r="N1045" s="48" t="s">
        <v>35</v>
      </c>
      <c r="O1045" s="48" t="s">
        <v>35</v>
      </c>
      <c r="P1045" s="48" t="s">
        <v>35</v>
      </c>
      <c r="Q1045" s="48" t="s">
        <v>35</v>
      </c>
      <c r="R1045" s="48" t="s">
        <v>37</v>
      </c>
      <c r="S1045" s="49" t="s">
        <v>2830</v>
      </c>
      <c r="T1045" s="50" t="s">
        <v>2831</v>
      </c>
      <c r="U1045" s="51" t="s">
        <v>2832</v>
      </c>
      <c r="V1045" s="52">
        <f t="shared" ref="V1045:X1045" si="1051">IF(lenb(SUBSTITUTE($Z1045,V$1&amp;" (1)",""))&lt;lenb($Z1045),1,IF(lenb(SUBSTITUTE($Z1045,V$1&amp;" (2)",""))&lt;lenb($Z1045),2,IF(lenb(SUBSTITUTE($Z1045,V$1&amp;" (3)",""))&lt;lenb($Z1045),3,IF(lenb(SUBSTITUTE($Z1045,V$1&amp;" (4)",""))&lt;lenb($Z1045),4,IF(lenb(SUBSTITUTE($Z1045,V$1&amp;" (5)",""))&lt;lenb($Z1045),5,IF(lenb(SUBSTITUTE($Z1045,V$1&amp;" (6)",""))&lt;lenb($Z1045),6,IF(lenb(SUBSTITUTE($Z1045,V$1&amp;" (7)",""))&lt;lenb($Z1045),1,IF(lenb(SUBSTITUTE($Z1045,V$1&amp;" (8)",""))&lt;lenb($Z1045),8,IF(lenb(SUBSTITUTE($Z1045,V$1&amp;" (9)",""))&lt;lenb($Z1045),9,IF(lenb(SUBSTITUTE($Z1045,V$1&amp;" (10)",""))&lt;lenb($Z1045),10,IF(lenb(SUBSTITUTE($Z1045,V$1,""))&lt;lenb($Z1045),"ERROR",IF($Z1045=$Y$1,"-",0))))))))))))</f>
        <v>2</v>
      </c>
      <c r="W1045" s="52">
        <f t="shared" si="1051"/>
        <v>0</v>
      </c>
      <c r="X1045" s="52">
        <f t="shared" si="1051"/>
        <v>0</v>
      </c>
      <c r="Y1045" s="52" t="str">
        <f t="shared" si="3"/>
        <v>-</v>
      </c>
      <c r="Z1045" s="52" t="s">
        <v>57</v>
      </c>
      <c r="AA1045" s="53">
        <f t="shared" si="4"/>
        <v>2</v>
      </c>
      <c r="AB1045" s="54">
        <f>COUNTIFS(Links!B:B,"ICSE",Links!C:C,A1045,Links!AD:AD,1)</f>
        <v>0</v>
      </c>
      <c r="AC1045" s="55" t="s">
        <v>37</v>
      </c>
      <c r="AD1045" s="47" t="str">
        <f t="shared" si="5"/>
        <v>No</v>
      </c>
      <c r="AE1045" s="56" t="s">
        <v>36</v>
      </c>
      <c r="AF1045" s="57" t="s">
        <v>42</v>
      </c>
      <c r="AG1045" s="57" t="s">
        <v>42</v>
      </c>
      <c r="AH1045" s="57" t="s">
        <v>42</v>
      </c>
      <c r="AI1045" s="49" t="str">
        <f t="shared" si="661"/>
        <v>----</v>
      </c>
      <c r="AJ1045" s="58" t="str">
        <f t="shared" si="7"/>
        <v>Paper has link but no statement</v>
      </c>
      <c r="AK1045" s="59">
        <v>45070.0</v>
      </c>
      <c r="AL1045" s="43" t="s">
        <v>43</v>
      </c>
      <c r="AM1045" s="60" t="str">
        <f t="shared" si="8"/>
        <v>[IP2039]</v>
      </c>
    </row>
    <row r="1046" ht="67.5" customHeight="1">
      <c r="A1046" s="61">
        <v>2040.0</v>
      </c>
      <c r="B1046" s="22" t="s">
        <v>2833</v>
      </c>
      <c r="C1046" s="23">
        <v>2023.0</v>
      </c>
      <c r="D1046" s="24" t="s">
        <v>35</v>
      </c>
      <c r="E1046" s="25" t="s">
        <v>36</v>
      </c>
      <c r="F1046" s="25" t="s">
        <v>36</v>
      </c>
      <c r="G1046" s="25" t="s">
        <v>36</v>
      </c>
      <c r="H1046" s="25" t="s">
        <v>36</v>
      </c>
      <c r="I1046" s="25" t="s">
        <v>36</v>
      </c>
      <c r="J1046" s="26" t="s">
        <v>36</v>
      </c>
      <c r="K1046" s="27" t="s">
        <v>37</v>
      </c>
      <c r="L1046" s="28" t="s">
        <v>37</v>
      </c>
      <c r="M1046" s="28" t="s">
        <v>35</v>
      </c>
      <c r="N1046" s="28" t="s">
        <v>35</v>
      </c>
      <c r="O1046" s="28" t="s">
        <v>37</v>
      </c>
      <c r="P1046" s="28" t="s">
        <v>35</v>
      </c>
      <c r="Q1046" s="28" t="s">
        <v>35</v>
      </c>
      <c r="R1046" s="28" t="s">
        <v>37</v>
      </c>
      <c r="S1046" s="29" t="s">
        <v>2834</v>
      </c>
      <c r="T1046" s="30" t="s">
        <v>2835</v>
      </c>
      <c r="U1046" s="31" t="s">
        <v>2835</v>
      </c>
      <c r="V1046" s="32">
        <f t="shared" ref="V1046:X1046" si="1052">IF(lenb(SUBSTITUTE($Z1046,V$1&amp;" (1)",""))&lt;lenb($Z1046),1,IF(lenb(SUBSTITUTE($Z1046,V$1&amp;" (2)",""))&lt;lenb($Z1046),2,IF(lenb(SUBSTITUTE($Z1046,V$1&amp;" (3)",""))&lt;lenb($Z1046),3,IF(lenb(SUBSTITUTE($Z1046,V$1&amp;" (4)",""))&lt;lenb($Z1046),4,IF(lenb(SUBSTITUTE($Z1046,V$1&amp;" (5)",""))&lt;lenb($Z1046),5,IF(lenb(SUBSTITUTE($Z1046,V$1&amp;" (6)",""))&lt;lenb($Z1046),6,IF(lenb(SUBSTITUTE($Z1046,V$1&amp;" (7)",""))&lt;lenb($Z1046),1,IF(lenb(SUBSTITUTE($Z1046,V$1&amp;" (8)",""))&lt;lenb($Z1046),8,IF(lenb(SUBSTITUTE($Z1046,V$1&amp;" (9)",""))&lt;lenb($Z1046),9,IF(lenb(SUBSTITUTE($Z1046,V$1&amp;" (10)",""))&lt;lenb($Z1046),10,IF(lenb(SUBSTITUTE($Z1046,V$1,""))&lt;lenb($Z1046),"ERROR",IF($Z1046=$Y$1,"-",0))))))))))))</f>
        <v>2</v>
      </c>
      <c r="W1046" s="32">
        <f t="shared" si="1052"/>
        <v>0</v>
      </c>
      <c r="X1046" s="32">
        <f t="shared" si="1052"/>
        <v>0</v>
      </c>
      <c r="Y1046" s="32" t="str">
        <f t="shared" si="3"/>
        <v>-</v>
      </c>
      <c r="Z1046" s="32" t="s">
        <v>57</v>
      </c>
      <c r="AA1046" s="33">
        <f t="shared" si="4"/>
        <v>2</v>
      </c>
      <c r="AB1046" s="34">
        <f>COUNTIFS(Links!B:B,"ICSE",Links!C:C,A1046,Links!AD:AD,1)</f>
        <v>0</v>
      </c>
      <c r="AC1046" s="35" t="s">
        <v>35</v>
      </c>
      <c r="AD1046" s="27" t="str">
        <f t="shared" si="5"/>
        <v>No</v>
      </c>
      <c r="AE1046" s="36" t="s">
        <v>36</v>
      </c>
      <c r="AF1046" s="37" t="s">
        <v>42</v>
      </c>
      <c r="AG1046" s="37" t="s">
        <v>42</v>
      </c>
      <c r="AH1046" s="37" t="s">
        <v>42</v>
      </c>
      <c r="AI1046" s="29" t="str">
        <f t="shared" si="661"/>
        <v>----</v>
      </c>
      <c r="AJ1046" s="38" t="str">
        <f t="shared" si="7"/>
        <v>Paper has link but no statement</v>
      </c>
      <c r="AK1046" s="39">
        <v>45070.0</v>
      </c>
      <c r="AL1046" s="23" t="s">
        <v>43</v>
      </c>
      <c r="AM1046" s="40" t="str">
        <f t="shared" si="8"/>
        <v>[IP2040]</v>
      </c>
    </row>
    <row r="1047" ht="67.5" customHeight="1">
      <c r="A1047" s="41">
        <v>2041.0</v>
      </c>
      <c r="B1047" s="42" t="s">
        <v>2836</v>
      </c>
      <c r="C1047" s="43">
        <v>2023.0</v>
      </c>
      <c r="D1047" s="44" t="s">
        <v>35</v>
      </c>
      <c r="E1047" s="45" t="s">
        <v>36</v>
      </c>
      <c r="F1047" s="45" t="s">
        <v>36</v>
      </c>
      <c r="G1047" s="45" t="s">
        <v>36</v>
      </c>
      <c r="H1047" s="45" t="s">
        <v>36</v>
      </c>
      <c r="I1047" s="45" t="s">
        <v>36</v>
      </c>
      <c r="J1047" s="46" t="s">
        <v>36</v>
      </c>
      <c r="K1047" s="47" t="s">
        <v>37</v>
      </c>
      <c r="L1047" s="48" t="s">
        <v>35</v>
      </c>
      <c r="M1047" s="48" t="s">
        <v>35</v>
      </c>
      <c r="N1047" s="48" t="s">
        <v>35</v>
      </c>
      <c r="O1047" s="48" t="s">
        <v>35</v>
      </c>
      <c r="P1047" s="48" t="s">
        <v>35</v>
      </c>
      <c r="Q1047" s="48" t="s">
        <v>35</v>
      </c>
      <c r="R1047" s="48" t="s">
        <v>37</v>
      </c>
      <c r="S1047" s="49" t="s">
        <v>2837</v>
      </c>
      <c r="T1047" s="50" t="s">
        <v>2838</v>
      </c>
      <c r="U1047" s="51" t="s">
        <v>2838</v>
      </c>
      <c r="V1047" s="52">
        <f t="shared" ref="V1047:X1047" si="1053">IF(lenb(SUBSTITUTE($Z1047,V$1&amp;" (1)",""))&lt;lenb($Z1047),1,IF(lenb(SUBSTITUTE($Z1047,V$1&amp;" (2)",""))&lt;lenb($Z1047),2,IF(lenb(SUBSTITUTE($Z1047,V$1&amp;" (3)",""))&lt;lenb($Z1047),3,IF(lenb(SUBSTITUTE($Z1047,V$1&amp;" (4)",""))&lt;lenb($Z1047),4,IF(lenb(SUBSTITUTE($Z1047,V$1&amp;" (5)",""))&lt;lenb($Z1047),5,IF(lenb(SUBSTITUTE($Z1047,V$1&amp;" (6)",""))&lt;lenb($Z1047),6,IF(lenb(SUBSTITUTE($Z1047,V$1&amp;" (7)",""))&lt;lenb($Z1047),1,IF(lenb(SUBSTITUTE($Z1047,V$1&amp;" (8)",""))&lt;lenb($Z1047),8,IF(lenb(SUBSTITUTE($Z1047,V$1&amp;" (9)",""))&lt;lenb($Z1047),9,IF(lenb(SUBSTITUTE($Z1047,V$1&amp;" (10)",""))&lt;lenb($Z1047),10,IF(lenb(SUBSTITUTE($Z1047,V$1,""))&lt;lenb($Z1047),"ERROR",IF($Z1047=$Y$1,"-",0))))))))))))</f>
        <v>1</v>
      </c>
      <c r="W1047" s="52">
        <f t="shared" si="1053"/>
        <v>0</v>
      </c>
      <c r="X1047" s="52">
        <f t="shared" si="1053"/>
        <v>0</v>
      </c>
      <c r="Y1047" s="52" t="str">
        <f t="shared" si="3"/>
        <v>-</v>
      </c>
      <c r="Z1047" s="52" t="s">
        <v>62</v>
      </c>
      <c r="AA1047" s="53">
        <f t="shared" si="4"/>
        <v>1</v>
      </c>
      <c r="AB1047" s="54">
        <f>COUNTIFS(Links!B:B,"ICSE",Links!C:C,A1047,Links!AD:AD,1)</f>
        <v>0</v>
      </c>
      <c r="AC1047" s="55" t="s">
        <v>37</v>
      </c>
      <c r="AD1047" s="47" t="str">
        <f t="shared" si="5"/>
        <v>No</v>
      </c>
      <c r="AE1047" s="56" t="s">
        <v>36</v>
      </c>
      <c r="AF1047" s="57" t="s">
        <v>42</v>
      </c>
      <c r="AG1047" s="57" t="s">
        <v>42</v>
      </c>
      <c r="AH1047" s="57" t="s">
        <v>42</v>
      </c>
      <c r="AI1047" s="49" t="str">
        <f t="shared" si="661"/>
        <v>----</v>
      </c>
      <c r="AJ1047" s="58" t="str">
        <f t="shared" si="7"/>
        <v>Paper has link but no statement</v>
      </c>
      <c r="AK1047" s="59">
        <v>45070.0</v>
      </c>
      <c r="AL1047" s="43" t="s">
        <v>43</v>
      </c>
      <c r="AM1047" s="60" t="str">
        <f t="shared" si="8"/>
        <v>[IP2041]</v>
      </c>
    </row>
    <row r="1048" ht="67.5" customHeight="1">
      <c r="A1048" s="61">
        <v>2042.0</v>
      </c>
      <c r="B1048" s="22" t="s">
        <v>2839</v>
      </c>
      <c r="C1048" s="23">
        <v>2023.0</v>
      </c>
      <c r="D1048" s="24" t="s">
        <v>37</v>
      </c>
      <c r="E1048" s="25" t="s">
        <v>37</v>
      </c>
      <c r="F1048" s="25" t="s">
        <v>35</v>
      </c>
      <c r="G1048" s="25" t="s">
        <v>37</v>
      </c>
      <c r="H1048" s="25" t="s">
        <v>35</v>
      </c>
      <c r="I1048" s="25" t="s">
        <v>35</v>
      </c>
      <c r="J1048" s="26" t="s">
        <v>36</v>
      </c>
      <c r="K1048" s="27" t="s">
        <v>37</v>
      </c>
      <c r="L1048" s="28" t="s">
        <v>37</v>
      </c>
      <c r="M1048" s="28" t="s">
        <v>37</v>
      </c>
      <c r="N1048" s="28" t="s">
        <v>35</v>
      </c>
      <c r="O1048" s="28" t="s">
        <v>35</v>
      </c>
      <c r="P1048" s="28" t="s">
        <v>35</v>
      </c>
      <c r="Q1048" s="28" t="s">
        <v>35</v>
      </c>
      <c r="R1048" s="28" t="s">
        <v>37</v>
      </c>
      <c r="S1048" s="29" t="s">
        <v>2840</v>
      </c>
      <c r="T1048" s="30" t="s">
        <v>2841</v>
      </c>
      <c r="U1048" s="31" t="s">
        <v>2841</v>
      </c>
      <c r="V1048" s="32">
        <f t="shared" ref="V1048:X1048" si="1054">IF(lenb(SUBSTITUTE($Z1048,V$1&amp;" (1)",""))&lt;lenb($Z1048),1,IF(lenb(SUBSTITUTE($Z1048,V$1&amp;" (2)",""))&lt;lenb($Z1048),2,IF(lenb(SUBSTITUTE($Z1048,V$1&amp;" (3)",""))&lt;lenb($Z1048),3,IF(lenb(SUBSTITUTE($Z1048,V$1&amp;" (4)",""))&lt;lenb($Z1048),4,IF(lenb(SUBSTITUTE($Z1048,V$1&amp;" (5)",""))&lt;lenb($Z1048),5,IF(lenb(SUBSTITUTE($Z1048,V$1&amp;" (6)",""))&lt;lenb($Z1048),6,IF(lenb(SUBSTITUTE($Z1048,V$1&amp;" (7)",""))&lt;lenb($Z1048),1,IF(lenb(SUBSTITUTE($Z1048,V$1&amp;" (8)",""))&lt;lenb($Z1048),8,IF(lenb(SUBSTITUTE($Z1048,V$1&amp;" (9)",""))&lt;lenb($Z1048),9,IF(lenb(SUBSTITUTE($Z1048,V$1&amp;" (10)",""))&lt;lenb($Z1048),10,IF(lenb(SUBSTITUTE($Z1048,V$1,""))&lt;lenb($Z1048),"ERROR",IF($Z1048=$Y$1,"-",0))))))))))))</f>
        <v>2</v>
      </c>
      <c r="W1048" s="32">
        <f t="shared" si="1054"/>
        <v>0</v>
      </c>
      <c r="X1048" s="32">
        <f t="shared" si="1054"/>
        <v>0</v>
      </c>
      <c r="Y1048" s="32" t="str">
        <f t="shared" si="3"/>
        <v>-</v>
      </c>
      <c r="Z1048" s="32" t="s">
        <v>57</v>
      </c>
      <c r="AA1048" s="33">
        <f t="shared" si="4"/>
        <v>2</v>
      </c>
      <c r="AB1048" s="34">
        <f>COUNTIFS(Links!B:B,"ICSE",Links!C:C,A1048,Links!AD:AD,1)</f>
        <v>1</v>
      </c>
      <c r="AC1048" s="35" t="s">
        <v>37</v>
      </c>
      <c r="AD1048" s="27" t="str">
        <f t="shared" si="5"/>
        <v>No</v>
      </c>
      <c r="AE1048" s="36" t="s">
        <v>36</v>
      </c>
      <c r="AF1048" s="37" t="s">
        <v>42</v>
      </c>
      <c r="AG1048" s="37" t="s">
        <v>42</v>
      </c>
      <c r="AH1048" s="37" t="s">
        <v>42</v>
      </c>
      <c r="AI1048" s="29" t="str">
        <f t="shared" si="661"/>
        <v>----</v>
      </c>
      <c r="AJ1048" s="38" t="str">
        <f t="shared" si="7"/>
        <v>Paper has link but no statement</v>
      </c>
      <c r="AK1048" s="39">
        <v>45070.0</v>
      </c>
      <c r="AL1048" s="23" t="s">
        <v>43</v>
      </c>
      <c r="AM1048" s="40" t="str">
        <f t="shared" si="8"/>
        <v>[IP2042]</v>
      </c>
    </row>
    <row r="1049" ht="67.5" customHeight="1">
      <c r="A1049" s="41">
        <v>2043.0</v>
      </c>
      <c r="B1049" s="42" t="s">
        <v>2842</v>
      </c>
      <c r="C1049" s="43">
        <v>2023.0</v>
      </c>
      <c r="D1049" s="44" t="s">
        <v>37</v>
      </c>
      <c r="E1049" s="45" t="s">
        <v>37</v>
      </c>
      <c r="F1049" s="45" t="s">
        <v>37</v>
      </c>
      <c r="G1049" s="45" t="s">
        <v>35</v>
      </c>
      <c r="H1049" s="45" t="s">
        <v>35</v>
      </c>
      <c r="I1049" s="45" t="s">
        <v>35</v>
      </c>
      <c r="J1049" s="46" t="s">
        <v>36</v>
      </c>
      <c r="K1049" s="47" t="s">
        <v>37</v>
      </c>
      <c r="L1049" s="48" t="s">
        <v>35</v>
      </c>
      <c r="M1049" s="48" t="s">
        <v>35</v>
      </c>
      <c r="N1049" s="48" t="s">
        <v>35</v>
      </c>
      <c r="O1049" s="48" t="s">
        <v>35</v>
      </c>
      <c r="P1049" s="48" t="s">
        <v>35</v>
      </c>
      <c r="Q1049" s="48" t="s">
        <v>37</v>
      </c>
      <c r="R1049" s="48" t="s">
        <v>35</v>
      </c>
      <c r="S1049" s="49" t="s">
        <v>2271</v>
      </c>
      <c r="T1049" s="50" t="s">
        <v>2843</v>
      </c>
      <c r="U1049" s="51" t="s">
        <v>2844</v>
      </c>
      <c r="V1049" s="52">
        <f t="shared" ref="V1049:X1049" si="1055">IF(lenb(SUBSTITUTE($Z1049,V$1&amp;" (1)",""))&lt;lenb($Z1049),1,IF(lenb(SUBSTITUTE($Z1049,V$1&amp;" (2)",""))&lt;lenb($Z1049),2,IF(lenb(SUBSTITUTE($Z1049,V$1&amp;" (3)",""))&lt;lenb($Z1049),3,IF(lenb(SUBSTITUTE($Z1049,V$1&amp;" (4)",""))&lt;lenb($Z1049),4,IF(lenb(SUBSTITUTE($Z1049,V$1&amp;" (5)",""))&lt;lenb($Z1049),5,IF(lenb(SUBSTITUTE($Z1049,V$1&amp;" (6)",""))&lt;lenb($Z1049),6,IF(lenb(SUBSTITUTE($Z1049,V$1&amp;" (7)",""))&lt;lenb($Z1049),1,IF(lenb(SUBSTITUTE($Z1049,V$1&amp;" (8)",""))&lt;lenb($Z1049),8,IF(lenb(SUBSTITUTE($Z1049,V$1&amp;" (9)",""))&lt;lenb($Z1049),9,IF(lenb(SUBSTITUTE($Z1049,V$1&amp;" (10)",""))&lt;lenb($Z1049),10,IF(lenb(SUBSTITUTE($Z1049,V$1,""))&lt;lenb($Z1049),"ERROR",IF($Z1049=$Y$1,"-",0))))))))))))</f>
        <v>2</v>
      </c>
      <c r="W1049" s="52">
        <f t="shared" si="1055"/>
        <v>0</v>
      </c>
      <c r="X1049" s="52">
        <f t="shared" si="1055"/>
        <v>0</v>
      </c>
      <c r="Y1049" s="52" t="str">
        <f t="shared" si="3"/>
        <v>-</v>
      </c>
      <c r="Z1049" s="52" t="s">
        <v>57</v>
      </c>
      <c r="AA1049" s="53">
        <f t="shared" si="4"/>
        <v>2</v>
      </c>
      <c r="AB1049" s="54">
        <f>COUNTIFS(Links!B:B,"ICSE",Links!C:C,A1049,Links!AD:AD,1)</f>
        <v>0</v>
      </c>
      <c r="AC1049" s="55" t="s">
        <v>37</v>
      </c>
      <c r="AD1049" s="47" t="str">
        <f t="shared" si="5"/>
        <v>No</v>
      </c>
      <c r="AE1049" s="56" t="s">
        <v>36</v>
      </c>
      <c r="AF1049" s="57" t="s">
        <v>42</v>
      </c>
      <c r="AG1049" s="57" t="s">
        <v>42</v>
      </c>
      <c r="AH1049" s="57" t="s">
        <v>42</v>
      </c>
      <c r="AI1049" s="49" t="str">
        <f t="shared" si="661"/>
        <v>----</v>
      </c>
      <c r="AJ1049" s="58" t="str">
        <f t="shared" si="7"/>
        <v>Paper has link but no statement</v>
      </c>
      <c r="AK1049" s="59">
        <v>45070.0</v>
      </c>
      <c r="AL1049" s="43" t="s">
        <v>43</v>
      </c>
      <c r="AM1049" s="60" t="str">
        <f t="shared" si="8"/>
        <v>[IP2043]</v>
      </c>
    </row>
    <row r="1050" ht="67.5" customHeight="1">
      <c r="A1050" s="61">
        <v>2044.0</v>
      </c>
      <c r="B1050" s="22" t="s">
        <v>2845</v>
      </c>
      <c r="C1050" s="23">
        <v>2023.0</v>
      </c>
      <c r="D1050" s="24" t="s">
        <v>37</v>
      </c>
      <c r="E1050" s="25" t="s">
        <v>37</v>
      </c>
      <c r="F1050" s="25" t="s">
        <v>35</v>
      </c>
      <c r="G1050" s="25" t="s">
        <v>37</v>
      </c>
      <c r="H1050" s="25" t="s">
        <v>35</v>
      </c>
      <c r="I1050" s="25" t="s">
        <v>35</v>
      </c>
      <c r="J1050" s="26" t="s">
        <v>36</v>
      </c>
      <c r="K1050" s="27" t="s">
        <v>37</v>
      </c>
      <c r="L1050" s="28" t="s">
        <v>35</v>
      </c>
      <c r="M1050" s="28" t="s">
        <v>35</v>
      </c>
      <c r="N1050" s="28" t="s">
        <v>37</v>
      </c>
      <c r="O1050" s="28" t="s">
        <v>35</v>
      </c>
      <c r="P1050" s="28" t="s">
        <v>35</v>
      </c>
      <c r="Q1050" s="28" t="s">
        <v>35</v>
      </c>
      <c r="R1050" s="28" t="s">
        <v>35</v>
      </c>
      <c r="S1050" s="29" t="s">
        <v>289</v>
      </c>
      <c r="T1050" s="30" t="s">
        <v>2846</v>
      </c>
      <c r="U1050" s="31" t="s">
        <v>2846</v>
      </c>
      <c r="V1050" s="32">
        <f t="shared" ref="V1050:X1050" si="1056">IF(lenb(SUBSTITUTE($Z1050,V$1&amp;" (1)",""))&lt;lenb($Z1050),1,IF(lenb(SUBSTITUTE($Z1050,V$1&amp;" (2)",""))&lt;lenb($Z1050),2,IF(lenb(SUBSTITUTE($Z1050,V$1&amp;" (3)",""))&lt;lenb($Z1050),3,IF(lenb(SUBSTITUTE($Z1050,V$1&amp;" (4)",""))&lt;lenb($Z1050),4,IF(lenb(SUBSTITUTE($Z1050,V$1&amp;" (5)",""))&lt;lenb($Z1050),5,IF(lenb(SUBSTITUTE($Z1050,V$1&amp;" (6)",""))&lt;lenb($Z1050),6,IF(lenb(SUBSTITUTE($Z1050,V$1&amp;" (7)",""))&lt;lenb($Z1050),1,IF(lenb(SUBSTITUTE($Z1050,V$1&amp;" (8)",""))&lt;lenb($Z1050),8,IF(lenb(SUBSTITUTE($Z1050,V$1&amp;" (9)",""))&lt;lenb($Z1050),9,IF(lenb(SUBSTITUTE($Z1050,V$1&amp;" (10)",""))&lt;lenb($Z1050),10,IF(lenb(SUBSTITUTE($Z1050,V$1,""))&lt;lenb($Z1050),"ERROR",IF($Z1050=$Y$1,"-",0))))))))))))</f>
        <v>1</v>
      </c>
      <c r="W1050" s="32">
        <f t="shared" si="1056"/>
        <v>0</v>
      </c>
      <c r="X1050" s="32">
        <f t="shared" si="1056"/>
        <v>0</v>
      </c>
      <c r="Y1050" s="32" t="str">
        <f t="shared" si="3"/>
        <v>-</v>
      </c>
      <c r="Z1050" s="32" t="s">
        <v>62</v>
      </c>
      <c r="AA1050" s="33">
        <f t="shared" si="4"/>
        <v>1</v>
      </c>
      <c r="AB1050" s="34">
        <f>COUNTIFS(Links!B:B,"ICSE",Links!C:C,A1050,Links!AD:AD,1)</f>
        <v>0</v>
      </c>
      <c r="AC1050" s="35" t="s">
        <v>35</v>
      </c>
      <c r="AD1050" s="27" t="str">
        <f t="shared" si="5"/>
        <v>No</v>
      </c>
      <c r="AE1050" s="36" t="s">
        <v>36</v>
      </c>
      <c r="AF1050" s="37" t="s">
        <v>42</v>
      </c>
      <c r="AG1050" s="37" t="s">
        <v>42</v>
      </c>
      <c r="AH1050" s="37" t="s">
        <v>42</v>
      </c>
      <c r="AI1050" s="29" t="str">
        <f t="shared" si="661"/>
        <v>----</v>
      </c>
      <c r="AJ1050" s="38" t="str">
        <f t="shared" si="7"/>
        <v>Paper has link but no statement</v>
      </c>
      <c r="AK1050" s="39">
        <v>45070.0</v>
      </c>
      <c r="AL1050" s="23" t="s">
        <v>43</v>
      </c>
      <c r="AM1050" s="40" t="str">
        <f t="shared" si="8"/>
        <v>[IP2044]</v>
      </c>
    </row>
    <row r="1051" ht="67.5" customHeight="1">
      <c r="A1051" s="41">
        <v>2045.0</v>
      </c>
      <c r="B1051" s="42" t="s">
        <v>2847</v>
      </c>
      <c r="C1051" s="43">
        <v>2023.0</v>
      </c>
      <c r="D1051" s="44" t="s">
        <v>35</v>
      </c>
      <c r="E1051" s="45" t="s">
        <v>36</v>
      </c>
      <c r="F1051" s="45" t="s">
        <v>36</v>
      </c>
      <c r="G1051" s="45" t="s">
        <v>36</v>
      </c>
      <c r="H1051" s="45" t="s">
        <v>36</v>
      </c>
      <c r="I1051" s="45" t="s">
        <v>36</v>
      </c>
      <c r="J1051" s="46" t="s">
        <v>36</v>
      </c>
      <c r="K1051" s="47" t="s">
        <v>37</v>
      </c>
      <c r="L1051" s="48" t="s">
        <v>35</v>
      </c>
      <c r="M1051" s="48" t="s">
        <v>35</v>
      </c>
      <c r="N1051" s="48" t="s">
        <v>35</v>
      </c>
      <c r="O1051" s="48" t="s">
        <v>35</v>
      </c>
      <c r="P1051" s="48" t="s">
        <v>35</v>
      </c>
      <c r="Q1051" s="48" t="s">
        <v>37</v>
      </c>
      <c r="R1051" s="48" t="s">
        <v>35</v>
      </c>
      <c r="S1051" s="49" t="s">
        <v>2848</v>
      </c>
      <c r="T1051" s="50" t="s">
        <v>2849</v>
      </c>
      <c r="U1051" s="51" t="s">
        <v>2849</v>
      </c>
      <c r="V1051" s="52">
        <f t="shared" ref="V1051:X1051" si="1057">IF(lenb(SUBSTITUTE($Z1051,V$1&amp;" (1)",""))&lt;lenb($Z1051),1,IF(lenb(SUBSTITUTE($Z1051,V$1&amp;" (2)",""))&lt;lenb($Z1051),2,IF(lenb(SUBSTITUTE($Z1051,V$1&amp;" (3)",""))&lt;lenb($Z1051),3,IF(lenb(SUBSTITUTE($Z1051,V$1&amp;" (4)",""))&lt;lenb($Z1051),4,IF(lenb(SUBSTITUTE($Z1051,V$1&amp;" (5)",""))&lt;lenb($Z1051),5,IF(lenb(SUBSTITUTE($Z1051,V$1&amp;" (6)",""))&lt;lenb($Z1051),6,IF(lenb(SUBSTITUTE($Z1051,V$1&amp;" (7)",""))&lt;lenb($Z1051),1,IF(lenb(SUBSTITUTE($Z1051,V$1&amp;" (8)",""))&lt;lenb($Z1051),8,IF(lenb(SUBSTITUTE($Z1051,V$1&amp;" (9)",""))&lt;lenb($Z1051),9,IF(lenb(SUBSTITUTE($Z1051,V$1&amp;" (10)",""))&lt;lenb($Z1051),10,IF(lenb(SUBSTITUTE($Z1051,V$1,""))&lt;lenb($Z1051),"ERROR",IF($Z1051=$Y$1,"-",0))))))))))))</f>
        <v>1</v>
      </c>
      <c r="W1051" s="52">
        <f t="shared" si="1057"/>
        <v>0</v>
      </c>
      <c r="X1051" s="52">
        <f t="shared" si="1057"/>
        <v>0</v>
      </c>
      <c r="Y1051" s="52" t="str">
        <f t="shared" si="3"/>
        <v>-</v>
      </c>
      <c r="Z1051" s="52" t="s">
        <v>62</v>
      </c>
      <c r="AA1051" s="53">
        <f t="shared" si="4"/>
        <v>1</v>
      </c>
      <c r="AB1051" s="54">
        <f>COUNTIFS(Links!B:B,"ICSE",Links!C:C,A1051,Links!AD:AD,1)</f>
        <v>0</v>
      </c>
      <c r="AC1051" s="55" t="s">
        <v>35</v>
      </c>
      <c r="AD1051" s="47" t="str">
        <f t="shared" si="5"/>
        <v>No</v>
      </c>
      <c r="AE1051" s="56" t="s">
        <v>36</v>
      </c>
      <c r="AF1051" s="57" t="s">
        <v>42</v>
      </c>
      <c r="AG1051" s="57" t="s">
        <v>42</v>
      </c>
      <c r="AH1051" s="57" t="s">
        <v>42</v>
      </c>
      <c r="AI1051" s="49" t="str">
        <f t="shared" si="661"/>
        <v>----</v>
      </c>
      <c r="AJ1051" s="58" t="str">
        <f t="shared" si="7"/>
        <v>Paper has link but no statement</v>
      </c>
      <c r="AK1051" s="59">
        <v>45070.0</v>
      </c>
      <c r="AL1051" s="43" t="s">
        <v>43</v>
      </c>
      <c r="AM1051" s="60" t="str">
        <f t="shared" si="8"/>
        <v>[IP2045]</v>
      </c>
    </row>
    <row r="1052" ht="67.5" customHeight="1">
      <c r="A1052" s="61">
        <v>2046.0</v>
      </c>
      <c r="B1052" s="22" t="s">
        <v>2850</v>
      </c>
      <c r="C1052" s="23">
        <v>2023.0</v>
      </c>
      <c r="D1052" s="24" t="s">
        <v>35</v>
      </c>
      <c r="E1052" s="25" t="s">
        <v>36</v>
      </c>
      <c r="F1052" s="25" t="s">
        <v>36</v>
      </c>
      <c r="G1052" s="25" t="s">
        <v>36</v>
      </c>
      <c r="H1052" s="25" t="s">
        <v>36</v>
      </c>
      <c r="I1052" s="25" t="s">
        <v>36</v>
      </c>
      <c r="J1052" s="26" t="s">
        <v>36</v>
      </c>
      <c r="K1052" s="27" t="s">
        <v>37</v>
      </c>
      <c r="L1052" s="28" t="s">
        <v>35</v>
      </c>
      <c r="M1052" s="28" t="s">
        <v>35</v>
      </c>
      <c r="N1052" s="28" t="s">
        <v>35</v>
      </c>
      <c r="O1052" s="28" t="s">
        <v>35</v>
      </c>
      <c r="P1052" s="28" t="s">
        <v>35</v>
      </c>
      <c r="Q1052" s="28" t="s">
        <v>37</v>
      </c>
      <c r="R1052" s="28" t="s">
        <v>35</v>
      </c>
      <c r="S1052" s="29" t="s">
        <v>2271</v>
      </c>
      <c r="T1052" s="30" t="s">
        <v>2851</v>
      </c>
      <c r="U1052" s="31" t="s">
        <v>2851</v>
      </c>
      <c r="V1052" s="32">
        <f t="shared" ref="V1052:X1052" si="1058">IF(lenb(SUBSTITUTE($Z1052,V$1&amp;" (1)",""))&lt;lenb($Z1052),1,IF(lenb(SUBSTITUTE($Z1052,V$1&amp;" (2)",""))&lt;lenb($Z1052),2,IF(lenb(SUBSTITUTE($Z1052,V$1&amp;" (3)",""))&lt;lenb($Z1052),3,IF(lenb(SUBSTITUTE($Z1052,V$1&amp;" (4)",""))&lt;lenb($Z1052),4,IF(lenb(SUBSTITUTE($Z1052,V$1&amp;" (5)",""))&lt;lenb($Z1052),5,IF(lenb(SUBSTITUTE($Z1052,V$1&amp;" (6)",""))&lt;lenb($Z1052),6,IF(lenb(SUBSTITUTE($Z1052,V$1&amp;" (7)",""))&lt;lenb($Z1052),1,IF(lenb(SUBSTITUTE($Z1052,V$1&amp;" (8)",""))&lt;lenb($Z1052),8,IF(lenb(SUBSTITUTE($Z1052,V$1&amp;" (9)",""))&lt;lenb($Z1052),9,IF(lenb(SUBSTITUTE($Z1052,V$1&amp;" (10)",""))&lt;lenb($Z1052),10,IF(lenb(SUBSTITUTE($Z1052,V$1,""))&lt;lenb($Z1052),"ERROR",IF($Z1052=$Y$1,"-",0))))))))))))</f>
        <v>1</v>
      </c>
      <c r="W1052" s="32">
        <f t="shared" si="1058"/>
        <v>0</v>
      </c>
      <c r="X1052" s="32">
        <f t="shared" si="1058"/>
        <v>0</v>
      </c>
      <c r="Y1052" s="32" t="str">
        <f t="shared" si="3"/>
        <v>-</v>
      </c>
      <c r="Z1052" s="32" t="s">
        <v>62</v>
      </c>
      <c r="AA1052" s="33">
        <f t="shared" si="4"/>
        <v>1</v>
      </c>
      <c r="AB1052" s="34">
        <f>COUNTIFS(Links!B:B,"ICSE",Links!C:C,A1052,Links!AD:AD,1)</f>
        <v>0</v>
      </c>
      <c r="AC1052" s="35" t="s">
        <v>35</v>
      </c>
      <c r="AD1052" s="27" t="str">
        <f t="shared" si="5"/>
        <v>No</v>
      </c>
      <c r="AE1052" s="36" t="s">
        <v>36</v>
      </c>
      <c r="AF1052" s="37" t="s">
        <v>42</v>
      </c>
      <c r="AG1052" s="37" t="s">
        <v>42</v>
      </c>
      <c r="AH1052" s="37" t="s">
        <v>42</v>
      </c>
      <c r="AI1052" s="29" t="str">
        <f t="shared" si="661"/>
        <v>----</v>
      </c>
      <c r="AJ1052" s="38" t="str">
        <f t="shared" si="7"/>
        <v>Paper has link but no statement</v>
      </c>
      <c r="AK1052" s="39">
        <v>45070.0</v>
      </c>
      <c r="AL1052" s="23" t="s">
        <v>43</v>
      </c>
      <c r="AM1052" s="40" t="str">
        <f t="shared" si="8"/>
        <v>[IP2046]</v>
      </c>
    </row>
    <row r="1053" ht="67.5" customHeight="1">
      <c r="A1053" s="41">
        <v>2047.0</v>
      </c>
      <c r="B1053" s="42" t="s">
        <v>2852</v>
      </c>
      <c r="C1053" s="43">
        <v>2023.0</v>
      </c>
      <c r="D1053" s="44" t="s">
        <v>37</v>
      </c>
      <c r="E1053" s="45" t="s">
        <v>37</v>
      </c>
      <c r="F1053" s="45" t="s">
        <v>35</v>
      </c>
      <c r="G1053" s="45" t="s">
        <v>35</v>
      </c>
      <c r="H1053" s="45" t="s">
        <v>35</v>
      </c>
      <c r="I1053" s="45" t="s">
        <v>35</v>
      </c>
      <c r="J1053" s="46" t="s">
        <v>36</v>
      </c>
      <c r="K1053" s="47" t="s">
        <v>37</v>
      </c>
      <c r="L1053" s="48" t="s">
        <v>37</v>
      </c>
      <c r="M1053" s="48" t="s">
        <v>35</v>
      </c>
      <c r="N1053" s="48" t="s">
        <v>35</v>
      </c>
      <c r="O1053" s="48" t="s">
        <v>35</v>
      </c>
      <c r="P1053" s="48" t="s">
        <v>35</v>
      </c>
      <c r="Q1053" s="48" t="s">
        <v>37</v>
      </c>
      <c r="R1053" s="48" t="s">
        <v>35</v>
      </c>
      <c r="S1053" s="49" t="s">
        <v>2853</v>
      </c>
      <c r="T1053" s="50" t="s">
        <v>2854</v>
      </c>
      <c r="U1053" s="51" t="s">
        <v>2855</v>
      </c>
      <c r="V1053" s="52">
        <f t="shared" ref="V1053:X1053" si="1059">IF(lenb(SUBSTITUTE($Z1053,V$1&amp;" (1)",""))&lt;lenb($Z1053),1,IF(lenb(SUBSTITUTE($Z1053,V$1&amp;" (2)",""))&lt;lenb($Z1053),2,IF(lenb(SUBSTITUTE($Z1053,V$1&amp;" (3)",""))&lt;lenb($Z1053),3,IF(lenb(SUBSTITUTE($Z1053,V$1&amp;" (4)",""))&lt;lenb($Z1053),4,IF(lenb(SUBSTITUTE($Z1053,V$1&amp;" (5)",""))&lt;lenb($Z1053),5,IF(lenb(SUBSTITUTE($Z1053,V$1&amp;" (6)",""))&lt;lenb($Z1053),6,IF(lenb(SUBSTITUTE($Z1053,V$1&amp;" (7)",""))&lt;lenb($Z1053),1,IF(lenb(SUBSTITUTE($Z1053,V$1&amp;" (8)",""))&lt;lenb($Z1053),8,IF(lenb(SUBSTITUTE($Z1053,V$1&amp;" (9)",""))&lt;lenb($Z1053),9,IF(lenb(SUBSTITUTE($Z1053,V$1&amp;" (10)",""))&lt;lenb($Z1053),10,IF(lenb(SUBSTITUTE($Z1053,V$1,""))&lt;lenb($Z1053),"ERROR",IF($Z1053=$Y$1,"-",0))))))))))))</f>
        <v>2</v>
      </c>
      <c r="W1053" s="52">
        <f t="shared" si="1059"/>
        <v>0</v>
      </c>
      <c r="X1053" s="52">
        <f t="shared" si="1059"/>
        <v>0</v>
      </c>
      <c r="Y1053" s="52" t="str">
        <f t="shared" si="3"/>
        <v>-</v>
      </c>
      <c r="Z1053" s="52" t="s">
        <v>57</v>
      </c>
      <c r="AA1053" s="53">
        <f t="shared" si="4"/>
        <v>2</v>
      </c>
      <c r="AB1053" s="54">
        <f>COUNTIFS(Links!B:B,"ICSE",Links!C:C,A1053,Links!AD:AD,1)</f>
        <v>0</v>
      </c>
      <c r="AC1053" s="55" t="s">
        <v>37</v>
      </c>
      <c r="AD1053" s="47" t="str">
        <f t="shared" si="5"/>
        <v>No</v>
      </c>
      <c r="AE1053" s="56" t="s">
        <v>36</v>
      </c>
      <c r="AF1053" s="57" t="s">
        <v>42</v>
      </c>
      <c r="AG1053" s="57" t="s">
        <v>42</v>
      </c>
      <c r="AH1053" s="57" t="s">
        <v>42</v>
      </c>
      <c r="AI1053" s="49" t="str">
        <f t="shared" si="661"/>
        <v>----</v>
      </c>
      <c r="AJ1053" s="58" t="str">
        <f t="shared" si="7"/>
        <v>Paper has link but no statement</v>
      </c>
      <c r="AK1053" s="59">
        <v>45070.0</v>
      </c>
      <c r="AL1053" s="43" t="s">
        <v>43</v>
      </c>
      <c r="AM1053" s="60" t="str">
        <f t="shared" si="8"/>
        <v>[IP2047]</v>
      </c>
    </row>
    <row r="1054" ht="67.5" customHeight="1">
      <c r="A1054" s="61">
        <v>2048.0</v>
      </c>
      <c r="B1054" s="22" t="s">
        <v>2856</v>
      </c>
      <c r="C1054" s="23">
        <v>2023.0</v>
      </c>
      <c r="D1054" s="24" t="s">
        <v>35</v>
      </c>
      <c r="E1054" s="25" t="s">
        <v>36</v>
      </c>
      <c r="F1054" s="25" t="s">
        <v>36</v>
      </c>
      <c r="G1054" s="25" t="s">
        <v>36</v>
      </c>
      <c r="H1054" s="25" t="s">
        <v>36</v>
      </c>
      <c r="I1054" s="25" t="s">
        <v>36</v>
      </c>
      <c r="J1054" s="26" t="s">
        <v>36</v>
      </c>
      <c r="K1054" s="27" t="s">
        <v>37</v>
      </c>
      <c r="L1054" s="28" t="s">
        <v>35</v>
      </c>
      <c r="M1054" s="28" t="s">
        <v>37</v>
      </c>
      <c r="N1054" s="28" t="s">
        <v>37</v>
      </c>
      <c r="O1054" s="28" t="s">
        <v>35</v>
      </c>
      <c r="P1054" s="28" t="s">
        <v>35</v>
      </c>
      <c r="Q1054" s="28" t="s">
        <v>35</v>
      </c>
      <c r="R1054" s="28" t="s">
        <v>37</v>
      </c>
      <c r="S1054" s="29" t="s">
        <v>2857</v>
      </c>
      <c r="T1054" s="30" t="s">
        <v>2858</v>
      </c>
      <c r="U1054" s="31" t="s">
        <v>2858</v>
      </c>
      <c r="V1054" s="32">
        <f t="shared" ref="V1054:X1054" si="1060">IF(lenb(SUBSTITUTE($Z1054,V$1&amp;" (1)",""))&lt;lenb($Z1054),1,IF(lenb(SUBSTITUTE($Z1054,V$1&amp;" (2)",""))&lt;lenb($Z1054),2,IF(lenb(SUBSTITUTE($Z1054,V$1&amp;" (3)",""))&lt;lenb($Z1054),3,IF(lenb(SUBSTITUTE($Z1054,V$1&amp;" (4)",""))&lt;lenb($Z1054),4,IF(lenb(SUBSTITUTE($Z1054,V$1&amp;" (5)",""))&lt;lenb($Z1054),5,IF(lenb(SUBSTITUTE($Z1054,V$1&amp;" (6)",""))&lt;lenb($Z1054),6,IF(lenb(SUBSTITUTE($Z1054,V$1&amp;" (7)",""))&lt;lenb($Z1054),1,IF(lenb(SUBSTITUTE($Z1054,V$1&amp;" (8)",""))&lt;lenb($Z1054),8,IF(lenb(SUBSTITUTE($Z1054,V$1&amp;" (9)",""))&lt;lenb($Z1054),9,IF(lenb(SUBSTITUTE($Z1054,V$1&amp;" (10)",""))&lt;lenb($Z1054),10,IF(lenb(SUBSTITUTE($Z1054,V$1,""))&lt;lenb($Z1054),"ERROR",IF($Z1054=$Y$1,"-",0))))))))))))</f>
        <v>1</v>
      </c>
      <c r="W1054" s="32">
        <f t="shared" si="1060"/>
        <v>0</v>
      </c>
      <c r="X1054" s="32">
        <f t="shared" si="1060"/>
        <v>0</v>
      </c>
      <c r="Y1054" s="32" t="str">
        <f t="shared" si="3"/>
        <v>-</v>
      </c>
      <c r="Z1054" s="32" t="s">
        <v>62</v>
      </c>
      <c r="AA1054" s="33">
        <f t="shared" si="4"/>
        <v>1</v>
      </c>
      <c r="AB1054" s="34">
        <f>COUNTIFS(Links!B:B,"ICSE",Links!C:C,A1054,Links!AD:AD,1)</f>
        <v>0</v>
      </c>
      <c r="AC1054" s="35" t="s">
        <v>35</v>
      </c>
      <c r="AD1054" s="27" t="str">
        <f t="shared" si="5"/>
        <v>No</v>
      </c>
      <c r="AE1054" s="36" t="s">
        <v>36</v>
      </c>
      <c r="AF1054" s="37" t="s">
        <v>42</v>
      </c>
      <c r="AG1054" s="37" t="s">
        <v>42</v>
      </c>
      <c r="AH1054" s="37" t="s">
        <v>42</v>
      </c>
      <c r="AI1054" s="29" t="str">
        <f t="shared" si="661"/>
        <v>----</v>
      </c>
      <c r="AJ1054" s="38" t="str">
        <f t="shared" si="7"/>
        <v>Paper has link but no statement</v>
      </c>
      <c r="AK1054" s="39">
        <v>45070.0</v>
      </c>
      <c r="AL1054" s="23" t="s">
        <v>43</v>
      </c>
      <c r="AM1054" s="40" t="str">
        <f t="shared" si="8"/>
        <v>[IP2048]</v>
      </c>
    </row>
    <row r="1055" ht="67.5" customHeight="1">
      <c r="A1055" s="41">
        <v>2049.0</v>
      </c>
      <c r="B1055" s="42" t="s">
        <v>2859</v>
      </c>
      <c r="C1055" s="43">
        <v>2023.0</v>
      </c>
      <c r="D1055" s="44" t="s">
        <v>35</v>
      </c>
      <c r="E1055" s="45" t="s">
        <v>36</v>
      </c>
      <c r="F1055" s="45" t="s">
        <v>36</v>
      </c>
      <c r="G1055" s="45" t="s">
        <v>36</v>
      </c>
      <c r="H1055" s="45" t="s">
        <v>36</v>
      </c>
      <c r="I1055" s="45" t="s">
        <v>36</v>
      </c>
      <c r="J1055" s="46" t="s">
        <v>36</v>
      </c>
      <c r="K1055" s="47" t="s">
        <v>37</v>
      </c>
      <c r="L1055" s="48" t="s">
        <v>37</v>
      </c>
      <c r="M1055" s="48" t="s">
        <v>35</v>
      </c>
      <c r="N1055" s="48" t="s">
        <v>37</v>
      </c>
      <c r="O1055" s="48" t="s">
        <v>35</v>
      </c>
      <c r="P1055" s="48" t="s">
        <v>35</v>
      </c>
      <c r="Q1055" s="48" t="s">
        <v>37</v>
      </c>
      <c r="R1055" s="48" t="s">
        <v>35</v>
      </c>
      <c r="S1055" s="49" t="s">
        <v>2860</v>
      </c>
      <c r="T1055" s="50" t="s">
        <v>2861</v>
      </c>
      <c r="U1055" s="51" t="s">
        <v>2862</v>
      </c>
      <c r="V1055" s="52">
        <f t="shared" ref="V1055:X1055" si="1061">IF(lenb(SUBSTITUTE($Z1055,V$1&amp;" (1)",""))&lt;lenb($Z1055),1,IF(lenb(SUBSTITUTE($Z1055,V$1&amp;" (2)",""))&lt;lenb($Z1055),2,IF(lenb(SUBSTITUTE($Z1055,V$1&amp;" (3)",""))&lt;lenb($Z1055),3,IF(lenb(SUBSTITUTE($Z1055,V$1&amp;" (4)",""))&lt;lenb($Z1055),4,IF(lenb(SUBSTITUTE($Z1055,V$1&amp;" (5)",""))&lt;lenb($Z1055),5,IF(lenb(SUBSTITUTE($Z1055,V$1&amp;" (6)",""))&lt;lenb($Z1055),6,IF(lenb(SUBSTITUTE($Z1055,V$1&amp;" (7)",""))&lt;lenb($Z1055),1,IF(lenb(SUBSTITUTE($Z1055,V$1&amp;" (8)",""))&lt;lenb($Z1055),8,IF(lenb(SUBSTITUTE($Z1055,V$1&amp;" (9)",""))&lt;lenb($Z1055),9,IF(lenb(SUBSTITUTE($Z1055,V$1&amp;" (10)",""))&lt;lenb($Z1055),10,IF(lenb(SUBSTITUTE($Z1055,V$1,""))&lt;lenb($Z1055),"ERROR",IF($Z1055=$Y$1,"-",0))))))))))))</f>
        <v>2</v>
      </c>
      <c r="W1055" s="52">
        <f t="shared" si="1061"/>
        <v>0</v>
      </c>
      <c r="X1055" s="52">
        <f t="shared" si="1061"/>
        <v>0</v>
      </c>
      <c r="Y1055" s="52" t="str">
        <f t="shared" si="3"/>
        <v>-</v>
      </c>
      <c r="Z1055" s="52" t="s">
        <v>57</v>
      </c>
      <c r="AA1055" s="53">
        <f t="shared" si="4"/>
        <v>2</v>
      </c>
      <c r="AB1055" s="54">
        <f>COUNTIFS(Links!B:B,"ICSE",Links!C:C,A1055,Links!AD:AD,1)</f>
        <v>0</v>
      </c>
      <c r="AC1055" s="55" t="s">
        <v>35</v>
      </c>
      <c r="AD1055" s="47" t="str">
        <f t="shared" si="5"/>
        <v>Yes</v>
      </c>
      <c r="AE1055" s="56" t="s">
        <v>2863</v>
      </c>
      <c r="AF1055" s="56" t="s">
        <v>1787</v>
      </c>
      <c r="AG1055" s="57" t="s">
        <v>42</v>
      </c>
      <c r="AH1055" s="57" t="s">
        <v>42</v>
      </c>
      <c r="AI1055" s="49" t="str">
        <f t="shared" si="661"/>
        <v>Barriers (Security issues)</v>
      </c>
      <c r="AJ1055" s="58" t="str">
        <f t="shared" si="7"/>
        <v>Paper has link and statement</v>
      </c>
      <c r="AK1055" s="59">
        <v>45070.0</v>
      </c>
      <c r="AL1055" s="43" t="s">
        <v>43</v>
      </c>
      <c r="AM1055" s="60" t="str">
        <f t="shared" si="8"/>
        <v>[IP2049]</v>
      </c>
    </row>
    <row r="1056" ht="67.5" customHeight="1">
      <c r="A1056" s="61">
        <v>2050.0</v>
      </c>
      <c r="B1056" s="22" t="s">
        <v>2864</v>
      </c>
      <c r="C1056" s="23">
        <v>2023.0</v>
      </c>
      <c r="D1056" s="24" t="s">
        <v>35</v>
      </c>
      <c r="E1056" s="25" t="s">
        <v>36</v>
      </c>
      <c r="F1056" s="25" t="s">
        <v>36</v>
      </c>
      <c r="G1056" s="25" t="s">
        <v>36</v>
      </c>
      <c r="H1056" s="25" t="s">
        <v>36</v>
      </c>
      <c r="I1056" s="25" t="s">
        <v>36</v>
      </c>
      <c r="J1056" s="26" t="s">
        <v>36</v>
      </c>
      <c r="K1056" s="27" t="s">
        <v>37</v>
      </c>
      <c r="L1056" s="28" t="s">
        <v>35</v>
      </c>
      <c r="M1056" s="28" t="s">
        <v>37</v>
      </c>
      <c r="N1056" s="28" t="s">
        <v>35</v>
      </c>
      <c r="O1056" s="28" t="s">
        <v>35</v>
      </c>
      <c r="P1056" s="28" t="s">
        <v>35</v>
      </c>
      <c r="Q1056" s="28" t="s">
        <v>35</v>
      </c>
      <c r="R1056" s="28" t="s">
        <v>37</v>
      </c>
      <c r="S1056" s="29" t="s">
        <v>2865</v>
      </c>
      <c r="T1056" s="30" t="s">
        <v>2866</v>
      </c>
      <c r="U1056" s="31" t="s">
        <v>2866</v>
      </c>
      <c r="V1056" s="32">
        <f t="shared" ref="V1056:X1056" si="1062">IF(lenb(SUBSTITUTE($Z1056,V$1&amp;" (1)",""))&lt;lenb($Z1056),1,IF(lenb(SUBSTITUTE($Z1056,V$1&amp;" (2)",""))&lt;lenb($Z1056),2,IF(lenb(SUBSTITUTE($Z1056,V$1&amp;" (3)",""))&lt;lenb($Z1056),3,IF(lenb(SUBSTITUTE($Z1056,V$1&amp;" (4)",""))&lt;lenb($Z1056),4,IF(lenb(SUBSTITUTE($Z1056,V$1&amp;" (5)",""))&lt;lenb($Z1056),5,IF(lenb(SUBSTITUTE($Z1056,V$1&amp;" (6)",""))&lt;lenb($Z1056),6,IF(lenb(SUBSTITUTE($Z1056,V$1&amp;" (7)",""))&lt;lenb($Z1056),1,IF(lenb(SUBSTITUTE($Z1056,V$1&amp;" (8)",""))&lt;lenb($Z1056),8,IF(lenb(SUBSTITUTE($Z1056,V$1&amp;" (9)",""))&lt;lenb($Z1056),9,IF(lenb(SUBSTITUTE($Z1056,V$1&amp;" (10)",""))&lt;lenb($Z1056),10,IF(lenb(SUBSTITUTE($Z1056,V$1,""))&lt;lenb($Z1056),"ERROR",IF($Z1056=$Y$1,"-",0))))))))))))</f>
        <v>1</v>
      </c>
      <c r="W1056" s="32">
        <f t="shared" si="1062"/>
        <v>0</v>
      </c>
      <c r="X1056" s="32">
        <f t="shared" si="1062"/>
        <v>0</v>
      </c>
      <c r="Y1056" s="32" t="str">
        <f t="shared" si="3"/>
        <v>-</v>
      </c>
      <c r="Z1056" s="32" t="s">
        <v>62</v>
      </c>
      <c r="AA1056" s="33">
        <f t="shared" si="4"/>
        <v>1</v>
      </c>
      <c r="AB1056" s="34">
        <f>COUNTIFS(Links!B:B,"ICSE",Links!C:C,A1056,Links!AD:AD,1)</f>
        <v>0</v>
      </c>
      <c r="AC1056" s="35" t="s">
        <v>37</v>
      </c>
      <c r="AD1056" s="27" t="str">
        <f t="shared" si="5"/>
        <v>No</v>
      </c>
      <c r="AE1056" s="36" t="s">
        <v>36</v>
      </c>
      <c r="AF1056" s="37" t="s">
        <v>42</v>
      </c>
      <c r="AG1056" s="37" t="s">
        <v>42</v>
      </c>
      <c r="AH1056" s="37" t="s">
        <v>42</v>
      </c>
      <c r="AI1056" s="29" t="str">
        <f t="shared" si="661"/>
        <v>----</v>
      </c>
      <c r="AJ1056" s="38" t="str">
        <f t="shared" si="7"/>
        <v>Paper has link but no statement</v>
      </c>
      <c r="AK1056" s="39">
        <v>45070.0</v>
      </c>
      <c r="AL1056" s="23" t="s">
        <v>43</v>
      </c>
      <c r="AM1056" s="40" t="str">
        <f t="shared" si="8"/>
        <v>[IP2050]</v>
      </c>
    </row>
    <row r="1057" ht="67.5" customHeight="1">
      <c r="A1057" s="41">
        <v>2051.0</v>
      </c>
      <c r="B1057" s="42" t="s">
        <v>2867</v>
      </c>
      <c r="C1057" s="43">
        <v>2023.0</v>
      </c>
      <c r="D1057" s="44" t="s">
        <v>35</v>
      </c>
      <c r="E1057" s="45" t="s">
        <v>36</v>
      </c>
      <c r="F1057" s="45" t="s">
        <v>36</v>
      </c>
      <c r="G1057" s="45" t="s">
        <v>36</v>
      </c>
      <c r="H1057" s="45" t="s">
        <v>36</v>
      </c>
      <c r="I1057" s="45" t="s">
        <v>36</v>
      </c>
      <c r="J1057" s="46" t="s">
        <v>36</v>
      </c>
      <c r="K1057" s="47" t="s">
        <v>37</v>
      </c>
      <c r="L1057" s="48" t="s">
        <v>37</v>
      </c>
      <c r="M1057" s="48" t="s">
        <v>35</v>
      </c>
      <c r="N1057" s="48" t="s">
        <v>37</v>
      </c>
      <c r="O1057" s="48" t="s">
        <v>35</v>
      </c>
      <c r="P1057" s="48" t="s">
        <v>35</v>
      </c>
      <c r="Q1057" s="48" t="s">
        <v>35</v>
      </c>
      <c r="R1057" s="48" t="s">
        <v>35</v>
      </c>
      <c r="S1057" s="49" t="s">
        <v>340</v>
      </c>
      <c r="T1057" s="50" t="s">
        <v>2868</v>
      </c>
      <c r="U1057" s="51" t="s">
        <v>2868</v>
      </c>
      <c r="V1057" s="52">
        <f t="shared" ref="V1057:X1057" si="1063">IF(lenb(SUBSTITUTE($Z1057,V$1&amp;" (1)",""))&lt;lenb($Z1057),1,IF(lenb(SUBSTITUTE($Z1057,V$1&amp;" (2)",""))&lt;lenb($Z1057),2,IF(lenb(SUBSTITUTE($Z1057,V$1&amp;" (3)",""))&lt;lenb($Z1057),3,IF(lenb(SUBSTITUTE($Z1057,V$1&amp;" (4)",""))&lt;lenb($Z1057),4,IF(lenb(SUBSTITUTE($Z1057,V$1&amp;" (5)",""))&lt;lenb($Z1057),5,IF(lenb(SUBSTITUTE($Z1057,V$1&amp;" (6)",""))&lt;lenb($Z1057),6,IF(lenb(SUBSTITUTE($Z1057,V$1&amp;" (7)",""))&lt;lenb($Z1057),1,IF(lenb(SUBSTITUTE($Z1057,V$1&amp;" (8)",""))&lt;lenb($Z1057),8,IF(lenb(SUBSTITUTE($Z1057,V$1&amp;" (9)",""))&lt;lenb($Z1057),9,IF(lenb(SUBSTITUTE($Z1057,V$1&amp;" (10)",""))&lt;lenb($Z1057),10,IF(lenb(SUBSTITUTE($Z1057,V$1,""))&lt;lenb($Z1057),"ERROR",IF($Z1057=$Y$1,"-",0))))))))))))</f>
        <v>1</v>
      </c>
      <c r="W1057" s="52">
        <f t="shared" si="1063"/>
        <v>0</v>
      </c>
      <c r="X1057" s="52">
        <f t="shared" si="1063"/>
        <v>0</v>
      </c>
      <c r="Y1057" s="52" t="str">
        <f t="shared" si="3"/>
        <v>-</v>
      </c>
      <c r="Z1057" s="52" t="s">
        <v>62</v>
      </c>
      <c r="AA1057" s="53">
        <f t="shared" si="4"/>
        <v>1</v>
      </c>
      <c r="AB1057" s="54">
        <f>COUNTIFS(Links!B:B,"ICSE",Links!C:C,A1057,Links!AD:AD,1)</f>
        <v>0</v>
      </c>
      <c r="AC1057" s="55" t="s">
        <v>35</v>
      </c>
      <c r="AD1057" s="47" t="str">
        <f t="shared" si="5"/>
        <v>No</v>
      </c>
      <c r="AE1057" s="56" t="s">
        <v>36</v>
      </c>
      <c r="AF1057" s="57" t="s">
        <v>42</v>
      </c>
      <c r="AG1057" s="57" t="s">
        <v>42</v>
      </c>
      <c r="AH1057" s="57" t="s">
        <v>42</v>
      </c>
      <c r="AI1057" s="49" t="str">
        <f t="shared" si="661"/>
        <v>----</v>
      </c>
      <c r="AJ1057" s="58" t="str">
        <f t="shared" si="7"/>
        <v>Paper has link but no statement</v>
      </c>
      <c r="AK1057" s="59">
        <v>45070.0</v>
      </c>
      <c r="AL1057" s="43" t="s">
        <v>43</v>
      </c>
      <c r="AM1057" s="60" t="str">
        <f t="shared" si="8"/>
        <v>[IP2051]</v>
      </c>
    </row>
    <row r="1058" ht="67.5" customHeight="1">
      <c r="A1058" s="61">
        <v>2052.0</v>
      </c>
      <c r="B1058" s="22" t="s">
        <v>2869</v>
      </c>
      <c r="C1058" s="23">
        <v>2023.0</v>
      </c>
      <c r="D1058" s="24" t="s">
        <v>37</v>
      </c>
      <c r="E1058" s="25" t="s">
        <v>37</v>
      </c>
      <c r="F1058" s="25" t="s">
        <v>37</v>
      </c>
      <c r="G1058" s="25" t="s">
        <v>35</v>
      </c>
      <c r="H1058" s="25" t="s">
        <v>35</v>
      </c>
      <c r="I1058" s="25" t="s">
        <v>35</v>
      </c>
      <c r="J1058" s="26" t="s">
        <v>36</v>
      </c>
      <c r="K1058" s="27" t="s">
        <v>37</v>
      </c>
      <c r="L1058" s="28" t="s">
        <v>35</v>
      </c>
      <c r="M1058" s="28" t="s">
        <v>35</v>
      </c>
      <c r="N1058" s="28" t="s">
        <v>37</v>
      </c>
      <c r="O1058" s="28" t="s">
        <v>35</v>
      </c>
      <c r="P1058" s="28" t="s">
        <v>35</v>
      </c>
      <c r="Q1058" s="28" t="s">
        <v>35</v>
      </c>
      <c r="R1058" s="28" t="s">
        <v>35</v>
      </c>
      <c r="S1058" s="29" t="s">
        <v>289</v>
      </c>
      <c r="T1058" s="30" t="s">
        <v>2870</v>
      </c>
      <c r="U1058" s="31" t="s">
        <v>2870</v>
      </c>
      <c r="V1058" s="32">
        <f t="shared" ref="V1058:X1058" si="1064">IF(lenb(SUBSTITUTE($Z1058,V$1&amp;" (1)",""))&lt;lenb($Z1058),1,IF(lenb(SUBSTITUTE($Z1058,V$1&amp;" (2)",""))&lt;lenb($Z1058),2,IF(lenb(SUBSTITUTE($Z1058,V$1&amp;" (3)",""))&lt;lenb($Z1058),3,IF(lenb(SUBSTITUTE($Z1058,V$1&amp;" (4)",""))&lt;lenb($Z1058),4,IF(lenb(SUBSTITUTE($Z1058,V$1&amp;" (5)",""))&lt;lenb($Z1058),5,IF(lenb(SUBSTITUTE($Z1058,V$1&amp;" (6)",""))&lt;lenb($Z1058),6,IF(lenb(SUBSTITUTE($Z1058,V$1&amp;" (7)",""))&lt;lenb($Z1058),1,IF(lenb(SUBSTITUTE($Z1058,V$1&amp;" (8)",""))&lt;lenb($Z1058),8,IF(lenb(SUBSTITUTE($Z1058,V$1&amp;" (9)",""))&lt;lenb($Z1058),9,IF(lenb(SUBSTITUTE($Z1058,V$1&amp;" (10)",""))&lt;lenb($Z1058),10,IF(lenb(SUBSTITUTE($Z1058,V$1,""))&lt;lenb($Z1058),"ERROR",IF($Z1058=$Y$1,"-",0))))))))))))</f>
        <v>1</v>
      </c>
      <c r="W1058" s="32">
        <f t="shared" si="1064"/>
        <v>0</v>
      </c>
      <c r="X1058" s="32">
        <f t="shared" si="1064"/>
        <v>0</v>
      </c>
      <c r="Y1058" s="32" t="str">
        <f t="shared" si="3"/>
        <v>-</v>
      </c>
      <c r="Z1058" s="32" t="s">
        <v>62</v>
      </c>
      <c r="AA1058" s="33">
        <f t="shared" si="4"/>
        <v>1</v>
      </c>
      <c r="AB1058" s="34">
        <f>COUNTIFS(Links!B:B,"ICSE",Links!C:C,A1058,Links!AD:AD,1)</f>
        <v>0</v>
      </c>
      <c r="AC1058" s="35" t="s">
        <v>35</v>
      </c>
      <c r="AD1058" s="27" t="str">
        <f t="shared" si="5"/>
        <v>No</v>
      </c>
      <c r="AE1058" s="36" t="s">
        <v>36</v>
      </c>
      <c r="AF1058" s="37" t="s">
        <v>42</v>
      </c>
      <c r="AG1058" s="37" t="s">
        <v>42</v>
      </c>
      <c r="AH1058" s="37" t="s">
        <v>42</v>
      </c>
      <c r="AI1058" s="29" t="str">
        <f t="shared" si="661"/>
        <v>----</v>
      </c>
      <c r="AJ1058" s="38" t="str">
        <f t="shared" si="7"/>
        <v>Paper has link but no statement</v>
      </c>
      <c r="AK1058" s="39">
        <v>45070.0</v>
      </c>
      <c r="AL1058" s="23" t="s">
        <v>43</v>
      </c>
      <c r="AM1058" s="40" t="str">
        <f t="shared" si="8"/>
        <v>[IP2052]</v>
      </c>
    </row>
    <row r="1059" ht="67.5" customHeight="1">
      <c r="A1059" s="41">
        <v>2053.0</v>
      </c>
      <c r="B1059" s="42" t="s">
        <v>2871</v>
      </c>
      <c r="C1059" s="43">
        <v>2023.0</v>
      </c>
      <c r="D1059" s="44" t="s">
        <v>37</v>
      </c>
      <c r="E1059" s="45" t="s">
        <v>37</v>
      </c>
      <c r="F1059" s="45" t="s">
        <v>35</v>
      </c>
      <c r="G1059" s="45" t="s">
        <v>37</v>
      </c>
      <c r="H1059" s="45" t="s">
        <v>35</v>
      </c>
      <c r="I1059" s="45" t="s">
        <v>35</v>
      </c>
      <c r="J1059" s="46" t="s">
        <v>36</v>
      </c>
      <c r="K1059" s="47" t="s">
        <v>37</v>
      </c>
      <c r="L1059" s="48" t="s">
        <v>37</v>
      </c>
      <c r="M1059" s="48" t="s">
        <v>35</v>
      </c>
      <c r="N1059" s="48" t="s">
        <v>37</v>
      </c>
      <c r="O1059" s="48" t="s">
        <v>35</v>
      </c>
      <c r="P1059" s="48" t="s">
        <v>35</v>
      </c>
      <c r="Q1059" s="48" t="s">
        <v>37</v>
      </c>
      <c r="R1059" s="48" t="s">
        <v>37</v>
      </c>
      <c r="S1059" s="49" t="s">
        <v>2872</v>
      </c>
      <c r="T1059" s="50" t="s">
        <v>2873</v>
      </c>
      <c r="U1059" s="51" t="s">
        <v>2874</v>
      </c>
      <c r="V1059" s="52">
        <f t="shared" ref="V1059:X1059" si="1065">IF(lenb(SUBSTITUTE($Z1059,V$1&amp;" (1)",""))&lt;lenb($Z1059),1,IF(lenb(SUBSTITUTE($Z1059,V$1&amp;" (2)",""))&lt;lenb($Z1059),2,IF(lenb(SUBSTITUTE($Z1059,V$1&amp;" (3)",""))&lt;lenb($Z1059),3,IF(lenb(SUBSTITUTE($Z1059,V$1&amp;" (4)",""))&lt;lenb($Z1059),4,IF(lenb(SUBSTITUTE($Z1059,V$1&amp;" (5)",""))&lt;lenb($Z1059),5,IF(lenb(SUBSTITUTE($Z1059,V$1&amp;" (6)",""))&lt;lenb($Z1059),6,IF(lenb(SUBSTITUTE($Z1059,V$1&amp;" (7)",""))&lt;lenb($Z1059),1,IF(lenb(SUBSTITUTE($Z1059,V$1&amp;" (8)",""))&lt;lenb($Z1059),8,IF(lenb(SUBSTITUTE($Z1059,V$1&amp;" (9)",""))&lt;lenb($Z1059),9,IF(lenb(SUBSTITUTE($Z1059,V$1&amp;" (10)",""))&lt;lenb($Z1059),10,IF(lenb(SUBSTITUTE($Z1059,V$1,""))&lt;lenb($Z1059),"ERROR",IF($Z1059=$Y$1,"-",0))))))))))))</f>
        <v>2</v>
      </c>
      <c r="W1059" s="52">
        <f t="shared" si="1065"/>
        <v>0</v>
      </c>
      <c r="X1059" s="52">
        <f t="shared" si="1065"/>
        <v>0</v>
      </c>
      <c r="Y1059" s="52" t="str">
        <f t="shared" si="3"/>
        <v>-</v>
      </c>
      <c r="Z1059" s="52" t="s">
        <v>57</v>
      </c>
      <c r="AA1059" s="53">
        <f t="shared" si="4"/>
        <v>2</v>
      </c>
      <c r="AB1059" s="54">
        <f>COUNTIFS(Links!B:B,"ICSE",Links!C:C,A1059,Links!AD:AD,1)</f>
        <v>0</v>
      </c>
      <c r="AC1059" s="55" t="s">
        <v>37</v>
      </c>
      <c r="AD1059" s="47" t="str">
        <f t="shared" si="5"/>
        <v>No</v>
      </c>
      <c r="AE1059" s="56" t="s">
        <v>36</v>
      </c>
      <c r="AF1059" s="57" t="s">
        <v>42</v>
      </c>
      <c r="AG1059" s="57" t="s">
        <v>42</v>
      </c>
      <c r="AH1059" s="57" t="s">
        <v>42</v>
      </c>
      <c r="AI1059" s="49" t="str">
        <f t="shared" si="661"/>
        <v>----</v>
      </c>
      <c r="AJ1059" s="58" t="str">
        <f t="shared" si="7"/>
        <v>Paper has link but no statement</v>
      </c>
      <c r="AK1059" s="59">
        <v>45070.0</v>
      </c>
      <c r="AL1059" s="43" t="s">
        <v>43</v>
      </c>
      <c r="AM1059" s="60" t="str">
        <f t="shared" si="8"/>
        <v>[IP2053]</v>
      </c>
    </row>
    <row r="1060" ht="67.5" customHeight="1">
      <c r="A1060" s="61">
        <v>2054.0</v>
      </c>
      <c r="B1060" s="22" t="s">
        <v>2875</v>
      </c>
      <c r="C1060" s="23">
        <v>2023.0</v>
      </c>
      <c r="D1060" s="24" t="s">
        <v>37</v>
      </c>
      <c r="E1060" s="25" t="s">
        <v>37</v>
      </c>
      <c r="F1060" s="25" t="s">
        <v>35</v>
      </c>
      <c r="G1060" s="25" t="s">
        <v>37</v>
      </c>
      <c r="H1060" s="25" t="s">
        <v>35</v>
      </c>
      <c r="I1060" s="25" t="s">
        <v>35</v>
      </c>
      <c r="J1060" s="26" t="s">
        <v>36</v>
      </c>
      <c r="K1060" s="27" t="s">
        <v>37</v>
      </c>
      <c r="L1060" s="28" t="s">
        <v>35</v>
      </c>
      <c r="M1060" s="28" t="s">
        <v>35</v>
      </c>
      <c r="N1060" s="28" t="s">
        <v>35</v>
      </c>
      <c r="O1060" s="28" t="s">
        <v>35</v>
      </c>
      <c r="P1060" s="28" t="s">
        <v>37</v>
      </c>
      <c r="Q1060" s="28" t="s">
        <v>35</v>
      </c>
      <c r="R1060" s="28" t="s">
        <v>37</v>
      </c>
      <c r="S1060" s="29" t="s">
        <v>2876</v>
      </c>
      <c r="T1060" s="30" t="s">
        <v>2877</v>
      </c>
      <c r="U1060" s="31" t="s">
        <v>2878</v>
      </c>
      <c r="V1060" s="32">
        <f t="shared" ref="V1060:X1060" si="1066">IF(lenb(SUBSTITUTE($Z1060,V$1&amp;" (1)",""))&lt;lenb($Z1060),1,IF(lenb(SUBSTITUTE($Z1060,V$1&amp;" (2)",""))&lt;lenb($Z1060),2,IF(lenb(SUBSTITUTE($Z1060,V$1&amp;" (3)",""))&lt;lenb($Z1060),3,IF(lenb(SUBSTITUTE($Z1060,V$1&amp;" (4)",""))&lt;lenb($Z1060),4,IF(lenb(SUBSTITUTE($Z1060,V$1&amp;" (5)",""))&lt;lenb($Z1060),5,IF(lenb(SUBSTITUTE($Z1060,V$1&amp;" (6)",""))&lt;lenb($Z1060),6,IF(lenb(SUBSTITUTE($Z1060,V$1&amp;" (7)",""))&lt;lenb($Z1060),1,IF(lenb(SUBSTITUTE($Z1060,V$1&amp;" (8)",""))&lt;lenb($Z1060),8,IF(lenb(SUBSTITUTE($Z1060,V$1&amp;" (9)",""))&lt;lenb($Z1060),9,IF(lenb(SUBSTITUTE($Z1060,V$1&amp;" (10)",""))&lt;lenb($Z1060),10,IF(lenb(SUBSTITUTE($Z1060,V$1,""))&lt;lenb($Z1060),"ERROR",IF($Z1060=$Y$1,"-",0))))))))))))</f>
        <v>8</v>
      </c>
      <c r="W1060" s="32">
        <f t="shared" si="1066"/>
        <v>0</v>
      </c>
      <c r="X1060" s="32">
        <f t="shared" si="1066"/>
        <v>0</v>
      </c>
      <c r="Y1060" s="32" t="str">
        <f t="shared" si="3"/>
        <v>-</v>
      </c>
      <c r="Z1060" s="32" t="s">
        <v>1732</v>
      </c>
      <c r="AA1060" s="33">
        <f t="shared" si="4"/>
        <v>8</v>
      </c>
      <c r="AB1060" s="34">
        <f>COUNTIFS(Links!B:B,"ICSE",Links!C:C,A1060,Links!AD:AD,1)</f>
        <v>0</v>
      </c>
      <c r="AC1060" s="35" t="s">
        <v>37</v>
      </c>
      <c r="AD1060" s="27" t="str">
        <f t="shared" si="5"/>
        <v>No</v>
      </c>
      <c r="AE1060" s="36" t="s">
        <v>36</v>
      </c>
      <c r="AF1060" s="37" t="s">
        <v>42</v>
      </c>
      <c r="AG1060" s="37" t="s">
        <v>42</v>
      </c>
      <c r="AH1060" s="37" t="s">
        <v>42</v>
      </c>
      <c r="AI1060" s="29" t="str">
        <f t="shared" si="661"/>
        <v>----</v>
      </c>
      <c r="AJ1060" s="38" t="str">
        <f t="shared" si="7"/>
        <v>Paper has link but no statement</v>
      </c>
      <c r="AK1060" s="39">
        <v>45070.0</v>
      </c>
      <c r="AL1060" s="23" t="s">
        <v>43</v>
      </c>
      <c r="AM1060" s="40" t="str">
        <f t="shared" si="8"/>
        <v>[IP2054]</v>
      </c>
    </row>
    <row r="1061" ht="67.5" customHeight="1">
      <c r="A1061" s="41">
        <v>2055.0</v>
      </c>
      <c r="B1061" s="42" t="s">
        <v>2879</v>
      </c>
      <c r="C1061" s="43">
        <v>2023.0</v>
      </c>
      <c r="D1061" s="44" t="s">
        <v>37</v>
      </c>
      <c r="E1061" s="45" t="s">
        <v>37</v>
      </c>
      <c r="F1061" s="45" t="s">
        <v>35</v>
      </c>
      <c r="G1061" s="45" t="s">
        <v>37</v>
      </c>
      <c r="H1061" s="45" t="s">
        <v>35</v>
      </c>
      <c r="I1061" s="45" t="s">
        <v>35</v>
      </c>
      <c r="J1061" s="46" t="s">
        <v>36</v>
      </c>
      <c r="K1061" s="47" t="s">
        <v>37</v>
      </c>
      <c r="L1061" s="48" t="s">
        <v>37</v>
      </c>
      <c r="M1061" s="48" t="s">
        <v>35</v>
      </c>
      <c r="N1061" s="48" t="s">
        <v>37</v>
      </c>
      <c r="O1061" s="48" t="s">
        <v>35</v>
      </c>
      <c r="P1061" s="48" t="s">
        <v>35</v>
      </c>
      <c r="Q1061" s="48" t="s">
        <v>35</v>
      </c>
      <c r="R1061" s="48" t="s">
        <v>35</v>
      </c>
      <c r="S1061" s="49" t="s">
        <v>340</v>
      </c>
      <c r="T1061" s="50" t="s">
        <v>2880</v>
      </c>
      <c r="U1061" s="51" t="s">
        <v>2880</v>
      </c>
      <c r="V1061" s="52">
        <f t="shared" ref="V1061:X1061" si="1067">IF(lenb(SUBSTITUTE($Z1061,V$1&amp;" (1)",""))&lt;lenb($Z1061),1,IF(lenb(SUBSTITUTE($Z1061,V$1&amp;" (2)",""))&lt;lenb($Z1061),2,IF(lenb(SUBSTITUTE($Z1061,V$1&amp;" (3)",""))&lt;lenb($Z1061),3,IF(lenb(SUBSTITUTE($Z1061,V$1&amp;" (4)",""))&lt;lenb($Z1061),4,IF(lenb(SUBSTITUTE($Z1061,V$1&amp;" (5)",""))&lt;lenb($Z1061),5,IF(lenb(SUBSTITUTE($Z1061,V$1&amp;" (6)",""))&lt;lenb($Z1061),6,IF(lenb(SUBSTITUTE($Z1061,V$1&amp;" (7)",""))&lt;lenb($Z1061),1,IF(lenb(SUBSTITUTE($Z1061,V$1&amp;" (8)",""))&lt;lenb($Z1061),8,IF(lenb(SUBSTITUTE($Z1061,V$1&amp;" (9)",""))&lt;lenb($Z1061),9,IF(lenb(SUBSTITUTE($Z1061,V$1&amp;" (10)",""))&lt;lenb($Z1061),10,IF(lenb(SUBSTITUTE($Z1061,V$1,""))&lt;lenb($Z1061),"ERROR",IF($Z1061=$Y$1,"-",0))))))))))))</f>
        <v>1</v>
      </c>
      <c r="W1061" s="52">
        <f t="shared" si="1067"/>
        <v>0</v>
      </c>
      <c r="X1061" s="52">
        <f t="shared" si="1067"/>
        <v>0</v>
      </c>
      <c r="Y1061" s="52" t="str">
        <f t="shared" si="3"/>
        <v>-</v>
      </c>
      <c r="Z1061" s="52" t="s">
        <v>62</v>
      </c>
      <c r="AA1061" s="53">
        <f t="shared" si="4"/>
        <v>1</v>
      </c>
      <c r="AB1061" s="54">
        <f>COUNTIFS(Links!B:B,"ICSE",Links!C:C,A1061,Links!AD:AD,1)</f>
        <v>0</v>
      </c>
      <c r="AC1061" s="55" t="s">
        <v>35</v>
      </c>
      <c r="AD1061" s="47" t="str">
        <f t="shared" si="5"/>
        <v>No</v>
      </c>
      <c r="AE1061" s="56" t="s">
        <v>36</v>
      </c>
      <c r="AF1061" s="57" t="s">
        <v>42</v>
      </c>
      <c r="AG1061" s="57" t="s">
        <v>42</v>
      </c>
      <c r="AH1061" s="57" t="s">
        <v>42</v>
      </c>
      <c r="AI1061" s="49" t="str">
        <f t="shared" si="661"/>
        <v>----</v>
      </c>
      <c r="AJ1061" s="58" t="str">
        <f t="shared" si="7"/>
        <v>Paper has link but no statement</v>
      </c>
      <c r="AK1061" s="59">
        <v>45070.0</v>
      </c>
      <c r="AL1061" s="43" t="s">
        <v>43</v>
      </c>
      <c r="AM1061" s="60" t="str">
        <f t="shared" si="8"/>
        <v>[IP2055]</v>
      </c>
    </row>
    <row r="1062" ht="67.5" customHeight="1">
      <c r="A1062" s="61">
        <v>2056.0</v>
      </c>
      <c r="B1062" s="22" t="s">
        <v>2881</v>
      </c>
      <c r="C1062" s="23">
        <v>2023.0</v>
      </c>
      <c r="D1062" s="24" t="s">
        <v>35</v>
      </c>
      <c r="E1062" s="25" t="s">
        <v>36</v>
      </c>
      <c r="F1062" s="25" t="s">
        <v>36</v>
      </c>
      <c r="G1062" s="25" t="s">
        <v>36</v>
      </c>
      <c r="H1062" s="25" t="s">
        <v>36</v>
      </c>
      <c r="I1062" s="25" t="s">
        <v>36</v>
      </c>
      <c r="J1062" s="26" t="s">
        <v>36</v>
      </c>
      <c r="K1062" s="27" t="s">
        <v>37</v>
      </c>
      <c r="L1062" s="28" t="s">
        <v>37</v>
      </c>
      <c r="M1062" s="28" t="s">
        <v>35</v>
      </c>
      <c r="N1062" s="28" t="s">
        <v>37</v>
      </c>
      <c r="O1062" s="28" t="s">
        <v>35</v>
      </c>
      <c r="P1062" s="28" t="s">
        <v>35</v>
      </c>
      <c r="Q1062" s="28" t="s">
        <v>35</v>
      </c>
      <c r="R1062" s="28" t="s">
        <v>35</v>
      </c>
      <c r="S1062" s="29" t="s">
        <v>340</v>
      </c>
      <c r="T1062" s="30" t="s">
        <v>2882</v>
      </c>
      <c r="U1062" s="31" t="s">
        <v>2882</v>
      </c>
      <c r="V1062" s="32">
        <f t="shared" ref="V1062:X1062" si="1068">IF(lenb(SUBSTITUTE($Z1062,V$1&amp;" (1)",""))&lt;lenb($Z1062),1,IF(lenb(SUBSTITUTE($Z1062,V$1&amp;" (2)",""))&lt;lenb($Z1062),2,IF(lenb(SUBSTITUTE($Z1062,V$1&amp;" (3)",""))&lt;lenb($Z1062),3,IF(lenb(SUBSTITUTE($Z1062,V$1&amp;" (4)",""))&lt;lenb($Z1062),4,IF(lenb(SUBSTITUTE($Z1062,V$1&amp;" (5)",""))&lt;lenb($Z1062),5,IF(lenb(SUBSTITUTE($Z1062,V$1&amp;" (6)",""))&lt;lenb($Z1062),6,IF(lenb(SUBSTITUTE($Z1062,V$1&amp;" (7)",""))&lt;lenb($Z1062),1,IF(lenb(SUBSTITUTE($Z1062,V$1&amp;" (8)",""))&lt;lenb($Z1062),8,IF(lenb(SUBSTITUTE($Z1062,V$1&amp;" (9)",""))&lt;lenb($Z1062),9,IF(lenb(SUBSTITUTE($Z1062,V$1&amp;" (10)",""))&lt;lenb($Z1062),10,IF(lenb(SUBSTITUTE($Z1062,V$1,""))&lt;lenb($Z1062),"ERROR",IF($Z1062=$Y$1,"-",0))))))))))))</f>
        <v>1</v>
      </c>
      <c r="W1062" s="32">
        <f t="shared" si="1068"/>
        <v>0</v>
      </c>
      <c r="X1062" s="32">
        <f t="shared" si="1068"/>
        <v>0</v>
      </c>
      <c r="Y1062" s="32" t="str">
        <f t="shared" si="3"/>
        <v>-</v>
      </c>
      <c r="Z1062" s="32" t="s">
        <v>62</v>
      </c>
      <c r="AA1062" s="33">
        <f t="shared" si="4"/>
        <v>1</v>
      </c>
      <c r="AB1062" s="34">
        <f>COUNTIFS(Links!B:B,"ICSE",Links!C:C,A1062,Links!AD:AD,1)</f>
        <v>0</v>
      </c>
      <c r="AC1062" s="35" t="s">
        <v>35</v>
      </c>
      <c r="AD1062" s="27" t="str">
        <f t="shared" si="5"/>
        <v>No</v>
      </c>
      <c r="AE1062" s="36" t="s">
        <v>36</v>
      </c>
      <c r="AF1062" s="37" t="s">
        <v>42</v>
      </c>
      <c r="AG1062" s="37" t="s">
        <v>42</v>
      </c>
      <c r="AH1062" s="37" t="s">
        <v>42</v>
      </c>
      <c r="AI1062" s="29" t="str">
        <f t="shared" si="661"/>
        <v>----</v>
      </c>
      <c r="AJ1062" s="38" t="str">
        <f t="shared" si="7"/>
        <v>Paper has link but no statement</v>
      </c>
      <c r="AK1062" s="39">
        <v>45070.0</v>
      </c>
      <c r="AL1062" s="23" t="s">
        <v>43</v>
      </c>
      <c r="AM1062" s="40" t="str">
        <f t="shared" si="8"/>
        <v>[IP2056]</v>
      </c>
    </row>
    <row r="1063" ht="67.5" customHeight="1">
      <c r="A1063" s="41">
        <v>2057.0</v>
      </c>
      <c r="B1063" s="42" t="s">
        <v>2883</v>
      </c>
      <c r="C1063" s="43">
        <v>2023.0</v>
      </c>
      <c r="D1063" s="44" t="s">
        <v>35</v>
      </c>
      <c r="E1063" s="45" t="s">
        <v>36</v>
      </c>
      <c r="F1063" s="45" t="s">
        <v>36</v>
      </c>
      <c r="G1063" s="45" t="s">
        <v>36</v>
      </c>
      <c r="H1063" s="45" t="s">
        <v>36</v>
      </c>
      <c r="I1063" s="45" t="s">
        <v>36</v>
      </c>
      <c r="J1063" s="46" t="s">
        <v>36</v>
      </c>
      <c r="K1063" s="47" t="s">
        <v>37</v>
      </c>
      <c r="L1063" s="48" t="s">
        <v>35</v>
      </c>
      <c r="M1063" s="48" t="s">
        <v>37</v>
      </c>
      <c r="N1063" s="48" t="s">
        <v>37</v>
      </c>
      <c r="O1063" s="48" t="s">
        <v>35</v>
      </c>
      <c r="P1063" s="48" t="s">
        <v>35</v>
      </c>
      <c r="Q1063" s="48" t="s">
        <v>35</v>
      </c>
      <c r="R1063" s="48" t="s">
        <v>37</v>
      </c>
      <c r="S1063" s="49" t="s">
        <v>2884</v>
      </c>
      <c r="T1063" s="50" t="s">
        <v>2885</v>
      </c>
      <c r="U1063" s="51" t="s">
        <v>2885</v>
      </c>
      <c r="V1063" s="52">
        <f t="shared" ref="V1063:X1063" si="1069">IF(lenb(SUBSTITUTE($Z1063,V$1&amp;" (1)",""))&lt;lenb($Z1063),1,IF(lenb(SUBSTITUTE($Z1063,V$1&amp;" (2)",""))&lt;lenb($Z1063),2,IF(lenb(SUBSTITUTE($Z1063,V$1&amp;" (3)",""))&lt;lenb($Z1063),3,IF(lenb(SUBSTITUTE($Z1063,V$1&amp;" (4)",""))&lt;lenb($Z1063),4,IF(lenb(SUBSTITUTE($Z1063,V$1&amp;" (5)",""))&lt;lenb($Z1063),5,IF(lenb(SUBSTITUTE($Z1063,V$1&amp;" (6)",""))&lt;lenb($Z1063),6,IF(lenb(SUBSTITUTE($Z1063,V$1&amp;" (7)",""))&lt;lenb($Z1063),1,IF(lenb(SUBSTITUTE($Z1063,V$1&amp;" (8)",""))&lt;lenb($Z1063),8,IF(lenb(SUBSTITUTE($Z1063,V$1&amp;" (9)",""))&lt;lenb($Z1063),9,IF(lenb(SUBSTITUTE($Z1063,V$1&amp;" (10)",""))&lt;lenb($Z1063),10,IF(lenb(SUBSTITUTE($Z1063,V$1,""))&lt;lenb($Z1063),"ERROR",IF($Z1063=$Y$1,"-",0))))))))))))</f>
        <v>1</v>
      </c>
      <c r="W1063" s="52">
        <f t="shared" si="1069"/>
        <v>0</v>
      </c>
      <c r="X1063" s="52">
        <f t="shared" si="1069"/>
        <v>0</v>
      </c>
      <c r="Y1063" s="52" t="str">
        <f t="shared" si="3"/>
        <v>-</v>
      </c>
      <c r="Z1063" s="52" t="s">
        <v>62</v>
      </c>
      <c r="AA1063" s="53">
        <f t="shared" si="4"/>
        <v>1</v>
      </c>
      <c r="AB1063" s="54">
        <f>COUNTIFS(Links!B:B,"ICSE",Links!C:C,A1063,Links!AD:AD,1)</f>
        <v>0</v>
      </c>
      <c r="AC1063" s="55" t="s">
        <v>35</v>
      </c>
      <c r="AD1063" s="47" t="str">
        <f t="shared" si="5"/>
        <v>No</v>
      </c>
      <c r="AE1063" s="56" t="s">
        <v>36</v>
      </c>
      <c r="AF1063" s="57" t="s">
        <v>42</v>
      </c>
      <c r="AG1063" s="57" t="s">
        <v>42</v>
      </c>
      <c r="AH1063" s="57" t="s">
        <v>42</v>
      </c>
      <c r="AI1063" s="49" t="str">
        <f t="shared" si="661"/>
        <v>----</v>
      </c>
      <c r="AJ1063" s="58" t="str">
        <f t="shared" si="7"/>
        <v>Paper has link but no statement</v>
      </c>
      <c r="AK1063" s="59">
        <v>45070.0</v>
      </c>
      <c r="AL1063" s="43" t="s">
        <v>43</v>
      </c>
      <c r="AM1063" s="60" t="str">
        <f t="shared" si="8"/>
        <v>[IP2057]</v>
      </c>
    </row>
    <row r="1064" ht="67.5" customHeight="1">
      <c r="A1064" s="61">
        <v>2058.0</v>
      </c>
      <c r="B1064" s="22" t="s">
        <v>2886</v>
      </c>
      <c r="C1064" s="23">
        <v>2023.0</v>
      </c>
      <c r="D1064" s="24" t="s">
        <v>35</v>
      </c>
      <c r="E1064" s="25" t="s">
        <v>36</v>
      </c>
      <c r="F1064" s="25" t="s">
        <v>36</v>
      </c>
      <c r="G1064" s="25" t="s">
        <v>36</v>
      </c>
      <c r="H1064" s="25" t="s">
        <v>36</v>
      </c>
      <c r="I1064" s="25" t="s">
        <v>36</v>
      </c>
      <c r="J1064" s="26" t="s">
        <v>36</v>
      </c>
      <c r="K1064" s="27" t="s">
        <v>37</v>
      </c>
      <c r="L1064" s="28" t="s">
        <v>37</v>
      </c>
      <c r="M1064" s="28" t="s">
        <v>35</v>
      </c>
      <c r="N1064" s="28" t="s">
        <v>35</v>
      </c>
      <c r="O1064" s="28" t="s">
        <v>35</v>
      </c>
      <c r="P1064" s="28" t="s">
        <v>35</v>
      </c>
      <c r="Q1064" s="28" t="s">
        <v>35</v>
      </c>
      <c r="R1064" s="28" t="s">
        <v>37</v>
      </c>
      <c r="S1064" s="29" t="s">
        <v>2887</v>
      </c>
      <c r="T1064" s="30" t="s">
        <v>2888</v>
      </c>
      <c r="U1064" s="31" t="s">
        <v>2888</v>
      </c>
      <c r="V1064" s="32">
        <f t="shared" ref="V1064:X1064" si="1070">IF(lenb(SUBSTITUTE($Z1064,V$1&amp;" (1)",""))&lt;lenb($Z1064),1,IF(lenb(SUBSTITUTE($Z1064,V$1&amp;" (2)",""))&lt;lenb($Z1064),2,IF(lenb(SUBSTITUTE($Z1064,V$1&amp;" (3)",""))&lt;lenb($Z1064),3,IF(lenb(SUBSTITUTE($Z1064,V$1&amp;" (4)",""))&lt;lenb($Z1064),4,IF(lenb(SUBSTITUTE($Z1064,V$1&amp;" (5)",""))&lt;lenb($Z1064),5,IF(lenb(SUBSTITUTE($Z1064,V$1&amp;" (6)",""))&lt;lenb($Z1064),6,IF(lenb(SUBSTITUTE($Z1064,V$1&amp;" (7)",""))&lt;lenb($Z1064),1,IF(lenb(SUBSTITUTE($Z1064,V$1&amp;" (8)",""))&lt;lenb($Z1064),8,IF(lenb(SUBSTITUTE($Z1064,V$1&amp;" (9)",""))&lt;lenb($Z1064),9,IF(lenb(SUBSTITUTE($Z1064,V$1&amp;" (10)",""))&lt;lenb($Z1064),10,IF(lenb(SUBSTITUTE($Z1064,V$1,""))&lt;lenb($Z1064),"ERROR",IF($Z1064=$Y$1,"-",0))))))))))))</f>
        <v>1</v>
      </c>
      <c r="W1064" s="32">
        <f t="shared" si="1070"/>
        <v>0</v>
      </c>
      <c r="X1064" s="32">
        <f t="shared" si="1070"/>
        <v>0</v>
      </c>
      <c r="Y1064" s="32" t="str">
        <f t="shared" si="3"/>
        <v>-</v>
      </c>
      <c r="Z1064" s="32" t="s">
        <v>62</v>
      </c>
      <c r="AA1064" s="33">
        <f t="shared" si="4"/>
        <v>1</v>
      </c>
      <c r="AB1064" s="34">
        <f>COUNTIFS(Links!B:B,"ICSE",Links!C:C,A1064,Links!AD:AD,1)</f>
        <v>0</v>
      </c>
      <c r="AC1064" s="35" t="s">
        <v>35</v>
      </c>
      <c r="AD1064" s="27" t="str">
        <f t="shared" si="5"/>
        <v>No</v>
      </c>
      <c r="AE1064" s="36" t="s">
        <v>36</v>
      </c>
      <c r="AF1064" s="37" t="s">
        <v>42</v>
      </c>
      <c r="AG1064" s="37" t="s">
        <v>42</v>
      </c>
      <c r="AH1064" s="37" t="s">
        <v>42</v>
      </c>
      <c r="AI1064" s="29" t="str">
        <f t="shared" si="661"/>
        <v>----</v>
      </c>
      <c r="AJ1064" s="38" t="str">
        <f t="shared" si="7"/>
        <v>Paper has link but no statement</v>
      </c>
      <c r="AK1064" s="39">
        <v>45070.0</v>
      </c>
      <c r="AL1064" s="23" t="s">
        <v>43</v>
      </c>
      <c r="AM1064" s="40" t="str">
        <f t="shared" si="8"/>
        <v>[IP2058]</v>
      </c>
    </row>
    <row r="1065" ht="67.5" customHeight="1">
      <c r="A1065" s="41">
        <v>2059.0</v>
      </c>
      <c r="B1065" s="42" t="s">
        <v>2889</v>
      </c>
      <c r="C1065" s="43">
        <v>2023.0</v>
      </c>
      <c r="D1065" s="44" t="s">
        <v>35</v>
      </c>
      <c r="E1065" s="45" t="s">
        <v>36</v>
      </c>
      <c r="F1065" s="45" t="s">
        <v>36</v>
      </c>
      <c r="G1065" s="45" t="s">
        <v>36</v>
      </c>
      <c r="H1065" s="45" t="s">
        <v>36</v>
      </c>
      <c r="I1065" s="45" t="s">
        <v>36</v>
      </c>
      <c r="J1065" s="46" t="s">
        <v>36</v>
      </c>
      <c r="K1065" s="47" t="s">
        <v>37</v>
      </c>
      <c r="L1065" s="48" t="s">
        <v>35</v>
      </c>
      <c r="M1065" s="48" t="s">
        <v>37</v>
      </c>
      <c r="N1065" s="48" t="s">
        <v>35</v>
      </c>
      <c r="O1065" s="48" t="s">
        <v>35</v>
      </c>
      <c r="P1065" s="48" t="s">
        <v>35</v>
      </c>
      <c r="Q1065" s="48" t="s">
        <v>37</v>
      </c>
      <c r="R1065" s="48" t="s">
        <v>37</v>
      </c>
      <c r="S1065" s="49" t="s">
        <v>2890</v>
      </c>
      <c r="T1065" s="50" t="s">
        <v>2891</v>
      </c>
      <c r="U1065" s="51" t="s">
        <v>2891</v>
      </c>
      <c r="V1065" s="52">
        <f t="shared" ref="V1065:X1065" si="1071">IF(lenb(SUBSTITUTE($Z1065,V$1&amp;" (1)",""))&lt;lenb($Z1065),1,IF(lenb(SUBSTITUTE($Z1065,V$1&amp;" (2)",""))&lt;lenb($Z1065),2,IF(lenb(SUBSTITUTE($Z1065,V$1&amp;" (3)",""))&lt;lenb($Z1065),3,IF(lenb(SUBSTITUTE($Z1065,V$1&amp;" (4)",""))&lt;lenb($Z1065),4,IF(lenb(SUBSTITUTE($Z1065,V$1&amp;" (5)",""))&lt;lenb($Z1065),5,IF(lenb(SUBSTITUTE($Z1065,V$1&amp;" (6)",""))&lt;lenb($Z1065),6,IF(lenb(SUBSTITUTE($Z1065,V$1&amp;" (7)",""))&lt;lenb($Z1065),1,IF(lenb(SUBSTITUTE($Z1065,V$1&amp;" (8)",""))&lt;lenb($Z1065),8,IF(lenb(SUBSTITUTE($Z1065,V$1&amp;" (9)",""))&lt;lenb($Z1065),9,IF(lenb(SUBSTITUTE($Z1065,V$1&amp;" (10)",""))&lt;lenb($Z1065),10,IF(lenb(SUBSTITUTE($Z1065,V$1,""))&lt;lenb($Z1065),"ERROR",IF($Z1065=$Y$1,"-",0))))))))))))</f>
        <v>1</v>
      </c>
      <c r="W1065" s="52">
        <f t="shared" si="1071"/>
        <v>0</v>
      </c>
      <c r="X1065" s="52">
        <f t="shared" si="1071"/>
        <v>0</v>
      </c>
      <c r="Y1065" s="52" t="str">
        <f t="shared" si="3"/>
        <v>-</v>
      </c>
      <c r="Z1065" s="52" t="s">
        <v>62</v>
      </c>
      <c r="AA1065" s="53">
        <f t="shared" si="4"/>
        <v>1</v>
      </c>
      <c r="AB1065" s="54">
        <f>COUNTIFS(Links!B:B,"ICSE",Links!C:C,A1065,Links!AD:AD,1)</f>
        <v>0</v>
      </c>
      <c r="AC1065" s="55" t="s">
        <v>37</v>
      </c>
      <c r="AD1065" s="47" t="str">
        <f t="shared" si="5"/>
        <v>No</v>
      </c>
      <c r="AE1065" s="56" t="s">
        <v>36</v>
      </c>
      <c r="AF1065" s="57" t="s">
        <v>42</v>
      </c>
      <c r="AG1065" s="57" t="s">
        <v>42</v>
      </c>
      <c r="AH1065" s="57" t="s">
        <v>42</v>
      </c>
      <c r="AI1065" s="49" t="str">
        <f t="shared" si="661"/>
        <v>----</v>
      </c>
      <c r="AJ1065" s="58" t="str">
        <f t="shared" si="7"/>
        <v>Paper has link but no statement</v>
      </c>
      <c r="AK1065" s="59">
        <v>45070.0</v>
      </c>
      <c r="AL1065" s="43" t="s">
        <v>43</v>
      </c>
      <c r="AM1065" s="60" t="str">
        <f t="shared" si="8"/>
        <v>[IP2059]</v>
      </c>
    </row>
    <row r="1066" ht="67.5" customHeight="1">
      <c r="A1066" s="61">
        <v>2060.0</v>
      </c>
      <c r="B1066" s="22" t="s">
        <v>2892</v>
      </c>
      <c r="C1066" s="23">
        <v>2023.0</v>
      </c>
      <c r="D1066" s="24" t="s">
        <v>37</v>
      </c>
      <c r="E1066" s="25" t="s">
        <v>37</v>
      </c>
      <c r="F1066" s="25" t="s">
        <v>35</v>
      </c>
      <c r="G1066" s="25" t="s">
        <v>37</v>
      </c>
      <c r="H1066" s="25" t="s">
        <v>35</v>
      </c>
      <c r="I1066" s="25" t="s">
        <v>35</v>
      </c>
      <c r="J1066" s="26" t="s">
        <v>36</v>
      </c>
      <c r="K1066" s="27" t="s">
        <v>37</v>
      </c>
      <c r="L1066" s="28" t="s">
        <v>37</v>
      </c>
      <c r="M1066" s="28" t="s">
        <v>37</v>
      </c>
      <c r="N1066" s="28" t="s">
        <v>35</v>
      </c>
      <c r="O1066" s="28" t="s">
        <v>35</v>
      </c>
      <c r="P1066" s="28" t="s">
        <v>35</v>
      </c>
      <c r="Q1066" s="28" t="s">
        <v>35</v>
      </c>
      <c r="R1066" s="28" t="s">
        <v>37</v>
      </c>
      <c r="S1066" s="29" t="s">
        <v>2893</v>
      </c>
      <c r="T1066" s="30" t="s">
        <v>2894</v>
      </c>
      <c r="U1066" s="31" t="s">
        <v>2894</v>
      </c>
      <c r="V1066" s="32">
        <f t="shared" ref="V1066:X1066" si="1072">IF(lenb(SUBSTITUTE($Z1066,V$1&amp;" (1)",""))&lt;lenb($Z1066),1,IF(lenb(SUBSTITUTE($Z1066,V$1&amp;" (2)",""))&lt;lenb($Z1066),2,IF(lenb(SUBSTITUTE($Z1066,V$1&amp;" (3)",""))&lt;lenb($Z1066),3,IF(lenb(SUBSTITUTE($Z1066,V$1&amp;" (4)",""))&lt;lenb($Z1066),4,IF(lenb(SUBSTITUTE($Z1066,V$1&amp;" (5)",""))&lt;lenb($Z1066),5,IF(lenb(SUBSTITUTE($Z1066,V$1&amp;" (6)",""))&lt;lenb($Z1066),6,IF(lenb(SUBSTITUTE($Z1066,V$1&amp;" (7)",""))&lt;lenb($Z1066),1,IF(lenb(SUBSTITUTE($Z1066,V$1&amp;" (8)",""))&lt;lenb($Z1066),8,IF(lenb(SUBSTITUTE($Z1066,V$1&amp;" (9)",""))&lt;lenb($Z1066),9,IF(lenb(SUBSTITUTE($Z1066,V$1&amp;" (10)",""))&lt;lenb($Z1066),10,IF(lenb(SUBSTITUTE($Z1066,V$1,""))&lt;lenb($Z1066),"ERROR",IF($Z1066=$Y$1,"-",0))))))))))))</f>
        <v>2</v>
      </c>
      <c r="W1066" s="32">
        <f t="shared" si="1072"/>
        <v>0</v>
      </c>
      <c r="X1066" s="32">
        <f t="shared" si="1072"/>
        <v>0</v>
      </c>
      <c r="Y1066" s="32" t="str">
        <f t="shared" si="3"/>
        <v>-</v>
      </c>
      <c r="Z1066" s="32" t="s">
        <v>57</v>
      </c>
      <c r="AA1066" s="33">
        <f t="shared" si="4"/>
        <v>2</v>
      </c>
      <c r="AB1066" s="34">
        <f>COUNTIFS(Links!B:B,"ICSE",Links!C:C,A1066,Links!AD:AD,1)</f>
        <v>0</v>
      </c>
      <c r="AC1066" s="35" t="s">
        <v>35</v>
      </c>
      <c r="AD1066" s="27" t="str">
        <f t="shared" si="5"/>
        <v>Yes</v>
      </c>
      <c r="AE1066" s="36" t="s">
        <v>2895</v>
      </c>
      <c r="AF1066" s="36" t="s">
        <v>2138</v>
      </c>
      <c r="AG1066" s="37" t="s">
        <v>42</v>
      </c>
      <c r="AH1066" s="37" t="s">
        <v>42</v>
      </c>
      <c r="AI1066" s="29" t="str">
        <f t="shared" si="661"/>
        <v>No reason (—)</v>
      </c>
      <c r="AJ1066" s="38" t="str">
        <f t="shared" si="7"/>
        <v>Paper has link and statement</v>
      </c>
      <c r="AK1066" s="39">
        <v>45070.0</v>
      </c>
      <c r="AL1066" s="23" t="s">
        <v>43</v>
      </c>
      <c r="AM1066" s="40" t="str">
        <f t="shared" si="8"/>
        <v>[IP2060]</v>
      </c>
    </row>
    <row r="1067" ht="67.5" customHeight="1">
      <c r="A1067" s="41">
        <v>2061.0</v>
      </c>
      <c r="B1067" s="42" t="s">
        <v>2896</v>
      </c>
      <c r="C1067" s="43">
        <v>2023.0</v>
      </c>
      <c r="D1067" s="44" t="s">
        <v>37</v>
      </c>
      <c r="E1067" s="45" t="s">
        <v>37</v>
      </c>
      <c r="F1067" s="45" t="s">
        <v>35</v>
      </c>
      <c r="G1067" s="45" t="s">
        <v>35</v>
      </c>
      <c r="H1067" s="45" t="s">
        <v>35</v>
      </c>
      <c r="I1067" s="45" t="s">
        <v>35</v>
      </c>
      <c r="J1067" s="46" t="s">
        <v>36</v>
      </c>
      <c r="K1067" s="47" t="s">
        <v>37</v>
      </c>
      <c r="L1067" s="48" t="s">
        <v>37</v>
      </c>
      <c r="M1067" s="48" t="s">
        <v>35</v>
      </c>
      <c r="N1067" s="48" t="s">
        <v>35</v>
      </c>
      <c r="O1067" s="48" t="s">
        <v>37</v>
      </c>
      <c r="P1067" s="48" t="s">
        <v>35</v>
      </c>
      <c r="Q1067" s="48" t="s">
        <v>35</v>
      </c>
      <c r="R1067" s="48" t="s">
        <v>35</v>
      </c>
      <c r="S1067" s="49" t="s">
        <v>2897</v>
      </c>
      <c r="T1067" s="50" t="s">
        <v>2898</v>
      </c>
      <c r="U1067" s="51" t="s">
        <v>2898</v>
      </c>
      <c r="V1067" s="52">
        <f t="shared" ref="V1067:X1067" si="1073">IF(lenb(SUBSTITUTE($Z1067,V$1&amp;" (1)",""))&lt;lenb($Z1067),1,IF(lenb(SUBSTITUTE($Z1067,V$1&amp;" (2)",""))&lt;lenb($Z1067),2,IF(lenb(SUBSTITUTE($Z1067,V$1&amp;" (3)",""))&lt;lenb($Z1067),3,IF(lenb(SUBSTITUTE($Z1067,V$1&amp;" (4)",""))&lt;lenb($Z1067),4,IF(lenb(SUBSTITUTE($Z1067,V$1&amp;" (5)",""))&lt;lenb($Z1067),5,IF(lenb(SUBSTITUTE($Z1067,V$1&amp;" (6)",""))&lt;lenb($Z1067),6,IF(lenb(SUBSTITUTE($Z1067,V$1&amp;" (7)",""))&lt;lenb($Z1067),1,IF(lenb(SUBSTITUTE($Z1067,V$1&amp;" (8)",""))&lt;lenb($Z1067),8,IF(lenb(SUBSTITUTE($Z1067,V$1&amp;" (9)",""))&lt;lenb($Z1067),9,IF(lenb(SUBSTITUTE($Z1067,V$1&amp;" (10)",""))&lt;lenb($Z1067),10,IF(lenb(SUBSTITUTE($Z1067,V$1,""))&lt;lenb($Z1067),"ERROR",IF($Z1067=$Y$1,"-",0))))))))))))</f>
        <v>1</v>
      </c>
      <c r="W1067" s="52">
        <f t="shared" si="1073"/>
        <v>0</v>
      </c>
      <c r="X1067" s="52">
        <f t="shared" si="1073"/>
        <v>0</v>
      </c>
      <c r="Y1067" s="52" t="str">
        <f t="shared" si="3"/>
        <v>-</v>
      </c>
      <c r="Z1067" s="52" t="s">
        <v>62</v>
      </c>
      <c r="AA1067" s="53">
        <f t="shared" si="4"/>
        <v>1</v>
      </c>
      <c r="AB1067" s="54">
        <f>COUNTIFS(Links!B:B,"ICSE",Links!C:C,A1067,Links!AD:AD,1)</f>
        <v>0</v>
      </c>
      <c r="AC1067" s="55" t="s">
        <v>37</v>
      </c>
      <c r="AD1067" s="47" t="str">
        <f t="shared" si="5"/>
        <v>No</v>
      </c>
      <c r="AE1067" s="56" t="s">
        <v>36</v>
      </c>
      <c r="AF1067" s="57" t="s">
        <v>42</v>
      </c>
      <c r="AG1067" s="57" t="s">
        <v>42</v>
      </c>
      <c r="AH1067" s="57" t="s">
        <v>42</v>
      </c>
      <c r="AI1067" s="49" t="str">
        <f t="shared" si="661"/>
        <v>----</v>
      </c>
      <c r="AJ1067" s="58" t="str">
        <f t="shared" si="7"/>
        <v>Paper has link but no statement</v>
      </c>
      <c r="AK1067" s="59">
        <v>45070.0</v>
      </c>
      <c r="AL1067" s="43" t="s">
        <v>43</v>
      </c>
      <c r="AM1067" s="60" t="str">
        <f t="shared" si="8"/>
        <v>[IP2061]</v>
      </c>
    </row>
    <row r="1068" ht="67.5" customHeight="1">
      <c r="A1068" s="61">
        <v>2062.0</v>
      </c>
      <c r="B1068" s="22" t="s">
        <v>2899</v>
      </c>
      <c r="C1068" s="23">
        <v>2023.0</v>
      </c>
      <c r="D1068" s="24" t="s">
        <v>35</v>
      </c>
      <c r="E1068" s="25" t="s">
        <v>36</v>
      </c>
      <c r="F1068" s="25" t="s">
        <v>36</v>
      </c>
      <c r="G1068" s="25" t="s">
        <v>36</v>
      </c>
      <c r="H1068" s="25" t="s">
        <v>36</v>
      </c>
      <c r="I1068" s="25" t="s">
        <v>36</v>
      </c>
      <c r="J1068" s="26" t="s">
        <v>36</v>
      </c>
      <c r="K1068" s="27" t="s">
        <v>37</v>
      </c>
      <c r="L1068" s="28" t="s">
        <v>37</v>
      </c>
      <c r="M1068" s="28" t="s">
        <v>35</v>
      </c>
      <c r="N1068" s="28" t="s">
        <v>35</v>
      </c>
      <c r="O1068" s="28" t="s">
        <v>35</v>
      </c>
      <c r="P1068" s="28" t="s">
        <v>35</v>
      </c>
      <c r="Q1068" s="28" t="s">
        <v>37</v>
      </c>
      <c r="R1068" s="28" t="s">
        <v>35</v>
      </c>
      <c r="S1068" s="29" t="s">
        <v>2900</v>
      </c>
      <c r="T1068" s="30" t="s">
        <v>2901</v>
      </c>
      <c r="U1068" s="31" t="s">
        <v>2902</v>
      </c>
      <c r="V1068" s="32">
        <f t="shared" ref="V1068:X1068" si="1074">IF(lenb(SUBSTITUTE($Z1068,V$1&amp;" (1)",""))&lt;lenb($Z1068),1,IF(lenb(SUBSTITUTE($Z1068,V$1&amp;" (2)",""))&lt;lenb($Z1068),2,IF(lenb(SUBSTITUTE($Z1068,V$1&amp;" (3)",""))&lt;lenb($Z1068),3,IF(lenb(SUBSTITUTE($Z1068,V$1&amp;" (4)",""))&lt;lenb($Z1068),4,IF(lenb(SUBSTITUTE($Z1068,V$1&amp;" (5)",""))&lt;lenb($Z1068),5,IF(lenb(SUBSTITUTE($Z1068,V$1&amp;" (6)",""))&lt;lenb($Z1068),6,IF(lenb(SUBSTITUTE($Z1068,V$1&amp;" (7)",""))&lt;lenb($Z1068),1,IF(lenb(SUBSTITUTE($Z1068,V$1&amp;" (8)",""))&lt;lenb($Z1068),8,IF(lenb(SUBSTITUTE($Z1068,V$1&amp;" (9)",""))&lt;lenb($Z1068),9,IF(lenb(SUBSTITUTE($Z1068,V$1&amp;" (10)",""))&lt;lenb($Z1068),10,IF(lenb(SUBSTITUTE($Z1068,V$1,""))&lt;lenb($Z1068),"ERROR",IF($Z1068=$Y$1,"-",0))))))))))))</f>
        <v>2</v>
      </c>
      <c r="W1068" s="32">
        <f t="shared" si="1074"/>
        <v>0</v>
      </c>
      <c r="X1068" s="32">
        <f t="shared" si="1074"/>
        <v>0</v>
      </c>
      <c r="Y1068" s="32" t="str">
        <f t="shared" si="3"/>
        <v>-</v>
      </c>
      <c r="Z1068" s="32" t="s">
        <v>57</v>
      </c>
      <c r="AA1068" s="33">
        <f t="shared" si="4"/>
        <v>2</v>
      </c>
      <c r="AB1068" s="34">
        <f>COUNTIFS(Links!B:B,"ICSE",Links!C:C,A1068,Links!AD:AD,1)</f>
        <v>0</v>
      </c>
      <c r="AC1068" s="35" t="s">
        <v>37</v>
      </c>
      <c r="AD1068" s="27" t="str">
        <f t="shared" si="5"/>
        <v>No</v>
      </c>
      <c r="AE1068" s="36" t="s">
        <v>36</v>
      </c>
      <c r="AF1068" s="37" t="s">
        <v>42</v>
      </c>
      <c r="AG1068" s="37" t="s">
        <v>42</v>
      </c>
      <c r="AH1068" s="37" t="s">
        <v>42</v>
      </c>
      <c r="AI1068" s="29" t="str">
        <f t="shared" si="661"/>
        <v>----</v>
      </c>
      <c r="AJ1068" s="38" t="str">
        <f t="shared" si="7"/>
        <v>Paper has link but no statement</v>
      </c>
      <c r="AK1068" s="39">
        <v>45070.0</v>
      </c>
      <c r="AL1068" s="23" t="s">
        <v>43</v>
      </c>
      <c r="AM1068" s="40" t="str">
        <f t="shared" si="8"/>
        <v>[IP2062]</v>
      </c>
    </row>
    <row r="1069" ht="67.5" customHeight="1">
      <c r="A1069" s="41">
        <v>2063.0</v>
      </c>
      <c r="B1069" s="42" t="s">
        <v>2903</v>
      </c>
      <c r="C1069" s="43">
        <v>2023.0</v>
      </c>
      <c r="D1069" s="44" t="s">
        <v>37</v>
      </c>
      <c r="E1069" s="45" t="s">
        <v>37</v>
      </c>
      <c r="F1069" s="45" t="s">
        <v>37</v>
      </c>
      <c r="G1069" s="45" t="s">
        <v>35</v>
      </c>
      <c r="H1069" s="45" t="s">
        <v>35</v>
      </c>
      <c r="I1069" s="45" t="s">
        <v>35</v>
      </c>
      <c r="J1069" s="46" t="s">
        <v>36</v>
      </c>
      <c r="K1069" s="47" t="s">
        <v>37</v>
      </c>
      <c r="L1069" s="48" t="s">
        <v>35</v>
      </c>
      <c r="M1069" s="48" t="s">
        <v>37</v>
      </c>
      <c r="N1069" s="48" t="s">
        <v>35</v>
      </c>
      <c r="O1069" s="48" t="s">
        <v>35</v>
      </c>
      <c r="P1069" s="48" t="s">
        <v>35</v>
      </c>
      <c r="Q1069" s="48" t="s">
        <v>37</v>
      </c>
      <c r="R1069" s="48" t="s">
        <v>37</v>
      </c>
      <c r="S1069" s="49" t="s">
        <v>2904</v>
      </c>
      <c r="T1069" s="50" t="s">
        <v>2905</v>
      </c>
      <c r="U1069" s="51" t="s">
        <v>2905</v>
      </c>
      <c r="V1069" s="52">
        <f t="shared" ref="V1069:X1069" si="1075">IF(lenb(SUBSTITUTE($Z1069,V$1&amp;" (1)",""))&lt;lenb($Z1069),1,IF(lenb(SUBSTITUTE($Z1069,V$1&amp;" (2)",""))&lt;lenb($Z1069),2,IF(lenb(SUBSTITUTE($Z1069,V$1&amp;" (3)",""))&lt;lenb($Z1069),3,IF(lenb(SUBSTITUTE($Z1069,V$1&amp;" (4)",""))&lt;lenb($Z1069),4,IF(lenb(SUBSTITUTE($Z1069,V$1&amp;" (5)",""))&lt;lenb($Z1069),5,IF(lenb(SUBSTITUTE($Z1069,V$1&amp;" (6)",""))&lt;lenb($Z1069),6,IF(lenb(SUBSTITUTE($Z1069,V$1&amp;" (7)",""))&lt;lenb($Z1069),1,IF(lenb(SUBSTITUTE($Z1069,V$1&amp;" (8)",""))&lt;lenb($Z1069),8,IF(lenb(SUBSTITUTE($Z1069,V$1&amp;" (9)",""))&lt;lenb($Z1069),9,IF(lenb(SUBSTITUTE($Z1069,V$1&amp;" (10)",""))&lt;lenb($Z1069),10,IF(lenb(SUBSTITUTE($Z1069,V$1,""))&lt;lenb($Z1069),"ERROR",IF($Z1069=$Y$1,"-",0))))))))))))</f>
        <v>1</v>
      </c>
      <c r="W1069" s="52">
        <f t="shared" si="1075"/>
        <v>0</v>
      </c>
      <c r="X1069" s="52">
        <f t="shared" si="1075"/>
        <v>0</v>
      </c>
      <c r="Y1069" s="52" t="str">
        <f t="shared" si="3"/>
        <v>-</v>
      </c>
      <c r="Z1069" s="52" t="s">
        <v>62</v>
      </c>
      <c r="AA1069" s="53">
        <f t="shared" si="4"/>
        <v>1</v>
      </c>
      <c r="AB1069" s="54">
        <f>COUNTIFS(Links!B:B,"ICSE",Links!C:C,A1069,Links!AD:AD,1)</f>
        <v>0</v>
      </c>
      <c r="AC1069" s="55" t="s">
        <v>37</v>
      </c>
      <c r="AD1069" s="47" t="str">
        <f t="shared" si="5"/>
        <v>No</v>
      </c>
      <c r="AE1069" s="56" t="s">
        <v>36</v>
      </c>
      <c r="AF1069" s="57" t="s">
        <v>42</v>
      </c>
      <c r="AG1069" s="57" t="s">
        <v>42</v>
      </c>
      <c r="AH1069" s="57" t="s">
        <v>42</v>
      </c>
      <c r="AI1069" s="49" t="str">
        <f t="shared" si="661"/>
        <v>----</v>
      </c>
      <c r="AJ1069" s="58" t="str">
        <f t="shared" si="7"/>
        <v>Paper has link but no statement</v>
      </c>
      <c r="AK1069" s="59">
        <v>45070.0</v>
      </c>
      <c r="AL1069" s="43" t="s">
        <v>43</v>
      </c>
      <c r="AM1069" s="60" t="str">
        <f t="shared" si="8"/>
        <v>[IP2063]</v>
      </c>
    </row>
    <row r="1070" ht="67.5" customHeight="1">
      <c r="A1070" s="61">
        <v>2064.0</v>
      </c>
      <c r="B1070" s="22" t="s">
        <v>2906</v>
      </c>
      <c r="C1070" s="23">
        <v>2023.0</v>
      </c>
      <c r="D1070" s="24" t="s">
        <v>37</v>
      </c>
      <c r="E1070" s="25" t="s">
        <v>37</v>
      </c>
      <c r="F1070" s="25" t="s">
        <v>35</v>
      </c>
      <c r="G1070" s="25" t="s">
        <v>35</v>
      </c>
      <c r="H1070" s="25" t="s">
        <v>35</v>
      </c>
      <c r="I1070" s="25" t="s">
        <v>35</v>
      </c>
      <c r="J1070" s="26" t="s">
        <v>36</v>
      </c>
      <c r="K1070" s="27" t="s">
        <v>37</v>
      </c>
      <c r="L1070" s="28" t="s">
        <v>35</v>
      </c>
      <c r="M1070" s="28" t="s">
        <v>35</v>
      </c>
      <c r="N1070" s="28" t="s">
        <v>35</v>
      </c>
      <c r="O1070" s="28" t="s">
        <v>37</v>
      </c>
      <c r="P1070" s="28" t="s">
        <v>35</v>
      </c>
      <c r="Q1070" s="28" t="s">
        <v>35</v>
      </c>
      <c r="R1070" s="28" t="s">
        <v>35</v>
      </c>
      <c r="S1070" s="29" t="s">
        <v>380</v>
      </c>
      <c r="T1070" s="30" t="s">
        <v>2907</v>
      </c>
      <c r="U1070" s="31" t="s">
        <v>2907</v>
      </c>
      <c r="V1070" s="32">
        <f t="shared" ref="V1070:X1070" si="1076">IF(lenb(SUBSTITUTE($Z1070,V$1&amp;" (1)",""))&lt;lenb($Z1070),1,IF(lenb(SUBSTITUTE($Z1070,V$1&amp;" (2)",""))&lt;lenb($Z1070),2,IF(lenb(SUBSTITUTE($Z1070,V$1&amp;" (3)",""))&lt;lenb($Z1070),3,IF(lenb(SUBSTITUTE($Z1070,V$1&amp;" (4)",""))&lt;lenb($Z1070),4,IF(lenb(SUBSTITUTE($Z1070,V$1&amp;" (5)",""))&lt;lenb($Z1070),5,IF(lenb(SUBSTITUTE($Z1070,V$1&amp;" (6)",""))&lt;lenb($Z1070),6,IF(lenb(SUBSTITUTE($Z1070,V$1&amp;" (7)",""))&lt;lenb($Z1070),1,IF(lenb(SUBSTITUTE($Z1070,V$1&amp;" (8)",""))&lt;lenb($Z1070),8,IF(lenb(SUBSTITUTE($Z1070,V$1&amp;" (9)",""))&lt;lenb($Z1070),9,IF(lenb(SUBSTITUTE($Z1070,V$1&amp;" (10)",""))&lt;lenb($Z1070),10,IF(lenb(SUBSTITUTE($Z1070,V$1,""))&lt;lenb($Z1070),"ERROR",IF($Z1070=$Y$1,"-",0))))))))))))</f>
        <v>1</v>
      </c>
      <c r="W1070" s="32">
        <f t="shared" si="1076"/>
        <v>0</v>
      </c>
      <c r="X1070" s="32">
        <f t="shared" si="1076"/>
        <v>0</v>
      </c>
      <c r="Y1070" s="32" t="str">
        <f t="shared" si="3"/>
        <v>-</v>
      </c>
      <c r="Z1070" s="32" t="s">
        <v>62</v>
      </c>
      <c r="AA1070" s="33">
        <f t="shared" si="4"/>
        <v>1</v>
      </c>
      <c r="AB1070" s="34">
        <f>COUNTIFS(Links!B:B,"ICSE",Links!C:C,A1070,Links!AD:AD,1)</f>
        <v>0</v>
      </c>
      <c r="AC1070" s="35" t="s">
        <v>35</v>
      </c>
      <c r="AD1070" s="27" t="str">
        <f t="shared" si="5"/>
        <v>No</v>
      </c>
      <c r="AE1070" s="36" t="s">
        <v>36</v>
      </c>
      <c r="AF1070" s="37" t="s">
        <v>42</v>
      </c>
      <c r="AG1070" s="37" t="s">
        <v>42</v>
      </c>
      <c r="AH1070" s="37" t="s">
        <v>42</v>
      </c>
      <c r="AI1070" s="29" t="str">
        <f t="shared" si="661"/>
        <v>----</v>
      </c>
      <c r="AJ1070" s="38" t="str">
        <f t="shared" si="7"/>
        <v>Paper has link but no statement</v>
      </c>
      <c r="AK1070" s="39">
        <v>45070.0</v>
      </c>
      <c r="AL1070" s="23" t="s">
        <v>43</v>
      </c>
      <c r="AM1070" s="40" t="str">
        <f t="shared" si="8"/>
        <v>[IP2064]</v>
      </c>
    </row>
    <row r="1071" ht="67.5" customHeight="1">
      <c r="A1071" s="41">
        <v>2065.0</v>
      </c>
      <c r="B1071" s="42" t="s">
        <v>2908</v>
      </c>
      <c r="C1071" s="43">
        <v>2023.0</v>
      </c>
      <c r="D1071" s="44" t="s">
        <v>37</v>
      </c>
      <c r="E1071" s="45" t="s">
        <v>37</v>
      </c>
      <c r="F1071" s="45" t="s">
        <v>35</v>
      </c>
      <c r="G1071" s="45" t="s">
        <v>37</v>
      </c>
      <c r="H1071" s="45" t="s">
        <v>35</v>
      </c>
      <c r="I1071" s="45" t="s">
        <v>35</v>
      </c>
      <c r="J1071" s="46" t="s">
        <v>36</v>
      </c>
      <c r="K1071" s="47" t="s">
        <v>37</v>
      </c>
      <c r="L1071" s="48" t="s">
        <v>35</v>
      </c>
      <c r="M1071" s="48" t="s">
        <v>35</v>
      </c>
      <c r="N1071" s="48" t="s">
        <v>37</v>
      </c>
      <c r="O1071" s="48" t="s">
        <v>35</v>
      </c>
      <c r="P1071" s="48" t="s">
        <v>35</v>
      </c>
      <c r="Q1071" s="48" t="s">
        <v>35</v>
      </c>
      <c r="R1071" s="48" t="s">
        <v>35</v>
      </c>
      <c r="S1071" s="49" t="s">
        <v>289</v>
      </c>
      <c r="T1071" s="50" t="s">
        <v>2909</v>
      </c>
      <c r="U1071" s="51" t="s">
        <v>2909</v>
      </c>
      <c r="V1071" s="52">
        <f t="shared" ref="V1071:X1071" si="1077">IF(lenb(SUBSTITUTE($Z1071,V$1&amp;" (1)",""))&lt;lenb($Z1071),1,IF(lenb(SUBSTITUTE($Z1071,V$1&amp;" (2)",""))&lt;lenb($Z1071),2,IF(lenb(SUBSTITUTE($Z1071,V$1&amp;" (3)",""))&lt;lenb($Z1071),3,IF(lenb(SUBSTITUTE($Z1071,V$1&amp;" (4)",""))&lt;lenb($Z1071),4,IF(lenb(SUBSTITUTE($Z1071,V$1&amp;" (5)",""))&lt;lenb($Z1071),5,IF(lenb(SUBSTITUTE($Z1071,V$1&amp;" (6)",""))&lt;lenb($Z1071),6,IF(lenb(SUBSTITUTE($Z1071,V$1&amp;" (7)",""))&lt;lenb($Z1071),1,IF(lenb(SUBSTITUTE($Z1071,V$1&amp;" (8)",""))&lt;lenb($Z1071),8,IF(lenb(SUBSTITUTE($Z1071,V$1&amp;" (9)",""))&lt;lenb($Z1071),9,IF(lenb(SUBSTITUTE($Z1071,V$1&amp;" (10)",""))&lt;lenb($Z1071),10,IF(lenb(SUBSTITUTE($Z1071,V$1,""))&lt;lenb($Z1071),"ERROR",IF($Z1071=$Y$1,"-",0))))))))))))</f>
        <v>1</v>
      </c>
      <c r="W1071" s="52">
        <f t="shared" si="1077"/>
        <v>0</v>
      </c>
      <c r="X1071" s="52">
        <f t="shared" si="1077"/>
        <v>0</v>
      </c>
      <c r="Y1071" s="52" t="str">
        <f t="shared" si="3"/>
        <v>-</v>
      </c>
      <c r="Z1071" s="52" t="s">
        <v>62</v>
      </c>
      <c r="AA1071" s="53">
        <f t="shared" si="4"/>
        <v>1</v>
      </c>
      <c r="AB1071" s="54">
        <f>COUNTIFS(Links!B:B,"ICSE",Links!C:C,A1071,Links!AD:AD,1)</f>
        <v>0</v>
      </c>
      <c r="AC1071" s="55" t="s">
        <v>37</v>
      </c>
      <c r="AD1071" s="47" t="str">
        <f t="shared" si="5"/>
        <v>No</v>
      </c>
      <c r="AE1071" s="56" t="s">
        <v>36</v>
      </c>
      <c r="AF1071" s="57" t="s">
        <v>42</v>
      </c>
      <c r="AG1071" s="57" t="s">
        <v>42</v>
      </c>
      <c r="AH1071" s="57" t="s">
        <v>42</v>
      </c>
      <c r="AI1071" s="49" t="str">
        <f t="shared" si="661"/>
        <v>----</v>
      </c>
      <c r="AJ1071" s="58" t="str">
        <f t="shared" si="7"/>
        <v>Paper has link but no statement</v>
      </c>
      <c r="AK1071" s="59">
        <v>45070.0</v>
      </c>
      <c r="AL1071" s="43" t="s">
        <v>43</v>
      </c>
      <c r="AM1071" s="60" t="str">
        <f t="shared" si="8"/>
        <v>[IP2065]</v>
      </c>
    </row>
    <row r="1072" ht="67.5" customHeight="1">
      <c r="A1072" s="61">
        <v>2066.0</v>
      </c>
      <c r="B1072" s="22" t="s">
        <v>2910</v>
      </c>
      <c r="C1072" s="23">
        <v>2023.0</v>
      </c>
      <c r="D1072" s="24" t="s">
        <v>35</v>
      </c>
      <c r="E1072" s="25" t="s">
        <v>36</v>
      </c>
      <c r="F1072" s="25" t="s">
        <v>36</v>
      </c>
      <c r="G1072" s="25" t="s">
        <v>36</v>
      </c>
      <c r="H1072" s="25" t="s">
        <v>36</v>
      </c>
      <c r="I1072" s="25" t="s">
        <v>36</v>
      </c>
      <c r="J1072" s="26" t="s">
        <v>36</v>
      </c>
      <c r="K1072" s="27" t="s">
        <v>35</v>
      </c>
      <c r="L1072" s="28" t="s">
        <v>36</v>
      </c>
      <c r="M1072" s="28" t="s">
        <v>36</v>
      </c>
      <c r="N1072" s="28" t="s">
        <v>36</v>
      </c>
      <c r="O1072" s="28" t="s">
        <v>36</v>
      </c>
      <c r="P1072" s="28" t="s">
        <v>36</v>
      </c>
      <c r="Q1072" s="28" t="s">
        <v>36</v>
      </c>
      <c r="R1072" s="28" t="s">
        <v>36</v>
      </c>
      <c r="S1072" s="29" t="s">
        <v>36</v>
      </c>
      <c r="T1072" s="30" t="s">
        <v>36</v>
      </c>
      <c r="U1072" s="31" t="s">
        <v>36</v>
      </c>
      <c r="V1072" s="32" t="str">
        <f t="shared" ref="V1072:X1072" si="1078">IF(lenb(SUBSTITUTE($Z1072,V$1&amp;" (1)",""))&lt;lenb($Z1072),1,IF(lenb(SUBSTITUTE($Z1072,V$1&amp;" (2)",""))&lt;lenb($Z1072),2,IF(lenb(SUBSTITUTE($Z1072,V$1&amp;" (3)",""))&lt;lenb($Z1072),3,IF(lenb(SUBSTITUTE($Z1072,V$1&amp;" (4)",""))&lt;lenb($Z1072),4,IF(lenb(SUBSTITUTE($Z1072,V$1&amp;" (5)",""))&lt;lenb($Z1072),5,IF(lenb(SUBSTITUTE($Z1072,V$1&amp;" (6)",""))&lt;lenb($Z1072),6,IF(lenb(SUBSTITUTE($Z1072,V$1&amp;" (7)",""))&lt;lenb($Z1072),1,IF(lenb(SUBSTITUTE($Z1072,V$1&amp;" (8)",""))&lt;lenb($Z1072),8,IF(lenb(SUBSTITUTE($Z1072,V$1&amp;" (9)",""))&lt;lenb($Z1072),9,IF(lenb(SUBSTITUTE($Z1072,V$1&amp;" (10)",""))&lt;lenb($Z1072),10,IF(lenb(SUBSTITUTE($Z1072,V$1,""))&lt;lenb($Z1072),"ERROR",IF($Z1072=$Y$1,"-",0))))))))))))</f>
        <v>-</v>
      </c>
      <c r="W1072" s="32" t="str">
        <f t="shared" si="1078"/>
        <v>-</v>
      </c>
      <c r="X1072" s="32" t="str">
        <f t="shared" si="1078"/>
        <v>-</v>
      </c>
      <c r="Y1072" s="32">
        <f t="shared" si="3"/>
        <v>1</v>
      </c>
      <c r="Z1072" s="32" t="s">
        <v>23</v>
      </c>
      <c r="AA1072" s="33">
        <f t="shared" si="4"/>
        <v>0</v>
      </c>
      <c r="AB1072" s="34">
        <f>COUNTIFS(Links!B:B,"ICSE",Links!C:C,A1072,Links!AD:AD,1)</f>
        <v>0</v>
      </c>
      <c r="AC1072" s="35" t="s">
        <v>36</v>
      </c>
      <c r="AD1072" s="27" t="str">
        <f t="shared" si="5"/>
        <v>No</v>
      </c>
      <c r="AE1072" s="36" t="s">
        <v>36</v>
      </c>
      <c r="AF1072" s="37" t="s">
        <v>42</v>
      </c>
      <c r="AG1072" s="37" t="s">
        <v>42</v>
      </c>
      <c r="AH1072" s="37" t="s">
        <v>42</v>
      </c>
      <c r="AI1072" s="29" t="str">
        <f t="shared" si="661"/>
        <v>----</v>
      </c>
      <c r="AJ1072" s="38" t="str">
        <f t="shared" si="7"/>
        <v>Paper has no link and no statement</v>
      </c>
      <c r="AK1072" s="39">
        <v>45070.0</v>
      </c>
      <c r="AL1072" s="23" t="s">
        <v>43</v>
      </c>
      <c r="AM1072" s="40" t="str">
        <f t="shared" si="8"/>
        <v>[IP2066]</v>
      </c>
    </row>
    <row r="1073" ht="67.5" customHeight="1">
      <c r="A1073" s="41">
        <v>2067.0</v>
      </c>
      <c r="B1073" s="42" t="s">
        <v>2911</v>
      </c>
      <c r="C1073" s="43">
        <v>2023.0</v>
      </c>
      <c r="D1073" s="44" t="s">
        <v>35</v>
      </c>
      <c r="E1073" s="45" t="s">
        <v>36</v>
      </c>
      <c r="F1073" s="45" t="s">
        <v>36</v>
      </c>
      <c r="G1073" s="45" t="s">
        <v>36</v>
      </c>
      <c r="H1073" s="45" t="s">
        <v>36</v>
      </c>
      <c r="I1073" s="45" t="s">
        <v>36</v>
      </c>
      <c r="J1073" s="46" t="s">
        <v>36</v>
      </c>
      <c r="K1073" s="47" t="s">
        <v>37</v>
      </c>
      <c r="L1073" s="48" t="s">
        <v>37</v>
      </c>
      <c r="M1073" s="48" t="s">
        <v>35</v>
      </c>
      <c r="N1073" s="48" t="s">
        <v>37</v>
      </c>
      <c r="O1073" s="48" t="s">
        <v>35</v>
      </c>
      <c r="P1073" s="48" t="s">
        <v>35</v>
      </c>
      <c r="Q1073" s="48" t="s">
        <v>35</v>
      </c>
      <c r="R1073" s="48" t="s">
        <v>35</v>
      </c>
      <c r="S1073" s="49" t="s">
        <v>2912</v>
      </c>
      <c r="T1073" s="50" t="s">
        <v>2913</v>
      </c>
      <c r="U1073" s="51" t="s">
        <v>2914</v>
      </c>
      <c r="V1073" s="52">
        <f t="shared" ref="V1073:X1073" si="1079">IF(lenb(SUBSTITUTE($Z1073,V$1&amp;" (1)",""))&lt;lenb($Z1073),1,IF(lenb(SUBSTITUTE($Z1073,V$1&amp;" (2)",""))&lt;lenb($Z1073),2,IF(lenb(SUBSTITUTE($Z1073,V$1&amp;" (3)",""))&lt;lenb($Z1073),3,IF(lenb(SUBSTITUTE($Z1073,V$1&amp;" (4)",""))&lt;lenb($Z1073),4,IF(lenb(SUBSTITUTE($Z1073,V$1&amp;" (5)",""))&lt;lenb($Z1073),5,IF(lenb(SUBSTITUTE($Z1073,V$1&amp;" (6)",""))&lt;lenb($Z1073),6,IF(lenb(SUBSTITUTE($Z1073,V$1&amp;" (7)",""))&lt;lenb($Z1073),1,IF(lenb(SUBSTITUTE($Z1073,V$1&amp;" (8)",""))&lt;lenb($Z1073),8,IF(lenb(SUBSTITUTE($Z1073,V$1&amp;" (9)",""))&lt;lenb($Z1073),9,IF(lenb(SUBSTITUTE($Z1073,V$1&amp;" (10)",""))&lt;lenb($Z1073),10,IF(lenb(SUBSTITUTE($Z1073,V$1,""))&lt;lenb($Z1073),"ERROR",IF($Z1073=$Y$1,"-",0))))))))))))</f>
        <v>2</v>
      </c>
      <c r="W1073" s="52">
        <f t="shared" si="1079"/>
        <v>0</v>
      </c>
      <c r="X1073" s="52">
        <f t="shared" si="1079"/>
        <v>0</v>
      </c>
      <c r="Y1073" s="52" t="str">
        <f t="shared" si="3"/>
        <v>-</v>
      </c>
      <c r="Z1073" s="52" t="s">
        <v>57</v>
      </c>
      <c r="AA1073" s="53">
        <f t="shared" si="4"/>
        <v>2</v>
      </c>
      <c r="AB1073" s="54">
        <f>COUNTIFS(Links!B:B,"ICSE",Links!C:C,A1073,Links!AD:AD,1)</f>
        <v>0</v>
      </c>
      <c r="AC1073" s="55" t="s">
        <v>37</v>
      </c>
      <c r="AD1073" s="47" t="str">
        <f t="shared" si="5"/>
        <v>No</v>
      </c>
      <c r="AE1073" s="56" t="s">
        <v>36</v>
      </c>
      <c r="AF1073" s="57" t="s">
        <v>42</v>
      </c>
      <c r="AG1073" s="57" t="s">
        <v>42</v>
      </c>
      <c r="AH1073" s="57" t="s">
        <v>42</v>
      </c>
      <c r="AI1073" s="49" t="str">
        <f t="shared" si="661"/>
        <v>----</v>
      </c>
      <c r="AJ1073" s="58" t="str">
        <f t="shared" si="7"/>
        <v>Paper has link but no statement</v>
      </c>
      <c r="AK1073" s="59">
        <v>45070.0</v>
      </c>
      <c r="AL1073" s="43" t="s">
        <v>43</v>
      </c>
      <c r="AM1073" s="60" t="str">
        <f t="shared" si="8"/>
        <v>[IP2067]</v>
      </c>
    </row>
    <row r="1074" ht="67.5" customHeight="1">
      <c r="A1074" s="61">
        <v>2068.0</v>
      </c>
      <c r="B1074" s="22" t="s">
        <v>2915</v>
      </c>
      <c r="C1074" s="23">
        <v>2023.0</v>
      </c>
      <c r="D1074" s="24" t="s">
        <v>37</v>
      </c>
      <c r="E1074" s="25" t="s">
        <v>37</v>
      </c>
      <c r="F1074" s="25" t="s">
        <v>35</v>
      </c>
      <c r="G1074" s="25" t="s">
        <v>37</v>
      </c>
      <c r="H1074" s="25" t="s">
        <v>35</v>
      </c>
      <c r="I1074" s="25" t="s">
        <v>35</v>
      </c>
      <c r="J1074" s="26" t="s">
        <v>36</v>
      </c>
      <c r="K1074" s="27" t="s">
        <v>37</v>
      </c>
      <c r="L1074" s="28" t="s">
        <v>35</v>
      </c>
      <c r="M1074" s="28" t="s">
        <v>35</v>
      </c>
      <c r="N1074" s="28" t="s">
        <v>37</v>
      </c>
      <c r="O1074" s="28" t="s">
        <v>35</v>
      </c>
      <c r="P1074" s="28" t="s">
        <v>35</v>
      </c>
      <c r="Q1074" s="28" t="s">
        <v>35</v>
      </c>
      <c r="R1074" s="28" t="s">
        <v>35</v>
      </c>
      <c r="S1074" s="29" t="s">
        <v>289</v>
      </c>
      <c r="T1074" s="30" t="s">
        <v>2916</v>
      </c>
      <c r="U1074" s="31" t="s">
        <v>2916</v>
      </c>
      <c r="V1074" s="32">
        <f t="shared" ref="V1074:X1074" si="1080">IF(lenb(SUBSTITUTE($Z1074,V$1&amp;" (1)",""))&lt;lenb($Z1074),1,IF(lenb(SUBSTITUTE($Z1074,V$1&amp;" (2)",""))&lt;lenb($Z1074),2,IF(lenb(SUBSTITUTE($Z1074,V$1&amp;" (3)",""))&lt;lenb($Z1074),3,IF(lenb(SUBSTITUTE($Z1074,V$1&amp;" (4)",""))&lt;lenb($Z1074),4,IF(lenb(SUBSTITUTE($Z1074,V$1&amp;" (5)",""))&lt;lenb($Z1074),5,IF(lenb(SUBSTITUTE($Z1074,V$1&amp;" (6)",""))&lt;lenb($Z1074),6,IF(lenb(SUBSTITUTE($Z1074,V$1&amp;" (7)",""))&lt;lenb($Z1074),1,IF(lenb(SUBSTITUTE($Z1074,V$1&amp;" (8)",""))&lt;lenb($Z1074),8,IF(lenb(SUBSTITUTE($Z1074,V$1&amp;" (9)",""))&lt;lenb($Z1074),9,IF(lenb(SUBSTITUTE($Z1074,V$1&amp;" (10)",""))&lt;lenb($Z1074),10,IF(lenb(SUBSTITUTE($Z1074,V$1,""))&lt;lenb($Z1074),"ERROR",IF($Z1074=$Y$1,"-",0))))))))))))</f>
        <v>1</v>
      </c>
      <c r="W1074" s="32">
        <f t="shared" si="1080"/>
        <v>0</v>
      </c>
      <c r="X1074" s="32">
        <f t="shared" si="1080"/>
        <v>0</v>
      </c>
      <c r="Y1074" s="32" t="str">
        <f t="shared" si="3"/>
        <v>-</v>
      </c>
      <c r="Z1074" s="32" t="s">
        <v>62</v>
      </c>
      <c r="AA1074" s="33">
        <f t="shared" si="4"/>
        <v>1</v>
      </c>
      <c r="AB1074" s="34">
        <f>COUNTIFS(Links!B:B,"ICSE",Links!C:C,A1074,Links!AD:AD,1)</f>
        <v>0</v>
      </c>
      <c r="AC1074" s="35" t="s">
        <v>37</v>
      </c>
      <c r="AD1074" s="27" t="str">
        <f t="shared" si="5"/>
        <v>No</v>
      </c>
      <c r="AE1074" s="36" t="s">
        <v>36</v>
      </c>
      <c r="AF1074" s="37" t="s">
        <v>42</v>
      </c>
      <c r="AG1074" s="37" t="s">
        <v>42</v>
      </c>
      <c r="AH1074" s="37" t="s">
        <v>42</v>
      </c>
      <c r="AI1074" s="29" t="str">
        <f t="shared" si="661"/>
        <v>----</v>
      </c>
      <c r="AJ1074" s="38" t="str">
        <f t="shared" si="7"/>
        <v>Paper has link but no statement</v>
      </c>
      <c r="AK1074" s="39">
        <v>45070.0</v>
      </c>
      <c r="AL1074" s="23" t="s">
        <v>43</v>
      </c>
      <c r="AM1074" s="40" t="str">
        <f t="shared" si="8"/>
        <v>[IP2068]</v>
      </c>
    </row>
    <row r="1075" ht="67.5" customHeight="1">
      <c r="A1075" s="41">
        <v>2069.0</v>
      </c>
      <c r="B1075" s="42" t="s">
        <v>2917</v>
      </c>
      <c r="C1075" s="43">
        <v>2023.0</v>
      </c>
      <c r="D1075" s="44" t="s">
        <v>37</v>
      </c>
      <c r="E1075" s="45" t="s">
        <v>37</v>
      </c>
      <c r="F1075" s="45" t="s">
        <v>35</v>
      </c>
      <c r="G1075" s="45" t="s">
        <v>37</v>
      </c>
      <c r="H1075" s="45" t="s">
        <v>35</v>
      </c>
      <c r="I1075" s="45" t="s">
        <v>35</v>
      </c>
      <c r="J1075" s="46" t="s">
        <v>36</v>
      </c>
      <c r="K1075" s="47" t="s">
        <v>37</v>
      </c>
      <c r="L1075" s="48" t="s">
        <v>35</v>
      </c>
      <c r="M1075" s="48" t="s">
        <v>37</v>
      </c>
      <c r="N1075" s="48" t="s">
        <v>37</v>
      </c>
      <c r="O1075" s="48" t="s">
        <v>37</v>
      </c>
      <c r="P1075" s="48" t="s">
        <v>37</v>
      </c>
      <c r="Q1075" s="48" t="s">
        <v>35</v>
      </c>
      <c r="R1075" s="48" t="s">
        <v>37</v>
      </c>
      <c r="S1075" s="49" t="s">
        <v>2918</v>
      </c>
      <c r="T1075" s="50" t="s">
        <v>2919</v>
      </c>
      <c r="U1075" s="51" t="s">
        <v>2919</v>
      </c>
      <c r="V1075" s="52">
        <f t="shared" ref="V1075:X1075" si="1081">IF(lenb(SUBSTITUTE($Z1075,V$1&amp;" (1)",""))&lt;lenb($Z1075),1,IF(lenb(SUBSTITUTE($Z1075,V$1&amp;" (2)",""))&lt;lenb($Z1075),2,IF(lenb(SUBSTITUTE($Z1075,V$1&amp;" (3)",""))&lt;lenb($Z1075),3,IF(lenb(SUBSTITUTE($Z1075,V$1&amp;" (4)",""))&lt;lenb($Z1075),4,IF(lenb(SUBSTITUTE($Z1075,V$1&amp;" (5)",""))&lt;lenb($Z1075),5,IF(lenb(SUBSTITUTE($Z1075,V$1&amp;" (6)",""))&lt;lenb($Z1075),6,IF(lenb(SUBSTITUTE($Z1075,V$1&amp;" (7)",""))&lt;lenb($Z1075),1,IF(lenb(SUBSTITUTE($Z1075,V$1&amp;" (8)",""))&lt;lenb($Z1075),8,IF(lenb(SUBSTITUTE($Z1075,V$1&amp;" (9)",""))&lt;lenb($Z1075),9,IF(lenb(SUBSTITUTE($Z1075,V$1&amp;" (10)",""))&lt;lenb($Z1075),10,IF(lenb(SUBSTITUTE($Z1075,V$1,""))&lt;lenb($Z1075),"ERROR",IF($Z1075=$Y$1,"-",0))))))))))))</f>
        <v>1</v>
      </c>
      <c r="W1075" s="52">
        <f t="shared" si="1081"/>
        <v>0</v>
      </c>
      <c r="X1075" s="52">
        <f t="shared" si="1081"/>
        <v>0</v>
      </c>
      <c r="Y1075" s="52" t="str">
        <f t="shared" si="3"/>
        <v>-</v>
      </c>
      <c r="Z1075" s="52" t="s">
        <v>62</v>
      </c>
      <c r="AA1075" s="53">
        <f t="shared" si="4"/>
        <v>1</v>
      </c>
      <c r="AB1075" s="54">
        <f>COUNTIFS(Links!B:B,"ICSE",Links!C:C,A1075,Links!AD:AD,1)</f>
        <v>0</v>
      </c>
      <c r="AC1075" s="55" t="s">
        <v>35</v>
      </c>
      <c r="AD1075" s="47" t="str">
        <f t="shared" si="5"/>
        <v>No</v>
      </c>
      <c r="AE1075" s="56" t="s">
        <v>36</v>
      </c>
      <c r="AF1075" s="57" t="s">
        <v>42</v>
      </c>
      <c r="AG1075" s="57" t="s">
        <v>42</v>
      </c>
      <c r="AH1075" s="57" t="s">
        <v>42</v>
      </c>
      <c r="AI1075" s="49" t="str">
        <f t="shared" si="661"/>
        <v>----</v>
      </c>
      <c r="AJ1075" s="58" t="str">
        <f t="shared" si="7"/>
        <v>Paper has link but no statement</v>
      </c>
      <c r="AK1075" s="59">
        <v>45070.0</v>
      </c>
      <c r="AL1075" s="43" t="s">
        <v>43</v>
      </c>
      <c r="AM1075" s="60" t="str">
        <f t="shared" si="8"/>
        <v>[IP2069]</v>
      </c>
    </row>
    <row r="1076" ht="67.5" customHeight="1">
      <c r="A1076" s="61">
        <v>2070.0</v>
      </c>
      <c r="B1076" s="22" t="s">
        <v>2920</v>
      </c>
      <c r="C1076" s="23">
        <v>2023.0</v>
      </c>
      <c r="D1076" s="24" t="s">
        <v>35</v>
      </c>
      <c r="E1076" s="25" t="s">
        <v>36</v>
      </c>
      <c r="F1076" s="25" t="s">
        <v>36</v>
      </c>
      <c r="G1076" s="25" t="s">
        <v>36</v>
      </c>
      <c r="H1076" s="25" t="s">
        <v>36</v>
      </c>
      <c r="I1076" s="25" t="s">
        <v>36</v>
      </c>
      <c r="J1076" s="26" t="s">
        <v>36</v>
      </c>
      <c r="K1076" s="27" t="s">
        <v>37</v>
      </c>
      <c r="L1076" s="28" t="s">
        <v>37</v>
      </c>
      <c r="M1076" s="28" t="s">
        <v>35</v>
      </c>
      <c r="N1076" s="28" t="s">
        <v>35</v>
      </c>
      <c r="O1076" s="28" t="s">
        <v>35</v>
      </c>
      <c r="P1076" s="28" t="s">
        <v>35</v>
      </c>
      <c r="Q1076" s="28" t="s">
        <v>35</v>
      </c>
      <c r="R1076" s="28" t="s">
        <v>37</v>
      </c>
      <c r="S1076" s="29" t="s">
        <v>2921</v>
      </c>
      <c r="T1076" s="30" t="s">
        <v>2922</v>
      </c>
      <c r="U1076" s="31" t="s">
        <v>2922</v>
      </c>
      <c r="V1076" s="32">
        <f t="shared" ref="V1076:X1076" si="1082">IF(lenb(SUBSTITUTE($Z1076,V$1&amp;" (1)",""))&lt;lenb($Z1076),1,IF(lenb(SUBSTITUTE($Z1076,V$1&amp;" (2)",""))&lt;lenb($Z1076),2,IF(lenb(SUBSTITUTE($Z1076,V$1&amp;" (3)",""))&lt;lenb($Z1076),3,IF(lenb(SUBSTITUTE($Z1076,V$1&amp;" (4)",""))&lt;lenb($Z1076),4,IF(lenb(SUBSTITUTE($Z1076,V$1&amp;" (5)",""))&lt;lenb($Z1076),5,IF(lenb(SUBSTITUTE($Z1076,V$1&amp;" (6)",""))&lt;lenb($Z1076),6,IF(lenb(SUBSTITUTE($Z1076,V$1&amp;" (7)",""))&lt;lenb($Z1076),1,IF(lenb(SUBSTITUTE($Z1076,V$1&amp;" (8)",""))&lt;lenb($Z1076),8,IF(lenb(SUBSTITUTE($Z1076,V$1&amp;" (9)",""))&lt;lenb($Z1076),9,IF(lenb(SUBSTITUTE($Z1076,V$1&amp;" (10)",""))&lt;lenb($Z1076),10,IF(lenb(SUBSTITUTE($Z1076,V$1,""))&lt;lenb($Z1076),"ERROR",IF($Z1076=$Y$1,"-",0))))))))))))</f>
        <v>1</v>
      </c>
      <c r="W1076" s="32">
        <f t="shared" si="1082"/>
        <v>0</v>
      </c>
      <c r="X1076" s="32">
        <f t="shared" si="1082"/>
        <v>0</v>
      </c>
      <c r="Y1076" s="32" t="str">
        <f t="shared" si="3"/>
        <v>-</v>
      </c>
      <c r="Z1076" s="32" t="s">
        <v>62</v>
      </c>
      <c r="AA1076" s="33">
        <f t="shared" si="4"/>
        <v>1</v>
      </c>
      <c r="AB1076" s="34">
        <f>COUNTIFS(Links!B:B,"ICSE",Links!C:C,A1076,Links!AD:AD,1)</f>
        <v>0</v>
      </c>
      <c r="AC1076" s="35" t="s">
        <v>35</v>
      </c>
      <c r="AD1076" s="27" t="str">
        <f t="shared" si="5"/>
        <v>No</v>
      </c>
      <c r="AE1076" s="36" t="s">
        <v>36</v>
      </c>
      <c r="AF1076" s="37" t="s">
        <v>42</v>
      </c>
      <c r="AG1076" s="37" t="s">
        <v>42</v>
      </c>
      <c r="AH1076" s="37" t="s">
        <v>42</v>
      </c>
      <c r="AI1076" s="29" t="str">
        <f t="shared" si="661"/>
        <v>----</v>
      </c>
      <c r="AJ1076" s="38" t="str">
        <f t="shared" si="7"/>
        <v>Paper has link but no statement</v>
      </c>
      <c r="AK1076" s="39">
        <v>45070.0</v>
      </c>
      <c r="AL1076" s="23" t="s">
        <v>43</v>
      </c>
      <c r="AM1076" s="40" t="str">
        <f t="shared" si="8"/>
        <v>[IP2070]</v>
      </c>
    </row>
    <row r="1077" ht="67.5" customHeight="1">
      <c r="A1077" s="41">
        <v>2071.0</v>
      </c>
      <c r="B1077" s="42" t="s">
        <v>2923</v>
      </c>
      <c r="C1077" s="43">
        <v>2023.0</v>
      </c>
      <c r="D1077" s="44" t="s">
        <v>37</v>
      </c>
      <c r="E1077" s="45" t="s">
        <v>37</v>
      </c>
      <c r="F1077" s="45" t="s">
        <v>35</v>
      </c>
      <c r="G1077" s="45" t="s">
        <v>37</v>
      </c>
      <c r="H1077" s="45" t="s">
        <v>35</v>
      </c>
      <c r="I1077" s="45" t="s">
        <v>35</v>
      </c>
      <c r="J1077" s="46" t="s">
        <v>36</v>
      </c>
      <c r="K1077" s="47" t="s">
        <v>37</v>
      </c>
      <c r="L1077" s="48" t="s">
        <v>35</v>
      </c>
      <c r="M1077" s="48" t="s">
        <v>35</v>
      </c>
      <c r="N1077" s="48" t="s">
        <v>37</v>
      </c>
      <c r="O1077" s="48" t="s">
        <v>35</v>
      </c>
      <c r="P1077" s="48" t="s">
        <v>35</v>
      </c>
      <c r="Q1077" s="48" t="s">
        <v>35</v>
      </c>
      <c r="R1077" s="48" t="s">
        <v>35</v>
      </c>
      <c r="S1077" s="49" t="s">
        <v>289</v>
      </c>
      <c r="T1077" s="50" t="s">
        <v>2924</v>
      </c>
      <c r="U1077" s="51" t="s">
        <v>2924</v>
      </c>
      <c r="V1077" s="52">
        <f t="shared" ref="V1077:X1077" si="1083">IF(lenb(SUBSTITUTE($Z1077,V$1&amp;" (1)",""))&lt;lenb($Z1077),1,IF(lenb(SUBSTITUTE($Z1077,V$1&amp;" (2)",""))&lt;lenb($Z1077),2,IF(lenb(SUBSTITUTE($Z1077,V$1&amp;" (3)",""))&lt;lenb($Z1077),3,IF(lenb(SUBSTITUTE($Z1077,V$1&amp;" (4)",""))&lt;lenb($Z1077),4,IF(lenb(SUBSTITUTE($Z1077,V$1&amp;" (5)",""))&lt;lenb($Z1077),5,IF(lenb(SUBSTITUTE($Z1077,V$1&amp;" (6)",""))&lt;lenb($Z1077),6,IF(lenb(SUBSTITUTE($Z1077,V$1&amp;" (7)",""))&lt;lenb($Z1077),1,IF(lenb(SUBSTITUTE($Z1077,V$1&amp;" (8)",""))&lt;lenb($Z1077),8,IF(lenb(SUBSTITUTE($Z1077,V$1&amp;" (9)",""))&lt;lenb($Z1077),9,IF(lenb(SUBSTITUTE($Z1077,V$1&amp;" (10)",""))&lt;lenb($Z1077),10,IF(lenb(SUBSTITUTE($Z1077,V$1,""))&lt;lenb($Z1077),"ERROR",IF($Z1077=$Y$1,"-",0))))))))))))</f>
        <v>1</v>
      </c>
      <c r="W1077" s="52">
        <f t="shared" si="1083"/>
        <v>0</v>
      </c>
      <c r="X1077" s="52">
        <f t="shared" si="1083"/>
        <v>0</v>
      </c>
      <c r="Y1077" s="52" t="str">
        <f t="shared" si="3"/>
        <v>-</v>
      </c>
      <c r="Z1077" s="52" t="s">
        <v>62</v>
      </c>
      <c r="AA1077" s="53">
        <f t="shared" si="4"/>
        <v>1</v>
      </c>
      <c r="AB1077" s="54">
        <f>COUNTIFS(Links!B:B,"ICSE",Links!C:C,A1077,Links!AD:AD,1)</f>
        <v>0</v>
      </c>
      <c r="AC1077" s="55" t="s">
        <v>35</v>
      </c>
      <c r="AD1077" s="47" t="str">
        <f t="shared" si="5"/>
        <v>No</v>
      </c>
      <c r="AE1077" s="56" t="s">
        <v>36</v>
      </c>
      <c r="AF1077" s="57" t="s">
        <v>42</v>
      </c>
      <c r="AG1077" s="57" t="s">
        <v>42</v>
      </c>
      <c r="AH1077" s="57" t="s">
        <v>42</v>
      </c>
      <c r="AI1077" s="49" t="str">
        <f t="shared" si="661"/>
        <v>----</v>
      </c>
      <c r="AJ1077" s="58" t="str">
        <f t="shared" si="7"/>
        <v>Paper has link but no statement</v>
      </c>
      <c r="AK1077" s="59">
        <v>45070.0</v>
      </c>
      <c r="AL1077" s="43" t="s">
        <v>43</v>
      </c>
      <c r="AM1077" s="60" t="str">
        <f t="shared" si="8"/>
        <v>[IP2071]</v>
      </c>
    </row>
    <row r="1078" ht="67.5" customHeight="1">
      <c r="A1078" s="61">
        <v>2072.0</v>
      </c>
      <c r="B1078" s="22" t="s">
        <v>2925</v>
      </c>
      <c r="C1078" s="23">
        <v>2023.0</v>
      </c>
      <c r="D1078" s="24" t="s">
        <v>35</v>
      </c>
      <c r="E1078" s="25" t="s">
        <v>36</v>
      </c>
      <c r="F1078" s="25" t="s">
        <v>36</v>
      </c>
      <c r="G1078" s="25" t="s">
        <v>36</v>
      </c>
      <c r="H1078" s="25" t="s">
        <v>36</v>
      </c>
      <c r="I1078" s="25" t="s">
        <v>36</v>
      </c>
      <c r="J1078" s="26" t="s">
        <v>36</v>
      </c>
      <c r="K1078" s="27" t="s">
        <v>37</v>
      </c>
      <c r="L1078" s="28" t="s">
        <v>37</v>
      </c>
      <c r="M1078" s="28" t="s">
        <v>35</v>
      </c>
      <c r="N1078" s="28" t="s">
        <v>37</v>
      </c>
      <c r="O1078" s="28" t="s">
        <v>35</v>
      </c>
      <c r="P1078" s="28" t="s">
        <v>37</v>
      </c>
      <c r="Q1078" s="28" t="s">
        <v>35</v>
      </c>
      <c r="R1078" s="28" t="s">
        <v>35</v>
      </c>
      <c r="S1078" s="29" t="s">
        <v>2926</v>
      </c>
      <c r="T1078" s="30" t="s">
        <v>2927</v>
      </c>
      <c r="U1078" s="31" t="s">
        <v>2927</v>
      </c>
      <c r="V1078" s="32">
        <f t="shared" ref="V1078:X1078" si="1084">IF(lenb(SUBSTITUTE($Z1078,V$1&amp;" (1)",""))&lt;lenb($Z1078),1,IF(lenb(SUBSTITUTE($Z1078,V$1&amp;" (2)",""))&lt;lenb($Z1078),2,IF(lenb(SUBSTITUTE($Z1078,V$1&amp;" (3)",""))&lt;lenb($Z1078),3,IF(lenb(SUBSTITUTE($Z1078,V$1&amp;" (4)",""))&lt;lenb($Z1078),4,IF(lenb(SUBSTITUTE($Z1078,V$1&amp;" (5)",""))&lt;lenb($Z1078),5,IF(lenb(SUBSTITUTE($Z1078,V$1&amp;" (6)",""))&lt;lenb($Z1078),6,IF(lenb(SUBSTITUTE($Z1078,V$1&amp;" (7)",""))&lt;lenb($Z1078),1,IF(lenb(SUBSTITUTE($Z1078,V$1&amp;" (8)",""))&lt;lenb($Z1078),8,IF(lenb(SUBSTITUTE($Z1078,V$1&amp;" (9)",""))&lt;lenb($Z1078),9,IF(lenb(SUBSTITUTE($Z1078,V$1&amp;" (10)",""))&lt;lenb($Z1078),10,IF(lenb(SUBSTITUTE($Z1078,V$1,""))&lt;lenb($Z1078),"ERROR",IF($Z1078=$Y$1,"-",0))))))))))))</f>
        <v>2</v>
      </c>
      <c r="W1078" s="32">
        <f t="shared" si="1084"/>
        <v>0</v>
      </c>
      <c r="X1078" s="32">
        <f t="shared" si="1084"/>
        <v>0</v>
      </c>
      <c r="Y1078" s="32" t="str">
        <f t="shared" si="3"/>
        <v>-</v>
      </c>
      <c r="Z1078" s="32" t="s">
        <v>57</v>
      </c>
      <c r="AA1078" s="33">
        <f t="shared" si="4"/>
        <v>2</v>
      </c>
      <c r="AB1078" s="34">
        <f>COUNTIFS(Links!B:B,"ICSE",Links!C:C,A1078,Links!AD:AD,1)</f>
        <v>0</v>
      </c>
      <c r="AC1078" s="35" t="s">
        <v>35</v>
      </c>
      <c r="AD1078" s="27" t="str">
        <f t="shared" si="5"/>
        <v>No</v>
      </c>
      <c r="AE1078" s="36" t="s">
        <v>36</v>
      </c>
      <c r="AF1078" s="37" t="s">
        <v>42</v>
      </c>
      <c r="AG1078" s="37" t="s">
        <v>42</v>
      </c>
      <c r="AH1078" s="37" t="s">
        <v>42</v>
      </c>
      <c r="AI1078" s="29" t="str">
        <f t="shared" si="661"/>
        <v>----</v>
      </c>
      <c r="AJ1078" s="38" t="str">
        <f t="shared" si="7"/>
        <v>Paper has link but no statement</v>
      </c>
      <c r="AK1078" s="39">
        <v>45070.0</v>
      </c>
      <c r="AL1078" s="23" t="s">
        <v>43</v>
      </c>
      <c r="AM1078" s="40" t="str">
        <f t="shared" si="8"/>
        <v>[IP2072]</v>
      </c>
    </row>
    <row r="1079" ht="67.5" customHeight="1">
      <c r="A1079" s="41">
        <v>2073.0</v>
      </c>
      <c r="B1079" s="42" t="s">
        <v>2928</v>
      </c>
      <c r="C1079" s="43">
        <v>2023.0</v>
      </c>
      <c r="D1079" s="44" t="s">
        <v>35</v>
      </c>
      <c r="E1079" s="45" t="s">
        <v>36</v>
      </c>
      <c r="F1079" s="45" t="s">
        <v>36</v>
      </c>
      <c r="G1079" s="45" t="s">
        <v>36</v>
      </c>
      <c r="H1079" s="45" t="s">
        <v>36</v>
      </c>
      <c r="I1079" s="45" t="s">
        <v>36</v>
      </c>
      <c r="J1079" s="46" t="s">
        <v>36</v>
      </c>
      <c r="K1079" s="47" t="s">
        <v>37</v>
      </c>
      <c r="L1079" s="48" t="s">
        <v>35</v>
      </c>
      <c r="M1079" s="48" t="s">
        <v>37</v>
      </c>
      <c r="N1079" s="48" t="s">
        <v>35</v>
      </c>
      <c r="O1079" s="48" t="s">
        <v>35</v>
      </c>
      <c r="P1079" s="48" t="s">
        <v>35</v>
      </c>
      <c r="Q1079" s="48" t="s">
        <v>37</v>
      </c>
      <c r="R1079" s="48" t="s">
        <v>37</v>
      </c>
      <c r="S1079" s="49" t="s">
        <v>2929</v>
      </c>
      <c r="T1079" s="50" t="s">
        <v>2930</v>
      </c>
      <c r="U1079" s="51" t="s">
        <v>2930</v>
      </c>
      <c r="V1079" s="52">
        <f t="shared" ref="V1079:X1079" si="1085">IF(lenb(SUBSTITUTE($Z1079,V$1&amp;" (1)",""))&lt;lenb($Z1079),1,IF(lenb(SUBSTITUTE($Z1079,V$1&amp;" (2)",""))&lt;lenb($Z1079),2,IF(lenb(SUBSTITUTE($Z1079,V$1&amp;" (3)",""))&lt;lenb($Z1079),3,IF(lenb(SUBSTITUTE($Z1079,V$1&amp;" (4)",""))&lt;lenb($Z1079),4,IF(lenb(SUBSTITUTE($Z1079,V$1&amp;" (5)",""))&lt;lenb($Z1079),5,IF(lenb(SUBSTITUTE($Z1079,V$1&amp;" (6)",""))&lt;lenb($Z1079),6,IF(lenb(SUBSTITUTE($Z1079,V$1&amp;" (7)",""))&lt;lenb($Z1079),1,IF(lenb(SUBSTITUTE($Z1079,V$1&amp;" (8)",""))&lt;lenb($Z1079),8,IF(lenb(SUBSTITUTE($Z1079,V$1&amp;" (9)",""))&lt;lenb($Z1079),9,IF(lenb(SUBSTITUTE($Z1079,V$1&amp;" (10)",""))&lt;lenb($Z1079),10,IF(lenb(SUBSTITUTE($Z1079,V$1,""))&lt;lenb($Z1079),"ERROR",IF($Z1079=$Y$1,"-",0))))))))))))</f>
        <v>1</v>
      </c>
      <c r="W1079" s="52">
        <f t="shared" si="1085"/>
        <v>0</v>
      </c>
      <c r="X1079" s="52">
        <f t="shared" si="1085"/>
        <v>0</v>
      </c>
      <c r="Y1079" s="52" t="str">
        <f t="shared" si="3"/>
        <v>-</v>
      </c>
      <c r="Z1079" s="52" t="s">
        <v>62</v>
      </c>
      <c r="AA1079" s="53">
        <f t="shared" si="4"/>
        <v>1</v>
      </c>
      <c r="AB1079" s="54">
        <f>COUNTIFS(Links!B:B,"ICSE",Links!C:C,A1079,Links!AD:AD,1)</f>
        <v>0</v>
      </c>
      <c r="AC1079" s="55" t="s">
        <v>35</v>
      </c>
      <c r="AD1079" s="47" t="str">
        <f t="shared" si="5"/>
        <v>No</v>
      </c>
      <c r="AE1079" s="56" t="s">
        <v>36</v>
      </c>
      <c r="AF1079" s="57" t="s">
        <v>42</v>
      </c>
      <c r="AG1079" s="57" t="s">
        <v>42</v>
      </c>
      <c r="AH1079" s="57" t="s">
        <v>42</v>
      </c>
      <c r="AI1079" s="49" t="str">
        <f t="shared" si="661"/>
        <v>----</v>
      </c>
      <c r="AJ1079" s="58" t="str">
        <f t="shared" si="7"/>
        <v>Paper has link but no statement</v>
      </c>
      <c r="AK1079" s="59">
        <v>45070.0</v>
      </c>
      <c r="AL1079" s="43" t="s">
        <v>43</v>
      </c>
      <c r="AM1079" s="60" t="str">
        <f t="shared" si="8"/>
        <v>[IP2073]</v>
      </c>
    </row>
    <row r="1080" ht="67.5" customHeight="1">
      <c r="A1080" s="61">
        <v>2074.0</v>
      </c>
      <c r="B1080" s="22" t="s">
        <v>2931</v>
      </c>
      <c r="C1080" s="23">
        <v>2023.0</v>
      </c>
      <c r="D1080" s="24" t="s">
        <v>35</v>
      </c>
      <c r="E1080" s="25" t="s">
        <v>36</v>
      </c>
      <c r="F1080" s="25" t="s">
        <v>36</v>
      </c>
      <c r="G1080" s="25" t="s">
        <v>36</v>
      </c>
      <c r="H1080" s="25" t="s">
        <v>36</v>
      </c>
      <c r="I1080" s="25" t="s">
        <v>36</v>
      </c>
      <c r="J1080" s="26" t="s">
        <v>36</v>
      </c>
      <c r="K1080" s="27" t="s">
        <v>37</v>
      </c>
      <c r="L1080" s="28" t="s">
        <v>35</v>
      </c>
      <c r="M1080" s="28" t="s">
        <v>35</v>
      </c>
      <c r="N1080" s="28" t="s">
        <v>37</v>
      </c>
      <c r="O1080" s="28" t="s">
        <v>35</v>
      </c>
      <c r="P1080" s="28" t="s">
        <v>35</v>
      </c>
      <c r="Q1080" s="28" t="s">
        <v>35</v>
      </c>
      <c r="R1080" s="28" t="s">
        <v>35</v>
      </c>
      <c r="S1080" s="29" t="s">
        <v>343</v>
      </c>
      <c r="T1080" s="30" t="s">
        <v>2932</v>
      </c>
      <c r="U1080" s="31" t="s">
        <v>2932</v>
      </c>
      <c r="V1080" s="32">
        <f t="shared" ref="V1080:X1080" si="1086">IF(lenb(SUBSTITUTE($Z1080,V$1&amp;" (1)",""))&lt;lenb($Z1080),1,IF(lenb(SUBSTITUTE($Z1080,V$1&amp;" (2)",""))&lt;lenb($Z1080),2,IF(lenb(SUBSTITUTE($Z1080,V$1&amp;" (3)",""))&lt;lenb($Z1080),3,IF(lenb(SUBSTITUTE($Z1080,V$1&amp;" (4)",""))&lt;lenb($Z1080),4,IF(lenb(SUBSTITUTE($Z1080,V$1&amp;" (5)",""))&lt;lenb($Z1080),5,IF(lenb(SUBSTITUTE($Z1080,V$1&amp;" (6)",""))&lt;lenb($Z1080),6,IF(lenb(SUBSTITUTE($Z1080,V$1&amp;" (7)",""))&lt;lenb($Z1080),1,IF(lenb(SUBSTITUTE($Z1080,V$1&amp;" (8)",""))&lt;lenb($Z1080),8,IF(lenb(SUBSTITUTE($Z1080,V$1&amp;" (9)",""))&lt;lenb($Z1080),9,IF(lenb(SUBSTITUTE($Z1080,V$1&amp;" (10)",""))&lt;lenb($Z1080),10,IF(lenb(SUBSTITUTE($Z1080,V$1,""))&lt;lenb($Z1080),"ERROR",IF($Z1080=$Y$1,"-",0))))))))))))</f>
        <v>1</v>
      </c>
      <c r="W1080" s="32">
        <f t="shared" si="1086"/>
        <v>0</v>
      </c>
      <c r="X1080" s="32">
        <f t="shared" si="1086"/>
        <v>0</v>
      </c>
      <c r="Y1080" s="32" t="str">
        <f t="shared" si="3"/>
        <v>-</v>
      </c>
      <c r="Z1080" s="32" t="s">
        <v>62</v>
      </c>
      <c r="AA1080" s="33">
        <f t="shared" si="4"/>
        <v>1</v>
      </c>
      <c r="AB1080" s="34">
        <f>COUNTIFS(Links!B:B,"ICSE",Links!C:C,A1080,Links!AD:AD,1)</f>
        <v>0</v>
      </c>
      <c r="AC1080" s="35" t="s">
        <v>35</v>
      </c>
      <c r="AD1080" s="27" t="str">
        <f t="shared" si="5"/>
        <v>No</v>
      </c>
      <c r="AE1080" s="36" t="s">
        <v>36</v>
      </c>
      <c r="AF1080" s="37" t="s">
        <v>42</v>
      </c>
      <c r="AG1080" s="37" t="s">
        <v>42</v>
      </c>
      <c r="AH1080" s="37" t="s">
        <v>42</v>
      </c>
      <c r="AI1080" s="29" t="str">
        <f t="shared" si="661"/>
        <v>----</v>
      </c>
      <c r="AJ1080" s="38" t="str">
        <f t="shared" si="7"/>
        <v>Paper has link but no statement</v>
      </c>
      <c r="AK1080" s="39">
        <v>45070.0</v>
      </c>
      <c r="AL1080" s="23" t="s">
        <v>43</v>
      </c>
      <c r="AM1080" s="40" t="str">
        <f t="shared" si="8"/>
        <v>[IP2074]</v>
      </c>
    </row>
    <row r="1081" ht="67.5" customHeight="1">
      <c r="A1081" s="41">
        <v>2075.0</v>
      </c>
      <c r="B1081" s="42" t="s">
        <v>2933</v>
      </c>
      <c r="C1081" s="43">
        <v>2023.0</v>
      </c>
      <c r="D1081" s="44" t="s">
        <v>37</v>
      </c>
      <c r="E1081" s="45" t="s">
        <v>37</v>
      </c>
      <c r="F1081" s="45" t="s">
        <v>35</v>
      </c>
      <c r="G1081" s="45" t="s">
        <v>35</v>
      </c>
      <c r="H1081" s="45" t="s">
        <v>35</v>
      </c>
      <c r="I1081" s="45" t="s">
        <v>35</v>
      </c>
      <c r="J1081" s="46" t="s">
        <v>36</v>
      </c>
      <c r="K1081" s="47" t="s">
        <v>37</v>
      </c>
      <c r="L1081" s="48" t="s">
        <v>37</v>
      </c>
      <c r="M1081" s="48" t="s">
        <v>35</v>
      </c>
      <c r="N1081" s="48" t="s">
        <v>37</v>
      </c>
      <c r="O1081" s="48" t="s">
        <v>35</v>
      </c>
      <c r="P1081" s="48" t="s">
        <v>35</v>
      </c>
      <c r="Q1081" s="48" t="s">
        <v>35</v>
      </c>
      <c r="R1081" s="48" t="s">
        <v>35</v>
      </c>
      <c r="S1081" s="49" t="s">
        <v>340</v>
      </c>
      <c r="T1081" s="50" t="s">
        <v>2934</v>
      </c>
      <c r="U1081" s="51" t="s">
        <v>2935</v>
      </c>
      <c r="V1081" s="52">
        <f t="shared" ref="V1081:X1081" si="1087">IF(lenb(SUBSTITUTE($Z1081,V$1&amp;" (1)",""))&lt;lenb($Z1081),1,IF(lenb(SUBSTITUTE($Z1081,V$1&amp;" (2)",""))&lt;lenb($Z1081),2,IF(lenb(SUBSTITUTE($Z1081,V$1&amp;" (3)",""))&lt;lenb($Z1081),3,IF(lenb(SUBSTITUTE($Z1081,V$1&amp;" (4)",""))&lt;lenb($Z1081),4,IF(lenb(SUBSTITUTE($Z1081,V$1&amp;" (5)",""))&lt;lenb($Z1081),5,IF(lenb(SUBSTITUTE($Z1081,V$1&amp;" (6)",""))&lt;lenb($Z1081),6,IF(lenb(SUBSTITUTE($Z1081,V$1&amp;" (7)",""))&lt;lenb($Z1081),1,IF(lenb(SUBSTITUTE($Z1081,V$1&amp;" (8)",""))&lt;lenb($Z1081),8,IF(lenb(SUBSTITUTE($Z1081,V$1&amp;" (9)",""))&lt;lenb($Z1081),9,IF(lenb(SUBSTITUTE($Z1081,V$1&amp;" (10)",""))&lt;lenb($Z1081),10,IF(lenb(SUBSTITUTE($Z1081,V$1,""))&lt;lenb($Z1081),"ERROR",IF($Z1081=$Y$1,"-",0))))))))))))</f>
        <v>1</v>
      </c>
      <c r="W1081" s="52">
        <f t="shared" si="1087"/>
        <v>0</v>
      </c>
      <c r="X1081" s="52">
        <f t="shared" si="1087"/>
        <v>0</v>
      </c>
      <c r="Y1081" s="52" t="str">
        <f t="shared" si="3"/>
        <v>-</v>
      </c>
      <c r="Z1081" s="52" t="s">
        <v>62</v>
      </c>
      <c r="AA1081" s="53">
        <f t="shared" si="4"/>
        <v>1</v>
      </c>
      <c r="AB1081" s="54">
        <f>COUNTIFS(Links!B:B,"ICSE",Links!C:C,A1081,Links!AD:AD,1)</f>
        <v>0</v>
      </c>
      <c r="AC1081" s="55" t="s">
        <v>35</v>
      </c>
      <c r="AD1081" s="47" t="str">
        <f t="shared" si="5"/>
        <v>No</v>
      </c>
      <c r="AE1081" s="56" t="s">
        <v>36</v>
      </c>
      <c r="AF1081" s="57" t="s">
        <v>42</v>
      </c>
      <c r="AG1081" s="57" t="s">
        <v>42</v>
      </c>
      <c r="AH1081" s="57" t="s">
        <v>42</v>
      </c>
      <c r="AI1081" s="49" t="str">
        <f t="shared" si="661"/>
        <v>----</v>
      </c>
      <c r="AJ1081" s="58" t="str">
        <f t="shared" si="7"/>
        <v>Paper has link but no statement</v>
      </c>
      <c r="AK1081" s="59">
        <v>45070.0</v>
      </c>
      <c r="AL1081" s="43" t="s">
        <v>43</v>
      </c>
      <c r="AM1081" s="60" t="str">
        <f t="shared" si="8"/>
        <v>[IP2075]</v>
      </c>
    </row>
    <row r="1082" ht="67.5" customHeight="1">
      <c r="A1082" s="61">
        <v>2076.0</v>
      </c>
      <c r="B1082" s="22" t="s">
        <v>2936</v>
      </c>
      <c r="C1082" s="23">
        <v>2023.0</v>
      </c>
      <c r="D1082" s="24" t="s">
        <v>35</v>
      </c>
      <c r="E1082" s="25" t="s">
        <v>36</v>
      </c>
      <c r="F1082" s="25" t="s">
        <v>36</v>
      </c>
      <c r="G1082" s="25" t="s">
        <v>36</v>
      </c>
      <c r="H1082" s="25" t="s">
        <v>36</v>
      </c>
      <c r="I1082" s="25" t="s">
        <v>36</v>
      </c>
      <c r="J1082" s="26" t="s">
        <v>36</v>
      </c>
      <c r="K1082" s="27" t="s">
        <v>37</v>
      </c>
      <c r="L1082" s="28" t="s">
        <v>35</v>
      </c>
      <c r="M1082" s="28" t="s">
        <v>35</v>
      </c>
      <c r="N1082" s="28" t="s">
        <v>35</v>
      </c>
      <c r="O1082" s="28" t="s">
        <v>35</v>
      </c>
      <c r="P1082" s="28" t="s">
        <v>35</v>
      </c>
      <c r="Q1082" s="28" t="s">
        <v>37</v>
      </c>
      <c r="R1082" s="28" t="s">
        <v>35</v>
      </c>
      <c r="S1082" s="29" t="s">
        <v>2937</v>
      </c>
      <c r="T1082" s="30" t="s">
        <v>2938</v>
      </c>
      <c r="U1082" s="31" t="s">
        <v>2938</v>
      </c>
      <c r="V1082" s="32">
        <f t="shared" ref="V1082:X1082" si="1088">IF(lenb(SUBSTITUTE($Z1082,V$1&amp;" (1)",""))&lt;lenb($Z1082),1,IF(lenb(SUBSTITUTE($Z1082,V$1&amp;" (2)",""))&lt;lenb($Z1082),2,IF(lenb(SUBSTITUTE($Z1082,V$1&amp;" (3)",""))&lt;lenb($Z1082),3,IF(lenb(SUBSTITUTE($Z1082,V$1&amp;" (4)",""))&lt;lenb($Z1082),4,IF(lenb(SUBSTITUTE($Z1082,V$1&amp;" (5)",""))&lt;lenb($Z1082),5,IF(lenb(SUBSTITUTE($Z1082,V$1&amp;" (6)",""))&lt;lenb($Z1082),6,IF(lenb(SUBSTITUTE($Z1082,V$1&amp;" (7)",""))&lt;lenb($Z1082),1,IF(lenb(SUBSTITUTE($Z1082,V$1&amp;" (8)",""))&lt;lenb($Z1082),8,IF(lenb(SUBSTITUTE($Z1082,V$1&amp;" (9)",""))&lt;lenb($Z1082),9,IF(lenb(SUBSTITUTE($Z1082,V$1&amp;" (10)",""))&lt;lenb($Z1082),10,IF(lenb(SUBSTITUTE($Z1082,V$1,""))&lt;lenb($Z1082),"ERROR",IF($Z1082=$Y$1,"-",0))))))))))))</f>
        <v>1</v>
      </c>
      <c r="W1082" s="32">
        <f t="shared" si="1088"/>
        <v>0</v>
      </c>
      <c r="X1082" s="32">
        <f t="shared" si="1088"/>
        <v>0</v>
      </c>
      <c r="Y1082" s="32" t="str">
        <f t="shared" si="3"/>
        <v>-</v>
      </c>
      <c r="Z1082" s="32" t="s">
        <v>62</v>
      </c>
      <c r="AA1082" s="33">
        <f t="shared" si="4"/>
        <v>1</v>
      </c>
      <c r="AB1082" s="34">
        <f>COUNTIFS(Links!B:B,"ICSE",Links!C:C,A1082,Links!AD:AD,1)</f>
        <v>0</v>
      </c>
      <c r="AC1082" s="35" t="s">
        <v>37</v>
      </c>
      <c r="AD1082" s="27" t="str">
        <f t="shared" si="5"/>
        <v>No</v>
      </c>
      <c r="AE1082" s="36" t="s">
        <v>36</v>
      </c>
      <c r="AF1082" s="37" t="s">
        <v>42</v>
      </c>
      <c r="AG1082" s="37" t="s">
        <v>42</v>
      </c>
      <c r="AH1082" s="37" t="s">
        <v>42</v>
      </c>
      <c r="AI1082" s="29" t="str">
        <f t="shared" si="661"/>
        <v>----</v>
      </c>
      <c r="AJ1082" s="38" t="str">
        <f t="shared" si="7"/>
        <v>Paper has link but no statement</v>
      </c>
      <c r="AK1082" s="39">
        <v>45070.0</v>
      </c>
      <c r="AL1082" s="23" t="s">
        <v>43</v>
      </c>
      <c r="AM1082" s="40" t="str">
        <f t="shared" si="8"/>
        <v>[IP2076]</v>
      </c>
    </row>
    <row r="1083" ht="67.5" customHeight="1">
      <c r="A1083" s="41">
        <v>2077.0</v>
      </c>
      <c r="B1083" s="42" t="s">
        <v>2939</v>
      </c>
      <c r="C1083" s="43">
        <v>2023.0</v>
      </c>
      <c r="D1083" s="44" t="s">
        <v>35</v>
      </c>
      <c r="E1083" s="45" t="s">
        <v>36</v>
      </c>
      <c r="F1083" s="45" t="s">
        <v>36</v>
      </c>
      <c r="G1083" s="45" t="s">
        <v>36</v>
      </c>
      <c r="H1083" s="45" t="s">
        <v>36</v>
      </c>
      <c r="I1083" s="45" t="s">
        <v>36</v>
      </c>
      <c r="J1083" s="46" t="s">
        <v>36</v>
      </c>
      <c r="K1083" s="47" t="s">
        <v>37</v>
      </c>
      <c r="L1083" s="48" t="s">
        <v>37</v>
      </c>
      <c r="M1083" s="48" t="s">
        <v>35</v>
      </c>
      <c r="N1083" s="48" t="s">
        <v>35</v>
      </c>
      <c r="O1083" s="48" t="s">
        <v>35</v>
      </c>
      <c r="P1083" s="48" t="s">
        <v>35</v>
      </c>
      <c r="Q1083" s="48" t="s">
        <v>35</v>
      </c>
      <c r="R1083" s="48" t="s">
        <v>37</v>
      </c>
      <c r="S1083" s="49" t="s">
        <v>2940</v>
      </c>
      <c r="T1083" s="50" t="s">
        <v>2941</v>
      </c>
      <c r="U1083" s="51" t="s">
        <v>2941</v>
      </c>
      <c r="V1083" s="52">
        <f t="shared" ref="V1083:X1083" si="1089">IF(lenb(SUBSTITUTE($Z1083,V$1&amp;" (1)",""))&lt;lenb($Z1083),1,IF(lenb(SUBSTITUTE($Z1083,V$1&amp;" (2)",""))&lt;lenb($Z1083),2,IF(lenb(SUBSTITUTE($Z1083,V$1&amp;" (3)",""))&lt;lenb($Z1083),3,IF(lenb(SUBSTITUTE($Z1083,V$1&amp;" (4)",""))&lt;lenb($Z1083),4,IF(lenb(SUBSTITUTE($Z1083,V$1&amp;" (5)",""))&lt;lenb($Z1083),5,IF(lenb(SUBSTITUTE($Z1083,V$1&amp;" (6)",""))&lt;lenb($Z1083),6,IF(lenb(SUBSTITUTE($Z1083,V$1&amp;" (7)",""))&lt;lenb($Z1083),1,IF(lenb(SUBSTITUTE($Z1083,V$1&amp;" (8)",""))&lt;lenb($Z1083),8,IF(lenb(SUBSTITUTE($Z1083,V$1&amp;" (9)",""))&lt;lenb($Z1083),9,IF(lenb(SUBSTITUTE($Z1083,V$1&amp;" (10)",""))&lt;lenb($Z1083),10,IF(lenb(SUBSTITUTE($Z1083,V$1,""))&lt;lenb($Z1083),"ERROR",IF($Z1083=$Y$1,"-",0))))))))))))</f>
        <v>1</v>
      </c>
      <c r="W1083" s="52">
        <f t="shared" si="1089"/>
        <v>0</v>
      </c>
      <c r="X1083" s="52">
        <f t="shared" si="1089"/>
        <v>0</v>
      </c>
      <c r="Y1083" s="52" t="str">
        <f t="shared" si="3"/>
        <v>-</v>
      </c>
      <c r="Z1083" s="52" t="s">
        <v>62</v>
      </c>
      <c r="AA1083" s="53">
        <f t="shared" si="4"/>
        <v>1</v>
      </c>
      <c r="AB1083" s="54">
        <f>COUNTIFS(Links!B:B,"ICSE",Links!C:C,A1083,Links!AD:AD,1)</f>
        <v>0</v>
      </c>
      <c r="AC1083" s="55" t="s">
        <v>35</v>
      </c>
      <c r="AD1083" s="47" t="str">
        <f t="shared" si="5"/>
        <v>Yes</v>
      </c>
      <c r="AE1083" s="56" t="s">
        <v>2942</v>
      </c>
      <c r="AF1083" s="56" t="s">
        <v>281</v>
      </c>
      <c r="AG1083" s="56" t="s">
        <v>822</v>
      </c>
      <c r="AH1083" s="57" t="s">
        <v>42</v>
      </c>
      <c r="AI1083" s="49" t="str">
        <f t="shared" si="661"/>
        <v>Barriers (Confidentiality and privacy)
Limited access (Request required)</v>
      </c>
      <c r="AJ1083" s="58" t="str">
        <f t="shared" si="7"/>
        <v>Paper has link and statement</v>
      </c>
      <c r="AK1083" s="59">
        <v>45070.0</v>
      </c>
      <c r="AL1083" s="43" t="s">
        <v>43</v>
      </c>
      <c r="AM1083" s="60" t="str">
        <f t="shared" si="8"/>
        <v>[IP2077]</v>
      </c>
    </row>
    <row r="1084" ht="67.5" customHeight="1">
      <c r="A1084" s="61">
        <v>2078.0</v>
      </c>
      <c r="B1084" s="22" t="s">
        <v>2943</v>
      </c>
      <c r="C1084" s="23">
        <v>2023.0</v>
      </c>
      <c r="D1084" s="24" t="s">
        <v>35</v>
      </c>
      <c r="E1084" s="25" t="s">
        <v>36</v>
      </c>
      <c r="F1084" s="25" t="s">
        <v>36</v>
      </c>
      <c r="G1084" s="25" t="s">
        <v>36</v>
      </c>
      <c r="H1084" s="25" t="s">
        <v>36</v>
      </c>
      <c r="I1084" s="25" t="s">
        <v>36</v>
      </c>
      <c r="J1084" s="26" t="s">
        <v>36</v>
      </c>
      <c r="K1084" s="27" t="s">
        <v>37</v>
      </c>
      <c r="L1084" s="28" t="s">
        <v>37</v>
      </c>
      <c r="M1084" s="28" t="s">
        <v>35</v>
      </c>
      <c r="N1084" s="28" t="s">
        <v>35</v>
      </c>
      <c r="O1084" s="28" t="s">
        <v>35</v>
      </c>
      <c r="P1084" s="28" t="s">
        <v>35</v>
      </c>
      <c r="Q1084" s="28" t="s">
        <v>35</v>
      </c>
      <c r="R1084" s="28" t="s">
        <v>37</v>
      </c>
      <c r="S1084" s="29" t="s">
        <v>2944</v>
      </c>
      <c r="T1084" s="30" t="s">
        <v>2945</v>
      </c>
      <c r="U1084" s="31" t="s">
        <v>2945</v>
      </c>
      <c r="V1084" s="32">
        <f t="shared" ref="V1084:X1084" si="1090">IF(lenb(SUBSTITUTE($Z1084,V$1&amp;" (1)",""))&lt;lenb($Z1084),1,IF(lenb(SUBSTITUTE($Z1084,V$1&amp;" (2)",""))&lt;lenb($Z1084),2,IF(lenb(SUBSTITUTE($Z1084,V$1&amp;" (3)",""))&lt;lenb($Z1084),3,IF(lenb(SUBSTITUTE($Z1084,V$1&amp;" (4)",""))&lt;lenb($Z1084),4,IF(lenb(SUBSTITUTE($Z1084,V$1&amp;" (5)",""))&lt;lenb($Z1084),5,IF(lenb(SUBSTITUTE($Z1084,V$1&amp;" (6)",""))&lt;lenb($Z1084),6,IF(lenb(SUBSTITUTE($Z1084,V$1&amp;" (7)",""))&lt;lenb($Z1084),1,IF(lenb(SUBSTITUTE($Z1084,V$1&amp;" (8)",""))&lt;lenb($Z1084),8,IF(lenb(SUBSTITUTE($Z1084,V$1&amp;" (9)",""))&lt;lenb($Z1084),9,IF(lenb(SUBSTITUTE($Z1084,V$1&amp;" (10)",""))&lt;lenb($Z1084),10,IF(lenb(SUBSTITUTE($Z1084,V$1,""))&lt;lenb($Z1084),"ERROR",IF($Z1084=$Y$1,"-",0))))))))))))</f>
        <v>2</v>
      </c>
      <c r="W1084" s="32">
        <f t="shared" si="1090"/>
        <v>0</v>
      </c>
      <c r="X1084" s="32">
        <f t="shared" si="1090"/>
        <v>0</v>
      </c>
      <c r="Y1084" s="32" t="str">
        <f t="shared" si="3"/>
        <v>-</v>
      </c>
      <c r="Z1084" s="32" t="s">
        <v>57</v>
      </c>
      <c r="AA1084" s="33">
        <f t="shared" si="4"/>
        <v>2</v>
      </c>
      <c r="AB1084" s="34">
        <f>COUNTIFS(Links!B:B,"ICSE",Links!C:C,A1084,Links!AD:AD,1)</f>
        <v>0</v>
      </c>
      <c r="AC1084" s="35" t="s">
        <v>37</v>
      </c>
      <c r="AD1084" s="27" t="str">
        <f t="shared" si="5"/>
        <v>No</v>
      </c>
      <c r="AE1084" s="36" t="s">
        <v>36</v>
      </c>
      <c r="AF1084" s="37" t="s">
        <v>42</v>
      </c>
      <c r="AG1084" s="37" t="s">
        <v>42</v>
      </c>
      <c r="AH1084" s="37" t="s">
        <v>42</v>
      </c>
      <c r="AI1084" s="29" t="str">
        <f t="shared" si="661"/>
        <v>----</v>
      </c>
      <c r="AJ1084" s="38" t="str">
        <f t="shared" si="7"/>
        <v>Paper has link but no statement</v>
      </c>
      <c r="AK1084" s="39">
        <v>45070.0</v>
      </c>
      <c r="AL1084" s="23" t="s">
        <v>43</v>
      </c>
      <c r="AM1084" s="40" t="str">
        <f t="shared" si="8"/>
        <v>[IP2078]</v>
      </c>
    </row>
    <row r="1085" ht="67.5" customHeight="1">
      <c r="A1085" s="41">
        <v>2079.0</v>
      </c>
      <c r="B1085" s="42" t="s">
        <v>2946</v>
      </c>
      <c r="C1085" s="43">
        <v>2023.0</v>
      </c>
      <c r="D1085" s="44" t="s">
        <v>37</v>
      </c>
      <c r="E1085" s="45" t="s">
        <v>37</v>
      </c>
      <c r="F1085" s="45" t="s">
        <v>35</v>
      </c>
      <c r="G1085" s="45" t="s">
        <v>35</v>
      </c>
      <c r="H1085" s="45" t="s">
        <v>35</v>
      </c>
      <c r="I1085" s="45" t="s">
        <v>35</v>
      </c>
      <c r="J1085" s="46" t="s">
        <v>36</v>
      </c>
      <c r="K1085" s="47" t="s">
        <v>37</v>
      </c>
      <c r="L1085" s="48" t="s">
        <v>37</v>
      </c>
      <c r="M1085" s="48" t="s">
        <v>35</v>
      </c>
      <c r="N1085" s="48" t="s">
        <v>35</v>
      </c>
      <c r="O1085" s="48" t="s">
        <v>35</v>
      </c>
      <c r="P1085" s="48" t="s">
        <v>35</v>
      </c>
      <c r="Q1085" s="48" t="s">
        <v>35</v>
      </c>
      <c r="R1085" s="48" t="s">
        <v>37</v>
      </c>
      <c r="S1085" s="49" t="s">
        <v>2947</v>
      </c>
      <c r="T1085" s="50" t="s">
        <v>2948</v>
      </c>
      <c r="U1085" s="51" t="s">
        <v>2948</v>
      </c>
      <c r="V1085" s="52">
        <f t="shared" ref="V1085:X1085" si="1091">IF(lenb(SUBSTITUTE($Z1085,V$1&amp;" (1)",""))&lt;lenb($Z1085),1,IF(lenb(SUBSTITUTE($Z1085,V$1&amp;" (2)",""))&lt;lenb($Z1085),2,IF(lenb(SUBSTITUTE($Z1085,V$1&amp;" (3)",""))&lt;lenb($Z1085),3,IF(lenb(SUBSTITUTE($Z1085,V$1&amp;" (4)",""))&lt;lenb($Z1085),4,IF(lenb(SUBSTITUTE($Z1085,V$1&amp;" (5)",""))&lt;lenb($Z1085),5,IF(lenb(SUBSTITUTE($Z1085,V$1&amp;" (6)",""))&lt;lenb($Z1085),6,IF(lenb(SUBSTITUTE($Z1085,V$1&amp;" (7)",""))&lt;lenb($Z1085),1,IF(lenb(SUBSTITUTE($Z1085,V$1&amp;" (8)",""))&lt;lenb($Z1085),8,IF(lenb(SUBSTITUTE($Z1085,V$1&amp;" (9)",""))&lt;lenb($Z1085),9,IF(lenb(SUBSTITUTE($Z1085,V$1&amp;" (10)",""))&lt;lenb($Z1085),10,IF(lenb(SUBSTITUTE($Z1085,V$1,""))&lt;lenb($Z1085),"ERROR",IF($Z1085=$Y$1,"-",0))))))))))))</f>
        <v>1</v>
      </c>
      <c r="W1085" s="52">
        <f t="shared" si="1091"/>
        <v>0</v>
      </c>
      <c r="X1085" s="52">
        <f t="shared" si="1091"/>
        <v>0</v>
      </c>
      <c r="Y1085" s="52" t="str">
        <f t="shared" si="3"/>
        <v>-</v>
      </c>
      <c r="Z1085" s="52" t="s">
        <v>62</v>
      </c>
      <c r="AA1085" s="53">
        <f t="shared" si="4"/>
        <v>1</v>
      </c>
      <c r="AB1085" s="54">
        <f>COUNTIFS(Links!B:B,"ICSE",Links!C:C,A1085,Links!AD:AD,1)</f>
        <v>0</v>
      </c>
      <c r="AC1085" s="55" t="s">
        <v>37</v>
      </c>
      <c r="AD1085" s="47" t="str">
        <f t="shared" si="5"/>
        <v>No</v>
      </c>
      <c r="AE1085" s="56" t="s">
        <v>36</v>
      </c>
      <c r="AF1085" s="57" t="s">
        <v>42</v>
      </c>
      <c r="AG1085" s="57" t="s">
        <v>42</v>
      </c>
      <c r="AH1085" s="57" t="s">
        <v>42</v>
      </c>
      <c r="AI1085" s="49" t="str">
        <f t="shared" si="661"/>
        <v>----</v>
      </c>
      <c r="AJ1085" s="58" t="str">
        <f t="shared" si="7"/>
        <v>Paper has link but no statement</v>
      </c>
      <c r="AK1085" s="59">
        <v>45070.0</v>
      </c>
      <c r="AL1085" s="43" t="s">
        <v>43</v>
      </c>
      <c r="AM1085" s="60" t="str">
        <f t="shared" si="8"/>
        <v>[IP2079]</v>
      </c>
    </row>
    <row r="1086" ht="67.5" customHeight="1">
      <c r="A1086" s="61">
        <v>2080.0</v>
      </c>
      <c r="B1086" s="22" t="s">
        <v>2949</v>
      </c>
      <c r="C1086" s="23">
        <v>2023.0</v>
      </c>
      <c r="D1086" s="24" t="s">
        <v>35</v>
      </c>
      <c r="E1086" s="25" t="s">
        <v>36</v>
      </c>
      <c r="F1086" s="25" t="s">
        <v>36</v>
      </c>
      <c r="G1086" s="25" t="s">
        <v>36</v>
      </c>
      <c r="H1086" s="25" t="s">
        <v>36</v>
      </c>
      <c r="I1086" s="25" t="s">
        <v>36</v>
      </c>
      <c r="J1086" s="26" t="s">
        <v>36</v>
      </c>
      <c r="K1086" s="27" t="s">
        <v>37</v>
      </c>
      <c r="L1086" s="28" t="s">
        <v>35</v>
      </c>
      <c r="M1086" s="28" t="s">
        <v>37</v>
      </c>
      <c r="N1086" s="28" t="s">
        <v>35</v>
      </c>
      <c r="O1086" s="28" t="s">
        <v>35</v>
      </c>
      <c r="P1086" s="28" t="s">
        <v>35</v>
      </c>
      <c r="Q1086" s="28" t="s">
        <v>37</v>
      </c>
      <c r="R1086" s="28" t="s">
        <v>37</v>
      </c>
      <c r="S1086" s="29" t="s">
        <v>2950</v>
      </c>
      <c r="T1086" s="30" t="s">
        <v>2951</v>
      </c>
      <c r="U1086" s="31" t="s">
        <v>2951</v>
      </c>
      <c r="V1086" s="32">
        <f t="shared" ref="V1086:X1086" si="1092">IF(lenb(SUBSTITUTE($Z1086,V$1&amp;" (1)",""))&lt;lenb($Z1086),1,IF(lenb(SUBSTITUTE($Z1086,V$1&amp;" (2)",""))&lt;lenb($Z1086),2,IF(lenb(SUBSTITUTE($Z1086,V$1&amp;" (3)",""))&lt;lenb($Z1086),3,IF(lenb(SUBSTITUTE($Z1086,V$1&amp;" (4)",""))&lt;lenb($Z1086),4,IF(lenb(SUBSTITUTE($Z1086,V$1&amp;" (5)",""))&lt;lenb($Z1086),5,IF(lenb(SUBSTITUTE($Z1086,V$1&amp;" (6)",""))&lt;lenb($Z1086),6,IF(lenb(SUBSTITUTE($Z1086,V$1&amp;" (7)",""))&lt;lenb($Z1086),1,IF(lenb(SUBSTITUTE($Z1086,V$1&amp;" (8)",""))&lt;lenb($Z1086),8,IF(lenb(SUBSTITUTE($Z1086,V$1&amp;" (9)",""))&lt;lenb($Z1086),9,IF(lenb(SUBSTITUTE($Z1086,V$1&amp;" (10)",""))&lt;lenb($Z1086),10,IF(lenb(SUBSTITUTE($Z1086,V$1,""))&lt;lenb($Z1086),"ERROR",IF($Z1086=$Y$1,"-",0))))))))))))</f>
        <v>1</v>
      </c>
      <c r="W1086" s="32">
        <f t="shared" si="1092"/>
        <v>0</v>
      </c>
      <c r="X1086" s="32">
        <f t="shared" si="1092"/>
        <v>0</v>
      </c>
      <c r="Y1086" s="32" t="str">
        <f t="shared" si="3"/>
        <v>-</v>
      </c>
      <c r="Z1086" s="32" t="s">
        <v>62</v>
      </c>
      <c r="AA1086" s="33">
        <f t="shared" si="4"/>
        <v>1</v>
      </c>
      <c r="AB1086" s="34">
        <f>COUNTIFS(Links!B:B,"ICSE",Links!C:C,A1086,Links!AD:AD,1)</f>
        <v>0</v>
      </c>
      <c r="AC1086" s="35" t="s">
        <v>37</v>
      </c>
      <c r="AD1086" s="27" t="str">
        <f t="shared" si="5"/>
        <v>No</v>
      </c>
      <c r="AE1086" s="36" t="s">
        <v>36</v>
      </c>
      <c r="AF1086" s="37" t="s">
        <v>42</v>
      </c>
      <c r="AG1086" s="37" t="s">
        <v>42</v>
      </c>
      <c r="AH1086" s="37" t="s">
        <v>42</v>
      </c>
      <c r="AI1086" s="29" t="str">
        <f t="shared" si="661"/>
        <v>----</v>
      </c>
      <c r="AJ1086" s="38" t="str">
        <f t="shared" si="7"/>
        <v>Paper has link but no statement</v>
      </c>
      <c r="AK1086" s="39">
        <v>45070.0</v>
      </c>
      <c r="AL1086" s="23" t="s">
        <v>43</v>
      </c>
      <c r="AM1086" s="40" t="str">
        <f t="shared" si="8"/>
        <v>[IP2080]</v>
      </c>
    </row>
    <row r="1087" ht="67.5" customHeight="1">
      <c r="A1087" s="41">
        <v>2081.0</v>
      </c>
      <c r="B1087" s="42" t="s">
        <v>2952</v>
      </c>
      <c r="C1087" s="43">
        <v>2023.0</v>
      </c>
      <c r="D1087" s="44" t="s">
        <v>37</v>
      </c>
      <c r="E1087" s="45" t="s">
        <v>37</v>
      </c>
      <c r="F1087" s="45" t="s">
        <v>35</v>
      </c>
      <c r="G1087" s="45" t="s">
        <v>37</v>
      </c>
      <c r="H1087" s="45" t="s">
        <v>35</v>
      </c>
      <c r="I1087" s="45" t="s">
        <v>35</v>
      </c>
      <c r="J1087" s="46" t="s">
        <v>36</v>
      </c>
      <c r="K1087" s="47" t="s">
        <v>37</v>
      </c>
      <c r="L1087" s="48" t="s">
        <v>35</v>
      </c>
      <c r="M1087" s="48" t="s">
        <v>37</v>
      </c>
      <c r="N1087" s="48" t="s">
        <v>37</v>
      </c>
      <c r="O1087" s="48" t="s">
        <v>35</v>
      </c>
      <c r="P1087" s="48" t="s">
        <v>35</v>
      </c>
      <c r="Q1087" s="48" t="s">
        <v>35</v>
      </c>
      <c r="R1087" s="48" t="s">
        <v>35</v>
      </c>
      <c r="S1087" s="49" t="s">
        <v>2953</v>
      </c>
      <c r="T1087" s="50" t="s">
        <v>2954</v>
      </c>
      <c r="U1087" s="51" t="s">
        <v>2954</v>
      </c>
      <c r="V1087" s="52">
        <f t="shared" ref="V1087:X1087" si="1093">IF(lenb(SUBSTITUTE($Z1087,V$1&amp;" (1)",""))&lt;lenb($Z1087),1,IF(lenb(SUBSTITUTE($Z1087,V$1&amp;" (2)",""))&lt;lenb($Z1087),2,IF(lenb(SUBSTITUTE($Z1087,V$1&amp;" (3)",""))&lt;lenb($Z1087),3,IF(lenb(SUBSTITUTE($Z1087,V$1&amp;" (4)",""))&lt;lenb($Z1087),4,IF(lenb(SUBSTITUTE($Z1087,V$1&amp;" (5)",""))&lt;lenb($Z1087),5,IF(lenb(SUBSTITUTE($Z1087,V$1&amp;" (6)",""))&lt;lenb($Z1087),6,IF(lenb(SUBSTITUTE($Z1087,V$1&amp;" (7)",""))&lt;lenb($Z1087),1,IF(lenb(SUBSTITUTE($Z1087,V$1&amp;" (8)",""))&lt;lenb($Z1087),8,IF(lenb(SUBSTITUTE($Z1087,V$1&amp;" (9)",""))&lt;lenb($Z1087),9,IF(lenb(SUBSTITUTE($Z1087,V$1&amp;" (10)",""))&lt;lenb($Z1087),10,IF(lenb(SUBSTITUTE($Z1087,V$1,""))&lt;lenb($Z1087),"ERROR",IF($Z1087=$Y$1,"-",0))))))))))))</f>
        <v>1</v>
      </c>
      <c r="W1087" s="52">
        <f t="shared" si="1093"/>
        <v>0</v>
      </c>
      <c r="X1087" s="52">
        <f t="shared" si="1093"/>
        <v>0</v>
      </c>
      <c r="Y1087" s="52" t="str">
        <f t="shared" si="3"/>
        <v>-</v>
      </c>
      <c r="Z1087" s="52" t="s">
        <v>62</v>
      </c>
      <c r="AA1087" s="53">
        <f t="shared" si="4"/>
        <v>1</v>
      </c>
      <c r="AB1087" s="54">
        <f>COUNTIFS(Links!B:B,"ICSE",Links!C:C,A1087,Links!AD:AD,1)</f>
        <v>0</v>
      </c>
      <c r="AC1087" s="55" t="s">
        <v>37</v>
      </c>
      <c r="AD1087" s="47" t="str">
        <f t="shared" si="5"/>
        <v>No</v>
      </c>
      <c r="AE1087" s="56" t="s">
        <v>36</v>
      </c>
      <c r="AF1087" s="57" t="s">
        <v>42</v>
      </c>
      <c r="AG1087" s="57" t="s">
        <v>42</v>
      </c>
      <c r="AH1087" s="57" t="s">
        <v>42</v>
      </c>
      <c r="AI1087" s="49" t="str">
        <f t="shared" si="661"/>
        <v>----</v>
      </c>
      <c r="AJ1087" s="58" t="str">
        <f t="shared" si="7"/>
        <v>Paper has link but no statement</v>
      </c>
      <c r="AK1087" s="59">
        <v>45070.0</v>
      </c>
      <c r="AL1087" s="43" t="s">
        <v>43</v>
      </c>
      <c r="AM1087" s="60" t="str">
        <f t="shared" si="8"/>
        <v>[IP2081]</v>
      </c>
    </row>
    <row r="1088" ht="67.5" customHeight="1">
      <c r="A1088" s="61">
        <v>2082.0</v>
      </c>
      <c r="B1088" s="22" t="s">
        <v>2955</v>
      </c>
      <c r="C1088" s="23">
        <v>2023.0</v>
      </c>
      <c r="D1088" s="24" t="s">
        <v>37</v>
      </c>
      <c r="E1088" s="25" t="s">
        <v>37</v>
      </c>
      <c r="F1088" s="25" t="s">
        <v>35</v>
      </c>
      <c r="G1088" s="25" t="s">
        <v>37</v>
      </c>
      <c r="H1088" s="25" t="s">
        <v>35</v>
      </c>
      <c r="I1088" s="25" t="s">
        <v>35</v>
      </c>
      <c r="J1088" s="26" t="s">
        <v>36</v>
      </c>
      <c r="K1088" s="27" t="s">
        <v>37</v>
      </c>
      <c r="L1088" s="28" t="s">
        <v>37</v>
      </c>
      <c r="M1088" s="28" t="s">
        <v>37</v>
      </c>
      <c r="N1088" s="28" t="s">
        <v>37</v>
      </c>
      <c r="O1088" s="28" t="s">
        <v>35</v>
      </c>
      <c r="P1088" s="28" t="s">
        <v>35</v>
      </c>
      <c r="Q1088" s="28" t="s">
        <v>35</v>
      </c>
      <c r="R1088" s="28" t="s">
        <v>37</v>
      </c>
      <c r="S1088" s="29" t="s">
        <v>2956</v>
      </c>
      <c r="T1088" s="30" t="s">
        <v>2957</v>
      </c>
      <c r="U1088" s="31" t="s">
        <v>2958</v>
      </c>
      <c r="V1088" s="32">
        <f t="shared" ref="V1088:X1088" si="1094">IF(lenb(SUBSTITUTE($Z1088,V$1&amp;" (1)",""))&lt;lenb($Z1088),1,IF(lenb(SUBSTITUTE($Z1088,V$1&amp;" (2)",""))&lt;lenb($Z1088),2,IF(lenb(SUBSTITUTE($Z1088,V$1&amp;" (3)",""))&lt;lenb($Z1088),3,IF(lenb(SUBSTITUTE($Z1088,V$1&amp;" (4)",""))&lt;lenb($Z1088),4,IF(lenb(SUBSTITUTE($Z1088,V$1&amp;" (5)",""))&lt;lenb($Z1088),5,IF(lenb(SUBSTITUTE($Z1088,V$1&amp;" (6)",""))&lt;lenb($Z1088),6,IF(lenb(SUBSTITUTE($Z1088,V$1&amp;" (7)",""))&lt;lenb($Z1088),1,IF(lenb(SUBSTITUTE($Z1088,V$1&amp;" (8)",""))&lt;lenb($Z1088),8,IF(lenb(SUBSTITUTE($Z1088,V$1&amp;" (9)",""))&lt;lenb($Z1088),9,IF(lenb(SUBSTITUTE($Z1088,V$1&amp;" (10)",""))&lt;lenb($Z1088),10,IF(lenb(SUBSTITUTE($Z1088,V$1,""))&lt;lenb($Z1088),"ERROR",IF($Z1088=$Y$1,"-",0))))))))))))</f>
        <v>4</v>
      </c>
      <c r="W1088" s="32">
        <f t="shared" si="1094"/>
        <v>0</v>
      </c>
      <c r="X1088" s="32">
        <f t="shared" si="1094"/>
        <v>0</v>
      </c>
      <c r="Y1088" s="32" t="str">
        <f t="shared" si="3"/>
        <v>-</v>
      </c>
      <c r="Z1088" s="32" t="s">
        <v>2959</v>
      </c>
      <c r="AA1088" s="33">
        <f t="shared" si="4"/>
        <v>4</v>
      </c>
      <c r="AB1088" s="34">
        <f>COUNTIFS(Links!B:B,"ICSE",Links!C:C,A1088,Links!AD:AD,1)</f>
        <v>2</v>
      </c>
      <c r="AC1088" s="35" t="s">
        <v>37</v>
      </c>
      <c r="AD1088" s="27" t="str">
        <f t="shared" si="5"/>
        <v>No</v>
      </c>
      <c r="AE1088" s="36" t="s">
        <v>36</v>
      </c>
      <c r="AF1088" s="37" t="s">
        <v>42</v>
      </c>
      <c r="AG1088" s="37" t="s">
        <v>42</v>
      </c>
      <c r="AH1088" s="37" t="s">
        <v>42</v>
      </c>
      <c r="AI1088" s="29" t="str">
        <f t="shared" si="661"/>
        <v>----</v>
      </c>
      <c r="AJ1088" s="38" t="str">
        <f t="shared" si="7"/>
        <v>Paper has link but no statement</v>
      </c>
      <c r="AK1088" s="39">
        <v>45070.0</v>
      </c>
      <c r="AL1088" s="23" t="s">
        <v>43</v>
      </c>
      <c r="AM1088" s="40" t="str">
        <f t="shared" si="8"/>
        <v>[IP2082]</v>
      </c>
    </row>
    <row r="1089" ht="67.5" customHeight="1">
      <c r="A1089" s="41">
        <v>2083.0</v>
      </c>
      <c r="B1089" s="42" t="s">
        <v>2960</v>
      </c>
      <c r="C1089" s="43">
        <v>2023.0</v>
      </c>
      <c r="D1089" s="44" t="s">
        <v>37</v>
      </c>
      <c r="E1089" s="45" t="s">
        <v>37</v>
      </c>
      <c r="F1089" s="45" t="s">
        <v>35</v>
      </c>
      <c r="G1089" s="45" t="s">
        <v>35</v>
      </c>
      <c r="H1089" s="45" t="s">
        <v>35</v>
      </c>
      <c r="I1089" s="45" t="s">
        <v>35</v>
      </c>
      <c r="J1089" s="46" t="s">
        <v>36</v>
      </c>
      <c r="K1089" s="47" t="s">
        <v>37</v>
      </c>
      <c r="L1089" s="48" t="s">
        <v>37</v>
      </c>
      <c r="M1089" s="48" t="s">
        <v>37</v>
      </c>
      <c r="N1089" s="48" t="s">
        <v>37</v>
      </c>
      <c r="O1089" s="48" t="s">
        <v>35</v>
      </c>
      <c r="P1089" s="48" t="s">
        <v>37</v>
      </c>
      <c r="Q1089" s="48" t="s">
        <v>35</v>
      </c>
      <c r="R1089" s="48" t="s">
        <v>37</v>
      </c>
      <c r="S1089" s="49" t="s">
        <v>2961</v>
      </c>
      <c r="T1089" s="50" t="s">
        <v>2962</v>
      </c>
      <c r="U1089" s="51" t="s">
        <v>2963</v>
      </c>
      <c r="V1089" s="52">
        <f t="shared" ref="V1089:X1089" si="1095">IF(lenb(SUBSTITUTE($Z1089,V$1&amp;" (1)",""))&lt;lenb($Z1089),1,IF(lenb(SUBSTITUTE($Z1089,V$1&amp;" (2)",""))&lt;lenb($Z1089),2,IF(lenb(SUBSTITUTE($Z1089,V$1&amp;" (3)",""))&lt;lenb($Z1089),3,IF(lenb(SUBSTITUTE($Z1089,V$1&amp;" (4)",""))&lt;lenb($Z1089),4,IF(lenb(SUBSTITUTE($Z1089,V$1&amp;" (5)",""))&lt;lenb($Z1089),5,IF(lenb(SUBSTITUTE($Z1089,V$1&amp;" (6)",""))&lt;lenb($Z1089),6,IF(lenb(SUBSTITUTE($Z1089,V$1&amp;" (7)",""))&lt;lenb($Z1089),1,IF(lenb(SUBSTITUTE($Z1089,V$1&amp;" (8)",""))&lt;lenb($Z1089),8,IF(lenb(SUBSTITUTE($Z1089,V$1&amp;" (9)",""))&lt;lenb($Z1089),9,IF(lenb(SUBSTITUTE($Z1089,V$1&amp;" (10)",""))&lt;lenb($Z1089),10,IF(lenb(SUBSTITUTE($Z1089,V$1,""))&lt;lenb($Z1089),"ERROR",IF($Z1089=$Y$1,"-",0))))))))))))</f>
        <v>3</v>
      </c>
      <c r="W1089" s="52">
        <f t="shared" si="1095"/>
        <v>0</v>
      </c>
      <c r="X1089" s="52">
        <f t="shared" si="1095"/>
        <v>0</v>
      </c>
      <c r="Y1089" s="52" t="str">
        <f t="shared" si="3"/>
        <v>-</v>
      </c>
      <c r="Z1089" s="52" t="s">
        <v>193</v>
      </c>
      <c r="AA1089" s="53">
        <f t="shared" si="4"/>
        <v>3</v>
      </c>
      <c r="AB1089" s="54">
        <f>COUNTIFS(Links!B:B,"ICSE",Links!C:C,A1089,Links!AD:AD,1)</f>
        <v>1</v>
      </c>
      <c r="AC1089" s="55" t="s">
        <v>37</v>
      </c>
      <c r="AD1089" s="47" t="str">
        <f t="shared" si="5"/>
        <v>No</v>
      </c>
      <c r="AE1089" s="56" t="s">
        <v>36</v>
      </c>
      <c r="AF1089" s="57" t="s">
        <v>42</v>
      </c>
      <c r="AG1089" s="57" t="s">
        <v>42</v>
      </c>
      <c r="AH1089" s="57" t="s">
        <v>42</v>
      </c>
      <c r="AI1089" s="49" t="str">
        <f t="shared" si="661"/>
        <v>----</v>
      </c>
      <c r="AJ1089" s="58" t="str">
        <f t="shared" si="7"/>
        <v>Paper has link but no statement</v>
      </c>
      <c r="AK1089" s="59">
        <v>45070.0</v>
      </c>
      <c r="AL1089" s="43" t="s">
        <v>43</v>
      </c>
      <c r="AM1089" s="60" t="str">
        <f t="shared" si="8"/>
        <v>[IP2083]</v>
      </c>
    </row>
    <row r="1090" ht="67.5" customHeight="1">
      <c r="A1090" s="61">
        <v>2084.0</v>
      </c>
      <c r="B1090" s="22" t="s">
        <v>2964</v>
      </c>
      <c r="C1090" s="23">
        <v>2023.0</v>
      </c>
      <c r="D1090" s="24" t="s">
        <v>35</v>
      </c>
      <c r="E1090" s="25" t="s">
        <v>36</v>
      </c>
      <c r="F1090" s="25" t="s">
        <v>36</v>
      </c>
      <c r="G1090" s="25" t="s">
        <v>36</v>
      </c>
      <c r="H1090" s="25" t="s">
        <v>36</v>
      </c>
      <c r="I1090" s="25" t="s">
        <v>36</v>
      </c>
      <c r="J1090" s="26" t="s">
        <v>36</v>
      </c>
      <c r="K1090" s="27" t="s">
        <v>35</v>
      </c>
      <c r="L1090" s="28" t="s">
        <v>36</v>
      </c>
      <c r="M1090" s="28" t="s">
        <v>36</v>
      </c>
      <c r="N1090" s="28" t="s">
        <v>36</v>
      </c>
      <c r="O1090" s="28" t="s">
        <v>36</v>
      </c>
      <c r="P1090" s="28" t="s">
        <v>36</v>
      </c>
      <c r="Q1090" s="28" t="s">
        <v>36</v>
      </c>
      <c r="R1090" s="28" t="s">
        <v>36</v>
      </c>
      <c r="S1090" s="29" t="s">
        <v>36</v>
      </c>
      <c r="T1090" s="30" t="s">
        <v>36</v>
      </c>
      <c r="U1090" s="31" t="s">
        <v>36</v>
      </c>
      <c r="V1090" s="32" t="str">
        <f t="shared" ref="V1090:X1090" si="1096">IF(lenb(SUBSTITUTE($Z1090,V$1&amp;" (1)",""))&lt;lenb($Z1090),1,IF(lenb(SUBSTITUTE($Z1090,V$1&amp;" (2)",""))&lt;lenb($Z1090),2,IF(lenb(SUBSTITUTE($Z1090,V$1&amp;" (3)",""))&lt;lenb($Z1090),3,IF(lenb(SUBSTITUTE($Z1090,V$1&amp;" (4)",""))&lt;lenb($Z1090),4,IF(lenb(SUBSTITUTE($Z1090,V$1&amp;" (5)",""))&lt;lenb($Z1090),5,IF(lenb(SUBSTITUTE($Z1090,V$1&amp;" (6)",""))&lt;lenb($Z1090),6,IF(lenb(SUBSTITUTE($Z1090,V$1&amp;" (7)",""))&lt;lenb($Z1090),1,IF(lenb(SUBSTITUTE($Z1090,V$1&amp;" (8)",""))&lt;lenb($Z1090),8,IF(lenb(SUBSTITUTE($Z1090,V$1&amp;" (9)",""))&lt;lenb($Z1090),9,IF(lenb(SUBSTITUTE($Z1090,V$1&amp;" (10)",""))&lt;lenb($Z1090),10,IF(lenb(SUBSTITUTE($Z1090,V$1,""))&lt;lenb($Z1090),"ERROR",IF($Z1090=$Y$1,"-",0))))))))))))</f>
        <v>-</v>
      </c>
      <c r="W1090" s="32" t="str">
        <f t="shared" si="1096"/>
        <v>-</v>
      </c>
      <c r="X1090" s="32" t="str">
        <f t="shared" si="1096"/>
        <v>-</v>
      </c>
      <c r="Y1090" s="32">
        <f t="shared" si="3"/>
        <v>1</v>
      </c>
      <c r="Z1090" s="32" t="s">
        <v>23</v>
      </c>
      <c r="AA1090" s="33">
        <f t="shared" si="4"/>
        <v>0</v>
      </c>
      <c r="AB1090" s="34">
        <f>COUNTIFS(Links!B:B,"ICSE",Links!C:C,A1090,Links!AD:AD,1)</f>
        <v>0</v>
      </c>
      <c r="AC1090" s="35" t="s">
        <v>36</v>
      </c>
      <c r="AD1090" s="27" t="str">
        <f t="shared" si="5"/>
        <v>No</v>
      </c>
      <c r="AE1090" s="36" t="s">
        <v>36</v>
      </c>
      <c r="AF1090" s="37" t="s">
        <v>42</v>
      </c>
      <c r="AG1090" s="37" t="s">
        <v>42</v>
      </c>
      <c r="AH1090" s="37" t="s">
        <v>42</v>
      </c>
      <c r="AI1090" s="29" t="str">
        <f t="shared" si="661"/>
        <v>----</v>
      </c>
      <c r="AJ1090" s="38" t="str">
        <f t="shared" si="7"/>
        <v>Paper has no link and no statement</v>
      </c>
      <c r="AK1090" s="39">
        <v>45070.0</v>
      </c>
      <c r="AL1090" s="23" t="s">
        <v>43</v>
      </c>
      <c r="AM1090" s="40" t="str">
        <f t="shared" si="8"/>
        <v>[IP2084]</v>
      </c>
    </row>
    <row r="1091" ht="67.5" customHeight="1">
      <c r="A1091" s="41">
        <v>2085.0</v>
      </c>
      <c r="B1091" s="42" t="s">
        <v>2965</v>
      </c>
      <c r="C1091" s="43">
        <v>2023.0</v>
      </c>
      <c r="D1091" s="44" t="s">
        <v>35</v>
      </c>
      <c r="E1091" s="45" t="s">
        <v>36</v>
      </c>
      <c r="F1091" s="45" t="s">
        <v>36</v>
      </c>
      <c r="G1091" s="45" t="s">
        <v>36</v>
      </c>
      <c r="H1091" s="45" t="s">
        <v>36</v>
      </c>
      <c r="I1091" s="45" t="s">
        <v>36</v>
      </c>
      <c r="J1091" s="46" t="s">
        <v>36</v>
      </c>
      <c r="K1091" s="47" t="s">
        <v>37</v>
      </c>
      <c r="L1091" s="48" t="s">
        <v>35</v>
      </c>
      <c r="M1091" s="48" t="s">
        <v>37</v>
      </c>
      <c r="N1091" s="48" t="s">
        <v>37</v>
      </c>
      <c r="O1091" s="48" t="s">
        <v>35</v>
      </c>
      <c r="P1091" s="48" t="s">
        <v>37</v>
      </c>
      <c r="Q1091" s="48" t="s">
        <v>35</v>
      </c>
      <c r="R1091" s="48" t="s">
        <v>35</v>
      </c>
      <c r="S1091" s="49" t="s">
        <v>2966</v>
      </c>
      <c r="T1091" s="50" t="s">
        <v>2967</v>
      </c>
      <c r="U1091" s="51" t="s">
        <v>2967</v>
      </c>
      <c r="V1091" s="52">
        <f t="shared" ref="V1091:X1091" si="1097">IF(lenb(SUBSTITUTE($Z1091,V$1&amp;" (1)",""))&lt;lenb($Z1091),1,IF(lenb(SUBSTITUTE($Z1091,V$1&amp;" (2)",""))&lt;lenb($Z1091),2,IF(lenb(SUBSTITUTE($Z1091,V$1&amp;" (3)",""))&lt;lenb($Z1091),3,IF(lenb(SUBSTITUTE($Z1091,V$1&amp;" (4)",""))&lt;lenb($Z1091),4,IF(lenb(SUBSTITUTE($Z1091,V$1&amp;" (5)",""))&lt;lenb($Z1091),5,IF(lenb(SUBSTITUTE($Z1091,V$1&amp;" (6)",""))&lt;lenb($Z1091),6,IF(lenb(SUBSTITUTE($Z1091,V$1&amp;" (7)",""))&lt;lenb($Z1091),1,IF(lenb(SUBSTITUTE($Z1091,V$1&amp;" (8)",""))&lt;lenb($Z1091),8,IF(lenb(SUBSTITUTE($Z1091,V$1&amp;" (9)",""))&lt;lenb($Z1091),9,IF(lenb(SUBSTITUTE($Z1091,V$1&amp;" (10)",""))&lt;lenb($Z1091),10,IF(lenb(SUBSTITUTE($Z1091,V$1,""))&lt;lenb($Z1091),"ERROR",IF($Z1091=$Y$1,"-",0))))))))))))</f>
        <v>1</v>
      </c>
      <c r="W1091" s="52">
        <f t="shared" si="1097"/>
        <v>0</v>
      </c>
      <c r="X1091" s="52">
        <f t="shared" si="1097"/>
        <v>0</v>
      </c>
      <c r="Y1091" s="52" t="str">
        <f t="shared" si="3"/>
        <v>-</v>
      </c>
      <c r="Z1091" s="52" t="s">
        <v>62</v>
      </c>
      <c r="AA1091" s="53">
        <f t="shared" si="4"/>
        <v>1</v>
      </c>
      <c r="AB1091" s="54">
        <f>COUNTIFS(Links!B:B,"ICSE",Links!C:C,A1091,Links!AD:AD,1)</f>
        <v>0</v>
      </c>
      <c r="AC1091" s="55" t="s">
        <v>35</v>
      </c>
      <c r="AD1091" s="47" t="str">
        <f t="shared" si="5"/>
        <v>No</v>
      </c>
      <c r="AE1091" s="56" t="s">
        <v>36</v>
      </c>
      <c r="AF1091" s="57" t="s">
        <v>42</v>
      </c>
      <c r="AG1091" s="57" t="s">
        <v>42</v>
      </c>
      <c r="AH1091" s="57" t="s">
        <v>42</v>
      </c>
      <c r="AI1091" s="49" t="str">
        <f t="shared" si="661"/>
        <v>----</v>
      </c>
      <c r="AJ1091" s="58" t="str">
        <f t="shared" si="7"/>
        <v>Paper has link but no statement</v>
      </c>
      <c r="AK1091" s="59">
        <v>45070.0</v>
      </c>
      <c r="AL1091" s="43" t="s">
        <v>43</v>
      </c>
      <c r="AM1091" s="60" t="str">
        <f t="shared" si="8"/>
        <v>[IP2085]</v>
      </c>
    </row>
    <row r="1092" ht="67.5" customHeight="1">
      <c r="A1092" s="61">
        <v>2086.0</v>
      </c>
      <c r="B1092" s="22" t="s">
        <v>2968</v>
      </c>
      <c r="C1092" s="23">
        <v>2023.0</v>
      </c>
      <c r="D1092" s="24" t="s">
        <v>35</v>
      </c>
      <c r="E1092" s="25" t="s">
        <v>36</v>
      </c>
      <c r="F1092" s="25" t="s">
        <v>36</v>
      </c>
      <c r="G1092" s="25" t="s">
        <v>36</v>
      </c>
      <c r="H1092" s="25" t="s">
        <v>36</v>
      </c>
      <c r="I1092" s="25" t="s">
        <v>36</v>
      </c>
      <c r="J1092" s="26" t="s">
        <v>36</v>
      </c>
      <c r="K1092" s="27" t="s">
        <v>37</v>
      </c>
      <c r="L1092" s="28" t="s">
        <v>35</v>
      </c>
      <c r="M1092" s="28" t="s">
        <v>37</v>
      </c>
      <c r="N1092" s="28" t="s">
        <v>37</v>
      </c>
      <c r="O1092" s="28" t="s">
        <v>35</v>
      </c>
      <c r="P1092" s="28" t="s">
        <v>37</v>
      </c>
      <c r="Q1092" s="28" t="s">
        <v>35</v>
      </c>
      <c r="R1092" s="28" t="s">
        <v>35</v>
      </c>
      <c r="S1092" s="29" t="s">
        <v>2969</v>
      </c>
      <c r="T1092" s="30" t="s">
        <v>2970</v>
      </c>
      <c r="U1092" s="31" t="s">
        <v>2971</v>
      </c>
      <c r="V1092" s="32">
        <f t="shared" ref="V1092:X1092" si="1098">IF(lenb(SUBSTITUTE($Z1092,V$1&amp;" (1)",""))&lt;lenb($Z1092),1,IF(lenb(SUBSTITUTE($Z1092,V$1&amp;" (2)",""))&lt;lenb($Z1092),2,IF(lenb(SUBSTITUTE($Z1092,V$1&amp;" (3)",""))&lt;lenb($Z1092),3,IF(lenb(SUBSTITUTE($Z1092,V$1&amp;" (4)",""))&lt;lenb($Z1092),4,IF(lenb(SUBSTITUTE($Z1092,V$1&amp;" (5)",""))&lt;lenb($Z1092),5,IF(lenb(SUBSTITUTE($Z1092,V$1&amp;" (6)",""))&lt;lenb($Z1092),6,IF(lenb(SUBSTITUTE($Z1092,V$1&amp;" (7)",""))&lt;lenb($Z1092),1,IF(lenb(SUBSTITUTE($Z1092,V$1&amp;" (8)",""))&lt;lenb($Z1092),8,IF(lenb(SUBSTITUTE($Z1092,V$1&amp;" (9)",""))&lt;lenb($Z1092),9,IF(lenb(SUBSTITUTE($Z1092,V$1&amp;" (10)",""))&lt;lenb($Z1092),10,IF(lenb(SUBSTITUTE($Z1092,V$1,""))&lt;lenb($Z1092),"ERROR",IF($Z1092=$Y$1,"-",0))))))))))))</f>
        <v>2</v>
      </c>
      <c r="W1092" s="32">
        <f t="shared" si="1098"/>
        <v>0</v>
      </c>
      <c r="X1092" s="32">
        <f t="shared" si="1098"/>
        <v>0</v>
      </c>
      <c r="Y1092" s="32" t="str">
        <f t="shared" si="3"/>
        <v>-</v>
      </c>
      <c r="Z1092" s="32" t="s">
        <v>57</v>
      </c>
      <c r="AA1092" s="33">
        <f t="shared" si="4"/>
        <v>2</v>
      </c>
      <c r="AB1092" s="34">
        <f>COUNTIFS(Links!B:B,"ICSE",Links!C:C,A1092,Links!AD:AD,1)</f>
        <v>0</v>
      </c>
      <c r="AC1092" s="35" t="s">
        <v>35</v>
      </c>
      <c r="AD1092" s="27" t="str">
        <f t="shared" si="5"/>
        <v>No</v>
      </c>
      <c r="AE1092" s="36" t="s">
        <v>36</v>
      </c>
      <c r="AF1092" s="37" t="s">
        <v>42</v>
      </c>
      <c r="AG1092" s="37" t="s">
        <v>42</v>
      </c>
      <c r="AH1092" s="37" t="s">
        <v>42</v>
      </c>
      <c r="AI1092" s="29" t="str">
        <f t="shared" si="661"/>
        <v>----</v>
      </c>
      <c r="AJ1092" s="38" t="str">
        <f t="shared" si="7"/>
        <v>Paper has link but no statement</v>
      </c>
      <c r="AK1092" s="39">
        <v>45070.0</v>
      </c>
      <c r="AL1092" s="23" t="s">
        <v>43</v>
      </c>
      <c r="AM1092" s="40" t="str">
        <f t="shared" si="8"/>
        <v>[IP2086]</v>
      </c>
    </row>
    <row r="1093" ht="67.5" customHeight="1">
      <c r="A1093" s="41">
        <v>2087.0</v>
      </c>
      <c r="B1093" s="42" t="s">
        <v>2972</v>
      </c>
      <c r="C1093" s="43">
        <v>2023.0</v>
      </c>
      <c r="D1093" s="44" t="s">
        <v>37</v>
      </c>
      <c r="E1093" s="45" t="s">
        <v>37</v>
      </c>
      <c r="F1093" s="45" t="s">
        <v>35</v>
      </c>
      <c r="G1093" s="45" t="s">
        <v>35</v>
      </c>
      <c r="H1093" s="45" t="s">
        <v>35</v>
      </c>
      <c r="I1093" s="45" t="s">
        <v>35</v>
      </c>
      <c r="J1093" s="46" t="s">
        <v>36</v>
      </c>
      <c r="K1093" s="47" t="s">
        <v>37</v>
      </c>
      <c r="L1093" s="48" t="s">
        <v>35</v>
      </c>
      <c r="M1093" s="48" t="s">
        <v>37</v>
      </c>
      <c r="N1093" s="48" t="s">
        <v>35</v>
      </c>
      <c r="O1093" s="48" t="s">
        <v>35</v>
      </c>
      <c r="P1093" s="48" t="s">
        <v>35</v>
      </c>
      <c r="Q1093" s="48" t="s">
        <v>37</v>
      </c>
      <c r="R1093" s="48" t="s">
        <v>35</v>
      </c>
      <c r="S1093" s="49" t="s">
        <v>2973</v>
      </c>
      <c r="T1093" s="50" t="s">
        <v>2974</v>
      </c>
      <c r="U1093" s="51" t="s">
        <v>2974</v>
      </c>
      <c r="V1093" s="52">
        <f t="shared" ref="V1093:X1093" si="1099">IF(lenb(SUBSTITUTE($Z1093,V$1&amp;" (1)",""))&lt;lenb($Z1093),1,IF(lenb(SUBSTITUTE($Z1093,V$1&amp;" (2)",""))&lt;lenb($Z1093),2,IF(lenb(SUBSTITUTE($Z1093,V$1&amp;" (3)",""))&lt;lenb($Z1093),3,IF(lenb(SUBSTITUTE($Z1093,V$1&amp;" (4)",""))&lt;lenb($Z1093),4,IF(lenb(SUBSTITUTE($Z1093,V$1&amp;" (5)",""))&lt;lenb($Z1093),5,IF(lenb(SUBSTITUTE($Z1093,V$1&amp;" (6)",""))&lt;lenb($Z1093),6,IF(lenb(SUBSTITUTE($Z1093,V$1&amp;" (7)",""))&lt;lenb($Z1093),1,IF(lenb(SUBSTITUTE($Z1093,V$1&amp;" (8)",""))&lt;lenb($Z1093),8,IF(lenb(SUBSTITUTE($Z1093,V$1&amp;" (9)",""))&lt;lenb($Z1093),9,IF(lenb(SUBSTITUTE($Z1093,V$1&amp;" (10)",""))&lt;lenb($Z1093),10,IF(lenb(SUBSTITUTE($Z1093,V$1,""))&lt;lenb($Z1093),"ERROR",IF($Z1093=$Y$1,"-",0))))))))))))</f>
        <v>1</v>
      </c>
      <c r="W1093" s="52">
        <f t="shared" si="1099"/>
        <v>0</v>
      </c>
      <c r="X1093" s="52">
        <f t="shared" si="1099"/>
        <v>0</v>
      </c>
      <c r="Y1093" s="52" t="str">
        <f t="shared" si="3"/>
        <v>-</v>
      </c>
      <c r="Z1093" s="52" t="s">
        <v>62</v>
      </c>
      <c r="AA1093" s="53">
        <f t="shared" si="4"/>
        <v>1</v>
      </c>
      <c r="AB1093" s="54">
        <f>COUNTIFS(Links!B:B,"ICSE",Links!C:C,A1093,Links!AD:AD,1)</f>
        <v>0</v>
      </c>
      <c r="AC1093" s="55" t="s">
        <v>37</v>
      </c>
      <c r="AD1093" s="47" t="str">
        <f t="shared" si="5"/>
        <v>No</v>
      </c>
      <c r="AE1093" s="56" t="s">
        <v>36</v>
      </c>
      <c r="AF1093" s="57" t="s">
        <v>42</v>
      </c>
      <c r="AG1093" s="57" t="s">
        <v>42</v>
      </c>
      <c r="AH1093" s="57" t="s">
        <v>42</v>
      </c>
      <c r="AI1093" s="49" t="str">
        <f t="shared" si="661"/>
        <v>----</v>
      </c>
      <c r="AJ1093" s="58" t="str">
        <f t="shared" si="7"/>
        <v>Paper has link but no statement</v>
      </c>
      <c r="AK1093" s="59">
        <v>45070.0</v>
      </c>
      <c r="AL1093" s="43" t="s">
        <v>43</v>
      </c>
      <c r="AM1093" s="60" t="str">
        <f t="shared" si="8"/>
        <v>[IP2087]</v>
      </c>
    </row>
    <row r="1094" ht="67.5" customHeight="1">
      <c r="A1094" s="61">
        <v>2088.0</v>
      </c>
      <c r="B1094" s="22" t="s">
        <v>2975</v>
      </c>
      <c r="C1094" s="23">
        <v>2023.0</v>
      </c>
      <c r="D1094" s="24" t="s">
        <v>35</v>
      </c>
      <c r="E1094" s="25" t="s">
        <v>36</v>
      </c>
      <c r="F1094" s="25" t="s">
        <v>36</v>
      </c>
      <c r="G1094" s="25" t="s">
        <v>36</v>
      </c>
      <c r="H1094" s="25" t="s">
        <v>36</v>
      </c>
      <c r="I1094" s="25" t="s">
        <v>36</v>
      </c>
      <c r="J1094" s="26" t="s">
        <v>36</v>
      </c>
      <c r="K1094" s="27" t="s">
        <v>37</v>
      </c>
      <c r="L1094" s="28" t="s">
        <v>35</v>
      </c>
      <c r="M1094" s="28" t="s">
        <v>37</v>
      </c>
      <c r="N1094" s="28" t="s">
        <v>35</v>
      </c>
      <c r="O1094" s="28" t="s">
        <v>37</v>
      </c>
      <c r="P1094" s="28" t="s">
        <v>37</v>
      </c>
      <c r="Q1094" s="28" t="s">
        <v>35</v>
      </c>
      <c r="R1094" s="28" t="s">
        <v>37</v>
      </c>
      <c r="S1094" s="29" t="s">
        <v>2976</v>
      </c>
      <c r="T1094" s="30" t="s">
        <v>2977</v>
      </c>
      <c r="U1094" s="31" t="s">
        <v>2977</v>
      </c>
      <c r="V1094" s="32">
        <f t="shared" ref="V1094:X1094" si="1100">IF(lenb(SUBSTITUTE($Z1094,V$1&amp;" (1)",""))&lt;lenb($Z1094),1,IF(lenb(SUBSTITUTE($Z1094,V$1&amp;" (2)",""))&lt;lenb($Z1094),2,IF(lenb(SUBSTITUTE($Z1094,V$1&amp;" (3)",""))&lt;lenb($Z1094),3,IF(lenb(SUBSTITUTE($Z1094,V$1&amp;" (4)",""))&lt;lenb($Z1094),4,IF(lenb(SUBSTITUTE($Z1094,V$1&amp;" (5)",""))&lt;lenb($Z1094),5,IF(lenb(SUBSTITUTE($Z1094,V$1&amp;" (6)",""))&lt;lenb($Z1094),6,IF(lenb(SUBSTITUTE($Z1094,V$1&amp;" (7)",""))&lt;lenb($Z1094),1,IF(lenb(SUBSTITUTE($Z1094,V$1&amp;" (8)",""))&lt;lenb($Z1094),8,IF(lenb(SUBSTITUTE($Z1094,V$1&amp;" (9)",""))&lt;lenb($Z1094),9,IF(lenb(SUBSTITUTE($Z1094,V$1&amp;" (10)",""))&lt;lenb($Z1094),10,IF(lenb(SUBSTITUTE($Z1094,V$1,""))&lt;lenb($Z1094),"ERROR",IF($Z1094=$Y$1,"-",0))))))))))))</f>
        <v>1</v>
      </c>
      <c r="W1094" s="32">
        <f t="shared" si="1100"/>
        <v>0</v>
      </c>
      <c r="X1094" s="32">
        <f t="shared" si="1100"/>
        <v>0</v>
      </c>
      <c r="Y1094" s="32" t="str">
        <f t="shared" si="3"/>
        <v>-</v>
      </c>
      <c r="Z1094" s="32" t="s">
        <v>62</v>
      </c>
      <c r="AA1094" s="33">
        <f t="shared" si="4"/>
        <v>1</v>
      </c>
      <c r="AB1094" s="34">
        <f>COUNTIFS(Links!B:B,"ICSE",Links!C:C,A1094,Links!AD:AD,1)</f>
        <v>0</v>
      </c>
      <c r="AC1094" s="35" t="s">
        <v>37</v>
      </c>
      <c r="AD1094" s="27" t="str">
        <f t="shared" si="5"/>
        <v>No</v>
      </c>
      <c r="AE1094" s="36" t="s">
        <v>36</v>
      </c>
      <c r="AF1094" s="37" t="s">
        <v>42</v>
      </c>
      <c r="AG1094" s="37" t="s">
        <v>42</v>
      </c>
      <c r="AH1094" s="37" t="s">
        <v>42</v>
      </c>
      <c r="AI1094" s="29" t="str">
        <f t="shared" si="661"/>
        <v>----</v>
      </c>
      <c r="AJ1094" s="38" t="str">
        <f t="shared" si="7"/>
        <v>Paper has link but no statement</v>
      </c>
      <c r="AK1094" s="39">
        <v>45070.0</v>
      </c>
      <c r="AL1094" s="23" t="s">
        <v>43</v>
      </c>
      <c r="AM1094" s="40" t="str">
        <f t="shared" si="8"/>
        <v>[IP2088]</v>
      </c>
    </row>
    <row r="1095" ht="67.5" customHeight="1">
      <c r="A1095" s="41">
        <v>2089.0</v>
      </c>
      <c r="B1095" s="42" t="s">
        <v>2978</v>
      </c>
      <c r="C1095" s="43">
        <v>2023.0</v>
      </c>
      <c r="D1095" s="44" t="s">
        <v>35</v>
      </c>
      <c r="E1095" s="45" t="s">
        <v>36</v>
      </c>
      <c r="F1095" s="45" t="s">
        <v>36</v>
      </c>
      <c r="G1095" s="45" t="s">
        <v>36</v>
      </c>
      <c r="H1095" s="45" t="s">
        <v>36</v>
      </c>
      <c r="I1095" s="45" t="s">
        <v>36</v>
      </c>
      <c r="J1095" s="46" t="s">
        <v>36</v>
      </c>
      <c r="K1095" s="47" t="s">
        <v>37</v>
      </c>
      <c r="L1095" s="48" t="s">
        <v>37</v>
      </c>
      <c r="M1095" s="48" t="s">
        <v>35</v>
      </c>
      <c r="N1095" s="48" t="s">
        <v>37</v>
      </c>
      <c r="O1095" s="48" t="s">
        <v>35</v>
      </c>
      <c r="P1095" s="48" t="s">
        <v>35</v>
      </c>
      <c r="Q1095" s="48" t="s">
        <v>35</v>
      </c>
      <c r="R1095" s="48" t="s">
        <v>35</v>
      </c>
      <c r="S1095" s="49" t="s">
        <v>340</v>
      </c>
      <c r="T1095" s="50" t="s">
        <v>2979</v>
      </c>
      <c r="U1095" s="51" t="s">
        <v>2979</v>
      </c>
      <c r="V1095" s="52">
        <f t="shared" ref="V1095:X1095" si="1101">IF(lenb(SUBSTITUTE($Z1095,V$1&amp;" (1)",""))&lt;lenb($Z1095),1,IF(lenb(SUBSTITUTE($Z1095,V$1&amp;" (2)",""))&lt;lenb($Z1095),2,IF(lenb(SUBSTITUTE($Z1095,V$1&amp;" (3)",""))&lt;lenb($Z1095),3,IF(lenb(SUBSTITUTE($Z1095,V$1&amp;" (4)",""))&lt;lenb($Z1095),4,IF(lenb(SUBSTITUTE($Z1095,V$1&amp;" (5)",""))&lt;lenb($Z1095),5,IF(lenb(SUBSTITUTE($Z1095,V$1&amp;" (6)",""))&lt;lenb($Z1095),6,IF(lenb(SUBSTITUTE($Z1095,V$1&amp;" (7)",""))&lt;lenb($Z1095),1,IF(lenb(SUBSTITUTE($Z1095,V$1&amp;" (8)",""))&lt;lenb($Z1095),8,IF(lenb(SUBSTITUTE($Z1095,V$1&amp;" (9)",""))&lt;lenb($Z1095),9,IF(lenb(SUBSTITUTE($Z1095,V$1&amp;" (10)",""))&lt;lenb($Z1095),10,IF(lenb(SUBSTITUTE($Z1095,V$1,""))&lt;lenb($Z1095),"ERROR",IF($Z1095=$Y$1,"-",0))))))))))))</f>
        <v>0</v>
      </c>
      <c r="W1095" s="52">
        <f t="shared" si="1101"/>
        <v>1</v>
      </c>
      <c r="X1095" s="52">
        <f t="shared" si="1101"/>
        <v>0</v>
      </c>
      <c r="Y1095" s="52" t="str">
        <f t="shared" si="3"/>
        <v>-</v>
      </c>
      <c r="Z1095" s="52" t="s">
        <v>47</v>
      </c>
      <c r="AA1095" s="53">
        <f t="shared" si="4"/>
        <v>1</v>
      </c>
      <c r="AB1095" s="54">
        <f>COUNTIFS(Links!B:B,"ICSE",Links!C:C,A1095,Links!AD:AD,1)</f>
        <v>0</v>
      </c>
      <c r="AC1095" s="55" t="s">
        <v>35</v>
      </c>
      <c r="AD1095" s="47" t="str">
        <f t="shared" si="5"/>
        <v>No</v>
      </c>
      <c r="AE1095" s="56" t="s">
        <v>36</v>
      </c>
      <c r="AF1095" s="57" t="s">
        <v>42</v>
      </c>
      <c r="AG1095" s="57" t="s">
        <v>42</v>
      </c>
      <c r="AH1095" s="57" t="s">
        <v>42</v>
      </c>
      <c r="AI1095" s="49" t="str">
        <f t="shared" si="661"/>
        <v>----</v>
      </c>
      <c r="AJ1095" s="58" t="str">
        <f t="shared" si="7"/>
        <v>Paper has link but no statement</v>
      </c>
      <c r="AK1095" s="59">
        <v>45070.0</v>
      </c>
      <c r="AL1095" s="43" t="s">
        <v>43</v>
      </c>
      <c r="AM1095" s="60" t="str">
        <f t="shared" si="8"/>
        <v>[IP2089]</v>
      </c>
    </row>
    <row r="1096" ht="67.5" customHeight="1">
      <c r="A1096" s="61">
        <v>2090.0</v>
      </c>
      <c r="B1096" s="22" t="s">
        <v>2980</v>
      </c>
      <c r="C1096" s="23">
        <v>2023.0</v>
      </c>
      <c r="D1096" s="24" t="s">
        <v>35</v>
      </c>
      <c r="E1096" s="25" t="s">
        <v>36</v>
      </c>
      <c r="F1096" s="25" t="s">
        <v>36</v>
      </c>
      <c r="G1096" s="25" t="s">
        <v>36</v>
      </c>
      <c r="H1096" s="25" t="s">
        <v>36</v>
      </c>
      <c r="I1096" s="25" t="s">
        <v>36</v>
      </c>
      <c r="J1096" s="26" t="s">
        <v>36</v>
      </c>
      <c r="K1096" s="27" t="s">
        <v>37</v>
      </c>
      <c r="L1096" s="28" t="s">
        <v>37</v>
      </c>
      <c r="M1096" s="28" t="s">
        <v>35</v>
      </c>
      <c r="N1096" s="28" t="s">
        <v>37</v>
      </c>
      <c r="O1096" s="28" t="s">
        <v>35</v>
      </c>
      <c r="P1096" s="28" t="s">
        <v>35</v>
      </c>
      <c r="Q1096" s="28" t="s">
        <v>35</v>
      </c>
      <c r="R1096" s="28" t="s">
        <v>35</v>
      </c>
      <c r="S1096" s="29" t="s">
        <v>340</v>
      </c>
      <c r="T1096" s="30" t="s">
        <v>2981</v>
      </c>
      <c r="U1096" s="31" t="s">
        <v>2981</v>
      </c>
      <c r="V1096" s="32">
        <f t="shared" ref="V1096:X1096" si="1102">IF(lenb(SUBSTITUTE($Z1096,V$1&amp;" (1)",""))&lt;lenb($Z1096),1,IF(lenb(SUBSTITUTE($Z1096,V$1&amp;" (2)",""))&lt;lenb($Z1096),2,IF(lenb(SUBSTITUTE($Z1096,V$1&amp;" (3)",""))&lt;lenb($Z1096),3,IF(lenb(SUBSTITUTE($Z1096,V$1&amp;" (4)",""))&lt;lenb($Z1096),4,IF(lenb(SUBSTITUTE($Z1096,V$1&amp;" (5)",""))&lt;lenb($Z1096),5,IF(lenb(SUBSTITUTE($Z1096,V$1&amp;" (6)",""))&lt;lenb($Z1096),6,IF(lenb(SUBSTITUTE($Z1096,V$1&amp;" (7)",""))&lt;lenb($Z1096),1,IF(lenb(SUBSTITUTE($Z1096,V$1&amp;" (8)",""))&lt;lenb($Z1096),8,IF(lenb(SUBSTITUTE($Z1096,V$1&amp;" (9)",""))&lt;lenb($Z1096),9,IF(lenb(SUBSTITUTE($Z1096,V$1&amp;" (10)",""))&lt;lenb($Z1096),10,IF(lenb(SUBSTITUTE($Z1096,V$1,""))&lt;lenb($Z1096),"ERROR",IF($Z1096=$Y$1,"-",0))))))))))))</f>
        <v>1</v>
      </c>
      <c r="W1096" s="32">
        <f t="shared" si="1102"/>
        <v>0</v>
      </c>
      <c r="X1096" s="32">
        <f t="shared" si="1102"/>
        <v>0</v>
      </c>
      <c r="Y1096" s="32" t="str">
        <f t="shared" si="3"/>
        <v>-</v>
      </c>
      <c r="Z1096" s="32" t="s">
        <v>62</v>
      </c>
      <c r="AA1096" s="33">
        <f t="shared" si="4"/>
        <v>1</v>
      </c>
      <c r="AB1096" s="34">
        <f>COUNTIFS(Links!B:B,"ICSE",Links!C:C,A1096,Links!AD:AD,1)</f>
        <v>0</v>
      </c>
      <c r="AC1096" s="35" t="s">
        <v>35</v>
      </c>
      <c r="AD1096" s="27" t="str">
        <f t="shared" si="5"/>
        <v>No</v>
      </c>
      <c r="AE1096" s="36" t="s">
        <v>36</v>
      </c>
      <c r="AF1096" s="37" t="s">
        <v>42</v>
      </c>
      <c r="AG1096" s="37" t="s">
        <v>42</v>
      </c>
      <c r="AH1096" s="37" t="s">
        <v>42</v>
      </c>
      <c r="AI1096" s="29" t="str">
        <f t="shared" si="661"/>
        <v>----</v>
      </c>
      <c r="AJ1096" s="38" t="str">
        <f t="shared" si="7"/>
        <v>Paper has link but no statement</v>
      </c>
      <c r="AK1096" s="39">
        <v>45070.0</v>
      </c>
      <c r="AL1096" s="23" t="s">
        <v>43</v>
      </c>
      <c r="AM1096" s="40" t="str">
        <f t="shared" si="8"/>
        <v>[IP2090]</v>
      </c>
    </row>
    <row r="1097" ht="67.5" customHeight="1">
      <c r="A1097" s="41">
        <v>2091.0</v>
      </c>
      <c r="B1097" s="42" t="s">
        <v>2982</v>
      </c>
      <c r="C1097" s="43">
        <v>2023.0</v>
      </c>
      <c r="D1097" s="44" t="s">
        <v>35</v>
      </c>
      <c r="E1097" s="45" t="s">
        <v>36</v>
      </c>
      <c r="F1097" s="45" t="s">
        <v>36</v>
      </c>
      <c r="G1097" s="45" t="s">
        <v>36</v>
      </c>
      <c r="H1097" s="45" t="s">
        <v>36</v>
      </c>
      <c r="I1097" s="45" t="s">
        <v>36</v>
      </c>
      <c r="J1097" s="46" t="s">
        <v>36</v>
      </c>
      <c r="K1097" s="47" t="s">
        <v>37</v>
      </c>
      <c r="L1097" s="48" t="s">
        <v>37</v>
      </c>
      <c r="M1097" s="48" t="s">
        <v>35</v>
      </c>
      <c r="N1097" s="48" t="s">
        <v>35</v>
      </c>
      <c r="O1097" s="48" t="s">
        <v>35</v>
      </c>
      <c r="P1097" s="48" t="s">
        <v>35</v>
      </c>
      <c r="Q1097" s="48" t="s">
        <v>35</v>
      </c>
      <c r="R1097" s="48" t="s">
        <v>37</v>
      </c>
      <c r="S1097" s="49" t="s">
        <v>2983</v>
      </c>
      <c r="T1097" s="50" t="s">
        <v>2984</v>
      </c>
      <c r="U1097" s="51" t="s">
        <v>2984</v>
      </c>
      <c r="V1097" s="52">
        <f t="shared" ref="V1097:X1097" si="1103">IF(lenb(SUBSTITUTE($Z1097,V$1&amp;" (1)",""))&lt;lenb($Z1097),1,IF(lenb(SUBSTITUTE($Z1097,V$1&amp;" (2)",""))&lt;lenb($Z1097),2,IF(lenb(SUBSTITUTE($Z1097,V$1&amp;" (3)",""))&lt;lenb($Z1097),3,IF(lenb(SUBSTITUTE($Z1097,V$1&amp;" (4)",""))&lt;lenb($Z1097),4,IF(lenb(SUBSTITUTE($Z1097,V$1&amp;" (5)",""))&lt;lenb($Z1097),5,IF(lenb(SUBSTITUTE($Z1097,V$1&amp;" (6)",""))&lt;lenb($Z1097),6,IF(lenb(SUBSTITUTE($Z1097,V$1&amp;" (7)",""))&lt;lenb($Z1097),1,IF(lenb(SUBSTITUTE($Z1097,V$1&amp;" (8)",""))&lt;lenb($Z1097),8,IF(lenb(SUBSTITUTE($Z1097,V$1&amp;" (9)",""))&lt;lenb($Z1097),9,IF(lenb(SUBSTITUTE($Z1097,V$1&amp;" (10)",""))&lt;lenb($Z1097),10,IF(lenb(SUBSTITUTE($Z1097,V$1,""))&lt;lenb($Z1097),"ERROR",IF($Z1097=$Y$1,"-",0))))))))))))</f>
        <v>1</v>
      </c>
      <c r="W1097" s="52">
        <f t="shared" si="1103"/>
        <v>0</v>
      </c>
      <c r="X1097" s="52">
        <f t="shared" si="1103"/>
        <v>0</v>
      </c>
      <c r="Y1097" s="52" t="str">
        <f t="shared" si="3"/>
        <v>-</v>
      </c>
      <c r="Z1097" s="52" t="s">
        <v>62</v>
      </c>
      <c r="AA1097" s="53">
        <f t="shared" si="4"/>
        <v>1</v>
      </c>
      <c r="AB1097" s="54">
        <f>COUNTIFS(Links!B:B,"ICSE",Links!C:C,A1097,Links!AD:AD,1)</f>
        <v>0</v>
      </c>
      <c r="AC1097" s="55" t="s">
        <v>35</v>
      </c>
      <c r="AD1097" s="47" t="str">
        <f t="shared" si="5"/>
        <v>No</v>
      </c>
      <c r="AE1097" s="56" t="s">
        <v>36</v>
      </c>
      <c r="AF1097" s="57" t="s">
        <v>42</v>
      </c>
      <c r="AG1097" s="57" t="s">
        <v>42</v>
      </c>
      <c r="AH1097" s="57" t="s">
        <v>42</v>
      </c>
      <c r="AI1097" s="49" t="str">
        <f t="shared" si="661"/>
        <v>----</v>
      </c>
      <c r="AJ1097" s="58" t="str">
        <f t="shared" si="7"/>
        <v>Paper has link but no statement</v>
      </c>
      <c r="AK1097" s="59">
        <v>45070.0</v>
      </c>
      <c r="AL1097" s="43" t="s">
        <v>43</v>
      </c>
      <c r="AM1097" s="60" t="str">
        <f t="shared" si="8"/>
        <v>[IP2091]</v>
      </c>
    </row>
    <row r="1098" ht="67.5" customHeight="1">
      <c r="A1098" s="61">
        <v>2092.0</v>
      </c>
      <c r="B1098" s="22" t="s">
        <v>2985</v>
      </c>
      <c r="C1098" s="23">
        <v>2023.0</v>
      </c>
      <c r="D1098" s="24" t="s">
        <v>35</v>
      </c>
      <c r="E1098" s="25" t="s">
        <v>36</v>
      </c>
      <c r="F1098" s="25" t="s">
        <v>36</v>
      </c>
      <c r="G1098" s="25" t="s">
        <v>36</v>
      </c>
      <c r="H1098" s="25" t="s">
        <v>36</v>
      </c>
      <c r="I1098" s="25" t="s">
        <v>36</v>
      </c>
      <c r="J1098" s="26" t="s">
        <v>36</v>
      </c>
      <c r="K1098" s="27" t="s">
        <v>37</v>
      </c>
      <c r="L1098" s="28" t="s">
        <v>37</v>
      </c>
      <c r="M1098" s="28" t="s">
        <v>35</v>
      </c>
      <c r="N1098" s="28" t="s">
        <v>35</v>
      </c>
      <c r="O1098" s="28" t="s">
        <v>35</v>
      </c>
      <c r="P1098" s="28" t="s">
        <v>35</v>
      </c>
      <c r="Q1098" s="28" t="s">
        <v>35</v>
      </c>
      <c r="R1098" s="28" t="s">
        <v>37</v>
      </c>
      <c r="S1098" s="29" t="s">
        <v>2986</v>
      </c>
      <c r="T1098" s="30" t="s">
        <v>2987</v>
      </c>
      <c r="U1098" s="31" t="s">
        <v>2987</v>
      </c>
      <c r="V1098" s="32">
        <f t="shared" ref="V1098:X1098" si="1104">IF(lenb(SUBSTITUTE($Z1098,V$1&amp;" (1)",""))&lt;lenb($Z1098),1,IF(lenb(SUBSTITUTE($Z1098,V$1&amp;" (2)",""))&lt;lenb($Z1098),2,IF(lenb(SUBSTITUTE($Z1098,V$1&amp;" (3)",""))&lt;lenb($Z1098),3,IF(lenb(SUBSTITUTE($Z1098,V$1&amp;" (4)",""))&lt;lenb($Z1098),4,IF(lenb(SUBSTITUTE($Z1098,V$1&amp;" (5)",""))&lt;lenb($Z1098),5,IF(lenb(SUBSTITUTE($Z1098,V$1&amp;" (6)",""))&lt;lenb($Z1098),6,IF(lenb(SUBSTITUTE($Z1098,V$1&amp;" (7)",""))&lt;lenb($Z1098),1,IF(lenb(SUBSTITUTE($Z1098,V$1&amp;" (8)",""))&lt;lenb($Z1098),8,IF(lenb(SUBSTITUTE($Z1098,V$1&amp;" (9)",""))&lt;lenb($Z1098),9,IF(lenb(SUBSTITUTE($Z1098,V$1&amp;" (10)",""))&lt;lenb($Z1098),10,IF(lenb(SUBSTITUTE($Z1098,V$1,""))&lt;lenb($Z1098),"ERROR",IF($Z1098=$Y$1,"-",0))))))))))))</f>
        <v>1</v>
      </c>
      <c r="W1098" s="32">
        <f t="shared" si="1104"/>
        <v>0</v>
      </c>
      <c r="X1098" s="32">
        <f t="shared" si="1104"/>
        <v>0</v>
      </c>
      <c r="Y1098" s="32" t="str">
        <f t="shared" si="3"/>
        <v>-</v>
      </c>
      <c r="Z1098" s="32" t="s">
        <v>62</v>
      </c>
      <c r="AA1098" s="33">
        <f t="shared" si="4"/>
        <v>1</v>
      </c>
      <c r="AB1098" s="34">
        <f>COUNTIFS(Links!B:B,"ICSE",Links!C:C,A1098,Links!AD:AD,1)</f>
        <v>0</v>
      </c>
      <c r="AC1098" s="35" t="s">
        <v>37</v>
      </c>
      <c r="AD1098" s="27" t="str">
        <f t="shared" si="5"/>
        <v>No</v>
      </c>
      <c r="AE1098" s="36" t="s">
        <v>36</v>
      </c>
      <c r="AF1098" s="37" t="s">
        <v>42</v>
      </c>
      <c r="AG1098" s="37" t="s">
        <v>42</v>
      </c>
      <c r="AH1098" s="37" t="s">
        <v>42</v>
      </c>
      <c r="AI1098" s="29" t="str">
        <f t="shared" si="661"/>
        <v>----</v>
      </c>
      <c r="AJ1098" s="38" t="str">
        <f t="shared" si="7"/>
        <v>Paper has link but no statement</v>
      </c>
      <c r="AK1098" s="39">
        <v>45070.0</v>
      </c>
      <c r="AL1098" s="23" t="s">
        <v>43</v>
      </c>
      <c r="AM1098" s="40" t="str">
        <f t="shared" si="8"/>
        <v>[IP2092]</v>
      </c>
    </row>
    <row r="1099" ht="67.5" customHeight="1">
      <c r="A1099" s="41">
        <v>2093.0</v>
      </c>
      <c r="B1099" s="42" t="s">
        <v>2988</v>
      </c>
      <c r="C1099" s="43">
        <v>2023.0</v>
      </c>
      <c r="D1099" s="44" t="s">
        <v>37</v>
      </c>
      <c r="E1099" s="45" t="s">
        <v>37</v>
      </c>
      <c r="F1099" s="45" t="s">
        <v>35</v>
      </c>
      <c r="G1099" s="45" t="s">
        <v>37</v>
      </c>
      <c r="H1099" s="45" t="s">
        <v>35</v>
      </c>
      <c r="I1099" s="45" t="s">
        <v>35</v>
      </c>
      <c r="J1099" s="46" t="s">
        <v>36</v>
      </c>
      <c r="K1099" s="47" t="s">
        <v>37</v>
      </c>
      <c r="L1099" s="48" t="s">
        <v>35</v>
      </c>
      <c r="M1099" s="48" t="s">
        <v>35</v>
      </c>
      <c r="N1099" s="48" t="s">
        <v>35</v>
      </c>
      <c r="O1099" s="48" t="s">
        <v>35</v>
      </c>
      <c r="P1099" s="48" t="s">
        <v>35</v>
      </c>
      <c r="Q1099" s="48" t="s">
        <v>37</v>
      </c>
      <c r="R1099" s="48" t="s">
        <v>35</v>
      </c>
      <c r="S1099" s="49" t="s">
        <v>2271</v>
      </c>
      <c r="T1099" s="50" t="s">
        <v>2989</v>
      </c>
      <c r="U1099" s="51" t="s">
        <v>2989</v>
      </c>
      <c r="V1099" s="52">
        <f t="shared" ref="V1099:X1099" si="1105">IF(lenb(SUBSTITUTE($Z1099,V$1&amp;" (1)",""))&lt;lenb($Z1099),1,IF(lenb(SUBSTITUTE($Z1099,V$1&amp;" (2)",""))&lt;lenb($Z1099),2,IF(lenb(SUBSTITUTE($Z1099,V$1&amp;" (3)",""))&lt;lenb($Z1099),3,IF(lenb(SUBSTITUTE($Z1099,V$1&amp;" (4)",""))&lt;lenb($Z1099),4,IF(lenb(SUBSTITUTE($Z1099,V$1&amp;" (5)",""))&lt;lenb($Z1099),5,IF(lenb(SUBSTITUTE($Z1099,V$1&amp;" (6)",""))&lt;lenb($Z1099),6,IF(lenb(SUBSTITUTE($Z1099,V$1&amp;" (7)",""))&lt;lenb($Z1099),1,IF(lenb(SUBSTITUTE($Z1099,V$1&amp;" (8)",""))&lt;lenb($Z1099),8,IF(lenb(SUBSTITUTE($Z1099,V$1&amp;" (9)",""))&lt;lenb($Z1099),9,IF(lenb(SUBSTITUTE($Z1099,V$1&amp;" (10)",""))&lt;lenb($Z1099),10,IF(lenb(SUBSTITUTE($Z1099,V$1,""))&lt;lenb($Z1099),"ERROR",IF($Z1099=$Y$1,"-",0))))))))))))</f>
        <v>1</v>
      </c>
      <c r="W1099" s="52">
        <f t="shared" si="1105"/>
        <v>0</v>
      </c>
      <c r="X1099" s="52">
        <f t="shared" si="1105"/>
        <v>0</v>
      </c>
      <c r="Y1099" s="52" t="str">
        <f t="shared" si="3"/>
        <v>-</v>
      </c>
      <c r="Z1099" s="52" t="s">
        <v>62</v>
      </c>
      <c r="AA1099" s="53">
        <f t="shared" si="4"/>
        <v>1</v>
      </c>
      <c r="AB1099" s="54">
        <f>COUNTIFS(Links!B:B,"ICSE",Links!C:C,A1099,Links!AD:AD,1)</f>
        <v>0</v>
      </c>
      <c r="AC1099" s="55" t="s">
        <v>37</v>
      </c>
      <c r="AD1099" s="47" t="str">
        <f t="shared" si="5"/>
        <v>No</v>
      </c>
      <c r="AE1099" s="56" t="s">
        <v>36</v>
      </c>
      <c r="AF1099" s="57" t="s">
        <v>42</v>
      </c>
      <c r="AG1099" s="57" t="s">
        <v>42</v>
      </c>
      <c r="AH1099" s="57" t="s">
        <v>42</v>
      </c>
      <c r="AI1099" s="49" t="str">
        <f t="shared" si="661"/>
        <v>----</v>
      </c>
      <c r="AJ1099" s="58" t="str">
        <f t="shared" si="7"/>
        <v>Paper has link but no statement</v>
      </c>
      <c r="AK1099" s="59">
        <v>45070.0</v>
      </c>
      <c r="AL1099" s="43" t="s">
        <v>43</v>
      </c>
      <c r="AM1099" s="60" t="str">
        <f t="shared" si="8"/>
        <v>[IP2093]</v>
      </c>
    </row>
    <row r="1100" ht="67.5" customHeight="1">
      <c r="A1100" s="61">
        <v>2094.0</v>
      </c>
      <c r="B1100" s="22" t="s">
        <v>2990</v>
      </c>
      <c r="C1100" s="23">
        <v>2023.0</v>
      </c>
      <c r="D1100" s="24" t="s">
        <v>35</v>
      </c>
      <c r="E1100" s="25" t="s">
        <v>36</v>
      </c>
      <c r="F1100" s="25" t="s">
        <v>36</v>
      </c>
      <c r="G1100" s="25" t="s">
        <v>36</v>
      </c>
      <c r="H1100" s="25" t="s">
        <v>36</v>
      </c>
      <c r="I1100" s="25" t="s">
        <v>36</v>
      </c>
      <c r="J1100" s="26" t="s">
        <v>36</v>
      </c>
      <c r="K1100" s="27" t="s">
        <v>37</v>
      </c>
      <c r="L1100" s="28" t="s">
        <v>37</v>
      </c>
      <c r="M1100" s="28" t="s">
        <v>35</v>
      </c>
      <c r="N1100" s="28" t="s">
        <v>35</v>
      </c>
      <c r="O1100" s="28" t="s">
        <v>37</v>
      </c>
      <c r="P1100" s="28" t="s">
        <v>35</v>
      </c>
      <c r="Q1100" s="28" t="s">
        <v>35</v>
      </c>
      <c r="R1100" s="28" t="s">
        <v>35</v>
      </c>
      <c r="S1100" s="29" t="s">
        <v>2991</v>
      </c>
      <c r="T1100" s="30" t="s">
        <v>2992</v>
      </c>
      <c r="U1100" s="31" t="s">
        <v>2992</v>
      </c>
      <c r="V1100" s="32">
        <f t="shared" ref="V1100:X1100" si="1106">IF(lenb(SUBSTITUTE($Z1100,V$1&amp;" (1)",""))&lt;lenb($Z1100),1,IF(lenb(SUBSTITUTE($Z1100,V$1&amp;" (2)",""))&lt;lenb($Z1100),2,IF(lenb(SUBSTITUTE($Z1100,V$1&amp;" (3)",""))&lt;lenb($Z1100),3,IF(lenb(SUBSTITUTE($Z1100,V$1&amp;" (4)",""))&lt;lenb($Z1100),4,IF(lenb(SUBSTITUTE($Z1100,V$1&amp;" (5)",""))&lt;lenb($Z1100),5,IF(lenb(SUBSTITUTE($Z1100,V$1&amp;" (6)",""))&lt;lenb($Z1100),6,IF(lenb(SUBSTITUTE($Z1100,V$1&amp;" (7)",""))&lt;lenb($Z1100),1,IF(lenb(SUBSTITUTE($Z1100,V$1&amp;" (8)",""))&lt;lenb($Z1100),8,IF(lenb(SUBSTITUTE($Z1100,V$1&amp;" (9)",""))&lt;lenb($Z1100),9,IF(lenb(SUBSTITUTE($Z1100,V$1&amp;" (10)",""))&lt;lenb($Z1100),10,IF(lenb(SUBSTITUTE($Z1100,V$1,""))&lt;lenb($Z1100),"ERROR",IF($Z1100=$Y$1,"-",0))))))))))))</f>
        <v>1</v>
      </c>
      <c r="W1100" s="32">
        <f t="shared" si="1106"/>
        <v>0</v>
      </c>
      <c r="X1100" s="32">
        <f t="shared" si="1106"/>
        <v>0</v>
      </c>
      <c r="Y1100" s="32" t="str">
        <f t="shared" si="3"/>
        <v>-</v>
      </c>
      <c r="Z1100" s="32" t="s">
        <v>62</v>
      </c>
      <c r="AA1100" s="33">
        <f t="shared" si="4"/>
        <v>1</v>
      </c>
      <c r="AB1100" s="34">
        <f>COUNTIFS(Links!B:B,"ICSE",Links!C:C,A1100,Links!AD:AD,1)</f>
        <v>0</v>
      </c>
      <c r="AC1100" s="35" t="s">
        <v>35</v>
      </c>
      <c r="AD1100" s="27" t="str">
        <f t="shared" si="5"/>
        <v>No</v>
      </c>
      <c r="AE1100" s="36" t="s">
        <v>36</v>
      </c>
      <c r="AF1100" s="37" t="s">
        <v>42</v>
      </c>
      <c r="AG1100" s="37" t="s">
        <v>42</v>
      </c>
      <c r="AH1100" s="37" t="s">
        <v>42</v>
      </c>
      <c r="AI1100" s="29" t="str">
        <f t="shared" si="661"/>
        <v>----</v>
      </c>
      <c r="AJ1100" s="38" t="str">
        <f t="shared" si="7"/>
        <v>Paper has link but no statement</v>
      </c>
      <c r="AK1100" s="39">
        <v>45070.0</v>
      </c>
      <c r="AL1100" s="23" t="s">
        <v>43</v>
      </c>
      <c r="AM1100" s="40" t="str">
        <f t="shared" si="8"/>
        <v>[IP2094]</v>
      </c>
    </row>
    <row r="1101" ht="67.5" customHeight="1">
      <c r="A1101" s="41">
        <v>2095.0</v>
      </c>
      <c r="B1101" s="42" t="s">
        <v>2993</v>
      </c>
      <c r="C1101" s="43">
        <v>2023.0</v>
      </c>
      <c r="D1101" s="44" t="s">
        <v>35</v>
      </c>
      <c r="E1101" s="45" t="s">
        <v>36</v>
      </c>
      <c r="F1101" s="45" t="s">
        <v>36</v>
      </c>
      <c r="G1101" s="45" t="s">
        <v>36</v>
      </c>
      <c r="H1101" s="45" t="s">
        <v>36</v>
      </c>
      <c r="I1101" s="45" t="s">
        <v>36</v>
      </c>
      <c r="J1101" s="46" t="s">
        <v>36</v>
      </c>
      <c r="K1101" s="47" t="s">
        <v>37</v>
      </c>
      <c r="L1101" s="48" t="s">
        <v>37</v>
      </c>
      <c r="M1101" s="48" t="s">
        <v>35</v>
      </c>
      <c r="N1101" s="48" t="s">
        <v>37</v>
      </c>
      <c r="O1101" s="48" t="s">
        <v>35</v>
      </c>
      <c r="P1101" s="48" t="s">
        <v>35</v>
      </c>
      <c r="Q1101" s="48" t="s">
        <v>35</v>
      </c>
      <c r="R1101" s="48" t="s">
        <v>35</v>
      </c>
      <c r="S1101" s="49" t="s">
        <v>768</v>
      </c>
      <c r="T1101" s="50" t="s">
        <v>2994</v>
      </c>
      <c r="U1101" s="51" t="s">
        <v>2994</v>
      </c>
      <c r="V1101" s="52">
        <f t="shared" ref="V1101:X1101" si="1107">IF(lenb(SUBSTITUTE($Z1101,V$1&amp;" (1)",""))&lt;lenb($Z1101),1,IF(lenb(SUBSTITUTE($Z1101,V$1&amp;" (2)",""))&lt;lenb($Z1101),2,IF(lenb(SUBSTITUTE($Z1101,V$1&amp;" (3)",""))&lt;lenb($Z1101),3,IF(lenb(SUBSTITUTE($Z1101,V$1&amp;" (4)",""))&lt;lenb($Z1101),4,IF(lenb(SUBSTITUTE($Z1101,V$1&amp;" (5)",""))&lt;lenb($Z1101),5,IF(lenb(SUBSTITUTE($Z1101,V$1&amp;" (6)",""))&lt;lenb($Z1101),6,IF(lenb(SUBSTITUTE($Z1101,V$1&amp;" (7)",""))&lt;lenb($Z1101),1,IF(lenb(SUBSTITUTE($Z1101,V$1&amp;" (8)",""))&lt;lenb($Z1101),8,IF(lenb(SUBSTITUTE($Z1101,V$1&amp;" (9)",""))&lt;lenb($Z1101),9,IF(lenb(SUBSTITUTE($Z1101,V$1&amp;" (10)",""))&lt;lenb($Z1101),10,IF(lenb(SUBSTITUTE($Z1101,V$1,""))&lt;lenb($Z1101),"ERROR",IF($Z1101=$Y$1,"-",0))))))))))))</f>
        <v>0</v>
      </c>
      <c r="W1101" s="52">
        <f t="shared" si="1107"/>
        <v>1</v>
      </c>
      <c r="X1101" s="52">
        <f t="shared" si="1107"/>
        <v>0</v>
      </c>
      <c r="Y1101" s="52" t="str">
        <f t="shared" si="3"/>
        <v>-</v>
      </c>
      <c r="Z1101" s="52" t="s">
        <v>47</v>
      </c>
      <c r="AA1101" s="53">
        <f t="shared" si="4"/>
        <v>1</v>
      </c>
      <c r="AB1101" s="54">
        <f>COUNTIFS(Links!B:B,"ICSE",Links!C:C,A1101,Links!AD:AD,1)</f>
        <v>0</v>
      </c>
      <c r="AC1101" s="55" t="s">
        <v>35</v>
      </c>
      <c r="AD1101" s="47" t="str">
        <f t="shared" si="5"/>
        <v>No</v>
      </c>
      <c r="AE1101" s="56" t="s">
        <v>36</v>
      </c>
      <c r="AF1101" s="57" t="s">
        <v>42</v>
      </c>
      <c r="AG1101" s="57" t="s">
        <v>42</v>
      </c>
      <c r="AH1101" s="57" t="s">
        <v>42</v>
      </c>
      <c r="AI1101" s="49" t="str">
        <f t="shared" si="661"/>
        <v>----</v>
      </c>
      <c r="AJ1101" s="58" t="str">
        <f t="shared" si="7"/>
        <v>Paper has link but no statement</v>
      </c>
      <c r="AK1101" s="59">
        <v>45070.0</v>
      </c>
      <c r="AL1101" s="43" t="s">
        <v>43</v>
      </c>
      <c r="AM1101" s="60" t="str">
        <f t="shared" si="8"/>
        <v>[IP2095]</v>
      </c>
    </row>
    <row r="1102" ht="67.5" customHeight="1">
      <c r="A1102" s="61">
        <v>2096.0</v>
      </c>
      <c r="B1102" s="22" t="s">
        <v>2995</v>
      </c>
      <c r="C1102" s="23">
        <v>2023.0</v>
      </c>
      <c r="D1102" s="24" t="s">
        <v>35</v>
      </c>
      <c r="E1102" s="25" t="s">
        <v>36</v>
      </c>
      <c r="F1102" s="25" t="s">
        <v>36</v>
      </c>
      <c r="G1102" s="25" t="s">
        <v>36</v>
      </c>
      <c r="H1102" s="25" t="s">
        <v>36</v>
      </c>
      <c r="I1102" s="25" t="s">
        <v>36</v>
      </c>
      <c r="J1102" s="26" t="s">
        <v>36</v>
      </c>
      <c r="K1102" s="27" t="s">
        <v>37</v>
      </c>
      <c r="L1102" s="28" t="s">
        <v>37</v>
      </c>
      <c r="M1102" s="28" t="s">
        <v>35</v>
      </c>
      <c r="N1102" s="28" t="s">
        <v>37</v>
      </c>
      <c r="O1102" s="28" t="s">
        <v>35</v>
      </c>
      <c r="P1102" s="28" t="s">
        <v>35</v>
      </c>
      <c r="Q1102" s="28" t="s">
        <v>35</v>
      </c>
      <c r="R1102" s="28" t="s">
        <v>37</v>
      </c>
      <c r="S1102" s="29" t="s">
        <v>2996</v>
      </c>
      <c r="T1102" s="30" t="s">
        <v>2997</v>
      </c>
      <c r="U1102" s="31" t="s">
        <v>2997</v>
      </c>
      <c r="V1102" s="32">
        <f t="shared" ref="V1102:X1102" si="1108">IF(lenb(SUBSTITUTE($Z1102,V$1&amp;" (1)",""))&lt;lenb($Z1102),1,IF(lenb(SUBSTITUTE($Z1102,V$1&amp;" (2)",""))&lt;lenb($Z1102),2,IF(lenb(SUBSTITUTE($Z1102,V$1&amp;" (3)",""))&lt;lenb($Z1102),3,IF(lenb(SUBSTITUTE($Z1102,V$1&amp;" (4)",""))&lt;lenb($Z1102),4,IF(lenb(SUBSTITUTE($Z1102,V$1&amp;" (5)",""))&lt;lenb($Z1102),5,IF(lenb(SUBSTITUTE($Z1102,V$1&amp;" (6)",""))&lt;lenb($Z1102),6,IF(lenb(SUBSTITUTE($Z1102,V$1&amp;" (7)",""))&lt;lenb($Z1102),1,IF(lenb(SUBSTITUTE($Z1102,V$1&amp;" (8)",""))&lt;lenb($Z1102),8,IF(lenb(SUBSTITUTE($Z1102,V$1&amp;" (9)",""))&lt;lenb($Z1102),9,IF(lenb(SUBSTITUTE($Z1102,V$1&amp;" (10)",""))&lt;lenb($Z1102),10,IF(lenb(SUBSTITUTE($Z1102,V$1,""))&lt;lenb($Z1102),"ERROR",IF($Z1102=$Y$1,"-",0))))))))))))</f>
        <v>1</v>
      </c>
      <c r="W1102" s="32">
        <f t="shared" si="1108"/>
        <v>0</v>
      </c>
      <c r="X1102" s="32">
        <f t="shared" si="1108"/>
        <v>0</v>
      </c>
      <c r="Y1102" s="32" t="str">
        <f t="shared" si="3"/>
        <v>-</v>
      </c>
      <c r="Z1102" s="32" t="s">
        <v>62</v>
      </c>
      <c r="AA1102" s="33">
        <f t="shared" si="4"/>
        <v>1</v>
      </c>
      <c r="AB1102" s="34">
        <f>COUNTIFS(Links!B:B,"ICSE",Links!C:C,A1102,Links!AD:AD,1)</f>
        <v>0</v>
      </c>
      <c r="AC1102" s="35" t="s">
        <v>35</v>
      </c>
      <c r="AD1102" s="27" t="str">
        <f t="shared" si="5"/>
        <v>No</v>
      </c>
      <c r="AE1102" s="36" t="s">
        <v>36</v>
      </c>
      <c r="AF1102" s="37" t="s">
        <v>42</v>
      </c>
      <c r="AG1102" s="37" t="s">
        <v>42</v>
      </c>
      <c r="AH1102" s="37" t="s">
        <v>42</v>
      </c>
      <c r="AI1102" s="29" t="str">
        <f t="shared" si="661"/>
        <v>----</v>
      </c>
      <c r="AJ1102" s="38" t="str">
        <f t="shared" si="7"/>
        <v>Paper has link but no statement</v>
      </c>
      <c r="AK1102" s="39">
        <v>45070.0</v>
      </c>
      <c r="AL1102" s="23" t="s">
        <v>43</v>
      </c>
      <c r="AM1102" s="40" t="str">
        <f t="shared" si="8"/>
        <v>[IP2096]</v>
      </c>
    </row>
    <row r="1103" ht="67.5" customHeight="1">
      <c r="A1103" s="41">
        <v>2097.0</v>
      </c>
      <c r="B1103" s="42" t="s">
        <v>2998</v>
      </c>
      <c r="C1103" s="43">
        <v>2023.0</v>
      </c>
      <c r="D1103" s="44" t="s">
        <v>35</v>
      </c>
      <c r="E1103" s="45" t="s">
        <v>36</v>
      </c>
      <c r="F1103" s="45" t="s">
        <v>36</v>
      </c>
      <c r="G1103" s="45" t="s">
        <v>36</v>
      </c>
      <c r="H1103" s="45" t="s">
        <v>36</v>
      </c>
      <c r="I1103" s="45" t="s">
        <v>36</v>
      </c>
      <c r="J1103" s="46" t="s">
        <v>36</v>
      </c>
      <c r="K1103" s="47" t="s">
        <v>37</v>
      </c>
      <c r="L1103" s="48" t="s">
        <v>35</v>
      </c>
      <c r="M1103" s="48" t="s">
        <v>35</v>
      </c>
      <c r="N1103" s="48" t="s">
        <v>37</v>
      </c>
      <c r="O1103" s="48" t="s">
        <v>35</v>
      </c>
      <c r="P1103" s="48" t="s">
        <v>37</v>
      </c>
      <c r="Q1103" s="48" t="s">
        <v>35</v>
      </c>
      <c r="R1103" s="48" t="s">
        <v>37</v>
      </c>
      <c r="S1103" s="49" t="s">
        <v>2999</v>
      </c>
      <c r="T1103" s="50" t="s">
        <v>3000</v>
      </c>
      <c r="U1103" s="51" t="s">
        <v>3000</v>
      </c>
      <c r="V1103" s="52">
        <f t="shared" ref="V1103:X1103" si="1109">IF(lenb(SUBSTITUTE($Z1103,V$1&amp;" (1)",""))&lt;lenb($Z1103),1,IF(lenb(SUBSTITUTE($Z1103,V$1&amp;" (2)",""))&lt;lenb($Z1103),2,IF(lenb(SUBSTITUTE($Z1103,V$1&amp;" (3)",""))&lt;lenb($Z1103),3,IF(lenb(SUBSTITUTE($Z1103,V$1&amp;" (4)",""))&lt;lenb($Z1103),4,IF(lenb(SUBSTITUTE($Z1103,V$1&amp;" (5)",""))&lt;lenb($Z1103),5,IF(lenb(SUBSTITUTE($Z1103,V$1&amp;" (6)",""))&lt;lenb($Z1103),6,IF(lenb(SUBSTITUTE($Z1103,V$1&amp;" (7)",""))&lt;lenb($Z1103),1,IF(lenb(SUBSTITUTE($Z1103,V$1&amp;" (8)",""))&lt;lenb($Z1103),8,IF(lenb(SUBSTITUTE($Z1103,V$1&amp;" (9)",""))&lt;lenb($Z1103),9,IF(lenb(SUBSTITUTE($Z1103,V$1&amp;" (10)",""))&lt;lenb($Z1103),10,IF(lenb(SUBSTITUTE($Z1103,V$1,""))&lt;lenb($Z1103),"ERROR",IF($Z1103=$Y$1,"-",0))))))))))))</f>
        <v>1</v>
      </c>
      <c r="W1103" s="52">
        <f t="shared" si="1109"/>
        <v>0</v>
      </c>
      <c r="X1103" s="52">
        <f t="shared" si="1109"/>
        <v>0</v>
      </c>
      <c r="Y1103" s="52" t="str">
        <f t="shared" si="3"/>
        <v>-</v>
      </c>
      <c r="Z1103" s="52" t="s">
        <v>62</v>
      </c>
      <c r="AA1103" s="53">
        <f t="shared" si="4"/>
        <v>1</v>
      </c>
      <c r="AB1103" s="54">
        <f>COUNTIFS(Links!B:B,"ICSE",Links!C:C,A1103,Links!AD:AD,1)</f>
        <v>0</v>
      </c>
      <c r="AC1103" s="55" t="s">
        <v>35</v>
      </c>
      <c r="AD1103" s="47" t="str">
        <f t="shared" si="5"/>
        <v>No</v>
      </c>
      <c r="AE1103" s="56" t="s">
        <v>36</v>
      </c>
      <c r="AF1103" s="57" t="s">
        <v>42</v>
      </c>
      <c r="AG1103" s="57" t="s">
        <v>42</v>
      </c>
      <c r="AH1103" s="57" t="s">
        <v>42</v>
      </c>
      <c r="AI1103" s="49" t="str">
        <f t="shared" si="661"/>
        <v>----</v>
      </c>
      <c r="AJ1103" s="58" t="str">
        <f t="shared" si="7"/>
        <v>Paper has link but no statement</v>
      </c>
      <c r="AK1103" s="59">
        <v>45070.0</v>
      </c>
      <c r="AL1103" s="43" t="s">
        <v>43</v>
      </c>
      <c r="AM1103" s="60" t="str">
        <f t="shared" si="8"/>
        <v>[IP2097]</v>
      </c>
    </row>
    <row r="1104" ht="67.5" customHeight="1">
      <c r="A1104" s="61">
        <v>2098.0</v>
      </c>
      <c r="B1104" s="22" t="s">
        <v>3001</v>
      </c>
      <c r="C1104" s="23">
        <v>2023.0</v>
      </c>
      <c r="D1104" s="24" t="s">
        <v>37</v>
      </c>
      <c r="E1104" s="25" t="s">
        <v>35</v>
      </c>
      <c r="F1104" s="25" t="s">
        <v>35</v>
      </c>
      <c r="G1104" s="25" t="s">
        <v>37</v>
      </c>
      <c r="H1104" s="25" t="s">
        <v>35</v>
      </c>
      <c r="I1104" s="25" t="s">
        <v>35</v>
      </c>
      <c r="J1104" s="26" t="s">
        <v>36</v>
      </c>
      <c r="K1104" s="27" t="s">
        <v>37</v>
      </c>
      <c r="L1104" s="28" t="s">
        <v>35</v>
      </c>
      <c r="M1104" s="28" t="s">
        <v>35</v>
      </c>
      <c r="N1104" s="28" t="s">
        <v>35</v>
      </c>
      <c r="O1104" s="28" t="s">
        <v>35</v>
      </c>
      <c r="P1104" s="28" t="s">
        <v>35</v>
      </c>
      <c r="Q1104" s="28" t="s">
        <v>35</v>
      </c>
      <c r="R1104" s="28" t="s">
        <v>37</v>
      </c>
      <c r="S1104" s="29" t="s">
        <v>3002</v>
      </c>
      <c r="T1104" s="30" t="s">
        <v>3003</v>
      </c>
      <c r="U1104" s="31" t="s">
        <v>3003</v>
      </c>
      <c r="V1104" s="32">
        <f t="shared" ref="V1104:X1104" si="1110">IF(lenb(SUBSTITUTE($Z1104,V$1&amp;" (1)",""))&lt;lenb($Z1104),1,IF(lenb(SUBSTITUTE($Z1104,V$1&amp;" (2)",""))&lt;lenb($Z1104),2,IF(lenb(SUBSTITUTE($Z1104,V$1&amp;" (3)",""))&lt;lenb($Z1104),3,IF(lenb(SUBSTITUTE($Z1104,V$1&amp;" (4)",""))&lt;lenb($Z1104),4,IF(lenb(SUBSTITUTE($Z1104,V$1&amp;" (5)",""))&lt;lenb($Z1104),5,IF(lenb(SUBSTITUTE($Z1104,V$1&amp;" (6)",""))&lt;lenb($Z1104),6,IF(lenb(SUBSTITUTE($Z1104,V$1&amp;" (7)",""))&lt;lenb($Z1104),1,IF(lenb(SUBSTITUTE($Z1104,V$1&amp;" (8)",""))&lt;lenb($Z1104),8,IF(lenb(SUBSTITUTE($Z1104,V$1&amp;" (9)",""))&lt;lenb($Z1104),9,IF(lenb(SUBSTITUTE($Z1104,V$1&amp;" (10)",""))&lt;lenb($Z1104),10,IF(lenb(SUBSTITUTE($Z1104,V$1,""))&lt;lenb($Z1104),"ERROR",IF($Z1104=$Y$1,"-",0))))))))))))</f>
        <v>1</v>
      </c>
      <c r="W1104" s="32">
        <f t="shared" si="1110"/>
        <v>0</v>
      </c>
      <c r="X1104" s="32">
        <f t="shared" si="1110"/>
        <v>0</v>
      </c>
      <c r="Y1104" s="32" t="str">
        <f t="shared" si="3"/>
        <v>-</v>
      </c>
      <c r="Z1104" s="32" t="s">
        <v>62</v>
      </c>
      <c r="AA1104" s="33">
        <f t="shared" si="4"/>
        <v>1</v>
      </c>
      <c r="AB1104" s="34">
        <f>COUNTIFS(Links!B:B,"ICSE",Links!C:C,A1104,Links!AD:AD,1)</f>
        <v>0</v>
      </c>
      <c r="AC1104" s="35" t="s">
        <v>35</v>
      </c>
      <c r="AD1104" s="27" t="str">
        <f t="shared" si="5"/>
        <v>No</v>
      </c>
      <c r="AE1104" s="36" t="s">
        <v>36</v>
      </c>
      <c r="AF1104" s="37" t="s">
        <v>42</v>
      </c>
      <c r="AG1104" s="37" t="s">
        <v>42</v>
      </c>
      <c r="AH1104" s="37" t="s">
        <v>42</v>
      </c>
      <c r="AI1104" s="29" t="str">
        <f t="shared" si="661"/>
        <v>----</v>
      </c>
      <c r="AJ1104" s="38" t="str">
        <f t="shared" si="7"/>
        <v>Paper has link but no statement</v>
      </c>
      <c r="AK1104" s="39">
        <v>45070.0</v>
      </c>
      <c r="AL1104" s="23" t="s">
        <v>43</v>
      </c>
      <c r="AM1104" s="40" t="str">
        <f t="shared" si="8"/>
        <v>[IP2098]</v>
      </c>
    </row>
    <row r="1105" ht="67.5" customHeight="1">
      <c r="A1105" s="41">
        <v>2099.0</v>
      </c>
      <c r="B1105" s="42" t="s">
        <v>3004</v>
      </c>
      <c r="C1105" s="43">
        <v>2023.0</v>
      </c>
      <c r="D1105" s="44" t="s">
        <v>37</v>
      </c>
      <c r="E1105" s="45" t="s">
        <v>37</v>
      </c>
      <c r="F1105" s="45" t="s">
        <v>35</v>
      </c>
      <c r="G1105" s="45" t="s">
        <v>37</v>
      </c>
      <c r="H1105" s="45" t="s">
        <v>35</v>
      </c>
      <c r="I1105" s="45" t="s">
        <v>35</v>
      </c>
      <c r="J1105" s="46" t="s">
        <v>36</v>
      </c>
      <c r="K1105" s="47" t="s">
        <v>37</v>
      </c>
      <c r="L1105" s="48" t="s">
        <v>35</v>
      </c>
      <c r="M1105" s="48" t="s">
        <v>37</v>
      </c>
      <c r="N1105" s="48" t="s">
        <v>37</v>
      </c>
      <c r="O1105" s="48" t="s">
        <v>35</v>
      </c>
      <c r="P1105" s="48" t="s">
        <v>35</v>
      </c>
      <c r="Q1105" s="48" t="s">
        <v>35</v>
      </c>
      <c r="R1105" s="48" t="s">
        <v>35</v>
      </c>
      <c r="S1105" s="49" t="s">
        <v>3005</v>
      </c>
      <c r="T1105" s="50" t="s">
        <v>3006</v>
      </c>
      <c r="U1105" s="51" t="s">
        <v>3006</v>
      </c>
      <c r="V1105" s="52">
        <f t="shared" ref="V1105:X1105" si="1111">IF(lenb(SUBSTITUTE($Z1105,V$1&amp;" (1)",""))&lt;lenb($Z1105),1,IF(lenb(SUBSTITUTE($Z1105,V$1&amp;" (2)",""))&lt;lenb($Z1105),2,IF(lenb(SUBSTITUTE($Z1105,V$1&amp;" (3)",""))&lt;lenb($Z1105),3,IF(lenb(SUBSTITUTE($Z1105,V$1&amp;" (4)",""))&lt;lenb($Z1105),4,IF(lenb(SUBSTITUTE($Z1105,V$1&amp;" (5)",""))&lt;lenb($Z1105),5,IF(lenb(SUBSTITUTE($Z1105,V$1&amp;" (6)",""))&lt;lenb($Z1105),6,IF(lenb(SUBSTITUTE($Z1105,V$1&amp;" (7)",""))&lt;lenb($Z1105),1,IF(lenb(SUBSTITUTE($Z1105,V$1&amp;" (8)",""))&lt;lenb($Z1105),8,IF(lenb(SUBSTITUTE($Z1105,V$1&amp;" (9)",""))&lt;lenb($Z1105),9,IF(lenb(SUBSTITUTE($Z1105,V$1&amp;" (10)",""))&lt;lenb($Z1105),10,IF(lenb(SUBSTITUTE($Z1105,V$1,""))&lt;lenb($Z1105),"ERROR",IF($Z1105=$Y$1,"-",0))))))))))))</f>
        <v>1</v>
      </c>
      <c r="W1105" s="52">
        <f t="shared" si="1111"/>
        <v>0</v>
      </c>
      <c r="X1105" s="52">
        <f t="shared" si="1111"/>
        <v>0</v>
      </c>
      <c r="Y1105" s="52" t="str">
        <f t="shared" si="3"/>
        <v>-</v>
      </c>
      <c r="Z1105" s="52" t="s">
        <v>62</v>
      </c>
      <c r="AA1105" s="53">
        <f t="shared" si="4"/>
        <v>1</v>
      </c>
      <c r="AB1105" s="54">
        <f>COUNTIFS(Links!B:B,"ICSE",Links!C:C,A1105,Links!AD:AD,1)</f>
        <v>0</v>
      </c>
      <c r="AC1105" s="55" t="s">
        <v>35</v>
      </c>
      <c r="AD1105" s="47" t="str">
        <f t="shared" si="5"/>
        <v>No</v>
      </c>
      <c r="AE1105" s="56" t="s">
        <v>36</v>
      </c>
      <c r="AF1105" s="57" t="s">
        <v>42</v>
      </c>
      <c r="AG1105" s="57" t="s">
        <v>42</v>
      </c>
      <c r="AH1105" s="57" t="s">
        <v>42</v>
      </c>
      <c r="AI1105" s="49" t="str">
        <f t="shared" si="661"/>
        <v>----</v>
      </c>
      <c r="AJ1105" s="58" t="str">
        <f t="shared" si="7"/>
        <v>Paper has link but no statement</v>
      </c>
      <c r="AK1105" s="59">
        <v>45070.0</v>
      </c>
      <c r="AL1105" s="43" t="s">
        <v>43</v>
      </c>
      <c r="AM1105" s="60" t="str">
        <f t="shared" si="8"/>
        <v>[IP2099]</v>
      </c>
    </row>
    <row r="1106" ht="67.5" customHeight="1">
      <c r="A1106" s="61">
        <v>2100.0</v>
      </c>
      <c r="B1106" s="22" t="s">
        <v>3007</v>
      </c>
      <c r="C1106" s="23">
        <v>2023.0</v>
      </c>
      <c r="D1106" s="24" t="s">
        <v>35</v>
      </c>
      <c r="E1106" s="25" t="s">
        <v>36</v>
      </c>
      <c r="F1106" s="25" t="s">
        <v>36</v>
      </c>
      <c r="G1106" s="25" t="s">
        <v>36</v>
      </c>
      <c r="H1106" s="25" t="s">
        <v>36</v>
      </c>
      <c r="I1106" s="25" t="s">
        <v>36</v>
      </c>
      <c r="J1106" s="26" t="s">
        <v>36</v>
      </c>
      <c r="K1106" s="27" t="s">
        <v>37</v>
      </c>
      <c r="L1106" s="28" t="s">
        <v>35</v>
      </c>
      <c r="M1106" s="28" t="s">
        <v>37</v>
      </c>
      <c r="N1106" s="28" t="s">
        <v>37</v>
      </c>
      <c r="O1106" s="28" t="s">
        <v>35</v>
      </c>
      <c r="P1106" s="28" t="s">
        <v>35</v>
      </c>
      <c r="Q1106" s="28" t="s">
        <v>35</v>
      </c>
      <c r="R1106" s="28" t="s">
        <v>37</v>
      </c>
      <c r="S1106" s="29" t="s">
        <v>3008</v>
      </c>
      <c r="T1106" s="30" t="s">
        <v>3009</v>
      </c>
      <c r="U1106" s="31" t="s">
        <v>3009</v>
      </c>
      <c r="V1106" s="32">
        <f t="shared" ref="V1106:X1106" si="1112">IF(lenb(SUBSTITUTE($Z1106,V$1&amp;" (1)",""))&lt;lenb($Z1106),1,IF(lenb(SUBSTITUTE($Z1106,V$1&amp;" (2)",""))&lt;lenb($Z1106),2,IF(lenb(SUBSTITUTE($Z1106,V$1&amp;" (3)",""))&lt;lenb($Z1106),3,IF(lenb(SUBSTITUTE($Z1106,V$1&amp;" (4)",""))&lt;lenb($Z1106),4,IF(lenb(SUBSTITUTE($Z1106,V$1&amp;" (5)",""))&lt;lenb($Z1106),5,IF(lenb(SUBSTITUTE($Z1106,V$1&amp;" (6)",""))&lt;lenb($Z1106),6,IF(lenb(SUBSTITUTE($Z1106,V$1&amp;" (7)",""))&lt;lenb($Z1106),1,IF(lenb(SUBSTITUTE($Z1106,V$1&amp;" (8)",""))&lt;lenb($Z1106),8,IF(lenb(SUBSTITUTE($Z1106,V$1&amp;" (9)",""))&lt;lenb($Z1106),9,IF(lenb(SUBSTITUTE($Z1106,V$1&amp;" (10)",""))&lt;lenb($Z1106),10,IF(lenb(SUBSTITUTE($Z1106,V$1,""))&lt;lenb($Z1106),"ERROR",IF($Z1106=$Y$1,"-",0))))))))))))</f>
        <v>1</v>
      </c>
      <c r="W1106" s="32">
        <f t="shared" si="1112"/>
        <v>0</v>
      </c>
      <c r="X1106" s="32">
        <f t="shared" si="1112"/>
        <v>0</v>
      </c>
      <c r="Y1106" s="32" t="str">
        <f t="shared" si="3"/>
        <v>-</v>
      </c>
      <c r="Z1106" s="32" t="s">
        <v>62</v>
      </c>
      <c r="AA1106" s="33">
        <f t="shared" si="4"/>
        <v>1</v>
      </c>
      <c r="AB1106" s="34">
        <f>COUNTIFS(Links!B:B,"ICSE",Links!C:C,A1106,Links!AD:AD,1)</f>
        <v>0</v>
      </c>
      <c r="AC1106" s="35" t="s">
        <v>37</v>
      </c>
      <c r="AD1106" s="27" t="str">
        <f t="shared" si="5"/>
        <v>No</v>
      </c>
      <c r="AE1106" s="36" t="s">
        <v>36</v>
      </c>
      <c r="AF1106" s="37" t="s">
        <v>42</v>
      </c>
      <c r="AG1106" s="37" t="s">
        <v>42</v>
      </c>
      <c r="AH1106" s="37" t="s">
        <v>42</v>
      </c>
      <c r="AI1106" s="29" t="str">
        <f t="shared" si="661"/>
        <v>----</v>
      </c>
      <c r="AJ1106" s="38" t="str">
        <f t="shared" si="7"/>
        <v>Paper has link but no statement</v>
      </c>
      <c r="AK1106" s="39">
        <v>45070.0</v>
      </c>
      <c r="AL1106" s="23" t="s">
        <v>43</v>
      </c>
      <c r="AM1106" s="40" t="str">
        <f t="shared" si="8"/>
        <v>[IP2100]</v>
      </c>
    </row>
    <row r="1107" ht="67.5" customHeight="1">
      <c r="A1107" s="41">
        <v>2101.0</v>
      </c>
      <c r="B1107" s="42" t="s">
        <v>3010</v>
      </c>
      <c r="C1107" s="43">
        <v>2023.0</v>
      </c>
      <c r="D1107" s="44" t="s">
        <v>35</v>
      </c>
      <c r="E1107" s="45" t="s">
        <v>36</v>
      </c>
      <c r="F1107" s="45" t="s">
        <v>36</v>
      </c>
      <c r="G1107" s="45" t="s">
        <v>36</v>
      </c>
      <c r="H1107" s="45" t="s">
        <v>36</v>
      </c>
      <c r="I1107" s="45" t="s">
        <v>36</v>
      </c>
      <c r="J1107" s="46" t="s">
        <v>36</v>
      </c>
      <c r="K1107" s="47" t="s">
        <v>37</v>
      </c>
      <c r="L1107" s="48" t="s">
        <v>37</v>
      </c>
      <c r="M1107" s="48" t="s">
        <v>35</v>
      </c>
      <c r="N1107" s="48" t="s">
        <v>37</v>
      </c>
      <c r="O1107" s="48" t="s">
        <v>35</v>
      </c>
      <c r="P1107" s="48" t="s">
        <v>35</v>
      </c>
      <c r="Q1107" s="48" t="s">
        <v>35</v>
      </c>
      <c r="R1107" s="48" t="s">
        <v>35</v>
      </c>
      <c r="S1107" s="49" t="s">
        <v>768</v>
      </c>
      <c r="T1107" s="50" t="s">
        <v>3011</v>
      </c>
      <c r="U1107" s="51" t="s">
        <v>3011</v>
      </c>
      <c r="V1107" s="52">
        <f t="shared" ref="V1107:X1107" si="1113">IF(lenb(SUBSTITUTE($Z1107,V$1&amp;" (1)",""))&lt;lenb($Z1107),1,IF(lenb(SUBSTITUTE($Z1107,V$1&amp;" (2)",""))&lt;lenb($Z1107),2,IF(lenb(SUBSTITUTE($Z1107,V$1&amp;" (3)",""))&lt;lenb($Z1107),3,IF(lenb(SUBSTITUTE($Z1107,V$1&amp;" (4)",""))&lt;lenb($Z1107),4,IF(lenb(SUBSTITUTE($Z1107,V$1&amp;" (5)",""))&lt;lenb($Z1107),5,IF(lenb(SUBSTITUTE($Z1107,V$1&amp;" (6)",""))&lt;lenb($Z1107),6,IF(lenb(SUBSTITUTE($Z1107,V$1&amp;" (7)",""))&lt;lenb($Z1107),1,IF(lenb(SUBSTITUTE($Z1107,V$1&amp;" (8)",""))&lt;lenb($Z1107),8,IF(lenb(SUBSTITUTE($Z1107,V$1&amp;" (9)",""))&lt;lenb($Z1107),9,IF(lenb(SUBSTITUTE($Z1107,V$1&amp;" (10)",""))&lt;lenb($Z1107),10,IF(lenb(SUBSTITUTE($Z1107,V$1,""))&lt;lenb($Z1107),"ERROR",IF($Z1107=$Y$1,"-",0))))))))))))</f>
        <v>1</v>
      </c>
      <c r="W1107" s="52">
        <f t="shared" si="1113"/>
        <v>0</v>
      </c>
      <c r="X1107" s="52">
        <f t="shared" si="1113"/>
        <v>0</v>
      </c>
      <c r="Y1107" s="52" t="str">
        <f t="shared" si="3"/>
        <v>-</v>
      </c>
      <c r="Z1107" s="52" t="s">
        <v>62</v>
      </c>
      <c r="AA1107" s="53">
        <f t="shared" si="4"/>
        <v>1</v>
      </c>
      <c r="AB1107" s="54">
        <f>COUNTIFS(Links!B:B,"ICSE",Links!C:C,A1107,Links!AD:AD,1)</f>
        <v>0</v>
      </c>
      <c r="AC1107" s="55" t="s">
        <v>35</v>
      </c>
      <c r="AD1107" s="47" t="str">
        <f t="shared" si="5"/>
        <v>No</v>
      </c>
      <c r="AE1107" s="56" t="s">
        <v>36</v>
      </c>
      <c r="AF1107" s="57" t="s">
        <v>42</v>
      </c>
      <c r="AG1107" s="57" t="s">
        <v>42</v>
      </c>
      <c r="AH1107" s="57" t="s">
        <v>42</v>
      </c>
      <c r="AI1107" s="49" t="str">
        <f t="shared" si="661"/>
        <v>----</v>
      </c>
      <c r="AJ1107" s="58" t="str">
        <f t="shared" si="7"/>
        <v>Paper has link but no statement</v>
      </c>
      <c r="AK1107" s="59">
        <v>45070.0</v>
      </c>
      <c r="AL1107" s="43" t="s">
        <v>43</v>
      </c>
      <c r="AM1107" s="60" t="str">
        <f t="shared" si="8"/>
        <v>[IP2101]</v>
      </c>
    </row>
    <row r="1108" ht="67.5" customHeight="1">
      <c r="A1108" s="61">
        <v>2102.0</v>
      </c>
      <c r="B1108" s="22" t="s">
        <v>3012</v>
      </c>
      <c r="C1108" s="23">
        <v>2023.0</v>
      </c>
      <c r="D1108" s="24" t="s">
        <v>35</v>
      </c>
      <c r="E1108" s="25" t="s">
        <v>36</v>
      </c>
      <c r="F1108" s="25" t="s">
        <v>36</v>
      </c>
      <c r="G1108" s="25" t="s">
        <v>36</v>
      </c>
      <c r="H1108" s="25" t="s">
        <v>36</v>
      </c>
      <c r="I1108" s="25" t="s">
        <v>36</v>
      </c>
      <c r="J1108" s="26" t="s">
        <v>36</v>
      </c>
      <c r="K1108" s="27" t="s">
        <v>37</v>
      </c>
      <c r="L1108" s="28" t="s">
        <v>35</v>
      </c>
      <c r="M1108" s="28" t="s">
        <v>37</v>
      </c>
      <c r="N1108" s="28" t="s">
        <v>35</v>
      </c>
      <c r="O1108" s="28" t="s">
        <v>37</v>
      </c>
      <c r="P1108" s="28" t="s">
        <v>35</v>
      </c>
      <c r="Q1108" s="28" t="s">
        <v>35</v>
      </c>
      <c r="R1108" s="28" t="s">
        <v>37</v>
      </c>
      <c r="S1108" s="29" t="s">
        <v>3013</v>
      </c>
      <c r="T1108" s="30" t="s">
        <v>3014</v>
      </c>
      <c r="U1108" s="31" t="s">
        <v>3014</v>
      </c>
      <c r="V1108" s="32">
        <f t="shared" ref="V1108:X1108" si="1114">IF(lenb(SUBSTITUTE($Z1108,V$1&amp;" (1)",""))&lt;lenb($Z1108),1,IF(lenb(SUBSTITUTE($Z1108,V$1&amp;" (2)",""))&lt;lenb($Z1108),2,IF(lenb(SUBSTITUTE($Z1108,V$1&amp;" (3)",""))&lt;lenb($Z1108),3,IF(lenb(SUBSTITUTE($Z1108,V$1&amp;" (4)",""))&lt;lenb($Z1108),4,IF(lenb(SUBSTITUTE($Z1108,V$1&amp;" (5)",""))&lt;lenb($Z1108),5,IF(lenb(SUBSTITUTE($Z1108,V$1&amp;" (6)",""))&lt;lenb($Z1108),6,IF(lenb(SUBSTITUTE($Z1108,V$1&amp;" (7)",""))&lt;lenb($Z1108),1,IF(lenb(SUBSTITUTE($Z1108,V$1&amp;" (8)",""))&lt;lenb($Z1108),8,IF(lenb(SUBSTITUTE($Z1108,V$1&amp;" (9)",""))&lt;lenb($Z1108),9,IF(lenb(SUBSTITUTE($Z1108,V$1&amp;" (10)",""))&lt;lenb($Z1108),10,IF(lenb(SUBSTITUTE($Z1108,V$1,""))&lt;lenb($Z1108),"ERROR",IF($Z1108=$Y$1,"-",0))))))))))))</f>
        <v>1</v>
      </c>
      <c r="W1108" s="32">
        <f t="shared" si="1114"/>
        <v>0</v>
      </c>
      <c r="X1108" s="32">
        <f t="shared" si="1114"/>
        <v>0</v>
      </c>
      <c r="Y1108" s="32" t="str">
        <f t="shared" si="3"/>
        <v>-</v>
      </c>
      <c r="Z1108" s="32" t="s">
        <v>62</v>
      </c>
      <c r="AA1108" s="33">
        <f t="shared" si="4"/>
        <v>1</v>
      </c>
      <c r="AB1108" s="34">
        <f>COUNTIFS(Links!B:B,"ICSE",Links!C:C,A1108,Links!AD:AD,1)</f>
        <v>0</v>
      </c>
      <c r="AC1108" s="35" t="s">
        <v>35</v>
      </c>
      <c r="AD1108" s="27" t="str">
        <f t="shared" si="5"/>
        <v>No</v>
      </c>
      <c r="AE1108" s="36" t="s">
        <v>36</v>
      </c>
      <c r="AF1108" s="37" t="s">
        <v>42</v>
      </c>
      <c r="AG1108" s="37" t="s">
        <v>42</v>
      </c>
      <c r="AH1108" s="37" t="s">
        <v>42</v>
      </c>
      <c r="AI1108" s="29" t="str">
        <f t="shared" si="661"/>
        <v>----</v>
      </c>
      <c r="AJ1108" s="38" t="str">
        <f t="shared" si="7"/>
        <v>Paper has link but no statement</v>
      </c>
      <c r="AK1108" s="39">
        <v>45070.0</v>
      </c>
      <c r="AL1108" s="23" t="s">
        <v>43</v>
      </c>
      <c r="AM1108" s="40" t="str">
        <f t="shared" si="8"/>
        <v>[IP2102]</v>
      </c>
    </row>
    <row r="1109" ht="67.5" customHeight="1">
      <c r="A1109" s="41">
        <v>2103.0</v>
      </c>
      <c r="B1109" s="42" t="s">
        <v>3015</v>
      </c>
      <c r="C1109" s="43">
        <v>2023.0</v>
      </c>
      <c r="D1109" s="44" t="s">
        <v>37</v>
      </c>
      <c r="E1109" s="45" t="s">
        <v>37</v>
      </c>
      <c r="F1109" s="45" t="s">
        <v>35</v>
      </c>
      <c r="G1109" s="45" t="s">
        <v>37</v>
      </c>
      <c r="H1109" s="45" t="s">
        <v>35</v>
      </c>
      <c r="I1109" s="45" t="s">
        <v>35</v>
      </c>
      <c r="J1109" s="46" t="s">
        <v>36</v>
      </c>
      <c r="K1109" s="47" t="s">
        <v>37</v>
      </c>
      <c r="L1109" s="48" t="s">
        <v>35</v>
      </c>
      <c r="M1109" s="48" t="s">
        <v>37</v>
      </c>
      <c r="N1109" s="48" t="s">
        <v>37</v>
      </c>
      <c r="O1109" s="48" t="s">
        <v>37</v>
      </c>
      <c r="P1109" s="48" t="s">
        <v>37</v>
      </c>
      <c r="Q1109" s="48" t="s">
        <v>35</v>
      </c>
      <c r="R1109" s="48" t="s">
        <v>37</v>
      </c>
      <c r="S1109" s="49" t="s">
        <v>3016</v>
      </c>
      <c r="T1109" s="50" t="s">
        <v>3017</v>
      </c>
      <c r="U1109" s="51" t="s">
        <v>3017</v>
      </c>
      <c r="V1109" s="52">
        <f t="shared" ref="V1109:X1109" si="1115">IF(lenb(SUBSTITUTE($Z1109,V$1&amp;" (1)",""))&lt;lenb($Z1109),1,IF(lenb(SUBSTITUTE($Z1109,V$1&amp;" (2)",""))&lt;lenb($Z1109),2,IF(lenb(SUBSTITUTE($Z1109,V$1&amp;" (3)",""))&lt;lenb($Z1109),3,IF(lenb(SUBSTITUTE($Z1109,V$1&amp;" (4)",""))&lt;lenb($Z1109),4,IF(lenb(SUBSTITUTE($Z1109,V$1&amp;" (5)",""))&lt;lenb($Z1109),5,IF(lenb(SUBSTITUTE($Z1109,V$1&amp;" (6)",""))&lt;lenb($Z1109),6,IF(lenb(SUBSTITUTE($Z1109,V$1&amp;" (7)",""))&lt;lenb($Z1109),1,IF(lenb(SUBSTITUTE($Z1109,V$1&amp;" (8)",""))&lt;lenb($Z1109),8,IF(lenb(SUBSTITUTE($Z1109,V$1&amp;" (9)",""))&lt;lenb($Z1109),9,IF(lenb(SUBSTITUTE($Z1109,V$1&amp;" (10)",""))&lt;lenb($Z1109),10,IF(lenb(SUBSTITUTE($Z1109,V$1,""))&lt;lenb($Z1109),"ERROR",IF($Z1109=$Y$1,"-",0))))))))))))</f>
        <v>1</v>
      </c>
      <c r="W1109" s="52">
        <f t="shared" si="1115"/>
        <v>0</v>
      </c>
      <c r="X1109" s="52">
        <f t="shared" si="1115"/>
        <v>0</v>
      </c>
      <c r="Y1109" s="52" t="str">
        <f t="shared" si="3"/>
        <v>-</v>
      </c>
      <c r="Z1109" s="52" t="s">
        <v>62</v>
      </c>
      <c r="AA1109" s="53">
        <f t="shared" si="4"/>
        <v>1</v>
      </c>
      <c r="AB1109" s="54">
        <f>COUNTIFS(Links!B:B,"ICSE",Links!C:C,A1109,Links!AD:AD,1)</f>
        <v>0</v>
      </c>
      <c r="AC1109" s="55" t="s">
        <v>35</v>
      </c>
      <c r="AD1109" s="47" t="str">
        <f t="shared" si="5"/>
        <v>No</v>
      </c>
      <c r="AE1109" s="56" t="s">
        <v>36</v>
      </c>
      <c r="AF1109" s="57" t="s">
        <v>42</v>
      </c>
      <c r="AG1109" s="57" t="s">
        <v>42</v>
      </c>
      <c r="AH1109" s="57" t="s">
        <v>42</v>
      </c>
      <c r="AI1109" s="49" t="str">
        <f t="shared" si="661"/>
        <v>----</v>
      </c>
      <c r="AJ1109" s="58" t="str">
        <f t="shared" si="7"/>
        <v>Paper has link but no statement</v>
      </c>
      <c r="AK1109" s="59">
        <v>45070.0</v>
      </c>
      <c r="AL1109" s="43" t="s">
        <v>43</v>
      </c>
      <c r="AM1109" s="60" t="str">
        <f t="shared" si="8"/>
        <v>[IP2103]</v>
      </c>
    </row>
    <row r="1110" ht="67.5" customHeight="1">
      <c r="A1110" s="61">
        <v>2104.0</v>
      </c>
      <c r="B1110" s="22" t="s">
        <v>3018</v>
      </c>
      <c r="C1110" s="23">
        <v>2023.0</v>
      </c>
      <c r="D1110" s="24" t="s">
        <v>35</v>
      </c>
      <c r="E1110" s="25" t="s">
        <v>36</v>
      </c>
      <c r="F1110" s="25" t="s">
        <v>36</v>
      </c>
      <c r="G1110" s="25" t="s">
        <v>36</v>
      </c>
      <c r="H1110" s="25" t="s">
        <v>36</v>
      </c>
      <c r="I1110" s="25" t="s">
        <v>36</v>
      </c>
      <c r="J1110" s="26" t="s">
        <v>36</v>
      </c>
      <c r="K1110" s="27" t="s">
        <v>37</v>
      </c>
      <c r="L1110" s="28" t="s">
        <v>35</v>
      </c>
      <c r="M1110" s="28" t="s">
        <v>37</v>
      </c>
      <c r="N1110" s="28" t="s">
        <v>35</v>
      </c>
      <c r="O1110" s="28" t="s">
        <v>35</v>
      </c>
      <c r="P1110" s="28" t="s">
        <v>35</v>
      </c>
      <c r="Q1110" s="28" t="s">
        <v>35</v>
      </c>
      <c r="R1110" s="28" t="s">
        <v>37</v>
      </c>
      <c r="S1110" s="29" t="s">
        <v>3019</v>
      </c>
      <c r="T1110" s="30" t="s">
        <v>3020</v>
      </c>
      <c r="U1110" s="31" t="s">
        <v>3020</v>
      </c>
      <c r="V1110" s="32">
        <f t="shared" ref="V1110:X1110" si="1116">IF(lenb(SUBSTITUTE($Z1110,V$1&amp;" (1)",""))&lt;lenb($Z1110),1,IF(lenb(SUBSTITUTE($Z1110,V$1&amp;" (2)",""))&lt;lenb($Z1110),2,IF(lenb(SUBSTITUTE($Z1110,V$1&amp;" (3)",""))&lt;lenb($Z1110),3,IF(lenb(SUBSTITUTE($Z1110,V$1&amp;" (4)",""))&lt;lenb($Z1110),4,IF(lenb(SUBSTITUTE($Z1110,V$1&amp;" (5)",""))&lt;lenb($Z1110),5,IF(lenb(SUBSTITUTE($Z1110,V$1&amp;" (6)",""))&lt;lenb($Z1110),6,IF(lenb(SUBSTITUTE($Z1110,V$1&amp;" (7)",""))&lt;lenb($Z1110),1,IF(lenb(SUBSTITUTE($Z1110,V$1&amp;" (8)",""))&lt;lenb($Z1110),8,IF(lenb(SUBSTITUTE($Z1110,V$1&amp;" (9)",""))&lt;lenb($Z1110),9,IF(lenb(SUBSTITUTE($Z1110,V$1&amp;" (10)",""))&lt;lenb($Z1110),10,IF(lenb(SUBSTITUTE($Z1110,V$1,""))&lt;lenb($Z1110),"ERROR",IF($Z1110=$Y$1,"-",0))))))))))))</f>
        <v>1</v>
      </c>
      <c r="W1110" s="32">
        <f t="shared" si="1116"/>
        <v>0</v>
      </c>
      <c r="X1110" s="32">
        <f t="shared" si="1116"/>
        <v>0</v>
      </c>
      <c r="Y1110" s="32" t="str">
        <f t="shared" si="3"/>
        <v>-</v>
      </c>
      <c r="Z1110" s="32" t="s">
        <v>62</v>
      </c>
      <c r="AA1110" s="33">
        <f t="shared" si="4"/>
        <v>1</v>
      </c>
      <c r="AB1110" s="34">
        <f>COUNTIFS(Links!B:B,"ICSE",Links!C:C,A1110,Links!AD:AD,1)</f>
        <v>0</v>
      </c>
      <c r="AC1110" s="35" t="s">
        <v>35</v>
      </c>
      <c r="AD1110" s="27" t="str">
        <f t="shared" si="5"/>
        <v>No</v>
      </c>
      <c r="AE1110" s="36" t="s">
        <v>36</v>
      </c>
      <c r="AF1110" s="37" t="s">
        <v>42</v>
      </c>
      <c r="AG1110" s="37" t="s">
        <v>42</v>
      </c>
      <c r="AH1110" s="37" t="s">
        <v>42</v>
      </c>
      <c r="AI1110" s="29" t="str">
        <f t="shared" si="661"/>
        <v>----</v>
      </c>
      <c r="AJ1110" s="38" t="str">
        <f t="shared" si="7"/>
        <v>Paper has link but no statement</v>
      </c>
      <c r="AK1110" s="39">
        <v>45070.0</v>
      </c>
      <c r="AL1110" s="23" t="s">
        <v>43</v>
      </c>
      <c r="AM1110" s="40" t="str">
        <f t="shared" si="8"/>
        <v>[IP2104]</v>
      </c>
    </row>
    <row r="1111" ht="67.5" customHeight="1">
      <c r="A1111" s="41">
        <v>2105.0</v>
      </c>
      <c r="B1111" s="42" t="s">
        <v>3021</v>
      </c>
      <c r="C1111" s="43">
        <v>2023.0</v>
      </c>
      <c r="D1111" s="44" t="s">
        <v>37</v>
      </c>
      <c r="E1111" s="45" t="s">
        <v>37</v>
      </c>
      <c r="F1111" s="45" t="s">
        <v>35</v>
      </c>
      <c r="G1111" s="45" t="s">
        <v>37</v>
      </c>
      <c r="H1111" s="45" t="s">
        <v>35</v>
      </c>
      <c r="I1111" s="45" t="s">
        <v>35</v>
      </c>
      <c r="J1111" s="46" t="s">
        <v>36</v>
      </c>
      <c r="K1111" s="47" t="s">
        <v>37</v>
      </c>
      <c r="L1111" s="48" t="s">
        <v>35</v>
      </c>
      <c r="M1111" s="48" t="s">
        <v>37</v>
      </c>
      <c r="N1111" s="48" t="s">
        <v>37</v>
      </c>
      <c r="O1111" s="48" t="s">
        <v>35</v>
      </c>
      <c r="P1111" s="48" t="s">
        <v>35</v>
      </c>
      <c r="Q1111" s="48" t="s">
        <v>35</v>
      </c>
      <c r="R1111" s="48" t="s">
        <v>37</v>
      </c>
      <c r="S1111" s="49" t="s">
        <v>3022</v>
      </c>
      <c r="T1111" s="50" t="s">
        <v>3023</v>
      </c>
      <c r="U1111" s="51" t="s">
        <v>3023</v>
      </c>
      <c r="V1111" s="52">
        <f t="shared" ref="V1111:X1111" si="1117">IF(lenb(SUBSTITUTE($Z1111,V$1&amp;" (1)",""))&lt;lenb($Z1111),1,IF(lenb(SUBSTITUTE($Z1111,V$1&amp;" (2)",""))&lt;lenb($Z1111),2,IF(lenb(SUBSTITUTE($Z1111,V$1&amp;" (3)",""))&lt;lenb($Z1111),3,IF(lenb(SUBSTITUTE($Z1111,V$1&amp;" (4)",""))&lt;lenb($Z1111),4,IF(lenb(SUBSTITUTE($Z1111,V$1&amp;" (5)",""))&lt;lenb($Z1111),5,IF(lenb(SUBSTITUTE($Z1111,V$1&amp;" (6)",""))&lt;lenb($Z1111),6,IF(lenb(SUBSTITUTE($Z1111,V$1&amp;" (7)",""))&lt;lenb($Z1111),1,IF(lenb(SUBSTITUTE($Z1111,V$1&amp;" (8)",""))&lt;lenb($Z1111),8,IF(lenb(SUBSTITUTE($Z1111,V$1&amp;" (9)",""))&lt;lenb($Z1111),9,IF(lenb(SUBSTITUTE($Z1111,V$1&amp;" (10)",""))&lt;lenb($Z1111),10,IF(lenb(SUBSTITUTE($Z1111,V$1,""))&lt;lenb($Z1111),"ERROR",IF($Z1111=$Y$1,"-",0))))))))))))</f>
        <v>1</v>
      </c>
      <c r="W1111" s="52">
        <f t="shared" si="1117"/>
        <v>0</v>
      </c>
      <c r="X1111" s="52">
        <f t="shared" si="1117"/>
        <v>0</v>
      </c>
      <c r="Y1111" s="52" t="str">
        <f t="shared" si="3"/>
        <v>-</v>
      </c>
      <c r="Z1111" s="52" t="s">
        <v>62</v>
      </c>
      <c r="AA1111" s="53">
        <f t="shared" si="4"/>
        <v>1</v>
      </c>
      <c r="AB1111" s="54">
        <f>COUNTIFS(Links!B:B,"ICSE",Links!C:C,A1111,Links!AD:AD,1)</f>
        <v>0</v>
      </c>
      <c r="AC1111" s="55" t="s">
        <v>35</v>
      </c>
      <c r="AD1111" s="47" t="str">
        <f t="shared" si="5"/>
        <v>No</v>
      </c>
      <c r="AE1111" s="56" t="s">
        <v>36</v>
      </c>
      <c r="AF1111" s="57" t="s">
        <v>42</v>
      </c>
      <c r="AG1111" s="57" t="s">
        <v>42</v>
      </c>
      <c r="AH1111" s="57" t="s">
        <v>42</v>
      </c>
      <c r="AI1111" s="49" t="str">
        <f t="shared" si="661"/>
        <v>----</v>
      </c>
      <c r="AJ1111" s="58" t="str">
        <f t="shared" si="7"/>
        <v>Paper has link but no statement</v>
      </c>
      <c r="AK1111" s="59">
        <v>45070.0</v>
      </c>
      <c r="AL1111" s="43" t="s">
        <v>43</v>
      </c>
      <c r="AM1111" s="60" t="str">
        <f t="shared" si="8"/>
        <v>[IP2105]</v>
      </c>
    </row>
    <row r="1112" ht="67.5" customHeight="1">
      <c r="A1112" s="61">
        <v>2106.0</v>
      </c>
      <c r="B1112" s="22" t="s">
        <v>3024</v>
      </c>
      <c r="C1112" s="23">
        <v>2023.0</v>
      </c>
      <c r="D1112" s="24" t="s">
        <v>37</v>
      </c>
      <c r="E1112" s="25" t="s">
        <v>37</v>
      </c>
      <c r="F1112" s="25" t="s">
        <v>37</v>
      </c>
      <c r="G1112" s="25" t="s">
        <v>35</v>
      </c>
      <c r="H1112" s="25" t="s">
        <v>35</v>
      </c>
      <c r="I1112" s="25" t="s">
        <v>35</v>
      </c>
      <c r="J1112" s="26" t="s">
        <v>36</v>
      </c>
      <c r="K1112" s="27" t="s">
        <v>37</v>
      </c>
      <c r="L1112" s="28" t="s">
        <v>35</v>
      </c>
      <c r="M1112" s="28" t="s">
        <v>37</v>
      </c>
      <c r="N1112" s="28" t="s">
        <v>37</v>
      </c>
      <c r="O1112" s="28" t="s">
        <v>35</v>
      </c>
      <c r="P1112" s="28" t="s">
        <v>35</v>
      </c>
      <c r="Q1112" s="28" t="s">
        <v>37</v>
      </c>
      <c r="R1112" s="28" t="s">
        <v>37</v>
      </c>
      <c r="S1112" s="29" t="s">
        <v>3025</v>
      </c>
      <c r="T1112" s="30" t="s">
        <v>3026</v>
      </c>
      <c r="U1112" s="31" t="s">
        <v>3026</v>
      </c>
      <c r="V1112" s="32">
        <f t="shared" ref="V1112:X1112" si="1118">IF(lenb(SUBSTITUTE($Z1112,V$1&amp;" (1)",""))&lt;lenb($Z1112),1,IF(lenb(SUBSTITUTE($Z1112,V$1&amp;" (2)",""))&lt;lenb($Z1112),2,IF(lenb(SUBSTITUTE($Z1112,V$1&amp;" (3)",""))&lt;lenb($Z1112),3,IF(lenb(SUBSTITUTE($Z1112,V$1&amp;" (4)",""))&lt;lenb($Z1112),4,IF(lenb(SUBSTITUTE($Z1112,V$1&amp;" (5)",""))&lt;lenb($Z1112),5,IF(lenb(SUBSTITUTE($Z1112,V$1&amp;" (6)",""))&lt;lenb($Z1112),6,IF(lenb(SUBSTITUTE($Z1112,V$1&amp;" (7)",""))&lt;lenb($Z1112),1,IF(lenb(SUBSTITUTE($Z1112,V$1&amp;" (8)",""))&lt;lenb($Z1112),8,IF(lenb(SUBSTITUTE($Z1112,V$1&amp;" (9)",""))&lt;lenb($Z1112),9,IF(lenb(SUBSTITUTE($Z1112,V$1&amp;" (10)",""))&lt;lenb($Z1112),10,IF(lenb(SUBSTITUTE($Z1112,V$1,""))&lt;lenb($Z1112),"ERROR",IF($Z1112=$Y$1,"-",0))))))))))))</f>
        <v>2</v>
      </c>
      <c r="W1112" s="32">
        <f t="shared" si="1118"/>
        <v>0</v>
      </c>
      <c r="X1112" s="32">
        <f t="shared" si="1118"/>
        <v>0</v>
      </c>
      <c r="Y1112" s="32" t="str">
        <f t="shared" si="3"/>
        <v>-</v>
      </c>
      <c r="Z1112" s="32" t="s">
        <v>57</v>
      </c>
      <c r="AA1112" s="33">
        <f t="shared" si="4"/>
        <v>2</v>
      </c>
      <c r="AB1112" s="34">
        <f>COUNTIFS(Links!B:B,"ICSE",Links!C:C,A1112,Links!AD:AD,1)</f>
        <v>0</v>
      </c>
      <c r="AC1112" s="35" t="s">
        <v>37</v>
      </c>
      <c r="AD1112" s="27" t="str">
        <f t="shared" si="5"/>
        <v>No</v>
      </c>
      <c r="AE1112" s="36" t="s">
        <v>36</v>
      </c>
      <c r="AF1112" s="37" t="s">
        <v>42</v>
      </c>
      <c r="AG1112" s="37" t="s">
        <v>42</v>
      </c>
      <c r="AH1112" s="37" t="s">
        <v>42</v>
      </c>
      <c r="AI1112" s="29" t="str">
        <f t="shared" si="661"/>
        <v>----</v>
      </c>
      <c r="AJ1112" s="38" t="str">
        <f t="shared" si="7"/>
        <v>Paper has link but no statement</v>
      </c>
      <c r="AK1112" s="39">
        <v>45070.0</v>
      </c>
      <c r="AL1112" s="23" t="s">
        <v>43</v>
      </c>
      <c r="AM1112" s="40" t="str">
        <f t="shared" si="8"/>
        <v>[IP2106]</v>
      </c>
    </row>
    <row r="1113" ht="67.5" customHeight="1">
      <c r="A1113" s="41">
        <v>2107.0</v>
      </c>
      <c r="B1113" s="42" t="s">
        <v>3027</v>
      </c>
      <c r="C1113" s="43">
        <v>2023.0</v>
      </c>
      <c r="D1113" s="44" t="s">
        <v>37</v>
      </c>
      <c r="E1113" s="45" t="s">
        <v>37</v>
      </c>
      <c r="F1113" s="45" t="s">
        <v>37</v>
      </c>
      <c r="G1113" s="45" t="s">
        <v>35</v>
      </c>
      <c r="H1113" s="45" t="s">
        <v>35</v>
      </c>
      <c r="I1113" s="45" t="s">
        <v>35</v>
      </c>
      <c r="J1113" s="46" t="s">
        <v>36</v>
      </c>
      <c r="K1113" s="47" t="s">
        <v>37</v>
      </c>
      <c r="L1113" s="48" t="s">
        <v>35</v>
      </c>
      <c r="M1113" s="48" t="s">
        <v>35</v>
      </c>
      <c r="N1113" s="48" t="s">
        <v>37</v>
      </c>
      <c r="O1113" s="48" t="s">
        <v>35</v>
      </c>
      <c r="P1113" s="48" t="s">
        <v>35</v>
      </c>
      <c r="Q1113" s="48" t="s">
        <v>35</v>
      </c>
      <c r="R1113" s="48" t="s">
        <v>35</v>
      </c>
      <c r="S1113" s="49" t="s">
        <v>289</v>
      </c>
      <c r="T1113" s="50" t="s">
        <v>3028</v>
      </c>
      <c r="U1113" s="51" t="s">
        <v>3028</v>
      </c>
      <c r="V1113" s="52">
        <f t="shared" ref="V1113:X1113" si="1119">IF(lenb(SUBSTITUTE($Z1113,V$1&amp;" (1)",""))&lt;lenb($Z1113),1,IF(lenb(SUBSTITUTE($Z1113,V$1&amp;" (2)",""))&lt;lenb($Z1113),2,IF(lenb(SUBSTITUTE($Z1113,V$1&amp;" (3)",""))&lt;lenb($Z1113),3,IF(lenb(SUBSTITUTE($Z1113,V$1&amp;" (4)",""))&lt;lenb($Z1113),4,IF(lenb(SUBSTITUTE($Z1113,V$1&amp;" (5)",""))&lt;lenb($Z1113),5,IF(lenb(SUBSTITUTE($Z1113,V$1&amp;" (6)",""))&lt;lenb($Z1113),6,IF(lenb(SUBSTITUTE($Z1113,V$1&amp;" (7)",""))&lt;lenb($Z1113),1,IF(lenb(SUBSTITUTE($Z1113,V$1&amp;" (8)",""))&lt;lenb($Z1113),8,IF(lenb(SUBSTITUTE($Z1113,V$1&amp;" (9)",""))&lt;lenb($Z1113),9,IF(lenb(SUBSTITUTE($Z1113,V$1&amp;" (10)",""))&lt;lenb($Z1113),10,IF(lenb(SUBSTITUTE($Z1113,V$1,""))&lt;lenb($Z1113),"ERROR",IF($Z1113=$Y$1,"-",0))))))))))))</f>
        <v>1</v>
      </c>
      <c r="W1113" s="52">
        <f t="shared" si="1119"/>
        <v>0</v>
      </c>
      <c r="X1113" s="52">
        <f t="shared" si="1119"/>
        <v>0</v>
      </c>
      <c r="Y1113" s="52" t="str">
        <f t="shared" si="3"/>
        <v>-</v>
      </c>
      <c r="Z1113" s="52" t="s">
        <v>62</v>
      </c>
      <c r="AA1113" s="53">
        <f t="shared" si="4"/>
        <v>1</v>
      </c>
      <c r="AB1113" s="54">
        <f>COUNTIFS(Links!B:B,"ICSE",Links!C:C,A1113,Links!AD:AD,1)</f>
        <v>0</v>
      </c>
      <c r="AC1113" s="55" t="s">
        <v>35</v>
      </c>
      <c r="AD1113" s="47" t="str">
        <f t="shared" si="5"/>
        <v>No</v>
      </c>
      <c r="AE1113" s="56" t="s">
        <v>36</v>
      </c>
      <c r="AF1113" s="57" t="s">
        <v>42</v>
      </c>
      <c r="AG1113" s="57" t="s">
        <v>42</v>
      </c>
      <c r="AH1113" s="57" t="s">
        <v>42</v>
      </c>
      <c r="AI1113" s="49" t="str">
        <f t="shared" si="661"/>
        <v>----</v>
      </c>
      <c r="AJ1113" s="58" t="str">
        <f t="shared" si="7"/>
        <v>Paper has link but no statement</v>
      </c>
      <c r="AK1113" s="59">
        <v>45070.0</v>
      </c>
      <c r="AL1113" s="43" t="s">
        <v>43</v>
      </c>
      <c r="AM1113" s="60" t="str">
        <f t="shared" si="8"/>
        <v>[IP2107]</v>
      </c>
    </row>
    <row r="1114" ht="67.5" customHeight="1">
      <c r="A1114" s="61">
        <v>2108.0</v>
      </c>
      <c r="B1114" s="22" t="s">
        <v>3029</v>
      </c>
      <c r="C1114" s="23">
        <v>2023.0</v>
      </c>
      <c r="D1114" s="24" t="s">
        <v>37</v>
      </c>
      <c r="E1114" s="25" t="s">
        <v>37</v>
      </c>
      <c r="F1114" s="25" t="s">
        <v>35</v>
      </c>
      <c r="G1114" s="25" t="s">
        <v>37</v>
      </c>
      <c r="H1114" s="25" t="s">
        <v>35</v>
      </c>
      <c r="I1114" s="25" t="s">
        <v>35</v>
      </c>
      <c r="J1114" s="26" t="s">
        <v>36</v>
      </c>
      <c r="K1114" s="27" t="s">
        <v>37</v>
      </c>
      <c r="L1114" s="28" t="s">
        <v>37</v>
      </c>
      <c r="M1114" s="28" t="s">
        <v>35</v>
      </c>
      <c r="N1114" s="28" t="s">
        <v>37</v>
      </c>
      <c r="O1114" s="28" t="s">
        <v>35</v>
      </c>
      <c r="P1114" s="28" t="s">
        <v>35</v>
      </c>
      <c r="Q1114" s="28" t="s">
        <v>37</v>
      </c>
      <c r="R1114" s="28" t="s">
        <v>35</v>
      </c>
      <c r="S1114" s="29" t="s">
        <v>3030</v>
      </c>
      <c r="T1114" s="30" t="s">
        <v>3031</v>
      </c>
      <c r="U1114" s="31" t="s">
        <v>3031</v>
      </c>
      <c r="V1114" s="32">
        <f t="shared" ref="V1114:X1114" si="1120">IF(lenb(SUBSTITUTE($Z1114,V$1&amp;" (1)",""))&lt;lenb($Z1114),1,IF(lenb(SUBSTITUTE($Z1114,V$1&amp;" (2)",""))&lt;lenb($Z1114),2,IF(lenb(SUBSTITUTE($Z1114,V$1&amp;" (3)",""))&lt;lenb($Z1114),3,IF(lenb(SUBSTITUTE($Z1114,V$1&amp;" (4)",""))&lt;lenb($Z1114),4,IF(lenb(SUBSTITUTE($Z1114,V$1&amp;" (5)",""))&lt;lenb($Z1114),5,IF(lenb(SUBSTITUTE($Z1114,V$1&amp;" (6)",""))&lt;lenb($Z1114),6,IF(lenb(SUBSTITUTE($Z1114,V$1&amp;" (7)",""))&lt;lenb($Z1114),1,IF(lenb(SUBSTITUTE($Z1114,V$1&amp;" (8)",""))&lt;lenb($Z1114),8,IF(lenb(SUBSTITUTE($Z1114,V$1&amp;" (9)",""))&lt;lenb($Z1114),9,IF(lenb(SUBSTITUTE($Z1114,V$1&amp;" (10)",""))&lt;lenb($Z1114),10,IF(lenb(SUBSTITUTE($Z1114,V$1,""))&lt;lenb($Z1114),"ERROR",IF($Z1114=$Y$1,"-",0))))))))))))</f>
        <v>1</v>
      </c>
      <c r="W1114" s="32">
        <f t="shared" si="1120"/>
        <v>0</v>
      </c>
      <c r="X1114" s="32">
        <f t="shared" si="1120"/>
        <v>0</v>
      </c>
      <c r="Y1114" s="32" t="str">
        <f t="shared" si="3"/>
        <v>-</v>
      </c>
      <c r="Z1114" s="32" t="s">
        <v>62</v>
      </c>
      <c r="AA1114" s="33">
        <f t="shared" si="4"/>
        <v>1</v>
      </c>
      <c r="AB1114" s="34">
        <f>COUNTIFS(Links!B:B,"ICSE",Links!C:C,A1114,Links!AD:AD,1)</f>
        <v>0</v>
      </c>
      <c r="AC1114" s="35" t="s">
        <v>35</v>
      </c>
      <c r="AD1114" s="27" t="str">
        <f t="shared" si="5"/>
        <v>No</v>
      </c>
      <c r="AE1114" s="36" t="s">
        <v>36</v>
      </c>
      <c r="AF1114" s="37" t="s">
        <v>42</v>
      </c>
      <c r="AG1114" s="37" t="s">
        <v>42</v>
      </c>
      <c r="AH1114" s="37" t="s">
        <v>42</v>
      </c>
      <c r="AI1114" s="29" t="str">
        <f t="shared" si="661"/>
        <v>----</v>
      </c>
      <c r="AJ1114" s="38" t="str">
        <f t="shared" si="7"/>
        <v>Paper has link but no statement</v>
      </c>
      <c r="AK1114" s="39">
        <v>45070.0</v>
      </c>
      <c r="AL1114" s="23" t="s">
        <v>43</v>
      </c>
      <c r="AM1114" s="40" t="str">
        <f t="shared" si="8"/>
        <v>[IP2108]</v>
      </c>
    </row>
    <row r="1115" ht="67.5" customHeight="1">
      <c r="A1115" s="41">
        <v>2109.0</v>
      </c>
      <c r="B1115" s="42" t="s">
        <v>3032</v>
      </c>
      <c r="C1115" s="43">
        <v>2023.0</v>
      </c>
      <c r="D1115" s="44" t="s">
        <v>37</v>
      </c>
      <c r="E1115" s="45" t="s">
        <v>37</v>
      </c>
      <c r="F1115" s="45" t="s">
        <v>35</v>
      </c>
      <c r="G1115" s="45" t="s">
        <v>35</v>
      </c>
      <c r="H1115" s="45" t="s">
        <v>35</v>
      </c>
      <c r="I1115" s="45" t="s">
        <v>35</v>
      </c>
      <c r="J1115" s="46" t="s">
        <v>36</v>
      </c>
      <c r="K1115" s="47" t="s">
        <v>37</v>
      </c>
      <c r="L1115" s="48" t="s">
        <v>37</v>
      </c>
      <c r="M1115" s="48" t="s">
        <v>37</v>
      </c>
      <c r="N1115" s="48" t="s">
        <v>35</v>
      </c>
      <c r="O1115" s="48" t="s">
        <v>35</v>
      </c>
      <c r="P1115" s="48" t="s">
        <v>35</v>
      </c>
      <c r="Q1115" s="48" t="s">
        <v>37</v>
      </c>
      <c r="R1115" s="48" t="s">
        <v>37</v>
      </c>
      <c r="S1115" s="49" t="s">
        <v>3033</v>
      </c>
      <c r="T1115" s="50" t="s">
        <v>3034</v>
      </c>
      <c r="U1115" s="51" t="s">
        <v>3035</v>
      </c>
      <c r="V1115" s="52">
        <f t="shared" ref="V1115:X1115" si="1121">IF(lenb(SUBSTITUTE($Z1115,V$1&amp;" (1)",""))&lt;lenb($Z1115),1,IF(lenb(SUBSTITUTE($Z1115,V$1&amp;" (2)",""))&lt;lenb($Z1115),2,IF(lenb(SUBSTITUTE($Z1115,V$1&amp;" (3)",""))&lt;lenb($Z1115),3,IF(lenb(SUBSTITUTE($Z1115,V$1&amp;" (4)",""))&lt;lenb($Z1115),4,IF(lenb(SUBSTITUTE($Z1115,V$1&amp;" (5)",""))&lt;lenb($Z1115),5,IF(lenb(SUBSTITUTE($Z1115,V$1&amp;" (6)",""))&lt;lenb($Z1115),6,IF(lenb(SUBSTITUTE($Z1115,V$1&amp;" (7)",""))&lt;lenb($Z1115),1,IF(lenb(SUBSTITUTE($Z1115,V$1&amp;" (8)",""))&lt;lenb($Z1115),8,IF(lenb(SUBSTITUTE($Z1115,V$1&amp;" (9)",""))&lt;lenb($Z1115),9,IF(lenb(SUBSTITUTE($Z1115,V$1&amp;" (10)",""))&lt;lenb($Z1115),10,IF(lenb(SUBSTITUTE($Z1115,V$1,""))&lt;lenb($Z1115),"ERROR",IF($Z1115=$Y$1,"-",0))))))))))))</f>
        <v>1</v>
      </c>
      <c r="W1115" s="52">
        <f t="shared" si="1121"/>
        <v>0</v>
      </c>
      <c r="X1115" s="52">
        <f t="shared" si="1121"/>
        <v>0</v>
      </c>
      <c r="Y1115" s="52" t="str">
        <f t="shared" si="3"/>
        <v>-</v>
      </c>
      <c r="Z1115" s="52" t="s">
        <v>62</v>
      </c>
      <c r="AA1115" s="53">
        <f t="shared" si="4"/>
        <v>1</v>
      </c>
      <c r="AB1115" s="54">
        <f>COUNTIFS(Links!B:B,"ICSE",Links!C:C,A1115,Links!AD:AD,1)</f>
        <v>0</v>
      </c>
      <c r="AC1115" s="55" t="s">
        <v>37</v>
      </c>
      <c r="AD1115" s="47" t="str">
        <f t="shared" si="5"/>
        <v>No</v>
      </c>
      <c r="AE1115" s="56" t="s">
        <v>36</v>
      </c>
      <c r="AF1115" s="57" t="s">
        <v>42</v>
      </c>
      <c r="AG1115" s="57" t="s">
        <v>42</v>
      </c>
      <c r="AH1115" s="57" t="s">
        <v>42</v>
      </c>
      <c r="AI1115" s="49" t="str">
        <f t="shared" si="661"/>
        <v>----</v>
      </c>
      <c r="AJ1115" s="58" t="str">
        <f t="shared" si="7"/>
        <v>Paper has link but no statement</v>
      </c>
      <c r="AK1115" s="59">
        <v>45070.0</v>
      </c>
      <c r="AL1115" s="43" t="s">
        <v>43</v>
      </c>
      <c r="AM1115" s="60" t="str">
        <f t="shared" si="8"/>
        <v>[IP2109]</v>
      </c>
    </row>
    <row r="1116" ht="67.5" customHeight="1">
      <c r="A1116" s="61">
        <v>2110.0</v>
      </c>
      <c r="B1116" s="22" t="s">
        <v>3036</v>
      </c>
      <c r="C1116" s="23">
        <v>2023.0</v>
      </c>
      <c r="D1116" s="24" t="s">
        <v>35</v>
      </c>
      <c r="E1116" s="25" t="s">
        <v>36</v>
      </c>
      <c r="F1116" s="25" t="s">
        <v>36</v>
      </c>
      <c r="G1116" s="25" t="s">
        <v>36</v>
      </c>
      <c r="H1116" s="25" t="s">
        <v>36</v>
      </c>
      <c r="I1116" s="25" t="s">
        <v>36</v>
      </c>
      <c r="J1116" s="26" t="s">
        <v>36</v>
      </c>
      <c r="K1116" s="27" t="s">
        <v>37</v>
      </c>
      <c r="L1116" s="28" t="s">
        <v>35</v>
      </c>
      <c r="M1116" s="28" t="s">
        <v>37</v>
      </c>
      <c r="N1116" s="28" t="s">
        <v>35</v>
      </c>
      <c r="O1116" s="28" t="s">
        <v>35</v>
      </c>
      <c r="P1116" s="28" t="s">
        <v>35</v>
      </c>
      <c r="Q1116" s="28" t="s">
        <v>37</v>
      </c>
      <c r="R1116" s="28" t="s">
        <v>35</v>
      </c>
      <c r="S1116" s="29" t="s">
        <v>3037</v>
      </c>
      <c r="T1116" s="30" t="s">
        <v>3038</v>
      </c>
      <c r="U1116" s="31" t="s">
        <v>3038</v>
      </c>
      <c r="V1116" s="32">
        <f t="shared" ref="V1116:X1116" si="1122">IF(lenb(SUBSTITUTE($Z1116,V$1&amp;" (1)",""))&lt;lenb($Z1116),1,IF(lenb(SUBSTITUTE($Z1116,V$1&amp;" (2)",""))&lt;lenb($Z1116),2,IF(lenb(SUBSTITUTE($Z1116,V$1&amp;" (3)",""))&lt;lenb($Z1116),3,IF(lenb(SUBSTITUTE($Z1116,V$1&amp;" (4)",""))&lt;lenb($Z1116),4,IF(lenb(SUBSTITUTE($Z1116,V$1&amp;" (5)",""))&lt;lenb($Z1116),5,IF(lenb(SUBSTITUTE($Z1116,V$1&amp;" (6)",""))&lt;lenb($Z1116),6,IF(lenb(SUBSTITUTE($Z1116,V$1&amp;" (7)",""))&lt;lenb($Z1116),1,IF(lenb(SUBSTITUTE($Z1116,V$1&amp;" (8)",""))&lt;lenb($Z1116),8,IF(lenb(SUBSTITUTE($Z1116,V$1&amp;" (9)",""))&lt;lenb($Z1116),9,IF(lenb(SUBSTITUTE($Z1116,V$1&amp;" (10)",""))&lt;lenb($Z1116),10,IF(lenb(SUBSTITUTE($Z1116,V$1,""))&lt;lenb($Z1116),"ERROR",IF($Z1116=$Y$1,"-",0))))))))))))</f>
        <v>0</v>
      </c>
      <c r="W1116" s="32">
        <f t="shared" si="1122"/>
        <v>1</v>
      </c>
      <c r="X1116" s="32">
        <f t="shared" si="1122"/>
        <v>0</v>
      </c>
      <c r="Y1116" s="32" t="str">
        <f t="shared" si="3"/>
        <v>-</v>
      </c>
      <c r="Z1116" s="32" t="s">
        <v>47</v>
      </c>
      <c r="AA1116" s="33">
        <f t="shared" si="4"/>
        <v>1</v>
      </c>
      <c r="AB1116" s="34">
        <f>COUNTIFS(Links!B:B,"ICSE",Links!C:C,A1116,Links!AD:AD,1)</f>
        <v>0</v>
      </c>
      <c r="AC1116" s="35" t="s">
        <v>35</v>
      </c>
      <c r="AD1116" s="27" t="str">
        <f t="shared" si="5"/>
        <v>No</v>
      </c>
      <c r="AE1116" s="36" t="s">
        <v>36</v>
      </c>
      <c r="AF1116" s="37" t="s">
        <v>42</v>
      </c>
      <c r="AG1116" s="37" t="s">
        <v>42</v>
      </c>
      <c r="AH1116" s="37" t="s">
        <v>42</v>
      </c>
      <c r="AI1116" s="29" t="str">
        <f t="shared" si="661"/>
        <v>----</v>
      </c>
      <c r="AJ1116" s="38" t="str">
        <f t="shared" si="7"/>
        <v>Paper has link but no statement</v>
      </c>
      <c r="AK1116" s="39">
        <v>45070.0</v>
      </c>
      <c r="AL1116" s="23" t="s">
        <v>43</v>
      </c>
      <c r="AM1116" s="40" t="str">
        <f t="shared" si="8"/>
        <v>[IP2110]</v>
      </c>
    </row>
    <row r="1117" ht="67.5" customHeight="1">
      <c r="A1117" s="41">
        <v>2111.0</v>
      </c>
      <c r="B1117" s="42" t="s">
        <v>3039</v>
      </c>
      <c r="C1117" s="43">
        <v>2023.0</v>
      </c>
      <c r="D1117" s="44" t="s">
        <v>37</v>
      </c>
      <c r="E1117" s="45" t="s">
        <v>37</v>
      </c>
      <c r="F1117" s="45" t="s">
        <v>35</v>
      </c>
      <c r="G1117" s="45" t="s">
        <v>35</v>
      </c>
      <c r="H1117" s="45" t="s">
        <v>35</v>
      </c>
      <c r="I1117" s="45" t="s">
        <v>35</v>
      </c>
      <c r="J1117" s="46" t="s">
        <v>36</v>
      </c>
      <c r="K1117" s="47" t="s">
        <v>37</v>
      </c>
      <c r="L1117" s="48" t="s">
        <v>35</v>
      </c>
      <c r="M1117" s="48" t="s">
        <v>35</v>
      </c>
      <c r="N1117" s="48" t="s">
        <v>35</v>
      </c>
      <c r="O1117" s="48" t="s">
        <v>35</v>
      </c>
      <c r="P1117" s="48" t="s">
        <v>35</v>
      </c>
      <c r="Q1117" s="48" t="s">
        <v>37</v>
      </c>
      <c r="R1117" s="48" t="s">
        <v>35</v>
      </c>
      <c r="S1117" s="49" t="s">
        <v>3040</v>
      </c>
      <c r="T1117" s="50" t="s">
        <v>3041</v>
      </c>
      <c r="U1117" s="51" t="s">
        <v>3041</v>
      </c>
      <c r="V1117" s="52">
        <f t="shared" ref="V1117:X1117" si="1123">IF(lenb(SUBSTITUTE($Z1117,V$1&amp;" (1)",""))&lt;lenb($Z1117),1,IF(lenb(SUBSTITUTE($Z1117,V$1&amp;" (2)",""))&lt;lenb($Z1117),2,IF(lenb(SUBSTITUTE($Z1117,V$1&amp;" (3)",""))&lt;lenb($Z1117),3,IF(lenb(SUBSTITUTE($Z1117,V$1&amp;" (4)",""))&lt;lenb($Z1117),4,IF(lenb(SUBSTITUTE($Z1117,V$1&amp;" (5)",""))&lt;lenb($Z1117),5,IF(lenb(SUBSTITUTE($Z1117,V$1&amp;" (6)",""))&lt;lenb($Z1117),6,IF(lenb(SUBSTITUTE($Z1117,V$1&amp;" (7)",""))&lt;lenb($Z1117),1,IF(lenb(SUBSTITUTE($Z1117,V$1&amp;" (8)",""))&lt;lenb($Z1117),8,IF(lenb(SUBSTITUTE($Z1117,V$1&amp;" (9)",""))&lt;lenb($Z1117),9,IF(lenb(SUBSTITUTE($Z1117,V$1&amp;" (10)",""))&lt;lenb($Z1117),10,IF(lenb(SUBSTITUTE($Z1117,V$1,""))&lt;lenb($Z1117),"ERROR",IF($Z1117=$Y$1,"-",0))))))))))))</f>
        <v>1</v>
      </c>
      <c r="W1117" s="52">
        <f t="shared" si="1123"/>
        <v>0</v>
      </c>
      <c r="X1117" s="52">
        <f t="shared" si="1123"/>
        <v>0</v>
      </c>
      <c r="Y1117" s="52" t="str">
        <f t="shared" si="3"/>
        <v>-</v>
      </c>
      <c r="Z1117" s="52" t="s">
        <v>62</v>
      </c>
      <c r="AA1117" s="53">
        <f t="shared" si="4"/>
        <v>1</v>
      </c>
      <c r="AB1117" s="54">
        <f>COUNTIFS(Links!B:B,"ICSE",Links!C:C,A1117,Links!AD:AD,1)</f>
        <v>0</v>
      </c>
      <c r="AC1117" s="55" t="s">
        <v>35</v>
      </c>
      <c r="AD1117" s="47" t="str">
        <f t="shared" si="5"/>
        <v>No</v>
      </c>
      <c r="AE1117" s="56" t="s">
        <v>36</v>
      </c>
      <c r="AF1117" s="57" t="s">
        <v>42</v>
      </c>
      <c r="AG1117" s="57" t="s">
        <v>42</v>
      </c>
      <c r="AH1117" s="57" t="s">
        <v>42</v>
      </c>
      <c r="AI1117" s="49" t="str">
        <f t="shared" si="661"/>
        <v>----</v>
      </c>
      <c r="AJ1117" s="58" t="str">
        <f t="shared" si="7"/>
        <v>Paper has link but no statement</v>
      </c>
      <c r="AK1117" s="59">
        <v>45070.0</v>
      </c>
      <c r="AL1117" s="43" t="s">
        <v>43</v>
      </c>
      <c r="AM1117" s="60" t="str">
        <f t="shared" si="8"/>
        <v>[IP2111]</v>
      </c>
    </row>
    <row r="1118" ht="67.5" customHeight="1">
      <c r="A1118" s="61">
        <v>2112.0</v>
      </c>
      <c r="B1118" s="22" t="s">
        <v>3042</v>
      </c>
      <c r="C1118" s="23">
        <v>2023.0</v>
      </c>
      <c r="D1118" s="24" t="s">
        <v>35</v>
      </c>
      <c r="E1118" s="25" t="s">
        <v>36</v>
      </c>
      <c r="F1118" s="25" t="s">
        <v>36</v>
      </c>
      <c r="G1118" s="25" t="s">
        <v>36</v>
      </c>
      <c r="H1118" s="25" t="s">
        <v>36</v>
      </c>
      <c r="I1118" s="25" t="s">
        <v>36</v>
      </c>
      <c r="J1118" s="26" t="s">
        <v>36</v>
      </c>
      <c r="K1118" s="27" t="s">
        <v>37</v>
      </c>
      <c r="L1118" s="28" t="s">
        <v>35</v>
      </c>
      <c r="M1118" s="28" t="s">
        <v>37</v>
      </c>
      <c r="N1118" s="28" t="s">
        <v>35</v>
      </c>
      <c r="O1118" s="28" t="s">
        <v>35</v>
      </c>
      <c r="P1118" s="28" t="s">
        <v>37</v>
      </c>
      <c r="Q1118" s="28" t="s">
        <v>35</v>
      </c>
      <c r="R1118" s="28" t="s">
        <v>37</v>
      </c>
      <c r="S1118" s="29" t="s">
        <v>3043</v>
      </c>
      <c r="T1118" s="30" t="s">
        <v>3044</v>
      </c>
      <c r="U1118" s="31" t="s">
        <v>3044</v>
      </c>
      <c r="V1118" s="32">
        <f t="shared" ref="V1118:X1118" si="1124">IF(lenb(SUBSTITUTE($Z1118,V$1&amp;" (1)",""))&lt;lenb($Z1118),1,IF(lenb(SUBSTITUTE($Z1118,V$1&amp;" (2)",""))&lt;lenb($Z1118),2,IF(lenb(SUBSTITUTE($Z1118,V$1&amp;" (3)",""))&lt;lenb($Z1118),3,IF(lenb(SUBSTITUTE($Z1118,V$1&amp;" (4)",""))&lt;lenb($Z1118),4,IF(lenb(SUBSTITUTE($Z1118,V$1&amp;" (5)",""))&lt;lenb($Z1118),5,IF(lenb(SUBSTITUTE($Z1118,V$1&amp;" (6)",""))&lt;lenb($Z1118),6,IF(lenb(SUBSTITUTE($Z1118,V$1&amp;" (7)",""))&lt;lenb($Z1118),1,IF(lenb(SUBSTITUTE($Z1118,V$1&amp;" (8)",""))&lt;lenb($Z1118),8,IF(lenb(SUBSTITUTE($Z1118,V$1&amp;" (9)",""))&lt;lenb($Z1118),9,IF(lenb(SUBSTITUTE($Z1118,V$1&amp;" (10)",""))&lt;lenb($Z1118),10,IF(lenb(SUBSTITUTE($Z1118,V$1,""))&lt;lenb($Z1118),"ERROR",IF($Z1118=$Y$1,"-",0))))))))))))</f>
        <v>1</v>
      </c>
      <c r="W1118" s="32">
        <f t="shared" si="1124"/>
        <v>0</v>
      </c>
      <c r="X1118" s="32">
        <f t="shared" si="1124"/>
        <v>0</v>
      </c>
      <c r="Y1118" s="32" t="str">
        <f t="shared" si="3"/>
        <v>-</v>
      </c>
      <c r="Z1118" s="32" t="s">
        <v>62</v>
      </c>
      <c r="AA1118" s="33">
        <f t="shared" si="4"/>
        <v>1</v>
      </c>
      <c r="AB1118" s="34">
        <f>COUNTIFS(Links!B:B,"ICSE",Links!C:C,A1118,Links!AD:AD,1)</f>
        <v>0</v>
      </c>
      <c r="AC1118" s="35" t="s">
        <v>37</v>
      </c>
      <c r="AD1118" s="27" t="str">
        <f t="shared" si="5"/>
        <v>No</v>
      </c>
      <c r="AE1118" s="36" t="s">
        <v>36</v>
      </c>
      <c r="AF1118" s="37" t="s">
        <v>42</v>
      </c>
      <c r="AG1118" s="37" t="s">
        <v>42</v>
      </c>
      <c r="AH1118" s="37" t="s">
        <v>42</v>
      </c>
      <c r="AI1118" s="29" t="str">
        <f t="shared" si="661"/>
        <v>----</v>
      </c>
      <c r="AJ1118" s="38" t="str">
        <f t="shared" si="7"/>
        <v>Paper has link but no statement</v>
      </c>
      <c r="AK1118" s="39">
        <v>45070.0</v>
      </c>
      <c r="AL1118" s="23" t="s">
        <v>43</v>
      </c>
      <c r="AM1118" s="40" t="str">
        <f t="shared" si="8"/>
        <v>[IP2112]</v>
      </c>
    </row>
    <row r="1119" ht="67.5" customHeight="1">
      <c r="A1119" s="41">
        <v>2113.0</v>
      </c>
      <c r="B1119" s="42" t="s">
        <v>3045</v>
      </c>
      <c r="C1119" s="43">
        <v>2023.0</v>
      </c>
      <c r="D1119" s="44" t="s">
        <v>37</v>
      </c>
      <c r="E1119" s="45" t="s">
        <v>37</v>
      </c>
      <c r="F1119" s="45" t="s">
        <v>35</v>
      </c>
      <c r="G1119" s="45" t="s">
        <v>37</v>
      </c>
      <c r="H1119" s="45" t="s">
        <v>35</v>
      </c>
      <c r="I1119" s="45" t="s">
        <v>35</v>
      </c>
      <c r="J1119" s="46" t="s">
        <v>36</v>
      </c>
      <c r="K1119" s="47" t="s">
        <v>37</v>
      </c>
      <c r="L1119" s="48" t="s">
        <v>35</v>
      </c>
      <c r="M1119" s="48" t="s">
        <v>35</v>
      </c>
      <c r="N1119" s="48" t="s">
        <v>37</v>
      </c>
      <c r="O1119" s="48" t="s">
        <v>35</v>
      </c>
      <c r="P1119" s="48" t="s">
        <v>35</v>
      </c>
      <c r="Q1119" s="48" t="s">
        <v>35</v>
      </c>
      <c r="R1119" s="48" t="s">
        <v>35</v>
      </c>
      <c r="S1119" s="49" t="s">
        <v>289</v>
      </c>
      <c r="T1119" s="50" t="s">
        <v>3046</v>
      </c>
      <c r="U1119" s="51" t="s">
        <v>3046</v>
      </c>
      <c r="V1119" s="52">
        <f t="shared" ref="V1119:X1119" si="1125">IF(lenb(SUBSTITUTE($Z1119,V$1&amp;" (1)",""))&lt;lenb($Z1119),1,IF(lenb(SUBSTITUTE($Z1119,V$1&amp;" (2)",""))&lt;lenb($Z1119),2,IF(lenb(SUBSTITUTE($Z1119,V$1&amp;" (3)",""))&lt;lenb($Z1119),3,IF(lenb(SUBSTITUTE($Z1119,V$1&amp;" (4)",""))&lt;lenb($Z1119),4,IF(lenb(SUBSTITUTE($Z1119,V$1&amp;" (5)",""))&lt;lenb($Z1119),5,IF(lenb(SUBSTITUTE($Z1119,V$1&amp;" (6)",""))&lt;lenb($Z1119),6,IF(lenb(SUBSTITUTE($Z1119,V$1&amp;" (7)",""))&lt;lenb($Z1119),1,IF(lenb(SUBSTITUTE($Z1119,V$1&amp;" (8)",""))&lt;lenb($Z1119),8,IF(lenb(SUBSTITUTE($Z1119,V$1&amp;" (9)",""))&lt;lenb($Z1119),9,IF(lenb(SUBSTITUTE($Z1119,V$1&amp;" (10)",""))&lt;lenb($Z1119),10,IF(lenb(SUBSTITUTE($Z1119,V$1,""))&lt;lenb($Z1119),"ERROR",IF($Z1119=$Y$1,"-",0))))))))))))</f>
        <v>1</v>
      </c>
      <c r="W1119" s="52">
        <f t="shared" si="1125"/>
        <v>0</v>
      </c>
      <c r="X1119" s="52">
        <f t="shared" si="1125"/>
        <v>0</v>
      </c>
      <c r="Y1119" s="52" t="str">
        <f t="shared" si="3"/>
        <v>-</v>
      </c>
      <c r="Z1119" s="52" t="s">
        <v>62</v>
      </c>
      <c r="AA1119" s="53">
        <f t="shared" si="4"/>
        <v>1</v>
      </c>
      <c r="AB1119" s="54">
        <f>COUNTIFS(Links!B:B,"ICSE",Links!C:C,A1119,Links!AD:AD,1)</f>
        <v>0</v>
      </c>
      <c r="AC1119" s="55" t="s">
        <v>35</v>
      </c>
      <c r="AD1119" s="47" t="str">
        <f t="shared" si="5"/>
        <v>No</v>
      </c>
      <c r="AE1119" s="56" t="s">
        <v>36</v>
      </c>
      <c r="AF1119" s="57" t="s">
        <v>42</v>
      </c>
      <c r="AG1119" s="57" t="s">
        <v>42</v>
      </c>
      <c r="AH1119" s="57" t="s">
        <v>42</v>
      </c>
      <c r="AI1119" s="49" t="str">
        <f t="shared" si="661"/>
        <v>----</v>
      </c>
      <c r="AJ1119" s="58" t="str">
        <f t="shared" si="7"/>
        <v>Paper has link but no statement</v>
      </c>
      <c r="AK1119" s="59">
        <v>45070.0</v>
      </c>
      <c r="AL1119" s="43" t="s">
        <v>43</v>
      </c>
      <c r="AM1119" s="60" t="str">
        <f t="shared" si="8"/>
        <v>[IP2113]</v>
      </c>
    </row>
    <row r="1120" ht="67.5" customHeight="1">
      <c r="A1120" s="61">
        <v>2114.0</v>
      </c>
      <c r="B1120" s="22" t="s">
        <v>3047</v>
      </c>
      <c r="C1120" s="23">
        <v>2023.0</v>
      </c>
      <c r="D1120" s="24" t="s">
        <v>37</v>
      </c>
      <c r="E1120" s="25" t="s">
        <v>37</v>
      </c>
      <c r="F1120" s="25" t="s">
        <v>35</v>
      </c>
      <c r="G1120" s="25" t="s">
        <v>35</v>
      </c>
      <c r="H1120" s="25" t="s">
        <v>35</v>
      </c>
      <c r="I1120" s="25" t="s">
        <v>35</v>
      </c>
      <c r="J1120" s="26" t="s">
        <v>36</v>
      </c>
      <c r="K1120" s="27" t="s">
        <v>37</v>
      </c>
      <c r="L1120" s="28" t="s">
        <v>37</v>
      </c>
      <c r="M1120" s="28" t="s">
        <v>35</v>
      </c>
      <c r="N1120" s="28" t="s">
        <v>37</v>
      </c>
      <c r="O1120" s="28" t="s">
        <v>35</v>
      </c>
      <c r="P1120" s="28" t="s">
        <v>35</v>
      </c>
      <c r="Q1120" s="28" t="s">
        <v>35</v>
      </c>
      <c r="R1120" s="28" t="s">
        <v>35</v>
      </c>
      <c r="S1120" s="29" t="s">
        <v>340</v>
      </c>
      <c r="T1120" s="30" t="s">
        <v>3048</v>
      </c>
      <c r="U1120" s="31" t="s">
        <v>3048</v>
      </c>
      <c r="V1120" s="32">
        <f t="shared" ref="V1120:X1120" si="1126">IF(lenb(SUBSTITUTE($Z1120,V$1&amp;" (1)",""))&lt;lenb($Z1120),1,IF(lenb(SUBSTITUTE($Z1120,V$1&amp;" (2)",""))&lt;lenb($Z1120),2,IF(lenb(SUBSTITUTE($Z1120,V$1&amp;" (3)",""))&lt;lenb($Z1120),3,IF(lenb(SUBSTITUTE($Z1120,V$1&amp;" (4)",""))&lt;lenb($Z1120),4,IF(lenb(SUBSTITUTE($Z1120,V$1&amp;" (5)",""))&lt;lenb($Z1120),5,IF(lenb(SUBSTITUTE($Z1120,V$1&amp;" (6)",""))&lt;lenb($Z1120),6,IF(lenb(SUBSTITUTE($Z1120,V$1&amp;" (7)",""))&lt;lenb($Z1120),1,IF(lenb(SUBSTITUTE($Z1120,V$1&amp;" (8)",""))&lt;lenb($Z1120),8,IF(lenb(SUBSTITUTE($Z1120,V$1&amp;" (9)",""))&lt;lenb($Z1120),9,IF(lenb(SUBSTITUTE($Z1120,V$1&amp;" (10)",""))&lt;lenb($Z1120),10,IF(lenb(SUBSTITUTE($Z1120,V$1,""))&lt;lenb($Z1120),"ERROR",IF($Z1120=$Y$1,"-",0))))))))))))</f>
        <v>1</v>
      </c>
      <c r="W1120" s="32">
        <f t="shared" si="1126"/>
        <v>0</v>
      </c>
      <c r="X1120" s="32">
        <f t="shared" si="1126"/>
        <v>0</v>
      </c>
      <c r="Y1120" s="32" t="str">
        <f t="shared" si="3"/>
        <v>-</v>
      </c>
      <c r="Z1120" s="32" t="s">
        <v>62</v>
      </c>
      <c r="AA1120" s="33">
        <f t="shared" si="4"/>
        <v>1</v>
      </c>
      <c r="AB1120" s="34">
        <f>COUNTIFS(Links!B:B,"ICSE",Links!C:C,A1120,Links!AD:AD,1)</f>
        <v>0</v>
      </c>
      <c r="AC1120" s="35" t="s">
        <v>35</v>
      </c>
      <c r="AD1120" s="27" t="str">
        <f t="shared" si="5"/>
        <v>No</v>
      </c>
      <c r="AE1120" s="36" t="s">
        <v>36</v>
      </c>
      <c r="AF1120" s="37" t="s">
        <v>42</v>
      </c>
      <c r="AG1120" s="37" t="s">
        <v>42</v>
      </c>
      <c r="AH1120" s="37" t="s">
        <v>42</v>
      </c>
      <c r="AI1120" s="29" t="str">
        <f t="shared" si="661"/>
        <v>----</v>
      </c>
      <c r="AJ1120" s="38" t="str">
        <f t="shared" si="7"/>
        <v>Paper has link but no statement</v>
      </c>
      <c r="AK1120" s="39">
        <v>45070.0</v>
      </c>
      <c r="AL1120" s="23" t="s">
        <v>43</v>
      </c>
      <c r="AM1120" s="40" t="str">
        <f t="shared" si="8"/>
        <v>[IP2114]</v>
      </c>
    </row>
    <row r="1121" ht="67.5" customHeight="1">
      <c r="A1121" s="41">
        <v>2115.0</v>
      </c>
      <c r="B1121" s="42" t="s">
        <v>3049</v>
      </c>
      <c r="C1121" s="43">
        <v>2023.0</v>
      </c>
      <c r="D1121" s="44" t="s">
        <v>35</v>
      </c>
      <c r="E1121" s="45" t="s">
        <v>36</v>
      </c>
      <c r="F1121" s="45" t="s">
        <v>36</v>
      </c>
      <c r="G1121" s="45" t="s">
        <v>36</v>
      </c>
      <c r="H1121" s="45" t="s">
        <v>36</v>
      </c>
      <c r="I1121" s="45" t="s">
        <v>36</v>
      </c>
      <c r="J1121" s="46" t="s">
        <v>36</v>
      </c>
      <c r="K1121" s="47" t="s">
        <v>37</v>
      </c>
      <c r="L1121" s="48" t="s">
        <v>35</v>
      </c>
      <c r="M1121" s="48" t="s">
        <v>37</v>
      </c>
      <c r="N1121" s="48" t="s">
        <v>35</v>
      </c>
      <c r="O1121" s="48" t="s">
        <v>35</v>
      </c>
      <c r="P1121" s="48" t="s">
        <v>35</v>
      </c>
      <c r="Q1121" s="48" t="s">
        <v>37</v>
      </c>
      <c r="R1121" s="48" t="s">
        <v>37</v>
      </c>
      <c r="S1121" s="49" t="s">
        <v>3050</v>
      </c>
      <c r="T1121" s="50" t="s">
        <v>3051</v>
      </c>
      <c r="U1121" s="51" t="s">
        <v>3051</v>
      </c>
      <c r="V1121" s="52">
        <f t="shared" ref="V1121:X1121" si="1127">IF(lenb(SUBSTITUTE($Z1121,V$1&amp;" (1)",""))&lt;lenb($Z1121),1,IF(lenb(SUBSTITUTE($Z1121,V$1&amp;" (2)",""))&lt;lenb($Z1121),2,IF(lenb(SUBSTITUTE($Z1121,V$1&amp;" (3)",""))&lt;lenb($Z1121),3,IF(lenb(SUBSTITUTE($Z1121,V$1&amp;" (4)",""))&lt;lenb($Z1121),4,IF(lenb(SUBSTITUTE($Z1121,V$1&amp;" (5)",""))&lt;lenb($Z1121),5,IF(lenb(SUBSTITUTE($Z1121,V$1&amp;" (6)",""))&lt;lenb($Z1121),6,IF(lenb(SUBSTITUTE($Z1121,V$1&amp;" (7)",""))&lt;lenb($Z1121),1,IF(lenb(SUBSTITUTE($Z1121,V$1&amp;" (8)",""))&lt;lenb($Z1121),8,IF(lenb(SUBSTITUTE($Z1121,V$1&amp;" (9)",""))&lt;lenb($Z1121),9,IF(lenb(SUBSTITUTE($Z1121,V$1&amp;" (10)",""))&lt;lenb($Z1121),10,IF(lenb(SUBSTITUTE($Z1121,V$1,""))&lt;lenb($Z1121),"ERROR",IF($Z1121=$Y$1,"-",0))))))))))))</f>
        <v>1</v>
      </c>
      <c r="W1121" s="52">
        <f t="shared" si="1127"/>
        <v>0</v>
      </c>
      <c r="X1121" s="52">
        <f t="shared" si="1127"/>
        <v>0</v>
      </c>
      <c r="Y1121" s="52" t="str">
        <f t="shared" si="3"/>
        <v>-</v>
      </c>
      <c r="Z1121" s="52" t="s">
        <v>62</v>
      </c>
      <c r="AA1121" s="53">
        <f t="shared" si="4"/>
        <v>1</v>
      </c>
      <c r="AB1121" s="54">
        <f>COUNTIFS(Links!B:B,"ICSE",Links!C:C,A1121,Links!AD:AD,1)</f>
        <v>0</v>
      </c>
      <c r="AC1121" s="55" t="s">
        <v>37</v>
      </c>
      <c r="AD1121" s="47" t="str">
        <f t="shared" si="5"/>
        <v>No</v>
      </c>
      <c r="AE1121" s="56" t="s">
        <v>36</v>
      </c>
      <c r="AF1121" s="57" t="s">
        <v>42</v>
      </c>
      <c r="AG1121" s="57" t="s">
        <v>42</v>
      </c>
      <c r="AH1121" s="57" t="s">
        <v>42</v>
      </c>
      <c r="AI1121" s="49" t="str">
        <f t="shared" si="661"/>
        <v>----</v>
      </c>
      <c r="AJ1121" s="58" t="str">
        <f t="shared" si="7"/>
        <v>Paper has link but no statement</v>
      </c>
      <c r="AK1121" s="59">
        <v>45070.0</v>
      </c>
      <c r="AL1121" s="43" t="s">
        <v>43</v>
      </c>
      <c r="AM1121" s="60" t="str">
        <f t="shared" si="8"/>
        <v>[IP2115]</v>
      </c>
    </row>
    <row r="1122" ht="67.5" customHeight="1">
      <c r="A1122" s="61">
        <v>2116.0</v>
      </c>
      <c r="B1122" s="22" t="s">
        <v>3052</v>
      </c>
      <c r="C1122" s="23">
        <v>2023.0</v>
      </c>
      <c r="D1122" s="24" t="s">
        <v>35</v>
      </c>
      <c r="E1122" s="25" t="s">
        <v>36</v>
      </c>
      <c r="F1122" s="25" t="s">
        <v>36</v>
      </c>
      <c r="G1122" s="25" t="s">
        <v>36</v>
      </c>
      <c r="H1122" s="25" t="s">
        <v>36</v>
      </c>
      <c r="I1122" s="25" t="s">
        <v>36</v>
      </c>
      <c r="J1122" s="26" t="s">
        <v>36</v>
      </c>
      <c r="K1122" s="27" t="s">
        <v>37</v>
      </c>
      <c r="L1122" s="28" t="s">
        <v>35</v>
      </c>
      <c r="M1122" s="28" t="s">
        <v>37</v>
      </c>
      <c r="N1122" s="28" t="s">
        <v>35</v>
      </c>
      <c r="O1122" s="28" t="s">
        <v>35</v>
      </c>
      <c r="P1122" s="28" t="s">
        <v>35</v>
      </c>
      <c r="Q1122" s="28" t="s">
        <v>35</v>
      </c>
      <c r="R1122" s="28" t="s">
        <v>37</v>
      </c>
      <c r="S1122" s="29" t="s">
        <v>3053</v>
      </c>
      <c r="T1122" s="30" t="s">
        <v>3054</v>
      </c>
      <c r="U1122" s="31" t="s">
        <v>3054</v>
      </c>
      <c r="V1122" s="32">
        <f t="shared" ref="V1122:X1122" si="1128">IF(lenb(SUBSTITUTE($Z1122,V$1&amp;" (1)",""))&lt;lenb($Z1122),1,IF(lenb(SUBSTITUTE($Z1122,V$1&amp;" (2)",""))&lt;lenb($Z1122),2,IF(lenb(SUBSTITUTE($Z1122,V$1&amp;" (3)",""))&lt;lenb($Z1122),3,IF(lenb(SUBSTITUTE($Z1122,V$1&amp;" (4)",""))&lt;lenb($Z1122),4,IF(lenb(SUBSTITUTE($Z1122,V$1&amp;" (5)",""))&lt;lenb($Z1122),5,IF(lenb(SUBSTITUTE($Z1122,V$1&amp;" (6)",""))&lt;lenb($Z1122),6,IF(lenb(SUBSTITUTE($Z1122,V$1&amp;" (7)",""))&lt;lenb($Z1122),1,IF(lenb(SUBSTITUTE($Z1122,V$1&amp;" (8)",""))&lt;lenb($Z1122),8,IF(lenb(SUBSTITUTE($Z1122,V$1&amp;" (9)",""))&lt;lenb($Z1122),9,IF(lenb(SUBSTITUTE($Z1122,V$1&amp;" (10)",""))&lt;lenb($Z1122),10,IF(lenb(SUBSTITUTE($Z1122,V$1,""))&lt;lenb($Z1122),"ERROR",IF($Z1122=$Y$1,"-",0))))))))))))</f>
        <v>1</v>
      </c>
      <c r="W1122" s="32">
        <f t="shared" si="1128"/>
        <v>0</v>
      </c>
      <c r="X1122" s="32">
        <f t="shared" si="1128"/>
        <v>0</v>
      </c>
      <c r="Y1122" s="32" t="str">
        <f t="shared" si="3"/>
        <v>-</v>
      </c>
      <c r="Z1122" s="32" t="s">
        <v>62</v>
      </c>
      <c r="AA1122" s="33">
        <f t="shared" si="4"/>
        <v>1</v>
      </c>
      <c r="AB1122" s="34">
        <f>COUNTIFS(Links!B:B,"ICSE",Links!C:C,A1122,Links!AD:AD,1)</f>
        <v>0</v>
      </c>
      <c r="AC1122" s="35" t="s">
        <v>35</v>
      </c>
      <c r="AD1122" s="27" t="str">
        <f t="shared" si="5"/>
        <v>No</v>
      </c>
      <c r="AE1122" s="36" t="s">
        <v>36</v>
      </c>
      <c r="AF1122" s="37" t="s">
        <v>42</v>
      </c>
      <c r="AG1122" s="37" t="s">
        <v>42</v>
      </c>
      <c r="AH1122" s="37" t="s">
        <v>42</v>
      </c>
      <c r="AI1122" s="29" t="str">
        <f t="shared" si="661"/>
        <v>----</v>
      </c>
      <c r="AJ1122" s="38" t="str">
        <f t="shared" si="7"/>
        <v>Paper has link but no statement</v>
      </c>
      <c r="AK1122" s="39">
        <v>45070.0</v>
      </c>
      <c r="AL1122" s="23" t="s">
        <v>43</v>
      </c>
      <c r="AM1122" s="40" t="str">
        <f t="shared" si="8"/>
        <v>[IP2116]</v>
      </c>
    </row>
    <row r="1123" ht="67.5" customHeight="1">
      <c r="A1123" s="41">
        <v>2117.0</v>
      </c>
      <c r="B1123" s="42" t="s">
        <v>3055</v>
      </c>
      <c r="C1123" s="43">
        <v>2023.0</v>
      </c>
      <c r="D1123" s="44" t="s">
        <v>35</v>
      </c>
      <c r="E1123" s="45" t="s">
        <v>36</v>
      </c>
      <c r="F1123" s="45" t="s">
        <v>36</v>
      </c>
      <c r="G1123" s="45" t="s">
        <v>36</v>
      </c>
      <c r="H1123" s="45" t="s">
        <v>36</v>
      </c>
      <c r="I1123" s="45" t="s">
        <v>36</v>
      </c>
      <c r="J1123" s="46" t="s">
        <v>36</v>
      </c>
      <c r="K1123" s="47" t="s">
        <v>37</v>
      </c>
      <c r="L1123" s="48" t="s">
        <v>35</v>
      </c>
      <c r="M1123" s="48" t="s">
        <v>37</v>
      </c>
      <c r="N1123" s="48" t="s">
        <v>35</v>
      </c>
      <c r="O1123" s="48" t="s">
        <v>37</v>
      </c>
      <c r="P1123" s="48" t="s">
        <v>37</v>
      </c>
      <c r="Q1123" s="48" t="s">
        <v>35</v>
      </c>
      <c r="R1123" s="48" t="s">
        <v>35</v>
      </c>
      <c r="S1123" s="49" t="s">
        <v>3056</v>
      </c>
      <c r="T1123" s="50" t="s">
        <v>3057</v>
      </c>
      <c r="U1123" s="51" t="s">
        <v>3057</v>
      </c>
      <c r="V1123" s="52">
        <f t="shared" ref="V1123:X1123" si="1129">IF(lenb(SUBSTITUTE($Z1123,V$1&amp;" (1)",""))&lt;lenb($Z1123),1,IF(lenb(SUBSTITUTE($Z1123,V$1&amp;" (2)",""))&lt;lenb($Z1123),2,IF(lenb(SUBSTITUTE($Z1123,V$1&amp;" (3)",""))&lt;lenb($Z1123),3,IF(lenb(SUBSTITUTE($Z1123,V$1&amp;" (4)",""))&lt;lenb($Z1123),4,IF(lenb(SUBSTITUTE($Z1123,V$1&amp;" (5)",""))&lt;lenb($Z1123),5,IF(lenb(SUBSTITUTE($Z1123,V$1&amp;" (6)",""))&lt;lenb($Z1123),6,IF(lenb(SUBSTITUTE($Z1123,V$1&amp;" (7)",""))&lt;lenb($Z1123),1,IF(lenb(SUBSTITUTE($Z1123,V$1&amp;" (8)",""))&lt;lenb($Z1123),8,IF(lenb(SUBSTITUTE($Z1123,V$1&amp;" (9)",""))&lt;lenb($Z1123),9,IF(lenb(SUBSTITUTE($Z1123,V$1&amp;" (10)",""))&lt;lenb($Z1123),10,IF(lenb(SUBSTITUTE($Z1123,V$1,""))&lt;lenb($Z1123),"ERROR",IF($Z1123=$Y$1,"-",0))))))))))))</f>
        <v>1</v>
      </c>
      <c r="W1123" s="52">
        <f t="shared" si="1129"/>
        <v>0</v>
      </c>
      <c r="X1123" s="52">
        <f t="shared" si="1129"/>
        <v>0</v>
      </c>
      <c r="Y1123" s="52" t="str">
        <f t="shared" si="3"/>
        <v>-</v>
      </c>
      <c r="Z1123" s="52" t="s">
        <v>62</v>
      </c>
      <c r="AA1123" s="53">
        <f t="shared" si="4"/>
        <v>1</v>
      </c>
      <c r="AB1123" s="54">
        <f>COUNTIFS(Links!B:B,"ICSE",Links!C:C,A1123,Links!AD:AD,1)</f>
        <v>0</v>
      </c>
      <c r="AC1123" s="55" t="s">
        <v>35</v>
      </c>
      <c r="AD1123" s="47" t="str">
        <f t="shared" si="5"/>
        <v>No</v>
      </c>
      <c r="AE1123" s="56" t="s">
        <v>36</v>
      </c>
      <c r="AF1123" s="57" t="s">
        <v>42</v>
      </c>
      <c r="AG1123" s="57" t="s">
        <v>42</v>
      </c>
      <c r="AH1123" s="57" t="s">
        <v>42</v>
      </c>
      <c r="AI1123" s="49" t="str">
        <f t="shared" si="661"/>
        <v>----</v>
      </c>
      <c r="AJ1123" s="58" t="str">
        <f t="shared" si="7"/>
        <v>Paper has link but no statement</v>
      </c>
      <c r="AK1123" s="59">
        <v>45070.0</v>
      </c>
      <c r="AL1123" s="43" t="s">
        <v>43</v>
      </c>
      <c r="AM1123" s="60" t="str">
        <f t="shared" si="8"/>
        <v>[IP2117]</v>
      </c>
    </row>
    <row r="1124" ht="67.5" customHeight="1">
      <c r="A1124" s="61">
        <v>2118.0</v>
      </c>
      <c r="B1124" s="22" t="s">
        <v>3058</v>
      </c>
      <c r="C1124" s="23">
        <v>2023.0</v>
      </c>
      <c r="D1124" s="24" t="s">
        <v>35</v>
      </c>
      <c r="E1124" s="25" t="s">
        <v>36</v>
      </c>
      <c r="F1124" s="25" t="s">
        <v>36</v>
      </c>
      <c r="G1124" s="25" t="s">
        <v>36</v>
      </c>
      <c r="H1124" s="25" t="s">
        <v>36</v>
      </c>
      <c r="I1124" s="25" t="s">
        <v>36</v>
      </c>
      <c r="J1124" s="26" t="s">
        <v>36</v>
      </c>
      <c r="K1124" s="27" t="s">
        <v>37</v>
      </c>
      <c r="L1124" s="28" t="s">
        <v>35</v>
      </c>
      <c r="M1124" s="28" t="s">
        <v>35</v>
      </c>
      <c r="N1124" s="28" t="s">
        <v>35</v>
      </c>
      <c r="O1124" s="28" t="s">
        <v>35</v>
      </c>
      <c r="P1124" s="28" t="s">
        <v>35</v>
      </c>
      <c r="Q1124" s="28" t="s">
        <v>35</v>
      </c>
      <c r="R1124" s="28" t="s">
        <v>37</v>
      </c>
      <c r="S1124" s="29" t="s">
        <v>3059</v>
      </c>
      <c r="T1124" s="30" t="s">
        <v>3060</v>
      </c>
      <c r="U1124" s="31" t="s">
        <v>3060</v>
      </c>
      <c r="V1124" s="32">
        <f t="shared" ref="V1124:X1124" si="1130">IF(lenb(SUBSTITUTE($Z1124,V$1&amp;" (1)",""))&lt;lenb($Z1124),1,IF(lenb(SUBSTITUTE($Z1124,V$1&amp;" (2)",""))&lt;lenb($Z1124),2,IF(lenb(SUBSTITUTE($Z1124,V$1&amp;" (3)",""))&lt;lenb($Z1124),3,IF(lenb(SUBSTITUTE($Z1124,V$1&amp;" (4)",""))&lt;lenb($Z1124),4,IF(lenb(SUBSTITUTE($Z1124,V$1&amp;" (5)",""))&lt;lenb($Z1124),5,IF(lenb(SUBSTITUTE($Z1124,V$1&amp;" (6)",""))&lt;lenb($Z1124),6,IF(lenb(SUBSTITUTE($Z1124,V$1&amp;" (7)",""))&lt;lenb($Z1124),1,IF(lenb(SUBSTITUTE($Z1124,V$1&amp;" (8)",""))&lt;lenb($Z1124),8,IF(lenb(SUBSTITUTE($Z1124,V$1&amp;" (9)",""))&lt;lenb($Z1124),9,IF(lenb(SUBSTITUTE($Z1124,V$1&amp;" (10)",""))&lt;lenb($Z1124),10,IF(lenb(SUBSTITUTE($Z1124,V$1,""))&lt;lenb($Z1124),"ERROR",IF($Z1124=$Y$1,"-",0))))))))))))</f>
        <v>1</v>
      </c>
      <c r="W1124" s="32">
        <f t="shared" si="1130"/>
        <v>0</v>
      </c>
      <c r="X1124" s="32">
        <f t="shared" si="1130"/>
        <v>0</v>
      </c>
      <c r="Y1124" s="32" t="str">
        <f t="shared" si="3"/>
        <v>-</v>
      </c>
      <c r="Z1124" s="32" t="s">
        <v>62</v>
      </c>
      <c r="AA1124" s="33">
        <f t="shared" si="4"/>
        <v>1</v>
      </c>
      <c r="AB1124" s="34">
        <f>COUNTIFS(Links!B:B,"ICSE",Links!C:C,A1124,Links!AD:AD,1)</f>
        <v>0</v>
      </c>
      <c r="AC1124" s="35" t="s">
        <v>35</v>
      </c>
      <c r="AD1124" s="27" t="str">
        <f t="shared" si="5"/>
        <v>No</v>
      </c>
      <c r="AE1124" s="36" t="s">
        <v>36</v>
      </c>
      <c r="AF1124" s="37" t="s">
        <v>42</v>
      </c>
      <c r="AG1124" s="37" t="s">
        <v>42</v>
      </c>
      <c r="AH1124" s="37" t="s">
        <v>42</v>
      </c>
      <c r="AI1124" s="29" t="str">
        <f t="shared" si="661"/>
        <v>----</v>
      </c>
      <c r="AJ1124" s="38" t="str">
        <f t="shared" si="7"/>
        <v>Paper has link but no statement</v>
      </c>
      <c r="AK1124" s="39">
        <v>45070.0</v>
      </c>
      <c r="AL1124" s="23" t="s">
        <v>43</v>
      </c>
      <c r="AM1124" s="40" t="str">
        <f t="shared" si="8"/>
        <v>[IP2118]</v>
      </c>
    </row>
    <row r="1125" ht="67.5" customHeight="1">
      <c r="A1125" s="41">
        <v>2119.0</v>
      </c>
      <c r="B1125" s="42" t="s">
        <v>3061</v>
      </c>
      <c r="C1125" s="43">
        <v>2023.0</v>
      </c>
      <c r="D1125" s="44" t="s">
        <v>37</v>
      </c>
      <c r="E1125" s="45" t="s">
        <v>37</v>
      </c>
      <c r="F1125" s="45" t="s">
        <v>35</v>
      </c>
      <c r="G1125" s="45" t="s">
        <v>35</v>
      </c>
      <c r="H1125" s="45" t="s">
        <v>35</v>
      </c>
      <c r="I1125" s="45" t="s">
        <v>35</v>
      </c>
      <c r="J1125" s="46" t="s">
        <v>36</v>
      </c>
      <c r="K1125" s="47" t="s">
        <v>37</v>
      </c>
      <c r="L1125" s="48" t="s">
        <v>35</v>
      </c>
      <c r="M1125" s="48" t="s">
        <v>37</v>
      </c>
      <c r="N1125" s="48" t="s">
        <v>37</v>
      </c>
      <c r="O1125" s="48" t="s">
        <v>35</v>
      </c>
      <c r="P1125" s="48" t="s">
        <v>37</v>
      </c>
      <c r="Q1125" s="48" t="s">
        <v>35</v>
      </c>
      <c r="R1125" s="48" t="s">
        <v>37</v>
      </c>
      <c r="S1125" s="49" t="s">
        <v>3062</v>
      </c>
      <c r="T1125" s="50" t="s">
        <v>3063</v>
      </c>
      <c r="U1125" s="51" t="s">
        <v>3063</v>
      </c>
      <c r="V1125" s="52">
        <f t="shared" ref="V1125:X1125" si="1131">IF(lenb(SUBSTITUTE($Z1125,V$1&amp;" (1)",""))&lt;lenb($Z1125),1,IF(lenb(SUBSTITUTE($Z1125,V$1&amp;" (2)",""))&lt;lenb($Z1125),2,IF(lenb(SUBSTITUTE($Z1125,V$1&amp;" (3)",""))&lt;lenb($Z1125),3,IF(lenb(SUBSTITUTE($Z1125,V$1&amp;" (4)",""))&lt;lenb($Z1125),4,IF(lenb(SUBSTITUTE($Z1125,V$1&amp;" (5)",""))&lt;lenb($Z1125),5,IF(lenb(SUBSTITUTE($Z1125,V$1&amp;" (6)",""))&lt;lenb($Z1125),6,IF(lenb(SUBSTITUTE($Z1125,V$1&amp;" (7)",""))&lt;lenb($Z1125),1,IF(lenb(SUBSTITUTE($Z1125,V$1&amp;" (8)",""))&lt;lenb($Z1125),8,IF(lenb(SUBSTITUTE($Z1125,V$1&amp;" (9)",""))&lt;lenb($Z1125),9,IF(lenb(SUBSTITUTE($Z1125,V$1&amp;" (10)",""))&lt;lenb($Z1125),10,IF(lenb(SUBSTITUTE($Z1125,V$1,""))&lt;lenb($Z1125),"ERROR",IF($Z1125=$Y$1,"-",0))))))))))))</f>
        <v>1</v>
      </c>
      <c r="W1125" s="52">
        <f t="shared" si="1131"/>
        <v>0</v>
      </c>
      <c r="X1125" s="52">
        <f t="shared" si="1131"/>
        <v>0</v>
      </c>
      <c r="Y1125" s="52" t="str">
        <f t="shared" si="3"/>
        <v>-</v>
      </c>
      <c r="Z1125" s="52" t="s">
        <v>62</v>
      </c>
      <c r="AA1125" s="53">
        <f t="shared" si="4"/>
        <v>1</v>
      </c>
      <c r="AB1125" s="54">
        <f>COUNTIFS(Links!B:B,"ICSE",Links!C:C,A1125,Links!AD:AD,1)</f>
        <v>0</v>
      </c>
      <c r="AC1125" s="55" t="s">
        <v>35</v>
      </c>
      <c r="AD1125" s="47" t="str">
        <f t="shared" si="5"/>
        <v>No</v>
      </c>
      <c r="AE1125" s="56" t="s">
        <v>36</v>
      </c>
      <c r="AF1125" s="57" t="s">
        <v>42</v>
      </c>
      <c r="AG1125" s="57" t="s">
        <v>42</v>
      </c>
      <c r="AH1125" s="57" t="s">
        <v>42</v>
      </c>
      <c r="AI1125" s="49" t="str">
        <f t="shared" si="661"/>
        <v>----</v>
      </c>
      <c r="AJ1125" s="58" t="str">
        <f t="shared" si="7"/>
        <v>Paper has link but no statement</v>
      </c>
      <c r="AK1125" s="59">
        <v>45070.0</v>
      </c>
      <c r="AL1125" s="43" t="s">
        <v>43</v>
      </c>
      <c r="AM1125" s="60" t="str">
        <f t="shared" si="8"/>
        <v>[IP2119]</v>
      </c>
    </row>
    <row r="1126" ht="67.5" customHeight="1">
      <c r="A1126" s="61">
        <v>2120.0</v>
      </c>
      <c r="B1126" s="22" t="s">
        <v>3064</v>
      </c>
      <c r="C1126" s="23">
        <v>2023.0</v>
      </c>
      <c r="D1126" s="24" t="s">
        <v>37</v>
      </c>
      <c r="E1126" s="25" t="s">
        <v>37</v>
      </c>
      <c r="F1126" s="25" t="s">
        <v>35</v>
      </c>
      <c r="G1126" s="25" t="s">
        <v>37</v>
      </c>
      <c r="H1126" s="25" t="s">
        <v>35</v>
      </c>
      <c r="I1126" s="25" t="s">
        <v>35</v>
      </c>
      <c r="J1126" s="26" t="s">
        <v>36</v>
      </c>
      <c r="K1126" s="27" t="s">
        <v>37</v>
      </c>
      <c r="L1126" s="28" t="s">
        <v>37</v>
      </c>
      <c r="M1126" s="28" t="s">
        <v>35</v>
      </c>
      <c r="N1126" s="28" t="s">
        <v>35</v>
      </c>
      <c r="O1126" s="28" t="s">
        <v>35</v>
      </c>
      <c r="P1126" s="28" t="s">
        <v>35</v>
      </c>
      <c r="Q1126" s="28" t="s">
        <v>35</v>
      </c>
      <c r="R1126" s="28" t="s">
        <v>37</v>
      </c>
      <c r="S1126" s="29" t="s">
        <v>3065</v>
      </c>
      <c r="T1126" s="30" t="s">
        <v>3066</v>
      </c>
      <c r="U1126" s="31" t="s">
        <v>3066</v>
      </c>
      <c r="V1126" s="32">
        <f t="shared" ref="V1126:X1126" si="1132">IF(lenb(SUBSTITUTE($Z1126,V$1&amp;" (1)",""))&lt;lenb($Z1126),1,IF(lenb(SUBSTITUTE($Z1126,V$1&amp;" (2)",""))&lt;lenb($Z1126),2,IF(lenb(SUBSTITUTE($Z1126,V$1&amp;" (3)",""))&lt;lenb($Z1126),3,IF(lenb(SUBSTITUTE($Z1126,V$1&amp;" (4)",""))&lt;lenb($Z1126),4,IF(lenb(SUBSTITUTE($Z1126,V$1&amp;" (5)",""))&lt;lenb($Z1126),5,IF(lenb(SUBSTITUTE($Z1126,V$1&amp;" (6)",""))&lt;lenb($Z1126),6,IF(lenb(SUBSTITUTE($Z1126,V$1&amp;" (7)",""))&lt;lenb($Z1126),1,IF(lenb(SUBSTITUTE($Z1126,V$1&amp;" (8)",""))&lt;lenb($Z1126),8,IF(lenb(SUBSTITUTE($Z1126,V$1&amp;" (9)",""))&lt;lenb($Z1126),9,IF(lenb(SUBSTITUTE($Z1126,V$1&amp;" (10)",""))&lt;lenb($Z1126),10,IF(lenb(SUBSTITUTE($Z1126,V$1,""))&lt;lenb($Z1126),"ERROR",IF($Z1126=$Y$1,"-",0))))))))))))</f>
        <v>1</v>
      </c>
      <c r="W1126" s="32">
        <f t="shared" si="1132"/>
        <v>0</v>
      </c>
      <c r="X1126" s="32">
        <f t="shared" si="1132"/>
        <v>0</v>
      </c>
      <c r="Y1126" s="32" t="str">
        <f t="shared" si="3"/>
        <v>-</v>
      </c>
      <c r="Z1126" s="32" t="s">
        <v>62</v>
      </c>
      <c r="AA1126" s="33">
        <f t="shared" si="4"/>
        <v>1</v>
      </c>
      <c r="AB1126" s="34">
        <f>COUNTIFS(Links!B:B,"ICSE",Links!C:C,A1126,Links!AD:AD,1)</f>
        <v>0</v>
      </c>
      <c r="AC1126" s="35" t="s">
        <v>37</v>
      </c>
      <c r="AD1126" s="27" t="str">
        <f t="shared" si="5"/>
        <v>No</v>
      </c>
      <c r="AE1126" s="36" t="s">
        <v>36</v>
      </c>
      <c r="AF1126" s="37" t="s">
        <v>42</v>
      </c>
      <c r="AG1126" s="37" t="s">
        <v>42</v>
      </c>
      <c r="AH1126" s="37" t="s">
        <v>42</v>
      </c>
      <c r="AI1126" s="29" t="str">
        <f t="shared" si="661"/>
        <v>----</v>
      </c>
      <c r="AJ1126" s="38" t="str">
        <f t="shared" si="7"/>
        <v>Paper has link but no statement</v>
      </c>
      <c r="AK1126" s="39">
        <v>45070.0</v>
      </c>
      <c r="AL1126" s="23" t="s">
        <v>43</v>
      </c>
      <c r="AM1126" s="40" t="str">
        <f t="shared" si="8"/>
        <v>[IP2120]</v>
      </c>
    </row>
    <row r="1127" ht="67.5" customHeight="1">
      <c r="A1127" s="41">
        <v>2121.0</v>
      </c>
      <c r="B1127" s="42" t="s">
        <v>3067</v>
      </c>
      <c r="C1127" s="43">
        <v>2023.0</v>
      </c>
      <c r="D1127" s="44" t="s">
        <v>37</v>
      </c>
      <c r="E1127" s="45" t="s">
        <v>37</v>
      </c>
      <c r="F1127" s="45" t="s">
        <v>35</v>
      </c>
      <c r="G1127" s="45" t="s">
        <v>37</v>
      </c>
      <c r="H1127" s="45" t="s">
        <v>35</v>
      </c>
      <c r="I1127" s="45" t="s">
        <v>35</v>
      </c>
      <c r="J1127" s="46" t="s">
        <v>36</v>
      </c>
      <c r="K1127" s="47" t="s">
        <v>37</v>
      </c>
      <c r="L1127" s="48" t="s">
        <v>35</v>
      </c>
      <c r="M1127" s="48" t="s">
        <v>37</v>
      </c>
      <c r="N1127" s="48" t="s">
        <v>37</v>
      </c>
      <c r="O1127" s="48" t="s">
        <v>35</v>
      </c>
      <c r="P1127" s="48" t="s">
        <v>35</v>
      </c>
      <c r="Q1127" s="48" t="s">
        <v>37</v>
      </c>
      <c r="R1127" s="48" t="s">
        <v>35</v>
      </c>
      <c r="S1127" s="49" t="s">
        <v>3068</v>
      </c>
      <c r="T1127" s="50" t="s">
        <v>3069</v>
      </c>
      <c r="U1127" s="51" t="s">
        <v>3070</v>
      </c>
      <c r="V1127" s="52">
        <f t="shared" ref="V1127:X1127" si="1133">IF(lenb(SUBSTITUTE($Z1127,V$1&amp;" (1)",""))&lt;lenb($Z1127),1,IF(lenb(SUBSTITUTE($Z1127,V$1&amp;" (2)",""))&lt;lenb($Z1127),2,IF(lenb(SUBSTITUTE($Z1127,V$1&amp;" (3)",""))&lt;lenb($Z1127),3,IF(lenb(SUBSTITUTE($Z1127,V$1&amp;" (4)",""))&lt;lenb($Z1127),4,IF(lenb(SUBSTITUTE($Z1127,V$1&amp;" (5)",""))&lt;lenb($Z1127),5,IF(lenb(SUBSTITUTE($Z1127,V$1&amp;" (6)",""))&lt;lenb($Z1127),6,IF(lenb(SUBSTITUTE($Z1127,V$1&amp;" (7)",""))&lt;lenb($Z1127),1,IF(lenb(SUBSTITUTE($Z1127,V$1&amp;" (8)",""))&lt;lenb($Z1127),8,IF(lenb(SUBSTITUTE($Z1127,V$1&amp;" (9)",""))&lt;lenb($Z1127),9,IF(lenb(SUBSTITUTE($Z1127,V$1&amp;" (10)",""))&lt;lenb($Z1127),10,IF(lenb(SUBSTITUTE($Z1127,V$1,""))&lt;lenb($Z1127),"ERROR",IF($Z1127=$Y$1,"-",0))))))))))))</f>
        <v>1</v>
      </c>
      <c r="W1127" s="52">
        <f t="shared" si="1133"/>
        <v>0</v>
      </c>
      <c r="X1127" s="52">
        <f t="shared" si="1133"/>
        <v>0</v>
      </c>
      <c r="Y1127" s="52" t="str">
        <f t="shared" si="3"/>
        <v>-</v>
      </c>
      <c r="Z1127" s="52" t="s">
        <v>62</v>
      </c>
      <c r="AA1127" s="53">
        <f t="shared" si="4"/>
        <v>1</v>
      </c>
      <c r="AB1127" s="54">
        <f>COUNTIFS(Links!B:B,"ICSE",Links!C:C,A1127,Links!AD:AD,1)</f>
        <v>1</v>
      </c>
      <c r="AC1127" s="55" t="s">
        <v>37</v>
      </c>
      <c r="AD1127" s="47" t="str">
        <f t="shared" si="5"/>
        <v>No</v>
      </c>
      <c r="AE1127" s="56" t="s">
        <v>36</v>
      </c>
      <c r="AF1127" s="57" t="s">
        <v>42</v>
      </c>
      <c r="AG1127" s="57" t="s">
        <v>42</v>
      </c>
      <c r="AH1127" s="57" t="s">
        <v>42</v>
      </c>
      <c r="AI1127" s="49" t="str">
        <f t="shared" si="661"/>
        <v>----</v>
      </c>
      <c r="AJ1127" s="58" t="str">
        <f t="shared" si="7"/>
        <v>Paper has link but no statement</v>
      </c>
      <c r="AK1127" s="59">
        <v>45070.0</v>
      </c>
      <c r="AL1127" s="43" t="s">
        <v>43</v>
      </c>
      <c r="AM1127" s="60" t="str">
        <f t="shared" si="8"/>
        <v>[IP2121]</v>
      </c>
    </row>
    <row r="1128" ht="67.5" customHeight="1">
      <c r="A1128" s="61">
        <v>2122.0</v>
      </c>
      <c r="B1128" s="22" t="s">
        <v>3071</v>
      </c>
      <c r="C1128" s="23">
        <v>2023.0</v>
      </c>
      <c r="D1128" s="24" t="s">
        <v>35</v>
      </c>
      <c r="E1128" s="25" t="s">
        <v>36</v>
      </c>
      <c r="F1128" s="25" t="s">
        <v>36</v>
      </c>
      <c r="G1128" s="25" t="s">
        <v>36</v>
      </c>
      <c r="H1128" s="25" t="s">
        <v>36</v>
      </c>
      <c r="I1128" s="25" t="s">
        <v>36</v>
      </c>
      <c r="J1128" s="26" t="s">
        <v>36</v>
      </c>
      <c r="K1128" s="27" t="s">
        <v>37</v>
      </c>
      <c r="L1128" s="28" t="s">
        <v>35</v>
      </c>
      <c r="M1128" s="28" t="s">
        <v>37</v>
      </c>
      <c r="N1128" s="28" t="s">
        <v>37</v>
      </c>
      <c r="O1128" s="28" t="s">
        <v>35</v>
      </c>
      <c r="P1128" s="28" t="s">
        <v>37</v>
      </c>
      <c r="Q1128" s="28" t="s">
        <v>35</v>
      </c>
      <c r="R1128" s="28" t="s">
        <v>37</v>
      </c>
      <c r="S1128" s="29" t="s">
        <v>3072</v>
      </c>
      <c r="T1128" s="30" t="s">
        <v>3073</v>
      </c>
      <c r="U1128" s="31" t="s">
        <v>3073</v>
      </c>
      <c r="V1128" s="32">
        <f t="shared" ref="V1128:X1128" si="1134">IF(lenb(SUBSTITUTE($Z1128,V$1&amp;" (1)",""))&lt;lenb($Z1128),1,IF(lenb(SUBSTITUTE($Z1128,V$1&amp;" (2)",""))&lt;lenb($Z1128),2,IF(lenb(SUBSTITUTE($Z1128,V$1&amp;" (3)",""))&lt;lenb($Z1128),3,IF(lenb(SUBSTITUTE($Z1128,V$1&amp;" (4)",""))&lt;lenb($Z1128),4,IF(lenb(SUBSTITUTE($Z1128,V$1&amp;" (5)",""))&lt;lenb($Z1128),5,IF(lenb(SUBSTITUTE($Z1128,V$1&amp;" (6)",""))&lt;lenb($Z1128),6,IF(lenb(SUBSTITUTE($Z1128,V$1&amp;" (7)",""))&lt;lenb($Z1128),1,IF(lenb(SUBSTITUTE($Z1128,V$1&amp;" (8)",""))&lt;lenb($Z1128),8,IF(lenb(SUBSTITUTE($Z1128,V$1&amp;" (9)",""))&lt;lenb($Z1128),9,IF(lenb(SUBSTITUTE($Z1128,V$1&amp;" (10)",""))&lt;lenb($Z1128),10,IF(lenb(SUBSTITUTE($Z1128,V$1,""))&lt;lenb($Z1128),"ERROR",IF($Z1128=$Y$1,"-",0))))))))))))</f>
        <v>1</v>
      </c>
      <c r="W1128" s="32">
        <f t="shared" si="1134"/>
        <v>0</v>
      </c>
      <c r="X1128" s="32">
        <f t="shared" si="1134"/>
        <v>0</v>
      </c>
      <c r="Y1128" s="32" t="str">
        <f t="shared" si="3"/>
        <v>-</v>
      </c>
      <c r="Z1128" s="32" t="s">
        <v>62</v>
      </c>
      <c r="AA1128" s="33">
        <f t="shared" si="4"/>
        <v>1</v>
      </c>
      <c r="AB1128" s="34">
        <f>COUNTIFS(Links!B:B,"ICSE",Links!C:C,A1128,Links!AD:AD,1)</f>
        <v>0</v>
      </c>
      <c r="AC1128" s="35" t="s">
        <v>35</v>
      </c>
      <c r="AD1128" s="27" t="str">
        <f t="shared" si="5"/>
        <v>No</v>
      </c>
      <c r="AE1128" s="36" t="s">
        <v>36</v>
      </c>
      <c r="AF1128" s="37" t="s">
        <v>42</v>
      </c>
      <c r="AG1128" s="37" t="s">
        <v>42</v>
      </c>
      <c r="AH1128" s="37" t="s">
        <v>42</v>
      </c>
      <c r="AI1128" s="29" t="str">
        <f t="shared" si="661"/>
        <v>----</v>
      </c>
      <c r="AJ1128" s="38" t="str">
        <f t="shared" si="7"/>
        <v>Paper has link but no statement</v>
      </c>
      <c r="AK1128" s="39">
        <v>45070.0</v>
      </c>
      <c r="AL1128" s="23" t="s">
        <v>43</v>
      </c>
      <c r="AM1128" s="40" t="str">
        <f t="shared" si="8"/>
        <v>[IP2122]</v>
      </c>
    </row>
    <row r="1129" ht="67.5" customHeight="1">
      <c r="A1129" s="41">
        <v>2123.0</v>
      </c>
      <c r="B1129" s="42" t="s">
        <v>3074</v>
      </c>
      <c r="C1129" s="43">
        <v>2023.0</v>
      </c>
      <c r="D1129" s="44" t="s">
        <v>37</v>
      </c>
      <c r="E1129" s="45" t="s">
        <v>37</v>
      </c>
      <c r="F1129" s="45" t="s">
        <v>35</v>
      </c>
      <c r="G1129" s="45" t="s">
        <v>35</v>
      </c>
      <c r="H1129" s="45" t="s">
        <v>35</v>
      </c>
      <c r="I1129" s="45" t="s">
        <v>35</v>
      </c>
      <c r="J1129" s="46" t="s">
        <v>36</v>
      </c>
      <c r="K1129" s="47" t="s">
        <v>37</v>
      </c>
      <c r="L1129" s="48" t="s">
        <v>35</v>
      </c>
      <c r="M1129" s="48" t="s">
        <v>37</v>
      </c>
      <c r="N1129" s="48" t="s">
        <v>35</v>
      </c>
      <c r="O1129" s="48" t="s">
        <v>37</v>
      </c>
      <c r="P1129" s="48" t="s">
        <v>37</v>
      </c>
      <c r="Q1129" s="48" t="s">
        <v>35</v>
      </c>
      <c r="R1129" s="48" t="s">
        <v>35</v>
      </c>
      <c r="S1129" s="49" t="s">
        <v>3075</v>
      </c>
      <c r="T1129" s="50" t="s">
        <v>3076</v>
      </c>
      <c r="U1129" s="51" t="s">
        <v>3076</v>
      </c>
      <c r="V1129" s="52">
        <f t="shared" ref="V1129:X1129" si="1135">IF(lenb(SUBSTITUTE($Z1129,V$1&amp;" (1)",""))&lt;lenb($Z1129),1,IF(lenb(SUBSTITUTE($Z1129,V$1&amp;" (2)",""))&lt;lenb($Z1129),2,IF(lenb(SUBSTITUTE($Z1129,V$1&amp;" (3)",""))&lt;lenb($Z1129),3,IF(lenb(SUBSTITUTE($Z1129,V$1&amp;" (4)",""))&lt;lenb($Z1129),4,IF(lenb(SUBSTITUTE($Z1129,V$1&amp;" (5)",""))&lt;lenb($Z1129),5,IF(lenb(SUBSTITUTE($Z1129,V$1&amp;" (6)",""))&lt;lenb($Z1129),6,IF(lenb(SUBSTITUTE($Z1129,V$1&amp;" (7)",""))&lt;lenb($Z1129),1,IF(lenb(SUBSTITUTE($Z1129,V$1&amp;" (8)",""))&lt;lenb($Z1129),8,IF(lenb(SUBSTITUTE($Z1129,V$1&amp;" (9)",""))&lt;lenb($Z1129),9,IF(lenb(SUBSTITUTE($Z1129,V$1&amp;" (10)",""))&lt;lenb($Z1129),10,IF(lenb(SUBSTITUTE($Z1129,V$1,""))&lt;lenb($Z1129),"ERROR",IF($Z1129=$Y$1,"-",0))))))))))))</f>
        <v>1</v>
      </c>
      <c r="W1129" s="52">
        <f t="shared" si="1135"/>
        <v>0</v>
      </c>
      <c r="X1129" s="52">
        <f t="shared" si="1135"/>
        <v>0</v>
      </c>
      <c r="Y1129" s="52" t="str">
        <f t="shared" si="3"/>
        <v>-</v>
      </c>
      <c r="Z1129" s="52" t="s">
        <v>62</v>
      </c>
      <c r="AA1129" s="53">
        <f t="shared" si="4"/>
        <v>1</v>
      </c>
      <c r="AB1129" s="54">
        <f>COUNTIFS(Links!B:B,"ICSE",Links!C:C,A1129,Links!AD:AD,1)</f>
        <v>0</v>
      </c>
      <c r="AC1129" s="55" t="s">
        <v>35</v>
      </c>
      <c r="AD1129" s="47" t="str">
        <f t="shared" si="5"/>
        <v>No</v>
      </c>
      <c r="AE1129" s="56" t="s">
        <v>36</v>
      </c>
      <c r="AF1129" s="57" t="s">
        <v>42</v>
      </c>
      <c r="AG1129" s="57" t="s">
        <v>42</v>
      </c>
      <c r="AH1129" s="57" t="s">
        <v>42</v>
      </c>
      <c r="AI1129" s="49" t="str">
        <f t="shared" si="661"/>
        <v>----</v>
      </c>
      <c r="AJ1129" s="58" t="str">
        <f t="shared" si="7"/>
        <v>Paper has link but no statement</v>
      </c>
      <c r="AK1129" s="59">
        <v>45070.0</v>
      </c>
      <c r="AL1129" s="43" t="s">
        <v>43</v>
      </c>
      <c r="AM1129" s="60" t="str">
        <f t="shared" si="8"/>
        <v>[IP2123]</v>
      </c>
    </row>
    <row r="1130" ht="67.5" customHeight="1">
      <c r="A1130" s="61">
        <v>2124.0</v>
      </c>
      <c r="B1130" s="22" t="s">
        <v>3077</v>
      </c>
      <c r="C1130" s="23">
        <v>2023.0</v>
      </c>
      <c r="D1130" s="24" t="s">
        <v>35</v>
      </c>
      <c r="E1130" s="25" t="s">
        <v>36</v>
      </c>
      <c r="F1130" s="25" t="s">
        <v>36</v>
      </c>
      <c r="G1130" s="25" t="s">
        <v>36</v>
      </c>
      <c r="H1130" s="25" t="s">
        <v>36</v>
      </c>
      <c r="I1130" s="25" t="s">
        <v>36</v>
      </c>
      <c r="J1130" s="26" t="s">
        <v>36</v>
      </c>
      <c r="K1130" s="27" t="s">
        <v>37</v>
      </c>
      <c r="L1130" s="28" t="s">
        <v>35</v>
      </c>
      <c r="M1130" s="28" t="s">
        <v>35</v>
      </c>
      <c r="N1130" s="28" t="s">
        <v>37</v>
      </c>
      <c r="O1130" s="28" t="s">
        <v>35</v>
      </c>
      <c r="P1130" s="28" t="s">
        <v>35</v>
      </c>
      <c r="Q1130" s="28" t="s">
        <v>35</v>
      </c>
      <c r="R1130" s="28" t="s">
        <v>35</v>
      </c>
      <c r="S1130" s="29" t="s">
        <v>343</v>
      </c>
      <c r="T1130" s="30" t="s">
        <v>3078</v>
      </c>
      <c r="U1130" s="31" t="s">
        <v>3078</v>
      </c>
      <c r="V1130" s="32">
        <f t="shared" ref="V1130:X1130" si="1136">IF(lenb(SUBSTITUTE($Z1130,V$1&amp;" (1)",""))&lt;lenb($Z1130),1,IF(lenb(SUBSTITUTE($Z1130,V$1&amp;" (2)",""))&lt;lenb($Z1130),2,IF(lenb(SUBSTITUTE($Z1130,V$1&amp;" (3)",""))&lt;lenb($Z1130),3,IF(lenb(SUBSTITUTE($Z1130,V$1&amp;" (4)",""))&lt;lenb($Z1130),4,IF(lenb(SUBSTITUTE($Z1130,V$1&amp;" (5)",""))&lt;lenb($Z1130),5,IF(lenb(SUBSTITUTE($Z1130,V$1&amp;" (6)",""))&lt;lenb($Z1130),6,IF(lenb(SUBSTITUTE($Z1130,V$1&amp;" (7)",""))&lt;lenb($Z1130),1,IF(lenb(SUBSTITUTE($Z1130,V$1&amp;" (8)",""))&lt;lenb($Z1130),8,IF(lenb(SUBSTITUTE($Z1130,V$1&amp;" (9)",""))&lt;lenb($Z1130),9,IF(lenb(SUBSTITUTE($Z1130,V$1&amp;" (10)",""))&lt;lenb($Z1130),10,IF(lenb(SUBSTITUTE($Z1130,V$1,""))&lt;lenb($Z1130),"ERROR",IF($Z1130=$Y$1,"-",0))))))))))))</f>
        <v>1</v>
      </c>
      <c r="W1130" s="32">
        <f t="shared" si="1136"/>
        <v>0</v>
      </c>
      <c r="X1130" s="32">
        <f t="shared" si="1136"/>
        <v>0</v>
      </c>
      <c r="Y1130" s="32" t="str">
        <f t="shared" si="3"/>
        <v>-</v>
      </c>
      <c r="Z1130" s="32" t="s">
        <v>62</v>
      </c>
      <c r="AA1130" s="33">
        <f t="shared" si="4"/>
        <v>1</v>
      </c>
      <c r="AB1130" s="34">
        <f>COUNTIFS(Links!B:B,"ICSE",Links!C:C,A1130,Links!AD:AD,1)</f>
        <v>0</v>
      </c>
      <c r="AC1130" s="35" t="s">
        <v>35</v>
      </c>
      <c r="AD1130" s="27" t="str">
        <f t="shared" si="5"/>
        <v>No</v>
      </c>
      <c r="AE1130" s="36" t="s">
        <v>36</v>
      </c>
      <c r="AF1130" s="37" t="s">
        <v>42</v>
      </c>
      <c r="AG1130" s="37" t="s">
        <v>42</v>
      </c>
      <c r="AH1130" s="37" t="s">
        <v>42</v>
      </c>
      <c r="AI1130" s="29" t="str">
        <f t="shared" si="661"/>
        <v>----</v>
      </c>
      <c r="AJ1130" s="38" t="str">
        <f t="shared" si="7"/>
        <v>Paper has link but no statement</v>
      </c>
      <c r="AK1130" s="39">
        <v>45070.0</v>
      </c>
      <c r="AL1130" s="23" t="s">
        <v>43</v>
      </c>
      <c r="AM1130" s="40" t="str">
        <f t="shared" si="8"/>
        <v>[IP2124]</v>
      </c>
    </row>
    <row r="1131" ht="67.5" customHeight="1">
      <c r="A1131" s="41">
        <v>2125.0</v>
      </c>
      <c r="B1131" s="42" t="s">
        <v>3079</v>
      </c>
      <c r="C1131" s="43">
        <v>2023.0</v>
      </c>
      <c r="D1131" s="44" t="s">
        <v>37</v>
      </c>
      <c r="E1131" s="45" t="s">
        <v>37</v>
      </c>
      <c r="F1131" s="45" t="s">
        <v>35</v>
      </c>
      <c r="G1131" s="45" t="s">
        <v>37</v>
      </c>
      <c r="H1131" s="45" t="s">
        <v>35</v>
      </c>
      <c r="I1131" s="45" t="s">
        <v>35</v>
      </c>
      <c r="J1131" s="46" t="s">
        <v>36</v>
      </c>
      <c r="K1131" s="47" t="s">
        <v>37</v>
      </c>
      <c r="L1131" s="48" t="s">
        <v>35</v>
      </c>
      <c r="M1131" s="48" t="s">
        <v>37</v>
      </c>
      <c r="N1131" s="48" t="s">
        <v>37</v>
      </c>
      <c r="O1131" s="48" t="s">
        <v>37</v>
      </c>
      <c r="P1131" s="48" t="s">
        <v>35</v>
      </c>
      <c r="Q1131" s="48" t="s">
        <v>35</v>
      </c>
      <c r="R1131" s="48" t="s">
        <v>37</v>
      </c>
      <c r="S1131" s="49" t="s">
        <v>3080</v>
      </c>
      <c r="T1131" s="50" t="s">
        <v>3081</v>
      </c>
      <c r="U1131" s="51" t="s">
        <v>3081</v>
      </c>
      <c r="V1131" s="52">
        <f t="shared" ref="V1131:X1131" si="1137">IF(lenb(SUBSTITUTE($Z1131,V$1&amp;" (1)",""))&lt;lenb($Z1131),1,IF(lenb(SUBSTITUTE($Z1131,V$1&amp;" (2)",""))&lt;lenb($Z1131),2,IF(lenb(SUBSTITUTE($Z1131,V$1&amp;" (3)",""))&lt;lenb($Z1131),3,IF(lenb(SUBSTITUTE($Z1131,V$1&amp;" (4)",""))&lt;lenb($Z1131),4,IF(lenb(SUBSTITUTE($Z1131,V$1&amp;" (5)",""))&lt;lenb($Z1131),5,IF(lenb(SUBSTITUTE($Z1131,V$1&amp;" (6)",""))&lt;lenb($Z1131),6,IF(lenb(SUBSTITUTE($Z1131,V$1&amp;" (7)",""))&lt;lenb($Z1131),1,IF(lenb(SUBSTITUTE($Z1131,V$1&amp;" (8)",""))&lt;lenb($Z1131),8,IF(lenb(SUBSTITUTE($Z1131,V$1&amp;" (9)",""))&lt;lenb($Z1131),9,IF(lenb(SUBSTITUTE($Z1131,V$1&amp;" (10)",""))&lt;lenb($Z1131),10,IF(lenb(SUBSTITUTE($Z1131,V$1,""))&lt;lenb($Z1131),"ERROR",IF($Z1131=$Y$1,"-",0))))))))))))</f>
        <v>1</v>
      </c>
      <c r="W1131" s="52">
        <f t="shared" si="1137"/>
        <v>0</v>
      </c>
      <c r="X1131" s="52">
        <f t="shared" si="1137"/>
        <v>0</v>
      </c>
      <c r="Y1131" s="52" t="str">
        <f t="shared" si="3"/>
        <v>-</v>
      </c>
      <c r="Z1131" s="52" t="s">
        <v>62</v>
      </c>
      <c r="AA1131" s="53">
        <f t="shared" si="4"/>
        <v>1</v>
      </c>
      <c r="AB1131" s="54">
        <f>COUNTIFS(Links!B:B,"ICSE",Links!C:C,A1131,Links!AD:AD,1)</f>
        <v>0</v>
      </c>
      <c r="AC1131" s="55" t="s">
        <v>35</v>
      </c>
      <c r="AD1131" s="47" t="str">
        <f t="shared" si="5"/>
        <v>No</v>
      </c>
      <c r="AE1131" s="56" t="s">
        <v>36</v>
      </c>
      <c r="AF1131" s="57" t="s">
        <v>42</v>
      </c>
      <c r="AG1131" s="57" t="s">
        <v>42</v>
      </c>
      <c r="AH1131" s="57" t="s">
        <v>42</v>
      </c>
      <c r="AI1131" s="49" t="str">
        <f t="shared" si="661"/>
        <v>----</v>
      </c>
      <c r="AJ1131" s="58" t="str">
        <f t="shared" si="7"/>
        <v>Paper has link but no statement</v>
      </c>
      <c r="AK1131" s="59">
        <v>45070.0</v>
      </c>
      <c r="AL1131" s="43" t="s">
        <v>43</v>
      </c>
      <c r="AM1131" s="60" t="str">
        <f t="shared" si="8"/>
        <v>[IP2125]</v>
      </c>
    </row>
    <row r="1132" ht="67.5" customHeight="1">
      <c r="A1132" s="61">
        <v>2126.0</v>
      </c>
      <c r="B1132" s="22" t="s">
        <v>3082</v>
      </c>
      <c r="C1132" s="23">
        <v>2023.0</v>
      </c>
      <c r="D1132" s="24" t="s">
        <v>37</v>
      </c>
      <c r="E1132" s="25" t="s">
        <v>37</v>
      </c>
      <c r="F1132" s="25" t="s">
        <v>35</v>
      </c>
      <c r="G1132" s="25" t="s">
        <v>35</v>
      </c>
      <c r="H1132" s="25" t="s">
        <v>35</v>
      </c>
      <c r="I1132" s="25" t="s">
        <v>35</v>
      </c>
      <c r="J1132" s="26" t="s">
        <v>36</v>
      </c>
      <c r="K1132" s="27" t="s">
        <v>37</v>
      </c>
      <c r="L1132" s="28" t="s">
        <v>35</v>
      </c>
      <c r="M1132" s="28" t="s">
        <v>37</v>
      </c>
      <c r="N1132" s="28" t="s">
        <v>35</v>
      </c>
      <c r="O1132" s="28" t="s">
        <v>37</v>
      </c>
      <c r="P1132" s="28" t="s">
        <v>37</v>
      </c>
      <c r="Q1132" s="28" t="s">
        <v>35</v>
      </c>
      <c r="R1132" s="28" t="s">
        <v>37</v>
      </c>
      <c r="S1132" s="29" t="s">
        <v>3083</v>
      </c>
      <c r="T1132" s="30" t="s">
        <v>3084</v>
      </c>
      <c r="U1132" s="31" t="s">
        <v>3084</v>
      </c>
      <c r="V1132" s="32">
        <f t="shared" ref="V1132:X1132" si="1138">IF(lenb(SUBSTITUTE($Z1132,V$1&amp;" (1)",""))&lt;lenb($Z1132),1,IF(lenb(SUBSTITUTE($Z1132,V$1&amp;" (2)",""))&lt;lenb($Z1132),2,IF(lenb(SUBSTITUTE($Z1132,V$1&amp;" (3)",""))&lt;lenb($Z1132),3,IF(lenb(SUBSTITUTE($Z1132,V$1&amp;" (4)",""))&lt;lenb($Z1132),4,IF(lenb(SUBSTITUTE($Z1132,V$1&amp;" (5)",""))&lt;lenb($Z1132),5,IF(lenb(SUBSTITUTE($Z1132,V$1&amp;" (6)",""))&lt;lenb($Z1132),6,IF(lenb(SUBSTITUTE($Z1132,V$1&amp;" (7)",""))&lt;lenb($Z1132),1,IF(lenb(SUBSTITUTE($Z1132,V$1&amp;" (8)",""))&lt;lenb($Z1132),8,IF(lenb(SUBSTITUTE($Z1132,V$1&amp;" (9)",""))&lt;lenb($Z1132),9,IF(lenb(SUBSTITUTE($Z1132,V$1&amp;" (10)",""))&lt;lenb($Z1132),10,IF(lenb(SUBSTITUTE($Z1132,V$1,""))&lt;lenb($Z1132),"ERROR",IF($Z1132=$Y$1,"-",0))))))))))))</f>
        <v>1</v>
      </c>
      <c r="W1132" s="32">
        <f t="shared" si="1138"/>
        <v>0</v>
      </c>
      <c r="X1132" s="32">
        <f t="shared" si="1138"/>
        <v>0</v>
      </c>
      <c r="Y1132" s="32" t="str">
        <f t="shared" si="3"/>
        <v>-</v>
      </c>
      <c r="Z1132" s="32" t="s">
        <v>62</v>
      </c>
      <c r="AA1132" s="33">
        <f t="shared" si="4"/>
        <v>1</v>
      </c>
      <c r="AB1132" s="34">
        <f>COUNTIFS(Links!B:B,"ICSE",Links!C:C,A1132,Links!AD:AD,1)</f>
        <v>0</v>
      </c>
      <c r="AC1132" s="35" t="s">
        <v>37</v>
      </c>
      <c r="AD1132" s="27" t="str">
        <f t="shared" si="5"/>
        <v>No</v>
      </c>
      <c r="AE1132" s="36" t="s">
        <v>36</v>
      </c>
      <c r="AF1132" s="37" t="s">
        <v>42</v>
      </c>
      <c r="AG1132" s="37" t="s">
        <v>42</v>
      </c>
      <c r="AH1132" s="37" t="s">
        <v>42</v>
      </c>
      <c r="AI1132" s="29" t="str">
        <f t="shared" si="661"/>
        <v>----</v>
      </c>
      <c r="AJ1132" s="38" t="str">
        <f t="shared" si="7"/>
        <v>Paper has link but no statement</v>
      </c>
      <c r="AK1132" s="39">
        <v>45070.0</v>
      </c>
      <c r="AL1132" s="23" t="s">
        <v>43</v>
      </c>
      <c r="AM1132" s="40" t="str">
        <f t="shared" si="8"/>
        <v>[IP2126]</v>
      </c>
    </row>
    <row r="1133" ht="67.5" customHeight="1">
      <c r="A1133" s="41">
        <v>2127.0</v>
      </c>
      <c r="B1133" s="42" t="s">
        <v>3085</v>
      </c>
      <c r="C1133" s="43">
        <v>2023.0</v>
      </c>
      <c r="D1133" s="44" t="s">
        <v>35</v>
      </c>
      <c r="E1133" s="45" t="s">
        <v>36</v>
      </c>
      <c r="F1133" s="45" t="s">
        <v>36</v>
      </c>
      <c r="G1133" s="45" t="s">
        <v>36</v>
      </c>
      <c r="H1133" s="45" t="s">
        <v>36</v>
      </c>
      <c r="I1133" s="45" t="s">
        <v>36</v>
      </c>
      <c r="J1133" s="46" t="s">
        <v>36</v>
      </c>
      <c r="K1133" s="47" t="s">
        <v>35</v>
      </c>
      <c r="L1133" s="48" t="s">
        <v>36</v>
      </c>
      <c r="M1133" s="48" t="s">
        <v>36</v>
      </c>
      <c r="N1133" s="48" t="s">
        <v>36</v>
      </c>
      <c r="O1133" s="48" t="s">
        <v>36</v>
      </c>
      <c r="P1133" s="48" t="s">
        <v>36</v>
      </c>
      <c r="Q1133" s="48" t="s">
        <v>36</v>
      </c>
      <c r="R1133" s="48" t="s">
        <v>36</v>
      </c>
      <c r="S1133" s="49" t="s">
        <v>36</v>
      </c>
      <c r="T1133" s="50" t="s">
        <v>36</v>
      </c>
      <c r="U1133" s="51" t="s">
        <v>36</v>
      </c>
      <c r="V1133" s="52" t="str">
        <f t="shared" ref="V1133:X1133" si="1139">IF(lenb(SUBSTITUTE($Z1133,V$1&amp;" (1)",""))&lt;lenb($Z1133),1,IF(lenb(SUBSTITUTE($Z1133,V$1&amp;" (2)",""))&lt;lenb($Z1133),2,IF(lenb(SUBSTITUTE($Z1133,V$1&amp;" (3)",""))&lt;lenb($Z1133),3,IF(lenb(SUBSTITUTE($Z1133,V$1&amp;" (4)",""))&lt;lenb($Z1133),4,IF(lenb(SUBSTITUTE($Z1133,V$1&amp;" (5)",""))&lt;lenb($Z1133),5,IF(lenb(SUBSTITUTE($Z1133,V$1&amp;" (6)",""))&lt;lenb($Z1133),6,IF(lenb(SUBSTITUTE($Z1133,V$1&amp;" (7)",""))&lt;lenb($Z1133),1,IF(lenb(SUBSTITUTE($Z1133,V$1&amp;" (8)",""))&lt;lenb($Z1133),8,IF(lenb(SUBSTITUTE($Z1133,V$1&amp;" (9)",""))&lt;lenb($Z1133),9,IF(lenb(SUBSTITUTE($Z1133,V$1&amp;" (10)",""))&lt;lenb($Z1133),10,IF(lenb(SUBSTITUTE($Z1133,V$1,""))&lt;lenb($Z1133),"ERROR",IF($Z1133=$Y$1,"-",0))))))))))))</f>
        <v>-</v>
      </c>
      <c r="W1133" s="52" t="str">
        <f t="shared" si="1139"/>
        <v>-</v>
      </c>
      <c r="X1133" s="52" t="str">
        <f t="shared" si="1139"/>
        <v>-</v>
      </c>
      <c r="Y1133" s="52">
        <f t="shared" si="3"/>
        <v>1</v>
      </c>
      <c r="Z1133" s="52" t="s">
        <v>23</v>
      </c>
      <c r="AA1133" s="53">
        <f t="shared" si="4"/>
        <v>0</v>
      </c>
      <c r="AB1133" s="54">
        <f>COUNTIFS(Links!B:B,"ICSE",Links!C:C,A1133,Links!AD:AD,1)</f>
        <v>0</v>
      </c>
      <c r="AC1133" s="55" t="s">
        <v>36</v>
      </c>
      <c r="AD1133" s="47" t="str">
        <f t="shared" si="5"/>
        <v>No</v>
      </c>
      <c r="AE1133" s="56" t="s">
        <v>36</v>
      </c>
      <c r="AF1133" s="57" t="s">
        <v>42</v>
      </c>
      <c r="AG1133" s="57" t="s">
        <v>42</v>
      </c>
      <c r="AH1133" s="57" t="s">
        <v>42</v>
      </c>
      <c r="AI1133" s="49" t="str">
        <f t="shared" si="661"/>
        <v>----</v>
      </c>
      <c r="AJ1133" s="58" t="str">
        <f t="shared" si="7"/>
        <v>Paper has no link and no statement</v>
      </c>
      <c r="AK1133" s="59">
        <v>45070.0</v>
      </c>
      <c r="AL1133" s="43" t="s">
        <v>43</v>
      </c>
      <c r="AM1133" s="60" t="str">
        <f t="shared" si="8"/>
        <v>[IP2127]</v>
      </c>
    </row>
    <row r="1134" ht="67.5" customHeight="1">
      <c r="A1134" s="61">
        <v>2128.0</v>
      </c>
      <c r="B1134" s="22" t="s">
        <v>3086</v>
      </c>
      <c r="C1134" s="23">
        <v>2023.0</v>
      </c>
      <c r="D1134" s="24" t="s">
        <v>37</v>
      </c>
      <c r="E1134" s="25" t="s">
        <v>37</v>
      </c>
      <c r="F1134" s="25" t="s">
        <v>35</v>
      </c>
      <c r="G1134" s="25" t="s">
        <v>37</v>
      </c>
      <c r="H1134" s="25" t="s">
        <v>35</v>
      </c>
      <c r="I1134" s="25" t="s">
        <v>35</v>
      </c>
      <c r="J1134" s="26" t="s">
        <v>36</v>
      </c>
      <c r="K1134" s="27" t="s">
        <v>37</v>
      </c>
      <c r="L1134" s="28" t="s">
        <v>37</v>
      </c>
      <c r="M1134" s="28" t="s">
        <v>35</v>
      </c>
      <c r="N1134" s="28" t="s">
        <v>37</v>
      </c>
      <c r="O1134" s="28" t="s">
        <v>35</v>
      </c>
      <c r="P1134" s="28" t="s">
        <v>37</v>
      </c>
      <c r="Q1134" s="28" t="s">
        <v>35</v>
      </c>
      <c r="R1134" s="28" t="s">
        <v>35</v>
      </c>
      <c r="S1134" s="29" t="s">
        <v>2118</v>
      </c>
      <c r="T1134" s="30" t="s">
        <v>3087</v>
      </c>
      <c r="U1134" s="31" t="s">
        <v>3087</v>
      </c>
      <c r="V1134" s="32">
        <f t="shared" ref="V1134:X1134" si="1140">IF(lenb(SUBSTITUTE($Z1134,V$1&amp;" (1)",""))&lt;lenb($Z1134),1,IF(lenb(SUBSTITUTE($Z1134,V$1&amp;" (2)",""))&lt;lenb($Z1134),2,IF(lenb(SUBSTITUTE($Z1134,V$1&amp;" (3)",""))&lt;lenb($Z1134),3,IF(lenb(SUBSTITUTE($Z1134,V$1&amp;" (4)",""))&lt;lenb($Z1134),4,IF(lenb(SUBSTITUTE($Z1134,V$1&amp;" (5)",""))&lt;lenb($Z1134),5,IF(lenb(SUBSTITUTE($Z1134,V$1&amp;" (6)",""))&lt;lenb($Z1134),6,IF(lenb(SUBSTITUTE($Z1134,V$1&amp;" (7)",""))&lt;lenb($Z1134),1,IF(lenb(SUBSTITUTE($Z1134,V$1&amp;" (8)",""))&lt;lenb($Z1134),8,IF(lenb(SUBSTITUTE($Z1134,V$1&amp;" (9)",""))&lt;lenb($Z1134),9,IF(lenb(SUBSTITUTE($Z1134,V$1&amp;" (10)",""))&lt;lenb($Z1134),10,IF(lenb(SUBSTITUTE($Z1134,V$1,""))&lt;lenb($Z1134),"ERROR",IF($Z1134=$Y$1,"-",0))))))))))))</f>
        <v>1</v>
      </c>
      <c r="W1134" s="32">
        <f t="shared" si="1140"/>
        <v>0</v>
      </c>
      <c r="X1134" s="32">
        <f t="shared" si="1140"/>
        <v>0</v>
      </c>
      <c r="Y1134" s="32" t="str">
        <f t="shared" si="3"/>
        <v>-</v>
      </c>
      <c r="Z1134" s="32" t="s">
        <v>62</v>
      </c>
      <c r="AA1134" s="33">
        <f t="shared" si="4"/>
        <v>1</v>
      </c>
      <c r="AB1134" s="34">
        <f>COUNTIFS(Links!B:B,"ICSE",Links!C:C,A1134,Links!AD:AD,1)</f>
        <v>0</v>
      </c>
      <c r="AC1134" s="35" t="s">
        <v>35</v>
      </c>
      <c r="AD1134" s="27" t="str">
        <f t="shared" si="5"/>
        <v>No</v>
      </c>
      <c r="AE1134" s="36" t="s">
        <v>36</v>
      </c>
      <c r="AF1134" s="37" t="s">
        <v>42</v>
      </c>
      <c r="AG1134" s="37" t="s">
        <v>42</v>
      </c>
      <c r="AH1134" s="37" t="s">
        <v>42</v>
      </c>
      <c r="AI1134" s="29" t="str">
        <f t="shared" si="661"/>
        <v>----</v>
      </c>
      <c r="AJ1134" s="38" t="str">
        <f t="shared" si="7"/>
        <v>Paper has link but no statement</v>
      </c>
      <c r="AK1134" s="39">
        <v>45070.0</v>
      </c>
      <c r="AL1134" s="23" t="s">
        <v>43</v>
      </c>
      <c r="AM1134" s="40" t="str">
        <f t="shared" si="8"/>
        <v>[IP2128]</v>
      </c>
    </row>
    <row r="1135" ht="67.5" customHeight="1">
      <c r="A1135" s="41">
        <v>2129.0</v>
      </c>
      <c r="B1135" s="42" t="s">
        <v>3088</v>
      </c>
      <c r="C1135" s="43">
        <v>2023.0</v>
      </c>
      <c r="D1135" s="44" t="s">
        <v>35</v>
      </c>
      <c r="E1135" s="45" t="s">
        <v>36</v>
      </c>
      <c r="F1135" s="45" t="s">
        <v>36</v>
      </c>
      <c r="G1135" s="45" t="s">
        <v>36</v>
      </c>
      <c r="H1135" s="45" t="s">
        <v>36</v>
      </c>
      <c r="I1135" s="45" t="s">
        <v>36</v>
      </c>
      <c r="J1135" s="46" t="s">
        <v>36</v>
      </c>
      <c r="K1135" s="47" t="s">
        <v>37</v>
      </c>
      <c r="L1135" s="48" t="s">
        <v>35</v>
      </c>
      <c r="M1135" s="48" t="s">
        <v>37</v>
      </c>
      <c r="N1135" s="48" t="s">
        <v>35</v>
      </c>
      <c r="O1135" s="48" t="s">
        <v>35</v>
      </c>
      <c r="P1135" s="48" t="s">
        <v>37</v>
      </c>
      <c r="Q1135" s="48" t="s">
        <v>35</v>
      </c>
      <c r="R1135" s="48" t="s">
        <v>37</v>
      </c>
      <c r="S1135" s="49" t="s">
        <v>3089</v>
      </c>
      <c r="T1135" s="50" t="s">
        <v>3090</v>
      </c>
      <c r="U1135" s="51" t="s">
        <v>3090</v>
      </c>
      <c r="V1135" s="52">
        <f t="shared" ref="V1135:X1135" si="1141">IF(lenb(SUBSTITUTE($Z1135,V$1&amp;" (1)",""))&lt;lenb($Z1135),1,IF(lenb(SUBSTITUTE($Z1135,V$1&amp;" (2)",""))&lt;lenb($Z1135),2,IF(lenb(SUBSTITUTE($Z1135,V$1&amp;" (3)",""))&lt;lenb($Z1135),3,IF(lenb(SUBSTITUTE($Z1135,V$1&amp;" (4)",""))&lt;lenb($Z1135),4,IF(lenb(SUBSTITUTE($Z1135,V$1&amp;" (5)",""))&lt;lenb($Z1135),5,IF(lenb(SUBSTITUTE($Z1135,V$1&amp;" (6)",""))&lt;lenb($Z1135),6,IF(lenb(SUBSTITUTE($Z1135,V$1&amp;" (7)",""))&lt;lenb($Z1135),1,IF(lenb(SUBSTITUTE($Z1135,V$1&amp;" (8)",""))&lt;lenb($Z1135),8,IF(lenb(SUBSTITUTE($Z1135,V$1&amp;" (9)",""))&lt;lenb($Z1135),9,IF(lenb(SUBSTITUTE($Z1135,V$1&amp;" (10)",""))&lt;lenb($Z1135),10,IF(lenb(SUBSTITUTE($Z1135,V$1,""))&lt;lenb($Z1135),"ERROR",IF($Z1135=$Y$1,"-",0))))))))))))</f>
        <v>1</v>
      </c>
      <c r="W1135" s="52">
        <f t="shared" si="1141"/>
        <v>0</v>
      </c>
      <c r="X1135" s="52">
        <f t="shared" si="1141"/>
        <v>0</v>
      </c>
      <c r="Y1135" s="52" t="str">
        <f t="shared" si="3"/>
        <v>-</v>
      </c>
      <c r="Z1135" s="52" t="s">
        <v>62</v>
      </c>
      <c r="AA1135" s="53">
        <f t="shared" si="4"/>
        <v>1</v>
      </c>
      <c r="AB1135" s="54">
        <f>COUNTIFS(Links!B:B,"ICSE",Links!C:C,A1135,Links!AD:AD,1)</f>
        <v>0</v>
      </c>
      <c r="AC1135" s="55" t="s">
        <v>35</v>
      </c>
      <c r="AD1135" s="47" t="str">
        <f t="shared" si="5"/>
        <v>Yes</v>
      </c>
      <c r="AE1135" s="56" t="s">
        <v>3091</v>
      </c>
      <c r="AF1135" s="56" t="s">
        <v>223</v>
      </c>
      <c r="AG1135" s="57" t="s">
        <v>42</v>
      </c>
      <c r="AH1135" s="57" t="s">
        <v>42</v>
      </c>
      <c r="AI1135" s="49" t="str">
        <f t="shared" si="661"/>
        <v>Barriers (Agreements and legal rights)</v>
      </c>
      <c r="AJ1135" s="58" t="str">
        <f t="shared" si="7"/>
        <v>Paper has link and statement</v>
      </c>
      <c r="AK1135" s="59">
        <v>45070.0</v>
      </c>
      <c r="AL1135" s="43" t="s">
        <v>43</v>
      </c>
      <c r="AM1135" s="60" t="str">
        <f t="shared" si="8"/>
        <v>[IP2129]</v>
      </c>
    </row>
    <row r="1136" ht="67.5" customHeight="1">
      <c r="A1136" s="61">
        <v>2130.0</v>
      </c>
      <c r="B1136" s="22" t="s">
        <v>3092</v>
      </c>
      <c r="C1136" s="23">
        <v>2023.0</v>
      </c>
      <c r="D1136" s="24" t="s">
        <v>35</v>
      </c>
      <c r="E1136" s="25" t="s">
        <v>36</v>
      </c>
      <c r="F1136" s="25" t="s">
        <v>36</v>
      </c>
      <c r="G1136" s="25" t="s">
        <v>36</v>
      </c>
      <c r="H1136" s="25" t="s">
        <v>36</v>
      </c>
      <c r="I1136" s="25" t="s">
        <v>36</v>
      </c>
      <c r="J1136" s="26" t="s">
        <v>36</v>
      </c>
      <c r="K1136" s="27" t="s">
        <v>35</v>
      </c>
      <c r="L1136" s="28" t="s">
        <v>36</v>
      </c>
      <c r="M1136" s="28" t="s">
        <v>36</v>
      </c>
      <c r="N1136" s="28" t="s">
        <v>36</v>
      </c>
      <c r="O1136" s="28" t="s">
        <v>36</v>
      </c>
      <c r="P1136" s="28" t="s">
        <v>36</v>
      </c>
      <c r="Q1136" s="28" t="s">
        <v>36</v>
      </c>
      <c r="R1136" s="28" t="s">
        <v>36</v>
      </c>
      <c r="S1136" s="29" t="s">
        <v>36</v>
      </c>
      <c r="T1136" s="30" t="s">
        <v>36</v>
      </c>
      <c r="U1136" s="31" t="s">
        <v>36</v>
      </c>
      <c r="V1136" s="32" t="str">
        <f t="shared" ref="V1136:X1136" si="1142">IF(lenb(SUBSTITUTE($Z1136,V$1&amp;" (1)",""))&lt;lenb($Z1136),1,IF(lenb(SUBSTITUTE($Z1136,V$1&amp;" (2)",""))&lt;lenb($Z1136),2,IF(lenb(SUBSTITUTE($Z1136,V$1&amp;" (3)",""))&lt;lenb($Z1136),3,IF(lenb(SUBSTITUTE($Z1136,V$1&amp;" (4)",""))&lt;lenb($Z1136),4,IF(lenb(SUBSTITUTE($Z1136,V$1&amp;" (5)",""))&lt;lenb($Z1136),5,IF(lenb(SUBSTITUTE($Z1136,V$1&amp;" (6)",""))&lt;lenb($Z1136),6,IF(lenb(SUBSTITUTE($Z1136,V$1&amp;" (7)",""))&lt;lenb($Z1136),1,IF(lenb(SUBSTITUTE($Z1136,V$1&amp;" (8)",""))&lt;lenb($Z1136),8,IF(lenb(SUBSTITUTE($Z1136,V$1&amp;" (9)",""))&lt;lenb($Z1136),9,IF(lenb(SUBSTITUTE($Z1136,V$1&amp;" (10)",""))&lt;lenb($Z1136),10,IF(lenb(SUBSTITUTE($Z1136,V$1,""))&lt;lenb($Z1136),"ERROR",IF($Z1136=$Y$1,"-",0))))))))))))</f>
        <v>-</v>
      </c>
      <c r="W1136" s="32" t="str">
        <f t="shared" si="1142"/>
        <v>-</v>
      </c>
      <c r="X1136" s="32" t="str">
        <f t="shared" si="1142"/>
        <v>-</v>
      </c>
      <c r="Y1136" s="32">
        <f t="shared" si="3"/>
        <v>1</v>
      </c>
      <c r="Z1136" s="32" t="s">
        <v>23</v>
      </c>
      <c r="AA1136" s="33">
        <f t="shared" si="4"/>
        <v>0</v>
      </c>
      <c r="AB1136" s="34">
        <f>COUNTIFS(Links!B:B,"ICSE",Links!C:C,A1136,Links!AD:AD,1)</f>
        <v>0</v>
      </c>
      <c r="AC1136" s="35" t="s">
        <v>36</v>
      </c>
      <c r="AD1136" s="27" t="str">
        <f t="shared" si="5"/>
        <v>No</v>
      </c>
      <c r="AE1136" s="36" t="s">
        <v>36</v>
      </c>
      <c r="AF1136" s="37" t="s">
        <v>42</v>
      </c>
      <c r="AG1136" s="37" t="s">
        <v>42</v>
      </c>
      <c r="AH1136" s="37" t="s">
        <v>42</v>
      </c>
      <c r="AI1136" s="29" t="str">
        <f t="shared" si="661"/>
        <v>----</v>
      </c>
      <c r="AJ1136" s="38" t="str">
        <f t="shared" si="7"/>
        <v>Paper has no link and no statement</v>
      </c>
      <c r="AK1136" s="39">
        <v>45070.0</v>
      </c>
      <c r="AL1136" s="23" t="s">
        <v>43</v>
      </c>
      <c r="AM1136" s="40" t="str">
        <f t="shared" si="8"/>
        <v>[IP2130]</v>
      </c>
    </row>
    <row r="1137" ht="67.5" customHeight="1">
      <c r="A1137" s="41">
        <v>2131.0</v>
      </c>
      <c r="B1137" s="42" t="s">
        <v>3093</v>
      </c>
      <c r="C1137" s="43">
        <v>2023.0</v>
      </c>
      <c r="D1137" s="44" t="s">
        <v>35</v>
      </c>
      <c r="E1137" s="45" t="s">
        <v>36</v>
      </c>
      <c r="F1137" s="45" t="s">
        <v>36</v>
      </c>
      <c r="G1137" s="45" t="s">
        <v>36</v>
      </c>
      <c r="H1137" s="45" t="s">
        <v>36</v>
      </c>
      <c r="I1137" s="45" t="s">
        <v>36</v>
      </c>
      <c r="J1137" s="46" t="s">
        <v>36</v>
      </c>
      <c r="K1137" s="47" t="s">
        <v>37</v>
      </c>
      <c r="L1137" s="48" t="s">
        <v>37</v>
      </c>
      <c r="M1137" s="48" t="s">
        <v>35</v>
      </c>
      <c r="N1137" s="48" t="s">
        <v>37</v>
      </c>
      <c r="O1137" s="48" t="s">
        <v>35</v>
      </c>
      <c r="P1137" s="48" t="s">
        <v>35</v>
      </c>
      <c r="Q1137" s="48" t="s">
        <v>35</v>
      </c>
      <c r="R1137" s="48" t="s">
        <v>37</v>
      </c>
      <c r="S1137" s="49" t="s">
        <v>3094</v>
      </c>
      <c r="T1137" s="50" t="s">
        <v>3095</v>
      </c>
      <c r="U1137" s="51" t="s">
        <v>3095</v>
      </c>
      <c r="V1137" s="52">
        <f t="shared" ref="V1137:X1137" si="1143">IF(lenb(SUBSTITUTE($Z1137,V$1&amp;" (1)",""))&lt;lenb($Z1137),1,IF(lenb(SUBSTITUTE($Z1137,V$1&amp;" (2)",""))&lt;lenb($Z1137),2,IF(lenb(SUBSTITUTE($Z1137,V$1&amp;" (3)",""))&lt;lenb($Z1137),3,IF(lenb(SUBSTITUTE($Z1137,V$1&amp;" (4)",""))&lt;lenb($Z1137),4,IF(lenb(SUBSTITUTE($Z1137,V$1&amp;" (5)",""))&lt;lenb($Z1137),5,IF(lenb(SUBSTITUTE($Z1137,V$1&amp;" (6)",""))&lt;lenb($Z1137),6,IF(lenb(SUBSTITUTE($Z1137,V$1&amp;" (7)",""))&lt;lenb($Z1137),1,IF(lenb(SUBSTITUTE($Z1137,V$1&amp;" (8)",""))&lt;lenb($Z1137),8,IF(lenb(SUBSTITUTE($Z1137,V$1&amp;" (9)",""))&lt;lenb($Z1137),9,IF(lenb(SUBSTITUTE($Z1137,V$1&amp;" (10)",""))&lt;lenb($Z1137),10,IF(lenb(SUBSTITUTE($Z1137,V$1,""))&lt;lenb($Z1137),"ERROR",IF($Z1137=$Y$1,"-",0))))))))))))</f>
        <v>1</v>
      </c>
      <c r="W1137" s="52">
        <f t="shared" si="1143"/>
        <v>0</v>
      </c>
      <c r="X1137" s="52">
        <f t="shared" si="1143"/>
        <v>0</v>
      </c>
      <c r="Y1137" s="52" t="str">
        <f t="shared" si="3"/>
        <v>-</v>
      </c>
      <c r="Z1137" s="52" t="s">
        <v>62</v>
      </c>
      <c r="AA1137" s="53">
        <f t="shared" si="4"/>
        <v>1</v>
      </c>
      <c r="AB1137" s="54">
        <f>COUNTIFS(Links!B:B,"ICSE",Links!C:C,A1137,Links!AD:AD,1)</f>
        <v>0</v>
      </c>
      <c r="AC1137" s="55" t="s">
        <v>35</v>
      </c>
      <c r="AD1137" s="47" t="str">
        <f t="shared" si="5"/>
        <v>No</v>
      </c>
      <c r="AE1137" s="56" t="s">
        <v>36</v>
      </c>
      <c r="AF1137" s="57" t="s">
        <v>42</v>
      </c>
      <c r="AG1137" s="57" t="s">
        <v>42</v>
      </c>
      <c r="AH1137" s="57" t="s">
        <v>42</v>
      </c>
      <c r="AI1137" s="49" t="str">
        <f t="shared" si="661"/>
        <v>----</v>
      </c>
      <c r="AJ1137" s="58" t="str">
        <f t="shared" si="7"/>
        <v>Paper has link but no statement</v>
      </c>
      <c r="AK1137" s="59">
        <v>45070.0</v>
      </c>
      <c r="AL1137" s="43" t="s">
        <v>43</v>
      </c>
      <c r="AM1137" s="60" t="str">
        <f t="shared" si="8"/>
        <v>[IP2131]</v>
      </c>
    </row>
    <row r="1138" ht="67.5" customHeight="1">
      <c r="A1138" s="61">
        <v>2132.0</v>
      </c>
      <c r="B1138" s="22" t="s">
        <v>3096</v>
      </c>
      <c r="C1138" s="23">
        <v>2023.0</v>
      </c>
      <c r="D1138" s="24" t="s">
        <v>37</v>
      </c>
      <c r="E1138" s="25" t="s">
        <v>35</v>
      </c>
      <c r="F1138" s="25" t="s">
        <v>35</v>
      </c>
      <c r="G1138" s="25" t="s">
        <v>37</v>
      </c>
      <c r="H1138" s="25" t="s">
        <v>35</v>
      </c>
      <c r="I1138" s="25" t="s">
        <v>35</v>
      </c>
      <c r="J1138" s="26" t="s">
        <v>36</v>
      </c>
      <c r="K1138" s="27" t="s">
        <v>37</v>
      </c>
      <c r="L1138" s="28" t="s">
        <v>35</v>
      </c>
      <c r="M1138" s="28" t="s">
        <v>37</v>
      </c>
      <c r="N1138" s="28" t="s">
        <v>35</v>
      </c>
      <c r="O1138" s="28" t="s">
        <v>35</v>
      </c>
      <c r="P1138" s="28" t="s">
        <v>35</v>
      </c>
      <c r="Q1138" s="28" t="s">
        <v>35</v>
      </c>
      <c r="R1138" s="28" t="s">
        <v>37</v>
      </c>
      <c r="S1138" s="29" t="s">
        <v>3097</v>
      </c>
      <c r="T1138" s="30" t="s">
        <v>3098</v>
      </c>
      <c r="U1138" s="31" t="s">
        <v>3098</v>
      </c>
      <c r="V1138" s="32">
        <f t="shared" ref="V1138:X1138" si="1144">IF(lenb(SUBSTITUTE($Z1138,V$1&amp;" (1)",""))&lt;lenb($Z1138),1,IF(lenb(SUBSTITUTE($Z1138,V$1&amp;" (2)",""))&lt;lenb($Z1138),2,IF(lenb(SUBSTITUTE($Z1138,V$1&amp;" (3)",""))&lt;lenb($Z1138),3,IF(lenb(SUBSTITUTE($Z1138,V$1&amp;" (4)",""))&lt;lenb($Z1138),4,IF(lenb(SUBSTITUTE($Z1138,V$1&amp;" (5)",""))&lt;lenb($Z1138),5,IF(lenb(SUBSTITUTE($Z1138,V$1&amp;" (6)",""))&lt;lenb($Z1138),6,IF(lenb(SUBSTITUTE($Z1138,V$1&amp;" (7)",""))&lt;lenb($Z1138),1,IF(lenb(SUBSTITUTE($Z1138,V$1&amp;" (8)",""))&lt;lenb($Z1138),8,IF(lenb(SUBSTITUTE($Z1138,V$1&amp;" (9)",""))&lt;lenb($Z1138),9,IF(lenb(SUBSTITUTE($Z1138,V$1&amp;" (10)",""))&lt;lenb($Z1138),10,IF(lenb(SUBSTITUTE($Z1138,V$1,""))&lt;lenb($Z1138),"ERROR",IF($Z1138=$Y$1,"-",0))))))))))))</f>
        <v>1</v>
      </c>
      <c r="W1138" s="32">
        <f t="shared" si="1144"/>
        <v>0</v>
      </c>
      <c r="X1138" s="32">
        <f t="shared" si="1144"/>
        <v>0</v>
      </c>
      <c r="Y1138" s="32" t="str">
        <f t="shared" si="3"/>
        <v>-</v>
      </c>
      <c r="Z1138" s="32" t="s">
        <v>62</v>
      </c>
      <c r="AA1138" s="33">
        <f t="shared" si="4"/>
        <v>1</v>
      </c>
      <c r="AB1138" s="34">
        <f>COUNTIFS(Links!B:B,"ICSE",Links!C:C,A1138,Links!AD:AD,1)</f>
        <v>0</v>
      </c>
      <c r="AC1138" s="35" t="s">
        <v>35</v>
      </c>
      <c r="AD1138" s="27" t="str">
        <f t="shared" si="5"/>
        <v>No</v>
      </c>
      <c r="AE1138" s="36" t="s">
        <v>36</v>
      </c>
      <c r="AF1138" s="37" t="s">
        <v>42</v>
      </c>
      <c r="AG1138" s="37" t="s">
        <v>42</v>
      </c>
      <c r="AH1138" s="37" t="s">
        <v>42</v>
      </c>
      <c r="AI1138" s="29" t="str">
        <f t="shared" si="661"/>
        <v>----</v>
      </c>
      <c r="AJ1138" s="38" t="str">
        <f t="shared" si="7"/>
        <v>Paper has link but no statement</v>
      </c>
      <c r="AK1138" s="39">
        <v>45070.0</v>
      </c>
      <c r="AL1138" s="23" t="s">
        <v>43</v>
      </c>
      <c r="AM1138" s="40" t="str">
        <f t="shared" si="8"/>
        <v>[IP2132]</v>
      </c>
    </row>
    <row r="1139" ht="67.5" customHeight="1">
      <c r="A1139" s="41">
        <v>2133.0</v>
      </c>
      <c r="B1139" s="42" t="s">
        <v>3099</v>
      </c>
      <c r="C1139" s="43">
        <v>2023.0</v>
      </c>
      <c r="D1139" s="44" t="s">
        <v>35</v>
      </c>
      <c r="E1139" s="45" t="s">
        <v>36</v>
      </c>
      <c r="F1139" s="45" t="s">
        <v>36</v>
      </c>
      <c r="G1139" s="45" t="s">
        <v>36</v>
      </c>
      <c r="H1139" s="45" t="s">
        <v>36</v>
      </c>
      <c r="I1139" s="45" t="s">
        <v>36</v>
      </c>
      <c r="J1139" s="46" t="s">
        <v>36</v>
      </c>
      <c r="K1139" s="47" t="s">
        <v>37</v>
      </c>
      <c r="L1139" s="48" t="s">
        <v>35</v>
      </c>
      <c r="M1139" s="48" t="s">
        <v>37</v>
      </c>
      <c r="N1139" s="48" t="s">
        <v>37</v>
      </c>
      <c r="O1139" s="48" t="s">
        <v>35</v>
      </c>
      <c r="P1139" s="48" t="s">
        <v>37</v>
      </c>
      <c r="Q1139" s="48" t="s">
        <v>35</v>
      </c>
      <c r="R1139" s="48" t="s">
        <v>35</v>
      </c>
      <c r="S1139" s="49" t="s">
        <v>3100</v>
      </c>
      <c r="T1139" s="50" t="s">
        <v>3101</v>
      </c>
      <c r="U1139" s="51" t="s">
        <v>3101</v>
      </c>
      <c r="V1139" s="52">
        <f t="shared" ref="V1139:X1139" si="1145">IF(lenb(SUBSTITUTE($Z1139,V$1&amp;" (1)",""))&lt;lenb($Z1139),1,IF(lenb(SUBSTITUTE($Z1139,V$1&amp;" (2)",""))&lt;lenb($Z1139),2,IF(lenb(SUBSTITUTE($Z1139,V$1&amp;" (3)",""))&lt;lenb($Z1139),3,IF(lenb(SUBSTITUTE($Z1139,V$1&amp;" (4)",""))&lt;lenb($Z1139),4,IF(lenb(SUBSTITUTE($Z1139,V$1&amp;" (5)",""))&lt;lenb($Z1139),5,IF(lenb(SUBSTITUTE($Z1139,V$1&amp;" (6)",""))&lt;lenb($Z1139),6,IF(lenb(SUBSTITUTE($Z1139,V$1&amp;" (7)",""))&lt;lenb($Z1139),1,IF(lenb(SUBSTITUTE($Z1139,V$1&amp;" (8)",""))&lt;lenb($Z1139),8,IF(lenb(SUBSTITUTE($Z1139,V$1&amp;" (9)",""))&lt;lenb($Z1139),9,IF(lenb(SUBSTITUTE($Z1139,V$1&amp;" (10)",""))&lt;lenb($Z1139),10,IF(lenb(SUBSTITUTE($Z1139,V$1,""))&lt;lenb($Z1139),"ERROR",IF($Z1139=$Y$1,"-",0))))))))))))</f>
        <v>1</v>
      </c>
      <c r="W1139" s="52">
        <f t="shared" si="1145"/>
        <v>0</v>
      </c>
      <c r="X1139" s="52">
        <f t="shared" si="1145"/>
        <v>0</v>
      </c>
      <c r="Y1139" s="52" t="str">
        <f t="shared" si="3"/>
        <v>-</v>
      </c>
      <c r="Z1139" s="52" t="s">
        <v>62</v>
      </c>
      <c r="AA1139" s="53">
        <f t="shared" si="4"/>
        <v>1</v>
      </c>
      <c r="AB1139" s="54">
        <f>COUNTIFS(Links!B:B,"ICSE",Links!C:C,A1139,Links!AD:AD,1)</f>
        <v>0</v>
      </c>
      <c r="AC1139" s="55" t="s">
        <v>35</v>
      </c>
      <c r="AD1139" s="47" t="str">
        <f t="shared" si="5"/>
        <v>No</v>
      </c>
      <c r="AE1139" s="56" t="s">
        <v>36</v>
      </c>
      <c r="AF1139" s="57" t="s">
        <v>42</v>
      </c>
      <c r="AG1139" s="57" t="s">
        <v>42</v>
      </c>
      <c r="AH1139" s="57" t="s">
        <v>42</v>
      </c>
      <c r="AI1139" s="49" t="str">
        <f t="shared" si="661"/>
        <v>----</v>
      </c>
      <c r="AJ1139" s="58" t="str">
        <f t="shared" si="7"/>
        <v>Paper has link but no statement</v>
      </c>
      <c r="AK1139" s="59">
        <v>45070.0</v>
      </c>
      <c r="AL1139" s="43" t="s">
        <v>43</v>
      </c>
      <c r="AM1139" s="60" t="str">
        <f t="shared" si="8"/>
        <v>[IP2133]</v>
      </c>
    </row>
    <row r="1140" ht="67.5" customHeight="1">
      <c r="A1140" s="61">
        <v>2134.0</v>
      </c>
      <c r="B1140" s="22" t="s">
        <v>3102</v>
      </c>
      <c r="C1140" s="23">
        <v>2023.0</v>
      </c>
      <c r="D1140" s="24" t="s">
        <v>35</v>
      </c>
      <c r="E1140" s="25" t="s">
        <v>36</v>
      </c>
      <c r="F1140" s="25" t="s">
        <v>36</v>
      </c>
      <c r="G1140" s="25" t="s">
        <v>36</v>
      </c>
      <c r="H1140" s="25" t="s">
        <v>36</v>
      </c>
      <c r="I1140" s="25" t="s">
        <v>36</v>
      </c>
      <c r="J1140" s="26" t="s">
        <v>36</v>
      </c>
      <c r="K1140" s="27" t="s">
        <v>37</v>
      </c>
      <c r="L1140" s="28" t="s">
        <v>37</v>
      </c>
      <c r="M1140" s="28" t="s">
        <v>37</v>
      </c>
      <c r="N1140" s="28" t="s">
        <v>37</v>
      </c>
      <c r="O1140" s="28" t="s">
        <v>35</v>
      </c>
      <c r="P1140" s="28" t="s">
        <v>35</v>
      </c>
      <c r="Q1140" s="28" t="s">
        <v>35</v>
      </c>
      <c r="R1140" s="28" t="s">
        <v>37</v>
      </c>
      <c r="S1140" s="29" t="s">
        <v>3103</v>
      </c>
      <c r="T1140" s="30" t="s">
        <v>3104</v>
      </c>
      <c r="U1140" s="31" t="s">
        <v>3104</v>
      </c>
      <c r="V1140" s="32">
        <f t="shared" ref="V1140:X1140" si="1146">IF(lenb(SUBSTITUTE($Z1140,V$1&amp;" (1)",""))&lt;lenb($Z1140),1,IF(lenb(SUBSTITUTE($Z1140,V$1&amp;" (2)",""))&lt;lenb($Z1140),2,IF(lenb(SUBSTITUTE($Z1140,V$1&amp;" (3)",""))&lt;lenb($Z1140),3,IF(lenb(SUBSTITUTE($Z1140,V$1&amp;" (4)",""))&lt;lenb($Z1140),4,IF(lenb(SUBSTITUTE($Z1140,V$1&amp;" (5)",""))&lt;lenb($Z1140),5,IF(lenb(SUBSTITUTE($Z1140,V$1&amp;" (6)",""))&lt;lenb($Z1140),6,IF(lenb(SUBSTITUTE($Z1140,V$1&amp;" (7)",""))&lt;lenb($Z1140),1,IF(lenb(SUBSTITUTE($Z1140,V$1&amp;" (8)",""))&lt;lenb($Z1140),8,IF(lenb(SUBSTITUTE($Z1140,V$1&amp;" (9)",""))&lt;lenb($Z1140),9,IF(lenb(SUBSTITUTE($Z1140,V$1&amp;" (10)",""))&lt;lenb($Z1140),10,IF(lenb(SUBSTITUTE($Z1140,V$1,""))&lt;lenb($Z1140),"ERROR",IF($Z1140=$Y$1,"-",0))))))))))))</f>
        <v>1</v>
      </c>
      <c r="W1140" s="32">
        <f t="shared" si="1146"/>
        <v>0</v>
      </c>
      <c r="X1140" s="32">
        <f t="shared" si="1146"/>
        <v>0</v>
      </c>
      <c r="Y1140" s="32" t="str">
        <f t="shared" si="3"/>
        <v>-</v>
      </c>
      <c r="Z1140" s="32" t="s">
        <v>62</v>
      </c>
      <c r="AA1140" s="33">
        <f t="shared" si="4"/>
        <v>1</v>
      </c>
      <c r="AB1140" s="34">
        <f>COUNTIFS(Links!B:B,"ICSE",Links!C:C,A1140,Links!AD:AD,1)</f>
        <v>0</v>
      </c>
      <c r="AC1140" s="35" t="s">
        <v>35</v>
      </c>
      <c r="AD1140" s="27" t="str">
        <f t="shared" si="5"/>
        <v>No</v>
      </c>
      <c r="AE1140" s="36" t="s">
        <v>36</v>
      </c>
      <c r="AF1140" s="37" t="s">
        <v>42</v>
      </c>
      <c r="AG1140" s="37" t="s">
        <v>42</v>
      </c>
      <c r="AH1140" s="37" t="s">
        <v>42</v>
      </c>
      <c r="AI1140" s="29" t="str">
        <f t="shared" si="661"/>
        <v>----</v>
      </c>
      <c r="AJ1140" s="38" t="str">
        <f t="shared" si="7"/>
        <v>Paper has link but no statement</v>
      </c>
      <c r="AK1140" s="39">
        <v>45070.0</v>
      </c>
      <c r="AL1140" s="23" t="s">
        <v>43</v>
      </c>
      <c r="AM1140" s="40" t="str">
        <f t="shared" si="8"/>
        <v>[IP2134]</v>
      </c>
    </row>
    <row r="1141" ht="67.5" customHeight="1">
      <c r="A1141" s="41">
        <v>2135.0</v>
      </c>
      <c r="B1141" s="42" t="s">
        <v>3105</v>
      </c>
      <c r="C1141" s="43">
        <v>2023.0</v>
      </c>
      <c r="D1141" s="44" t="s">
        <v>35</v>
      </c>
      <c r="E1141" s="45" t="s">
        <v>36</v>
      </c>
      <c r="F1141" s="45" t="s">
        <v>36</v>
      </c>
      <c r="G1141" s="45" t="s">
        <v>36</v>
      </c>
      <c r="H1141" s="45" t="s">
        <v>36</v>
      </c>
      <c r="I1141" s="45" t="s">
        <v>36</v>
      </c>
      <c r="J1141" s="46" t="s">
        <v>36</v>
      </c>
      <c r="K1141" s="47" t="s">
        <v>37</v>
      </c>
      <c r="L1141" s="48" t="s">
        <v>37</v>
      </c>
      <c r="M1141" s="48" t="s">
        <v>35</v>
      </c>
      <c r="N1141" s="48" t="s">
        <v>35</v>
      </c>
      <c r="O1141" s="48" t="s">
        <v>37</v>
      </c>
      <c r="P1141" s="48" t="s">
        <v>37</v>
      </c>
      <c r="Q1141" s="48" t="s">
        <v>35</v>
      </c>
      <c r="R1141" s="48" t="s">
        <v>35</v>
      </c>
      <c r="S1141" s="49" t="s">
        <v>3106</v>
      </c>
      <c r="T1141" s="50" t="s">
        <v>3107</v>
      </c>
      <c r="U1141" s="51" t="s">
        <v>3107</v>
      </c>
      <c r="V1141" s="52">
        <f t="shared" ref="V1141:X1141" si="1147">IF(lenb(SUBSTITUTE($Z1141,V$1&amp;" (1)",""))&lt;lenb($Z1141),1,IF(lenb(SUBSTITUTE($Z1141,V$1&amp;" (2)",""))&lt;lenb($Z1141),2,IF(lenb(SUBSTITUTE($Z1141,V$1&amp;" (3)",""))&lt;lenb($Z1141),3,IF(lenb(SUBSTITUTE($Z1141,V$1&amp;" (4)",""))&lt;lenb($Z1141),4,IF(lenb(SUBSTITUTE($Z1141,V$1&amp;" (5)",""))&lt;lenb($Z1141),5,IF(lenb(SUBSTITUTE($Z1141,V$1&amp;" (6)",""))&lt;lenb($Z1141),6,IF(lenb(SUBSTITUTE($Z1141,V$1&amp;" (7)",""))&lt;lenb($Z1141),1,IF(lenb(SUBSTITUTE($Z1141,V$1&amp;" (8)",""))&lt;lenb($Z1141),8,IF(lenb(SUBSTITUTE($Z1141,V$1&amp;" (9)",""))&lt;lenb($Z1141),9,IF(lenb(SUBSTITUTE($Z1141,V$1&amp;" (10)",""))&lt;lenb($Z1141),10,IF(lenb(SUBSTITUTE($Z1141,V$1,""))&lt;lenb($Z1141),"ERROR",IF($Z1141=$Y$1,"-",0))))))))))))</f>
        <v>1</v>
      </c>
      <c r="W1141" s="52">
        <f t="shared" si="1147"/>
        <v>0</v>
      </c>
      <c r="X1141" s="52">
        <f t="shared" si="1147"/>
        <v>0</v>
      </c>
      <c r="Y1141" s="52" t="str">
        <f t="shared" si="3"/>
        <v>-</v>
      </c>
      <c r="Z1141" s="52" t="s">
        <v>62</v>
      </c>
      <c r="AA1141" s="53">
        <f t="shared" si="4"/>
        <v>1</v>
      </c>
      <c r="AB1141" s="54">
        <f>COUNTIFS(Links!B:B,"ICSE",Links!C:C,A1141,Links!AD:AD,1)</f>
        <v>0</v>
      </c>
      <c r="AC1141" s="55" t="s">
        <v>37</v>
      </c>
      <c r="AD1141" s="47" t="str">
        <f t="shared" si="5"/>
        <v>No</v>
      </c>
      <c r="AE1141" s="56" t="s">
        <v>36</v>
      </c>
      <c r="AF1141" s="57" t="s">
        <v>42</v>
      </c>
      <c r="AG1141" s="57" t="s">
        <v>42</v>
      </c>
      <c r="AH1141" s="57" t="s">
        <v>42</v>
      </c>
      <c r="AI1141" s="49" t="str">
        <f t="shared" si="661"/>
        <v>----</v>
      </c>
      <c r="AJ1141" s="58" t="str">
        <f t="shared" si="7"/>
        <v>Paper has link but no statement</v>
      </c>
      <c r="AK1141" s="59">
        <v>45070.0</v>
      </c>
      <c r="AL1141" s="43" t="s">
        <v>43</v>
      </c>
      <c r="AM1141" s="60" t="str">
        <f t="shared" si="8"/>
        <v>[IP2135]</v>
      </c>
    </row>
    <row r="1142" ht="67.5" customHeight="1">
      <c r="A1142" s="61">
        <v>2136.0</v>
      </c>
      <c r="B1142" s="22" t="s">
        <v>3108</v>
      </c>
      <c r="C1142" s="23">
        <v>2023.0</v>
      </c>
      <c r="D1142" s="24" t="s">
        <v>37</v>
      </c>
      <c r="E1142" s="25" t="s">
        <v>37</v>
      </c>
      <c r="F1142" s="25" t="s">
        <v>35</v>
      </c>
      <c r="G1142" s="25" t="s">
        <v>37</v>
      </c>
      <c r="H1142" s="25" t="s">
        <v>35</v>
      </c>
      <c r="I1142" s="25" t="s">
        <v>35</v>
      </c>
      <c r="J1142" s="26" t="s">
        <v>36</v>
      </c>
      <c r="K1142" s="27" t="s">
        <v>37</v>
      </c>
      <c r="L1142" s="28" t="s">
        <v>35</v>
      </c>
      <c r="M1142" s="28" t="s">
        <v>37</v>
      </c>
      <c r="N1142" s="28" t="s">
        <v>35</v>
      </c>
      <c r="O1142" s="28" t="s">
        <v>35</v>
      </c>
      <c r="P1142" s="28" t="s">
        <v>35</v>
      </c>
      <c r="Q1142" s="28" t="s">
        <v>37</v>
      </c>
      <c r="R1142" s="28" t="s">
        <v>35</v>
      </c>
      <c r="S1142" s="29" t="s">
        <v>3109</v>
      </c>
      <c r="T1142" s="30" t="s">
        <v>3110</v>
      </c>
      <c r="U1142" s="31" t="s">
        <v>3111</v>
      </c>
      <c r="V1142" s="32">
        <f t="shared" ref="V1142:X1142" si="1148">IF(lenb(SUBSTITUTE($Z1142,V$1&amp;" (1)",""))&lt;lenb($Z1142),1,IF(lenb(SUBSTITUTE($Z1142,V$1&amp;" (2)",""))&lt;lenb($Z1142),2,IF(lenb(SUBSTITUTE($Z1142,V$1&amp;" (3)",""))&lt;lenb($Z1142),3,IF(lenb(SUBSTITUTE($Z1142,V$1&amp;" (4)",""))&lt;lenb($Z1142),4,IF(lenb(SUBSTITUTE($Z1142,V$1&amp;" (5)",""))&lt;lenb($Z1142),5,IF(lenb(SUBSTITUTE($Z1142,V$1&amp;" (6)",""))&lt;lenb($Z1142),6,IF(lenb(SUBSTITUTE($Z1142,V$1&amp;" (7)",""))&lt;lenb($Z1142),1,IF(lenb(SUBSTITUTE($Z1142,V$1&amp;" (8)",""))&lt;lenb($Z1142),8,IF(lenb(SUBSTITUTE($Z1142,V$1&amp;" (9)",""))&lt;lenb($Z1142),9,IF(lenb(SUBSTITUTE($Z1142,V$1&amp;" (10)",""))&lt;lenb($Z1142),10,IF(lenb(SUBSTITUTE($Z1142,V$1,""))&lt;lenb($Z1142),"ERROR",IF($Z1142=$Y$1,"-",0))))))))))))</f>
        <v>2</v>
      </c>
      <c r="W1142" s="32">
        <f t="shared" si="1148"/>
        <v>0</v>
      </c>
      <c r="X1142" s="32">
        <f t="shared" si="1148"/>
        <v>0</v>
      </c>
      <c r="Y1142" s="32" t="str">
        <f t="shared" si="3"/>
        <v>-</v>
      </c>
      <c r="Z1142" s="32" t="s">
        <v>57</v>
      </c>
      <c r="AA1142" s="33">
        <f t="shared" si="4"/>
        <v>2</v>
      </c>
      <c r="AB1142" s="34">
        <f>COUNTIFS(Links!B:B,"ICSE",Links!C:C,A1142,Links!AD:AD,1)</f>
        <v>0</v>
      </c>
      <c r="AC1142" s="35" t="s">
        <v>37</v>
      </c>
      <c r="AD1142" s="27" t="str">
        <f t="shared" si="5"/>
        <v>No</v>
      </c>
      <c r="AE1142" s="36" t="s">
        <v>36</v>
      </c>
      <c r="AF1142" s="37" t="s">
        <v>42</v>
      </c>
      <c r="AG1142" s="37" t="s">
        <v>42</v>
      </c>
      <c r="AH1142" s="37" t="s">
        <v>42</v>
      </c>
      <c r="AI1142" s="29" t="str">
        <f t="shared" si="661"/>
        <v>----</v>
      </c>
      <c r="AJ1142" s="38" t="str">
        <f t="shared" si="7"/>
        <v>Paper has link but no statement</v>
      </c>
      <c r="AK1142" s="39">
        <v>45070.0</v>
      </c>
      <c r="AL1142" s="23" t="s">
        <v>43</v>
      </c>
      <c r="AM1142" s="40" t="str">
        <f t="shared" si="8"/>
        <v>[IP2136]</v>
      </c>
    </row>
    <row r="1143" ht="67.5" customHeight="1">
      <c r="A1143" s="41">
        <v>2137.0</v>
      </c>
      <c r="B1143" s="42" t="s">
        <v>3112</v>
      </c>
      <c r="C1143" s="43">
        <v>2023.0</v>
      </c>
      <c r="D1143" s="44" t="s">
        <v>37</v>
      </c>
      <c r="E1143" s="45" t="s">
        <v>37</v>
      </c>
      <c r="F1143" s="45" t="s">
        <v>37</v>
      </c>
      <c r="G1143" s="45" t="s">
        <v>35</v>
      </c>
      <c r="H1143" s="45" t="s">
        <v>35</v>
      </c>
      <c r="I1143" s="45" t="s">
        <v>35</v>
      </c>
      <c r="J1143" s="46" t="s">
        <v>36</v>
      </c>
      <c r="K1143" s="47" t="s">
        <v>37</v>
      </c>
      <c r="L1143" s="48" t="s">
        <v>35</v>
      </c>
      <c r="M1143" s="48" t="s">
        <v>37</v>
      </c>
      <c r="N1143" s="48" t="s">
        <v>35</v>
      </c>
      <c r="O1143" s="48" t="s">
        <v>35</v>
      </c>
      <c r="P1143" s="48" t="s">
        <v>35</v>
      </c>
      <c r="Q1143" s="48" t="s">
        <v>37</v>
      </c>
      <c r="R1143" s="48" t="s">
        <v>35</v>
      </c>
      <c r="S1143" s="49" t="s">
        <v>3113</v>
      </c>
      <c r="T1143" s="50" t="s">
        <v>3114</v>
      </c>
      <c r="U1143" s="51" t="s">
        <v>3114</v>
      </c>
      <c r="V1143" s="52">
        <f t="shared" ref="V1143:X1143" si="1149">IF(lenb(SUBSTITUTE($Z1143,V$1&amp;" (1)",""))&lt;lenb($Z1143),1,IF(lenb(SUBSTITUTE($Z1143,V$1&amp;" (2)",""))&lt;lenb($Z1143),2,IF(lenb(SUBSTITUTE($Z1143,V$1&amp;" (3)",""))&lt;lenb($Z1143),3,IF(lenb(SUBSTITUTE($Z1143,V$1&amp;" (4)",""))&lt;lenb($Z1143),4,IF(lenb(SUBSTITUTE($Z1143,V$1&amp;" (5)",""))&lt;lenb($Z1143),5,IF(lenb(SUBSTITUTE($Z1143,V$1&amp;" (6)",""))&lt;lenb($Z1143),6,IF(lenb(SUBSTITUTE($Z1143,V$1&amp;" (7)",""))&lt;lenb($Z1143),1,IF(lenb(SUBSTITUTE($Z1143,V$1&amp;" (8)",""))&lt;lenb($Z1143),8,IF(lenb(SUBSTITUTE($Z1143,V$1&amp;" (9)",""))&lt;lenb($Z1143),9,IF(lenb(SUBSTITUTE($Z1143,V$1&amp;" (10)",""))&lt;lenb($Z1143),10,IF(lenb(SUBSTITUTE($Z1143,V$1,""))&lt;lenb($Z1143),"ERROR",IF($Z1143=$Y$1,"-",0))))))))))))</f>
        <v>1</v>
      </c>
      <c r="W1143" s="52">
        <f t="shared" si="1149"/>
        <v>0</v>
      </c>
      <c r="X1143" s="52">
        <f t="shared" si="1149"/>
        <v>0</v>
      </c>
      <c r="Y1143" s="52" t="str">
        <f t="shared" si="3"/>
        <v>-</v>
      </c>
      <c r="Z1143" s="52" t="s">
        <v>62</v>
      </c>
      <c r="AA1143" s="53">
        <f t="shared" si="4"/>
        <v>1</v>
      </c>
      <c r="AB1143" s="54">
        <f>COUNTIFS(Links!B:B,"ICSE",Links!C:C,A1143,Links!AD:AD,1)</f>
        <v>0</v>
      </c>
      <c r="AC1143" s="55" t="s">
        <v>35</v>
      </c>
      <c r="AD1143" s="47" t="str">
        <f t="shared" si="5"/>
        <v>No</v>
      </c>
      <c r="AE1143" s="56" t="s">
        <v>36</v>
      </c>
      <c r="AF1143" s="57" t="s">
        <v>42</v>
      </c>
      <c r="AG1143" s="57" t="s">
        <v>42</v>
      </c>
      <c r="AH1143" s="57" t="s">
        <v>42</v>
      </c>
      <c r="AI1143" s="49" t="str">
        <f t="shared" si="661"/>
        <v>----</v>
      </c>
      <c r="AJ1143" s="58" t="str">
        <f t="shared" si="7"/>
        <v>Paper has link but no statement</v>
      </c>
      <c r="AK1143" s="59">
        <v>45070.0</v>
      </c>
      <c r="AL1143" s="43" t="s">
        <v>43</v>
      </c>
      <c r="AM1143" s="60" t="str">
        <f t="shared" si="8"/>
        <v>[IP2137]</v>
      </c>
    </row>
    <row r="1144" ht="67.5" customHeight="1">
      <c r="A1144" s="61">
        <v>2138.0</v>
      </c>
      <c r="B1144" s="22" t="s">
        <v>3115</v>
      </c>
      <c r="C1144" s="23">
        <v>2023.0</v>
      </c>
      <c r="D1144" s="24" t="s">
        <v>35</v>
      </c>
      <c r="E1144" s="25" t="s">
        <v>36</v>
      </c>
      <c r="F1144" s="25" t="s">
        <v>36</v>
      </c>
      <c r="G1144" s="25" t="s">
        <v>36</v>
      </c>
      <c r="H1144" s="25" t="s">
        <v>36</v>
      </c>
      <c r="I1144" s="25" t="s">
        <v>36</v>
      </c>
      <c r="J1144" s="26" t="s">
        <v>36</v>
      </c>
      <c r="K1144" s="27" t="s">
        <v>37</v>
      </c>
      <c r="L1144" s="28" t="s">
        <v>35</v>
      </c>
      <c r="M1144" s="28" t="s">
        <v>35</v>
      </c>
      <c r="N1144" s="28" t="s">
        <v>35</v>
      </c>
      <c r="O1144" s="28" t="s">
        <v>35</v>
      </c>
      <c r="P1144" s="28" t="s">
        <v>35</v>
      </c>
      <c r="Q1144" s="28" t="s">
        <v>37</v>
      </c>
      <c r="R1144" s="28" t="s">
        <v>35</v>
      </c>
      <c r="S1144" s="29" t="s">
        <v>2937</v>
      </c>
      <c r="T1144" s="30" t="s">
        <v>3116</v>
      </c>
      <c r="U1144" s="31" t="s">
        <v>3116</v>
      </c>
      <c r="V1144" s="32">
        <f t="shared" ref="V1144:X1144" si="1150">IF(lenb(SUBSTITUTE($Z1144,V$1&amp;" (1)",""))&lt;lenb($Z1144),1,IF(lenb(SUBSTITUTE($Z1144,V$1&amp;" (2)",""))&lt;lenb($Z1144),2,IF(lenb(SUBSTITUTE($Z1144,V$1&amp;" (3)",""))&lt;lenb($Z1144),3,IF(lenb(SUBSTITUTE($Z1144,V$1&amp;" (4)",""))&lt;lenb($Z1144),4,IF(lenb(SUBSTITUTE($Z1144,V$1&amp;" (5)",""))&lt;lenb($Z1144),5,IF(lenb(SUBSTITUTE($Z1144,V$1&amp;" (6)",""))&lt;lenb($Z1144),6,IF(lenb(SUBSTITUTE($Z1144,V$1&amp;" (7)",""))&lt;lenb($Z1144),1,IF(lenb(SUBSTITUTE($Z1144,V$1&amp;" (8)",""))&lt;lenb($Z1144),8,IF(lenb(SUBSTITUTE($Z1144,V$1&amp;" (9)",""))&lt;lenb($Z1144),9,IF(lenb(SUBSTITUTE($Z1144,V$1&amp;" (10)",""))&lt;lenb($Z1144),10,IF(lenb(SUBSTITUTE($Z1144,V$1,""))&lt;lenb($Z1144),"ERROR",IF($Z1144=$Y$1,"-",0))))))))))))</f>
        <v>1</v>
      </c>
      <c r="W1144" s="32">
        <f t="shared" si="1150"/>
        <v>0</v>
      </c>
      <c r="X1144" s="32">
        <f t="shared" si="1150"/>
        <v>0</v>
      </c>
      <c r="Y1144" s="32" t="str">
        <f t="shared" si="3"/>
        <v>-</v>
      </c>
      <c r="Z1144" s="32" t="s">
        <v>62</v>
      </c>
      <c r="AA1144" s="33">
        <f t="shared" si="4"/>
        <v>1</v>
      </c>
      <c r="AB1144" s="34">
        <f>COUNTIFS(Links!B:B,"ICSE",Links!C:C,A1144,Links!AD:AD,1)</f>
        <v>0</v>
      </c>
      <c r="AC1144" s="35" t="s">
        <v>37</v>
      </c>
      <c r="AD1144" s="27" t="str">
        <f t="shared" si="5"/>
        <v>No</v>
      </c>
      <c r="AE1144" s="36" t="s">
        <v>36</v>
      </c>
      <c r="AF1144" s="37" t="s">
        <v>42</v>
      </c>
      <c r="AG1144" s="37" t="s">
        <v>42</v>
      </c>
      <c r="AH1144" s="37" t="s">
        <v>42</v>
      </c>
      <c r="AI1144" s="29" t="str">
        <f t="shared" si="661"/>
        <v>----</v>
      </c>
      <c r="AJ1144" s="38" t="str">
        <f t="shared" si="7"/>
        <v>Paper has link but no statement</v>
      </c>
      <c r="AK1144" s="39">
        <v>45070.0</v>
      </c>
      <c r="AL1144" s="23" t="s">
        <v>43</v>
      </c>
      <c r="AM1144" s="40" t="str">
        <f t="shared" si="8"/>
        <v>[IP2138]</v>
      </c>
    </row>
    <row r="1145" ht="67.5" customHeight="1">
      <c r="A1145" s="41">
        <v>2139.0</v>
      </c>
      <c r="B1145" s="42" t="s">
        <v>3117</v>
      </c>
      <c r="C1145" s="43">
        <v>2023.0</v>
      </c>
      <c r="D1145" s="44" t="s">
        <v>35</v>
      </c>
      <c r="E1145" s="45" t="s">
        <v>36</v>
      </c>
      <c r="F1145" s="45" t="s">
        <v>36</v>
      </c>
      <c r="G1145" s="45" t="s">
        <v>36</v>
      </c>
      <c r="H1145" s="45" t="s">
        <v>36</v>
      </c>
      <c r="I1145" s="45" t="s">
        <v>36</v>
      </c>
      <c r="J1145" s="46" t="s">
        <v>36</v>
      </c>
      <c r="K1145" s="47" t="s">
        <v>37</v>
      </c>
      <c r="L1145" s="48" t="s">
        <v>37</v>
      </c>
      <c r="M1145" s="48" t="s">
        <v>35</v>
      </c>
      <c r="N1145" s="48" t="s">
        <v>35</v>
      </c>
      <c r="O1145" s="48" t="s">
        <v>37</v>
      </c>
      <c r="P1145" s="48" t="s">
        <v>37</v>
      </c>
      <c r="Q1145" s="48" t="s">
        <v>35</v>
      </c>
      <c r="R1145" s="48" t="s">
        <v>37</v>
      </c>
      <c r="S1145" s="49" t="s">
        <v>3118</v>
      </c>
      <c r="T1145" s="50" t="s">
        <v>3119</v>
      </c>
      <c r="U1145" s="51" t="s">
        <v>3119</v>
      </c>
      <c r="V1145" s="52">
        <f t="shared" ref="V1145:X1145" si="1151">IF(lenb(SUBSTITUTE($Z1145,V$1&amp;" (1)",""))&lt;lenb($Z1145),1,IF(lenb(SUBSTITUTE($Z1145,V$1&amp;" (2)",""))&lt;lenb($Z1145),2,IF(lenb(SUBSTITUTE($Z1145,V$1&amp;" (3)",""))&lt;lenb($Z1145),3,IF(lenb(SUBSTITUTE($Z1145,V$1&amp;" (4)",""))&lt;lenb($Z1145),4,IF(lenb(SUBSTITUTE($Z1145,V$1&amp;" (5)",""))&lt;lenb($Z1145),5,IF(lenb(SUBSTITUTE($Z1145,V$1&amp;" (6)",""))&lt;lenb($Z1145),6,IF(lenb(SUBSTITUTE($Z1145,V$1&amp;" (7)",""))&lt;lenb($Z1145),1,IF(lenb(SUBSTITUTE($Z1145,V$1&amp;" (8)",""))&lt;lenb($Z1145),8,IF(lenb(SUBSTITUTE($Z1145,V$1&amp;" (9)",""))&lt;lenb($Z1145),9,IF(lenb(SUBSTITUTE($Z1145,V$1&amp;" (10)",""))&lt;lenb($Z1145),10,IF(lenb(SUBSTITUTE($Z1145,V$1,""))&lt;lenb($Z1145),"ERROR",IF($Z1145=$Y$1,"-",0))))))))))))</f>
        <v>1</v>
      </c>
      <c r="W1145" s="52">
        <f t="shared" si="1151"/>
        <v>0</v>
      </c>
      <c r="X1145" s="52">
        <f t="shared" si="1151"/>
        <v>0</v>
      </c>
      <c r="Y1145" s="52" t="str">
        <f t="shared" si="3"/>
        <v>-</v>
      </c>
      <c r="Z1145" s="52" t="s">
        <v>62</v>
      </c>
      <c r="AA1145" s="53">
        <f t="shared" si="4"/>
        <v>1</v>
      </c>
      <c r="AB1145" s="54">
        <f>COUNTIFS(Links!B:B,"ICSE",Links!C:C,A1145,Links!AD:AD,1)</f>
        <v>0</v>
      </c>
      <c r="AC1145" s="55" t="s">
        <v>35</v>
      </c>
      <c r="AD1145" s="47" t="str">
        <f t="shared" si="5"/>
        <v>No</v>
      </c>
      <c r="AE1145" s="56" t="s">
        <v>36</v>
      </c>
      <c r="AF1145" s="57" t="s">
        <v>42</v>
      </c>
      <c r="AG1145" s="57" t="s">
        <v>42</v>
      </c>
      <c r="AH1145" s="57" t="s">
        <v>42</v>
      </c>
      <c r="AI1145" s="49" t="str">
        <f t="shared" si="661"/>
        <v>----</v>
      </c>
      <c r="AJ1145" s="58" t="str">
        <f t="shared" si="7"/>
        <v>Paper has link but no statement</v>
      </c>
      <c r="AK1145" s="59">
        <v>45070.0</v>
      </c>
      <c r="AL1145" s="43" t="s">
        <v>43</v>
      </c>
      <c r="AM1145" s="60" t="str">
        <f t="shared" si="8"/>
        <v>[IP2139]</v>
      </c>
    </row>
    <row r="1146" ht="67.5" customHeight="1">
      <c r="A1146" s="61">
        <v>2140.0</v>
      </c>
      <c r="B1146" s="22" t="s">
        <v>3120</v>
      </c>
      <c r="C1146" s="23">
        <v>2023.0</v>
      </c>
      <c r="D1146" s="24" t="s">
        <v>35</v>
      </c>
      <c r="E1146" s="25" t="s">
        <v>36</v>
      </c>
      <c r="F1146" s="25" t="s">
        <v>36</v>
      </c>
      <c r="G1146" s="25" t="s">
        <v>36</v>
      </c>
      <c r="H1146" s="25" t="s">
        <v>36</v>
      </c>
      <c r="I1146" s="25" t="s">
        <v>36</v>
      </c>
      <c r="J1146" s="26" t="s">
        <v>36</v>
      </c>
      <c r="K1146" s="27" t="s">
        <v>37</v>
      </c>
      <c r="L1146" s="28" t="s">
        <v>35</v>
      </c>
      <c r="M1146" s="28" t="s">
        <v>35</v>
      </c>
      <c r="N1146" s="28" t="s">
        <v>37</v>
      </c>
      <c r="O1146" s="28" t="s">
        <v>35</v>
      </c>
      <c r="P1146" s="28" t="s">
        <v>35</v>
      </c>
      <c r="Q1146" s="28" t="s">
        <v>35</v>
      </c>
      <c r="R1146" s="28" t="s">
        <v>35</v>
      </c>
      <c r="S1146" s="29" t="s">
        <v>289</v>
      </c>
      <c r="T1146" s="30" t="s">
        <v>3121</v>
      </c>
      <c r="U1146" s="31" t="s">
        <v>3121</v>
      </c>
      <c r="V1146" s="32">
        <f t="shared" ref="V1146:X1146" si="1152">IF(lenb(SUBSTITUTE($Z1146,V$1&amp;" (1)",""))&lt;lenb($Z1146),1,IF(lenb(SUBSTITUTE($Z1146,V$1&amp;" (2)",""))&lt;lenb($Z1146),2,IF(lenb(SUBSTITUTE($Z1146,V$1&amp;" (3)",""))&lt;lenb($Z1146),3,IF(lenb(SUBSTITUTE($Z1146,V$1&amp;" (4)",""))&lt;lenb($Z1146),4,IF(lenb(SUBSTITUTE($Z1146,V$1&amp;" (5)",""))&lt;lenb($Z1146),5,IF(lenb(SUBSTITUTE($Z1146,V$1&amp;" (6)",""))&lt;lenb($Z1146),6,IF(lenb(SUBSTITUTE($Z1146,V$1&amp;" (7)",""))&lt;lenb($Z1146),1,IF(lenb(SUBSTITUTE($Z1146,V$1&amp;" (8)",""))&lt;lenb($Z1146),8,IF(lenb(SUBSTITUTE($Z1146,V$1&amp;" (9)",""))&lt;lenb($Z1146),9,IF(lenb(SUBSTITUTE($Z1146,V$1&amp;" (10)",""))&lt;lenb($Z1146),10,IF(lenb(SUBSTITUTE($Z1146,V$1,""))&lt;lenb($Z1146),"ERROR",IF($Z1146=$Y$1,"-",0))))))))))))</f>
        <v>1</v>
      </c>
      <c r="W1146" s="32">
        <f t="shared" si="1152"/>
        <v>0</v>
      </c>
      <c r="X1146" s="32">
        <f t="shared" si="1152"/>
        <v>0</v>
      </c>
      <c r="Y1146" s="32" t="str">
        <f t="shared" si="3"/>
        <v>-</v>
      </c>
      <c r="Z1146" s="32" t="s">
        <v>62</v>
      </c>
      <c r="AA1146" s="33">
        <f t="shared" si="4"/>
        <v>1</v>
      </c>
      <c r="AB1146" s="34">
        <f>COUNTIFS(Links!B:B,"ICSE",Links!C:C,A1146,Links!AD:AD,1)</f>
        <v>0</v>
      </c>
      <c r="AC1146" s="35" t="s">
        <v>35</v>
      </c>
      <c r="AD1146" s="27" t="str">
        <f t="shared" si="5"/>
        <v>Yes</v>
      </c>
      <c r="AE1146" s="36" t="s">
        <v>3122</v>
      </c>
      <c r="AF1146" s="36" t="s">
        <v>146</v>
      </c>
      <c r="AG1146" s="37" t="s">
        <v>42</v>
      </c>
      <c r="AH1146" s="37" t="s">
        <v>42</v>
      </c>
      <c r="AI1146" s="29" t="str">
        <f t="shared" si="661"/>
        <v>Future plans (—)</v>
      </c>
      <c r="AJ1146" s="38" t="str">
        <f t="shared" si="7"/>
        <v>Paper has link and statement</v>
      </c>
      <c r="AK1146" s="39">
        <v>45070.0</v>
      </c>
      <c r="AL1146" s="23" t="s">
        <v>43</v>
      </c>
      <c r="AM1146" s="40" t="str">
        <f t="shared" si="8"/>
        <v>[IP2140]</v>
      </c>
    </row>
    <row r="1147" ht="67.5" customHeight="1">
      <c r="A1147" s="41">
        <v>2141.0</v>
      </c>
      <c r="B1147" s="42" t="s">
        <v>3123</v>
      </c>
      <c r="C1147" s="43">
        <v>2023.0</v>
      </c>
      <c r="D1147" s="44" t="s">
        <v>35</v>
      </c>
      <c r="E1147" s="45" t="s">
        <v>36</v>
      </c>
      <c r="F1147" s="45" t="s">
        <v>36</v>
      </c>
      <c r="G1147" s="45" t="s">
        <v>36</v>
      </c>
      <c r="H1147" s="45" t="s">
        <v>36</v>
      </c>
      <c r="I1147" s="45" t="s">
        <v>36</v>
      </c>
      <c r="J1147" s="46" t="s">
        <v>36</v>
      </c>
      <c r="K1147" s="47" t="s">
        <v>37</v>
      </c>
      <c r="L1147" s="48" t="s">
        <v>35</v>
      </c>
      <c r="M1147" s="48" t="s">
        <v>37</v>
      </c>
      <c r="N1147" s="48" t="s">
        <v>35</v>
      </c>
      <c r="O1147" s="48" t="s">
        <v>35</v>
      </c>
      <c r="P1147" s="48" t="s">
        <v>35</v>
      </c>
      <c r="Q1147" s="48" t="s">
        <v>35</v>
      </c>
      <c r="R1147" s="48" t="s">
        <v>37</v>
      </c>
      <c r="S1147" s="49" t="s">
        <v>3124</v>
      </c>
      <c r="T1147" s="50" t="s">
        <v>3125</v>
      </c>
      <c r="U1147" s="51" t="s">
        <v>3125</v>
      </c>
      <c r="V1147" s="52">
        <f t="shared" ref="V1147:X1147" si="1153">IF(lenb(SUBSTITUTE($Z1147,V$1&amp;" (1)",""))&lt;lenb($Z1147),1,IF(lenb(SUBSTITUTE($Z1147,V$1&amp;" (2)",""))&lt;lenb($Z1147),2,IF(lenb(SUBSTITUTE($Z1147,V$1&amp;" (3)",""))&lt;lenb($Z1147),3,IF(lenb(SUBSTITUTE($Z1147,V$1&amp;" (4)",""))&lt;lenb($Z1147),4,IF(lenb(SUBSTITUTE($Z1147,V$1&amp;" (5)",""))&lt;lenb($Z1147),5,IF(lenb(SUBSTITUTE($Z1147,V$1&amp;" (6)",""))&lt;lenb($Z1147),6,IF(lenb(SUBSTITUTE($Z1147,V$1&amp;" (7)",""))&lt;lenb($Z1147),1,IF(lenb(SUBSTITUTE($Z1147,V$1&amp;" (8)",""))&lt;lenb($Z1147),8,IF(lenb(SUBSTITUTE($Z1147,V$1&amp;" (9)",""))&lt;lenb($Z1147),9,IF(lenb(SUBSTITUTE($Z1147,V$1&amp;" (10)",""))&lt;lenb($Z1147),10,IF(lenb(SUBSTITUTE($Z1147,V$1,""))&lt;lenb($Z1147),"ERROR",IF($Z1147=$Y$1,"-",0))))))))))))</f>
        <v>1</v>
      </c>
      <c r="W1147" s="52">
        <f t="shared" si="1153"/>
        <v>0</v>
      </c>
      <c r="X1147" s="52">
        <f t="shared" si="1153"/>
        <v>0</v>
      </c>
      <c r="Y1147" s="52" t="str">
        <f t="shared" si="3"/>
        <v>-</v>
      </c>
      <c r="Z1147" s="52" t="s">
        <v>62</v>
      </c>
      <c r="AA1147" s="53">
        <f t="shared" si="4"/>
        <v>1</v>
      </c>
      <c r="AB1147" s="54">
        <f>COUNTIFS(Links!B:B,"ICSE",Links!C:C,A1147,Links!AD:AD,1)</f>
        <v>0</v>
      </c>
      <c r="AC1147" s="55" t="s">
        <v>37</v>
      </c>
      <c r="AD1147" s="47" t="str">
        <f t="shared" si="5"/>
        <v>No</v>
      </c>
      <c r="AE1147" s="56" t="s">
        <v>36</v>
      </c>
      <c r="AF1147" s="57" t="s">
        <v>42</v>
      </c>
      <c r="AG1147" s="57" t="s">
        <v>42</v>
      </c>
      <c r="AH1147" s="57" t="s">
        <v>42</v>
      </c>
      <c r="AI1147" s="49" t="str">
        <f t="shared" si="661"/>
        <v>----</v>
      </c>
      <c r="AJ1147" s="58" t="str">
        <f t="shared" si="7"/>
        <v>Paper has link but no statement</v>
      </c>
      <c r="AK1147" s="59">
        <v>45070.0</v>
      </c>
      <c r="AL1147" s="43" t="s">
        <v>43</v>
      </c>
      <c r="AM1147" s="60" t="str">
        <f t="shared" si="8"/>
        <v>[IP2141]</v>
      </c>
    </row>
    <row r="1148" ht="67.5" customHeight="1">
      <c r="A1148" s="21">
        <v>2142.0</v>
      </c>
      <c r="B1148" s="22" t="s">
        <v>3126</v>
      </c>
      <c r="C1148" s="23">
        <v>2023.0</v>
      </c>
      <c r="D1148" s="24" t="s">
        <v>35</v>
      </c>
      <c r="E1148" s="25" t="s">
        <v>36</v>
      </c>
      <c r="F1148" s="25" t="s">
        <v>36</v>
      </c>
      <c r="G1148" s="25" t="s">
        <v>36</v>
      </c>
      <c r="H1148" s="25" t="s">
        <v>36</v>
      </c>
      <c r="I1148" s="25" t="s">
        <v>36</v>
      </c>
      <c r="J1148" s="26" t="s">
        <v>36</v>
      </c>
      <c r="K1148" s="27" t="s">
        <v>37</v>
      </c>
      <c r="L1148" s="28" t="s">
        <v>35</v>
      </c>
      <c r="M1148" s="28" t="s">
        <v>35</v>
      </c>
      <c r="N1148" s="28" t="s">
        <v>35</v>
      </c>
      <c r="O1148" s="28" t="s">
        <v>35</v>
      </c>
      <c r="P1148" s="28" t="s">
        <v>35</v>
      </c>
      <c r="Q1148" s="28" t="s">
        <v>35</v>
      </c>
      <c r="R1148" s="28" t="s">
        <v>37</v>
      </c>
      <c r="S1148" s="29" t="s">
        <v>3127</v>
      </c>
      <c r="T1148" s="30" t="s">
        <v>3128</v>
      </c>
      <c r="U1148" s="30" t="s">
        <v>3129</v>
      </c>
      <c r="V1148" s="32">
        <f t="shared" ref="V1148:X1148" si="1154">IF(lenb(SUBSTITUTE($Z1148,V$1&amp;" (1)",""))&lt;lenb($Z1148),1,IF(lenb(SUBSTITUTE($Z1148,V$1&amp;" (2)",""))&lt;lenb($Z1148),2,IF(lenb(SUBSTITUTE($Z1148,V$1&amp;" (3)",""))&lt;lenb($Z1148),3,IF(lenb(SUBSTITUTE($Z1148,V$1&amp;" (4)",""))&lt;lenb($Z1148),4,IF(lenb(SUBSTITUTE($Z1148,V$1&amp;" (5)",""))&lt;lenb($Z1148),5,IF(lenb(SUBSTITUTE($Z1148,V$1&amp;" (6)",""))&lt;lenb($Z1148),6,IF(lenb(SUBSTITUTE($Z1148,V$1&amp;" (7)",""))&lt;lenb($Z1148),1,IF(lenb(SUBSTITUTE($Z1148,V$1&amp;" (8)",""))&lt;lenb($Z1148),8,IF(lenb(SUBSTITUTE($Z1148,V$1&amp;" (9)",""))&lt;lenb($Z1148),9,IF(lenb(SUBSTITUTE($Z1148,V$1&amp;" (10)",""))&lt;lenb($Z1148),10,IF(lenb(SUBSTITUTE($Z1148,V$1,""))&lt;lenb($Z1148),"ERROR",IF($Z1148=$Y$1,"-",0))))))))))))</f>
        <v>1</v>
      </c>
      <c r="W1148" s="32">
        <f t="shared" si="1154"/>
        <v>0</v>
      </c>
      <c r="X1148" s="32">
        <f t="shared" si="1154"/>
        <v>0</v>
      </c>
      <c r="Y1148" s="32" t="str">
        <f t="shared" si="3"/>
        <v>-</v>
      </c>
      <c r="Z1148" s="32" t="s">
        <v>62</v>
      </c>
      <c r="AA1148" s="33">
        <f t="shared" si="4"/>
        <v>1</v>
      </c>
      <c r="AB1148" s="34">
        <f>COUNTIFS(Links!B:B,"ICSE",Links!C:C,A1148,Links!AD:AD,1)</f>
        <v>0</v>
      </c>
      <c r="AC1148" s="35" t="s">
        <v>35</v>
      </c>
      <c r="AD1148" s="27" t="str">
        <f t="shared" si="5"/>
        <v>No</v>
      </c>
      <c r="AE1148" s="36" t="s">
        <v>36</v>
      </c>
      <c r="AF1148" s="37" t="s">
        <v>42</v>
      </c>
      <c r="AG1148" s="37" t="s">
        <v>42</v>
      </c>
      <c r="AH1148" s="37" t="s">
        <v>42</v>
      </c>
      <c r="AI1148" s="29" t="str">
        <f t="shared" si="661"/>
        <v>----</v>
      </c>
      <c r="AJ1148" s="38" t="str">
        <f t="shared" si="7"/>
        <v>Paper has link but no statement</v>
      </c>
      <c r="AK1148" s="39">
        <v>45070.0</v>
      </c>
      <c r="AL1148" s="23" t="s">
        <v>43</v>
      </c>
      <c r="AM1148" s="40" t="str">
        <f t="shared" si="8"/>
        <v>[IP2142]</v>
      </c>
    </row>
    <row r="1149" ht="67.5" customHeight="1">
      <c r="A1149" s="41">
        <v>2143.0</v>
      </c>
      <c r="B1149" s="42" t="s">
        <v>3130</v>
      </c>
      <c r="C1149" s="43">
        <v>2023.0</v>
      </c>
      <c r="D1149" s="44" t="s">
        <v>35</v>
      </c>
      <c r="E1149" s="45" t="s">
        <v>36</v>
      </c>
      <c r="F1149" s="45" t="s">
        <v>36</v>
      </c>
      <c r="G1149" s="45" t="s">
        <v>36</v>
      </c>
      <c r="H1149" s="45" t="s">
        <v>36</v>
      </c>
      <c r="I1149" s="45" t="s">
        <v>36</v>
      </c>
      <c r="J1149" s="46" t="s">
        <v>36</v>
      </c>
      <c r="K1149" s="47" t="s">
        <v>37</v>
      </c>
      <c r="L1149" s="48" t="s">
        <v>37</v>
      </c>
      <c r="M1149" s="48" t="s">
        <v>35</v>
      </c>
      <c r="N1149" s="48" t="s">
        <v>37</v>
      </c>
      <c r="O1149" s="48" t="s">
        <v>35</v>
      </c>
      <c r="P1149" s="48" t="s">
        <v>35</v>
      </c>
      <c r="Q1149" s="48" t="s">
        <v>35</v>
      </c>
      <c r="R1149" s="48" t="s">
        <v>37</v>
      </c>
      <c r="S1149" s="49" t="s">
        <v>3131</v>
      </c>
      <c r="T1149" s="50" t="s">
        <v>3132</v>
      </c>
      <c r="U1149" s="51" t="s">
        <v>3133</v>
      </c>
      <c r="V1149" s="52">
        <f t="shared" ref="V1149:X1149" si="1155">IF(lenb(SUBSTITUTE($Z1149,V$1&amp;" (1)",""))&lt;lenb($Z1149),1,IF(lenb(SUBSTITUTE($Z1149,V$1&amp;" (2)",""))&lt;lenb($Z1149),2,IF(lenb(SUBSTITUTE($Z1149,V$1&amp;" (3)",""))&lt;lenb($Z1149),3,IF(lenb(SUBSTITUTE($Z1149,V$1&amp;" (4)",""))&lt;lenb($Z1149),4,IF(lenb(SUBSTITUTE($Z1149,V$1&amp;" (5)",""))&lt;lenb($Z1149),5,IF(lenb(SUBSTITUTE($Z1149,V$1&amp;" (6)",""))&lt;lenb($Z1149),6,IF(lenb(SUBSTITUTE($Z1149,V$1&amp;" (7)",""))&lt;lenb($Z1149),1,IF(lenb(SUBSTITUTE($Z1149,V$1&amp;" (8)",""))&lt;lenb($Z1149),8,IF(lenb(SUBSTITUTE($Z1149,V$1&amp;" (9)",""))&lt;lenb($Z1149),9,IF(lenb(SUBSTITUTE($Z1149,V$1&amp;" (10)",""))&lt;lenb($Z1149),10,IF(lenb(SUBSTITUTE($Z1149,V$1,""))&lt;lenb($Z1149),"ERROR",IF($Z1149=$Y$1,"-",0))))))))))))</f>
        <v>1</v>
      </c>
      <c r="W1149" s="52">
        <f t="shared" si="1155"/>
        <v>0</v>
      </c>
      <c r="X1149" s="52">
        <f t="shared" si="1155"/>
        <v>0</v>
      </c>
      <c r="Y1149" s="52" t="str">
        <f t="shared" si="3"/>
        <v>-</v>
      </c>
      <c r="Z1149" s="52" t="s">
        <v>62</v>
      </c>
      <c r="AA1149" s="53">
        <f t="shared" si="4"/>
        <v>1</v>
      </c>
      <c r="AB1149" s="54">
        <f>COUNTIFS(Links!B:B,"ICSE",Links!C:C,A1149,Links!AD:AD,1)</f>
        <v>0</v>
      </c>
      <c r="AC1149" s="55" t="s">
        <v>35</v>
      </c>
      <c r="AD1149" s="47" t="str">
        <f t="shared" si="5"/>
        <v>No</v>
      </c>
      <c r="AE1149" s="56" t="s">
        <v>36</v>
      </c>
      <c r="AF1149" s="57" t="s">
        <v>42</v>
      </c>
      <c r="AG1149" s="57" t="s">
        <v>42</v>
      </c>
      <c r="AH1149" s="57" t="s">
        <v>42</v>
      </c>
      <c r="AI1149" s="49" t="str">
        <f t="shared" si="661"/>
        <v>----</v>
      </c>
      <c r="AJ1149" s="58" t="str">
        <f t="shared" si="7"/>
        <v>Paper has link but no statement</v>
      </c>
      <c r="AK1149" s="59">
        <v>45070.0</v>
      </c>
      <c r="AL1149" s="43" t="s">
        <v>43</v>
      </c>
      <c r="AM1149" s="60" t="str">
        <f t="shared" si="8"/>
        <v>[IP2143]</v>
      </c>
    </row>
    <row r="1150" ht="67.5" customHeight="1">
      <c r="A1150" s="61">
        <v>2144.0</v>
      </c>
      <c r="B1150" s="22" t="s">
        <v>3134</v>
      </c>
      <c r="C1150" s="23">
        <v>2023.0</v>
      </c>
      <c r="D1150" s="24" t="s">
        <v>37</v>
      </c>
      <c r="E1150" s="25" t="s">
        <v>37</v>
      </c>
      <c r="F1150" s="25" t="s">
        <v>35</v>
      </c>
      <c r="G1150" s="25" t="s">
        <v>37</v>
      </c>
      <c r="H1150" s="25" t="s">
        <v>35</v>
      </c>
      <c r="I1150" s="25" t="s">
        <v>35</v>
      </c>
      <c r="J1150" s="26" t="s">
        <v>36</v>
      </c>
      <c r="K1150" s="27" t="s">
        <v>37</v>
      </c>
      <c r="L1150" s="28" t="s">
        <v>35</v>
      </c>
      <c r="M1150" s="28" t="s">
        <v>35</v>
      </c>
      <c r="N1150" s="28" t="s">
        <v>37</v>
      </c>
      <c r="O1150" s="28" t="s">
        <v>35</v>
      </c>
      <c r="P1150" s="28" t="s">
        <v>37</v>
      </c>
      <c r="Q1150" s="28" t="s">
        <v>35</v>
      </c>
      <c r="R1150" s="28" t="s">
        <v>37</v>
      </c>
      <c r="S1150" s="29" t="s">
        <v>3135</v>
      </c>
      <c r="T1150" s="30" t="s">
        <v>3136</v>
      </c>
      <c r="U1150" s="31" t="s">
        <v>3136</v>
      </c>
      <c r="V1150" s="32">
        <f t="shared" ref="V1150:X1150" si="1156">IF(lenb(SUBSTITUTE($Z1150,V$1&amp;" (1)",""))&lt;lenb($Z1150),1,IF(lenb(SUBSTITUTE($Z1150,V$1&amp;" (2)",""))&lt;lenb($Z1150),2,IF(lenb(SUBSTITUTE($Z1150,V$1&amp;" (3)",""))&lt;lenb($Z1150),3,IF(lenb(SUBSTITUTE($Z1150,V$1&amp;" (4)",""))&lt;lenb($Z1150),4,IF(lenb(SUBSTITUTE($Z1150,V$1&amp;" (5)",""))&lt;lenb($Z1150),5,IF(lenb(SUBSTITUTE($Z1150,V$1&amp;" (6)",""))&lt;lenb($Z1150),6,IF(lenb(SUBSTITUTE($Z1150,V$1&amp;" (7)",""))&lt;lenb($Z1150),1,IF(lenb(SUBSTITUTE($Z1150,V$1&amp;" (8)",""))&lt;lenb($Z1150),8,IF(lenb(SUBSTITUTE($Z1150,V$1&amp;" (9)",""))&lt;lenb($Z1150),9,IF(lenb(SUBSTITUTE($Z1150,V$1&amp;" (10)",""))&lt;lenb($Z1150),10,IF(lenb(SUBSTITUTE($Z1150,V$1,""))&lt;lenb($Z1150),"ERROR",IF($Z1150=$Y$1,"-",0))))))))))))</f>
        <v>1</v>
      </c>
      <c r="W1150" s="32">
        <f t="shared" si="1156"/>
        <v>0</v>
      </c>
      <c r="X1150" s="32">
        <f t="shared" si="1156"/>
        <v>0</v>
      </c>
      <c r="Y1150" s="32" t="str">
        <f t="shared" si="3"/>
        <v>-</v>
      </c>
      <c r="Z1150" s="32" t="s">
        <v>62</v>
      </c>
      <c r="AA1150" s="33">
        <f t="shared" si="4"/>
        <v>1</v>
      </c>
      <c r="AB1150" s="34">
        <f>COUNTIFS(Links!B:B,"ICSE",Links!C:C,A1150,Links!AD:AD,1)</f>
        <v>0</v>
      </c>
      <c r="AC1150" s="35" t="s">
        <v>37</v>
      </c>
      <c r="AD1150" s="27" t="str">
        <f t="shared" si="5"/>
        <v>No</v>
      </c>
      <c r="AE1150" s="36" t="s">
        <v>36</v>
      </c>
      <c r="AF1150" s="37" t="s">
        <v>42</v>
      </c>
      <c r="AG1150" s="37" t="s">
        <v>42</v>
      </c>
      <c r="AH1150" s="37" t="s">
        <v>42</v>
      </c>
      <c r="AI1150" s="29" t="str">
        <f t="shared" si="661"/>
        <v>----</v>
      </c>
      <c r="AJ1150" s="38" t="str">
        <f t="shared" si="7"/>
        <v>Paper has link but no statement</v>
      </c>
      <c r="AK1150" s="39">
        <v>45070.0</v>
      </c>
      <c r="AL1150" s="23" t="s">
        <v>43</v>
      </c>
      <c r="AM1150" s="40" t="str">
        <f t="shared" si="8"/>
        <v>[IP2144]</v>
      </c>
    </row>
    <row r="1151" ht="67.5" customHeight="1">
      <c r="A1151" s="41">
        <v>2145.0</v>
      </c>
      <c r="B1151" s="42" t="s">
        <v>3137</v>
      </c>
      <c r="C1151" s="43">
        <v>2023.0</v>
      </c>
      <c r="D1151" s="44" t="s">
        <v>37</v>
      </c>
      <c r="E1151" s="45" t="s">
        <v>37</v>
      </c>
      <c r="F1151" s="45" t="s">
        <v>37</v>
      </c>
      <c r="G1151" s="45" t="s">
        <v>35</v>
      </c>
      <c r="H1151" s="45" t="s">
        <v>35</v>
      </c>
      <c r="I1151" s="45" t="s">
        <v>35</v>
      </c>
      <c r="J1151" s="46" t="s">
        <v>36</v>
      </c>
      <c r="K1151" s="47" t="s">
        <v>37</v>
      </c>
      <c r="L1151" s="48" t="s">
        <v>35</v>
      </c>
      <c r="M1151" s="48" t="s">
        <v>35</v>
      </c>
      <c r="N1151" s="48" t="s">
        <v>37</v>
      </c>
      <c r="O1151" s="48" t="s">
        <v>35</v>
      </c>
      <c r="P1151" s="48" t="s">
        <v>35</v>
      </c>
      <c r="Q1151" s="48" t="s">
        <v>35</v>
      </c>
      <c r="R1151" s="48" t="s">
        <v>35</v>
      </c>
      <c r="S1151" s="49" t="s">
        <v>289</v>
      </c>
      <c r="T1151" s="50" t="s">
        <v>3138</v>
      </c>
      <c r="U1151" s="51" t="s">
        <v>3138</v>
      </c>
      <c r="V1151" s="52">
        <f t="shared" ref="V1151:X1151" si="1157">IF(lenb(SUBSTITUTE($Z1151,V$1&amp;" (1)",""))&lt;lenb($Z1151),1,IF(lenb(SUBSTITUTE($Z1151,V$1&amp;" (2)",""))&lt;lenb($Z1151),2,IF(lenb(SUBSTITUTE($Z1151,V$1&amp;" (3)",""))&lt;lenb($Z1151),3,IF(lenb(SUBSTITUTE($Z1151,V$1&amp;" (4)",""))&lt;lenb($Z1151),4,IF(lenb(SUBSTITUTE($Z1151,V$1&amp;" (5)",""))&lt;lenb($Z1151),5,IF(lenb(SUBSTITUTE($Z1151,V$1&amp;" (6)",""))&lt;lenb($Z1151),6,IF(lenb(SUBSTITUTE($Z1151,V$1&amp;" (7)",""))&lt;lenb($Z1151),1,IF(lenb(SUBSTITUTE($Z1151,V$1&amp;" (8)",""))&lt;lenb($Z1151),8,IF(lenb(SUBSTITUTE($Z1151,V$1&amp;" (9)",""))&lt;lenb($Z1151),9,IF(lenb(SUBSTITUTE($Z1151,V$1&amp;" (10)",""))&lt;lenb($Z1151),10,IF(lenb(SUBSTITUTE($Z1151,V$1,""))&lt;lenb($Z1151),"ERROR",IF($Z1151=$Y$1,"-",0))))))))))))</f>
        <v>1</v>
      </c>
      <c r="W1151" s="52">
        <f t="shared" si="1157"/>
        <v>0</v>
      </c>
      <c r="X1151" s="52">
        <f t="shared" si="1157"/>
        <v>0</v>
      </c>
      <c r="Y1151" s="52" t="str">
        <f t="shared" si="3"/>
        <v>-</v>
      </c>
      <c r="Z1151" s="52" t="s">
        <v>62</v>
      </c>
      <c r="AA1151" s="53">
        <f t="shared" si="4"/>
        <v>1</v>
      </c>
      <c r="AB1151" s="54">
        <f>COUNTIFS(Links!B:B,"ICSE",Links!C:C,A1151,Links!AD:AD,1)</f>
        <v>0</v>
      </c>
      <c r="AC1151" s="55" t="s">
        <v>35</v>
      </c>
      <c r="AD1151" s="47" t="str">
        <f t="shared" si="5"/>
        <v>No</v>
      </c>
      <c r="AE1151" s="56" t="s">
        <v>36</v>
      </c>
      <c r="AF1151" s="57" t="s">
        <v>42</v>
      </c>
      <c r="AG1151" s="57" t="s">
        <v>42</v>
      </c>
      <c r="AH1151" s="57" t="s">
        <v>42</v>
      </c>
      <c r="AI1151" s="49" t="str">
        <f t="shared" si="661"/>
        <v>----</v>
      </c>
      <c r="AJ1151" s="58" t="str">
        <f t="shared" si="7"/>
        <v>Paper has link but no statement</v>
      </c>
      <c r="AK1151" s="59">
        <v>45070.0</v>
      </c>
      <c r="AL1151" s="43" t="s">
        <v>43</v>
      </c>
      <c r="AM1151" s="60" t="str">
        <f t="shared" si="8"/>
        <v>[IP2145]</v>
      </c>
    </row>
    <row r="1152" ht="67.5" customHeight="1">
      <c r="A1152" s="61">
        <v>2146.0</v>
      </c>
      <c r="B1152" s="22" t="s">
        <v>3139</v>
      </c>
      <c r="C1152" s="23">
        <v>2023.0</v>
      </c>
      <c r="D1152" s="24" t="s">
        <v>37</v>
      </c>
      <c r="E1152" s="25" t="s">
        <v>37</v>
      </c>
      <c r="F1152" s="25" t="s">
        <v>35</v>
      </c>
      <c r="G1152" s="25" t="s">
        <v>37</v>
      </c>
      <c r="H1152" s="25" t="s">
        <v>35</v>
      </c>
      <c r="I1152" s="25" t="s">
        <v>35</v>
      </c>
      <c r="J1152" s="26" t="s">
        <v>36</v>
      </c>
      <c r="K1152" s="27" t="s">
        <v>37</v>
      </c>
      <c r="L1152" s="28" t="s">
        <v>37</v>
      </c>
      <c r="M1152" s="28" t="s">
        <v>37</v>
      </c>
      <c r="N1152" s="28" t="s">
        <v>37</v>
      </c>
      <c r="O1152" s="28" t="s">
        <v>35</v>
      </c>
      <c r="P1152" s="28" t="s">
        <v>35</v>
      </c>
      <c r="Q1152" s="28" t="s">
        <v>35</v>
      </c>
      <c r="R1152" s="28" t="s">
        <v>37</v>
      </c>
      <c r="S1152" s="29" t="s">
        <v>3140</v>
      </c>
      <c r="T1152" s="30" t="s">
        <v>3141</v>
      </c>
      <c r="U1152" s="31" t="s">
        <v>3142</v>
      </c>
      <c r="V1152" s="32">
        <f t="shared" ref="V1152:X1152" si="1158">IF(lenb(SUBSTITUTE($Z1152,V$1&amp;" (1)",""))&lt;lenb($Z1152),1,IF(lenb(SUBSTITUTE($Z1152,V$1&amp;" (2)",""))&lt;lenb($Z1152),2,IF(lenb(SUBSTITUTE($Z1152,V$1&amp;" (3)",""))&lt;lenb($Z1152),3,IF(lenb(SUBSTITUTE($Z1152,V$1&amp;" (4)",""))&lt;lenb($Z1152),4,IF(lenb(SUBSTITUTE($Z1152,V$1&amp;" (5)",""))&lt;lenb($Z1152),5,IF(lenb(SUBSTITUTE($Z1152,V$1&amp;" (6)",""))&lt;lenb($Z1152),6,IF(lenb(SUBSTITUTE($Z1152,V$1&amp;" (7)",""))&lt;lenb($Z1152),1,IF(lenb(SUBSTITUTE($Z1152,V$1&amp;" (8)",""))&lt;lenb($Z1152),8,IF(lenb(SUBSTITUTE($Z1152,V$1&amp;" (9)",""))&lt;lenb($Z1152),9,IF(lenb(SUBSTITUTE($Z1152,V$1&amp;" (10)",""))&lt;lenb($Z1152),10,IF(lenb(SUBSTITUTE($Z1152,V$1,""))&lt;lenb($Z1152),"ERROR",IF($Z1152=$Y$1,"-",0))))))))))))</f>
        <v>1</v>
      </c>
      <c r="W1152" s="32">
        <f t="shared" si="1158"/>
        <v>0</v>
      </c>
      <c r="X1152" s="32">
        <f t="shared" si="1158"/>
        <v>0</v>
      </c>
      <c r="Y1152" s="32" t="str">
        <f t="shared" si="3"/>
        <v>-</v>
      </c>
      <c r="Z1152" s="32" t="s">
        <v>62</v>
      </c>
      <c r="AA1152" s="33">
        <f t="shared" si="4"/>
        <v>1</v>
      </c>
      <c r="AB1152" s="34">
        <f>COUNTIFS(Links!B:B,"ICSE",Links!C:C,A1152,Links!AD:AD,1)</f>
        <v>0</v>
      </c>
      <c r="AC1152" s="35" t="s">
        <v>35</v>
      </c>
      <c r="AD1152" s="27" t="str">
        <f t="shared" si="5"/>
        <v>No</v>
      </c>
      <c r="AE1152" s="36" t="s">
        <v>36</v>
      </c>
      <c r="AF1152" s="37" t="s">
        <v>42</v>
      </c>
      <c r="AG1152" s="37" t="s">
        <v>42</v>
      </c>
      <c r="AH1152" s="37" t="s">
        <v>42</v>
      </c>
      <c r="AI1152" s="29" t="str">
        <f t="shared" si="661"/>
        <v>----</v>
      </c>
      <c r="AJ1152" s="38" t="str">
        <f t="shared" si="7"/>
        <v>Paper has link but no statement</v>
      </c>
      <c r="AK1152" s="39">
        <v>45070.0</v>
      </c>
      <c r="AL1152" s="23" t="s">
        <v>43</v>
      </c>
      <c r="AM1152" s="40" t="str">
        <f t="shared" si="8"/>
        <v>[IP2146]</v>
      </c>
    </row>
    <row r="1153" ht="67.5" customHeight="1">
      <c r="A1153" s="41">
        <v>2147.0</v>
      </c>
      <c r="B1153" s="42" t="s">
        <v>3143</v>
      </c>
      <c r="C1153" s="43">
        <v>2023.0</v>
      </c>
      <c r="D1153" s="44" t="s">
        <v>35</v>
      </c>
      <c r="E1153" s="45" t="s">
        <v>36</v>
      </c>
      <c r="F1153" s="45" t="s">
        <v>36</v>
      </c>
      <c r="G1153" s="45" t="s">
        <v>36</v>
      </c>
      <c r="H1153" s="45" t="s">
        <v>36</v>
      </c>
      <c r="I1153" s="45" t="s">
        <v>36</v>
      </c>
      <c r="J1153" s="46" t="s">
        <v>36</v>
      </c>
      <c r="K1153" s="47" t="s">
        <v>37</v>
      </c>
      <c r="L1153" s="48" t="s">
        <v>35</v>
      </c>
      <c r="M1153" s="48" t="s">
        <v>37</v>
      </c>
      <c r="N1153" s="48" t="s">
        <v>35</v>
      </c>
      <c r="O1153" s="48" t="s">
        <v>35</v>
      </c>
      <c r="P1153" s="48" t="s">
        <v>35</v>
      </c>
      <c r="Q1153" s="48" t="s">
        <v>35</v>
      </c>
      <c r="R1153" s="48" t="s">
        <v>37</v>
      </c>
      <c r="S1153" s="49" t="s">
        <v>3144</v>
      </c>
      <c r="T1153" s="50" t="s">
        <v>3145</v>
      </c>
      <c r="U1153" s="51" t="s">
        <v>3146</v>
      </c>
      <c r="V1153" s="52">
        <f t="shared" ref="V1153:X1153" si="1159">IF(lenb(SUBSTITUTE($Z1153,V$1&amp;" (1)",""))&lt;lenb($Z1153),1,IF(lenb(SUBSTITUTE($Z1153,V$1&amp;" (2)",""))&lt;lenb($Z1153),2,IF(lenb(SUBSTITUTE($Z1153,V$1&amp;" (3)",""))&lt;lenb($Z1153),3,IF(lenb(SUBSTITUTE($Z1153,V$1&amp;" (4)",""))&lt;lenb($Z1153),4,IF(lenb(SUBSTITUTE($Z1153,V$1&amp;" (5)",""))&lt;lenb($Z1153),5,IF(lenb(SUBSTITUTE($Z1153,V$1&amp;" (6)",""))&lt;lenb($Z1153),6,IF(lenb(SUBSTITUTE($Z1153,V$1&amp;" (7)",""))&lt;lenb($Z1153),1,IF(lenb(SUBSTITUTE($Z1153,V$1&amp;" (8)",""))&lt;lenb($Z1153),8,IF(lenb(SUBSTITUTE($Z1153,V$1&amp;" (9)",""))&lt;lenb($Z1153),9,IF(lenb(SUBSTITUTE($Z1153,V$1&amp;" (10)",""))&lt;lenb($Z1153),10,IF(lenb(SUBSTITUTE($Z1153,V$1,""))&lt;lenb($Z1153),"ERROR",IF($Z1153=$Y$1,"-",0))))))))))))</f>
        <v>1</v>
      </c>
      <c r="W1153" s="52">
        <f t="shared" si="1159"/>
        <v>0</v>
      </c>
      <c r="X1153" s="52">
        <f t="shared" si="1159"/>
        <v>0</v>
      </c>
      <c r="Y1153" s="52" t="str">
        <f t="shared" si="3"/>
        <v>-</v>
      </c>
      <c r="Z1153" s="52" t="s">
        <v>62</v>
      </c>
      <c r="AA1153" s="53">
        <f t="shared" si="4"/>
        <v>1</v>
      </c>
      <c r="AB1153" s="54">
        <f>COUNTIFS(Links!B:B,"ICSE",Links!C:C,A1153,Links!AD:AD,1)</f>
        <v>0</v>
      </c>
      <c r="AC1153" s="55" t="s">
        <v>35</v>
      </c>
      <c r="AD1153" s="47" t="str">
        <f t="shared" si="5"/>
        <v>No</v>
      </c>
      <c r="AE1153" s="56" t="s">
        <v>36</v>
      </c>
      <c r="AF1153" s="57" t="s">
        <v>42</v>
      </c>
      <c r="AG1153" s="57" t="s">
        <v>42</v>
      </c>
      <c r="AH1153" s="57" t="s">
        <v>42</v>
      </c>
      <c r="AI1153" s="49" t="str">
        <f t="shared" si="661"/>
        <v>----</v>
      </c>
      <c r="AJ1153" s="58" t="str">
        <f t="shared" si="7"/>
        <v>Paper has link but no statement</v>
      </c>
      <c r="AK1153" s="59">
        <v>45070.0</v>
      </c>
      <c r="AL1153" s="43" t="s">
        <v>43</v>
      </c>
      <c r="AM1153" s="60" t="str">
        <f t="shared" si="8"/>
        <v>[IP2147]</v>
      </c>
    </row>
    <row r="1154" ht="67.5" customHeight="1">
      <c r="A1154" s="61">
        <v>2148.0</v>
      </c>
      <c r="B1154" s="22" t="s">
        <v>3147</v>
      </c>
      <c r="C1154" s="23">
        <v>2023.0</v>
      </c>
      <c r="D1154" s="24" t="s">
        <v>37</v>
      </c>
      <c r="E1154" s="25" t="s">
        <v>37</v>
      </c>
      <c r="F1154" s="25" t="s">
        <v>35</v>
      </c>
      <c r="G1154" s="25" t="s">
        <v>37</v>
      </c>
      <c r="H1154" s="25" t="s">
        <v>35</v>
      </c>
      <c r="I1154" s="25" t="s">
        <v>35</v>
      </c>
      <c r="J1154" s="26" t="s">
        <v>36</v>
      </c>
      <c r="K1154" s="27" t="s">
        <v>37</v>
      </c>
      <c r="L1154" s="28" t="s">
        <v>35</v>
      </c>
      <c r="M1154" s="28" t="s">
        <v>35</v>
      </c>
      <c r="N1154" s="28" t="s">
        <v>35</v>
      </c>
      <c r="O1154" s="28" t="s">
        <v>35</v>
      </c>
      <c r="P1154" s="28" t="s">
        <v>35</v>
      </c>
      <c r="Q1154" s="28" t="s">
        <v>35</v>
      </c>
      <c r="R1154" s="28" t="s">
        <v>37</v>
      </c>
      <c r="S1154" s="29" t="s">
        <v>437</v>
      </c>
      <c r="T1154" s="30" t="s">
        <v>3148</v>
      </c>
      <c r="U1154" s="31" t="s">
        <v>3148</v>
      </c>
      <c r="V1154" s="32">
        <f t="shared" ref="V1154:X1154" si="1160">IF(lenb(SUBSTITUTE($Z1154,V$1&amp;" (1)",""))&lt;lenb($Z1154),1,IF(lenb(SUBSTITUTE($Z1154,V$1&amp;" (2)",""))&lt;lenb($Z1154),2,IF(lenb(SUBSTITUTE($Z1154,V$1&amp;" (3)",""))&lt;lenb($Z1154),3,IF(lenb(SUBSTITUTE($Z1154,V$1&amp;" (4)",""))&lt;lenb($Z1154),4,IF(lenb(SUBSTITUTE($Z1154,V$1&amp;" (5)",""))&lt;lenb($Z1154),5,IF(lenb(SUBSTITUTE($Z1154,V$1&amp;" (6)",""))&lt;lenb($Z1154),6,IF(lenb(SUBSTITUTE($Z1154,V$1&amp;" (7)",""))&lt;lenb($Z1154),1,IF(lenb(SUBSTITUTE($Z1154,V$1&amp;" (8)",""))&lt;lenb($Z1154),8,IF(lenb(SUBSTITUTE($Z1154,V$1&amp;" (9)",""))&lt;lenb($Z1154),9,IF(lenb(SUBSTITUTE($Z1154,V$1&amp;" (10)",""))&lt;lenb($Z1154),10,IF(lenb(SUBSTITUTE($Z1154,V$1,""))&lt;lenb($Z1154),"ERROR",IF($Z1154=$Y$1,"-",0))))))))))))</f>
        <v>1</v>
      </c>
      <c r="W1154" s="32">
        <f t="shared" si="1160"/>
        <v>0</v>
      </c>
      <c r="X1154" s="32">
        <f t="shared" si="1160"/>
        <v>0</v>
      </c>
      <c r="Y1154" s="32" t="str">
        <f t="shared" si="3"/>
        <v>-</v>
      </c>
      <c r="Z1154" s="32" t="s">
        <v>62</v>
      </c>
      <c r="AA1154" s="33">
        <f t="shared" si="4"/>
        <v>1</v>
      </c>
      <c r="AB1154" s="34">
        <f>COUNTIFS(Links!B:B,"ICSE",Links!C:C,A1154,Links!AD:AD,1)</f>
        <v>0</v>
      </c>
      <c r="AC1154" s="35" t="s">
        <v>35</v>
      </c>
      <c r="AD1154" s="27" t="str">
        <f t="shared" si="5"/>
        <v>No</v>
      </c>
      <c r="AE1154" s="36" t="s">
        <v>36</v>
      </c>
      <c r="AF1154" s="37" t="s">
        <v>42</v>
      </c>
      <c r="AG1154" s="37" t="s">
        <v>42</v>
      </c>
      <c r="AH1154" s="37" t="s">
        <v>42</v>
      </c>
      <c r="AI1154" s="29" t="str">
        <f t="shared" si="661"/>
        <v>----</v>
      </c>
      <c r="AJ1154" s="38" t="str">
        <f t="shared" si="7"/>
        <v>Paper has link but no statement</v>
      </c>
      <c r="AK1154" s="39">
        <v>45070.0</v>
      </c>
      <c r="AL1154" s="23" t="s">
        <v>43</v>
      </c>
      <c r="AM1154" s="40" t="str">
        <f t="shared" si="8"/>
        <v>[IP2148]</v>
      </c>
    </row>
    <row r="1155" ht="67.5" customHeight="1">
      <c r="A1155" s="41">
        <v>2149.0</v>
      </c>
      <c r="B1155" s="42" t="s">
        <v>3149</v>
      </c>
      <c r="C1155" s="43">
        <v>2023.0</v>
      </c>
      <c r="D1155" s="44" t="s">
        <v>37</v>
      </c>
      <c r="E1155" s="45" t="s">
        <v>37</v>
      </c>
      <c r="F1155" s="45" t="s">
        <v>35</v>
      </c>
      <c r="G1155" s="45" t="s">
        <v>37</v>
      </c>
      <c r="H1155" s="45" t="s">
        <v>35</v>
      </c>
      <c r="I1155" s="45" t="s">
        <v>35</v>
      </c>
      <c r="J1155" s="46" t="s">
        <v>36</v>
      </c>
      <c r="K1155" s="47" t="s">
        <v>37</v>
      </c>
      <c r="L1155" s="48" t="s">
        <v>35</v>
      </c>
      <c r="M1155" s="48" t="s">
        <v>35</v>
      </c>
      <c r="N1155" s="48" t="s">
        <v>35</v>
      </c>
      <c r="O1155" s="48" t="s">
        <v>35</v>
      </c>
      <c r="P1155" s="48" t="s">
        <v>35</v>
      </c>
      <c r="Q1155" s="48" t="s">
        <v>37</v>
      </c>
      <c r="R1155" s="48" t="s">
        <v>35</v>
      </c>
      <c r="S1155" s="49" t="s">
        <v>2848</v>
      </c>
      <c r="T1155" s="50" t="s">
        <v>3150</v>
      </c>
      <c r="U1155" s="51" t="s">
        <v>3150</v>
      </c>
      <c r="V1155" s="52">
        <f t="shared" ref="V1155:X1155" si="1161">IF(lenb(SUBSTITUTE($Z1155,V$1&amp;" (1)",""))&lt;lenb($Z1155),1,IF(lenb(SUBSTITUTE($Z1155,V$1&amp;" (2)",""))&lt;lenb($Z1155),2,IF(lenb(SUBSTITUTE($Z1155,V$1&amp;" (3)",""))&lt;lenb($Z1155),3,IF(lenb(SUBSTITUTE($Z1155,V$1&amp;" (4)",""))&lt;lenb($Z1155),4,IF(lenb(SUBSTITUTE($Z1155,V$1&amp;" (5)",""))&lt;lenb($Z1155),5,IF(lenb(SUBSTITUTE($Z1155,V$1&amp;" (6)",""))&lt;lenb($Z1155),6,IF(lenb(SUBSTITUTE($Z1155,V$1&amp;" (7)",""))&lt;lenb($Z1155),1,IF(lenb(SUBSTITUTE($Z1155,V$1&amp;" (8)",""))&lt;lenb($Z1155),8,IF(lenb(SUBSTITUTE($Z1155,V$1&amp;" (9)",""))&lt;lenb($Z1155),9,IF(lenb(SUBSTITUTE($Z1155,V$1&amp;" (10)",""))&lt;lenb($Z1155),10,IF(lenb(SUBSTITUTE($Z1155,V$1,""))&lt;lenb($Z1155),"ERROR",IF($Z1155=$Y$1,"-",0))))))))))))</f>
        <v>1</v>
      </c>
      <c r="W1155" s="52">
        <f t="shared" si="1161"/>
        <v>0</v>
      </c>
      <c r="X1155" s="52">
        <f t="shared" si="1161"/>
        <v>0</v>
      </c>
      <c r="Y1155" s="52" t="str">
        <f t="shared" si="3"/>
        <v>-</v>
      </c>
      <c r="Z1155" s="52" t="s">
        <v>62</v>
      </c>
      <c r="AA1155" s="53">
        <f t="shared" si="4"/>
        <v>1</v>
      </c>
      <c r="AB1155" s="54">
        <f>COUNTIFS(Links!B:B,"ICSE",Links!C:C,A1155,Links!AD:AD,1)</f>
        <v>0</v>
      </c>
      <c r="AC1155" s="55" t="s">
        <v>37</v>
      </c>
      <c r="AD1155" s="47" t="str">
        <f t="shared" si="5"/>
        <v>Yes</v>
      </c>
      <c r="AE1155" s="56" t="s">
        <v>3151</v>
      </c>
      <c r="AF1155" s="56" t="s">
        <v>822</v>
      </c>
      <c r="AG1155" s="57" t="s">
        <v>42</v>
      </c>
      <c r="AH1155" s="57" t="s">
        <v>42</v>
      </c>
      <c r="AI1155" s="49" t="str">
        <f t="shared" si="661"/>
        <v>Limited access (Request required)</v>
      </c>
      <c r="AJ1155" s="58" t="str">
        <f t="shared" si="7"/>
        <v>Paper has link and statement</v>
      </c>
      <c r="AK1155" s="59">
        <v>45070.0</v>
      </c>
      <c r="AL1155" s="43" t="s">
        <v>43</v>
      </c>
      <c r="AM1155" s="60" t="str">
        <f t="shared" si="8"/>
        <v>[IP2149]</v>
      </c>
    </row>
    <row r="1156" ht="67.5" customHeight="1">
      <c r="A1156" s="61">
        <v>2150.0</v>
      </c>
      <c r="B1156" s="22" t="s">
        <v>3152</v>
      </c>
      <c r="C1156" s="23">
        <v>2023.0</v>
      </c>
      <c r="D1156" s="24" t="s">
        <v>35</v>
      </c>
      <c r="E1156" s="25" t="s">
        <v>36</v>
      </c>
      <c r="F1156" s="25" t="s">
        <v>36</v>
      </c>
      <c r="G1156" s="25" t="s">
        <v>36</v>
      </c>
      <c r="H1156" s="25" t="s">
        <v>36</v>
      </c>
      <c r="I1156" s="25" t="s">
        <v>36</v>
      </c>
      <c r="J1156" s="26" t="s">
        <v>36</v>
      </c>
      <c r="K1156" s="27" t="s">
        <v>37</v>
      </c>
      <c r="L1156" s="28" t="s">
        <v>37</v>
      </c>
      <c r="M1156" s="28" t="s">
        <v>35</v>
      </c>
      <c r="N1156" s="28" t="s">
        <v>37</v>
      </c>
      <c r="O1156" s="28" t="s">
        <v>35</v>
      </c>
      <c r="P1156" s="28" t="s">
        <v>35</v>
      </c>
      <c r="Q1156" s="28" t="s">
        <v>35</v>
      </c>
      <c r="R1156" s="28" t="s">
        <v>35</v>
      </c>
      <c r="S1156" s="29" t="s">
        <v>3153</v>
      </c>
      <c r="T1156" s="30" t="s">
        <v>3154</v>
      </c>
      <c r="U1156" s="31" t="s">
        <v>3154</v>
      </c>
      <c r="V1156" s="32">
        <f t="shared" ref="V1156:X1156" si="1162">IF(lenb(SUBSTITUTE($Z1156,V$1&amp;" (1)",""))&lt;lenb($Z1156),1,IF(lenb(SUBSTITUTE($Z1156,V$1&amp;" (2)",""))&lt;lenb($Z1156),2,IF(lenb(SUBSTITUTE($Z1156,V$1&amp;" (3)",""))&lt;lenb($Z1156),3,IF(lenb(SUBSTITUTE($Z1156,V$1&amp;" (4)",""))&lt;lenb($Z1156),4,IF(lenb(SUBSTITUTE($Z1156,V$1&amp;" (5)",""))&lt;lenb($Z1156),5,IF(lenb(SUBSTITUTE($Z1156,V$1&amp;" (6)",""))&lt;lenb($Z1156),6,IF(lenb(SUBSTITUTE($Z1156,V$1&amp;" (7)",""))&lt;lenb($Z1156),1,IF(lenb(SUBSTITUTE($Z1156,V$1&amp;" (8)",""))&lt;lenb($Z1156),8,IF(lenb(SUBSTITUTE($Z1156,V$1&amp;" (9)",""))&lt;lenb($Z1156),9,IF(lenb(SUBSTITUTE($Z1156,V$1&amp;" (10)",""))&lt;lenb($Z1156),10,IF(lenb(SUBSTITUTE($Z1156,V$1,""))&lt;lenb($Z1156),"ERROR",IF($Z1156=$Y$1,"-",0))))))))))))</f>
        <v>1</v>
      </c>
      <c r="W1156" s="32">
        <f t="shared" si="1162"/>
        <v>0</v>
      </c>
      <c r="X1156" s="32">
        <f t="shared" si="1162"/>
        <v>0</v>
      </c>
      <c r="Y1156" s="32" t="str">
        <f t="shared" si="3"/>
        <v>-</v>
      </c>
      <c r="Z1156" s="32" t="s">
        <v>62</v>
      </c>
      <c r="AA1156" s="33">
        <f t="shared" si="4"/>
        <v>1</v>
      </c>
      <c r="AB1156" s="34">
        <f>COUNTIFS(Links!B:B,"ICSE",Links!C:C,A1156,Links!AD:AD,1)</f>
        <v>0</v>
      </c>
      <c r="AC1156" s="35" t="s">
        <v>35</v>
      </c>
      <c r="AD1156" s="27" t="str">
        <f t="shared" si="5"/>
        <v>No</v>
      </c>
      <c r="AE1156" s="36" t="s">
        <v>36</v>
      </c>
      <c r="AF1156" s="37" t="s">
        <v>42</v>
      </c>
      <c r="AG1156" s="37" t="s">
        <v>42</v>
      </c>
      <c r="AH1156" s="37" t="s">
        <v>42</v>
      </c>
      <c r="AI1156" s="29" t="str">
        <f t="shared" si="661"/>
        <v>----</v>
      </c>
      <c r="AJ1156" s="38" t="str">
        <f t="shared" si="7"/>
        <v>Paper has link but no statement</v>
      </c>
      <c r="AK1156" s="39">
        <v>45070.0</v>
      </c>
      <c r="AL1156" s="23" t="s">
        <v>43</v>
      </c>
      <c r="AM1156" s="40" t="str">
        <f t="shared" si="8"/>
        <v>[IP2150]</v>
      </c>
    </row>
    <row r="1157" ht="67.5" customHeight="1">
      <c r="A1157" s="62">
        <v>2151.0</v>
      </c>
      <c r="B1157" s="42" t="s">
        <v>3155</v>
      </c>
      <c r="C1157" s="43">
        <v>2023.0</v>
      </c>
      <c r="D1157" s="44" t="s">
        <v>35</v>
      </c>
      <c r="E1157" s="45" t="s">
        <v>36</v>
      </c>
      <c r="F1157" s="45" t="s">
        <v>36</v>
      </c>
      <c r="G1157" s="45" t="s">
        <v>36</v>
      </c>
      <c r="H1157" s="45" t="s">
        <v>36</v>
      </c>
      <c r="I1157" s="45" t="s">
        <v>36</v>
      </c>
      <c r="J1157" s="46" t="s">
        <v>36</v>
      </c>
      <c r="K1157" s="47" t="s">
        <v>35</v>
      </c>
      <c r="L1157" s="48" t="s">
        <v>36</v>
      </c>
      <c r="M1157" s="48" t="s">
        <v>36</v>
      </c>
      <c r="N1157" s="48" t="s">
        <v>36</v>
      </c>
      <c r="O1157" s="48" t="s">
        <v>36</v>
      </c>
      <c r="P1157" s="48" t="s">
        <v>36</v>
      </c>
      <c r="Q1157" s="48" t="s">
        <v>36</v>
      </c>
      <c r="R1157" s="48" t="s">
        <v>36</v>
      </c>
      <c r="S1157" s="49" t="s">
        <v>36</v>
      </c>
      <c r="T1157" s="50" t="s">
        <v>36</v>
      </c>
      <c r="U1157" s="51" t="s">
        <v>36</v>
      </c>
      <c r="V1157" s="52" t="str">
        <f t="shared" ref="V1157:X1157" si="1163">IF(lenb(SUBSTITUTE($Z1157,V$1&amp;" (1)",""))&lt;lenb($Z1157),1,IF(lenb(SUBSTITUTE($Z1157,V$1&amp;" (2)",""))&lt;lenb($Z1157),2,IF(lenb(SUBSTITUTE($Z1157,V$1&amp;" (3)",""))&lt;lenb($Z1157),3,IF(lenb(SUBSTITUTE($Z1157,V$1&amp;" (4)",""))&lt;lenb($Z1157),4,IF(lenb(SUBSTITUTE($Z1157,V$1&amp;" (5)",""))&lt;lenb($Z1157),5,IF(lenb(SUBSTITUTE($Z1157,V$1&amp;" (6)",""))&lt;lenb($Z1157),6,IF(lenb(SUBSTITUTE($Z1157,V$1&amp;" (7)",""))&lt;lenb($Z1157),1,IF(lenb(SUBSTITUTE($Z1157,V$1&amp;" (8)",""))&lt;lenb($Z1157),8,IF(lenb(SUBSTITUTE($Z1157,V$1&amp;" (9)",""))&lt;lenb($Z1157),9,IF(lenb(SUBSTITUTE($Z1157,V$1&amp;" (10)",""))&lt;lenb($Z1157),10,IF(lenb(SUBSTITUTE($Z1157,V$1,""))&lt;lenb($Z1157),"ERROR",IF($Z1157=$Y$1,"-",0))))))))))))</f>
        <v>-</v>
      </c>
      <c r="W1157" s="52" t="str">
        <f t="shared" si="1163"/>
        <v>-</v>
      </c>
      <c r="X1157" s="52" t="str">
        <f t="shared" si="1163"/>
        <v>-</v>
      </c>
      <c r="Y1157" s="52">
        <f t="shared" si="3"/>
        <v>1</v>
      </c>
      <c r="Z1157" s="52" t="s">
        <v>23</v>
      </c>
      <c r="AA1157" s="53">
        <f t="shared" si="4"/>
        <v>0</v>
      </c>
      <c r="AB1157" s="54">
        <f>COUNTIFS(Links!B:B,"ICSE",Links!C:C,A1157,Links!AD:AD,1)</f>
        <v>0</v>
      </c>
      <c r="AC1157" s="55" t="s">
        <v>36</v>
      </c>
      <c r="AD1157" s="47" t="str">
        <f t="shared" si="5"/>
        <v>No</v>
      </c>
      <c r="AE1157" s="56" t="s">
        <v>36</v>
      </c>
      <c r="AF1157" s="57" t="s">
        <v>42</v>
      </c>
      <c r="AG1157" s="57" t="s">
        <v>42</v>
      </c>
      <c r="AH1157" s="57" t="s">
        <v>42</v>
      </c>
      <c r="AI1157" s="49" t="str">
        <f t="shared" si="661"/>
        <v>----</v>
      </c>
      <c r="AJ1157" s="58" t="str">
        <f t="shared" si="7"/>
        <v>Paper has no link and no statement</v>
      </c>
      <c r="AK1157" s="59">
        <v>45070.0</v>
      </c>
      <c r="AL1157" s="43" t="s">
        <v>43</v>
      </c>
      <c r="AM1157" s="60" t="str">
        <f t="shared" si="8"/>
        <v>[IP2151]</v>
      </c>
    </row>
    <row r="1158" ht="67.5" customHeight="1">
      <c r="A1158" s="61">
        <v>2152.0</v>
      </c>
      <c r="B1158" s="22" t="s">
        <v>3156</v>
      </c>
      <c r="C1158" s="23">
        <v>2023.0</v>
      </c>
      <c r="D1158" s="24" t="s">
        <v>35</v>
      </c>
      <c r="E1158" s="25" t="s">
        <v>36</v>
      </c>
      <c r="F1158" s="25" t="s">
        <v>36</v>
      </c>
      <c r="G1158" s="25" t="s">
        <v>36</v>
      </c>
      <c r="H1158" s="25" t="s">
        <v>36</v>
      </c>
      <c r="I1158" s="25" t="s">
        <v>36</v>
      </c>
      <c r="J1158" s="26" t="s">
        <v>36</v>
      </c>
      <c r="K1158" s="27" t="s">
        <v>37</v>
      </c>
      <c r="L1158" s="28" t="s">
        <v>35</v>
      </c>
      <c r="M1158" s="28" t="s">
        <v>37</v>
      </c>
      <c r="N1158" s="28" t="s">
        <v>35</v>
      </c>
      <c r="O1158" s="28" t="s">
        <v>35</v>
      </c>
      <c r="P1158" s="28" t="s">
        <v>35</v>
      </c>
      <c r="Q1158" s="28" t="s">
        <v>35</v>
      </c>
      <c r="R1158" s="28" t="s">
        <v>37</v>
      </c>
      <c r="S1158" s="29" t="s">
        <v>3157</v>
      </c>
      <c r="T1158" s="30" t="s">
        <v>3158</v>
      </c>
      <c r="U1158" s="31" t="s">
        <v>3158</v>
      </c>
      <c r="V1158" s="32">
        <f t="shared" ref="V1158:X1158" si="1164">IF(lenb(SUBSTITUTE($Z1158,V$1&amp;" (1)",""))&lt;lenb($Z1158),1,IF(lenb(SUBSTITUTE($Z1158,V$1&amp;" (2)",""))&lt;lenb($Z1158),2,IF(lenb(SUBSTITUTE($Z1158,V$1&amp;" (3)",""))&lt;lenb($Z1158),3,IF(lenb(SUBSTITUTE($Z1158,V$1&amp;" (4)",""))&lt;lenb($Z1158),4,IF(lenb(SUBSTITUTE($Z1158,V$1&amp;" (5)",""))&lt;lenb($Z1158),5,IF(lenb(SUBSTITUTE($Z1158,V$1&amp;" (6)",""))&lt;lenb($Z1158),6,IF(lenb(SUBSTITUTE($Z1158,V$1&amp;" (7)",""))&lt;lenb($Z1158),1,IF(lenb(SUBSTITUTE($Z1158,V$1&amp;" (8)",""))&lt;lenb($Z1158),8,IF(lenb(SUBSTITUTE($Z1158,V$1&amp;" (9)",""))&lt;lenb($Z1158),9,IF(lenb(SUBSTITUTE($Z1158,V$1&amp;" (10)",""))&lt;lenb($Z1158),10,IF(lenb(SUBSTITUTE($Z1158,V$1,""))&lt;lenb($Z1158),"ERROR",IF($Z1158=$Y$1,"-",0))))))))))))</f>
        <v>1</v>
      </c>
      <c r="W1158" s="32">
        <f t="shared" si="1164"/>
        <v>0</v>
      </c>
      <c r="X1158" s="32">
        <f t="shared" si="1164"/>
        <v>0</v>
      </c>
      <c r="Y1158" s="32" t="str">
        <f t="shared" si="3"/>
        <v>-</v>
      </c>
      <c r="Z1158" s="32" t="s">
        <v>62</v>
      </c>
      <c r="AA1158" s="33">
        <f t="shared" si="4"/>
        <v>1</v>
      </c>
      <c r="AB1158" s="34">
        <f>COUNTIFS(Links!B:B,"ICSE",Links!C:C,A1158,Links!AD:AD,1)</f>
        <v>0</v>
      </c>
      <c r="AC1158" s="35" t="s">
        <v>37</v>
      </c>
      <c r="AD1158" s="27" t="str">
        <f t="shared" si="5"/>
        <v>No</v>
      </c>
      <c r="AE1158" s="36" t="s">
        <v>36</v>
      </c>
      <c r="AF1158" s="37" t="s">
        <v>42</v>
      </c>
      <c r="AG1158" s="37" t="s">
        <v>42</v>
      </c>
      <c r="AH1158" s="37" t="s">
        <v>42</v>
      </c>
      <c r="AI1158" s="29" t="str">
        <f t="shared" si="661"/>
        <v>----</v>
      </c>
      <c r="AJ1158" s="38" t="str">
        <f t="shared" si="7"/>
        <v>Paper has link but no statement</v>
      </c>
      <c r="AK1158" s="39">
        <v>45070.0</v>
      </c>
      <c r="AL1158" s="23" t="s">
        <v>43</v>
      </c>
      <c r="AM1158" s="40" t="str">
        <f t="shared" si="8"/>
        <v>[IP2152]</v>
      </c>
    </row>
    <row r="1159" ht="67.5" customHeight="1">
      <c r="A1159" s="41">
        <v>2153.0</v>
      </c>
      <c r="B1159" s="42" t="s">
        <v>3159</v>
      </c>
      <c r="C1159" s="43">
        <v>2023.0</v>
      </c>
      <c r="D1159" s="44" t="s">
        <v>37</v>
      </c>
      <c r="E1159" s="45" t="s">
        <v>37</v>
      </c>
      <c r="F1159" s="45" t="s">
        <v>35</v>
      </c>
      <c r="G1159" s="45" t="s">
        <v>35</v>
      </c>
      <c r="H1159" s="45" t="s">
        <v>35</v>
      </c>
      <c r="I1159" s="45" t="s">
        <v>35</v>
      </c>
      <c r="J1159" s="46" t="s">
        <v>36</v>
      </c>
      <c r="K1159" s="47" t="s">
        <v>37</v>
      </c>
      <c r="L1159" s="48" t="s">
        <v>35</v>
      </c>
      <c r="M1159" s="48" t="s">
        <v>37</v>
      </c>
      <c r="N1159" s="48" t="s">
        <v>35</v>
      </c>
      <c r="O1159" s="48" t="s">
        <v>35</v>
      </c>
      <c r="P1159" s="48" t="s">
        <v>35</v>
      </c>
      <c r="Q1159" s="48" t="s">
        <v>35</v>
      </c>
      <c r="R1159" s="48" t="s">
        <v>37</v>
      </c>
      <c r="S1159" s="49" t="s">
        <v>3160</v>
      </c>
      <c r="T1159" s="50" t="s">
        <v>3161</v>
      </c>
      <c r="U1159" s="51" t="s">
        <v>3162</v>
      </c>
      <c r="V1159" s="52">
        <f t="shared" ref="V1159:X1159" si="1165">IF(lenb(SUBSTITUTE($Z1159,V$1&amp;" (1)",""))&lt;lenb($Z1159),1,IF(lenb(SUBSTITUTE($Z1159,V$1&amp;" (2)",""))&lt;lenb($Z1159),2,IF(lenb(SUBSTITUTE($Z1159,V$1&amp;" (3)",""))&lt;lenb($Z1159),3,IF(lenb(SUBSTITUTE($Z1159,V$1&amp;" (4)",""))&lt;lenb($Z1159),4,IF(lenb(SUBSTITUTE($Z1159,V$1&amp;" (5)",""))&lt;lenb($Z1159),5,IF(lenb(SUBSTITUTE($Z1159,V$1&amp;" (6)",""))&lt;lenb($Z1159),6,IF(lenb(SUBSTITUTE($Z1159,V$1&amp;" (7)",""))&lt;lenb($Z1159),1,IF(lenb(SUBSTITUTE($Z1159,V$1&amp;" (8)",""))&lt;lenb($Z1159),8,IF(lenb(SUBSTITUTE($Z1159,V$1&amp;" (9)",""))&lt;lenb($Z1159),9,IF(lenb(SUBSTITUTE($Z1159,V$1&amp;" (10)",""))&lt;lenb($Z1159),10,IF(lenb(SUBSTITUTE($Z1159,V$1,""))&lt;lenb($Z1159),"ERROR",IF($Z1159=$Y$1,"-",0))))))))))))</f>
        <v>2</v>
      </c>
      <c r="W1159" s="52">
        <f t="shared" si="1165"/>
        <v>1</v>
      </c>
      <c r="X1159" s="52">
        <f t="shared" si="1165"/>
        <v>0</v>
      </c>
      <c r="Y1159" s="52" t="str">
        <f t="shared" si="3"/>
        <v>-</v>
      </c>
      <c r="Z1159" s="52" t="s">
        <v>3163</v>
      </c>
      <c r="AA1159" s="53">
        <f t="shared" si="4"/>
        <v>3</v>
      </c>
      <c r="AB1159" s="54">
        <f>COUNTIFS(Links!B:B,"ICSE",Links!C:C,A1159,Links!AD:AD,1)</f>
        <v>0</v>
      </c>
      <c r="AC1159" s="55" t="s">
        <v>37</v>
      </c>
      <c r="AD1159" s="47" t="str">
        <f t="shared" si="5"/>
        <v>No</v>
      </c>
      <c r="AE1159" s="56" t="s">
        <v>36</v>
      </c>
      <c r="AF1159" s="57" t="s">
        <v>42</v>
      </c>
      <c r="AG1159" s="57" t="s">
        <v>42</v>
      </c>
      <c r="AH1159" s="57" t="s">
        <v>42</v>
      </c>
      <c r="AI1159" s="49" t="str">
        <f t="shared" si="661"/>
        <v>----</v>
      </c>
      <c r="AJ1159" s="58" t="str">
        <f t="shared" si="7"/>
        <v>Paper has link but no statement</v>
      </c>
      <c r="AK1159" s="59">
        <v>45070.0</v>
      </c>
      <c r="AL1159" s="43" t="s">
        <v>43</v>
      </c>
      <c r="AM1159" s="60" t="str">
        <f t="shared" si="8"/>
        <v>[IP2153]</v>
      </c>
    </row>
    <row r="1160" ht="67.5" customHeight="1">
      <c r="A1160" s="61">
        <v>2154.0</v>
      </c>
      <c r="B1160" s="22" t="s">
        <v>3164</v>
      </c>
      <c r="C1160" s="23">
        <v>2023.0</v>
      </c>
      <c r="D1160" s="24" t="s">
        <v>35</v>
      </c>
      <c r="E1160" s="25" t="s">
        <v>36</v>
      </c>
      <c r="F1160" s="25" t="s">
        <v>36</v>
      </c>
      <c r="G1160" s="25" t="s">
        <v>36</v>
      </c>
      <c r="H1160" s="25" t="s">
        <v>36</v>
      </c>
      <c r="I1160" s="25" t="s">
        <v>36</v>
      </c>
      <c r="J1160" s="26" t="s">
        <v>36</v>
      </c>
      <c r="K1160" s="27" t="s">
        <v>37</v>
      </c>
      <c r="L1160" s="28" t="s">
        <v>37</v>
      </c>
      <c r="M1160" s="28" t="s">
        <v>35</v>
      </c>
      <c r="N1160" s="28" t="s">
        <v>35</v>
      </c>
      <c r="O1160" s="28" t="s">
        <v>35</v>
      </c>
      <c r="P1160" s="28" t="s">
        <v>35</v>
      </c>
      <c r="Q1160" s="28" t="s">
        <v>37</v>
      </c>
      <c r="R1160" s="28" t="s">
        <v>35</v>
      </c>
      <c r="S1160" s="29" t="s">
        <v>3165</v>
      </c>
      <c r="T1160" s="30" t="s">
        <v>3166</v>
      </c>
      <c r="U1160" s="31" t="s">
        <v>3166</v>
      </c>
      <c r="V1160" s="32">
        <f t="shared" ref="V1160:X1160" si="1166">IF(lenb(SUBSTITUTE($Z1160,V$1&amp;" (1)",""))&lt;lenb($Z1160),1,IF(lenb(SUBSTITUTE($Z1160,V$1&amp;" (2)",""))&lt;lenb($Z1160),2,IF(lenb(SUBSTITUTE($Z1160,V$1&amp;" (3)",""))&lt;lenb($Z1160),3,IF(lenb(SUBSTITUTE($Z1160,V$1&amp;" (4)",""))&lt;lenb($Z1160),4,IF(lenb(SUBSTITUTE($Z1160,V$1&amp;" (5)",""))&lt;lenb($Z1160),5,IF(lenb(SUBSTITUTE($Z1160,V$1&amp;" (6)",""))&lt;lenb($Z1160),6,IF(lenb(SUBSTITUTE($Z1160,V$1&amp;" (7)",""))&lt;lenb($Z1160),1,IF(lenb(SUBSTITUTE($Z1160,V$1&amp;" (8)",""))&lt;lenb($Z1160),8,IF(lenb(SUBSTITUTE($Z1160,V$1&amp;" (9)",""))&lt;lenb($Z1160),9,IF(lenb(SUBSTITUTE($Z1160,V$1&amp;" (10)",""))&lt;lenb($Z1160),10,IF(lenb(SUBSTITUTE($Z1160,V$1,""))&lt;lenb($Z1160),"ERROR",IF($Z1160=$Y$1,"-",0))))))))))))</f>
        <v>2</v>
      </c>
      <c r="W1160" s="32">
        <f t="shared" si="1166"/>
        <v>0</v>
      </c>
      <c r="X1160" s="32">
        <f t="shared" si="1166"/>
        <v>0</v>
      </c>
      <c r="Y1160" s="32" t="str">
        <f t="shared" si="3"/>
        <v>-</v>
      </c>
      <c r="Z1160" s="32" t="s">
        <v>57</v>
      </c>
      <c r="AA1160" s="33">
        <f t="shared" si="4"/>
        <v>2</v>
      </c>
      <c r="AB1160" s="34">
        <f>COUNTIFS(Links!B:B,"ICSE",Links!C:C,A1160,Links!AD:AD,1)</f>
        <v>0</v>
      </c>
      <c r="AC1160" s="35" t="s">
        <v>35</v>
      </c>
      <c r="AD1160" s="27" t="str">
        <f t="shared" si="5"/>
        <v>No</v>
      </c>
      <c r="AE1160" s="36" t="s">
        <v>36</v>
      </c>
      <c r="AF1160" s="37" t="s">
        <v>42</v>
      </c>
      <c r="AG1160" s="37" t="s">
        <v>42</v>
      </c>
      <c r="AH1160" s="37" t="s">
        <v>42</v>
      </c>
      <c r="AI1160" s="29" t="str">
        <f t="shared" si="661"/>
        <v>----</v>
      </c>
      <c r="AJ1160" s="38" t="str">
        <f t="shared" si="7"/>
        <v>Paper has link but no statement</v>
      </c>
      <c r="AK1160" s="39">
        <v>45070.0</v>
      </c>
      <c r="AL1160" s="23" t="s">
        <v>43</v>
      </c>
      <c r="AM1160" s="40" t="str">
        <f t="shared" si="8"/>
        <v>[IP2154]</v>
      </c>
    </row>
    <row r="1161" ht="67.5" customHeight="1">
      <c r="A1161" s="41">
        <v>2155.0</v>
      </c>
      <c r="B1161" s="42" t="s">
        <v>3167</v>
      </c>
      <c r="C1161" s="43">
        <v>2023.0</v>
      </c>
      <c r="D1161" s="44" t="s">
        <v>37</v>
      </c>
      <c r="E1161" s="45" t="s">
        <v>37</v>
      </c>
      <c r="F1161" s="45" t="s">
        <v>35</v>
      </c>
      <c r="G1161" s="45" t="s">
        <v>37</v>
      </c>
      <c r="H1161" s="45" t="s">
        <v>35</v>
      </c>
      <c r="I1161" s="45" t="s">
        <v>35</v>
      </c>
      <c r="J1161" s="46" t="s">
        <v>36</v>
      </c>
      <c r="K1161" s="47" t="s">
        <v>37</v>
      </c>
      <c r="L1161" s="48" t="s">
        <v>35</v>
      </c>
      <c r="M1161" s="48" t="s">
        <v>37</v>
      </c>
      <c r="N1161" s="48" t="s">
        <v>35</v>
      </c>
      <c r="O1161" s="48" t="s">
        <v>35</v>
      </c>
      <c r="P1161" s="48" t="s">
        <v>35</v>
      </c>
      <c r="Q1161" s="48" t="s">
        <v>35</v>
      </c>
      <c r="R1161" s="48" t="s">
        <v>37</v>
      </c>
      <c r="S1161" s="49" t="s">
        <v>3168</v>
      </c>
      <c r="T1161" s="50" t="s">
        <v>3169</v>
      </c>
      <c r="U1161" s="51" t="s">
        <v>3170</v>
      </c>
      <c r="V1161" s="52">
        <f t="shared" ref="V1161:X1161" si="1167">IF(lenb(SUBSTITUTE($Z1161,V$1&amp;" (1)",""))&lt;lenb($Z1161),1,IF(lenb(SUBSTITUTE($Z1161,V$1&amp;" (2)",""))&lt;lenb($Z1161),2,IF(lenb(SUBSTITUTE($Z1161,V$1&amp;" (3)",""))&lt;lenb($Z1161),3,IF(lenb(SUBSTITUTE($Z1161,V$1&amp;" (4)",""))&lt;lenb($Z1161),4,IF(lenb(SUBSTITUTE($Z1161,V$1&amp;" (5)",""))&lt;lenb($Z1161),5,IF(lenb(SUBSTITUTE($Z1161,V$1&amp;" (6)",""))&lt;lenb($Z1161),6,IF(lenb(SUBSTITUTE($Z1161,V$1&amp;" (7)",""))&lt;lenb($Z1161),1,IF(lenb(SUBSTITUTE($Z1161,V$1&amp;" (8)",""))&lt;lenb($Z1161),8,IF(lenb(SUBSTITUTE($Z1161,V$1&amp;" (9)",""))&lt;lenb($Z1161),9,IF(lenb(SUBSTITUTE($Z1161,V$1&amp;" (10)",""))&lt;lenb($Z1161),10,IF(lenb(SUBSTITUTE($Z1161,V$1,""))&lt;lenb($Z1161),"ERROR",IF($Z1161=$Y$1,"-",0))))))))))))</f>
        <v>3</v>
      </c>
      <c r="W1161" s="52">
        <f t="shared" si="1167"/>
        <v>0</v>
      </c>
      <c r="X1161" s="52">
        <f t="shared" si="1167"/>
        <v>0</v>
      </c>
      <c r="Y1161" s="52" t="str">
        <f t="shared" si="3"/>
        <v>-</v>
      </c>
      <c r="Z1161" s="52" t="s">
        <v>193</v>
      </c>
      <c r="AA1161" s="53">
        <f t="shared" si="4"/>
        <v>3</v>
      </c>
      <c r="AB1161" s="54">
        <f>COUNTIFS(Links!B:B,"ICSE",Links!C:C,A1161,Links!AD:AD,1)</f>
        <v>0</v>
      </c>
      <c r="AC1161" s="55" t="s">
        <v>37</v>
      </c>
      <c r="AD1161" s="47" t="str">
        <f t="shared" si="5"/>
        <v>No</v>
      </c>
      <c r="AE1161" s="56" t="s">
        <v>36</v>
      </c>
      <c r="AF1161" s="57" t="s">
        <v>42</v>
      </c>
      <c r="AG1161" s="57" t="s">
        <v>42</v>
      </c>
      <c r="AH1161" s="57" t="s">
        <v>42</v>
      </c>
      <c r="AI1161" s="49" t="str">
        <f t="shared" si="661"/>
        <v>----</v>
      </c>
      <c r="AJ1161" s="58" t="str">
        <f t="shared" si="7"/>
        <v>Paper has link but no statement</v>
      </c>
      <c r="AK1161" s="59">
        <v>45070.0</v>
      </c>
      <c r="AL1161" s="43" t="s">
        <v>43</v>
      </c>
      <c r="AM1161" s="60" t="str">
        <f t="shared" si="8"/>
        <v>[IP2155]</v>
      </c>
    </row>
    <row r="1162" ht="67.5" customHeight="1">
      <c r="A1162" s="61">
        <v>2156.0</v>
      </c>
      <c r="B1162" s="22" t="s">
        <v>3171</v>
      </c>
      <c r="C1162" s="23">
        <v>2023.0</v>
      </c>
      <c r="D1162" s="24" t="s">
        <v>37</v>
      </c>
      <c r="E1162" s="25" t="s">
        <v>37</v>
      </c>
      <c r="F1162" s="25" t="s">
        <v>37</v>
      </c>
      <c r="G1162" s="25" t="s">
        <v>35</v>
      </c>
      <c r="H1162" s="25" t="s">
        <v>35</v>
      </c>
      <c r="I1162" s="25" t="s">
        <v>35</v>
      </c>
      <c r="J1162" s="26" t="s">
        <v>36</v>
      </c>
      <c r="K1162" s="27" t="s">
        <v>37</v>
      </c>
      <c r="L1162" s="28" t="s">
        <v>37</v>
      </c>
      <c r="M1162" s="28" t="s">
        <v>35</v>
      </c>
      <c r="N1162" s="28" t="s">
        <v>37</v>
      </c>
      <c r="O1162" s="28" t="s">
        <v>35</v>
      </c>
      <c r="P1162" s="28" t="s">
        <v>35</v>
      </c>
      <c r="Q1162" s="28" t="s">
        <v>35</v>
      </c>
      <c r="R1162" s="28" t="s">
        <v>35</v>
      </c>
      <c r="S1162" s="29" t="s">
        <v>340</v>
      </c>
      <c r="T1162" s="30" t="s">
        <v>3172</v>
      </c>
      <c r="U1162" s="31" t="s">
        <v>3172</v>
      </c>
      <c r="V1162" s="32">
        <f t="shared" ref="V1162:X1162" si="1168">IF(lenb(SUBSTITUTE($Z1162,V$1&amp;" (1)",""))&lt;lenb($Z1162),1,IF(lenb(SUBSTITUTE($Z1162,V$1&amp;" (2)",""))&lt;lenb($Z1162),2,IF(lenb(SUBSTITUTE($Z1162,V$1&amp;" (3)",""))&lt;lenb($Z1162),3,IF(lenb(SUBSTITUTE($Z1162,V$1&amp;" (4)",""))&lt;lenb($Z1162),4,IF(lenb(SUBSTITUTE($Z1162,V$1&amp;" (5)",""))&lt;lenb($Z1162),5,IF(lenb(SUBSTITUTE($Z1162,V$1&amp;" (6)",""))&lt;lenb($Z1162),6,IF(lenb(SUBSTITUTE($Z1162,V$1&amp;" (7)",""))&lt;lenb($Z1162),1,IF(lenb(SUBSTITUTE($Z1162,V$1&amp;" (8)",""))&lt;lenb($Z1162),8,IF(lenb(SUBSTITUTE($Z1162,V$1&amp;" (9)",""))&lt;lenb($Z1162),9,IF(lenb(SUBSTITUTE($Z1162,V$1&amp;" (10)",""))&lt;lenb($Z1162),10,IF(lenb(SUBSTITUTE($Z1162,V$1,""))&lt;lenb($Z1162),"ERROR",IF($Z1162=$Y$1,"-",0))))))))))))</f>
        <v>1</v>
      </c>
      <c r="W1162" s="32">
        <f t="shared" si="1168"/>
        <v>0</v>
      </c>
      <c r="X1162" s="32">
        <f t="shared" si="1168"/>
        <v>0</v>
      </c>
      <c r="Y1162" s="32" t="str">
        <f t="shared" si="3"/>
        <v>-</v>
      </c>
      <c r="Z1162" s="32" t="s">
        <v>62</v>
      </c>
      <c r="AA1162" s="33">
        <f t="shared" si="4"/>
        <v>1</v>
      </c>
      <c r="AB1162" s="34">
        <f>COUNTIFS(Links!B:B,"ICSE",Links!C:C,A1162,Links!AD:AD,1)</f>
        <v>0</v>
      </c>
      <c r="AC1162" s="35" t="s">
        <v>35</v>
      </c>
      <c r="AD1162" s="27" t="str">
        <f t="shared" si="5"/>
        <v>No</v>
      </c>
      <c r="AE1162" s="36" t="s">
        <v>36</v>
      </c>
      <c r="AF1162" s="37" t="s">
        <v>42</v>
      </c>
      <c r="AG1162" s="37" t="s">
        <v>42</v>
      </c>
      <c r="AH1162" s="37" t="s">
        <v>42</v>
      </c>
      <c r="AI1162" s="29" t="str">
        <f t="shared" si="661"/>
        <v>----</v>
      </c>
      <c r="AJ1162" s="38" t="str">
        <f t="shared" si="7"/>
        <v>Paper has link but no statement</v>
      </c>
      <c r="AK1162" s="39">
        <v>45070.0</v>
      </c>
      <c r="AL1162" s="23" t="s">
        <v>43</v>
      </c>
      <c r="AM1162" s="40" t="str">
        <f t="shared" si="8"/>
        <v>[IP2156]</v>
      </c>
    </row>
    <row r="1163" ht="67.5" customHeight="1">
      <c r="A1163" s="41">
        <v>2157.0</v>
      </c>
      <c r="B1163" s="42" t="s">
        <v>3173</v>
      </c>
      <c r="C1163" s="43">
        <v>2023.0</v>
      </c>
      <c r="D1163" s="44" t="s">
        <v>37</v>
      </c>
      <c r="E1163" s="45" t="s">
        <v>37</v>
      </c>
      <c r="F1163" s="45" t="s">
        <v>35</v>
      </c>
      <c r="G1163" s="45" t="s">
        <v>37</v>
      </c>
      <c r="H1163" s="45" t="s">
        <v>35</v>
      </c>
      <c r="I1163" s="45" t="s">
        <v>35</v>
      </c>
      <c r="J1163" s="46" t="s">
        <v>36</v>
      </c>
      <c r="K1163" s="47" t="s">
        <v>37</v>
      </c>
      <c r="L1163" s="48" t="s">
        <v>35</v>
      </c>
      <c r="M1163" s="48" t="s">
        <v>35</v>
      </c>
      <c r="N1163" s="48" t="s">
        <v>37</v>
      </c>
      <c r="O1163" s="48" t="s">
        <v>37</v>
      </c>
      <c r="P1163" s="48" t="s">
        <v>37</v>
      </c>
      <c r="Q1163" s="48" t="s">
        <v>35</v>
      </c>
      <c r="R1163" s="48" t="s">
        <v>35</v>
      </c>
      <c r="S1163" s="49" t="s">
        <v>3174</v>
      </c>
      <c r="T1163" s="50" t="s">
        <v>3175</v>
      </c>
      <c r="U1163" s="51" t="s">
        <v>3175</v>
      </c>
      <c r="V1163" s="52">
        <f t="shared" ref="V1163:X1163" si="1169">IF(lenb(SUBSTITUTE($Z1163,V$1&amp;" (1)",""))&lt;lenb($Z1163),1,IF(lenb(SUBSTITUTE($Z1163,V$1&amp;" (2)",""))&lt;lenb($Z1163),2,IF(lenb(SUBSTITUTE($Z1163,V$1&amp;" (3)",""))&lt;lenb($Z1163),3,IF(lenb(SUBSTITUTE($Z1163,V$1&amp;" (4)",""))&lt;lenb($Z1163),4,IF(lenb(SUBSTITUTE($Z1163,V$1&amp;" (5)",""))&lt;lenb($Z1163),5,IF(lenb(SUBSTITUTE($Z1163,V$1&amp;" (6)",""))&lt;lenb($Z1163),6,IF(lenb(SUBSTITUTE($Z1163,V$1&amp;" (7)",""))&lt;lenb($Z1163),1,IF(lenb(SUBSTITUTE($Z1163,V$1&amp;" (8)",""))&lt;lenb($Z1163),8,IF(lenb(SUBSTITUTE($Z1163,V$1&amp;" (9)",""))&lt;lenb($Z1163),9,IF(lenb(SUBSTITUTE($Z1163,V$1&amp;" (10)",""))&lt;lenb($Z1163),10,IF(lenb(SUBSTITUTE($Z1163,V$1,""))&lt;lenb($Z1163),"ERROR",IF($Z1163=$Y$1,"-",0))))))))))))</f>
        <v>1</v>
      </c>
      <c r="W1163" s="52">
        <f t="shared" si="1169"/>
        <v>0</v>
      </c>
      <c r="X1163" s="52">
        <f t="shared" si="1169"/>
        <v>0</v>
      </c>
      <c r="Y1163" s="52" t="str">
        <f t="shared" si="3"/>
        <v>-</v>
      </c>
      <c r="Z1163" s="52" t="s">
        <v>62</v>
      </c>
      <c r="AA1163" s="53">
        <f t="shared" si="4"/>
        <v>1</v>
      </c>
      <c r="AB1163" s="54">
        <f>COUNTIFS(Links!B:B,"ICSE",Links!C:C,A1163,Links!AD:AD,1)</f>
        <v>0</v>
      </c>
      <c r="AC1163" s="55" t="s">
        <v>35</v>
      </c>
      <c r="AD1163" s="47" t="str">
        <f t="shared" si="5"/>
        <v>No</v>
      </c>
      <c r="AE1163" s="56" t="s">
        <v>36</v>
      </c>
      <c r="AF1163" s="57" t="s">
        <v>42</v>
      </c>
      <c r="AG1163" s="57" t="s">
        <v>42</v>
      </c>
      <c r="AH1163" s="57" t="s">
        <v>42</v>
      </c>
      <c r="AI1163" s="49" t="str">
        <f t="shared" si="661"/>
        <v>----</v>
      </c>
      <c r="AJ1163" s="58" t="str">
        <f t="shared" si="7"/>
        <v>Paper has link but no statement</v>
      </c>
      <c r="AK1163" s="59">
        <v>45070.0</v>
      </c>
      <c r="AL1163" s="43" t="s">
        <v>43</v>
      </c>
      <c r="AM1163" s="60" t="str">
        <f t="shared" si="8"/>
        <v>[IP2157]</v>
      </c>
    </row>
    <row r="1164" ht="67.5" customHeight="1">
      <c r="A1164" s="61">
        <v>2158.0</v>
      </c>
      <c r="B1164" s="22" t="s">
        <v>3176</v>
      </c>
      <c r="C1164" s="23">
        <v>2023.0</v>
      </c>
      <c r="D1164" s="24" t="s">
        <v>35</v>
      </c>
      <c r="E1164" s="25" t="s">
        <v>36</v>
      </c>
      <c r="F1164" s="25" t="s">
        <v>36</v>
      </c>
      <c r="G1164" s="25" t="s">
        <v>36</v>
      </c>
      <c r="H1164" s="25" t="s">
        <v>36</v>
      </c>
      <c r="I1164" s="25" t="s">
        <v>36</v>
      </c>
      <c r="J1164" s="26" t="s">
        <v>36</v>
      </c>
      <c r="K1164" s="27" t="s">
        <v>37</v>
      </c>
      <c r="L1164" s="28" t="s">
        <v>35</v>
      </c>
      <c r="M1164" s="28" t="s">
        <v>37</v>
      </c>
      <c r="N1164" s="28" t="s">
        <v>35</v>
      </c>
      <c r="O1164" s="28" t="s">
        <v>35</v>
      </c>
      <c r="P1164" s="28" t="s">
        <v>35</v>
      </c>
      <c r="Q1164" s="28" t="s">
        <v>37</v>
      </c>
      <c r="R1164" s="28" t="s">
        <v>37</v>
      </c>
      <c r="S1164" s="29" t="s">
        <v>3177</v>
      </c>
      <c r="T1164" s="30" t="s">
        <v>3178</v>
      </c>
      <c r="U1164" s="31" t="s">
        <v>3178</v>
      </c>
      <c r="V1164" s="32">
        <f t="shared" ref="V1164:X1164" si="1170">IF(lenb(SUBSTITUTE($Z1164,V$1&amp;" (1)",""))&lt;lenb($Z1164),1,IF(lenb(SUBSTITUTE($Z1164,V$1&amp;" (2)",""))&lt;lenb($Z1164),2,IF(lenb(SUBSTITUTE($Z1164,V$1&amp;" (3)",""))&lt;lenb($Z1164),3,IF(lenb(SUBSTITUTE($Z1164,V$1&amp;" (4)",""))&lt;lenb($Z1164),4,IF(lenb(SUBSTITUTE($Z1164,V$1&amp;" (5)",""))&lt;lenb($Z1164),5,IF(lenb(SUBSTITUTE($Z1164,V$1&amp;" (6)",""))&lt;lenb($Z1164),6,IF(lenb(SUBSTITUTE($Z1164,V$1&amp;" (7)",""))&lt;lenb($Z1164),1,IF(lenb(SUBSTITUTE($Z1164,V$1&amp;" (8)",""))&lt;lenb($Z1164),8,IF(lenb(SUBSTITUTE($Z1164,V$1&amp;" (9)",""))&lt;lenb($Z1164),9,IF(lenb(SUBSTITUTE($Z1164,V$1&amp;" (10)",""))&lt;lenb($Z1164),10,IF(lenb(SUBSTITUTE($Z1164,V$1,""))&lt;lenb($Z1164),"ERROR",IF($Z1164=$Y$1,"-",0))))))))))))</f>
        <v>1</v>
      </c>
      <c r="W1164" s="32">
        <f t="shared" si="1170"/>
        <v>0</v>
      </c>
      <c r="X1164" s="32">
        <f t="shared" si="1170"/>
        <v>0</v>
      </c>
      <c r="Y1164" s="32" t="str">
        <f t="shared" si="3"/>
        <v>-</v>
      </c>
      <c r="Z1164" s="32" t="s">
        <v>62</v>
      </c>
      <c r="AA1164" s="33">
        <f t="shared" si="4"/>
        <v>1</v>
      </c>
      <c r="AB1164" s="34">
        <f>COUNTIFS(Links!B:B,"ICSE",Links!C:C,A1164,Links!AD:AD,1)</f>
        <v>0</v>
      </c>
      <c r="AC1164" s="35" t="s">
        <v>37</v>
      </c>
      <c r="AD1164" s="27" t="str">
        <f t="shared" si="5"/>
        <v>No</v>
      </c>
      <c r="AE1164" s="36" t="s">
        <v>36</v>
      </c>
      <c r="AF1164" s="37" t="s">
        <v>42</v>
      </c>
      <c r="AG1164" s="37" t="s">
        <v>42</v>
      </c>
      <c r="AH1164" s="37" t="s">
        <v>42</v>
      </c>
      <c r="AI1164" s="29" t="str">
        <f t="shared" si="661"/>
        <v>----</v>
      </c>
      <c r="AJ1164" s="38" t="str">
        <f t="shared" si="7"/>
        <v>Paper has link but no statement</v>
      </c>
      <c r="AK1164" s="39">
        <v>45070.0</v>
      </c>
      <c r="AL1164" s="23" t="s">
        <v>43</v>
      </c>
      <c r="AM1164" s="40" t="str">
        <f t="shared" si="8"/>
        <v>[IP2158]</v>
      </c>
    </row>
    <row r="1165" ht="67.5" customHeight="1">
      <c r="A1165" s="41">
        <v>2159.0</v>
      </c>
      <c r="B1165" s="42" t="s">
        <v>3179</v>
      </c>
      <c r="C1165" s="43">
        <v>2023.0</v>
      </c>
      <c r="D1165" s="44" t="s">
        <v>37</v>
      </c>
      <c r="E1165" s="45" t="s">
        <v>37</v>
      </c>
      <c r="F1165" s="45" t="s">
        <v>35</v>
      </c>
      <c r="G1165" s="45" t="s">
        <v>37</v>
      </c>
      <c r="H1165" s="45" t="s">
        <v>35</v>
      </c>
      <c r="I1165" s="45" t="s">
        <v>35</v>
      </c>
      <c r="J1165" s="46" t="s">
        <v>36</v>
      </c>
      <c r="K1165" s="47" t="s">
        <v>37</v>
      </c>
      <c r="L1165" s="48" t="s">
        <v>35</v>
      </c>
      <c r="M1165" s="48" t="s">
        <v>37</v>
      </c>
      <c r="N1165" s="48" t="s">
        <v>35</v>
      </c>
      <c r="O1165" s="48" t="s">
        <v>35</v>
      </c>
      <c r="P1165" s="48" t="s">
        <v>35</v>
      </c>
      <c r="Q1165" s="48" t="s">
        <v>37</v>
      </c>
      <c r="R1165" s="48" t="s">
        <v>35</v>
      </c>
      <c r="S1165" s="49" t="s">
        <v>3180</v>
      </c>
      <c r="T1165" s="50" t="s">
        <v>3181</v>
      </c>
      <c r="U1165" s="51" t="s">
        <v>3181</v>
      </c>
      <c r="V1165" s="52">
        <f t="shared" ref="V1165:X1165" si="1171">IF(lenb(SUBSTITUTE($Z1165,V$1&amp;" (1)",""))&lt;lenb($Z1165),1,IF(lenb(SUBSTITUTE($Z1165,V$1&amp;" (2)",""))&lt;lenb($Z1165),2,IF(lenb(SUBSTITUTE($Z1165,V$1&amp;" (3)",""))&lt;lenb($Z1165),3,IF(lenb(SUBSTITUTE($Z1165,V$1&amp;" (4)",""))&lt;lenb($Z1165),4,IF(lenb(SUBSTITUTE($Z1165,V$1&amp;" (5)",""))&lt;lenb($Z1165),5,IF(lenb(SUBSTITUTE($Z1165,V$1&amp;" (6)",""))&lt;lenb($Z1165),6,IF(lenb(SUBSTITUTE($Z1165,V$1&amp;" (7)",""))&lt;lenb($Z1165),1,IF(lenb(SUBSTITUTE($Z1165,V$1&amp;" (8)",""))&lt;lenb($Z1165),8,IF(lenb(SUBSTITUTE($Z1165,V$1&amp;" (9)",""))&lt;lenb($Z1165),9,IF(lenb(SUBSTITUTE($Z1165,V$1&amp;" (10)",""))&lt;lenb($Z1165),10,IF(lenb(SUBSTITUTE($Z1165,V$1,""))&lt;lenb($Z1165),"ERROR",IF($Z1165=$Y$1,"-",0))))))))))))</f>
        <v>1</v>
      </c>
      <c r="W1165" s="52">
        <f t="shared" si="1171"/>
        <v>0</v>
      </c>
      <c r="X1165" s="52">
        <f t="shared" si="1171"/>
        <v>0</v>
      </c>
      <c r="Y1165" s="52" t="str">
        <f t="shared" si="3"/>
        <v>-</v>
      </c>
      <c r="Z1165" s="52" t="s">
        <v>62</v>
      </c>
      <c r="AA1165" s="53">
        <f t="shared" si="4"/>
        <v>1</v>
      </c>
      <c r="AB1165" s="54">
        <f>COUNTIFS(Links!B:B,"ICSE",Links!C:C,A1165,Links!AD:AD,1)</f>
        <v>0</v>
      </c>
      <c r="AC1165" s="55" t="s">
        <v>37</v>
      </c>
      <c r="AD1165" s="47" t="str">
        <f t="shared" si="5"/>
        <v>No</v>
      </c>
      <c r="AE1165" s="56" t="s">
        <v>36</v>
      </c>
      <c r="AF1165" s="57" t="s">
        <v>42</v>
      </c>
      <c r="AG1165" s="57" t="s">
        <v>42</v>
      </c>
      <c r="AH1165" s="57" t="s">
        <v>42</v>
      </c>
      <c r="AI1165" s="49" t="str">
        <f t="shared" si="661"/>
        <v>----</v>
      </c>
      <c r="AJ1165" s="58" t="str">
        <f t="shared" si="7"/>
        <v>Paper has link but no statement</v>
      </c>
      <c r="AK1165" s="59">
        <v>45070.0</v>
      </c>
      <c r="AL1165" s="43" t="s">
        <v>43</v>
      </c>
      <c r="AM1165" s="60" t="str">
        <f t="shared" si="8"/>
        <v>[IP2159]</v>
      </c>
    </row>
    <row r="1166" ht="67.5" customHeight="1">
      <c r="A1166" s="61">
        <v>2160.0</v>
      </c>
      <c r="B1166" s="22" t="s">
        <v>3182</v>
      </c>
      <c r="C1166" s="23">
        <v>2023.0</v>
      </c>
      <c r="D1166" s="24" t="s">
        <v>35</v>
      </c>
      <c r="E1166" s="25" t="s">
        <v>36</v>
      </c>
      <c r="F1166" s="25" t="s">
        <v>36</v>
      </c>
      <c r="G1166" s="25" t="s">
        <v>36</v>
      </c>
      <c r="H1166" s="25" t="s">
        <v>36</v>
      </c>
      <c r="I1166" s="25" t="s">
        <v>36</v>
      </c>
      <c r="J1166" s="26" t="s">
        <v>36</v>
      </c>
      <c r="K1166" s="27" t="s">
        <v>37</v>
      </c>
      <c r="L1166" s="28" t="s">
        <v>35</v>
      </c>
      <c r="M1166" s="28" t="s">
        <v>37</v>
      </c>
      <c r="N1166" s="28" t="s">
        <v>37</v>
      </c>
      <c r="O1166" s="28" t="s">
        <v>35</v>
      </c>
      <c r="P1166" s="28" t="s">
        <v>35</v>
      </c>
      <c r="Q1166" s="28" t="s">
        <v>35</v>
      </c>
      <c r="R1166" s="28" t="s">
        <v>37</v>
      </c>
      <c r="S1166" s="29" t="s">
        <v>3183</v>
      </c>
      <c r="T1166" s="30" t="s">
        <v>3184</v>
      </c>
      <c r="U1166" s="31" t="s">
        <v>3184</v>
      </c>
      <c r="V1166" s="32">
        <f t="shared" ref="V1166:X1166" si="1172">IF(lenb(SUBSTITUTE($Z1166,V$1&amp;" (1)",""))&lt;lenb($Z1166),1,IF(lenb(SUBSTITUTE($Z1166,V$1&amp;" (2)",""))&lt;lenb($Z1166),2,IF(lenb(SUBSTITUTE($Z1166,V$1&amp;" (3)",""))&lt;lenb($Z1166),3,IF(lenb(SUBSTITUTE($Z1166,V$1&amp;" (4)",""))&lt;lenb($Z1166),4,IF(lenb(SUBSTITUTE($Z1166,V$1&amp;" (5)",""))&lt;lenb($Z1166),5,IF(lenb(SUBSTITUTE($Z1166,V$1&amp;" (6)",""))&lt;lenb($Z1166),6,IF(lenb(SUBSTITUTE($Z1166,V$1&amp;" (7)",""))&lt;lenb($Z1166),1,IF(lenb(SUBSTITUTE($Z1166,V$1&amp;" (8)",""))&lt;lenb($Z1166),8,IF(lenb(SUBSTITUTE($Z1166,V$1&amp;" (9)",""))&lt;lenb($Z1166),9,IF(lenb(SUBSTITUTE($Z1166,V$1&amp;" (10)",""))&lt;lenb($Z1166),10,IF(lenb(SUBSTITUTE($Z1166,V$1,""))&lt;lenb($Z1166),"ERROR",IF($Z1166=$Y$1,"-",0))))))))))))</f>
        <v>1</v>
      </c>
      <c r="W1166" s="32">
        <f t="shared" si="1172"/>
        <v>0</v>
      </c>
      <c r="X1166" s="32">
        <f t="shared" si="1172"/>
        <v>0</v>
      </c>
      <c r="Y1166" s="32" t="str">
        <f t="shared" si="3"/>
        <v>-</v>
      </c>
      <c r="Z1166" s="32" t="s">
        <v>62</v>
      </c>
      <c r="AA1166" s="33">
        <f t="shared" si="4"/>
        <v>1</v>
      </c>
      <c r="AB1166" s="34">
        <f>COUNTIFS(Links!B:B,"ICSE",Links!C:C,A1166,Links!AD:AD,1)</f>
        <v>0</v>
      </c>
      <c r="AC1166" s="35" t="s">
        <v>35</v>
      </c>
      <c r="AD1166" s="27" t="str">
        <f t="shared" si="5"/>
        <v>No</v>
      </c>
      <c r="AE1166" s="36" t="s">
        <v>36</v>
      </c>
      <c r="AF1166" s="37" t="s">
        <v>42</v>
      </c>
      <c r="AG1166" s="37" t="s">
        <v>42</v>
      </c>
      <c r="AH1166" s="37" t="s">
        <v>42</v>
      </c>
      <c r="AI1166" s="29" t="str">
        <f t="shared" si="661"/>
        <v>----</v>
      </c>
      <c r="AJ1166" s="38" t="str">
        <f t="shared" si="7"/>
        <v>Paper has link but no statement</v>
      </c>
      <c r="AK1166" s="39">
        <v>45070.0</v>
      </c>
      <c r="AL1166" s="23" t="s">
        <v>43</v>
      </c>
      <c r="AM1166" s="40" t="str">
        <f t="shared" si="8"/>
        <v>[IP2160]</v>
      </c>
    </row>
    <row r="1167" ht="67.5" customHeight="1">
      <c r="A1167" s="41">
        <v>2161.0</v>
      </c>
      <c r="B1167" s="42" t="s">
        <v>3185</v>
      </c>
      <c r="C1167" s="43">
        <v>2023.0</v>
      </c>
      <c r="D1167" s="44" t="s">
        <v>35</v>
      </c>
      <c r="E1167" s="45" t="s">
        <v>36</v>
      </c>
      <c r="F1167" s="45" t="s">
        <v>36</v>
      </c>
      <c r="G1167" s="45" t="s">
        <v>36</v>
      </c>
      <c r="H1167" s="45" t="s">
        <v>36</v>
      </c>
      <c r="I1167" s="45" t="s">
        <v>36</v>
      </c>
      <c r="J1167" s="46" t="s">
        <v>36</v>
      </c>
      <c r="K1167" s="47" t="s">
        <v>35</v>
      </c>
      <c r="L1167" s="48" t="s">
        <v>36</v>
      </c>
      <c r="M1167" s="48" t="s">
        <v>36</v>
      </c>
      <c r="N1167" s="48" t="s">
        <v>36</v>
      </c>
      <c r="O1167" s="48" t="s">
        <v>36</v>
      </c>
      <c r="P1167" s="48" t="s">
        <v>36</v>
      </c>
      <c r="Q1167" s="48" t="s">
        <v>36</v>
      </c>
      <c r="R1167" s="48" t="s">
        <v>36</v>
      </c>
      <c r="S1167" s="49" t="s">
        <v>36</v>
      </c>
      <c r="T1167" s="50" t="s">
        <v>36</v>
      </c>
      <c r="U1167" s="51" t="s">
        <v>36</v>
      </c>
      <c r="V1167" s="52" t="str">
        <f t="shared" ref="V1167:X1167" si="1173">IF(lenb(SUBSTITUTE($Z1167,V$1&amp;" (1)",""))&lt;lenb($Z1167),1,IF(lenb(SUBSTITUTE($Z1167,V$1&amp;" (2)",""))&lt;lenb($Z1167),2,IF(lenb(SUBSTITUTE($Z1167,V$1&amp;" (3)",""))&lt;lenb($Z1167),3,IF(lenb(SUBSTITUTE($Z1167,V$1&amp;" (4)",""))&lt;lenb($Z1167),4,IF(lenb(SUBSTITUTE($Z1167,V$1&amp;" (5)",""))&lt;lenb($Z1167),5,IF(lenb(SUBSTITUTE($Z1167,V$1&amp;" (6)",""))&lt;lenb($Z1167),6,IF(lenb(SUBSTITUTE($Z1167,V$1&amp;" (7)",""))&lt;lenb($Z1167),1,IF(lenb(SUBSTITUTE($Z1167,V$1&amp;" (8)",""))&lt;lenb($Z1167),8,IF(lenb(SUBSTITUTE($Z1167,V$1&amp;" (9)",""))&lt;lenb($Z1167),9,IF(lenb(SUBSTITUTE($Z1167,V$1&amp;" (10)",""))&lt;lenb($Z1167),10,IF(lenb(SUBSTITUTE($Z1167,V$1,""))&lt;lenb($Z1167),"ERROR",IF($Z1167=$Y$1,"-",0))))))))))))</f>
        <v>-</v>
      </c>
      <c r="W1167" s="52" t="str">
        <f t="shared" si="1173"/>
        <v>-</v>
      </c>
      <c r="X1167" s="52" t="str">
        <f t="shared" si="1173"/>
        <v>-</v>
      </c>
      <c r="Y1167" s="52">
        <f t="shared" si="3"/>
        <v>1</v>
      </c>
      <c r="Z1167" s="52" t="s">
        <v>23</v>
      </c>
      <c r="AA1167" s="53">
        <f t="shared" si="4"/>
        <v>0</v>
      </c>
      <c r="AB1167" s="54">
        <f>COUNTIFS(Links!B:B,"ICSE",Links!C:C,A1167,Links!AD:AD,1)</f>
        <v>0</v>
      </c>
      <c r="AC1167" s="55" t="s">
        <v>36</v>
      </c>
      <c r="AD1167" s="47" t="str">
        <f t="shared" si="5"/>
        <v>Yes</v>
      </c>
      <c r="AE1167" s="56" t="s">
        <v>3186</v>
      </c>
      <c r="AF1167" s="56" t="s">
        <v>281</v>
      </c>
      <c r="AG1167" s="56" t="s">
        <v>223</v>
      </c>
      <c r="AH1167" s="57" t="s">
        <v>42</v>
      </c>
      <c r="AI1167" s="49" t="str">
        <f t="shared" si="661"/>
        <v>Barriers (Confidentiality and privacy)
Barriers (Agreements and legal rights)</v>
      </c>
      <c r="AJ1167" s="58" t="str">
        <f t="shared" si="7"/>
        <v>Paper has no link but has statement</v>
      </c>
      <c r="AK1167" s="59">
        <v>45070.0</v>
      </c>
      <c r="AL1167" s="43" t="s">
        <v>43</v>
      </c>
      <c r="AM1167" s="60" t="str">
        <f t="shared" si="8"/>
        <v>[IP2161]</v>
      </c>
    </row>
    <row r="1168" ht="67.5" customHeight="1">
      <c r="A1168" s="61">
        <v>2162.0</v>
      </c>
      <c r="B1168" s="22" t="s">
        <v>3187</v>
      </c>
      <c r="C1168" s="23">
        <v>2023.0</v>
      </c>
      <c r="D1168" s="24" t="s">
        <v>35</v>
      </c>
      <c r="E1168" s="25" t="s">
        <v>36</v>
      </c>
      <c r="F1168" s="25" t="s">
        <v>36</v>
      </c>
      <c r="G1168" s="25" t="s">
        <v>36</v>
      </c>
      <c r="H1168" s="25" t="s">
        <v>36</v>
      </c>
      <c r="I1168" s="25" t="s">
        <v>36</v>
      </c>
      <c r="J1168" s="26" t="s">
        <v>36</v>
      </c>
      <c r="K1168" s="27" t="s">
        <v>37</v>
      </c>
      <c r="L1168" s="28" t="s">
        <v>37</v>
      </c>
      <c r="M1168" s="28" t="s">
        <v>35</v>
      </c>
      <c r="N1168" s="28" t="s">
        <v>37</v>
      </c>
      <c r="O1168" s="28" t="s">
        <v>35</v>
      </c>
      <c r="P1168" s="28" t="s">
        <v>35</v>
      </c>
      <c r="Q1168" s="28" t="s">
        <v>35</v>
      </c>
      <c r="R1168" s="28" t="s">
        <v>35</v>
      </c>
      <c r="S1168" s="29" t="s">
        <v>340</v>
      </c>
      <c r="T1168" s="30" t="s">
        <v>3188</v>
      </c>
      <c r="U1168" s="31" t="s">
        <v>3188</v>
      </c>
      <c r="V1168" s="32">
        <f t="shared" ref="V1168:X1168" si="1174">IF(lenb(SUBSTITUTE($Z1168,V$1&amp;" (1)",""))&lt;lenb($Z1168),1,IF(lenb(SUBSTITUTE($Z1168,V$1&amp;" (2)",""))&lt;lenb($Z1168),2,IF(lenb(SUBSTITUTE($Z1168,V$1&amp;" (3)",""))&lt;lenb($Z1168),3,IF(lenb(SUBSTITUTE($Z1168,V$1&amp;" (4)",""))&lt;lenb($Z1168),4,IF(lenb(SUBSTITUTE($Z1168,V$1&amp;" (5)",""))&lt;lenb($Z1168),5,IF(lenb(SUBSTITUTE($Z1168,V$1&amp;" (6)",""))&lt;lenb($Z1168),6,IF(lenb(SUBSTITUTE($Z1168,V$1&amp;" (7)",""))&lt;lenb($Z1168),1,IF(lenb(SUBSTITUTE($Z1168,V$1&amp;" (8)",""))&lt;lenb($Z1168),8,IF(lenb(SUBSTITUTE($Z1168,V$1&amp;" (9)",""))&lt;lenb($Z1168),9,IF(lenb(SUBSTITUTE($Z1168,V$1&amp;" (10)",""))&lt;lenb($Z1168),10,IF(lenb(SUBSTITUTE($Z1168,V$1,""))&lt;lenb($Z1168),"ERROR",IF($Z1168=$Y$1,"-",0))))))))))))</f>
        <v>1</v>
      </c>
      <c r="W1168" s="32">
        <f t="shared" si="1174"/>
        <v>0</v>
      </c>
      <c r="X1168" s="32">
        <f t="shared" si="1174"/>
        <v>0</v>
      </c>
      <c r="Y1168" s="32" t="str">
        <f t="shared" si="3"/>
        <v>-</v>
      </c>
      <c r="Z1168" s="32" t="s">
        <v>62</v>
      </c>
      <c r="AA1168" s="33">
        <f t="shared" si="4"/>
        <v>1</v>
      </c>
      <c r="AB1168" s="34">
        <f>COUNTIFS(Links!B:B,"ICSE",Links!C:C,A1168,Links!AD:AD,1)</f>
        <v>0</v>
      </c>
      <c r="AC1168" s="35" t="s">
        <v>35</v>
      </c>
      <c r="AD1168" s="27" t="str">
        <f t="shared" si="5"/>
        <v>No</v>
      </c>
      <c r="AE1168" s="36" t="s">
        <v>36</v>
      </c>
      <c r="AF1168" s="37" t="s">
        <v>42</v>
      </c>
      <c r="AG1168" s="37" t="s">
        <v>42</v>
      </c>
      <c r="AH1168" s="37" t="s">
        <v>42</v>
      </c>
      <c r="AI1168" s="29" t="str">
        <f t="shared" si="661"/>
        <v>----</v>
      </c>
      <c r="AJ1168" s="38" t="str">
        <f t="shared" si="7"/>
        <v>Paper has link but no statement</v>
      </c>
      <c r="AK1168" s="39">
        <v>45070.0</v>
      </c>
      <c r="AL1168" s="23" t="s">
        <v>43</v>
      </c>
      <c r="AM1168" s="40" t="str">
        <f t="shared" si="8"/>
        <v>[IP2162]</v>
      </c>
    </row>
    <row r="1169" ht="67.5" customHeight="1">
      <c r="A1169" s="41">
        <v>2163.0</v>
      </c>
      <c r="B1169" s="42" t="s">
        <v>3189</v>
      </c>
      <c r="C1169" s="43">
        <v>2023.0</v>
      </c>
      <c r="D1169" s="44" t="s">
        <v>35</v>
      </c>
      <c r="E1169" s="45" t="s">
        <v>36</v>
      </c>
      <c r="F1169" s="45" t="s">
        <v>36</v>
      </c>
      <c r="G1169" s="45" t="s">
        <v>36</v>
      </c>
      <c r="H1169" s="45" t="s">
        <v>36</v>
      </c>
      <c r="I1169" s="45" t="s">
        <v>36</v>
      </c>
      <c r="J1169" s="46" t="s">
        <v>36</v>
      </c>
      <c r="K1169" s="47" t="s">
        <v>37</v>
      </c>
      <c r="L1169" s="48" t="s">
        <v>37</v>
      </c>
      <c r="M1169" s="48" t="s">
        <v>37</v>
      </c>
      <c r="N1169" s="48" t="s">
        <v>35</v>
      </c>
      <c r="O1169" s="48" t="s">
        <v>35</v>
      </c>
      <c r="P1169" s="48" t="s">
        <v>35</v>
      </c>
      <c r="Q1169" s="48" t="s">
        <v>37</v>
      </c>
      <c r="R1169" s="48" t="s">
        <v>37</v>
      </c>
      <c r="S1169" s="49" t="s">
        <v>3190</v>
      </c>
      <c r="T1169" s="50" t="s">
        <v>3191</v>
      </c>
      <c r="U1169" s="51" t="s">
        <v>3191</v>
      </c>
      <c r="V1169" s="52">
        <f t="shared" ref="V1169:X1169" si="1175">IF(lenb(SUBSTITUTE($Z1169,V$1&amp;" (1)",""))&lt;lenb($Z1169),1,IF(lenb(SUBSTITUTE($Z1169,V$1&amp;" (2)",""))&lt;lenb($Z1169),2,IF(lenb(SUBSTITUTE($Z1169,V$1&amp;" (3)",""))&lt;lenb($Z1169),3,IF(lenb(SUBSTITUTE($Z1169,V$1&amp;" (4)",""))&lt;lenb($Z1169),4,IF(lenb(SUBSTITUTE($Z1169,V$1&amp;" (5)",""))&lt;lenb($Z1169),5,IF(lenb(SUBSTITUTE($Z1169,V$1&amp;" (6)",""))&lt;lenb($Z1169),6,IF(lenb(SUBSTITUTE($Z1169,V$1&amp;" (7)",""))&lt;lenb($Z1169),1,IF(lenb(SUBSTITUTE($Z1169,V$1&amp;" (8)",""))&lt;lenb($Z1169),8,IF(lenb(SUBSTITUTE($Z1169,V$1&amp;" (9)",""))&lt;lenb($Z1169),9,IF(lenb(SUBSTITUTE($Z1169,V$1&amp;" (10)",""))&lt;lenb($Z1169),10,IF(lenb(SUBSTITUTE($Z1169,V$1,""))&lt;lenb($Z1169),"ERROR",IF($Z1169=$Y$1,"-",0))))))))))))</f>
        <v>1</v>
      </c>
      <c r="W1169" s="52">
        <f t="shared" si="1175"/>
        <v>0</v>
      </c>
      <c r="X1169" s="52">
        <f t="shared" si="1175"/>
        <v>0</v>
      </c>
      <c r="Y1169" s="52" t="str">
        <f t="shared" si="3"/>
        <v>-</v>
      </c>
      <c r="Z1169" s="52" t="s">
        <v>62</v>
      </c>
      <c r="AA1169" s="53">
        <f t="shared" si="4"/>
        <v>1</v>
      </c>
      <c r="AB1169" s="54">
        <f>COUNTIFS(Links!B:B,"ICSE",Links!C:C,A1169,Links!AD:AD,1)</f>
        <v>0</v>
      </c>
      <c r="AC1169" s="55" t="s">
        <v>35</v>
      </c>
      <c r="AD1169" s="47" t="str">
        <f t="shared" si="5"/>
        <v>Yes</v>
      </c>
      <c r="AE1169" s="56" t="s">
        <v>3192</v>
      </c>
      <c r="AF1169" s="56" t="s">
        <v>281</v>
      </c>
      <c r="AG1169" s="57" t="s">
        <v>42</v>
      </c>
      <c r="AH1169" s="57" t="s">
        <v>42</v>
      </c>
      <c r="AI1169" s="49" t="str">
        <f t="shared" si="661"/>
        <v>Barriers (Confidentiality and privacy)</v>
      </c>
      <c r="AJ1169" s="58" t="str">
        <f t="shared" si="7"/>
        <v>Paper has link and statement</v>
      </c>
      <c r="AK1169" s="59">
        <v>45070.0</v>
      </c>
      <c r="AL1169" s="43" t="s">
        <v>43</v>
      </c>
      <c r="AM1169" s="60" t="str">
        <f t="shared" si="8"/>
        <v>[IP2163]</v>
      </c>
    </row>
    <row r="1170" ht="67.5" customHeight="1">
      <c r="A1170" s="61">
        <v>2164.0</v>
      </c>
      <c r="B1170" s="22" t="s">
        <v>3193</v>
      </c>
      <c r="C1170" s="23">
        <v>2023.0</v>
      </c>
      <c r="D1170" s="24" t="s">
        <v>35</v>
      </c>
      <c r="E1170" s="25" t="s">
        <v>36</v>
      </c>
      <c r="F1170" s="25" t="s">
        <v>36</v>
      </c>
      <c r="G1170" s="25" t="s">
        <v>36</v>
      </c>
      <c r="H1170" s="25" t="s">
        <v>36</v>
      </c>
      <c r="I1170" s="25" t="s">
        <v>36</v>
      </c>
      <c r="J1170" s="26" t="s">
        <v>36</v>
      </c>
      <c r="K1170" s="27" t="s">
        <v>37</v>
      </c>
      <c r="L1170" s="28" t="s">
        <v>37</v>
      </c>
      <c r="M1170" s="28" t="s">
        <v>35</v>
      </c>
      <c r="N1170" s="28" t="s">
        <v>37</v>
      </c>
      <c r="O1170" s="28" t="s">
        <v>35</v>
      </c>
      <c r="P1170" s="28" t="s">
        <v>35</v>
      </c>
      <c r="Q1170" s="28" t="s">
        <v>35</v>
      </c>
      <c r="R1170" s="28" t="s">
        <v>37</v>
      </c>
      <c r="S1170" s="29" t="s">
        <v>3194</v>
      </c>
      <c r="T1170" s="30" t="s">
        <v>3195</v>
      </c>
      <c r="U1170" s="31" t="s">
        <v>3195</v>
      </c>
      <c r="V1170" s="32">
        <f t="shared" ref="V1170:X1170" si="1176">IF(lenb(SUBSTITUTE($Z1170,V$1&amp;" (1)",""))&lt;lenb($Z1170),1,IF(lenb(SUBSTITUTE($Z1170,V$1&amp;" (2)",""))&lt;lenb($Z1170),2,IF(lenb(SUBSTITUTE($Z1170,V$1&amp;" (3)",""))&lt;lenb($Z1170),3,IF(lenb(SUBSTITUTE($Z1170,V$1&amp;" (4)",""))&lt;lenb($Z1170),4,IF(lenb(SUBSTITUTE($Z1170,V$1&amp;" (5)",""))&lt;lenb($Z1170),5,IF(lenb(SUBSTITUTE($Z1170,V$1&amp;" (6)",""))&lt;lenb($Z1170),6,IF(lenb(SUBSTITUTE($Z1170,V$1&amp;" (7)",""))&lt;lenb($Z1170),1,IF(lenb(SUBSTITUTE($Z1170,V$1&amp;" (8)",""))&lt;lenb($Z1170),8,IF(lenb(SUBSTITUTE($Z1170,V$1&amp;" (9)",""))&lt;lenb($Z1170),9,IF(lenb(SUBSTITUTE($Z1170,V$1&amp;" (10)",""))&lt;lenb($Z1170),10,IF(lenb(SUBSTITUTE($Z1170,V$1,""))&lt;lenb($Z1170),"ERROR",IF($Z1170=$Y$1,"-",0))))))))))))</f>
        <v>1</v>
      </c>
      <c r="W1170" s="32">
        <f t="shared" si="1176"/>
        <v>0</v>
      </c>
      <c r="X1170" s="32">
        <f t="shared" si="1176"/>
        <v>0</v>
      </c>
      <c r="Y1170" s="32" t="str">
        <f t="shared" si="3"/>
        <v>-</v>
      </c>
      <c r="Z1170" s="32" t="s">
        <v>62</v>
      </c>
      <c r="AA1170" s="33">
        <f t="shared" si="4"/>
        <v>1</v>
      </c>
      <c r="AB1170" s="34">
        <f>COUNTIFS(Links!B:B,"ICSE",Links!C:C,A1170,Links!AD:AD,1)</f>
        <v>0</v>
      </c>
      <c r="AC1170" s="35" t="s">
        <v>35</v>
      </c>
      <c r="AD1170" s="27" t="str">
        <f t="shared" si="5"/>
        <v>No</v>
      </c>
      <c r="AE1170" s="36" t="s">
        <v>36</v>
      </c>
      <c r="AF1170" s="37" t="s">
        <v>42</v>
      </c>
      <c r="AG1170" s="37" t="s">
        <v>42</v>
      </c>
      <c r="AH1170" s="37" t="s">
        <v>42</v>
      </c>
      <c r="AI1170" s="29" t="str">
        <f t="shared" si="661"/>
        <v>----</v>
      </c>
      <c r="AJ1170" s="38" t="str">
        <f t="shared" si="7"/>
        <v>Paper has link but no statement</v>
      </c>
      <c r="AK1170" s="39">
        <v>45070.0</v>
      </c>
      <c r="AL1170" s="23" t="s">
        <v>43</v>
      </c>
      <c r="AM1170" s="40" t="str">
        <f t="shared" si="8"/>
        <v>[IP2164]</v>
      </c>
    </row>
    <row r="1171" ht="67.5" customHeight="1">
      <c r="A1171" s="41">
        <v>2165.0</v>
      </c>
      <c r="B1171" s="42" t="s">
        <v>3196</v>
      </c>
      <c r="C1171" s="43">
        <v>2023.0</v>
      </c>
      <c r="D1171" s="44" t="s">
        <v>37</v>
      </c>
      <c r="E1171" s="45" t="s">
        <v>37</v>
      </c>
      <c r="F1171" s="45" t="s">
        <v>35</v>
      </c>
      <c r="G1171" s="45" t="s">
        <v>35</v>
      </c>
      <c r="H1171" s="45" t="s">
        <v>35</v>
      </c>
      <c r="I1171" s="45" t="s">
        <v>35</v>
      </c>
      <c r="J1171" s="46" t="s">
        <v>36</v>
      </c>
      <c r="K1171" s="47" t="s">
        <v>37</v>
      </c>
      <c r="L1171" s="48" t="s">
        <v>35</v>
      </c>
      <c r="M1171" s="48" t="s">
        <v>37</v>
      </c>
      <c r="N1171" s="48" t="s">
        <v>37</v>
      </c>
      <c r="O1171" s="48" t="s">
        <v>35</v>
      </c>
      <c r="P1171" s="48" t="s">
        <v>37</v>
      </c>
      <c r="Q1171" s="48" t="s">
        <v>35</v>
      </c>
      <c r="R1171" s="48" t="s">
        <v>37</v>
      </c>
      <c r="S1171" s="49" t="s">
        <v>3197</v>
      </c>
      <c r="T1171" s="50" t="s">
        <v>3198</v>
      </c>
      <c r="U1171" s="50" t="s">
        <v>3199</v>
      </c>
      <c r="V1171" s="52">
        <f t="shared" ref="V1171:X1171" si="1177">IF(lenb(SUBSTITUTE($Z1171,V$1&amp;" (1)",""))&lt;lenb($Z1171),1,IF(lenb(SUBSTITUTE($Z1171,V$1&amp;" (2)",""))&lt;lenb($Z1171),2,IF(lenb(SUBSTITUTE($Z1171,V$1&amp;" (3)",""))&lt;lenb($Z1171),3,IF(lenb(SUBSTITUTE($Z1171,V$1&amp;" (4)",""))&lt;lenb($Z1171),4,IF(lenb(SUBSTITUTE($Z1171,V$1&amp;" (5)",""))&lt;lenb($Z1171),5,IF(lenb(SUBSTITUTE($Z1171,V$1&amp;" (6)",""))&lt;lenb($Z1171),6,IF(lenb(SUBSTITUTE($Z1171,V$1&amp;" (7)",""))&lt;lenb($Z1171),1,IF(lenb(SUBSTITUTE($Z1171,V$1&amp;" (8)",""))&lt;lenb($Z1171),8,IF(lenb(SUBSTITUTE($Z1171,V$1&amp;" (9)",""))&lt;lenb($Z1171),9,IF(lenb(SUBSTITUTE($Z1171,V$1&amp;" (10)",""))&lt;lenb($Z1171),10,IF(lenb(SUBSTITUTE($Z1171,V$1,""))&lt;lenb($Z1171),"ERROR",IF($Z1171=$Y$1,"-",0))))))))))))</f>
        <v>1</v>
      </c>
      <c r="W1171" s="52">
        <f t="shared" si="1177"/>
        <v>0</v>
      </c>
      <c r="X1171" s="52">
        <f t="shared" si="1177"/>
        <v>0</v>
      </c>
      <c r="Y1171" s="52" t="str">
        <f t="shared" si="3"/>
        <v>-</v>
      </c>
      <c r="Z1171" s="52" t="s">
        <v>62</v>
      </c>
      <c r="AA1171" s="53">
        <f t="shared" si="4"/>
        <v>1</v>
      </c>
      <c r="AB1171" s="54">
        <f>COUNTIFS(Links!B:B,"ICSE",Links!C:C,A1171,Links!AD:AD,1)</f>
        <v>0</v>
      </c>
      <c r="AC1171" s="55" t="s">
        <v>35</v>
      </c>
      <c r="AD1171" s="47" t="str">
        <f t="shared" si="5"/>
        <v>No</v>
      </c>
      <c r="AE1171" s="56" t="s">
        <v>36</v>
      </c>
      <c r="AF1171" s="57" t="s">
        <v>42</v>
      </c>
      <c r="AG1171" s="57" t="s">
        <v>42</v>
      </c>
      <c r="AH1171" s="57" t="s">
        <v>42</v>
      </c>
      <c r="AI1171" s="49" t="str">
        <f t="shared" si="661"/>
        <v>----</v>
      </c>
      <c r="AJ1171" s="58" t="str">
        <f t="shared" si="7"/>
        <v>Paper has link but no statement</v>
      </c>
      <c r="AK1171" s="59">
        <v>45070.0</v>
      </c>
      <c r="AL1171" s="43" t="s">
        <v>43</v>
      </c>
      <c r="AM1171" s="60" t="str">
        <f t="shared" si="8"/>
        <v>[IP2165]</v>
      </c>
    </row>
    <row r="1172" ht="67.5" customHeight="1">
      <c r="A1172" s="61">
        <v>2166.0</v>
      </c>
      <c r="B1172" s="22" t="s">
        <v>3200</v>
      </c>
      <c r="C1172" s="23">
        <v>2023.0</v>
      </c>
      <c r="D1172" s="24" t="s">
        <v>35</v>
      </c>
      <c r="E1172" s="25" t="s">
        <v>36</v>
      </c>
      <c r="F1172" s="25" t="s">
        <v>36</v>
      </c>
      <c r="G1172" s="25" t="s">
        <v>36</v>
      </c>
      <c r="H1172" s="25" t="s">
        <v>36</v>
      </c>
      <c r="I1172" s="25" t="s">
        <v>36</v>
      </c>
      <c r="J1172" s="26" t="s">
        <v>36</v>
      </c>
      <c r="K1172" s="27" t="s">
        <v>37</v>
      </c>
      <c r="L1172" s="28" t="s">
        <v>35</v>
      </c>
      <c r="M1172" s="28" t="s">
        <v>35</v>
      </c>
      <c r="N1172" s="28" t="s">
        <v>37</v>
      </c>
      <c r="O1172" s="28" t="s">
        <v>35</v>
      </c>
      <c r="P1172" s="28" t="s">
        <v>35</v>
      </c>
      <c r="Q1172" s="28" t="s">
        <v>35</v>
      </c>
      <c r="R1172" s="28" t="s">
        <v>35</v>
      </c>
      <c r="S1172" s="29" t="s">
        <v>289</v>
      </c>
      <c r="T1172" s="30" t="s">
        <v>3201</v>
      </c>
      <c r="U1172" s="31" t="s">
        <v>3201</v>
      </c>
      <c r="V1172" s="32">
        <f t="shared" ref="V1172:X1172" si="1178">IF(lenb(SUBSTITUTE($Z1172,V$1&amp;" (1)",""))&lt;lenb($Z1172),1,IF(lenb(SUBSTITUTE($Z1172,V$1&amp;" (2)",""))&lt;lenb($Z1172),2,IF(lenb(SUBSTITUTE($Z1172,V$1&amp;" (3)",""))&lt;lenb($Z1172),3,IF(lenb(SUBSTITUTE($Z1172,V$1&amp;" (4)",""))&lt;lenb($Z1172),4,IF(lenb(SUBSTITUTE($Z1172,V$1&amp;" (5)",""))&lt;lenb($Z1172),5,IF(lenb(SUBSTITUTE($Z1172,V$1&amp;" (6)",""))&lt;lenb($Z1172),6,IF(lenb(SUBSTITUTE($Z1172,V$1&amp;" (7)",""))&lt;lenb($Z1172),1,IF(lenb(SUBSTITUTE($Z1172,V$1&amp;" (8)",""))&lt;lenb($Z1172),8,IF(lenb(SUBSTITUTE($Z1172,V$1&amp;" (9)",""))&lt;lenb($Z1172),9,IF(lenb(SUBSTITUTE($Z1172,V$1&amp;" (10)",""))&lt;lenb($Z1172),10,IF(lenb(SUBSTITUTE($Z1172,V$1,""))&lt;lenb($Z1172),"ERROR",IF($Z1172=$Y$1,"-",0))))))))))))</f>
        <v>1</v>
      </c>
      <c r="W1172" s="32">
        <f t="shared" si="1178"/>
        <v>0</v>
      </c>
      <c r="X1172" s="32">
        <f t="shared" si="1178"/>
        <v>0</v>
      </c>
      <c r="Y1172" s="32" t="str">
        <f t="shared" si="3"/>
        <v>-</v>
      </c>
      <c r="Z1172" s="32" t="s">
        <v>62</v>
      </c>
      <c r="AA1172" s="33">
        <f t="shared" si="4"/>
        <v>1</v>
      </c>
      <c r="AB1172" s="34">
        <f>COUNTIFS(Links!B:B,"ICSE",Links!C:C,A1172,Links!AD:AD,1)</f>
        <v>0</v>
      </c>
      <c r="AC1172" s="35" t="s">
        <v>35</v>
      </c>
      <c r="AD1172" s="27" t="str">
        <f t="shared" si="5"/>
        <v>No</v>
      </c>
      <c r="AE1172" s="36" t="s">
        <v>36</v>
      </c>
      <c r="AF1172" s="37" t="s">
        <v>42</v>
      </c>
      <c r="AG1172" s="37" t="s">
        <v>42</v>
      </c>
      <c r="AH1172" s="37" t="s">
        <v>42</v>
      </c>
      <c r="AI1172" s="29" t="str">
        <f t="shared" si="661"/>
        <v>----</v>
      </c>
      <c r="AJ1172" s="38" t="str">
        <f t="shared" si="7"/>
        <v>Paper has link but no statement</v>
      </c>
      <c r="AK1172" s="39">
        <v>45070.0</v>
      </c>
      <c r="AL1172" s="23" t="s">
        <v>43</v>
      </c>
      <c r="AM1172" s="40" t="str">
        <f t="shared" si="8"/>
        <v>[IP2166]</v>
      </c>
    </row>
    <row r="1173" ht="67.5" customHeight="1">
      <c r="A1173" s="41">
        <v>2167.0</v>
      </c>
      <c r="B1173" s="42" t="s">
        <v>3202</v>
      </c>
      <c r="C1173" s="43">
        <v>2023.0</v>
      </c>
      <c r="D1173" s="44" t="s">
        <v>35</v>
      </c>
      <c r="E1173" s="45" t="s">
        <v>36</v>
      </c>
      <c r="F1173" s="45" t="s">
        <v>36</v>
      </c>
      <c r="G1173" s="45" t="s">
        <v>36</v>
      </c>
      <c r="H1173" s="45" t="s">
        <v>36</v>
      </c>
      <c r="I1173" s="45" t="s">
        <v>36</v>
      </c>
      <c r="J1173" s="46" t="s">
        <v>36</v>
      </c>
      <c r="K1173" s="47" t="s">
        <v>37</v>
      </c>
      <c r="L1173" s="48" t="s">
        <v>35</v>
      </c>
      <c r="M1173" s="48" t="s">
        <v>37</v>
      </c>
      <c r="N1173" s="48" t="s">
        <v>35</v>
      </c>
      <c r="O1173" s="48" t="s">
        <v>35</v>
      </c>
      <c r="P1173" s="48" t="s">
        <v>35</v>
      </c>
      <c r="Q1173" s="48" t="s">
        <v>37</v>
      </c>
      <c r="R1173" s="48" t="s">
        <v>35</v>
      </c>
      <c r="S1173" s="49" t="s">
        <v>3203</v>
      </c>
      <c r="T1173" s="50" t="s">
        <v>3204</v>
      </c>
      <c r="U1173" s="51" t="s">
        <v>3204</v>
      </c>
      <c r="V1173" s="52">
        <f t="shared" ref="V1173:X1173" si="1179">IF(lenb(SUBSTITUTE($Z1173,V$1&amp;" (1)",""))&lt;lenb($Z1173),1,IF(lenb(SUBSTITUTE($Z1173,V$1&amp;" (2)",""))&lt;lenb($Z1173),2,IF(lenb(SUBSTITUTE($Z1173,V$1&amp;" (3)",""))&lt;lenb($Z1173),3,IF(lenb(SUBSTITUTE($Z1173,V$1&amp;" (4)",""))&lt;lenb($Z1173),4,IF(lenb(SUBSTITUTE($Z1173,V$1&amp;" (5)",""))&lt;lenb($Z1173),5,IF(lenb(SUBSTITUTE($Z1173,V$1&amp;" (6)",""))&lt;lenb($Z1173),6,IF(lenb(SUBSTITUTE($Z1173,V$1&amp;" (7)",""))&lt;lenb($Z1173),1,IF(lenb(SUBSTITUTE($Z1173,V$1&amp;" (8)",""))&lt;lenb($Z1173),8,IF(lenb(SUBSTITUTE($Z1173,V$1&amp;" (9)",""))&lt;lenb($Z1173),9,IF(lenb(SUBSTITUTE($Z1173,V$1&amp;" (10)",""))&lt;lenb($Z1173),10,IF(lenb(SUBSTITUTE($Z1173,V$1,""))&lt;lenb($Z1173),"ERROR",IF($Z1173=$Y$1,"-",0))))))))))))</f>
        <v>1</v>
      </c>
      <c r="W1173" s="52">
        <f t="shared" si="1179"/>
        <v>0</v>
      </c>
      <c r="X1173" s="52">
        <f t="shared" si="1179"/>
        <v>0</v>
      </c>
      <c r="Y1173" s="52" t="str">
        <f t="shared" si="3"/>
        <v>-</v>
      </c>
      <c r="Z1173" s="52" t="s">
        <v>62</v>
      </c>
      <c r="AA1173" s="53">
        <f t="shared" si="4"/>
        <v>1</v>
      </c>
      <c r="AB1173" s="54">
        <f>COUNTIFS(Links!B:B,"ICSE",Links!C:C,A1173,Links!AD:AD,1)</f>
        <v>0</v>
      </c>
      <c r="AC1173" s="55" t="s">
        <v>37</v>
      </c>
      <c r="AD1173" s="47" t="str">
        <f t="shared" si="5"/>
        <v>No</v>
      </c>
      <c r="AE1173" s="56" t="s">
        <v>36</v>
      </c>
      <c r="AF1173" s="57" t="s">
        <v>42</v>
      </c>
      <c r="AG1173" s="57" t="s">
        <v>42</v>
      </c>
      <c r="AH1173" s="57" t="s">
        <v>42</v>
      </c>
      <c r="AI1173" s="49" t="str">
        <f t="shared" si="661"/>
        <v>----</v>
      </c>
      <c r="AJ1173" s="58" t="str">
        <f t="shared" si="7"/>
        <v>Paper has link but no statement</v>
      </c>
      <c r="AK1173" s="59">
        <v>45070.0</v>
      </c>
      <c r="AL1173" s="43" t="s">
        <v>43</v>
      </c>
      <c r="AM1173" s="60" t="str">
        <f t="shared" si="8"/>
        <v>[IP2167]</v>
      </c>
    </row>
    <row r="1174" ht="67.5" customHeight="1">
      <c r="A1174" s="61">
        <v>2168.0</v>
      </c>
      <c r="B1174" s="22" t="s">
        <v>3205</v>
      </c>
      <c r="C1174" s="23">
        <v>2023.0</v>
      </c>
      <c r="D1174" s="24" t="s">
        <v>35</v>
      </c>
      <c r="E1174" s="25" t="s">
        <v>36</v>
      </c>
      <c r="F1174" s="25" t="s">
        <v>36</v>
      </c>
      <c r="G1174" s="25" t="s">
        <v>36</v>
      </c>
      <c r="H1174" s="25" t="s">
        <v>36</v>
      </c>
      <c r="I1174" s="25" t="s">
        <v>36</v>
      </c>
      <c r="J1174" s="26" t="s">
        <v>36</v>
      </c>
      <c r="K1174" s="27" t="s">
        <v>37</v>
      </c>
      <c r="L1174" s="28" t="s">
        <v>37</v>
      </c>
      <c r="M1174" s="28" t="s">
        <v>37</v>
      </c>
      <c r="N1174" s="28" t="s">
        <v>37</v>
      </c>
      <c r="O1174" s="28" t="s">
        <v>37</v>
      </c>
      <c r="P1174" s="28" t="s">
        <v>37</v>
      </c>
      <c r="Q1174" s="28" t="s">
        <v>35</v>
      </c>
      <c r="R1174" s="28" t="s">
        <v>35</v>
      </c>
      <c r="S1174" s="29" t="s">
        <v>3206</v>
      </c>
      <c r="T1174" s="30" t="s">
        <v>3207</v>
      </c>
      <c r="U1174" s="31" t="s">
        <v>3207</v>
      </c>
      <c r="V1174" s="32">
        <f t="shared" ref="V1174:X1174" si="1180">IF(lenb(SUBSTITUTE($Z1174,V$1&amp;" (1)",""))&lt;lenb($Z1174),1,IF(lenb(SUBSTITUTE($Z1174,V$1&amp;" (2)",""))&lt;lenb($Z1174),2,IF(lenb(SUBSTITUTE($Z1174,V$1&amp;" (3)",""))&lt;lenb($Z1174),3,IF(lenb(SUBSTITUTE($Z1174,V$1&amp;" (4)",""))&lt;lenb($Z1174),4,IF(lenb(SUBSTITUTE($Z1174,V$1&amp;" (5)",""))&lt;lenb($Z1174),5,IF(lenb(SUBSTITUTE($Z1174,V$1&amp;" (6)",""))&lt;lenb($Z1174),6,IF(lenb(SUBSTITUTE($Z1174,V$1&amp;" (7)",""))&lt;lenb($Z1174),1,IF(lenb(SUBSTITUTE($Z1174,V$1&amp;" (8)",""))&lt;lenb($Z1174),8,IF(lenb(SUBSTITUTE($Z1174,V$1&amp;" (9)",""))&lt;lenb($Z1174),9,IF(lenb(SUBSTITUTE($Z1174,V$1&amp;" (10)",""))&lt;lenb($Z1174),10,IF(lenb(SUBSTITUTE($Z1174,V$1,""))&lt;lenb($Z1174),"ERROR",IF($Z1174=$Y$1,"-",0))))))))))))</f>
        <v>2</v>
      </c>
      <c r="W1174" s="32">
        <f t="shared" si="1180"/>
        <v>0</v>
      </c>
      <c r="X1174" s="32">
        <f t="shared" si="1180"/>
        <v>0</v>
      </c>
      <c r="Y1174" s="32" t="str">
        <f t="shared" si="3"/>
        <v>-</v>
      </c>
      <c r="Z1174" s="32" t="s">
        <v>57</v>
      </c>
      <c r="AA1174" s="33">
        <f t="shared" si="4"/>
        <v>2</v>
      </c>
      <c r="AB1174" s="34">
        <f>COUNTIFS(Links!B:B,"ICSE",Links!C:C,A1174,Links!AD:AD,1)</f>
        <v>0</v>
      </c>
      <c r="AC1174" s="35" t="s">
        <v>37</v>
      </c>
      <c r="AD1174" s="27" t="str">
        <f t="shared" si="5"/>
        <v>No</v>
      </c>
      <c r="AE1174" s="36" t="s">
        <v>36</v>
      </c>
      <c r="AF1174" s="37" t="s">
        <v>42</v>
      </c>
      <c r="AG1174" s="37" t="s">
        <v>42</v>
      </c>
      <c r="AH1174" s="37" t="s">
        <v>42</v>
      </c>
      <c r="AI1174" s="29" t="str">
        <f t="shared" si="661"/>
        <v>----</v>
      </c>
      <c r="AJ1174" s="38" t="str">
        <f t="shared" si="7"/>
        <v>Paper has link but no statement</v>
      </c>
      <c r="AK1174" s="39">
        <v>45070.0</v>
      </c>
      <c r="AL1174" s="23" t="s">
        <v>43</v>
      </c>
      <c r="AM1174" s="40" t="str">
        <f t="shared" si="8"/>
        <v>[IP2168]</v>
      </c>
    </row>
    <row r="1175" ht="67.5" customHeight="1">
      <c r="A1175" s="62">
        <v>2169.0</v>
      </c>
      <c r="B1175" s="42" t="s">
        <v>3208</v>
      </c>
      <c r="C1175" s="43">
        <v>2023.0</v>
      </c>
      <c r="D1175" s="44" t="s">
        <v>37</v>
      </c>
      <c r="E1175" s="45" t="s">
        <v>37</v>
      </c>
      <c r="F1175" s="45" t="s">
        <v>35</v>
      </c>
      <c r="G1175" s="45" t="s">
        <v>37</v>
      </c>
      <c r="H1175" s="45" t="s">
        <v>35</v>
      </c>
      <c r="I1175" s="45" t="s">
        <v>35</v>
      </c>
      <c r="J1175" s="46" t="s">
        <v>36</v>
      </c>
      <c r="K1175" s="47" t="s">
        <v>37</v>
      </c>
      <c r="L1175" s="48" t="s">
        <v>35</v>
      </c>
      <c r="M1175" s="48" t="s">
        <v>35</v>
      </c>
      <c r="N1175" s="48" t="s">
        <v>35</v>
      </c>
      <c r="O1175" s="48" t="s">
        <v>35</v>
      </c>
      <c r="P1175" s="48" t="s">
        <v>35</v>
      </c>
      <c r="Q1175" s="48" t="s">
        <v>37</v>
      </c>
      <c r="R1175" s="48" t="s">
        <v>35</v>
      </c>
      <c r="S1175" s="49" t="s">
        <v>2848</v>
      </c>
      <c r="T1175" s="50" t="s">
        <v>3209</v>
      </c>
      <c r="U1175" s="51" t="s">
        <v>3210</v>
      </c>
      <c r="V1175" s="52">
        <f t="shared" ref="V1175:X1175" si="1181">IF(lenb(SUBSTITUTE($Z1175,V$1&amp;" (1)",""))&lt;lenb($Z1175),1,IF(lenb(SUBSTITUTE($Z1175,V$1&amp;" (2)",""))&lt;lenb($Z1175),2,IF(lenb(SUBSTITUTE($Z1175,V$1&amp;" (3)",""))&lt;lenb($Z1175),3,IF(lenb(SUBSTITUTE($Z1175,V$1&amp;" (4)",""))&lt;lenb($Z1175),4,IF(lenb(SUBSTITUTE($Z1175,V$1&amp;" (5)",""))&lt;lenb($Z1175),5,IF(lenb(SUBSTITUTE($Z1175,V$1&amp;" (6)",""))&lt;lenb($Z1175),6,IF(lenb(SUBSTITUTE($Z1175,V$1&amp;" (7)",""))&lt;lenb($Z1175),1,IF(lenb(SUBSTITUTE($Z1175,V$1&amp;" (8)",""))&lt;lenb($Z1175),8,IF(lenb(SUBSTITUTE($Z1175,V$1&amp;" (9)",""))&lt;lenb($Z1175),9,IF(lenb(SUBSTITUTE($Z1175,V$1&amp;" (10)",""))&lt;lenb($Z1175),10,IF(lenb(SUBSTITUTE($Z1175,V$1,""))&lt;lenb($Z1175),"ERROR",IF($Z1175=$Y$1,"-",0))))))))))))</f>
        <v>1</v>
      </c>
      <c r="W1175" s="52">
        <f t="shared" si="1181"/>
        <v>0</v>
      </c>
      <c r="X1175" s="52">
        <f t="shared" si="1181"/>
        <v>0</v>
      </c>
      <c r="Y1175" s="52" t="str">
        <f t="shared" si="3"/>
        <v>-</v>
      </c>
      <c r="Z1175" s="52" t="s">
        <v>62</v>
      </c>
      <c r="AA1175" s="53">
        <f t="shared" si="4"/>
        <v>1</v>
      </c>
      <c r="AB1175" s="54">
        <f>COUNTIFS(Links!B:B,"ICSE",Links!C:C,A1175,Links!AD:AD,1)</f>
        <v>0</v>
      </c>
      <c r="AC1175" s="55" t="s">
        <v>37</v>
      </c>
      <c r="AD1175" s="47" t="str">
        <f t="shared" si="5"/>
        <v>No</v>
      </c>
      <c r="AE1175" s="56" t="s">
        <v>36</v>
      </c>
      <c r="AF1175" s="57" t="s">
        <v>42</v>
      </c>
      <c r="AG1175" s="57" t="s">
        <v>42</v>
      </c>
      <c r="AH1175" s="57" t="s">
        <v>42</v>
      </c>
      <c r="AI1175" s="49" t="str">
        <f t="shared" si="661"/>
        <v>----</v>
      </c>
      <c r="AJ1175" s="58" t="str">
        <f t="shared" si="7"/>
        <v>Paper has link but no statement</v>
      </c>
      <c r="AK1175" s="59">
        <v>45070.0</v>
      </c>
      <c r="AL1175" s="43" t="s">
        <v>43</v>
      </c>
      <c r="AM1175" s="60" t="str">
        <f t="shared" si="8"/>
        <v>[IP2169]</v>
      </c>
    </row>
    <row r="1176" ht="67.5" customHeight="1">
      <c r="A1176" s="61">
        <v>2170.0</v>
      </c>
      <c r="B1176" s="22" t="s">
        <v>3211</v>
      </c>
      <c r="C1176" s="23">
        <v>2023.0</v>
      </c>
      <c r="D1176" s="24" t="s">
        <v>35</v>
      </c>
      <c r="E1176" s="25" t="s">
        <v>36</v>
      </c>
      <c r="F1176" s="25" t="s">
        <v>36</v>
      </c>
      <c r="G1176" s="25" t="s">
        <v>36</v>
      </c>
      <c r="H1176" s="25" t="s">
        <v>36</v>
      </c>
      <c r="I1176" s="25" t="s">
        <v>36</v>
      </c>
      <c r="J1176" s="26" t="s">
        <v>36</v>
      </c>
      <c r="K1176" s="27" t="s">
        <v>37</v>
      </c>
      <c r="L1176" s="28" t="s">
        <v>37</v>
      </c>
      <c r="M1176" s="28" t="s">
        <v>35</v>
      </c>
      <c r="N1176" s="28" t="s">
        <v>35</v>
      </c>
      <c r="O1176" s="28" t="s">
        <v>35</v>
      </c>
      <c r="P1176" s="28" t="s">
        <v>35</v>
      </c>
      <c r="Q1176" s="28" t="s">
        <v>37</v>
      </c>
      <c r="R1176" s="28" t="s">
        <v>35</v>
      </c>
      <c r="S1176" s="29" t="s">
        <v>3212</v>
      </c>
      <c r="T1176" s="30" t="s">
        <v>3213</v>
      </c>
      <c r="U1176" s="31" t="s">
        <v>3213</v>
      </c>
      <c r="V1176" s="32">
        <f t="shared" ref="V1176:X1176" si="1182">IF(lenb(SUBSTITUTE($Z1176,V$1&amp;" (1)",""))&lt;lenb($Z1176),1,IF(lenb(SUBSTITUTE($Z1176,V$1&amp;" (2)",""))&lt;lenb($Z1176),2,IF(lenb(SUBSTITUTE($Z1176,V$1&amp;" (3)",""))&lt;lenb($Z1176),3,IF(lenb(SUBSTITUTE($Z1176,V$1&amp;" (4)",""))&lt;lenb($Z1176),4,IF(lenb(SUBSTITUTE($Z1176,V$1&amp;" (5)",""))&lt;lenb($Z1176),5,IF(lenb(SUBSTITUTE($Z1176,V$1&amp;" (6)",""))&lt;lenb($Z1176),6,IF(lenb(SUBSTITUTE($Z1176,V$1&amp;" (7)",""))&lt;lenb($Z1176),1,IF(lenb(SUBSTITUTE($Z1176,V$1&amp;" (8)",""))&lt;lenb($Z1176),8,IF(lenb(SUBSTITUTE($Z1176,V$1&amp;" (9)",""))&lt;lenb($Z1176),9,IF(lenb(SUBSTITUTE($Z1176,V$1&amp;" (10)",""))&lt;lenb($Z1176),10,IF(lenb(SUBSTITUTE($Z1176,V$1,""))&lt;lenb($Z1176),"ERROR",IF($Z1176=$Y$1,"-",0))))))))))))</f>
        <v>1</v>
      </c>
      <c r="W1176" s="32">
        <f t="shared" si="1182"/>
        <v>0</v>
      </c>
      <c r="X1176" s="32">
        <f t="shared" si="1182"/>
        <v>0</v>
      </c>
      <c r="Y1176" s="32" t="str">
        <f t="shared" si="3"/>
        <v>-</v>
      </c>
      <c r="Z1176" s="32" t="s">
        <v>62</v>
      </c>
      <c r="AA1176" s="33">
        <f t="shared" si="4"/>
        <v>1</v>
      </c>
      <c r="AB1176" s="34">
        <f>COUNTIFS(Links!B:B,"ICSE",Links!C:C,A1176,Links!AD:AD,1)</f>
        <v>0</v>
      </c>
      <c r="AC1176" s="35" t="s">
        <v>35</v>
      </c>
      <c r="AD1176" s="27" t="str">
        <f t="shared" si="5"/>
        <v>No</v>
      </c>
      <c r="AE1176" s="36" t="s">
        <v>36</v>
      </c>
      <c r="AF1176" s="37" t="s">
        <v>42</v>
      </c>
      <c r="AG1176" s="37" t="s">
        <v>42</v>
      </c>
      <c r="AH1176" s="37" t="s">
        <v>42</v>
      </c>
      <c r="AI1176" s="29" t="str">
        <f t="shared" si="661"/>
        <v>----</v>
      </c>
      <c r="AJ1176" s="38" t="str">
        <f t="shared" si="7"/>
        <v>Paper has link but no statement</v>
      </c>
      <c r="AK1176" s="39">
        <v>45070.0</v>
      </c>
      <c r="AL1176" s="23" t="s">
        <v>43</v>
      </c>
      <c r="AM1176" s="40" t="str">
        <f t="shared" si="8"/>
        <v>[IP2170]</v>
      </c>
    </row>
    <row r="1177" ht="67.5" customHeight="1">
      <c r="A1177" s="41">
        <v>2171.0</v>
      </c>
      <c r="B1177" s="42" t="s">
        <v>3214</v>
      </c>
      <c r="C1177" s="43">
        <v>2023.0</v>
      </c>
      <c r="D1177" s="44" t="s">
        <v>35</v>
      </c>
      <c r="E1177" s="45" t="s">
        <v>36</v>
      </c>
      <c r="F1177" s="45" t="s">
        <v>36</v>
      </c>
      <c r="G1177" s="45" t="s">
        <v>36</v>
      </c>
      <c r="H1177" s="45" t="s">
        <v>36</v>
      </c>
      <c r="I1177" s="45" t="s">
        <v>36</v>
      </c>
      <c r="J1177" s="46" t="s">
        <v>36</v>
      </c>
      <c r="K1177" s="47" t="s">
        <v>37</v>
      </c>
      <c r="L1177" s="48" t="s">
        <v>35</v>
      </c>
      <c r="M1177" s="48" t="s">
        <v>37</v>
      </c>
      <c r="N1177" s="48" t="s">
        <v>37</v>
      </c>
      <c r="O1177" s="48" t="s">
        <v>35</v>
      </c>
      <c r="P1177" s="48" t="s">
        <v>35</v>
      </c>
      <c r="Q1177" s="48" t="s">
        <v>37</v>
      </c>
      <c r="R1177" s="48" t="s">
        <v>37</v>
      </c>
      <c r="S1177" s="49" t="s">
        <v>3215</v>
      </c>
      <c r="T1177" s="50" t="s">
        <v>3216</v>
      </c>
      <c r="U1177" s="51" t="s">
        <v>3216</v>
      </c>
      <c r="V1177" s="52">
        <f t="shared" ref="V1177:X1177" si="1183">IF(lenb(SUBSTITUTE($Z1177,V$1&amp;" (1)",""))&lt;lenb($Z1177),1,IF(lenb(SUBSTITUTE($Z1177,V$1&amp;" (2)",""))&lt;lenb($Z1177),2,IF(lenb(SUBSTITUTE($Z1177,V$1&amp;" (3)",""))&lt;lenb($Z1177),3,IF(lenb(SUBSTITUTE($Z1177,V$1&amp;" (4)",""))&lt;lenb($Z1177),4,IF(lenb(SUBSTITUTE($Z1177,V$1&amp;" (5)",""))&lt;lenb($Z1177),5,IF(lenb(SUBSTITUTE($Z1177,V$1&amp;" (6)",""))&lt;lenb($Z1177),6,IF(lenb(SUBSTITUTE($Z1177,V$1&amp;" (7)",""))&lt;lenb($Z1177),1,IF(lenb(SUBSTITUTE($Z1177,V$1&amp;" (8)",""))&lt;lenb($Z1177),8,IF(lenb(SUBSTITUTE($Z1177,V$1&amp;" (9)",""))&lt;lenb($Z1177),9,IF(lenb(SUBSTITUTE($Z1177,V$1&amp;" (10)",""))&lt;lenb($Z1177),10,IF(lenb(SUBSTITUTE($Z1177,V$1,""))&lt;lenb($Z1177),"ERROR",IF($Z1177=$Y$1,"-",0))))))))))))</f>
        <v>1</v>
      </c>
      <c r="W1177" s="52">
        <f t="shared" si="1183"/>
        <v>0</v>
      </c>
      <c r="X1177" s="52">
        <f t="shared" si="1183"/>
        <v>0</v>
      </c>
      <c r="Y1177" s="52" t="str">
        <f t="shared" si="3"/>
        <v>-</v>
      </c>
      <c r="Z1177" s="52" t="s">
        <v>62</v>
      </c>
      <c r="AA1177" s="53">
        <f t="shared" si="4"/>
        <v>1</v>
      </c>
      <c r="AB1177" s="54">
        <f>COUNTIFS(Links!B:B,"ICSE",Links!C:C,A1177,Links!AD:AD,1)</f>
        <v>0</v>
      </c>
      <c r="AC1177" s="55" t="s">
        <v>37</v>
      </c>
      <c r="AD1177" s="47" t="str">
        <f t="shared" si="5"/>
        <v>No</v>
      </c>
      <c r="AE1177" s="56" t="s">
        <v>36</v>
      </c>
      <c r="AF1177" s="57" t="s">
        <v>42</v>
      </c>
      <c r="AG1177" s="57" t="s">
        <v>42</v>
      </c>
      <c r="AH1177" s="57" t="s">
        <v>42</v>
      </c>
      <c r="AI1177" s="49" t="str">
        <f t="shared" si="661"/>
        <v>----</v>
      </c>
      <c r="AJ1177" s="58" t="str">
        <f t="shared" si="7"/>
        <v>Paper has link but no statement</v>
      </c>
      <c r="AK1177" s="59">
        <v>45070.0</v>
      </c>
      <c r="AL1177" s="43" t="s">
        <v>43</v>
      </c>
      <c r="AM1177" s="60" t="str">
        <f t="shared" si="8"/>
        <v>[IP2171]</v>
      </c>
    </row>
    <row r="1178" ht="67.5" customHeight="1">
      <c r="A1178" s="61">
        <v>2172.0</v>
      </c>
      <c r="B1178" s="22" t="s">
        <v>3217</v>
      </c>
      <c r="C1178" s="23">
        <v>2023.0</v>
      </c>
      <c r="D1178" s="24" t="s">
        <v>35</v>
      </c>
      <c r="E1178" s="25" t="s">
        <v>36</v>
      </c>
      <c r="F1178" s="25" t="s">
        <v>36</v>
      </c>
      <c r="G1178" s="25" t="s">
        <v>36</v>
      </c>
      <c r="H1178" s="25" t="s">
        <v>36</v>
      </c>
      <c r="I1178" s="25" t="s">
        <v>36</v>
      </c>
      <c r="J1178" s="26" t="s">
        <v>36</v>
      </c>
      <c r="K1178" s="27" t="s">
        <v>37</v>
      </c>
      <c r="L1178" s="28" t="s">
        <v>37</v>
      </c>
      <c r="M1178" s="28" t="s">
        <v>35</v>
      </c>
      <c r="N1178" s="28" t="s">
        <v>37</v>
      </c>
      <c r="O1178" s="28" t="s">
        <v>35</v>
      </c>
      <c r="P1178" s="28" t="s">
        <v>35</v>
      </c>
      <c r="Q1178" s="28" t="s">
        <v>35</v>
      </c>
      <c r="R1178" s="28" t="s">
        <v>37</v>
      </c>
      <c r="S1178" s="29" t="s">
        <v>3218</v>
      </c>
      <c r="T1178" s="30" t="s">
        <v>3219</v>
      </c>
      <c r="U1178" s="31" t="s">
        <v>3220</v>
      </c>
      <c r="V1178" s="32">
        <f t="shared" ref="V1178:X1178" si="1184">IF(lenb(SUBSTITUTE($Z1178,V$1&amp;" (1)",""))&lt;lenb($Z1178),1,IF(lenb(SUBSTITUTE($Z1178,V$1&amp;" (2)",""))&lt;lenb($Z1178),2,IF(lenb(SUBSTITUTE($Z1178,V$1&amp;" (3)",""))&lt;lenb($Z1178),3,IF(lenb(SUBSTITUTE($Z1178,V$1&amp;" (4)",""))&lt;lenb($Z1178),4,IF(lenb(SUBSTITUTE($Z1178,V$1&amp;" (5)",""))&lt;lenb($Z1178),5,IF(lenb(SUBSTITUTE($Z1178,V$1&amp;" (6)",""))&lt;lenb($Z1178),6,IF(lenb(SUBSTITUTE($Z1178,V$1&amp;" (7)",""))&lt;lenb($Z1178),1,IF(lenb(SUBSTITUTE($Z1178,V$1&amp;" (8)",""))&lt;lenb($Z1178),8,IF(lenb(SUBSTITUTE($Z1178,V$1&amp;" (9)",""))&lt;lenb($Z1178),9,IF(lenb(SUBSTITUTE($Z1178,V$1&amp;" (10)",""))&lt;lenb($Z1178),10,IF(lenb(SUBSTITUTE($Z1178,V$1,""))&lt;lenb($Z1178),"ERROR",IF($Z1178=$Y$1,"-",0))))))))))))</f>
        <v>1</v>
      </c>
      <c r="W1178" s="32">
        <f t="shared" si="1184"/>
        <v>0</v>
      </c>
      <c r="X1178" s="32">
        <f t="shared" si="1184"/>
        <v>0</v>
      </c>
      <c r="Y1178" s="32" t="str">
        <f t="shared" si="3"/>
        <v>-</v>
      </c>
      <c r="Z1178" s="32" t="s">
        <v>62</v>
      </c>
      <c r="AA1178" s="33">
        <f t="shared" si="4"/>
        <v>1</v>
      </c>
      <c r="AB1178" s="34">
        <f>COUNTIFS(Links!B:B,"ICSE",Links!C:C,A1178,Links!AD:AD,1)</f>
        <v>0</v>
      </c>
      <c r="AC1178" s="35" t="s">
        <v>35</v>
      </c>
      <c r="AD1178" s="27" t="str">
        <f t="shared" si="5"/>
        <v>No</v>
      </c>
      <c r="AE1178" s="36" t="s">
        <v>36</v>
      </c>
      <c r="AF1178" s="37" t="s">
        <v>42</v>
      </c>
      <c r="AG1178" s="37" t="s">
        <v>42</v>
      </c>
      <c r="AH1178" s="37" t="s">
        <v>42</v>
      </c>
      <c r="AI1178" s="29" t="str">
        <f t="shared" si="661"/>
        <v>----</v>
      </c>
      <c r="AJ1178" s="38" t="str">
        <f t="shared" si="7"/>
        <v>Paper has link but no statement</v>
      </c>
      <c r="AK1178" s="39">
        <v>45070.0</v>
      </c>
      <c r="AL1178" s="23" t="s">
        <v>43</v>
      </c>
      <c r="AM1178" s="40" t="str">
        <f t="shared" si="8"/>
        <v>[IP2172]</v>
      </c>
    </row>
    <row r="1179" ht="67.5" customHeight="1">
      <c r="A1179" s="41">
        <v>2173.0</v>
      </c>
      <c r="B1179" s="42" t="s">
        <v>3221</v>
      </c>
      <c r="C1179" s="43">
        <v>2023.0</v>
      </c>
      <c r="D1179" s="44" t="s">
        <v>37</v>
      </c>
      <c r="E1179" s="45" t="s">
        <v>37</v>
      </c>
      <c r="F1179" s="45" t="s">
        <v>37</v>
      </c>
      <c r="G1179" s="45" t="s">
        <v>35</v>
      </c>
      <c r="H1179" s="45" t="s">
        <v>35</v>
      </c>
      <c r="I1179" s="45" t="s">
        <v>35</v>
      </c>
      <c r="J1179" s="46" t="s">
        <v>36</v>
      </c>
      <c r="K1179" s="47" t="s">
        <v>37</v>
      </c>
      <c r="L1179" s="48" t="s">
        <v>35</v>
      </c>
      <c r="M1179" s="48" t="s">
        <v>37</v>
      </c>
      <c r="N1179" s="48" t="s">
        <v>35</v>
      </c>
      <c r="O1179" s="48" t="s">
        <v>37</v>
      </c>
      <c r="P1179" s="48" t="s">
        <v>37</v>
      </c>
      <c r="Q1179" s="48" t="s">
        <v>35</v>
      </c>
      <c r="R1179" s="48" t="s">
        <v>35</v>
      </c>
      <c r="S1179" s="49" t="s">
        <v>3222</v>
      </c>
      <c r="T1179" s="50" t="s">
        <v>3223</v>
      </c>
      <c r="U1179" s="51" t="s">
        <v>3224</v>
      </c>
      <c r="V1179" s="52">
        <f t="shared" ref="V1179:X1179" si="1185">IF(lenb(SUBSTITUTE($Z1179,V$1&amp;" (1)",""))&lt;lenb($Z1179),1,IF(lenb(SUBSTITUTE($Z1179,V$1&amp;" (2)",""))&lt;lenb($Z1179),2,IF(lenb(SUBSTITUTE($Z1179,V$1&amp;" (3)",""))&lt;lenb($Z1179),3,IF(lenb(SUBSTITUTE($Z1179,V$1&amp;" (4)",""))&lt;lenb($Z1179),4,IF(lenb(SUBSTITUTE($Z1179,V$1&amp;" (5)",""))&lt;lenb($Z1179),5,IF(lenb(SUBSTITUTE($Z1179,V$1&amp;" (6)",""))&lt;lenb($Z1179),6,IF(lenb(SUBSTITUTE($Z1179,V$1&amp;" (7)",""))&lt;lenb($Z1179),1,IF(lenb(SUBSTITUTE($Z1179,V$1&amp;" (8)",""))&lt;lenb($Z1179),8,IF(lenb(SUBSTITUTE($Z1179,V$1&amp;" (9)",""))&lt;lenb($Z1179),9,IF(lenb(SUBSTITUTE($Z1179,V$1&amp;" (10)",""))&lt;lenb($Z1179),10,IF(lenb(SUBSTITUTE($Z1179,V$1,""))&lt;lenb($Z1179),"ERROR",IF($Z1179=$Y$1,"-",0))))))))))))</f>
        <v>1</v>
      </c>
      <c r="W1179" s="52">
        <f t="shared" si="1185"/>
        <v>0</v>
      </c>
      <c r="X1179" s="52">
        <f t="shared" si="1185"/>
        <v>0</v>
      </c>
      <c r="Y1179" s="52" t="str">
        <f t="shared" si="3"/>
        <v>-</v>
      </c>
      <c r="Z1179" s="52" t="s">
        <v>62</v>
      </c>
      <c r="AA1179" s="53">
        <f t="shared" si="4"/>
        <v>1</v>
      </c>
      <c r="AB1179" s="54">
        <f>COUNTIFS(Links!B:B,"ICSE",Links!C:C,A1179,Links!AD:AD,1)</f>
        <v>0</v>
      </c>
      <c r="AC1179" s="55" t="s">
        <v>37</v>
      </c>
      <c r="AD1179" s="47" t="str">
        <f t="shared" si="5"/>
        <v>No</v>
      </c>
      <c r="AE1179" s="56" t="s">
        <v>36</v>
      </c>
      <c r="AF1179" s="57" t="s">
        <v>42</v>
      </c>
      <c r="AG1179" s="57" t="s">
        <v>42</v>
      </c>
      <c r="AH1179" s="57" t="s">
        <v>42</v>
      </c>
      <c r="AI1179" s="49" t="str">
        <f t="shared" si="661"/>
        <v>----</v>
      </c>
      <c r="AJ1179" s="58" t="str">
        <f t="shared" si="7"/>
        <v>Paper has link but no statement</v>
      </c>
      <c r="AK1179" s="59">
        <v>45070.0</v>
      </c>
      <c r="AL1179" s="43" t="s">
        <v>43</v>
      </c>
      <c r="AM1179" s="60" t="str">
        <f t="shared" si="8"/>
        <v>[IP2173]</v>
      </c>
    </row>
    <row r="1180" ht="67.5" customHeight="1">
      <c r="A1180" s="61">
        <v>2174.0</v>
      </c>
      <c r="B1180" s="22" t="s">
        <v>3225</v>
      </c>
      <c r="C1180" s="23">
        <v>2023.0</v>
      </c>
      <c r="D1180" s="24" t="s">
        <v>35</v>
      </c>
      <c r="E1180" s="25" t="s">
        <v>36</v>
      </c>
      <c r="F1180" s="25" t="s">
        <v>36</v>
      </c>
      <c r="G1180" s="25" t="s">
        <v>36</v>
      </c>
      <c r="H1180" s="25" t="s">
        <v>36</v>
      </c>
      <c r="I1180" s="25" t="s">
        <v>36</v>
      </c>
      <c r="J1180" s="26" t="s">
        <v>36</v>
      </c>
      <c r="K1180" s="27" t="s">
        <v>37</v>
      </c>
      <c r="L1180" s="28" t="s">
        <v>35</v>
      </c>
      <c r="M1180" s="28" t="s">
        <v>37</v>
      </c>
      <c r="N1180" s="28" t="s">
        <v>35</v>
      </c>
      <c r="O1180" s="28" t="s">
        <v>35</v>
      </c>
      <c r="P1180" s="28" t="s">
        <v>35</v>
      </c>
      <c r="Q1180" s="28" t="s">
        <v>37</v>
      </c>
      <c r="R1180" s="28" t="s">
        <v>35</v>
      </c>
      <c r="S1180" s="29" t="s">
        <v>3226</v>
      </c>
      <c r="T1180" s="30" t="s">
        <v>3227</v>
      </c>
      <c r="U1180" s="31" t="s">
        <v>3227</v>
      </c>
      <c r="V1180" s="32">
        <f t="shared" ref="V1180:X1180" si="1186">IF(lenb(SUBSTITUTE($Z1180,V$1&amp;" (1)",""))&lt;lenb($Z1180),1,IF(lenb(SUBSTITUTE($Z1180,V$1&amp;" (2)",""))&lt;lenb($Z1180),2,IF(lenb(SUBSTITUTE($Z1180,V$1&amp;" (3)",""))&lt;lenb($Z1180),3,IF(lenb(SUBSTITUTE($Z1180,V$1&amp;" (4)",""))&lt;lenb($Z1180),4,IF(lenb(SUBSTITUTE($Z1180,V$1&amp;" (5)",""))&lt;lenb($Z1180),5,IF(lenb(SUBSTITUTE($Z1180,V$1&amp;" (6)",""))&lt;lenb($Z1180),6,IF(lenb(SUBSTITUTE($Z1180,V$1&amp;" (7)",""))&lt;lenb($Z1180),1,IF(lenb(SUBSTITUTE($Z1180,V$1&amp;" (8)",""))&lt;lenb($Z1180),8,IF(lenb(SUBSTITUTE($Z1180,V$1&amp;" (9)",""))&lt;lenb($Z1180),9,IF(lenb(SUBSTITUTE($Z1180,V$1&amp;" (10)",""))&lt;lenb($Z1180),10,IF(lenb(SUBSTITUTE($Z1180,V$1,""))&lt;lenb($Z1180),"ERROR",IF($Z1180=$Y$1,"-",0))))))))))))</f>
        <v>1</v>
      </c>
      <c r="W1180" s="32">
        <f t="shared" si="1186"/>
        <v>0</v>
      </c>
      <c r="X1180" s="32">
        <f t="shared" si="1186"/>
        <v>0</v>
      </c>
      <c r="Y1180" s="32" t="str">
        <f t="shared" si="3"/>
        <v>-</v>
      </c>
      <c r="Z1180" s="32" t="s">
        <v>62</v>
      </c>
      <c r="AA1180" s="33">
        <f t="shared" si="4"/>
        <v>1</v>
      </c>
      <c r="AB1180" s="34">
        <f>COUNTIFS(Links!B:B,"ICSE",Links!C:C,A1180,Links!AD:AD,1)</f>
        <v>0</v>
      </c>
      <c r="AC1180" s="35" t="s">
        <v>37</v>
      </c>
      <c r="AD1180" s="27" t="str">
        <f t="shared" si="5"/>
        <v>No</v>
      </c>
      <c r="AE1180" s="36" t="s">
        <v>36</v>
      </c>
      <c r="AF1180" s="37" t="s">
        <v>42</v>
      </c>
      <c r="AG1180" s="37" t="s">
        <v>42</v>
      </c>
      <c r="AH1180" s="37" t="s">
        <v>42</v>
      </c>
      <c r="AI1180" s="29" t="str">
        <f t="shared" si="661"/>
        <v>----</v>
      </c>
      <c r="AJ1180" s="38" t="str">
        <f t="shared" si="7"/>
        <v>Paper has link but no statement</v>
      </c>
      <c r="AK1180" s="39">
        <v>45070.0</v>
      </c>
      <c r="AL1180" s="23" t="s">
        <v>43</v>
      </c>
      <c r="AM1180" s="40" t="str">
        <f t="shared" si="8"/>
        <v>[IP2174]</v>
      </c>
    </row>
    <row r="1181" ht="67.5" customHeight="1">
      <c r="A1181" s="41">
        <v>2175.0</v>
      </c>
      <c r="B1181" s="42" t="s">
        <v>3228</v>
      </c>
      <c r="C1181" s="43">
        <v>2023.0</v>
      </c>
      <c r="D1181" s="44" t="s">
        <v>35</v>
      </c>
      <c r="E1181" s="45" t="s">
        <v>36</v>
      </c>
      <c r="F1181" s="45" t="s">
        <v>36</v>
      </c>
      <c r="G1181" s="45" t="s">
        <v>36</v>
      </c>
      <c r="H1181" s="45" t="s">
        <v>36</v>
      </c>
      <c r="I1181" s="45" t="s">
        <v>36</v>
      </c>
      <c r="J1181" s="46" t="s">
        <v>36</v>
      </c>
      <c r="K1181" s="47" t="s">
        <v>37</v>
      </c>
      <c r="L1181" s="48" t="s">
        <v>37</v>
      </c>
      <c r="M1181" s="48" t="s">
        <v>35</v>
      </c>
      <c r="N1181" s="48" t="s">
        <v>35</v>
      </c>
      <c r="O1181" s="48" t="s">
        <v>35</v>
      </c>
      <c r="P1181" s="48" t="s">
        <v>35</v>
      </c>
      <c r="Q1181" s="48" t="s">
        <v>35</v>
      </c>
      <c r="R1181" s="48" t="s">
        <v>37</v>
      </c>
      <c r="S1181" s="49" t="s">
        <v>3229</v>
      </c>
      <c r="T1181" s="50" t="s">
        <v>3230</v>
      </c>
      <c r="U1181" s="51" t="s">
        <v>3230</v>
      </c>
      <c r="V1181" s="52">
        <f t="shared" ref="V1181:X1181" si="1187">IF(lenb(SUBSTITUTE($Z1181,V$1&amp;" (1)",""))&lt;lenb($Z1181),1,IF(lenb(SUBSTITUTE($Z1181,V$1&amp;" (2)",""))&lt;lenb($Z1181),2,IF(lenb(SUBSTITUTE($Z1181,V$1&amp;" (3)",""))&lt;lenb($Z1181),3,IF(lenb(SUBSTITUTE($Z1181,V$1&amp;" (4)",""))&lt;lenb($Z1181),4,IF(lenb(SUBSTITUTE($Z1181,V$1&amp;" (5)",""))&lt;lenb($Z1181),5,IF(lenb(SUBSTITUTE($Z1181,V$1&amp;" (6)",""))&lt;lenb($Z1181),6,IF(lenb(SUBSTITUTE($Z1181,V$1&amp;" (7)",""))&lt;lenb($Z1181),1,IF(lenb(SUBSTITUTE($Z1181,V$1&amp;" (8)",""))&lt;lenb($Z1181),8,IF(lenb(SUBSTITUTE($Z1181,V$1&amp;" (9)",""))&lt;lenb($Z1181),9,IF(lenb(SUBSTITUTE($Z1181,V$1&amp;" (10)",""))&lt;lenb($Z1181),10,IF(lenb(SUBSTITUTE($Z1181,V$1,""))&lt;lenb($Z1181),"ERROR",IF($Z1181=$Y$1,"-",0))))))))))))</f>
        <v>1</v>
      </c>
      <c r="W1181" s="52">
        <f t="shared" si="1187"/>
        <v>0</v>
      </c>
      <c r="X1181" s="52">
        <f t="shared" si="1187"/>
        <v>0</v>
      </c>
      <c r="Y1181" s="52" t="str">
        <f t="shared" si="3"/>
        <v>-</v>
      </c>
      <c r="Z1181" s="52" t="s">
        <v>62</v>
      </c>
      <c r="AA1181" s="53">
        <f t="shared" si="4"/>
        <v>1</v>
      </c>
      <c r="AB1181" s="54">
        <f>COUNTIFS(Links!B:B,"ICSE",Links!C:C,A1181,Links!AD:AD,1)</f>
        <v>0</v>
      </c>
      <c r="AC1181" s="55" t="s">
        <v>35</v>
      </c>
      <c r="AD1181" s="47" t="str">
        <f t="shared" si="5"/>
        <v>No</v>
      </c>
      <c r="AE1181" s="56" t="s">
        <v>36</v>
      </c>
      <c r="AF1181" s="57" t="s">
        <v>42</v>
      </c>
      <c r="AG1181" s="57" t="s">
        <v>42</v>
      </c>
      <c r="AH1181" s="57" t="s">
        <v>42</v>
      </c>
      <c r="AI1181" s="49" t="str">
        <f t="shared" si="661"/>
        <v>----</v>
      </c>
      <c r="AJ1181" s="58" t="str">
        <f t="shared" si="7"/>
        <v>Paper has link but no statement</v>
      </c>
      <c r="AK1181" s="59">
        <v>45070.0</v>
      </c>
      <c r="AL1181" s="43" t="s">
        <v>43</v>
      </c>
      <c r="AM1181" s="60" t="str">
        <f t="shared" si="8"/>
        <v>[IP2175]</v>
      </c>
    </row>
    <row r="1182" ht="67.5" customHeight="1">
      <c r="A1182" s="61">
        <v>2176.0</v>
      </c>
      <c r="B1182" s="22" t="s">
        <v>3231</v>
      </c>
      <c r="C1182" s="23">
        <v>2023.0</v>
      </c>
      <c r="D1182" s="24" t="s">
        <v>35</v>
      </c>
      <c r="E1182" s="25" t="s">
        <v>36</v>
      </c>
      <c r="F1182" s="25" t="s">
        <v>36</v>
      </c>
      <c r="G1182" s="25" t="s">
        <v>36</v>
      </c>
      <c r="H1182" s="25" t="s">
        <v>36</v>
      </c>
      <c r="I1182" s="25" t="s">
        <v>36</v>
      </c>
      <c r="J1182" s="26" t="s">
        <v>36</v>
      </c>
      <c r="K1182" s="27" t="s">
        <v>37</v>
      </c>
      <c r="L1182" s="28" t="s">
        <v>37</v>
      </c>
      <c r="M1182" s="28" t="s">
        <v>35</v>
      </c>
      <c r="N1182" s="28" t="s">
        <v>35</v>
      </c>
      <c r="O1182" s="28" t="s">
        <v>37</v>
      </c>
      <c r="P1182" s="28" t="s">
        <v>37</v>
      </c>
      <c r="Q1182" s="28" t="s">
        <v>35</v>
      </c>
      <c r="R1182" s="28" t="s">
        <v>37</v>
      </c>
      <c r="S1182" s="29" t="s">
        <v>3232</v>
      </c>
      <c r="T1182" s="30" t="s">
        <v>3233</v>
      </c>
      <c r="U1182" s="31" t="s">
        <v>3233</v>
      </c>
      <c r="V1182" s="32">
        <f t="shared" ref="V1182:X1182" si="1188">IF(lenb(SUBSTITUTE($Z1182,V$1&amp;" (1)",""))&lt;lenb($Z1182),1,IF(lenb(SUBSTITUTE($Z1182,V$1&amp;" (2)",""))&lt;lenb($Z1182),2,IF(lenb(SUBSTITUTE($Z1182,V$1&amp;" (3)",""))&lt;lenb($Z1182),3,IF(lenb(SUBSTITUTE($Z1182,V$1&amp;" (4)",""))&lt;lenb($Z1182),4,IF(lenb(SUBSTITUTE($Z1182,V$1&amp;" (5)",""))&lt;lenb($Z1182),5,IF(lenb(SUBSTITUTE($Z1182,V$1&amp;" (6)",""))&lt;lenb($Z1182),6,IF(lenb(SUBSTITUTE($Z1182,V$1&amp;" (7)",""))&lt;lenb($Z1182),1,IF(lenb(SUBSTITUTE($Z1182,V$1&amp;" (8)",""))&lt;lenb($Z1182),8,IF(lenb(SUBSTITUTE($Z1182,V$1&amp;" (9)",""))&lt;lenb($Z1182),9,IF(lenb(SUBSTITUTE($Z1182,V$1&amp;" (10)",""))&lt;lenb($Z1182),10,IF(lenb(SUBSTITUTE($Z1182,V$1,""))&lt;lenb($Z1182),"ERROR",IF($Z1182=$Y$1,"-",0))))))))))))</f>
        <v>1</v>
      </c>
      <c r="W1182" s="32">
        <f t="shared" si="1188"/>
        <v>0</v>
      </c>
      <c r="X1182" s="32">
        <f t="shared" si="1188"/>
        <v>0</v>
      </c>
      <c r="Y1182" s="32" t="str">
        <f t="shared" si="3"/>
        <v>-</v>
      </c>
      <c r="Z1182" s="32" t="s">
        <v>62</v>
      </c>
      <c r="AA1182" s="33">
        <f t="shared" si="4"/>
        <v>1</v>
      </c>
      <c r="AB1182" s="34">
        <f>COUNTIFS(Links!B:B,"ICSE",Links!C:C,A1182,Links!AD:AD,1)</f>
        <v>0</v>
      </c>
      <c r="AC1182" s="35" t="s">
        <v>35</v>
      </c>
      <c r="AD1182" s="27" t="str">
        <f t="shared" si="5"/>
        <v>No</v>
      </c>
      <c r="AE1182" s="36" t="s">
        <v>36</v>
      </c>
      <c r="AF1182" s="37" t="s">
        <v>42</v>
      </c>
      <c r="AG1182" s="37" t="s">
        <v>42</v>
      </c>
      <c r="AH1182" s="37" t="s">
        <v>42</v>
      </c>
      <c r="AI1182" s="29" t="str">
        <f t="shared" si="661"/>
        <v>----</v>
      </c>
      <c r="AJ1182" s="38" t="str">
        <f t="shared" si="7"/>
        <v>Paper has link but no statement</v>
      </c>
      <c r="AK1182" s="39">
        <v>45070.0</v>
      </c>
      <c r="AL1182" s="23" t="s">
        <v>43</v>
      </c>
      <c r="AM1182" s="40" t="str">
        <f t="shared" si="8"/>
        <v>[IP2176]</v>
      </c>
    </row>
    <row r="1183" ht="67.5" customHeight="1">
      <c r="A1183" s="41">
        <v>2177.0</v>
      </c>
      <c r="B1183" s="42" t="s">
        <v>3234</v>
      </c>
      <c r="C1183" s="43">
        <v>2023.0</v>
      </c>
      <c r="D1183" s="44" t="s">
        <v>35</v>
      </c>
      <c r="E1183" s="45" t="s">
        <v>36</v>
      </c>
      <c r="F1183" s="45" t="s">
        <v>36</v>
      </c>
      <c r="G1183" s="45" t="s">
        <v>36</v>
      </c>
      <c r="H1183" s="45" t="s">
        <v>36</v>
      </c>
      <c r="I1183" s="45" t="s">
        <v>36</v>
      </c>
      <c r="J1183" s="46" t="s">
        <v>36</v>
      </c>
      <c r="K1183" s="47" t="s">
        <v>37</v>
      </c>
      <c r="L1183" s="48" t="s">
        <v>37</v>
      </c>
      <c r="M1183" s="48" t="s">
        <v>35</v>
      </c>
      <c r="N1183" s="48" t="s">
        <v>37</v>
      </c>
      <c r="O1183" s="48" t="s">
        <v>35</v>
      </c>
      <c r="P1183" s="48" t="s">
        <v>35</v>
      </c>
      <c r="Q1183" s="48" t="s">
        <v>35</v>
      </c>
      <c r="R1183" s="48" t="s">
        <v>35</v>
      </c>
      <c r="S1183" s="49" t="s">
        <v>3235</v>
      </c>
      <c r="T1183" s="50" t="s">
        <v>3236</v>
      </c>
      <c r="U1183" s="51" t="s">
        <v>3236</v>
      </c>
      <c r="V1183" s="52">
        <f t="shared" ref="V1183:X1183" si="1189">IF(lenb(SUBSTITUTE($Z1183,V$1&amp;" (1)",""))&lt;lenb($Z1183),1,IF(lenb(SUBSTITUTE($Z1183,V$1&amp;" (2)",""))&lt;lenb($Z1183),2,IF(lenb(SUBSTITUTE($Z1183,V$1&amp;" (3)",""))&lt;lenb($Z1183),3,IF(lenb(SUBSTITUTE($Z1183,V$1&amp;" (4)",""))&lt;lenb($Z1183),4,IF(lenb(SUBSTITUTE($Z1183,V$1&amp;" (5)",""))&lt;lenb($Z1183),5,IF(lenb(SUBSTITUTE($Z1183,V$1&amp;" (6)",""))&lt;lenb($Z1183),6,IF(lenb(SUBSTITUTE($Z1183,V$1&amp;" (7)",""))&lt;lenb($Z1183),1,IF(lenb(SUBSTITUTE($Z1183,V$1&amp;" (8)",""))&lt;lenb($Z1183),8,IF(lenb(SUBSTITUTE($Z1183,V$1&amp;" (9)",""))&lt;lenb($Z1183),9,IF(lenb(SUBSTITUTE($Z1183,V$1&amp;" (10)",""))&lt;lenb($Z1183),10,IF(lenb(SUBSTITUTE($Z1183,V$1,""))&lt;lenb($Z1183),"ERROR",IF($Z1183=$Y$1,"-",0))))))))))))</f>
        <v>1</v>
      </c>
      <c r="W1183" s="52">
        <f t="shared" si="1189"/>
        <v>1</v>
      </c>
      <c r="X1183" s="52">
        <f t="shared" si="1189"/>
        <v>0</v>
      </c>
      <c r="Y1183" s="52" t="str">
        <f t="shared" si="3"/>
        <v>-</v>
      </c>
      <c r="Z1183" s="52" t="s">
        <v>79</v>
      </c>
      <c r="AA1183" s="53">
        <f t="shared" si="4"/>
        <v>2</v>
      </c>
      <c r="AB1183" s="54">
        <f>COUNTIFS(Links!B:B,"ICSE",Links!C:C,A1183,Links!AD:AD,1)</f>
        <v>0</v>
      </c>
      <c r="AC1183" s="55" t="s">
        <v>35</v>
      </c>
      <c r="AD1183" s="47" t="str">
        <f t="shared" si="5"/>
        <v>No</v>
      </c>
      <c r="AE1183" s="56" t="s">
        <v>36</v>
      </c>
      <c r="AF1183" s="57" t="s">
        <v>42</v>
      </c>
      <c r="AG1183" s="57" t="s">
        <v>42</v>
      </c>
      <c r="AH1183" s="57" t="s">
        <v>42</v>
      </c>
      <c r="AI1183" s="49" t="str">
        <f t="shared" si="661"/>
        <v>----</v>
      </c>
      <c r="AJ1183" s="58" t="str">
        <f t="shared" si="7"/>
        <v>Paper has link but no statement</v>
      </c>
      <c r="AK1183" s="59">
        <v>45070.0</v>
      </c>
      <c r="AL1183" s="43" t="s">
        <v>43</v>
      </c>
      <c r="AM1183" s="60" t="str">
        <f t="shared" si="8"/>
        <v>[IP2177]</v>
      </c>
    </row>
    <row r="1184" ht="67.5" customHeight="1">
      <c r="A1184" s="61">
        <v>2178.0</v>
      </c>
      <c r="B1184" s="22" t="s">
        <v>3237</v>
      </c>
      <c r="C1184" s="23">
        <v>2023.0</v>
      </c>
      <c r="D1184" s="24" t="s">
        <v>37</v>
      </c>
      <c r="E1184" s="25" t="s">
        <v>37</v>
      </c>
      <c r="F1184" s="25" t="s">
        <v>37</v>
      </c>
      <c r="G1184" s="25" t="s">
        <v>35</v>
      </c>
      <c r="H1184" s="25" t="s">
        <v>35</v>
      </c>
      <c r="I1184" s="25" t="s">
        <v>35</v>
      </c>
      <c r="J1184" s="26" t="s">
        <v>36</v>
      </c>
      <c r="K1184" s="27" t="s">
        <v>37</v>
      </c>
      <c r="L1184" s="28" t="s">
        <v>35</v>
      </c>
      <c r="M1184" s="28" t="s">
        <v>37</v>
      </c>
      <c r="N1184" s="28" t="s">
        <v>37</v>
      </c>
      <c r="O1184" s="28" t="s">
        <v>35</v>
      </c>
      <c r="P1184" s="28" t="s">
        <v>35</v>
      </c>
      <c r="Q1184" s="28" t="s">
        <v>35</v>
      </c>
      <c r="R1184" s="28" t="s">
        <v>37</v>
      </c>
      <c r="S1184" s="29" t="s">
        <v>3238</v>
      </c>
      <c r="T1184" s="30" t="s">
        <v>3239</v>
      </c>
      <c r="U1184" s="31" t="s">
        <v>3240</v>
      </c>
      <c r="V1184" s="32">
        <f t="shared" ref="V1184:X1184" si="1190">IF(lenb(SUBSTITUTE($Z1184,V$1&amp;" (1)",""))&lt;lenb($Z1184),1,IF(lenb(SUBSTITUTE($Z1184,V$1&amp;" (2)",""))&lt;lenb($Z1184),2,IF(lenb(SUBSTITUTE($Z1184,V$1&amp;" (3)",""))&lt;lenb($Z1184),3,IF(lenb(SUBSTITUTE($Z1184,V$1&amp;" (4)",""))&lt;lenb($Z1184),4,IF(lenb(SUBSTITUTE($Z1184,V$1&amp;" (5)",""))&lt;lenb($Z1184),5,IF(lenb(SUBSTITUTE($Z1184,V$1&amp;" (6)",""))&lt;lenb($Z1184),6,IF(lenb(SUBSTITUTE($Z1184,V$1&amp;" (7)",""))&lt;lenb($Z1184),1,IF(lenb(SUBSTITUTE($Z1184,V$1&amp;" (8)",""))&lt;lenb($Z1184),8,IF(lenb(SUBSTITUTE($Z1184,V$1&amp;" (9)",""))&lt;lenb($Z1184),9,IF(lenb(SUBSTITUTE($Z1184,V$1&amp;" (10)",""))&lt;lenb($Z1184),10,IF(lenb(SUBSTITUTE($Z1184,V$1,""))&lt;lenb($Z1184),"ERROR",IF($Z1184=$Y$1,"-",0))))))))))))</f>
        <v>2</v>
      </c>
      <c r="W1184" s="32">
        <f t="shared" si="1190"/>
        <v>1</v>
      </c>
      <c r="X1184" s="32">
        <f t="shared" si="1190"/>
        <v>0</v>
      </c>
      <c r="Y1184" s="32" t="str">
        <f t="shared" si="3"/>
        <v>-</v>
      </c>
      <c r="Z1184" s="32" t="s">
        <v>1088</v>
      </c>
      <c r="AA1184" s="33">
        <f t="shared" si="4"/>
        <v>3</v>
      </c>
      <c r="AB1184" s="34">
        <f>COUNTIFS(Links!B:B,"ICSE",Links!C:C,A1184,Links!AD:AD,1)</f>
        <v>0</v>
      </c>
      <c r="AC1184" s="35" t="s">
        <v>37</v>
      </c>
      <c r="AD1184" s="27" t="str">
        <f t="shared" si="5"/>
        <v>No</v>
      </c>
      <c r="AE1184" s="36" t="s">
        <v>36</v>
      </c>
      <c r="AF1184" s="37" t="s">
        <v>42</v>
      </c>
      <c r="AG1184" s="37" t="s">
        <v>42</v>
      </c>
      <c r="AH1184" s="37" t="s">
        <v>42</v>
      </c>
      <c r="AI1184" s="29" t="str">
        <f t="shared" si="661"/>
        <v>----</v>
      </c>
      <c r="AJ1184" s="38" t="str">
        <f t="shared" si="7"/>
        <v>Paper has link but no statement</v>
      </c>
      <c r="AK1184" s="39">
        <v>45070.0</v>
      </c>
      <c r="AL1184" s="23" t="s">
        <v>43</v>
      </c>
      <c r="AM1184" s="40" t="str">
        <f t="shared" si="8"/>
        <v>[IP2178]</v>
      </c>
    </row>
    <row r="1185" ht="67.5" customHeight="1">
      <c r="A1185" s="41">
        <v>2179.0</v>
      </c>
      <c r="B1185" s="42" t="s">
        <v>3241</v>
      </c>
      <c r="C1185" s="43">
        <v>2023.0</v>
      </c>
      <c r="D1185" s="44" t="s">
        <v>35</v>
      </c>
      <c r="E1185" s="45" t="s">
        <v>36</v>
      </c>
      <c r="F1185" s="45" t="s">
        <v>36</v>
      </c>
      <c r="G1185" s="45" t="s">
        <v>36</v>
      </c>
      <c r="H1185" s="45" t="s">
        <v>36</v>
      </c>
      <c r="I1185" s="45" t="s">
        <v>36</v>
      </c>
      <c r="J1185" s="46" t="s">
        <v>36</v>
      </c>
      <c r="K1185" s="47" t="s">
        <v>37</v>
      </c>
      <c r="L1185" s="48" t="s">
        <v>35</v>
      </c>
      <c r="M1185" s="48" t="s">
        <v>37</v>
      </c>
      <c r="N1185" s="48" t="s">
        <v>37</v>
      </c>
      <c r="O1185" s="48" t="s">
        <v>35</v>
      </c>
      <c r="P1185" s="48" t="s">
        <v>35</v>
      </c>
      <c r="Q1185" s="48" t="s">
        <v>35</v>
      </c>
      <c r="R1185" s="48" t="s">
        <v>37</v>
      </c>
      <c r="S1185" s="49" t="s">
        <v>3242</v>
      </c>
      <c r="T1185" s="50" t="s">
        <v>3243</v>
      </c>
      <c r="U1185" s="51" t="s">
        <v>3243</v>
      </c>
      <c r="V1185" s="52">
        <f t="shared" ref="V1185:X1185" si="1191">IF(lenb(SUBSTITUTE($Z1185,V$1&amp;" (1)",""))&lt;lenb($Z1185),1,IF(lenb(SUBSTITUTE($Z1185,V$1&amp;" (2)",""))&lt;lenb($Z1185),2,IF(lenb(SUBSTITUTE($Z1185,V$1&amp;" (3)",""))&lt;lenb($Z1185),3,IF(lenb(SUBSTITUTE($Z1185,V$1&amp;" (4)",""))&lt;lenb($Z1185),4,IF(lenb(SUBSTITUTE($Z1185,V$1&amp;" (5)",""))&lt;lenb($Z1185),5,IF(lenb(SUBSTITUTE($Z1185,V$1&amp;" (6)",""))&lt;lenb($Z1185),6,IF(lenb(SUBSTITUTE($Z1185,V$1&amp;" (7)",""))&lt;lenb($Z1185),1,IF(lenb(SUBSTITUTE($Z1185,V$1&amp;" (8)",""))&lt;lenb($Z1185),8,IF(lenb(SUBSTITUTE($Z1185,V$1&amp;" (9)",""))&lt;lenb($Z1185),9,IF(lenb(SUBSTITUTE($Z1185,V$1&amp;" (10)",""))&lt;lenb($Z1185),10,IF(lenb(SUBSTITUTE($Z1185,V$1,""))&lt;lenb($Z1185),"ERROR",IF($Z1185=$Y$1,"-",0))))))))))))</f>
        <v>1</v>
      </c>
      <c r="W1185" s="52">
        <f t="shared" si="1191"/>
        <v>0</v>
      </c>
      <c r="X1185" s="52">
        <f t="shared" si="1191"/>
        <v>0</v>
      </c>
      <c r="Y1185" s="52" t="str">
        <f t="shared" si="3"/>
        <v>-</v>
      </c>
      <c r="Z1185" s="52" t="s">
        <v>62</v>
      </c>
      <c r="AA1185" s="53">
        <f t="shared" si="4"/>
        <v>1</v>
      </c>
      <c r="AB1185" s="54">
        <f>COUNTIFS(Links!B:B,"ICSE",Links!C:C,A1185,Links!AD:AD,1)</f>
        <v>0</v>
      </c>
      <c r="AC1185" s="55" t="s">
        <v>35</v>
      </c>
      <c r="AD1185" s="47" t="str">
        <f t="shared" si="5"/>
        <v>No</v>
      </c>
      <c r="AE1185" s="56" t="s">
        <v>36</v>
      </c>
      <c r="AF1185" s="57" t="s">
        <v>42</v>
      </c>
      <c r="AG1185" s="57" t="s">
        <v>42</v>
      </c>
      <c r="AH1185" s="57" t="s">
        <v>42</v>
      </c>
      <c r="AI1185" s="49" t="str">
        <f t="shared" si="661"/>
        <v>----</v>
      </c>
      <c r="AJ1185" s="58" t="str">
        <f t="shared" si="7"/>
        <v>Paper has link but no statement</v>
      </c>
      <c r="AK1185" s="59">
        <v>45070.0</v>
      </c>
      <c r="AL1185" s="43" t="s">
        <v>43</v>
      </c>
      <c r="AM1185" s="60" t="str">
        <f t="shared" si="8"/>
        <v>[IP2179]</v>
      </c>
    </row>
    <row r="1186" ht="67.5" customHeight="1">
      <c r="A1186" s="61">
        <v>2180.0</v>
      </c>
      <c r="B1186" s="22" t="s">
        <v>3244</v>
      </c>
      <c r="C1186" s="23">
        <v>2023.0</v>
      </c>
      <c r="D1186" s="24" t="s">
        <v>35</v>
      </c>
      <c r="E1186" s="25" t="s">
        <v>36</v>
      </c>
      <c r="F1186" s="25" t="s">
        <v>36</v>
      </c>
      <c r="G1186" s="25" t="s">
        <v>36</v>
      </c>
      <c r="H1186" s="25" t="s">
        <v>36</v>
      </c>
      <c r="I1186" s="25" t="s">
        <v>36</v>
      </c>
      <c r="J1186" s="26" t="s">
        <v>36</v>
      </c>
      <c r="K1186" s="27" t="s">
        <v>37</v>
      </c>
      <c r="L1186" s="28" t="s">
        <v>37</v>
      </c>
      <c r="M1186" s="28" t="s">
        <v>35</v>
      </c>
      <c r="N1186" s="28" t="s">
        <v>37</v>
      </c>
      <c r="O1186" s="28" t="s">
        <v>35</v>
      </c>
      <c r="P1186" s="28" t="s">
        <v>35</v>
      </c>
      <c r="Q1186" s="28" t="s">
        <v>35</v>
      </c>
      <c r="R1186" s="28" t="s">
        <v>37</v>
      </c>
      <c r="S1186" s="29" t="s">
        <v>3245</v>
      </c>
      <c r="T1186" s="30" t="s">
        <v>3246</v>
      </c>
      <c r="U1186" s="31" t="s">
        <v>3247</v>
      </c>
      <c r="V1186" s="32">
        <f t="shared" ref="V1186:X1186" si="1192">IF(lenb(SUBSTITUTE($Z1186,V$1&amp;" (1)",""))&lt;lenb($Z1186),1,IF(lenb(SUBSTITUTE($Z1186,V$1&amp;" (2)",""))&lt;lenb($Z1186),2,IF(lenb(SUBSTITUTE($Z1186,V$1&amp;" (3)",""))&lt;lenb($Z1186),3,IF(lenb(SUBSTITUTE($Z1186,V$1&amp;" (4)",""))&lt;lenb($Z1186),4,IF(lenb(SUBSTITUTE($Z1186,V$1&amp;" (5)",""))&lt;lenb($Z1186),5,IF(lenb(SUBSTITUTE($Z1186,V$1&amp;" (6)",""))&lt;lenb($Z1186),6,IF(lenb(SUBSTITUTE($Z1186,V$1&amp;" (7)",""))&lt;lenb($Z1186),1,IF(lenb(SUBSTITUTE($Z1186,V$1&amp;" (8)",""))&lt;lenb($Z1186),8,IF(lenb(SUBSTITUTE($Z1186,V$1&amp;" (9)",""))&lt;lenb($Z1186),9,IF(lenb(SUBSTITUTE($Z1186,V$1&amp;" (10)",""))&lt;lenb($Z1186),10,IF(lenb(SUBSTITUTE($Z1186,V$1,""))&lt;lenb($Z1186),"ERROR",IF($Z1186=$Y$1,"-",0))))))))))))</f>
        <v>1</v>
      </c>
      <c r="W1186" s="32">
        <f t="shared" si="1192"/>
        <v>1</v>
      </c>
      <c r="X1186" s="32">
        <f t="shared" si="1192"/>
        <v>0</v>
      </c>
      <c r="Y1186" s="32" t="str">
        <f t="shared" si="3"/>
        <v>-</v>
      </c>
      <c r="Z1186" s="32" t="s">
        <v>41</v>
      </c>
      <c r="AA1186" s="33">
        <f t="shared" si="4"/>
        <v>2</v>
      </c>
      <c r="AB1186" s="34">
        <f>COUNTIFS(Links!B:B,"ICSE",Links!C:C,A1186,Links!AD:AD,1)</f>
        <v>0</v>
      </c>
      <c r="AC1186" s="35" t="s">
        <v>35</v>
      </c>
      <c r="AD1186" s="27" t="str">
        <f t="shared" si="5"/>
        <v>No</v>
      </c>
      <c r="AE1186" s="36" t="s">
        <v>36</v>
      </c>
      <c r="AF1186" s="37" t="s">
        <v>42</v>
      </c>
      <c r="AG1186" s="37" t="s">
        <v>42</v>
      </c>
      <c r="AH1186" s="37" t="s">
        <v>42</v>
      </c>
      <c r="AI1186" s="29" t="str">
        <f t="shared" si="661"/>
        <v>----</v>
      </c>
      <c r="AJ1186" s="38" t="str">
        <f t="shared" si="7"/>
        <v>Paper has link but no statement</v>
      </c>
      <c r="AK1186" s="39">
        <v>45070.0</v>
      </c>
      <c r="AL1186" s="23" t="s">
        <v>43</v>
      </c>
      <c r="AM1186" s="40" t="str">
        <f t="shared" si="8"/>
        <v>[IP2180]</v>
      </c>
    </row>
    <row r="1187" ht="67.5" customHeight="1">
      <c r="A1187" s="41">
        <v>2181.0</v>
      </c>
      <c r="B1187" s="42" t="s">
        <v>3248</v>
      </c>
      <c r="C1187" s="43">
        <v>2023.0</v>
      </c>
      <c r="D1187" s="44" t="s">
        <v>35</v>
      </c>
      <c r="E1187" s="45" t="s">
        <v>36</v>
      </c>
      <c r="F1187" s="45" t="s">
        <v>36</v>
      </c>
      <c r="G1187" s="45" t="s">
        <v>36</v>
      </c>
      <c r="H1187" s="45" t="s">
        <v>36</v>
      </c>
      <c r="I1187" s="45" t="s">
        <v>36</v>
      </c>
      <c r="J1187" s="46" t="s">
        <v>36</v>
      </c>
      <c r="K1187" s="47" t="s">
        <v>37</v>
      </c>
      <c r="L1187" s="48" t="s">
        <v>35</v>
      </c>
      <c r="M1187" s="48" t="s">
        <v>35</v>
      </c>
      <c r="N1187" s="48" t="s">
        <v>35</v>
      </c>
      <c r="O1187" s="48" t="s">
        <v>35</v>
      </c>
      <c r="P1187" s="48" t="s">
        <v>35</v>
      </c>
      <c r="Q1187" s="48" t="s">
        <v>37</v>
      </c>
      <c r="R1187" s="48" t="s">
        <v>35</v>
      </c>
      <c r="S1187" s="49" t="s">
        <v>2271</v>
      </c>
      <c r="T1187" s="50" t="s">
        <v>3249</v>
      </c>
      <c r="U1187" s="51" t="s">
        <v>3249</v>
      </c>
      <c r="V1187" s="52">
        <f t="shared" ref="V1187:X1187" si="1193">IF(lenb(SUBSTITUTE($Z1187,V$1&amp;" (1)",""))&lt;lenb($Z1187),1,IF(lenb(SUBSTITUTE($Z1187,V$1&amp;" (2)",""))&lt;lenb($Z1187),2,IF(lenb(SUBSTITUTE($Z1187,V$1&amp;" (3)",""))&lt;lenb($Z1187),3,IF(lenb(SUBSTITUTE($Z1187,V$1&amp;" (4)",""))&lt;lenb($Z1187),4,IF(lenb(SUBSTITUTE($Z1187,V$1&amp;" (5)",""))&lt;lenb($Z1187),5,IF(lenb(SUBSTITUTE($Z1187,V$1&amp;" (6)",""))&lt;lenb($Z1187),6,IF(lenb(SUBSTITUTE($Z1187,V$1&amp;" (7)",""))&lt;lenb($Z1187),1,IF(lenb(SUBSTITUTE($Z1187,V$1&amp;" (8)",""))&lt;lenb($Z1187),8,IF(lenb(SUBSTITUTE($Z1187,V$1&amp;" (9)",""))&lt;lenb($Z1187),9,IF(lenb(SUBSTITUTE($Z1187,V$1&amp;" (10)",""))&lt;lenb($Z1187),10,IF(lenb(SUBSTITUTE($Z1187,V$1,""))&lt;lenb($Z1187),"ERROR",IF($Z1187=$Y$1,"-",0))))))))))))</f>
        <v>1</v>
      </c>
      <c r="W1187" s="52">
        <f t="shared" si="1193"/>
        <v>0</v>
      </c>
      <c r="X1187" s="52">
        <f t="shared" si="1193"/>
        <v>0</v>
      </c>
      <c r="Y1187" s="52" t="str">
        <f t="shared" si="3"/>
        <v>-</v>
      </c>
      <c r="Z1187" s="52" t="s">
        <v>62</v>
      </c>
      <c r="AA1187" s="53">
        <f t="shared" si="4"/>
        <v>1</v>
      </c>
      <c r="AB1187" s="54">
        <f>COUNTIFS(Links!B:B,"ICSE",Links!C:C,A1187,Links!AD:AD,1)</f>
        <v>0</v>
      </c>
      <c r="AC1187" s="55" t="s">
        <v>37</v>
      </c>
      <c r="AD1187" s="47" t="str">
        <f t="shared" si="5"/>
        <v>No</v>
      </c>
      <c r="AE1187" s="56" t="s">
        <v>36</v>
      </c>
      <c r="AF1187" s="57" t="s">
        <v>42</v>
      </c>
      <c r="AG1187" s="57" t="s">
        <v>42</v>
      </c>
      <c r="AH1187" s="57" t="s">
        <v>42</v>
      </c>
      <c r="AI1187" s="49" t="str">
        <f t="shared" si="661"/>
        <v>----</v>
      </c>
      <c r="AJ1187" s="58" t="str">
        <f t="shared" si="7"/>
        <v>Paper has link but no statement</v>
      </c>
      <c r="AK1187" s="59">
        <v>45070.0</v>
      </c>
      <c r="AL1187" s="43" t="s">
        <v>43</v>
      </c>
      <c r="AM1187" s="60" t="str">
        <f t="shared" si="8"/>
        <v>[IP2181]</v>
      </c>
    </row>
    <row r="1188" ht="67.5" customHeight="1">
      <c r="A1188" s="61">
        <v>2182.0</v>
      </c>
      <c r="B1188" s="22" t="s">
        <v>3250</v>
      </c>
      <c r="C1188" s="23">
        <v>2023.0</v>
      </c>
      <c r="D1188" s="24" t="s">
        <v>37</v>
      </c>
      <c r="E1188" s="25" t="s">
        <v>37</v>
      </c>
      <c r="F1188" s="25" t="s">
        <v>37</v>
      </c>
      <c r="G1188" s="25" t="s">
        <v>35</v>
      </c>
      <c r="H1188" s="25" t="s">
        <v>35</v>
      </c>
      <c r="I1188" s="25" t="s">
        <v>35</v>
      </c>
      <c r="J1188" s="26" t="s">
        <v>36</v>
      </c>
      <c r="K1188" s="27" t="s">
        <v>37</v>
      </c>
      <c r="L1188" s="28" t="s">
        <v>35</v>
      </c>
      <c r="M1188" s="28" t="s">
        <v>37</v>
      </c>
      <c r="N1188" s="28" t="s">
        <v>37</v>
      </c>
      <c r="O1188" s="28" t="s">
        <v>35</v>
      </c>
      <c r="P1188" s="28" t="s">
        <v>37</v>
      </c>
      <c r="Q1188" s="28" t="s">
        <v>35</v>
      </c>
      <c r="R1188" s="28" t="s">
        <v>35</v>
      </c>
      <c r="S1188" s="29" t="s">
        <v>3251</v>
      </c>
      <c r="T1188" s="30" t="s">
        <v>3252</v>
      </c>
      <c r="U1188" s="31" t="s">
        <v>3252</v>
      </c>
      <c r="V1188" s="32">
        <f t="shared" ref="V1188:X1188" si="1194">IF(lenb(SUBSTITUTE($Z1188,V$1&amp;" (1)",""))&lt;lenb($Z1188),1,IF(lenb(SUBSTITUTE($Z1188,V$1&amp;" (2)",""))&lt;lenb($Z1188),2,IF(lenb(SUBSTITUTE($Z1188,V$1&amp;" (3)",""))&lt;lenb($Z1188),3,IF(lenb(SUBSTITUTE($Z1188,V$1&amp;" (4)",""))&lt;lenb($Z1188),4,IF(lenb(SUBSTITUTE($Z1188,V$1&amp;" (5)",""))&lt;lenb($Z1188),5,IF(lenb(SUBSTITUTE($Z1188,V$1&amp;" (6)",""))&lt;lenb($Z1188),6,IF(lenb(SUBSTITUTE($Z1188,V$1&amp;" (7)",""))&lt;lenb($Z1188),1,IF(lenb(SUBSTITUTE($Z1188,V$1&amp;" (8)",""))&lt;lenb($Z1188),8,IF(lenb(SUBSTITUTE($Z1188,V$1&amp;" (9)",""))&lt;lenb($Z1188),9,IF(lenb(SUBSTITUTE($Z1188,V$1&amp;" (10)",""))&lt;lenb($Z1188),10,IF(lenb(SUBSTITUTE($Z1188,V$1,""))&lt;lenb($Z1188),"ERROR",IF($Z1188=$Y$1,"-",0))))))))))))</f>
        <v>2</v>
      </c>
      <c r="W1188" s="32">
        <f t="shared" si="1194"/>
        <v>0</v>
      </c>
      <c r="X1188" s="32">
        <f t="shared" si="1194"/>
        <v>0</v>
      </c>
      <c r="Y1188" s="32" t="str">
        <f t="shared" si="3"/>
        <v>-</v>
      </c>
      <c r="Z1188" s="32" t="s">
        <v>57</v>
      </c>
      <c r="AA1188" s="33">
        <f t="shared" si="4"/>
        <v>2</v>
      </c>
      <c r="AB1188" s="34">
        <f>COUNTIFS(Links!B:B,"ICSE",Links!C:C,A1188,Links!AD:AD,1)</f>
        <v>0</v>
      </c>
      <c r="AC1188" s="35" t="s">
        <v>37</v>
      </c>
      <c r="AD1188" s="27" t="str">
        <f t="shared" si="5"/>
        <v>No</v>
      </c>
      <c r="AE1188" s="36" t="s">
        <v>36</v>
      </c>
      <c r="AF1188" s="37" t="s">
        <v>42</v>
      </c>
      <c r="AG1188" s="37" t="s">
        <v>42</v>
      </c>
      <c r="AH1188" s="37" t="s">
        <v>42</v>
      </c>
      <c r="AI1188" s="29" t="str">
        <f t="shared" si="661"/>
        <v>----</v>
      </c>
      <c r="AJ1188" s="38" t="str">
        <f t="shared" si="7"/>
        <v>Paper has link but no statement</v>
      </c>
      <c r="AK1188" s="39">
        <v>45070.0</v>
      </c>
      <c r="AL1188" s="23" t="s">
        <v>43</v>
      </c>
      <c r="AM1188" s="40" t="str">
        <f t="shared" si="8"/>
        <v>[IP2182]</v>
      </c>
    </row>
    <row r="1189" ht="67.5" customHeight="1">
      <c r="A1189" s="41">
        <v>2183.0</v>
      </c>
      <c r="B1189" s="42" t="s">
        <v>3253</v>
      </c>
      <c r="C1189" s="43">
        <v>2023.0</v>
      </c>
      <c r="D1189" s="44" t="s">
        <v>37</v>
      </c>
      <c r="E1189" s="45" t="s">
        <v>37</v>
      </c>
      <c r="F1189" s="45" t="s">
        <v>35</v>
      </c>
      <c r="G1189" s="45" t="s">
        <v>37</v>
      </c>
      <c r="H1189" s="45" t="s">
        <v>35</v>
      </c>
      <c r="I1189" s="45" t="s">
        <v>35</v>
      </c>
      <c r="J1189" s="46" t="s">
        <v>36</v>
      </c>
      <c r="K1189" s="47" t="s">
        <v>37</v>
      </c>
      <c r="L1189" s="48" t="s">
        <v>37</v>
      </c>
      <c r="M1189" s="48" t="s">
        <v>35</v>
      </c>
      <c r="N1189" s="48" t="s">
        <v>37</v>
      </c>
      <c r="O1189" s="48" t="s">
        <v>35</v>
      </c>
      <c r="P1189" s="48" t="s">
        <v>35</v>
      </c>
      <c r="Q1189" s="48" t="s">
        <v>35</v>
      </c>
      <c r="R1189" s="48" t="s">
        <v>35</v>
      </c>
      <c r="S1189" s="49" t="s">
        <v>3254</v>
      </c>
      <c r="T1189" s="50" t="s">
        <v>3255</v>
      </c>
      <c r="U1189" s="51" t="s">
        <v>3255</v>
      </c>
      <c r="V1189" s="52">
        <f t="shared" ref="V1189:X1189" si="1195">IF(lenb(SUBSTITUTE($Z1189,V$1&amp;" (1)",""))&lt;lenb($Z1189),1,IF(lenb(SUBSTITUTE($Z1189,V$1&amp;" (2)",""))&lt;lenb($Z1189),2,IF(lenb(SUBSTITUTE($Z1189,V$1&amp;" (3)",""))&lt;lenb($Z1189),3,IF(lenb(SUBSTITUTE($Z1189,V$1&amp;" (4)",""))&lt;lenb($Z1189),4,IF(lenb(SUBSTITUTE($Z1189,V$1&amp;" (5)",""))&lt;lenb($Z1189),5,IF(lenb(SUBSTITUTE($Z1189,V$1&amp;" (6)",""))&lt;lenb($Z1189),6,IF(lenb(SUBSTITUTE($Z1189,V$1&amp;" (7)",""))&lt;lenb($Z1189),1,IF(lenb(SUBSTITUTE($Z1189,V$1&amp;" (8)",""))&lt;lenb($Z1189),8,IF(lenb(SUBSTITUTE($Z1189,V$1&amp;" (9)",""))&lt;lenb($Z1189),9,IF(lenb(SUBSTITUTE($Z1189,V$1&amp;" (10)",""))&lt;lenb($Z1189),10,IF(lenb(SUBSTITUTE($Z1189,V$1,""))&lt;lenb($Z1189),"ERROR",IF($Z1189=$Y$1,"-",0))))))))))))</f>
        <v>1</v>
      </c>
      <c r="W1189" s="52">
        <f t="shared" si="1195"/>
        <v>0</v>
      </c>
      <c r="X1189" s="52">
        <f t="shared" si="1195"/>
        <v>0</v>
      </c>
      <c r="Y1189" s="52" t="str">
        <f t="shared" si="3"/>
        <v>-</v>
      </c>
      <c r="Z1189" s="52" t="s">
        <v>62</v>
      </c>
      <c r="AA1189" s="53">
        <f t="shared" si="4"/>
        <v>1</v>
      </c>
      <c r="AB1189" s="54">
        <f>COUNTIFS(Links!B:B,"ICSE",Links!C:C,A1189,Links!AD:AD,1)</f>
        <v>0</v>
      </c>
      <c r="AC1189" s="55" t="s">
        <v>35</v>
      </c>
      <c r="AD1189" s="47" t="str">
        <f t="shared" si="5"/>
        <v>No</v>
      </c>
      <c r="AE1189" s="56" t="s">
        <v>36</v>
      </c>
      <c r="AF1189" s="57" t="s">
        <v>42</v>
      </c>
      <c r="AG1189" s="57" t="s">
        <v>42</v>
      </c>
      <c r="AH1189" s="57" t="s">
        <v>42</v>
      </c>
      <c r="AI1189" s="49" t="str">
        <f t="shared" si="661"/>
        <v>----</v>
      </c>
      <c r="AJ1189" s="58" t="str">
        <f t="shared" si="7"/>
        <v>Paper has link but no statement</v>
      </c>
      <c r="AK1189" s="59">
        <v>45070.0</v>
      </c>
      <c r="AL1189" s="43" t="s">
        <v>43</v>
      </c>
      <c r="AM1189" s="60" t="str">
        <f t="shared" si="8"/>
        <v>[IP2183]</v>
      </c>
    </row>
    <row r="1190" ht="67.5" customHeight="1">
      <c r="A1190" s="61">
        <v>2184.0</v>
      </c>
      <c r="B1190" s="22" t="s">
        <v>3256</v>
      </c>
      <c r="C1190" s="23">
        <v>2023.0</v>
      </c>
      <c r="D1190" s="24" t="s">
        <v>35</v>
      </c>
      <c r="E1190" s="25" t="s">
        <v>36</v>
      </c>
      <c r="F1190" s="25" t="s">
        <v>36</v>
      </c>
      <c r="G1190" s="25" t="s">
        <v>36</v>
      </c>
      <c r="H1190" s="25" t="s">
        <v>36</v>
      </c>
      <c r="I1190" s="25" t="s">
        <v>36</v>
      </c>
      <c r="J1190" s="26" t="s">
        <v>36</v>
      </c>
      <c r="K1190" s="27" t="s">
        <v>37</v>
      </c>
      <c r="L1190" s="28" t="s">
        <v>35</v>
      </c>
      <c r="M1190" s="28" t="s">
        <v>37</v>
      </c>
      <c r="N1190" s="28" t="s">
        <v>37</v>
      </c>
      <c r="O1190" s="28" t="s">
        <v>35</v>
      </c>
      <c r="P1190" s="28" t="s">
        <v>35</v>
      </c>
      <c r="Q1190" s="28" t="s">
        <v>35</v>
      </c>
      <c r="R1190" s="28" t="s">
        <v>37</v>
      </c>
      <c r="S1190" s="29" t="s">
        <v>3257</v>
      </c>
      <c r="T1190" s="30" t="s">
        <v>3258</v>
      </c>
      <c r="U1190" s="31" t="s">
        <v>3258</v>
      </c>
      <c r="V1190" s="32">
        <f t="shared" ref="V1190:X1190" si="1196">IF(lenb(SUBSTITUTE($Z1190,V$1&amp;" (1)",""))&lt;lenb($Z1190),1,IF(lenb(SUBSTITUTE($Z1190,V$1&amp;" (2)",""))&lt;lenb($Z1190),2,IF(lenb(SUBSTITUTE($Z1190,V$1&amp;" (3)",""))&lt;lenb($Z1190),3,IF(lenb(SUBSTITUTE($Z1190,V$1&amp;" (4)",""))&lt;lenb($Z1190),4,IF(lenb(SUBSTITUTE($Z1190,V$1&amp;" (5)",""))&lt;lenb($Z1190),5,IF(lenb(SUBSTITUTE($Z1190,V$1&amp;" (6)",""))&lt;lenb($Z1190),6,IF(lenb(SUBSTITUTE($Z1190,V$1&amp;" (7)",""))&lt;lenb($Z1190),1,IF(lenb(SUBSTITUTE($Z1190,V$1&amp;" (8)",""))&lt;lenb($Z1190),8,IF(lenb(SUBSTITUTE($Z1190,V$1&amp;" (9)",""))&lt;lenb($Z1190),9,IF(lenb(SUBSTITUTE($Z1190,V$1&amp;" (10)",""))&lt;lenb($Z1190),10,IF(lenb(SUBSTITUTE($Z1190,V$1,""))&lt;lenb($Z1190),"ERROR",IF($Z1190=$Y$1,"-",0))))))))))))</f>
        <v>1</v>
      </c>
      <c r="W1190" s="32">
        <f t="shared" si="1196"/>
        <v>0</v>
      </c>
      <c r="X1190" s="32">
        <f t="shared" si="1196"/>
        <v>0</v>
      </c>
      <c r="Y1190" s="32" t="str">
        <f t="shared" si="3"/>
        <v>-</v>
      </c>
      <c r="Z1190" s="32" t="s">
        <v>62</v>
      </c>
      <c r="AA1190" s="33">
        <f t="shared" si="4"/>
        <v>1</v>
      </c>
      <c r="AB1190" s="34">
        <f>COUNTIFS(Links!B:B,"ICSE",Links!C:C,A1190,Links!AD:AD,1)</f>
        <v>0</v>
      </c>
      <c r="AC1190" s="35" t="s">
        <v>35</v>
      </c>
      <c r="AD1190" s="27" t="str">
        <f t="shared" si="5"/>
        <v>No</v>
      </c>
      <c r="AE1190" s="36" t="s">
        <v>36</v>
      </c>
      <c r="AF1190" s="37" t="s">
        <v>42</v>
      </c>
      <c r="AG1190" s="37" t="s">
        <v>42</v>
      </c>
      <c r="AH1190" s="37" t="s">
        <v>42</v>
      </c>
      <c r="AI1190" s="29" t="str">
        <f t="shared" si="661"/>
        <v>----</v>
      </c>
      <c r="AJ1190" s="38" t="str">
        <f t="shared" si="7"/>
        <v>Paper has link but no statement</v>
      </c>
      <c r="AK1190" s="39">
        <v>45070.0</v>
      </c>
      <c r="AL1190" s="23" t="s">
        <v>43</v>
      </c>
      <c r="AM1190" s="40" t="str">
        <f t="shared" si="8"/>
        <v>[IP2184]</v>
      </c>
    </row>
    <row r="1191" ht="67.5" customHeight="1">
      <c r="A1191" s="41">
        <v>2185.0</v>
      </c>
      <c r="B1191" s="42" t="s">
        <v>3259</v>
      </c>
      <c r="C1191" s="43">
        <v>2023.0</v>
      </c>
      <c r="D1191" s="44" t="s">
        <v>35</v>
      </c>
      <c r="E1191" s="45" t="s">
        <v>36</v>
      </c>
      <c r="F1191" s="45" t="s">
        <v>36</v>
      </c>
      <c r="G1191" s="45" t="s">
        <v>36</v>
      </c>
      <c r="H1191" s="45" t="s">
        <v>36</v>
      </c>
      <c r="I1191" s="45" t="s">
        <v>36</v>
      </c>
      <c r="J1191" s="46" t="s">
        <v>36</v>
      </c>
      <c r="K1191" s="47" t="s">
        <v>35</v>
      </c>
      <c r="L1191" s="48" t="s">
        <v>36</v>
      </c>
      <c r="M1191" s="48" t="s">
        <v>36</v>
      </c>
      <c r="N1191" s="48" t="s">
        <v>36</v>
      </c>
      <c r="O1191" s="48" t="s">
        <v>36</v>
      </c>
      <c r="P1191" s="48" t="s">
        <v>36</v>
      </c>
      <c r="Q1191" s="48" t="s">
        <v>36</v>
      </c>
      <c r="R1191" s="48" t="s">
        <v>36</v>
      </c>
      <c r="S1191" s="49" t="s">
        <v>36</v>
      </c>
      <c r="T1191" s="50" t="s">
        <v>36</v>
      </c>
      <c r="U1191" s="51" t="s">
        <v>36</v>
      </c>
      <c r="V1191" s="52" t="str">
        <f t="shared" ref="V1191:X1191" si="1197">IF(lenb(SUBSTITUTE($Z1191,V$1&amp;" (1)",""))&lt;lenb($Z1191),1,IF(lenb(SUBSTITUTE($Z1191,V$1&amp;" (2)",""))&lt;lenb($Z1191),2,IF(lenb(SUBSTITUTE($Z1191,V$1&amp;" (3)",""))&lt;lenb($Z1191),3,IF(lenb(SUBSTITUTE($Z1191,V$1&amp;" (4)",""))&lt;lenb($Z1191),4,IF(lenb(SUBSTITUTE($Z1191,V$1&amp;" (5)",""))&lt;lenb($Z1191),5,IF(lenb(SUBSTITUTE($Z1191,V$1&amp;" (6)",""))&lt;lenb($Z1191),6,IF(lenb(SUBSTITUTE($Z1191,V$1&amp;" (7)",""))&lt;lenb($Z1191),1,IF(lenb(SUBSTITUTE($Z1191,V$1&amp;" (8)",""))&lt;lenb($Z1191),8,IF(lenb(SUBSTITUTE($Z1191,V$1&amp;" (9)",""))&lt;lenb($Z1191),9,IF(lenb(SUBSTITUTE($Z1191,V$1&amp;" (10)",""))&lt;lenb($Z1191),10,IF(lenb(SUBSTITUTE($Z1191,V$1,""))&lt;lenb($Z1191),"ERROR",IF($Z1191=$Y$1,"-",0))))))))))))</f>
        <v>-</v>
      </c>
      <c r="W1191" s="52" t="str">
        <f t="shared" si="1197"/>
        <v>-</v>
      </c>
      <c r="X1191" s="52" t="str">
        <f t="shared" si="1197"/>
        <v>-</v>
      </c>
      <c r="Y1191" s="52">
        <f t="shared" si="3"/>
        <v>1</v>
      </c>
      <c r="Z1191" s="52" t="s">
        <v>23</v>
      </c>
      <c r="AA1191" s="53">
        <f t="shared" si="4"/>
        <v>0</v>
      </c>
      <c r="AB1191" s="54">
        <f>COUNTIFS(Links!B:B,"ICSE",Links!C:C,A1191,Links!AD:AD,1)</f>
        <v>0</v>
      </c>
      <c r="AC1191" s="55" t="s">
        <v>36</v>
      </c>
      <c r="AD1191" s="47" t="str">
        <f t="shared" si="5"/>
        <v>No</v>
      </c>
      <c r="AE1191" s="56" t="s">
        <v>36</v>
      </c>
      <c r="AF1191" s="57" t="s">
        <v>42</v>
      </c>
      <c r="AG1191" s="57" t="s">
        <v>42</v>
      </c>
      <c r="AH1191" s="57" t="s">
        <v>42</v>
      </c>
      <c r="AI1191" s="49" t="str">
        <f t="shared" si="661"/>
        <v>----</v>
      </c>
      <c r="AJ1191" s="58" t="str">
        <f t="shared" si="7"/>
        <v>Paper has no link and no statement</v>
      </c>
      <c r="AK1191" s="59">
        <v>45070.0</v>
      </c>
      <c r="AL1191" s="43" t="s">
        <v>43</v>
      </c>
      <c r="AM1191" s="60" t="str">
        <f t="shared" si="8"/>
        <v>[IP2185]</v>
      </c>
    </row>
    <row r="1192" ht="67.5" customHeight="1">
      <c r="A1192" s="61">
        <v>2186.0</v>
      </c>
      <c r="B1192" s="22" t="s">
        <v>3260</v>
      </c>
      <c r="C1192" s="23">
        <v>2023.0</v>
      </c>
      <c r="D1192" s="24" t="s">
        <v>37</v>
      </c>
      <c r="E1192" s="25" t="s">
        <v>37</v>
      </c>
      <c r="F1192" s="25" t="s">
        <v>35</v>
      </c>
      <c r="G1192" s="25" t="s">
        <v>37</v>
      </c>
      <c r="H1192" s="25" t="s">
        <v>35</v>
      </c>
      <c r="I1192" s="25" t="s">
        <v>35</v>
      </c>
      <c r="J1192" s="26" t="s">
        <v>36</v>
      </c>
      <c r="K1192" s="27" t="s">
        <v>37</v>
      </c>
      <c r="L1192" s="28" t="s">
        <v>35</v>
      </c>
      <c r="M1192" s="28" t="s">
        <v>35</v>
      </c>
      <c r="N1192" s="28" t="s">
        <v>35</v>
      </c>
      <c r="O1192" s="28" t="s">
        <v>35</v>
      </c>
      <c r="P1192" s="28" t="s">
        <v>35</v>
      </c>
      <c r="Q1192" s="28" t="s">
        <v>37</v>
      </c>
      <c r="R1192" s="28" t="s">
        <v>35</v>
      </c>
      <c r="S1192" s="29" t="s">
        <v>2848</v>
      </c>
      <c r="T1192" s="30" t="s">
        <v>3261</v>
      </c>
      <c r="U1192" s="31" t="s">
        <v>3261</v>
      </c>
      <c r="V1192" s="32">
        <f t="shared" ref="V1192:X1192" si="1198">IF(lenb(SUBSTITUTE($Z1192,V$1&amp;" (1)",""))&lt;lenb($Z1192),1,IF(lenb(SUBSTITUTE($Z1192,V$1&amp;" (2)",""))&lt;lenb($Z1192),2,IF(lenb(SUBSTITUTE($Z1192,V$1&amp;" (3)",""))&lt;lenb($Z1192),3,IF(lenb(SUBSTITUTE($Z1192,V$1&amp;" (4)",""))&lt;lenb($Z1192),4,IF(lenb(SUBSTITUTE($Z1192,V$1&amp;" (5)",""))&lt;lenb($Z1192),5,IF(lenb(SUBSTITUTE($Z1192,V$1&amp;" (6)",""))&lt;lenb($Z1192),6,IF(lenb(SUBSTITUTE($Z1192,V$1&amp;" (7)",""))&lt;lenb($Z1192),1,IF(lenb(SUBSTITUTE($Z1192,V$1&amp;" (8)",""))&lt;lenb($Z1192),8,IF(lenb(SUBSTITUTE($Z1192,V$1&amp;" (9)",""))&lt;lenb($Z1192),9,IF(lenb(SUBSTITUTE($Z1192,V$1&amp;" (10)",""))&lt;lenb($Z1192),10,IF(lenb(SUBSTITUTE($Z1192,V$1,""))&lt;lenb($Z1192),"ERROR",IF($Z1192=$Y$1,"-",0))))))))))))</f>
        <v>1</v>
      </c>
      <c r="W1192" s="32">
        <f t="shared" si="1198"/>
        <v>0</v>
      </c>
      <c r="X1192" s="32">
        <f t="shared" si="1198"/>
        <v>0</v>
      </c>
      <c r="Y1192" s="32" t="str">
        <f t="shared" si="3"/>
        <v>-</v>
      </c>
      <c r="Z1192" s="32" t="s">
        <v>62</v>
      </c>
      <c r="AA1192" s="33">
        <f t="shared" si="4"/>
        <v>1</v>
      </c>
      <c r="AB1192" s="34">
        <f>COUNTIFS(Links!B:B,"ICSE",Links!C:C,A1192,Links!AD:AD,1)</f>
        <v>0</v>
      </c>
      <c r="AC1192" s="35" t="s">
        <v>37</v>
      </c>
      <c r="AD1192" s="27" t="str">
        <f t="shared" si="5"/>
        <v>No</v>
      </c>
      <c r="AE1192" s="36" t="s">
        <v>36</v>
      </c>
      <c r="AF1192" s="37" t="s">
        <v>42</v>
      </c>
      <c r="AG1192" s="37" t="s">
        <v>42</v>
      </c>
      <c r="AH1192" s="37" t="s">
        <v>42</v>
      </c>
      <c r="AI1192" s="29" t="str">
        <f t="shared" si="661"/>
        <v>----</v>
      </c>
      <c r="AJ1192" s="38" t="str">
        <f t="shared" si="7"/>
        <v>Paper has link but no statement</v>
      </c>
      <c r="AK1192" s="39">
        <v>45070.0</v>
      </c>
      <c r="AL1192" s="23" t="s">
        <v>43</v>
      </c>
      <c r="AM1192" s="40" t="str">
        <f t="shared" si="8"/>
        <v>[IP2186]</v>
      </c>
    </row>
    <row r="1193" ht="67.5" customHeight="1">
      <c r="A1193" s="41">
        <v>2187.0</v>
      </c>
      <c r="B1193" s="42" t="s">
        <v>3262</v>
      </c>
      <c r="C1193" s="43">
        <v>2023.0</v>
      </c>
      <c r="D1193" s="44" t="s">
        <v>37</v>
      </c>
      <c r="E1193" s="45" t="s">
        <v>37</v>
      </c>
      <c r="F1193" s="45" t="s">
        <v>37</v>
      </c>
      <c r="G1193" s="45" t="s">
        <v>35</v>
      </c>
      <c r="H1193" s="45" t="s">
        <v>35</v>
      </c>
      <c r="I1193" s="45" t="s">
        <v>35</v>
      </c>
      <c r="J1193" s="46" t="s">
        <v>36</v>
      </c>
      <c r="K1193" s="47" t="s">
        <v>37</v>
      </c>
      <c r="L1193" s="48" t="s">
        <v>35</v>
      </c>
      <c r="M1193" s="48" t="s">
        <v>35</v>
      </c>
      <c r="N1193" s="48" t="s">
        <v>37</v>
      </c>
      <c r="O1193" s="48" t="s">
        <v>35</v>
      </c>
      <c r="P1193" s="48" t="s">
        <v>35</v>
      </c>
      <c r="Q1193" s="48" t="s">
        <v>35</v>
      </c>
      <c r="R1193" s="48" t="s">
        <v>35</v>
      </c>
      <c r="S1193" s="49" t="s">
        <v>289</v>
      </c>
      <c r="T1193" s="50" t="s">
        <v>3263</v>
      </c>
      <c r="U1193" s="51" t="s">
        <v>3263</v>
      </c>
      <c r="V1193" s="52">
        <f t="shared" ref="V1193:X1193" si="1199">IF(lenb(SUBSTITUTE($Z1193,V$1&amp;" (1)",""))&lt;lenb($Z1193),1,IF(lenb(SUBSTITUTE($Z1193,V$1&amp;" (2)",""))&lt;lenb($Z1193),2,IF(lenb(SUBSTITUTE($Z1193,V$1&amp;" (3)",""))&lt;lenb($Z1193),3,IF(lenb(SUBSTITUTE($Z1193,V$1&amp;" (4)",""))&lt;lenb($Z1193),4,IF(lenb(SUBSTITUTE($Z1193,V$1&amp;" (5)",""))&lt;lenb($Z1193),5,IF(lenb(SUBSTITUTE($Z1193,V$1&amp;" (6)",""))&lt;lenb($Z1193),6,IF(lenb(SUBSTITUTE($Z1193,V$1&amp;" (7)",""))&lt;lenb($Z1193),1,IF(lenb(SUBSTITUTE($Z1193,V$1&amp;" (8)",""))&lt;lenb($Z1193),8,IF(lenb(SUBSTITUTE($Z1193,V$1&amp;" (9)",""))&lt;lenb($Z1193),9,IF(lenb(SUBSTITUTE($Z1193,V$1&amp;" (10)",""))&lt;lenb($Z1193),10,IF(lenb(SUBSTITUTE($Z1193,V$1,""))&lt;lenb($Z1193),"ERROR",IF($Z1193=$Y$1,"-",0))))))))))))</f>
        <v>1</v>
      </c>
      <c r="W1193" s="52">
        <f t="shared" si="1199"/>
        <v>0</v>
      </c>
      <c r="X1193" s="52">
        <f t="shared" si="1199"/>
        <v>0</v>
      </c>
      <c r="Y1193" s="52" t="str">
        <f t="shared" si="3"/>
        <v>-</v>
      </c>
      <c r="Z1193" s="52" t="s">
        <v>62</v>
      </c>
      <c r="AA1193" s="53">
        <f t="shared" si="4"/>
        <v>1</v>
      </c>
      <c r="AB1193" s="54">
        <f>COUNTIFS(Links!B:B,"ICSE",Links!C:C,A1193,Links!AD:AD,1)</f>
        <v>0</v>
      </c>
      <c r="AC1193" s="55" t="s">
        <v>35</v>
      </c>
      <c r="AD1193" s="47" t="str">
        <f t="shared" si="5"/>
        <v>No</v>
      </c>
      <c r="AE1193" s="56" t="s">
        <v>36</v>
      </c>
      <c r="AF1193" s="57" t="s">
        <v>42</v>
      </c>
      <c r="AG1193" s="57" t="s">
        <v>42</v>
      </c>
      <c r="AH1193" s="57" t="s">
        <v>42</v>
      </c>
      <c r="AI1193" s="49" t="str">
        <f t="shared" si="661"/>
        <v>----</v>
      </c>
      <c r="AJ1193" s="58" t="str">
        <f t="shared" si="7"/>
        <v>Paper has link but no statement</v>
      </c>
      <c r="AK1193" s="59">
        <v>45070.0</v>
      </c>
      <c r="AL1193" s="43" t="s">
        <v>43</v>
      </c>
      <c r="AM1193" s="60" t="str">
        <f t="shared" si="8"/>
        <v>[IP2187]</v>
      </c>
    </row>
    <row r="1194" ht="67.5" customHeight="1">
      <c r="A1194" s="61">
        <v>2188.0</v>
      </c>
      <c r="B1194" s="22" t="s">
        <v>3264</v>
      </c>
      <c r="C1194" s="23">
        <v>2023.0</v>
      </c>
      <c r="D1194" s="24" t="s">
        <v>37</v>
      </c>
      <c r="E1194" s="25" t="s">
        <v>37</v>
      </c>
      <c r="F1194" s="25" t="s">
        <v>35</v>
      </c>
      <c r="G1194" s="25" t="s">
        <v>37</v>
      </c>
      <c r="H1194" s="25" t="s">
        <v>35</v>
      </c>
      <c r="I1194" s="25" t="s">
        <v>35</v>
      </c>
      <c r="J1194" s="26" t="s">
        <v>36</v>
      </c>
      <c r="K1194" s="27" t="s">
        <v>37</v>
      </c>
      <c r="L1194" s="28" t="s">
        <v>37</v>
      </c>
      <c r="M1194" s="28" t="s">
        <v>35</v>
      </c>
      <c r="N1194" s="28" t="s">
        <v>37</v>
      </c>
      <c r="O1194" s="28" t="s">
        <v>35</v>
      </c>
      <c r="P1194" s="28" t="s">
        <v>35</v>
      </c>
      <c r="Q1194" s="28" t="s">
        <v>35</v>
      </c>
      <c r="R1194" s="28" t="s">
        <v>35</v>
      </c>
      <c r="S1194" s="29" t="s">
        <v>802</v>
      </c>
      <c r="T1194" s="30" t="s">
        <v>3265</v>
      </c>
      <c r="U1194" s="31" t="s">
        <v>3265</v>
      </c>
      <c r="V1194" s="32">
        <f t="shared" ref="V1194:X1194" si="1200">IF(lenb(SUBSTITUTE($Z1194,V$1&amp;" (1)",""))&lt;lenb($Z1194),1,IF(lenb(SUBSTITUTE($Z1194,V$1&amp;" (2)",""))&lt;lenb($Z1194),2,IF(lenb(SUBSTITUTE($Z1194,V$1&amp;" (3)",""))&lt;lenb($Z1194),3,IF(lenb(SUBSTITUTE($Z1194,V$1&amp;" (4)",""))&lt;lenb($Z1194),4,IF(lenb(SUBSTITUTE($Z1194,V$1&amp;" (5)",""))&lt;lenb($Z1194),5,IF(lenb(SUBSTITUTE($Z1194,V$1&amp;" (6)",""))&lt;lenb($Z1194),6,IF(lenb(SUBSTITUTE($Z1194,V$1&amp;" (7)",""))&lt;lenb($Z1194),1,IF(lenb(SUBSTITUTE($Z1194,V$1&amp;" (8)",""))&lt;lenb($Z1194),8,IF(lenb(SUBSTITUTE($Z1194,V$1&amp;" (9)",""))&lt;lenb($Z1194),9,IF(lenb(SUBSTITUTE($Z1194,V$1&amp;" (10)",""))&lt;lenb($Z1194),10,IF(lenb(SUBSTITUTE($Z1194,V$1,""))&lt;lenb($Z1194),"ERROR",IF($Z1194=$Y$1,"-",0))))))))))))</f>
        <v>1</v>
      </c>
      <c r="W1194" s="32">
        <f t="shared" si="1200"/>
        <v>0</v>
      </c>
      <c r="X1194" s="32">
        <f t="shared" si="1200"/>
        <v>0</v>
      </c>
      <c r="Y1194" s="32" t="str">
        <f t="shared" si="3"/>
        <v>-</v>
      </c>
      <c r="Z1194" s="32" t="s">
        <v>62</v>
      </c>
      <c r="AA1194" s="33">
        <f t="shared" si="4"/>
        <v>1</v>
      </c>
      <c r="AB1194" s="34">
        <f>COUNTIFS(Links!B:B,"ICSE",Links!C:C,A1194,Links!AD:AD,1)</f>
        <v>0</v>
      </c>
      <c r="AC1194" s="35" t="s">
        <v>37</v>
      </c>
      <c r="AD1194" s="27" t="str">
        <f t="shared" si="5"/>
        <v>No</v>
      </c>
      <c r="AE1194" s="36" t="s">
        <v>36</v>
      </c>
      <c r="AF1194" s="37" t="s">
        <v>42</v>
      </c>
      <c r="AG1194" s="37" t="s">
        <v>42</v>
      </c>
      <c r="AH1194" s="37" t="s">
        <v>42</v>
      </c>
      <c r="AI1194" s="29" t="str">
        <f t="shared" si="661"/>
        <v>----</v>
      </c>
      <c r="AJ1194" s="38" t="str">
        <f t="shared" si="7"/>
        <v>Paper has link but no statement</v>
      </c>
      <c r="AK1194" s="39">
        <v>45070.0</v>
      </c>
      <c r="AL1194" s="23" t="s">
        <v>43</v>
      </c>
      <c r="AM1194" s="40" t="str">
        <f t="shared" si="8"/>
        <v>[IP2188]</v>
      </c>
    </row>
    <row r="1195" ht="67.5" customHeight="1">
      <c r="A1195" s="41">
        <v>2189.0</v>
      </c>
      <c r="B1195" s="42" t="s">
        <v>3266</v>
      </c>
      <c r="C1195" s="43">
        <v>2023.0</v>
      </c>
      <c r="D1195" s="44" t="s">
        <v>37</v>
      </c>
      <c r="E1195" s="45" t="s">
        <v>37</v>
      </c>
      <c r="F1195" s="45" t="s">
        <v>35</v>
      </c>
      <c r="G1195" s="45" t="s">
        <v>37</v>
      </c>
      <c r="H1195" s="45" t="s">
        <v>35</v>
      </c>
      <c r="I1195" s="45" t="s">
        <v>35</v>
      </c>
      <c r="J1195" s="46" t="s">
        <v>36</v>
      </c>
      <c r="K1195" s="47" t="s">
        <v>37</v>
      </c>
      <c r="L1195" s="48" t="s">
        <v>37</v>
      </c>
      <c r="M1195" s="48" t="s">
        <v>35</v>
      </c>
      <c r="N1195" s="48" t="s">
        <v>37</v>
      </c>
      <c r="O1195" s="48" t="s">
        <v>35</v>
      </c>
      <c r="P1195" s="48" t="s">
        <v>35</v>
      </c>
      <c r="Q1195" s="48" t="s">
        <v>35</v>
      </c>
      <c r="R1195" s="48" t="s">
        <v>37</v>
      </c>
      <c r="S1195" s="49" t="s">
        <v>3267</v>
      </c>
      <c r="T1195" s="50" t="s">
        <v>3268</v>
      </c>
      <c r="U1195" s="51" t="s">
        <v>3268</v>
      </c>
      <c r="V1195" s="52">
        <f t="shared" ref="V1195:X1195" si="1201">IF(lenb(SUBSTITUTE($Z1195,V$1&amp;" (1)",""))&lt;lenb($Z1195),1,IF(lenb(SUBSTITUTE($Z1195,V$1&amp;" (2)",""))&lt;lenb($Z1195),2,IF(lenb(SUBSTITUTE($Z1195,V$1&amp;" (3)",""))&lt;lenb($Z1195),3,IF(lenb(SUBSTITUTE($Z1195,V$1&amp;" (4)",""))&lt;lenb($Z1195),4,IF(lenb(SUBSTITUTE($Z1195,V$1&amp;" (5)",""))&lt;lenb($Z1195),5,IF(lenb(SUBSTITUTE($Z1195,V$1&amp;" (6)",""))&lt;lenb($Z1195),6,IF(lenb(SUBSTITUTE($Z1195,V$1&amp;" (7)",""))&lt;lenb($Z1195),1,IF(lenb(SUBSTITUTE($Z1195,V$1&amp;" (8)",""))&lt;lenb($Z1195),8,IF(lenb(SUBSTITUTE($Z1195,V$1&amp;" (9)",""))&lt;lenb($Z1195),9,IF(lenb(SUBSTITUTE($Z1195,V$1&amp;" (10)",""))&lt;lenb($Z1195),10,IF(lenb(SUBSTITUTE($Z1195,V$1,""))&lt;lenb($Z1195),"ERROR",IF($Z1195=$Y$1,"-",0))))))))))))</f>
        <v>1</v>
      </c>
      <c r="W1195" s="52">
        <f t="shared" si="1201"/>
        <v>0</v>
      </c>
      <c r="X1195" s="52">
        <f t="shared" si="1201"/>
        <v>0</v>
      </c>
      <c r="Y1195" s="52" t="str">
        <f t="shared" si="3"/>
        <v>-</v>
      </c>
      <c r="Z1195" s="52" t="s">
        <v>62</v>
      </c>
      <c r="AA1195" s="53">
        <f t="shared" si="4"/>
        <v>1</v>
      </c>
      <c r="AB1195" s="54">
        <f>COUNTIFS(Links!B:B,"ICSE",Links!C:C,A1195,Links!AD:AD,1)</f>
        <v>0</v>
      </c>
      <c r="AC1195" s="55" t="s">
        <v>37</v>
      </c>
      <c r="AD1195" s="47" t="str">
        <f t="shared" si="5"/>
        <v>No</v>
      </c>
      <c r="AE1195" s="56" t="s">
        <v>36</v>
      </c>
      <c r="AF1195" s="57" t="s">
        <v>42</v>
      </c>
      <c r="AG1195" s="57" t="s">
        <v>42</v>
      </c>
      <c r="AH1195" s="57" t="s">
        <v>42</v>
      </c>
      <c r="AI1195" s="49" t="str">
        <f t="shared" si="661"/>
        <v>----</v>
      </c>
      <c r="AJ1195" s="58" t="str">
        <f t="shared" si="7"/>
        <v>Paper has link but no statement</v>
      </c>
      <c r="AK1195" s="59">
        <v>45070.0</v>
      </c>
      <c r="AL1195" s="43" t="s">
        <v>43</v>
      </c>
      <c r="AM1195" s="60" t="str">
        <f t="shared" si="8"/>
        <v>[IP2189]</v>
      </c>
    </row>
    <row r="1196" ht="67.5" customHeight="1">
      <c r="A1196" s="61">
        <v>2190.0</v>
      </c>
      <c r="B1196" s="22" t="s">
        <v>3269</v>
      </c>
      <c r="C1196" s="23">
        <v>2023.0</v>
      </c>
      <c r="D1196" s="24" t="s">
        <v>35</v>
      </c>
      <c r="E1196" s="25" t="s">
        <v>36</v>
      </c>
      <c r="F1196" s="25" t="s">
        <v>36</v>
      </c>
      <c r="G1196" s="25" t="s">
        <v>36</v>
      </c>
      <c r="H1196" s="25" t="s">
        <v>36</v>
      </c>
      <c r="I1196" s="25" t="s">
        <v>36</v>
      </c>
      <c r="J1196" s="26" t="s">
        <v>36</v>
      </c>
      <c r="K1196" s="27" t="s">
        <v>37</v>
      </c>
      <c r="L1196" s="28" t="s">
        <v>35</v>
      </c>
      <c r="M1196" s="28" t="s">
        <v>35</v>
      </c>
      <c r="N1196" s="28" t="s">
        <v>37</v>
      </c>
      <c r="O1196" s="28" t="s">
        <v>35</v>
      </c>
      <c r="P1196" s="28" t="s">
        <v>35</v>
      </c>
      <c r="Q1196" s="28" t="s">
        <v>35</v>
      </c>
      <c r="R1196" s="28" t="s">
        <v>35</v>
      </c>
      <c r="S1196" s="29" t="s">
        <v>343</v>
      </c>
      <c r="T1196" s="30" t="s">
        <v>3270</v>
      </c>
      <c r="U1196" s="31" t="s">
        <v>3270</v>
      </c>
      <c r="V1196" s="32">
        <f t="shared" ref="V1196:X1196" si="1202">IF(lenb(SUBSTITUTE($Z1196,V$1&amp;" (1)",""))&lt;lenb($Z1196),1,IF(lenb(SUBSTITUTE($Z1196,V$1&amp;" (2)",""))&lt;lenb($Z1196),2,IF(lenb(SUBSTITUTE($Z1196,V$1&amp;" (3)",""))&lt;lenb($Z1196),3,IF(lenb(SUBSTITUTE($Z1196,V$1&amp;" (4)",""))&lt;lenb($Z1196),4,IF(lenb(SUBSTITUTE($Z1196,V$1&amp;" (5)",""))&lt;lenb($Z1196),5,IF(lenb(SUBSTITUTE($Z1196,V$1&amp;" (6)",""))&lt;lenb($Z1196),6,IF(lenb(SUBSTITUTE($Z1196,V$1&amp;" (7)",""))&lt;lenb($Z1196),1,IF(lenb(SUBSTITUTE($Z1196,V$1&amp;" (8)",""))&lt;lenb($Z1196),8,IF(lenb(SUBSTITUTE($Z1196,V$1&amp;" (9)",""))&lt;lenb($Z1196),9,IF(lenb(SUBSTITUTE($Z1196,V$1&amp;" (10)",""))&lt;lenb($Z1196),10,IF(lenb(SUBSTITUTE($Z1196,V$1,""))&lt;lenb($Z1196),"ERROR",IF($Z1196=$Y$1,"-",0))))))))))))</f>
        <v>1</v>
      </c>
      <c r="W1196" s="32">
        <f t="shared" si="1202"/>
        <v>0</v>
      </c>
      <c r="X1196" s="32">
        <f t="shared" si="1202"/>
        <v>0</v>
      </c>
      <c r="Y1196" s="32" t="str">
        <f t="shared" si="3"/>
        <v>-</v>
      </c>
      <c r="Z1196" s="32" t="s">
        <v>62</v>
      </c>
      <c r="AA1196" s="33">
        <f t="shared" si="4"/>
        <v>1</v>
      </c>
      <c r="AB1196" s="34">
        <f>COUNTIFS(Links!B:B,"ICSE",Links!C:C,A1196,Links!AD:AD,1)</f>
        <v>0</v>
      </c>
      <c r="AC1196" s="35" t="s">
        <v>35</v>
      </c>
      <c r="AD1196" s="27" t="str">
        <f t="shared" si="5"/>
        <v>No</v>
      </c>
      <c r="AE1196" s="36" t="s">
        <v>36</v>
      </c>
      <c r="AF1196" s="37" t="s">
        <v>42</v>
      </c>
      <c r="AG1196" s="37" t="s">
        <v>42</v>
      </c>
      <c r="AH1196" s="37" t="s">
        <v>42</v>
      </c>
      <c r="AI1196" s="29" t="str">
        <f t="shared" si="661"/>
        <v>----</v>
      </c>
      <c r="AJ1196" s="38" t="str">
        <f t="shared" si="7"/>
        <v>Paper has link but no statement</v>
      </c>
      <c r="AK1196" s="39">
        <v>45070.0</v>
      </c>
      <c r="AL1196" s="23" t="s">
        <v>43</v>
      </c>
      <c r="AM1196" s="40" t="str">
        <f t="shared" si="8"/>
        <v>[IP2190]</v>
      </c>
    </row>
    <row r="1197" ht="67.5" customHeight="1">
      <c r="A1197" s="41">
        <v>2191.0</v>
      </c>
      <c r="B1197" s="42" t="s">
        <v>3271</v>
      </c>
      <c r="C1197" s="43">
        <v>2023.0</v>
      </c>
      <c r="D1197" s="44" t="s">
        <v>35</v>
      </c>
      <c r="E1197" s="45" t="s">
        <v>36</v>
      </c>
      <c r="F1197" s="45" t="s">
        <v>36</v>
      </c>
      <c r="G1197" s="45" t="s">
        <v>36</v>
      </c>
      <c r="H1197" s="45" t="s">
        <v>36</v>
      </c>
      <c r="I1197" s="45" t="s">
        <v>36</v>
      </c>
      <c r="J1197" s="46" t="s">
        <v>36</v>
      </c>
      <c r="K1197" s="47" t="s">
        <v>37</v>
      </c>
      <c r="L1197" s="48" t="s">
        <v>35</v>
      </c>
      <c r="M1197" s="48" t="s">
        <v>37</v>
      </c>
      <c r="N1197" s="48" t="s">
        <v>37</v>
      </c>
      <c r="O1197" s="48" t="s">
        <v>35</v>
      </c>
      <c r="P1197" s="48" t="s">
        <v>37</v>
      </c>
      <c r="Q1197" s="48" t="s">
        <v>35</v>
      </c>
      <c r="R1197" s="48" t="s">
        <v>35</v>
      </c>
      <c r="S1197" s="49" t="s">
        <v>3272</v>
      </c>
      <c r="T1197" s="50" t="s">
        <v>3273</v>
      </c>
      <c r="U1197" s="51" t="s">
        <v>3273</v>
      </c>
      <c r="V1197" s="52">
        <f t="shared" ref="V1197:X1197" si="1203">IF(lenb(SUBSTITUTE($Z1197,V$1&amp;" (1)",""))&lt;lenb($Z1197),1,IF(lenb(SUBSTITUTE($Z1197,V$1&amp;" (2)",""))&lt;lenb($Z1197),2,IF(lenb(SUBSTITUTE($Z1197,V$1&amp;" (3)",""))&lt;lenb($Z1197),3,IF(lenb(SUBSTITUTE($Z1197,V$1&amp;" (4)",""))&lt;lenb($Z1197),4,IF(lenb(SUBSTITUTE($Z1197,V$1&amp;" (5)",""))&lt;lenb($Z1197),5,IF(lenb(SUBSTITUTE($Z1197,V$1&amp;" (6)",""))&lt;lenb($Z1197),6,IF(lenb(SUBSTITUTE($Z1197,V$1&amp;" (7)",""))&lt;lenb($Z1197),1,IF(lenb(SUBSTITUTE($Z1197,V$1&amp;" (8)",""))&lt;lenb($Z1197),8,IF(lenb(SUBSTITUTE($Z1197,V$1&amp;" (9)",""))&lt;lenb($Z1197),9,IF(lenb(SUBSTITUTE($Z1197,V$1&amp;" (10)",""))&lt;lenb($Z1197),10,IF(lenb(SUBSTITUTE($Z1197,V$1,""))&lt;lenb($Z1197),"ERROR",IF($Z1197=$Y$1,"-",0))))))))))))</f>
        <v>1</v>
      </c>
      <c r="W1197" s="52">
        <f t="shared" si="1203"/>
        <v>0</v>
      </c>
      <c r="X1197" s="52">
        <f t="shared" si="1203"/>
        <v>0</v>
      </c>
      <c r="Y1197" s="52" t="str">
        <f t="shared" si="3"/>
        <v>-</v>
      </c>
      <c r="Z1197" s="52" t="s">
        <v>62</v>
      </c>
      <c r="AA1197" s="53">
        <f t="shared" si="4"/>
        <v>1</v>
      </c>
      <c r="AB1197" s="54">
        <f>COUNTIFS(Links!B:B,"ICSE",Links!C:C,A1197,Links!AD:AD,1)</f>
        <v>0</v>
      </c>
      <c r="AC1197" s="55" t="s">
        <v>35</v>
      </c>
      <c r="AD1197" s="47" t="str">
        <f t="shared" si="5"/>
        <v>No</v>
      </c>
      <c r="AE1197" s="56" t="s">
        <v>36</v>
      </c>
      <c r="AF1197" s="57" t="s">
        <v>42</v>
      </c>
      <c r="AG1197" s="57" t="s">
        <v>42</v>
      </c>
      <c r="AH1197" s="57" t="s">
        <v>42</v>
      </c>
      <c r="AI1197" s="49" t="str">
        <f t="shared" si="661"/>
        <v>----</v>
      </c>
      <c r="AJ1197" s="58" t="str">
        <f t="shared" si="7"/>
        <v>Paper has link but no statement</v>
      </c>
      <c r="AK1197" s="59">
        <v>45070.0</v>
      </c>
      <c r="AL1197" s="43" t="s">
        <v>43</v>
      </c>
      <c r="AM1197" s="60" t="str">
        <f t="shared" si="8"/>
        <v>[IP2191]</v>
      </c>
    </row>
    <row r="1198" ht="67.5" customHeight="1">
      <c r="A1198" s="61">
        <v>2192.0</v>
      </c>
      <c r="B1198" s="22" t="s">
        <v>3274</v>
      </c>
      <c r="C1198" s="23">
        <v>2023.0</v>
      </c>
      <c r="D1198" s="24" t="s">
        <v>35</v>
      </c>
      <c r="E1198" s="25" t="s">
        <v>36</v>
      </c>
      <c r="F1198" s="25" t="s">
        <v>36</v>
      </c>
      <c r="G1198" s="25" t="s">
        <v>36</v>
      </c>
      <c r="H1198" s="25" t="s">
        <v>36</v>
      </c>
      <c r="I1198" s="25" t="s">
        <v>36</v>
      </c>
      <c r="J1198" s="26" t="s">
        <v>36</v>
      </c>
      <c r="K1198" s="27" t="s">
        <v>37</v>
      </c>
      <c r="L1198" s="28" t="s">
        <v>37</v>
      </c>
      <c r="M1198" s="28" t="s">
        <v>35</v>
      </c>
      <c r="N1198" s="28" t="s">
        <v>35</v>
      </c>
      <c r="O1198" s="28" t="s">
        <v>37</v>
      </c>
      <c r="P1198" s="28" t="s">
        <v>35</v>
      </c>
      <c r="Q1198" s="28" t="s">
        <v>35</v>
      </c>
      <c r="R1198" s="28" t="s">
        <v>35</v>
      </c>
      <c r="S1198" s="29" t="s">
        <v>3275</v>
      </c>
      <c r="T1198" s="30" t="s">
        <v>3276</v>
      </c>
      <c r="U1198" s="31" t="s">
        <v>3277</v>
      </c>
      <c r="V1198" s="32">
        <f t="shared" ref="V1198:X1198" si="1204">IF(lenb(SUBSTITUTE($Z1198,V$1&amp;" (1)",""))&lt;lenb($Z1198),1,IF(lenb(SUBSTITUTE($Z1198,V$1&amp;" (2)",""))&lt;lenb($Z1198),2,IF(lenb(SUBSTITUTE($Z1198,V$1&amp;" (3)",""))&lt;lenb($Z1198),3,IF(lenb(SUBSTITUTE($Z1198,V$1&amp;" (4)",""))&lt;lenb($Z1198),4,IF(lenb(SUBSTITUTE($Z1198,V$1&amp;" (5)",""))&lt;lenb($Z1198),5,IF(lenb(SUBSTITUTE($Z1198,V$1&amp;" (6)",""))&lt;lenb($Z1198),6,IF(lenb(SUBSTITUTE($Z1198,V$1&amp;" (7)",""))&lt;lenb($Z1198),1,IF(lenb(SUBSTITUTE($Z1198,V$1&amp;" (8)",""))&lt;lenb($Z1198),8,IF(lenb(SUBSTITUTE($Z1198,V$1&amp;" (9)",""))&lt;lenb($Z1198),9,IF(lenb(SUBSTITUTE($Z1198,V$1&amp;" (10)",""))&lt;lenb($Z1198),10,IF(lenb(SUBSTITUTE($Z1198,V$1,""))&lt;lenb($Z1198),"ERROR",IF($Z1198=$Y$1,"-",0))))))))))))</f>
        <v>2</v>
      </c>
      <c r="W1198" s="32">
        <f t="shared" si="1204"/>
        <v>0</v>
      </c>
      <c r="X1198" s="32">
        <f t="shared" si="1204"/>
        <v>0</v>
      </c>
      <c r="Y1198" s="32" t="str">
        <f t="shared" si="3"/>
        <v>-</v>
      </c>
      <c r="Z1198" s="32" t="s">
        <v>57</v>
      </c>
      <c r="AA1198" s="33">
        <f t="shared" si="4"/>
        <v>2</v>
      </c>
      <c r="AB1198" s="34">
        <f>COUNTIFS(Links!B:B,"ICSE",Links!C:C,A1198,Links!AD:AD,1)</f>
        <v>0</v>
      </c>
      <c r="AC1198" s="35" t="s">
        <v>37</v>
      </c>
      <c r="AD1198" s="27" t="str">
        <f t="shared" si="5"/>
        <v>No</v>
      </c>
      <c r="AE1198" s="36" t="s">
        <v>36</v>
      </c>
      <c r="AF1198" s="37" t="s">
        <v>42</v>
      </c>
      <c r="AG1198" s="37" t="s">
        <v>42</v>
      </c>
      <c r="AH1198" s="37" t="s">
        <v>42</v>
      </c>
      <c r="AI1198" s="29" t="str">
        <f t="shared" si="661"/>
        <v>----</v>
      </c>
      <c r="AJ1198" s="38" t="str">
        <f t="shared" si="7"/>
        <v>Paper has link but no statement</v>
      </c>
      <c r="AK1198" s="39">
        <v>45070.0</v>
      </c>
      <c r="AL1198" s="23" t="s">
        <v>43</v>
      </c>
      <c r="AM1198" s="40" t="str">
        <f t="shared" si="8"/>
        <v>[IP2192]</v>
      </c>
    </row>
    <row r="1199" ht="67.5" customHeight="1">
      <c r="A1199" s="41">
        <v>2193.0</v>
      </c>
      <c r="B1199" s="42" t="s">
        <v>3278</v>
      </c>
      <c r="C1199" s="43">
        <v>2023.0</v>
      </c>
      <c r="D1199" s="44" t="s">
        <v>35</v>
      </c>
      <c r="E1199" s="45" t="s">
        <v>36</v>
      </c>
      <c r="F1199" s="45" t="s">
        <v>36</v>
      </c>
      <c r="G1199" s="45" t="s">
        <v>36</v>
      </c>
      <c r="H1199" s="45" t="s">
        <v>36</v>
      </c>
      <c r="I1199" s="45" t="s">
        <v>36</v>
      </c>
      <c r="J1199" s="46" t="s">
        <v>36</v>
      </c>
      <c r="K1199" s="47" t="s">
        <v>37</v>
      </c>
      <c r="L1199" s="48" t="s">
        <v>35</v>
      </c>
      <c r="M1199" s="48" t="s">
        <v>37</v>
      </c>
      <c r="N1199" s="48" t="s">
        <v>37</v>
      </c>
      <c r="O1199" s="48" t="s">
        <v>35</v>
      </c>
      <c r="P1199" s="48" t="s">
        <v>35</v>
      </c>
      <c r="Q1199" s="48" t="s">
        <v>37</v>
      </c>
      <c r="R1199" s="48" t="s">
        <v>37</v>
      </c>
      <c r="S1199" s="49" t="s">
        <v>3279</v>
      </c>
      <c r="T1199" s="50" t="s">
        <v>3280</v>
      </c>
      <c r="U1199" s="51" t="s">
        <v>3280</v>
      </c>
      <c r="V1199" s="52">
        <f t="shared" ref="V1199:X1199" si="1205">IF(lenb(SUBSTITUTE($Z1199,V$1&amp;" (1)",""))&lt;lenb($Z1199),1,IF(lenb(SUBSTITUTE($Z1199,V$1&amp;" (2)",""))&lt;lenb($Z1199),2,IF(lenb(SUBSTITUTE($Z1199,V$1&amp;" (3)",""))&lt;lenb($Z1199),3,IF(lenb(SUBSTITUTE($Z1199,V$1&amp;" (4)",""))&lt;lenb($Z1199),4,IF(lenb(SUBSTITUTE($Z1199,V$1&amp;" (5)",""))&lt;lenb($Z1199),5,IF(lenb(SUBSTITUTE($Z1199,V$1&amp;" (6)",""))&lt;lenb($Z1199),6,IF(lenb(SUBSTITUTE($Z1199,V$1&amp;" (7)",""))&lt;lenb($Z1199),1,IF(lenb(SUBSTITUTE($Z1199,V$1&amp;" (8)",""))&lt;lenb($Z1199),8,IF(lenb(SUBSTITUTE($Z1199,V$1&amp;" (9)",""))&lt;lenb($Z1199),9,IF(lenb(SUBSTITUTE($Z1199,V$1&amp;" (10)",""))&lt;lenb($Z1199),10,IF(lenb(SUBSTITUTE($Z1199,V$1,""))&lt;lenb($Z1199),"ERROR",IF($Z1199=$Y$1,"-",0))))))))))))</f>
        <v>1</v>
      </c>
      <c r="W1199" s="52">
        <f t="shared" si="1205"/>
        <v>0</v>
      </c>
      <c r="X1199" s="52">
        <f t="shared" si="1205"/>
        <v>0</v>
      </c>
      <c r="Y1199" s="52" t="str">
        <f t="shared" si="3"/>
        <v>-</v>
      </c>
      <c r="Z1199" s="52" t="s">
        <v>62</v>
      </c>
      <c r="AA1199" s="53">
        <f t="shared" si="4"/>
        <v>1</v>
      </c>
      <c r="AB1199" s="54">
        <f>COUNTIFS(Links!B:B,"ICSE",Links!C:C,A1199,Links!AD:AD,1)</f>
        <v>0</v>
      </c>
      <c r="AC1199" s="55" t="s">
        <v>35</v>
      </c>
      <c r="AD1199" s="47" t="str">
        <f t="shared" si="5"/>
        <v>No</v>
      </c>
      <c r="AE1199" s="56" t="s">
        <v>36</v>
      </c>
      <c r="AF1199" s="57" t="s">
        <v>42</v>
      </c>
      <c r="AG1199" s="57" t="s">
        <v>42</v>
      </c>
      <c r="AH1199" s="57" t="s">
        <v>42</v>
      </c>
      <c r="AI1199" s="49" t="str">
        <f t="shared" si="661"/>
        <v>----</v>
      </c>
      <c r="AJ1199" s="58" t="str">
        <f t="shared" si="7"/>
        <v>Paper has link but no statement</v>
      </c>
      <c r="AK1199" s="59">
        <v>45070.0</v>
      </c>
      <c r="AL1199" s="43" t="s">
        <v>43</v>
      </c>
      <c r="AM1199" s="60" t="str">
        <f t="shared" si="8"/>
        <v>[IP2193]</v>
      </c>
    </row>
    <row r="1200" ht="67.5" customHeight="1">
      <c r="A1200" s="61">
        <v>2194.0</v>
      </c>
      <c r="B1200" s="22" t="s">
        <v>3281</v>
      </c>
      <c r="C1200" s="23">
        <v>2023.0</v>
      </c>
      <c r="D1200" s="24" t="s">
        <v>35</v>
      </c>
      <c r="E1200" s="25" t="s">
        <v>36</v>
      </c>
      <c r="F1200" s="25" t="s">
        <v>36</v>
      </c>
      <c r="G1200" s="25" t="s">
        <v>36</v>
      </c>
      <c r="H1200" s="25" t="s">
        <v>36</v>
      </c>
      <c r="I1200" s="25" t="s">
        <v>36</v>
      </c>
      <c r="J1200" s="26" t="s">
        <v>36</v>
      </c>
      <c r="K1200" s="27" t="s">
        <v>37</v>
      </c>
      <c r="L1200" s="28" t="s">
        <v>35</v>
      </c>
      <c r="M1200" s="28" t="s">
        <v>37</v>
      </c>
      <c r="N1200" s="28" t="s">
        <v>37</v>
      </c>
      <c r="O1200" s="28" t="s">
        <v>37</v>
      </c>
      <c r="P1200" s="28" t="s">
        <v>37</v>
      </c>
      <c r="Q1200" s="28" t="s">
        <v>35</v>
      </c>
      <c r="R1200" s="28" t="s">
        <v>37</v>
      </c>
      <c r="S1200" s="29" t="s">
        <v>3282</v>
      </c>
      <c r="T1200" s="30" t="s">
        <v>3283</v>
      </c>
      <c r="U1200" s="31" t="s">
        <v>3283</v>
      </c>
      <c r="V1200" s="32">
        <f t="shared" ref="V1200:X1200" si="1206">IF(lenb(SUBSTITUTE($Z1200,V$1&amp;" (1)",""))&lt;lenb($Z1200),1,IF(lenb(SUBSTITUTE($Z1200,V$1&amp;" (2)",""))&lt;lenb($Z1200),2,IF(lenb(SUBSTITUTE($Z1200,V$1&amp;" (3)",""))&lt;lenb($Z1200),3,IF(lenb(SUBSTITUTE($Z1200,V$1&amp;" (4)",""))&lt;lenb($Z1200),4,IF(lenb(SUBSTITUTE($Z1200,V$1&amp;" (5)",""))&lt;lenb($Z1200),5,IF(lenb(SUBSTITUTE($Z1200,V$1&amp;" (6)",""))&lt;lenb($Z1200),6,IF(lenb(SUBSTITUTE($Z1200,V$1&amp;" (7)",""))&lt;lenb($Z1200),1,IF(lenb(SUBSTITUTE($Z1200,V$1&amp;" (8)",""))&lt;lenb($Z1200),8,IF(lenb(SUBSTITUTE($Z1200,V$1&amp;" (9)",""))&lt;lenb($Z1200),9,IF(lenb(SUBSTITUTE($Z1200,V$1&amp;" (10)",""))&lt;lenb($Z1200),10,IF(lenb(SUBSTITUTE($Z1200,V$1,""))&lt;lenb($Z1200),"ERROR",IF($Z1200=$Y$1,"-",0))))))))))))</f>
        <v>1</v>
      </c>
      <c r="W1200" s="32">
        <f t="shared" si="1206"/>
        <v>0</v>
      </c>
      <c r="X1200" s="32">
        <f t="shared" si="1206"/>
        <v>0</v>
      </c>
      <c r="Y1200" s="32" t="str">
        <f t="shared" si="3"/>
        <v>-</v>
      </c>
      <c r="Z1200" s="32" t="s">
        <v>62</v>
      </c>
      <c r="AA1200" s="33">
        <f t="shared" si="4"/>
        <v>1</v>
      </c>
      <c r="AB1200" s="34">
        <f>COUNTIFS(Links!B:B,"ICSE",Links!C:C,A1200,Links!AD:AD,1)</f>
        <v>0</v>
      </c>
      <c r="AC1200" s="35" t="s">
        <v>35</v>
      </c>
      <c r="AD1200" s="27" t="str">
        <f t="shared" si="5"/>
        <v>No</v>
      </c>
      <c r="AE1200" s="36" t="s">
        <v>36</v>
      </c>
      <c r="AF1200" s="37" t="s">
        <v>42</v>
      </c>
      <c r="AG1200" s="37" t="s">
        <v>42</v>
      </c>
      <c r="AH1200" s="37" t="s">
        <v>42</v>
      </c>
      <c r="AI1200" s="29" t="str">
        <f t="shared" si="661"/>
        <v>----</v>
      </c>
      <c r="AJ1200" s="38" t="str">
        <f t="shared" si="7"/>
        <v>Paper has link but no statement</v>
      </c>
      <c r="AK1200" s="39">
        <v>45070.0</v>
      </c>
      <c r="AL1200" s="23" t="s">
        <v>43</v>
      </c>
      <c r="AM1200" s="40" t="str">
        <f t="shared" si="8"/>
        <v>[IP2194]</v>
      </c>
    </row>
    <row r="1201" ht="67.5" customHeight="1">
      <c r="A1201" s="41">
        <v>2195.0</v>
      </c>
      <c r="B1201" s="42" t="s">
        <v>3284</v>
      </c>
      <c r="C1201" s="43">
        <v>2023.0</v>
      </c>
      <c r="D1201" s="44" t="s">
        <v>37</v>
      </c>
      <c r="E1201" s="45" t="s">
        <v>37</v>
      </c>
      <c r="F1201" s="45" t="s">
        <v>35</v>
      </c>
      <c r="G1201" s="45" t="s">
        <v>37</v>
      </c>
      <c r="H1201" s="45" t="s">
        <v>35</v>
      </c>
      <c r="I1201" s="45" t="s">
        <v>35</v>
      </c>
      <c r="J1201" s="46" t="s">
        <v>36</v>
      </c>
      <c r="K1201" s="47" t="s">
        <v>37</v>
      </c>
      <c r="L1201" s="48" t="s">
        <v>35</v>
      </c>
      <c r="M1201" s="48" t="s">
        <v>35</v>
      </c>
      <c r="N1201" s="48" t="s">
        <v>35</v>
      </c>
      <c r="O1201" s="48" t="s">
        <v>35</v>
      </c>
      <c r="P1201" s="48" t="s">
        <v>35</v>
      </c>
      <c r="Q1201" s="48" t="s">
        <v>37</v>
      </c>
      <c r="R1201" s="48" t="s">
        <v>35</v>
      </c>
      <c r="S1201" s="49" t="s">
        <v>3285</v>
      </c>
      <c r="T1201" s="50" t="s">
        <v>3286</v>
      </c>
      <c r="U1201" s="51" t="s">
        <v>3286</v>
      </c>
      <c r="V1201" s="52">
        <f t="shared" ref="V1201:X1201" si="1207">IF(lenb(SUBSTITUTE($Z1201,V$1&amp;" (1)",""))&lt;lenb($Z1201),1,IF(lenb(SUBSTITUTE($Z1201,V$1&amp;" (2)",""))&lt;lenb($Z1201),2,IF(lenb(SUBSTITUTE($Z1201,V$1&amp;" (3)",""))&lt;lenb($Z1201),3,IF(lenb(SUBSTITUTE($Z1201,V$1&amp;" (4)",""))&lt;lenb($Z1201),4,IF(lenb(SUBSTITUTE($Z1201,V$1&amp;" (5)",""))&lt;lenb($Z1201),5,IF(lenb(SUBSTITUTE($Z1201,V$1&amp;" (6)",""))&lt;lenb($Z1201),6,IF(lenb(SUBSTITUTE($Z1201,V$1&amp;" (7)",""))&lt;lenb($Z1201),1,IF(lenb(SUBSTITUTE($Z1201,V$1&amp;" (8)",""))&lt;lenb($Z1201),8,IF(lenb(SUBSTITUTE($Z1201,V$1&amp;" (9)",""))&lt;lenb($Z1201),9,IF(lenb(SUBSTITUTE($Z1201,V$1&amp;" (10)",""))&lt;lenb($Z1201),10,IF(lenb(SUBSTITUTE($Z1201,V$1,""))&lt;lenb($Z1201),"ERROR",IF($Z1201=$Y$1,"-",0))))))))))))</f>
        <v>1</v>
      </c>
      <c r="W1201" s="52">
        <f t="shared" si="1207"/>
        <v>0</v>
      </c>
      <c r="X1201" s="52">
        <f t="shared" si="1207"/>
        <v>0</v>
      </c>
      <c r="Y1201" s="52" t="str">
        <f t="shared" si="3"/>
        <v>-</v>
      </c>
      <c r="Z1201" s="52" t="s">
        <v>62</v>
      </c>
      <c r="AA1201" s="53">
        <f t="shared" si="4"/>
        <v>1</v>
      </c>
      <c r="AB1201" s="54">
        <f>COUNTIFS(Links!B:B,"ICSE",Links!C:C,A1201,Links!AD:AD,1)</f>
        <v>0</v>
      </c>
      <c r="AC1201" s="55" t="s">
        <v>35</v>
      </c>
      <c r="AD1201" s="47" t="str">
        <f t="shared" si="5"/>
        <v>No</v>
      </c>
      <c r="AE1201" s="56" t="s">
        <v>36</v>
      </c>
      <c r="AF1201" s="57" t="s">
        <v>42</v>
      </c>
      <c r="AG1201" s="57" t="s">
        <v>42</v>
      </c>
      <c r="AH1201" s="57" t="s">
        <v>42</v>
      </c>
      <c r="AI1201" s="49" t="str">
        <f t="shared" si="661"/>
        <v>----</v>
      </c>
      <c r="AJ1201" s="58" t="str">
        <f t="shared" si="7"/>
        <v>Paper has link but no statement</v>
      </c>
      <c r="AK1201" s="59">
        <v>45070.0</v>
      </c>
      <c r="AL1201" s="43" t="s">
        <v>43</v>
      </c>
      <c r="AM1201" s="60" t="str">
        <f t="shared" si="8"/>
        <v>[IP2195]</v>
      </c>
    </row>
    <row r="1202" ht="67.5" customHeight="1">
      <c r="A1202" s="61">
        <v>2196.0</v>
      </c>
      <c r="B1202" s="22" t="s">
        <v>3287</v>
      </c>
      <c r="C1202" s="23">
        <v>2023.0</v>
      </c>
      <c r="D1202" s="24" t="s">
        <v>37</v>
      </c>
      <c r="E1202" s="25" t="s">
        <v>37</v>
      </c>
      <c r="F1202" s="25" t="s">
        <v>35</v>
      </c>
      <c r="G1202" s="25" t="s">
        <v>37</v>
      </c>
      <c r="H1202" s="25" t="s">
        <v>35</v>
      </c>
      <c r="I1202" s="25" t="s">
        <v>35</v>
      </c>
      <c r="J1202" s="26" t="s">
        <v>36</v>
      </c>
      <c r="K1202" s="27" t="s">
        <v>37</v>
      </c>
      <c r="L1202" s="28" t="s">
        <v>35</v>
      </c>
      <c r="M1202" s="28" t="s">
        <v>37</v>
      </c>
      <c r="N1202" s="28" t="s">
        <v>35</v>
      </c>
      <c r="O1202" s="28" t="s">
        <v>35</v>
      </c>
      <c r="P1202" s="28" t="s">
        <v>37</v>
      </c>
      <c r="Q1202" s="28" t="s">
        <v>35</v>
      </c>
      <c r="R1202" s="28" t="s">
        <v>37</v>
      </c>
      <c r="S1202" s="29" t="s">
        <v>3288</v>
      </c>
      <c r="T1202" s="30" t="s">
        <v>3289</v>
      </c>
      <c r="U1202" s="31" t="s">
        <v>3290</v>
      </c>
      <c r="V1202" s="32">
        <f t="shared" ref="V1202:X1202" si="1208">IF(lenb(SUBSTITUTE($Z1202,V$1&amp;" (1)",""))&lt;lenb($Z1202),1,IF(lenb(SUBSTITUTE($Z1202,V$1&amp;" (2)",""))&lt;lenb($Z1202),2,IF(lenb(SUBSTITUTE($Z1202,V$1&amp;" (3)",""))&lt;lenb($Z1202),3,IF(lenb(SUBSTITUTE($Z1202,V$1&amp;" (4)",""))&lt;lenb($Z1202),4,IF(lenb(SUBSTITUTE($Z1202,V$1&amp;" (5)",""))&lt;lenb($Z1202),5,IF(lenb(SUBSTITUTE($Z1202,V$1&amp;" (6)",""))&lt;lenb($Z1202),6,IF(lenb(SUBSTITUTE($Z1202,V$1&amp;" (7)",""))&lt;lenb($Z1202),1,IF(lenb(SUBSTITUTE($Z1202,V$1&amp;" (8)",""))&lt;lenb($Z1202),8,IF(lenb(SUBSTITUTE($Z1202,V$1&amp;" (9)",""))&lt;lenb($Z1202),9,IF(lenb(SUBSTITUTE($Z1202,V$1&amp;" (10)",""))&lt;lenb($Z1202),10,IF(lenb(SUBSTITUTE($Z1202,V$1,""))&lt;lenb($Z1202),"ERROR",IF($Z1202=$Y$1,"-",0))))))))))))</f>
        <v>3</v>
      </c>
      <c r="W1202" s="32">
        <f t="shared" si="1208"/>
        <v>0</v>
      </c>
      <c r="X1202" s="32">
        <f t="shared" si="1208"/>
        <v>0</v>
      </c>
      <c r="Y1202" s="32" t="str">
        <f t="shared" si="3"/>
        <v>-</v>
      </c>
      <c r="Z1202" s="32" t="s">
        <v>193</v>
      </c>
      <c r="AA1202" s="33">
        <f t="shared" si="4"/>
        <v>3</v>
      </c>
      <c r="AB1202" s="34">
        <f>COUNTIFS(Links!B:B,"ICSE",Links!C:C,A1202,Links!AD:AD,1)</f>
        <v>0</v>
      </c>
      <c r="AC1202" s="35" t="s">
        <v>37</v>
      </c>
      <c r="AD1202" s="27" t="str">
        <f t="shared" si="5"/>
        <v>No</v>
      </c>
      <c r="AE1202" s="36" t="s">
        <v>36</v>
      </c>
      <c r="AF1202" s="37" t="s">
        <v>42</v>
      </c>
      <c r="AG1202" s="37" t="s">
        <v>42</v>
      </c>
      <c r="AH1202" s="37" t="s">
        <v>42</v>
      </c>
      <c r="AI1202" s="29" t="str">
        <f t="shared" si="661"/>
        <v>----</v>
      </c>
      <c r="AJ1202" s="38" t="str">
        <f t="shared" si="7"/>
        <v>Paper has link but no statement</v>
      </c>
      <c r="AK1202" s="39">
        <v>45070.0</v>
      </c>
      <c r="AL1202" s="23" t="s">
        <v>43</v>
      </c>
      <c r="AM1202" s="40" t="str">
        <f t="shared" si="8"/>
        <v>[IP2196]</v>
      </c>
    </row>
    <row r="1203" ht="67.5" customHeight="1">
      <c r="A1203" s="41">
        <v>2197.0</v>
      </c>
      <c r="B1203" s="42" t="s">
        <v>3291</v>
      </c>
      <c r="C1203" s="43">
        <v>2023.0</v>
      </c>
      <c r="D1203" s="44" t="s">
        <v>35</v>
      </c>
      <c r="E1203" s="45" t="s">
        <v>36</v>
      </c>
      <c r="F1203" s="45" t="s">
        <v>36</v>
      </c>
      <c r="G1203" s="45" t="s">
        <v>36</v>
      </c>
      <c r="H1203" s="45" t="s">
        <v>36</v>
      </c>
      <c r="I1203" s="45" t="s">
        <v>36</v>
      </c>
      <c r="J1203" s="46" t="s">
        <v>36</v>
      </c>
      <c r="K1203" s="47" t="s">
        <v>37</v>
      </c>
      <c r="L1203" s="48" t="s">
        <v>35</v>
      </c>
      <c r="M1203" s="48" t="s">
        <v>37</v>
      </c>
      <c r="N1203" s="48" t="s">
        <v>35</v>
      </c>
      <c r="O1203" s="48" t="s">
        <v>37</v>
      </c>
      <c r="P1203" s="48" t="s">
        <v>35</v>
      </c>
      <c r="Q1203" s="48" t="s">
        <v>35</v>
      </c>
      <c r="R1203" s="48" t="s">
        <v>37</v>
      </c>
      <c r="S1203" s="49" t="s">
        <v>3292</v>
      </c>
      <c r="T1203" s="50" t="s">
        <v>3293</v>
      </c>
      <c r="U1203" s="51" t="s">
        <v>3293</v>
      </c>
      <c r="V1203" s="52">
        <f t="shared" ref="V1203:X1203" si="1209">IF(lenb(SUBSTITUTE($Z1203,V$1&amp;" (1)",""))&lt;lenb($Z1203),1,IF(lenb(SUBSTITUTE($Z1203,V$1&amp;" (2)",""))&lt;lenb($Z1203),2,IF(lenb(SUBSTITUTE($Z1203,V$1&amp;" (3)",""))&lt;lenb($Z1203),3,IF(lenb(SUBSTITUTE($Z1203,V$1&amp;" (4)",""))&lt;lenb($Z1203),4,IF(lenb(SUBSTITUTE($Z1203,V$1&amp;" (5)",""))&lt;lenb($Z1203),5,IF(lenb(SUBSTITUTE($Z1203,V$1&amp;" (6)",""))&lt;lenb($Z1203),6,IF(lenb(SUBSTITUTE($Z1203,V$1&amp;" (7)",""))&lt;lenb($Z1203),1,IF(lenb(SUBSTITUTE($Z1203,V$1&amp;" (8)",""))&lt;lenb($Z1203),8,IF(lenb(SUBSTITUTE($Z1203,V$1&amp;" (9)",""))&lt;lenb($Z1203),9,IF(lenb(SUBSTITUTE($Z1203,V$1&amp;" (10)",""))&lt;lenb($Z1203),10,IF(lenb(SUBSTITUTE($Z1203,V$1,""))&lt;lenb($Z1203),"ERROR",IF($Z1203=$Y$1,"-",0))))))))))))</f>
        <v>1</v>
      </c>
      <c r="W1203" s="52">
        <f t="shared" si="1209"/>
        <v>0</v>
      </c>
      <c r="X1203" s="52">
        <f t="shared" si="1209"/>
        <v>0</v>
      </c>
      <c r="Y1203" s="52" t="str">
        <f t="shared" si="3"/>
        <v>-</v>
      </c>
      <c r="Z1203" s="52" t="s">
        <v>62</v>
      </c>
      <c r="AA1203" s="53">
        <f t="shared" si="4"/>
        <v>1</v>
      </c>
      <c r="AB1203" s="54">
        <f>COUNTIFS(Links!B:B,"ICSE",Links!C:C,A1203,Links!AD:AD,1)</f>
        <v>0</v>
      </c>
      <c r="AC1203" s="55" t="s">
        <v>35</v>
      </c>
      <c r="AD1203" s="47" t="str">
        <f t="shared" si="5"/>
        <v>No</v>
      </c>
      <c r="AE1203" s="56" t="s">
        <v>36</v>
      </c>
      <c r="AF1203" s="57" t="s">
        <v>42</v>
      </c>
      <c r="AG1203" s="57" t="s">
        <v>42</v>
      </c>
      <c r="AH1203" s="57" t="s">
        <v>42</v>
      </c>
      <c r="AI1203" s="49" t="str">
        <f t="shared" si="661"/>
        <v>----</v>
      </c>
      <c r="AJ1203" s="58" t="str">
        <f t="shared" si="7"/>
        <v>Paper has link but no statement</v>
      </c>
      <c r="AK1203" s="59">
        <v>45070.0</v>
      </c>
      <c r="AL1203" s="43" t="s">
        <v>43</v>
      </c>
      <c r="AM1203" s="60" t="str">
        <f t="shared" si="8"/>
        <v>[IP2197]</v>
      </c>
    </row>
    <row r="1204" ht="67.5" customHeight="1">
      <c r="A1204" s="61">
        <v>2198.0</v>
      </c>
      <c r="B1204" s="22" t="s">
        <v>3294</v>
      </c>
      <c r="C1204" s="23">
        <v>2023.0</v>
      </c>
      <c r="D1204" s="24" t="s">
        <v>37</v>
      </c>
      <c r="E1204" s="25" t="s">
        <v>37</v>
      </c>
      <c r="F1204" s="25" t="s">
        <v>35</v>
      </c>
      <c r="G1204" s="25" t="s">
        <v>37</v>
      </c>
      <c r="H1204" s="25" t="s">
        <v>35</v>
      </c>
      <c r="I1204" s="25" t="s">
        <v>35</v>
      </c>
      <c r="J1204" s="26" t="s">
        <v>36</v>
      </c>
      <c r="K1204" s="27" t="s">
        <v>37</v>
      </c>
      <c r="L1204" s="28" t="s">
        <v>35</v>
      </c>
      <c r="M1204" s="28" t="s">
        <v>35</v>
      </c>
      <c r="N1204" s="28" t="s">
        <v>37</v>
      </c>
      <c r="O1204" s="28" t="s">
        <v>35</v>
      </c>
      <c r="P1204" s="28" t="s">
        <v>35</v>
      </c>
      <c r="Q1204" s="28" t="s">
        <v>35</v>
      </c>
      <c r="R1204" s="28" t="s">
        <v>35</v>
      </c>
      <c r="S1204" s="29" t="s">
        <v>289</v>
      </c>
      <c r="T1204" s="30" t="s">
        <v>3295</v>
      </c>
      <c r="U1204" s="31" t="s">
        <v>3295</v>
      </c>
      <c r="V1204" s="32">
        <f t="shared" ref="V1204:X1204" si="1210">IF(lenb(SUBSTITUTE($Z1204,V$1&amp;" (1)",""))&lt;lenb($Z1204),1,IF(lenb(SUBSTITUTE($Z1204,V$1&amp;" (2)",""))&lt;lenb($Z1204),2,IF(lenb(SUBSTITUTE($Z1204,V$1&amp;" (3)",""))&lt;lenb($Z1204),3,IF(lenb(SUBSTITUTE($Z1204,V$1&amp;" (4)",""))&lt;lenb($Z1204),4,IF(lenb(SUBSTITUTE($Z1204,V$1&amp;" (5)",""))&lt;lenb($Z1204),5,IF(lenb(SUBSTITUTE($Z1204,V$1&amp;" (6)",""))&lt;lenb($Z1204),6,IF(lenb(SUBSTITUTE($Z1204,V$1&amp;" (7)",""))&lt;lenb($Z1204),1,IF(lenb(SUBSTITUTE($Z1204,V$1&amp;" (8)",""))&lt;lenb($Z1204),8,IF(lenb(SUBSTITUTE($Z1204,V$1&amp;" (9)",""))&lt;lenb($Z1204),9,IF(lenb(SUBSTITUTE($Z1204,V$1&amp;" (10)",""))&lt;lenb($Z1204),10,IF(lenb(SUBSTITUTE($Z1204,V$1,""))&lt;lenb($Z1204),"ERROR",IF($Z1204=$Y$1,"-",0))))))))))))</f>
        <v>1</v>
      </c>
      <c r="W1204" s="32">
        <f t="shared" si="1210"/>
        <v>0</v>
      </c>
      <c r="X1204" s="32">
        <f t="shared" si="1210"/>
        <v>0</v>
      </c>
      <c r="Y1204" s="32" t="str">
        <f t="shared" si="3"/>
        <v>-</v>
      </c>
      <c r="Z1204" s="32" t="s">
        <v>62</v>
      </c>
      <c r="AA1204" s="33">
        <f t="shared" si="4"/>
        <v>1</v>
      </c>
      <c r="AB1204" s="34">
        <f>COUNTIFS(Links!B:B,"ICSE",Links!C:C,A1204,Links!AD:AD,1)</f>
        <v>0</v>
      </c>
      <c r="AC1204" s="35" t="s">
        <v>35</v>
      </c>
      <c r="AD1204" s="27" t="str">
        <f t="shared" si="5"/>
        <v>No</v>
      </c>
      <c r="AE1204" s="36" t="s">
        <v>36</v>
      </c>
      <c r="AF1204" s="37" t="s">
        <v>42</v>
      </c>
      <c r="AG1204" s="37" t="s">
        <v>42</v>
      </c>
      <c r="AH1204" s="37" t="s">
        <v>42</v>
      </c>
      <c r="AI1204" s="29" t="str">
        <f t="shared" si="661"/>
        <v>----</v>
      </c>
      <c r="AJ1204" s="38" t="str">
        <f t="shared" si="7"/>
        <v>Paper has link but no statement</v>
      </c>
      <c r="AK1204" s="39">
        <v>45070.0</v>
      </c>
      <c r="AL1204" s="23" t="s">
        <v>43</v>
      </c>
      <c r="AM1204" s="40" t="str">
        <f t="shared" si="8"/>
        <v>[IP2198]</v>
      </c>
    </row>
    <row r="1205" ht="67.5" customHeight="1">
      <c r="A1205" s="41">
        <v>2199.0</v>
      </c>
      <c r="B1205" s="42" t="s">
        <v>3296</v>
      </c>
      <c r="C1205" s="43">
        <v>2023.0</v>
      </c>
      <c r="D1205" s="44" t="s">
        <v>37</v>
      </c>
      <c r="E1205" s="45" t="s">
        <v>37</v>
      </c>
      <c r="F1205" s="45" t="s">
        <v>35</v>
      </c>
      <c r="G1205" s="45" t="s">
        <v>37</v>
      </c>
      <c r="H1205" s="45" t="s">
        <v>35</v>
      </c>
      <c r="I1205" s="45" t="s">
        <v>35</v>
      </c>
      <c r="J1205" s="46" t="s">
        <v>36</v>
      </c>
      <c r="K1205" s="47" t="s">
        <v>37</v>
      </c>
      <c r="L1205" s="48" t="s">
        <v>35</v>
      </c>
      <c r="M1205" s="48" t="s">
        <v>35</v>
      </c>
      <c r="N1205" s="48" t="s">
        <v>35</v>
      </c>
      <c r="O1205" s="48" t="s">
        <v>35</v>
      </c>
      <c r="P1205" s="48" t="s">
        <v>35</v>
      </c>
      <c r="Q1205" s="48" t="s">
        <v>37</v>
      </c>
      <c r="R1205" s="48" t="s">
        <v>35</v>
      </c>
      <c r="S1205" s="49" t="s">
        <v>2271</v>
      </c>
      <c r="T1205" s="50" t="s">
        <v>3297</v>
      </c>
      <c r="U1205" s="51" t="s">
        <v>3297</v>
      </c>
      <c r="V1205" s="52">
        <f t="shared" ref="V1205:X1205" si="1211">IF(lenb(SUBSTITUTE($Z1205,V$1&amp;" (1)",""))&lt;lenb($Z1205),1,IF(lenb(SUBSTITUTE($Z1205,V$1&amp;" (2)",""))&lt;lenb($Z1205),2,IF(lenb(SUBSTITUTE($Z1205,V$1&amp;" (3)",""))&lt;lenb($Z1205),3,IF(lenb(SUBSTITUTE($Z1205,V$1&amp;" (4)",""))&lt;lenb($Z1205),4,IF(lenb(SUBSTITUTE($Z1205,V$1&amp;" (5)",""))&lt;lenb($Z1205),5,IF(lenb(SUBSTITUTE($Z1205,V$1&amp;" (6)",""))&lt;lenb($Z1205),6,IF(lenb(SUBSTITUTE($Z1205,V$1&amp;" (7)",""))&lt;lenb($Z1205),1,IF(lenb(SUBSTITUTE($Z1205,V$1&amp;" (8)",""))&lt;lenb($Z1205),8,IF(lenb(SUBSTITUTE($Z1205,V$1&amp;" (9)",""))&lt;lenb($Z1205),9,IF(lenb(SUBSTITUTE($Z1205,V$1&amp;" (10)",""))&lt;lenb($Z1205),10,IF(lenb(SUBSTITUTE($Z1205,V$1,""))&lt;lenb($Z1205),"ERROR",IF($Z1205=$Y$1,"-",0))))))))))))</f>
        <v>1</v>
      </c>
      <c r="W1205" s="52">
        <f t="shared" si="1211"/>
        <v>0</v>
      </c>
      <c r="X1205" s="52">
        <f t="shared" si="1211"/>
        <v>0</v>
      </c>
      <c r="Y1205" s="52" t="str">
        <f t="shared" si="3"/>
        <v>-</v>
      </c>
      <c r="Z1205" s="52" t="s">
        <v>62</v>
      </c>
      <c r="AA1205" s="53">
        <f t="shared" si="4"/>
        <v>1</v>
      </c>
      <c r="AB1205" s="54">
        <f>COUNTIFS(Links!B:B,"ICSE",Links!C:C,A1205,Links!AD:AD,1)</f>
        <v>0</v>
      </c>
      <c r="AC1205" s="55" t="s">
        <v>35</v>
      </c>
      <c r="AD1205" s="47" t="str">
        <f t="shared" si="5"/>
        <v>No</v>
      </c>
      <c r="AE1205" s="56" t="s">
        <v>36</v>
      </c>
      <c r="AF1205" s="57" t="s">
        <v>42</v>
      </c>
      <c r="AG1205" s="57" t="s">
        <v>42</v>
      </c>
      <c r="AH1205" s="57" t="s">
        <v>42</v>
      </c>
      <c r="AI1205" s="49" t="str">
        <f t="shared" si="661"/>
        <v>----</v>
      </c>
      <c r="AJ1205" s="58" t="str">
        <f t="shared" si="7"/>
        <v>Paper has link but no statement</v>
      </c>
      <c r="AK1205" s="59">
        <v>45070.0</v>
      </c>
      <c r="AL1205" s="43" t="s">
        <v>43</v>
      </c>
      <c r="AM1205" s="60" t="str">
        <f t="shared" si="8"/>
        <v>[IP2199]</v>
      </c>
    </row>
    <row r="1206" ht="67.5" customHeight="1">
      <c r="A1206" s="61">
        <v>2200.0</v>
      </c>
      <c r="B1206" s="22" t="s">
        <v>3298</v>
      </c>
      <c r="C1206" s="23">
        <v>2023.0</v>
      </c>
      <c r="D1206" s="24" t="s">
        <v>35</v>
      </c>
      <c r="E1206" s="25" t="s">
        <v>36</v>
      </c>
      <c r="F1206" s="25" t="s">
        <v>36</v>
      </c>
      <c r="G1206" s="25" t="s">
        <v>36</v>
      </c>
      <c r="H1206" s="25" t="s">
        <v>36</v>
      </c>
      <c r="I1206" s="25" t="s">
        <v>36</v>
      </c>
      <c r="J1206" s="26" t="s">
        <v>36</v>
      </c>
      <c r="K1206" s="27" t="s">
        <v>37</v>
      </c>
      <c r="L1206" s="28" t="s">
        <v>35</v>
      </c>
      <c r="M1206" s="28" t="s">
        <v>35</v>
      </c>
      <c r="N1206" s="28" t="s">
        <v>35</v>
      </c>
      <c r="O1206" s="28" t="s">
        <v>35</v>
      </c>
      <c r="P1206" s="28" t="s">
        <v>35</v>
      </c>
      <c r="Q1206" s="28" t="s">
        <v>35</v>
      </c>
      <c r="R1206" s="28" t="s">
        <v>37</v>
      </c>
      <c r="S1206" s="29" t="s">
        <v>3299</v>
      </c>
      <c r="T1206" s="30" t="s">
        <v>3300</v>
      </c>
      <c r="U1206" s="31" t="s">
        <v>3300</v>
      </c>
      <c r="V1206" s="32">
        <f t="shared" ref="V1206:X1206" si="1212">IF(lenb(SUBSTITUTE($Z1206,V$1&amp;" (1)",""))&lt;lenb($Z1206),1,IF(lenb(SUBSTITUTE($Z1206,V$1&amp;" (2)",""))&lt;lenb($Z1206),2,IF(lenb(SUBSTITUTE($Z1206,V$1&amp;" (3)",""))&lt;lenb($Z1206),3,IF(lenb(SUBSTITUTE($Z1206,V$1&amp;" (4)",""))&lt;lenb($Z1206),4,IF(lenb(SUBSTITUTE($Z1206,V$1&amp;" (5)",""))&lt;lenb($Z1206),5,IF(lenb(SUBSTITUTE($Z1206,V$1&amp;" (6)",""))&lt;lenb($Z1206),6,IF(lenb(SUBSTITUTE($Z1206,V$1&amp;" (7)",""))&lt;lenb($Z1206),1,IF(lenb(SUBSTITUTE($Z1206,V$1&amp;" (8)",""))&lt;lenb($Z1206),8,IF(lenb(SUBSTITUTE($Z1206,V$1&amp;" (9)",""))&lt;lenb($Z1206),9,IF(lenb(SUBSTITUTE($Z1206,V$1&amp;" (10)",""))&lt;lenb($Z1206),10,IF(lenb(SUBSTITUTE($Z1206,V$1,""))&lt;lenb($Z1206),"ERROR",IF($Z1206=$Y$1,"-",0))))))))))))</f>
        <v>1</v>
      </c>
      <c r="W1206" s="32">
        <f t="shared" si="1212"/>
        <v>0</v>
      </c>
      <c r="X1206" s="32">
        <f t="shared" si="1212"/>
        <v>0</v>
      </c>
      <c r="Y1206" s="32" t="str">
        <f t="shared" si="3"/>
        <v>-</v>
      </c>
      <c r="Z1206" s="32" t="s">
        <v>62</v>
      </c>
      <c r="AA1206" s="33">
        <f t="shared" si="4"/>
        <v>1</v>
      </c>
      <c r="AB1206" s="34">
        <f>COUNTIFS(Links!B:B,"ICSE",Links!C:C,A1206,Links!AD:AD,1)</f>
        <v>0</v>
      </c>
      <c r="AC1206" s="35" t="s">
        <v>37</v>
      </c>
      <c r="AD1206" s="27" t="str">
        <f t="shared" si="5"/>
        <v>No</v>
      </c>
      <c r="AE1206" s="36" t="s">
        <v>36</v>
      </c>
      <c r="AF1206" s="37" t="s">
        <v>42</v>
      </c>
      <c r="AG1206" s="37" t="s">
        <v>42</v>
      </c>
      <c r="AH1206" s="37" t="s">
        <v>42</v>
      </c>
      <c r="AI1206" s="29" t="str">
        <f t="shared" si="661"/>
        <v>----</v>
      </c>
      <c r="AJ1206" s="38" t="str">
        <f t="shared" si="7"/>
        <v>Paper has link but no statement</v>
      </c>
      <c r="AK1206" s="39">
        <v>45070.0</v>
      </c>
      <c r="AL1206" s="23" t="s">
        <v>43</v>
      </c>
      <c r="AM1206" s="40" t="str">
        <f t="shared" si="8"/>
        <v>[IP2200]</v>
      </c>
    </row>
    <row r="1207" ht="67.5" customHeight="1">
      <c r="A1207" s="41">
        <v>2201.0</v>
      </c>
      <c r="B1207" s="42" t="s">
        <v>3301</v>
      </c>
      <c r="C1207" s="43">
        <v>2023.0</v>
      </c>
      <c r="D1207" s="44" t="s">
        <v>35</v>
      </c>
      <c r="E1207" s="45" t="s">
        <v>36</v>
      </c>
      <c r="F1207" s="45" t="s">
        <v>36</v>
      </c>
      <c r="G1207" s="45" t="s">
        <v>36</v>
      </c>
      <c r="H1207" s="45" t="s">
        <v>36</v>
      </c>
      <c r="I1207" s="45" t="s">
        <v>36</v>
      </c>
      <c r="J1207" s="46" t="s">
        <v>36</v>
      </c>
      <c r="K1207" s="47" t="s">
        <v>37</v>
      </c>
      <c r="L1207" s="48" t="s">
        <v>35</v>
      </c>
      <c r="M1207" s="48" t="s">
        <v>37</v>
      </c>
      <c r="N1207" s="48" t="s">
        <v>37</v>
      </c>
      <c r="O1207" s="48" t="s">
        <v>35</v>
      </c>
      <c r="P1207" s="48" t="s">
        <v>35</v>
      </c>
      <c r="Q1207" s="48" t="s">
        <v>35</v>
      </c>
      <c r="R1207" s="48" t="s">
        <v>35</v>
      </c>
      <c r="S1207" s="49" t="s">
        <v>3302</v>
      </c>
      <c r="T1207" s="50" t="s">
        <v>3303</v>
      </c>
      <c r="U1207" s="51" t="s">
        <v>3303</v>
      </c>
      <c r="V1207" s="52">
        <f t="shared" ref="V1207:X1207" si="1213">IF(lenb(SUBSTITUTE($Z1207,V$1&amp;" (1)",""))&lt;lenb($Z1207),1,IF(lenb(SUBSTITUTE($Z1207,V$1&amp;" (2)",""))&lt;lenb($Z1207),2,IF(lenb(SUBSTITUTE($Z1207,V$1&amp;" (3)",""))&lt;lenb($Z1207),3,IF(lenb(SUBSTITUTE($Z1207,V$1&amp;" (4)",""))&lt;lenb($Z1207),4,IF(lenb(SUBSTITUTE($Z1207,V$1&amp;" (5)",""))&lt;lenb($Z1207),5,IF(lenb(SUBSTITUTE($Z1207,V$1&amp;" (6)",""))&lt;lenb($Z1207),6,IF(lenb(SUBSTITUTE($Z1207,V$1&amp;" (7)",""))&lt;lenb($Z1207),1,IF(lenb(SUBSTITUTE($Z1207,V$1&amp;" (8)",""))&lt;lenb($Z1207),8,IF(lenb(SUBSTITUTE($Z1207,V$1&amp;" (9)",""))&lt;lenb($Z1207),9,IF(lenb(SUBSTITUTE($Z1207,V$1&amp;" (10)",""))&lt;lenb($Z1207),10,IF(lenb(SUBSTITUTE($Z1207,V$1,""))&lt;lenb($Z1207),"ERROR",IF($Z1207=$Y$1,"-",0))))))))))))</f>
        <v>1</v>
      </c>
      <c r="W1207" s="52">
        <f t="shared" si="1213"/>
        <v>0</v>
      </c>
      <c r="X1207" s="52">
        <f t="shared" si="1213"/>
        <v>0</v>
      </c>
      <c r="Y1207" s="52" t="str">
        <f t="shared" si="3"/>
        <v>-</v>
      </c>
      <c r="Z1207" s="52" t="s">
        <v>62</v>
      </c>
      <c r="AA1207" s="53">
        <f t="shared" si="4"/>
        <v>1</v>
      </c>
      <c r="AB1207" s="54">
        <f>COUNTIFS(Links!B:B,"ICSE",Links!C:C,A1207,Links!AD:AD,1)</f>
        <v>0</v>
      </c>
      <c r="AC1207" s="55" t="s">
        <v>35</v>
      </c>
      <c r="AD1207" s="47" t="str">
        <f t="shared" si="5"/>
        <v>No</v>
      </c>
      <c r="AE1207" s="56" t="s">
        <v>36</v>
      </c>
      <c r="AF1207" s="57" t="s">
        <v>42</v>
      </c>
      <c r="AG1207" s="57" t="s">
        <v>42</v>
      </c>
      <c r="AH1207" s="57" t="s">
        <v>42</v>
      </c>
      <c r="AI1207" s="49" t="str">
        <f t="shared" si="661"/>
        <v>----</v>
      </c>
      <c r="AJ1207" s="58" t="str">
        <f t="shared" si="7"/>
        <v>Paper has link but no statement</v>
      </c>
      <c r="AK1207" s="59">
        <v>45070.0</v>
      </c>
      <c r="AL1207" s="43" t="s">
        <v>43</v>
      </c>
      <c r="AM1207" s="60" t="str">
        <f t="shared" si="8"/>
        <v>[IP2201]</v>
      </c>
    </row>
    <row r="1208" ht="67.5" customHeight="1">
      <c r="A1208" s="61">
        <v>2202.0</v>
      </c>
      <c r="B1208" s="22" t="s">
        <v>3304</v>
      </c>
      <c r="C1208" s="23">
        <v>2023.0</v>
      </c>
      <c r="D1208" s="24" t="s">
        <v>35</v>
      </c>
      <c r="E1208" s="25" t="s">
        <v>36</v>
      </c>
      <c r="F1208" s="25" t="s">
        <v>36</v>
      </c>
      <c r="G1208" s="25" t="s">
        <v>36</v>
      </c>
      <c r="H1208" s="25" t="s">
        <v>36</v>
      </c>
      <c r="I1208" s="25" t="s">
        <v>36</v>
      </c>
      <c r="J1208" s="26" t="s">
        <v>36</v>
      </c>
      <c r="K1208" s="27" t="s">
        <v>37</v>
      </c>
      <c r="L1208" s="28" t="s">
        <v>35</v>
      </c>
      <c r="M1208" s="28" t="s">
        <v>35</v>
      </c>
      <c r="N1208" s="28" t="s">
        <v>35</v>
      </c>
      <c r="O1208" s="28" t="s">
        <v>35</v>
      </c>
      <c r="P1208" s="28" t="s">
        <v>35</v>
      </c>
      <c r="Q1208" s="28" t="s">
        <v>37</v>
      </c>
      <c r="R1208" s="28" t="s">
        <v>35</v>
      </c>
      <c r="S1208" s="29" t="s">
        <v>3305</v>
      </c>
      <c r="T1208" s="30" t="s">
        <v>3306</v>
      </c>
      <c r="U1208" s="31" t="s">
        <v>3306</v>
      </c>
      <c r="V1208" s="32">
        <f t="shared" ref="V1208:X1208" si="1214">IF(lenb(SUBSTITUTE($Z1208,V$1&amp;" (1)",""))&lt;lenb($Z1208),1,IF(lenb(SUBSTITUTE($Z1208,V$1&amp;" (2)",""))&lt;lenb($Z1208),2,IF(lenb(SUBSTITUTE($Z1208,V$1&amp;" (3)",""))&lt;lenb($Z1208),3,IF(lenb(SUBSTITUTE($Z1208,V$1&amp;" (4)",""))&lt;lenb($Z1208),4,IF(lenb(SUBSTITUTE($Z1208,V$1&amp;" (5)",""))&lt;lenb($Z1208),5,IF(lenb(SUBSTITUTE($Z1208,V$1&amp;" (6)",""))&lt;lenb($Z1208),6,IF(lenb(SUBSTITUTE($Z1208,V$1&amp;" (7)",""))&lt;lenb($Z1208),1,IF(lenb(SUBSTITUTE($Z1208,V$1&amp;" (8)",""))&lt;lenb($Z1208),8,IF(lenb(SUBSTITUTE($Z1208,V$1&amp;" (9)",""))&lt;lenb($Z1208),9,IF(lenb(SUBSTITUTE($Z1208,V$1&amp;" (10)",""))&lt;lenb($Z1208),10,IF(lenb(SUBSTITUTE($Z1208,V$1,""))&lt;lenb($Z1208),"ERROR",IF($Z1208=$Y$1,"-",0))))))))))))</f>
        <v>1</v>
      </c>
      <c r="W1208" s="32">
        <f t="shared" si="1214"/>
        <v>0</v>
      </c>
      <c r="X1208" s="32">
        <f t="shared" si="1214"/>
        <v>0</v>
      </c>
      <c r="Y1208" s="32" t="str">
        <f t="shared" si="3"/>
        <v>-</v>
      </c>
      <c r="Z1208" s="32" t="s">
        <v>62</v>
      </c>
      <c r="AA1208" s="33">
        <f t="shared" si="4"/>
        <v>1</v>
      </c>
      <c r="AB1208" s="34">
        <f>COUNTIFS(Links!B:B,"ICSE",Links!C:C,A1208,Links!AD:AD,1)</f>
        <v>0</v>
      </c>
      <c r="AC1208" s="35" t="s">
        <v>35</v>
      </c>
      <c r="AD1208" s="27" t="str">
        <f t="shared" si="5"/>
        <v>No</v>
      </c>
      <c r="AE1208" s="36" t="s">
        <v>36</v>
      </c>
      <c r="AF1208" s="37" t="s">
        <v>42</v>
      </c>
      <c r="AG1208" s="37" t="s">
        <v>42</v>
      </c>
      <c r="AH1208" s="37" t="s">
        <v>42</v>
      </c>
      <c r="AI1208" s="29" t="str">
        <f t="shared" si="661"/>
        <v>----</v>
      </c>
      <c r="AJ1208" s="38" t="str">
        <f t="shared" si="7"/>
        <v>Paper has link but no statement</v>
      </c>
      <c r="AK1208" s="39">
        <v>45070.0</v>
      </c>
      <c r="AL1208" s="23" t="s">
        <v>43</v>
      </c>
      <c r="AM1208" s="40" t="str">
        <f t="shared" si="8"/>
        <v>[IP2202]</v>
      </c>
    </row>
    <row r="1209" ht="67.5" customHeight="1">
      <c r="A1209" s="41">
        <v>2203.0</v>
      </c>
      <c r="B1209" s="42" t="s">
        <v>3307</v>
      </c>
      <c r="C1209" s="43">
        <v>2023.0</v>
      </c>
      <c r="D1209" s="44" t="s">
        <v>35</v>
      </c>
      <c r="E1209" s="45" t="s">
        <v>36</v>
      </c>
      <c r="F1209" s="45" t="s">
        <v>36</v>
      </c>
      <c r="G1209" s="45" t="s">
        <v>36</v>
      </c>
      <c r="H1209" s="45" t="s">
        <v>36</v>
      </c>
      <c r="I1209" s="45" t="s">
        <v>36</v>
      </c>
      <c r="J1209" s="46" t="s">
        <v>36</v>
      </c>
      <c r="K1209" s="47" t="s">
        <v>37</v>
      </c>
      <c r="L1209" s="48" t="s">
        <v>37</v>
      </c>
      <c r="M1209" s="48" t="s">
        <v>35</v>
      </c>
      <c r="N1209" s="48" t="s">
        <v>35</v>
      </c>
      <c r="O1209" s="48" t="s">
        <v>37</v>
      </c>
      <c r="P1209" s="48" t="s">
        <v>37</v>
      </c>
      <c r="Q1209" s="48" t="s">
        <v>35</v>
      </c>
      <c r="R1209" s="48" t="s">
        <v>37</v>
      </c>
      <c r="S1209" s="49" t="s">
        <v>3308</v>
      </c>
      <c r="T1209" s="50" t="s">
        <v>3309</v>
      </c>
      <c r="U1209" s="51" t="s">
        <v>3309</v>
      </c>
      <c r="V1209" s="52">
        <f t="shared" ref="V1209:X1209" si="1215">IF(lenb(SUBSTITUTE($Z1209,V$1&amp;" (1)",""))&lt;lenb($Z1209),1,IF(lenb(SUBSTITUTE($Z1209,V$1&amp;" (2)",""))&lt;lenb($Z1209),2,IF(lenb(SUBSTITUTE($Z1209,V$1&amp;" (3)",""))&lt;lenb($Z1209),3,IF(lenb(SUBSTITUTE($Z1209,V$1&amp;" (4)",""))&lt;lenb($Z1209),4,IF(lenb(SUBSTITUTE($Z1209,V$1&amp;" (5)",""))&lt;lenb($Z1209),5,IF(lenb(SUBSTITUTE($Z1209,V$1&amp;" (6)",""))&lt;lenb($Z1209),6,IF(lenb(SUBSTITUTE($Z1209,V$1&amp;" (7)",""))&lt;lenb($Z1209),1,IF(lenb(SUBSTITUTE($Z1209,V$1&amp;" (8)",""))&lt;lenb($Z1209),8,IF(lenb(SUBSTITUTE($Z1209,V$1&amp;" (9)",""))&lt;lenb($Z1209),9,IF(lenb(SUBSTITUTE($Z1209,V$1&amp;" (10)",""))&lt;lenb($Z1209),10,IF(lenb(SUBSTITUTE($Z1209,V$1,""))&lt;lenb($Z1209),"ERROR",IF($Z1209=$Y$1,"-",0))))))))))))</f>
        <v>1</v>
      </c>
      <c r="W1209" s="52">
        <f t="shared" si="1215"/>
        <v>0</v>
      </c>
      <c r="X1209" s="52">
        <f t="shared" si="1215"/>
        <v>0</v>
      </c>
      <c r="Y1209" s="52" t="str">
        <f t="shared" si="3"/>
        <v>-</v>
      </c>
      <c r="Z1209" s="52" t="s">
        <v>62</v>
      </c>
      <c r="AA1209" s="53">
        <f t="shared" si="4"/>
        <v>1</v>
      </c>
      <c r="AB1209" s="54">
        <f>COUNTIFS(Links!B:B,"ICSE",Links!C:C,A1209,Links!AD:AD,1)</f>
        <v>0</v>
      </c>
      <c r="AC1209" s="55" t="s">
        <v>35</v>
      </c>
      <c r="AD1209" s="47" t="str">
        <f t="shared" si="5"/>
        <v>No</v>
      </c>
      <c r="AE1209" s="56" t="s">
        <v>36</v>
      </c>
      <c r="AF1209" s="57" t="s">
        <v>42</v>
      </c>
      <c r="AG1209" s="57" t="s">
        <v>42</v>
      </c>
      <c r="AH1209" s="57" t="s">
        <v>42</v>
      </c>
      <c r="AI1209" s="49" t="str">
        <f t="shared" si="661"/>
        <v>----</v>
      </c>
      <c r="AJ1209" s="58" t="str">
        <f t="shared" si="7"/>
        <v>Paper has link but no statement</v>
      </c>
      <c r="AK1209" s="59">
        <v>45070.0</v>
      </c>
      <c r="AL1209" s="43" t="s">
        <v>43</v>
      </c>
      <c r="AM1209" s="60" t="str">
        <f t="shared" si="8"/>
        <v>[IP2203]</v>
      </c>
    </row>
    <row r="1210" ht="67.5" customHeight="1">
      <c r="A1210" s="61">
        <v>2204.0</v>
      </c>
      <c r="B1210" s="22" t="s">
        <v>3310</v>
      </c>
      <c r="C1210" s="23">
        <v>2023.0</v>
      </c>
      <c r="D1210" s="24" t="s">
        <v>35</v>
      </c>
      <c r="E1210" s="25" t="s">
        <v>36</v>
      </c>
      <c r="F1210" s="25" t="s">
        <v>36</v>
      </c>
      <c r="G1210" s="25" t="s">
        <v>36</v>
      </c>
      <c r="H1210" s="25" t="s">
        <v>36</v>
      </c>
      <c r="I1210" s="25" t="s">
        <v>36</v>
      </c>
      <c r="J1210" s="26" t="s">
        <v>36</v>
      </c>
      <c r="K1210" s="27" t="s">
        <v>37</v>
      </c>
      <c r="L1210" s="28" t="s">
        <v>35</v>
      </c>
      <c r="M1210" s="28" t="s">
        <v>35</v>
      </c>
      <c r="N1210" s="28" t="s">
        <v>37</v>
      </c>
      <c r="O1210" s="28" t="s">
        <v>35</v>
      </c>
      <c r="P1210" s="28" t="s">
        <v>35</v>
      </c>
      <c r="Q1210" s="28" t="s">
        <v>35</v>
      </c>
      <c r="R1210" s="28" t="s">
        <v>35</v>
      </c>
      <c r="S1210" s="29" t="s">
        <v>289</v>
      </c>
      <c r="T1210" s="30" t="s">
        <v>3311</v>
      </c>
      <c r="U1210" s="31" t="s">
        <v>3311</v>
      </c>
      <c r="V1210" s="32">
        <f t="shared" ref="V1210:X1210" si="1216">IF(lenb(SUBSTITUTE($Z1210,V$1&amp;" (1)",""))&lt;lenb($Z1210),1,IF(lenb(SUBSTITUTE($Z1210,V$1&amp;" (2)",""))&lt;lenb($Z1210),2,IF(lenb(SUBSTITUTE($Z1210,V$1&amp;" (3)",""))&lt;lenb($Z1210),3,IF(lenb(SUBSTITUTE($Z1210,V$1&amp;" (4)",""))&lt;lenb($Z1210),4,IF(lenb(SUBSTITUTE($Z1210,V$1&amp;" (5)",""))&lt;lenb($Z1210),5,IF(lenb(SUBSTITUTE($Z1210,V$1&amp;" (6)",""))&lt;lenb($Z1210),6,IF(lenb(SUBSTITUTE($Z1210,V$1&amp;" (7)",""))&lt;lenb($Z1210),1,IF(lenb(SUBSTITUTE($Z1210,V$1&amp;" (8)",""))&lt;lenb($Z1210),8,IF(lenb(SUBSTITUTE($Z1210,V$1&amp;" (9)",""))&lt;lenb($Z1210),9,IF(lenb(SUBSTITUTE($Z1210,V$1&amp;" (10)",""))&lt;lenb($Z1210),10,IF(lenb(SUBSTITUTE($Z1210,V$1,""))&lt;lenb($Z1210),"ERROR",IF($Z1210=$Y$1,"-",0))))))))))))</f>
        <v>1</v>
      </c>
      <c r="W1210" s="32">
        <f t="shared" si="1216"/>
        <v>0</v>
      </c>
      <c r="X1210" s="32">
        <f t="shared" si="1216"/>
        <v>0</v>
      </c>
      <c r="Y1210" s="32" t="str">
        <f t="shared" si="3"/>
        <v>-</v>
      </c>
      <c r="Z1210" s="32" t="s">
        <v>62</v>
      </c>
      <c r="AA1210" s="33">
        <f t="shared" si="4"/>
        <v>1</v>
      </c>
      <c r="AB1210" s="34">
        <f>COUNTIFS(Links!B:B,"ICSE",Links!C:C,A1210,Links!AD:AD,1)</f>
        <v>0</v>
      </c>
      <c r="AC1210" s="35" t="s">
        <v>35</v>
      </c>
      <c r="AD1210" s="27" t="str">
        <f t="shared" si="5"/>
        <v>No</v>
      </c>
      <c r="AE1210" s="36" t="s">
        <v>36</v>
      </c>
      <c r="AF1210" s="37" t="s">
        <v>42</v>
      </c>
      <c r="AG1210" s="37" t="s">
        <v>42</v>
      </c>
      <c r="AH1210" s="37" t="s">
        <v>42</v>
      </c>
      <c r="AI1210" s="29" t="str">
        <f t="shared" si="661"/>
        <v>----</v>
      </c>
      <c r="AJ1210" s="38" t="str">
        <f t="shared" si="7"/>
        <v>Paper has link but no statement</v>
      </c>
      <c r="AK1210" s="39">
        <v>45070.0</v>
      </c>
      <c r="AL1210" s="23" t="s">
        <v>43</v>
      </c>
      <c r="AM1210" s="40" t="str">
        <f t="shared" si="8"/>
        <v>[IP2204]</v>
      </c>
    </row>
    <row r="1211" ht="67.5" customHeight="1">
      <c r="A1211" s="41">
        <v>2205.0</v>
      </c>
      <c r="B1211" s="42" t="s">
        <v>3312</v>
      </c>
      <c r="C1211" s="43">
        <v>2023.0</v>
      </c>
      <c r="D1211" s="44" t="s">
        <v>35</v>
      </c>
      <c r="E1211" s="45" t="s">
        <v>36</v>
      </c>
      <c r="F1211" s="45" t="s">
        <v>36</v>
      </c>
      <c r="G1211" s="45" t="s">
        <v>36</v>
      </c>
      <c r="H1211" s="45" t="s">
        <v>36</v>
      </c>
      <c r="I1211" s="45" t="s">
        <v>36</v>
      </c>
      <c r="J1211" s="46" t="s">
        <v>36</v>
      </c>
      <c r="K1211" s="47" t="s">
        <v>37</v>
      </c>
      <c r="L1211" s="48" t="s">
        <v>35</v>
      </c>
      <c r="M1211" s="48" t="s">
        <v>35</v>
      </c>
      <c r="N1211" s="48" t="s">
        <v>35</v>
      </c>
      <c r="O1211" s="48" t="s">
        <v>35</v>
      </c>
      <c r="P1211" s="48" t="s">
        <v>35</v>
      </c>
      <c r="Q1211" s="48" t="s">
        <v>37</v>
      </c>
      <c r="R1211" s="48" t="s">
        <v>35</v>
      </c>
      <c r="S1211" s="49" t="s">
        <v>3313</v>
      </c>
      <c r="T1211" s="50" t="s">
        <v>3314</v>
      </c>
      <c r="U1211" s="51" t="s">
        <v>3314</v>
      </c>
      <c r="V1211" s="52">
        <f t="shared" ref="V1211:X1211" si="1217">IF(lenb(SUBSTITUTE($Z1211,V$1&amp;" (1)",""))&lt;lenb($Z1211),1,IF(lenb(SUBSTITUTE($Z1211,V$1&amp;" (2)",""))&lt;lenb($Z1211),2,IF(lenb(SUBSTITUTE($Z1211,V$1&amp;" (3)",""))&lt;lenb($Z1211),3,IF(lenb(SUBSTITUTE($Z1211,V$1&amp;" (4)",""))&lt;lenb($Z1211),4,IF(lenb(SUBSTITUTE($Z1211,V$1&amp;" (5)",""))&lt;lenb($Z1211),5,IF(lenb(SUBSTITUTE($Z1211,V$1&amp;" (6)",""))&lt;lenb($Z1211),6,IF(lenb(SUBSTITUTE($Z1211,V$1&amp;" (7)",""))&lt;lenb($Z1211),1,IF(lenb(SUBSTITUTE($Z1211,V$1&amp;" (8)",""))&lt;lenb($Z1211),8,IF(lenb(SUBSTITUTE($Z1211,V$1&amp;" (9)",""))&lt;lenb($Z1211),9,IF(lenb(SUBSTITUTE($Z1211,V$1&amp;" (10)",""))&lt;lenb($Z1211),10,IF(lenb(SUBSTITUTE($Z1211,V$1,""))&lt;lenb($Z1211),"ERROR",IF($Z1211=$Y$1,"-",0))))))))))))</f>
        <v>1</v>
      </c>
      <c r="W1211" s="52">
        <f t="shared" si="1217"/>
        <v>0</v>
      </c>
      <c r="X1211" s="52">
        <f t="shared" si="1217"/>
        <v>0</v>
      </c>
      <c r="Y1211" s="52" t="str">
        <f t="shared" si="3"/>
        <v>-</v>
      </c>
      <c r="Z1211" s="52" t="s">
        <v>62</v>
      </c>
      <c r="AA1211" s="53">
        <f t="shared" si="4"/>
        <v>1</v>
      </c>
      <c r="AB1211" s="54">
        <f>COUNTIFS(Links!B:B,"ICSE",Links!C:C,A1211,Links!AD:AD,1)</f>
        <v>0</v>
      </c>
      <c r="AC1211" s="55" t="s">
        <v>35</v>
      </c>
      <c r="AD1211" s="47" t="str">
        <f t="shared" si="5"/>
        <v>Yes</v>
      </c>
      <c r="AE1211" s="56" t="s">
        <v>3315</v>
      </c>
      <c r="AF1211" s="56" t="s">
        <v>281</v>
      </c>
      <c r="AG1211" s="57" t="s">
        <v>42</v>
      </c>
      <c r="AH1211" s="57" t="s">
        <v>42</v>
      </c>
      <c r="AI1211" s="49" t="str">
        <f t="shared" si="661"/>
        <v>Barriers (Confidentiality and privacy)</v>
      </c>
      <c r="AJ1211" s="58" t="str">
        <f t="shared" si="7"/>
        <v>Paper has link and statement</v>
      </c>
      <c r="AK1211" s="59">
        <v>45070.0</v>
      </c>
      <c r="AL1211" s="43" t="s">
        <v>43</v>
      </c>
      <c r="AM1211" s="60" t="str">
        <f t="shared" si="8"/>
        <v>[IP2205]</v>
      </c>
    </row>
    <row r="1212" ht="67.5" customHeight="1">
      <c r="A1212" s="61">
        <v>2206.0</v>
      </c>
      <c r="B1212" s="22" t="s">
        <v>3316</v>
      </c>
      <c r="C1212" s="23">
        <v>2023.0</v>
      </c>
      <c r="D1212" s="24" t="s">
        <v>37</v>
      </c>
      <c r="E1212" s="25" t="s">
        <v>37</v>
      </c>
      <c r="F1212" s="25" t="s">
        <v>35</v>
      </c>
      <c r="G1212" s="25" t="s">
        <v>35</v>
      </c>
      <c r="H1212" s="25" t="s">
        <v>35</v>
      </c>
      <c r="I1212" s="25" t="s">
        <v>35</v>
      </c>
      <c r="J1212" s="26" t="s">
        <v>36</v>
      </c>
      <c r="K1212" s="27" t="s">
        <v>37</v>
      </c>
      <c r="L1212" s="28" t="s">
        <v>37</v>
      </c>
      <c r="M1212" s="28" t="s">
        <v>35</v>
      </c>
      <c r="N1212" s="28" t="s">
        <v>35</v>
      </c>
      <c r="O1212" s="28" t="s">
        <v>35</v>
      </c>
      <c r="P1212" s="28" t="s">
        <v>35</v>
      </c>
      <c r="Q1212" s="28" t="s">
        <v>35</v>
      </c>
      <c r="R1212" s="28" t="s">
        <v>37</v>
      </c>
      <c r="S1212" s="29" t="s">
        <v>3317</v>
      </c>
      <c r="T1212" s="30" t="s">
        <v>3318</v>
      </c>
      <c r="U1212" s="31" t="s">
        <v>3318</v>
      </c>
      <c r="V1212" s="32">
        <f t="shared" ref="V1212:X1212" si="1218">IF(lenb(SUBSTITUTE($Z1212,V$1&amp;" (1)",""))&lt;lenb($Z1212),1,IF(lenb(SUBSTITUTE($Z1212,V$1&amp;" (2)",""))&lt;lenb($Z1212),2,IF(lenb(SUBSTITUTE($Z1212,V$1&amp;" (3)",""))&lt;lenb($Z1212),3,IF(lenb(SUBSTITUTE($Z1212,V$1&amp;" (4)",""))&lt;lenb($Z1212),4,IF(lenb(SUBSTITUTE($Z1212,V$1&amp;" (5)",""))&lt;lenb($Z1212),5,IF(lenb(SUBSTITUTE($Z1212,V$1&amp;" (6)",""))&lt;lenb($Z1212),6,IF(lenb(SUBSTITUTE($Z1212,V$1&amp;" (7)",""))&lt;lenb($Z1212),1,IF(lenb(SUBSTITUTE($Z1212,V$1&amp;" (8)",""))&lt;lenb($Z1212),8,IF(lenb(SUBSTITUTE($Z1212,V$1&amp;" (9)",""))&lt;lenb($Z1212),9,IF(lenb(SUBSTITUTE($Z1212,V$1&amp;" (10)",""))&lt;lenb($Z1212),10,IF(lenb(SUBSTITUTE($Z1212,V$1,""))&lt;lenb($Z1212),"ERROR",IF($Z1212=$Y$1,"-",0))))))))))))</f>
        <v>0</v>
      </c>
      <c r="W1212" s="32">
        <f t="shared" si="1218"/>
        <v>1</v>
      </c>
      <c r="X1212" s="32">
        <f t="shared" si="1218"/>
        <v>0</v>
      </c>
      <c r="Y1212" s="32" t="str">
        <f t="shared" si="3"/>
        <v>-</v>
      </c>
      <c r="Z1212" s="32" t="s">
        <v>2471</v>
      </c>
      <c r="AA1212" s="33">
        <f t="shared" si="4"/>
        <v>1</v>
      </c>
      <c r="AB1212" s="34">
        <f>COUNTIFS(Links!B:B,"ICSE",Links!C:C,A1212,Links!AD:AD,1)</f>
        <v>0</v>
      </c>
      <c r="AC1212" s="35" t="s">
        <v>35</v>
      </c>
      <c r="AD1212" s="27" t="str">
        <f t="shared" si="5"/>
        <v>No</v>
      </c>
      <c r="AE1212" s="36" t="s">
        <v>36</v>
      </c>
      <c r="AF1212" s="37" t="s">
        <v>42</v>
      </c>
      <c r="AG1212" s="37" t="s">
        <v>42</v>
      </c>
      <c r="AH1212" s="37" t="s">
        <v>42</v>
      </c>
      <c r="AI1212" s="29" t="str">
        <f t="shared" si="661"/>
        <v>----</v>
      </c>
      <c r="AJ1212" s="38" t="str">
        <f t="shared" si="7"/>
        <v>Paper has link but no statement</v>
      </c>
      <c r="AK1212" s="39">
        <v>45070.0</v>
      </c>
      <c r="AL1212" s="23" t="s">
        <v>43</v>
      </c>
      <c r="AM1212" s="40" t="str">
        <f t="shared" si="8"/>
        <v>[IP2206]</v>
      </c>
    </row>
    <row r="1213" ht="67.5" customHeight="1">
      <c r="A1213" s="41">
        <v>2207.0</v>
      </c>
      <c r="B1213" s="42" t="s">
        <v>3319</v>
      </c>
      <c r="C1213" s="43">
        <v>2023.0</v>
      </c>
      <c r="D1213" s="44" t="s">
        <v>37</v>
      </c>
      <c r="E1213" s="45" t="s">
        <v>37</v>
      </c>
      <c r="F1213" s="45" t="s">
        <v>35</v>
      </c>
      <c r="G1213" s="45" t="s">
        <v>37</v>
      </c>
      <c r="H1213" s="45" t="s">
        <v>35</v>
      </c>
      <c r="I1213" s="45" t="s">
        <v>35</v>
      </c>
      <c r="J1213" s="46" t="s">
        <v>36</v>
      </c>
      <c r="K1213" s="47" t="s">
        <v>37</v>
      </c>
      <c r="L1213" s="48" t="s">
        <v>35</v>
      </c>
      <c r="M1213" s="48" t="s">
        <v>35</v>
      </c>
      <c r="N1213" s="48" t="s">
        <v>35</v>
      </c>
      <c r="O1213" s="48" t="s">
        <v>37</v>
      </c>
      <c r="P1213" s="48" t="s">
        <v>35</v>
      </c>
      <c r="Q1213" s="48" t="s">
        <v>35</v>
      </c>
      <c r="R1213" s="48" t="s">
        <v>35</v>
      </c>
      <c r="S1213" s="49" t="s">
        <v>3320</v>
      </c>
      <c r="T1213" s="50" t="s">
        <v>3321</v>
      </c>
      <c r="U1213" s="51" t="s">
        <v>3321</v>
      </c>
      <c r="V1213" s="52">
        <f t="shared" ref="V1213:X1213" si="1219">IF(lenb(SUBSTITUTE($Z1213,V$1&amp;" (1)",""))&lt;lenb($Z1213),1,IF(lenb(SUBSTITUTE($Z1213,V$1&amp;" (2)",""))&lt;lenb($Z1213),2,IF(lenb(SUBSTITUTE($Z1213,V$1&amp;" (3)",""))&lt;lenb($Z1213),3,IF(lenb(SUBSTITUTE($Z1213,V$1&amp;" (4)",""))&lt;lenb($Z1213),4,IF(lenb(SUBSTITUTE($Z1213,V$1&amp;" (5)",""))&lt;lenb($Z1213),5,IF(lenb(SUBSTITUTE($Z1213,V$1&amp;" (6)",""))&lt;lenb($Z1213),6,IF(lenb(SUBSTITUTE($Z1213,V$1&amp;" (7)",""))&lt;lenb($Z1213),1,IF(lenb(SUBSTITUTE($Z1213,V$1&amp;" (8)",""))&lt;lenb($Z1213),8,IF(lenb(SUBSTITUTE($Z1213,V$1&amp;" (9)",""))&lt;lenb($Z1213),9,IF(lenb(SUBSTITUTE($Z1213,V$1&amp;" (10)",""))&lt;lenb($Z1213),10,IF(lenb(SUBSTITUTE($Z1213,V$1,""))&lt;lenb($Z1213),"ERROR",IF($Z1213=$Y$1,"-",0))))))))))))</f>
        <v>1</v>
      </c>
      <c r="W1213" s="52">
        <f t="shared" si="1219"/>
        <v>0</v>
      </c>
      <c r="X1213" s="52">
        <f t="shared" si="1219"/>
        <v>0</v>
      </c>
      <c r="Y1213" s="52" t="str">
        <f t="shared" si="3"/>
        <v>-</v>
      </c>
      <c r="Z1213" s="52" t="s">
        <v>62</v>
      </c>
      <c r="AA1213" s="53">
        <f t="shared" si="4"/>
        <v>1</v>
      </c>
      <c r="AB1213" s="54">
        <f>COUNTIFS(Links!B:B,"ICSE",Links!C:C,A1213,Links!AD:AD,1)</f>
        <v>0</v>
      </c>
      <c r="AC1213" s="55" t="s">
        <v>35</v>
      </c>
      <c r="AD1213" s="47" t="str">
        <f t="shared" si="5"/>
        <v>No</v>
      </c>
      <c r="AE1213" s="56" t="s">
        <v>36</v>
      </c>
      <c r="AF1213" s="57" t="s">
        <v>42</v>
      </c>
      <c r="AG1213" s="57" t="s">
        <v>42</v>
      </c>
      <c r="AH1213" s="57" t="s">
        <v>42</v>
      </c>
      <c r="AI1213" s="49" t="str">
        <f t="shared" si="661"/>
        <v>----</v>
      </c>
      <c r="AJ1213" s="58" t="str">
        <f t="shared" si="7"/>
        <v>Paper has link but no statement</v>
      </c>
      <c r="AK1213" s="59">
        <v>45070.0</v>
      </c>
      <c r="AL1213" s="43" t="s">
        <v>43</v>
      </c>
      <c r="AM1213" s="60" t="str">
        <f t="shared" si="8"/>
        <v>[IP2207]</v>
      </c>
    </row>
    <row r="1214" ht="67.5" customHeight="1">
      <c r="A1214" s="61">
        <v>2208.0</v>
      </c>
      <c r="B1214" s="22" t="s">
        <v>3322</v>
      </c>
      <c r="C1214" s="23">
        <v>2023.0</v>
      </c>
      <c r="D1214" s="24" t="s">
        <v>35</v>
      </c>
      <c r="E1214" s="25" t="s">
        <v>36</v>
      </c>
      <c r="F1214" s="25" t="s">
        <v>36</v>
      </c>
      <c r="G1214" s="25" t="s">
        <v>36</v>
      </c>
      <c r="H1214" s="25" t="s">
        <v>36</v>
      </c>
      <c r="I1214" s="25" t="s">
        <v>36</v>
      </c>
      <c r="J1214" s="26" t="s">
        <v>36</v>
      </c>
      <c r="K1214" s="27" t="s">
        <v>37</v>
      </c>
      <c r="L1214" s="28" t="s">
        <v>37</v>
      </c>
      <c r="M1214" s="28" t="s">
        <v>35</v>
      </c>
      <c r="N1214" s="28" t="s">
        <v>37</v>
      </c>
      <c r="O1214" s="28" t="s">
        <v>35</v>
      </c>
      <c r="P1214" s="28" t="s">
        <v>35</v>
      </c>
      <c r="Q1214" s="28" t="s">
        <v>35</v>
      </c>
      <c r="R1214" s="28" t="s">
        <v>35</v>
      </c>
      <c r="S1214" s="29" t="s">
        <v>768</v>
      </c>
      <c r="T1214" s="30" t="s">
        <v>3323</v>
      </c>
      <c r="U1214" s="31" t="s">
        <v>3323</v>
      </c>
      <c r="V1214" s="32">
        <f t="shared" ref="V1214:X1214" si="1220">IF(lenb(SUBSTITUTE($Z1214,V$1&amp;" (1)",""))&lt;lenb($Z1214),1,IF(lenb(SUBSTITUTE($Z1214,V$1&amp;" (2)",""))&lt;lenb($Z1214),2,IF(lenb(SUBSTITUTE($Z1214,V$1&amp;" (3)",""))&lt;lenb($Z1214),3,IF(lenb(SUBSTITUTE($Z1214,V$1&amp;" (4)",""))&lt;lenb($Z1214),4,IF(lenb(SUBSTITUTE($Z1214,V$1&amp;" (5)",""))&lt;lenb($Z1214),5,IF(lenb(SUBSTITUTE($Z1214,V$1&amp;" (6)",""))&lt;lenb($Z1214),6,IF(lenb(SUBSTITUTE($Z1214,V$1&amp;" (7)",""))&lt;lenb($Z1214),1,IF(lenb(SUBSTITUTE($Z1214,V$1&amp;" (8)",""))&lt;lenb($Z1214),8,IF(lenb(SUBSTITUTE($Z1214,V$1&amp;" (9)",""))&lt;lenb($Z1214),9,IF(lenb(SUBSTITUTE($Z1214,V$1&amp;" (10)",""))&lt;lenb($Z1214),10,IF(lenb(SUBSTITUTE($Z1214,V$1,""))&lt;lenb($Z1214),"ERROR",IF($Z1214=$Y$1,"-",0))))))))))))</f>
        <v>0</v>
      </c>
      <c r="W1214" s="32">
        <f t="shared" si="1220"/>
        <v>1</v>
      </c>
      <c r="X1214" s="32">
        <f t="shared" si="1220"/>
        <v>0</v>
      </c>
      <c r="Y1214" s="32" t="str">
        <f t="shared" si="3"/>
        <v>-</v>
      </c>
      <c r="Z1214" s="32" t="s">
        <v>47</v>
      </c>
      <c r="AA1214" s="33">
        <f t="shared" si="4"/>
        <v>1</v>
      </c>
      <c r="AB1214" s="34">
        <f>COUNTIFS(Links!B:B,"ICSE",Links!C:C,A1214,Links!AD:AD,1)</f>
        <v>0</v>
      </c>
      <c r="AC1214" s="35" t="s">
        <v>35</v>
      </c>
      <c r="AD1214" s="27" t="str">
        <f t="shared" si="5"/>
        <v>No</v>
      </c>
      <c r="AE1214" s="36" t="s">
        <v>36</v>
      </c>
      <c r="AF1214" s="37" t="s">
        <v>42</v>
      </c>
      <c r="AG1214" s="37" t="s">
        <v>42</v>
      </c>
      <c r="AH1214" s="37" t="s">
        <v>42</v>
      </c>
      <c r="AI1214" s="29" t="str">
        <f t="shared" si="661"/>
        <v>----</v>
      </c>
      <c r="AJ1214" s="38" t="str">
        <f t="shared" si="7"/>
        <v>Paper has link but no statement</v>
      </c>
      <c r="AK1214" s="39">
        <v>45070.0</v>
      </c>
      <c r="AL1214" s="23" t="s">
        <v>43</v>
      </c>
      <c r="AM1214" s="40" t="str">
        <f t="shared" si="8"/>
        <v>[IP2208]</v>
      </c>
    </row>
    <row r="1215" ht="67.5" customHeight="1">
      <c r="A1215" s="41">
        <v>2209.0</v>
      </c>
      <c r="B1215" s="42" t="s">
        <v>3324</v>
      </c>
      <c r="C1215" s="43">
        <v>2023.0</v>
      </c>
      <c r="D1215" s="44" t="s">
        <v>35</v>
      </c>
      <c r="E1215" s="45" t="s">
        <v>36</v>
      </c>
      <c r="F1215" s="45" t="s">
        <v>36</v>
      </c>
      <c r="G1215" s="45" t="s">
        <v>36</v>
      </c>
      <c r="H1215" s="45" t="s">
        <v>36</v>
      </c>
      <c r="I1215" s="45" t="s">
        <v>36</v>
      </c>
      <c r="J1215" s="46" t="s">
        <v>36</v>
      </c>
      <c r="K1215" s="47" t="s">
        <v>37</v>
      </c>
      <c r="L1215" s="48" t="s">
        <v>37</v>
      </c>
      <c r="M1215" s="48" t="s">
        <v>35</v>
      </c>
      <c r="N1215" s="48" t="s">
        <v>37</v>
      </c>
      <c r="O1215" s="48" t="s">
        <v>35</v>
      </c>
      <c r="P1215" s="48" t="s">
        <v>35</v>
      </c>
      <c r="Q1215" s="48" t="s">
        <v>35</v>
      </c>
      <c r="R1215" s="48" t="s">
        <v>37</v>
      </c>
      <c r="S1215" s="49" t="s">
        <v>3325</v>
      </c>
      <c r="T1215" s="50" t="s">
        <v>3326</v>
      </c>
      <c r="U1215" s="51" t="s">
        <v>3326</v>
      </c>
      <c r="V1215" s="52">
        <f t="shared" ref="V1215:X1215" si="1221">IF(lenb(SUBSTITUTE($Z1215,V$1&amp;" (1)",""))&lt;lenb($Z1215),1,IF(lenb(SUBSTITUTE($Z1215,V$1&amp;" (2)",""))&lt;lenb($Z1215),2,IF(lenb(SUBSTITUTE($Z1215,V$1&amp;" (3)",""))&lt;lenb($Z1215),3,IF(lenb(SUBSTITUTE($Z1215,V$1&amp;" (4)",""))&lt;lenb($Z1215),4,IF(lenb(SUBSTITUTE($Z1215,V$1&amp;" (5)",""))&lt;lenb($Z1215),5,IF(lenb(SUBSTITUTE($Z1215,V$1&amp;" (6)",""))&lt;lenb($Z1215),6,IF(lenb(SUBSTITUTE($Z1215,V$1&amp;" (7)",""))&lt;lenb($Z1215),1,IF(lenb(SUBSTITUTE($Z1215,V$1&amp;" (8)",""))&lt;lenb($Z1215),8,IF(lenb(SUBSTITUTE($Z1215,V$1&amp;" (9)",""))&lt;lenb($Z1215),9,IF(lenb(SUBSTITUTE($Z1215,V$1&amp;" (10)",""))&lt;lenb($Z1215),10,IF(lenb(SUBSTITUTE($Z1215,V$1,""))&lt;lenb($Z1215),"ERROR",IF($Z1215=$Y$1,"-",0))))))))))))</f>
        <v>1</v>
      </c>
      <c r="W1215" s="52">
        <f t="shared" si="1221"/>
        <v>0</v>
      </c>
      <c r="X1215" s="52">
        <f t="shared" si="1221"/>
        <v>0</v>
      </c>
      <c r="Y1215" s="52" t="str">
        <f t="shared" si="3"/>
        <v>-</v>
      </c>
      <c r="Z1215" s="52" t="s">
        <v>62</v>
      </c>
      <c r="AA1215" s="53">
        <f t="shared" si="4"/>
        <v>1</v>
      </c>
      <c r="AB1215" s="54">
        <f>COUNTIFS(Links!B:B,"ICSE",Links!C:C,A1215,Links!AD:AD,1)</f>
        <v>0</v>
      </c>
      <c r="AC1215" s="55" t="s">
        <v>35</v>
      </c>
      <c r="AD1215" s="47" t="str">
        <f t="shared" si="5"/>
        <v>No</v>
      </c>
      <c r="AE1215" s="56" t="s">
        <v>36</v>
      </c>
      <c r="AF1215" s="57" t="s">
        <v>42</v>
      </c>
      <c r="AG1215" s="57" t="s">
        <v>42</v>
      </c>
      <c r="AH1215" s="57" t="s">
        <v>42</v>
      </c>
      <c r="AI1215" s="49" t="str">
        <f t="shared" si="661"/>
        <v>----</v>
      </c>
      <c r="AJ1215" s="58" t="str">
        <f t="shared" si="7"/>
        <v>Paper has link but no statement</v>
      </c>
      <c r="AK1215" s="59">
        <v>45070.0</v>
      </c>
      <c r="AL1215" s="43" t="s">
        <v>43</v>
      </c>
      <c r="AM1215" s="60" t="str">
        <f t="shared" si="8"/>
        <v>[IP2209]</v>
      </c>
    </row>
    <row r="1216" ht="67.5" customHeight="1">
      <c r="A1216" s="61">
        <v>2210.0</v>
      </c>
      <c r="B1216" s="22" t="s">
        <v>3327</v>
      </c>
      <c r="C1216" s="23">
        <v>2023.0</v>
      </c>
      <c r="D1216" s="24" t="s">
        <v>35</v>
      </c>
      <c r="E1216" s="25" t="s">
        <v>36</v>
      </c>
      <c r="F1216" s="25" t="s">
        <v>36</v>
      </c>
      <c r="G1216" s="25" t="s">
        <v>36</v>
      </c>
      <c r="H1216" s="25" t="s">
        <v>36</v>
      </c>
      <c r="I1216" s="25" t="s">
        <v>36</v>
      </c>
      <c r="J1216" s="26" t="s">
        <v>36</v>
      </c>
      <c r="K1216" s="27" t="s">
        <v>37</v>
      </c>
      <c r="L1216" s="28" t="s">
        <v>37</v>
      </c>
      <c r="M1216" s="28" t="s">
        <v>35</v>
      </c>
      <c r="N1216" s="28" t="s">
        <v>35</v>
      </c>
      <c r="O1216" s="28" t="s">
        <v>35</v>
      </c>
      <c r="P1216" s="28" t="s">
        <v>35</v>
      </c>
      <c r="Q1216" s="28" t="s">
        <v>35</v>
      </c>
      <c r="R1216" s="28" t="s">
        <v>37</v>
      </c>
      <c r="S1216" s="29" t="s">
        <v>3328</v>
      </c>
      <c r="T1216" s="30" t="s">
        <v>3329</v>
      </c>
      <c r="U1216" s="31" t="s">
        <v>3329</v>
      </c>
      <c r="V1216" s="32">
        <f t="shared" ref="V1216:X1216" si="1222">IF(lenb(SUBSTITUTE($Z1216,V$1&amp;" (1)",""))&lt;lenb($Z1216),1,IF(lenb(SUBSTITUTE($Z1216,V$1&amp;" (2)",""))&lt;lenb($Z1216),2,IF(lenb(SUBSTITUTE($Z1216,V$1&amp;" (3)",""))&lt;lenb($Z1216),3,IF(lenb(SUBSTITUTE($Z1216,V$1&amp;" (4)",""))&lt;lenb($Z1216),4,IF(lenb(SUBSTITUTE($Z1216,V$1&amp;" (5)",""))&lt;lenb($Z1216),5,IF(lenb(SUBSTITUTE($Z1216,V$1&amp;" (6)",""))&lt;lenb($Z1216),6,IF(lenb(SUBSTITUTE($Z1216,V$1&amp;" (7)",""))&lt;lenb($Z1216),1,IF(lenb(SUBSTITUTE($Z1216,V$1&amp;" (8)",""))&lt;lenb($Z1216),8,IF(lenb(SUBSTITUTE($Z1216,V$1&amp;" (9)",""))&lt;lenb($Z1216),9,IF(lenb(SUBSTITUTE($Z1216,V$1&amp;" (10)",""))&lt;lenb($Z1216),10,IF(lenb(SUBSTITUTE($Z1216,V$1,""))&lt;lenb($Z1216),"ERROR",IF($Z1216=$Y$1,"-",0))))))))))))</f>
        <v>1</v>
      </c>
      <c r="W1216" s="32">
        <f t="shared" si="1222"/>
        <v>0</v>
      </c>
      <c r="X1216" s="32">
        <f t="shared" si="1222"/>
        <v>0</v>
      </c>
      <c r="Y1216" s="32" t="str">
        <f t="shared" si="3"/>
        <v>-</v>
      </c>
      <c r="Z1216" s="32" t="s">
        <v>62</v>
      </c>
      <c r="AA1216" s="33">
        <f t="shared" si="4"/>
        <v>1</v>
      </c>
      <c r="AB1216" s="34">
        <f>COUNTIFS(Links!B:B,"ICSE",Links!C:C,A1216,Links!AD:AD,1)</f>
        <v>0</v>
      </c>
      <c r="AC1216" s="35" t="s">
        <v>35</v>
      </c>
      <c r="AD1216" s="27" t="str">
        <f t="shared" si="5"/>
        <v>No</v>
      </c>
      <c r="AE1216" s="36" t="s">
        <v>36</v>
      </c>
      <c r="AF1216" s="37" t="s">
        <v>42</v>
      </c>
      <c r="AG1216" s="37" t="s">
        <v>42</v>
      </c>
      <c r="AH1216" s="37" t="s">
        <v>42</v>
      </c>
      <c r="AI1216" s="29" t="str">
        <f t="shared" si="661"/>
        <v>----</v>
      </c>
      <c r="AJ1216" s="38" t="str">
        <f t="shared" si="7"/>
        <v>Paper has link but no statement</v>
      </c>
      <c r="AK1216" s="39">
        <v>45070.0</v>
      </c>
      <c r="AL1216" s="23" t="s">
        <v>43</v>
      </c>
      <c r="AM1216" s="40" t="str">
        <f t="shared" si="8"/>
        <v>[IP2210]</v>
      </c>
    </row>
    <row r="1217" ht="67.5" customHeight="1">
      <c r="A1217" s="41">
        <v>2211.0</v>
      </c>
      <c r="B1217" s="42" t="s">
        <v>3330</v>
      </c>
      <c r="C1217" s="43">
        <v>2023.0</v>
      </c>
      <c r="D1217" s="44" t="s">
        <v>35</v>
      </c>
      <c r="E1217" s="45" t="s">
        <v>36</v>
      </c>
      <c r="F1217" s="45" t="s">
        <v>36</v>
      </c>
      <c r="G1217" s="45" t="s">
        <v>36</v>
      </c>
      <c r="H1217" s="45" t="s">
        <v>36</v>
      </c>
      <c r="I1217" s="45" t="s">
        <v>36</v>
      </c>
      <c r="J1217" s="46" t="s">
        <v>36</v>
      </c>
      <c r="K1217" s="47" t="s">
        <v>37</v>
      </c>
      <c r="L1217" s="48" t="s">
        <v>35</v>
      </c>
      <c r="M1217" s="48" t="s">
        <v>35</v>
      </c>
      <c r="N1217" s="48" t="s">
        <v>35</v>
      </c>
      <c r="O1217" s="48" t="s">
        <v>37</v>
      </c>
      <c r="P1217" s="48" t="s">
        <v>35</v>
      </c>
      <c r="Q1217" s="48" t="s">
        <v>35</v>
      </c>
      <c r="R1217" s="48" t="s">
        <v>35</v>
      </c>
      <c r="S1217" s="49" t="s">
        <v>3320</v>
      </c>
      <c r="T1217" s="50" t="s">
        <v>3331</v>
      </c>
      <c r="U1217" s="51" t="s">
        <v>3331</v>
      </c>
      <c r="V1217" s="52">
        <f t="shared" ref="V1217:X1217" si="1223">IF(lenb(SUBSTITUTE($Z1217,V$1&amp;" (1)",""))&lt;lenb($Z1217),1,IF(lenb(SUBSTITUTE($Z1217,V$1&amp;" (2)",""))&lt;lenb($Z1217),2,IF(lenb(SUBSTITUTE($Z1217,V$1&amp;" (3)",""))&lt;lenb($Z1217),3,IF(lenb(SUBSTITUTE($Z1217,V$1&amp;" (4)",""))&lt;lenb($Z1217),4,IF(lenb(SUBSTITUTE($Z1217,V$1&amp;" (5)",""))&lt;lenb($Z1217),5,IF(lenb(SUBSTITUTE($Z1217,V$1&amp;" (6)",""))&lt;lenb($Z1217),6,IF(lenb(SUBSTITUTE($Z1217,V$1&amp;" (7)",""))&lt;lenb($Z1217),1,IF(lenb(SUBSTITUTE($Z1217,V$1&amp;" (8)",""))&lt;lenb($Z1217),8,IF(lenb(SUBSTITUTE($Z1217,V$1&amp;" (9)",""))&lt;lenb($Z1217),9,IF(lenb(SUBSTITUTE($Z1217,V$1&amp;" (10)",""))&lt;lenb($Z1217),10,IF(lenb(SUBSTITUTE($Z1217,V$1,""))&lt;lenb($Z1217),"ERROR",IF($Z1217=$Y$1,"-",0))))))))))))</f>
        <v>1</v>
      </c>
      <c r="W1217" s="52">
        <f t="shared" si="1223"/>
        <v>0</v>
      </c>
      <c r="X1217" s="52">
        <f t="shared" si="1223"/>
        <v>0</v>
      </c>
      <c r="Y1217" s="52" t="str">
        <f t="shared" si="3"/>
        <v>-</v>
      </c>
      <c r="Z1217" s="52" t="s">
        <v>62</v>
      </c>
      <c r="AA1217" s="53">
        <f t="shared" si="4"/>
        <v>1</v>
      </c>
      <c r="AB1217" s="54">
        <f>COUNTIFS(Links!B:B,"ICSE",Links!C:C,A1217,Links!AD:AD,1)</f>
        <v>0</v>
      </c>
      <c r="AC1217" s="55" t="s">
        <v>37</v>
      </c>
      <c r="AD1217" s="47" t="str">
        <f t="shared" si="5"/>
        <v>No</v>
      </c>
      <c r="AE1217" s="56" t="s">
        <v>36</v>
      </c>
      <c r="AF1217" s="57" t="s">
        <v>42</v>
      </c>
      <c r="AG1217" s="57" t="s">
        <v>42</v>
      </c>
      <c r="AH1217" s="57" t="s">
        <v>42</v>
      </c>
      <c r="AI1217" s="49" t="str">
        <f t="shared" si="661"/>
        <v>----</v>
      </c>
      <c r="AJ1217" s="58" t="str">
        <f t="shared" si="7"/>
        <v>Paper has link but no statement</v>
      </c>
      <c r="AK1217" s="59">
        <v>45070.0</v>
      </c>
      <c r="AL1217" s="43" t="s">
        <v>43</v>
      </c>
      <c r="AM1217" s="60" t="str">
        <f t="shared" si="8"/>
        <v>[IP2211]</v>
      </c>
    </row>
    <row r="1218" ht="67.5" customHeight="1">
      <c r="A1218" s="61">
        <v>2212.0</v>
      </c>
      <c r="B1218" s="22" t="s">
        <v>3332</v>
      </c>
      <c r="C1218" s="23">
        <v>2023.0</v>
      </c>
      <c r="D1218" s="24" t="s">
        <v>35</v>
      </c>
      <c r="E1218" s="25" t="s">
        <v>36</v>
      </c>
      <c r="F1218" s="25" t="s">
        <v>36</v>
      </c>
      <c r="G1218" s="25" t="s">
        <v>36</v>
      </c>
      <c r="H1218" s="25" t="s">
        <v>36</v>
      </c>
      <c r="I1218" s="25" t="s">
        <v>36</v>
      </c>
      <c r="J1218" s="26" t="s">
        <v>36</v>
      </c>
      <c r="K1218" s="27" t="s">
        <v>37</v>
      </c>
      <c r="L1218" s="28" t="s">
        <v>37</v>
      </c>
      <c r="M1218" s="28" t="s">
        <v>35</v>
      </c>
      <c r="N1218" s="28" t="s">
        <v>37</v>
      </c>
      <c r="O1218" s="28" t="s">
        <v>35</v>
      </c>
      <c r="P1218" s="28" t="s">
        <v>35</v>
      </c>
      <c r="Q1218" s="28" t="s">
        <v>35</v>
      </c>
      <c r="R1218" s="28" t="s">
        <v>37</v>
      </c>
      <c r="S1218" s="29" t="s">
        <v>3333</v>
      </c>
      <c r="T1218" s="30" t="s">
        <v>3334</v>
      </c>
      <c r="U1218" s="31" t="s">
        <v>3334</v>
      </c>
      <c r="V1218" s="32">
        <f t="shared" ref="V1218:X1218" si="1224">IF(lenb(SUBSTITUTE($Z1218,V$1&amp;" (1)",""))&lt;lenb($Z1218),1,IF(lenb(SUBSTITUTE($Z1218,V$1&amp;" (2)",""))&lt;lenb($Z1218),2,IF(lenb(SUBSTITUTE($Z1218,V$1&amp;" (3)",""))&lt;lenb($Z1218),3,IF(lenb(SUBSTITUTE($Z1218,V$1&amp;" (4)",""))&lt;lenb($Z1218),4,IF(lenb(SUBSTITUTE($Z1218,V$1&amp;" (5)",""))&lt;lenb($Z1218),5,IF(lenb(SUBSTITUTE($Z1218,V$1&amp;" (6)",""))&lt;lenb($Z1218),6,IF(lenb(SUBSTITUTE($Z1218,V$1&amp;" (7)",""))&lt;lenb($Z1218),1,IF(lenb(SUBSTITUTE($Z1218,V$1&amp;" (8)",""))&lt;lenb($Z1218),8,IF(lenb(SUBSTITUTE($Z1218,V$1&amp;" (9)",""))&lt;lenb($Z1218),9,IF(lenb(SUBSTITUTE($Z1218,V$1&amp;" (10)",""))&lt;lenb($Z1218),10,IF(lenb(SUBSTITUTE($Z1218,V$1,""))&lt;lenb($Z1218),"ERROR",IF($Z1218=$Y$1,"-",0))))))))))))</f>
        <v>2</v>
      </c>
      <c r="W1218" s="32">
        <f t="shared" si="1224"/>
        <v>0</v>
      </c>
      <c r="X1218" s="32">
        <f t="shared" si="1224"/>
        <v>0</v>
      </c>
      <c r="Y1218" s="32" t="str">
        <f t="shared" si="3"/>
        <v>-</v>
      </c>
      <c r="Z1218" s="32" t="s">
        <v>57</v>
      </c>
      <c r="AA1218" s="33">
        <f t="shared" si="4"/>
        <v>2</v>
      </c>
      <c r="AB1218" s="34">
        <f>COUNTIFS(Links!B:B,"ICSE",Links!C:C,A1218,Links!AD:AD,1)</f>
        <v>1</v>
      </c>
      <c r="AC1218" s="35" t="s">
        <v>35</v>
      </c>
      <c r="AD1218" s="27" t="str">
        <f t="shared" si="5"/>
        <v>No</v>
      </c>
      <c r="AE1218" s="36" t="s">
        <v>36</v>
      </c>
      <c r="AF1218" s="37" t="s">
        <v>42</v>
      </c>
      <c r="AG1218" s="37" t="s">
        <v>42</v>
      </c>
      <c r="AH1218" s="37" t="s">
        <v>42</v>
      </c>
      <c r="AI1218" s="29" t="str">
        <f t="shared" si="661"/>
        <v>----</v>
      </c>
      <c r="AJ1218" s="38" t="str">
        <f t="shared" si="7"/>
        <v>Paper has link but no statement</v>
      </c>
      <c r="AK1218" s="39">
        <v>45070.0</v>
      </c>
      <c r="AL1218" s="23" t="s">
        <v>43</v>
      </c>
      <c r="AM1218" s="40" t="str">
        <f t="shared" si="8"/>
        <v>[IP2212]</v>
      </c>
    </row>
    <row r="1219" ht="67.5" customHeight="1">
      <c r="A1219" s="41">
        <v>2213.0</v>
      </c>
      <c r="B1219" s="42" t="s">
        <v>3335</v>
      </c>
      <c r="C1219" s="43">
        <v>2023.0</v>
      </c>
      <c r="D1219" s="44" t="s">
        <v>35</v>
      </c>
      <c r="E1219" s="45" t="s">
        <v>36</v>
      </c>
      <c r="F1219" s="45" t="s">
        <v>36</v>
      </c>
      <c r="G1219" s="45" t="s">
        <v>36</v>
      </c>
      <c r="H1219" s="45" t="s">
        <v>36</v>
      </c>
      <c r="I1219" s="45" t="s">
        <v>36</v>
      </c>
      <c r="J1219" s="46" t="s">
        <v>36</v>
      </c>
      <c r="K1219" s="47" t="s">
        <v>37</v>
      </c>
      <c r="L1219" s="48" t="s">
        <v>35</v>
      </c>
      <c r="M1219" s="48" t="s">
        <v>37</v>
      </c>
      <c r="N1219" s="48" t="s">
        <v>37</v>
      </c>
      <c r="O1219" s="48" t="s">
        <v>35</v>
      </c>
      <c r="P1219" s="48" t="s">
        <v>35</v>
      </c>
      <c r="Q1219" s="48" t="s">
        <v>35</v>
      </c>
      <c r="R1219" s="48" t="s">
        <v>37</v>
      </c>
      <c r="S1219" s="49" t="s">
        <v>3336</v>
      </c>
      <c r="T1219" s="50" t="s">
        <v>3337</v>
      </c>
      <c r="U1219" s="51" t="s">
        <v>3338</v>
      </c>
      <c r="V1219" s="52">
        <f t="shared" ref="V1219:X1219" si="1225">IF(lenb(SUBSTITUTE($Z1219,V$1&amp;" (1)",""))&lt;lenb($Z1219),1,IF(lenb(SUBSTITUTE($Z1219,V$1&amp;" (2)",""))&lt;lenb($Z1219),2,IF(lenb(SUBSTITUTE($Z1219,V$1&amp;" (3)",""))&lt;lenb($Z1219),3,IF(lenb(SUBSTITUTE($Z1219,V$1&amp;" (4)",""))&lt;lenb($Z1219),4,IF(lenb(SUBSTITUTE($Z1219,V$1&amp;" (5)",""))&lt;lenb($Z1219),5,IF(lenb(SUBSTITUTE($Z1219,V$1&amp;" (6)",""))&lt;lenb($Z1219),6,IF(lenb(SUBSTITUTE($Z1219,V$1&amp;" (7)",""))&lt;lenb($Z1219),1,IF(lenb(SUBSTITUTE($Z1219,V$1&amp;" (8)",""))&lt;lenb($Z1219),8,IF(lenb(SUBSTITUTE($Z1219,V$1&amp;" (9)",""))&lt;lenb($Z1219),9,IF(lenb(SUBSTITUTE($Z1219,V$1&amp;" (10)",""))&lt;lenb($Z1219),10,IF(lenb(SUBSTITUTE($Z1219,V$1,""))&lt;lenb($Z1219),"ERROR",IF($Z1219=$Y$1,"-",0))))))))))))</f>
        <v>2</v>
      </c>
      <c r="W1219" s="52">
        <f t="shared" si="1225"/>
        <v>0</v>
      </c>
      <c r="X1219" s="52">
        <f t="shared" si="1225"/>
        <v>0</v>
      </c>
      <c r="Y1219" s="52" t="str">
        <f t="shared" si="3"/>
        <v>-</v>
      </c>
      <c r="Z1219" s="52" t="s">
        <v>57</v>
      </c>
      <c r="AA1219" s="53">
        <f t="shared" si="4"/>
        <v>2</v>
      </c>
      <c r="AB1219" s="54">
        <f>COUNTIFS(Links!B:B,"ICSE",Links!C:C,A1219,Links!AD:AD,1)</f>
        <v>0</v>
      </c>
      <c r="AC1219" s="55" t="s">
        <v>35</v>
      </c>
      <c r="AD1219" s="47" t="str">
        <f t="shared" si="5"/>
        <v>No</v>
      </c>
      <c r="AE1219" s="56" t="s">
        <v>36</v>
      </c>
      <c r="AF1219" s="57" t="s">
        <v>42</v>
      </c>
      <c r="AG1219" s="57" t="s">
        <v>42</v>
      </c>
      <c r="AH1219" s="57" t="s">
        <v>42</v>
      </c>
      <c r="AI1219" s="49" t="str">
        <f t="shared" si="661"/>
        <v>----</v>
      </c>
      <c r="AJ1219" s="58" t="str">
        <f t="shared" si="7"/>
        <v>Paper has link but no statement</v>
      </c>
      <c r="AK1219" s="59">
        <v>45070.0</v>
      </c>
      <c r="AL1219" s="43" t="s">
        <v>43</v>
      </c>
      <c r="AM1219" s="60" t="str">
        <f t="shared" si="8"/>
        <v>[IP2213]</v>
      </c>
    </row>
    <row r="1220" ht="67.5" customHeight="1">
      <c r="A1220" s="61">
        <v>2214.0</v>
      </c>
      <c r="B1220" s="22" t="s">
        <v>3339</v>
      </c>
      <c r="C1220" s="23">
        <v>2023.0</v>
      </c>
      <c r="D1220" s="24" t="s">
        <v>37</v>
      </c>
      <c r="E1220" s="25" t="s">
        <v>37</v>
      </c>
      <c r="F1220" s="25" t="s">
        <v>35</v>
      </c>
      <c r="G1220" s="25" t="s">
        <v>37</v>
      </c>
      <c r="H1220" s="25" t="s">
        <v>35</v>
      </c>
      <c r="I1220" s="25" t="s">
        <v>35</v>
      </c>
      <c r="J1220" s="26" t="s">
        <v>36</v>
      </c>
      <c r="K1220" s="27" t="s">
        <v>37</v>
      </c>
      <c r="L1220" s="28" t="s">
        <v>37</v>
      </c>
      <c r="M1220" s="28" t="s">
        <v>35</v>
      </c>
      <c r="N1220" s="28" t="s">
        <v>35</v>
      </c>
      <c r="O1220" s="28" t="s">
        <v>35</v>
      </c>
      <c r="P1220" s="28" t="s">
        <v>35</v>
      </c>
      <c r="Q1220" s="28" t="s">
        <v>37</v>
      </c>
      <c r="R1220" s="28" t="s">
        <v>35</v>
      </c>
      <c r="S1220" s="29" t="s">
        <v>3340</v>
      </c>
      <c r="T1220" s="30" t="s">
        <v>3341</v>
      </c>
      <c r="U1220" s="31" t="s">
        <v>3342</v>
      </c>
      <c r="V1220" s="32">
        <f t="shared" ref="V1220:X1220" si="1226">IF(lenb(SUBSTITUTE($Z1220,V$1&amp;" (1)",""))&lt;lenb($Z1220),1,IF(lenb(SUBSTITUTE($Z1220,V$1&amp;" (2)",""))&lt;lenb($Z1220),2,IF(lenb(SUBSTITUTE($Z1220,V$1&amp;" (3)",""))&lt;lenb($Z1220),3,IF(lenb(SUBSTITUTE($Z1220,V$1&amp;" (4)",""))&lt;lenb($Z1220),4,IF(lenb(SUBSTITUTE($Z1220,V$1&amp;" (5)",""))&lt;lenb($Z1220),5,IF(lenb(SUBSTITUTE($Z1220,V$1&amp;" (6)",""))&lt;lenb($Z1220),6,IF(lenb(SUBSTITUTE($Z1220,V$1&amp;" (7)",""))&lt;lenb($Z1220),1,IF(lenb(SUBSTITUTE($Z1220,V$1&amp;" (8)",""))&lt;lenb($Z1220),8,IF(lenb(SUBSTITUTE($Z1220,V$1&amp;" (9)",""))&lt;lenb($Z1220),9,IF(lenb(SUBSTITUTE($Z1220,V$1&amp;" (10)",""))&lt;lenb($Z1220),10,IF(lenb(SUBSTITUTE($Z1220,V$1,""))&lt;lenb($Z1220),"ERROR",IF($Z1220=$Y$1,"-",0))))))))))))</f>
        <v>3</v>
      </c>
      <c r="W1220" s="32">
        <f t="shared" si="1226"/>
        <v>0</v>
      </c>
      <c r="X1220" s="32">
        <f t="shared" si="1226"/>
        <v>0</v>
      </c>
      <c r="Y1220" s="32" t="str">
        <f t="shared" si="3"/>
        <v>-</v>
      </c>
      <c r="Z1220" s="32" t="s">
        <v>193</v>
      </c>
      <c r="AA1220" s="33">
        <f t="shared" si="4"/>
        <v>3</v>
      </c>
      <c r="AB1220" s="34">
        <f>COUNTIFS(Links!B:B,"ICSE",Links!C:C,A1220,Links!AD:AD,1)</f>
        <v>0</v>
      </c>
      <c r="AC1220" s="35" t="s">
        <v>37</v>
      </c>
      <c r="AD1220" s="27" t="str">
        <f t="shared" si="5"/>
        <v>No</v>
      </c>
      <c r="AE1220" s="36" t="s">
        <v>36</v>
      </c>
      <c r="AF1220" s="37" t="s">
        <v>42</v>
      </c>
      <c r="AG1220" s="37" t="s">
        <v>42</v>
      </c>
      <c r="AH1220" s="37" t="s">
        <v>42</v>
      </c>
      <c r="AI1220" s="29" t="str">
        <f t="shared" si="661"/>
        <v>----</v>
      </c>
      <c r="AJ1220" s="38" t="str">
        <f t="shared" si="7"/>
        <v>Paper has link but no statement</v>
      </c>
      <c r="AK1220" s="39">
        <v>45070.0</v>
      </c>
      <c r="AL1220" s="23" t="s">
        <v>43</v>
      </c>
      <c r="AM1220" s="40" t="str">
        <f t="shared" si="8"/>
        <v>[IP2214]</v>
      </c>
    </row>
    <row r="1221" ht="67.5" customHeight="1">
      <c r="A1221" s="41">
        <v>2215.0</v>
      </c>
      <c r="B1221" s="42" t="s">
        <v>3343</v>
      </c>
      <c r="C1221" s="43">
        <v>2023.0</v>
      </c>
      <c r="D1221" s="44" t="s">
        <v>35</v>
      </c>
      <c r="E1221" s="45" t="s">
        <v>36</v>
      </c>
      <c r="F1221" s="45" t="s">
        <v>36</v>
      </c>
      <c r="G1221" s="45" t="s">
        <v>36</v>
      </c>
      <c r="H1221" s="45" t="s">
        <v>36</v>
      </c>
      <c r="I1221" s="45" t="s">
        <v>36</v>
      </c>
      <c r="J1221" s="46" t="s">
        <v>36</v>
      </c>
      <c r="K1221" s="47" t="s">
        <v>37</v>
      </c>
      <c r="L1221" s="48" t="s">
        <v>35</v>
      </c>
      <c r="M1221" s="48" t="s">
        <v>37</v>
      </c>
      <c r="N1221" s="48" t="s">
        <v>37</v>
      </c>
      <c r="O1221" s="48" t="s">
        <v>35</v>
      </c>
      <c r="P1221" s="48" t="s">
        <v>35</v>
      </c>
      <c r="Q1221" s="48" t="s">
        <v>35</v>
      </c>
      <c r="R1221" s="48" t="s">
        <v>37</v>
      </c>
      <c r="S1221" s="49" t="s">
        <v>3344</v>
      </c>
      <c r="T1221" s="50" t="s">
        <v>3345</v>
      </c>
      <c r="U1221" s="51" t="s">
        <v>3345</v>
      </c>
      <c r="V1221" s="52">
        <f t="shared" ref="V1221:X1221" si="1227">IF(lenb(SUBSTITUTE($Z1221,V$1&amp;" (1)",""))&lt;lenb($Z1221),1,IF(lenb(SUBSTITUTE($Z1221,V$1&amp;" (2)",""))&lt;lenb($Z1221),2,IF(lenb(SUBSTITUTE($Z1221,V$1&amp;" (3)",""))&lt;lenb($Z1221),3,IF(lenb(SUBSTITUTE($Z1221,V$1&amp;" (4)",""))&lt;lenb($Z1221),4,IF(lenb(SUBSTITUTE($Z1221,V$1&amp;" (5)",""))&lt;lenb($Z1221),5,IF(lenb(SUBSTITUTE($Z1221,V$1&amp;" (6)",""))&lt;lenb($Z1221),6,IF(lenb(SUBSTITUTE($Z1221,V$1&amp;" (7)",""))&lt;lenb($Z1221),1,IF(lenb(SUBSTITUTE($Z1221,V$1&amp;" (8)",""))&lt;lenb($Z1221),8,IF(lenb(SUBSTITUTE($Z1221,V$1&amp;" (9)",""))&lt;lenb($Z1221),9,IF(lenb(SUBSTITUTE($Z1221,V$1&amp;" (10)",""))&lt;lenb($Z1221),10,IF(lenb(SUBSTITUTE($Z1221,V$1,""))&lt;lenb($Z1221),"ERROR",IF($Z1221=$Y$1,"-",0))))))))))))</f>
        <v>1</v>
      </c>
      <c r="W1221" s="52">
        <f t="shared" si="1227"/>
        <v>0</v>
      </c>
      <c r="X1221" s="52">
        <f t="shared" si="1227"/>
        <v>0</v>
      </c>
      <c r="Y1221" s="52" t="str">
        <f t="shared" si="3"/>
        <v>-</v>
      </c>
      <c r="Z1221" s="52" t="s">
        <v>62</v>
      </c>
      <c r="AA1221" s="53">
        <f t="shared" si="4"/>
        <v>1</v>
      </c>
      <c r="AB1221" s="54">
        <f>COUNTIFS(Links!B:B,"ICSE",Links!C:C,A1221,Links!AD:AD,1)</f>
        <v>0</v>
      </c>
      <c r="AC1221" s="55" t="s">
        <v>35</v>
      </c>
      <c r="AD1221" s="47" t="str">
        <f t="shared" si="5"/>
        <v>No</v>
      </c>
      <c r="AE1221" s="56" t="s">
        <v>36</v>
      </c>
      <c r="AF1221" s="57" t="s">
        <v>42</v>
      </c>
      <c r="AG1221" s="57" t="s">
        <v>42</v>
      </c>
      <c r="AH1221" s="57" t="s">
        <v>42</v>
      </c>
      <c r="AI1221" s="49" t="str">
        <f t="shared" si="661"/>
        <v>----</v>
      </c>
      <c r="AJ1221" s="58" t="str">
        <f t="shared" si="7"/>
        <v>Paper has link but no statement</v>
      </c>
      <c r="AK1221" s="59">
        <v>45070.0</v>
      </c>
      <c r="AL1221" s="43" t="s">
        <v>43</v>
      </c>
      <c r="AM1221" s="60" t="str">
        <f t="shared" si="8"/>
        <v>[IP2215]</v>
      </c>
    </row>
    <row r="1222" ht="67.5" customHeight="1">
      <c r="A1222" s="61">
        <v>2216.0</v>
      </c>
      <c r="B1222" s="22" t="s">
        <v>3346</v>
      </c>
      <c r="C1222" s="23">
        <v>2023.0</v>
      </c>
      <c r="D1222" s="24" t="s">
        <v>35</v>
      </c>
      <c r="E1222" s="25" t="s">
        <v>36</v>
      </c>
      <c r="F1222" s="25" t="s">
        <v>36</v>
      </c>
      <c r="G1222" s="25" t="s">
        <v>36</v>
      </c>
      <c r="H1222" s="25" t="s">
        <v>36</v>
      </c>
      <c r="I1222" s="25" t="s">
        <v>36</v>
      </c>
      <c r="J1222" s="26" t="s">
        <v>36</v>
      </c>
      <c r="K1222" s="27" t="s">
        <v>37</v>
      </c>
      <c r="L1222" s="28" t="s">
        <v>37</v>
      </c>
      <c r="M1222" s="28" t="s">
        <v>35</v>
      </c>
      <c r="N1222" s="28" t="s">
        <v>35</v>
      </c>
      <c r="O1222" s="28" t="s">
        <v>37</v>
      </c>
      <c r="P1222" s="28" t="s">
        <v>37</v>
      </c>
      <c r="Q1222" s="28" t="s">
        <v>35</v>
      </c>
      <c r="R1222" s="28" t="s">
        <v>37</v>
      </c>
      <c r="S1222" s="29" t="s">
        <v>3347</v>
      </c>
      <c r="T1222" s="30" t="s">
        <v>3348</v>
      </c>
      <c r="U1222" s="31" t="s">
        <v>3348</v>
      </c>
      <c r="V1222" s="32">
        <f t="shared" ref="V1222:X1222" si="1228">IF(lenb(SUBSTITUTE($Z1222,V$1&amp;" (1)",""))&lt;lenb($Z1222),1,IF(lenb(SUBSTITUTE($Z1222,V$1&amp;" (2)",""))&lt;lenb($Z1222),2,IF(lenb(SUBSTITUTE($Z1222,V$1&amp;" (3)",""))&lt;lenb($Z1222),3,IF(lenb(SUBSTITUTE($Z1222,V$1&amp;" (4)",""))&lt;lenb($Z1222),4,IF(lenb(SUBSTITUTE($Z1222,V$1&amp;" (5)",""))&lt;lenb($Z1222),5,IF(lenb(SUBSTITUTE($Z1222,V$1&amp;" (6)",""))&lt;lenb($Z1222),6,IF(lenb(SUBSTITUTE($Z1222,V$1&amp;" (7)",""))&lt;lenb($Z1222),1,IF(lenb(SUBSTITUTE($Z1222,V$1&amp;" (8)",""))&lt;lenb($Z1222),8,IF(lenb(SUBSTITUTE($Z1222,V$1&amp;" (9)",""))&lt;lenb($Z1222),9,IF(lenb(SUBSTITUTE($Z1222,V$1&amp;" (10)",""))&lt;lenb($Z1222),10,IF(lenb(SUBSTITUTE($Z1222,V$1,""))&lt;lenb($Z1222),"ERROR",IF($Z1222=$Y$1,"-",0))))))))))))</f>
        <v>1</v>
      </c>
      <c r="W1222" s="32">
        <f t="shared" si="1228"/>
        <v>0</v>
      </c>
      <c r="X1222" s="32">
        <f t="shared" si="1228"/>
        <v>0</v>
      </c>
      <c r="Y1222" s="32" t="str">
        <f t="shared" si="3"/>
        <v>-</v>
      </c>
      <c r="Z1222" s="32" t="s">
        <v>62</v>
      </c>
      <c r="AA1222" s="33">
        <f t="shared" si="4"/>
        <v>1</v>
      </c>
      <c r="AB1222" s="34">
        <f>COUNTIFS(Links!B:B,"ICSE",Links!C:C,A1222,Links!AD:AD,1)</f>
        <v>0</v>
      </c>
      <c r="AC1222" s="35" t="s">
        <v>35</v>
      </c>
      <c r="AD1222" s="27" t="str">
        <f t="shared" si="5"/>
        <v>No</v>
      </c>
      <c r="AE1222" s="36" t="s">
        <v>36</v>
      </c>
      <c r="AF1222" s="37" t="s">
        <v>42</v>
      </c>
      <c r="AG1222" s="37" t="s">
        <v>42</v>
      </c>
      <c r="AH1222" s="37" t="s">
        <v>42</v>
      </c>
      <c r="AI1222" s="29" t="str">
        <f t="shared" si="661"/>
        <v>----</v>
      </c>
      <c r="AJ1222" s="38" t="str">
        <f t="shared" si="7"/>
        <v>Paper has link but no statement</v>
      </c>
      <c r="AK1222" s="39">
        <v>45070.0</v>
      </c>
      <c r="AL1222" s="23" t="s">
        <v>43</v>
      </c>
      <c r="AM1222" s="40" t="str">
        <f t="shared" si="8"/>
        <v>[IP2216]</v>
      </c>
    </row>
    <row r="1223" ht="67.5" customHeight="1">
      <c r="A1223" s="41">
        <v>2217.0</v>
      </c>
      <c r="B1223" s="42" t="s">
        <v>3349</v>
      </c>
      <c r="C1223" s="43">
        <v>2023.0</v>
      </c>
      <c r="D1223" s="44" t="s">
        <v>35</v>
      </c>
      <c r="E1223" s="45" t="s">
        <v>36</v>
      </c>
      <c r="F1223" s="45" t="s">
        <v>36</v>
      </c>
      <c r="G1223" s="45" t="s">
        <v>36</v>
      </c>
      <c r="H1223" s="45" t="s">
        <v>36</v>
      </c>
      <c r="I1223" s="45" t="s">
        <v>36</v>
      </c>
      <c r="J1223" s="46" t="s">
        <v>36</v>
      </c>
      <c r="K1223" s="47" t="s">
        <v>37</v>
      </c>
      <c r="L1223" s="48" t="s">
        <v>35</v>
      </c>
      <c r="M1223" s="48" t="s">
        <v>37</v>
      </c>
      <c r="N1223" s="48" t="s">
        <v>37</v>
      </c>
      <c r="O1223" s="48" t="s">
        <v>35</v>
      </c>
      <c r="P1223" s="48" t="s">
        <v>37</v>
      </c>
      <c r="Q1223" s="48" t="s">
        <v>35</v>
      </c>
      <c r="R1223" s="48" t="s">
        <v>37</v>
      </c>
      <c r="S1223" s="49" t="s">
        <v>3350</v>
      </c>
      <c r="T1223" s="50" t="s">
        <v>3351</v>
      </c>
      <c r="U1223" s="51" t="s">
        <v>3351</v>
      </c>
      <c r="V1223" s="52">
        <f t="shared" ref="V1223:X1223" si="1229">IF(lenb(SUBSTITUTE($Z1223,V$1&amp;" (1)",""))&lt;lenb($Z1223),1,IF(lenb(SUBSTITUTE($Z1223,V$1&amp;" (2)",""))&lt;lenb($Z1223),2,IF(lenb(SUBSTITUTE($Z1223,V$1&amp;" (3)",""))&lt;lenb($Z1223),3,IF(lenb(SUBSTITUTE($Z1223,V$1&amp;" (4)",""))&lt;lenb($Z1223),4,IF(lenb(SUBSTITUTE($Z1223,V$1&amp;" (5)",""))&lt;lenb($Z1223),5,IF(lenb(SUBSTITUTE($Z1223,V$1&amp;" (6)",""))&lt;lenb($Z1223),6,IF(lenb(SUBSTITUTE($Z1223,V$1&amp;" (7)",""))&lt;lenb($Z1223),1,IF(lenb(SUBSTITUTE($Z1223,V$1&amp;" (8)",""))&lt;lenb($Z1223),8,IF(lenb(SUBSTITUTE($Z1223,V$1&amp;" (9)",""))&lt;lenb($Z1223),9,IF(lenb(SUBSTITUTE($Z1223,V$1&amp;" (10)",""))&lt;lenb($Z1223),10,IF(lenb(SUBSTITUTE($Z1223,V$1,""))&lt;lenb($Z1223),"ERROR",IF($Z1223=$Y$1,"-",0))))))))))))</f>
        <v>1</v>
      </c>
      <c r="W1223" s="52">
        <f t="shared" si="1229"/>
        <v>0</v>
      </c>
      <c r="X1223" s="52">
        <f t="shared" si="1229"/>
        <v>0</v>
      </c>
      <c r="Y1223" s="52" t="str">
        <f t="shared" si="3"/>
        <v>-</v>
      </c>
      <c r="Z1223" s="52" t="s">
        <v>62</v>
      </c>
      <c r="AA1223" s="53">
        <f t="shared" si="4"/>
        <v>1</v>
      </c>
      <c r="AB1223" s="54">
        <f>COUNTIFS(Links!B:B,"ICSE",Links!C:C,A1223,Links!AD:AD,1)</f>
        <v>0</v>
      </c>
      <c r="AC1223" s="55" t="s">
        <v>35</v>
      </c>
      <c r="AD1223" s="47" t="str">
        <f t="shared" si="5"/>
        <v>No</v>
      </c>
      <c r="AE1223" s="56" t="s">
        <v>36</v>
      </c>
      <c r="AF1223" s="57" t="s">
        <v>42</v>
      </c>
      <c r="AG1223" s="57" t="s">
        <v>42</v>
      </c>
      <c r="AH1223" s="57" t="s">
        <v>42</v>
      </c>
      <c r="AI1223" s="49" t="str">
        <f t="shared" si="661"/>
        <v>----</v>
      </c>
      <c r="AJ1223" s="58" t="str">
        <f t="shared" si="7"/>
        <v>Paper has link but no statement</v>
      </c>
      <c r="AK1223" s="59">
        <v>45070.0</v>
      </c>
      <c r="AL1223" s="43" t="s">
        <v>43</v>
      </c>
      <c r="AM1223" s="60" t="str">
        <f t="shared" si="8"/>
        <v>[IP2217]</v>
      </c>
    </row>
    <row r="1224" ht="67.5" customHeight="1">
      <c r="A1224" s="61">
        <v>2218.0</v>
      </c>
      <c r="B1224" s="22" t="s">
        <v>3352</v>
      </c>
      <c r="C1224" s="23">
        <v>2023.0</v>
      </c>
      <c r="D1224" s="24" t="s">
        <v>37</v>
      </c>
      <c r="E1224" s="25" t="s">
        <v>37</v>
      </c>
      <c r="F1224" s="25" t="s">
        <v>35</v>
      </c>
      <c r="G1224" s="25" t="s">
        <v>37</v>
      </c>
      <c r="H1224" s="25" t="s">
        <v>35</v>
      </c>
      <c r="I1224" s="25" t="s">
        <v>35</v>
      </c>
      <c r="J1224" s="26" t="s">
        <v>36</v>
      </c>
      <c r="K1224" s="27" t="s">
        <v>37</v>
      </c>
      <c r="L1224" s="28" t="s">
        <v>35</v>
      </c>
      <c r="M1224" s="28" t="s">
        <v>35</v>
      </c>
      <c r="N1224" s="28" t="s">
        <v>35</v>
      </c>
      <c r="O1224" s="28" t="s">
        <v>35</v>
      </c>
      <c r="P1224" s="28" t="s">
        <v>35</v>
      </c>
      <c r="Q1224" s="28" t="s">
        <v>37</v>
      </c>
      <c r="R1224" s="28" t="s">
        <v>35</v>
      </c>
      <c r="S1224" s="29" t="s">
        <v>3353</v>
      </c>
      <c r="T1224" s="30" t="s">
        <v>3354</v>
      </c>
      <c r="U1224" s="31" t="s">
        <v>3354</v>
      </c>
      <c r="V1224" s="32">
        <f t="shared" ref="V1224:X1224" si="1230">IF(lenb(SUBSTITUTE($Z1224,V$1&amp;" (1)",""))&lt;lenb($Z1224),1,IF(lenb(SUBSTITUTE($Z1224,V$1&amp;" (2)",""))&lt;lenb($Z1224),2,IF(lenb(SUBSTITUTE($Z1224,V$1&amp;" (3)",""))&lt;lenb($Z1224),3,IF(lenb(SUBSTITUTE($Z1224,V$1&amp;" (4)",""))&lt;lenb($Z1224),4,IF(lenb(SUBSTITUTE($Z1224,V$1&amp;" (5)",""))&lt;lenb($Z1224),5,IF(lenb(SUBSTITUTE($Z1224,V$1&amp;" (6)",""))&lt;lenb($Z1224),6,IF(lenb(SUBSTITUTE($Z1224,V$1&amp;" (7)",""))&lt;lenb($Z1224),1,IF(lenb(SUBSTITUTE($Z1224,V$1&amp;" (8)",""))&lt;lenb($Z1224),8,IF(lenb(SUBSTITUTE($Z1224,V$1&amp;" (9)",""))&lt;lenb($Z1224),9,IF(lenb(SUBSTITUTE($Z1224,V$1&amp;" (10)",""))&lt;lenb($Z1224),10,IF(lenb(SUBSTITUTE($Z1224,V$1,""))&lt;lenb($Z1224),"ERROR",IF($Z1224=$Y$1,"-",0))))))))))))</f>
        <v>1</v>
      </c>
      <c r="W1224" s="32">
        <f t="shared" si="1230"/>
        <v>0</v>
      </c>
      <c r="X1224" s="32">
        <f t="shared" si="1230"/>
        <v>0</v>
      </c>
      <c r="Y1224" s="32" t="str">
        <f t="shared" si="3"/>
        <v>-</v>
      </c>
      <c r="Z1224" s="32" t="s">
        <v>62</v>
      </c>
      <c r="AA1224" s="33">
        <f t="shared" si="4"/>
        <v>1</v>
      </c>
      <c r="AB1224" s="34">
        <f>COUNTIFS(Links!B:B,"ICSE",Links!C:C,A1224,Links!AD:AD,1)</f>
        <v>0</v>
      </c>
      <c r="AC1224" s="35" t="s">
        <v>37</v>
      </c>
      <c r="AD1224" s="27" t="str">
        <f t="shared" si="5"/>
        <v>No</v>
      </c>
      <c r="AE1224" s="36" t="s">
        <v>36</v>
      </c>
      <c r="AF1224" s="37" t="s">
        <v>42</v>
      </c>
      <c r="AG1224" s="37" t="s">
        <v>42</v>
      </c>
      <c r="AH1224" s="37" t="s">
        <v>42</v>
      </c>
      <c r="AI1224" s="29" t="str">
        <f t="shared" si="661"/>
        <v>----</v>
      </c>
      <c r="AJ1224" s="38" t="str">
        <f t="shared" si="7"/>
        <v>Paper has link but no statement</v>
      </c>
      <c r="AK1224" s="39">
        <v>45070.0</v>
      </c>
      <c r="AL1224" s="23" t="s">
        <v>43</v>
      </c>
      <c r="AM1224" s="40" t="str">
        <f t="shared" si="8"/>
        <v>[IP2218]</v>
      </c>
    </row>
    <row r="1225" ht="67.5" customHeight="1">
      <c r="A1225" s="41">
        <v>2219.0</v>
      </c>
      <c r="B1225" s="42" t="s">
        <v>3355</v>
      </c>
      <c r="C1225" s="43">
        <v>2023.0</v>
      </c>
      <c r="D1225" s="44" t="s">
        <v>35</v>
      </c>
      <c r="E1225" s="45" t="s">
        <v>36</v>
      </c>
      <c r="F1225" s="45" t="s">
        <v>36</v>
      </c>
      <c r="G1225" s="45" t="s">
        <v>36</v>
      </c>
      <c r="H1225" s="45" t="s">
        <v>36</v>
      </c>
      <c r="I1225" s="45" t="s">
        <v>36</v>
      </c>
      <c r="J1225" s="46" t="s">
        <v>36</v>
      </c>
      <c r="K1225" s="47" t="s">
        <v>37</v>
      </c>
      <c r="L1225" s="48" t="s">
        <v>35</v>
      </c>
      <c r="M1225" s="48" t="s">
        <v>37</v>
      </c>
      <c r="N1225" s="48" t="s">
        <v>37</v>
      </c>
      <c r="O1225" s="48" t="s">
        <v>35</v>
      </c>
      <c r="P1225" s="48" t="s">
        <v>35</v>
      </c>
      <c r="Q1225" s="48" t="s">
        <v>35</v>
      </c>
      <c r="R1225" s="48" t="s">
        <v>35</v>
      </c>
      <c r="S1225" s="49" t="s">
        <v>3356</v>
      </c>
      <c r="T1225" s="50" t="s">
        <v>3357</v>
      </c>
      <c r="U1225" s="51" t="s">
        <v>3357</v>
      </c>
      <c r="V1225" s="52">
        <f t="shared" ref="V1225:X1225" si="1231">IF(lenb(SUBSTITUTE($Z1225,V$1&amp;" (1)",""))&lt;lenb($Z1225),1,IF(lenb(SUBSTITUTE($Z1225,V$1&amp;" (2)",""))&lt;lenb($Z1225),2,IF(lenb(SUBSTITUTE($Z1225,V$1&amp;" (3)",""))&lt;lenb($Z1225),3,IF(lenb(SUBSTITUTE($Z1225,V$1&amp;" (4)",""))&lt;lenb($Z1225),4,IF(lenb(SUBSTITUTE($Z1225,V$1&amp;" (5)",""))&lt;lenb($Z1225),5,IF(lenb(SUBSTITUTE($Z1225,V$1&amp;" (6)",""))&lt;lenb($Z1225),6,IF(lenb(SUBSTITUTE($Z1225,V$1&amp;" (7)",""))&lt;lenb($Z1225),1,IF(lenb(SUBSTITUTE($Z1225,V$1&amp;" (8)",""))&lt;lenb($Z1225),8,IF(lenb(SUBSTITUTE($Z1225,V$1&amp;" (9)",""))&lt;lenb($Z1225),9,IF(lenb(SUBSTITUTE($Z1225,V$1&amp;" (10)",""))&lt;lenb($Z1225),10,IF(lenb(SUBSTITUTE($Z1225,V$1,""))&lt;lenb($Z1225),"ERROR",IF($Z1225=$Y$1,"-",0))))))))))))</f>
        <v>1</v>
      </c>
      <c r="W1225" s="52">
        <f t="shared" si="1231"/>
        <v>0</v>
      </c>
      <c r="X1225" s="52">
        <f t="shared" si="1231"/>
        <v>0</v>
      </c>
      <c r="Y1225" s="52" t="str">
        <f t="shared" si="3"/>
        <v>-</v>
      </c>
      <c r="Z1225" s="52" t="s">
        <v>62</v>
      </c>
      <c r="AA1225" s="53">
        <f t="shared" si="4"/>
        <v>1</v>
      </c>
      <c r="AB1225" s="54">
        <f>COUNTIFS(Links!B:B,"ICSE",Links!C:C,A1225,Links!AD:AD,1)</f>
        <v>0</v>
      </c>
      <c r="AC1225" s="55" t="s">
        <v>35</v>
      </c>
      <c r="AD1225" s="47" t="str">
        <f t="shared" si="5"/>
        <v>No</v>
      </c>
      <c r="AE1225" s="56" t="s">
        <v>36</v>
      </c>
      <c r="AF1225" s="57" t="s">
        <v>42</v>
      </c>
      <c r="AG1225" s="57" t="s">
        <v>42</v>
      </c>
      <c r="AH1225" s="57" t="s">
        <v>42</v>
      </c>
      <c r="AI1225" s="49" t="str">
        <f t="shared" si="661"/>
        <v>----</v>
      </c>
      <c r="AJ1225" s="58" t="str">
        <f t="shared" si="7"/>
        <v>Paper has link but no statement</v>
      </c>
      <c r="AK1225" s="59">
        <v>45070.0</v>
      </c>
      <c r="AL1225" s="43" t="s">
        <v>43</v>
      </c>
      <c r="AM1225" s="60" t="str">
        <f t="shared" si="8"/>
        <v>[IP2219]</v>
      </c>
    </row>
    <row r="1226" ht="67.5" customHeight="1">
      <c r="A1226" s="61">
        <v>2220.0</v>
      </c>
      <c r="B1226" s="22" t="s">
        <v>3358</v>
      </c>
      <c r="C1226" s="23">
        <v>2023.0</v>
      </c>
      <c r="D1226" s="24" t="s">
        <v>35</v>
      </c>
      <c r="E1226" s="25" t="s">
        <v>36</v>
      </c>
      <c r="F1226" s="25" t="s">
        <v>36</v>
      </c>
      <c r="G1226" s="25" t="s">
        <v>36</v>
      </c>
      <c r="H1226" s="25" t="s">
        <v>36</v>
      </c>
      <c r="I1226" s="25" t="s">
        <v>36</v>
      </c>
      <c r="J1226" s="26" t="s">
        <v>36</v>
      </c>
      <c r="K1226" s="27" t="s">
        <v>37</v>
      </c>
      <c r="L1226" s="28" t="s">
        <v>35</v>
      </c>
      <c r="M1226" s="28" t="s">
        <v>35</v>
      </c>
      <c r="N1226" s="28" t="s">
        <v>37</v>
      </c>
      <c r="O1226" s="28" t="s">
        <v>35</v>
      </c>
      <c r="P1226" s="28" t="s">
        <v>35</v>
      </c>
      <c r="Q1226" s="28" t="s">
        <v>35</v>
      </c>
      <c r="R1226" s="28" t="s">
        <v>35</v>
      </c>
      <c r="S1226" s="29" t="s">
        <v>289</v>
      </c>
      <c r="T1226" s="30" t="s">
        <v>3359</v>
      </c>
      <c r="U1226" s="31" t="s">
        <v>3359</v>
      </c>
      <c r="V1226" s="32">
        <f t="shared" ref="V1226:X1226" si="1232">IF(lenb(SUBSTITUTE($Z1226,V$1&amp;" (1)",""))&lt;lenb($Z1226),1,IF(lenb(SUBSTITUTE($Z1226,V$1&amp;" (2)",""))&lt;lenb($Z1226),2,IF(lenb(SUBSTITUTE($Z1226,V$1&amp;" (3)",""))&lt;lenb($Z1226),3,IF(lenb(SUBSTITUTE($Z1226,V$1&amp;" (4)",""))&lt;lenb($Z1226),4,IF(lenb(SUBSTITUTE($Z1226,V$1&amp;" (5)",""))&lt;lenb($Z1226),5,IF(lenb(SUBSTITUTE($Z1226,V$1&amp;" (6)",""))&lt;lenb($Z1226),6,IF(lenb(SUBSTITUTE($Z1226,V$1&amp;" (7)",""))&lt;lenb($Z1226),1,IF(lenb(SUBSTITUTE($Z1226,V$1&amp;" (8)",""))&lt;lenb($Z1226),8,IF(lenb(SUBSTITUTE($Z1226,V$1&amp;" (9)",""))&lt;lenb($Z1226),9,IF(lenb(SUBSTITUTE($Z1226,V$1&amp;" (10)",""))&lt;lenb($Z1226),10,IF(lenb(SUBSTITUTE($Z1226,V$1,""))&lt;lenb($Z1226),"ERROR",IF($Z1226=$Y$1,"-",0))))))))))))</f>
        <v>1</v>
      </c>
      <c r="W1226" s="32">
        <f t="shared" si="1232"/>
        <v>0</v>
      </c>
      <c r="X1226" s="32">
        <f t="shared" si="1232"/>
        <v>0</v>
      </c>
      <c r="Y1226" s="32" t="str">
        <f t="shared" si="3"/>
        <v>-</v>
      </c>
      <c r="Z1226" s="32" t="s">
        <v>62</v>
      </c>
      <c r="AA1226" s="33">
        <f t="shared" si="4"/>
        <v>1</v>
      </c>
      <c r="AB1226" s="34">
        <f>COUNTIFS(Links!B:B,"ICSE",Links!C:C,A1226,Links!AD:AD,1)</f>
        <v>0</v>
      </c>
      <c r="AC1226" s="35" t="s">
        <v>35</v>
      </c>
      <c r="AD1226" s="27" t="str">
        <f t="shared" si="5"/>
        <v>No</v>
      </c>
      <c r="AE1226" s="36" t="s">
        <v>36</v>
      </c>
      <c r="AF1226" s="37" t="s">
        <v>42</v>
      </c>
      <c r="AG1226" s="37" t="s">
        <v>42</v>
      </c>
      <c r="AH1226" s="37" t="s">
        <v>42</v>
      </c>
      <c r="AI1226" s="29" t="str">
        <f t="shared" si="661"/>
        <v>----</v>
      </c>
      <c r="AJ1226" s="38" t="str">
        <f t="shared" si="7"/>
        <v>Paper has link but no statement</v>
      </c>
      <c r="AK1226" s="39">
        <v>45070.0</v>
      </c>
      <c r="AL1226" s="23" t="s">
        <v>43</v>
      </c>
      <c r="AM1226" s="40" t="str">
        <f t="shared" si="8"/>
        <v>[IP2220]</v>
      </c>
    </row>
    <row r="1227" ht="67.5" customHeight="1">
      <c r="A1227" s="41">
        <v>2221.0</v>
      </c>
      <c r="B1227" s="42" t="s">
        <v>3360</v>
      </c>
      <c r="C1227" s="43">
        <v>2023.0</v>
      </c>
      <c r="D1227" s="44" t="s">
        <v>35</v>
      </c>
      <c r="E1227" s="45" t="s">
        <v>36</v>
      </c>
      <c r="F1227" s="45" t="s">
        <v>36</v>
      </c>
      <c r="G1227" s="45" t="s">
        <v>36</v>
      </c>
      <c r="H1227" s="45" t="s">
        <v>36</v>
      </c>
      <c r="I1227" s="45" t="s">
        <v>36</v>
      </c>
      <c r="J1227" s="46" t="s">
        <v>36</v>
      </c>
      <c r="K1227" s="47" t="s">
        <v>37</v>
      </c>
      <c r="L1227" s="48" t="s">
        <v>35</v>
      </c>
      <c r="M1227" s="48" t="s">
        <v>37</v>
      </c>
      <c r="N1227" s="48" t="s">
        <v>35</v>
      </c>
      <c r="O1227" s="48" t="s">
        <v>35</v>
      </c>
      <c r="P1227" s="48" t="s">
        <v>35</v>
      </c>
      <c r="Q1227" s="48" t="s">
        <v>37</v>
      </c>
      <c r="R1227" s="48" t="s">
        <v>37</v>
      </c>
      <c r="S1227" s="49" t="s">
        <v>3361</v>
      </c>
      <c r="T1227" s="50" t="s">
        <v>3362</v>
      </c>
      <c r="U1227" s="51" t="s">
        <v>3362</v>
      </c>
      <c r="V1227" s="52">
        <f t="shared" ref="V1227:X1227" si="1233">IF(lenb(SUBSTITUTE($Z1227,V$1&amp;" (1)",""))&lt;lenb($Z1227),1,IF(lenb(SUBSTITUTE($Z1227,V$1&amp;" (2)",""))&lt;lenb($Z1227),2,IF(lenb(SUBSTITUTE($Z1227,V$1&amp;" (3)",""))&lt;lenb($Z1227),3,IF(lenb(SUBSTITUTE($Z1227,V$1&amp;" (4)",""))&lt;lenb($Z1227),4,IF(lenb(SUBSTITUTE($Z1227,V$1&amp;" (5)",""))&lt;lenb($Z1227),5,IF(lenb(SUBSTITUTE($Z1227,V$1&amp;" (6)",""))&lt;lenb($Z1227),6,IF(lenb(SUBSTITUTE($Z1227,V$1&amp;" (7)",""))&lt;lenb($Z1227),1,IF(lenb(SUBSTITUTE($Z1227,V$1&amp;" (8)",""))&lt;lenb($Z1227),8,IF(lenb(SUBSTITUTE($Z1227,V$1&amp;" (9)",""))&lt;lenb($Z1227),9,IF(lenb(SUBSTITUTE($Z1227,V$1&amp;" (10)",""))&lt;lenb($Z1227),10,IF(lenb(SUBSTITUTE($Z1227,V$1,""))&lt;lenb($Z1227),"ERROR",IF($Z1227=$Y$1,"-",0))))))))))))</f>
        <v>1</v>
      </c>
      <c r="W1227" s="52">
        <f t="shared" si="1233"/>
        <v>0</v>
      </c>
      <c r="X1227" s="52">
        <f t="shared" si="1233"/>
        <v>0</v>
      </c>
      <c r="Y1227" s="52" t="str">
        <f t="shared" si="3"/>
        <v>-</v>
      </c>
      <c r="Z1227" s="52" t="s">
        <v>62</v>
      </c>
      <c r="AA1227" s="53">
        <f t="shared" si="4"/>
        <v>1</v>
      </c>
      <c r="AB1227" s="54">
        <f>COUNTIFS(Links!B:B,"ICSE",Links!C:C,A1227,Links!AD:AD,1)</f>
        <v>0</v>
      </c>
      <c r="AC1227" s="55" t="s">
        <v>35</v>
      </c>
      <c r="AD1227" s="47" t="str">
        <f t="shared" si="5"/>
        <v>No</v>
      </c>
      <c r="AE1227" s="56" t="s">
        <v>36</v>
      </c>
      <c r="AF1227" s="57" t="s">
        <v>42</v>
      </c>
      <c r="AG1227" s="57" t="s">
        <v>42</v>
      </c>
      <c r="AH1227" s="57" t="s">
        <v>42</v>
      </c>
      <c r="AI1227" s="49" t="str">
        <f t="shared" si="661"/>
        <v>----</v>
      </c>
      <c r="AJ1227" s="58" t="str">
        <f t="shared" si="7"/>
        <v>Paper has link but no statement</v>
      </c>
      <c r="AK1227" s="59">
        <v>45070.0</v>
      </c>
      <c r="AL1227" s="43" t="s">
        <v>43</v>
      </c>
      <c r="AM1227" s="60" t="str">
        <f t="shared" si="8"/>
        <v>[IP2221]</v>
      </c>
    </row>
    <row r="1228" ht="67.5" customHeight="1">
      <c r="A1228" s="61">
        <v>2222.0</v>
      </c>
      <c r="B1228" s="22" t="s">
        <v>3363</v>
      </c>
      <c r="C1228" s="23">
        <v>2023.0</v>
      </c>
      <c r="D1228" s="24" t="s">
        <v>35</v>
      </c>
      <c r="E1228" s="25" t="s">
        <v>36</v>
      </c>
      <c r="F1228" s="25" t="s">
        <v>36</v>
      </c>
      <c r="G1228" s="25" t="s">
        <v>36</v>
      </c>
      <c r="H1228" s="25" t="s">
        <v>36</v>
      </c>
      <c r="I1228" s="25" t="s">
        <v>36</v>
      </c>
      <c r="J1228" s="26" t="s">
        <v>36</v>
      </c>
      <c r="K1228" s="27" t="s">
        <v>37</v>
      </c>
      <c r="L1228" s="28" t="s">
        <v>35</v>
      </c>
      <c r="M1228" s="28" t="s">
        <v>37</v>
      </c>
      <c r="N1228" s="28" t="s">
        <v>35</v>
      </c>
      <c r="O1228" s="28" t="s">
        <v>35</v>
      </c>
      <c r="P1228" s="28" t="s">
        <v>35</v>
      </c>
      <c r="Q1228" s="28" t="s">
        <v>35</v>
      </c>
      <c r="R1228" s="28" t="s">
        <v>37</v>
      </c>
      <c r="S1228" s="29" t="s">
        <v>3364</v>
      </c>
      <c r="T1228" s="30" t="s">
        <v>3365</v>
      </c>
      <c r="U1228" s="31" t="s">
        <v>3365</v>
      </c>
      <c r="V1228" s="32">
        <f t="shared" ref="V1228:X1228" si="1234">IF(lenb(SUBSTITUTE($Z1228,V$1&amp;" (1)",""))&lt;lenb($Z1228),1,IF(lenb(SUBSTITUTE($Z1228,V$1&amp;" (2)",""))&lt;lenb($Z1228),2,IF(lenb(SUBSTITUTE($Z1228,V$1&amp;" (3)",""))&lt;lenb($Z1228),3,IF(lenb(SUBSTITUTE($Z1228,V$1&amp;" (4)",""))&lt;lenb($Z1228),4,IF(lenb(SUBSTITUTE($Z1228,V$1&amp;" (5)",""))&lt;lenb($Z1228),5,IF(lenb(SUBSTITUTE($Z1228,V$1&amp;" (6)",""))&lt;lenb($Z1228),6,IF(lenb(SUBSTITUTE($Z1228,V$1&amp;" (7)",""))&lt;lenb($Z1228),1,IF(lenb(SUBSTITUTE($Z1228,V$1&amp;" (8)",""))&lt;lenb($Z1228),8,IF(lenb(SUBSTITUTE($Z1228,V$1&amp;" (9)",""))&lt;lenb($Z1228),9,IF(lenb(SUBSTITUTE($Z1228,V$1&amp;" (10)",""))&lt;lenb($Z1228),10,IF(lenb(SUBSTITUTE($Z1228,V$1,""))&lt;lenb($Z1228),"ERROR",IF($Z1228=$Y$1,"-",0))))))))))))</f>
        <v>1</v>
      </c>
      <c r="W1228" s="32">
        <f t="shared" si="1234"/>
        <v>0</v>
      </c>
      <c r="X1228" s="32">
        <f t="shared" si="1234"/>
        <v>0</v>
      </c>
      <c r="Y1228" s="32" t="str">
        <f t="shared" si="3"/>
        <v>-</v>
      </c>
      <c r="Z1228" s="32" t="s">
        <v>62</v>
      </c>
      <c r="AA1228" s="33">
        <f t="shared" si="4"/>
        <v>1</v>
      </c>
      <c r="AB1228" s="34">
        <f>COUNTIFS(Links!B:B,"ICSE",Links!C:C,A1228,Links!AD:AD,1)</f>
        <v>0</v>
      </c>
      <c r="AC1228" s="35" t="s">
        <v>35</v>
      </c>
      <c r="AD1228" s="27" t="str">
        <f t="shared" si="5"/>
        <v>Yes</v>
      </c>
      <c r="AE1228" s="36" t="s">
        <v>3366</v>
      </c>
      <c r="AF1228" s="36" t="s">
        <v>1787</v>
      </c>
      <c r="AG1228" s="37" t="s">
        <v>42</v>
      </c>
      <c r="AH1228" s="37" t="s">
        <v>42</v>
      </c>
      <c r="AI1228" s="29" t="str">
        <f t="shared" si="661"/>
        <v>Barriers (Security issues)</v>
      </c>
      <c r="AJ1228" s="38" t="str">
        <f t="shared" si="7"/>
        <v>Paper has link and statement</v>
      </c>
      <c r="AK1228" s="39">
        <v>45070.0</v>
      </c>
      <c r="AL1228" s="23" t="s">
        <v>43</v>
      </c>
      <c r="AM1228" s="40" t="str">
        <f t="shared" si="8"/>
        <v>[IP2222]</v>
      </c>
    </row>
    <row r="1229" ht="67.5" customHeight="1">
      <c r="A1229" s="62">
        <v>2223.0</v>
      </c>
      <c r="B1229" s="42" t="s">
        <v>3367</v>
      </c>
      <c r="C1229" s="43">
        <v>2023.0</v>
      </c>
      <c r="D1229" s="44" t="s">
        <v>37</v>
      </c>
      <c r="E1229" s="45" t="s">
        <v>37</v>
      </c>
      <c r="F1229" s="45" t="s">
        <v>35</v>
      </c>
      <c r="G1229" s="45" t="s">
        <v>37</v>
      </c>
      <c r="H1229" s="45" t="s">
        <v>35</v>
      </c>
      <c r="I1229" s="45" t="s">
        <v>35</v>
      </c>
      <c r="J1229" s="46" t="s">
        <v>36</v>
      </c>
      <c r="K1229" s="47" t="s">
        <v>37</v>
      </c>
      <c r="L1229" s="48" t="s">
        <v>35</v>
      </c>
      <c r="M1229" s="48" t="s">
        <v>35</v>
      </c>
      <c r="N1229" s="48" t="s">
        <v>35</v>
      </c>
      <c r="O1229" s="48" t="s">
        <v>35</v>
      </c>
      <c r="P1229" s="48" t="s">
        <v>35</v>
      </c>
      <c r="Q1229" s="48" t="s">
        <v>37</v>
      </c>
      <c r="R1229" s="48" t="s">
        <v>35</v>
      </c>
      <c r="S1229" s="49" t="s">
        <v>2937</v>
      </c>
      <c r="T1229" s="50" t="s">
        <v>3368</v>
      </c>
      <c r="U1229" s="51" t="s">
        <v>3369</v>
      </c>
      <c r="V1229" s="52">
        <f t="shared" ref="V1229:X1229" si="1235">IF(lenb(SUBSTITUTE($Z1229,V$1&amp;" (1)",""))&lt;lenb($Z1229),1,IF(lenb(SUBSTITUTE($Z1229,V$1&amp;" (2)",""))&lt;lenb($Z1229),2,IF(lenb(SUBSTITUTE($Z1229,V$1&amp;" (3)",""))&lt;lenb($Z1229),3,IF(lenb(SUBSTITUTE($Z1229,V$1&amp;" (4)",""))&lt;lenb($Z1229),4,IF(lenb(SUBSTITUTE($Z1229,V$1&amp;" (5)",""))&lt;lenb($Z1229),5,IF(lenb(SUBSTITUTE($Z1229,V$1&amp;" (6)",""))&lt;lenb($Z1229),6,IF(lenb(SUBSTITUTE($Z1229,V$1&amp;" (7)",""))&lt;lenb($Z1229),1,IF(lenb(SUBSTITUTE($Z1229,V$1&amp;" (8)",""))&lt;lenb($Z1229),8,IF(lenb(SUBSTITUTE($Z1229,V$1&amp;" (9)",""))&lt;lenb($Z1229),9,IF(lenb(SUBSTITUTE($Z1229,V$1&amp;" (10)",""))&lt;lenb($Z1229),10,IF(lenb(SUBSTITUTE($Z1229,V$1,""))&lt;lenb($Z1229),"ERROR",IF($Z1229=$Y$1,"-",0))))))))))))</f>
        <v>1</v>
      </c>
      <c r="W1229" s="52">
        <f t="shared" si="1235"/>
        <v>0</v>
      </c>
      <c r="X1229" s="52">
        <f t="shared" si="1235"/>
        <v>0</v>
      </c>
      <c r="Y1229" s="52" t="str">
        <f t="shared" si="3"/>
        <v>-</v>
      </c>
      <c r="Z1229" s="52" t="s">
        <v>62</v>
      </c>
      <c r="AA1229" s="53">
        <f t="shared" si="4"/>
        <v>1</v>
      </c>
      <c r="AB1229" s="54">
        <f>COUNTIFS(Links!B:B,"ICSE",Links!C:C,A1229,Links!AD:AD,1)</f>
        <v>0</v>
      </c>
      <c r="AC1229" s="55" t="s">
        <v>37</v>
      </c>
      <c r="AD1229" s="47" t="str">
        <f t="shared" si="5"/>
        <v>No</v>
      </c>
      <c r="AE1229" s="56" t="s">
        <v>36</v>
      </c>
      <c r="AF1229" s="57" t="s">
        <v>42</v>
      </c>
      <c r="AG1229" s="57" t="s">
        <v>42</v>
      </c>
      <c r="AH1229" s="57" t="s">
        <v>42</v>
      </c>
      <c r="AI1229" s="49" t="str">
        <f t="shared" si="661"/>
        <v>----</v>
      </c>
      <c r="AJ1229" s="58" t="str">
        <f t="shared" si="7"/>
        <v>Paper has link but no statement</v>
      </c>
      <c r="AK1229" s="59">
        <v>45070.0</v>
      </c>
      <c r="AL1229" s="43" t="s">
        <v>43</v>
      </c>
      <c r="AM1229" s="60" t="str">
        <f t="shared" si="8"/>
        <v>[IP2223]</v>
      </c>
    </row>
    <row r="1230" ht="67.5" customHeight="1">
      <c r="A1230" s="61">
        <v>2224.0</v>
      </c>
      <c r="B1230" s="22" t="s">
        <v>3370</v>
      </c>
      <c r="C1230" s="23">
        <v>2023.0</v>
      </c>
      <c r="D1230" s="24" t="s">
        <v>35</v>
      </c>
      <c r="E1230" s="25" t="s">
        <v>36</v>
      </c>
      <c r="F1230" s="25" t="s">
        <v>36</v>
      </c>
      <c r="G1230" s="25" t="s">
        <v>36</v>
      </c>
      <c r="H1230" s="25" t="s">
        <v>36</v>
      </c>
      <c r="I1230" s="25" t="s">
        <v>36</v>
      </c>
      <c r="J1230" s="26" t="s">
        <v>36</v>
      </c>
      <c r="K1230" s="27" t="s">
        <v>37</v>
      </c>
      <c r="L1230" s="28" t="s">
        <v>35</v>
      </c>
      <c r="M1230" s="28" t="s">
        <v>37</v>
      </c>
      <c r="N1230" s="28" t="s">
        <v>37</v>
      </c>
      <c r="O1230" s="28" t="s">
        <v>35</v>
      </c>
      <c r="P1230" s="28" t="s">
        <v>35</v>
      </c>
      <c r="Q1230" s="28" t="s">
        <v>37</v>
      </c>
      <c r="R1230" s="28" t="s">
        <v>37</v>
      </c>
      <c r="S1230" s="29" t="s">
        <v>3371</v>
      </c>
      <c r="T1230" s="30" t="s">
        <v>3372</v>
      </c>
      <c r="U1230" s="31" t="s">
        <v>3372</v>
      </c>
      <c r="V1230" s="32">
        <f t="shared" ref="V1230:X1230" si="1236">IF(lenb(SUBSTITUTE($Z1230,V$1&amp;" (1)",""))&lt;lenb($Z1230),1,IF(lenb(SUBSTITUTE($Z1230,V$1&amp;" (2)",""))&lt;lenb($Z1230),2,IF(lenb(SUBSTITUTE($Z1230,V$1&amp;" (3)",""))&lt;lenb($Z1230),3,IF(lenb(SUBSTITUTE($Z1230,V$1&amp;" (4)",""))&lt;lenb($Z1230),4,IF(lenb(SUBSTITUTE($Z1230,V$1&amp;" (5)",""))&lt;lenb($Z1230),5,IF(lenb(SUBSTITUTE($Z1230,V$1&amp;" (6)",""))&lt;lenb($Z1230),6,IF(lenb(SUBSTITUTE($Z1230,V$1&amp;" (7)",""))&lt;lenb($Z1230),1,IF(lenb(SUBSTITUTE($Z1230,V$1&amp;" (8)",""))&lt;lenb($Z1230),8,IF(lenb(SUBSTITUTE($Z1230,V$1&amp;" (9)",""))&lt;lenb($Z1230),9,IF(lenb(SUBSTITUTE($Z1230,V$1&amp;" (10)",""))&lt;lenb($Z1230),10,IF(lenb(SUBSTITUTE($Z1230,V$1,""))&lt;lenb($Z1230),"ERROR",IF($Z1230=$Y$1,"-",0))))))))))))</f>
        <v>1</v>
      </c>
      <c r="W1230" s="32">
        <f t="shared" si="1236"/>
        <v>0</v>
      </c>
      <c r="X1230" s="32">
        <f t="shared" si="1236"/>
        <v>0</v>
      </c>
      <c r="Y1230" s="32" t="str">
        <f t="shared" si="3"/>
        <v>-</v>
      </c>
      <c r="Z1230" s="32" t="s">
        <v>62</v>
      </c>
      <c r="AA1230" s="33">
        <f t="shared" si="4"/>
        <v>1</v>
      </c>
      <c r="AB1230" s="34">
        <f>COUNTIFS(Links!B:B,"ICSE",Links!C:C,A1230,Links!AD:AD,1)</f>
        <v>0</v>
      </c>
      <c r="AC1230" s="35" t="s">
        <v>35</v>
      </c>
      <c r="AD1230" s="27" t="str">
        <f t="shared" si="5"/>
        <v>No</v>
      </c>
      <c r="AE1230" s="36" t="s">
        <v>36</v>
      </c>
      <c r="AF1230" s="37" t="s">
        <v>42</v>
      </c>
      <c r="AG1230" s="37" t="s">
        <v>42</v>
      </c>
      <c r="AH1230" s="37" t="s">
        <v>42</v>
      </c>
      <c r="AI1230" s="29" t="str">
        <f t="shared" si="661"/>
        <v>----</v>
      </c>
      <c r="AJ1230" s="38" t="str">
        <f t="shared" si="7"/>
        <v>Paper has link but no statement</v>
      </c>
      <c r="AK1230" s="39">
        <v>45070.0</v>
      </c>
      <c r="AL1230" s="23" t="s">
        <v>43</v>
      </c>
      <c r="AM1230" s="40" t="str">
        <f t="shared" si="8"/>
        <v>[IP2224]</v>
      </c>
    </row>
    <row r="1231" ht="67.5" customHeight="1">
      <c r="A1231" s="41">
        <v>2225.0</v>
      </c>
      <c r="B1231" s="42" t="s">
        <v>3373</v>
      </c>
      <c r="C1231" s="43">
        <v>2023.0</v>
      </c>
      <c r="D1231" s="44" t="s">
        <v>35</v>
      </c>
      <c r="E1231" s="45" t="s">
        <v>36</v>
      </c>
      <c r="F1231" s="45" t="s">
        <v>36</v>
      </c>
      <c r="G1231" s="45" t="s">
        <v>36</v>
      </c>
      <c r="H1231" s="45" t="s">
        <v>36</v>
      </c>
      <c r="I1231" s="45" t="s">
        <v>36</v>
      </c>
      <c r="J1231" s="46" t="s">
        <v>36</v>
      </c>
      <c r="K1231" s="47" t="s">
        <v>37</v>
      </c>
      <c r="L1231" s="48" t="s">
        <v>37</v>
      </c>
      <c r="M1231" s="48" t="s">
        <v>37</v>
      </c>
      <c r="N1231" s="48" t="s">
        <v>35</v>
      </c>
      <c r="O1231" s="48" t="s">
        <v>35</v>
      </c>
      <c r="P1231" s="48" t="s">
        <v>35</v>
      </c>
      <c r="Q1231" s="48" t="s">
        <v>35</v>
      </c>
      <c r="R1231" s="48" t="s">
        <v>37</v>
      </c>
      <c r="S1231" s="49" t="s">
        <v>3374</v>
      </c>
      <c r="T1231" s="50" t="s">
        <v>3375</v>
      </c>
      <c r="U1231" s="51" t="s">
        <v>3375</v>
      </c>
      <c r="V1231" s="52">
        <f t="shared" ref="V1231:X1231" si="1237">IF(lenb(SUBSTITUTE($Z1231,V$1&amp;" (1)",""))&lt;lenb($Z1231),1,IF(lenb(SUBSTITUTE($Z1231,V$1&amp;" (2)",""))&lt;lenb($Z1231),2,IF(lenb(SUBSTITUTE($Z1231,V$1&amp;" (3)",""))&lt;lenb($Z1231),3,IF(lenb(SUBSTITUTE($Z1231,V$1&amp;" (4)",""))&lt;lenb($Z1231),4,IF(lenb(SUBSTITUTE($Z1231,V$1&amp;" (5)",""))&lt;lenb($Z1231),5,IF(lenb(SUBSTITUTE($Z1231,V$1&amp;" (6)",""))&lt;lenb($Z1231),6,IF(lenb(SUBSTITUTE($Z1231,V$1&amp;" (7)",""))&lt;lenb($Z1231),1,IF(lenb(SUBSTITUTE($Z1231,V$1&amp;" (8)",""))&lt;lenb($Z1231),8,IF(lenb(SUBSTITUTE($Z1231,V$1&amp;" (9)",""))&lt;lenb($Z1231),9,IF(lenb(SUBSTITUTE($Z1231,V$1&amp;" (10)",""))&lt;lenb($Z1231),10,IF(lenb(SUBSTITUTE($Z1231,V$1,""))&lt;lenb($Z1231),"ERROR",IF($Z1231=$Y$1,"-",0))))))))))))</f>
        <v>2</v>
      </c>
      <c r="W1231" s="52">
        <f t="shared" si="1237"/>
        <v>0</v>
      </c>
      <c r="X1231" s="52">
        <f t="shared" si="1237"/>
        <v>0</v>
      </c>
      <c r="Y1231" s="52" t="str">
        <f t="shared" si="3"/>
        <v>-</v>
      </c>
      <c r="Z1231" s="52" t="s">
        <v>57</v>
      </c>
      <c r="AA1231" s="53">
        <f t="shared" si="4"/>
        <v>2</v>
      </c>
      <c r="AB1231" s="54">
        <f>COUNTIFS(Links!B:B,"ICSE",Links!C:C,A1231,Links!AD:AD,1)</f>
        <v>0</v>
      </c>
      <c r="AC1231" s="55" t="s">
        <v>37</v>
      </c>
      <c r="AD1231" s="47" t="str">
        <f t="shared" si="5"/>
        <v>No</v>
      </c>
      <c r="AE1231" s="56" t="s">
        <v>36</v>
      </c>
      <c r="AF1231" s="57" t="s">
        <v>42</v>
      </c>
      <c r="AG1231" s="57" t="s">
        <v>42</v>
      </c>
      <c r="AH1231" s="57" t="s">
        <v>42</v>
      </c>
      <c r="AI1231" s="49" t="str">
        <f t="shared" si="661"/>
        <v>----</v>
      </c>
      <c r="AJ1231" s="58" t="str">
        <f t="shared" si="7"/>
        <v>Paper has link but no statement</v>
      </c>
      <c r="AK1231" s="59">
        <v>45070.0</v>
      </c>
      <c r="AL1231" s="43" t="s">
        <v>43</v>
      </c>
      <c r="AM1231" s="60" t="str">
        <f t="shared" si="8"/>
        <v>[IP2225]</v>
      </c>
    </row>
    <row r="1232" ht="67.5" customHeight="1">
      <c r="A1232" s="61">
        <v>2226.0</v>
      </c>
      <c r="B1232" s="22" t="s">
        <v>3376</v>
      </c>
      <c r="C1232" s="23">
        <v>2023.0</v>
      </c>
      <c r="D1232" s="24" t="s">
        <v>35</v>
      </c>
      <c r="E1232" s="25" t="s">
        <v>36</v>
      </c>
      <c r="F1232" s="25" t="s">
        <v>36</v>
      </c>
      <c r="G1232" s="25" t="s">
        <v>36</v>
      </c>
      <c r="H1232" s="25" t="s">
        <v>36</v>
      </c>
      <c r="I1232" s="25" t="s">
        <v>36</v>
      </c>
      <c r="J1232" s="26" t="s">
        <v>36</v>
      </c>
      <c r="K1232" s="27" t="s">
        <v>37</v>
      </c>
      <c r="L1232" s="28" t="s">
        <v>35</v>
      </c>
      <c r="M1232" s="28" t="s">
        <v>37</v>
      </c>
      <c r="N1232" s="28" t="s">
        <v>37</v>
      </c>
      <c r="O1232" s="28" t="s">
        <v>35</v>
      </c>
      <c r="P1232" s="28" t="s">
        <v>35</v>
      </c>
      <c r="Q1232" s="28" t="s">
        <v>35</v>
      </c>
      <c r="R1232" s="28" t="s">
        <v>35</v>
      </c>
      <c r="S1232" s="29" t="s">
        <v>792</v>
      </c>
      <c r="T1232" s="30" t="s">
        <v>3377</v>
      </c>
      <c r="U1232" s="31" t="s">
        <v>3377</v>
      </c>
      <c r="V1232" s="32">
        <f t="shared" ref="V1232:X1232" si="1238">IF(lenb(SUBSTITUTE($Z1232,V$1&amp;" (1)",""))&lt;lenb($Z1232),1,IF(lenb(SUBSTITUTE($Z1232,V$1&amp;" (2)",""))&lt;lenb($Z1232),2,IF(lenb(SUBSTITUTE($Z1232,V$1&amp;" (3)",""))&lt;lenb($Z1232),3,IF(lenb(SUBSTITUTE($Z1232,V$1&amp;" (4)",""))&lt;lenb($Z1232),4,IF(lenb(SUBSTITUTE($Z1232,V$1&amp;" (5)",""))&lt;lenb($Z1232),5,IF(lenb(SUBSTITUTE($Z1232,V$1&amp;" (6)",""))&lt;lenb($Z1232),6,IF(lenb(SUBSTITUTE($Z1232,V$1&amp;" (7)",""))&lt;lenb($Z1232),1,IF(lenb(SUBSTITUTE($Z1232,V$1&amp;" (8)",""))&lt;lenb($Z1232),8,IF(lenb(SUBSTITUTE($Z1232,V$1&amp;" (9)",""))&lt;lenb($Z1232),9,IF(lenb(SUBSTITUTE($Z1232,V$1&amp;" (10)",""))&lt;lenb($Z1232),10,IF(lenb(SUBSTITUTE($Z1232,V$1,""))&lt;lenb($Z1232),"ERROR",IF($Z1232=$Y$1,"-",0))))))))))))</f>
        <v>1</v>
      </c>
      <c r="W1232" s="32">
        <f t="shared" si="1238"/>
        <v>0</v>
      </c>
      <c r="X1232" s="32">
        <f t="shared" si="1238"/>
        <v>0</v>
      </c>
      <c r="Y1232" s="32" t="str">
        <f t="shared" si="3"/>
        <v>-</v>
      </c>
      <c r="Z1232" s="32" t="s">
        <v>62</v>
      </c>
      <c r="AA1232" s="33">
        <f t="shared" si="4"/>
        <v>1</v>
      </c>
      <c r="AB1232" s="34">
        <f>COUNTIFS(Links!B:B,"ICSE",Links!C:C,A1232,Links!AD:AD,1)</f>
        <v>0</v>
      </c>
      <c r="AC1232" s="35" t="s">
        <v>37</v>
      </c>
      <c r="AD1232" s="27" t="str">
        <f t="shared" si="5"/>
        <v>No</v>
      </c>
      <c r="AE1232" s="36" t="s">
        <v>36</v>
      </c>
      <c r="AF1232" s="37" t="s">
        <v>42</v>
      </c>
      <c r="AG1232" s="37" t="s">
        <v>42</v>
      </c>
      <c r="AH1232" s="37" t="s">
        <v>42</v>
      </c>
      <c r="AI1232" s="29" t="str">
        <f t="shared" si="661"/>
        <v>----</v>
      </c>
      <c r="AJ1232" s="38" t="str">
        <f t="shared" si="7"/>
        <v>Paper has link but no statement</v>
      </c>
      <c r="AK1232" s="39">
        <v>45070.0</v>
      </c>
      <c r="AL1232" s="23" t="s">
        <v>43</v>
      </c>
      <c r="AM1232" s="40" t="str">
        <f t="shared" si="8"/>
        <v>[IP2226]</v>
      </c>
    </row>
    <row r="1233" ht="67.5" customHeight="1">
      <c r="A1233" s="41">
        <v>2227.0</v>
      </c>
      <c r="B1233" s="42" t="s">
        <v>3378</v>
      </c>
      <c r="C1233" s="43">
        <v>2023.0</v>
      </c>
      <c r="D1233" s="44" t="s">
        <v>35</v>
      </c>
      <c r="E1233" s="45" t="s">
        <v>36</v>
      </c>
      <c r="F1233" s="45" t="s">
        <v>36</v>
      </c>
      <c r="G1233" s="45" t="s">
        <v>36</v>
      </c>
      <c r="H1233" s="45" t="s">
        <v>36</v>
      </c>
      <c r="I1233" s="45" t="s">
        <v>36</v>
      </c>
      <c r="J1233" s="46" t="s">
        <v>36</v>
      </c>
      <c r="K1233" s="47" t="s">
        <v>37</v>
      </c>
      <c r="L1233" s="48" t="s">
        <v>35</v>
      </c>
      <c r="M1233" s="48" t="s">
        <v>37</v>
      </c>
      <c r="N1233" s="48" t="s">
        <v>35</v>
      </c>
      <c r="O1233" s="48" t="s">
        <v>35</v>
      </c>
      <c r="P1233" s="48" t="s">
        <v>35</v>
      </c>
      <c r="Q1233" s="48" t="s">
        <v>35</v>
      </c>
      <c r="R1233" s="48" t="s">
        <v>37</v>
      </c>
      <c r="S1233" s="49" t="s">
        <v>3379</v>
      </c>
      <c r="T1233" s="50" t="s">
        <v>3380</v>
      </c>
      <c r="U1233" s="51" t="s">
        <v>3380</v>
      </c>
      <c r="V1233" s="52">
        <f t="shared" ref="V1233:X1233" si="1239">IF(lenb(SUBSTITUTE($Z1233,V$1&amp;" (1)",""))&lt;lenb($Z1233),1,IF(lenb(SUBSTITUTE($Z1233,V$1&amp;" (2)",""))&lt;lenb($Z1233),2,IF(lenb(SUBSTITUTE($Z1233,V$1&amp;" (3)",""))&lt;lenb($Z1233),3,IF(lenb(SUBSTITUTE($Z1233,V$1&amp;" (4)",""))&lt;lenb($Z1233),4,IF(lenb(SUBSTITUTE($Z1233,V$1&amp;" (5)",""))&lt;lenb($Z1233),5,IF(lenb(SUBSTITUTE($Z1233,V$1&amp;" (6)",""))&lt;lenb($Z1233),6,IF(lenb(SUBSTITUTE($Z1233,V$1&amp;" (7)",""))&lt;lenb($Z1233),1,IF(lenb(SUBSTITUTE($Z1233,V$1&amp;" (8)",""))&lt;lenb($Z1233),8,IF(lenb(SUBSTITUTE($Z1233,V$1&amp;" (9)",""))&lt;lenb($Z1233),9,IF(lenb(SUBSTITUTE($Z1233,V$1&amp;" (10)",""))&lt;lenb($Z1233),10,IF(lenb(SUBSTITUTE($Z1233,V$1,""))&lt;lenb($Z1233),"ERROR",IF($Z1233=$Y$1,"-",0))))))))))))</f>
        <v>2</v>
      </c>
      <c r="W1233" s="52">
        <f t="shared" si="1239"/>
        <v>0</v>
      </c>
      <c r="X1233" s="52">
        <f t="shared" si="1239"/>
        <v>0</v>
      </c>
      <c r="Y1233" s="52" t="str">
        <f t="shared" si="3"/>
        <v>-</v>
      </c>
      <c r="Z1233" s="52" t="s">
        <v>57</v>
      </c>
      <c r="AA1233" s="53">
        <f t="shared" si="4"/>
        <v>2</v>
      </c>
      <c r="AB1233" s="54">
        <f>COUNTIFS(Links!B:B,"ICSE",Links!C:C,A1233,Links!AD:AD,1)</f>
        <v>0</v>
      </c>
      <c r="AC1233" s="55" t="s">
        <v>37</v>
      </c>
      <c r="AD1233" s="47" t="str">
        <f t="shared" si="5"/>
        <v>No</v>
      </c>
      <c r="AE1233" s="56" t="s">
        <v>36</v>
      </c>
      <c r="AF1233" s="57" t="s">
        <v>42</v>
      </c>
      <c r="AG1233" s="57" t="s">
        <v>42</v>
      </c>
      <c r="AH1233" s="57" t="s">
        <v>42</v>
      </c>
      <c r="AI1233" s="49" t="str">
        <f t="shared" si="661"/>
        <v>----</v>
      </c>
      <c r="AJ1233" s="58" t="str">
        <f t="shared" si="7"/>
        <v>Paper has link but no statement</v>
      </c>
      <c r="AK1233" s="59">
        <v>45070.0</v>
      </c>
      <c r="AL1233" s="43" t="s">
        <v>43</v>
      </c>
      <c r="AM1233" s="60" t="str">
        <f t="shared" si="8"/>
        <v>[IP2227]</v>
      </c>
    </row>
    <row r="1234" ht="67.5" customHeight="1">
      <c r="A1234" s="61">
        <v>2228.0</v>
      </c>
      <c r="B1234" s="22" t="s">
        <v>3381</v>
      </c>
      <c r="C1234" s="23">
        <v>2023.0</v>
      </c>
      <c r="D1234" s="24" t="s">
        <v>37</v>
      </c>
      <c r="E1234" s="25" t="s">
        <v>37</v>
      </c>
      <c r="F1234" s="25" t="s">
        <v>35</v>
      </c>
      <c r="G1234" s="25" t="s">
        <v>37</v>
      </c>
      <c r="H1234" s="25" t="s">
        <v>35</v>
      </c>
      <c r="I1234" s="25" t="s">
        <v>35</v>
      </c>
      <c r="J1234" s="26" t="s">
        <v>36</v>
      </c>
      <c r="K1234" s="27" t="s">
        <v>37</v>
      </c>
      <c r="L1234" s="28" t="s">
        <v>35</v>
      </c>
      <c r="M1234" s="28" t="s">
        <v>35</v>
      </c>
      <c r="N1234" s="28" t="s">
        <v>35</v>
      </c>
      <c r="O1234" s="28" t="s">
        <v>35</v>
      </c>
      <c r="P1234" s="28" t="s">
        <v>35</v>
      </c>
      <c r="Q1234" s="28" t="s">
        <v>37</v>
      </c>
      <c r="R1234" s="28" t="s">
        <v>35</v>
      </c>
      <c r="S1234" s="29" t="s">
        <v>3313</v>
      </c>
      <c r="T1234" s="30" t="s">
        <v>3382</v>
      </c>
      <c r="U1234" s="31" t="s">
        <v>3383</v>
      </c>
      <c r="V1234" s="32">
        <f t="shared" ref="V1234:X1234" si="1240">IF(lenb(SUBSTITUTE($Z1234,V$1&amp;" (1)",""))&lt;lenb($Z1234),1,IF(lenb(SUBSTITUTE($Z1234,V$1&amp;" (2)",""))&lt;lenb($Z1234),2,IF(lenb(SUBSTITUTE($Z1234,V$1&amp;" (3)",""))&lt;lenb($Z1234),3,IF(lenb(SUBSTITUTE($Z1234,V$1&amp;" (4)",""))&lt;lenb($Z1234),4,IF(lenb(SUBSTITUTE($Z1234,V$1&amp;" (5)",""))&lt;lenb($Z1234),5,IF(lenb(SUBSTITUTE($Z1234,V$1&amp;" (6)",""))&lt;lenb($Z1234),6,IF(lenb(SUBSTITUTE($Z1234,V$1&amp;" (7)",""))&lt;lenb($Z1234),1,IF(lenb(SUBSTITUTE($Z1234,V$1&amp;" (8)",""))&lt;lenb($Z1234),8,IF(lenb(SUBSTITUTE($Z1234,V$1&amp;" (9)",""))&lt;lenb($Z1234),9,IF(lenb(SUBSTITUTE($Z1234,V$1&amp;" (10)",""))&lt;lenb($Z1234),10,IF(lenb(SUBSTITUTE($Z1234,V$1,""))&lt;lenb($Z1234),"ERROR",IF($Z1234=$Y$1,"-",0))))))))))))</f>
        <v>2</v>
      </c>
      <c r="W1234" s="32">
        <f t="shared" si="1240"/>
        <v>0</v>
      </c>
      <c r="X1234" s="32">
        <f t="shared" si="1240"/>
        <v>0</v>
      </c>
      <c r="Y1234" s="32" t="str">
        <f t="shared" si="3"/>
        <v>-</v>
      </c>
      <c r="Z1234" s="32" t="s">
        <v>57</v>
      </c>
      <c r="AA1234" s="33">
        <f t="shared" si="4"/>
        <v>2</v>
      </c>
      <c r="AB1234" s="34">
        <f>COUNTIFS(Links!B:B,"ICSE",Links!C:C,A1234,Links!AD:AD,1)</f>
        <v>0</v>
      </c>
      <c r="AC1234" s="35" t="s">
        <v>37</v>
      </c>
      <c r="AD1234" s="27" t="str">
        <f t="shared" si="5"/>
        <v>No</v>
      </c>
      <c r="AE1234" s="36" t="s">
        <v>36</v>
      </c>
      <c r="AF1234" s="37" t="s">
        <v>42</v>
      </c>
      <c r="AG1234" s="37" t="s">
        <v>42</v>
      </c>
      <c r="AH1234" s="37" t="s">
        <v>42</v>
      </c>
      <c r="AI1234" s="29" t="str">
        <f t="shared" si="661"/>
        <v>----</v>
      </c>
      <c r="AJ1234" s="38" t="str">
        <f t="shared" si="7"/>
        <v>Paper has link but no statement</v>
      </c>
      <c r="AK1234" s="39">
        <v>45070.0</v>
      </c>
      <c r="AL1234" s="23" t="s">
        <v>43</v>
      </c>
      <c r="AM1234" s="40" t="str">
        <f t="shared" si="8"/>
        <v>[IP2228]</v>
      </c>
    </row>
    <row r="1235" ht="67.5" customHeight="1">
      <c r="A1235" s="41">
        <v>2229.0</v>
      </c>
      <c r="B1235" s="42" t="s">
        <v>3384</v>
      </c>
      <c r="C1235" s="43">
        <v>2023.0</v>
      </c>
      <c r="D1235" s="44" t="s">
        <v>37</v>
      </c>
      <c r="E1235" s="45" t="s">
        <v>37</v>
      </c>
      <c r="F1235" s="45" t="s">
        <v>37</v>
      </c>
      <c r="G1235" s="45" t="s">
        <v>35</v>
      </c>
      <c r="H1235" s="45" t="s">
        <v>35</v>
      </c>
      <c r="I1235" s="45" t="s">
        <v>35</v>
      </c>
      <c r="J1235" s="46" t="s">
        <v>36</v>
      </c>
      <c r="K1235" s="47" t="s">
        <v>37</v>
      </c>
      <c r="L1235" s="48" t="s">
        <v>37</v>
      </c>
      <c r="M1235" s="48" t="s">
        <v>35</v>
      </c>
      <c r="N1235" s="48" t="s">
        <v>37</v>
      </c>
      <c r="O1235" s="48" t="s">
        <v>35</v>
      </c>
      <c r="P1235" s="48" t="s">
        <v>35</v>
      </c>
      <c r="Q1235" s="48" t="s">
        <v>37</v>
      </c>
      <c r="R1235" s="48" t="s">
        <v>35</v>
      </c>
      <c r="S1235" s="49" t="s">
        <v>3385</v>
      </c>
      <c r="T1235" s="50" t="s">
        <v>3386</v>
      </c>
      <c r="U1235" s="51" t="s">
        <v>3386</v>
      </c>
      <c r="V1235" s="52">
        <f t="shared" ref="V1235:X1235" si="1241">IF(lenb(SUBSTITUTE($Z1235,V$1&amp;" (1)",""))&lt;lenb($Z1235),1,IF(lenb(SUBSTITUTE($Z1235,V$1&amp;" (2)",""))&lt;lenb($Z1235),2,IF(lenb(SUBSTITUTE($Z1235,V$1&amp;" (3)",""))&lt;lenb($Z1235),3,IF(lenb(SUBSTITUTE($Z1235,V$1&amp;" (4)",""))&lt;lenb($Z1235),4,IF(lenb(SUBSTITUTE($Z1235,V$1&amp;" (5)",""))&lt;lenb($Z1235),5,IF(lenb(SUBSTITUTE($Z1235,V$1&amp;" (6)",""))&lt;lenb($Z1235),6,IF(lenb(SUBSTITUTE($Z1235,V$1&amp;" (7)",""))&lt;lenb($Z1235),1,IF(lenb(SUBSTITUTE($Z1235,V$1&amp;" (8)",""))&lt;lenb($Z1235),8,IF(lenb(SUBSTITUTE($Z1235,V$1&amp;" (9)",""))&lt;lenb($Z1235),9,IF(lenb(SUBSTITUTE($Z1235,V$1&amp;" (10)",""))&lt;lenb($Z1235),10,IF(lenb(SUBSTITUTE($Z1235,V$1,""))&lt;lenb($Z1235),"ERROR",IF($Z1235=$Y$1,"-",0))))))))))))</f>
        <v>2</v>
      </c>
      <c r="W1235" s="52">
        <f t="shared" si="1241"/>
        <v>0</v>
      </c>
      <c r="X1235" s="52">
        <f t="shared" si="1241"/>
        <v>0</v>
      </c>
      <c r="Y1235" s="52" t="str">
        <f t="shared" si="3"/>
        <v>-</v>
      </c>
      <c r="Z1235" s="52" t="s">
        <v>57</v>
      </c>
      <c r="AA1235" s="53">
        <f t="shared" si="4"/>
        <v>2</v>
      </c>
      <c r="AB1235" s="54">
        <f>COUNTIFS(Links!B:B,"ICSE",Links!C:C,A1235,Links!AD:AD,1)</f>
        <v>0</v>
      </c>
      <c r="AC1235" s="55" t="s">
        <v>35</v>
      </c>
      <c r="AD1235" s="47" t="str">
        <f t="shared" si="5"/>
        <v>No</v>
      </c>
      <c r="AE1235" s="56" t="s">
        <v>36</v>
      </c>
      <c r="AF1235" s="57" t="s">
        <v>42</v>
      </c>
      <c r="AG1235" s="57" t="s">
        <v>42</v>
      </c>
      <c r="AH1235" s="57" t="s">
        <v>42</v>
      </c>
      <c r="AI1235" s="49" t="str">
        <f t="shared" si="661"/>
        <v>----</v>
      </c>
      <c r="AJ1235" s="58" t="str">
        <f t="shared" si="7"/>
        <v>Paper has link but no statement</v>
      </c>
      <c r="AK1235" s="59">
        <v>45070.0</v>
      </c>
      <c r="AL1235" s="43" t="s">
        <v>43</v>
      </c>
      <c r="AM1235" s="60" t="str">
        <f t="shared" si="8"/>
        <v>[IP2229]</v>
      </c>
    </row>
    <row r="1236" ht="67.5" customHeight="1">
      <c r="A1236" s="61">
        <v>2230.0</v>
      </c>
      <c r="B1236" s="22" t="s">
        <v>3387</v>
      </c>
      <c r="C1236" s="23">
        <v>2023.0</v>
      </c>
      <c r="D1236" s="24" t="s">
        <v>35</v>
      </c>
      <c r="E1236" s="25" t="s">
        <v>36</v>
      </c>
      <c r="F1236" s="25" t="s">
        <v>36</v>
      </c>
      <c r="G1236" s="25" t="s">
        <v>36</v>
      </c>
      <c r="H1236" s="25" t="s">
        <v>36</v>
      </c>
      <c r="I1236" s="25" t="s">
        <v>36</v>
      </c>
      <c r="J1236" s="26" t="s">
        <v>36</v>
      </c>
      <c r="K1236" s="27" t="s">
        <v>37</v>
      </c>
      <c r="L1236" s="28" t="s">
        <v>35</v>
      </c>
      <c r="M1236" s="28" t="s">
        <v>37</v>
      </c>
      <c r="N1236" s="28" t="s">
        <v>35</v>
      </c>
      <c r="O1236" s="28" t="s">
        <v>35</v>
      </c>
      <c r="P1236" s="28" t="s">
        <v>37</v>
      </c>
      <c r="Q1236" s="28" t="s">
        <v>35</v>
      </c>
      <c r="R1236" s="28" t="s">
        <v>37</v>
      </c>
      <c r="S1236" s="29" t="s">
        <v>3388</v>
      </c>
      <c r="T1236" s="30" t="s">
        <v>3389</v>
      </c>
      <c r="U1236" s="31" t="s">
        <v>3389</v>
      </c>
      <c r="V1236" s="32">
        <f t="shared" ref="V1236:X1236" si="1242">IF(lenb(SUBSTITUTE($Z1236,V$1&amp;" (1)",""))&lt;lenb($Z1236),1,IF(lenb(SUBSTITUTE($Z1236,V$1&amp;" (2)",""))&lt;lenb($Z1236),2,IF(lenb(SUBSTITUTE($Z1236,V$1&amp;" (3)",""))&lt;lenb($Z1236),3,IF(lenb(SUBSTITUTE($Z1236,V$1&amp;" (4)",""))&lt;lenb($Z1236),4,IF(lenb(SUBSTITUTE($Z1236,V$1&amp;" (5)",""))&lt;lenb($Z1236),5,IF(lenb(SUBSTITUTE($Z1236,V$1&amp;" (6)",""))&lt;lenb($Z1236),6,IF(lenb(SUBSTITUTE($Z1236,V$1&amp;" (7)",""))&lt;lenb($Z1236),1,IF(lenb(SUBSTITUTE($Z1236,V$1&amp;" (8)",""))&lt;lenb($Z1236),8,IF(lenb(SUBSTITUTE($Z1236,V$1&amp;" (9)",""))&lt;lenb($Z1236),9,IF(lenb(SUBSTITUTE($Z1236,V$1&amp;" (10)",""))&lt;lenb($Z1236),10,IF(lenb(SUBSTITUTE($Z1236,V$1,""))&lt;lenb($Z1236),"ERROR",IF($Z1236=$Y$1,"-",0))))))))))))</f>
        <v>1</v>
      </c>
      <c r="W1236" s="32">
        <f t="shared" si="1242"/>
        <v>0</v>
      </c>
      <c r="X1236" s="32">
        <f t="shared" si="1242"/>
        <v>0</v>
      </c>
      <c r="Y1236" s="32" t="str">
        <f t="shared" si="3"/>
        <v>-</v>
      </c>
      <c r="Z1236" s="32" t="s">
        <v>62</v>
      </c>
      <c r="AA1236" s="33">
        <f t="shared" si="4"/>
        <v>1</v>
      </c>
      <c r="AB1236" s="34">
        <f>COUNTIFS(Links!B:B,"ICSE",Links!C:C,A1236,Links!AD:AD,1)</f>
        <v>0</v>
      </c>
      <c r="AC1236" s="35" t="s">
        <v>37</v>
      </c>
      <c r="AD1236" s="27" t="str">
        <f t="shared" si="5"/>
        <v>Yes</v>
      </c>
      <c r="AE1236" s="36" t="s">
        <v>3390</v>
      </c>
      <c r="AF1236" s="36" t="s">
        <v>281</v>
      </c>
      <c r="AG1236" s="37" t="s">
        <v>42</v>
      </c>
      <c r="AH1236" s="37" t="s">
        <v>42</v>
      </c>
      <c r="AI1236" s="29" t="str">
        <f t="shared" si="661"/>
        <v>Barriers (Confidentiality and privacy)</v>
      </c>
      <c r="AJ1236" s="38" t="str">
        <f t="shared" si="7"/>
        <v>Paper has link and statement</v>
      </c>
      <c r="AK1236" s="39">
        <v>45070.0</v>
      </c>
      <c r="AL1236" s="23" t="s">
        <v>43</v>
      </c>
      <c r="AM1236" s="40" t="str">
        <f t="shared" si="8"/>
        <v>[IP2230]</v>
      </c>
    </row>
    <row r="1237" ht="67.5" customHeight="1">
      <c r="A1237" s="41">
        <v>2231.0</v>
      </c>
      <c r="B1237" s="42" t="s">
        <v>3391</v>
      </c>
      <c r="C1237" s="43">
        <v>2023.0</v>
      </c>
      <c r="D1237" s="44" t="s">
        <v>35</v>
      </c>
      <c r="E1237" s="45" t="s">
        <v>36</v>
      </c>
      <c r="F1237" s="45" t="s">
        <v>36</v>
      </c>
      <c r="G1237" s="45" t="s">
        <v>36</v>
      </c>
      <c r="H1237" s="45" t="s">
        <v>36</v>
      </c>
      <c r="I1237" s="45" t="s">
        <v>36</v>
      </c>
      <c r="J1237" s="46" t="s">
        <v>36</v>
      </c>
      <c r="K1237" s="47" t="s">
        <v>37</v>
      </c>
      <c r="L1237" s="48" t="s">
        <v>37</v>
      </c>
      <c r="M1237" s="48" t="s">
        <v>35</v>
      </c>
      <c r="N1237" s="48" t="s">
        <v>35</v>
      </c>
      <c r="O1237" s="48" t="s">
        <v>35</v>
      </c>
      <c r="P1237" s="48" t="s">
        <v>35</v>
      </c>
      <c r="Q1237" s="48" t="s">
        <v>35</v>
      </c>
      <c r="R1237" s="48" t="s">
        <v>37</v>
      </c>
      <c r="S1237" s="49" t="s">
        <v>3392</v>
      </c>
      <c r="T1237" s="50" t="s">
        <v>3393</v>
      </c>
      <c r="U1237" s="51" t="s">
        <v>3393</v>
      </c>
      <c r="V1237" s="52">
        <f t="shared" ref="V1237:X1237" si="1243">IF(lenb(SUBSTITUTE($Z1237,V$1&amp;" (1)",""))&lt;lenb($Z1237),1,IF(lenb(SUBSTITUTE($Z1237,V$1&amp;" (2)",""))&lt;lenb($Z1237),2,IF(lenb(SUBSTITUTE($Z1237,V$1&amp;" (3)",""))&lt;lenb($Z1237),3,IF(lenb(SUBSTITUTE($Z1237,V$1&amp;" (4)",""))&lt;lenb($Z1237),4,IF(lenb(SUBSTITUTE($Z1237,V$1&amp;" (5)",""))&lt;lenb($Z1237),5,IF(lenb(SUBSTITUTE($Z1237,V$1&amp;" (6)",""))&lt;lenb($Z1237),6,IF(lenb(SUBSTITUTE($Z1237,V$1&amp;" (7)",""))&lt;lenb($Z1237),1,IF(lenb(SUBSTITUTE($Z1237,V$1&amp;" (8)",""))&lt;lenb($Z1237),8,IF(lenb(SUBSTITUTE($Z1237,V$1&amp;" (9)",""))&lt;lenb($Z1237),9,IF(lenb(SUBSTITUTE($Z1237,V$1&amp;" (10)",""))&lt;lenb($Z1237),10,IF(lenb(SUBSTITUTE($Z1237,V$1,""))&lt;lenb($Z1237),"ERROR",IF($Z1237=$Y$1,"-",0))))))))))))</f>
        <v>1</v>
      </c>
      <c r="W1237" s="52">
        <f t="shared" si="1243"/>
        <v>0</v>
      </c>
      <c r="X1237" s="52">
        <f t="shared" si="1243"/>
        <v>0</v>
      </c>
      <c r="Y1237" s="52" t="str">
        <f t="shared" si="3"/>
        <v>-</v>
      </c>
      <c r="Z1237" s="52" t="s">
        <v>62</v>
      </c>
      <c r="AA1237" s="53">
        <f t="shared" si="4"/>
        <v>1</v>
      </c>
      <c r="AB1237" s="54">
        <f>COUNTIFS(Links!B:B,"ICSE",Links!C:C,A1237,Links!AD:AD,1)</f>
        <v>0</v>
      </c>
      <c r="AC1237" s="55" t="s">
        <v>35</v>
      </c>
      <c r="AD1237" s="47" t="str">
        <f t="shared" si="5"/>
        <v>No</v>
      </c>
      <c r="AE1237" s="56" t="s">
        <v>36</v>
      </c>
      <c r="AF1237" s="57" t="s">
        <v>42</v>
      </c>
      <c r="AG1237" s="57" t="s">
        <v>42</v>
      </c>
      <c r="AH1237" s="57" t="s">
        <v>42</v>
      </c>
      <c r="AI1237" s="49" t="str">
        <f t="shared" si="661"/>
        <v>----</v>
      </c>
      <c r="AJ1237" s="58" t="str">
        <f t="shared" si="7"/>
        <v>Paper has link but no statement</v>
      </c>
      <c r="AK1237" s="59">
        <v>45070.0</v>
      </c>
      <c r="AL1237" s="43" t="s">
        <v>43</v>
      </c>
      <c r="AM1237" s="60" t="str">
        <f t="shared" si="8"/>
        <v>[IP2231]</v>
      </c>
    </row>
  </sheetData>
  <autoFilter ref="$A$1:$AM$1237">
    <sortState ref="A1:AM1237">
      <sortCondition ref="C1:C1237"/>
    </sortState>
  </autoFilter>
  <customSheetViews>
    <customSheetView guid="{B369A44D-164A-44F5-B08D-2D350B30EE4F}" filter="1" showAutoFilter="1">
      <autoFilter ref="$A$1:$AA$204">
        <sortState ref="A1:AA204">
          <sortCondition ref="B1:B204"/>
        </sortState>
      </autoFilter>
    </customSheetView>
  </customSheetViews>
  <conditionalFormatting sqref="AF1237:AH1237">
    <cfRule type="expression" dxfId="1" priority="1">
      <formula>"$Y2="No""</formula>
    </cfRule>
  </conditionalFormatting>
  <conditionalFormatting sqref="AF1235">
    <cfRule type="expression" dxfId="1" priority="2">
      <formula>"$Y2="No""</formula>
    </cfRule>
  </conditionalFormatting>
  <conditionalFormatting sqref="AF1234">
    <cfRule type="expression" dxfId="1" priority="3">
      <formula>"$Y2="No""</formula>
    </cfRule>
  </conditionalFormatting>
  <conditionalFormatting sqref="AF1233">
    <cfRule type="expression" dxfId="1" priority="4">
      <formula>"$Y2="No""</formula>
    </cfRule>
  </conditionalFormatting>
  <conditionalFormatting sqref="AF1232">
    <cfRule type="expression" dxfId="1" priority="5">
      <formula>"$Y2="No""</formula>
    </cfRule>
  </conditionalFormatting>
  <conditionalFormatting sqref="AF1231">
    <cfRule type="expression" dxfId="1" priority="6">
      <formula>"$Y2="No""</formula>
    </cfRule>
  </conditionalFormatting>
  <conditionalFormatting sqref="AF1230">
    <cfRule type="expression" dxfId="1" priority="7">
      <formula>"$Y2="No""</formula>
    </cfRule>
  </conditionalFormatting>
  <conditionalFormatting sqref="AF1229">
    <cfRule type="expression" dxfId="1" priority="8">
      <formula>"$Y2="No""</formula>
    </cfRule>
  </conditionalFormatting>
  <conditionalFormatting sqref="AF1227">
    <cfRule type="expression" dxfId="1" priority="9">
      <formula>"$Y2="No""</formula>
    </cfRule>
  </conditionalFormatting>
  <conditionalFormatting sqref="AF1226">
    <cfRule type="expression" dxfId="1" priority="10">
      <formula>"$Y2="No""</formula>
    </cfRule>
  </conditionalFormatting>
  <conditionalFormatting sqref="AF1225">
    <cfRule type="expression" dxfId="1" priority="11">
      <formula>"$Y2="No""</formula>
    </cfRule>
  </conditionalFormatting>
  <conditionalFormatting sqref="AF1224">
    <cfRule type="expression" dxfId="1" priority="12">
      <formula>"$Y2="No""</formula>
    </cfRule>
  </conditionalFormatting>
  <conditionalFormatting sqref="AF1223">
    <cfRule type="expression" dxfId="1" priority="13">
      <formula>"$Y2="No""</formula>
    </cfRule>
  </conditionalFormatting>
  <conditionalFormatting sqref="AF1222">
    <cfRule type="expression" dxfId="1" priority="14">
      <formula>"$Y2="No""</formula>
    </cfRule>
  </conditionalFormatting>
  <conditionalFormatting sqref="AF1221">
    <cfRule type="expression" dxfId="1" priority="15">
      <formula>"$Y2="No""</formula>
    </cfRule>
  </conditionalFormatting>
  <conditionalFormatting sqref="AF1220">
    <cfRule type="expression" dxfId="1" priority="16">
      <formula>"$Y2="No""</formula>
    </cfRule>
  </conditionalFormatting>
  <conditionalFormatting sqref="AF1219">
    <cfRule type="expression" dxfId="1" priority="17">
      <formula>"$Y2="No""</formula>
    </cfRule>
  </conditionalFormatting>
  <conditionalFormatting sqref="AF1218">
    <cfRule type="expression" dxfId="1" priority="18">
      <formula>"$Y2="No""</formula>
    </cfRule>
  </conditionalFormatting>
  <conditionalFormatting sqref="AF1217">
    <cfRule type="expression" dxfId="1" priority="19">
      <formula>"$Y2="No""</formula>
    </cfRule>
  </conditionalFormatting>
  <conditionalFormatting sqref="AF1216">
    <cfRule type="expression" dxfId="1" priority="20">
      <formula>"$Y2="No""</formula>
    </cfRule>
  </conditionalFormatting>
  <conditionalFormatting sqref="AF1215">
    <cfRule type="expression" dxfId="1" priority="21">
      <formula>"$Y2="No""</formula>
    </cfRule>
  </conditionalFormatting>
  <conditionalFormatting sqref="AF1214">
    <cfRule type="expression" dxfId="1" priority="22">
      <formula>"$Y2="No""</formula>
    </cfRule>
  </conditionalFormatting>
  <conditionalFormatting sqref="AF1213">
    <cfRule type="expression" dxfId="1" priority="23">
      <formula>"$Y2="No""</formula>
    </cfRule>
  </conditionalFormatting>
  <conditionalFormatting sqref="AF1212">
    <cfRule type="expression" dxfId="1" priority="24">
      <formula>"$Y2="No""</formula>
    </cfRule>
  </conditionalFormatting>
  <conditionalFormatting sqref="AF1210">
    <cfRule type="expression" dxfId="1" priority="25">
      <formula>"$Y2="No""</formula>
    </cfRule>
  </conditionalFormatting>
  <conditionalFormatting sqref="AF1209">
    <cfRule type="expression" dxfId="1" priority="26">
      <formula>"$Y2="No""</formula>
    </cfRule>
  </conditionalFormatting>
  <conditionalFormatting sqref="AF1208">
    <cfRule type="expression" dxfId="1" priority="27">
      <formula>"$Y2="No""</formula>
    </cfRule>
  </conditionalFormatting>
  <conditionalFormatting sqref="AF1207">
    <cfRule type="expression" dxfId="1" priority="28">
      <formula>"$Y2="No""</formula>
    </cfRule>
  </conditionalFormatting>
  <conditionalFormatting sqref="AF1206">
    <cfRule type="expression" dxfId="1" priority="29">
      <formula>"$Y2="No""</formula>
    </cfRule>
  </conditionalFormatting>
  <conditionalFormatting sqref="AF1205">
    <cfRule type="expression" dxfId="1" priority="30">
      <formula>"$Y2="No""</formula>
    </cfRule>
  </conditionalFormatting>
  <conditionalFormatting sqref="AF1204">
    <cfRule type="expression" dxfId="1" priority="31">
      <formula>"$Y2="No""</formula>
    </cfRule>
  </conditionalFormatting>
  <conditionalFormatting sqref="AF1203">
    <cfRule type="expression" dxfId="1" priority="32">
      <formula>"$Y2="No""</formula>
    </cfRule>
  </conditionalFormatting>
  <conditionalFormatting sqref="AF1202">
    <cfRule type="expression" dxfId="1" priority="33">
      <formula>"$Y2="No""</formula>
    </cfRule>
  </conditionalFormatting>
  <conditionalFormatting sqref="AF1201">
    <cfRule type="expression" dxfId="1" priority="34">
      <formula>"$Y2="No""</formula>
    </cfRule>
  </conditionalFormatting>
  <conditionalFormatting sqref="AF1200">
    <cfRule type="expression" dxfId="1" priority="35">
      <formula>"$Y2="No""</formula>
    </cfRule>
  </conditionalFormatting>
  <conditionalFormatting sqref="AF1199">
    <cfRule type="expression" dxfId="1" priority="36">
      <formula>"$Y2="No""</formula>
    </cfRule>
  </conditionalFormatting>
  <conditionalFormatting sqref="AF1198">
    <cfRule type="expression" dxfId="1" priority="37">
      <formula>"$Y2="No""</formula>
    </cfRule>
  </conditionalFormatting>
  <conditionalFormatting sqref="AF1197">
    <cfRule type="expression" dxfId="1" priority="38">
      <formula>"$Y2="No""</formula>
    </cfRule>
  </conditionalFormatting>
  <conditionalFormatting sqref="AF1196">
    <cfRule type="expression" dxfId="1" priority="39">
      <formula>"$Y2="No""</formula>
    </cfRule>
  </conditionalFormatting>
  <conditionalFormatting sqref="AF1195">
    <cfRule type="expression" dxfId="1" priority="40">
      <formula>"$Y2="No""</formula>
    </cfRule>
  </conditionalFormatting>
  <conditionalFormatting sqref="AF1194">
    <cfRule type="expression" dxfId="1" priority="41">
      <formula>"$Y2="No""</formula>
    </cfRule>
  </conditionalFormatting>
  <conditionalFormatting sqref="AF1193">
    <cfRule type="expression" dxfId="1" priority="42">
      <formula>"$Y2="No""</formula>
    </cfRule>
  </conditionalFormatting>
  <conditionalFormatting sqref="AF1192">
    <cfRule type="expression" dxfId="1" priority="43">
      <formula>"$Y2="No""</formula>
    </cfRule>
  </conditionalFormatting>
  <conditionalFormatting sqref="AF1191">
    <cfRule type="expression" dxfId="1" priority="44">
      <formula>"$Y2="No""</formula>
    </cfRule>
  </conditionalFormatting>
  <conditionalFormatting sqref="AF1190">
    <cfRule type="expression" dxfId="1" priority="45">
      <formula>"$Y2="No""</formula>
    </cfRule>
  </conditionalFormatting>
  <conditionalFormatting sqref="AF1189">
    <cfRule type="expression" dxfId="1" priority="46">
      <formula>"$Y2="No""</formula>
    </cfRule>
  </conditionalFormatting>
  <conditionalFormatting sqref="AF1188">
    <cfRule type="expression" dxfId="1" priority="47">
      <formula>"$Y2="No""</formula>
    </cfRule>
  </conditionalFormatting>
  <conditionalFormatting sqref="AF1187">
    <cfRule type="expression" dxfId="1" priority="48">
      <formula>"$Y2="No""</formula>
    </cfRule>
  </conditionalFormatting>
  <conditionalFormatting sqref="AF1186">
    <cfRule type="expression" dxfId="1" priority="49">
      <formula>"$Y2="No""</formula>
    </cfRule>
  </conditionalFormatting>
  <conditionalFormatting sqref="AF1185">
    <cfRule type="expression" dxfId="1" priority="50">
      <formula>"$Y2="No""</formula>
    </cfRule>
  </conditionalFormatting>
  <conditionalFormatting sqref="AF1184">
    <cfRule type="expression" dxfId="1" priority="51">
      <formula>"$Y2="No""</formula>
    </cfRule>
  </conditionalFormatting>
  <conditionalFormatting sqref="AF1183">
    <cfRule type="expression" dxfId="1" priority="52">
      <formula>"$Y2="No""</formula>
    </cfRule>
  </conditionalFormatting>
  <conditionalFormatting sqref="AF1182">
    <cfRule type="expression" dxfId="1" priority="53">
      <formula>"$Y2="No""</formula>
    </cfRule>
  </conditionalFormatting>
  <conditionalFormatting sqref="AF1181">
    <cfRule type="expression" dxfId="1" priority="54">
      <formula>"$Y2="No""</formula>
    </cfRule>
  </conditionalFormatting>
  <conditionalFormatting sqref="AF1180">
    <cfRule type="expression" dxfId="1" priority="55">
      <formula>"$Y2="No""</formula>
    </cfRule>
  </conditionalFormatting>
  <conditionalFormatting sqref="AF1179">
    <cfRule type="expression" dxfId="1" priority="56">
      <formula>"$Y2="No""</formula>
    </cfRule>
  </conditionalFormatting>
  <conditionalFormatting sqref="AF1178">
    <cfRule type="expression" dxfId="1" priority="57">
      <formula>"$Y2="No""</formula>
    </cfRule>
  </conditionalFormatting>
  <conditionalFormatting sqref="AF1177">
    <cfRule type="expression" dxfId="1" priority="58">
      <formula>"$Y2="No""</formula>
    </cfRule>
  </conditionalFormatting>
  <conditionalFormatting sqref="AF1176">
    <cfRule type="expression" dxfId="1" priority="59">
      <formula>"$Y2="No""</formula>
    </cfRule>
  </conditionalFormatting>
  <conditionalFormatting sqref="AF1175">
    <cfRule type="expression" dxfId="1" priority="60">
      <formula>"$Y2="No""</formula>
    </cfRule>
  </conditionalFormatting>
  <conditionalFormatting sqref="AF1174">
    <cfRule type="expression" dxfId="1" priority="61">
      <formula>"$Y2="No""</formula>
    </cfRule>
  </conditionalFormatting>
  <conditionalFormatting sqref="AF1173">
    <cfRule type="expression" dxfId="1" priority="62">
      <formula>"$Y2="No""</formula>
    </cfRule>
  </conditionalFormatting>
  <conditionalFormatting sqref="AF1172">
    <cfRule type="expression" dxfId="1" priority="63">
      <formula>"$Y2="No""</formula>
    </cfRule>
  </conditionalFormatting>
  <conditionalFormatting sqref="AF1171">
    <cfRule type="expression" dxfId="1" priority="64">
      <formula>"$Y2="No""</formula>
    </cfRule>
  </conditionalFormatting>
  <conditionalFormatting sqref="AF1170">
    <cfRule type="expression" dxfId="1" priority="65">
      <formula>"$Y2="No""</formula>
    </cfRule>
  </conditionalFormatting>
  <conditionalFormatting sqref="AF1168">
    <cfRule type="expression" dxfId="1" priority="66">
      <formula>"$Y2="No""</formula>
    </cfRule>
  </conditionalFormatting>
  <conditionalFormatting sqref="AF1166">
    <cfRule type="expression" dxfId="1" priority="67">
      <formula>"$Y2="No""</formula>
    </cfRule>
  </conditionalFormatting>
  <conditionalFormatting sqref="AF1165">
    <cfRule type="expression" dxfId="1" priority="68">
      <formula>"$Y2="No""</formula>
    </cfRule>
  </conditionalFormatting>
  <conditionalFormatting sqref="AF1164">
    <cfRule type="expression" dxfId="1" priority="69">
      <formula>"$Y2="No""</formula>
    </cfRule>
  </conditionalFormatting>
  <conditionalFormatting sqref="AF1163">
    <cfRule type="expression" dxfId="1" priority="70">
      <formula>"$Y2="No""</formula>
    </cfRule>
  </conditionalFormatting>
  <conditionalFormatting sqref="AF1162">
    <cfRule type="expression" dxfId="1" priority="71">
      <formula>"$Y2="No""</formula>
    </cfRule>
  </conditionalFormatting>
  <conditionalFormatting sqref="AF1161">
    <cfRule type="expression" dxfId="1" priority="72">
      <formula>"$Y2="No""</formula>
    </cfRule>
  </conditionalFormatting>
  <conditionalFormatting sqref="AF1160">
    <cfRule type="expression" dxfId="1" priority="73">
      <formula>"$Y2="No""</formula>
    </cfRule>
  </conditionalFormatting>
  <conditionalFormatting sqref="AF1159">
    <cfRule type="expression" dxfId="1" priority="74">
      <formula>"$Y2="No""</formula>
    </cfRule>
  </conditionalFormatting>
  <conditionalFormatting sqref="AF1158">
    <cfRule type="expression" dxfId="1" priority="75">
      <formula>"$Y2="No""</formula>
    </cfRule>
  </conditionalFormatting>
  <conditionalFormatting sqref="AF1157">
    <cfRule type="expression" dxfId="1" priority="76">
      <formula>"$Y2="No""</formula>
    </cfRule>
  </conditionalFormatting>
  <conditionalFormatting sqref="AF1156">
    <cfRule type="expression" dxfId="1" priority="77">
      <formula>"$Y2="No""</formula>
    </cfRule>
  </conditionalFormatting>
  <conditionalFormatting sqref="AF1154">
    <cfRule type="expression" dxfId="1" priority="78">
      <formula>"$Y2="No""</formula>
    </cfRule>
  </conditionalFormatting>
  <conditionalFormatting sqref="AF1153">
    <cfRule type="expression" dxfId="1" priority="79">
      <formula>"$Y2="No""</formula>
    </cfRule>
  </conditionalFormatting>
  <conditionalFormatting sqref="AF1152">
    <cfRule type="expression" dxfId="1" priority="80">
      <formula>"$Y2="No""</formula>
    </cfRule>
  </conditionalFormatting>
  <conditionalFormatting sqref="AF1151">
    <cfRule type="expression" dxfId="1" priority="81">
      <formula>"$Y2="No""</formula>
    </cfRule>
  </conditionalFormatting>
  <conditionalFormatting sqref="AF1150">
    <cfRule type="expression" dxfId="1" priority="82">
      <formula>"$Y2="No""</formula>
    </cfRule>
  </conditionalFormatting>
  <conditionalFormatting sqref="AF1149">
    <cfRule type="expression" dxfId="1" priority="83">
      <formula>"$Y2="No""</formula>
    </cfRule>
  </conditionalFormatting>
  <conditionalFormatting sqref="AF1148">
    <cfRule type="expression" dxfId="1" priority="84">
      <formula>"$Y2="No""</formula>
    </cfRule>
  </conditionalFormatting>
  <conditionalFormatting sqref="AF1147">
    <cfRule type="expression" dxfId="1" priority="85">
      <formula>"$Y2="No""</formula>
    </cfRule>
  </conditionalFormatting>
  <conditionalFormatting sqref="AF1145">
    <cfRule type="expression" dxfId="1" priority="86">
      <formula>"$Y2="No""</formula>
    </cfRule>
  </conditionalFormatting>
  <conditionalFormatting sqref="AF1144">
    <cfRule type="expression" dxfId="1" priority="87">
      <formula>"$Y2="No""</formula>
    </cfRule>
  </conditionalFormatting>
  <conditionalFormatting sqref="AF1143">
    <cfRule type="expression" dxfId="1" priority="88">
      <formula>"$Y2="No""</formula>
    </cfRule>
  </conditionalFormatting>
  <conditionalFormatting sqref="AF1142">
    <cfRule type="expression" dxfId="1" priority="89">
      <formula>"$Y2="No""</formula>
    </cfRule>
  </conditionalFormatting>
  <conditionalFormatting sqref="AF1141">
    <cfRule type="expression" dxfId="1" priority="90">
      <formula>"$Y2="No""</formula>
    </cfRule>
  </conditionalFormatting>
  <conditionalFormatting sqref="AF1140">
    <cfRule type="expression" dxfId="1" priority="91">
      <formula>"$Y2="No""</formula>
    </cfRule>
  </conditionalFormatting>
  <conditionalFormatting sqref="AF1139">
    <cfRule type="expression" dxfId="1" priority="92">
      <formula>"$Y2="No""</formula>
    </cfRule>
  </conditionalFormatting>
  <conditionalFormatting sqref="AF1138">
    <cfRule type="expression" dxfId="1" priority="93">
      <formula>"$Y2="No""</formula>
    </cfRule>
  </conditionalFormatting>
  <conditionalFormatting sqref="AF1137">
    <cfRule type="expression" dxfId="1" priority="94">
      <formula>"$Y2="No""</formula>
    </cfRule>
  </conditionalFormatting>
  <conditionalFormatting sqref="AF1136">
    <cfRule type="expression" dxfId="1" priority="95">
      <formula>"$Y2="No""</formula>
    </cfRule>
  </conditionalFormatting>
  <conditionalFormatting sqref="AF1134">
    <cfRule type="expression" dxfId="1" priority="96">
      <formula>"$Y2="No""</formula>
    </cfRule>
  </conditionalFormatting>
  <conditionalFormatting sqref="AF1133">
    <cfRule type="expression" dxfId="1" priority="97">
      <formula>"$Y2="No""</formula>
    </cfRule>
  </conditionalFormatting>
  <conditionalFormatting sqref="AF1132">
    <cfRule type="expression" dxfId="1" priority="98">
      <formula>"$Y2="No""</formula>
    </cfRule>
  </conditionalFormatting>
  <conditionalFormatting sqref="AF1131">
    <cfRule type="expression" dxfId="1" priority="99">
      <formula>"$Y2="No""</formula>
    </cfRule>
  </conditionalFormatting>
  <conditionalFormatting sqref="AF1130">
    <cfRule type="expression" dxfId="1" priority="100">
      <formula>"$Y2="No""</formula>
    </cfRule>
  </conditionalFormatting>
  <conditionalFormatting sqref="AF1129">
    <cfRule type="expression" dxfId="1" priority="101">
      <formula>"$Y2="No""</formula>
    </cfRule>
  </conditionalFormatting>
  <conditionalFormatting sqref="AF1128">
    <cfRule type="expression" dxfId="1" priority="102">
      <formula>"$Y2="No""</formula>
    </cfRule>
  </conditionalFormatting>
  <conditionalFormatting sqref="AF1127">
    <cfRule type="expression" dxfId="1" priority="103">
      <formula>"$Y2="No""</formula>
    </cfRule>
  </conditionalFormatting>
  <conditionalFormatting sqref="AF1126">
    <cfRule type="expression" dxfId="1" priority="104">
      <formula>"$Y2="No""</formula>
    </cfRule>
  </conditionalFormatting>
  <conditionalFormatting sqref="AF1125">
    <cfRule type="expression" dxfId="1" priority="105">
      <formula>"$Y2="No""</formula>
    </cfRule>
  </conditionalFormatting>
  <conditionalFormatting sqref="AF1124">
    <cfRule type="expression" dxfId="1" priority="106">
      <formula>"$Y2="No""</formula>
    </cfRule>
  </conditionalFormatting>
  <conditionalFormatting sqref="AF1123">
    <cfRule type="expression" dxfId="1" priority="107">
      <formula>"$Y2="No""</formula>
    </cfRule>
  </conditionalFormatting>
  <conditionalFormatting sqref="AF1122">
    <cfRule type="expression" dxfId="1" priority="108">
      <formula>"$Y2="No""</formula>
    </cfRule>
  </conditionalFormatting>
  <conditionalFormatting sqref="AF1121">
    <cfRule type="expression" dxfId="1" priority="109">
      <formula>"$Y2="No""</formula>
    </cfRule>
  </conditionalFormatting>
  <conditionalFormatting sqref="AF1120">
    <cfRule type="expression" dxfId="1" priority="110">
      <formula>"$Y2="No""</formula>
    </cfRule>
  </conditionalFormatting>
  <conditionalFormatting sqref="AF1119">
    <cfRule type="expression" dxfId="1" priority="111">
      <formula>"$Y2="No""</formula>
    </cfRule>
  </conditionalFormatting>
  <conditionalFormatting sqref="AF1118">
    <cfRule type="expression" dxfId="1" priority="112">
      <formula>"$Y2="No""</formula>
    </cfRule>
  </conditionalFormatting>
  <conditionalFormatting sqref="AF1117">
    <cfRule type="expression" dxfId="1" priority="113">
      <formula>"$Y2="No""</formula>
    </cfRule>
  </conditionalFormatting>
  <conditionalFormatting sqref="AF1116">
    <cfRule type="expression" dxfId="1" priority="114">
      <formula>"$Y2="No""</formula>
    </cfRule>
  </conditionalFormatting>
  <conditionalFormatting sqref="AF1115">
    <cfRule type="expression" dxfId="1" priority="115">
      <formula>"$Y2="No""</formula>
    </cfRule>
  </conditionalFormatting>
  <conditionalFormatting sqref="AF1114">
    <cfRule type="expression" dxfId="1" priority="116">
      <formula>"$Y2="No""</formula>
    </cfRule>
  </conditionalFormatting>
  <conditionalFormatting sqref="AF1113">
    <cfRule type="expression" dxfId="1" priority="117">
      <formula>"$Y2="No""</formula>
    </cfRule>
  </conditionalFormatting>
  <conditionalFormatting sqref="AF1112">
    <cfRule type="expression" dxfId="1" priority="118">
      <formula>"$Y2="No""</formula>
    </cfRule>
  </conditionalFormatting>
  <conditionalFormatting sqref="AF1111">
    <cfRule type="expression" dxfId="1" priority="119">
      <formula>"$Y2="No""</formula>
    </cfRule>
  </conditionalFormatting>
  <conditionalFormatting sqref="AF1110">
    <cfRule type="expression" dxfId="1" priority="120">
      <formula>"$Y2="No""</formula>
    </cfRule>
  </conditionalFormatting>
  <conditionalFormatting sqref="AF1109">
    <cfRule type="expression" dxfId="1" priority="121">
      <formula>"$Y2="No""</formula>
    </cfRule>
  </conditionalFormatting>
  <conditionalFormatting sqref="AF1108">
    <cfRule type="expression" dxfId="1" priority="122">
      <formula>"$Y2="No""</formula>
    </cfRule>
  </conditionalFormatting>
  <conditionalFormatting sqref="AF1107">
    <cfRule type="expression" dxfId="1" priority="123">
      <formula>"$Y2="No""</formula>
    </cfRule>
  </conditionalFormatting>
  <conditionalFormatting sqref="AF1106">
    <cfRule type="expression" dxfId="1" priority="124">
      <formula>"$Y2="No""</formula>
    </cfRule>
  </conditionalFormatting>
  <conditionalFormatting sqref="AF1105">
    <cfRule type="expression" dxfId="1" priority="125">
      <formula>"$Y2="No""</formula>
    </cfRule>
  </conditionalFormatting>
  <conditionalFormatting sqref="AF1104">
    <cfRule type="expression" dxfId="1" priority="126">
      <formula>"$Y2="No""</formula>
    </cfRule>
  </conditionalFormatting>
  <conditionalFormatting sqref="AF1103">
    <cfRule type="expression" dxfId="1" priority="127">
      <formula>"$Y2="No""</formula>
    </cfRule>
  </conditionalFormatting>
  <conditionalFormatting sqref="AF1102">
    <cfRule type="expression" dxfId="1" priority="128">
      <formula>"$Y2="No""</formula>
    </cfRule>
  </conditionalFormatting>
  <conditionalFormatting sqref="AF1101">
    <cfRule type="expression" dxfId="1" priority="129">
      <formula>"$Y2="No""</formula>
    </cfRule>
  </conditionalFormatting>
  <conditionalFormatting sqref="AF1100">
    <cfRule type="expression" dxfId="1" priority="130">
      <formula>"$Y2="No""</formula>
    </cfRule>
  </conditionalFormatting>
  <conditionalFormatting sqref="AF1099">
    <cfRule type="expression" dxfId="1" priority="131">
      <formula>"$Y2="No""</formula>
    </cfRule>
  </conditionalFormatting>
  <conditionalFormatting sqref="AF1098">
    <cfRule type="expression" dxfId="1" priority="132">
      <formula>"$Y2="No""</formula>
    </cfRule>
  </conditionalFormatting>
  <conditionalFormatting sqref="AF1097">
    <cfRule type="expression" dxfId="1" priority="133">
      <formula>"$Y2="No""</formula>
    </cfRule>
  </conditionalFormatting>
  <conditionalFormatting sqref="AF1096">
    <cfRule type="expression" dxfId="1" priority="134">
      <formula>"$Y2="No""</formula>
    </cfRule>
  </conditionalFormatting>
  <conditionalFormatting sqref="AF1095">
    <cfRule type="expression" dxfId="1" priority="135">
      <formula>"$Y2="No""</formula>
    </cfRule>
  </conditionalFormatting>
  <conditionalFormatting sqref="AF1094">
    <cfRule type="expression" dxfId="1" priority="136">
      <formula>"$Y2="No""</formula>
    </cfRule>
  </conditionalFormatting>
  <conditionalFormatting sqref="AF1093">
    <cfRule type="expression" dxfId="1" priority="137">
      <formula>"$Y2="No""</formula>
    </cfRule>
  </conditionalFormatting>
  <conditionalFormatting sqref="AF1092">
    <cfRule type="expression" dxfId="1" priority="138">
      <formula>"$Y2="No""</formula>
    </cfRule>
  </conditionalFormatting>
  <conditionalFormatting sqref="AF1091">
    <cfRule type="expression" dxfId="1" priority="139">
      <formula>"$Y2="No""</formula>
    </cfRule>
  </conditionalFormatting>
  <conditionalFormatting sqref="AF1090">
    <cfRule type="expression" dxfId="1" priority="140">
      <formula>"$Y2="No""</formula>
    </cfRule>
  </conditionalFormatting>
  <conditionalFormatting sqref="AF1089">
    <cfRule type="expression" dxfId="1" priority="141">
      <formula>"$Y2="No""</formula>
    </cfRule>
  </conditionalFormatting>
  <conditionalFormatting sqref="AF1088">
    <cfRule type="expression" dxfId="1" priority="142">
      <formula>"$Y2="No""</formula>
    </cfRule>
  </conditionalFormatting>
  <conditionalFormatting sqref="AF1087">
    <cfRule type="expression" dxfId="1" priority="143">
      <formula>"$Y2="No""</formula>
    </cfRule>
  </conditionalFormatting>
  <conditionalFormatting sqref="AF1086">
    <cfRule type="expression" dxfId="1" priority="144">
      <formula>"$Y2="No""</formula>
    </cfRule>
  </conditionalFormatting>
  <conditionalFormatting sqref="AF1085">
    <cfRule type="expression" dxfId="1" priority="145">
      <formula>"$Y2="No""</formula>
    </cfRule>
  </conditionalFormatting>
  <conditionalFormatting sqref="AF1084">
    <cfRule type="expression" dxfId="1" priority="146">
      <formula>"$Y2="No""</formula>
    </cfRule>
  </conditionalFormatting>
  <conditionalFormatting sqref="AF1082">
    <cfRule type="expression" dxfId="1" priority="147">
      <formula>"$Y2="No""</formula>
    </cfRule>
  </conditionalFormatting>
  <conditionalFormatting sqref="AF1081">
    <cfRule type="expression" dxfId="1" priority="148">
      <formula>"$Y2="No""</formula>
    </cfRule>
  </conditionalFormatting>
  <conditionalFormatting sqref="AF1080">
    <cfRule type="expression" dxfId="1" priority="149">
      <formula>"$Y2="No""</formula>
    </cfRule>
  </conditionalFormatting>
  <conditionalFormatting sqref="AF1079">
    <cfRule type="expression" dxfId="1" priority="150">
      <formula>"$Y2="No""</formula>
    </cfRule>
  </conditionalFormatting>
  <conditionalFormatting sqref="AF1078">
    <cfRule type="expression" dxfId="1" priority="151">
      <formula>"$Y2="No""</formula>
    </cfRule>
  </conditionalFormatting>
  <conditionalFormatting sqref="AF1077">
    <cfRule type="expression" dxfId="1" priority="152">
      <formula>"$Y2="No""</formula>
    </cfRule>
  </conditionalFormatting>
  <conditionalFormatting sqref="AF1076">
    <cfRule type="expression" dxfId="1" priority="153">
      <formula>"$Y2="No""</formula>
    </cfRule>
  </conditionalFormatting>
  <conditionalFormatting sqref="AF1075">
    <cfRule type="expression" dxfId="1" priority="154">
      <formula>"$Y2="No""</formula>
    </cfRule>
  </conditionalFormatting>
  <conditionalFormatting sqref="AF1074">
    <cfRule type="expression" dxfId="1" priority="155">
      <formula>"$Y2="No""</formula>
    </cfRule>
  </conditionalFormatting>
  <conditionalFormatting sqref="AF1073">
    <cfRule type="expression" dxfId="1" priority="156">
      <formula>"$Y2="No""</formula>
    </cfRule>
  </conditionalFormatting>
  <conditionalFormatting sqref="AF1072">
    <cfRule type="expression" dxfId="1" priority="157">
      <formula>"$Y2="No""</formula>
    </cfRule>
  </conditionalFormatting>
  <conditionalFormatting sqref="AF1071">
    <cfRule type="expression" dxfId="1" priority="158">
      <formula>"$Y2="No""</formula>
    </cfRule>
  </conditionalFormatting>
  <conditionalFormatting sqref="AF1070">
    <cfRule type="expression" dxfId="1" priority="159">
      <formula>"$Y2="No""</formula>
    </cfRule>
  </conditionalFormatting>
  <conditionalFormatting sqref="AF1069">
    <cfRule type="expression" dxfId="1" priority="160">
      <formula>"$Y2="No""</formula>
    </cfRule>
  </conditionalFormatting>
  <conditionalFormatting sqref="AF1068">
    <cfRule type="expression" dxfId="1" priority="161">
      <formula>"$Y2="No""</formula>
    </cfRule>
  </conditionalFormatting>
  <conditionalFormatting sqref="AF1067">
    <cfRule type="expression" dxfId="1" priority="162">
      <formula>"$Y2="No""</formula>
    </cfRule>
  </conditionalFormatting>
  <conditionalFormatting sqref="AF1065">
    <cfRule type="expression" dxfId="1" priority="163">
      <formula>"$Y2="No""</formula>
    </cfRule>
  </conditionalFormatting>
  <conditionalFormatting sqref="AF1064">
    <cfRule type="expression" dxfId="1" priority="164">
      <formula>"$Y2="No""</formula>
    </cfRule>
  </conditionalFormatting>
  <conditionalFormatting sqref="AF1063">
    <cfRule type="expression" dxfId="1" priority="165">
      <formula>"$Y2="No""</formula>
    </cfRule>
  </conditionalFormatting>
  <conditionalFormatting sqref="AF1062">
    <cfRule type="expression" dxfId="1" priority="166">
      <formula>"$Y2="No""</formula>
    </cfRule>
  </conditionalFormatting>
  <conditionalFormatting sqref="AF1061">
    <cfRule type="expression" dxfId="1" priority="167">
      <formula>"$Y2="No""</formula>
    </cfRule>
  </conditionalFormatting>
  <conditionalFormatting sqref="AF1060">
    <cfRule type="expression" dxfId="1" priority="168">
      <formula>"$Y2="No""</formula>
    </cfRule>
  </conditionalFormatting>
  <conditionalFormatting sqref="AF1059">
    <cfRule type="expression" dxfId="1" priority="169">
      <formula>"$Y2="No""</formula>
    </cfRule>
  </conditionalFormatting>
  <conditionalFormatting sqref="AF1058">
    <cfRule type="expression" dxfId="1" priority="170">
      <formula>"$Y2="No""</formula>
    </cfRule>
  </conditionalFormatting>
  <conditionalFormatting sqref="AF1057">
    <cfRule type="expression" dxfId="1" priority="171">
      <formula>"$Y2="No""</formula>
    </cfRule>
  </conditionalFormatting>
  <conditionalFormatting sqref="AF1056">
    <cfRule type="expression" dxfId="1" priority="172">
      <formula>"$Y2="No""</formula>
    </cfRule>
  </conditionalFormatting>
  <conditionalFormatting sqref="AF1054">
    <cfRule type="expression" dxfId="1" priority="173">
      <formula>"$Y2="No""</formula>
    </cfRule>
  </conditionalFormatting>
  <conditionalFormatting sqref="AF1053">
    <cfRule type="expression" dxfId="1" priority="174">
      <formula>"$Y2="No""</formula>
    </cfRule>
  </conditionalFormatting>
  <conditionalFormatting sqref="AF1052">
    <cfRule type="expression" dxfId="1" priority="175">
      <formula>"$Y2="No""</formula>
    </cfRule>
  </conditionalFormatting>
  <conditionalFormatting sqref="AF1051">
    <cfRule type="expression" dxfId="1" priority="176">
      <formula>"$Y2="No""</formula>
    </cfRule>
  </conditionalFormatting>
  <conditionalFormatting sqref="AF1050">
    <cfRule type="expression" dxfId="1" priority="177">
      <formula>"$Y2="No""</formula>
    </cfRule>
  </conditionalFormatting>
  <conditionalFormatting sqref="AF1049">
    <cfRule type="expression" dxfId="1" priority="178">
      <formula>"$Y2="No""</formula>
    </cfRule>
  </conditionalFormatting>
  <conditionalFormatting sqref="AF1048">
    <cfRule type="expression" dxfId="1" priority="179">
      <formula>"$Y2="No""</formula>
    </cfRule>
  </conditionalFormatting>
  <conditionalFormatting sqref="AF1047">
    <cfRule type="expression" dxfId="1" priority="180">
      <formula>"$Y2="No""</formula>
    </cfRule>
  </conditionalFormatting>
  <conditionalFormatting sqref="AF1046">
    <cfRule type="expression" dxfId="1" priority="181">
      <formula>"$Y2="No""</formula>
    </cfRule>
  </conditionalFormatting>
  <conditionalFormatting sqref="AF1045">
    <cfRule type="expression" dxfId="1" priority="182">
      <formula>"$Y2="No""</formula>
    </cfRule>
  </conditionalFormatting>
  <conditionalFormatting sqref="AF1044">
    <cfRule type="expression" dxfId="1" priority="183">
      <formula>"$Y2="No""</formula>
    </cfRule>
  </conditionalFormatting>
  <conditionalFormatting sqref="AF1043">
    <cfRule type="expression" dxfId="1" priority="184">
      <formula>"$Y2="No""</formula>
    </cfRule>
  </conditionalFormatting>
  <conditionalFormatting sqref="AF1042">
    <cfRule type="expression" dxfId="1" priority="185">
      <formula>"$Y2="No""</formula>
    </cfRule>
  </conditionalFormatting>
  <conditionalFormatting sqref="AF1041">
    <cfRule type="expression" dxfId="1" priority="186">
      <formula>"$Y2="No""</formula>
    </cfRule>
  </conditionalFormatting>
  <conditionalFormatting sqref="AF1040">
    <cfRule type="expression" dxfId="1" priority="187">
      <formula>"$Y2="No""</formula>
    </cfRule>
  </conditionalFormatting>
  <conditionalFormatting sqref="AF1039">
    <cfRule type="expression" dxfId="1" priority="188">
      <formula>"$Y2="No""</formula>
    </cfRule>
  </conditionalFormatting>
  <conditionalFormatting sqref="AF1038">
    <cfRule type="expression" dxfId="1" priority="189">
      <formula>"$Y2="No""</formula>
    </cfRule>
  </conditionalFormatting>
  <conditionalFormatting sqref="AF1037">
    <cfRule type="expression" dxfId="1" priority="190">
      <formula>"$Y2="No""</formula>
    </cfRule>
  </conditionalFormatting>
  <conditionalFormatting sqref="AF1036">
    <cfRule type="expression" dxfId="1" priority="191">
      <formula>"$Y2="No""</formula>
    </cfRule>
  </conditionalFormatting>
  <conditionalFormatting sqref="AF1035">
    <cfRule type="expression" dxfId="1" priority="192">
      <formula>"$Y2="No""</formula>
    </cfRule>
  </conditionalFormatting>
  <conditionalFormatting sqref="AF1034">
    <cfRule type="expression" dxfId="1" priority="193">
      <formula>"$Y2="No""</formula>
    </cfRule>
  </conditionalFormatting>
  <conditionalFormatting sqref="AF1033">
    <cfRule type="expression" dxfId="1" priority="194">
      <formula>"$Y2="No""</formula>
    </cfRule>
  </conditionalFormatting>
  <conditionalFormatting sqref="AF1032">
    <cfRule type="expression" dxfId="1" priority="195">
      <formula>"$Y2="No""</formula>
    </cfRule>
  </conditionalFormatting>
  <conditionalFormatting sqref="AF1031">
    <cfRule type="expression" dxfId="1" priority="196">
      <formula>"$Y2="No""</formula>
    </cfRule>
  </conditionalFormatting>
  <conditionalFormatting sqref="AF1030">
    <cfRule type="expression" dxfId="1" priority="197">
      <formula>"$Y2="No""</formula>
    </cfRule>
  </conditionalFormatting>
  <conditionalFormatting sqref="AF1029">
    <cfRule type="expression" dxfId="1" priority="198">
      <formula>"$Y2="No""</formula>
    </cfRule>
  </conditionalFormatting>
  <conditionalFormatting sqref="AF1028">
    <cfRule type="expression" dxfId="1" priority="199">
      <formula>"$Y2="No""</formula>
    </cfRule>
  </conditionalFormatting>
  <conditionalFormatting sqref="AF1026">
    <cfRule type="expression" dxfId="1" priority="200">
      <formula>"$Y2="No""</formula>
    </cfRule>
  </conditionalFormatting>
  <conditionalFormatting sqref="AF1025">
    <cfRule type="expression" dxfId="1" priority="201">
      <formula>"$Y2="No""</formula>
    </cfRule>
  </conditionalFormatting>
  <conditionalFormatting sqref="AF1024">
    <cfRule type="expression" dxfId="1" priority="202">
      <formula>"$Y2="No""</formula>
    </cfRule>
  </conditionalFormatting>
  <conditionalFormatting sqref="AF1023">
    <cfRule type="expression" dxfId="1" priority="203">
      <formula>"$Y2="No""</formula>
    </cfRule>
  </conditionalFormatting>
  <conditionalFormatting sqref="AF1022">
    <cfRule type="expression" dxfId="1" priority="204">
      <formula>"$Y2="No""</formula>
    </cfRule>
  </conditionalFormatting>
  <conditionalFormatting sqref="AF1021">
    <cfRule type="expression" dxfId="1" priority="205">
      <formula>"$Y2="No""</formula>
    </cfRule>
  </conditionalFormatting>
  <conditionalFormatting sqref="AF1020">
    <cfRule type="expression" dxfId="1" priority="206">
      <formula>"$Y2="No""</formula>
    </cfRule>
  </conditionalFormatting>
  <conditionalFormatting sqref="AF1019">
    <cfRule type="expression" dxfId="1" priority="207">
      <formula>"$Y2="No""</formula>
    </cfRule>
  </conditionalFormatting>
  <conditionalFormatting sqref="AF1018">
    <cfRule type="expression" dxfId="1" priority="208">
      <formula>"$Y2="No""</formula>
    </cfRule>
  </conditionalFormatting>
  <conditionalFormatting sqref="AF1017">
    <cfRule type="expression" dxfId="1" priority="209">
      <formula>"$Y2="No""</formula>
    </cfRule>
  </conditionalFormatting>
  <conditionalFormatting sqref="AF1016">
    <cfRule type="expression" dxfId="1" priority="210">
      <formula>"$Y2="No""</formula>
    </cfRule>
  </conditionalFormatting>
  <conditionalFormatting sqref="AF1015">
    <cfRule type="expression" dxfId="1" priority="211">
      <formula>"$Y2="No""</formula>
    </cfRule>
  </conditionalFormatting>
  <conditionalFormatting sqref="AF1014">
    <cfRule type="expression" dxfId="1" priority="212">
      <formula>"$Y2="No""</formula>
    </cfRule>
  </conditionalFormatting>
  <conditionalFormatting sqref="AF1013">
    <cfRule type="expression" dxfId="1" priority="213">
      <formula>"$Y2="No""</formula>
    </cfRule>
  </conditionalFormatting>
  <conditionalFormatting sqref="AF1011">
    <cfRule type="expression" dxfId="1" priority="214">
      <formula>"$Y2="No""</formula>
    </cfRule>
  </conditionalFormatting>
  <conditionalFormatting sqref="AF1010">
    <cfRule type="expression" dxfId="1" priority="215">
      <formula>"$Y2="No""</formula>
    </cfRule>
  </conditionalFormatting>
  <conditionalFormatting sqref="AF1009">
    <cfRule type="expression" dxfId="1" priority="216">
      <formula>"$Y2="No""</formula>
    </cfRule>
  </conditionalFormatting>
  <conditionalFormatting sqref="AF1008">
    <cfRule type="expression" dxfId="1" priority="217">
      <formula>"$Y2="No""</formula>
    </cfRule>
  </conditionalFormatting>
  <conditionalFormatting sqref="AF1007">
    <cfRule type="expression" dxfId="1" priority="218">
      <formula>"$Y2="No""</formula>
    </cfRule>
  </conditionalFormatting>
  <conditionalFormatting sqref="AF1006">
    <cfRule type="expression" dxfId="1" priority="219">
      <formula>"$Y2="No""</formula>
    </cfRule>
  </conditionalFormatting>
  <conditionalFormatting sqref="AF1005">
    <cfRule type="expression" dxfId="1" priority="220">
      <formula>"$Y2="No""</formula>
    </cfRule>
  </conditionalFormatting>
  <conditionalFormatting sqref="AF1004">
    <cfRule type="expression" dxfId="1" priority="221">
      <formula>"$Y2="No""</formula>
    </cfRule>
  </conditionalFormatting>
  <conditionalFormatting sqref="AF1003">
    <cfRule type="expression" dxfId="1" priority="222">
      <formula>"$Y2="No""</formula>
    </cfRule>
  </conditionalFormatting>
  <conditionalFormatting sqref="AF1002">
    <cfRule type="expression" dxfId="1" priority="223">
      <formula>"$Y2="No""</formula>
    </cfRule>
  </conditionalFormatting>
  <conditionalFormatting sqref="AF1001">
    <cfRule type="expression" dxfId="1" priority="224">
      <formula>"$Y2="No""</formula>
    </cfRule>
  </conditionalFormatting>
  <conditionalFormatting sqref="AF1000">
    <cfRule type="expression" dxfId="1" priority="225">
      <formula>"$Y2="No""</formula>
    </cfRule>
  </conditionalFormatting>
  <conditionalFormatting sqref="AF999">
    <cfRule type="expression" dxfId="1" priority="226">
      <formula>"$Y2="No""</formula>
    </cfRule>
  </conditionalFormatting>
  <conditionalFormatting sqref="AF998">
    <cfRule type="expression" dxfId="1" priority="227">
      <formula>"$Y2="No""</formula>
    </cfRule>
  </conditionalFormatting>
  <conditionalFormatting sqref="AF997">
    <cfRule type="expression" dxfId="1" priority="228">
      <formula>"$Y2="No""</formula>
    </cfRule>
  </conditionalFormatting>
  <conditionalFormatting sqref="AF996">
    <cfRule type="expression" dxfId="1" priority="229">
      <formula>"$Y2="No""</formula>
    </cfRule>
  </conditionalFormatting>
  <conditionalFormatting sqref="AF995">
    <cfRule type="expression" dxfId="1" priority="230">
      <formula>"$Y2="No""</formula>
    </cfRule>
  </conditionalFormatting>
  <conditionalFormatting sqref="AF994">
    <cfRule type="expression" dxfId="1" priority="231">
      <formula>"$Y2="No""</formula>
    </cfRule>
  </conditionalFormatting>
  <conditionalFormatting sqref="AF993">
    <cfRule type="expression" dxfId="1" priority="232">
      <formula>"$Y2="No""</formula>
    </cfRule>
  </conditionalFormatting>
  <conditionalFormatting sqref="AF992">
    <cfRule type="expression" dxfId="1" priority="233">
      <formula>"$Y2="No""</formula>
    </cfRule>
  </conditionalFormatting>
  <conditionalFormatting sqref="AF991">
    <cfRule type="expression" dxfId="1" priority="234">
      <formula>"$Y2="No""</formula>
    </cfRule>
  </conditionalFormatting>
  <conditionalFormatting sqref="AF990">
    <cfRule type="expression" dxfId="1" priority="235">
      <formula>"$Y2="No""</formula>
    </cfRule>
  </conditionalFormatting>
  <conditionalFormatting sqref="AF989">
    <cfRule type="expression" dxfId="1" priority="236">
      <formula>"$Y2="No""</formula>
    </cfRule>
  </conditionalFormatting>
  <conditionalFormatting sqref="AF988">
    <cfRule type="expression" dxfId="1" priority="237">
      <formula>"$Y2="No""</formula>
    </cfRule>
  </conditionalFormatting>
  <conditionalFormatting sqref="AF987">
    <cfRule type="expression" dxfId="1" priority="238">
      <formula>"$Y2="No""</formula>
    </cfRule>
  </conditionalFormatting>
  <conditionalFormatting sqref="AF986">
    <cfRule type="expression" dxfId="1" priority="239">
      <formula>"$Y2="No""</formula>
    </cfRule>
  </conditionalFormatting>
  <conditionalFormatting sqref="AF985">
    <cfRule type="expression" dxfId="1" priority="240">
      <formula>"$Y2="No""</formula>
    </cfRule>
  </conditionalFormatting>
  <conditionalFormatting sqref="AF984">
    <cfRule type="expression" dxfId="1" priority="241">
      <formula>"$Y2="No""</formula>
    </cfRule>
  </conditionalFormatting>
  <conditionalFormatting sqref="AF983">
    <cfRule type="expression" dxfId="1" priority="242">
      <formula>"$Y2="No""</formula>
    </cfRule>
  </conditionalFormatting>
  <conditionalFormatting sqref="AF982">
    <cfRule type="expression" dxfId="1" priority="243">
      <formula>"$Y2="No""</formula>
    </cfRule>
  </conditionalFormatting>
  <conditionalFormatting sqref="AF981">
    <cfRule type="expression" dxfId="1" priority="244">
      <formula>"$Y2="No""</formula>
    </cfRule>
  </conditionalFormatting>
  <conditionalFormatting sqref="AF979">
    <cfRule type="expression" dxfId="1" priority="245">
      <formula>"$Y2="No""</formula>
    </cfRule>
  </conditionalFormatting>
  <conditionalFormatting sqref="AF978">
    <cfRule type="expression" dxfId="1" priority="246">
      <formula>"$Y2="No""</formula>
    </cfRule>
  </conditionalFormatting>
  <conditionalFormatting sqref="AF977">
    <cfRule type="expression" dxfId="1" priority="247">
      <formula>"$Y2="No""</formula>
    </cfRule>
  </conditionalFormatting>
  <conditionalFormatting sqref="AF976">
    <cfRule type="expression" dxfId="1" priority="248">
      <formula>"$Y2="No""</formula>
    </cfRule>
  </conditionalFormatting>
  <conditionalFormatting sqref="AF975">
    <cfRule type="expression" dxfId="1" priority="249">
      <formula>"$Y2="No""</formula>
    </cfRule>
  </conditionalFormatting>
  <conditionalFormatting sqref="AF974">
    <cfRule type="expression" dxfId="1" priority="250">
      <formula>"$Y2="No""</formula>
    </cfRule>
  </conditionalFormatting>
  <conditionalFormatting sqref="AF973">
    <cfRule type="expression" dxfId="1" priority="251">
      <formula>"$Y2="No""</formula>
    </cfRule>
  </conditionalFormatting>
  <conditionalFormatting sqref="AF972">
    <cfRule type="expression" dxfId="1" priority="252">
      <formula>"$Y2="No""</formula>
    </cfRule>
  </conditionalFormatting>
  <conditionalFormatting sqref="AF971">
    <cfRule type="expression" dxfId="1" priority="253">
      <formula>"$Y2="No""</formula>
    </cfRule>
  </conditionalFormatting>
  <conditionalFormatting sqref="AF970">
    <cfRule type="expression" dxfId="1" priority="254">
      <formula>"$Y2="No""</formula>
    </cfRule>
  </conditionalFormatting>
  <conditionalFormatting sqref="AF969">
    <cfRule type="expression" dxfId="1" priority="255">
      <formula>"$Y2="No""</formula>
    </cfRule>
  </conditionalFormatting>
  <conditionalFormatting sqref="AF968">
    <cfRule type="expression" dxfId="1" priority="256">
      <formula>"$Y2="No""</formula>
    </cfRule>
  </conditionalFormatting>
  <conditionalFormatting sqref="AF967">
    <cfRule type="expression" dxfId="1" priority="257">
      <formula>"$Y2="No""</formula>
    </cfRule>
  </conditionalFormatting>
  <conditionalFormatting sqref="AF966">
    <cfRule type="expression" dxfId="1" priority="258">
      <formula>"$Y2="No""</formula>
    </cfRule>
  </conditionalFormatting>
  <conditionalFormatting sqref="AF965">
    <cfRule type="expression" dxfId="1" priority="259">
      <formula>"$Y2="No""</formula>
    </cfRule>
  </conditionalFormatting>
  <conditionalFormatting sqref="AF964">
    <cfRule type="expression" dxfId="1" priority="260">
      <formula>"$Y2="No""</formula>
    </cfRule>
  </conditionalFormatting>
  <conditionalFormatting sqref="AF962">
    <cfRule type="expression" dxfId="1" priority="261">
      <formula>"$Y2="No""</formula>
    </cfRule>
  </conditionalFormatting>
  <conditionalFormatting sqref="AF961">
    <cfRule type="expression" dxfId="1" priority="262">
      <formula>"$Y2="No""</formula>
    </cfRule>
  </conditionalFormatting>
  <conditionalFormatting sqref="AF960">
    <cfRule type="expression" dxfId="1" priority="263">
      <formula>"$Y2="No""</formula>
    </cfRule>
  </conditionalFormatting>
  <conditionalFormatting sqref="AF959">
    <cfRule type="expression" dxfId="1" priority="264">
      <formula>"$Y2="No""</formula>
    </cfRule>
  </conditionalFormatting>
  <conditionalFormatting sqref="AF958">
    <cfRule type="expression" dxfId="1" priority="265">
      <formula>"$Y2="No""</formula>
    </cfRule>
  </conditionalFormatting>
  <conditionalFormatting sqref="AF957">
    <cfRule type="expression" dxfId="1" priority="266">
      <formula>"$Y2="No""</formula>
    </cfRule>
  </conditionalFormatting>
  <conditionalFormatting sqref="AF956">
    <cfRule type="expression" dxfId="1" priority="267">
      <formula>"$Y2="No""</formula>
    </cfRule>
  </conditionalFormatting>
  <conditionalFormatting sqref="AF955">
    <cfRule type="expression" dxfId="1" priority="268">
      <formula>"$Y2="No""</formula>
    </cfRule>
  </conditionalFormatting>
  <conditionalFormatting sqref="AF954">
    <cfRule type="expression" dxfId="1" priority="269">
      <formula>"$Y2="No""</formula>
    </cfRule>
  </conditionalFormatting>
  <conditionalFormatting sqref="AF953">
    <cfRule type="expression" dxfId="1" priority="270">
      <formula>"$Y2="No""</formula>
    </cfRule>
  </conditionalFormatting>
  <conditionalFormatting sqref="AF952">
    <cfRule type="expression" dxfId="1" priority="271">
      <formula>"$Y2="No""</formula>
    </cfRule>
  </conditionalFormatting>
  <conditionalFormatting sqref="AF951">
    <cfRule type="expression" dxfId="1" priority="272">
      <formula>"$Y2="No""</formula>
    </cfRule>
  </conditionalFormatting>
  <conditionalFormatting sqref="AF950">
    <cfRule type="expression" dxfId="1" priority="273">
      <formula>"$Y2="No""</formula>
    </cfRule>
  </conditionalFormatting>
  <conditionalFormatting sqref="AF949">
    <cfRule type="expression" dxfId="1" priority="274">
      <formula>"$Y2="No""</formula>
    </cfRule>
  </conditionalFormatting>
  <conditionalFormatting sqref="AF948">
    <cfRule type="expression" dxfId="1" priority="275">
      <formula>"$Y2="No""</formula>
    </cfRule>
  </conditionalFormatting>
  <conditionalFormatting sqref="AF947">
    <cfRule type="expression" dxfId="1" priority="276">
      <formula>"$Y2="No""</formula>
    </cfRule>
  </conditionalFormatting>
  <conditionalFormatting sqref="AF946">
    <cfRule type="expression" dxfId="1" priority="277">
      <formula>"$Y2="No""</formula>
    </cfRule>
  </conditionalFormatting>
  <conditionalFormatting sqref="AF945">
    <cfRule type="expression" dxfId="1" priority="278">
      <formula>"$Y2="No""</formula>
    </cfRule>
  </conditionalFormatting>
  <conditionalFormatting sqref="AF944">
    <cfRule type="expression" dxfId="1" priority="279">
      <formula>"$Y2="No""</formula>
    </cfRule>
  </conditionalFormatting>
  <conditionalFormatting sqref="AF943">
    <cfRule type="expression" dxfId="1" priority="280">
      <formula>"$Y2="No""</formula>
    </cfRule>
  </conditionalFormatting>
  <conditionalFormatting sqref="AF942">
    <cfRule type="expression" dxfId="1" priority="281">
      <formula>"$Y2="No""</formula>
    </cfRule>
  </conditionalFormatting>
  <conditionalFormatting sqref="AF941">
    <cfRule type="expression" dxfId="1" priority="282">
      <formula>"$Y2="No""</formula>
    </cfRule>
  </conditionalFormatting>
  <conditionalFormatting sqref="AF939">
    <cfRule type="expression" dxfId="1" priority="283">
      <formula>"$Y2="No""</formula>
    </cfRule>
  </conditionalFormatting>
  <conditionalFormatting sqref="AF938">
    <cfRule type="expression" dxfId="1" priority="284">
      <formula>"$Y2="No""</formula>
    </cfRule>
  </conditionalFormatting>
  <conditionalFormatting sqref="AF937">
    <cfRule type="expression" dxfId="1" priority="285">
      <formula>"$Y2="No""</formula>
    </cfRule>
  </conditionalFormatting>
  <conditionalFormatting sqref="AF936">
    <cfRule type="expression" dxfId="1" priority="286">
      <formula>"$Y2="No""</formula>
    </cfRule>
  </conditionalFormatting>
  <conditionalFormatting sqref="AF935">
    <cfRule type="expression" dxfId="1" priority="287">
      <formula>"$Y2="No""</formula>
    </cfRule>
  </conditionalFormatting>
  <conditionalFormatting sqref="AF934">
    <cfRule type="expression" dxfId="1" priority="288">
      <formula>"$Y2="No""</formula>
    </cfRule>
  </conditionalFormatting>
  <conditionalFormatting sqref="AF933">
    <cfRule type="expression" dxfId="1" priority="289">
      <formula>"$Y2="No""</formula>
    </cfRule>
  </conditionalFormatting>
  <conditionalFormatting sqref="AF932">
    <cfRule type="expression" dxfId="1" priority="290">
      <formula>"$Y2="No""</formula>
    </cfRule>
  </conditionalFormatting>
  <conditionalFormatting sqref="AF931">
    <cfRule type="expression" dxfId="1" priority="291">
      <formula>"$Y2="No""</formula>
    </cfRule>
  </conditionalFormatting>
  <conditionalFormatting sqref="AF930">
    <cfRule type="expression" dxfId="1" priority="292">
      <formula>"$Y2="No""</formula>
    </cfRule>
  </conditionalFormatting>
  <conditionalFormatting sqref="AF929">
    <cfRule type="expression" dxfId="1" priority="293">
      <formula>"$Y2="No""</formula>
    </cfRule>
  </conditionalFormatting>
  <conditionalFormatting sqref="AF928">
    <cfRule type="expression" dxfId="1" priority="294">
      <formula>"$Y2="No""</formula>
    </cfRule>
  </conditionalFormatting>
  <conditionalFormatting sqref="AF927">
    <cfRule type="expression" dxfId="1" priority="295">
      <formula>"$Y2="No""</formula>
    </cfRule>
  </conditionalFormatting>
  <conditionalFormatting sqref="AF926">
    <cfRule type="expression" dxfId="1" priority="296">
      <formula>"$Y2="No""</formula>
    </cfRule>
  </conditionalFormatting>
  <conditionalFormatting sqref="AF924">
    <cfRule type="expression" dxfId="1" priority="297">
      <formula>"$Y2="No""</formula>
    </cfRule>
  </conditionalFormatting>
  <conditionalFormatting sqref="AF923">
    <cfRule type="expression" dxfId="1" priority="298">
      <formula>"$Y2="No""</formula>
    </cfRule>
  </conditionalFormatting>
  <conditionalFormatting sqref="AF922">
    <cfRule type="expression" dxfId="1" priority="299">
      <formula>"$Y2="No""</formula>
    </cfRule>
  </conditionalFormatting>
  <conditionalFormatting sqref="AF921">
    <cfRule type="expression" dxfId="1" priority="300">
      <formula>"$Y2="No""</formula>
    </cfRule>
  </conditionalFormatting>
  <conditionalFormatting sqref="AF920">
    <cfRule type="expression" dxfId="1" priority="301">
      <formula>"$Y2="No""</formula>
    </cfRule>
  </conditionalFormatting>
  <conditionalFormatting sqref="AF919">
    <cfRule type="expression" dxfId="1" priority="302">
      <formula>"$Y2="No""</formula>
    </cfRule>
  </conditionalFormatting>
  <conditionalFormatting sqref="AF918">
    <cfRule type="expression" dxfId="1" priority="303">
      <formula>"$Y2="No""</formula>
    </cfRule>
  </conditionalFormatting>
  <conditionalFormatting sqref="AF917">
    <cfRule type="expression" dxfId="1" priority="304">
      <formula>"$Y2="No""</formula>
    </cfRule>
  </conditionalFormatting>
  <conditionalFormatting sqref="AF916">
    <cfRule type="expression" dxfId="1" priority="305">
      <formula>"$Y2="No""</formula>
    </cfRule>
  </conditionalFormatting>
  <conditionalFormatting sqref="AF915">
    <cfRule type="expression" dxfId="1" priority="306">
      <formula>"$Y2="No""</formula>
    </cfRule>
  </conditionalFormatting>
  <conditionalFormatting sqref="AF914">
    <cfRule type="expression" dxfId="1" priority="307">
      <formula>"$Y2="No""</formula>
    </cfRule>
  </conditionalFormatting>
  <conditionalFormatting sqref="AF913">
    <cfRule type="expression" dxfId="1" priority="308">
      <formula>"$Y2="No""</formula>
    </cfRule>
  </conditionalFormatting>
  <conditionalFormatting sqref="AF912">
    <cfRule type="expression" dxfId="1" priority="309">
      <formula>"$Y2="No""</formula>
    </cfRule>
  </conditionalFormatting>
  <conditionalFormatting sqref="AF911">
    <cfRule type="expression" dxfId="1" priority="310">
      <formula>"$Y2="No""</formula>
    </cfRule>
  </conditionalFormatting>
  <conditionalFormatting sqref="AF910">
    <cfRule type="expression" dxfId="1" priority="311">
      <formula>"$Y2="No""</formula>
    </cfRule>
  </conditionalFormatting>
  <conditionalFormatting sqref="AF909">
    <cfRule type="expression" dxfId="1" priority="312">
      <formula>"$Y2="No""</formula>
    </cfRule>
  </conditionalFormatting>
  <conditionalFormatting sqref="AF908">
    <cfRule type="expression" dxfId="1" priority="313">
      <formula>"$Y2="No""</formula>
    </cfRule>
  </conditionalFormatting>
  <conditionalFormatting sqref="AF907">
    <cfRule type="expression" dxfId="1" priority="314">
      <formula>"$Y2="No""</formula>
    </cfRule>
  </conditionalFormatting>
  <conditionalFormatting sqref="AF906">
    <cfRule type="expression" dxfId="1" priority="315">
      <formula>"$Y2="No""</formula>
    </cfRule>
  </conditionalFormatting>
  <conditionalFormatting sqref="AF905">
    <cfRule type="expression" dxfId="1" priority="316">
      <formula>"$Y2="No""</formula>
    </cfRule>
  </conditionalFormatting>
  <conditionalFormatting sqref="AF904">
    <cfRule type="expression" dxfId="1" priority="317">
      <formula>"$Y2="No""</formula>
    </cfRule>
  </conditionalFormatting>
  <conditionalFormatting sqref="AF903">
    <cfRule type="expression" dxfId="1" priority="318">
      <formula>"$Y2="No""</formula>
    </cfRule>
  </conditionalFormatting>
  <conditionalFormatting sqref="AF902">
    <cfRule type="expression" dxfId="1" priority="319">
      <formula>"$Y2="No""</formula>
    </cfRule>
  </conditionalFormatting>
  <conditionalFormatting sqref="AF901">
    <cfRule type="expression" dxfId="1" priority="320">
      <formula>"$Y2="No""</formula>
    </cfRule>
  </conditionalFormatting>
  <conditionalFormatting sqref="AF900">
    <cfRule type="expression" dxfId="1" priority="321">
      <formula>"$Y2="No""</formula>
    </cfRule>
  </conditionalFormatting>
  <conditionalFormatting sqref="AF899">
    <cfRule type="expression" dxfId="1" priority="322">
      <formula>"$Y2="No""</formula>
    </cfRule>
  </conditionalFormatting>
  <conditionalFormatting sqref="AF897">
    <cfRule type="expression" dxfId="1" priority="323">
      <formula>"$Y2="No""</formula>
    </cfRule>
  </conditionalFormatting>
  <conditionalFormatting sqref="AF896">
    <cfRule type="expression" dxfId="1" priority="324">
      <formula>"$Y2="No""</formula>
    </cfRule>
  </conditionalFormatting>
  <conditionalFormatting sqref="AF895">
    <cfRule type="expression" dxfId="1" priority="325">
      <formula>"$Y2="No""</formula>
    </cfRule>
  </conditionalFormatting>
  <conditionalFormatting sqref="AF893">
    <cfRule type="expression" dxfId="1" priority="326">
      <formula>"$Y2="No""</formula>
    </cfRule>
  </conditionalFormatting>
  <conditionalFormatting sqref="AF892">
    <cfRule type="expression" dxfId="1" priority="327">
      <formula>"$Y2="No""</formula>
    </cfRule>
  </conditionalFormatting>
  <conditionalFormatting sqref="AF891">
    <cfRule type="expression" dxfId="1" priority="328">
      <formula>"$Y2="No""</formula>
    </cfRule>
  </conditionalFormatting>
  <conditionalFormatting sqref="AF889">
    <cfRule type="expression" dxfId="1" priority="329">
      <formula>"$Y2="No""</formula>
    </cfRule>
  </conditionalFormatting>
  <conditionalFormatting sqref="AF888">
    <cfRule type="expression" dxfId="1" priority="330">
      <formula>"$Y2="No""</formula>
    </cfRule>
  </conditionalFormatting>
  <conditionalFormatting sqref="AF887">
    <cfRule type="expression" dxfId="1" priority="331">
      <formula>"$Y2="No""</formula>
    </cfRule>
  </conditionalFormatting>
  <conditionalFormatting sqref="AF886">
    <cfRule type="expression" dxfId="1" priority="332">
      <formula>"$Y2="No""</formula>
    </cfRule>
  </conditionalFormatting>
  <conditionalFormatting sqref="AF885">
    <cfRule type="expression" dxfId="1" priority="333">
      <formula>"$Y2="No""</formula>
    </cfRule>
  </conditionalFormatting>
  <conditionalFormatting sqref="AF884">
    <cfRule type="expression" dxfId="1" priority="334">
      <formula>"$Y2="No""</formula>
    </cfRule>
  </conditionalFormatting>
  <conditionalFormatting sqref="AF883">
    <cfRule type="expression" dxfId="1" priority="335">
      <formula>"$Y2="No""</formula>
    </cfRule>
  </conditionalFormatting>
  <conditionalFormatting sqref="AF882">
    <cfRule type="expression" dxfId="1" priority="336">
      <formula>"$Y2="No""</formula>
    </cfRule>
  </conditionalFormatting>
  <conditionalFormatting sqref="AF881">
    <cfRule type="expression" dxfId="1" priority="337">
      <formula>"$Y2="No""</formula>
    </cfRule>
  </conditionalFormatting>
  <conditionalFormatting sqref="AF880">
    <cfRule type="expression" dxfId="1" priority="338">
      <formula>"$Y2="No""</formula>
    </cfRule>
  </conditionalFormatting>
  <conditionalFormatting sqref="AF879">
    <cfRule type="expression" dxfId="1" priority="339">
      <formula>"$Y2="No""</formula>
    </cfRule>
  </conditionalFormatting>
  <conditionalFormatting sqref="AF878">
    <cfRule type="expression" dxfId="1" priority="340">
      <formula>"$Y2="No""</formula>
    </cfRule>
  </conditionalFormatting>
  <conditionalFormatting sqref="AF877">
    <cfRule type="expression" dxfId="1" priority="341">
      <formula>"$Y2="No""</formula>
    </cfRule>
  </conditionalFormatting>
  <conditionalFormatting sqref="AF876">
    <cfRule type="expression" dxfId="1" priority="342">
      <formula>"$Y2="No""</formula>
    </cfRule>
  </conditionalFormatting>
  <conditionalFormatting sqref="AF875">
    <cfRule type="expression" dxfId="1" priority="343">
      <formula>"$Y2="No""</formula>
    </cfRule>
  </conditionalFormatting>
  <conditionalFormatting sqref="AF874">
    <cfRule type="expression" dxfId="1" priority="344">
      <formula>"$Y2="No""</formula>
    </cfRule>
  </conditionalFormatting>
  <conditionalFormatting sqref="AF873">
    <cfRule type="expression" dxfId="1" priority="345">
      <formula>"$Y2="No""</formula>
    </cfRule>
  </conditionalFormatting>
  <conditionalFormatting sqref="AF872">
    <cfRule type="expression" dxfId="1" priority="346">
      <formula>"$Y2="No""</formula>
    </cfRule>
  </conditionalFormatting>
  <conditionalFormatting sqref="AF871">
    <cfRule type="expression" dxfId="1" priority="347">
      <formula>"$Y2="No""</formula>
    </cfRule>
  </conditionalFormatting>
  <conditionalFormatting sqref="AF870">
    <cfRule type="expression" dxfId="1" priority="348">
      <formula>"$Y2="No""</formula>
    </cfRule>
  </conditionalFormatting>
  <conditionalFormatting sqref="AF869">
    <cfRule type="expression" dxfId="1" priority="349">
      <formula>"$Y2="No""</formula>
    </cfRule>
  </conditionalFormatting>
  <conditionalFormatting sqref="AF868">
    <cfRule type="expression" dxfId="1" priority="350">
      <formula>"$Y2="No""</formula>
    </cfRule>
  </conditionalFormatting>
  <conditionalFormatting sqref="AF867">
    <cfRule type="expression" dxfId="1" priority="351">
      <formula>"$Y2="No""</formula>
    </cfRule>
  </conditionalFormatting>
  <conditionalFormatting sqref="AF866">
    <cfRule type="expression" dxfId="1" priority="352">
      <formula>"$Y2="No""</formula>
    </cfRule>
  </conditionalFormatting>
  <conditionalFormatting sqref="AF865">
    <cfRule type="expression" dxfId="1" priority="353">
      <formula>"$Y2="No""</formula>
    </cfRule>
  </conditionalFormatting>
  <conditionalFormatting sqref="AF864">
    <cfRule type="expression" dxfId="1" priority="354">
      <formula>"$Y2="No""</formula>
    </cfRule>
  </conditionalFormatting>
  <conditionalFormatting sqref="AF863">
    <cfRule type="expression" dxfId="1" priority="355">
      <formula>"$Y2="No""</formula>
    </cfRule>
  </conditionalFormatting>
  <conditionalFormatting sqref="AF862">
    <cfRule type="expression" dxfId="1" priority="356">
      <formula>"$Y2="No""</formula>
    </cfRule>
  </conditionalFormatting>
  <conditionalFormatting sqref="AF861">
    <cfRule type="expression" dxfId="1" priority="357">
      <formula>"$Y2="No""</formula>
    </cfRule>
  </conditionalFormatting>
  <conditionalFormatting sqref="AF859">
    <cfRule type="expression" dxfId="1" priority="358">
      <formula>"$Y2="No""</formula>
    </cfRule>
  </conditionalFormatting>
  <conditionalFormatting sqref="AF858">
    <cfRule type="expression" dxfId="1" priority="359">
      <formula>"$Y2="No""</formula>
    </cfRule>
  </conditionalFormatting>
  <conditionalFormatting sqref="AF857">
    <cfRule type="expression" dxfId="1" priority="360">
      <formula>"$Y2="No""</formula>
    </cfRule>
  </conditionalFormatting>
  <conditionalFormatting sqref="AF856">
    <cfRule type="expression" dxfId="1" priority="361">
      <formula>"$Y2="No""</formula>
    </cfRule>
  </conditionalFormatting>
  <conditionalFormatting sqref="AF855">
    <cfRule type="expression" dxfId="1" priority="362">
      <formula>"$Y2="No""</formula>
    </cfRule>
  </conditionalFormatting>
  <conditionalFormatting sqref="AF854">
    <cfRule type="expression" dxfId="1" priority="363">
      <formula>"$Y2="No""</formula>
    </cfRule>
  </conditionalFormatting>
  <conditionalFormatting sqref="AF853">
    <cfRule type="expression" dxfId="1" priority="364">
      <formula>"$Y2="No""</formula>
    </cfRule>
  </conditionalFormatting>
  <conditionalFormatting sqref="AF852">
    <cfRule type="expression" dxfId="1" priority="365">
      <formula>"$Y2="No""</formula>
    </cfRule>
  </conditionalFormatting>
  <conditionalFormatting sqref="AF851">
    <cfRule type="expression" dxfId="1" priority="366">
      <formula>"$Y2="No""</formula>
    </cfRule>
  </conditionalFormatting>
  <conditionalFormatting sqref="AF850">
    <cfRule type="expression" dxfId="1" priority="367">
      <formula>"$Y2="No""</formula>
    </cfRule>
  </conditionalFormatting>
  <conditionalFormatting sqref="AF849">
    <cfRule type="expression" dxfId="1" priority="368">
      <formula>"$Y2="No""</formula>
    </cfRule>
  </conditionalFormatting>
  <conditionalFormatting sqref="AF848">
    <cfRule type="expression" dxfId="1" priority="369">
      <formula>"$Y2="No""</formula>
    </cfRule>
  </conditionalFormatting>
  <conditionalFormatting sqref="AF847">
    <cfRule type="expression" dxfId="1" priority="370">
      <formula>"$Y2="No""</formula>
    </cfRule>
  </conditionalFormatting>
  <conditionalFormatting sqref="AF846">
    <cfRule type="expression" dxfId="1" priority="371">
      <formula>"$Y2="No""</formula>
    </cfRule>
  </conditionalFormatting>
  <conditionalFormatting sqref="AF844">
    <cfRule type="expression" dxfId="1" priority="372">
      <formula>"$Y2="No""</formula>
    </cfRule>
  </conditionalFormatting>
  <conditionalFormatting sqref="AF841">
    <cfRule type="expression" dxfId="1" priority="373">
      <formula>"$Y2="No""</formula>
    </cfRule>
  </conditionalFormatting>
  <conditionalFormatting sqref="AF840">
    <cfRule type="expression" dxfId="1" priority="374">
      <formula>"$Y2="No""</formula>
    </cfRule>
  </conditionalFormatting>
  <conditionalFormatting sqref="AF839">
    <cfRule type="expression" dxfId="1" priority="375">
      <formula>"$Y2="No""</formula>
    </cfRule>
  </conditionalFormatting>
  <conditionalFormatting sqref="AF838">
    <cfRule type="expression" dxfId="1" priority="376">
      <formula>"$Y2="No""</formula>
    </cfRule>
  </conditionalFormatting>
  <conditionalFormatting sqref="AF837">
    <cfRule type="expression" dxfId="1" priority="377">
      <formula>"$Y2="No""</formula>
    </cfRule>
  </conditionalFormatting>
  <conditionalFormatting sqref="AF836">
    <cfRule type="expression" dxfId="1" priority="378">
      <formula>"$Y2="No""</formula>
    </cfRule>
  </conditionalFormatting>
  <conditionalFormatting sqref="AF835">
    <cfRule type="expression" dxfId="1" priority="379">
      <formula>"$Y2="No""</formula>
    </cfRule>
  </conditionalFormatting>
  <conditionalFormatting sqref="AF834">
    <cfRule type="expression" dxfId="1" priority="380">
      <formula>"$Y2="No""</formula>
    </cfRule>
  </conditionalFormatting>
  <conditionalFormatting sqref="AF833">
    <cfRule type="expression" dxfId="1" priority="381">
      <formula>"$Y2="No""</formula>
    </cfRule>
  </conditionalFormatting>
  <conditionalFormatting sqref="AF832">
    <cfRule type="expression" dxfId="1" priority="382">
      <formula>"$Y2="No""</formula>
    </cfRule>
  </conditionalFormatting>
  <conditionalFormatting sqref="AF831">
    <cfRule type="expression" dxfId="1" priority="383">
      <formula>"$Y2="No""</formula>
    </cfRule>
  </conditionalFormatting>
  <conditionalFormatting sqref="AF830">
    <cfRule type="expression" dxfId="1" priority="384">
      <formula>"$Y2="No""</formula>
    </cfRule>
  </conditionalFormatting>
  <conditionalFormatting sqref="AF829">
    <cfRule type="expression" dxfId="1" priority="385">
      <formula>"$Y2="No""</formula>
    </cfRule>
  </conditionalFormatting>
  <conditionalFormatting sqref="AF828">
    <cfRule type="expression" dxfId="1" priority="386">
      <formula>"$Y2="No""</formula>
    </cfRule>
  </conditionalFormatting>
  <conditionalFormatting sqref="AF827">
    <cfRule type="expression" dxfId="1" priority="387">
      <formula>"$Y2="No""</formula>
    </cfRule>
  </conditionalFormatting>
  <conditionalFormatting sqref="AF826">
    <cfRule type="expression" dxfId="1" priority="388">
      <formula>"$Y2="No""</formula>
    </cfRule>
  </conditionalFormatting>
  <conditionalFormatting sqref="AF825">
    <cfRule type="expression" dxfId="1" priority="389">
      <formula>"$Y2="No""</formula>
    </cfRule>
  </conditionalFormatting>
  <conditionalFormatting sqref="AF824">
    <cfRule type="expression" dxfId="1" priority="390">
      <formula>"$Y2="No""</formula>
    </cfRule>
  </conditionalFormatting>
  <conditionalFormatting sqref="AF823">
    <cfRule type="expression" dxfId="1" priority="391">
      <formula>"$Y2="No""</formula>
    </cfRule>
  </conditionalFormatting>
  <conditionalFormatting sqref="AF822">
    <cfRule type="expression" dxfId="1" priority="392">
      <formula>"$Y2="No""</formula>
    </cfRule>
  </conditionalFormatting>
  <conditionalFormatting sqref="AF821">
    <cfRule type="expression" dxfId="1" priority="393">
      <formula>"$Y2="No""</formula>
    </cfRule>
  </conditionalFormatting>
  <conditionalFormatting sqref="AF820">
    <cfRule type="expression" dxfId="1" priority="394">
      <formula>"$Y2="No""</formula>
    </cfRule>
  </conditionalFormatting>
  <conditionalFormatting sqref="AF819">
    <cfRule type="expression" dxfId="1" priority="395">
      <formula>"$Y2="No""</formula>
    </cfRule>
  </conditionalFormatting>
  <conditionalFormatting sqref="AF817">
    <cfRule type="expression" dxfId="1" priority="396">
      <formula>"$Y2="No""</formula>
    </cfRule>
  </conditionalFormatting>
  <conditionalFormatting sqref="AF816">
    <cfRule type="expression" dxfId="1" priority="397">
      <formula>"$Y2="No""</formula>
    </cfRule>
  </conditionalFormatting>
  <conditionalFormatting sqref="AF815">
    <cfRule type="expression" dxfId="1" priority="398">
      <formula>"$Y2="No""</formula>
    </cfRule>
  </conditionalFormatting>
  <conditionalFormatting sqref="AF814">
    <cfRule type="expression" dxfId="1" priority="399">
      <formula>"$Y2="No""</formula>
    </cfRule>
  </conditionalFormatting>
  <conditionalFormatting sqref="AF813">
    <cfRule type="expression" dxfId="1" priority="400">
      <formula>"$Y2="No""</formula>
    </cfRule>
  </conditionalFormatting>
  <conditionalFormatting sqref="AF812">
    <cfRule type="expression" dxfId="1" priority="401">
      <formula>"$Y2="No""</formula>
    </cfRule>
  </conditionalFormatting>
  <conditionalFormatting sqref="AF811">
    <cfRule type="expression" dxfId="1" priority="402">
      <formula>"$Y2="No""</formula>
    </cfRule>
  </conditionalFormatting>
  <conditionalFormatting sqref="AF810">
    <cfRule type="expression" dxfId="1" priority="403">
      <formula>"$Y2="No""</formula>
    </cfRule>
  </conditionalFormatting>
  <conditionalFormatting sqref="AF809">
    <cfRule type="expression" dxfId="1" priority="404">
      <formula>"$Y2="No""</formula>
    </cfRule>
  </conditionalFormatting>
  <conditionalFormatting sqref="AF808">
    <cfRule type="expression" dxfId="1" priority="405">
      <formula>"$Y2="No""</formula>
    </cfRule>
  </conditionalFormatting>
  <conditionalFormatting sqref="AF807">
    <cfRule type="expression" dxfId="1" priority="406">
      <formula>"$Y2="No""</formula>
    </cfRule>
  </conditionalFormatting>
  <conditionalFormatting sqref="AF806">
    <cfRule type="expression" dxfId="1" priority="407">
      <formula>"$Y2="No""</formula>
    </cfRule>
  </conditionalFormatting>
  <conditionalFormatting sqref="AF805">
    <cfRule type="expression" dxfId="1" priority="408">
      <formula>"$Y2="No""</formula>
    </cfRule>
  </conditionalFormatting>
  <conditionalFormatting sqref="AF804">
    <cfRule type="expression" dxfId="1" priority="409">
      <formula>"$Y2="No""</formula>
    </cfRule>
  </conditionalFormatting>
  <conditionalFormatting sqref="AF803">
    <cfRule type="expression" dxfId="1" priority="410">
      <formula>"$Y2="No""</formula>
    </cfRule>
  </conditionalFormatting>
  <conditionalFormatting sqref="AF802">
    <cfRule type="expression" dxfId="1" priority="411">
      <formula>"$Y2="No""</formula>
    </cfRule>
  </conditionalFormatting>
  <conditionalFormatting sqref="AF801">
    <cfRule type="expression" dxfId="1" priority="412">
      <formula>"$Y2="No""</formula>
    </cfRule>
  </conditionalFormatting>
  <conditionalFormatting sqref="AF800">
    <cfRule type="expression" dxfId="1" priority="413">
      <formula>"$Y2="No""</formula>
    </cfRule>
  </conditionalFormatting>
  <conditionalFormatting sqref="AF799">
    <cfRule type="expression" dxfId="1" priority="414">
      <formula>"$Y2="No""</formula>
    </cfRule>
  </conditionalFormatting>
  <conditionalFormatting sqref="AF798">
    <cfRule type="expression" dxfId="1" priority="415">
      <formula>"$Y2="No""</formula>
    </cfRule>
  </conditionalFormatting>
  <conditionalFormatting sqref="AF797">
    <cfRule type="expression" dxfId="1" priority="416">
      <formula>"$Y2="No""</formula>
    </cfRule>
  </conditionalFormatting>
  <conditionalFormatting sqref="AF795">
    <cfRule type="expression" dxfId="1" priority="417">
      <formula>"$Y2="No""</formula>
    </cfRule>
  </conditionalFormatting>
  <conditionalFormatting sqref="AF794">
    <cfRule type="expression" dxfId="1" priority="418">
      <formula>"$Y2="No""</formula>
    </cfRule>
  </conditionalFormatting>
  <conditionalFormatting sqref="AF793">
    <cfRule type="expression" dxfId="1" priority="419">
      <formula>"$Y2="No""</formula>
    </cfRule>
  </conditionalFormatting>
  <conditionalFormatting sqref="AF792">
    <cfRule type="expression" dxfId="1" priority="420">
      <formula>"$Y2="No""</formula>
    </cfRule>
  </conditionalFormatting>
  <conditionalFormatting sqref="AF791">
    <cfRule type="expression" dxfId="1" priority="421">
      <formula>"$Y2="No""</formula>
    </cfRule>
  </conditionalFormatting>
  <conditionalFormatting sqref="AF790">
    <cfRule type="expression" dxfId="1" priority="422">
      <formula>"$Y2="No""</formula>
    </cfRule>
  </conditionalFormatting>
  <conditionalFormatting sqref="AF789">
    <cfRule type="expression" dxfId="1" priority="423">
      <formula>"$Y2="No""</formula>
    </cfRule>
  </conditionalFormatting>
  <conditionalFormatting sqref="AF788">
    <cfRule type="expression" dxfId="1" priority="424">
      <formula>"$Y2="No""</formula>
    </cfRule>
  </conditionalFormatting>
  <conditionalFormatting sqref="AF787">
    <cfRule type="expression" dxfId="1" priority="425">
      <formula>"$Y2="No""</formula>
    </cfRule>
  </conditionalFormatting>
  <conditionalFormatting sqref="AF786">
    <cfRule type="expression" dxfId="1" priority="426">
      <formula>"$Y2="No""</formula>
    </cfRule>
  </conditionalFormatting>
  <conditionalFormatting sqref="AF785">
    <cfRule type="expression" dxfId="1" priority="427">
      <formula>"$Y2="No""</formula>
    </cfRule>
  </conditionalFormatting>
  <conditionalFormatting sqref="AF784">
    <cfRule type="expression" dxfId="1" priority="428">
      <formula>"$Y2="No""</formula>
    </cfRule>
  </conditionalFormatting>
  <conditionalFormatting sqref="AF783">
    <cfRule type="expression" dxfId="1" priority="429">
      <formula>"$Y2="No""</formula>
    </cfRule>
  </conditionalFormatting>
  <conditionalFormatting sqref="AF782">
    <cfRule type="expression" dxfId="1" priority="430">
      <formula>"$Y2="No""</formula>
    </cfRule>
  </conditionalFormatting>
  <conditionalFormatting sqref="AF781">
    <cfRule type="expression" dxfId="1" priority="431">
      <formula>"$Y2="No""</formula>
    </cfRule>
  </conditionalFormatting>
  <conditionalFormatting sqref="AF780">
    <cfRule type="expression" dxfId="1" priority="432">
      <formula>"$Y2="No""</formula>
    </cfRule>
  </conditionalFormatting>
  <conditionalFormatting sqref="AF778">
    <cfRule type="expression" dxfId="1" priority="433">
      <formula>"$Y2="No""</formula>
    </cfRule>
  </conditionalFormatting>
  <conditionalFormatting sqref="AF777">
    <cfRule type="expression" dxfId="1" priority="434">
      <formula>"$Y2="No""</formula>
    </cfRule>
  </conditionalFormatting>
  <conditionalFormatting sqref="AF775">
    <cfRule type="expression" dxfId="1" priority="435">
      <formula>"$Y2="No""</formula>
    </cfRule>
  </conditionalFormatting>
  <conditionalFormatting sqref="AF774">
    <cfRule type="expression" dxfId="1" priority="436">
      <formula>"$Y2="No""</formula>
    </cfRule>
  </conditionalFormatting>
  <conditionalFormatting sqref="AF773">
    <cfRule type="expression" dxfId="1" priority="437">
      <formula>"$Y2="No""</formula>
    </cfRule>
  </conditionalFormatting>
  <conditionalFormatting sqref="AF772">
    <cfRule type="expression" dxfId="1" priority="438">
      <formula>"$Y2="No""</formula>
    </cfRule>
  </conditionalFormatting>
  <conditionalFormatting sqref="AF771">
    <cfRule type="expression" dxfId="1" priority="439">
      <formula>"$Y2="No""</formula>
    </cfRule>
  </conditionalFormatting>
  <conditionalFormatting sqref="AF770">
    <cfRule type="expression" dxfId="1" priority="440">
      <formula>"$Y2="No""</formula>
    </cfRule>
  </conditionalFormatting>
  <conditionalFormatting sqref="AF769">
    <cfRule type="expression" dxfId="1" priority="441">
      <formula>"$Y2="No""</formula>
    </cfRule>
  </conditionalFormatting>
  <conditionalFormatting sqref="AF768">
    <cfRule type="expression" dxfId="1" priority="442">
      <formula>"$Y2="No""</formula>
    </cfRule>
  </conditionalFormatting>
  <conditionalFormatting sqref="AF766">
    <cfRule type="expression" dxfId="1" priority="443">
      <formula>"$Y2="No""</formula>
    </cfRule>
  </conditionalFormatting>
  <conditionalFormatting sqref="AF765">
    <cfRule type="expression" dxfId="1" priority="444">
      <formula>"$Y2="No""</formula>
    </cfRule>
  </conditionalFormatting>
  <conditionalFormatting sqref="AF763">
    <cfRule type="expression" dxfId="1" priority="445">
      <formula>"$Y2="No""</formula>
    </cfRule>
  </conditionalFormatting>
  <conditionalFormatting sqref="AF762">
    <cfRule type="expression" dxfId="1" priority="446">
      <formula>"$Y2="No""</formula>
    </cfRule>
  </conditionalFormatting>
  <conditionalFormatting sqref="AF761">
    <cfRule type="expression" dxfId="1" priority="447">
      <formula>"$Y2="No""</formula>
    </cfRule>
  </conditionalFormatting>
  <conditionalFormatting sqref="AF760">
    <cfRule type="expression" dxfId="1" priority="448">
      <formula>"$Y2="No""</formula>
    </cfRule>
  </conditionalFormatting>
  <conditionalFormatting sqref="AF759">
    <cfRule type="expression" dxfId="1" priority="449">
      <formula>"$Y2="No""</formula>
    </cfRule>
  </conditionalFormatting>
  <conditionalFormatting sqref="AF758">
    <cfRule type="expression" dxfId="1" priority="450">
      <formula>"$Y2="No""</formula>
    </cfRule>
  </conditionalFormatting>
  <conditionalFormatting sqref="AF757">
    <cfRule type="expression" dxfId="1" priority="451">
      <formula>"$Y2="No""</formula>
    </cfRule>
  </conditionalFormatting>
  <conditionalFormatting sqref="AF756">
    <cfRule type="expression" dxfId="1" priority="452">
      <formula>"$Y2="No""</formula>
    </cfRule>
  </conditionalFormatting>
  <conditionalFormatting sqref="AF755">
    <cfRule type="expression" dxfId="1" priority="453">
      <formula>"$Y2="No""</formula>
    </cfRule>
  </conditionalFormatting>
  <conditionalFormatting sqref="AF754">
    <cfRule type="expression" dxfId="1" priority="454">
      <formula>"$Y2="No""</formula>
    </cfRule>
  </conditionalFormatting>
  <conditionalFormatting sqref="AF753">
    <cfRule type="expression" dxfId="1" priority="455">
      <formula>"$Y2="No""</formula>
    </cfRule>
  </conditionalFormatting>
  <conditionalFormatting sqref="AF752">
    <cfRule type="expression" dxfId="1" priority="456">
      <formula>"$Y2="No""</formula>
    </cfRule>
  </conditionalFormatting>
  <conditionalFormatting sqref="AF751">
    <cfRule type="expression" dxfId="1" priority="457">
      <formula>"$Y2="No""</formula>
    </cfRule>
  </conditionalFormatting>
  <conditionalFormatting sqref="AF750">
    <cfRule type="expression" dxfId="1" priority="458">
      <formula>"$Y2="No""</formula>
    </cfRule>
  </conditionalFormatting>
  <conditionalFormatting sqref="AF749">
    <cfRule type="expression" dxfId="1" priority="459">
      <formula>"$Y2="No""</formula>
    </cfRule>
  </conditionalFormatting>
  <conditionalFormatting sqref="AF748">
    <cfRule type="expression" dxfId="1" priority="460">
      <formula>"$Y2="No""</formula>
    </cfRule>
  </conditionalFormatting>
  <conditionalFormatting sqref="AF747">
    <cfRule type="expression" dxfId="1" priority="461">
      <formula>"$Y2="No""</formula>
    </cfRule>
  </conditionalFormatting>
  <conditionalFormatting sqref="AF746">
    <cfRule type="expression" dxfId="1" priority="462">
      <formula>"$Y2="No""</formula>
    </cfRule>
  </conditionalFormatting>
  <conditionalFormatting sqref="AF745">
    <cfRule type="expression" dxfId="1" priority="463">
      <formula>"$Y2="No""</formula>
    </cfRule>
  </conditionalFormatting>
  <conditionalFormatting sqref="AF744">
    <cfRule type="expression" dxfId="1" priority="464">
      <formula>"$Y2="No""</formula>
    </cfRule>
  </conditionalFormatting>
  <conditionalFormatting sqref="AF743">
    <cfRule type="expression" dxfId="1" priority="465">
      <formula>"$Y2="No""</formula>
    </cfRule>
  </conditionalFormatting>
  <conditionalFormatting sqref="AF742">
    <cfRule type="expression" dxfId="1" priority="466">
      <formula>"$Y2="No""</formula>
    </cfRule>
  </conditionalFormatting>
  <conditionalFormatting sqref="AF741">
    <cfRule type="expression" dxfId="1" priority="467">
      <formula>"$Y2="No""</formula>
    </cfRule>
  </conditionalFormatting>
  <conditionalFormatting sqref="AF740">
    <cfRule type="expression" dxfId="1" priority="468">
      <formula>"$Y2="No""</formula>
    </cfRule>
  </conditionalFormatting>
  <conditionalFormatting sqref="AF739">
    <cfRule type="expression" dxfId="1" priority="469">
      <formula>"$Y2="No""</formula>
    </cfRule>
  </conditionalFormatting>
  <conditionalFormatting sqref="AF737">
    <cfRule type="expression" dxfId="1" priority="470">
      <formula>"$Y2="No""</formula>
    </cfRule>
  </conditionalFormatting>
  <conditionalFormatting sqref="AF736">
    <cfRule type="expression" dxfId="1" priority="471">
      <formula>"$Y2="No""</formula>
    </cfRule>
  </conditionalFormatting>
  <conditionalFormatting sqref="AF734">
    <cfRule type="expression" dxfId="1" priority="472">
      <formula>"$Y2="No""</formula>
    </cfRule>
  </conditionalFormatting>
  <conditionalFormatting sqref="AF733">
    <cfRule type="expression" dxfId="1" priority="473">
      <formula>"$Y2="No""</formula>
    </cfRule>
  </conditionalFormatting>
  <conditionalFormatting sqref="AF732">
    <cfRule type="expression" dxfId="1" priority="474">
      <formula>"$Y2="No""</formula>
    </cfRule>
  </conditionalFormatting>
  <conditionalFormatting sqref="AF731">
    <cfRule type="expression" dxfId="1" priority="475">
      <formula>"$Y2="No""</formula>
    </cfRule>
  </conditionalFormatting>
  <conditionalFormatting sqref="AF730">
    <cfRule type="expression" dxfId="1" priority="476">
      <formula>"$Y2="No""</formula>
    </cfRule>
  </conditionalFormatting>
  <conditionalFormatting sqref="AF729">
    <cfRule type="expression" dxfId="1" priority="477">
      <formula>"$Y2="No""</formula>
    </cfRule>
  </conditionalFormatting>
  <conditionalFormatting sqref="AF727">
    <cfRule type="expression" dxfId="1" priority="478">
      <formula>"$Y2="No""</formula>
    </cfRule>
  </conditionalFormatting>
  <conditionalFormatting sqref="AF726">
    <cfRule type="expression" dxfId="1" priority="479">
      <formula>"$Y2="No""</formula>
    </cfRule>
  </conditionalFormatting>
  <conditionalFormatting sqref="AF725">
    <cfRule type="expression" dxfId="1" priority="480">
      <formula>"$Y2="No""</formula>
    </cfRule>
  </conditionalFormatting>
  <conditionalFormatting sqref="AF724">
    <cfRule type="expression" dxfId="1" priority="481">
      <formula>"$Y2="No""</formula>
    </cfRule>
  </conditionalFormatting>
  <conditionalFormatting sqref="AF723">
    <cfRule type="expression" dxfId="1" priority="482">
      <formula>"$Y2="No""</formula>
    </cfRule>
  </conditionalFormatting>
  <conditionalFormatting sqref="AF722">
    <cfRule type="expression" dxfId="1" priority="483">
      <formula>"$Y2="No""</formula>
    </cfRule>
  </conditionalFormatting>
  <conditionalFormatting sqref="AF721">
    <cfRule type="expression" dxfId="1" priority="484">
      <formula>"$Y2="No""</formula>
    </cfRule>
  </conditionalFormatting>
  <conditionalFormatting sqref="AF720">
    <cfRule type="expression" dxfId="1" priority="485">
      <formula>"$Y2="No""</formula>
    </cfRule>
  </conditionalFormatting>
  <conditionalFormatting sqref="AF719">
    <cfRule type="expression" dxfId="1" priority="486">
      <formula>"$Y2="No""</formula>
    </cfRule>
  </conditionalFormatting>
  <conditionalFormatting sqref="AF718">
    <cfRule type="expression" dxfId="1" priority="487">
      <formula>"$Y2="No""</formula>
    </cfRule>
  </conditionalFormatting>
  <conditionalFormatting sqref="AF717">
    <cfRule type="expression" dxfId="1" priority="488">
      <formula>"$Y2="No""</formula>
    </cfRule>
  </conditionalFormatting>
  <conditionalFormatting sqref="AF716">
    <cfRule type="expression" dxfId="1" priority="489">
      <formula>"$Y2="No""</formula>
    </cfRule>
  </conditionalFormatting>
  <conditionalFormatting sqref="AF715">
    <cfRule type="expression" dxfId="1" priority="490">
      <formula>"$Y2="No""</formula>
    </cfRule>
  </conditionalFormatting>
  <conditionalFormatting sqref="AF714">
    <cfRule type="expression" dxfId="1" priority="491">
      <formula>"$Y2="No""</formula>
    </cfRule>
  </conditionalFormatting>
  <conditionalFormatting sqref="AF713">
    <cfRule type="expression" dxfId="1" priority="492">
      <formula>"$Y2="No""</formula>
    </cfRule>
  </conditionalFormatting>
  <conditionalFormatting sqref="AF712">
    <cfRule type="expression" dxfId="1" priority="493">
      <formula>"$Y2="No""</formula>
    </cfRule>
  </conditionalFormatting>
  <conditionalFormatting sqref="AF711">
    <cfRule type="expression" dxfId="1" priority="494">
      <formula>"$Y2="No""</formula>
    </cfRule>
  </conditionalFormatting>
  <conditionalFormatting sqref="AF710">
    <cfRule type="expression" dxfId="1" priority="495">
      <formula>"$Y2="No""</formula>
    </cfRule>
  </conditionalFormatting>
  <conditionalFormatting sqref="AF709">
    <cfRule type="expression" dxfId="1" priority="496">
      <formula>"$Y2="No""</formula>
    </cfRule>
  </conditionalFormatting>
  <conditionalFormatting sqref="AF708">
    <cfRule type="expression" dxfId="1" priority="497">
      <formula>"$Y2="No""</formula>
    </cfRule>
  </conditionalFormatting>
  <conditionalFormatting sqref="AF707">
    <cfRule type="expression" dxfId="1" priority="498">
      <formula>"$Y2="No""</formula>
    </cfRule>
  </conditionalFormatting>
  <conditionalFormatting sqref="AF706">
    <cfRule type="expression" dxfId="1" priority="499">
      <formula>"$Y2="No""</formula>
    </cfRule>
  </conditionalFormatting>
  <conditionalFormatting sqref="AF705">
    <cfRule type="expression" dxfId="1" priority="500">
      <formula>"$Y2="No""</formula>
    </cfRule>
  </conditionalFormatting>
  <conditionalFormatting sqref="AF703">
    <cfRule type="expression" dxfId="1" priority="501">
      <formula>"$Y2="No""</formula>
    </cfRule>
  </conditionalFormatting>
  <conditionalFormatting sqref="AF702">
    <cfRule type="expression" dxfId="1" priority="502">
      <formula>"$Y2="No""</formula>
    </cfRule>
  </conditionalFormatting>
  <conditionalFormatting sqref="AF701">
    <cfRule type="expression" dxfId="1" priority="503">
      <formula>"$Y2="No""</formula>
    </cfRule>
  </conditionalFormatting>
  <conditionalFormatting sqref="AF699">
    <cfRule type="expression" dxfId="1" priority="504">
      <formula>"$Y2="No""</formula>
    </cfRule>
  </conditionalFormatting>
  <conditionalFormatting sqref="AF698">
    <cfRule type="expression" dxfId="1" priority="505">
      <formula>"$Y2="No""</formula>
    </cfRule>
  </conditionalFormatting>
  <conditionalFormatting sqref="AF697">
    <cfRule type="expression" dxfId="1" priority="506">
      <formula>"$Y2="No""</formula>
    </cfRule>
  </conditionalFormatting>
  <conditionalFormatting sqref="AF696">
    <cfRule type="expression" dxfId="1" priority="507">
      <formula>"$Y2="No""</formula>
    </cfRule>
  </conditionalFormatting>
  <conditionalFormatting sqref="AF695">
    <cfRule type="expression" dxfId="1" priority="508">
      <formula>"$Y2="No""</formula>
    </cfRule>
  </conditionalFormatting>
  <conditionalFormatting sqref="AF694">
    <cfRule type="expression" dxfId="1" priority="509">
      <formula>"$Y2="No""</formula>
    </cfRule>
  </conditionalFormatting>
  <conditionalFormatting sqref="AF693">
    <cfRule type="expression" dxfId="1" priority="510">
      <formula>"$Y2="No""</formula>
    </cfRule>
  </conditionalFormatting>
  <conditionalFormatting sqref="AF692">
    <cfRule type="expression" dxfId="1" priority="511">
      <formula>"$Y2="No""</formula>
    </cfRule>
  </conditionalFormatting>
  <conditionalFormatting sqref="AF691">
    <cfRule type="expression" dxfId="1" priority="512">
      <formula>"$Y2="No""</formula>
    </cfRule>
  </conditionalFormatting>
  <conditionalFormatting sqref="AF690">
    <cfRule type="expression" dxfId="1" priority="513">
      <formula>"$Y2="No""</formula>
    </cfRule>
  </conditionalFormatting>
  <conditionalFormatting sqref="AF689">
    <cfRule type="expression" dxfId="1" priority="514">
      <formula>"$Y2="No""</formula>
    </cfRule>
  </conditionalFormatting>
  <conditionalFormatting sqref="AF688">
    <cfRule type="expression" dxfId="1" priority="515">
      <formula>"$Y2="No""</formula>
    </cfRule>
  </conditionalFormatting>
  <conditionalFormatting sqref="AF687">
    <cfRule type="expression" dxfId="1" priority="516">
      <formula>"$Y2="No""</formula>
    </cfRule>
  </conditionalFormatting>
  <conditionalFormatting sqref="AF686">
    <cfRule type="expression" dxfId="1" priority="517">
      <formula>"$Y2="No""</formula>
    </cfRule>
  </conditionalFormatting>
  <conditionalFormatting sqref="AF685">
    <cfRule type="expression" dxfId="1" priority="518">
      <formula>"$Y2="No""</formula>
    </cfRule>
  </conditionalFormatting>
  <conditionalFormatting sqref="AF684">
    <cfRule type="expression" dxfId="1" priority="519">
      <formula>"$Y2="No""</formula>
    </cfRule>
  </conditionalFormatting>
  <conditionalFormatting sqref="AF683">
    <cfRule type="expression" dxfId="1" priority="520">
      <formula>"$Y2="No""</formula>
    </cfRule>
  </conditionalFormatting>
  <conditionalFormatting sqref="AF682">
    <cfRule type="expression" dxfId="1" priority="521">
      <formula>"$Y2="No""</formula>
    </cfRule>
  </conditionalFormatting>
  <conditionalFormatting sqref="AF681">
    <cfRule type="expression" dxfId="1" priority="522">
      <formula>"$Y2="No""</formula>
    </cfRule>
  </conditionalFormatting>
  <conditionalFormatting sqref="AF680">
    <cfRule type="expression" dxfId="1" priority="523">
      <formula>"$Y2="No""</formula>
    </cfRule>
  </conditionalFormatting>
  <conditionalFormatting sqref="AF679">
    <cfRule type="expression" dxfId="1" priority="524">
      <formula>"$Y2="No""</formula>
    </cfRule>
  </conditionalFormatting>
  <conditionalFormatting sqref="AF678">
    <cfRule type="expression" dxfId="1" priority="525">
      <formula>"$Y2="No""</formula>
    </cfRule>
  </conditionalFormatting>
  <conditionalFormatting sqref="AF677">
    <cfRule type="expression" dxfId="1" priority="526">
      <formula>"$Y2="No""</formula>
    </cfRule>
  </conditionalFormatting>
  <conditionalFormatting sqref="AF676">
    <cfRule type="expression" dxfId="1" priority="527">
      <formula>"$Y2="No""</formula>
    </cfRule>
  </conditionalFormatting>
  <conditionalFormatting sqref="AF675">
    <cfRule type="expression" dxfId="1" priority="528">
      <formula>"$Y2="No""</formula>
    </cfRule>
  </conditionalFormatting>
  <conditionalFormatting sqref="AF674">
    <cfRule type="expression" dxfId="1" priority="529">
      <formula>"$Y2="No""</formula>
    </cfRule>
  </conditionalFormatting>
  <conditionalFormatting sqref="AF672">
    <cfRule type="expression" dxfId="1" priority="530">
      <formula>"$Y2="No""</formula>
    </cfRule>
  </conditionalFormatting>
  <conditionalFormatting sqref="AF671">
    <cfRule type="expression" dxfId="1" priority="531">
      <formula>"$Y2="No""</formula>
    </cfRule>
  </conditionalFormatting>
  <conditionalFormatting sqref="AF670">
    <cfRule type="expression" dxfId="1" priority="532">
      <formula>"$Y2="No""</formula>
    </cfRule>
  </conditionalFormatting>
  <conditionalFormatting sqref="AF669">
    <cfRule type="expression" dxfId="1" priority="533">
      <formula>"$Y2="No""</formula>
    </cfRule>
  </conditionalFormatting>
  <conditionalFormatting sqref="AF668">
    <cfRule type="expression" dxfId="1" priority="534">
      <formula>"$Y2="No""</formula>
    </cfRule>
  </conditionalFormatting>
  <conditionalFormatting sqref="AF667">
    <cfRule type="expression" dxfId="1" priority="535">
      <formula>"$Y2="No""</formula>
    </cfRule>
  </conditionalFormatting>
  <conditionalFormatting sqref="AF666">
    <cfRule type="expression" dxfId="1" priority="536">
      <formula>"$Y2="No""</formula>
    </cfRule>
  </conditionalFormatting>
  <conditionalFormatting sqref="AF665">
    <cfRule type="expression" dxfId="1" priority="537">
      <formula>"$Y2="No""</formula>
    </cfRule>
  </conditionalFormatting>
  <conditionalFormatting sqref="AF664">
    <cfRule type="expression" dxfId="1" priority="538">
      <formula>"$Y2="No""</formula>
    </cfRule>
  </conditionalFormatting>
  <conditionalFormatting sqref="AF663">
    <cfRule type="expression" dxfId="1" priority="539">
      <formula>"$Y2="No""</formula>
    </cfRule>
  </conditionalFormatting>
  <conditionalFormatting sqref="AF662">
    <cfRule type="expression" dxfId="1" priority="540">
      <formula>"$Y2="No""</formula>
    </cfRule>
  </conditionalFormatting>
  <conditionalFormatting sqref="AF661">
    <cfRule type="expression" dxfId="1" priority="541">
      <formula>"$Y2="No""</formula>
    </cfRule>
  </conditionalFormatting>
  <conditionalFormatting sqref="AF660">
    <cfRule type="expression" dxfId="1" priority="542">
      <formula>"$Y2="No""</formula>
    </cfRule>
  </conditionalFormatting>
  <conditionalFormatting sqref="AF659">
    <cfRule type="expression" dxfId="1" priority="543">
      <formula>"$Y2="No""</formula>
    </cfRule>
  </conditionalFormatting>
  <conditionalFormatting sqref="AF658">
    <cfRule type="expression" dxfId="1" priority="544">
      <formula>"$Y2="No""</formula>
    </cfRule>
  </conditionalFormatting>
  <conditionalFormatting sqref="AF657">
    <cfRule type="expression" dxfId="1" priority="545">
      <formula>"$Y2="No""</formula>
    </cfRule>
  </conditionalFormatting>
  <conditionalFormatting sqref="AF656">
    <cfRule type="expression" dxfId="1" priority="546">
      <formula>"$Y2="No""</formula>
    </cfRule>
  </conditionalFormatting>
  <conditionalFormatting sqref="AF655">
    <cfRule type="expression" dxfId="1" priority="547">
      <formula>"$Y2="No""</formula>
    </cfRule>
  </conditionalFormatting>
  <conditionalFormatting sqref="AF654">
    <cfRule type="expression" dxfId="1" priority="548">
      <formula>"$Y2="No""</formula>
    </cfRule>
  </conditionalFormatting>
  <conditionalFormatting sqref="AF652">
    <cfRule type="expression" dxfId="1" priority="549">
      <formula>"$Y2="No""</formula>
    </cfRule>
  </conditionalFormatting>
  <conditionalFormatting sqref="AF651">
    <cfRule type="expression" dxfId="1" priority="550">
      <formula>"$Y2="No""</formula>
    </cfRule>
  </conditionalFormatting>
  <conditionalFormatting sqref="AF650">
    <cfRule type="expression" dxfId="1" priority="551">
      <formula>"$Y2="No""</formula>
    </cfRule>
  </conditionalFormatting>
  <conditionalFormatting sqref="AF649">
    <cfRule type="expression" dxfId="1" priority="552">
      <formula>"$Y2="No""</formula>
    </cfRule>
  </conditionalFormatting>
  <conditionalFormatting sqref="AF648">
    <cfRule type="expression" dxfId="1" priority="553">
      <formula>"$Y2="No""</formula>
    </cfRule>
  </conditionalFormatting>
  <conditionalFormatting sqref="AF647">
    <cfRule type="expression" dxfId="1" priority="554">
      <formula>"$Y2="No""</formula>
    </cfRule>
  </conditionalFormatting>
  <conditionalFormatting sqref="AF646">
    <cfRule type="expression" dxfId="1" priority="555">
      <formula>"$Y2="No""</formula>
    </cfRule>
  </conditionalFormatting>
  <conditionalFormatting sqref="AF645">
    <cfRule type="expression" dxfId="1" priority="556">
      <formula>"$Y2="No""</formula>
    </cfRule>
  </conditionalFormatting>
  <conditionalFormatting sqref="AF644">
    <cfRule type="expression" dxfId="1" priority="557">
      <formula>"$Y2="No""</formula>
    </cfRule>
  </conditionalFormatting>
  <conditionalFormatting sqref="AF643">
    <cfRule type="expression" dxfId="1" priority="558">
      <formula>"$Y2="No""</formula>
    </cfRule>
  </conditionalFormatting>
  <conditionalFormatting sqref="AF641">
    <cfRule type="expression" dxfId="1" priority="559">
      <formula>"$Y2="No""</formula>
    </cfRule>
  </conditionalFormatting>
  <conditionalFormatting sqref="AF640">
    <cfRule type="expression" dxfId="1" priority="560">
      <formula>"$Y2="No""</formula>
    </cfRule>
  </conditionalFormatting>
  <conditionalFormatting sqref="AF639">
    <cfRule type="expression" dxfId="1" priority="561">
      <formula>"$Y2="No""</formula>
    </cfRule>
  </conditionalFormatting>
  <conditionalFormatting sqref="AF638">
    <cfRule type="expression" dxfId="1" priority="562">
      <formula>"$Y2="No""</formula>
    </cfRule>
  </conditionalFormatting>
  <conditionalFormatting sqref="AF637">
    <cfRule type="expression" dxfId="1" priority="563">
      <formula>"$Y2="No""</formula>
    </cfRule>
  </conditionalFormatting>
  <conditionalFormatting sqref="AF636">
    <cfRule type="expression" dxfId="1" priority="564">
      <formula>"$Y2="No""</formula>
    </cfRule>
  </conditionalFormatting>
  <conditionalFormatting sqref="AF635">
    <cfRule type="expression" dxfId="1" priority="565">
      <formula>"$Y2="No""</formula>
    </cfRule>
  </conditionalFormatting>
  <conditionalFormatting sqref="AF634">
    <cfRule type="expression" dxfId="1" priority="566">
      <formula>"$Y2="No""</formula>
    </cfRule>
  </conditionalFormatting>
  <conditionalFormatting sqref="AF633">
    <cfRule type="expression" dxfId="1" priority="567">
      <formula>"$Y2="No""</formula>
    </cfRule>
  </conditionalFormatting>
  <conditionalFormatting sqref="AF632">
    <cfRule type="expression" dxfId="1" priority="568">
      <formula>"$Y2="No""</formula>
    </cfRule>
  </conditionalFormatting>
  <conditionalFormatting sqref="AF631">
    <cfRule type="expression" dxfId="1" priority="569">
      <formula>"$Y2="No""</formula>
    </cfRule>
  </conditionalFormatting>
  <conditionalFormatting sqref="AF630">
    <cfRule type="expression" dxfId="1" priority="570">
      <formula>"$Y2="No""</formula>
    </cfRule>
  </conditionalFormatting>
  <conditionalFormatting sqref="AF629">
    <cfRule type="expression" dxfId="1" priority="571">
      <formula>"$Y2="No""</formula>
    </cfRule>
  </conditionalFormatting>
  <conditionalFormatting sqref="AF628">
    <cfRule type="expression" dxfId="1" priority="572">
      <formula>"$Y2="No""</formula>
    </cfRule>
  </conditionalFormatting>
  <conditionalFormatting sqref="AF627">
    <cfRule type="expression" dxfId="1" priority="573">
      <formula>"$Y2="No""</formula>
    </cfRule>
  </conditionalFormatting>
  <conditionalFormatting sqref="AF626">
    <cfRule type="expression" dxfId="1" priority="574">
      <formula>"$Y2="No""</formula>
    </cfRule>
  </conditionalFormatting>
  <conditionalFormatting sqref="AF625">
    <cfRule type="expression" dxfId="1" priority="575">
      <formula>"$Y2="No""</formula>
    </cfRule>
  </conditionalFormatting>
  <conditionalFormatting sqref="AF624">
    <cfRule type="expression" dxfId="1" priority="576">
      <formula>"$Y2="No""</formula>
    </cfRule>
  </conditionalFormatting>
  <conditionalFormatting sqref="AF623">
    <cfRule type="expression" dxfId="1" priority="577">
      <formula>"$Y2="No""</formula>
    </cfRule>
  </conditionalFormatting>
  <conditionalFormatting sqref="AF622">
    <cfRule type="expression" dxfId="1" priority="578">
      <formula>"$Y2="No""</formula>
    </cfRule>
  </conditionalFormatting>
  <conditionalFormatting sqref="AF621">
    <cfRule type="expression" dxfId="1" priority="579">
      <formula>"$Y2="No""</formula>
    </cfRule>
  </conditionalFormatting>
  <conditionalFormatting sqref="AF619">
    <cfRule type="expression" dxfId="1" priority="580">
      <formula>"$Y2="No""</formula>
    </cfRule>
  </conditionalFormatting>
  <conditionalFormatting sqref="AF618">
    <cfRule type="expression" dxfId="1" priority="581">
      <formula>"$Y2="No""</formula>
    </cfRule>
  </conditionalFormatting>
  <conditionalFormatting sqref="AF617">
    <cfRule type="expression" dxfId="1" priority="582">
      <formula>"$Y2="No""</formula>
    </cfRule>
  </conditionalFormatting>
  <conditionalFormatting sqref="AF616">
    <cfRule type="expression" dxfId="1" priority="583">
      <formula>"$Y2="No""</formula>
    </cfRule>
  </conditionalFormatting>
  <conditionalFormatting sqref="AF615">
    <cfRule type="expression" dxfId="1" priority="584">
      <formula>"$Y2="No""</formula>
    </cfRule>
  </conditionalFormatting>
  <conditionalFormatting sqref="AF614">
    <cfRule type="expression" dxfId="1" priority="585">
      <formula>"$Y2="No""</formula>
    </cfRule>
  </conditionalFormatting>
  <conditionalFormatting sqref="AF613">
    <cfRule type="expression" dxfId="1" priority="586">
      <formula>"$Y2="No""</formula>
    </cfRule>
  </conditionalFormatting>
  <conditionalFormatting sqref="AF612">
    <cfRule type="expression" dxfId="1" priority="587">
      <formula>"$Y2="No""</formula>
    </cfRule>
  </conditionalFormatting>
  <conditionalFormatting sqref="AF611">
    <cfRule type="expression" dxfId="1" priority="588">
      <formula>"$Y2="No""</formula>
    </cfRule>
  </conditionalFormatting>
  <conditionalFormatting sqref="AF610">
    <cfRule type="expression" dxfId="1" priority="589">
      <formula>"$Y2="No""</formula>
    </cfRule>
  </conditionalFormatting>
  <conditionalFormatting sqref="AF609">
    <cfRule type="expression" dxfId="1" priority="590">
      <formula>"$Y2="No""</formula>
    </cfRule>
  </conditionalFormatting>
  <conditionalFormatting sqref="AF608">
    <cfRule type="expression" dxfId="1" priority="591">
      <formula>"$Y2="No""</formula>
    </cfRule>
  </conditionalFormatting>
  <conditionalFormatting sqref="AF607">
    <cfRule type="expression" dxfId="1" priority="592">
      <formula>"$Y2="No""</formula>
    </cfRule>
  </conditionalFormatting>
  <conditionalFormatting sqref="AF606">
    <cfRule type="expression" dxfId="1" priority="593">
      <formula>"$Y2="No""</formula>
    </cfRule>
  </conditionalFormatting>
  <conditionalFormatting sqref="AF605">
    <cfRule type="expression" dxfId="1" priority="594">
      <formula>"$Y2="No""</formula>
    </cfRule>
  </conditionalFormatting>
  <conditionalFormatting sqref="AF604">
    <cfRule type="expression" dxfId="1" priority="595">
      <formula>"$Y2="No""</formula>
    </cfRule>
  </conditionalFormatting>
  <conditionalFormatting sqref="AF603">
    <cfRule type="expression" dxfId="1" priority="596">
      <formula>"$Y2="No""</formula>
    </cfRule>
  </conditionalFormatting>
  <conditionalFormatting sqref="AF602">
    <cfRule type="expression" dxfId="1" priority="597">
      <formula>"$Y2="No""</formula>
    </cfRule>
  </conditionalFormatting>
  <conditionalFormatting sqref="AF601">
    <cfRule type="expression" dxfId="1" priority="598">
      <formula>"$Y2="No""</formula>
    </cfRule>
  </conditionalFormatting>
  <conditionalFormatting sqref="AF600">
    <cfRule type="expression" dxfId="1" priority="599">
      <formula>"$Y2="No""</formula>
    </cfRule>
  </conditionalFormatting>
  <conditionalFormatting sqref="AF599">
    <cfRule type="expression" dxfId="1" priority="600">
      <formula>"$Y2="No""</formula>
    </cfRule>
  </conditionalFormatting>
  <conditionalFormatting sqref="AF598">
    <cfRule type="expression" dxfId="1" priority="601">
      <formula>"$Y2="No""</formula>
    </cfRule>
  </conditionalFormatting>
  <conditionalFormatting sqref="AF597">
    <cfRule type="expression" dxfId="1" priority="602">
      <formula>"$Y2="No""</formula>
    </cfRule>
  </conditionalFormatting>
  <conditionalFormatting sqref="AF596">
    <cfRule type="expression" dxfId="1" priority="603">
      <formula>"$Y2="No""</formula>
    </cfRule>
  </conditionalFormatting>
  <conditionalFormatting sqref="AF595">
    <cfRule type="expression" dxfId="1" priority="604">
      <formula>"$Y2="No""</formula>
    </cfRule>
  </conditionalFormatting>
  <conditionalFormatting sqref="AF594">
    <cfRule type="expression" dxfId="1" priority="605">
      <formula>"$Y2="No""</formula>
    </cfRule>
  </conditionalFormatting>
  <conditionalFormatting sqref="AF593">
    <cfRule type="expression" dxfId="1" priority="606">
      <formula>"$Y2="No""</formula>
    </cfRule>
  </conditionalFormatting>
  <conditionalFormatting sqref="AF592">
    <cfRule type="expression" dxfId="1" priority="607">
      <formula>"$Y2="No""</formula>
    </cfRule>
  </conditionalFormatting>
  <conditionalFormatting sqref="AF591">
    <cfRule type="expression" dxfId="1" priority="608">
      <formula>"$Y2="No""</formula>
    </cfRule>
  </conditionalFormatting>
  <conditionalFormatting sqref="AF590">
    <cfRule type="expression" dxfId="1" priority="609">
      <formula>"$Y2="No""</formula>
    </cfRule>
  </conditionalFormatting>
  <conditionalFormatting sqref="AF589">
    <cfRule type="expression" dxfId="1" priority="610">
      <formula>"$Y2="No""</formula>
    </cfRule>
  </conditionalFormatting>
  <conditionalFormatting sqref="AF588">
    <cfRule type="expression" dxfId="1" priority="611">
      <formula>"$Y2="No""</formula>
    </cfRule>
  </conditionalFormatting>
  <conditionalFormatting sqref="AF587">
    <cfRule type="expression" dxfId="1" priority="612">
      <formula>"$Y2="No""</formula>
    </cfRule>
  </conditionalFormatting>
  <conditionalFormatting sqref="AF586">
    <cfRule type="expression" dxfId="1" priority="613">
      <formula>"$Y2="No""</formula>
    </cfRule>
  </conditionalFormatting>
  <conditionalFormatting sqref="AF584">
    <cfRule type="expression" dxfId="1" priority="614">
      <formula>"$Y2="No""</formula>
    </cfRule>
  </conditionalFormatting>
  <conditionalFormatting sqref="AF583">
    <cfRule type="expression" dxfId="1" priority="615">
      <formula>"$Y2="No""</formula>
    </cfRule>
  </conditionalFormatting>
  <conditionalFormatting sqref="AF582">
    <cfRule type="expression" dxfId="1" priority="616">
      <formula>"$Y2="No""</formula>
    </cfRule>
  </conditionalFormatting>
  <conditionalFormatting sqref="AF581">
    <cfRule type="expression" dxfId="1" priority="617">
      <formula>"$Y2="No""</formula>
    </cfRule>
  </conditionalFormatting>
  <conditionalFormatting sqref="AF580">
    <cfRule type="expression" dxfId="1" priority="618">
      <formula>"$Y2="No""</formula>
    </cfRule>
  </conditionalFormatting>
  <conditionalFormatting sqref="AF579">
    <cfRule type="expression" dxfId="1" priority="619">
      <formula>"$Y2="No""</formula>
    </cfRule>
  </conditionalFormatting>
  <conditionalFormatting sqref="AF578">
    <cfRule type="expression" dxfId="1" priority="620">
      <formula>"$Y2="No""</formula>
    </cfRule>
  </conditionalFormatting>
  <conditionalFormatting sqref="AF577">
    <cfRule type="expression" dxfId="1" priority="621">
      <formula>"$Y2="No""</formula>
    </cfRule>
  </conditionalFormatting>
  <conditionalFormatting sqref="AF576">
    <cfRule type="expression" dxfId="1" priority="622">
      <formula>"$Y2="No""</formula>
    </cfRule>
  </conditionalFormatting>
  <conditionalFormatting sqref="AF575">
    <cfRule type="expression" dxfId="1" priority="623">
      <formula>"$Y2="No""</formula>
    </cfRule>
  </conditionalFormatting>
  <conditionalFormatting sqref="AF574">
    <cfRule type="expression" dxfId="1" priority="624">
      <formula>"$Y2="No""</formula>
    </cfRule>
  </conditionalFormatting>
  <conditionalFormatting sqref="AF573">
    <cfRule type="expression" dxfId="1" priority="625">
      <formula>"$Y2="No""</formula>
    </cfRule>
  </conditionalFormatting>
  <conditionalFormatting sqref="AF572">
    <cfRule type="expression" dxfId="1" priority="626">
      <formula>"$Y2="No""</formula>
    </cfRule>
  </conditionalFormatting>
  <conditionalFormatting sqref="AF571">
    <cfRule type="expression" dxfId="1" priority="627">
      <formula>"$Y2="No""</formula>
    </cfRule>
  </conditionalFormatting>
  <conditionalFormatting sqref="AF570">
    <cfRule type="expression" dxfId="1" priority="628">
      <formula>"$Y2="No""</formula>
    </cfRule>
  </conditionalFormatting>
  <conditionalFormatting sqref="AF569">
    <cfRule type="expression" dxfId="1" priority="629">
      <formula>"$Y2="No""</formula>
    </cfRule>
  </conditionalFormatting>
  <conditionalFormatting sqref="AF568">
    <cfRule type="expression" dxfId="1" priority="630">
      <formula>"$Y2="No""</formula>
    </cfRule>
  </conditionalFormatting>
  <conditionalFormatting sqref="AF567">
    <cfRule type="expression" dxfId="1" priority="631">
      <formula>"$Y2="No""</formula>
    </cfRule>
  </conditionalFormatting>
  <conditionalFormatting sqref="AF566">
    <cfRule type="expression" dxfId="1" priority="632">
      <formula>"$Y2="No""</formula>
    </cfRule>
  </conditionalFormatting>
  <conditionalFormatting sqref="AF565">
    <cfRule type="expression" dxfId="1" priority="633">
      <formula>"$Y2="No""</formula>
    </cfRule>
  </conditionalFormatting>
  <conditionalFormatting sqref="AF564">
    <cfRule type="expression" dxfId="1" priority="634">
      <formula>"$Y2="No""</formula>
    </cfRule>
  </conditionalFormatting>
  <conditionalFormatting sqref="AF563">
    <cfRule type="expression" dxfId="1" priority="635">
      <formula>"$Y2="No""</formula>
    </cfRule>
  </conditionalFormatting>
  <conditionalFormatting sqref="AF562">
    <cfRule type="expression" dxfId="1" priority="636">
      <formula>"$Y2="No""</formula>
    </cfRule>
  </conditionalFormatting>
  <conditionalFormatting sqref="AF561">
    <cfRule type="expression" dxfId="1" priority="637">
      <formula>"$Y2="No""</formula>
    </cfRule>
  </conditionalFormatting>
  <conditionalFormatting sqref="AF560">
    <cfRule type="expression" dxfId="1" priority="638">
      <formula>"$Y2="No""</formula>
    </cfRule>
  </conditionalFormatting>
  <conditionalFormatting sqref="AF559">
    <cfRule type="expression" dxfId="1" priority="639">
      <formula>"$Y2="No""</formula>
    </cfRule>
  </conditionalFormatting>
  <conditionalFormatting sqref="AF558">
    <cfRule type="expression" dxfId="1" priority="640">
      <formula>"$Y2="No""</formula>
    </cfRule>
  </conditionalFormatting>
  <conditionalFormatting sqref="AF557">
    <cfRule type="expression" dxfId="1" priority="641">
      <formula>"$Y2="No""</formula>
    </cfRule>
  </conditionalFormatting>
  <conditionalFormatting sqref="AF556">
    <cfRule type="expression" dxfId="1" priority="642">
      <formula>"$Y2="No""</formula>
    </cfRule>
  </conditionalFormatting>
  <conditionalFormatting sqref="AF555">
    <cfRule type="expression" dxfId="1" priority="643">
      <formula>"$Y2="No""</formula>
    </cfRule>
  </conditionalFormatting>
  <conditionalFormatting sqref="AF554">
    <cfRule type="expression" dxfId="1" priority="644">
      <formula>"$Y2="No""</formula>
    </cfRule>
  </conditionalFormatting>
  <conditionalFormatting sqref="AF553">
    <cfRule type="expression" dxfId="1" priority="645">
      <formula>"$Y2="No""</formula>
    </cfRule>
  </conditionalFormatting>
  <conditionalFormatting sqref="AF552">
    <cfRule type="expression" dxfId="1" priority="646">
      <formula>"$Y2="No""</formula>
    </cfRule>
  </conditionalFormatting>
  <conditionalFormatting sqref="AF551">
    <cfRule type="expression" dxfId="1" priority="647">
      <formula>"$Y2="No""</formula>
    </cfRule>
  </conditionalFormatting>
  <conditionalFormatting sqref="AF550">
    <cfRule type="expression" dxfId="1" priority="648">
      <formula>"$Y2="No""</formula>
    </cfRule>
  </conditionalFormatting>
  <conditionalFormatting sqref="AF549">
    <cfRule type="expression" dxfId="1" priority="649">
      <formula>"$Y2="No""</formula>
    </cfRule>
  </conditionalFormatting>
  <conditionalFormatting sqref="AF548">
    <cfRule type="expression" dxfId="1" priority="650">
      <formula>"$Y2="No""</formula>
    </cfRule>
  </conditionalFormatting>
  <conditionalFormatting sqref="AF547">
    <cfRule type="expression" dxfId="1" priority="651">
      <formula>"$Y2="No""</formula>
    </cfRule>
  </conditionalFormatting>
  <conditionalFormatting sqref="AF546">
    <cfRule type="expression" dxfId="1" priority="652">
      <formula>"$Y2="No""</formula>
    </cfRule>
  </conditionalFormatting>
  <conditionalFormatting sqref="AF545">
    <cfRule type="expression" dxfId="1" priority="653">
      <formula>"$Y2="No""</formula>
    </cfRule>
  </conditionalFormatting>
  <conditionalFormatting sqref="AF544">
    <cfRule type="expression" dxfId="1" priority="654">
      <formula>"$Y2="No""</formula>
    </cfRule>
  </conditionalFormatting>
  <conditionalFormatting sqref="AF543">
    <cfRule type="expression" dxfId="1" priority="655">
      <formula>"$Y2="No""</formula>
    </cfRule>
  </conditionalFormatting>
  <conditionalFormatting sqref="AF542">
    <cfRule type="expression" dxfId="1" priority="656">
      <formula>"$Y2="No""</formula>
    </cfRule>
  </conditionalFormatting>
  <conditionalFormatting sqref="AF541">
    <cfRule type="expression" dxfId="1" priority="657">
      <formula>"$Y2="No""</formula>
    </cfRule>
  </conditionalFormatting>
  <conditionalFormatting sqref="AF540">
    <cfRule type="expression" dxfId="1" priority="658">
      <formula>"$Y2="No""</formula>
    </cfRule>
  </conditionalFormatting>
  <conditionalFormatting sqref="AF539">
    <cfRule type="expression" dxfId="1" priority="659">
      <formula>"$Y2="No""</formula>
    </cfRule>
  </conditionalFormatting>
  <conditionalFormatting sqref="AF538">
    <cfRule type="expression" dxfId="1" priority="660">
      <formula>"$Y2="No""</formula>
    </cfRule>
  </conditionalFormatting>
  <conditionalFormatting sqref="AF537">
    <cfRule type="expression" dxfId="1" priority="661">
      <formula>"$Y2="No""</formula>
    </cfRule>
  </conditionalFormatting>
  <conditionalFormatting sqref="AF536">
    <cfRule type="expression" dxfId="1" priority="662">
      <formula>"$Y2="No""</formula>
    </cfRule>
  </conditionalFormatting>
  <conditionalFormatting sqref="AF535">
    <cfRule type="expression" dxfId="1" priority="663">
      <formula>"$Y2="No""</formula>
    </cfRule>
  </conditionalFormatting>
  <conditionalFormatting sqref="AF534">
    <cfRule type="expression" dxfId="1" priority="664">
      <formula>"$Y2="No""</formula>
    </cfRule>
  </conditionalFormatting>
  <conditionalFormatting sqref="AF533">
    <cfRule type="expression" dxfId="1" priority="665">
      <formula>"$Y2="No""</formula>
    </cfRule>
  </conditionalFormatting>
  <conditionalFormatting sqref="AF532">
    <cfRule type="expression" dxfId="1" priority="666">
      <formula>"$Y2="No""</formula>
    </cfRule>
  </conditionalFormatting>
  <conditionalFormatting sqref="AF531">
    <cfRule type="expression" dxfId="1" priority="667">
      <formula>"$Y2="No""</formula>
    </cfRule>
  </conditionalFormatting>
  <conditionalFormatting sqref="AF530">
    <cfRule type="expression" dxfId="1" priority="668">
      <formula>"$Y2="No""</formula>
    </cfRule>
  </conditionalFormatting>
  <conditionalFormatting sqref="AF529">
    <cfRule type="expression" dxfId="1" priority="669">
      <formula>"$Y2="No""</formula>
    </cfRule>
  </conditionalFormatting>
  <conditionalFormatting sqref="AF528">
    <cfRule type="expression" dxfId="1" priority="670">
      <formula>"$Y2="No""</formula>
    </cfRule>
  </conditionalFormatting>
  <conditionalFormatting sqref="AF527">
    <cfRule type="expression" dxfId="1" priority="671">
      <formula>"$Y2="No""</formula>
    </cfRule>
  </conditionalFormatting>
  <conditionalFormatting sqref="AF526">
    <cfRule type="expression" dxfId="1" priority="672">
      <formula>"$Y2="No""</formula>
    </cfRule>
  </conditionalFormatting>
  <conditionalFormatting sqref="AF525">
    <cfRule type="expression" dxfId="1" priority="673">
      <formula>"$Y2="No""</formula>
    </cfRule>
  </conditionalFormatting>
  <conditionalFormatting sqref="AF524">
    <cfRule type="expression" dxfId="1" priority="674">
      <formula>"$Y2="No""</formula>
    </cfRule>
  </conditionalFormatting>
  <conditionalFormatting sqref="AF523">
    <cfRule type="expression" dxfId="1" priority="675">
      <formula>"$Y2="No""</formula>
    </cfRule>
  </conditionalFormatting>
  <conditionalFormatting sqref="AF522">
    <cfRule type="expression" dxfId="1" priority="676">
      <formula>"$Y2="No""</formula>
    </cfRule>
  </conditionalFormatting>
  <conditionalFormatting sqref="AF521">
    <cfRule type="expression" dxfId="1" priority="677">
      <formula>"$Y2="No""</formula>
    </cfRule>
  </conditionalFormatting>
  <conditionalFormatting sqref="AF520">
    <cfRule type="expression" dxfId="1" priority="678">
      <formula>"$Y2="No""</formula>
    </cfRule>
  </conditionalFormatting>
  <conditionalFormatting sqref="AF519">
    <cfRule type="expression" dxfId="1" priority="679">
      <formula>"$Y2="No""</formula>
    </cfRule>
  </conditionalFormatting>
  <conditionalFormatting sqref="AF518">
    <cfRule type="expression" dxfId="1" priority="680">
      <formula>"$Y2="No""</formula>
    </cfRule>
  </conditionalFormatting>
  <conditionalFormatting sqref="AF517">
    <cfRule type="expression" dxfId="1" priority="681">
      <formula>"$Y2="No""</formula>
    </cfRule>
  </conditionalFormatting>
  <conditionalFormatting sqref="AF516">
    <cfRule type="expression" dxfId="1" priority="682">
      <formula>"$Y2="No""</formula>
    </cfRule>
  </conditionalFormatting>
  <conditionalFormatting sqref="AF514">
    <cfRule type="expression" dxfId="1" priority="683">
      <formula>"$Y2="No""</formula>
    </cfRule>
  </conditionalFormatting>
  <conditionalFormatting sqref="AF513">
    <cfRule type="expression" dxfId="1" priority="684">
      <formula>"$Y2="No""</formula>
    </cfRule>
  </conditionalFormatting>
  <conditionalFormatting sqref="AF512">
    <cfRule type="expression" dxfId="1" priority="685">
      <formula>"$Y2="No""</formula>
    </cfRule>
  </conditionalFormatting>
  <conditionalFormatting sqref="AF511">
    <cfRule type="expression" dxfId="1" priority="686">
      <formula>"$Y2="No""</formula>
    </cfRule>
  </conditionalFormatting>
  <conditionalFormatting sqref="AF510">
    <cfRule type="expression" dxfId="1" priority="687">
      <formula>"$Y2="No""</formula>
    </cfRule>
  </conditionalFormatting>
  <conditionalFormatting sqref="AF509">
    <cfRule type="expression" dxfId="1" priority="688">
      <formula>"$Y2="No""</formula>
    </cfRule>
  </conditionalFormatting>
  <conditionalFormatting sqref="AF508">
    <cfRule type="expression" dxfId="1" priority="689">
      <formula>"$Y2="No""</formula>
    </cfRule>
  </conditionalFormatting>
  <conditionalFormatting sqref="AF507">
    <cfRule type="expression" dxfId="1" priority="690">
      <formula>"$Y2="No""</formula>
    </cfRule>
  </conditionalFormatting>
  <conditionalFormatting sqref="AF506">
    <cfRule type="expression" dxfId="1" priority="691">
      <formula>"$Y2="No""</formula>
    </cfRule>
  </conditionalFormatting>
  <conditionalFormatting sqref="AF505">
    <cfRule type="expression" dxfId="1" priority="692">
      <formula>"$Y2="No""</formula>
    </cfRule>
  </conditionalFormatting>
  <conditionalFormatting sqref="AF504">
    <cfRule type="expression" dxfId="1" priority="693">
      <formula>"$Y2="No""</formula>
    </cfRule>
  </conditionalFormatting>
  <conditionalFormatting sqref="AF503">
    <cfRule type="expression" dxfId="1" priority="694">
      <formula>"$Y2="No""</formula>
    </cfRule>
  </conditionalFormatting>
  <conditionalFormatting sqref="AF502">
    <cfRule type="expression" dxfId="1" priority="695">
      <formula>"$Y2="No""</formula>
    </cfRule>
  </conditionalFormatting>
  <conditionalFormatting sqref="AF501">
    <cfRule type="expression" dxfId="1" priority="696">
      <formula>"$Y2="No""</formula>
    </cfRule>
  </conditionalFormatting>
  <conditionalFormatting sqref="AF500">
    <cfRule type="expression" dxfId="1" priority="697">
      <formula>"$Y2="No""</formula>
    </cfRule>
  </conditionalFormatting>
  <conditionalFormatting sqref="AF499">
    <cfRule type="expression" dxfId="1" priority="698">
      <formula>"$Y2="No""</formula>
    </cfRule>
  </conditionalFormatting>
  <conditionalFormatting sqref="AF498">
    <cfRule type="expression" dxfId="1" priority="699">
      <formula>"$Y2="No""</formula>
    </cfRule>
  </conditionalFormatting>
  <conditionalFormatting sqref="AF497">
    <cfRule type="expression" dxfId="1" priority="700">
      <formula>"$Y2="No""</formula>
    </cfRule>
  </conditionalFormatting>
  <conditionalFormatting sqref="AF496">
    <cfRule type="expression" dxfId="1" priority="701">
      <formula>"$Y2="No""</formula>
    </cfRule>
  </conditionalFormatting>
  <conditionalFormatting sqref="AF495">
    <cfRule type="expression" dxfId="1" priority="702">
      <formula>"$Y2="No""</formula>
    </cfRule>
  </conditionalFormatting>
  <conditionalFormatting sqref="AF494">
    <cfRule type="expression" dxfId="1" priority="703">
      <formula>"$Y2="No""</formula>
    </cfRule>
  </conditionalFormatting>
  <conditionalFormatting sqref="AF493">
    <cfRule type="expression" dxfId="1" priority="704">
      <formula>"$Y2="No""</formula>
    </cfRule>
  </conditionalFormatting>
  <conditionalFormatting sqref="AF492">
    <cfRule type="expression" dxfId="1" priority="705">
      <formula>"$Y2="No""</formula>
    </cfRule>
  </conditionalFormatting>
  <conditionalFormatting sqref="AF491">
    <cfRule type="expression" dxfId="1" priority="706">
      <formula>"$Y2="No""</formula>
    </cfRule>
  </conditionalFormatting>
  <conditionalFormatting sqref="AF490">
    <cfRule type="expression" dxfId="1" priority="707">
      <formula>"$Y2="No""</formula>
    </cfRule>
  </conditionalFormatting>
  <conditionalFormatting sqref="AF489">
    <cfRule type="expression" dxfId="1" priority="708">
      <formula>"$Y2="No""</formula>
    </cfRule>
  </conditionalFormatting>
  <conditionalFormatting sqref="AF488">
    <cfRule type="expression" dxfId="1" priority="709">
      <formula>"$Y2="No""</formula>
    </cfRule>
  </conditionalFormatting>
  <conditionalFormatting sqref="AF487">
    <cfRule type="expression" dxfId="1" priority="710">
      <formula>"$Y2="No""</formula>
    </cfRule>
  </conditionalFormatting>
  <conditionalFormatting sqref="AF486">
    <cfRule type="expression" dxfId="1" priority="711">
      <formula>"$Y2="No""</formula>
    </cfRule>
  </conditionalFormatting>
  <conditionalFormatting sqref="AF485">
    <cfRule type="expression" dxfId="1" priority="712">
      <formula>"$Y2="No""</formula>
    </cfRule>
  </conditionalFormatting>
  <conditionalFormatting sqref="AF484">
    <cfRule type="expression" dxfId="1" priority="713">
      <formula>"$Y2="No""</formula>
    </cfRule>
  </conditionalFormatting>
  <conditionalFormatting sqref="AF483">
    <cfRule type="expression" dxfId="1" priority="714">
      <formula>"$Y2="No""</formula>
    </cfRule>
  </conditionalFormatting>
  <conditionalFormatting sqref="AF482">
    <cfRule type="expression" dxfId="1" priority="715">
      <formula>"$Y2="No""</formula>
    </cfRule>
  </conditionalFormatting>
  <conditionalFormatting sqref="AF481">
    <cfRule type="expression" dxfId="1" priority="716">
      <formula>"$Y2="No""</formula>
    </cfRule>
  </conditionalFormatting>
  <conditionalFormatting sqref="AF480">
    <cfRule type="expression" dxfId="1" priority="717">
      <formula>"$Y2="No""</formula>
    </cfRule>
  </conditionalFormatting>
  <conditionalFormatting sqref="AF479">
    <cfRule type="expression" dxfId="1" priority="718">
      <formula>"$Y2="No""</formula>
    </cfRule>
  </conditionalFormatting>
  <conditionalFormatting sqref="AF478">
    <cfRule type="expression" dxfId="1" priority="719">
      <formula>"$Y2="No""</formula>
    </cfRule>
  </conditionalFormatting>
  <conditionalFormatting sqref="AF477">
    <cfRule type="expression" dxfId="1" priority="720">
      <formula>"$Y2="No""</formula>
    </cfRule>
  </conditionalFormatting>
  <conditionalFormatting sqref="AF476">
    <cfRule type="expression" dxfId="1" priority="721">
      <formula>"$Y2="No""</formula>
    </cfRule>
  </conditionalFormatting>
  <conditionalFormatting sqref="AF475">
    <cfRule type="expression" dxfId="1" priority="722">
      <formula>"$Y2="No""</formula>
    </cfRule>
  </conditionalFormatting>
  <conditionalFormatting sqref="AF474">
    <cfRule type="expression" dxfId="1" priority="723">
      <formula>"$Y2="No""</formula>
    </cfRule>
  </conditionalFormatting>
  <conditionalFormatting sqref="AF473">
    <cfRule type="expression" dxfId="1" priority="724">
      <formula>"$Y2="No""</formula>
    </cfRule>
  </conditionalFormatting>
  <conditionalFormatting sqref="AF472">
    <cfRule type="expression" dxfId="1" priority="725">
      <formula>"$Y2="No""</formula>
    </cfRule>
  </conditionalFormatting>
  <conditionalFormatting sqref="AF471">
    <cfRule type="expression" dxfId="1" priority="726">
      <formula>"$Y2="No""</formula>
    </cfRule>
  </conditionalFormatting>
  <conditionalFormatting sqref="AF469">
    <cfRule type="expression" dxfId="1" priority="727">
      <formula>"$Y2="No""</formula>
    </cfRule>
  </conditionalFormatting>
  <conditionalFormatting sqref="AF468">
    <cfRule type="expression" dxfId="1" priority="728">
      <formula>"$Y2="No""</formula>
    </cfRule>
  </conditionalFormatting>
  <conditionalFormatting sqref="AF467">
    <cfRule type="expression" dxfId="1" priority="729">
      <formula>"$Y2="No""</formula>
    </cfRule>
  </conditionalFormatting>
  <conditionalFormatting sqref="AF466">
    <cfRule type="expression" dxfId="1" priority="730">
      <formula>"$Y2="No""</formula>
    </cfRule>
  </conditionalFormatting>
  <conditionalFormatting sqref="AF465">
    <cfRule type="expression" dxfId="1" priority="731">
      <formula>"$Y2="No""</formula>
    </cfRule>
  </conditionalFormatting>
  <conditionalFormatting sqref="AF464">
    <cfRule type="expression" dxfId="1" priority="732">
      <formula>"$Y2="No""</formula>
    </cfRule>
  </conditionalFormatting>
  <conditionalFormatting sqref="AF463">
    <cfRule type="expression" dxfId="1" priority="733">
      <formula>"$Y2="No""</formula>
    </cfRule>
  </conditionalFormatting>
  <conditionalFormatting sqref="AF462">
    <cfRule type="expression" dxfId="1" priority="734">
      <formula>"$Y2="No""</formula>
    </cfRule>
  </conditionalFormatting>
  <conditionalFormatting sqref="AF461">
    <cfRule type="expression" dxfId="1" priority="735">
      <formula>"$Y2="No""</formula>
    </cfRule>
  </conditionalFormatting>
  <conditionalFormatting sqref="AF460">
    <cfRule type="expression" dxfId="1" priority="736">
      <formula>"$Y2="No""</formula>
    </cfRule>
  </conditionalFormatting>
  <conditionalFormatting sqref="AF459">
    <cfRule type="expression" dxfId="1" priority="737">
      <formula>"$Y2="No""</formula>
    </cfRule>
  </conditionalFormatting>
  <conditionalFormatting sqref="AF458">
    <cfRule type="expression" dxfId="1" priority="738">
      <formula>"$Y2="No""</formula>
    </cfRule>
  </conditionalFormatting>
  <conditionalFormatting sqref="AF457">
    <cfRule type="expression" dxfId="1" priority="739">
      <formula>"$Y2="No""</formula>
    </cfRule>
  </conditionalFormatting>
  <conditionalFormatting sqref="AF456">
    <cfRule type="expression" dxfId="1" priority="740">
      <formula>"$Y2="No""</formula>
    </cfRule>
  </conditionalFormatting>
  <conditionalFormatting sqref="AF455">
    <cfRule type="expression" dxfId="1" priority="741">
      <formula>"$Y2="No""</formula>
    </cfRule>
  </conditionalFormatting>
  <conditionalFormatting sqref="AF453">
    <cfRule type="expression" dxfId="1" priority="742">
      <formula>"$Y2="No""</formula>
    </cfRule>
  </conditionalFormatting>
  <conditionalFormatting sqref="AF452">
    <cfRule type="expression" dxfId="1" priority="743">
      <formula>"$Y2="No""</formula>
    </cfRule>
  </conditionalFormatting>
  <conditionalFormatting sqref="AF451">
    <cfRule type="expression" dxfId="1" priority="744">
      <formula>"$Y2="No""</formula>
    </cfRule>
  </conditionalFormatting>
  <conditionalFormatting sqref="AF450">
    <cfRule type="expression" dxfId="1" priority="745">
      <formula>"$Y2="No""</formula>
    </cfRule>
  </conditionalFormatting>
  <conditionalFormatting sqref="AF449">
    <cfRule type="expression" dxfId="1" priority="746">
      <formula>"$Y2="No""</formula>
    </cfRule>
  </conditionalFormatting>
  <conditionalFormatting sqref="AF448">
    <cfRule type="expression" dxfId="1" priority="747">
      <formula>"$Y2="No""</formula>
    </cfRule>
  </conditionalFormatting>
  <conditionalFormatting sqref="AF447">
    <cfRule type="expression" dxfId="1" priority="748">
      <formula>"$Y2="No""</formula>
    </cfRule>
  </conditionalFormatting>
  <conditionalFormatting sqref="AF446">
    <cfRule type="expression" dxfId="1" priority="749">
      <formula>"$Y2="No""</formula>
    </cfRule>
  </conditionalFormatting>
  <conditionalFormatting sqref="AF445">
    <cfRule type="expression" dxfId="1" priority="750">
      <formula>"$Y2="No""</formula>
    </cfRule>
  </conditionalFormatting>
  <conditionalFormatting sqref="AF444">
    <cfRule type="expression" dxfId="1" priority="751">
      <formula>"$Y2="No""</formula>
    </cfRule>
  </conditionalFormatting>
  <conditionalFormatting sqref="AF443">
    <cfRule type="expression" dxfId="1" priority="752">
      <formula>"$Y2="No""</formula>
    </cfRule>
  </conditionalFormatting>
  <conditionalFormatting sqref="AF442">
    <cfRule type="expression" dxfId="1" priority="753">
      <formula>"$Y2="No""</formula>
    </cfRule>
  </conditionalFormatting>
  <conditionalFormatting sqref="AF441">
    <cfRule type="expression" dxfId="1" priority="754">
      <formula>"$Y2="No""</formula>
    </cfRule>
  </conditionalFormatting>
  <conditionalFormatting sqref="AF440">
    <cfRule type="expression" dxfId="1" priority="755">
      <formula>"$Y2="No""</formula>
    </cfRule>
  </conditionalFormatting>
  <conditionalFormatting sqref="AF439">
    <cfRule type="expression" dxfId="1" priority="756">
      <formula>"$Y2="No""</formula>
    </cfRule>
  </conditionalFormatting>
  <conditionalFormatting sqref="AF438">
    <cfRule type="expression" dxfId="1" priority="757">
      <formula>"$Y2="No""</formula>
    </cfRule>
  </conditionalFormatting>
  <conditionalFormatting sqref="AF437">
    <cfRule type="expression" dxfId="1" priority="758">
      <formula>"$Y2="No""</formula>
    </cfRule>
  </conditionalFormatting>
  <conditionalFormatting sqref="AF436">
    <cfRule type="expression" dxfId="1" priority="759">
      <formula>"$Y2="No""</formula>
    </cfRule>
  </conditionalFormatting>
  <conditionalFormatting sqref="AF435">
    <cfRule type="expression" dxfId="1" priority="760">
      <formula>"$Y2="No""</formula>
    </cfRule>
  </conditionalFormatting>
  <conditionalFormatting sqref="AF434">
    <cfRule type="expression" dxfId="1" priority="761">
      <formula>"$Y2="No""</formula>
    </cfRule>
  </conditionalFormatting>
  <conditionalFormatting sqref="AF433">
    <cfRule type="expression" dxfId="1" priority="762">
      <formula>"$Y2="No""</formula>
    </cfRule>
  </conditionalFormatting>
  <conditionalFormatting sqref="AF432">
    <cfRule type="expression" dxfId="1" priority="763">
      <formula>"$Y2="No""</formula>
    </cfRule>
  </conditionalFormatting>
  <conditionalFormatting sqref="AF431">
    <cfRule type="expression" dxfId="1" priority="764">
      <formula>"$Y2="No""</formula>
    </cfRule>
  </conditionalFormatting>
  <conditionalFormatting sqref="AF430">
    <cfRule type="expression" dxfId="1" priority="765">
      <formula>"$Y2="No""</formula>
    </cfRule>
  </conditionalFormatting>
  <conditionalFormatting sqref="AF429">
    <cfRule type="expression" dxfId="1" priority="766">
      <formula>"$Y2="No""</formula>
    </cfRule>
  </conditionalFormatting>
  <conditionalFormatting sqref="AF428">
    <cfRule type="expression" dxfId="1" priority="767">
      <formula>"$Y2="No""</formula>
    </cfRule>
  </conditionalFormatting>
  <conditionalFormatting sqref="AF427">
    <cfRule type="expression" dxfId="1" priority="768">
      <formula>"$Y2="No""</formula>
    </cfRule>
  </conditionalFormatting>
  <conditionalFormatting sqref="AF426">
    <cfRule type="expression" dxfId="1" priority="769">
      <formula>"$Y2="No""</formula>
    </cfRule>
  </conditionalFormatting>
  <conditionalFormatting sqref="AF424">
    <cfRule type="expression" dxfId="1" priority="770">
      <formula>"$Y2="No""</formula>
    </cfRule>
  </conditionalFormatting>
  <conditionalFormatting sqref="AF423">
    <cfRule type="expression" dxfId="1" priority="771">
      <formula>"$Y2="No""</formula>
    </cfRule>
  </conditionalFormatting>
  <conditionalFormatting sqref="AF422">
    <cfRule type="expression" dxfId="1" priority="772">
      <formula>"$Y2="No""</formula>
    </cfRule>
  </conditionalFormatting>
  <conditionalFormatting sqref="AF421">
    <cfRule type="expression" dxfId="1" priority="773">
      <formula>"$Y2="No""</formula>
    </cfRule>
  </conditionalFormatting>
  <conditionalFormatting sqref="AF420">
    <cfRule type="expression" dxfId="1" priority="774">
      <formula>"$Y2="No""</formula>
    </cfRule>
  </conditionalFormatting>
  <conditionalFormatting sqref="AF419">
    <cfRule type="expression" dxfId="1" priority="775">
      <formula>"$Y2="No""</formula>
    </cfRule>
  </conditionalFormatting>
  <conditionalFormatting sqref="AF418">
    <cfRule type="expression" dxfId="1" priority="776">
      <formula>"$Y2="No""</formula>
    </cfRule>
  </conditionalFormatting>
  <conditionalFormatting sqref="AF417">
    <cfRule type="expression" dxfId="1" priority="777">
      <formula>"$Y2="No""</formula>
    </cfRule>
  </conditionalFormatting>
  <conditionalFormatting sqref="AF416">
    <cfRule type="expression" dxfId="1" priority="778">
      <formula>"$Y2="No""</formula>
    </cfRule>
  </conditionalFormatting>
  <conditionalFormatting sqref="AF415">
    <cfRule type="expression" dxfId="1" priority="779">
      <formula>"$Y2="No""</formula>
    </cfRule>
  </conditionalFormatting>
  <conditionalFormatting sqref="AF414">
    <cfRule type="expression" dxfId="1" priority="780">
      <formula>"$Y2="No""</formula>
    </cfRule>
  </conditionalFormatting>
  <conditionalFormatting sqref="AF413">
    <cfRule type="expression" dxfId="1" priority="781">
      <formula>"$Y2="No""</formula>
    </cfRule>
  </conditionalFormatting>
  <conditionalFormatting sqref="AF412">
    <cfRule type="expression" dxfId="1" priority="782">
      <formula>"$Y2="No""</formula>
    </cfRule>
  </conditionalFormatting>
  <conditionalFormatting sqref="AF411">
    <cfRule type="expression" dxfId="1" priority="783">
      <formula>"$Y2="No""</formula>
    </cfRule>
  </conditionalFormatting>
  <conditionalFormatting sqref="AF410">
    <cfRule type="expression" dxfId="1" priority="784">
      <formula>"$Y2="No""</formula>
    </cfRule>
  </conditionalFormatting>
  <conditionalFormatting sqref="AF409">
    <cfRule type="expression" dxfId="1" priority="785">
      <formula>"$Y2="No""</formula>
    </cfRule>
  </conditionalFormatting>
  <conditionalFormatting sqref="AF408">
    <cfRule type="expression" dxfId="1" priority="786">
      <formula>"$Y2="No""</formula>
    </cfRule>
  </conditionalFormatting>
  <conditionalFormatting sqref="AF407">
    <cfRule type="expression" dxfId="1" priority="787">
      <formula>"$Y2="No""</formula>
    </cfRule>
  </conditionalFormatting>
  <conditionalFormatting sqref="AF406">
    <cfRule type="expression" dxfId="1" priority="788">
      <formula>"$Y2="No""</formula>
    </cfRule>
  </conditionalFormatting>
  <conditionalFormatting sqref="AF405">
    <cfRule type="expression" dxfId="1" priority="789">
      <formula>"$Y2="No""</formula>
    </cfRule>
  </conditionalFormatting>
  <conditionalFormatting sqref="AF404">
    <cfRule type="expression" dxfId="1" priority="790">
      <formula>"$Y2="No""</formula>
    </cfRule>
  </conditionalFormatting>
  <conditionalFormatting sqref="AF403">
    <cfRule type="expression" dxfId="1" priority="791">
      <formula>"$Y2="No""</formula>
    </cfRule>
  </conditionalFormatting>
  <conditionalFormatting sqref="AF402">
    <cfRule type="expression" dxfId="1" priority="792">
      <formula>"$Y2="No""</formula>
    </cfRule>
  </conditionalFormatting>
  <conditionalFormatting sqref="AF401">
    <cfRule type="expression" dxfId="1" priority="793">
      <formula>"$Y2="No""</formula>
    </cfRule>
  </conditionalFormatting>
  <conditionalFormatting sqref="AF400">
    <cfRule type="expression" dxfId="1" priority="794">
      <formula>"$Y2="No""</formula>
    </cfRule>
  </conditionalFormatting>
  <conditionalFormatting sqref="AF399">
    <cfRule type="expression" dxfId="1" priority="795">
      <formula>"$Y2="No""</formula>
    </cfRule>
  </conditionalFormatting>
  <conditionalFormatting sqref="AF398">
    <cfRule type="expression" dxfId="1" priority="796">
      <formula>"$Y2="No""</formula>
    </cfRule>
  </conditionalFormatting>
  <conditionalFormatting sqref="AF397">
    <cfRule type="expression" dxfId="1" priority="797">
      <formula>"$Y2="No""</formula>
    </cfRule>
  </conditionalFormatting>
  <conditionalFormatting sqref="AF396">
    <cfRule type="expression" dxfId="1" priority="798">
      <formula>"$Y2="No""</formula>
    </cfRule>
  </conditionalFormatting>
  <conditionalFormatting sqref="AF394">
    <cfRule type="expression" dxfId="1" priority="799">
      <formula>"$Y2="No""</formula>
    </cfRule>
  </conditionalFormatting>
  <conditionalFormatting sqref="AF393">
    <cfRule type="expression" dxfId="1" priority="800">
      <formula>"$Y2="No""</formula>
    </cfRule>
  </conditionalFormatting>
  <conditionalFormatting sqref="AF392">
    <cfRule type="expression" dxfId="1" priority="801">
      <formula>"$Y2="No""</formula>
    </cfRule>
  </conditionalFormatting>
  <conditionalFormatting sqref="AF391">
    <cfRule type="expression" dxfId="1" priority="802">
      <formula>"$Y2="No""</formula>
    </cfRule>
  </conditionalFormatting>
  <conditionalFormatting sqref="AF390">
    <cfRule type="expression" dxfId="1" priority="803">
      <formula>"$Y2="No""</formula>
    </cfRule>
  </conditionalFormatting>
  <conditionalFormatting sqref="AF389">
    <cfRule type="expression" dxfId="1" priority="804">
      <formula>"$Y2="No""</formula>
    </cfRule>
  </conditionalFormatting>
  <conditionalFormatting sqref="AF388">
    <cfRule type="expression" dxfId="1" priority="805">
      <formula>"$Y2="No""</formula>
    </cfRule>
  </conditionalFormatting>
  <conditionalFormatting sqref="AF387">
    <cfRule type="expression" dxfId="1" priority="806">
      <formula>"$Y2="No""</formula>
    </cfRule>
  </conditionalFormatting>
  <conditionalFormatting sqref="AF386">
    <cfRule type="expression" dxfId="1" priority="807">
      <formula>"$Y2="No""</formula>
    </cfRule>
  </conditionalFormatting>
  <conditionalFormatting sqref="AF385">
    <cfRule type="expression" dxfId="1" priority="808">
      <formula>"$Y2="No""</formula>
    </cfRule>
  </conditionalFormatting>
  <conditionalFormatting sqref="AF384">
    <cfRule type="expression" dxfId="1" priority="809">
      <formula>"$Y2="No""</formula>
    </cfRule>
  </conditionalFormatting>
  <conditionalFormatting sqref="AF383">
    <cfRule type="expression" dxfId="1" priority="810">
      <formula>"$Y2="No""</formula>
    </cfRule>
  </conditionalFormatting>
  <conditionalFormatting sqref="AF382">
    <cfRule type="expression" dxfId="1" priority="811">
      <formula>"$Y2="No""</formula>
    </cfRule>
  </conditionalFormatting>
  <conditionalFormatting sqref="AF381">
    <cfRule type="expression" dxfId="1" priority="812">
      <formula>"$Y2="No""</formula>
    </cfRule>
  </conditionalFormatting>
  <conditionalFormatting sqref="AF380">
    <cfRule type="expression" dxfId="1" priority="813">
      <formula>"$Y2="No""</formula>
    </cfRule>
  </conditionalFormatting>
  <conditionalFormatting sqref="AF379">
    <cfRule type="expression" dxfId="1" priority="814">
      <formula>"$Y2="No""</formula>
    </cfRule>
  </conditionalFormatting>
  <conditionalFormatting sqref="AF378">
    <cfRule type="expression" dxfId="1" priority="815">
      <formula>"$Y2="No""</formula>
    </cfRule>
  </conditionalFormatting>
  <conditionalFormatting sqref="AF377">
    <cfRule type="expression" dxfId="1" priority="816">
      <formula>"$Y2="No""</formula>
    </cfRule>
  </conditionalFormatting>
  <conditionalFormatting sqref="AF376">
    <cfRule type="expression" dxfId="1" priority="817">
      <formula>"$Y2="No""</formula>
    </cfRule>
  </conditionalFormatting>
  <conditionalFormatting sqref="AF375">
    <cfRule type="expression" dxfId="1" priority="818">
      <formula>"$Y2="No""</formula>
    </cfRule>
  </conditionalFormatting>
  <conditionalFormatting sqref="AF374">
    <cfRule type="expression" dxfId="1" priority="819">
      <formula>"$Y2="No""</formula>
    </cfRule>
  </conditionalFormatting>
  <conditionalFormatting sqref="AF373">
    <cfRule type="expression" dxfId="1" priority="820">
      <formula>"$Y2="No""</formula>
    </cfRule>
  </conditionalFormatting>
  <conditionalFormatting sqref="AF372">
    <cfRule type="expression" dxfId="1" priority="821">
      <formula>"$Y2="No""</formula>
    </cfRule>
  </conditionalFormatting>
  <conditionalFormatting sqref="AF371">
    <cfRule type="expression" dxfId="1" priority="822">
      <formula>"$Y2="No""</formula>
    </cfRule>
  </conditionalFormatting>
  <conditionalFormatting sqref="AF370">
    <cfRule type="expression" dxfId="1" priority="823">
      <formula>"$Y2="No""</formula>
    </cfRule>
  </conditionalFormatting>
  <conditionalFormatting sqref="AF369">
    <cfRule type="expression" dxfId="1" priority="824">
      <formula>"$Y2="No""</formula>
    </cfRule>
  </conditionalFormatting>
  <conditionalFormatting sqref="AF368">
    <cfRule type="expression" dxfId="1" priority="825">
      <formula>"$Y2="No""</formula>
    </cfRule>
  </conditionalFormatting>
  <conditionalFormatting sqref="AF366">
    <cfRule type="expression" dxfId="1" priority="826">
      <formula>"$Y2="No""</formula>
    </cfRule>
  </conditionalFormatting>
  <conditionalFormatting sqref="AF365">
    <cfRule type="expression" dxfId="1" priority="827">
      <formula>"$Y2="No""</formula>
    </cfRule>
  </conditionalFormatting>
  <conditionalFormatting sqref="AF364">
    <cfRule type="expression" dxfId="1" priority="828">
      <formula>"$Y2="No""</formula>
    </cfRule>
  </conditionalFormatting>
  <conditionalFormatting sqref="AF363">
    <cfRule type="expression" dxfId="1" priority="829">
      <formula>"$Y2="No""</formula>
    </cfRule>
  </conditionalFormatting>
  <conditionalFormatting sqref="AF362">
    <cfRule type="expression" dxfId="1" priority="830">
      <formula>"$Y2="No""</formula>
    </cfRule>
  </conditionalFormatting>
  <conditionalFormatting sqref="AF361">
    <cfRule type="expression" dxfId="1" priority="831">
      <formula>"$Y2="No""</formula>
    </cfRule>
  </conditionalFormatting>
  <conditionalFormatting sqref="AF360">
    <cfRule type="expression" dxfId="1" priority="832">
      <formula>"$Y2="No""</formula>
    </cfRule>
  </conditionalFormatting>
  <conditionalFormatting sqref="AF359">
    <cfRule type="expression" dxfId="1" priority="833">
      <formula>"$Y2="No""</formula>
    </cfRule>
  </conditionalFormatting>
  <conditionalFormatting sqref="AF358">
    <cfRule type="expression" dxfId="1" priority="834">
      <formula>"$Y2="No""</formula>
    </cfRule>
  </conditionalFormatting>
  <conditionalFormatting sqref="AF357">
    <cfRule type="expression" dxfId="1" priority="835">
      <formula>"$Y2="No""</formula>
    </cfRule>
  </conditionalFormatting>
  <conditionalFormatting sqref="AF356">
    <cfRule type="expression" dxfId="1" priority="836">
      <formula>"$Y2="No""</formula>
    </cfRule>
  </conditionalFormatting>
  <conditionalFormatting sqref="AF355">
    <cfRule type="expression" dxfId="1" priority="837">
      <formula>"$Y2="No""</formula>
    </cfRule>
  </conditionalFormatting>
  <conditionalFormatting sqref="AF354">
    <cfRule type="expression" dxfId="1" priority="838">
      <formula>"$Y2="No""</formula>
    </cfRule>
  </conditionalFormatting>
  <conditionalFormatting sqref="AF353">
    <cfRule type="expression" dxfId="1" priority="839">
      <formula>"$Y2="No""</formula>
    </cfRule>
  </conditionalFormatting>
  <conditionalFormatting sqref="AF352">
    <cfRule type="expression" dxfId="1" priority="840">
      <formula>"$Y2="No""</formula>
    </cfRule>
  </conditionalFormatting>
  <conditionalFormatting sqref="AF351">
    <cfRule type="expression" dxfId="1" priority="841">
      <formula>"$Y2="No""</formula>
    </cfRule>
  </conditionalFormatting>
  <conditionalFormatting sqref="AF350">
    <cfRule type="expression" dxfId="1" priority="842">
      <formula>"$Y2="No""</formula>
    </cfRule>
  </conditionalFormatting>
  <conditionalFormatting sqref="AF349">
    <cfRule type="expression" dxfId="1" priority="843">
      <formula>"$Y2="No""</formula>
    </cfRule>
  </conditionalFormatting>
  <conditionalFormatting sqref="AF348">
    <cfRule type="expression" dxfId="1" priority="844">
      <formula>"$Y2="No""</formula>
    </cfRule>
  </conditionalFormatting>
  <conditionalFormatting sqref="AF347">
    <cfRule type="expression" dxfId="1" priority="845">
      <formula>"$Y2="No""</formula>
    </cfRule>
  </conditionalFormatting>
  <conditionalFormatting sqref="AF346">
    <cfRule type="expression" dxfId="1" priority="846">
      <formula>"$Y2="No""</formula>
    </cfRule>
  </conditionalFormatting>
  <conditionalFormatting sqref="AF344">
    <cfRule type="expression" dxfId="1" priority="847">
      <formula>"$Y2="No""</formula>
    </cfRule>
  </conditionalFormatting>
  <conditionalFormatting sqref="AF343">
    <cfRule type="expression" dxfId="1" priority="848">
      <formula>"$Y2="No""</formula>
    </cfRule>
  </conditionalFormatting>
  <conditionalFormatting sqref="AF342">
    <cfRule type="expression" dxfId="1" priority="849">
      <formula>"$Y2="No""</formula>
    </cfRule>
  </conditionalFormatting>
  <conditionalFormatting sqref="AF341">
    <cfRule type="expression" dxfId="1" priority="850">
      <formula>"$Y2="No""</formula>
    </cfRule>
  </conditionalFormatting>
  <conditionalFormatting sqref="AF340">
    <cfRule type="expression" dxfId="1" priority="851">
      <formula>"$Y2="No""</formula>
    </cfRule>
  </conditionalFormatting>
  <conditionalFormatting sqref="AF339">
    <cfRule type="expression" dxfId="1" priority="852">
      <formula>"$Y2="No""</formula>
    </cfRule>
  </conditionalFormatting>
  <conditionalFormatting sqref="AF338">
    <cfRule type="expression" dxfId="1" priority="853">
      <formula>"$Y2="No""</formula>
    </cfRule>
  </conditionalFormatting>
  <conditionalFormatting sqref="AF337">
    <cfRule type="expression" dxfId="1" priority="854">
      <formula>"$Y2="No""</formula>
    </cfRule>
  </conditionalFormatting>
  <conditionalFormatting sqref="AF336">
    <cfRule type="expression" dxfId="1" priority="855">
      <formula>"$Y2="No""</formula>
    </cfRule>
  </conditionalFormatting>
  <conditionalFormatting sqref="AF335">
    <cfRule type="expression" dxfId="1" priority="856">
      <formula>"$Y2="No""</formula>
    </cfRule>
  </conditionalFormatting>
  <conditionalFormatting sqref="AF334">
    <cfRule type="expression" dxfId="1" priority="857">
      <formula>"$Y2="No""</formula>
    </cfRule>
  </conditionalFormatting>
  <conditionalFormatting sqref="AF333">
    <cfRule type="expression" dxfId="1" priority="858">
      <formula>"$Y2="No""</formula>
    </cfRule>
  </conditionalFormatting>
  <conditionalFormatting sqref="AF332">
    <cfRule type="expression" dxfId="1" priority="859">
      <formula>"$Y2="No""</formula>
    </cfRule>
  </conditionalFormatting>
  <conditionalFormatting sqref="AF331">
    <cfRule type="expression" dxfId="1" priority="860">
      <formula>"$Y2="No""</formula>
    </cfRule>
  </conditionalFormatting>
  <conditionalFormatting sqref="AF330">
    <cfRule type="expression" dxfId="1" priority="861">
      <formula>"$Y2="No""</formula>
    </cfRule>
  </conditionalFormatting>
  <conditionalFormatting sqref="AF329">
    <cfRule type="expression" dxfId="1" priority="862">
      <formula>"$Y2="No""</formula>
    </cfRule>
  </conditionalFormatting>
  <conditionalFormatting sqref="AF328">
    <cfRule type="expression" dxfId="1" priority="863">
      <formula>"$Y2="No""</formula>
    </cfRule>
  </conditionalFormatting>
  <conditionalFormatting sqref="AF327">
    <cfRule type="expression" dxfId="1" priority="864">
      <formula>"$Y2="No""</formula>
    </cfRule>
  </conditionalFormatting>
  <conditionalFormatting sqref="AF326">
    <cfRule type="expression" dxfId="1" priority="865">
      <formula>"$Y2="No""</formula>
    </cfRule>
  </conditionalFormatting>
  <conditionalFormatting sqref="AF325">
    <cfRule type="expression" dxfId="1" priority="866">
      <formula>"$Y2="No""</formula>
    </cfRule>
  </conditionalFormatting>
  <conditionalFormatting sqref="AF324">
    <cfRule type="expression" dxfId="1" priority="867">
      <formula>"$Y2="No""</formula>
    </cfRule>
  </conditionalFormatting>
  <conditionalFormatting sqref="AF323">
    <cfRule type="expression" dxfId="1" priority="868">
      <formula>"$Y2="No""</formula>
    </cfRule>
  </conditionalFormatting>
  <conditionalFormatting sqref="AF322">
    <cfRule type="expression" dxfId="1" priority="869">
      <formula>"$Y2="No""</formula>
    </cfRule>
  </conditionalFormatting>
  <conditionalFormatting sqref="AF321">
    <cfRule type="expression" dxfId="1" priority="870">
      <formula>"$Y2="No""</formula>
    </cfRule>
  </conditionalFormatting>
  <conditionalFormatting sqref="AF320">
    <cfRule type="expression" dxfId="1" priority="871">
      <formula>"$Y2="No""</formula>
    </cfRule>
  </conditionalFormatting>
  <conditionalFormatting sqref="AF319">
    <cfRule type="expression" dxfId="1" priority="872">
      <formula>"$Y2="No""</formula>
    </cfRule>
  </conditionalFormatting>
  <conditionalFormatting sqref="AF318">
    <cfRule type="expression" dxfId="1" priority="873">
      <formula>"$Y2="No""</formula>
    </cfRule>
  </conditionalFormatting>
  <conditionalFormatting sqref="AF317">
    <cfRule type="expression" dxfId="1" priority="874">
      <formula>"$Y2="No""</formula>
    </cfRule>
  </conditionalFormatting>
  <conditionalFormatting sqref="AF314">
    <cfRule type="expression" dxfId="1" priority="875">
      <formula>"$Y2="No""</formula>
    </cfRule>
  </conditionalFormatting>
  <conditionalFormatting sqref="AF313">
    <cfRule type="expression" dxfId="1" priority="876">
      <formula>"$Y2="No""</formula>
    </cfRule>
  </conditionalFormatting>
  <conditionalFormatting sqref="AF312">
    <cfRule type="expression" dxfId="1" priority="877">
      <formula>"$Y2="No""</formula>
    </cfRule>
  </conditionalFormatting>
  <conditionalFormatting sqref="AF311">
    <cfRule type="expression" dxfId="1" priority="878">
      <formula>"$Y2="No""</formula>
    </cfRule>
  </conditionalFormatting>
  <conditionalFormatting sqref="AF310">
    <cfRule type="expression" dxfId="1" priority="879">
      <formula>"$Y2="No""</formula>
    </cfRule>
  </conditionalFormatting>
  <conditionalFormatting sqref="AF309">
    <cfRule type="expression" dxfId="1" priority="880">
      <formula>"$Y2="No""</formula>
    </cfRule>
  </conditionalFormatting>
  <conditionalFormatting sqref="AF308">
    <cfRule type="expression" dxfId="1" priority="881">
      <formula>"$Y2="No""</formula>
    </cfRule>
  </conditionalFormatting>
  <conditionalFormatting sqref="AF307">
    <cfRule type="expression" dxfId="1" priority="882">
      <formula>"$Y2="No""</formula>
    </cfRule>
  </conditionalFormatting>
  <conditionalFormatting sqref="AF306">
    <cfRule type="expression" dxfId="1" priority="883">
      <formula>"$Y2="No""</formula>
    </cfRule>
  </conditionalFormatting>
  <conditionalFormatting sqref="AF304">
    <cfRule type="expression" dxfId="1" priority="884">
      <formula>"$Y2="No""</formula>
    </cfRule>
  </conditionalFormatting>
  <conditionalFormatting sqref="AF303">
    <cfRule type="expression" dxfId="1" priority="885">
      <formula>"$Y2="No""</formula>
    </cfRule>
  </conditionalFormatting>
  <conditionalFormatting sqref="AF302">
    <cfRule type="expression" dxfId="1" priority="886">
      <formula>"$Y2="No""</formula>
    </cfRule>
  </conditionalFormatting>
  <conditionalFormatting sqref="AF301">
    <cfRule type="expression" dxfId="1" priority="887">
      <formula>"$Y2="No""</formula>
    </cfRule>
  </conditionalFormatting>
  <conditionalFormatting sqref="AF300">
    <cfRule type="expression" dxfId="1" priority="888">
      <formula>"$Y2="No""</formula>
    </cfRule>
  </conditionalFormatting>
  <conditionalFormatting sqref="AF299">
    <cfRule type="expression" dxfId="1" priority="889">
      <formula>"$Y2="No""</formula>
    </cfRule>
  </conditionalFormatting>
  <conditionalFormatting sqref="AF298">
    <cfRule type="expression" dxfId="1" priority="890">
      <formula>"$Y2="No""</formula>
    </cfRule>
  </conditionalFormatting>
  <conditionalFormatting sqref="AF297">
    <cfRule type="expression" dxfId="1" priority="891">
      <formula>"$Y2="No""</formula>
    </cfRule>
  </conditionalFormatting>
  <conditionalFormatting sqref="AF296">
    <cfRule type="expression" dxfId="1" priority="892">
      <formula>"$Y2="No""</formula>
    </cfRule>
  </conditionalFormatting>
  <conditionalFormatting sqref="AF295">
    <cfRule type="expression" dxfId="1" priority="893">
      <formula>"$Y2="No""</formula>
    </cfRule>
  </conditionalFormatting>
  <conditionalFormatting sqref="AF294">
    <cfRule type="expression" dxfId="1" priority="894">
      <formula>"$Y2="No""</formula>
    </cfRule>
  </conditionalFormatting>
  <conditionalFormatting sqref="AF293">
    <cfRule type="expression" dxfId="1" priority="895">
      <formula>"$Y2="No""</formula>
    </cfRule>
  </conditionalFormatting>
  <conditionalFormatting sqref="AF292">
    <cfRule type="expression" dxfId="1" priority="896">
      <formula>"$Y2="No""</formula>
    </cfRule>
  </conditionalFormatting>
  <conditionalFormatting sqref="AF291">
    <cfRule type="expression" dxfId="1" priority="897">
      <formula>"$Y2="No""</formula>
    </cfRule>
  </conditionalFormatting>
  <conditionalFormatting sqref="AF290">
    <cfRule type="expression" dxfId="1" priority="898">
      <formula>"$Y2="No""</formula>
    </cfRule>
  </conditionalFormatting>
  <conditionalFormatting sqref="AF288">
    <cfRule type="expression" dxfId="1" priority="899">
      <formula>"$Y2="No""</formula>
    </cfRule>
  </conditionalFormatting>
  <conditionalFormatting sqref="AF287">
    <cfRule type="expression" dxfId="1" priority="900">
      <formula>"$Y2="No""</formula>
    </cfRule>
  </conditionalFormatting>
  <conditionalFormatting sqref="AF286">
    <cfRule type="expression" dxfId="1" priority="901">
      <formula>"$Y2="No""</formula>
    </cfRule>
  </conditionalFormatting>
  <conditionalFormatting sqref="AF285">
    <cfRule type="expression" dxfId="1" priority="902">
      <formula>"$Y2="No""</formula>
    </cfRule>
  </conditionalFormatting>
  <conditionalFormatting sqref="AF284">
    <cfRule type="expression" dxfId="1" priority="903">
      <formula>"$Y2="No""</formula>
    </cfRule>
  </conditionalFormatting>
  <conditionalFormatting sqref="AF283">
    <cfRule type="expression" dxfId="1" priority="904">
      <formula>"$Y2="No""</formula>
    </cfRule>
  </conditionalFormatting>
  <conditionalFormatting sqref="AF282">
    <cfRule type="expression" dxfId="1" priority="905">
      <formula>"$Y2="No""</formula>
    </cfRule>
  </conditionalFormatting>
  <conditionalFormatting sqref="AF281">
    <cfRule type="expression" dxfId="1" priority="906">
      <formula>"$Y2="No""</formula>
    </cfRule>
  </conditionalFormatting>
  <conditionalFormatting sqref="AF280">
    <cfRule type="expression" dxfId="1" priority="907">
      <formula>"$Y2="No""</formula>
    </cfRule>
  </conditionalFormatting>
  <conditionalFormatting sqref="AF279">
    <cfRule type="expression" dxfId="1" priority="908">
      <formula>"$Y2="No""</formula>
    </cfRule>
  </conditionalFormatting>
  <conditionalFormatting sqref="AF278">
    <cfRule type="expression" dxfId="1" priority="909">
      <formula>"$Y2="No""</formula>
    </cfRule>
  </conditionalFormatting>
  <conditionalFormatting sqref="AF277">
    <cfRule type="expression" dxfId="1" priority="910">
      <formula>"$Y2="No""</formula>
    </cfRule>
  </conditionalFormatting>
  <conditionalFormatting sqref="AF276">
    <cfRule type="expression" dxfId="1" priority="911">
      <formula>"$Y2="No""</formula>
    </cfRule>
  </conditionalFormatting>
  <conditionalFormatting sqref="AF275">
    <cfRule type="expression" dxfId="1" priority="912">
      <formula>"$Y2="No""</formula>
    </cfRule>
  </conditionalFormatting>
  <conditionalFormatting sqref="AF274">
    <cfRule type="expression" dxfId="1" priority="913">
      <formula>"$Y2="No""</formula>
    </cfRule>
  </conditionalFormatting>
  <conditionalFormatting sqref="AF273">
    <cfRule type="expression" dxfId="1" priority="914">
      <formula>"$Y2="No""</formula>
    </cfRule>
  </conditionalFormatting>
  <conditionalFormatting sqref="AF272">
    <cfRule type="expression" dxfId="1" priority="915">
      <formula>"$Y2="No""</formula>
    </cfRule>
  </conditionalFormatting>
  <conditionalFormatting sqref="AF271">
    <cfRule type="expression" dxfId="1" priority="916">
      <formula>"$Y2="No""</formula>
    </cfRule>
  </conditionalFormatting>
  <conditionalFormatting sqref="AF269">
    <cfRule type="expression" dxfId="1" priority="917">
      <formula>"$Y2="No""</formula>
    </cfRule>
  </conditionalFormatting>
  <conditionalFormatting sqref="AF268">
    <cfRule type="expression" dxfId="1" priority="918">
      <formula>"$Y2="No""</formula>
    </cfRule>
  </conditionalFormatting>
  <conditionalFormatting sqref="AF267">
    <cfRule type="expression" dxfId="1" priority="919">
      <formula>"$Y2="No""</formula>
    </cfRule>
  </conditionalFormatting>
  <conditionalFormatting sqref="AF266">
    <cfRule type="expression" dxfId="1" priority="920">
      <formula>"$Y2="No""</formula>
    </cfRule>
  </conditionalFormatting>
  <conditionalFormatting sqref="AF265">
    <cfRule type="expression" dxfId="1" priority="921">
      <formula>"$Y2="No""</formula>
    </cfRule>
  </conditionalFormatting>
  <conditionalFormatting sqref="AF264">
    <cfRule type="expression" dxfId="1" priority="922">
      <formula>"$Y2="No""</formula>
    </cfRule>
  </conditionalFormatting>
  <conditionalFormatting sqref="AF263">
    <cfRule type="expression" dxfId="1" priority="923">
      <formula>"$Y2="No""</formula>
    </cfRule>
  </conditionalFormatting>
  <conditionalFormatting sqref="AF262">
    <cfRule type="expression" dxfId="1" priority="924">
      <formula>"$Y2="No""</formula>
    </cfRule>
  </conditionalFormatting>
  <conditionalFormatting sqref="AF261">
    <cfRule type="expression" dxfId="1" priority="925">
      <formula>"$Y2="No""</formula>
    </cfRule>
  </conditionalFormatting>
  <conditionalFormatting sqref="AF260">
    <cfRule type="expression" dxfId="1" priority="926">
      <formula>"$Y2="No""</formula>
    </cfRule>
  </conditionalFormatting>
  <conditionalFormatting sqref="AF259">
    <cfRule type="expression" dxfId="1" priority="927">
      <formula>"$Y2="No""</formula>
    </cfRule>
  </conditionalFormatting>
  <conditionalFormatting sqref="AF258">
    <cfRule type="expression" dxfId="1" priority="928">
      <formula>"$Y2="No""</formula>
    </cfRule>
  </conditionalFormatting>
  <conditionalFormatting sqref="AF257">
    <cfRule type="expression" dxfId="1" priority="929">
      <formula>"$Y2="No""</formula>
    </cfRule>
  </conditionalFormatting>
  <conditionalFormatting sqref="AF256">
    <cfRule type="expression" dxfId="1" priority="930">
      <formula>"$Y2="No""</formula>
    </cfRule>
  </conditionalFormatting>
  <conditionalFormatting sqref="AF253">
    <cfRule type="expression" dxfId="1" priority="931">
      <formula>"$Y2="No""</formula>
    </cfRule>
  </conditionalFormatting>
  <conditionalFormatting sqref="AF252">
    <cfRule type="expression" dxfId="1" priority="932">
      <formula>"$Y2="No""</formula>
    </cfRule>
  </conditionalFormatting>
  <conditionalFormatting sqref="AF251">
    <cfRule type="expression" dxfId="1" priority="933">
      <formula>"$Y2="No""</formula>
    </cfRule>
  </conditionalFormatting>
  <conditionalFormatting sqref="AF249">
    <cfRule type="expression" dxfId="1" priority="934">
      <formula>"$Y2="No""</formula>
    </cfRule>
  </conditionalFormatting>
  <conditionalFormatting sqref="AF247">
    <cfRule type="expression" dxfId="1" priority="935">
      <formula>"$Y2="No""</formula>
    </cfRule>
  </conditionalFormatting>
  <conditionalFormatting sqref="AF246">
    <cfRule type="expression" dxfId="1" priority="936">
      <formula>"$Y2="No""</formula>
    </cfRule>
  </conditionalFormatting>
  <conditionalFormatting sqref="AF245">
    <cfRule type="expression" dxfId="1" priority="937">
      <formula>"$Y2="No""</formula>
    </cfRule>
  </conditionalFormatting>
  <conditionalFormatting sqref="AF244">
    <cfRule type="expression" dxfId="1" priority="938">
      <formula>"$Y2="No""</formula>
    </cfRule>
  </conditionalFormatting>
  <conditionalFormatting sqref="AF243">
    <cfRule type="expression" dxfId="1" priority="939">
      <formula>"$Y2="No""</formula>
    </cfRule>
  </conditionalFormatting>
  <conditionalFormatting sqref="AF242">
    <cfRule type="expression" dxfId="1" priority="940">
      <formula>"$Y2="No""</formula>
    </cfRule>
  </conditionalFormatting>
  <conditionalFormatting sqref="AF241">
    <cfRule type="expression" dxfId="1" priority="941">
      <formula>"$Y2="No""</formula>
    </cfRule>
  </conditionalFormatting>
  <conditionalFormatting sqref="AF240">
    <cfRule type="expression" dxfId="1" priority="942">
      <formula>"$Y2="No""</formula>
    </cfRule>
  </conditionalFormatting>
  <conditionalFormatting sqref="AF239">
    <cfRule type="expression" dxfId="1" priority="943">
      <formula>"$Y2="No""</formula>
    </cfRule>
  </conditionalFormatting>
  <conditionalFormatting sqref="AF238">
    <cfRule type="expression" dxfId="1" priority="944">
      <formula>"$Y2="No""</formula>
    </cfRule>
  </conditionalFormatting>
  <conditionalFormatting sqref="AF237">
    <cfRule type="expression" dxfId="1" priority="945">
      <formula>"$Y2="No""</formula>
    </cfRule>
  </conditionalFormatting>
  <conditionalFormatting sqref="AF236">
    <cfRule type="expression" dxfId="1" priority="946">
      <formula>"$Y2="No""</formula>
    </cfRule>
  </conditionalFormatting>
  <conditionalFormatting sqref="AF235">
    <cfRule type="expression" dxfId="1" priority="947">
      <formula>"$Y2="No""</formula>
    </cfRule>
  </conditionalFormatting>
  <conditionalFormatting sqref="AF234">
    <cfRule type="expression" dxfId="1" priority="948">
      <formula>"$Y2="No""</formula>
    </cfRule>
  </conditionalFormatting>
  <conditionalFormatting sqref="AF233">
    <cfRule type="expression" dxfId="1" priority="949">
      <formula>"$Y2="No""</formula>
    </cfRule>
  </conditionalFormatting>
  <conditionalFormatting sqref="AF232">
    <cfRule type="expression" dxfId="1" priority="950">
      <formula>"$Y2="No""</formula>
    </cfRule>
  </conditionalFormatting>
  <conditionalFormatting sqref="AF231">
    <cfRule type="expression" dxfId="1" priority="951">
      <formula>"$Y2="No""</formula>
    </cfRule>
  </conditionalFormatting>
  <conditionalFormatting sqref="AF230">
    <cfRule type="expression" dxfId="1" priority="952">
      <formula>"$Y2="No""</formula>
    </cfRule>
  </conditionalFormatting>
  <conditionalFormatting sqref="AF229">
    <cfRule type="expression" dxfId="1" priority="953">
      <formula>"$Y2="No""</formula>
    </cfRule>
  </conditionalFormatting>
  <conditionalFormatting sqref="AF228">
    <cfRule type="expression" dxfId="1" priority="954">
      <formula>"$Y2="No""</formula>
    </cfRule>
  </conditionalFormatting>
  <conditionalFormatting sqref="AF227">
    <cfRule type="expression" dxfId="1" priority="955">
      <formula>"$Y2="No""</formula>
    </cfRule>
  </conditionalFormatting>
  <conditionalFormatting sqref="AF226">
    <cfRule type="expression" dxfId="1" priority="956">
      <formula>"$Y2="No""</formula>
    </cfRule>
  </conditionalFormatting>
  <conditionalFormatting sqref="AF225">
    <cfRule type="expression" dxfId="1" priority="957">
      <formula>"$Y2="No""</formula>
    </cfRule>
  </conditionalFormatting>
  <conditionalFormatting sqref="AF224">
    <cfRule type="expression" dxfId="1" priority="958">
      <formula>"$Y2="No""</formula>
    </cfRule>
  </conditionalFormatting>
  <conditionalFormatting sqref="AF223">
    <cfRule type="expression" dxfId="1" priority="959">
      <formula>"$Y2="No""</formula>
    </cfRule>
  </conditionalFormatting>
  <conditionalFormatting sqref="AF220">
    <cfRule type="expression" dxfId="1" priority="960">
      <formula>"$Y2="No""</formula>
    </cfRule>
  </conditionalFormatting>
  <conditionalFormatting sqref="AF219">
    <cfRule type="expression" dxfId="1" priority="961">
      <formula>"$Y2="No""</formula>
    </cfRule>
  </conditionalFormatting>
  <conditionalFormatting sqref="AF218">
    <cfRule type="expression" dxfId="1" priority="962">
      <formula>"$Y2="No""</formula>
    </cfRule>
  </conditionalFormatting>
  <conditionalFormatting sqref="AF217">
    <cfRule type="expression" dxfId="1" priority="963">
      <formula>"$Y2="No""</formula>
    </cfRule>
  </conditionalFormatting>
  <conditionalFormatting sqref="AF216">
    <cfRule type="expression" dxfId="1" priority="964">
      <formula>"$Y2="No""</formula>
    </cfRule>
  </conditionalFormatting>
  <conditionalFormatting sqref="AF215">
    <cfRule type="expression" dxfId="1" priority="965">
      <formula>"$Y2="No""</formula>
    </cfRule>
  </conditionalFormatting>
  <conditionalFormatting sqref="AF214">
    <cfRule type="expression" dxfId="1" priority="966">
      <formula>"$Y2="No""</formula>
    </cfRule>
  </conditionalFormatting>
  <conditionalFormatting sqref="AF213">
    <cfRule type="expression" dxfId="1" priority="967">
      <formula>"$Y2="No""</formula>
    </cfRule>
  </conditionalFormatting>
  <conditionalFormatting sqref="AF212">
    <cfRule type="expression" dxfId="1" priority="968">
      <formula>"$Y2="No""</formula>
    </cfRule>
  </conditionalFormatting>
  <conditionalFormatting sqref="AF211">
    <cfRule type="expression" dxfId="1" priority="969">
      <formula>"$Y2="No""</formula>
    </cfRule>
  </conditionalFormatting>
  <conditionalFormatting sqref="AF210">
    <cfRule type="expression" dxfId="1" priority="970">
      <formula>"$Y2="No""</formula>
    </cfRule>
  </conditionalFormatting>
  <conditionalFormatting sqref="AF209">
    <cfRule type="expression" dxfId="1" priority="971">
      <formula>"$Y2="No""</formula>
    </cfRule>
  </conditionalFormatting>
  <conditionalFormatting sqref="AF208">
    <cfRule type="expression" dxfId="1" priority="972">
      <formula>"$Y2="No""</formula>
    </cfRule>
  </conditionalFormatting>
  <conditionalFormatting sqref="AF207">
    <cfRule type="expression" dxfId="1" priority="973">
      <formula>"$Y2="No""</formula>
    </cfRule>
  </conditionalFormatting>
  <conditionalFormatting sqref="AF206">
    <cfRule type="expression" dxfId="1" priority="974">
      <formula>"$Y2="No""</formula>
    </cfRule>
  </conditionalFormatting>
  <conditionalFormatting sqref="AF205">
    <cfRule type="expression" dxfId="1" priority="975">
      <formula>"$Y2="No""</formula>
    </cfRule>
  </conditionalFormatting>
  <conditionalFormatting sqref="AF203">
    <cfRule type="expression" dxfId="1" priority="976">
      <formula>"$Y2="No""</formula>
    </cfRule>
  </conditionalFormatting>
  <conditionalFormatting sqref="AF201">
    <cfRule type="expression" dxfId="1" priority="977">
      <formula>"$Y2="No""</formula>
    </cfRule>
  </conditionalFormatting>
  <conditionalFormatting sqref="AF200">
    <cfRule type="expression" dxfId="1" priority="978">
      <formula>"$Y2="No""</formula>
    </cfRule>
  </conditionalFormatting>
  <conditionalFormatting sqref="AF199">
    <cfRule type="expression" dxfId="1" priority="979">
      <formula>"$Y2="No""</formula>
    </cfRule>
  </conditionalFormatting>
  <conditionalFormatting sqref="AF198">
    <cfRule type="expression" dxfId="1" priority="980">
      <formula>"$Y2="No""</formula>
    </cfRule>
  </conditionalFormatting>
  <conditionalFormatting sqref="AF197">
    <cfRule type="expression" dxfId="1" priority="981">
      <formula>"$Y2="No""</formula>
    </cfRule>
  </conditionalFormatting>
  <conditionalFormatting sqref="AF196">
    <cfRule type="expression" dxfId="1" priority="982">
      <formula>"$Y2="No""</formula>
    </cfRule>
  </conditionalFormatting>
  <conditionalFormatting sqref="AF195">
    <cfRule type="expression" dxfId="1" priority="983">
      <formula>"$Y2="No""</formula>
    </cfRule>
  </conditionalFormatting>
  <conditionalFormatting sqref="AF194">
    <cfRule type="expression" dxfId="1" priority="984">
      <formula>"$Y2="No""</formula>
    </cfRule>
  </conditionalFormatting>
  <conditionalFormatting sqref="AF193">
    <cfRule type="expression" dxfId="1" priority="985">
      <formula>"$Y2="No""</formula>
    </cfRule>
  </conditionalFormatting>
  <conditionalFormatting sqref="AF192">
    <cfRule type="expression" dxfId="1" priority="986">
      <formula>"$Y2="No""</formula>
    </cfRule>
  </conditionalFormatting>
  <conditionalFormatting sqref="AF191">
    <cfRule type="expression" dxfId="1" priority="987">
      <formula>"$Y2="No""</formula>
    </cfRule>
  </conditionalFormatting>
  <conditionalFormatting sqref="AF190">
    <cfRule type="expression" dxfId="1" priority="988">
      <formula>"$Y2="No""</formula>
    </cfRule>
  </conditionalFormatting>
  <conditionalFormatting sqref="AF189">
    <cfRule type="expression" dxfId="1" priority="989">
      <formula>"$Y2="No""</formula>
    </cfRule>
  </conditionalFormatting>
  <conditionalFormatting sqref="AF188">
    <cfRule type="expression" dxfId="1" priority="990">
      <formula>"$Y2="No""</formula>
    </cfRule>
  </conditionalFormatting>
  <conditionalFormatting sqref="AF187">
    <cfRule type="expression" dxfId="1" priority="991">
      <formula>"$Y2="No""</formula>
    </cfRule>
  </conditionalFormatting>
  <conditionalFormatting sqref="AF186">
    <cfRule type="expression" dxfId="1" priority="992">
      <formula>"$Y2="No""</formula>
    </cfRule>
  </conditionalFormatting>
  <conditionalFormatting sqref="AF185">
    <cfRule type="expression" dxfId="1" priority="993">
      <formula>"$Y2="No""</formula>
    </cfRule>
  </conditionalFormatting>
  <conditionalFormatting sqref="AF183">
    <cfRule type="expression" dxfId="1" priority="994">
      <formula>"$Y2="No""</formula>
    </cfRule>
  </conditionalFormatting>
  <conditionalFormatting sqref="AF182">
    <cfRule type="expression" dxfId="1" priority="995">
      <formula>"$Y2="No""</formula>
    </cfRule>
  </conditionalFormatting>
  <conditionalFormatting sqref="AF181">
    <cfRule type="expression" dxfId="1" priority="996">
      <formula>"$Y2="No""</formula>
    </cfRule>
  </conditionalFormatting>
  <conditionalFormatting sqref="AF180">
    <cfRule type="expression" dxfId="1" priority="997">
      <formula>"$Y2="No""</formula>
    </cfRule>
  </conditionalFormatting>
  <conditionalFormatting sqref="AF179">
    <cfRule type="expression" dxfId="1" priority="998">
      <formula>"$Y2="No""</formula>
    </cfRule>
  </conditionalFormatting>
  <conditionalFormatting sqref="AF178">
    <cfRule type="expression" dxfId="1" priority="999">
      <formula>"$Y2="No""</formula>
    </cfRule>
  </conditionalFormatting>
  <conditionalFormatting sqref="AF177">
    <cfRule type="expression" dxfId="1" priority="1000">
      <formula>"$Y2="No""</formula>
    </cfRule>
  </conditionalFormatting>
  <conditionalFormatting sqref="AF176">
    <cfRule type="expression" dxfId="1" priority="1001">
      <formula>"$Y2="No""</formula>
    </cfRule>
  </conditionalFormatting>
  <conditionalFormatting sqref="AF175">
    <cfRule type="expression" dxfId="1" priority="1002">
      <formula>"$Y2="No""</formula>
    </cfRule>
  </conditionalFormatting>
  <conditionalFormatting sqref="AF174">
    <cfRule type="expression" dxfId="1" priority="1003">
      <formula>"$Y2="No""</formula>
    </cfRule>
  </conditionalFormatting>
  <conditionalFormatting sqref="AF173">
    <cfRule type="expression" dxfId="1" priority="1004">
      <formula>"$Y2="No""</formula>
    </cfRule>
  </conditionalFormatting>
  <conditionalFormatting sqref="AF172">
    <cfRule type="expression" dxfId="1" priority="1005">
      <formula>"$Y2="No""</formula>
    </cfRule>
  </conditionalFormatting>
  <conditionalFormatting sqref="AF171">
    <cfRule type="expression" dxfId="1" priority="1006">
      <formula>"$Y2="No""</formula>
    </cfRule>
  </conditionalFormatting>
  <conditionalFormatting sqref="AF170">
    <cfRule type="expression" dxfId="1" priority="1007">
      <formula>"$Y2="No""</formula>
    </cfRule>
  </conditionalFormatting>
  <conditionalFormatting sqref="AF169">
    <cfRule type="expression" dxfId="1" priority="1008">
      <formula>"$Y2="No""</formula>
    </cfRule>
  </conditionalFormatting>
  <conditionalFormatting sqref="AF168">
    <cfRule type="expression" dxfId="1" priority="1009">
      <formula>"$Y2="No""</formula>
    </cfRule>
  </conditionalFormatting>
  <conditionalFormatting sqref="AF167">
    <cfRule type="expression" dxfId="1" priority="1010">
      <formula>"$Y2="No""</formula>
    </cfRule>
  </conditionalFormatting>
  <conditionalFormatting sqref="AF166">
    <cfRule type="expression" dxfId="1" priority="1011">
      <formula>"$Y2="No""</formula>
    </cfRule>
  </conditionalFormatting>
  <conditionalFormatting sqref="AF165">
    <cfRule type="expression" dxfId="1" priority="1012">
      <formula>"$Y2="No""</formula>
    </cfRule>
  </conditionalFormatting>
  <conditionalFormatting sqref="AF164">
    <cfRule type="expression" dxfId="1" priority="1013">
      <formula>"$Y2="No""</formula>
    </cfRule>
  </conditionalFormatting>
  <conditionalFormatting sqref="AF163">
    <cfRule type="expression" dxfId="1" priority="1014">
      <formula>"$Y2="No""</formula>
    </cfRule>
  </conditionalFormatting>
  <conditionalFormatting sqref="AF162">
    <cfRule type="expression" dxfId="1" priority="1015">
      <formula>"$Y2="No""</formula>
    </cfRule>
  </conditionalFormatting>
  <conditionalFormatting sqref="AF161">
    <cfRule type="expression" dxfId="1" priority="1016">
      <formula>"$Y2="No""</formula>
    </cfRule>
  </conditionalFormatting>
  <conditionalFormatting sqref="AF160">
    <cfRule type="expression" dxfId="1" priority="1017">
      <formula>"$Y2="No""</formula>
    </cfRule>
  </conditionalFormatting>
  <conditionalFormatting sqref="AF159">
    <cfRule type="expression" dxfId="1" priority="1018">
      <formula>"$Y2="No""</formula>
    </cfRule>
  </conditionalFormatting>
  <conditionalFormatting sqref="AF158">
    <cfRule type="expression" dxfId="1" priority="1019">
      <formula>"$Y2="No""</formula>
    </cfRule>
  </conditionalFormatting>
  <conditionalFormatting sqref="AF157">
    <cfRule type="expression" dxfId="1" priority="1020">
      <formula>"$Y2="No""</formula>
    </cfRule>
  </conditionalFormatting>
  <conditionalFormatting sqref="AF156">
    <cfRule type="expression" dxfId="1" priority="1021">
      <formula>"$Y2="No""</formula>
    </cfRule>
  </conditionalFormatting>
  <conditionalFormatting sqref="AF155">
    <cfRule type="expression" dxfId="1" priority="1022">
      <formula>"$Y2="No""</formula>
    </cfRule>
  </conditionalFormatting>
  <conditionalFormatting sqref="AF154">
    <cfRule type="expression" dxfId="1" priority="1023">
      <formula>"$Y2="No""</formula>
    </cfRule>
  </conditionalFormatting>
  <conditionalFormatting sqref="AF153">
    <cfRule type="expression" dxfId="1" priority="1024">
      <formula>"$Y2="No""</formula>
    </cfRule>
  </conditionalFormatting>
  <conditionalFormatting sqref="AF152">
    <cfRule type="expression" dxfId="1" priority="1025">
      <formula>"$Y2="No""</formula>
    </cfRule>
  </conditionalFormatting>
  <conditionalFormatting sqref="AF151">
    <cfRule type="expression" dxfId="1" priority="1026">
      <formula>"$Y2="No""</formula>
    </cfRule>
  </conditionalFormatting>
  <conditionalFormatting sqref="AF150">
    <cfRule type="expression" dxfId="1" priority="1027">
      <formula>"$Y2="No""</formula>
    </cfRule>
  </conditionalFormatting>
  <conditionalFormatting sqref="AF149">
    <cfRule type="expression" dxfId="1" priority="1028">
      <formula>"$Y2="No""</formula>
    </cfRule>
  </conditionalFormatting>
  <conditionalFormatting sqref="AF148">
    <cfRule type="expression" dxfId="1" priority="1029">
      <formula>"$Y2="No""</formula>
    </cfRule>
  </conditionalFormatting>
  <conditionalFormatting sqref="AF147">
    <cfRule type="expression" dxfId="1" priority="1030">
      <formula>"$Y2="No""</formula>
    </cfRule>
  </conditionalFormatting>
  <conditionalFormatting sqref="AF146">
    <cfRule type="expression" dxfId="1" priority="1031">
      <formula>"$Y2="No""</formula>
    </cfRule>
  </conditionalFormatting>
  <conditionalFormatting sqref="AF145">
    <cfRule type="expression" dxfId="1" priority="1032">
      <formula>"$Y2="No""</formula>
    </cfRule>
  </conditionalFormatting>
  <conditionalFormatting sqref="AF144">
    <cfRule type="expression" dxfId="1" priority="1033">
      <formula>"$Y2="No""</formula>
    </cfRule>
  </conditionalFormatting>
  <conditionalFormatting sqref="AF143">
    <cfRule type="expression" dxfId="1" priority="1034">
      <formula>"$Y2="No""</formula>
    </cfRule>
  </conditionalFormatting>
  <conditionalFormatting sqref="AF141">
    <cfRule type="expression" dxfId="1" priority="1035">
      <formula>"$Y2="No""</formula>
    </cfRule>
  </conditionalFormatting>
  <conditionalFormatting sqref="AF140">
    <cfRule type="expression" dxfId="1" priority="1036">
      <formula>"$Y2="No""</formula>
    </cfRule>
  </conditionalFormatting>
  <conditionalFormatting sqref="AF139">
    <cfRule type="expression" dxfId="1" priority="1037">
      <formula>"$Y2="No""</formula>
    </cfRule>
  </conditionalFormatting>
  <conditionalFormatting sqref="AF138">
    <cfRule type="expression" dxfId="1" priority="1038">
      <formula>"$Y2="No""</formula>
    </cfRule>
  </conditionalFormatting>
  <conditionalFormatting sqref="AF137">
    <cfRule type="expression" dxfId="1" priority="1039">
      <formula>"$Y2="No""</formula>
    </cfRule>
  </conditionalFormatting>
  <conditionalFormatting sqref="AF136">
    <cfRule type="expression" dxfId="1" priority="1040">
      <formula>"$Y2="No""</formula>
    </cfRule>
  </conditionalFormatting>
  <conditionalFormatting sqref="AF135">
    <cfRule type="expression" dxfId="1" priority="1041">
      <formula>"$Y2="No""</formula>
    </cfRule>
  </conditionalFormatting>
  <conditionalFormatting sqref="AF134">
    <cfRule type="expression" dxfId="1" priority="1042">
      <formula>"$Y2="No""</formula>
    </cfRule>
  </conditionalFormatting>
  <conditionalFormatting sqref="AF133">
    <cfRule type="expression" dxfId="1" priority="1043">
      <formula>"$Y2="No""</formula>
    </cfRule>
  </conditionalFormatting>
  <conditionalFormatting sqref="AF131">
    <cfRule type="expression" dxfId="1" priority="1044">
      <formula>"$Y2="No""</formula>
    </cfRule>
  </conditionalFormatting>
  <conditionalFormatting sqref="AF130">
    <cfRule type="expression" dxfId="1" priority="1045">
      <formula>"$Y2="No""</formula>
    </cfRule>
  </conditionalFormatting>
  <conditionalFormatting sqref="AF129">
    <cfRule type="expression" dxfId="1" priority="1046">
      <formula>"$Y2="No""</formula>
    </cfRule>
  </conditionalFormatting>
  <conditionalFormatting sqref="AF128">
    <cfRule type="expression" dxfId="1" priority="1047">
      <formula>"$Y2="No""</formula>
    </cfRule>
  </conditionalFormatting>
  <conditionalFormatting sqref="AF127">
    <cfRule type="expression" dxfId="1" priority="1048">
      <formula>"$Y2="No""</formula>
    </cfRule>
  </conditionalFormatting>
  <conditionalFormatting sqref="AF126">
    <cfRule type="expression" dxfId="1" priority="1049">
      <formula>"$Y2="No""</formula>
    </cfRule>
  </conditionalFormatting>
  <conditionalFormatting sqref="AF125">
    <cfRule type="expression" dxfId="1" priority="1050">
      <formula>"$Y2="No""</formula>
    </cfRule>
  </conditionalFormatting>
  <conditionalFormatting sqref="AF124">
    <cfRule type="expression" dxfId="1" priority="1051">
      <formula>"$Y2="No""</formula>
    </cfRule>
  </conditionalFormatting>
  <conditionalFormatting sqref="AF123">
    <cfRule type="expression" dxfId="1" priority="1052">
      <formula>"$Y2="No""</formula>
    </cfRule>
  </conditionalFormatting>
  <conditionalFormatting sqref="AF122">
    <cfRule type="expression" dxfId="1" priority="1053">
      <formula>"$Y2="No""</formula>
    </cfRule>
  </conditionalFormatting>
  <conditionalFormatting sqref="AF121">
    <cfRule type="expression" dxfId="1" priority="1054">
      <formula>"$Y2="No""</formula>
    </cfRule>
  </conditionalFormatting>
  <conditionalFormatting sqref="AF120">
    <cfRule type="expression" dxfId="1" priority="1055">
      <formula>"$Y2="No""</formula>
    </cfRule>
  </conditionalFormatting>
  <conditionalFormatting sqref="AF119">
    <cfRule type="expression" dxfId="1" priority="1056">
      <formula>"$Y2="No""</formula>
    </cfRule>
  </conditionalFormatting>
  <conditionalFormatting sqref="AF118">
    <cfRule type="expression" dxfId="1" priority="1057">
      <formula>"$Y2="No""</formula>
    </cfRule>
  </conditionalFormatting>
  <conditionalFormatting sqref="AF117">
    <cfRule type="expression" dxfId="1" priority="1058">
      <formula>"$Y2="No""</formula>
    </cfRule>
  </conditionalFormatting>
  <conditionalFormatting sqref="AF116">
    <cfRule type="expression" dxfId="1" priority="1059">
      <formula>"$Y2="No""</formula>
    </cfRule>
  </conditionalFormatting>
  <conditionalFormatting sqref="AF115">
    <cfRule type="expression" dxfId="1" priority="1060">
      <formula>"$Y2="No""</formula>
    </cfRule>
  </conditionalFormatting>
  <conditionalFormatting sqref="AF114">
    <cfRule type="expression" dxfId="1" priority="1061">
      <formula>"$Y2="No""</formula>
    </cfRule>
  </conditionalFormatting>
  <conditionalFormatting sqref="AF113">
    <cfRule type="expression" dxfId="1" priority="1062">
      <formula>"$Y2="No""</formula>
    </cfRule>
  </conditionalFormatting>
  <conditionalFormatting sqref="AF112">
    <cfRule type="expression" dxfId="1" priority="1063">
      <formula>"$Y2="No""</formula>
    </cfRule>
  </conditionalFormatting>
  <conditionalFormatting sqref="AF111">
    <cfRule type="expression" dxfId="1" priority="1064">
      <formula>"$Y2="No""</formula>
    </cfRule>
  </conditionalFormatting>
  <conditionalFormatting sqref="AF109">
    <cfRule type="expression" dxfId="1" priority="1065">
      <formula>"$Y2="No""</formula>
    </cfRule>
  </conditionalFormatting>
  <conditionalFormatting sqref="AF108">
    <cfRule type="expression" dxfId="1" priority="1066">
      <formula>"$Y2="No""</formula>
    </cfRule>
  </conditionalFormatting>
  <conditionalFormatting sqref="AF107">
    <cfRule type="expression" dxfId="1" priority="1067">
      <formula>"$Y2="No""</formula>
    </cfRule>
  </conditionalFormatting>
  <conditionalFormatting sqref="AF106">
    <cfRule type="expression" dxfId="1" priority="1068">
      <formula>"$Y2="No""</formula>
    </cfRule>
  </conditionalFormatting>
  <conditionalFormatting sqref="AF105">
    <cfRule type="expression" dxfId="1" priority="1069">
      <formula>"$Y2="No""</formula>
    </cfRule>
  </conditionalFormatting>
  <conditionalFormatting sqref="AF104">
    <cfRule type="expression" dxfId="1" priority="1070">
      <formula>"$Y2="No""</formula>
    </cfRule>
  </conditionalFormatting>
  <conditionalFormatting sqref="AF103">
    <cfRule type="expression" dxfId="1" priority="1071">
      <formula>"$Y2="No""</formula>
    </cfRule>
  </conditionalFormatting>
  <conditionalFormatting sqref="AF102">
    <cfRule type="expression" dxfId="1" priority="1072">
      <formula>"$Y2="No""</formula>
    </cfRule>
  </conditionalFormatting>
  <conditionalFormatting sqref="AF101">
    <cfRule type="expression" dxfId="1" priority="1073">
      <formula>"$Y2="No""</formula>
    </cfRule>
  </conditionalFormatting>
  <conditionalFormatting sqref="AF100">
    <cfRule type="expression" dxfId="1" priority="1074">
      <formula>"$Y2="No""</formula>
    </cfRule>
  </conditionalFormatting>
  <conditionalFormatting sqref="AF99">
    <cfRule type="expression" dxfId="1" priority="1075">
      <formula>"$Y2="No""</formula>
    </cfRule>
  </conditionalFormatting>
  <conditionalFormatting sqref="AF98">
    <cfRule type="expression" dxfId="1" priority="1076">
      <formula>"$Y2="No""</formula>
    </cfRule>
  </conditionalFormatting>
  <conditionalFormatting sqref="AF96">
    <cfRule type="expression" dxfId="1" priority="1077">
      <formula>"$Y2="No""</formula>
    </cfRule>
  </conditionalFormatting>
  <conditionalFormatting sqref="AF95">
    <cfRule type="expression" dxfId="1" priority="1078">
      <formula>"$Y2="No""</formula>
    </cfRule>
  </conditionalFormatting>
  <conditionalFormatting sqref="AF94">
    <cfRule type="expression" dxfId="1" priority="1079">
      <formula>"$Y2="No""</formula>
    </cfRule>
  </conditionalFormatting>
  <conditionalFormatting sqref="AF93">
    <cfRule type="expression" dxfId="1" priority="1080">
      <formula>"$Y2="No""</formula>
    </cfRule>
  </conditionalFormatting>
  <conditionalFormatting sqref="AF92">
    <cfRule type="expression" dxfId="1" priority="1081">
      <formula>"$Y2="No""</formula>
    </cfRule>
  </conditionalFormatting>
  <conditionalFormatting sqref="AF91">
    <cfRule type="expression" dxfId="1" priority="1082">
      <formula>"$Y2="No""</formula>
    </cfRule>
  </conditionalFormatting>
  <conditionalFormatting sqref="AF90">
    <cfRule type="expression" dxfId="1" priority="1083">
      <formula>"$Y2="No""</formula>
    </cfRule>
  </conditionalFormatting>
  <conditionalFormatting sqref="AF89">
    <cfRule type="expression" dxfId="1" priority="1084">
      <formula>"$Y2="No""</formula>
    </cfRule>
  </conditionalFormatting>
  <conditionalFormatting sqref="AF87">
    <cfRule type="expression" dxfId="1" priority="1085">
      <formula>"$Y2="No""</formula>
    </cfRule>
  </conditionalFormatting>
  <conditionalFormatting sqref="AF86">
    <cfRule type="expression" dxfId="1" priority="1086">
      <formula>"$Y2="No""</formula>
    </cfRule>
  </conditionalFormatting>
  <conditionalFormatting sqref="AF85">
    <cfRule type="expression" dxfId="1" priority="1087">
      <formula>"$Y2="No""</formula>
    </cfRule>
  </conditionalFormatting>
  <conditionalFormatting sqref="AF84">
    <cfRule type="expression" dxfId="1" priority="1088">
      <formula>"$Y2="No""</formula>
    </cfRule>
  </conditionalFormatting>
  <conditionalFormatting sqref="AF83">
    <cfRule type="expression" dxfId="1" priority="1089">
      <formula>"$Y2="No""</formula>
    </cfRule>
  </conditionalFormatting>
  <conditionalFormatting sqref="AF82">
    <cfRule type="expression" dxfId="1" priority="1090">
      <formula>"$Y2="No""</formula>
    </cfRule>
  </conditionalFormatting>
  <conditionalFormatting sqref="AF81">
    <cfRule type="expression" dxfId="1" priority="1091">
      <formula>"$Y2="No""</formula>
    </cfRule>
  </conditionalFormatting>
  <conditionalFormatting sqref="AF80">
    <cfRule type="expression" dxfId="1" priority="1092">
      <formula>"$Y2="No""</formula>
    </cfRule>
  </conditionalFormatting>
  <conditionalFormatting sqref="AF79">
    <cfRule type="expression" dxfId="1" priority="1093">
      <formula>"$Y2="No""</formula>
    </cfRule>
  </conditionalFormatting>
  <conditionalFormatting sqref="AF78">
    <cfRule type="expression" dxfId="1" priority="1094">
      <formula>"$Y2="No""</formula>
    </cfRule>
  </conditionalFormatting>
  <conditionalFormatting sqref="AF77">
    <cfRule type="expression" dxfId="1" priority="1095">
      <formula>"$Y2="No""</formula>
    </cfRule>
  </conditionalFormatting>
  <conditionalFormatting sqref="AF76">
    <cfRule type="expression" dxfId="1" priority="1096">
      <formula>"$Y2="No""</formula>
    </cfRule>
  </conditionalFormatting>
  <conditionalFormatting sqref="AF75">
    <cfRule type="expression" dxfId="1" priority="1097">
      <formula>"$Y2="No""</formula>
    </cfRule>
  </conditionalFormatting>
  <conditionalFormatting sqref="AF74">
    <cfRule type="expression" dxfId="1" priority="1098">
      <formula>"$Y2="No""</formula>
    </cfRule>
  </conditionalFormatting>
  <conditionalFormatting sqref="AF73">
    <cfRule type="expression" dxfId="1" priority="1099">
      <formula>"$Y2="No""</formula>
    </cfRule>
  </conditionalFormatting>
  <conditionalFormatting sqref="AF72">
    <cfRule type="expression" dxfId="1" priority="1100">
      <formula>"$Y2="No""</formula>
    </cfRule>
  </conditionalFormatting>
  <conditionalFormatting sqref="AF70">
    <cfRule type="expression" dxfId="1" priority="1101">
      <formula>"$Y2="No""</formula>
    </cfRule>
  </conditionalFormatting>
  <conditionalFormatting sqref="AF69">
    <cfRule type="expression" dxfId="1" priority="1102">
      <formula>"$Y2="No""</formula>
    </cfRule>
  </conditionalFormatting>
  <conditionalFormatting sqref="AF68">
    <cfRule type="expression" dxfId="1" priority="1103">
      <formula>"$Y2="No""</formula>
    </cfRule>
  </conditionalFormatting>
  <conditionalFormatting sqref="AF67">
    <cfRule type="expression" dxfId="1" priority="1104">
      <formula>"$Y2="No""</formula>
    </cfRule>
  </conditionalFormatting>
  <conditionalFormatting sqref="AF66">
    <cfRule type="expression" dxfId="1" priority="1105">
      <formula>"$Y2="No""</formula>
    </cfRule>
  </conditionalFormatting>
  <conditionalFormatting sqref="AF65">
    <cfRule type="expression" dxfId="1" priority="1106">
      <formula>"$Y2="No""</formula>
    </cfRule>
  </conditionalFormatting>
  <conditionalFormatting sqref="AF64">
    <cfRule type="expression" dxfId="1" priority="1107">
      <formula>"$Y2="No""</formula>
    </cfRule>
  </conditionalFormatting>
  <conditionalFormatting sqref="AF63">
    <cfRule type="expression" dxfId="1" priority="1108">
      <formula>"$Y2="No""</formula>
    </cfRule>
  </conditionalFormatting>
  <conditionalFormatting sqref="AF62">
    <cfRule type="expression" dxfId="1" priority="1109">
      <formula>"$Y2="No""</formula>
    </cfRule>
  </conditionalFormatting>
  <conditionalFormatting sqref="AF61">
    <cfRule type="expression" dxfId="1" priority="1110">
      <formula>"$Y2="No""</formula>
    </cfRule>
  </conditionalFormatting>
  <conditionalFormatting sqref="AF60">
    <cfRule type="expression" dxfId="1" priority="1111">
      <formula>"$Y2="No""</formula>
    </cfRule>
  </conditionalFormatting>
  <conditionalFormatting sqref="AF59">
    <cfRule type="expression" dxfId="1" priority="1112">
      <formula>"$Y2="No""</formula>
    </cfRule>
  </conditionalFormatting>
  <conditionalFormatting sqref="AF58">
    <cfRule type="expression" dxfId="1" priority="1113">
      <formula>"$Y2="No""</formula>
    </cfRule>
  </conditionalFormatting>
  <conditionalFormatting sqref="AF57">
    <cfRule type="expression" dxfId="1" priority="1114">
      <formula>"$Y2="No""</formula>
    </cfRule>
  </conditionalFormatting>
  <conditionalFormatting sqref="AF56">
    <cfRule type="expression" dxfId="1" priority="1115">
      <formula>"$Y2="No""</formula>
    </cfRule>
  </conditionalFormatting>
  <conditionalFormatting sqref="AF55">
    <cfRule type="expression" dxfId="1" priority="1116">
      <formula>"$Y2="No""</formula>
    </cfRule>
  </conditionalFormatting>
  <conditionalFormatting sqref="AF54">
    <cfRule type="expression" dxfId="1" priority="1117">
      <formula>"$Y2="No""</formula>
    </cfRule>
  </conditionalFormatting>
  <conditionalFormatting sqref="AF53">
    <cfRule type="expression" dxfId="1" priority="1118">
      <formula>"$Y2="No""</formula>
    </cfRule>
  </conditionalFormatting>
  <conditionalFormatting sqref="AF52">
    <cfRule type="expression" dxfId="1" priority="1119">
      <formula>"$Y2="No""</formula>
    </cfRule>
  </conditionalFormatting>
  <conditionalFormatting sqref="AF51">
    <cfRule type="expression" dxfId="1" priority="1120">
      <formula>"$Y2="No""</formula>
    </cfRule>
  </conditionalFormatting>
  <conditionalFormatting sqref="AF50">
    <cfRule type="expression" dxfId="1" priority="1121">
      <formula>"$Y2="No""</formula>
    </cfRule>
  </conditionalFormatting>
  <conditionalFormatting sqref="AF49">
    <cfRule type="expression" dxfId="1" priority="1122">
      <formula>"$Y2="No""</formula>
    </cfRule>
  </conditionalFormatting>
  <conditionalFormatting sqref="AF48">
    <cfRule type="expression" dxfId="1" priority="1123">
      <formula>"$Y2="No""</formula>
    </cfRule>
  </conditionalFormatting>
  <conditionalFormatting sqref="AF47">
    <cfRule type="expression" dxfId="1" priority="1124">
      <formula>"$Y2="No""</formula>
    </cfRule>
  </conditionalFormatting>
  <conditionalFormatting sqref="AF46">
    <cfRule type="expression" dxfId="1" priority="1125">
      <formula>"$Y2="No""</formula>
    </cfRule>
  </conditionalFormatting>
  <conditionalFormatting sqref="AF45">
    <cfRule type="expression" dxfId="1" priority="1126">
      <formula>"$Y2="No""</formula>
    </cfRule>
  </conditionalFormatting>
  <conditionalFormatting sqref="AF44">
    <cfRule type="expression" dxfId="1" priority="1127">
      <formula>"$Y2="No""</formula>
    </cfRule>
  </conditionalFormatting>
  <conditionalFormatting sqref="AF43">
    <cfRule type="expression" dxfId="1" priority="1128">
      <formula>"$Y2="No""</formula>
    </cfRule>
  </conditionalFormatting>
  <conditionalFormatting sqref="AF42">
    <cfRule type="expression" dxfId="1" priority="1129">
      <formula>"$Y2="No""</formula>
    </cfRule>
  </conditionalFormatting>
  <conditionalFormatting sqref="AF41">
    <cfRule type="expression" dxfId="1" priority="1130">
      <formula>"$Y2="No""</formula>
    </cfRule>
  </conditionalFormatting>
  <conditionalFormatting sqref="AF40">
    <cfRule type="expression" dxfId="1" priority="1131">
      <formula>"$Y2="No""</formula>
    </cfRule>
  </conditionalFormatting>
  <conditionalFormatting sqref="AF39">
    <cfRule type="expression" dxfId="1" priority="1132">
      <formula>"$Y2="No""</formula>
    </cfRule>
  </conditionalFormatting>
  <conditionalFormatting sqref="AF37">
    <cfRule type="expression" dxfId="1" priority="1133">
      <formula>"$Y2="No""</formula>
    </cfRule>
  </conditionalFormatting>
  <conditionalFormatting sqref="AF36">
    <cfRule type="expression" dxfId="1" priority="1134">
      <formula>"$Y2="No""</formula>
    </cfRule>
  </conditionalFormatting>
  <conditionalFormatting sqref="AF35">
    <cfRule type="expression" dxfId="1" priority="1135">
      <formula>"$Y2="No""</formula>
    </cfRule>
  </conditionalFormatting>
  <conditionalFormatting sqref="AF34">
    <cfRule type="expression" dxfId="1" priority="1136">
      <formula>"$Y2="No""</formula>
    </cfRule>
  </conditionalFormatting>
  <conditionalFormatting sqref="AF33">
    <cfRule type="expression" dxfId="1" priority="1137">
      <formula>"$Y2="No""</formula>
    </cfRule>
  </conditionalFormatting>
  <conditionalFormatting sqref="AF32">
    <cfRule type="expression" dxfId="1" priority="1138">
      <formula>"$Y2="No""</formula>
    </cfRule>
  </conditionalFormatting>
  <conditionalFormatting sqref="AF31">
    <cfRule type="expression" dxfId="1" priority="1139">
      <formula>"$Y2="No""</formula>
    </cfRule>
  </conditionalFormatting>
  <conditionalFormatting sqref="AF30">
    <cfRule type="expression" dxfId="1" priority="1140">
      <formula>"$Y2="No""</formula>
    </cfRule>
  </conditionalFormatting>
  <conditionalFormatting sqref="AF29">
    <cfRule type="expression" dxfId="1" priority="1141">
      <formula>"$Y2="No""</formula>
    </cfRule>
  </conditionalFormatting>
  <conditionalFormatting sqref="AF28">
    <cfRule type="expression" dxfId="1" priority="1142">
      <formula>"$Y2="No""</formula>
    </cfRule>
  </conditionalFormatting>
  <conditionalFormatting sqref="AF27">
    <cfRule type="expression" dxfId="1" priority="1143">
      <formula>"$Y2="No""</formula>
    </cfRule>
  </conditionalFormatting>
  <conditionalFormatting sqref="AF26">
    <cfRule type="expression" dxfId="1" priority="1144">
      <formula>"$Y2="No""</formula>
    </cfRule>
  </conditionalFormatting>
  <conditionalFormatting sqref="AF25">
    <cfRule type="expression" dxfId="1" priority="1145">
      <formula>"$Y2="No""</formula>
    </cfRule>
  </conditionalFormatting>
  <conditionalFormatting sqref="AF24">
    <cfRule type="expression" dxfId="1" priority="1146">
      <formula>"$Y2="No""</formula>
    </cfRule>
  </conditionalFormatting>
  <conditionalFormatting sqref="AF23">
    <cfRule type="expression" dxfId="1" priority="1147">
      <formula>"$Y2="No""</formula>
    </cfRule>
  </conditionalFormatting>
  <conditionalFormatting sqref="AF22">
    <cfRule type="expression" dxfId="1" priority="1148">
      <formula>"$Y2="No""</formula>
    </cfRule>
  </conditionalFormatting>
  <conditionalFormatting sqref="AF21">
    <cfRule type="expression" dxfId="1" priority="1149">
      <formula>"$Y2="No""</formula>
    </cfRule>
  </conditionalFormatting>
  <conditionalFormatting sqref="AF20">
    <cfRule type="expression" dxfId="1" priority="1150">
      <formula>"$Y2="No""</formula>
    </cfRule>
  </conditionalFormatting>
  <conditionalFormatting sqref="AF19">
    <cfRule type="expression" dxfId="1" priority="1151">
      <formula>"$Y2="No""</formula>
    </cfRule>
  </conditionalFormatting>
  <conditionalFormatting sqref="AF18">
    <cfRule type="expression" dxfId="1" priority="1152">
      <formula>"$Y2="No""</formula>
    </cfRule>
  </conditionalFormatting>
  <conditionalFormatting sqref="AF17">
    <cfRule type="expression" dxfId="1" priority="1153">
      <formula>"$Y2="No""</formula>
    </cfRule>
  </conditionalFormatting>
  <conditionalFormatting sqref="AF16">
    <cfRule type="expression" dxfId="1" priority="1154">
      <formula>"$Y2="No""</formula>
    </cfRule>
  </conditionalFormatting>
  <conditionalFormatting sqref="AF15">
    <cfRule type="expression" dxfId="1" priority="1155">
      <formula>"$Y2="No""</formula>
    </cfRule>
  </conditionalFormatting>
  <conditionalFormatting sqref="AF14">
    <cfRule type="expression" dxfId="1" priority="1156">
      <formula>"$Y2="No""</formula>
    </cfRule>
  </conditionalFormatting>
  <conditionalFormatting sqref="AF13">
    <cfRule type="expression" dxfId="1" priority="1157">
      <formula>"$Y2="No""</formula>
    </cfRule>
  </conditionalFormatting>
  <conditionalFormatting sqref="AF12">
    <cfRule type="expression" dxfId="1" priority="1158">
      <formula>"$Y2="No""</formula>
    </cfRule>
  </conditionalFormatting>
  <conditionalFormatting sqref="AF11">
    <cfRule type="expression" dxfId="1" priority="1159">
      <formula>"$Y2="No""</formula>
    </cfRule>
  </conditionalFormatting>
  <conditionalFormatting sqref="AF10">
    <cfRule type="expression" dxfId="1" priority="1160">
      <formula>"$Y2="No""</formula>
    </cfRule>
  </conditionalFormatting>
  <conditionalFormatting sqref="AF9">
    <cfRule type="expression" dxfId="1" priority="1161">
      <formula>"$Y2="No""</formula>
    </cfRule>
  </conditionalFormatting>
  <conditionalFormatting sqref="AF8">
    <cfRule type="expression" dxfId="1" priority="1162">
      <formula>"$Y2="No""</formula>
    </cfRule>
  </conditionalFormatting>
  <conditionalFormatting sqref="AF7">
    <cfRule type="expression" dxfId="1" priority="1163">
      <formula>"$Y2="No""</formula>
    </cfRule>
  </conditionalFormatting>
  <conditionalFormatting sqref="AF6">
    <cfRule type="expression" dxfId="1" priority="1164">
      <formula>"$Y2="No""</formula>
    </cfRule>
  </conditionalFormatting>
  <conditionalFormatting sqref="AF5">
    <cfRule type="expression" dxfId="1" priority="1165">
      <formula>"$Y2="No""</formula>
    </cfRule>
  </conditionalFormatting>
  <conditionalFormatting sqref="AF4">
    <cfRule type="expression" dxfId="1" priority="1166">
      <formula>"$Y2="No""</formula>
    </cfRule>
  </conditionalFormatting>
  <conditionalFormatting sqref="AF3">
    <cfRule type="expression" dxfId="1" priority="1167">
      <formula>"$Y2="No""</formula>
    </cfRule>
  </conditionalFormatting>
  <conditionalFormatting sqref="AF2">
    <cfRule type="expression" dxfId="1" priority="1168">
      <formula>"$Y2="No""</formula>
    </cfRule>
  </conditionalFormatting>
  <conditionalFormatting sqref="AB2:AB1237">
    <cfRule type="expression" dxfId="1" priority="1169">
      <formula>"$K2="No""</formula>
    </cfRule>
  </conditionalFormatting>
  <conditionalFormatting sqref="A2:A1237">
    <cfRule type="expression" dxfId="2" priority="1170">
      <formula>#REF!="In progress"</formula>
    </cfRule>
  </conditionalFormatting>
  <conditionalFormatting sqref="D2:J1237">
    <cfRule type="expression" dxfId="1" priority="1171">
      <formula>$D2="No"</formula>
    </cfRule>
  </conditionalFormatting>
  <conditionalFormatting sqref="K2:AC1237">
    <cfRule type="expression" dxfId="1" priority="1172">
      <formula>$K2="No"</formula>
    </cfRule>
  </conditionalFormatting>
  <conditionalFormatting sqref="A2:A1237">
    <cfRule type="expression" dxfId="3" priority="1173">
      <formula>#REF!="Finished"</formula>
    </cfRule>
  </conditionalFormatting>
  <conditionalFormatting sqref="L1:R1237 AC1">
    <cfRule type="cellIs" dxfId="4" priority="1174" operator="equal">
      <formula>"Yes"</formula>
    </cfRule>
  </conditionalFormatting>
  <conditionalFormatting sqref="J2:J1237">
    <cfRule type="expression" dxfId="5" priority="1175">
      <formula>OR(#REF!="Divergent",#REF!="Divergent")</formula>
    </cfRule>
  </conditionalFormatting>
  <conditionalFormatting sqref="E1:I1237">
    <cfRule type="cellIs" dxfId="4" priority="1176" operator="equal">
      <formula>"Yes"</formula>
    </cfRule>
  </conditionalFormatting>
  <conditionalFormatting sqref="U2:U1237 T112 T147 T154 T225 T228 T258 T305 T368 T378 T383 T552 T619 T624 T627 T868 T981 T1034 T1074">
    <cfRule type="expression" dxfId="5" priority="1177">
      <formula>#REF!="Erro"</formula>
    </cfRule>
  </conditionalFormatting>
  <conditionalFormatting sqref="A1:B1237 AM1:AM1237">
    <cfRule type="expression" dxfId="5" priority="1178">
      <formula>$AM1="ERRRO"</formula>
    </cfRule>
  </conditionalFormatting>
  <conditionalFormatting sqref="AD2:AI1237">
    <cfRule type="expression" dxfId="1" priority="1179">
      <formula>$AD2="No"</formula>
    </cfRule>
  </conditionalFormatting>
  <hyperlinks>
    <hyperlink r:id="rId1" ref="T492"/>
    <hyperlink r:id="rId2" ref="AE58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63"/>
    <col customWidth="1" min="2" max="2" width="18.88"/>
    <col customWidth="1" min="3" max="3" width="7.0"/>
    <col customWidth="1" min="4" max="4" width="14.0"/>
    <col customWidth="1" min="5" max="9" width="12.0"/>
    <col customWidth="1" min="10" max="10" width="9.0"/>
    <col customWidth="1" min="11" max="11" width="9.63"/>
    <col customWidth="1" min="12" max="12" width="10.63"/>
    <col customWidth="1" min="13" max="13" width="12.5"/>
    <col customWidth="1" min="14" max="14" width="13.25"/>
    <col customWidth="1" min="15" max="15" width="12.63"/>
    <col customWidth="1" min="16" max="16" width="10.75"/>
    <col customWidth="1" min="17" max="17" width="18.38"/>
    <col customWidth="1" min="18" max="18" width="9.63"/>
    <col customWidth="1" min="19" max="19" width="29.38"/>
    <col customWidth="1" min="20" max="20" width="32.63"/>
    <col customWidth="1" min="21" max="21" width="39.0"/>
    <col customWidth="1" min="22" max="23" width="10.75"/>
    <col customWidth="1" min="24" max="24" width="9.75"/>
    <col customWidth="1" min="25" max="25" width="7.25"/>
    <col customWidth="1" min="26" max="26" width="20.5"/>
    <col customWidth="1" min="27" max="27" width="13.63"/>
    <col customWidth="1" min="28" max="28" width="12.63"/>
    <col customWidth="1" min="29" max="29" width="10.5"/>
    <col customWidth="1" min="30" max="30" width="12.38"/>
    <col customWidth="1" min="31" max="31" width="29.75"/>
    <col customWidth="1" min="32" max="34" width="13.88"/>
    <col customWidth="1" min="35" max="35" width="34.13"/>
    <col customWidth="1" min="36" max="36" width="19.88"/>
    <col customWidth="1" min="37" max="37" width="11.75"/>
    <col customWidth="1" min="38" max="38" width="8.13"/>
    <col customWidth="1" min="39" max="39" width="9.63"/>
  </cols>
  <sheetData>
    <row r="1" ht="26.25" customHeight="1">
      <c r="A1" s="1" t="s">
        <v>0</v>
      </c>
      <c r="B1" s="86" t="s">
        <v>1</v>
      </c>
      <c r="C1" s="87" t="s">
        <v>2</v>
      </c>
      <c r="D1" s="4" t="s">
        <v>3</v>
      </c>
      <c r="E1" s="88" t="s">
        <v>4</v>
      </c>
      <c r="F1" s="89" t="s">
        <v>5</v>
      </c>
      <c r="G1" s="90" t="s">
        <v>6</v>
      </c>
      <c r="H1" s="91" t="s">
        <v>7</v>
      </c>
      <c r="I1" s="92" t="s">
        <v>8</v>
      </c>
      <c r="J1" s="93" t="s">
        <v>9</v>
      </c>
      <c r="K1" s="11" t="s">
        <v>10</v>
      </c>
      <c r="L1" s="94" t="s">
        <v>11</v>
      </c>
      <c r="M1" s="94" t="s">
        <v>12</v>
      </c>
      <c r="N1" s="94" t="s">
        <v>13</v>
      </c>
      <c r="O1" s="94" t="s">
        <v>14</v>
      </c>
      <c r="P1" s="94" t="s">
        <v>15</v>
      </c>
      <c r="Q1" s="94" t="s">
        <v>16</v>
      </c>
      <c r="R1" s="94" t="s">
        <v>17</v>
      </c>
      <c r="S1" s="11" t="s">
        <v>18</v>
      </c>
      <c r="T1" s="95" t="s">
        <v>19</v>
      </c>
      <c r="U1" s="14" t="str">
        <f>"All artifact links whitout repetition - column "&amp;SUBSTITUTE(ADDRESS(ROW(T1),COLUMN(T1),4),1,"")&amp;" for artifact sharing (without real link)"</f>
        <v>All artifact links whitout repetition - column T for artifact sharing (without real link)</v>
      </c>
      <c r="V1" s="96" t="s">
        <v>3394</v>
      </c>
      <c r="W1" s="96" t="s">
        <v>3395</v>
      </c>
      <c r="X1" s="96" t="s">
        <v>3396</v>
      </c>
      <c r="Y1" s="97" t="s">
        <v>23</v>
      </c>
      <c r="Z1" s="11" t="str">
        <f>"Status of the links in 09/18/2024 - "&amp;SUBSTITUTE(ADDRESS(ROW(T1),COLUMN(T1),4),1,"")</f>
        <v>Status of the links in 09/18/2024 - T</v>
      </c>
      <c r="AA1" s="11" t="s">
        <v>24</v>
      </c>
      <c r="AB1" s="11" t="s">
        <v>25</v>
      </c>
      <c r="AC1" s="98" t="s">
        <v>26</v>
      </c>
      <c r="AD1" s="20" t="s">
        <v>27</v>
      </c>
      <c r="AE1" s="99" t="s">
        <v>28</v>
      </c>
      <c r="AF1" s="99" t="s">
        <v>29</v>
      </c>
      <c r="AG1" s="99" t="s">
        <v>30</v>
      </c>
      <c r="AH1" s="99" t="s">
        <v>31</v>
      </c>
      <c r="AI1" s="18" t="str">
        <f>"All statement labels "&amp;SUBSTITUTE(ADDRESS(ROW(AF1),COLUMN(AF1),4),1,"")&amp;" + "&amp;SUBSTITUTE(ADDRESS(ROW(AG1),COLUMN(AG1),4),1,"")&amp;" + "&amp;SUBSTITUTE(ADDRESS(ROW(AH1),COLUMN(AH1),4),1,"")</f>
        <v>All statement labels AF + AG + AH</v>
      </c>
      <c r="AJ1" s="93" t="str">
        <f>"Link and statement analysis "&amp;SUBSTITUTE(ADDRESS(ROW(K1),COLUMN(K1),4),1,"")&amp;" and "&amp;SUBSTITUTE(ADDRESS(ROW(AD1),COLUMN(AD1),4),1,"")</f>
        <v>Link and statement analysis K and AD</v>
      </c>
      <c r="AK1" s="11" t="s">
        <v>32</v>
      </c>
      <c r="AL1" s="87" t="s">
        <v>33</v>
      </c>
      <c r="AM1" s="20" t="s">
        <v>0</v>
      </c>
    </row>
    <row r="2" ht="67.5" customHeight="1">
      <c r="A2" s="61">
        <v>780.0</v>
      </c>
      <c r="B2" s="22" t="s">
        <v>3397</v>
      </c>
      <c r="C2" s="23">
        <v>2014.0</v>
      </c>
      <c r="D2" s="100" t="s">
        <v>35</v>
      </c>
      <c r="E2" s="25" t="s">
        <v>36</v>
      </c>
      <c r="F2" s="25" t="s">
        <v>36</v>
      </c>
      <c r="G2" s="25" t="s">
        <v>36</v>
      </c>
      <c r="H2" s="25" t="s">
        <v>36</v>
      </c>
      <c r="I2" s="25" t="s">
        <v>36</v>
      </c>
      <c r="J2" s="101" t="s">
        <v>36</v>
      </c>
      <c r="K2" s="102" t="s">
        <v>37</v>
      </c>
      <c r="L2" s="103" t="s">
        <v>35</v>
      </c>
      <c r="M2" s="103" t="s">
        <v>37</v>
      </c>
      <c r="N2" s="103" t="s">
        <v>35</v>
      </c>
      <c r="O2" s="103" t="s">
        <v>35</v>
      </c>
      <c r="P2" s="103" t="s">
        <v>35</v>
      </c>
      <c r="Q2" s="103" t="s">
        <v>35</v>
      </c>
      <c r="R2" s="103" t="s">
        <v>37</v>
      </c>
      <c r="S2" s="104" t="s">
        <v>3398</v>
      </c>
      <c r="T2" s="30" t="s">
        <v>3399</v>
      </c>
      <c r="U2" s="30" t="s">
        <v>3399</v>
      </c>
      <c r="V2" s="105">
        <f t="shared" ref="V2:V841" si="2">
IF(lenb(SUBSTITUTE($Z2,V$1&amp;" (1)",""))&lt;lenb($Z2),1,
IF(lenb(SUBSTITUTE($Z2,V$1&amp;" (2)",""))&lt;lenb($Z2),2,
IF(lenb(SUBSTITUTE($Z2,V$1&amp;" (3)",""))&lt;lenb($Z2),3,
IF(lenb(SUBSTITUTE($Z2,V$1&amp;" (4)",""))&lt;lenb($Z2),4,
IF(lenb(SUBSTITUTE($Z2,V$1&amp;" (5)",""))&lt;lenb($Z2),5,
IF(lenb(SUBSTITUTE($Z2,V$1&amp;" (6)",""))&lt;lenb($Z2),6,
IF(lenb(SUBSTITUTE($Z2,V$1&amp;" (7)",""))&lt;lenb($Z2),1,
IF(lenb(SUBSTITUTE($Z2,V$1&amp;" (8)",""))&lt;lenb($Z2),8,
IF(lenb(SUBSTITUTE($Z2,V$1&amp;" (9)",""))&lt;lenb($Z2),9,
IF(lenb(SUBSTITUTE($Z2,V$1&amp;" (10)",""))&lt;lenb($Z2),10,
IF(lenb(SUBSTITUTE($Z2,V$1&amp;" (26)",""))&lt;lenb($Z2),26,
IF(lenb(SUBSTITUTE($Z2,V$1,""))&lt;lenb($Z2),"ERROR",
IF($Z2=$Y$1,"-",0)))))))))))))</f>
        <v>1</v>
      </c>
      <c r="W2" s="105">
        <f t="shared" ref="W2:X2" si="1">IF(lenb(SUBSTITUTE($Z2,W$1&amp;" (1)",""))&lt;lenb($Z2),1,IF(lenb(SUBSTITUTE($Z2,W$1&amp;" (2)",""))&lt;lenb($Z2),2,IF(lenb(SUBSTITUTE($Z2,W$1&amp;" (3)",""))&lt;lenb($Z2),3,IF(lenb(SUBSTITUTE($Z2,W$1&amp;" (4)",""))&lt;lenb($Z2),4,IF(lenb(SUBSTITUTE($Z2,W$1&amp;" (5)",""))&lt;lenb($Z2),5,IF(lenb(SUBSTITUTE($Z2,W$1&amp;" (6)",""))&lt;lenb($Z2),6,IF(lenb(SUBSTITUTE($Z2,W$1&amp;" (7)",""))&lt;lenb($Z2),1,IF(lenb(SUBSTITUTE($Z2,W$1&amp;" (8)",""))&lt;lenb($Z2),8,IF(lenb(SUBSTITUTE($Z2,W$1&amp;" (9)",""))&lt;lenb($Z2),9,IF(lenb(SUBSTITUTE($Z2,W$1&amp;" (10)",""))&lt;lenb($Z2),10,IF(lenb(SUBSTITUTE($Z2,W$1,""))&lt;lenb($Z2),"ERROR",IF($Z2=$Y$1,"-",0))))))))))))</f>
        <v>0</v>
      </c>
      <c r="X2" s="105">
        <f t="shared" si="1"/>
        <v>0</v>
      </c>
      <c r="Y2" s="105" t="str">
        <f t="shared" ref="Y2:Y841" si="4">IF(Z2=Y$1,1,"-")</f>
        <v>-</v>
      </c>
      <c r="Z2" s="104" t="s">
        <v>3400</v>
      </c>
      <c r="AA2" s="34">
        <f t="shared" ref="AA2:AA841" si="5">ifs(U2="","",U2="-",0,U2="Erro",0,U2&lt;&gt;"",LEN(U2)-LEN(SUBSTITUTE(U2,CHAR(10),""))+1)</f>
        <v>1</v>
      </c>
      <c r="AB2" s="34">
        <f>COUNTIFS(Links!B:B,"FSE",Links!C:C,A2,Links!AD:AD,1)</f>
        <v>0</v>
      </c>
      <c r="AC2" s="106" t="s">
        <v>35</v>
      </c>
      <c r="AD2" s="107" t="s">
        <v>35</v>
      </c>
      <c r="AE2" s="104" t="s">
        <v>36</v>
      </c>
      <c r="AF2" s="37" t="s">
        <v>42</v>
      </c>
      <c r="AG2" s="37" t="s">
        <v>42</v>
      </c>
      <c r="AH2" s="37" t="s">
        <v>42</v>
      </c>
      <c r="AI2" s="105" t="str">
        <f t="shared" ref="AI2:AI841" si="6">IF(AH2="----",IF(AG2="----",IF(AF2="----","----",AF2),AF2&amp;CHAR(10)&amp;AG2),AF2&amp;CHAR(10)&amp;AG2&amp;CHAR(10)&amp;AH2)</f>
        <v>----</v>
      </c>
      <c r="AJ2" s="108" t="str">
        <f t="shared" ref="AJ2:AJ841" si="7">IFERROR(
IF(AND(K2="Yes",AD2="No"),"Paper has link but no statement",
IF(AND(K2="No",AD2="No"),"Paper has no link and no statement",
IF(AND(K2="Yes",AD2="Yes"),"Paper has link and statement",
IF(AND(K2="No",AD2="Yes"),"Paper has no link but has statement","")))),"")</f>
        <v>Paper has link but no statement</v>
      </c>
      <c r="AK2" s="109" t="s">
        <v>3401</v>
      </c>
      <c r="AL2" s="110" t="s">
        <v>3402</v>
      </c>
      <c r="AM2" s="40" t="str">
        <f t="shared" ref="AM2:AM841" si="8">"[FP"&amp;TEXT(A2,"0000")&amp;"]"</f>
        <v>[FP0780]</v>
      </c>
    </row>
    <row r="3" ht="67.5" customHeight="1">
      <c r="A3" s="41">
        <v>781.0</v>
      </c>
      <c r="B3" s="42" t="s">
        <v>3403</v>
      </c>
      <c r="C3" s="43">
        <v>2014.0</v>
      </c>
      <c r="D3" s="111" t="s">
        <v>35</v>
      </c>
      <c r="E3" s="45" t="s">
        <v>36</v>
      </c>
      <c r="F3" s="45" t="s">
        <v>36</v>
      </c>
      <c r="G3" s="45" t="s">
        <v>36</v>
      </c>
      <c r="H3" s="45" t="s">
        <v>36</v>
      </c>
      <c r="I3" s="45" t="s">
        <v>36</v>
      </c>
      <c r="J3" s="112" t="s">
        <v>36</v>
      </c>
      <c r="K3" s="113" t="s">
        <v>37</v>
      </c>
      <c r="L3" s="114" t="s">
        <v>35</v>
      </c>
      <c r="M3" s="114" t="s">
        <v>37</v>
      </c>
      <c r="N3" s="114" t="s">
        <v>35</v>
      </c>
      <c r="O3" s="114" t="s">
        <v>35</v>
      </c>
      <c r="P3" s="114" t="s">
        <v>35</v>
      </c>
      <c r="Q3" s="114" t="s">
        <v>35</v>
      </c>
      <c r="R3" s="114" t="s">
        <v>37</v>
      </c>
      <c r="S3" s="115" t="s">
        <v>3404</v>
      </c>
      <c r="T3" s="50" t="s">
        <v>3405</v>
      </c>
      <c r="U3" s="50" t="s">
        <v>3405</v>
      </c>
      <c r="V3" s="116">
        <f t="shared" si="2"/>
        <v>1</v>
      </c>
      <c r="W3" s="116">
        <f t="shared" ref="W3:X3" si="3">IF(lenb(SUBSTITUTE($Z3,W$1&amp;" (1)",""))&lt;lenb($Z3),1,IF(lenb(SUBSTITUTE($Z3,W$1&amp;" (2)",""))&lt;lenb($Z3),2,IF(lenb(SUBSTITUTE($Z3,W$1&amp;" (3)",""))&lt;lenb($Z3),3,IF(lenb(SUBSTITUTE($Z3,W$1&amp;" (4)",""))&lt;lenb($Z3),4,IF(lenb(SUBSTITUTE($Z3,W$1&amp;" (5)",""))&lt;lenb($Z3),5,IF(lenb(SUBSTITUTE($Z3,W$1&amp;" (6)",""))&lt;lenb($Z3),6,IF(lenb(SUBSTITUTE($Z3,W$1&amp;" (7)",""))&lt;lenb($Z3),1,IF(lenb(SUBSTITUTE($Z3,W$1&amp;" (8)",""))&lt;lenb($Z3),8,IF(lenb(SUBSTITUTE($Z3,W$1&amp;" (9)",""))&lt;lenb($Z3),9,IF(lenb(SUBSTITUTE($Z3,W$1&amp;" (10)",""))&lt;lenb($Z3),10,IF(lenb(SUBSTITUTE($Z3,W$1,""))&lt;lenb($Z3),"ERROR",IF($Z3=$Y$1,"-",0))))))))))))</f>
        <v>0</v>
      </c>
      <c r="X3" s="116">
        <f t="shared" si="3"/>
        <v>0</v>
      </c>
      <c r="Y3" s="116" t="str">
        <f t="shared" si="4"/>
        <v>-</v>
      </c>
      <c r="Z3" s="115" t="s">
        <v>3400</v>
      </c>
      <c r="AA3" s="54">
        <f t="shared" si="5"/>
        <v>1</v>
      </c>
      <c r="AB3" s="54">
        <f>COUNTIFS(Links!B:B,"FSE",Links!C:C,A3,Links!AD:AD,1)</f>
        <v>1</v>
      </c>
      <c r="AC3" s="117" t="s">
        <v>35</v>
      </c>
      <c r="AD3" s="118" t="s">
        <v>37</v>
      </c>
      <c r="AE3" s="115" t="s">
        <v>3406</v>
      </c>
      <c r="AF3" s="57" t="s">
        <v>281</v>
      </c>
      <c r="AG3" s="57" t="s">
        <v>42</v>
      </c>
      <c r="AH3" s="57" t="s">
        <v>42</v>
      </c>
      <c r="AI3" s="116" t="str">
        <f t="shared" si="6"/>
        <v>Barriers (Confidentiality and privacy)</v>
      </c>
      <c r="AJ3" s="119" t="str">
        <f t="shared" si="7"/>
        <v>Paper has link and statement</v>
      </c>
      <c r="AK3" s="120" t="s">
        <v>3401</v>
      </c>
      <c r="AL3" s="121" t="s">
        <v>3402</v>
      </c>
      <c r="AM3" s="60" t="str">
        <f t="shared" si="8"/>
        <v>[FP0781]</v>
      </c>
    </row>
    <row r="4" ht="67.5" customHeight="1">
      <c r="A4" s="61">
        <v>782.0</v>
      </c>
      <c r="B4" s="22" t="s">
        <v>3407</v>
      </c>
      <c r="C4" s="23">
        <v>2014.0</v>
      </c>
      <c r="D4" s="100" t="s">
        <v>35</v>
      </c>
      <c r="E4" s="25" t="s">
        <v>36</v>
      </c>
      <c r="F4" s="25" t="s">
        <v>36</v>
      </c>
      <c r="G4" s="25" t="s">
        <v>36</v>
      </c>
      <c r="H4" s="25" t="s">
        <v>36</v>
      </c>
      <c r="I4" s="25" t="s">
        <v>36</v>
      </c>
      <c r="J4" s="101" t="s">
        <v>36</v>
      </c>
      <c r="K4" s="102" t="s">
        <v>35</v>
      </c>
      <c r="L4" s="103" t="s">
        <v>36</v>
      </c>
      <c r="M4" s="103" t="s">
        <v>36</v>
      </c>
      <c r="N4" s="103" t="s">
        <v>36</v>
      </c>
      <c r="O4" s="103" t="s">
        <v>36</v>
      </c>
      <c r="P4" s="103" t="s">
        <v>36</v>
      </c>
      <c r="Q4" s="103" t="s">
        <v>36</v>
      </c>
      <c r="R4" s="103" t="s">
        <v>36</v>
      </c>
      <c r="S4" s="104" t="s">
        <v>42</v>
      </c>
      <c r="T4" s="30" t="s">
        <v>36</v>
      </c>
      <c r="U4" s="30" t="s">
        <v>36</v>
      </c>
      <c r="V4" s="105" t="str">
        <f t="shared" si="2"/>
        <v>-</v>
      </c>
      <c r="W4" s="105" t="str">
        <f t="shared" ref="W4:X4" si="9">IF(lenb(SUBSTITUTE($Z4,W$1&amp;" (1)",""))&lt;lenb($Z4),1,IF(lenb(SUBSTITUTE($Z4,W$1&amp;" (2)",""))&lt;lenb($Z4),2,IF(lenb(SUBSTITUTE($Z4,W$1&amp;" (3)",""))&lt;lenb($Z4),3,IF(lenb(SUBSTITUTE($Z4,W$1&amp;" (4)",""))&lt;lenb($Z4),4,IF(lenb(SUBSTITUTE($Z4,W$1&amp;" (5)",""))&lt;lenb($Z4),5,IF(lenb(SUBSTITUTE($Z4,W$1&amp;" (6)",""))&lt;lenb($Z4),6,IF(lenb(SUBSTITUTE($Z4,W$1&amp;" (7)",""))&lt;lenb($Z4),1,IF(lenb(SUBSTITUTE($Z4,W$1&amp;" (8)",""))&lt;lenb($Z4),8,IF(lenb(SUBSTITUTE($Z4,W$1&amp;" (9)",""))&lt;lenb($Z4),9,IF(lenb(SUBSTITUTE($Z4,W$1&amp;" (10)",""))&lt;lenb($Z4),10,IF(lenb(SUBSTITUTE($Z4,W$1,""))&lt;lenb($Z4),"ERROR",IF($Z4=$Y$1,"-",0))))))))))))</f>
        <v>-</v>
      </c>
      <c r="X4" s="105" t="str">
        <f t="shared" si="9"/>
        <v>-</v>
      </c>
      <c r="Y4" s="105">
        <f t="shared" si="4"/>
        <v>1</v>
      </c>
      <c r="Z4" s="104" t="s">
        <v>23</v>
      </c>
      <c r="AA4" s="34">
        <f t="shared" si="5"/>
        <v>0</v>
      </c>
      <c r="AB4" s="34">
        <f>COUNTIFS(Links!B:B,"FSE",Links!C:C,A4,Links!AD:AD,1)</f>
        <v>0</v>
      </c>
      <c r="AC4" s="106" t="s">
        <v>36</v>
      </c>
      <c r="AD4" s="107" t="s">
        <v>35</v>
      </c>
      <c r="AE4" s="104" t="s">
        <v>36</v>
      </c>
      <c r="AF4" s="37" t="s">
        <v>42</v>
      </c>
      <c r="AG4" s="37" t="s">
        <v>42</v>
      </c>
      <c r="AH4" s="37" t="s">
        <v>42</v>
      </c>
      <c r="AI4" s="105" t="str">
        <f t="shared" si="6"/>
        <v>----</v>
      </c>
      <c r="AJ4" s="108" t="str">
        <f t="shared" si="7"/>
        <v>Paper has no link and no statement</v>
      </c>
      <c r="AK4" s="109" t="s">
        <v>3401</v>
      </c>
      <c r="AL4" s="110" t="s">
        <v>3402</v>
      </c>
      <c r="AM4" s="40" t="str">
        <f t="shared" si="8"/>
        <v>[FP0782]</v>
      </c>
    </row>
    <row r="5" ht="67.5" customHeight="1">
      <c r="A5" s="41">
        <v>783.0</v>
      </c>
      <c r="B5" s="42" t="s">
        <v>3408</v>
      </c>
      <c r="C5" s="43">
        <v>2014.0</v>
      </c>
      <c r="D5" s="122" t="s">
        <v>37</v>
      </c>
      <c r="E5" s="45" t="s">
        <v>36</v>
      </c>
      <c r="F5" s="45" t="s">
        <v>36</v>
      </c>
      <c r="G5" s="45" t="s">
        <v>36</v>
      </c>
      <c r="H5" s="45" t="s">
        <v>36</v>
      </c>
      <c r="I5" s="45" t="s">
        <v>36</v>
      </c>
      <c r="J5" s="112" t="s">
        <v>3409</v>
      </c>
      <c r="K5" s="113" t="s">
        <v>37</v>
      </c>
      <c r="L5" s="114" t="s">
        <v>35</v>
      </c>
      <c r="M5" s="114" t="s">
        <v>37</v>
      </c>
      <c r="N5" s="114" t="s">
        <v>35</v>
      </c>
      <c r="O5" s="114" t="s">
        <v>35</v>
      </c>
      <c r="P5" s="114" t="s">
        <v>35</v>
      </c>
      <c r="Q5" s="114" t="s">
        <v>35</v>
      </c>
      <c r="R5" s="114" t="s">
        <v>37</v>
      </c>
      <c r="S5" s="115" t="s">
        <v>3410</v>
      </c>
      <c r="T5" s="123" t="s">
        <v>3411</v>
      </c>
      <c r="U5" s="124" t="s">
        <v>3412</v>
      </c>
      <c r="V5" s="116">
        <f t="shared" si="2"/>
        <v>2</v>
      </c>
      <c r="W5" s="116">
        <f t="shared" ref="W5:X5" si="10">IF(lenb(SUBSTITUTE($Z5,W$1&amp;" (1)",""))&lt;lenb($Z5),1,IF(lenb(SUBSTITUTE($Z5,W$1&amp;" (2)",""))&lt;lenb($Z5),2,IF(lenb(SUBSTITUTE($Z5,W$1&amp;" (3)",""))&lt;lenb($Z5),3,IF(lenb(SUBSTITUTE($Z5,W$1&amp;" (4)",""))&lt;lenb($Z5),4,IF(lenb(SUBSTITUTE($Z5,W$1&amp;" (5)",""))&lt;lenb($Z5),5,IF(lenb(SUBSTITUTE($Z5,W$1&amp;" (6)",""))&lt;lenb($Z5),6,IF(lenb(SUBSTITUTE($Z5,W$1&amp;" (7)",""))&lt;lenb($Z5),1,IF(lenb(SUBSTITUTE($Z5,W$1&amp;" (8)",""))&lt;lenb($Z5),8,IF(lenb(SUBSTITUTE($Z5,W$1&amp;" (9)",""))&lt;lenb($Z5),9,IF(lenb(SUBSTITUTE($Z5,W$1&amp;" (10)",""))&lt;lenb($Z5),10,IF(lenb(SUBSTITUTE($Z5,W$1,""))&lt;lenb($Z5),"ERROR",IF($Z5=$Y$1,"-",0))))))))))))</f>
        <v>1</v>
      </c>
      <c r="X5" s="116">
        <f t="shared" si="10"/>
        <v>0</v>
      </c>
      <c r="Y5" s="116" t="str">
        <f t="shared" si="4"/>
        <v>-</v>
      </c>
      <c r="Z5" s="115" t="s">
        <v>3413</v>
      </c>
      <c r="AA5" s="54">
        <f t="shared" si="5"/>
        <v>3</v>
      </c>
      <c r="AB5" s="54">
        <f>COUNTIFS(Links!B:B,"FSE",Links!C:C,A5,Links!AD:AD,1)</f>
        <v>1</v>
      </c>
      <c r="AC5" s="117" t="s">
        <v>37</v>
      </c>
      <c r="AD5" s="118" t="s">
        <v>35</v>
      </c>
      <c r="AE5" s="115" t="s">
        <v>36</v>
      </c>
      <c r="AF5" s="57" t="s">
        <v>42</v>
      </c>
      <c r="AG5" s="57" t="s">
        <v>42</v>
      </c>
      <c r="AH5" s="57" t="s">
        <v>42</v>
      </c>
      <c r="AI5" s="116" t="str">
        <f t="shared" si="6"/>
        <v>----</v>
      </c>
      <c r="AJ5" s="119" t="str">
        <f t="shared" si="7"/>
        <v>Paper has link but no statement</v>
      </c>
      <c r="AK5" s="120" t="s">
        <v>3401</v>
      </c>
      <c r="AL5" s="121" t="s">
        <v>3402</v>
      </c>
      <c r="AM5" s="60" t="str">
        <f t="shared" si="8"/>
        <v>[FP0783]</v>
      </c>
    </row>
    <row r="6" ht="67.5" customHeight="1">
      <c r="A6" s="61">
        <v>784.0</v>
      </c>
      <c r="B6" s="22" t="s">
        <v>3414</v>
      </c>
      <c r="C6" s="23">
        <v>2014.0</v>
      </c>
      <c r="D6" s="125" t="s">
        <v>37</v>
      </c>
      <c r="E6" s="25" t="s">
        <v>36</v>
      </c>
      <c r="F6" s="25" t="s">
        <v>36</v>
      </c>
      <c r="G6" s="25" t="s">
        <v>36</v>
      </c>
      <c r="H6" s="25" t="s">
        <v>36</v>
      </c>
      <c r="I6" s="25" t="s">
        <v>36</v>
      </c>
      <c r="J6" s="101" t="s">
        <v>3409</v>
      </c>
      <c r="K6" s="102" t="s">
        <v>35</v>
      </c>
      <c r="L6" s="103" t="s">
        <v>36</v>
      </c>
      <c r="M6" s="103" t="s">
        <v>36</v>
      </c>
      <c r="N6" s="103" t="s">
        <v>36</v>
      </c>
      <c r="O6" s="103" t="s">
        <v>36</v>
      </c>
      <c r="P6" s="103" t="s">
        <v>36</v>
      </c>
      <c r="Q6" s="103" t="s">
        <v>36</v>
      </c>
      <c r="R6" s="103" t="s">
        <v>36</v>
      </c>
      <c r="S6" s="104" t="s">
        <v>42</v>
      </c>
      <c r="T6" s="30" t="s">
        <v>36</v>
      </c>
      <c r="U6" s="30" t="s">
        <v>36</v>
      </c>
      <c r="V6" s="105" t="str">
        <f t="shared" si="2"/>
        <v>-</v>
      </c>
      <c r="W6" s="105" t="str">
        <f t="shared" ref="W6:X6" si="11">IF(lenb(SUBSTITUTE($Z6,W$1&amp;" (1)",""))&lt;lenb($Z6),1,IF(lenb(SUBSTITUTE($Z6,W$1&amp;" (2)",""))&lt;lenb($Z6),2,IF(lenb(SUBSTITUTE($Z6,W$1&amp;" (3)",""))&lt;lenb($Z6),3,IF(lenb(SUBSTITUTE($Z6,W$1&amp;" (4)",""))&lt;lenb($Z6),4,IF(lenb(SUBSTITUTE($Z6,W$1&amp;" (5)",""))&lt;lenb($Z6),5,IF(lenb(SUBSTITUTE($Z6,W$1&amp;" (6)",""))&lt;lenb($Z6),6,IF(lenb(SUBSTITUTE($Z6,W$1&amp;" (7)",""))&lt;lenb($Z6),1,IF(lenb(SUBSTITUTE($Z6,W$1&amp;" (8)",""))&lt;lenb($Z6),8,IF(lenb(SUBSTITUTE($Z6,W$1&amp;" (9)",""))&lt;lenb($Z6),9,IF(lenb(SUBSTITUTE($Z6,W$1&amp;" (10)",""))&lt;lenb($Z6),10,IF(lenb(SUBSTITUTE($Z6,W$1,""))&lt;lenb($Z6),"ERROR",IF($Z6=$Y$1,"-",0))))))))))))</f>
        <v>-</v>
      </c>
      <c r="X6" s="105" t="str">
        <f t="shared" si="11"/>
        <v>-</v>
      </c>
      <c r="Y6" s="105">
        <f t="shared" si="4"/>
        <v>1</v>
      </c>
      <c r="Z6" s="104" t="s">
        <v>23</v>
      </c>
      <c r="AA6" s="34">
        <f t="shared" si="5"/>
        <v>0</v>
      </c>
      <c r="AB6" s="34">
        <f>COUNTIFS(Links!B:B,"FSE",Links!C:C,A6,Links!AD:AD,1)</f>
        <v>0</v>
      </c>
      <c r="AC6" s="106" t="s">
        <v>36</v>
      </c>
      <c r="AD6" s="107" t="s">
        <v>35</v>
      </c>
      <c r="AE6" s="104" t="s">
        <v>36</v>
      </c>
      <c r="AF6" s="37" t="s">
        <v>42</v>
      </c>
      <c r="AG6" s="37" t="s">
        <v>42</v>
      </c>
      <c r="AH6" s="37" t="s">
        <v>42</v>
      </c>
      <c r="AI6" s="105" t="str">
        <f t="shared" si="6"/>
        <v>----</v>
      </c>
      <c r="AJ6" s="108" t="str">
        <f t="shared" si="7"/>
        <v>Paper has no link and no statement</v>
      </c>
      <c r="AK6" s="109" t="s">
        <v>3401</v>
      </c>
      <c r="AL6" s="110" t="s">
        <v>3402</v>
      </c>
      <c r="AM6" s="40" t="str">
        <f t="shared" si="8"/>
        <v>[FP0784]</v>
      </c>
    </row>
    <row r="7" ht="67.5" customHeight="1">
      <c r="A7" s="41">
        <v>785.0</v>
      </c>
      <c r="B7" s="42" t="s">
        <v>3415</v>
      </c>
      <c r="C7" s="43">
        <v>2014.0</v>
      </c>
      <c r="D7" s="111" t="s">
        <v>35</v>
      </c>
      <c r="E7" s="45" t="s">
        <v>36</v>
      </c>
      <c r="F7" s="45" t="s">
        <v>36</v>
      </c>
      <c r="G7" s="45" t="s">
        <v>36</v>
      </c>
      <c r="H7" s="45" t="s">
        <v>36</v>
      </c>
      <c r="I7" s="45" t="s">
        <v>36</v>
      </c>
      <c r="J7" s="112" t="s">
        <v>36</v>
      </c>
      <c r="K7" s="113" t="s">
        <v>37</v>
      </c>
      <c r="L7" s="114" t="s">
        <v>35</v>
      </c>
      <c r="M7" s="114" t="s">
        <v>35</v>
      </c>
      <c r="N7" s="114" t="s">
        <v>35</v>
      </c>
      <c r="O7" s="114" t="s">
        <v>35</v>
      </c>
      <c r="P7" s="114" t="s">
        <v>35</v>
      </c>
      <c r="Q7" s="114" t="s">
        <v>35</v>
      </c>
      <c r="R7" s="114" t="s">
        <v>37</v>
      </c>
      <c r="S7" s="115" t="s">
        <v>3416</v>
      </c>
      <c r="T7" s="124" t="s">
        <v>3417</v>
      </c>
      <c r="U7" s="124" t="s">
        <v>3418</v>
      </c>
      <c r="V7" s="116">
        <f t="shared" si="2"/>
        <v>0</v>
      </c>
      <c r="W7" s="116">
        <f t="shared" ref="W7:X7" si="12">IF(lenb(SUBSTITUTE($Z7,W$1&amp;" (1)",""))&lt;lenb($Z7),1,IF(lenb(SUBSTITUTE($Z7,W$1&amp;" (2)",""))&lt;lenb($Z7),2,IF(lenb(SUBSTITUTE($Z7,W$1&amp;" (3)",""))&lt;lenb($Z7),3,IF(lenb(SUBSTITUTE($Z7,W$1&amp;" (4)",""))&lt;lenb($Z7),4,IF(lenb(SUBSTITUTE($Z7,W$1&amp;" (5)",""))&lt;lenb($Z7),5,IF(lenb(SUBSTITUTE($Z7,W$1&amp;" (6)",""))&lt;lenb($Z7),6,IF(lenb(SUBSTITUTE($Z7,W$1&amp;" (7)",""))&lt;lenb($Z7),1,IF(lenb(SUBSTITUTE($Z7,W$1&amp;" (8)",""))&lt;lenb($Z7),8,IF(lenb(SUBSTITUTE($Z7,W$1&amp;" (9)",""))&lt;lenb($Z7),9,IF(lenb(SUBSTITUTE($Z7,W$1&amp;" (10)",""))&lt;lenb($Z7),10,IF(lenb(SUBSTITUTE($Z7,W$1,""))&lt;lenb($Z7),"ERROR",IF($Z7=$Y$1,"-",0))))))))))))</f>
        <v>2</v>
      </c>
      <c r="X7" s="116">
        <f t="shared" si="12"/>
        <v>0</v>
      </c>
      <c r="Y7" s="116" t="str">
        <f t="shared" si="4"/>
        <v>-</v>
      </c>
      <c r="Z7" s="115" t="s">
        <v>3419</v>
      </c>
      <c r="AA7" s="54">
        <f t="shared" si="5"/>
        <v>2</v>
      </c>
      <c r="AB7" s="54">
        <f>COUNTIFS(Links!B:B,"FSE",Links!C:C,A7,Links!AD:AD,1)</f>
        <v>1</v>
      </c>
      <c r="AC7" s="117" t="s">
        <v>35</v>
      </c>
      <c r="AD7" s="118" t="s">
        <v>35</v>
      </c>
      <c r="AE7" s="115" t="s">
        <v>36</v>
      </c>
      <c r="AF7" s="57" t="s">
        <v>42</v>
      </c>
      <c r="AG7" s="57" t="s">
        <v>42</v>
      </c>
      <c r="AH7" s="57" t="s">
        <v>42</v>
      </c>
      <c r="AI7" s="116" t="str">
        <f t="shared" si="6"/>
        <v>----</v>
      </c>
      <c r="AJ7" s="119" t="str">
        <f t="shared" si="7"/>
        <v>Paper has link but no statement</v>
      </c>
      <c r="AK7" s="120" t="s">
        <v>3401</v>
      </c>
      <c r="AL7" s="121" t="s">
        <v>3402</v>
      </c>
      <c r="AM7" s="60" t="str">
        <f t="shared" si="8"/>
        <v>[FP0785]</v>
      </c>
    </row>
    <row r="8" ht="67.5" customHeight="1">
      <c r="A8" s="61">
        <v>786.0</v>
      </c>
      <c r="B8" s="22" t="s">
        <v>3420</v>
      </c>
      <c r="C8" s="23">
        <v>2014.0</v>
      </c>
      <c r="D8" s="100" t="s">
        <v>35</v>
      </c>
      <c r="E8" s="25" t="s">
        <v>36</v>
      </c>
      <c r="F8" s="25" t="s">
        <v>36</v>
      </c>
      <c r="G8" s="25" t="s">
        <v>36</v>
      </c>
      <c r="H8" s="25" t="s">
        <v>36</v>
      </c>
      <c r="I8" s="25" t="s">
        <v>36</v>
      </c>
      <c r="J8" s="101" t="s">
        <v>36</v>
      </c>
      <c r="K8" s="102" t="s">
        <v>37</v>
      </c>
      <c r="L8" s="103" t="s">
        <v>35</v>
      </c>
      <c r="M8" s="103" t="s">
        <v>35</v>
      </c>
      <c r="N8" s="103" t="s">
        <v>35</v>
      </c>
      <c r="O8" s="103" t="s">
        <v>37</v>
      </c>
      <c r="P8" s="103" t="s">
        <v>35</v>
      </c>
      <c r="Q8" s="103" t="s">
        <v>35</v>
      </c>
      <c r="R8" s="103" t="s">
        <v>35</v>
      </c>
      <c r="S8" s="104" t="s">
        <v>3421</v>
      </c>
      <c r="T8" s="30" t="s">
        <v>3422</v>
      </c>
      <c r="U8" s="30" t="s">
        <v>3422</v>
      </c>
      <c r="V8" s="105">
        <f t="shared" si="2"/>
        <v>0</v>
      </c>
      <c r="W8" s="105">
        <f t="shared" ref="W8:X8" si="13">IF(lenb(SUBSTITUTE($Z8,W$1&amp;" (1)",""))&lt;lenb($Z8),1,IF(lenb(SUBSTITUTE($Z8,W$1&amp;" (2)",""))&lt;lenb($Z8),2,IF(lenb(SUBSTITUTE($Z8,W$1&amp;" (3)",""))&lt;lenb($Z8),3,IF(lenb(SUBSTITUTE($Z8,W$1&amp;" (4)",""))&lt;lenb($Z8),4,IF(lenb(SUBSTITUTE($Z8,W$1&amp;" (5)",""))&lt;lenb($Z8),5,IF(lenb(SUBSTITUTE($Z8,W$1&amp;" (6)",""))&lt;lenb($Z8),6,IF(lenb(SUBSTITUTE($Z8,W$1&amp;" (7)",""))&lt;lenb($Z8),1,IF(lenb(SUBSTITUTE($Z8,W$1&amp;" (8)",""))&lt;lenb($Z8),8,IF(lenb(SUBSTITUTE($Z8,W$1&amp;" (9)",""))&lt;lenb($Z8),9,IF(lenb(SUBSTITUTE($Z8,W$1&amp;" (10)",""))&lt;lenb($Z8),10,IF(lenb(SUBSTITUTE($Z8,W$1,""))&lt;lenb($Z8),"ERROR",IF($Z8=$Y$1,"-",0))))))))))))</f>
        <v>1</v>
      </c>
      <c r="X8" s="105">
        <f t="shared" si="13"/>
        <v>0</v>
      </c>
      <c r="Y8" s="105" t="str">
        <f t="shared" si="4"/>
        <v>-</v>
      </c>
      <c r="Z8" s="104" t="s">
        <v>3423</v>
      </c>
      <c r="AA8" s="34">
        <f t="shared" si="5"/>
        <v>1</v>
      </c>
      <c r="AB8" s="34">
        <f>COUNTIFS(Links!B:B,"FSE",Links!C:C,A8,Links!AD:AD,1)</f>
        <v>0</v>
      </c>
      <c r="AC8" s="106" t="s">
        <v>35</v>
      </c>
      <c r="AD8" s="107" t="s">
        <v>35</v>
      </c>
      <c r="AE8" s="104" t="s">
        <v>36</v>
      </c>
      <c r="AF8" s="37" t="s">
        <v>42</v>
      </c>
      <c r="AG8" s="37" t="s">
        <v>42</v>
      </c>
      <c r="AH8" s="37" t="s">
        <v>42</v>
      </c>
      <c r="AI8" s="105" t="str">
        <f t="shared" si="6"/>
        <v>----</v>
      </c>
      <c r="AJ8" s="108" t="str">
        <f t="shared" si="7"/>
        <v>Paper has link but no statement</v>
      </c>
      <c r="AK8" s="109" t="s">
        <v>3401</v>
      </c>
      <c r="AL8" s="110" t="s">
        <v>3402</v>
      </c>
      <c r="AM8" s="40" t="str">
        <f t="shared" si="8"/>
        <v>[FP0786]</v>
      </c>
    </row>
    <row r="9" ht="67.5" customHeight="1">
      <c r="A9" s="41">
        <v>787.0</v>
      </c>
      <c r="B9" s="42" t="s">
        <v>3424</v>
      </c>
      <c r="C9" s="43">
        <v>2014.0</v>
      </c>
      <c r="D9" s="111" t="s">
        <v>35</v>
      </c>
      <c r="E9" s="45" t="s">
        <v>36</v>
      </c>
      <c r="F9" s="45" t="s">
        <v>36</v>
      </c>
      <c r="G9" s="45" t="s">
        <v>36</v>
      </c>
      <c r="H9" s="45" t="s">
        <v>36</v>
      </c>
      <c r="I9" s="45" t="s">
        <v>36</v>
      </c>
      <c r="J9" s="112" t="s">
        <v>36</v>
      </c>
      <c r="K9" s="113" t="s">
        <v>35</v>
      </c>
      <c r="L9" s="114" t="s">
        <v>36</v>
      </c>
      <c r="M9" s="114" t="s">
        <v>36</v>
      </c>
      <c r="N9" s="114" t="s">
        <v>36</v>
      </c>
      <c r="O9" s="114" t="s">
        <v>36</v>
      </c>
      <c r="P9" s="114" t="s">
        <v>36</v>
      </c>
      <c r="Q9" s="114" t="s">
        <v>36</v>
      </c>
      <c r="R9" s="114" t="s">
        <v>36</v>
      </c>
      <c r="S9" s="115" t="s">
        <v>42</v>
      </c>
      <c r="T9" s="50" t="s">
        <v>36</v>
      </c>
      <c r="U9" s="50" t="s">
        <v>36</v>
      </c>
      <c r="V9" s="116" t="str">
        <f t="shared" si="2"/>
        <v>-</v>
      </c>
      <c r="W9" s="116" t="str">
        <f t="shared" ref="W9:X9" si="14">IF(lenb(SUBSTITUTE($Z9,W$1&amp;" (1)",""))&lt;lenb($Z9),1,IF(lenb(SUBSTITUTE($Z9,W$1&amp;" (2)",""))&lt;lenb($Z9),2,IF(lenb(SUBSTITUTE($Z9,W$1&amp;" (3)",""))&lt;lenb($Z9),3,IF(lenb(SUBSTITUTE($Z9,W$1&amp;" (4)",""))&lt;lenb($Z9),4,IF(lenb(SUBSTITUTE($Z9,W$1&amp;" (5)",""))&lt;lenb($Z9),5,IF(lenb(SUBSTITUTE($Z9,W$1&amp;" (6)",""))&lt;lenb($Z9),6,IF(lenb(SUBSTITUTE($Z9,W$1&amp;" (7)",""))&lt;lenb($Z9),1,IF(lenb(SUBSTITUTE($Z9,W$1&amp;" (8)",""))&lt;lenb($Z9),8,IF(lenb(SUBSTITUTE($Z9,W$1&amp;" (9)",""))&lt;lenb($Z9),9,IF(lenb(SUBSTITUTE($Z9,W$1&amp;" (10)",""))&lt;lenb($Z9),10,IF(lenb(SUBSTITUTE($Z9,W$1,""))&lt;lenb($Z9),"ERROR",IF($Z9=$Y$1,"-",0))))))))))))</f>
        <v>-</v>
      </c>
      <c r="X9" s="116" t="str">
        <f t="shared" si="14"/>
        <v>-</v>
      </c>
      <c r="Y9" s="116">
        <f t="shared" si="4"/>
        <v>1</v>
      </c>
      <c r="Z9" s="115" t="s">
        <v>23</v>
      </c>
      <c r="AA9" s="54">
        <f t="shared" si="5"/>
        <v>0</v>
      </c>
      <c r="AB9" s="54">
        <f>COUNTIFS(Links!B:B,"FSE",Links!C:C,A9,Links!AD:AD,1)</f>
        <v>0</v>
      </c>
      <c r="AC9" s="117" t="s">
        <v>36</v>
      </c>
      <c r="AD9" s="118" t="s">
        <v>35</v>
      </c>
      <c r="AE9" s="115" t="s">
        <v>36</v>
      </c>
      <c r="AF9" s="57" t="s">
        <v>42</v>
      </c>
      <c r="AG9" s="57" t="s">
        <v>42</v>
      </c>
      <c r="AH9" s="57" t="s">
        <v>42</v>
      </c>
      <c r="AI9" s="116" t="str">
        <f t="shared" si="6"/>
        <v>----</v>
      </c>
      <c r="AJ9" s="119" t="str">
        <f t="shared" si="7"/>
        <v>Paper has no link and no statement</v>
      </c>
      <c r="AK9" s="120" t="s">
        <v>3401</v>
      </c>
      <c r="AL9" s="121" t="s">
        <v>3402</v>
      </c>
      <c r="AM9" s="60" t="str">
        <f t="shared" si="8"/>
        <v>[FP0787]</v>
      </c>
    </row>
    <row r="10" ht="67.5" customHeight="1">
      <c r="A10" s="61">
        <v>788.0</v>
      </c>
      <c r="B10" s="22" t="s">
        <v>3425</v>
      </c>
      <c r="C10" s="23">
        <v>2014.0</v>
      </c>
      <c r="D10" s="100" t="s">
        <v>35</v>
      </c>
      <c r="E10" s="25" t="s">
        <v>36</v>
      </c>
      <c r="F10" s="25" t="s">
        <v>36</v>
      </c>
      <c r="G10" s="25" t="s">
        <v>36</v>
      </c>
      <c r="H10" s="25" t="s">
        <v>36</v>
      </c>
      <c r="I10" s="25" t="s">
        <v>36</v>
      </c>
      <c r="J10" s="101" t="s">
        <v>36</v>
      </c>
      <c r="K10" s="102" t="s">
        <v>37</v>
      </c>
      <c r="L10" s="103" t="s">
        <v>37</v>
      </c>
      <c r="M10" s="103" t="s">
        <v>35</v>
      </c>
      <c r="N10" s="103" t="s">
        <v>35</v>
      </c>
      <c r="O10" s="103" t="s">
        <v>35</v>
      </c>
      <c r="P10" s="103" t="s">
        <v>35</v>
      </c>
      <c r="Q10" s="103" t="s">
        <v>35</v>
      </c>
      <c r="R10" s="103" t="s">
        <v>37</v>
      </c>
      <c r="S10" s="104" t="s">
        <v>3426</v>
      </c>
      <c r="T10" s="30" t="s">
        <v>3427</v>
      </c>
      <c r="U10" s="30" t="s">
        <v>3427</v>
      </c>
      <c r="V10" s="105">
        <f t="shared" si="2"/>
        <v>1</v>
      </c>
      <c r="W10" s="105">
        <f t="shared" ref="W10:X10" si="15">IF(lenb(SUBSTITUTE($Z10,W$1&amp;" (1)",""))&lt;lenb($Z10),1,IF(lenb(SUBSTITUTE($Z10,W$1&amp;" (2)",""))&lt;lenb($Z10),2,IF(lenb(SUBSTITUTE($Z10,W$1&amp;" (3)",""))&lt;lenb($Z10),3,IF(lenb(SUBSTITUTE($Z10,W$1&amp;" (4)",""))&lt;lenb($Z10),4,IF(lenb(SUBSTITUTE($Z10,W$1&amp;" (5)",""))&lt;lenb($Z10),5,IF(lenb(SUBSTITUTE($Z10,W$1&amp;" (6)",""))&lt;lenb($Z10),6,IF(lenb(SUBSTITUTE($Z10,W$1&amp;" (7)",""))&lt;lenb($Z10),1,IF(lenb(SUBSTITUTE($Z10,W$1&amp;" (8)",""))&lt;lenb($Z10),8,IF(lenb(SUBSTITUTE($Z10,W$1&amp;" (9)",""))&lt;lenb($Z10),9,IF(lenb(SUBSTITUTE($Z10,W$1&amp;" (10)",""))&lt;lenb($Z10),10,IF(lenb(SUBSTITUTE($Z10,W$1,""))&lt;lenb($Z10),"ERROR",IF($Z10=$Y$1,"-",0))))))))))))</f>
        <v>0</v>
      </c>
      <c r="X10" s="105">
        <f t="shared" si="15"/>
        <v>0</v>
      </c>
      <c r="Y10" s="105" t="str">
        <f t="shared" si="4"/>
        <v>-</v>
      </c>
      <c r="Z10" s="104" t="s">
        <v>3400</v>
      </c>
      <c r="AA10" s="34">
        <f t="shared" si="5"/>
        <v>1</v>
      </c>
      <c r="AB10" s="34">
        <f>COUNTIFS(Links!B:B,"FSE",Links!C:C,A10,Links!AD:AD,1)</f>
        <v>0</v>
      </c>
      <c r="AC10" s="106" t="s">
        <v>35</v>
      </c>
      <c r="AD10" s="107" t="s">
        <v>35</v>
      </c>
      <c r="AE10" s="104" t="s">
        <v>36</v>
      </c>
      <c r="AF10" s="37" t="s">
        <v>42</v>
      </c>
      <c r="AG10" s="37" t="s">
        <v>42</v>
      </c>
      <c r="AH10" s="37" t="s">
        <v>42</v>
      </c>
      <c r="AI10" s="105" t="str">
        <f t="shared" si="6"/>
        <v>----</v>
      </c>
      <c r="AJ10" s="108" t="str">
        <f t="shared" si="7"/>
        <v>Paper has link but no statement</v>
      </c>
      <c r="AK10" s="109" t="s">
        <v>3401</v>
      </c>
      <c r="AL10" s="110" t="s">
        <v>3402</v>
      </c>
      <c r="AM10" s="40" t="str">
        <f t="shared" si="8"/>
        <v>[FP0788]</v>
      </c>
    </row>
    <row r="11" ht="67.5" customHeight="1">
      <c r="A11" s="41">
        <v>789.0</v>
      </c>
      <c r="B11" s="42" t="s">
        <v>3428</v>
      </c>
      <c r="C11" s="43">
        <v>2014.0</v>
      </c>
      <c r="D11" s="111" t="s">
        <v>35</v>
      </c>
      <c r="E11" s="45" t="s">
        <v>36</v>
      </c>
      <c r="F11" s="45" t="s">
        <v>36</v>
      </c>
      <c r="G11" s="45" t="s">
        <v>36</v>
      </c>
      <c r="H11" s="45" t="s">
        <v>36</v>
      </c>
      <c r="I11" s="45" t="s">
        <v>36</v>
      </c>
      <c r="J11" s="112" t="s">
        <v>36</v>
      </c>
      <c r="K11" s="113" t="s">
        <v>37</v>
      </c>
      <c r="L11" s="114" t="s">
        <v>37</v>
      </c>
      <c r="M11" s="114" t="s">
        <v>35</v>
      </c>
      <c r="N11" s="114" t="s">
        <v>35</v>
      </c>
      <c r="O11" s="114" t="s">
        <v>37</v>
      </c>
      <c r="P11" s="114" t="s">
        <v>35</v>
      </c>
      <c r="Q11" s="114" t="s">
        <v>35</v>
      </c>
      <c r="R11" s="114" t="s">
        <v>35</v>
      </c>
      <c r="S11" s="115" t="s">
        <v>3429</v>
      </c>
      <c r="T11" s="50" t="s">
        <v>3430</v>
      </c>
      <c r="U11" s="50" t="s">
        <v>3430</v>
      </c>
      <c r="V11" s="116">
        <f t="shared" si="2"/>
        <v>1</v>
      </c>
      <c r="W11" s="116">
        <f t="shared" ref="W11:X11" si="16">IF(lenb(SUBSTITUTE($Z11,W$1&amp;" (1)",""))&lt;lenb($Z11),1,IF(lenb(SUBSTITUTE($Z11,W$1&amp;" (2)",""))&lt;lenb($Z11),2,IF(lenb(SUBSTITUTE($Z11,W$1&amp;" (3)",""))&lt;lenb($Z11),3,IF(lenb(SUBSTITUTE($Z11,W$1&amp;" (4)",""))&lt;lenb($Z11),4,IF(lenb(SUBSTITUTE($Z11,W$1&amp;" (5)",""))&lt;lenb($Z11),5,IF(lenb(SUBSTITUTE($Z11,W$1&amp;" (6)",""))&lt;lenb($Z11),6,IF(lenb(SUBSTITUTE($Z11,W$1&amp;" (7)",""))&lt;lenb($Z11),1,IF(lenb(SUBSTITUTE($Z11,W$1&amp;" (8)",""))&lt;lenb($Z11),8,IF(lenb(SUBSTITUTE($Z11,W$1&amp;" (9)",""))&lt;lenb($Z11),9,IF(lenb(SUBSTITUTE($Z11,W$1&amp;" (10)",""))&lt;lenb($Z11),10,IF(lenb(SUBSTITUTE($Z11,W$1,""))&lt;lenb($Z11),"ERROR",IF($Z11=$Y$1,"-",0))))))))))))</f>
        <v>0</v>
      </c>
      <c r="X11" s="116">
        <f t="shared" si="16"/>
        <v>0</v>
      </c>
      <c r="Y11" s="116" t="str">
        <f t="shared" si="4"/>
        <v>-</v>
      </c>
      <c r="Z11" s="115" t="s">
        <v>3400</v>
      </c>
      <c r="AA11" s="54">
        <f t="shared" si="5"/>
        <v>1</v>
      </c>
      <c r="AB11" s="54">
        <f>COUNTIFS(Links!B:B,"FSE",Links!C:C,A11,Links!AD:AD,1)</f>
        <v>1</v>
      </c>
      <c r="AC11" s="117" t="s">
        <v>35</v>
      </c>
      <c r="AD11" s="118" t="s">
        <v>35</v>
      </c>
      <c r="AE11" s="115" t="s">
        <v>36</v>
      </c>
      <c r="AF11" s="57" t="s">
        <v>42</v>
      </c>
      <c r="AG11" s="57" t="s">
        <v>42</v>
      </c>
      <c r="AH11" s="57" t="s">
        <v>42</v>
      </c>
      <c r="AI11" s="116" t="str">
        <f t="shared" si="6"/>
        <v>----</v>
      </c>
      <c r="AJ11" s="119" t="str">
        <f t="shared" si="7"/>
        <v>Paper has link but no statement</v>
      </c>
      <c r="AK11" s="120" t="s">
        <v>3401</v>
      </c>
      <c r="AL11" s="121" t="s">
        <v>3402</v>
      </c>
      <c r="AM11" s="60" t="str">
        <f t="shared" si="8"/>
        <v>[FP0789]</v>
      </c>
    </row>
    <row r="12" ht="67.5" customHeight="1">
      <c r="A12" s="61">
        <v>790.0</v>
      </c>
      <c r="B12" s="22" t="s">
        <v>3431</v>
      </c>
      <c r="C12" s="23">
        <v>2014.0</v>
      </c>
      <c r="D12" s="125" t="s">
        <v>37</v>
      </c>
      <c r="E12" s="25" t="s">
        <v>36</v>
      </c>
      <c r="F12" s="25" t="s">
        <v>36</v>
      </c>
      <c r="G12" s="25" t="s">
        <v>36</v>
      </c>
      <c r="H12" s="25" t="s">
        <v>36</v>
      </c>
      <c r="I12" s="25" t="s">
        <v>36</v>
      </c>
      <c r="J12" s="101" t="s">
        <v>3409</v>
      </c>
      <c r="K12" s="102" t="s">
        <v>37</v>
      </c>
      <c r="L12" s="103" t="s">
        <v>37</v>
      </c>
      <c r="M12" s="103" t="s">
        <v>35</v>
      </c>
      <c r="N12" s="103" t="s">
        <v>37</v>
      </c>
      <c r="O12" s="103" t="s">
        <v>35</v>
      </c>
      <c r="P12" s="103" t="s">
        <v>35</v>
      </c>
      <c r="Q12" s="103" t="s">
        <v>35</v>
      </c>
      <c r="R12" s="103" t="s">
        <v>35</v>
      </c>
      <c r="S12" s="104" t="s">
        <v>84</v>
      </c>
      <c r="T12" s="30" t="s">
        <v>3432</v>
      </c>
      <c r="U12" s="30" t="s">
        <v>3432</v>
      </c>
      <c r="V12" s="105">
        <f t="shared" si="2"/>
        <v>1</v>
      </c>
      <c r="W12" s="105">
        <f t="shared" ref="W12:X12" si="17">IF(lenb(SUBSTITUTE($Z12,W$1&amp;" (1)",""))&lt;lenb($Z12),1,IF(lenb(SUBSTITUTE($Z12,W$1&amp;" (2)",""))&lt;lenb($Z12),2,IF(lenb(SUBSTITUTE($Z12,W$1&amp;" (3)",""))&lt;lenb($Z12),3,IF(lenb(SUBSTITUTE($Z12,W$1&amp;" (4)",""))&lt;lenb($Z12),4,IF(lenb(SUBSTITUTE($Z12,W$1&amp;" (5)",""))&lt;lenb($Z12),5,IF(lenb(SUBSTITUTE($Z12,W$1&amp;" (6)",""))&lt;lenb($Z12),6,IF(lenb(SUBSTITUTE($Z12,W$1&amp;" (7)",""))&lt;lenb($Z12),1,IF(lenb(SUBSTITUTE($Z12,W$1&amp;" (8)",""))&lt;lenb($Z12),8,IF(lenb(SUBSTITUTE($Z12,W$1&amp;" (9)",""))&lt;lenb($Z12),9,IF(lenb(SUBSTITUTE($Z12,W$1&amp;" (10)",""))&lt;lenb($Z12),10,IF(lenb(SUBSTITUTE($Z12,W$1,""))&lt;lenb($Z12),"ERROR",IF($Z12=$Y$1,"-",0))))))))))))</f>
        <v>0</v>
      </c>
      <c r="X12" s="105">
        <f t="shared" si="17"/>
        <v>0</v>
      </c>
      <c r="Y12" s="105" t="str">
        <f t="shared" si="4"/>
        <v>-</v>
      </c>
      <c r="Z12" s="104" t="s">
        <v>3400</v>
      </c>
      <c r="AA12" s="34">
        <f t="shared" si="5"/>
        <v>1</v>
      </c>
      <c r="AB12" s="34">
        <f>COUNTIFS(Links!B:B,"FSE",Links!C:C,A12,Links!AD:AD,1)</f>
        <v>1</v>
      </c>
      <c r="AC12" s="106" t="s">
        <v>35</v>
      </c>
      <c r="AD12" s="107" t="s">
        <v>35</v>
      </c>
      <c r="AE12" s="104" t="s">
        <v>36</v>
      </c>
      <c r="AF12" s="37" t="s">
        <v>42</v>
      </c>
      <c r="AG12" s="37" t="s">
        <v>42</v>
      </c>
      <c r="AH12" s="37" t="s">
        <v>42</v>
      </c>
      <c r="AI12" s="105" t="str">
        <f t="shared" si="6"/>
        <v>----</v>
      </c>
      <c r="AJ12" s="108" t="str">
        <f t="shared" si="7"/>
        <v>Paper has link but no statement</v>
      </c>
      <c r="AK12" s="109" t="s">
        <v>3401</v>
      </c>
      <c r="AL12" s="110" t="s">
        <v>3402</v>
      </c>
      <c r="AM12" s="40" t="str">
        <f t="shared" si="8"/>
        <v>[FP0790]</v>
      </c>
    </row>
    <row r="13" ht="67.5" customHeight="1">
      <c r="A13" s="41">
        <v>791.0</v>
      </c>
      <c r="B13" s="42" t="s">
        <v>3433</v>
      </c>
      <c r="C13" s="43">
        <v>2014.0</v>
      </c>
      <c r="D13" s="111" t="s">
        <v>35</v>
      </c>
      <c r="E13" s="45" t="s">
        <v>36</v>
      </c>
      <c r="F13" s="45" t="s">
        <v>36</v>
      </c>
      <c r="G13" s="45" t="s">
        <v>36</v>
      </c>
      <c r="H13" s="45" t="s">
        <v>36</v>
      </c>
      <c r="I13" s="45" t="s">
        <v>36</v>
      </c>
      <c r="J13" s="112" t="s">
        <v>36</v>
      </c>
      <c r="K13" s="113" t="s">
        <v>35</v>
      </c>
      <c r="L13" s="114" t="s">
        <v>36</v>
      </c>
      <c r="M13" s="114" t="s">
        <v>36</v>
      </c>
      <c r="N13" s="114" t="s">
        <v>36</v>
      </c>
      <c r="O13" s="114" t="s">
        <v>36</v>
      </c>
      <c r="P13" s="114" t="s">
        <v>36</v>
      </c>
      <c r="Q13" s="114" t="s">
        <v>36</v>
      </c>
      <c r="R13" s="114" t="s">
        <v>36</v>
      </c>
      <c r="S13" s="115" t="s">
        <v>42</v>
      </c>
      <c r="T13" s="50" t="s">
        <v>36</v>
      </c>
      <c r="U13" s="50" t="s">
        <v>36</v>
      </c>
      <c r="V13" s="116" t="str">
        <f t="shared" si="2"/>
        <v>-</v>
      </c>
      <c r="W13" s="116" t="str">
        <f t="shared" ref="W13:X13" si="18">IF(lenb(SUBSTITUTE($Z13,W$1&amp;" (1)",""))&lt;lenb($Z13),1,IF(lenb(SUBSTITUTE($Z13,W$1&amp;" (2)",""))&lt;lenb($Z13),2,IF(lenb(SUBSTITUTE($Z13,W$1&amp;" (3)",""))&lt;lenb($Z13),3,IF(lenb(SUBSTITUTE($Z13,W$1&amp;" (4)",""))&lt;lenb($Z13),4,IF(lenb(SUBSTITUTE($Z13,W$1&amp;" (5)",""))&lt;lenb($Z13),5,IF(lenb(SUBSTITUTE($Z13,W$1&amp;" (6)",""))&lt;lenb($Z13),6,IF(lenb(SUBSTITUTE($Z13,W$1&amp;" (7)",""))&lt;lenb($Z13),1,IF(lenb(SUBSTITUTE($Z13,W$1&amp;" (8)",""))&lt;lenb($Z13),8,IF(lenb(SUBSTITUTE($Z13,W$1&amp;" (9)",""))&lt;lenb($Z13),9,IF(lenb(SUBSTITUTE($Z13,W$1&amp;" (10)",""))&lt;lenb($Z13),10,IF(lenb(SUBSTITUTE($Z13,W$1,""))&lt;lenb($Z13),"ERROR",IF($Z13=$Y$1,"-",0))))))))))))</f>
        <v>-</v>
      </c>
      <c r="X13" s="116" t="str">
        <f t="shared" si="18"/>
        <v>-</v>
      </c>
      <c r="Y13" s="116">
        <f t="shared" si="4"/>
        <v>1</v>
      </c>
      <c r="Z13" s="115" t="s">
        <v>23</v>
      </c>
      <c r="AA13" s="54">
        <f t="shared" si="5"/>
        <v>0</v>
      </c>
      <c r="AB13" s="54">
        <f>COUNTIFS(Links!B:B,"FSE",Links!C:C,A13,Links!AD:AD,1)</f>
        <v>0</v>
      </c>
      <c r="AC13" s="117" t="s">
        <v>36</v>
      </c>
      <c r="AD13" s="118" t="s">
        <v>35</v>
      </c>
      <c r="AE13" s="115" t="s">
        <v>36</v>
      </c>
      <c r="AF13" s="57" t="s">
        <v>42</v>
      </c>
      <c r="AG13" s="57" t="s">
        <v>42</v>
      </c>
      <c r="AH13" s="57" t="s">
        <v>42</v>
      </c>
      <c r="AI13" s="116" t="str">
        <f t="shared" si="6"/>
        <v>----</v>
      </c>
      <c r="AJ13" s="119" t="str">
        <f t="shared" si="7"/>
        <v>Paper has no link and no statement</v>
      </c>
      <c r="AK13" s="120" t="s">
        <v>3401</v>
      </c>
      <c r="AL13" s="121" t="s">
        <v>3402</v>
      </c>
      <c r="AM13" s="60" t="str">
        <f t="shared" si="8"/>
        <v>[FP0791]</v>
      </c>
    </row>
    <row r="14" ht="67.5" customHeight="1">
      <c r="A14" s="61">
        <v>792.0</v>
      </c>
      <c r="B14" s="22" t="s">
        <v>3434</v>
      </c>
      <c r="C14" s="23">
        <v>2014.0</v>
      </c>
      <c r="D14" s="100" t="s">
        <v>35</v>
      </c>
      <c r="E14" s="25" t="s">
        <v>36</v>
      </c>
      <c r="F14" s="25" t="s">
        <v>36</v>
      </c>
      <c r="G14" s="25" t="s">
        <v>36</v>
      </c>
      <c r="H14" s="25" t="s">
        <v>36</v>
      </c>
      <c r="I14" s="25" t="s">
        <v>36</v>
      </c>
      <c r="J14" s="101" t="s">
        <v>36</v>
      </c>
      <c r="K14" s="102" t="s">
        <v>37</v>
      </c>
      <c r="L14" s="103" t="s">
        <v>37</v>
      </c>
      <c r="M14" s="103" t="s">
        <v>35</v>
      </c>
      <c r="N14" s="103" t="s">
        <v>35</v>
      </c>
      <c r="O14" s="103" t="s">
        <v>35</v>
      </c>
      <c r="P14" s="103" t="s">
        <v>35</v>
      </c>
      <c r="Q14" s="103" t="s">
        <v>35</v>
      </c>
      <c r="R14" s="103" t="s">
        <v>37</v>
      </c>
      <c r="S14" s="104" t="s">
        <v>42</v>
      </c>
      <c r="T14" s="126" t="s">
        <v>3435</v>
      </c>
      <c r="U14" s="126" t="s">
        <v>3435</v>
      </c>
      <c r="V14" s="105">
        <f t="shared" si="2"/>
        <v>1</v>
      </c>
      <c r="W14" s="105">
        <f t="shared" ref="W14:X14" si="19">IF(lenb(SUBSTITUTE($Z14,W$1&amp;" (1)",""))&lt;lenb($Z14),1,IF(lenb(SUBSTITUTE($Z14,W$1&amp;" (2)",""))&lt;lenb($Z14),2,IF(lenb(SUBSTITUTE($Z14,W$1&amp;" (3)",""))&lt;lenb($Z14),3,IF(lenb(SUBSTITUTE($Z14,W$1&amp;" (4)",""))&lt;lenb($Z14),4,IF(lenb(SUBSTITUTE($Z14,W$1&amp;" (5)",""))&lt;lenb($Z14),5,IF(lenb(SUBSTITUTE($Z14,W$1&amp;" (6)",""))&lt;lenb($Z14),6,IF(lenb(SUBSTITUTE($Z14,W$1&amp;" (7)",""))&lt;lenb($Z14),1,IF(lenb(SUBSTITUTE($Z14,W$1&amp;" (8)",""))&lt;lenb($Z14),8,IF(lenb(SUBSTITUTE($Z14,W$1&amp;" (9)",""))&lt;lenb($Z14),9,IF(lenb(SUBSTITUTE($Z14,W$1&amp;" (10)",""))&lt;lenb($Z14),10,IF(lenb(SUBSTITUTE($Z14,W$1,""))&lt;lenb($Z14),"ERROR",IF($Z14=$Y$1,"-",0))))))))))))</f>
        <v>0</v>
      </c>
      <c r="X14" s="105">
        <f t="shared" si="19"/>
        <v>0</v>
      </c>
      <c r="Y14" s="105" t="str">
        <f t="shared" si="4"/>
        <v>-</v>
      </c>
      <c r="Z14" s="104" t="s">
        <v>3400</v>
      </c>
      <c r="AA14" s="34">
        <f t="shared" si="5"/>
        <v>1</v>
      </c>
      <c r="AB14" s="34">
        <f>COUNTIFS(Links!B:B,"FSE",Links!C:C,A14,Links!AD:AD,1)</f>
        <v>0</v>
      </c>
      <c r="AC14" s="106" t="s">
        <v>35</v>
      </c>
      <c r="AD14" s="107" t="s">
        <v>35</v>
      </c>
      <c r="AE14" s="104" t="s">
        <v>36</v>
      </c>
      <c r="AF14" s="37" t="s">
        <v>42</v>
      </c>
      <c r="AG14" s="37" t="s">
        <v>42</v>
      </c>
      <c r="AH14" s="37" t="s">
        <v>42</v>
      </c>
      <c r="AI14" s="105" t="str">
        <f t="shared" si="6"/>
        <v>----</v>
      </c>
      <c r="AJ14" s="108" t="str">
        <f t="shared" si="7"/>
        <v>Paper has link but no statement</v>
      </c>
      <c r="AK14" s="109" t="s">
        <v>3401</v>
      </c>
      <c r="AL14" s="110" t="s">
        <v>3402</v>
      </c>
      <c r="AM14" s="40" t="str">
        <f t="shared" si="8"/>
        <v>[FP0792]</v>
      </c>
    </row>
    <row r="15" ht="67.5" customHeight="1">
      <c r="A15" s="41">
        <v>793.0</v>
      </c>
      <c r="B15" s="42" t="s">
        <v>3436</v>
      </c>
      <c r="C15" s="43">
        <v>2014.0</v>
      </c>
      <c r="D15" s="111" t="s">
        <v>35</v>
      </c>
      <c r="E15" s="45" t="s">
        <v>36</v>
      </c>
      <c r="F15" s="45" t="s">
        <v>36</v>
      </c>
      <c r="G15" s="45" t="s">
        <v>36</v>
      </c>
      <c r="H15" s="45" t="s">
        <v>36</v>
      </c>
      <c r="I15" s="45" t="s">
        <v>36</v>
      </c>
      <c r="J15" s="112" t="s">
        <v>36</v>
      </c>
      <c r="K15" s="113" t="s">
        <v>35</v>
      </c>
      <c r="L15" s="114" t="s">
        <v>36</v>
      </c>
      <c r="M15" s="114" t="s">
        <v>36</v>
      </c>
      <c r="N15" s="114" t="s">
        <v>36</v>
      </c>
      <c r="O15" s="114" t="s">
        <v>36</v>
      </c>
      <c r="P15" s="114" t="s">
        <v>36</v>
      </c>
      <c r="Q15" s="114" t="s">
        <v>36</v>
      </c>
      <c r="R15" s="114" t="s">
        <v>36</v>
      </c>
      <c r="S15" s="115" t="s">
        <v>42</v>
      </c>
      <c r="T15" s="50" t="s">
        <v>36</v>
      </c>
      <c r="U15" s="50" t="s">
        <v>36</v>
      </c>
      <c r="V15" s="116" t="str">
        <f t="shared" si="2"/>
        <v>-</v>
      </c>
      <c r="W15" s="116" t="str">
        <f t="shared" ref="W15:X15" si="20">IF(lenb(SUBSTITUTE($Z15,W$1&amp;" (1)",""))&lt;lenb($Z15),1,IF(lenb(SUBSTITUTE($Z15,W$1&amp;" (2)",""))&lt;lenb($Z15),2,IF(lenb(SUBSTITUTE($Z15,W$1&amp;" (3)",""))&lt;lenb($Z15),3,IF(lenb(SUBSTITUTE($Z15,W$1&amp;" (4)",""))&lt;lenb($Z15),4,IF(lenb(SUBSTITUTE($Z15,W$1&amp;" (5)",""))&lt;lenb($Z15),5,IF(lenb(SUBSTITUTE($Z15,W$1&amp;" (6)",""))&lt;lenb($Z15),6,IF(lenb(SUBSTITUTE($Z15,W$1&amp;" (7)",""))&lt;lenb($Z15),1,IF(lenb(SUBSTITUTE($Z15,W$1&amp;" (8)",""))&lt;lenb($Z15),8,IF(lenb(SUBSTITUTE($Z15,W$1&amp;" (9)",""))&lt;lenb($Z15),9,IF(lenb(SUBSTITUTE($Z15,W$1&amp;" (10)",""))&lt;lenb($Z15),10,IF(lenb(SUBSTITUTE($Z15,W$1,""))&lt;lenb($Z15),"ERROR",IF($Z15=$Y$1,"-",0))))))))))))</f>
        <v>-</v>
      </c>
      <c r="X15" s="116" t="str">
        <f t="shared" si="20"/>
        <v>-</v>
      </c>
      <c r="Y15" s="116">
        <f t="shared" si="4"/>
        <v>1</v>
      </c>
      <c r="Z15" s="115" t="s">
        <v>23</v>
      </c>
      <c r="AA15" s="54">
        <f t="shared" si="5"/>
        <v>0</v>
      </c>
      <c r="AB15" s="54">
        <f>COUNTIFS(Links!B:B,"FSE",Links!C:C,A15,Links!AD:AD,1)</f>
        <v>0</v>
      </c>
      <c r="AC15" s="117" t="s">
        <v>36</v>
      </c>
      <c r="AD15" s="118" t="s">
        <v>35</v>
      </c>
      <c r="AE15" s="115" t="s">
        <v>36</v>
      </c>
      <c r="AF15" s="57" t="s">
        <v>42</v>
      </c>
      <c r="AG15" s="57" t="s">
        <v>42</v>
      </c>
      <c r="AH15" s="57" t="s">
        <v>42</v>
      </c>
      <c r="AI15" s="116" t="str">
        <f t="shared" si="6"/>
        <v>----</v>
      </c>
      <c r="AJ15" s="119" t="str">
        <f t="shared" si="7"/>
        <v>Paper has no link and no statement</v>
      </c>
      <c r="AK15" s="120" t="s">
        <v>3401</v>
      </c>
      <c r="AL15" s="121" t="s">
        <v>3402</v>
      </c>
      <c r="AM15" s="60" t="str">
        <f t="shared" si="8"/>
        <v>[FP0793]</v>
      </c>
    </row>
    <row r="16" ht="67.5" customHeight="1">
      <c r="A16" s="61">
        <v>794.0</v>
      </c>
      <c r="B16" s="22" t="s">
        <v>3437</v>
      </c>
      <c r="C16" s="23">
        <v>2014.0</v>
      </c>
      <c r="D16" s="100" t="s">
        <v>35</v>
      </c>
      <c r="E16" s="25" t="s">
        <v>36</v>
      </c>
      <c r="F16" s="25" t="s">
        <v>36</v>
      </c>
      <c r="G16" s="25" t="s">
        <v>36</v>
      </c>
      <c r="H16" s="25" t="s">
        <v>36</v>
      </c>
      <c r="I16" s="25" t="s">
        <v>36</v>
      </c>
      <c r="J16" s="101" t="s">
        <v>36</v>
      </c>
      <c r="K16" s="102" t="s">
        <v>35</v>
      </c>
      <c r="L16" s="103" t="s">
        <v>36</v>
      </c>
      <c r="M16" s="103" t="s">
        <v>36</v>
      </c>
      <c r="N16" s="103" t="s">
        <v>36</v>
      </c>
      <c r="O16" s="103" t="s">
        <v>36</v>
      </c>
      <c r="P16" s="103" t="s">
        <v>36</v>
      </c>
      <c r="Q16" s="103" t="s">
        <v>36</v>
      </c>
      <c r="R16" s="103" t="s">
        <v>36</v>
      </c>
      <c r="S16" s="104" t="s">
        <v>42</v>
      </c>
      <c r="T16" s="30" t="s">
        <v>36</v>
      </c>
      <c r="U16" s="30" t="s">
        <v>36</v>
      </c>
      <c r="V16" s="105" t="str">
        <f t="shared" si="2"/>
        <v>-</v>
      </c>
      <c r="W16" s="105" t="str">
        <f t="shared" ref="W16:X16" si="21">IF(lenb(SUBSTITUTE($Z16,W$1&amp;" (1)",""))&lt;lenb($Z16),1,IF(lenb(SUBSTITUTE($Z16,W$1&amp;" (2)",""))&lt;lenb($Z16),2,IF(lenb(SUBSTITUTE($Z16,W$1&amp;" (3)",""))&lt;lenb($Z16),3,IF(lenb(SUBSTITUTE($Z16,W$1&amp;" (4)",""))&lt;lenb($Z16),4,IF(lenb(SUBSTITUTE($Z16,W$1&amp;" (5)",""))&lt;lenb($Z16),5,IF(lenb(SUBSTITUTE($Z16,W$1&amp;" (6)",""))&lt;lenb($Z16),6,IF(lenb(SUBSTITUTE($Z16,W$1&amp;" (7)",""))&lt;lenb($Z16),1,IF(lenb(SUBSTITUTE($Z16,W$1&amp;" (8)",""))&lt;lenb($Z16),8,IF(lenb(SUBSTITUTE($Z16,W$1&amp;" (9)",""))&lt;lenb($Z16),9,IF(lenb(SUBSTITUTE($Z16,W$1&amp;" (10)",""))&lt;lenb($Z16),10,IF(lenb(SUBSTITUTE($Z16,W$1,""))&lt;lenb($Z16),"ERROR",IF($Z16=$Y$1,"-",0))))))))))))</f>
        <v>-</v>
      </c>
      <c r="X16" s="105" t="str">
        <f t="shared" si="21"/>
        <v>-</v>
      </c>
      <c r="Y16" s="105">
        <f t="shared" si="4"/>
        <v>1</v>
      </c>
      <c r="Z16" s="104" t="s">
        <v>23</v>
      </c>
      <c r="AA16" s="34">
        <f t="shared" si="5"/>
        <v>0</v>
      </c>
      <c r="AB16" s="34">
        <f>COUNTIFS(Links!B:B,"FSE",Links!C:C,A16,Links!AD:AD,1)</f>
        <v>0</v>
      </c>
      <c r="AC16" s="106" t="s">
        <v>36</v>
      </c>
      <c r="AD16" s="107" t="s">
        <v>35</v>
      </c>
      <c r="AE16" s="104" t="s">
        <v>36</v>
      </c>
      <c r="AF16" s="37" t="s">
        <v>42</v>
      </c>
      <c r="AG16" s="37" t="s">
        <v>42</v>
      </c>
      <c r="AH16" s="37" t="s">
        <v>42</v>
      </c>
      <c r="AI16" s="105" t="str">
        <f t="shared" si="6"/>
        <v>----</v>
      </c>
      <c r="AJ16" s="108" t="str">
        <f t="shared" si="7"/>
        <v>Paper has no link and no statement</v>
      </c>
      <c r="AK16" s="109" t="s">
        <v>3401</v>
      </c>
      <c r="AL16" s="110" t="s">
        <v>3402</v>
      </c>
      <c r="AM16" s="40" t="str">
        <f t="shared" si="8"/>
        <v>[FP0794]</v>
      </c>
    </row>
    <row r="17" ht="67.5" customHeight="1">
      <c r="A17" s="41">
        <v>795.0</v>
      </c>
      <c r="B17" s="42" t="s">
        <v>3438</v>
      </c>
      <c r="C17" s="43">
        <v>2014.0</v>
      </c>
      <c r="D17" s="111" t="s">
        <v>35</v>
      </c>
      <c r="E17" s="45" t="s">
        <v>36</v>
      </c>
      <c r="F17" s="45" t="s">
        <v>36</v>
      </c>
      <c r="G17" s="45" t="s">
        <v>36</v>
      </c>
      <c r="H17" s="45" t="s">
        <v>36</v>
      </c>
      <c r="I17" s="45" t="s">
        <v>36</v>
      </c>
      <c r="J17" s="112" t="s">
        <v>36</v>
      </c>
      <c r="K17" s="113" t="s">
        <v>37</v>
      </c>
      <c r="L17" s="114" t="s">
        <v>35</v>
      </c>
      <c r="M17" s="114" t="s">
        <v>37</v>
      </c>
      <c r="N17" s="114" t="s">
        <v>35</v>
      </c>
      <c r="O17" s="114" t="s">
        <v>35</v>
      </c>
      <c r="P17" s="114" t="s">
        <v>35</v>
      </c>
      <c r="Q17" s="114" t="s">
        <v>35</v>
      </c>
      <c r="R17" s="114" t="s">
        <v>37</v>
      </c>
      <c r="S17" s="115" t="s">
        <v>3439</v>
      </c>
      <c r="T17" s="50" t="s">
        <v>3440</v>
      </c>
      <c r="U17" s="50" t="s">
        <v>3440</v>
      </c>
      <c r="V17" s="116">
        <f t="shared" si="2"/>
        <v>1</v>
      </c>
      <c r="W17" s="116">
        <f t="shared" ref="W17:X17" si="22">IF(lenb(SUBSTITUTE($Z17,W$1&amp;" (1)",""))&lt;lenb($Z17),1,IF(lenb(SUBSTITUTE($Z17,W$1&amp;" (2)",""))&lt;lenb($Z17),2,IF(lenb(SUBSTITUTE($Z17,W$1&amp;" (3)",""))&lt;lenb($Z17),3,IF(lenb(SUBSTITUTE($Z17,W$1&amp;" (4)",""))&lt;lenb($Z17),4,IF(lenb(SUBSTITUTE($Z17,W$1&amp;" (5)",""))&lt;lenb($Z17),5,IF(lenb(SUBSTITUTE($Z17,W$1&amp;" (6)",""))&lt;lenb($Z17),6,IF(lenb(SUBSTITUTE($Z17,W$1&amp;" (7)",""))&lt;lenb($Z17),1,IF(lenb(SUBSTITUTE($Z17,W$1&amp;" (8)",""))&lt;lenb($Z17),8,IF(lenb(SUBSTITUTE($Z17,W$1&amp;" (9)",""))&lt;lenb($Z17),9,IF(lenb(SUBSTITUTE($Z17,W$1&amp;" (10)",""))&lt;lenb($Z17),10,IF(lenb(SUBSTITUTE($Z17,W$1,""))&lt;lenb($Z17),"ERROR",IF($Z17=$Y$1,"-",0))))))))))))</f>
        <v>1</v>
      </c>
      <c r="X17" s="116">
        <f t="shared" si="22"/>
        <v>0</v>
      </c>
      <c r="Y17" s="116" t="str">
        <f t="shared" si="4"/>
        <v>-</v>
      </c>
      <c r="Z17" s="115" t="s">
        <v>3441</v>
      </c>
      <c r="AA17" s="54">
        <f t="shared" si="5"/>
        <v>2</v>
      </c>
      <c r="AB17" s="54">
        <f>COUNTIFS(Links!B:B,"FSE",Links!C:C,A17,Links!AD:AD,1)</f>
        <v>2</v>
      </c>
      <c r="AC17" s="117" t="s">
        <v>35</v>
      </c>
      <c r="AD17" s="118" t="s">
        <v>35</v>
      </c>
      <c r="AE17" s="115" t="s">
        <v>36</v>
      </c>
      <c r="AF17" s="57" t="s">
        <v>42</v>
      </c>
      <c r="AG17" s="57" t="s">
        <v>42</v>
      </c>
      <c r="AH17" s="57" t="s">
        <v>42</v>
      </c>
      <c r="AI17" s="116" t="str">
        <f t="shared" si="6"/>
        <v>----</v>
      </c>
      <c r="AJ17" s="119" t="str">
        <f t="shared" si="7"/>
        <v>Paper has link but no statement</v>
      </c>
      <c r="AK17" s="120" t="s">
        <v>3401</v>
      </c>
      <c r="AL17" s="121" t="s">
        <v>3402</v>
      </c>
      <c r="AM17" s="60" t="str">
        <f t="shared" si="8"/>
        <v>[FP0795]</v>
      </c>
    </row>
    <row r="18" ht="67.5" customHeight="1">
      <c r="A18" s="61">
        <v>796.0</v>
      </c>
      <c r="B18" s="22" t="s">
        <v>3442</v>
      </c>
      <c r="C18" s="23">
        <v>2014.0</v>
      </c>
      <c r="D18" s="100" t="s">
        <v>35</v>
      </c>
      <c r="E18" s="25" t="s">
        <v>36</v>
      </c>
      <c r="F18" s="25" t="s">
        <v>36</v>
      </c>
      <c r="G18" s="25" t="s">
        <v>36</v>
      </c>
      <c r="H18" s="25" t="s">
        <v>36</v>
      </c>
      <c r="I18" s="25" t="s">
        <v>36</v>
      </c>
      <c r="J18" s="101" t="s">
        <v>36</v>
      </c>
      <c r="K18" s="102" t="s">
        <v>37</v>
      </c>
      <c r="L18" s="103" t="s">
        <v>37</v>
      </c>
      <c r="M18" s="103" t="s">
        <v>35</v>
      </c>
      <c r="N18" s="103" t="s">
        <v>35</v>
      </c>
      <c r="O18" s="103" t="s">
        <v>35</v>
      </c>
      <c r="P18" s="103" t="s">
        <v>35</v>
      </c>
      <c r="Q18" s="103" t="s">
        <v>35</v>
      </c>
      <c r="R18" s="103" t="s">
        <v>37</v>
      </c>
      <c r="S18" s="104" t="s">
        <v>3443</v>
      </c>
      <c r="T18" s="30" t="s">
        <v>3444</v>
      </c>
      <c r="U18" s="30" t="s">
        <v>3444</v>
      </c>
      <c r="V18" s="105">
        <f t="shared" si="2"/>
        <v>0</v>
      </c>
      <c r="W18" s="105">
        <f t="shared" ref="W18:X18" si="23">IF(lenb(SUBSTITUTE($Z18,W$1&amp;" (1)",""))&lt;lenb($Z18),1,IF(lenb(SUBSTITUTE($Z18,W$1&amp;" (2)",""))&lt;lenb($Z18),2,IF(lenb(SUBSTITUTE($Z18,W$1&amp;" (3)",""))&lt;lenb($Z18),3,IF(lenb(SUBSTITUTE($Z18,W$1&amp;" (4)",""))&lt;lenb($Z18),4,IF(lenb(SUBSTITUTE($Z18,W$1&amp;" (5)",""))&lt;lenb($Z18),5,IF(lenb(SUBSTITUTE($Z18,W$1&amp;" (6)",""))&lt;lenb($Z18),6,IF(lenb(SUBSTITUTE($Z18,W$1&amp;" (7)",""))&lt;lenb($Z18),1,IF(lenb(SUBSTITUTE($Z18,W$1&amp;" (8)",""))&lt;lenb($Z18),8,IF(lenb(SUBSTITUTE($Z18,W$1&amp;" (9)",""))&lt;lenb($Z18),9,IF(lenb(SUBSTITUTE($Z18,W$1&amp;" (10)",""))&lt;lenb($Z18),10,IF(lenb(SUBSTITUTE($Z18,W$1,""))&lt;lenb($Z18),"ERROR",IF($Z18=$Y$1,"-",0))))))))))))</f>
        <v>1</v>
      </c>
      <c r="X18" s="105">
        <f t="shared" si="23"/>
        <v>0</v>
      </c>
      <c r="Y18" s="105" t="str">
        <f t="shared" si="4"/>
        <v>-</v>
      </c>
      <c r="Z18" s="104" t="s">
        <v>3423</v>
      </c>
      <c r="AA18" s="34">
        <f t="shared" si="5"/>
        <v>1</v>
      </c>
      <c r="AB18" s="34">
        <f>COUNTIFS(Links!B:B,"FSE",Links!C:C,A18,Links!AD:AD,1)</f>
        <v>1</v>
      </c>
      <c r="AC18" s="106" t="s">
        <v>35</v>
      </c>
      <c r="AD18" s="107" t="s">
        <v>35</v>
      </c>
      <c r="AE18" s="104" t="s">
        <v>36</v>
      </c>
      <c r="AF18" s="37" t="s">
        <v>42</v>
      </c>
      <c r="AG18" s="37" t="s">
        <v>42</v>
      </c>
      <c r="AH18" s="37" t="s">
        <v>42</v>
      </c>
      <c r="AI18" s="105" t="str">
        <f t="shared" si="6"/>
        <v>----</v>
      </c>
      <c r="AJ18" s="108" t="str">
        <f t="shared" si="7"/>
        <v>Paper has link but no statement</v>
      </c>
      <c r="AK18" s="109" t="s">
        <v>3401</v>
      </c>
      <c r="AL18" s="110" t="s">
        <v>3402</v>
      </c>
      <c r="AM18" s="40" t="str">
        <f t="shared" si="8"/>
        <v>[FP0796]</v>
      </c>
    </row>
    <row r="19" ht="67.5" customHeight="1">
      <c r="A19" s="41">
        <v>797.0</v>
      </c>
      <c r="B19" s="42" t="s">
        <v>3445</v>
      </c>
      <c r="C19" s="43">
        <v>2014.0</v>
      </c>
      <c r="D19" s="111" t="s">
        <v>35</v>
      </c>
      <c r="E19" s="45" t="s">
        <v>36</v>
      </c>
      <c r="F19" s="45" t="s">
        <v>36</v>
      </c>
      <c r="G19" s="45" t="s">
        <v>36</v>
      </c>
      <c r="H19" s="45" t="s">
        <v>36</v>
      </c>
      <c r="I19" s="45" t="s">
        <v>36</v>
      </c>
      <c r="J19" s="112" t="s">
        <v>36</v>
      </c>
      <c r="K19" s="113" t="s">
        <v>35</v>
      </c>
      <c r="L19" s="114" t="s">
        <v>36</v>
      </c>
      <c r="M19" s="114" t="s">
        <v>36</v>
      </c>
      <c r="N19" s="114" t="s">
        <v>36</v>
      </c>
      <c r="O19" s="114" t="s">
        <v>36</v>
      </c>
      <c r="P19" s="114" t="s">
        <v>36</v>
      </c>
      <c r="Q19" s="114" t="s">
        <v>36</v>
      </c>
      <c r="R19" s="114" t="s">
        <v>36</v>
      </c>
      <c r="S19" s="115" t="s">
        <v>42</v>
      </c>
      <c r="T19" s="50" t="s">
        <v>36</v>
      </c>
      <c r="U19" s="50" t="s">
        <v>36</v>
      </c>
      <c r="V19" s="116" t="str">
        <f t="shared" si="2"/>
        <v>-</v>
      </c>
      <c r="W19" s="116" t="str">
        <f t="shared" ref="W19:X19" si="24">IF(lenb(SUBSTITUTE($Z19,W$1&amp;" (1)",""))&lt;lenb($Z19),1,IF(lenb(SUBSTITUTE($Z19,W$1&amp;" (2)",""))&lt;lenb($Z19),2,IF(lenb(SUBSTITUTE($Z19,W$1&amp;" (3)",""))&lt;lenb($Z19),3,IF(lenb(SUBSTITUTE($Z19,W$1&amp;" (4)",""))&lt;lenb($Z19),4,IF(lenb(SUBSTITUTE($Z19,W$1&amp;" (5)",""))&lt;lenb($Z19),5,IF(lenb(SUBSTITUTE($Z19,W$1&amp;" (6)",""))&lt;lenb($Z19),6,IF(lenb(SUBSTITUTE($Z19,W$1&amp;" (7)",""))&lt;lenb($Z19),1,IF(lenb(SUBSTITUTE($Z19,W$1&amp;" (8)",""))&lt;lenb($Z19),8,IF(lenb(SUBSTITUTE($Z19,W$1&amp;" (9)",""))&lt;lenb($Z19),9,IF(lenb(SUBSTITUTE($Z19,W$1&amp;" (10)",""))&lt;lenb($Z19),10,IF(lenb(SUBSTITUTE($Z19,W$1,""))&lt;lenb($Z19),"ERROR",IF($Z19=$Y$1,"-",0))))))))))))</f>
        <v>-</v>
      </c>
      <c r="X19" s="116" t="str">
        <f t="shared" si="24"/>
        <v>-</v>
      </c>
      <c r="Y19" s="116">
        <f t="shared" si="4"/>
        <v>1</v>
      </c>
      <c r="Z19" s="115" t="s">
        <v>23</v>
      </c>
      <c r="AA19" s="54">
        <f t="shared" si="5"/>
        <v>0</v>
      </c>
      <c r="AB19" s="54">
        <f>COUNTIFS(Links!B:B,"FSE",Links!C:C,A19,Links!AD:AD,1)</f>
        <v>0</v>
      </c>
      <c r="AC19" s="117" t="s">
        <v>36</v>
      </c>
      <c r="AD19" s="118" t="s">
        <v>35</v>
      </c>
      <c r="AE19" s="115" t="s">
        <v>36</v>
      </c>
      <c r="AF19" s="57" t="s">
        <v>42</v>
      </c>
      <c r="AG19" s="57" t="s">
        <v>42</v>
      </c>
      <c r="AH19" s="57" t="s">
        <v>42</v>
      </c>
      <c r="AI19" s="116" t="str">
        <f t="shared" si="6"/>
        <v>----</v>
      </c>
      <c r="AJ19" s="119" t="str">
        <f t="shared" si="7"/>
        <v>Paper has no link and no statement</v>
      </c>
      <c r="AK19" s="120" t="s">
        <v>3401</v>
      </c>
      <c r="AL19" s="121" t="s">
        <v>3402</v>
      </c>
      <c r="AM19" s="60" t="str">
        <f t="shared" si="8"/>
        <v>[FP0797]</v>
      </c>
    </row>
    <row r="20" ht="67.5" customHeight="1">
      <c r="A20" s="61">
        <v>798.0</v>
      </c>
      <c r="B20" s="22" t="s">
        <v>3446</v>
      </c>
      <c r="C20" s="23">
        <v>2014.0</v>
      </c>
      <c r="D20" s="100" t="s">
        <v>35</v>
      </c>
      <c r="E20" s="25" t="s">
        <v>36</v>
      </c>
      <c r="F20" s="25" t="s">
        <v>36</v>
      </c>
      <c r="G20" s="25" t="s">
        <v>36</v>
      </c>
      <c r="H20" s="25" t="s">
        <v>36</v>
      </c>
      <c r="I20" s="25" t="s">
        <v>36</v>
      </c>
      <c r="J20" s="101" t="s">
        <v>36</v>
      </c>
      <c r="K20" s="102" t="s">
        <v>37</v>
      </c>
      <c r="L20" s="103" t="s">
        <v>37</v>
      </c>
      <c r="M20" s="103" t="s">
        <v>35</v>
      </c>
      <c r="N20" s="103" t="s">
        <v>35</v>
      </c>
      <c r="O20" s="103" t="s">
        <v>35</v>
      </c>
      <c r="P20" s="103" t="s">
        <v>35</v>
      </c>
      <c r="Q20" s="103" t="s">
        <v>35</v>
      </c>
      <c r="R20" s="103" t="s">
        <v>37</v>
      </c>
      <c r="S20" s="104" t="s">
        <v>3447</v>
      </c>
      <c r="T20" s="30" t="s">
        <v>3448</v>
      </c>
      <c r="U20" s="30" t="s">
        <v>3448</v>
      </c>
      <c r="V20" s="105">
        <f t="shared" si="2"/>
        <v>0</v>
      </c>
      <c r="W20" s="105">
        <f t="shared" ref="W20:X20" si="25">IF(lenb(SUBSTITUTE($Z20,W$1&amp;" (1)",""))&lt;lenb($Z20),1,IF(lenb(SUBSTITUTE($Z20,W$1&amp;" (2)",""))&lt;lenb($Z20),2,IF(lenb(SUBSTITUTE($Z20,W$1&amp;" (3)",""))&lt;lenb($Z20),3,IF(lenb(SUBSTITUTE($Z20,W$1&amp;" (4)",""))&lt;lenb($Z20),4,IF(lenb(SUBSTITUTE($Z20,W$1&amp;" (5)",""))&lt;lenb($Z20),5,IF(lenb(SUBSTITUTE($Z20,W$1&amp;" (6)",""))&lt;lenb($Z20),6,IF(lenb(SUBSTITUTE($Z20,W$1&amp;" (7)",""))&lt;lenb($Z20),1,IF(lenb(SUBSTITUTE($Z20,W$1&amp;" (8)",""))&lt;lenb($Z20),8,IF(lenb(SUBSTITUTE($Z20,W$1&amp;" (9)",""))&lt;lenb($Z20),9,IF(lenb(SUBSTITUTE($Z20,W$1&amp;" (10)",""))&lt;lenb($Z20),10,IF(lenb(SUBSTITUTE($Z20,W$1,""))&lt;lenb($Z20),"ERROR",IF($Z20=$Y$1,"-",0))))))))))))</f>
        <v>1</v>
      </c>
      <c r="X20" s="105">
        <f t="shared" si="25"/>
        <v>0</v>
      </c>
      <c r="Y20" s="105" t="str">
        <f t="shared" si="4"/>
        <v>-</v>
      </c>
      <c r="Z20" s="104" t="s">
        <v>3423</v>
      </c>
      <c r="AA20" s="34">
        <f t="shared" si="5"/>
        <v>1</v>
      </c>
      <c r="AB20" s="34">
        <f>COUNTIFS(Links!B:B,"FSE",Links!C:C,A20,Links!AD:AD,1)</f>
        <v>1</v>
      </c>
      <c r="AC20" s="106" t="s">
        <v>35</v>
      </c>
      <c r="AD20" s="107" t="s">
        <v>35</v>
      </c>
      <c r="AE20" s="104" t="s">
        <v>36</v>
      </c>
      <c r="AF20" s="37" t="s">
        <v>42</v>
      </c>
      <c r="AG20" s="37" t="s">
        <v>42</v>
      </c>
      <c r="AH20" s="37" t="s">
        <v>42</v>
      </c>
      <c r="AI20" s="105" t="str">
        <f t="shared" si="6"/>
        <v>----</v>
      </c>
      <c r="AJ20" s="108" t="str">
        <f t="shared" si="7"/>
        <v>Paper has link but no statement</v>
      </c>
      <c r="AK20" s="109" t="s">
        <v>3401</v>
      </c>
      <c r="AL20" s="110" t="s">
        <v>3402</v>
      </c>
      <c r="AM20" s="40" t="str">
        <f t="shared" si="8"/>
        <v>[FP0798]</v>
      </c>
    </row>
    <row r="21" ht="67.5" customHeight="1">
      <c r="A21" s="41">
        <v>799.0</v>
      </c>
      <c r="B21" s="42" t="s">
        <v>3449</v>
      </c>
      <c r="C21" s="43">
        <v>2014.0</v>
      </c>
      <c r="D21" s="122" t="s">
        <v>37</v>
      </c>
      <c r="E21" s="45" t="s">
        <v>36</v>
      </c>
      <c r="F21" s="45" t="s">
        <v>36</v>
      </c>
      <c r="G21" s="45" t="s">
        <v>36</v>
      </c>
      <c r="H21" s="45" t="s">
        <v>36</v>
      </c>
      <c r="I21" s="45" t="s">
        <v>36</v>
      </c>
      <c r="J21" s="112" t="s">
        <v>3409</v>
      </c>
      <c r="K21" s="113" t="s">
        <v>37</v>
      </c>
      <c r="L21" s="114" t="s">
        <v>35</v>
      </c>
      <c r="M21" s="114" t="s">
        <v>35</v>
      </c>
      <c r="N21" s="114" t="s">
        <v>35</v>
      </c>
      <c r="O21" s="114" t="s">
        <v>35</v>
      </c>
      <c r="P21" s="114" t="s">
        <v>35</v>
      </c>
      <c r="Q21" s="114" t="s">
        <v>35</v>
      </c>
      <c r="R21" s="114" t="s">
        <v>37</v>
      </c>
      <c r="S21" s="115" t="s">
        <v>3450</v>
      </c>
      <c r="T21" s="50" t="s">
        <v>3451</v>
      </c>
      <c r="U21" s="50" t="s">
        <v>3451</v>
      </c>
      <c r="V21" s="116">
        <f t="shared" si="2"/>
        <v>2</v>
      </c>
      <c r="W21" s="116">
        <f t="shared" ref="W21:X21" si="26">IF(lenb(SUBSTITUTE($Z21,W$1&amp;" (1)",""))&lt;lenb($Z21),1,IF(lenb(SUBSTITUTE($Z21,W$1&amp;" (2)",""))&lt;lenb($Z21),2,IF(lenb(SUBSTITUTE($Z21,W$1&amp;" (3)",""))&lt;lenb($Z21),3,IF(lenb(SUBSTITUTE($Z21,W$1&amp;" (4)",""))&lt;lenb($Z21),4,IF(lenb(SUBSTITUTE($Z21,W$1&amp;" (5)",""))&lt;lenb($Z21),5,IF(lenb(SUBSTITUTE($Z21,W$1&amp;" (6)",""))&lt;lenb($Z21),6,IF(lenb(SUBSTITUTE($Z21,W$1&amp;" (7)",""))&lt;lenb($Z21),1,IF(lenb(SUBSTITUTE($Z21,W$1&amp;" (8)",""))&lt;lenb($Z21),8,IF(lenb(SUBSTITUTE($Z21,W$1&amp;" (9)",""))&lt;lenb($Z21),9,IF(lenb(SUBSTITUTE($Z21,W$1&amp;" (10)",""))&lt;lenb($Z21),10,IF(lenb(SUBSTITUTE($Z21,W$1,""))&lt;lenb($Z21),"ERROR",IF($Z21=$Y$1,"-",0))))))))))))</f>
        <v>0</v>
      </c>
      <c r="X21" s="116">
        <f t="shared" si="26"/>
        <v>0</v>
      </c>
      <c r="Y21" s="116" t="str">
        <f t="shared" si="4"/>
        <v>-</v>
      </c>
      <c r="Z21" s="115" t="s">
        <v>3452</v>
      </c>
      <c r="AA21" s="54">
        <f t="shared" si="5"/>
        <v>2</v>
      </c>
      <c r="AB21" s="54">
        <f>COUNTIFS(Links!B:B,"FSE",Links!C:C,A21,Links!AD:AD,1)</f>
        <v>0</v>
      </c>
      <c r="AC21" s="117" t="s">
        <v>35</v>
      </c>
      <c r="AD21" s="118" t="s">
        <v>35</v>
      </c>
      <c r="AE21" s="115" t="s">
        <v>36</v>
      </c>
      <c r="AF21" s="57" t="s">
        <v>42</v>
      </c>
      <c r="AG21" s="57" t="s">
        <v>42</v>
      </c>
      <c r="AH21" s="57" t="s">
        <v>42</v>
      </c>
      <c r="AI21" s="116" t="str">
        <f t="shared" si="6"/>
        <v>----</v>
      </c>
      <c r="AJ21" s="119" t="str">
        <f t="shared" si="7"/>
        <v>Paper has link but no statement</v>
      </c>
      <c r="AK21" s="120" t="s">
        <v>3401</v>
      </c>
      <c r="AL21" s="121" t="s">
        <v>3402</v>
      </c>
      <c r="AM21" s="60" t="str">
        <f t="shared" si="8"/>
        <v>[FP0799]</v>
      </c>
    </row>
    <row r="22" ht="67.5" customHeight="1">
      <c r="A22" s="61">
        <v>800.0</v>
      </c>
      <c r="B22" s="22" t="s">
        <v>3453</v>
      </c>
      <c r="C22" s="23">
        <v>2014.0</v>
      </c>
      <c r="D22" s="100" t="s">
        <v>35</v>
      </c>
      <c r="E22" s="25" t="s">
        <v>36</v>
      </c>
      <c r="F22" s="25" t="s">
        <v>36</v>
      </c>
      <c r="G22" s="25" t="s">
        <v>36</v>
      </c>
      <c r="H22" s="25" t="s">
        <v>36</v>
      </c>
      <c r="I22" s="25" t="s">
        <v>36</v>
      </c>
      <c r="J22" s="101" t="s">
        <v>36</v>
      </c>
      <c r="K22" s="102" t="s">
        <v>35</v>
      </c>
      <c r="L22" s="103" t="s">
        <v>36</v>
      </c>
      <c r="M22" s="103" t="s">
        <v>36</v>
      </c>
      <c r="N22" s="103" t="s">
        <v>36</v>
      </c>
      <c r="O22" s="103" t="s">
        <v>36</v>
      </c>
      <c r="P22" s="103" t="s">
        <v>36</v>
      </c>
      <c r="Q22" s="103" t="s">
        <v>36</v>
      </c>
      <c r="R22" s="103" t="s">
        <v>36</v>
      </c>
      <c r="S22" s="104" t="s">
        <v>42</v>
      </c>
      <c r="T22" s="30" t="s">
        <v>36</v>
      </c>
      <c r="U22" s="30" t="s">
        <v>36</v>
      </c>
      <c r="V22" s="105" t="str">
        <f t="shared" si="2"/>
        <v>-</v>
      </c>
      <c r="W22" s="105" t="str">
        <f t="shared" ref="W22:X22" si="27">IF(lenb(SUBSTITUTE($Z22,W$1&amp;" (1)",""))&lt;lenb($Z22),1,IF(lenb(SUBSTITUTE($Z22,W$1&amp;" (2)",""))&lt;lenb($Z22),2,IF(lenb(SUBSTITUTE($Z22,W$1&amp;" (3)",""))&lt;lenb($Z22),3,IF(lenb(SUBSTITUTE($Z22,W$1&amp;" (4)",""))&lt;lenb($Z22),4,IF(lenb(SUBSTITUTE($Z22,W$1&amp;" (5)",""))&lt;lenb($Z22),5,IF(lenb(SUBSTITUTE($Z22,W$1&amp;" (6)",""))&lt;lenb($Z22),6,IF(lenb(SUBSTITUTE($Z22,W$1&amp;" (7)",""))&lt;lenb($Z22),1,IF(lenb(SUBSTITUTE($Z22,W$1&amp;" (8)",""))&lt;lenb($Z22),8,IF(lenb(SUBSTITUTE($Z22,W$1&amp;" (9)",""))&lt;lenb($Z22),9,IF(lenb(SUBSTITUTE($Z22,W$1&amp;" (10)",""))&lt;lenb($Z22),10,IF(lenb(SUBSTITUTE($Z22,W$1,""))&lt;lenb($Z22),"ERROR",IF($Z22=$Y$1,"-",0))))))))))))</f>
        <v>-</v>
      </c>
      <c r="X22" s="105" t="str">
        <f t="shared" si="27"/>
        <v>-</v>
      </c>
      <c r="Y22" s="105">
        <f t="shared" si="4"/>
        <v>1</v>
      </c>
      <c r="Z22" s="104" t="s">
        <v>23</v>
      </c>
      <c r="AA22" s="34">
        <f t="shared" si="5"/>
        <v>0</v>
      </c>
      <c r="AB22" s="34">
        <f>COUNTIFS(Links!B:B,"FSE",Links!C:C,A22,Links!AD:AD,1)</f>
        <v>0</v>
      </c>
      <c r="AC22" s="106" t="s">
        <v>36</v>
      </c>
      <c r="AD22" s="107" t="s">
        <v>35</v>
      </c>
      <c r="AE22" s="104" t="s">
        <v>36</v>
      </c>
      <c r="AF22" s="37" t="s">
        <v>42</v>
      </c>
      <c r="AG22" s="37" t="s">
        <v>42</v>
      </c>
      <c r="AH22" s="37" t="s">
        <v>42</v>
      </c>
      <c r="AI22" s="105" t="str">
        <f t="shared" si="6"/>
        <v>----</v>
      </c>
      <c r="AJ22" s="108" t="str">
        <f t="shared" si="7"/>
        <v>Paper has no link and no statement</v>
      </c>
      <c r="AK22" s="109" t="s">
        <v>3401</v>
      </c>
      <c r="AL22" s="110" t="s">
        <v>3402</v>
      </c>
      <c r="AM22" s="40" t="str">
        <f t="shared" si="8"/>
        <v>[FP0800]</v>
      </c>
    </row>
    <row r="23" ht="67.5" customHeight="1">
      <c r="A23" s="41">
        <v>801.0</v>
      </c>
      <c r="B23" s="42" t="s">
        <v>3454</v>
      </c>
      <c r="C23" s="43">
        <v>2014.0</v>
      </c>
      <c r="D23" s="111" t="s">
        <v>35</v>
      </c>
      <c r="E23" s="45" t="s">
        <v>36</v>
      </c>
      <c r="F23" s="45" t="s">
        <v>36</v>
      </c>
      <c r="G23" s="45" t="s">
        <v>36</v>
      </c>
      <c r="H23" s="45" t="s">
        <v>36</v>
      </c>
      <c r="I23" s="45" t="s">
        <v>36</v>
      </c>
      <c r="J23" s="112" t="s">
        <v>36</v>
      </c>
      <c r="K23" s="113" t="s">
        <v>37</v>
      </c>
      <c r="L23" s="114" t="s">
        <v>35</v>
      </c>
      <c r="M23" s="114" t="s">
        <v>35</v>
      </c>
      <c r="N23" s="114" t="s">
        <v>35</v>
      </c>
      <c r="O23" s="114" t="s">
        <v>35</v>
      </c>
      <c r="P23" s="114" t="s">
        <v>35</v>
      </c>
      <c r="Q23" s="114" t="s">
        <v>35</v>
      </c>
      <c r="R23" s="114" t="s">
        <v>37</v>
      </c>
      <c r="S23" s="115" t="s">
        <v>3455</v>
      </c>
      <c r="T23" s="50" t="s">
        <v>3456</v>
      </c>
      <c r="U23" s="50" t="s">
        <v>3456</v>
      </c>
      <c r="V23" s="116">
        <f t="shared" si="2"/>
        <v>1</v>
      </c>
      <c r="W23" s="116">
        <f t="shared" ref="W23:X23" si="28">IF(lenb(SUBSTITUTE($Z23,W$1&amp;" (1)",""))&lt;lenb($Z23),1,IF(lenb(SUBSTITUTE($Z23,W$1&amp;" (2)",""))&lt;lenb($Z23),2,IF(lenb(SUBSTITUTE($Z23,W$1&amp;" (3)",""))&lt;lenb($Z23),3,IF(lenb(SUBSTITUTE($Z23,W$1&amp;" (4)",""))&lt;lenb($Z23),4,IF(lenb(SUBSTITUTE($Z23,W$1&amp;" (5)",""))&lt;lenb($Z23),5,IF(lenb(SUBSTITUTE($Z23,W$1&amp;" (6)",""))&lt;lenb($Z23),6,IF(lenb(SUBSTITUTE($Z23,W$1&amp;" (7)",""))&lt;lenb($Z23),1,IF(lenb(SUBSTITUTE($Z23,W$1&amp;" (8)",""))&lt;lenb($Z23),8,IF(lenb(SUBSTITUTE($Z23,W$1&amp;" (9)",""))&lt;lenb($Z23),9,IF(lenb(SUBSTITUTE($Z23,W$1&amp;" (10)",""))&lt;lenb($Z23),10,IF(lenb(SUBSTITUTE($Z23,W$1,""))&lt;lenb($Z23),"ERROR",IF($Z23=$Y$1,"-",0))))))))))))</f>
        <v>0</v>
      </c>
      <c r="X23" s="116">
        <f t="shared" si="28"/>
        <v>0</v>
      </c>
      <c r="Y23" s="116" t="str">
        <f t="shared" si="4"/>
        <v>-</v>
      </c>
      <c r="Z23" s="115" t="s">
        <v>3400</v>
      </c>
      <c r="AA23" s="54">
        <f t="shared" si="5"/>
        <v>1</v>
      </c>
      <c r="AB23" s="54">
        <f>COUNTIFS(Links!B:B,"FSE",Links!C:C,A23,Links!AD:AD,1)</f>
        <v>1</v>
      </c>
      <c r="AC23" s="117" t="s">
        <v>35</v>
      </c>
      <c r="AD23" s="118" t="s">
        <v>35</v>
      </c>
      <c r="AE23" s="115" t="s">
        <v>36</v>
      </c>
      <c r="AF23" s="57" t="s">
        <v>42</v>
      </c>
      <c r="AG23" s="57" t="s">
        <v>42</v>
      </c>
      <c r="AH23" s="57" t="s">
        <v>42</v>
      </c>
      <c r="AI23" s="116" t="str">
        <f t="shared" si="6"/>
        <v>----</v>
      </c>
      <c r="AJ23" s="119" t="str">
        <f t="shared" si="7"/>
        <v>Paper has link but no statement</v>
      </c>
      <c r="AK23" s="120" t="s">
        <v>3401</v>
      </c>
      <c r="AL23" s="121" t="s">
        <v>3402</v>
      </c>
      <c r="AM23" s="60" t="str">
        <f t="shared" si="8"/>
        <v>[FP0801]</v>
      </c>
    </row>
    <row r="24" ht="67.5" customHeight="1">
      <c r="A24" s="61">
        <v>802.0</v>
      </c>
      <c r="B24" s="22" t="s">
        <v>3457</v>
      </c>
      <c r="C24" s="23">
        <v>2014.0</v>
      </c>
      <c r="D24" s="100" t="s">
        <v>35</v>
      </c>
      <c r="E24" s="25" t="s">
        <v>36</v>
      </c>
      <c r="F24" s="25" t="s">
        <v>36</v>
      </c>
      <c r="G24" s="25" t="s">
        <v>36</v>
      </c>
      <c r="H24" s="25" t="s">
        <v>36</v>
      </c>
      <c r="I24" s="25" t="s">
        <v>36</v>
      </c>
      <c r="J24" s="101" t="s">
        <v>36</v>
      </c>
      <c r="K24" s="102" t="s">
        <v>37</v>
      </c>
      <c r="L24" s="103" t="s">
        <v>37</v>
      </c>
      <c r="M24" s="103" t="s">
        <v>35</v>
      </c>
      <c r="N24" s="103" t="s">
        <v>35</v>
      </c>
      <c r="O24" s="103" t="s">
        <v>35</v>
      </c>
      <c r="P24" s="103" t="s">
        <v>35</v>
      </c>
      <c r="Q24" s="103" t="s">
        <v>35</v>
      </c>
      <c r="R24" s="103" t="s">
        <v>37</v>
      </c>
      <c r="S24" s="104" t="s">
        <v>3458</v>
      </c>
      <c r="T24" s="30" t="s">
        <v>3459</v>
      </c>
      <c r="U24" s="30" t="s">
        <v>3459</v>
      </c>
      <c r="V24" s="105">
        <f t="shared" si="2"/>
        <v>0</v>
      </c>
      <c r="W24" s="105">
        <f t="shared" ref="W24:X24" si="29">IF(lenb(SUBSTITUTE($Z24,W$1&amp;" (1)",""))&lt;lenb($Z24),1,IF(lenb(SUBSTITUTE($Z24,W$1&amp;" (2)",""))&lt;lenb($Z24),2,IF(lenb(SUBSTITUTE($Z24,W$1&amp;" (3)",""))&lt;lenb($Z24),3,IF(lenb(SUBSTITUTE($Z24,W$1&amp;" (4)",""))&lt;lenb($Z24),4,IF(lenb(SUBSTITUTE($Z24,W$1&amp;" (5)",""))&lt;lenb($Z24),5,IF(lenb(SUBSTITUTE($Z24,W$1&amp;" (6)",""))&lt;lenb($Z24),6,IF(lenb(SUBSTITUTE($Z24,W$1&amp;" (7)",""))&lt;lenb($Z24),1,IF(lenb(SUBSTITUTE($Z24,W$1&amp;" (8)",""))&lt;lenb($Z24),8,IF(lenb(SUBSTITUTE($Z24,W$1&amp;" (9)",""))&lt;lenb($Z24),9,IF(lenb(SUBSTITUTE($Z24,W$1&amp;" (10)",""))&lt;lenb($Z24),10,IF(lenb(SUBSTITUTE($Z24,W$1,""))&lt;lenb($Z24),"ERROR",IF($Z24=$Y$1,"-",0))))))))))))</f>
        <v>1</v>
      </c>
      <c r="X24" s="105">
        <f t="shared" si="29"/>
        <v>0</v>
      </c>
      <c r="Y24" s="105" t="str">
        <f t="shared" si="4"/>
        <v>-</v>
      </c>
      <c r="Z24" s="104" t="s">
        <v>3423</v>
      </c>
      <c r="AA24" s="34">
        <f t="shared" si="5"/>
        <v>1</v>
      </c>
      <c r="AB24" s="34">
        <f>COUNTIFS(Links!B:B,"FSE",Links!C:C,A24,Links!AD:AD,1)</f>
        <v>0</v>
      </c>
      <c r="AC24" s="106" t="s">
        <v>35</v>
      </c>
      <c r="AD24" s="107" t="s">
        <v>35</v>
      </c>
      <c r="AE24" s="104" t="s">
        <v>36</v>
      </c>
      <c r="AF24" s="37" t="s">
        <v>42</v>
      </c>
      <c r="AG24" s="37" t="s">
        <v>42</v>
      </c>
      <c r="AH24" s="37" t="s">
        <v>42</v>
      </c>
      <c r="AI24" s="105" t="str">
        <f t="shared" si="6"/>
        <v>----</v>
      </c>
      <c r="AJ24" s="108" t="str">
        <f t="shared" si="7"/>
        <v>Paper has link but no statement</v>
      </c>
      <c r="AK24" s="109" t="s">
        <v>3401</v>
      </c>
      <c r="AL24" s="110" t="s">
        <v>3402</v>
      </c>
      <c r="AM24" s="40" t="str">
        <f t="shared" si="8"/>
        <v>[FP0802]</v>
      </c>
    </row>
    <row r="25" ht="67.5" customHeight="1">
      <c r="A25" s="41">
        <v>803.0</v>
      </c>
      <c r="B25" s="42" t="s">
        <v>3460</v>
      </c>
      <c r="C25" s="43">
        <v>2014.0</v>
      </c>
      <c r="D25" s="111" t="s">
        <v>35</v>
      </c>
      <c r="E25" s="45" t="s">
        <v>36</v>
      </c>
      <c r="F25" s="45" t="s">
        <v>36</v>
      </c>
      <c r="G25" s="45" t="s">
        <v>36</v>
      </c>
      <c r="H25" s="45" t="s">
        <v>36</v>
      </c>
      <c r="I25" s="45" t="s">
        <v>36</v>
      </c>
      <c r="J25" s="112" t="s">
        <v>36</v>
      </c>
      <c r="K25" s="113" t="s">
        <v>35</v>
      </c>
      <c r="L25" s="114" t="s">
        <v>36</v>
      </c>
      <c r="M25" s="114" t="s">
        <v>36</v>
      </c>
      <c r="N25" s="114" t="s">
        <v>36</v>
      </c>
      <c r="O25" s="114" t="s">
        <v>36</v>
      </c>
      <c r="P25" s="114" t="s">
        <v>36</v>
      </c>
      <c r="Q25" s="114" t="s">
        <v>36</v>
      </c>
      <c r="R25" s="114" t="s">
        <v>36</v>
      </c>
      <c r="S25" s="115" t="s">
        <v>42</v>
      </c>
      <c r="T25" s="50" t="s">
        <v>36</v>
      </c>
      <c r="U25" s="50" t="s">
        <v>36</v>
      </c>
      <c r="V25" s="116" t="str">
        <f t="shared" si="2"/>
        <v>-</v>
      </c>
      <c r="W25" s="116" t="str">
        <f t="shared" ref="W25:X25" si="30">IF(lenb(SUBSTITUTE($Z25,W$1&amp;" (1)",""))&lt;lenb($Z25),1,IF(lenb(SUBSTITUTE($Z25,W$1&amp;" (2)",""))&lt;lenb($Z25),2,IF(lenb(SUBSTITUTE($Z25,W$1&amp;" (3)",""))&lt;lenb($Z25),3,IF(lenb(SUBSTITUTE($Z25,W$1&amp;" (4)",""))&lt;lenb($Z25),4,IF(lenb(SUBSTITUTE($Z25,W$1&amp;" (5)",""))&lt;lenb($Z25),5,IF(lenb(SUBSTITUTE($Z25,W$1&amp;" (6)",""))&lt;lenb($Z25),6,IF(lenb(SUBSTITUTE($Z25,W$1&amp;" (7)",""))&lt;lenb($Z25),1,IF(lenb(SUBSTITUTE($Z25,W$1&amp;" (8)",""))&lt;lenb($Z25),8,IF(lenb(SUBSTITUTE($Z25,W$1&amp;" (9)",""))&lt;lenb($Z25),9,IF(lenb(SUBSTITUTE($Z25,W$1&amp;" (10)",""))&lt;lenb($Z25),10,IF(lenb(SUBSTITUTE($Z25,W$1,""))&lt;lenb($Z25),"ERROR",IF($Z25=$Y$1,"-",0))))))))))))</f>
        <v>-</v>
      </c>
      <c r="X25" s="116" t="str">
        <f t="shared" si="30"/>
        <v>-</v>
      </c>
      <c r="Y25" s="116">
        <f t="shared" si="4"/>
        <v>1</v>
      </c>
      <c r="Z25" s="115" t="s">
        <v>23</v>
      </c>
      <c r="AA25" s="54">
        <f t="shared" si="5"/>
        <v>0</v>
      </c>
      <c r="AB25" s="54">
        <f>COUNTIFS(Links!B:B,"FSE",Links!C:C,A25,Links!AD:AD,1)</f>
        <v>0</v>
      </c>
      <c r="AC25" s="117" t="s">
        <v>36</v>
      </c>
      <c r="AD25" s="118" t="s">
        <v>35</v>
      </c>
      <c r="AE25" s="115" t="s">
        <v>36</v>
      </c>
      <c r="AF25" s="57" t="s">
        <v>42</v>
      </c>
      <c r="AG25" s="57" t="s">
        <v>42</v>
      </c>
      <c r="AH25" s="57" t="s">
        <v>42</v>
      </c>
      <c r="AI25" s="116" t="str">
        <f t="shared" si="6"/>
        <v>----</v>
      </c>
      <c r="AJ25" s="119" t="str">
        <f t="shared" si="7"/>
        <v>Paper has no link and no statement</v>
      </c>
      <c r="AK25" s="120" t="s">
        <v>3401</v>
      </c>
      <c r="AL25" s="121" t="s">
        <v>3402</v>
      </c>
      <c r="AM25" s="60" t="str">
        <f t="shared" si="8"/>
        <v>[FP0803]</v>
      </c>
    </row>
    <row r="26" ht="67.5" customHeight="1">
      <c r="A26" s="61">
        <v>804.0</v>
      </c>
      <c r="B26" s="22" t="s">
        <v>3461</v>
      </c>
      <c r="C26" s="23">
        <v>2014.0</v>
      </c>
      <c r="D26" s="125" t="s">
        <v>37</v>
      </c>
      <c r="E26" s="25" t="s">
        <v>36</v>
      </c>
      <c r="F26" s="25" t="s">
        <v>36</v>
      </c>
      <c r="G26" s="25" t="s">
        <v>36</v>
      </c>
      <c r="H26" s="25" t="s">
        <v>36</v>
      </c>
      <c r="I26" s="25" t="s">
        <v>36</v>
      </c>
      <c r="J26" s="101" t="s">
        <v>3409</v>
      </c>
      <c r="K26" s="102" t="s">
        <v>37</v>
      </c>
      <c r="L26" s="103" t="s">
        <v>35</v>
      </c>
      <c r="M26" s="103" t="s">
        <v>35</v>
      </c>
      <c r="N26" s="103" t="s">
        <v>37</v>
      </c>
      <c r="O26" s="103" t="s">
        <v>35</v>
      </c>
      <c r="P26" s="103" t="s">
        <v>35</v>
      </c>
      <c r="Q26" s="103" t="s">
        <v>35</v>
      </c>
      <c r="R26" s="103" t="s">
        <v>37</v>
      </c>
      <c r="S26" s="104" t="s">
        <v>3462</v>
      </c>
      <c r="T26" s="30" t="s">
        <v>3463</v>
      </c>
      <c r="U26" s="30" t="s">
        <v>3463</v>
      </c>
      <c r="V26" s="105">
        <f t="shared" si="2"/>
        <v>1</v>
      </c>
      <c r="W26" s="105">
        <f t="shared" ref="W26:X26" si="31">IF(lenb(SUBSTITUTE($Z26,W$1&amp;" (1)",""))&lt;lenb($Z26),1,IF(lenb(SUBSTITUTE($Z26,W$1&amp;" (2)",""))&lt;lenb($Z26),2,IF(lenb(SUBSTITUTE($Z26,W$1&amp;" (3)",""))&lt;lenb($Z26),3,IF(lenb(SUBSTITUTE($Z26,W$1&amp;" (4)",""))&lt;lenb($Z26),4,IF(lenb(SUBSTITUTE($Z26,W$1&amp;" (5)",""))&lt;lenb($Z26),5,IF(lenb(SUBSTITUTE($Z26,W$1&amp;" (6)",""))&lt;lenb($Z26),6,IF(lenb(SUBSTITUTE($Z26,W$1&amp;" (7)",""))&lt;lenb($Z26),1,IF(lenb(SUBSTITUTE($Z26,W$1&amp;" (8)",""))&lt;lenb($Z26),8,IF(lenb(SUBSTITUTE($Z26,W$1&amp;" (9)",""))&lt;lenb($Z26),9,IF(lenb(SUBSTITUTE($Z26,W$1&amp;" (10)",""))&lt;lenb($Z26),10,IF(lenb(SUBSTITUTE($Z26,W$1,""))&lt;lenb($Z26),"ERROR",IF($Z26=$Y$1,"-",0))))))))))))</f>
        <v>0</v>
      </c>
      <c r="X26" s="105">
        <f t="shared" si="31"/>
        <v>0</v>
      </c>
      <c r="Y26" s="105" t="str">
        <f t="shared" si="4"/>
        <v>-</v>
      </c>
      <c r="Z26" s="104" t="s">
        <v>3400</v>
      </c>
      <c r="AA26" s="34">
        <f t="shared" si="5"/>
        <v>1</v>
      </c>
      <c r="AB26" s="34">
        <f>COUNTIFS(Links!B:B,"FSE",Links!C:C,A26,Links!AD:AD,1)</f>
        <v>1</v>
      </c>
      <c r="AC26" s="106" t="s">
        <v>35</v>
      </c>
      <c r="AD26" s="107" t="s">
        <v>35</v>
      </c>
      <c r="AE26" s="104" t="s">
        <v>36</v>
      </c>
      <c r="AF26" s="37" t="s">
        <v>42</v>
      </c>
      <c r="AG26" s="37" t="s">
        <v>42</v>
      </c>
      <c r="AH26" s="37" t="s">
        <v>42</v>
      </c>
      <c r="AI26" s="105" t="str">
        <f t="shared" si="6"/>
        <v>----</v>
      </c>
      <c r="AJ26" s="108" t="str">
        <f t="shared" si="7"/>
        <v>Paper has link but no statement</v>
      </c>
      <c r="AK26" s="109" t="s">
        <v>3401</v>
      </c>
      <c r="AL26" s="110" t="s">
        <v>3402</v>
      </c>
      <c r="AM26" s="40" t="str">
        <f t="shared" si="8"/>
        <v>[FP0804]</v>
      </c>
    </row>
    <row r="27" ht="67.5" customHeight="1">
      <c r="A27" s="41">
        <v>805.0</v>
      </c>
      <c r="B27" s="42" t="s">
        <v>3464</v>
      </c>
      <c r="C27" s="43">
        <v>2014.0</v>
      </c>
      <c r="D27" s="111" t="s">
        <v>35</v>
      </c>
      <c r="E27" s="45" t="s">
        <v>36</v>
      </c>
      <c r="F27" s="45" t="s">
        <v>36</v>
      </c>
      <c r="G27" s="45" t="s">
        <v>36</v>
      </c>
      <c r="H27" s="45" t="s">
        <v>36</v>
      </c>
      <c r="I27" s="45" t="s">
        <v>36</v>
      </c>
      <c r="J27" s="112" t="s">
        <v>36</v>
      </c>
      <c r="K27" s="113" t="s">
        <v>37</v>
      </c>
      <c r="L27" s="114" t="s">
        <v>37</v>
      </c>
      <c r="M27" s="114" t="s">
        <v>35</v>
      </c>
      <c r="N27" s="114" t="s">
        <v>35</v>
      </c>
      <c r="O27" s="114" t="s">
        <v>35</v>
      </c>
      <c r="P27" s="114" t="s">
        <v>35</v>
      </c>
      <c r="Q27" s="114" t="s">
        <v>35</v>
      </c>
      <c r="R27" s="114" t="s">
        <v>37</v>
      </c>
      <c r="S27" s="115" t="s">
        <v>3465</v>
      </c>
      <c r="T27" s="50" t="s">
        <v>3466</v>
      </c>
      <c r="U27" s="50" t="s">
        <v>3466</v>
      </c>
      <c r="V27" s="116">
        <f t="shared" si="2"/>
        <v>1</v>
      </c>
      <c r="W27" s="116">
        <f t="shared" ref="W27:X27" si="32">IF(lenb(SUBSTITUTE($Z27,W$1&amp;" (1)",""))&lt;lenb($Z27),1,IF(lenb(SUBSTITUTE($Z27,W$1&amp;" (2)",""))&lt;lenb($Z27),2,IF(lenb(SUBSTITUTE($Z27,W$1&amp;" (3)",""))&lt;lenb($Z27),3,IF(lenb(SUBSTITUTE($Z27,W$1&amp;" (4)",""))&lt;lenb($Z27),4,IF(lenb(SUBSTITUTE($Z27,W$1&amp;" (5)",""))&lt;lenb($Z27),5,IF(lenb(SUBSTITUTE($Z27,W$1&amp;" (6)",""))&lt;lenb($Z27),6,IF(lenb(SUBSTITUTE($Z27,W$1&amp;" (7)",""))&lt;lenb($Z27),1,IF(lenb(SUBSTITUTE($Z27,W$1&amp;" (8)",""))&lt;lenb($Z27),8,IF(lenb(SUBSTITUTE($Z27,W$1&amp;" (9)",""))&lt;lenb($Z27),9,IF(lenb(SUBSTITUTE($Z27,W$1&amp;" (10)",""))&lt;lenb($Z27),10,IF(lenb(SUBSTITUTE($Z27,W$1,""))&lt;lenb($Z27),"ERROR",IF($Z27=$Y$1,"-",0))))))))))))</f>
        <v>0</v>
      </c>
      <c r="X27" s="116">
        <f t="shared" si="32"/>
        <v>0</v>
      </c>
      <c r="Y27" s="116" t="str">
        <f t="shared" si="4"/>
        <v>-</v>
      </c>
      <c r="Z27" s="115" t="s">
        <v>3400</v>
      </c>
      <c r="AA27" s="54">
        <f t="shared" si="5"/>
        <v>1</v>
      </c>
      <c r="AB27" s="54">
        <f>COUNTIFS(Links!B:B,"FSE",Links!C:C,A27,Links!AD:AD,1)</f>
        <v>1</v>
      </c>
      <c r="AC27" s="117" t="s">
        <v>35</v>
      </c>
      <c r="AD27" s="118" t="s">
        <v>35</v>
      </c>
      <c r="AE27" s="115" t="s">
        <v>36</v>
      </c>
      <c r="AF27" s="57" t="s">
        <v>42</v>
      </c>
      <c r="AG27" s="57" t="s">
        <v>42</v>
      </c>
      <c r="AH27" s="57" t="s">
        <v>42</v>
      </c>
      <c r="AI27" s="116" t="str">
        <f t="shared" si="6"/>
        <v>----</v>
      </c>
      <c r="AJ27" s="119" t="str">
        <f t="shared" si="7"/>
        <v>Paper has link but no statement</v>
      </c>
      <c r="AK27" s="120" t="s">
        <v>3401</v>
      </c>
      <c r="AL27" s="121" t="s">
        <v>3402</v>
      </c>
      <c r="AM27" s="60" t="str">
        <f t="shared" si="8"/>
        <v>[FP0805]</v>
      </c>
    </row>
    <row r="28" ht="67.5" customHeight="1">
      <c r="A28" s="61">
        <v>806.0</v>
      </c>
      <c r="B28" s="22" t="s">
        <v>3467</v>
      </c>
      <c r="C28" s="23">
        <v>2014.0</v>
      </c>
      <c r="D28" s="100" t="s">
        <v>35</v>
      </c>
      <c r="E28" s="25" t="s">
        <v>36</v>
      </c>
      <c r="F28" s="25" t="s">
        <v>36</v>
      </c>
      <c r="G28" s="25" t="s">
        <v>36</v>
      </c>
      <c r="H28" s="25" t="s">
        <v>36</v>
      </c>
      <c r="I28" s="25" t="s">
        <v>36</v>
      </c>
      <c r="J28" s="101" t="s">
        <v>36</v>
      </c>
      <c r="K28" s="102" t="s">
        <v>35</v>
      </c>
      <c r="L28" s="103" t="s">
        <v>36</v>
      </c>
      <c r="M28" s="103" t="s">
        <v>36</v>
      </c>
      <c r="N28" s="103" t="s">
        <v>36</v>
      </c>
      <c r="O28" s="103" t="s">
        <v>36</v>
      </c>
      <c r="P28" s="103" t="s">
        <v>36</v>
      </c>
      <c r="Q28" s="103" t="s">
        <v>36</v>
      </c>
      <c r="R28" s="103" t="s">
        <v>36</v>
      </c>
      <c r="S28" s="104" t="s">
        <v>42</v>
      </c>
      <c r="T28" s="30" t="s">
        <v>36</v>
      </c>
      <c r="U28" s="30" t="s">
        <v>36</v>
      </c>
      <c r="V28" s="105" t="str">
        <f t="shared" si="2"/>
        <v>-</v>
      </c>
      <c r="W28" s="105" t="str">
        <f t="shared" ref="W28:X28" si="33">IF(lenb(SUBSTITUTE($Z28,W$1&amp;" (1)",""))&lt;lenb($Z28),1,IF(lenb(SUBSTITUTE($Z28,W$1&amp;" (2)",""))&lt;lenb($Z28),2,IF(lenb(SUBSTITUTE($Z28,W$1&amp;" (3)",""))&lt;lenb($Z28),3,IF(lenb(SUBSTITUTE($Z28,W$1&amp;" (4)",""))&lt;lenb($Z28),4,IF(lenb(SUBSTITUTE($Z28,W$1&amp;" (5)",""))&lt;lenb($Z28),5,IF(lenb(SUBSTITUTE($Z28,W$1&amp;" (6)",""))&lt;lenb($Z28),6,IF(lenb(SUBSTITUTE($Z28,W$1&amp;" (7)",""))&lt;lenb($Z28),1,IF(lenb(SUBSTITUTE($Z28,W$1&amp;" (8)",""))&lt;lenb($Z28),8,IF(lenb(SUBSTITUTE($Z28,W$1&amp;" (9)",""))&lt;lenb($Z28),9,IF(lenb(SUBSTITUTE($Z28,W$1&amp;" (10)",""))&lt;lenb($Z28),10,IF(lenb(SUBSTITUTE($Z28,W$1,""))&lt;lenb($Z28),"ERROR",IF($Z28=$Y$1,"-",0))))))))))))</f>
        <v>-</v>
      </c>
      <c r="X28" s="105" t="str">
        <f t="shared" si="33"/>
        <v>-</v>
      </c>
      <c r="Y28" s="105">
        <f t="shared" si="4"/>
        <v>1</v>
      </c>
      <c r="Z28" s="104" t="s">
        <v>23</v>
      </c>
      <c r="AA28" s="34">
        <f t="shared" si="5"/>
        <v>0</v>
      </c>
      <c r="AB28" s="34">
        <f>COUNTIFS(Links!B:B,"FSE",Links!C:C,A28,Links!AD:AD,1)</f>
        <v>0</v>
      </c>
      <c r="AC28" s="106" t="s">
        <v>36</v>
      </c>
      <c r="AD28" s="107" t="s">
        <v>35</v>
      </c>
      <c r="AE28" s="104" t="s">
        <v>36</v>
      </c>
      <c r="AF28" s="37" t="s">
        <v>42</v>
      </c>
      <c r="AG28" s="37" t="s">
        <v>42</v>
      </c>
      <c r="AH28" s="37" t="s">
        <v>42</v>
      </c>
      <c r="AI28" s="105" t="str">
        <f t="shared" si="6"/>
        <v>----</v>
      </c>
      <c r="AJ28" s="108" t="str">
        <f t="shared" si="7"/>
        <v>Paper has no link and no statement</v>
      </c>
      <c r="AK28" s="109" t="s">
        <v>3401</v>
      </c>
      <c r="AL28" s="110" t="s">
        <v>3402</v>
      </c>
      <c r="AM28" s="40" t="str">
        <f t="shared" si="8"/>
        <v>[FP0806]</v>
      </c>
    </row>
    <row r="29" ht="67.5" customHeight="1">
      <c r="A29" s="41">
        <v>807.0</v>
      </c>
      <c r="B29" s="42" t="s">
        <v>3468</v>
      </c>
      <c r="C29" s="43">
        <v>2014.0</v>
      </c>
      <c r="D29" s="111" t="s">
        <v>35</v>
      </c>
      <c r="E29" s="45" t="s">
        <v>36</v>
      </c>
      <c r="F29" s="45" t="s">
        <v>36</v>
      </c>
      <c r="G29" s="45" t="s">
        <v>36</v>
      </c>
      <c r="H29" s="45" t="s">
        <v>36</v>
      </c>
      <c r="I29" s="45" t="s">
        <v>36</v>
      </c>
      <c r="J29" s="112" t="s">
        <v>36</v>
      </c>
      <c r="K29" s="113" t="s">
        <v>37</v>
      </c>
      <c r="L29" s="114" t="s">
        <v>37</v>
      </c>
      <c r="M29" s="114" t="s">
        <v>35</v>
      </c>
      <c r="N29" s="114" t="s">
        <v>35</v>
      </c>
      <c r="O29" s="114" t="s">
        <v>35</v>
      </c>
      <c r="P29" s="114" t="s">
        <v>35</v>
      </c>
      <c r="Q29" s="114" t="s">
        <v>35</v>
      </c>
      <c r="R29" s="114" t="s">
        <v>37</v>
      </c>
      <c r="S29" s="115" t="s">
        <v>3469</v>
      </c>
      <c r="T29" s="50" t="s">
        <v>3470</v>
      </c>
      <c r="U29" s="50" t="s">
        <v>3470</v>
      </c>
      <c r="V29" s="116">
        <f t="shared" si="2"/>
        <v>0</v>
      </c>
      <c r="W29" s="116">
        <f t="shared" ref="W29:X29" si="34">IF(lenb(SUBSTITUTE($Z29,W$1&amp;" (1)",""))&lt;lenb($Z29),1,IF(lenb(SUBSTITUTE($Z29,W$1&amp;" (2)",""))&lt;lenb($Z29),2,IF(lenb(SUBSTITUTE($Z29,W$1&amp;" (3)",""))&lt;lenb($Z29),3,IF(lenb(SUBSTITUTE($Z29,W$1&amp;" (4)",""))&lt;lenb($Z29),4,IF(lenb(SUBSTITUTE($Z29,W$1&amp;" (5)",""))&lt;lenb($Z29),5,IF(lenb(SUBSTITUTE($Z29,W$1&amp;" (6)",""))&lt;lenb($Z29),6,IF(lenb(SUBSTITUTE($Z29,W$1&amp;" (7)",""))&lt;lenb($Z29),1,IF(lenb(SUBSTITUTE($Z29,W$1&amp;" (8)",""))&lt;lenb($Z29),8,IF(lenb(SUBSTITUTE($Z29,W$1&amp;" (9)",""))&lt;lenb($Z29),9,IF(lenb(SUBSTITUTE($Z29,W$1&amp;" (10)",""))&lt;lenb($Z29),10,IF(lenb(SUBSTITUTE($Z29,W$1,""))&lt;lenb($Z29),"ERROR",IF($Z29=$Y$1,"-",0))))))))))))</f>
        <v>1</v>
      </c>
      <c r="X29" s="116">
        <f t="shared" si="34"/>
        <v>0</v>
      </c>
      <c r="Y29" s="116" t="str">
        <f t="shared" si="4"/>
        <v>-</v>
      </c>
      <c r="Z29" s="115" t="s">
        <v>3423</v>
      </c>
      <c r="AA29" s="54">
        <f t="shared" si="5"/>
        <v>1</v>
      </c>
      <c r="AB29" s="54">
        <f>COUNTIFS(Links!B:B,"FSE",Links!C:C,A29,Links!AD:AD,1)</f>
        <v>0</v>
      </c>
      <c r="AC29" s="117" t="s">
        <v>35</v>
      </c>
      <c r="AD29" s="118" t="s">
        <v>35</v>
      </c>
      <c r="AE29" s="115" t="s">
        <v>36</v>
      </c>
      <c r="AF29" s="57" t="s">
        <v>42</v>
      </c>
      <c r="AG29" s="57" t="s">
        <v>42</v>
      </c>
      <c r="AH29" s="57" t="s">
        <v>42</v>
      </c>
      <c r="AI29" s="116" t="str">
        <f t="shared" si="6"/>
        <v>----</v>
      </c>
      <c r="AJ29" s="119" t="str">
        <f t="shared" si="7"/>
        <v>Paper has link but no statement</v>
      </c>
      <c r="AK29" s="120" t="s">
        <v>3401</v>
      </c>
      <c r="AL29" s="121" t="s">
        <v>3402</v>
      </c>
      <c r="AM29" s="60" t="str">
        <f t="shared" si="8"/>
        <v>[FP0807]</v>
      </c>
    </row>
    <row r="30" ht="67.5" customHeight="1">
      <c r="A30" s="61">
        <v>808.0</v>
      </c>
      <c r="B30" s="22" t="s">
        <v>3471</v>
      </c>
      <c r="C30" s="23">
        <v>2014.0</v>
      </c>
      <c r="D30" s="100" t="s">
        <v>35</v>
      </c>
      <c r="E30" s="25" t="s">
        <v>36</v>
      </c>
      <c r="F30" s="25" t="s">
        <v>36</v>
      </c>
      <c r="G30" s="25" t="s">
        <v>36</v>
      </c>
      <c r="H30" s="25" t="s">
        <v>36</v>
      </c>
      <c r="I30" s="25" t="s">
        <v>36</v>
      </c>
      <c r="J30" s="101" t="s">
        <v>36</v>
      </c>
      <c r="K30" s="102" t="s">
        <v>37</v>
      </c>
      <c r="L30" s="103" t="s">
        <v>37</v>
      </c>
      <c r="M30" s="103" t="s">
        <v>35</v>
      </c>
      <c r="N30" s="103" t="s">
        <v>37</v>
      </c>
      <c r="O30" s="103" t="s">
        <v>35</v>
      </c>
      <c r="P30" s="103" t="s">
        <v>35</v>
      </c>
      <c r="Q30" s="103" t="s">
        <v>35</v>
      </c>
      <c r="R30" s="103" t="s">
        <v>35</v>
      </c>
      <c r="S30" s="104" t="s">
        <v>3472</v>
      </c>
      <c r="T30" s="30" t="s">
        <v>3473</v>
      </c>
      <c r="U30" s="30" t="s">
        <v>3473</v>
      </c>
      <c r="V30" s="105">
        <f t="shared" si="2"/>
        <v>1</v>
      </c>
      <c r="W30" s="105">
        <f t="shared" ref="W30:X30" si="35">IF(lenb(SUBSTITUTE($Z30,W$1&amp;" (1)",""))&lt;lenb($Z30),1,IF(lenb(SUBSTITUTE($Z30,W$1&amp;" (2)",""))&lt;lenb($Z30),2,IF(lenb(SUBSTITUTE($Z30,W$1&amp;" (3)",""))&lt;lenb($Z30),3,IF(lenb(SUBSTITUTE($Z30,W$1&amp;" (4)",""))&lt;lenb($Z30),4,IF(lenb(SUBSTITUTE($Z30,W$1&amp;" (5)",""))&lt;lenb($Z30),5,IF(lenb(SUBSTITUTE($Z30,W$1&amp;" (6)",""))&lt;lenb($Z30),6,IF(lenb(SUBSTITUTE($Z30,W$1&amp;" (7)",""))&lt;lenb($Z30),1,IF(lenb(SUBSTITUTE($Z30,W$1&amp;" (8)",""))&lt;lenb($Z30),8,IF(lenb(SUBSTITUTE($Z30,W$1&amp;" (9)",""))&lt;lenb($Z30),9,IF(lenb(SUBSTITUTE($Z30,W$1&amp;" (10)",""))&lt;lenb($Z30),10,IF(lenb(SUBSTITUTE($Z30,W$1,""))&lt;lenb($Z30),"ERROR",IF($Z30=$Y$1,"-",0))))))))))))</f>
        <v>0</v>
      </c>
      <c r="X30" s="105">
        <f t="shared" si="35"/>
        <v>0</v>
      </c>
      <c r="Y30" s="105" t="str">
        <f t="shared" si="4"/>
        <v>-</v>
      </c>
      <c r="Z30" s="104" t="s">
        <v>3400</v>
      </c>
      <c r="AA30" s="34">
        <f t="shared" si="5"/>
        <v>1</v>
      </c>
      <c r="AB30" s="34">
        <f>COUNTIFS(Links!B:B,"FSE",Links!C:C,A30,Links!AD:AD,1)</f>
        <v>0</v>
      </c>
      <c r="AC30" s="106" t="s">
        <v>35</v>
      </c>
      <c r="AD30" s="107" t="s">
        <v>35</v>
      </c>
      <c r="AE30" s="104" t="s">
        <v>36</v>
      </c>
      <c r="AF30" s="37" t="s">
        <v>42</v>
      </c>
      <c r="AG30" s="37" t="s">
        <v>42</v>
      </c>
      <c r="AH30" s="37" t="s">
        <v>42</v>
      </c>
      <c r="AI30" s="105" t="str">
        <f t="shared" si="6"/>
        <v>----</v>
      </c>
      <c r="AJ30" s="108" t="str">
        <f t="shared" si="7"/>
        <v>Paper has link but no statement</v>
      </c>
      <c r="AK30" s="109" t="s">
        <v>3401</v>
      </c>
      <c r="AL30" s="110" t="s">
        <v>3402</v>
      </c>
      <c r="AM30" s="40" t="str">
        <f t="shared" si="8"/>
        <v>[FP0808]</v>
      </c>
    </row>
    <row r="31" ht="67.5" customHeight="1">
      <c r="A31" s="41">
        <v>809.0</v>
      </c>
      <c r="B31" s="42" t="s">
        <v>3474</v>
      </c>
      <c r="C31" s="43">
        <v>2014.0</v>
      </c>
      <c r="D31" s="111" t="s">
        <v>35</v>
      </c>
      <c r="E31" s="45" t="s">
        <v>36</v>
      </c>
      <c r="F31" s="45" t="s">
        <v>36</v>
      </c>
      <c r="G31" s="45" t="s">
        <v>36</v>
      </c>
      <c r="H31" s="45" t="s">
        <v>36</v>
      </c>
      <c r="I31" s="45" t="s">
        <v>36</v>
      </c>
      <c r="J31" s="112" t="s">
        <v>36</v>
      </c>
      <c r="K31" s="113" t="s">
        <v>37</v>
      </c>
      <c r="L31" s="114" t="s">
        <v>35</v>
      </c>
      <c r="M31" s="114" t="s">
        <v>37</v>
      </c>
      <c r="N31" s="114" t="s">
        <v>37</v>
      </c>
      <c r="O31" s="114" t="s">
        <v>35</v>
      </c>
      <c r="P31" s="114" t="s">
        <v>35</v>
      </c>
      <c r="Q31" s="114" t="s">
        <v>35</v>
      </c>
      <c r="R31" s="114" t="s">
        <v>37</v>
      </c>
      <c r="S31" s="115" t="s">
        <v>3475</v>
      </c>
      <c r="T31" s="50" t="s">
        <v>3476</v>
      </c>
      <c r="U31" s="50" t="s">
        <v>3476</v>
      </c>
      <c r="V31" s="116">
        <f t="shared" si="2"/>
        <v>0</v>
      </c>
      <c r="W31" s="116">
        <f t="shared" ref="W31:X31" si="36">IF(lenb(SUBSTITUTE($Z31,W$1&amp;" (1)",""))&lt;lenb($Z31),1,IF(lenb(SUBSTITUTE($Z31,W$1&amp;" (2)",""))&lt;lenb($Z31),2,IF(lenb(SUBSTITUTE($Z31,W$1&amp;" (3)",""))&lt;lenb($Z31),3,IF(lenb(SUBSTITUTE($Z31,W$1&amp;" (4)",""))&lt;lenb($Z31),4,IF(lenb(SUBSTITUTE($Z31,W$1&amp;" (5)",""))&lt;lenb($Z31),5,IF(lenb(SUBSTITUTE($Z31,W$1&amp;" (6)",""))&lt;lenb($Z31),6,IF(lenb(SUBSTITUTE($Z31,W$1&amp;" (7)",""))&lt;lenb($Z31),1,IF(lenb(SUBSTITUTE($Z31,W$1&amp;" (8)",""))&lt;lenb($Z31),8,IF(lenb(SUBSTITUTE($Z31,W$1&amp;" (9)",""))&lt;lenb($Z31),9,IF(lenb(SUBSTITUTE($Z31,W$1&amp;" (10)",""))&lt;lenb($Z31),10,IF(lenb(SUBSTITUTE($Z31,W$1,""))&lt;lenb($Z31),"ERROR",IF($Z31=$Y$1,"-",0))))))))))))</f>
        <v>1</v>
      </c>
      <c r="X31" s="116">
        <f t="shared" si="36"/>
        <v>0</v>
      </c>
      <c r="Y31" s="116" t="str">
        <f t="shared" si="4"/>
        <v>-</v>
      </c>
      <c r="Z31" s="115" t="s">
        <v>3423</v>
      </c>
      <c r="AA31" s="54">
        <f t="shared" si="5"/>
        <v>1</v>
      </c>
      <c r="AB31" s="54">
        <f>COUNTIFS(Links!B:B,"FSE",Links!C:C,A31,Links!AD:AD,1)</f>
        <v>0</v>
      </c>
      <c r="AC31" s="117" t="s">
        <v>35</v>
      </c>
      <c r="AD31" s="118" t="s">
        <v>35</v>
      </c>
      <c r="AE31" s="115" t="s">
        <v>36</v>
      </c>
      <c r="AF31" s="57" t="s">
        <v>42</v>
      </c>
      <c r="AG31" s="57" t="s">
        <v>42</v>
      </c>
      <c r="AH31" s="57" t="s">
        <v>42</v>
      </c>
      <c r="AI31" s="116" t="str">
        <f t="shared" si="6"/>
        <v>----</v>
      </c>
      <c r="AJ31" s="119" t="str">
        <f t="shared" si="7"/>
        <v>Paper has link but no statement</v>
      </c>
      <c r="AK31" s="120" t="s">
        <v>3401</v>
      </c>
      <c r="AL31" s="121" t="s">
        <v>3402</v>
      </c>
      <c r="AM31" s="60" t="str">
        <f t="shared" si="8"/>
        <v>[FP0809]</v>
      </c>
    </row>
    <row r="32" ht="67.5" customHeight="1">
      <c r="A32" s="61">
        <v>810.0</v>
      </c>
      <c r="B32" s="22" t="s">
        <v>3477</v>
      </c>
      <c r="C32" s="23">
        <v>2014.0</v>
      </c>
      <c r="D32" s="100" t="s">
        <v>35</v>
      </c>
      <c r="E32" s="25" t="s">
        <v>36</v>
      </c>
      <c r="F32" s="25" t="s">
        <v>36</v>
      </c>
      <c r="G32" s="25" t="s">
        <v>36</v>
      </c>
      <c r="H32" s="25" t="s">
        <v>36</v>
      </c>
      <c r="I32" s="25" t="s">
        <v>36</v>
      </c>
      <c r="J32" s="101" t="s">
        <v>36</v>
      </c>
      <c r="K32" s="102" t="s">
        <v>35</v>
      </c>
      <c r="L32" s="103" t="s">
        <v>36</v>
      </c>
      <c r="M32" s="103" t="s">
        <v>36</v>
      </c>
      <c r="N32" s="103" t="s">
        <v>36</v>
      </c>
      <c r="O32" s="103" t="s">
        <v>36</v>
      </c>
      <c r="P32" s="103" t="s">
        <v>36</v>
      </c>
      <c r="Q32" s="103" t="s">
        <v>36</v>
      </c>
      <c r="R32" s="103" t="s">
        <v>36</v>
      </c>
      <c r="S32" s="104" t="s">
        <v>36</v>
      </c>
      <c r="T32" s="30" t="s">
        <v>36</v>
      </c>
      <c r="U32" s="30" t="s">
        <v>36</v>
      </c>
      <c r="V32" s="105" t="str">
        <f t="shared" si="2"/>
        <v>-</v>
      </c>
      <c r="W32" s="105" t="str">
        <f t="shared" ref="W32:X32" si="37">IF(lenb(SUBSTITUTE($Z32,W$1&amp;" (1)",""))&lt;lenb($Z32),1,IF(lenb(SUBSTITUTE($Z32,W$1&amp;" (2)",""))&lt;lenb($Z32),2,IF(lenb(SUBSTITUTE($Z32,W$1&amp;" (3)",""))&lt;lenb($Z32),3,IF(lenb(SUBSTITUTE($Z32,W$1&amp;" (4)",""))&lt;lenb($Z32),4,IF(lenb(SUBSTITUTE($Z32,W$1&amp;" (5)",""))&lt;lenb($Z32),5,IF(lenb(SUBSTITUTE($Z32,W$1&amp;" (6)",""))&lt;lenb($Z32),6,IF(lenb(SUBSTITUTE($Z32,W$1&amp;" (7)",""))&lt;lenb($Z32),1,IF(lenb(SUBSTITUTE($Z32,W$1&amp;" (8)",""))&lt;lenb($Z32),8,IF(lenb(SUBSTITUTE($Z32,W$1&amp;" (9)",""))&lt;lenb($Z32),9,IF(lenb(SUBSTITUTE($Z32,W$1&amp;" (10)",""))&lt;lenb($Z32),10,IF(lenb(SUBSTITUTE($Z32,W$1,""))&lt;lenb($Z32),"ERROR",IF($Z32=$Y$1,"-",0))))))))))))</f>
        <v>-</v>
      </c>
      <c r="X32" s="105" t="str">
        <f t="shared" si="37"/>
        <v>-</v>
      </c>
      <c r="Y32" s="105">
        <f t="shared" si="4"/>
        <v>1</v>
      </c>
      <c r="Z32" s="104" t="s">
        <v>23</v>
      </c>
      <c r="AA32" s="34">
        <f t="shared" si="5"/>
        <v>0</v>
      </c>
      <c r="AB32" s="34">
        <f>COUNTIFS(Links!B:B,"FSE",Links!C:C,A32,Links!AD:AD,1)</f>
        <v>0</v>
      </c>
      <c r="AC32" s="106" t="s">
        <v>36</v>
      </c>
      <c r="AD32" s="107" t="s">
        <v>35</v>
      </c>
      <c r="AE32" s="104" t="s">
        <v>36</v>
      </c>
      <c r="AF32" s="37" t="s">
        <v>42</v>
      </c>
      <c r="AG32" s="37" t="s">
        <v>42</v>
      </c>
      <c r="AH32" s="37" t="s">
        <v>42</v>
      </c>
      <c r="AI32" s="105" t="str">
        <f t="shared" si="6"/>
        <v>----</v>
      </c>
      <c r="AJ32" s="108" t="str">
        <f t="shared" si="7"/>
        <v>Paper has no link and no statement</v>
      </c>
      <c r="AK32" s="109" t="s">
        <v>3401</v>
      </c>
      <c r="AL32" s="110" t="s">
        <v>3402</v>
      </c>
      <c r="AM32" s="40" t="str">
        <f t="shared" si="8"/>
        <v>[FP0810]</v>
      </c>
    </row>
    <row r="33" ht="67.5" customHeight="1">
      <c r="A33" s="41">
        <v>811.0</v>
      </c>
      <c r="B33" s="42" t="s">
        <v>3478</v>
      </c>
      <c r="C33" s="43">
        <v>2014.0</v>
      </c>
      <c r="D33" s="111" t="s">
        <v>35</v>
      </c>
      <c r="E33" s="45" t="s">
        <v>36</v>
      </c>
      <c r="F33" s="45" t="s">
        <v>36</v>
      </c>
      <c r="G33" s="45" t="s">
        <v>36</v>
      </c>
      <c r="H33" s="45" t="s">
        <v>36</v>
      </c>
      <c r="I33" s="45" t="s">
        <v>36</v>
      </c>
      <c r="J33" s="112" t="s">
        <v>36</v>
      </c>
      <c r="K33" s="113" t="s">
        <v>37</v>
      </c>
      <c r="L33" s="114" t="s">
        <v>37</v>
      </c>
      <c r="M33" s="114" t="s">
        <v>35</v>
      </c>
      <c r="N33" s="114" t="s">
        <v>35</v>
      </c>
      <c r="O33" s="114" t="s">
        <v>35</v>
      </c>
      <c r="P33" s="114" t="s">
        <v>35</v>
      </c>
      <c r="Q33" s="114" t="s">
        <v>35</v>
      </c>
      <c r="R33" s="114" t="s">
        <v>37</v>
      </c>
      <c r="S33" s="115" t="s">
        <v>3479</v>
      </c>
      <c r="T33" s="127" t="s">
        <v>3480</v>
      </c>
      <c r="U33" s="50" t="s">
        <v>3480</v>
      </c>
      <c r="V33" s="116">
        <f t="shared" si="2"/>
        <v>1</v>
      </c>
      <c r="W33" s="116">
        <f t="shared" ref="W33:X33" si="38">IF(lenb(SUBSTITUTE($Z33,W$1&amp;" (1)",""))&lt;lenb($Z33),1,IF(lenb(SUBSTITUTE($Z33,W$1&amp;" (2)",""))&lt;lenb($Z33),2,IF(lenb(SUBSTITUTE($Z33,W$1&amp;" (3)",""))&lt;lenb($Z33),3,IF(lenb(SUBSTITUTE($Z33,W$1&amp;" (4)",""))&lt;lenb($Z33),4,IF(lenb(SUBSTITUTE($Z33,W$1&amp;" (5)",""))&lt;lenb($Z33),5,IF(lenb(SUBSTITUTE($Z33,W$1&amp;" (6)",""))&lt;lenb($Z33),6,IF(lenb(SUBSTITUTE($Z33,W$1&amp;" (7)",""))&lt;lenb($Z33),1,IF(lenb(SUBSTITUTE($Z33,W$1&amp;" (8)",""))&lt;lenb($Z33),8,IF(lenb(SUBSTITUTE($Z33,W$1&amp;" (9)",""))&lt;lenb($Z33),9,IF(lenb(SUBSTITUTE($Z33,W$1&amp;" (10)",""))&lt;lenb($Z33),10,IF(lenb(SUBSTITUTE($Z33,W$1,""))&lt;lenb($Z33),"ERROR",IF($Z33=$Y$1,"-",0))))))))))))</f>
        <v>0</v>
      </c>
      <c r="X33" s="116">
        <f t="shared" si="38"/>
        <v>0</v>
      </c>
      <c r="Y33" s="116" t="str">
        <f t="shared" si="4"/>
        <v>-</v>
      </c>
      <c r="Z33" s="115" t="s">
        <v>3400</v>
      </c>
      <c r="AA33" s="54">
        <f t="shared" si="5"/>
        <v>1</v>
      </c>
      <c r="AB33" s="54">
        <f>COUNTIFS(Links!B:B,"FSE",Links!C:C,A33,Links!AD:AD,1)</f>
        <v>1</v>
      </c>
      <c r="AC33" s="117" t="s">
        <v>35</v>
      </c>
      <c r="AD33" s="118" t="s">
        <v>35</v>
      </c>
      <c r="AE33" s="115" t="s">
        <v>36</v>
      </c>
      <c r="AF33" s="57" t="s">
        <v>42</v>
      </c>
      <c r="AG33" s="57" t="s">
        <v>42</v>
      </c>
      <c r="AH33" s="57" t="s">
        <v>42</v>
      </c>
      <c r="AI33" s="116" t="str">
        <f t="shared" si="6"/>
        <v>----</v>
      </c>
      <c r="AJ33" s="119" t="str">
        <f t="shared" si="7"/>
        <v>Paper has link but no statement</v>
      </c>
      <c r="AK33" s="120" t="s">
        <v>3401</v>
      </c>
      <c r="AL33" s="121" t="s">
        <v>3402</v>
      </c>
      <c r="AM33" s="60" t="str">
        <f t="shared" si="8"/>
        <v>[FP0811]</v>
      </c>
    </row>
    <row r="34" ht="67.5" customHeight="1">
      <c r="A34" s="61">
        <v>812.0</v>
      </c>
      <c r="B34" s="22" t="s">
        <v>3481</v>
      </c>
      <c r="C34" s="23">
        <v>2014.0</v>
      </c>
      <c r="D34" s="100" t="s">
        <v>35</v>
      </c>
      <c r="E34" s="25" t="s">
        <v>36</v>
      </c>
      <c r="F34" s="25" t="s">
        <v>36</v>
      </c>
      <c r="G34" s="25" t="s">
        <v>36</v>
      </c>
      <c r="H34" s="25" t="s">
        <v>36</v>
      </c>
      <c r="I34" s="25" t="s">
        <v>36</v>
      </c>
      <c r="J34" s="101" t="s">
        <v>36</v>
      </c>
      <c r="K34" s="102" t="s">
        <v>37</v>
      </c>
      <c r="L34" s="103" t="s">
        <v>37</v>
      </c>
      <c r="M34" s="103" t="s">
        <v>35</v>
      </c>
      <c r="N34" s="103" t="s">
        <v>35</v>
      </c>
      <c r="O34" s="103" t="s">
        <v>35</v>
      </c>
      <c r="P34" s="103" t="s">
        <v>35</v>
      </c>
      <c r="Q34" s="103" t="s">
        <v>35</v>
      </c>
      <c r="R34" s="103" t="s">
        <v>37</v>
      </c>
      <c r="S34" s="104" t="s">
        <v>3482</v>
      </c>
      <c r="T34" s="30" t="s">
        <v>3483</v>
      </c>
      <c r="U34" s="30" t="s">
        <v>3483</v>
      </c>
      <c r="V34" s="105">
        <f t="shared" si="2"/>
        <v>1</v>
      </c>
      <c r="W34" s="105">
        <f t="shared" ref="W34:X34" si="39">IF(lenb(SUBSTITUTE($Z34,W$1&amp;" (1)",""))&lt;lenb($Z34),1,IF(lenb(SUBSTITUTE($Z34,W$1&amp;" (2)",""))&lt;lenb($Z34),2,IF(lenb(SUBSTITUTE($Z34,W$1&amp;" (3)",""))&lt;lenb($Z34),3,IF(lenb(SUBSTITUTE($Z34,W$1&amp;" (4)",""))&lt;lenb($Z34),4,IF(lenb(SUBSTITUTE($Z34,W$1&amp;" (5)",""))&lt;lenb($Z34),5,IF(lenb(SUBSTITUTE($Z34,W$1&amp;" (6)",""))&lt;lenb($Z34),6,IF(lenb(SUBSTITUTE($Z34,W$1&amp;" (7)",""))&lt;lenb($Z34),1,IF(lenb(SUBSTITUTE($Z34,W$1&amp;" (8)",""))&lt;lenb($Z34),8,IF(lenb(SUBSTITUTE($Z34,W$1&amp;" (9)",""))&lt;lenb($Z34),9,IF(lenb(SUBSTITUTE($Z34,W$1&amp;" (10)",""))&lt;lenb($Z34),10,IF(lenb(SUBSTITUTE($Z34,W$1,""))&lt;lenb($Z34),"ERROR",IF($Z34=$Y$1,"-",0))))))))))))</f>
        <v>0</v>
      </c>
      <c r="X34" s="105">
        <f t="shared" si="39"/>
        <v>0</v>
      </c>
      <c r="Y34" s="105" t="str">
        <f t="shared" si="4"/>
        <v>-</v>
      </c>
      <c r="Z34" s="104" t="s">
        <v>3400</v>
      </c>
      <c r="AA34" s="34">
        <f t="shared" si="5"/>
        <v>1</v>
      </c>
      <c r="AB34" s="34">
        <f>COUNTIFS(Links!B:B,"FSE",Links!C:C,A34,Links!AD:AD,1)</f>
        <v>1</v>
      </c>
      <c r="AC34" s="106" t="s">
        <v>35</v>
      </c>
      <c r="AD34" s="107" t="s">
        <v>35</v>
      </c>
      <c r="AE34" s="104" t="s">
        <v>36</v>
      </c>
      <c r="AF34" s="37" t="s">
        <v>42</v>
      </c>
      <c r="AG34" s="37" t="s">
        <v>42</v>
      </c>
      <c r="AH34" s="37" t="s">
        <v>42</v>
      </c>
      <c r="AI34" s="105" t="str">
        <f t="shared" si="6"/>
        <v>----</v>
      </c>
      <c r="AJ34" s="108" t="str">
        <f t="shared" si="7"/>
        <v>Paper has link but no statement</v>
      </c>
      <c r="AK34" s="109" t="s">
        <v>3401</v>
      </c>
      <c r="AL34" s="110" t="s">
        <v>3402</v>
      </c>
      <c r="AM34" s="40" t="str">
        <f t="shared" si="8"/>
        <v>[FP0812]</v>
      </c>
    </row>
    <row r="35" ht="67.5" customHeight="1">
      <c r="A35" s="41">
        <v>813.0</v>
      </c>
      <c r="B35" s="42" t="s">
        <v>3484</v>
      </c>
      <c r="C35" s="43">
        <v>2014.0</v>
      </c>
      <c r="D35" s="111" t="s">
        <v>35</v>
      </c>
      <c r="E35" s="45" t="s">
        <v>36</v>
      </c>
      <c r="F35" s="45" t="s">
        <v>36</v>
      </c>
      <c r="G35" s="45" t="s">
        <v>36</v>
      </c>
      <c r="H35" s="45" t="s">
        <v>36</v>
      </c>
      <c r="I35" s="45" t="s">
        <v>36</v>
      </c>
      <c r="J35" s="112" t="s">
        <v>36</v>
      </c>
      <c r="K35" s="113" t="s">
        <v>35</v>
      </c>
      <c r="L35" s="114" t="s">
        <v>36</v>
      </c>
      <c r="M35" s="114" t="s">
        <v>36</v>
      </c>
      <c r="N35" s="114" t="s">
        <v>36</v>
      </c>
      <c r="O35" s="114" t="s">
        <v>36</v>
      </c>
      <c r="P35" s="114" t="s">
        <v>36</v>
      </c>
      <c r="Q35" s="114" t="s">
        <v>36</v>
      </c>
      <c r="R35" s="114" t="s">
        <v>36</v>
      </c>
      <c r="S35" s="115" t="s">
        <v>42</v>
      </c>
      <c r="T35" s="50" t="s">
        <v>36</v>
      </c>
      <c r="U35" s="50" t="s">
        <v>36</v>
      </c>
      <c r="V35" s="116" t="str">
        <f t="shared" si="2"/>
        <v>-</v>
      </c>
      <c r="W35" s="116" t="str">
        <f t="shared" ref="W35:X35" si="40">IF(lenb(SUBSTITUTE($Z35,W$1&amp;" (1)",""))&lt;lenb($Z35),1,IF(lenb(SUBSTITUTE($Z35,W$1&amp;" (2)",""))&lt;lenb($Z35),2,IF(lenb(SUBSTITUTE($Z35,W$1&amp;" (3)",""))&lt;lenb($Z35),3,IF(lenb(SUBSTITUTE($Z35,W$1&amp;" (4)",""))&lt;lenb($Z35),4,IF(lenb(SUBSTITUTE($Z35,W$1&amp;" (5)",""))&lt;lenb($Z35),5,IF(lenb(SUBSTITUTE($Z35,W$1&amp;" (6)",""))&lt;lenb($Z35),6,IF(lenb(SUBSTITUTE($Z35,W$1&amp;" (7)",""))&lt;lenb($Z35),1,IF(lenb(SUBSTITUTE($Z35,W$1&amp;" (8)",""))&lt;lenb($Z35),8,IF(lenb(SUBSTITUTE($Z35,W$1&amp;" (9)",""))&lt;lenb($Z35),9,IF(lenb(SUBSTITUTE($Z35,W$1&amp;" (10)",""))&lt;lenb($Z35),10,IF(lenb(SUBSTITUTE($Z35,W$1,""))&lt;lenb($Z35),"ERROR",IF($Z35=$Y$1,"-",0))))))))))))</f>
        <v>-</v>
      </c>
      <c r="X35" s="116" t="str">
        <f t="shared" si="40"/>
        <v>-</v>
      </c>
      <c r="Y35" s="116">
        <f t="shared" si="4"/>
        <v>1</v>
      </c>
      <c r="Z35" s="115" t="s">
        <v>23</v>
      </c>
      <c r="AA35" s="54">
        <f t="shared" si="5"/>
        <v>0</v>
      </c>
      <c r="AB35" s="54">
        <f>COUNTIFS(Links!B:B,"FSE",Links!C:C,A35,Links!AD:AD,1)</f>
        <v>0</v>
      </c>
      <c r="AC35" s="117" t="s">
        <v>36</v>
      </c>
      <c r="AD35" s="118" t="s">
        <v>35</v>
      </c>
      <c r="AE35" s="115" t="s">
        <v>36</v>
      </c>
      <c r="AF35" s="57" t="s">
        <v>42</v>
      </c>
      <c r="AG35" s="57" t="s">
        <v>42</v>
      </c>
      <c r="AH35" s="57" t="s">
        <v>42</v>
      </c>
      <c r="AI35" s="116" t="str">
        <f t="shared" si="6"/>
        <v>----</v>
      </c>
      <c r="AJ35" s="119" t="str">
        <f t="shared" si="7"/>
        <v>Paper has no link and no statement</v>
      </c>
      <c r="AK35" s="120" t="s">
        <v>3401</v>
      </c>
      <c r="AL35" s="121" t="s">
        <v>3402</v>
      </c>
      <c r="AM35" s="60" t="str">
        <f t="shared" si="8"/>
        <v>[FP0813]</v>
      </c>
    </row>
    <row r="36" ht="67.5" customHeight="1">
      <c r="A36" s="61">
        <v>814.0</v>
      </c>
      <c r="B36" s="22" t="s">
        <v>3485</v>
      </c>
      <c r="C36" s="23">
        <v>2014.0</v>
      </c>
      <c r="D36" s="100" t="s">
        <v>35</v>
      </c>
      <c r="E36" s="25" t="s">
        <v>36</v>
      </c>
      <c r="F36" s="25" t="s">
        <v>36</v>
      </c>
      <c r="G36" s="25" t="s">
        <v>36</v>
      </c>
      <c r="H36" s="25" t="s">
        <v>36</v>
      </c>
      <c r="I36" s="25" t="s">
        <v>36</v>
      </c>
      <c r="J36" s="101" t="s">
        <v>36</v>
      </c>
      <c r="K36" s="102" t="s">
        <v>35</v>
      </c>
      <c r="L36" s="103" t="s">
        <v>36</v>
      </c>
      <c r="M36" s="103" t="s">
        <v>36</v>
      </c>
      <c r="N36" s="103" t="s">
        <v>36</v>
      </c>
      <c r="O36" s="103" t="s">
        <v>36</v>
      </c>
      <c r="P36" s="103" t="s">
        <v>36</v>
      </c>
      <c r="Q36" s="103" t="s">
        <v>36</v>
      </c>
      <c r="R36" s="103" t="s">
        <v>36</v>
      </c>
      <c r="S36" s="104" t="s">
        <v>42</v>
      </c>
      <c r="T36" s="30" t="s">
        <v>36</v>
      </c>
      <c r="U36" s="30" t="s">
        <v>36</v>
      </c>
      <c r="V36" s="105" t="str">
        <f t="shared" si="2"/>
        <v>-</v>
      </c>
      <c r="W36" s="105" t="str">
        <f t="shared" ref="W36:X36" si="41">IF(lenb(SUBSTITUTE($Z36,W$1&amp;" (1)",""))&lt;lenb($Z36),1,IF(lenb(SUBSTITUTE($Z36,W$1&amp;" (2)",""))&lt;lenb($Z36),2,IF(lenb(SUBSTITUTE($Z36,W$1&amp;" (3)",""))&lt;lenb($Z36),3,IF(lenb(SUBSTITUTE($Z36,W$1&amp;" (4)",""))&lt;lenb($Z36),4,IF(lenb(SUBSTITUTE($Z36,W$1&amp;" (5)",""))&lt;lenb($Z36),5,IF(lenb(SUBSTITUTE($Z36,W$1&amp;" (6)",""))&lt;lenb($Z36),6,IF(lenb(SUBSTITUTE($Z36,W$1&amp;" (7)",""))&lt;lenb($Z36),1,IF(lenb(SUBSTITUTE($Z36,W$1&amp;" (8)",""))&lt;lenb($Z36),8,IF(lenb(SUBSTITUTE($Z36,W$1&amp;" (9)",""))&lt;lenb($Z36),9,IF(lenb(SUBSTITUTE($Z36,W$1&amp;" (10)",""))&lt;lenb($Z36),10,IF(lenb(SUBSTITUTE($Z36,W$1,""))&lt;lenb($Z36),"ERROR",IF($Z36=$Y$1,"-",0))))))))))))</f>
        <v>-</v>
      </c>
      <c r="X36" s="105" t="str">
        <f t="shared" si="41"/>
        <v>-</v>
      </c>
      <c r="Y36" s="105">
        <f t="shared" si="4"/>
        <v>1</v>
      </c>
      <c r="Z36" s="104" t="s">
        <v>23</v>
      </c>
      <c r="AA36" s="34">
        <f t="shared" si="5"/>
        <v>0</v>
      </c>
      <c r="AB36" s="34">
        <f>COUNTIFS(Links!B:B,"FSE",Links!C:C,A36,Links!AD:AD,1)</f>
        <v>0</v>
      </c>
      <c r="AC36" s="106" t="s">
        <v>36</v>
      </c>
      <c r="AD36" s="107" t="s">
        <v>35</v>
      </c>
      <c r="AE36" s="104" t="s">
        <v>36</v>
      </c>
      <c r="AF36" s="37" t="s">
        <v>42</v>
      </c>
      <c r="AG36" s="37" t="s">
        <v>42</v>
      </c>
      <c r="AH36" s="37" t="s">
        <v>42</v>
      </c>
      <c r="AI36" s="105" t="str">
        <f t="shared" si="6"/>
        <v>----</v>
      </c>
      <c r="AJ36" s="108" t="str">
        <f t="shared" si="7"/>
        <v>Paper has no link and no statement</v>
      </c>
      <c r="AK36" s="109" t="s">
        <v>3401</v>
      </c>
      <c r="AL36" s="110" t="s">
        <v>3402</v>
      </c>
      <c r="AM36" s="40" t="str">
        <f t="shared" si="8"/>
        <v>[FP0814]</v>
      </c>
    </row>
    <row r="37" ht="67.5" customHeight="1">
      <c r="A37" s="41">
        <v>815.0</v>
      </c>
      <c r="B37" s="42" t="s">
        <v>3486</v>
      </c>
      <c r="C37" s="43">
        <v>2014.0</v>
      </c>
      <c r="D37" s="111" t="s">
        <v>35</v>
      </c>
      <c r="E37" s="45" t="s">
        <v>36</v>
      </c>
      <c r="F37" s="45" t="s">
        <v>36</v>
      </c>
      <c r="G37" s="45" t="s">
        <v>36</v>
      </c>
      <c r="H37" s="45" t="s">
        <v>36</v>
      </c>
      <c r="I37" s="45" t="s">
        <v>36</v>
      </c>
      <c r="J37" s="112" t="s">
        <v>36</v>
      </c>
      <c r="K37" s="113" t="s">
        <v>35</v>
      </c>
      <c r="L37" s="114" t="s">
        <v>36</v>
      </c>
      <c r="M37" s="114" t="s">
        <v>36</v>
      </c>
      <c r="N37" s="114" t="s">
        <v>36</v>
      </c>
      <c r="O37" s="114" t="s">
        <v>36</v>
      </c>
      <c r="P37" s="114" t="s">
        <v>36</v>
      </c>
      <c r="Q37" s="114" t="s">
        <v>36</v>
      </c>
      <c r="R37" s="114" t="s">
        <v>36</v>
      </c>
      <c r="S37" s="115" t="s">
        <v>42</v>
      </c>
      <c r="T37" s="50" t="s">
        <v>36</v>
      </c>
      <c r="U37" s="50" t="s">
        <v>36</v>
      </c>
      <c r="V37" s="116" t="str">
        <f t="shared" si="2"/>
        <v>-</v>
      </c>
      <c r="W37" s="116" t="str">
        <f t="shared" ref="W37:X37" si="42">IF(lenb(SUBSTITUTE($Z37,W$1&amp;" (1)",""))&lt;lenb($Z37),1,IF(lenb(SUBSTITUTE($Z37,W$1&amp;" (2)",""))&lt;lenb($Z37),2,IF(lenb(SUBSTITUTE($Z37,W$1&amp;" (3)",""))&lt;lenb($Z37),3,IF(lenb(SUBSTITUTE($Z37,W$1&amp;" (4)",""))&lt;lenb($Z37),4,IF(lenb(SUBSTITUTE($Z37,W$1&amp;" (5)",""))&lt;lenb($Z37),5,IF(lenb(SUBSTITUTE($Z37,W$1&amp;" (6)",""))&lt;lenb($Z37),6,IF(lenb(SUBSTITUTE($Z37,W$1&amp;" (7)",""))&lt;lenb($Z37),1,IF(lenb(SUBSTITUTE($Z37,W$1&amp;" (8)",""))&lt;lenb($Z37),8,IF(lenb(SUBSTITUTE($Z37,W$1&amp;" (9)",""))&lt;lenb($Z37),9,IF(lenb(SUBSTITUTE($Z37,W$1&amp;" (10)",""))&lt;lenb($Z37),10,IF(lenb(SUBSTITUTE($Z37,W$1,""))&lt;lenb($Z37),"ERROR",IF($Z37=$Y$1,"-",0))))))))))))</f>
        <v>-</v>
      </c>
      <c r="X37" s="116" t="str">
        <f t="shared" si="42"/>
        <v>-</v>
      </c>
      <c r="Y37" s="116">
        <f t="shared" si="4"/>
        <v>1</v>
      </c>
      <c r="Z37" s="115" t="s">
        <v>23</v>
      </c>
      <c r="AA37" s="54">
        <f t="shared" si="5"/>
        <v>0</v>
      </c>
      <c r="AB37" s="54">
        <f>COUNTIFS(Links!B:B,"FSE",Links!C:C,A37,Links!AD:AD,1)</f>
        <v>0</v>
      </c>
      <c r="AC37" s="117" t="s">
        <v>36</v>
      </c>
      <c r="AD37" s="118" t="s">
        <v>35</v>
      </c>
      <c r="AE37" s="115" t="s">
        <v>36</v>
      </c>
      <c r="AF37" s="57" t="s">
        <v>42</v>
      </c>
      <c r="AG37" s="57" t="s">
        <v>42</v>
      </c>
      <c r="AH37" s="57" t="s">
        <v>42</v>
      </c>
      <c r="AI37" s="116" t="str">
        <f t="shared" si="6"/>
        <v>----</v>
      </c>
      <c r="AJ37" s="119" t="str">
        <f t="shared" si="7"/>
        <v>Paper has no link and no statement</v>
      </c>
      <c r="AK37" s="120" t="s">
        <v>3401</v>
      </c>
      <c r="AL37" s="121" t="s">
        <v>3402</v>
      </c>
      <c r="AM37" s="60" t="str">
        <f t="shared" si="8"/>
        <v>[FP0815]</v>
      </c>
    </row>
    <row r="38" ht="67.5" customHeight="1">
      <c r="A38" s="61">
        <v>816.0</v>
      </c>
      <c r="B38" s="22" t="s">
        <v>3487</v>
      </c>
      <c r="C38" s="23">
        <v>2014.0</v>
      </c>
      <c r="D38" s="100" t="s">
        <v>35</v>
      </c>
      <c r="E38" s="25" t="s">
        <v>36</v>
      </c>
      <c r="F38" s="25" t="s">
        <v>36</v>
      </c>
      <c r="G38" s="25" t="s">
        <v>36</v>
      </c>
      <c r="H38" s="25" t="s">
        <v>36</v>
      </c>
      <c r="I38" s="25" t="s">
        <v>36</v>
      </c>
      <c r="J38" s="101" t="s">
        <v>36</v>
      </c>
      <c r="K38" s="102" t="s">
        <v>37</v>
      </c>
      <c r="L38" s="103" t="s">
        <v>37</v>
      </c>
      <c r="M38" s="103" t="s">
        <v>35</v>
      </c>
      <c r="N38" s="103" t="s">
        <v>35</v>
      </c>
      <c r="O38" s="103" t="s">
        <v>35</v>
      </c>
      <c r="P38" s="103" t="s">
        <v>35</v>
      </c>
      <c r="Q38" s="103" t="s">
        <v>35</v>
      </c>
      <c r="R38" s="103" t="s">
        <v>37</v>
      </c>
      <c r="S38" s="104" t="s">
        <v>3488</v>
      </c>
      <c r="T38" s="30" t="s">
        <v>3489</v>
      </c>
      <c r="U38" s="30" t="s">
        <v>3489</v>
      </c>
      <c r="V38" s="105">
        <f t="shared" si="2"/>
        <v>1</v>
      </c>
      <c r="W38" s="105">
        <f t="shared" ref="W38:X38" si="43">IF(lenb(SUBSTITUTE($Z38,W$1&amp;" (1)",""))&lt;lenb($Z38),1,IF(lenb(SUBSTITUTE($Z38,W$1&amp;" (2)",""))&lt;lenb($Z38),2,IF(lenb(SUBSTITUTE($Z38,W$1&amp;" (3)",""))&lt;lenb($Z38),3,IF(lenb(SUBSTITUTE($Z38,W$1&amp;" (4)",""))&lt;lenb($Z38),4,IF(lenb(SUBSTITUTE($Z38,W$1&amp;" (5)",""))&lt;lenb($Z38),5,IF(lenb(SUBSTITUTE($Z38,W$1&amp;" (6)",""))&lt;lenb($Z38),6,IF(lenb(SUBSTITUTE($Z38,W$1&amp;" (7)",""))&lt;lenb($Z38),1,IF(lenb(SUBSTITUTE($Z38,W$1&amp;" (8)",""))&lt;lenb($Z38),8,IF(lenb(SUBSTITUTE($Z38,W$1&amp;" (9)",""))&lt;lenb($Z38),9,IF(lenb(SUBSTITUTE($Z38,W$1&amp;" (10)",""))&lt;lenb($Z38),10,IF(lenb(SUBSTITUTE($Z38,W$1,""))&lt;lenb($Z38),"ERROR",IF($Z38=$Y$1,"-",0))))))))))))</f>
        <v>0</v>
      </c>
      <c r="X38" s="105">
        <f t="shared" si="43"/>
        <v>0</v>
      </c>
      <c r="Y38" s="105" t="str">
        <f t="shared" si="4"/>
        <v>-</v>
      </c>
      <c r="Z38" s="104" t="s">
        <v>3400</v>
      </c>
      <c r="AA38" s="34">
        <f t="shared" si="5"/>
        <v>1</v>
      </c>
      <c r="AB38" s="34">
        <f>COUNTIFS(Links!B:B,"FSE",Links!C:C,A38,Links!AD:AD,1)</f>
        <v>1</v>
      </c>
      <c r="AC38" s="106" t="s">
        <v>35</v>
      </c>
      <c r="AD38" s="107" t="s">
        <v>35</v>
      </c>
      <c r="AE38" s="104" t="s">
        <v>36</v>
      </c>
      <c r="AF38" s="37" t="s">
        <v>42</v>
      </c>
      <c r="AG38" s="37" t="s">
        <v>42</v>
      </c>
      <c r="AH38" s="37" t="s">
        <v>42</v>
      </c>
      <c r="AI38" s="105" t="str">
        <f t="shared" si="6"/>
        <v>----</v>
      </c>
      <c r="AJ38" s="108" t="str">
        <f t="shared" si="7"/>
        <v>Paper has link but no statement</v>
      </c>
      <c r="AK38" s="109" t="s">
        <v>3401</v>
      </c>
      <c r="AL38" s="110" t="s">
        <v>3402</v>
      </c>
      <c r="AM38" s="40" t="str">
        <f t="shared" si="8"/>
        <v>[FP0816]</v>
      </c>
    </row>
    <row r="39" ht="67.5" customHeight="1">
      <c r="A39" s="41">
        <v>817.0</v>
      </c>
      <c r="B39" s="42" t="s">
        <v>3490</v>
      </c>
      <c r="C39" s="43">
        <v>2014.0</v>
      </c>
      <c r="D39" s="111" t="s">
        <v>37</v>
      </c>
      <c r="E39" s="45" t="s">
        <v>36</v>
      </c>
      <c r="F39" s="45" t="s">
        <v>36</v>
      </c>
      <c r="G39" s="45" t="s">
        <v>36</v>
      </c>
      <c r="H39" s="45" t="s">
        <v>36</v>
      </c>
      <c r="I39" s="45" t="s">
        <v>36</v>
      </c>
      <c r="J39" s="112" t="s">
        <v>3409</v>
      </c>
      <c r="K39" s="113" t="s">
        <v>37</v>
      </c>
      <c r="L39" s="114" t="s">
        <v>35</v>
      </c>
      <c r="M39" s="114" t="s">
        <v>37</v>
      </c>
      <c r="N39" s="114" t="s">
        <v>35</v>
      </c>
      <c r="O39" s="114" t="s">
        <v>35</v>
      </c>
      <c r="P39" s="114" t="s">
        <v>35</v>
      </c>
      <c r="Q39" s="114" t="s">
        <v>35</v>
      </c>
      <c r="R39" s="114" t="s">
        <v>37</v>
      </c>
      <c r="S39" s="115" t="s">
        <v>3491</v>
      </c>
      <c r="T39" s="42" t="s">
        <v>3492</v>
      </c>
      <c r="U39" s="50" t="s">
        <v>3492</v>
      </c>
      <c r="V39" s="116">
        <f t="shared" si="2"/>
        <v>0</v>
      </c>
      <c r="W39" s="116">
        <f t="shared" ref="W39:X39" si="44">IF(lenb(SUBSTITUTE($Z39,W$1&amp;" (1)",""))&lt;lenb($Z39),1,IF(lenb(SUBSTITUTE($Z39,W$1&amp;" (2)",""))&lt;lenb($Z39),2,IF(lenb(SUBSTITUTE($Z39,W$1&amp;" (3)",""))&lt;lenb($Z39),3,IF(lenb(SUBSTITUTE($Z39,W$1&amp;" (4)",""))&lt;lenb($Z39),4,IF(lenb(SUBSTITUTE($Z39,W$1&amp;" (5)",""))&lt;lenb($Z39),5,IF(lenb(SUBSTITUTE($Z39,W$1&amp;" (6)",""))&lt;lenb($Z39),6,IF(lenb(SUBSTITUTE($Z39,W$1&amp;" (7)",""))&lt;lenb($Z39),1,IF(lenb(SUBSTITUTE($Z39,W$1&amp;" (8)",""))&lt;lenb($Z39),8,IF(lenb(SUBSTITUTE($Z39,W$1&amp;" (9)",""))&lt;lenb($Z39),9,IF(lenb(SUBSTITUTE($Z39,W$1&amp;" (10)",""))&lt;lenb($Z39),10,IF(lenb(SUBSTITUTE($Z39,W$1,""))&lt;lenb($Z39),"ERROR",IF($Z39=$Y$1,"-",0))))))))))))</f>
        <v>1</v>
      </c>
      <c r="X39" s="116">
        <f t="shared" si="44"/>
        <v>0</v>
      </c>
      <c r="Y39" s="116" t="str">
        <f t="shared" si="4"/>
        <v>-</v>
      </c>
      <c r="Z39" s="115" t="s">
        <v>3423</v>
      </c>
      <c r="AA39" s="54">
        <f t="shared" si="5"/>
        <v>1</v>
      </c>
      <c r="AB39" s="54">
        <f>COUNTIFS(Links!B:B,"FSE",Links!C:C,A39,Links!AD:AD,1)</f>
        <v>1</v>
      </c>
      <c r="AC39" s="117" t="s">
        <v>35</v>
      </c>
      <c r="AD39" s="118" t="s">
        <v>37</v>
      </c>
      <c r="AE39" s="115" t="s">
        <v>3493</v>
      </c>
      <c r="AF39" s="57" t="s">
        <v>146</v>
      </c>
      <c r="AG39" s="57" t="s">
        <v>42</v>
      </c>
      <c r="AH39" s="57" t="s">
        <v>42</v>
      </c>
      <c r="AI39" s="116" t="str">
        <f t="shared" si="6"/>
        <v>Future plans (—)</v>
      </c>
      <c r="AJ39" s="119" t="str">
        <f t="shared" si="7"/>
        <v>Paper has link and statement</v>
      </c>
      <c r="AK39" s="120" t="s">
        <v>3401</v>
      </c>
      <c r="AL39" s="121" t="s">
        <v>3402</v>
      </c>
      <c r="AM39" s="60" t="str">
        <f t="shared" si="8"/>
        <v>[FP0817]</v>
      </c>
    </row>
    <row r="40" ht="67.5" customHeight="1">
      <c r="A40" s="61">
        <v>818.0</v>
      </c>
      <c r="B40" s="22" t="s">
        <v>3494</v>
      </c>
      <c r="C40" s="23">
        <v>2014.0</v>
      </c>
      <c r="D40" s="100" t="s">
        <v>35</v>
      </c>
      <c r="E40" s="25" t="s">
        <v>36</v>
      </c>
      <c r="F40" s="25" t="s">
        <v>36</v>
      </c>
      <c r="G40" s="25" t="s">
        <v>36</v>
      </c>
      <c r="H40" s="25" t="s">
        <v>36</v>
      </c>
      <c r="I40" s="25" t="s">
        <v>36</v>
      </c>
      <c r="J40" s="101" t="s">
        <v>36</v>
      </c>
      <c r="K40" s="102" t="s">
        <v>35</v>
      </c>
      <c r="L40" s="103" t="s">
        <v>36</v>
      </c>
      <c r="M40" s="103" t="s">
        <v>36</v>
      </c>
      <c r="N40" s="103" t="s">
        <v>36</v>
      </c>
      <c r="O40" s="103" t="s">
        <v>36</v>
      </c>
      <c r="P40" s="103" t="s">
        <v>36</v>
      </c>
      <c r="Q40" s="103" t="s">
        <v>36</v>
      </c>
      <c r="R40" s="103" t="s">
        <v>36</v>
      </c>
      <c r="S40" s="104" t="s">
        <v>42</v>
      </c>
      <c r="T40" s="30" t="s">
        <v>36</v>
      </c>
      <c r="U40" s="30" t="s">
        <v>36</v>
      </c>
      <c r="V40" s="105" t="str">
        <f t="shared" si="2"/>
        <v>-</v>
      </c>
      <c r="W40" s="105" t="str">
        <f t="shared" ref="W40:X40" si="45">IF(lenb(SUBSTITUTE($Z40,W$1&amp;" (1)",""))&lt;lenb($Z40),1,IF(lenb(SUBSTITUTE($Z40,W$1&amp;" (2)",""))&lt;lenb($Z40),2,IF(lenb(SUBSTITUTE($Z40,W$1&amp;" (3)",""))&lt;lenb($Z40),3,IF(lenb(SUBSTITUTE($Z40,W$1&amp;" (4)",""))&lt;lenb($Z40),4,IF(lenb(SUBSTITUTE($Z40,W$1&amp;" (5)",""))&lt;lenb($Z40),5,IF(lenb(SUBSTITUTE($Z40,W$1&amp;" (6)",""))&lt;lenb($Z40),6,IF(lenb(SUBSTITUTE($Z40,W$1&amp;" (7)",""))&lt;lenb($Z40),1,IF(lenb(SUBSTITUTE($Z40,W$1&amp;" (8)",""))&lt;lenb($Z40),8,IF(lenb(SUBSTITUTE($Z40,W$1&amp;" (9)",""))&lt;lenb($Z40),9,IF(lenb(SUBSTITUTE($Z40,W$1&amp;" (10)",""))&lt;lenb($Z40),10,IF(lenb(SUBSTITUTE($Z40,W$1,""))&lt;lenb($Z40),"ERROR",IF($Z40=$Y$1,"-",0))))))))))))</f>
        <v>-</v>
      </c>
      <c r="X40" s="105" t="str">
        <f t="shared" si="45"/>
        <v>-</v>
      </c>
      <c r="Y40" s="105">
        <f t="shared" si="4"/>
        <v>1</v>
      </c>
      <c r="Z40" s="104" t="s">
        <v>23</v>
      </c>
      <c r="AA40" s="34">
        <f t="shared" si="5"/>
        <v>0</v>
      </c>
      <c r="AB40" s="34">
        <f>COUNTIFS(Links!B:B,"FSE",Links!C:C,A40,Links!AD:AD,1)</f>
        <v>0</v>
      </c>
      <c r="AC40" s="106" t="s">
        <v>36</v>
      </c>
      <c r="AD40" s="107" t="s">
        <v>35</v>
      </c>
      <c r="AE40" s="104" t="s">
        <v>36</v>
      </c>
      <c r="AF40" s="37" t="s">
        <v>42</v>
      </c>
      <c r="AG40" s="37" t="s">
        <v>42</v>
      </c>
      <c r="AH40" s="37" t="s">
        <v>42</v>
      </c>
      <c r="AI40" s="105" t="str">
        <f t="shared" si="6"/>
        <v>----</v>
      </c>
      <c r="AJ40" s="108" t="str">
        <f t="shared" si="7"/>
        <v>Paper has no link and no statement</v>
      </c>
      <c r="AK40" s="109" t="s">
        <v>3401</v>
      </c>
      <c r="AL40" s="110" t="s">
        <v>3402</v>
      </c>
      <c r="AM40" s="40" t="str">
        <f t="shared" si="8"/>
        <v>[FP0818]</v>
      </c>
    </row>
    <row r="41" ht="67.5" customHeight="1">
      <c r="A41" s="41">
        <v>819.0</v>
      </c>
      <c r="B41" s="42" t="s">
        <v>3495</v>
      </c>
      <c r="C41" s="43">
        <v>2014.0</v>
      </c>
      <c r="D41" s="122" t="s">
        <v>37</v>
      </c>
      <c r="E41" s="45" t="s">
        <v>36</v>
      </c>
      <c r="F41" s="45" t="s">
        <v>36</v>
      </c>
      <c r="G41" s="45" t="s">
        <v>36</v>
      </c>
      <c r="H41" s="45" t="s">
        <v>36</v>
      </c>
      <c r="I41" s="45" t="s">
        <v>36</v>
      </c>
      <c r="J41" s="112" t="s">
        <v>3409</v>
      </c>
      <c r="K41" s="113" t="s">
        <v>35</v>
      </c>
      <c r="L41" s="114" t="s">
        <v>36</v>
      </c>
      <c r="M41" s="114" t="s">
        <v>36</v>
      </c>
      <c r="N41" s="114" t="s">
        <v>36</v>
      </c>
      <c r="O41" s="114" t="s">
        <v>36</v>
      </c>
      <c r="P41" s="114" t="s">
        <v>36</v>
      </c>
      <c r="Q41" s="114" t="s">
        <v>36</v>
      </c>
      <c r="R41" s="114" t="s">
        <v>36</v>
      </c>
      <c r="S41" s="115" t="s">
        <v>42</v>
      </c>
      <c r="T41" s="50" t="s">
        <v>36</v>
      </c>
      <c r="U41" s="50" t="s">
        <v>36</v>
      </c>
      <c r="V41" s="116" t="str">
        <f t="shared" si="2"/>
        <v>-</v>
      </c>
      <c r="W41" s="116" t="str">
        <f t="shared" ref="W41:X41" si="46">IF(lenb(SUBSTITUTE($Z41,W$1&amp;" (1)",""))&lt;lenb($Z41),1,IF(lenb(SUBSTITUTE($Z41,W$1&amp;" (2)",""))&lt;lenb($Z41),2,IF(lenb(SUBSTITUTE($Z41,W$1&amp;" (3)",""))&lt;lenb($Z41),3,IF(lenb(SUBSTITUTE($Z41,W$1&amp;" (4)",""))&lt;lenb($Z41),4,IF(lenb(SUBSTITUTE($Z41,W$1&amp;" (5)",""))&lt;lenb($Z41),5,IF(lenb(SUBSTITUTE($Z41,W$1&amp;" (6)",""))&lt;lenb($Z41),6,IF(lenb(SUBSTITUTE($Z41,W$1&amp;" (7)",""))&lt;lenb($Z41),1,IF(lenb(SUBSTITUTE($Z41,W$1&amp;" (8)",""))&lt;lenb($Z41),8,IF(lenb(SUBSTITUTE($Z41,W$1&amp;" (9)",""))&lt;lenb($Z41),9,IF(lenb(SUBSTITUTE($Z41,W$1&amp;" (10)",""))&lt;lenb($Z41),10,IF(lenb(SUBSTITUTE($Z41,W$1,""))&lt;lenb($Z41),"ERROR",IF($Z41=$Y$1,"-",0))))))))))))</f>
        <v>-</v>
      </c>
      <c r="X41" s="116" t="str">
        <f t="shared" si="46"/>
        <v>-</v>
      </c>
      <c r="Y41" s="116">
        <f t="shared" si="4"/>
        <v>1</v>
      </c>
      <c r="Z41" s="115" t="s">
        <v>23</v>
      </c>
      <c r="AA41" s="54">
        <f t="shared" si="5"/>
        <v>0</v>
      </c>
      <c r="AB41" s="54">
        <f>COUNTIFS(Links!B:B,"FSE",Links!C:C,A41,Links!AD:AD,1)</f>
        <v>0</v>
      </c>
      <c r="AC41" s="117" t="s">
        <v>36</v>
      </c>
      <c r="AD41" s="118" t="s">
        <v>35</v>
      </c>
      <c r="AE41" s="115" t="s">
        <v>36</v>
      </c>
      <c r="AF41" s="57" t="s">
        <v>42</v>
      </c>
      <c r="AG41" s="57" t="s">
        <v>42</v>
      </c>
      <c r="AH41" s="57" t="s">
        <v>42</v>
      </c>
      <c r="AI41" s="116" t="str">
        <f t="shared" si="6"/>
        <v>----</v>
      </c>
      <c r="AJ41" s="119" t="str">
        <f t="shared" si="7"/>
        <v>Paper has no link and no statement</v>
      </c>
      <c r="AK41" s="120" t="s">
        <v>3401</v>
      </c>
      <c r="AL41" s="121" t="s">
        <v>3402</v>
      </c>
      <c r="AM41" s="60" t="str">
        <f t="shared" si="8"/>
        <v>[FP0819]</v>
      </c>
    </row>
    <row r="42" ht="67.5" customHeight="1">
      <c r="A42" s="61">
        <v>820.0</v>
      </c>
      <c r="B42" s="22" t="s">
        <v>3496</v>
      </c>
      <c r="C42" s="23">
        <v>2014.0</v>
      </c>
      <c r="D42" s="100" t="s">
        <v>35</v>
      </c>
      <c r="E42" s="25" t="s">
        <v>36</v>
      </c>
      <c r="F42" s="25" t="s">
        <v>36</v>
      </c>
      <c r="G42" s="25" t="s">
        <v>36</v>
      </c>
      <c r="H42" s="25" t="s">
        <v>36</v>
      </c>
      <c r="I42" s="25" t="s">
        <v>36</v>
      </c>
      <c r="J42" s="101" t="s">
        <v>36</v>
      </c>
      <c r="K42" s="102" t="s">
        <v>35</v>
      </c>
      <c r="L42" s="103" t="s">
        <v>36</v>
      </c>
      <c r="M42" s="103" t="s">
        <v>36</v>
      </c>
      <c r="N42" s="103" t="s">
        <v>36</v>
      </c>
      <c r="O42" s="103" t="s">
        <v>36</v>
      </c>
      <c r="P42" s="103" t="s">
        <v>36</v>
      </c>
      <c r="Q42" s="103" t="s">
        <v>36</v>
      </c>
      <c r="R42" s="103" t="s">
        <v>36</v>
      </c>
      <c r="S42" s="104" t="s">
        <v>42</v>
      </c>
      <c r="T42" s="30" t="s">
        <v>36</v>
      </c>
      <c r="U42" s="30" t="s">
        <v>36</v>
      </c>
      <c r="V42" s="105" t="str">
        <f t="shared" si="2"/>
        <v>-</v>
      </c>
      <c r="W42" s="105" t="str">
        <f t="shared" ref="W42:X42" si="47">IF(lenb(SUBSTITUTE($Z42,W$1&amp;" (1)",""))&lt;lenb($Z42),1,IF(lenb(SUBSTITUTE($Z42,W$1&amp;" (2)",""))&lt;lenb($Z42),2,IF(lenb(SUBSTITUTE($Z42,W$1&amp;" (3)",""))&lt;lenb($Z42),3,IF(lenb(SUBSTITUTE($Z42,W$1&amp;" (4)",""))&lt;lenb($Z42),4,IF(lenb(SUBSTITUTE($Z42,W$1&amp;" (5)",""))&lt;lenb($Z42),5,IF(lenb(SUBSTITUTE($Z42,W$1&amp;" (6)",""))&lt;lenb($Z42),6,IF(lenb(SUBSTITUTE($Z42,W$1&amp;" (7)",""))&lt;lenb($Z42),1,IF(lenb(SUBSTITUTE($Z42,W$1&amp;" (8)",""))&lt;lenb($Z42),8,IF(lenb(SUBSTITUTE($Z42,W$1&amp;" (9)",""))&lt;lenb($Z42),9,IF(lenb(SUBSTITUTE($Z42,W$1&amp;" (10)",""))&lt;lenb($Z42),10,IF(lenb(SUBSTITUTE($Z42,W$1,""))&lt;lenb($Z42),"ERROR",IF($Z42=$Y$1,"-",0))))))))))))</f>
        <v>-</v>
      </c>
      <c r="X42" s="105" t="str">
        <f t="shared" si="47"/>
        <v>-</v>
      </c>
      <c r="Y42" s="105">
        <f t="shared" si="4"/>
        <v>1</v>
      </c>
      <c r="Z42" s="104" t="s">
        <v>23</v>
      </c>
      <c r="AA42" s="34">
        <f t="shared" si="5"/>
        <v>0</v>
      </c>
      <c r="AB42" s="34">
        <f>COUNTIFS(Links!B:B,"FSE",Links!C:C,A42,Links!AD:AD,1)</f>
        <v>0</v>
      </c>
      <c r="AC42" s="106" t="s">
        <v>36</v>
      </c>
      <c r="AD42" s="107" t="s">
        <v>35</v>
      </c>
      <c r="AE42" s="104" t="s">
        <v>36</v>
      </c>
      <c r="AF42" s="37" t="s">
        <v>42</v>
      </c>
      <c r="AG42" s="37" t="s">
        <v>42</v>
      </c>
      <c r="AH42" s="37" t="s">
        <v>42</v>
      </c>
      <c r="AI42" s="105" t="str">
        <f t="shared" si="6"/>
        <v>----</v>
      </c>
      <c r="AJ42" s="108" t="str">
        <f t="shared" si="7"/>
        <v>Paper has no link and no statement</v>
      </c>
      <c r="AK42" s="109" t="s">
        <v>3401</v>
      </c>
      <c r="AL42" s="110" t="s">
        <v>3402</v>
      </c>
      <c r="AM42" s="40" t="str">
        <f t="shared" si="8"/>
        <v>[FP0820]</v>
      </c>
    </row>
    <row r="43" ht="67.5" customHeight="1">
      <c r="A43" s="41">
        <v>821.0</v>
      </c>
      <c r="B43" s="42" t="s">
        <v>3497</v>
      </c>
      <c r="C43" s="43">
        <v>2014.0</v>
      </c>
      <c r="D43" s="122" t="s">
        <v>37</v>
      </c>
      <c r="E43" s="45" t="s">
        <v>36</v>
      </c>
      <c r="F43" s="45" t="s">
        <v>36</v>
      </c>
      <c r="G43" s="45" t="s">
        <v>36</v>
      </c>
      <c r="H43" s="45" t="s">
        <v>36</v>
      </c>
      <c r="I43" s="45" t="s">
        <v>36</v>
      </c>
      <c r="J43" s="112" t="s">
        <v>3409</v>
      </c>
      <c r="K43" s="113" t="s">
        <v>37</v>
      </c>
      <c r="L43" s="114" t="s">
        <v>37</v>
      </c>
      <c r="M43" s="114" t="s">
        <v>35</v>
      </c>
      <c r="N43" s="114" t="s">
        <v>37</v>
      </c>
      <c r="O43" s="114" t="s">
        <v>35</v>
      </c>
      <c r="P43" s="114" t="s">
        <v>37</v>
      </c>
      <c r="Q43" s="114" t="s">
        <v>35</v>
      </c>
      <c r="R43" s="114" t="s">
        <v>37</v>
      </c>
      <c r="S43" s="115" t="s">
        <v>3498</v>
      </c>
      <c r="T43" s="50" t="s">
        <v>3499</v>
      </c>
      <c r="U43" s="50" t="s">
        <v>3499</v>
      </c>
      <c r="V43" s="116">
        <f t="shared" si="2"/>
        <v>0</v>
      </c>
      <c r="W43" s="116">
        <f t="shared" ref="W43:X43" si="48">IF(lenb(SUBSTITUTE($Z43,W$1&amp;" (1)",""))&lt;lenb($Z43),1,IF(lenb(SUBSTITUTE($Z43,W$1&amp;" (2)",""))&lt;lenb($Z43),2,IF(lenb(SUBSTITUTE($Z43,W$1&amp;" (3)",""))&lt;lenb($Z43),3,IF(lenb(SUBSTITUTE($Z43,W$1&amp;" (4)",""))&lt;lenb($Z43),4,IF(lenb(SUBSTITUTE($Z43,W$1&amp;" (5)",""))&lt;lenb($Z43),5,IF(lenb(SUBSTITUTE($Z43,W$1&amp;" (6)",""))&lt;lenb($Z43),6,IF(lenb(SUBSTITUTE($Z43,W$1&amp;" (7)",""))&lt;lenb($Z43),1,IF(lenb(SUBSTITUTE($Z43,W$1&amp;" (8)",""))&lt;lenb($Z43),8,IF(lenb(SUBSTITUTE($Z43,W$1&amp;" (9)",""))&lt;lenb($Z43),9,IF(lenb(SUBSTITUTE($Z43,W$1&amp;" (10)",""))&lt;lenb($Z43),10,IF(lenb(SUBSTITUTE($Z43,W$1,""))&lt;lenb($Z43),"ERROR",IF($Z43=$Y$1,"-",0))))))))))))</f>
        <v>2</v>
      </c>
      <c r="X43" s="116">
        <f t="shared" si="48"/>
        <v>0</v>
      </c>
      <c r="Y43" s="116" t="str">
        <f t="shared" si="4"/>
        <v>-</v>
      </c>
      <c r="Z43" s="115" t="s">
        <v>3419</v>
      </c>
      <c r="AA43" s="54">
        <f t="shared" si="5"/>
        <v>2</v>
      </c>
      <c r="AB43" s="54">
        <f>COUNTIFS(Links!B:B,"FSE",Links!C:C,A43,Links!AD:AD,1)</f>
        <v>2</v>
      </c>
      <c r="AC43" s="117" t="s">
        <v>35</v>
      </c>
      <c r="AD43" s="118" t="s">
        <v>35</v>
      </c>
      <c r="AE43" s="115" t="s">
        <v>36</v>
      </c>
      <c r="AF43" s="57" t="s">
        <v>42</v>
      </c>
      <c r="AG43" s="57" t="s">
        <v>42</v>
      </c>
      <c r="AH43" s="57" t="s">
        <v>42</v>
      </c>
      <c r="AI43" s="116" t="str">
        <f t="shared" si="6"/>
        <v>----</v>
      </c>
      <c r="AJ43" s="119" t="str">
        <f t="shared" si="7"/>
        <v>Paper has link but no statement</v>
      </c>
      <c r="AK43" s="120" t="s">
        <v>3401</v>
      </c>
      <c r="AL43" s="121" t="s">
        <v>3402</v>
      </c>
      <c r="AM43" s="60" t="str">
        <f t="shared" si="8"/>
        <v>[FP0821]</v>
      </c>
    </row>
    <row r="44" ht="67.5" customHeight="1">
      <c r="A44" s="61">
        <v>822.0</v>
      </c>
      <c r="B44" s="22" t="s">
        <v>3500</v>
      </c>
      <c r="C44" s="23">
        <v>2014.0</v>
      </c>
      <c r="D44" s="125" t="s">
        <v>37</v>
      </c>
      <c r="E44" s="25" t="s">
        <v>36</v>
      </c>
      <c r="F44" s="25" t="s">
        <v>36</v>
      </c>
      <c r="G44" s="25" t="s">
        <v>36</v>
      </c>
      <c r="H44" s="25" t="s">
        <v>36</v>
      </c>
      <c r="I44" s="25" t="s">
        <v>36</v>
      </c>
      <c r="J44" s="101" t="s">
        <v>3409</v>
      </c>
      <c r="K44" s="102" t="s">
        <v>37</v>
      </c>
      <c r="L44" s="103" t="s">
        <v>37</v>
      </c>
      <c r="M44" s="103" t="s">
        <v>35</v>
      </c>
      <c r="N44" s="103" t="s">
        <v>35</v>
      </c>
      <c r="O44" s="103" t="s">
        <v>35</v>
      </c>
      <c r="P44" s="103" t="s">
        <v>35</v>
      </c>
      <c r="Q44" s="103" t="s">
        <v>35</v>
      </c>
      <c r="R44" s="103" t="s">
        <v>37</v>
      </c>
      <c r="S44" s="104" t="s">
        <v>3501</v>
      </c>
      <c r="T44" s="30" t="s">
        <v>3502</v>
      </c>
      <c r="U44" s="30" t="s">
        <v>3503</v>
      </c>
      <c r="V44" s="105">
        <f t="shared" si="2"/>
        <v>0</v>
      </c>
      <c r="W44" s="105">
        <f t="shared" ref="W44:X44" si="49">IF(lenb(SUBSTITUTE($Z44,W$1&amp;" (1)",""))&lt;lenb($Z44),1,IF(lenb(SUBSTITUTE($Z44,W$1&amp;" (2)",""))&lt;lenb($Z44),2,IF(lenb(SUBSTITUTE($Z44,W$1&amp;" (3)",""))&lt;lenb($Z44),3,IF(lenb(SUBSTITUTE($Z44,W$1&amp;" (4)",""))&lt;lenb($Z44),4,IF(lenb(SUBSTITUTE($Z44,W$1&amp;" (5)",""))&lt;lenb($Z44),5,IF(lenb(SUBSTITUTE($Z44,W$1&amp;" (6)",""))&lt;lenb($Z44),6,IF(lenb(SUBSTITUTE($Z44,W$1&amp;" (7)",""))&lt;lenb($Z44),1,IF(lenb(SUBSTITUTE($Z44,W$1&amp;" (8)",""))&lt;lenb($Z44),8,IF(lenb(SUBSTITUTE($Z44,W$1&amp;" (9)",""))&lt;lenb($Z44),9,IF(lenb(SUBSTITUTE($Z44,W$1&amp;" (10)",""))&lt;lenb($Z44),10,IF(lenb(SUBSTITUTE($Z44,W$1,""))&lt;lenb($Z44),"ERROR",IF($Z44=$Y$1,"-",0))))))))))))</f>
        <v>1</v>
      </c>
      <c r="X44" s="105">
        <f t="shared" si="49"/>
        <v>0</v>
      </c>
      <c r="Y44" s="105" t="str">
        <f t="shared" si="4"/>
        <v>-</v>
      </c>
      <c r="Z44" s="104" t="s">
        <v>3423</v>
      </c>
      <c r="AA44" s="34">
        <f t="shared" si="5"/>
        <v>1</v>
      </c>
      <c r="AB44" s="34">
        <f>COUNTIFS(Links!B:B,"FSE",Links!C:C,A44,Links!AD:AD,1)</f>
        <v>1</v>
      </c>
      <c r="AC44" s="106" t="s">
        <v>35</v>
      </c>
      <c r="AD44" s="107" t="s">
        <v>35</v>
      </c>
      <c r="AE44" s="104" t="s">
        <v>36</v>
      </c>
      <c r="AF44" s="37" t="s">
        <v>42</v>
      </c>
      <c r="AG44" s="37" t="s">
        <v>42</v>
      </c>
      <c r="AH44" s="37" t="s">
        <v>42</v>
      </c>
      <c r="AI44" s="105" t="str">
        <f t="shared" si="6"/>
        <v>----</v>
      </c>
      <c r="AJ44" s="108" t="str">
        <f t="shared" si="7"/>
        <v>Paper has link but no statement</v>
      </c>
      <c r="AK44" s="109" t="s">
        <v>3401</v>
      </c>
      <c r="AL44" s="110" t="s">
        <v>3402</v>
      </c>
      <c r="AM44" s="40" t="str">
        <f t="shared" si="8"/>
        <v>[FP0822]</v>
      </c>
    </row>
    <row r="45" ht="67.5" customHeight="1">
      <c r="A45" s="41">
        <v>823.0</v>
      </c>
      <c r="B45" s="42" t="s">
        <v>3504</v>
      </c>
      <c r="C45" s="43">
        <v>2014.0</v>
      </c>
      <c r="D45" s="111" t="s">
        <v>35</v>
      </c>
      <c r="E45" s="45" t="s">
        <v>36</v>
      </c>
      <c r="F45" s="45" t="s">
        <v>36</v>
      </c>
      <c r="G45" s="45" t="s">
        <v>36</v>
      </c>
      <c r="H45" s="45" t="s">
        <v>36</v>
      </c>
      <c r="I45" s="45" t="s">
        <v>36</v>
      </c>
      <c r="J45" s="112" t="s">
        <v>36</v>
      </c>
      <c r="K45" s="113" t="s">
        <v>37</v>
      </c>
      <c r="L45" s="114" t="s">
        <v>35</v>
      </c>
      <c r="M45" s="114" t="s">
        <v>37</v>
      </c>
      <c r="N45" s="114" t="s">
        <v>35</v>
      </c>
      <c r="O45" s="114" t="s">
        <v>35</v>
      </c>
      <c r="P45" s="114" t="s">
        <v>35</v>
      </c>
      <c r="Q45" s="114" t="s">
        <v>35</v>
      </c>
      <c r="R45" s="114" t="s">
        <v>37</v>
      </c>
      <c r="S45" s="115" t="s">
        <v>3505</v>
      </c>
      <c r="T45" s="50" t="s">
        <v>3506</v>
      </c>
      <c r="U45" s="50" t="s">
        <v>3506</v>
      </c>
      <c r="V45" s="116">
        <f t="shared" si="2"/>
        <v>1</v>
      </c>
      <c r="W45" s="116">
        <f t="shared" ref="W45:X45" si="50">IF(lenb(SUBSTITUTE($Z45,W$1&amp;" (1)",""))&lt;lenb($Z45),1,IF(lenb(SUBSTITUTE($Z45,W$1&amp;" (2)",""))&lt;lenb($Z45),2,IF(lenb(SUBSTITUTE($Z45,W$1&amp;" (3)",""))&lt;lenb($Z45),3,IF(lenb(SUBSTITUTE($Z45,W$1&amp;" (4)",""))&lt;lenb($Z45),4,IF(lenb(SUBSTITUTE($Z45,W$1&amp;" (5)",""))&lt;lenb($Z45),5,IF(lenb(SUBSTITUTE($Z45,W$1&amp;" (6)",""))&lt;lenb($Z45),6,IF(lenb(SUBSTITUTE($Z45,W$1&amp;" (7)",""))&lt;lenb($Z45),1,IF(lenb(SUBSTITUTE($Z45,W$1&amp;" (8)",""))&lt;lenb($Z45),8,IF(lenb(SUBSTITUTE($Z45,W$1&amp;" (9)",""))&lt;lenb($Z45),9,IF(lenb(SUBSTITUTE($Z45,W$1&amp;" (10)",""))&lt;lenb($Z45),10,IF(lenb(SUBSTITUTE($Z45,W$1,""))&lt;lenb($Z45),"ERROR",IF($Z45=$Y$1,"-",0))))))))))))</f>
        <v>0</v>
      </c>
      <c r="X45" s="116">
        <f t="shared" si="50"/>
        <v>0</v>
      </c>
      <c r="Y45" s="116" t="str">
        <f t="shared" si="4"/>
        <v>-</v>
      </c>
      <c r="Z45" s="115" t="s">
        <v>3400</v>
      </c>
      <c r="AA45" s="54">
        <f t="shared" si="5"/>
        <v>1</v>
      </c>
      <c r="AB45" s="54">
        <f>COUNTIFS(Links!B:B,"FSE",Links!C:C,A45,Links!AD:AD,1)</f>
        <v>1</v>
      </c>
      <c r="AC45" s="117" t="s">
        <v>35</v>
      </c>
      <c r="AD45" s="118" t="s">
        <v>35</v>
      </c>
      <c r="AE45" s="115" t="s">
        <v>36</v>
      </c>
      <c r="AF45" s="57" t="s">
        <v>42</v>
      </c>
      <c r="AG45" s="57" t="s">
        <v>42</v>
      </c>
      <c r="AH45" s="57" t="s">
        <v>42</v>
      </c>
      <c r="AI45" s="116" t="str">
        <f t="shared" si="6"/>
        <v>----</v>
      </c>
      <c r="AJ45" s="119" t="str">
        <f t="shared" si="7"/>
        <v>Paper has link but no statement</v>
      </c>
      <c r="AK45" s="120" t="s">
        <v>3401</v>
      </c>
      <c r="AL45" s="121" t="s">
        <v>3402</v>
      </c>
      <c r="AM45" s="60" t="str">
        <f t="shared" si="8"/>
        <v>[FP0823]</v>
      </c>
    </row>
    <row r="46" ht="67.5" customHeight="1">
      <c r="A46" s="61">
        <v>824.0</v>
      </c>
      <c r="B46" s="22" t="s">
        <v>3507</v>
      </c>
      <c r="C46" s="23">
        <v>2014.0</v>
      </c>
      <c r="D46" s="100" t="s">
        <v>35</v>
      </c>
      <c r="E46" s="25" t="s">
        <v>36</v>
      </c>
      <c r="F46" s="25" t="s">
        <v>36</v>
      </c>
      <c r="G46" s="25" t="s">
        <v>36</v>
      </c>
      <c r="H46" s="25" t="s">
        <v>36</v>
      </c>
      <c r="I46" s="25" t="s">
        <v>36</v>
      </c>
      <c r="J46" s="101" t="s">
        <v>36</v>
      </c>
      <c r="K46" s="102" t="s">
        <v>37</v>
      </c>
      <c r="L46" s="103" t="s">
        <v>35</v>
      </c>
      <c r="M46" s="103" t="s">
        <v>37</v>
      </c>
      <c r="N46" s="103" t="s">
        <v>35</v>
      </c>
      <c r="O46" s="103" t="s">
        <v>35</v>
      </c>
      <c r="P46" s="103" t="s">
        <v>35</v>
      </c>
      <c r="Q46" s="103" t="s">
        <v>35</v>
      </c>
      <c r="R46" s="103" t="s">
        <v>37</v>
      </c>
      <c r="S46" s="104" t="s">
        <v>3508</v>
      </c>
      <c r="T46" s="30" t="s">
        <v>3509</v>
      </c>
      <c r="U46" s="30" t="s">
        <v>3509</v>
      </c>
      <c r="V46" s="105">
        <f t="shared" si="2"/>
        <v>0</v>
      </c>
      <c r="W46" s="105">
        <f t="shared" ref="W46:X46" si="51">IF(lenb(SUBSTITUTE($Z46,W$1&amp;" (1)",""))&lt;lenb($Z46),1,IF(lenb(SUBSTITUTE($Z46,W$1&amp;" (2)",""))&lt;lenb($Z46),2,IF(lenb(SUBSTITUTE($Z46,W$1&amp;" (3)",""))&lt;lenb($Z46),3,IF(lenb(SUBSTITUTE($Z46,W$1&amp;" (4)",""))&lt;lenb($Z46),4,IF(lenb(SUBSTITUTE($Z46,W$1&amp;" (5)",""))&lt;lenb($Z46),5,IF(lenb(SUBSTITUTE($Z46,W$1&amp;" (6)",""))&lt;lenb($Z46),6,IF(lenb(SUBSTITUTE($Z46,W$1&amp;" (7)",""))&lt;lenb($Z46),1,IF(lenb(SUBSTITUTE($Z46,W$1&amp;" (8)",""))&lt;lenb($Z46),8,IF(lenb(SUBSTITUTE($Z46,W$1&amp;" (9)",""))&lt;lenb($Z46),9,IF(lenb(SUBSTITUTE($Z46,W$1&amp;" (10)",""))&lt;lenb($Z46),10,IF(lenb(SUBSTITUTE($Z46,W$1,""))&lt;lenb($Z46),"ERROR",IF($Z46=$Y$1,"-",0))))))))))))</f>
        <v>1</v>
      </c>
      <c r="X46" s="105">
        <f t="shared" si="51"/>
        <v>0</v>
      </c>
      <c r="Y46" s="105" t="str">
        <f t="shared" si="4"/>
        <v>-</v>
      </c>
      <c r="Z46" s="104" t="s">
        <v>3423</v>
      </c>
      <c r="AA46" s="34">
        <f t="shared" si="5"/>
        <v>1</v>
      </c>
      <c r="AB46" s="34">
        <f>COUNTIFS(Links!B:B,"FSE",Links!C:C,A46,Links!AD:AD,1)</f>
        <v>1</v>
      </c>
      <c r="AC46" s="106" t="s">
        <v>35</v>
      </c>
      <c r="AD46" s="107" t="s">
        <v>35</v>
      </c>
      <c r="AE46" s="104" t="s">
        <v>36</v>
      </c>
      <c r="AF46" s="37" t="s">
        <v>42</v>
      </c>
      <c r="AG46" s="37" t="s">
        <v>42</v>
      </c>
      <c r="AH46" s="37" t="s">
        <v>42</v>
      </c>
      <c r="AI46" s="105" t="str">
        <f t="shared" si="6"/>
        <v>----</v>
      </c>
      <c r="AJ46" s="108" t="str">
        <f t="shared" si="7"/>
        <v>Paper has link but no statement</v>
      </c>
      <c r="AK46" s="109" t="s">
        <v>3401</v>
      </c>
      <c r="AL46" s="110" t="s">
        <v>3402</v>
      </c>
      <c r="AM46" s="40" t="str">
        <f t="shared" si="8"/>
        <v>[FP0824]</v>
      </c>
    </row>
    <row r="47" ht="67.5" customHeight="1">
      <c r="A47" s="41">
        <v>825.0</v>
      </c>
      <c r="B47" s="42" t="s">
        <v>3510</v>
      </c>
      <c r="C47" s="43">
        <v>2014.0</v>
      </c>
      <c r="D47" s="122" t="s">
        <v>37</v>
      </c>
      <c r="E47" s="45" t="s">
        <v>36</v>
      </c>
      <c r="F47" s="45" t="s">
        <v>36</v>
      </c>
      <c r="G47" s="45" t="s">
        <v>36</v>
      </c>
      <c r="H47" s="45" t="s">
        <v>36</v>
      </c>
      <c r="I47" s="45" t="s">
        <v>36</v>
      </c>
      <c r="J47" s="112" t="s">
        <v>3409</v>
      </c>
      <c r="K47" s="113" t="s">
        <v>37</v>
      </c>
      <c r="L47" s="114" t="s">
        <v>35</v>
      </c>
      <c r="M47" s="114" t="s">
        <v>37</v>
      </c>
      <c r="N47" s="114" t="s">
        <v>35</v>
      </c>
      <c r="O47" s="114" t="s">
        <v>35</v>
      </c>
      <c r="P47" s="114" t="s">
        <v>35</v>
      </c>
      <c r="Q47" s="114" t="s">
        <v>35</v>
      </c>
      <c r="R47" s="114" t="s">
        <v>37</v>
      </c>
      <c r="S47" s="115" t="s">
        <v>3511</v>
      </c>
      <c r="T47" s="50" t="s">
        <v>3512</v>
      </c>
      <c r="U47" s="50" t="s">
        <v>3512</v>
      </c>
      <c r="V47" s="116">
        <f t="shared" si="2"/>
        <v>1</v>
      </c>
      <c r="W47" s="116">
        <f t="shared" ref="W47:X47" si="52">IF(lenb(SUBSTITUTE($Z47,W$1&amp;" (1)",""))&lt;lenb($Z47),1,IF(lenb(SUBSTITUTE($Z47,W$1&amp;" (2)",""))&lt;lenb($Z47),2,IF(lenb(SUBSTITUTE($Z47,W$1&amp;" (3)",""))&lt;lenb($Z47),3,IF(lenb(SUBSTITUTE($Z47,W$1&amp;" (4)",""))&lt;lenb($Z47),4,IF(lenb(SUBSTITUTE($Z47,W$1&amp;" (5)",""))&lt;lenb($Z47),5,IF(lenb(SUBSTITUTE($Z47,W$1&amp;" (6)",""))&lt;lenb($Z47),6,IF(lenb(SUBSTITUTE($Z47,W$1&amp;" (7)",""))&lt;lenb($Z47),1,IF(lenb(SUBSTITUTE($Z47,W$1&amp;" (8)",""))&lt;lenb($Z47),8,IF(lenb(SUBSTITUTE($Z47,W$1&amp;" (9)",""))&lt;lenb($Z47),9,IF(lenb(SUBSTITUTE($Z47,W$1&amp;" (10)",""))&lt;lenb($Z47),10,IF(lenb(SUBSTITUTE($Z47,W$1,""))&lt;lenb($Z47),"ERROR",IF($Z47=$Y$1,"-",0))))))))))))</f>
        <v>0</v>
      </c>
      <c r="X47" s="116">
        <f t="shared" si="52"/>
        <v>0</v>
      </c>
      <c r="Y47" s="116" t="str">
        <f t="shared" si="4"/>
        <v>-</v>
      </c>
      <c r="Z47" s="115" t="s">
        <v>3400</v>
      </c>
      <c r="AA47" s="54">
        <f t="shared" si="5"/>
        <v>1</v>
      </c>
      <c r="AB47" s="54">
        <f>COUNTIFS(Links!B:B,"FSE",Links!C:C,A47,Links!AD:AD,1)</f>
        <v>1</v>
      </c>
      <c r="AC47" s="117" t="s">
        <v>35</v>
      </c>
      <c r="AD47" s="118" t="s">
        <v>35</v>
      </c>
      <c r="AE47" s="115" t="s">
        <v>36</v>
      </c>
      <c r="AF47" s="57" t="s">
        <v>42</v>
      </c>
      <c r="AG47" s="57" t="s">
        <v>42</v>
      </c>
      <c r="AH47" s="57" t="s">
        <v>42</v>
      </c>
      <c r="AI47" s="116" t="str">
        <f t="shared" si="6"/>
        <v>----</v>
      </c>
      <c r="AJ47" s="119" t="str">
        <f t="shared" si="7"/>
        <v>Paper has link but no statement</v>
      </c>
      <c r="AK47" s="120" t="s">
        <v>3401</v>
      </c>
      <c r="AL47" s="121" t="s">
        <v>3402</v>
      </c>
      <c r="AM47" s="60" t="str">
        <f t="shared" si="8"/>
        <v>[FP0825]</v>
      </c>
    </row>
    <row r="48" ht="67.5" customHeight="1">
      <c r="A48" s="61">
        <v>826.0</v>
      </c>
      <c r="B48" s="22" t="s">
        <v>3513</v>
      </c>
      <c r="C48" s="23">
        <v>2014.0</v>
      </c>
      <c r="D48" s="100" t="s">
        <v>35</v>
      </c>
      <c r="E48" s="25" t="s">
        <v>36</v>
      </c>
      <c r="F48" s="25" t="s">
        <v>36</v>
      </c>
      <c r="G48" s="25" t="s">
        <v>36</v>
      </c>
      <c r="H48" s="25" t="s">
        <v>36</v>
      </c>
      <c r="I48" s="25" t="s">
        <v>36</v>
      </c>
      <c r="J48" s="101" t="s">
        <v>36</v>
      </c>
      <c r="K48" s="102" t="s">
        <v>35</v>
      </c>
      <c r="L48" s="103" t="s">
        <v>36</v>
      </c>
      <c r="M48" s="103" t="s">
        <v>36</v>
      </c>
      <c r="N48" s="103" t="s">
        <v>36</v>
      </c>
      <c r="O48" s="103" t="s">
        <v>36</v>
      </c>
      <c r="P48" s="103" t="s">
        <v>36</v>
      </c>
      <c r="Q48" s="103" t="s">
        <v>36</v>
      </c>
      <c r="R48" s="103" t="s">
        <v>36</v>
      </c>
      <c r="S48" s="104" t="s">
        <v>42</v>
      </c>
      <c r="T48" s="30" t="s">
        <v>36</v>
      </c>
      <c r="U48" s="30" t="s">
        <v>36</v>
      </c>
      <c r="V48" s="105" t="str">
        <f t="shared" si="2"/>
        <v>-</v>
      </c>
      <c r="W48" s="105" t="str">
        <f t="shared" ref="W48:X48" si="53">IF(lenb(SUBSTITUTE($Z48,W$1&amp;" (1)",""))&lt;lenb($Z48),1,IF(lenb(SUBSTITUTE($Z48,W$1&amp;" (2)",""))&lt;lenb($Z48),2,IF(lenb(SUBSTITUTE($Z48,W$1&amp;" (3)",""))&lt;lenb($Z48),3,IF(lenb(SUBSTITUTE($Z48,W$1&amp;" (4)",""))&lt;lenb($Z48),4,IF(lenb(SUBSTITUTE($Z48,W$1&amp;" (5)",""))&lt;lenb($Z48),5,IF(lenb(SUBSTITUTE($Z48,W$1&amp;" (6)",""))&lt;lenb($Z48),6,IF(lenb(SUBSTITUTE($Z48,W$1&amp;" (7)",""))&lt;lenb($Z48),1,IF(lenb(SUBSTITUTE($Z48,W$1&amp;" (8)",""))&lt;lenb($Z48),8,IF(lenb(SUBSTITUTE($Z48,W$1&amp;" (9)",""))&lt;lenb($Z48),9,IF(lenb(SUBSTITUTE($Z48,W$1&amp;" (10)",""))&lt;lenb($Z48),10,IF(lenb(SUBSTITUTE($Z48,W$1,""))&lt;lenb($Z48),"ERROR",IF($Z48=$Y$1,"-",0))))))))))))</f>
        <v>-</v>
      </c>
      <c r="X48" s="105" t="str">
        <f t="shared" si="53"/>
        <v>-</v>
      </c>
      <c r="Y48" s="105">
        <f t="shared" si="4"/>
        <v>1</v>
      </c>
      <c r="Z48" s="104" t="s">
        <v>23</v>
      </c>
      <c r="AA48" s="34">
        <f t="shared" si="5"/>
        <v>0</v>
      </c>
      <c r="AB48" s="34">
        <f>COUNTIFS(Links!B:B,"FSE",Links!C:C,A48,Links!AD:AD,1)</f>
        <v>0</v>
      </c>
      <c r="AC48" s="106" t="s">
        <v>36</v>
      </c>
      <c r="AD48" s="107" t="s">
        <v>35</v>
      </c>
      <c r="AE48" s="104" t="s">
        <v>36</v>
      </c>
      <c r="AF48" s="37" t="s">
        <v>42</v>
      </c>
      <c r="AG48" s="37" t="s">
        <v>42</v>
      </c>
      <c r="AH48" s="37" t="s">
        <v>42</v>
      </c>
      <c r="AI48" s="105" t="str">
        <f t="shared" si="6"/>
        <v>----</v>
      </c>
      <c r="AJ48" s="108" t="str">
        <f t="shared" si="7"/>
        <v>Paper has no link and no statement</v>
      </c>
      <c r="AK48" s="109" t="s">
        <v>3401</v>
      </c>
      <c r="AL48" s="110" t="s">
        <v>3402</v>
      </c>
      <c r="AM48" s="40" t="str">
        <f t="shared" si="8"/>
        <v>[FP0826]</v>
      </c>
    </row>
    <row r="49" ht="67.5" customHeight="1">
      <c r="A49" s="41">
        <v>827.0</v>
      </c>
      <c r="B49" s="42" t="s">
        <v>3514</v>
      </c>
      <c r="C49" s="43">
        <v>2014.0</v>
      </c>
      <c r="D49" s="111" t="s">
        <v>35</v>
      </c>
      <c r="E49" s="45" t="s">
        <v>36</v>
      </c>
      <c r="F49" s="45" t="s">
        <v>36</v>
      </c>
      <c r="G49" s="45" t="s">
        <v>36</v>
      </c>
      <c r="H49" s="45" t="s">
        <v>36</v>
      </c>
      <c r="I49" s="45" t="s">
        <v>36</v>
      </c>
      <c r="J49" s="112" t="s">
        <v>36</v>
      </c>
      <c r="K49" s="113" t="s">
        <v>35</v>
      </c>
      <c r="L49" s="114" t="s">
        <v>36</v>
      </c>
      <c r="M49" s="114" t="s">
        <v>36</v>
      </c>
      <c r="N49" s="114" t="s">
        <v>36</v>
      </c>
      <c r="O49" s="114" t="s">
        <v>36</v>
      </c>
      <c r="P49" s="114" t="s">
        <v>36</v>
      </c>
      <c r="Q49" s="114" t="s">
        <v>36</v>
      </c>
      <c r="R49" s="114" t="s">
        <v>36</v>
      </c>
      <c r="S49" s="115" t="s">
        <v>42</v>
      </c>
      <c r="T49" s="50" t="s">
        <v>36</v>
      </c>
      <c r="U49" s="50" t="s">
        <v>36</v>
      </c>
      <c r="V49" s="116" t="str">
        <f t="shared" si="2"/>
        <v>-</v>
      </c>
      <c r="W49" s="116" t="str">
        <f t="shared" ref="W49:X49" si="54">IF(lenb(SUBSTITUTE($Z49,W$1&amp;" (1)",""))&lt;lenb($Z49),1,IF(lenb(SUBSTITUTE($Z49,W$1&amp;" (2)",""))&lt;lenb($Z49),2,IF(lenb(SUBSTITUTE($Z49,W$1&amp;" (3)",""))&lt;lenb($Z49),3,IF(lenb(SUBSTITUTE($Z49,W$1&amp;" (4)",""))&lt;lenb($Z49),4,IF(lenb(SUBSTITUTE($Z49,W$1&amp;" (5)",""))&lt;lenb($Z49),5,IF(lenb(SUBSTITUTE($Z49,W$1&amp;" (6)",""))&lt;lenb($Z49),6,IF(lenb(SUBSTITUTE($Z49,W$1&amp;" (7)",""))&lt;lenb($Z49),1,IF(lenb(SUBSTITUTE($Z49,W$1&amp;" (8)",""))&lt;lenb($Z49),8,IF(lenb(SUBSTITUTE($Z49,W$1&amp;" (9)",""))&lt;lenb($Z49),9,IF(lenb(SUBSTITUTE($Z49,W$1&amp;" (10)",""))&lt;lenb($Z49),10,IF(lenb(SUBSTITUTE($Z49,W$1,""))&lt;lenb($Z49),"ERROR",IF($Z49=$Y$1,"-",0))))))))))))</f>
        <v>-</v>
      </c>
      <c r="X49" s="116" t="str">
        <f t="shared" si="54"/>
        <v>-</v>
      </c>
      <c r="Y49" s="116">
        <f t="shared" si="4"/>
        <v>1</v>
      </c>
      <c r="Z49" s="115" t="s">
        <v>23</v>
      </c>
      <c r="AA49" s="54">
        <f t="shared" si="5"/>
        <v>0</v>
      </c>
      <c r="AB49" s="54">
        <f>COUNTIFS(Links!B:B,"FSE",Links!C:C,A49,Links!AD:AD,1)</f>
        <v>0</v>
      </c>
      <c r="AC49" s="117" t="s">
        <v>36</v>
      </c>
      <c r="AD49" s="118" t="s">
        <v>35</v>
      </c>
      <c r="AE49" s="115" t="s">
        <v>36</v>
      </c>
      <c r="AF49" s="57" t="s">
        <v>42</v>
      </c>
      <c r="AG49" s="57" t="s">
        <v>42</v>
      </c>
      <c r="AH49" s="57" t="s">
        <v>42</v>
      </c>
      <c r="AI49" s="116" t="str">
        <f t="shared" si="6"/>
        <v>----</v>
      </c>
      <c r="AJ49" s="119" t="str">
        <f t="shared" si="7"/>
        <v>Paper has no link and no statement</v>
      </c>
      <c r="AK49" s="120" t="s">
        <v>3401</v>
      </c>
      <c r="AL49" s="121" t="s">
        <v>3402</v>
      </c>
      <c r="AM49" s="60" t="str">
        <f t="shared" si="8"/>
        <v>[FP0827]</v>
      </c>
    </row>
    <row r="50" ht="67.5" customHeight="1">
      <c r="A50" s="61">
        <v>828.0</v>
      </c>
      <c r="B50" s="22" t="s">
        <v>3515</v>
      </c>
      <c r="C50" s="23">
        <v>2014.0</v>
      </c>
      <c r="D50" s="125" t="s">
        <v>37</v>
      </c>
      <c r="E50" s="25" t="s">
        <v>36</v>
      </c>
      <c r="F50" s="25" t="s">
        <v>36</v>
      </c>
      <c r="G50" s="25" t="s">
        <v>36</v>
      </c>
      <c r="H50" s="25" t="s">
        <v>36</v>
      </c>
      <c r="I50" s="25" t="s">
        <v>36</v>
      </c>
      <c r="J50" s="101" t="s">
        <v>3409</v>
      </c>
      <c r="K50" s="102" t="s">
        <v>37</v>
      </c>
      <c r="L50" s="103" t="s">
        <v>37</v>
      </c>
      <c r="M50" s="103" t="s">
        <v>35</v>
      </c>
      <c r="N50" s="103" t="s">
        <v>37</v>
      </c>
      <c r="O50" s="103" t="s">
        <v>35</v>
      </c>
      <c r="P50" s="103" t="s">
        <v>35</v>
      </c>
      <c r="Q50" s="103" t="s">
        <v>35</v>
      </c>
      <c r="R50" s="103" t="s">
        <v>35</v>
      </c>
      <c r="S50" s="104" t="s">
        <v>84</v>
      </c>
      <c r="T50" s="30" t="s">
        <v>3516</v>
      </c>
      <c r="U50" s="30" t="s">
        <v>3516</v>
      </c>
      <c r="V50" s="105">
        <f t="shared" si="2"/>
        <v>0</v>
      </c>
      <c r="W50" s="105">
        <f t="shared" ref="W50:X50" si="55">IF(lenb(SUBSTITUTE($Z50,W$1&amp;" (1)",""))&lt;lenb($Z50),1,IF(lenb(SUBSTITUTE($Z50,W$1&amp;" (2)",""))&lt;lenb($Z50),2,IF(lenb(SUBSTITUTE($Z50,W$1&amp;" (3)",""))&lt;lenb($Z50),3,IF(lenb(SUBSTITUTE($Z50,W$1&amp;" (4)",""))&lt;lenb($Z50),4,IF(lenb(SUBSTITUTE($Z50,W$1&amp;" (5)",""))&lt;lenb($Z50),5,IF(lenb(SUBSTITUTE($Z50,W$1&amp;" (6)",""))&lt;lenb($Z50),6,IF(lenb(SUBSTITUTE($Z50,W$1&amp;" (7)",""))&lt;lenb($Z50),1,IF(lenb(SUBSTITUTE($Z50,W$1&amp;" (8)",""))&lt;lenb($Z50),8,IF(lenb(SUBSTITUTE($Z50,W$1&amp;" (9)",""))&lt;lenb($Z50),9,IF(lenb(SUBSTITUTE($Z50,W$1&amp;" (10)",""))&lt;lenb($Z50),10,IF(lenb(SUBSTITUTE($Z50,W$1,""))&lt;lenb($Z50),"ERROR",IF($Z50=$Y$1,"-",0))))))))))))</f>
        <v>1</v>
      </c>
      <c r="X50" s="105">
        <f t="shared" si="55"/>
        <v>0</v>
      </c>
      <c r="Y50" s="105" t="str">
        <f t="shared" si="4"/>
        <v>-</v>
      </c>
      <c r="Z50" s="104" t="s">
        <v>3423</v>
      </c>
      <c r="AA50" s="34">
        <f t="shared" si="5"/>
        <v>1</v>
      </c>
      <c r="AB50" s="34">
        <f>COUNTIFS(Links!B:B,"FSE",Links!C:C,A50,Links!AD:AD,1)</f>
        <v>1</v>
      </c>
      <c r="AC50" s="106" t="s">
        <v>35</v>
      </c>
      <c r="AD50" s="107" t="s">
        <v>35</v>
      </c>
      <c r="AE50" s="104" t="s">
        <v>36</v>
      </c>
      <c r="AF50" s="37" t="s">
        <v>42</v>
      </c>
      <c r="AG50" s="37" t="s">
        <v>42</v>
      </c>
      <c r="AH50" s="37" t="s">
        <v>42</v>
      </c>
      <c r="AI50" s="105" t="str">
        <f t="shared" si="6"/>
        <v>----</v>
      </c>
      <c r="AJ50" s="108" t="str">
        <f t="shared" si="7"/>
        <v>Paper has link but no statement</v>
      </c>
      <c r="AK50" s="109" t="s">
        <v>3401</v>
      </c>
      <c r="AL50" s="110" t="s">
        <v>3402</v>
      </c>
      <c r="AM50" s="40" t="str">
        <f t="shared" si="8"/>
        <v>[FP0828]</v>
      </c>
    </row>
    <row r="51" ht="67.5" customHeight="1">
      <c r="A51" s="41">
        <v>829.0</v>
      </c>
      <c r="B51" s="42" t="s">
        <v>3517</v>
      </c>
      <c r="C51" s="43">
        <v>2014.0</v>
      </c>
      <c r="D51" s="111" t="s">
        <v>35</v>
      </c>
      <c r="E51" s="45" t="s">
        <v>36</v>
      </c>
      <c r="F51" s="45" t="s">
        <v>36</v>
      </c>
      <c r="G51" s="45" t="s">
        <v>36</v>
      </c>
      <c r="H51" s="45" t="s">
        <v>36</v>
      </c>
      <c r="I51" s="45" t="s">
        <v>36</v>
      </c>
      <c r="J51" s="112" t="s">
        <v>36</v>
      </c>
      <c r="K51" s="113" t="s">
        <v>35</v>
      </c>
      <c r="L51" s="114" t="s">
        <v>36</v>
      </c>
      <c r="M51" s="114" t="s">
        <v>36</v>
      </c>
      <c r="N51" s="114" t="s">
        <v>36</v>
      </c>
      <c r="O51" s="114" t="s">
        <v>36</v>
      </c>
      <c r="P51" s="114" t="s">
        <v>36</v>
      </c>
      <c r="Q51" s="114" t="s">
        <v>36</v>
      </c>
      <c r="R51" s="114" t="s">
        <v>36</v>
      </c>
      <c r="S51" s="115" t="s">
        <v>42</v>
      </c>
      <c r="T51" s="50" t="s">
        <v>36</v>
      </c>
      <c r="U51" s="50" t="s">
        <v>36</v>
      </c>
      <c r="V51" s="116" t="str">
        <f t="shared" si="2"/>
        <v>-</v>
      </c>
      <c r="W51" s="116" t="str">
        <f t="shared" ref="W51:X51" si="56">IF(lenb(SUBSTITUTE($Z51,W$1&amp;" (1)",""))&lt;lenb($Z51),1,IF(lenb(SUBSTITUTE($Z51,W$1&amp;" (2)",""))&lt;lenb($Z51),2,IF(lenb(SUBSTITUTE($Z51,W$1&amp;" (3)",""))&lt;lenb($Z51),3,IF(lenb(SUBSTITUTE($Z51,W$1&amp;" (4)",""))&lt;lenb($Z51),4,IF(lenb(SUBSTITUTE($Z51,W$1&amp;" (5)",""))&lt;lenb($Z51),5,IF(lenb(SUBSTITUTE($Z51,W$1&amp;" (6)",""))&lt;lenb($Z51),6,IF(lenb(SUBSTITUTE($Z51,W$1&amp;" (7)",""))&lt;lenb($Z51),1,IF(lenb(SUBSTITUTE($Z51,W$1&amp;" (8)",""))&lt;lenb($Z51),8,IF(lenb(SUBSTITUTE($Z51,W$1&amp;" (9)",""))&lt;lenb($Z51),9,IF(lenb(SUBSTITUTE($Z51,W$1&amp;" (10)",""))&lt;lenb($Z51),10,IF(lenb(SUBSTITUTE($Z51,W$1,""))&lt;lenb($Z51),"ERROR",IF($Z51=$Y$1,"-",0))))))))))))</f>
        <v>-</v>
      </c>
      <c r="X51" s="116" t="str">
        <f t="shared" si="56"/>
        <v>-</v>
      </c>
      <c r="Y51" s="116">
        <f t="shared" si="4"/>
        <v>1</v>
      </c>
      <c r="Z51" s="115" t="s">
        <v>23</v>
      </c>
      <c r="AA51" s="54">
        <f t="shared" si="5"/>
        <v>0</v>
      </c>
      <c r="AB51" s="54">
        <f>COUNTIFS(Links!B:B,"FSE",Links!C:C,A51,Links!AD:AD,1)</f>
        <v>0</v>
      </c>
      <c r="AC51" s="117" t="s">
        <v>36</v>
      </c>
      <c r="AD51" s="118" t="s">
        <v>35</v>
      </c>
      <c r="AE51" s="115" t="s">
        <v>36</v>
      </c>
      <c r="AF51" s="57" t="s">
        <v>42</v>
      </c>
      <c r="AG51" s="57" t="s">
        <v>42</v>
      </c>
      <c r="AH51" s="57" t="s">
        <v>42</v>
      </c>
      <c r="AI51" s="116" t="str">
        <f t="shared" si="6"/>
        <v>----</v>
      </c>
      <c r="AJ51" s="119" t="str">
        <f t="shared" si="7"/>
        <v>Paper has no link and no statement</v>
      </c>
      <c r="AK51" s="120" t="s">
        <v>3401</v>
      </c>
      <c r="AL51" s="121" t="s">
        <v>3402</v>
      </c>
      <c r="AM51" s="60" t="str">
        <f t="shared" si="8"/>
        <v>[FP0829]</v>
      </c>
    </row>
    <row r="52" ht="67.5" customHeight="1">
      <c r="A52" s="61">
        <v>830.0</v>
      </c>
      <c r="B52" s="22" t="s">
        <v>3518</v>
      </c>
      <c r="C52" s="23">
        <v>2014.0</v>
      </c>
      <c r="D52" s="125" t="s">
        <v>37</v>
      </c>
      <c r="E52" s="25" t="s">
        <v>36</v>
      </c>
      <c r="F52" s="25" t="s">
        <v>36</v>
      </c>
      <c r="G52" s="25" t="s">
        <v>36</v>
      </c>
      <c r="H52" s="25" t="s">
        <v>36</v>
      </c>
      <c r="I52" s="25" t="s">
        <v>36</v>
      </c>
      <c r="J52" s="101" t="s">
        <v>3409</v>
      </c>
      <c r="K52" s="102" t="s">
        <v>35</v>
      </c>
      <c r="L52" s="103" t="s">
        <v>36</v>
      </c>
      <c r="M52" s="103" t="s">
        <v>36</v>
      </c>
      <c r="N52" s="103" t="s">
        <v>36</v>
      </c>
      <c r="O52" s="103" t="s">
        <v>36</v>
      </c>
      <c r="P52" s="103" t="s">
        <v>36</v>
      </c>
      <c r="Q52" s="103" t="s">
        <v>36</v>
      </c>
      <c r="R52" s="103" t="s">
        <v>36</v>
      </c>
      <c r="S52" s="104" t="s">
        <v>42</v>
      </c>
      <c r="T52" s="30" t="s">
        <v>36</v>
      </c>
      <c r="U52" s="30" t="s">
        <v>36</v>
      </c>
      <c r="V52" s="105" t="str">
        <f t="shared" si="2"/>
        <v>-</v>
      </c>
      <c r="W52" s="105" t="str">
        <f t="shared" ref="W52:X52" si="57">IF(lenb(SUBSTITUTE($Z52,W$1&amp;" (1)",""))&lt;lenb($Z52),1,IF(lenb(SUBSTITUTE($Z52,W$1&amp;" (2)",""))&lt;lenb($Z52),2,IF(lenb(SUBSTITUTE($Z52,W$1&amp;" (3)",""))&lt;lenb($Z52),3,IF(lenb(SUBSTITUTE($Z52,W$1&amp;" (4)",""))&lt;lenb($Z52),4,IF(lenb(SUBSTITUTE($Z52,W$1&amp;" (5)",""))&lt;lenb($Z52),5,IF(lenb(SUBSTITUTE($Z52,W$1&amp;" (6)",""))&lt;lenb($Z52),6,IF(lenb(SUBSTITUTE($Z52,W$1&amp;" (7)",""))&lt;lenb($Z52),1,IF(lenb(SUBSTITUTE($Z52,W$1&amp;" (8)",""))&lt;lenb($Z52),8,IF(lenb(SUBSTITUTE($Z52,W$1&amp;" (9)",""))&lt;lenb($Z52),9,IF(lenb(SUBSTITUTE($Z52,W$1&amp;" (10)",""))&lt;lenb($Z52),10,IF(lenb(SUBSTITUTE($Z52,W$1,""))&lt;lenb($Z52),"ERROR",IF($Z52=$Y$1,"-",0))))))))))))</f>
        <v>-</v>
      </c>
      <c r="X52" s="105" t="str">
        <f t="shared" si="57"/>
        <v>-</v>
      </c>
      <c r="Y52" s="105">
        <f t="shared" si="4"/>
        <v>1</v>
      </c>
      <c r="Z52" s="104" t="s">
        <v>23</v>
      </c>
      <c r="AA52" s="34">
        <f t="shared" si="5"/>
        <v>0</v>
      </c>
      <c r="AB52" s="34">
        <f>COUNTIFS(Links!B:B,"FSE",Links!C:C,A52,Links!AD:AD,1)</f>
        <v>0</v>
      </c>
      <c r="AC52" s="106" t="s">
        <v>36</v>
      </c>
      <c r="AD52" s="107" t="s">
        <v>35</v>
      </c>
      <c r="AE52" s="104" t="s">
        <v>36</v>
      </c>
      <c r="AF52" s="37" t="s">
        <v>42</v>
      </c>
      <c r="AG52" s="37" t="s">
        <v>42</v>
      </c>
      <c r="AH52" s="37" t="s">
        <v>42</v>
      </c>
      <c r="AI52" s="105" t="str">
        <f t="shared" si="6"/>
        <v>----</v>
      </c>
      <c r="AJ52" s="108" t="str">
        <f t="shared" si="7"/>
        <v>Paper has no link and no statement</v>
      </c>
      <c r="AK52" s="109" t="s">
        <v>3401</v>
      </c>
      <c r="AL52" s="110" t="s">
        <v>3402</v>
      </c>
      <c r="AM52" s="40" t="str">
        <f t="shared" si="8"/>
        <v>[FP0830]</v>
      </c>
    </row>
    <row r="53" ht="67.5" customHeight="1">
      <c r="A53" s="41">
        <v>831.0</v>
      </c>
      <c r="B53" s="42" t="s">
        <v>3519</v>
      </c>
      <c r="C53" s="43">
        <v>2014.0</v>
      </c>
      <c r="D53" s="111" t="s">
        <v>35</v>
      </c>
      <c r="E53" s="45" t="s">
        <v>36</v>
      </c>
      <c r="F53" s="45" t="s">
        <v>36</v>
      </c>
      <c r="G53" s="45" t="s">
        <v>36</v>
      </c>
      <c r="H53" s="45" t="s">
        <v>36</v>
      </c>
      <c r="I53" s="45" t="s">
        <v>36</v>
      </c>
      <c r="J53" s="112" t="s">
        <v>36</v>
      </c>
      <c r="K53" s="113" t="s">
        <v>37</v>
      </c>
      <c r="L53" s="114" t="s">
        <v>35</v>
      </c>
      <c r="M53" s="114" t="s">
        <v>37</v>
      </c>
      <c r="N53" s="114" t="s">
        <v>35</v>
      </c>
      <c r="O53" s="114" t="s">
        <v>35</v>
      </c>
      <c r="P53" s="114" t="s">
        <v>35</v>
      </c>
      <c r="Q53" s="114" t="s">
        <v>35</v>
      </c>
      <c r="R53" s="114" t="s">
        <v>37</v>
      </c>
      <c r="S53" s="115" t="s">
        <v>3520</v>
      </c>
      <c r="T53" s="50" t="s">
        <v>3521</v>
      </c>
      <c r="U53" s="50" t="s">
        <v>3521</v>
      </c>
      <c r="V53" s="116">
        <f t="shared" si="2"/>
        <v>0</v>
      </c>
      <c r="W53" s="116">
        <f t="shared" ref="W53:X53" si="58">IF(lenb(SUBSTITUTE($Z53,W$1&amp;" (1)",""))&lt;lenb($Z53),1,IF(lenb(SUBSTITUTE($Z53,W$1&amp;" (2)",""))&lt;lenb($Z53),2,IF(lenb(SUBSTITUTE($Z53,W$1&amp;" (3)",""))&lt;lenb($Z53),3,IF(lenb(SUBSTITUTE($Z53,W$1&amp;" (4)",""))&lt;lenb($Z53),4,IF(lenb(SUBSTITUTE($Z53,W$1&amp;" (5)",""))&lt;lenb($Z53),5,IF(lenb(SUBSTITUTE($Z53,W$1&amp;" (6)",""))&lt;lenb($Z53),6,IF(lenb(SUBSTITUTE($Z53,W$1&amp;" (7)",""))&lt;lenb($Z53),1,IF(lenb(SUBSTITUTE($Z53,W$1&amp;" (8)",""))&lt;lenb($Z53),8,IF(lenb(SUBSTITUTE($Z53,W$1&amp;" (9)",""))&lt;lenb($Z53),9,IF(lenb(SUBSTITUTE($Z53,W$1&amp;" (10)",""))&lt;lenb($Z53),10,IF(lenb(SUBSTITUTE($Z53,W$1,""))&lt;lenb($Z53),"ERROR",IF($Z53=$Y$1,"-",0))))))))))))</f>
        <v>1</v>
      </c>
      <c r="X53" s="116">
        <f t="shared" si="58"/>
        <v>0</v>
      </c>
      <c r="Y53" s="116" t="str">
        <f t="shared" si="4"/>
        <v>-</v>
      </c>
      <c r="Z53" s="115" t="s">
        <v>3423</v>
      </c>
      <c r="AA53" s="54">
        <f t="shared" si="5"/>
        <v>1</v>
      </c>
      <c r="AB53" s="54">
        <f>COUNTIFS(Links!B:B,"FSE",Links!C:C,A53,Links!AD:AD,1)</f>
        <v>0</v>
      </c>
      <c r="AC53" s="117" t="s">
        <v>35</v>
      </c>
      <c r="AD53" s="118" t="s">
        <v>35</v>
      </c>
      <c r="AE53" s="115" t="s">
        <v>36</v>
      </c>
      <c r="AF53" s="57" t="s">
        <v>42</v>
      </c>
      <c r="AG53" s="57" t="s">
        <v>42</v>
      </c>
      <c r="AH53" s="57" t="s">
        <v>42</v>
      </c>
      <c r="AI53" s="116" t="str">
        <f t="shared" si="6"/>
        <v>----</v>
      </c>
      <c r="AJ53" s="119" t="str">
        <f t="shared" si="7"/>
        <v>Paper has link but no statement</v>
      </c>
      <c r="AK53" s="120" t="s">
        <v>3401</v>
      </c>
      <c r="AL53" s="121" t="s">
        <v>3402</v>
      </c>
      <c r="AM53" s="60" t="str">
        <f t="shared" si="8"/>
        <v>[FP0831]</v>
      </c>
    </row>
    <row r="54" ht="67.5" customHeight="1">
      <c r="A54" s="61">
        <v>832.0</v>
      </c>
      <c r="B54" s="22" t="s">
        <v>3522</v>
      </c>
      <c r="C54" s="23">
        <v>2014.0</v>
      </c>
      <c r="D54" s="100" t="s">
        <v>35</v>
      </c>
      <c r="E54" s="25" t="s">
        <v>36</v>
      </c>
      <c r="F54" s="25" t="s">
        <v>36</v>
      </c>
      <c r="G54" s="25" t="s">
        <v>36</v>
      </c>
      <c r="H54" s="25" t="s">
        <v>36</v>
      </c>
      <c r="I54" s="25" t="s">
        <v>36</v>
      </c>
      <c r="J54" s="101" t="s">
        <v>36</v>
      </c>
      <c r="K54" s="102" t="s">
        <v>37</v>
      </c>
      <c r="L54" s="103" t="s">
        <v>35</v>
      </c>
      <c r="M54" s="103" t="s">
        <v>35</v>
      </c>
      <c r="N54" s="103" t="s">
        <v>35</v>
      </c>
      <c r="O54" s="103" t="s">
        <v>35</v>
      </c>
      <c r="P54" s="103" t="s">
        <v>35</v>
      </c>
      <c r="Q54" s="103" t="s">
        <v>37</v>
      </c>
      <c r="R54" s="103" t="s">
        <v>35</v>
      </c>
      <c r="S54" s="104" t="s">
        <v>3523</v>
      </c>
      <c r="T54" s="30" t="s">
        <v>3524</v>
      </c>
      <c r="U54" s="30" t="s">
        <v>3524</v>
      </c>
      <c r="V54" s="105">
        <f t="shared" si="2"/>
        <v>0</v>
      </c>
      <c r="W54" s="105">
        <f t="shared" ref="W54:X54" si="59">IF(lenb(SUBSTITUTE($Z54,W$1&amp;" (1)",""))&lt;lenb($Z54),1,IF(lenb(SUBSTITUTE($Z54,W$1&amp;" (2)",""))&lt;lenb($Z54),2,IF(lenb(SUBSTITUTE($Z54,W$1&amp;" (3)",""))&lt;lenb($Z54),3,IF(lenb(SUBSTITUTE($Z54,W$1&amp;" (4)",""))&lt;lenb($Z54),4,IF(lenb(SUBSTITUTE($Z54,W$1&amp;" (5)",""))&lt;lenb($Z54),5,IF(lenb(SUBSTITUTE($Z54,W$1&amp;" (6)",""))&lt;lenb($Z54),6,IF(lenb(SUBSTITUTE($Z54,W$1&amp;" (7)",""))&lt;lenb($Z54),1,IF(lenb(SUBSTITUTE($Z54,W$1&amp;" (8)",""))&lt;lenb($Z54),8,IF(lenb(SUBSTITUTE($Z54,W$1&amp;" (9)",""))&lt;lenb($Z54),9,IF(lenb(SUBSTITUTE($Z54,W$1&amp;" (10)",""))&lt;lenb($Z54),10,IF(lenb(SUBSTITUTE($Z54,W$1,""))&lt;lenb($Z54),"ERROR",IF($Z54=$Y$1,"-",0))))))))))))</f>
        <v>1</v>
      </c>
      <c r="X54" s="105">
        <f t="shared" si="59"/>
        <v>0</v>
      </c>
      <c r="Y54" s="105" t="str">
        <f t="shared" si="4"/>
        <v>-</v>
      </c>
      <c r="Z54" s="104" t="s">
        <v>3423</v>
      </c>
      <c r="AA54" s="34">
        <f t="shared" si="5"/>
        <v>1</v>
      </c>
      <c r="AB54" s="34">
        <f>COUNTIFS(Links!B:B,"FSE",Links!C:C,A54,Links!AD:AD,1)</f>
        <v>1</v>
      </c>
      <c r="AC54" s="106" t="s">
        <v>35</v>
      </c>
      <c r="AD54" s="107" t="s">
        <v>35</v>
      </c>
      <c r="AE54" s="104" t="s">
        <v>36</v>
      </c>
      <c r="AF54" s="37" t="s">
        <v>42</v>
      </c>
      <c r="AG54" s="37" t="s">
        <v>42</v>
      </c>
      <c r="AH54" s="37" t="s">
        <v>42</v>
      </c>
      <c r="AI54" s="105" t="str">
        <f t="shared" si="6"/>
        <v>----</v>
      </c>
      <c r="AJ54" s="108" t="str">
        <f t="shared" si="7"/>
        <v>Paper has link but no statement</v>
      </c>
      <c r="AK54" s="109" t="s">
        <v>3401</v>
      </c>
      <c r="AL54" s="110" t="s">
        <v>3402</v>
      </c>
      <c r="AM54" s="40" t="str">
        <f t="shared" si="8"/>
        <v>[FP0832]</v>
      </c>
    </row>
    <row r="55" ht="67.5" customHeight="1">
      <c r="A55" s="41">
        <v>833.0</v>
      </c>
      <c r="B55" s="42" t="s">
        <v>3525</v>
      </c>
      <c r="C55" s="43">
        <v>2014.0</v>
      </c>
      <c r="D55" s="111" t="s">
        <v>35</v>
      </c>
      <c r="E55" s="45" t="s">
        <v>36</v>
      </c>
      <c r="F55" s="45" t="s">
        <v>36</v>
      </c>
      <c r="G55" s="45" t="s">
        <v>36</v>
      </c>
      <c r="H55" s="45" t="s">
        <v>36</v>
      </c>
      <c r="I55" s="45" t="s">
        <v>36</v>
      </c>
      <c r="J55" s="112" t="s">
        <v>36</v>
      </c>
      <c r="K55" s="113" t="s">
        <v>37</v>
      </c>
      <c r="L55" s="114" t="s">
        <v>35</v>
      </c>
      <c r="M55" s="114" t="s">
        <v>35</v>
      </c>
      <c r="N55" s="114" t="s">
        <v>35</v>
      </c>
      <c r="O55" s="114" t="s">
        <v>35</v>
      </c>
      <c r="P55" s="114" t="s">
        <v>35</v>
      </c>
      <c r="Q55" s="114" t="s">
        <v>35</v>
      </c>
      <c r="R55" s="114" t="s">
        <v>37</v>
      </c>
      <c r="S55" s="115" t="s">
        <v>659</v>
      </c>
      <c r="T55" s="42" t="s">
        <v>3526</v>
      </c>
      <c r="U55" s="50" t="s">
        <v>3526</v>
      </c>
      <c r="V55" s="116">
        <f t="shared" si="2"/>
        <v>1</v>
      </c>
      <c r="W55" s="116">
        <f t="shared" ref="W55:X55" si="60">IF(lenb(SUBSTITUTE($Z55,W$1&amp;" (1)",""))&lt;lenb($Z55),1,IF(lenb(SUBSTITUTE($Z55,W$1&amp;" (2)",""))&lt;lenb($Z55),2,IF(lenb(SUBSTITUTE($Z55,W$1&amp;" (3)",""))&lt;lenb($Z55),3,IF(lenb(SUBSTITUTE($Z55,W$1&amp;" (4)",""))&lt;lenb($Z55),4,IF(lenb(SUBSTITUTE($Z55,W$1&amp;" (5)",""))&lt;lenb($Z55),5,IF(lenb(SUBSTITUTE($Z55,W$1&amp;" (6)",""))&lt;lenb($Z55),6,IF(lenb(SUBSTITUTE($Z55,W$1&amp;" (7)",""))&lt;lenb($Z55),1,IF(lenb(SUBSTITUTE($Z55,W$1&amp;" (8)",""))&lt;lenb($Z55),8,IF(lenb(SUBSTITUTE($Z55,W$1&amp;" (9)",""))&lt;lenb($Z55),9,IF(lenb(SUBSTITUTE($Z55,W$1&amp;" (10)",""))&lt;lenb($Z55),10,IF(lenb(SUBSTITUTE($Z55,W$1,""))&lt;lenb($Z55),"ERROR",IF($Z55=$Y$1,"-",0))))))))))))</f>
        <v>0</v>
      </c>
      <c r="X55" s="116">
        <f t="shared" si="60"/>
        <v>0</v>
      </c>
      <c r="Y55" s="116" t="str">
        <f t="shared" si="4"/>
        <v>-</v>
      </c>
      <c r="Z55" s="115" t="s">
        <v>3400</v>
      </c>
      <c r="AA55" s="54">
        <f t="shared" si="5"/>
        <v>1</v>
      </c>
      <c r="AB55" s="54">
        <f>COUNTIFS(Links!B:B,"FSE",Links!C:C,A55,Links!AD:AD,1)</f>
        <v>0</v>
      </c>
      <c r="AC55" s="117" t="s">
        <v>35</v>
      </c>
      <c r="AD55" s="118" t="s">
        <v>35</v>
      </c>
      <c r="AE55" s="115" t="s">
        <v>36</v>
      </c>
      <c r="AF55" s="57" t="s">
        <v>42</v>
      </c>
      <c r="AG55" s="57" t="s">
        <v>42</v>
      </c>
      <c r="AH55" s="57" t="s">
        <v>42</v>
      </c>
      <c r="AI55" s="116" t="str">
        <f t="shared" si="6"/>
        <v>----</v>
      </c>
      <c r="AJ55" s="119" t="str">
        <f t="shared" si="7"/>
        <v>Paper has link but no statement</v>
      </c>
      <c r="AK55" s="120" t="s">
        <v>3401</v>
      </c>
      <c r="AL55" s="121" t="s">
        <v>3402</v>
      </c>
      <c r="AM55" s="60" t="str">
        <f t="shared" si="8"/>
        <v>[FP0833]</v>
      </c>
    </row>
    <row r="56" ht="67.5" customHeight="1">
      <c r="A56" s="61">
        <v>834.0</v>
      </c>
      <c r="B56" s="22" t="s">
        <v>3527</v>
      </c>
      <c r="C56" s="23">
        <v>2014.0</v>
      </c>
      <c r="D56" s="100" t="s">
        <v>35</v>
      </c>
      <c r="E56" s="25" t="s">
        <v>36</v>
      </c>
      <c r="F56" s="25" t="s">
        <v>36</v>
      </c>
      <c r="G56" s="25" t="s">
        <v>36</v>
      </c>
      <c r="H56" s="25" t="s">
        <v>36</v>
      </c>
      <c r="I56" s="25" t="s">
        <v>36</v>
      </c>
      <c r="J56" s="101" t="s">
        <v>36</v>
      </c>
      <c r="K56" s="102" t="s">
        <v>35</v>
      </c>
      <c r="L56" s="103" t="s">
        <v>36</v>
      </c>
      <c r="M56" s="103" t="s">
        <v>36</v>
      </c>
      <c r="N56" s="103" t="s">
        <v>36</v>
      </c>
      <c r="O56" s="103" t="s">
        <v>36</v>
      </c>
      <c r="P56" s="103" t="s">
        <v>36</v>
      </c>
      <c r="Q56" s="103" t="s">
        <v>36</v>
      </c>
      <c r="R56" s="103" t="s">
        <v>36</v>
      </c>
      <c r="S56" s="104" t="s">
        <v>42</v>
      </c>
      <c r="T56" s="30" t="s">
        <v>36</v>
      </c>
      <c r="U56" s="30" t="s">
        <v>36</v>
      </c>
      <c r="V56" s="105" t="str">
        <f t="shared" si="2"/>
        <v>-</v>
      </c>
      <c r="W56" s="105" t="str">
        <f t="shared" ref="W56:X56" si="61">IF(lenb(SUBSTITUTE($Z56,W$1&amp;" (1)",""))&lt;lenb($Z56),1,IF(lenb(SUBSTITUTE($Z56,W$1&amp;" (2)",""))&lt;lenb($Z56),2,IF(lenb(SUBSTITUTE($Z56,W$1&amp;" (3)",""))&lt;lenb($Z56),3,IF(lenb(SUBSTITUTE($Z56,W$1&amp;" (4)",""))&lt;lenb($Z56),4,IF(lenb(SUBSTITUTE($Z56,W$1&amp;" (5)",""))&lt;lenb($Z56),5,IF(lenb(SUBSTITUTE($Z56,W$1&amp;" (6)",""))&lt;lenb($Z56),6,IF(lenb(SUBSTITUTE($Z56,W$1&amp;" (7)",""))&lt;lenb($Z56),1,IF(lenb(SUBSTITUTE($Z56,W$1&amp;" (8)",""))&lt;lenb($Z56),8,IF(lenb(SUBSTITUTE($Z56,W$1&amp;" (9)",""))&lt;lenb($Z56),9,IF(lenb(SUBSTITUTE($Z56,W$1&amp;" (10)",""))&lt;lenb($Z56),10,IF(lenb(SUBSTITUTE($Z56,W$1,""))&lt;lenb($Z56),"ERROR",IF($Z56=$Y$1,"-",0))))))))))))</f>
        <v>-</v>
      </c>
      <c r="X56" s="105" t="str">
        <f t="shared" si="61"/>
        <v>-</v>
      </c>
      <c r="Y56" s="105">
        <f t="shared" si="4"/>
        <v>1</v>
      </c>
      <c r="Z56" s="104" t="s">
        <v>23</v>
      </c>
      <c r="AA56" s="34">
        <f t="shared" si="5"/>
        <v>0</v>
      </c>
      <c r="AB56" s="34">
        <f>COUNTIFS(Links!B:B,"FSE",Links!C:C,A56,Links!AD:AD,1)</f>
        <v>0</v>
      </c>
      <c r="AC56" s="106" t="s">
        <v>36</v>
      </c>
      <c r="AD56" s="107" t="s">
        <v>35</v>
      </c>
      <c r="AE56" s="104" t="s">
        <v>36</v>
      </c>
      <c r="AF56" s="37" t="s">
        <v>42</v>
      </c>
      <c r="AG56" s="37" t="s">
        <v>42</v>
      </c>
      <c r="AH56" s="37" t="s">
        <v>42</v>
      </c>
      <c r="AI56" s="105" t="str">
        <f t="shared" si="6"/>
        <v>----</v>
      </c>
      <c r="AJ56" s="108" t="str">
        <f t="shared" si="7"/>
        <v>Paper has no link and no statement</v>
      </c>
      <c r="AK56" s="109" t="s">
        <v>3401</v>
      </c>
      <c r="AL56" s="110" t="s">
        <v>3402</v>
      </c>
      <c r="AM56" s="40" t="str">
        <f t="shared" si="8"/>
        <v>[FP0834]</v>
      </c>
    </row>
    <row r="57" ht="67.5" customHeight="1">
      <c r="A57" s="41">
        <v>835.0</v>
      </c>
      <c r="B57" s="42" t="s">
        <v>3528</v>
      </c>
      <c r="C57" s="43">
        <v>2014.0</v>
      </c>
      <c r="D57" s="122" t="s">
        <v>37</v>
      </c>
      <c r="E57" s="45" t="s">
        <v>36</v>
      </c>
      <c r="F57" s="45" t="s">
        <v>36</v>
      </c>
      <c r="G57" s="45" t="s">
        <v>36</v>
      </c>
      <c r="H57" s="45" t="s">
        <v>36</v>
      </c>
      <c r="I57" s="45" t="s">
        <v>36</v>
      </c>
      <c r="J57" s="112" t="s">
        <v>3409</v>
      </c>
      <c r="K57" s="113" t="s">
        <v>35</v>
      </c>
      <c r="L57" s="114" t="s">
        <v>36</v>
      </c>
      <c r="M57" s="114" t="s">
        <v>36</v>
      </c>
      <c r="N57" s="114" t="s">
        <v>36</v>
      </c>
      <c r="O57" s="114" t="s">
        <v>36</v>
      </c>
      <c r="P57" s="114" t="s">
        <v>36</v>
      </c>
      <c r="Q57" s="114" t="s">
        <v>36</v>
      </c>
      <c r="R57" s="114" t="s">
        <v>36</v>
      </c>
      <c r="S57" s="115" t="s">
        <v>42</v>
      </c>
      <c r="T57" s="50" t="s">
        <v>36</v>
      </c>
      <c r="U57" s="50" t="s">
        <v>36</v>
      </c>
      <c r="V57" s="116" t="str">
        <f t="shared" si="2"/>
        <v>-</v>
      </c>
      <c r="W57" s="116" t="str">
        <f t="shared" ref="W57:X57" si="62">IF(lenb(SUBSTITUTE($Z57,W$1&amp;" (1)",""))&lt;lenb($Z57),1,IF(lenb(SUBSTITUTE($Z57,W$1&amp;" (2)",""))&lt;lenb($Z57),2,IF(lenb(SUBSTITUTE($Z57,W$1&amp;" (3)",""))&lt;lenb($Z57),3,IF(lenb(SUBSTITUTE($Z57,W$1&amp;" (4)",""))&lt;lenb($Z57),4,IF(lenb(SUBSTITUTE($Z57,W$1&amp;" (5)",""))&lt;lenb($Z57),5,IF(lenb(SUBSTITUTE($Z57,W$1&amp;" (6)",""))&lt;lenb($Z57),6,IF(lenb(SUBSTITUTE($Z57,W$1&amp;" (7)",""))&lt;lenb($Z57),1,IF(lenb(SUBSTITUTE($Z57,W$1&amp;" (8)",""))&lt;lenb($Z57),8,IF(lenb(SUBSTITUTE($Z57,W$1&amp;" (9)",""))&lt;lenb($Z57),9,IF(lenb(SUBSTITUTE($Z57,W$1&amp;" (10)",""))&lt;lenb($Z57),10,IF(lenb(SUBSTITUTE($Z57,W$1,""))&lt;lenb($Z57),"ERROR",IF($Z57=$Y$1,"-",0))))))))))))</f>
        <v>-</v>
      </c>
      <c r="X57" s="116" t="str">
        <f t="shared" si="62"/>
        <v>-</v>
      </c>
      <c r="Y57" s="116">
        <f t="shared" si="4"/>
        <v>1</v>
      </c>
      <c r="Z57" s="115" t="s">
        <v>23</v>
      </c>
      <c r="AA57" s="54">
        <f t="shared" si="5"/>
        <v>0</v>
      </c>
      <c r="AB57" s="54">
        <f>COUNTIFS(Links!B:B,"FSE",Links!C:C,A57,Links!AD:AD,1)</f>
        <v>0</v>
      </c>
      <c r="AC57" s="117" t="s">
        <v>36</v>
      </c>
      <c r="AD57" s="118" t="s">
        <v>35</v>
      </c>
      <c r="AE57" s="115" t="s">
        <v>36</v>
      </c>
      <c r="AF57" s="57" t="s">
        <v>42</v>
      </c>
      <c r="AG57" s="57" t="s">
        <v>42</v>
      </c>
      <c r="AH57" s="57" t="s">
        <v>42</v>
      </c>
      <c r="AI57" s="116" t="str">
        <f t="shared" si="6"/>
        <v>----</v>
      </c>
      <c r="AJ57" s="119" t="str">
        <f t="shared" si="7"/>
        <v>Paper has no link and no statement</v>
      </c>
      <c r="AK57" s="120" t="s">
        <v>3401</v>
      </c>
      <c r="AL57" s="121" t="s">
        <v>3402</v>
      </c>
      <c r="AM57" s="60" t="str">
        <f t="shared" si="8"/>
        <v>[FP0835]</v>
      </c>
    </row>
    <row r="58" ht="67.5" customHeight="1">
      <c r="A58" s="61">
        <v>836.0</v>
      </c>
      <c r="B58" s="22" t="s">
        <v>3529</v>
      </c>
      <c r="C58" s="23">
        <v>2014.0</v>
      </c>
      <c r="D58" s="125" t="s">
        <v>37</v>
      </c>
      <c r="E58" s="25" t="s">
        <v>36</v>
      </c>
      <c r="F58" s="25" t="s">
        <v>36</v>
      </c>
      <c r="G58" s="25" t="s">
        <v>36</v>
      </c>
      <c r="H58" s="25" t="s">
        <v>36</v>
      </c>
      <c r="I58" s="25" t="s">
        <v>36</v>
      </c>
      <c r="J58" s="101" t="s">
        <v>3409</v>
      </c>
      <c r="K58" s="102" t="s">
        <v>35</v>
      </c>
      <c r="L58" s="103" t="s">
        <v>36</v>
      </c>
      <c r="M58" s="103" t="s">
        <v>36</v>
      </c>
      <c r="N58" s="103" t="s">
        <v>36</v>
      </c>
      <c r="O58" s="103" t="s">
        <v>36</v>
      </c>
      <c r="P58" s="103" t="s">
        <v>36</v>
      </c>
      <c r="Q58" s="103" t="s">
        <v>36</v>
      </c>
      <c r="R58" s="103" t="s">
        <v>36</v>
      </c>
      <c r="S58" s="104" t="s">
        <v>42</v>
      </c>
      <c r="T58" s="30" t="s">
        <v>36</v>
      </c>
      <c r="U58" s="30" t="s">
        <v>36</v>
      </c>
      <c r="V58" s="105" t="str">
        <f t="shared" si="2"/>
        <v>-</v>
      </c>
      <c r="W58" s="105" t="str">
        <f t="shared" ref="W58:X58" si="63">IF(lenb(SUBSTITUTE($Z58,W$1&amp;" (1)",""))&lt;lenb($Z58),1,IF(lenb(SUBSTITUTE($Z58,W$1&amp;" (2)",""))&lt;lenb($Z58),2,IF(lenb(SUBSTITUTE($Z58,W$1&amp;" (3)",""))&lt;lenb($Z58),3,IF(lenb(SUBSTITUTE($Z58,W$1&amp;" (4)",""))&lt;lenb($Z58),4,IF(lenb(SUBSTITUTE($Z58,W$1&amp;" (5)",""))&lt;lenb($Z58),5,IF(lenb(SUBSTITUTE($Z58,W$1&amp;" (6)",""))&lt;lenb($Z58),6,IF(lenb(SUBSTITUTE($Z58,W$1&amp;" (7)",""))&lt;lenb($Z58),1,IF(lenb(SUBSTITUTE($Z58,W$1&amp;" (8)",""))&lt;lenb($Z58),8,IF(lenb(SUBSTITUTE($Z58,W$1&amp;" (9)",""))&lt;lenb($Z58),9,IF(lenb(SUBSTITUTE($Z58,W$1&amp;" (10)",""))&lt;lenb($Z58),10,IF(lenb(SUBSTITUTE($Z58,W$1,""))&lt;lenb($Z58),"ERROR",IF($Z58=$Y$1,"-",0))))))))))))</f>
        <v>-</v>
      </c>
      <c r="X58" s="105" t="str">
        <f t="shared" si="63"/>
        <v>-</v>
      </c>
      <c r="Y58" s="105">
        <f t="shared" si="4"/>
        <v>1</v>
      </c>
      <c r="Z58" s="104" t="s">
        <v>23</v>
      </c>
      <c r="AA58" s="34">
        <f t="shared" si="5"/>
        <v>0</v>
      </c>
      <c r="AB58" s="34">
        <f>COUNTIFS(Links!B:B,"FSE",Links!C:C,A58,Links!AD:AD,1)</f>
        <v>0</v>
      </c>
      <c r="AC58" s="106" t="s">
        <v>36</v>
      </c>
      <c r="AD58" s="107" t="s">
        <v>35</v>
      </c>
      <c r="AE58" s="104" t="s">
        <v>36</v>
      </c>
      <c r="AF58" s="37" t="s">
        <v>42</v>
      </c>
      <c r="AG58" s="37" t="s">
        <v>42</v>
      </c>
      <c r="AH58" s="37" t="s">
        <v>42</v>
      </c>
      <c r="AI58" s="105" t="str">
        <f t="shared" si="6"/>
        <v>----</v>
      </c>
      <c r="AJ58" s="108" t="str">
        <f t="shared" si="7"/>
        <v>Paper has no link and no statement</v>
      </c>
      <c r="AK58" s="109" t="s">
        <v>3401</v>
      </c>
      <c r="AL58" s="110" t="s">
        <v>3402</v>
      </c>
      <c r="AM58" s="40" t="str">
        <f t="shared" si="8"/>
        <v>[FP0836]</v>
      </c>
    </row>
    <row r="59" ht="67.5" customHeight="1">
      <c r="A59" s="41">
        <v>837.0</v>
      </c>
      <c r="B59" s="42" t="s">
        <v>3530</v>
      </c>
      <c r="C59" s="43">
        <v>2014.0</v>
      </c>
      <c r="D59" s="111" t="s">
        <v>35</v>
      </c>
      <c r="E59" s="45" t="s">
        <v>36</v>
      </c>
      <c r="F59" s="45" t="s">
        <v>36</v>
      </c>
      <c r="G59" s="45" t="s">
        <v>36</v>
      </c>
      <c r="H59" s="45" t="s">
        <v>36</v>
      </c>
      <c r="I59" s="45" t="s">
        <v>36</v>
      </c>
      <c r="J59" s="112" t="s">
        <v>36</v>
      </c>
      <c r="K59" s="113" t="s">
        <v>37</v>
      </c>
      <c r="L59" s="114" t="s">
        <v>35</v>
      </c>
      <c r="M59" s="114" t="s">
        <v>37</v>
      </c>
      <c r="N59" s="114" t="s">
        <v>35</v>
      </c>
      <c r="O59" s="114" t="s">
        <v>35</v>
      </c>
      <c r="P59" s="114" t="s">
        <v>35</v>
      </c>
      <c r="Q59" s="114" t="s">
        <v>35</v>
      </c>
      <c r="R59" s="114" t="s">
        <v>37</v>
      </c>
      <c r="S59" s="115" t="s">
        <v>3531</v>
      </c>
      <c r="T59" s="50" t="s">
        <v>3532</v>
      </c>
      <c r="U59" s="50" t="s">
        <v>3532</v>
      </c>
      <c r="V59" s="116">
        <f t="shared" si="2"/>
        <v>1</v>
      </c>
      <c r="W59" s="116">
        <f t="shared" ref="W59:X59" si="64">IF(lenb(SUBSTITUTE($Z59,W$1&amp;" (1)",""))&lt;lenb($Z59),1,IF(lenb(SUBSTITUTE($Z59,W$1&amp;" (2)",""))&lt;lenb($Z59),2,IF(lenb(SUBSTITUTE($Z59,W$1&amp;" (3)",""))&lt;lenb($Z59),3,IF(lenb(SUBSTITUTE($Z59,W$1&amp;" (4)",""))&lt;lenb($Z59),4,IF(lenb(SUBSTITUTE($Z59,W$1&amp;" (5)",""))&lt;lenb($Z59),5,IF(lenb(SUBSTITUTE($Z59,W$1&amp;" (6)",""))&lt;lenb($Z59),6,IF(lenb(SUBSTITUTE($Z59,W$1&amp;" (7)",""))&lt;lenb($Z59),1,IF(lenb(SUBSTITUTE($Z59,W$1&amp;" (8)",""))&lt;lenb($Z59),8,IF(lenb(SUBSTITUTE($Z59,W$1&amp;" (9)",""))&lt;lenb($Z59),9,IF(lenb(SUBSTITUTE($Z59,W$1&amp;" (10)",""))&lt;lenb($Z59),10,IF(lenb(SUBSTITUTE($Z59,W$1,""))&lt;lenb($Z59),"ERROR",IF($Z59=$Y$1,"-",0))))))))))))</f>
        <v>0</v>
      </c>
      <c r="X59" s="116">
        <f t="shared" si="64"/>
        <v>0</v>
      </c>
      <c r="Y59" s="116" t="str">
        <f t="shared" si="4"/>
        <v>-</v>
      </c>
      <c r="Z59" s="115" t="s">
        <v>3400</v>
      </c>
      <c r="AA59" s="54">
        <f t="shared" si="5"/>
        <v>1</v>
      </c>
      <c r="AB59" s="54">
        <f>COUNTIFS(Links!B:B,"FSE",Links!C:C,A59,Links!AD:AD,1)</f>
        <v>1</v>
      </c>
      <c r="AC59" s="117" t="s">
        <v>35</v>
      </c>
      <c r="AD59" s="118" t="s">
        <v>35</v>
      </c>
      <c r="AE59" s="115" t="s">
        <v>36</v>
      </c>
      <c r="AF59" s="57" t="s">
        <v>42</v>
      </c>
      <c r="AG59" s="57" t="s">
        <v>42</v>
      </c>
      <c r="AH59" s="57" t="s">
        <v>42</v>
      </c>
      <c r="AI59" s="116" t="str">
        <f t="shared" si="6"/>
        <v>----</v>
      </c>
      <c r="AJ59" s="119" t="str">
        <f t="shared" si="7"/>
        <v>Paper has link but no statement</v>
      </c>
      <c r="AK59" s="120" t="s">
        <v>3401</v>
      </c>
      <c r="AL59" s="121" t="s">
        <v>3402</v>
      </c>
      <c r="AM59" s="60" t="str">
        <f t="shared" si="8"/>
        <v>[FP0837]</v>
      </c>
    </row>
    <row r="60" ht="67.5" customHeight="1">
      <c r="A60" s="61">
        <v>838.0</v>
      </c>
      <c r="B60" s="22" t="s">
        <v>3533</v>
      </c>
      <c r="C60" s="23">
        <v>2014.0</v>
      </c>
      <c r="D60" s="100" t="s">
        <v>35</v>
      </c>
      <c r="E60" s="25" t="s">
        <v>36</v>
      </c>
      <c r="F60" s="25" t="s">
        <v>36</v>
      </c>
      <c r="G60" s="25" t="s">
        <v>36</v>
      </c>
      <c r="H60" s="25" t="s">
        <v>36</v>
      </c>
      <c r="I60" s="25" t="s">
        <v>36</v>
      </c>
      <c r="J60" s="101" t="s">
        <v>36</v>
      </c>
      <c r="K60" s="102" t="s">
        <v>35</v>
      </c>
      <c r="L60" s="103" t="s">
        <v>36</v>
      </c>
      <c r="M60" s="103" t="s">
        <v>36</v>
      </c>
      <c r="N60" s="103" t="s">
        <v>36</v>
      </c>
      <c r="O60" s="103" t="s">
        <v>36</v>
      </c>
      <c r="P60" s="103" t="s">
        <v>36</v>
      </c>
      <c r="Q60" s="103" t="s">
        <v>36</v>
      </c>
      <c r="R60" s="103" t="s">
        <v>36</v>
      </c>
      <c r="S60" s="104" t="s">
        <v>42</v>
      </c>
      <c r="T60" s="30" t="s">
        <v>36</v>
      </c>
      <c r="U60" s="30" t="s">
        <v>36</v>
      </c>
      <c r="V60" s="105" t="str">
        <f t="shared" si="2"/>
        <v>-</v>
      </c>
      <c r="W60" s="105" t="str">
        <f t="shared" ref="W60:X60" si="65">IF(lenb(SUBSTITUTE($Z60,W$1&amp;" (1)",""))&lt;lenb($Z60),1,IF(lenb(SUBSTITUTE($Z60,W$1&amp;" (2)",""))&lt;lenb($Z60),2,IF(lenb(SUBSTITUTE($Z60,W$1&amp;" (3)",""))&lt;lenb($Z60),3,IF(lenb(SUBSTITUTE($Z60,W$1&amp;" (4)",""))&lt;lenb($Z60),4,IF(lenb(SUBSTITUTE($Z60,W$1&amp;" (5)",""))&lt;lenb($Z60),5,IF(lenb(SUBSTITUTE($Z60,W$1&amp;" (6)",""))&lt;lenb($Z60),6,IF(lenb(SUBSTITUTE($Z60,W$1&amp;" (7)",""))&lt;lenb($Z60),1,IF(lenb(SUBSTITUTE($Z60,W$1&amp;" (8)",""))&lt;lenb($Z60),8,IF(lenb(SUBSTITUTE($Z60,W$1&amp;" (9)",""))&lt;lenb($Z60),9,IF(lenb(SUBSTITUTE($Z60,W$1&amp;" (10)",""))&lt;lenb($Z60),10,IF(lenb(SUBSTITUTE($Z60,W$1,""))&lt;lenb($Z60),"ERROR",IF($Z60=$Y$1,"-",0))))))))))))</f>
        <v>-</v>
      </c>
      <c r="X60" s="105" t="str">
        <f t="shared" si="65"/>
        <v>-</v>
      </c>
      <c r="Y60" s="105">
        <f t="shared" si="4"/>
        <v>1</v>
      </c>
      <c r="Z60" s="104" t="s">
        <v>23</v>
      </c>
      <c r="AA60" s="34">
        <f t="shared" si="5"/>
        <v>0</v>
      </c>
      <c r="AB60" s="34">
        <f>COUNTIFS(Links!B:B,"FSE",Links!C:C,A60,Links!AD:AD,1)</f>
        <v>0</v>
      </c>
      <c r="AC60" s="106" t="s">
        <v>36</v>
      </c>
      <c r="AD60" s="107" t="s">
        <v>37</v>
      </c>
      <c r="AE60" s="128" t="s">
        <v>3534</v>
      </c>
      <c r="AF60" s="37" t="s">
        <v>281</v>
      </c>
      <c r="AG60" s="37" t="s">
        <v>42</v>
      </c>
      <c r="AH60" s="37" t="s">
        <v>42</v>
      </c>
      <c r="AI60" s="105" t="str">
        <f t="shared" si="6"/>
        <v>Barriers (Confidentiality and privacy)</v>
      </c>
      <c r="AJ60" s="108" t="str">
        <f t="shared" si="7"/>
        <v>Paper has no link but has statement</v>
      </c>
      <c r="AK60" s="109" t="s">
        <v>3401</v>
      </c>
      <c r="AL60" s="110" t="s">
        <v>3402</v>
      </c>
      <c r="AM60" s="40" t="str">
        <f t="shared" si="8"/>
        <v>[FP0838]</v>
      </c>
    </row>
    <row r="61" ht="67.5" customHeight="1">
      <c r="A61" s="41">
        <v>839.0</v>
      </c>
      <c r="B61" s="42" t="s">
        <v>3535</v>
      </c>
      <c r="C61" s="43">
        <v>2014.0</v>
      </c>
      <c r="D61" s="111" t="s">
        <v>35</v>
      </c>
      <c r="E61" s="45" t="s">
        <v>36</v>
      </c>
      <c r="F61" s="45" t="s">
        <v>36</v>
      </c>
      <c r="G61" s="45" t="s">
        <v>36</v>
      </c>
      <c r="H61" s="45" t="s">
        <v>36</v>
      </c>
      <c r="I61" s="45" t="s">
        <v>36</v>
      </c>
      <c r="J61" s="112" t="s">
        <v>36</v>
      </c>
      <c r="K61" s="113" t="s">
        <v>37</v>
      </c>
      <c r="L61" s="114" t="s">
        <v>37</v>
      </c>
      <c r="M61" s="114" t="s">
        <v>35</v>
      </c>
      <c r="N61" s="114" t="s">
        <v>35</v>
      </c>
      <c r="O61" s="114" t="s">
        <v>35</v>
      </c>
      <c r="P61" s="114" t="s">
        <v>35</v>
      </c>
      <c r="Q61" s="114" t="s">
        <v>37</v>
      </c>
      <c r="R61" s="114" t="s">
        <v>35</v>
      </c>
      <c r="S61" s="115" t="s">
        <v>3536</v>
      </c>
      <c r="T61" s="50" t="s">
        <v>3537</v>
      </c>
      <c r="U61" s="50" t="s">
        <v>3537</v>
      </c>
      <c r="V61" s="116">
        <f t="shared" si="2"/>
        <v>1</v>
      </c>
      <c r="W61" s="116">
        <f t="shared" ref="W61:X61" si="66">IF(lenb(SUBSTITUTE($Z61,W$1&amp;" (1)",""))&lt;lenb($Z61),1,IF(lenb(SUBSTITUTE($Z61,W$1&amp;" (2)",""))&lt;lenb($Z61),2,IF(lenb(SUBSTITUTE($Z61,W$1&amp;" (3)",""))&lt;lenb($Z61),3,IF(lenb(SUBSTITUTE($Z61,W$1&amp;" (4)",""))&lt;lenb($Z61),4,IF(lenb(SUBSTITUTE($Z61,W$1&amp;" (5)",""))&lt;lenb($Z61),5,IF(lenb(SUBSTITUTE($Z61,W$1&amp;" (6)",""))&lt;lenb($Z61),6,IF(lenb(SUBSTITUTE($Z61,W$1&amp;" (7)",""))&lt;lenb($Z61),1,IF(lenb(SUBSTITUTE($Z61,W$1&amp;" (8)",""))&lt;lenb($Z61),8,IF(lenb(SUBSTITUTE($Z61,W$1&amp;" (9)",""))&lt;lenb($Z61),9,IF(lenb(SUBSTITUTE($Z61,W$1&amp;" (10)",""))&lt;lenb($Z61),10,IF(lenb(SUBSTITUTE($Z61,W$1,""))&lt;lenb($Z61),"ERROR",IF($Z61=$Y$1,"-",0))))))))))))</f>
        <v>0</v>
      </c>
      <c r="X61" s="116">
        <f t="shared" si="66"/>
        <v>0</v>
      </c>
      <c r="Y61" s="116" t="str">
        <f t="shared" si="4"/>
        <v>-</v>
      </c>
      <c r="Z61" s="115" t="s">
        <v>3400</v>
      </c>
      <c r="AA61" s="54">
        <f t="shared" si="5"/>
        <v>1</v>
      </c>
      <c r="AB61" s="54">
        <f>COUNTIFS(Links!B:B,"FSE",Links!C:C,A61,Links!AD:AD,1)</f>
        <v>0</v>
      </c>
      <c r="AC61" s="117" t="s">
        <v>37</v>
      </c>
      <c r="AD61" s="118" t="s">
        <v>35</v>
      </c>
      <c r="AE61" s="115" t="s">
        <v>36</v>
      </c>
      <c r="AF61" s="57" t="s">
        <v>42</v>
      </c>
      <c r="AG61" s="57" t="s">
        <v>42</v>
      </c>
      <c r="AH61" s="57" t="s">
        <v>42</v>
      </c>
      <c r="AI61" s="116" t="str">
        <f t="shared" si="6"/>
        <v>----</v>
      </c>
      <c r="AJ61" s="119" t="str">
        <f t="shared" si="7"/>
        <v>Paper has link but no statement</v>
      </c>
      <c r="AK61" s="120" t="s">
        <v>3401</v>
      </c>
      <c r="AL61" s="121" t="s">
        <v>3402</v>
      </c>
      <c r="AM61" s="60" t="str">
        <f t="shared" si="8"/>
        <v>[FP0839]</v>
      </c>
    </row>
    <row r="62" ht="67.5" customHeight="1">
      <c r="A62" s="61">
        <v>840.0</v>
      </c>
      <c r="B62" s="22" t="s">
        <v>3538</v>
      </c>
      <c r="C62" s="23">
        <v>2014.0</v>
      </c>
      <c r="D62" s="125" t="s">
        <v>37</v>
      </c>
      <c r="E62" s="25" t="s">
        <v>36</v>
      </c>
      <c r="F62" s="25" t="s">
        <v>36</v>
      </c>
      <c r="G62" s="25" t="s">
        <v>36</v>
      </c>
      <c r="H62" s="25" t="s">
        <v>36</v>
      </c>
      <c r="I62" s="25" t="s">
        <v>36</v>
      </c>
      <c r="J62" s="101" t="s">
        <v>3409</v>
      </c>
      <c r="K62" s="102" t="s">
        <v>35</v>
      </c>
      <c r="L62" s="103" t="s">
        <v>36</v>
      </c>
      <c r="M62" s="103" t="s">
        <v>36</v>
      </c>
      <c r="N62" s="103" t="s">
        <v>36</v>
      </c>
      <c r="O62" s="103" t="s">
        <v>36</v>
      </c>
      <c r="P62" s="103" t="s">
        <v>36</v>
      </c>
      <c r="Q62" s="103" t="s">
        <v>36</v>
      </c>
      <c r="R62" s="103" t="s">
        <v>36</v>
      </c>
      <c r="S62" s="104" t="s">
        <v>42</v>
      </c>
      <c r="T62" s="30" t="s">
        <v>36</v>
      </c>
      <c r="U62" s="30" t="s">
        <v>36</v>
      </c>
      <c r="V62" s="105" t="str">
        <f t="shared" si="2"/>
        <v>-</v>
      </c>
      <c r="W62" s="105" t="str">
        <f t="shared" ref="W62:X62" si="67">IF(lenb(SUBSTITUTE($Z62,W$1&amp;" (1)",""))&lt;lenb($Z62),1,IF(lenb(SUBSTITUTE($Z62,W$1&amp;" (2)",""))&lt;lenb($Z62),2,IF(lenb(SUBSTITUTE($Z62,W$1&amp;" (3)",""))&lt;lenb($Z62),3,IF(lenb(SUBSTITUTE($Z62,W$1&amp;" (4)",""))&lt;lenb($Z62),4,IF(lenb(SUBSTITUTE($Z62,W$1&amp;" (5)",""))&lt;lenb($Z62),5,IF(lenb(SUBSTITUTE($Z62,W$1&amp;" (6)",""))&lt;lenb($Z62),6,IF(lenb(SUBSTITUTE($Z62,W$1&amp;" (7)",""))&lt;lenb($Z62),1,IF(lenb(SUBSTITUTE($Z62,W$1&amp;" (8)",""))&lt;lenb($Z62),8,IF(lenb(SUBSTITUTE($Z62,W$1&amp;" (9)",""))&lt;lenb($Z62),9,IF(lenb(SUBSTITUTE($Z62,W$1&amp;" (10)",""))&lt;lenb($Z62),10,IF(lenb(SUBSTITUTE($Z62,W$1,""))&lt;lenb($Z62),"ERROR",IF($Z62=$Y$1,"-",0))))))))))))</f>
        <v>-</v>
      </c>
      <c r="X62" s="105" t="str">
        <f t="shared" si="67"/>
        <v>-</v>
      </c>
      <c r="Y62" s="105">
        <f t="shared" si="4"/>
        <v>1</v>
      </c>
      <c r="Z62" s="104" t="s">
        <v>23</v>
      </c>
      <c r="AA62" s="34">
        <f t="shared" si="5"/>
        <v>0</v>
      </c>
      <c r="AB62" s="34">
        <f>COUNTIFS(Links!B:B,"FSE",Links!C:C,A62,Links!AD:AD,1)</f>
        <v>0</v>
      </c>
      <c r="AC62" s="106" t="s">
        <v>36</v>
      </c>
      <c r="AD62" s="107" t="s">
        <v>35</v>
      </c>
      <c r="AE62" s="104" t="s">
        <v>36</v>
      </c>
      <c r="AF62" s="37" t="s">
        <v>42</v>
      </c>
      <c r="AG62" s="37" t="s">
        <v>42</v>
      </c>
      <c r="AH62" s="37" t="s">
        <v>42</v>
      </c>
      <c r="AI62" s="105" t="str">
        <f t="shared" si="6"/>
        <v>----</v>
      </c>
      <c r="AJ62" s="108" t="str">
        <f t="shared" si="7"/>
        <v>Paper has no link and no statement</v>
      </c>
      <c r="AK62" s="109" t="s">
        <v>3401</v>
      </c>
      <c r="AL62" s="110" t="s">
        <v>3402</v>
      </c>
      <c r="AM62" s="40" t="str">
        <f t="shared" si="8"/>
        <v>[FP0840]</v>
      </c>
    </row>
    <row r="63" ht="67.5" customHeight="1">
      <c r="A63" s="41">
        <v>706.0</v>
      </c>
      <c r="B63" s="42" t="s">
        <v>3539</v>
      </c>
      <c r="C63" s="43">
        <v>2015.0</v>
      </c>
      <c r="D63" s="111" t="s">
        <v>35</v>
      </c>
      <c r="E63" s="45" t="s">
        <v>36</v>
      </c>
      <c r="F63" s="45" t="s">
        <v>36</v>
      </c>
      <c r="G63" s="45" t="s">
        <v>36</v>
      </c>
      <c r="H63" s="45" t="s">
        <v>36</v>
      </c>
      <c r="I63" s="45" t="s">
        <v>36</v>
      </c>
      <c r="J63" s="112" t="s">
        <v>36</v>
      </c>
      <c r="K63" s="113" t="s">
        <v>35</v>
      </c>
      <c r="L63" s="114" t="s">
        <v>36</v>
      </c>
      <c r="M63" s="114" t="s">
        <v>36</v>
      </c>
      <c r="N63" s="114" t="s">
        <v>36</v>
      </c>
      <c r="O63" s="114" t="s">
        <v>36</v>
      </c>
      <c r="P63" s="114" t="s">
        <v>36</v>
      </c>
      <c r="Q63" s="114" t="s">
        <v>36</v>
      </c>
      <c r="R63" s="114" t="s">
        <v>36</v>
      </c>
      <c r="S63" s="115" t="s">
        <v>42</v>
      </c>
      <c r="T63" s="50" t="s">
        <v>36</v>
      </c>
      <c r="U63" s="50" t="s">
        <v>36</v>
      </c>
      <c r="V63" s="116" t="str">
        <f t="shared" si="2"/>
        <v>-</v>
      </c>
      <c r="W63" s="116" t="str">
        <f t="shared" ref="W63:X63" si="68">IF(lenb(SUBSTITUTE($Z63,W$1&amp;" (1)",""))&lt;lenb($Z63),1,IF(lenb(SUBSTITUTE($Z63,W$1&amp;" (2)",""))&lt;lenb($Z63),2,IF(lenb(SUBSTITUTE($Z63,W$1&amp;" (3)",""))&lt;lenb($Z63),3,IF(lenb(SUBSTITUTE($Z63,W$1&amp;" (4)",""))&lt;lenb($Z63),4,IF(lenb(SUBSTITUTE($Z63,W$1&amp;" (5)",""))&lt;lenb($Z63),5,IF(lenb(SUBSTITUTE($Z63,W$1&amp;" (6)",""))&lt;lenb($Z63),6,IF(lenb(SUBSTITUTE($Z63,W$1&amp;" (7)",""))&lt;lenb($Z63),1,IF(lenb(SUBSTITUTE($Z63,W$1&amp;" (8)",""))&lt;lenb($Z63),8,IF(lenb(SUBSTITUTE($Z63,W$1&amp;" (9)",""))&lt;lenb($Z63),9,IF(lenb(SUBSTITUTE($Z63,W$1&amp;" (10)",""))&lt;lenb($Z63),10,IF(lenb(SUBSTITUTE($Z63,W$1,""))&lt;lenb($Z63),"ERROR",IF($Z63=$Y$1,"-",0))))))))))))</f>
        <v>-</v>
      </c>
      <c r="X63" s="116" t="str">
        <f t="shared" si="68"/>
        <v>-</v>
      </c>
      <c r="Y63" s="116">
        <f t="shared" si="4"/>
        <v>1</v>
      </c>
      <c r="Z63" s="115" t="s">
        <v>23</v>
      </c>
      <c r="AA63" s="54">
        <f t="shared" si="5"/>
        <v>0</v>
      </c>
      <c r="AB63" s="54">
        <f>COUNTIFS(Links!B:B,"FSE",Links!C:C,A63,Links!AD:AD,1)</f>
        <v>0</v>
      </c>
      <c r="AC63" s="117" t="s">
        <v>36</v>
      </c>
      <c r="AD63" s="118" t="s">
        <v>35</v>
      </c>
      <c r="AE63" s="115" t="s">
        <v>36</v>
      </c>
      <c r="AF63" s="57" t="s">
        <v>42</v>
      </c>
      <c r="AG63" s="57" t="s">
        <v>42</v>
      </c>
      <c r="AH63" s="57" t="s">
        <v>42</v>
      </c>
      <c r="AI63" s="116" t="str">
        <f t="shared" si="6"/>
        <v>----</v>
      </c>
      <c r="AJ63" s="119" t="str">
        <f t="shared" si="7"/>
        <v>Paper has no link and no statement</v>
      </c>
      <c r="AK63" s="120" t="s">
        <v>3401</v>
      </c>
      <c r="AL63" s="121" t="s">
        <v>3402</v>
      </c>
      <c r="AM63" s="60" t="str">
        <f t="shared" si="8"/>
        <v>[FP0706]</v>
      </c>
    </row>
    <row r="64" ht="67.5" customHeight="1">
      <c r="A64" s="61">
        <v>707.0</v>
      </c>
      <c r="B64" s="22" t="s">
        <v>3540</v>
      </c>
      <c r="C64" s="23">
        <v>2015.0</v>
      </c>
      <c r="D64" s="100" t="s">
        <v>35</v>
      </c>
      <c r="E64" s="25" t="s">
        <v>36</v>
      </c>
      <c r="F64" s="25" t="s">
        <v>36</v>
      </c>
      <c r="G64" s="25" t="s">
        <v>36</v>
      </c>
      <c r="H64" s="25" t="s">
        <v>36</v>
      </c>
      <c r="I64" s="25" t="s">
        <v>36</v>
      </c>
      <c r="J64" s="101" t="s">
        <v>36</v>
      </c>
      <c r="K64" s="102" t="s">
        <v>35</v>
      </c>
      <c r="L64" s="103" t="s">
        <v>36</v>
      </c>
      <c r="M64" s="103" t="s">
        <v>36</v>
      </c>
      <c r="N64" s="103" t="s">
        <v>36</v>
      </c>
      <c r="O64" s="103" t="s">
        <v>36</v>
      </c>
      <c r="P64" s="103" t="s">
        <v>36</v>
      </c>
      <c r="Q64" s="103" t="s">
        <v>36</v>
      </c>
      <c r="R64" s="103" t="s">
        <v>36</v>
      </c>
      <c r="S64" s="104" t="s">
        <v>42</v>
      </c>
      <c r="T64" s="30" t="s">
        <v>36</v>
      </c>
      <c r="U64" s="30" t="s">
        <v>36</v>
      </c>
      <c r="V64" s="105" t="str">
        <f t="shared" si="2"/>
        <v>-</v>
      </c>
      <c r="W64" s="105" t="str">
        <f t="shared" ref="W64:X64" si="69">IF(lenb(SUBSTITUTE($Z64,W$1&amp;" (1)",""))&lt;lenb($Z64),1,IF(lenb(SUBSTITUTE($Z64,W$1&amp;" (2)",""))&lt;lenb($Z64),2,IF(lenb(SUBSTITUTE($Z64,W$1&amp;" (3)",""))&lt;lenb($Z64),3,IF(lenb(SUBSTITUTE($Z64,W$1&amp;" (4)",""))&lt;lenb($Z64),4,IF(lenb(SUBSTITUTE($Z64,W$1&amp;" (5)",""))&lt;lenb($Z64),5,IF(lenb(SUBSTITUTE($Z64,W$1&amp;" (6)",""))&lt;lenb($Z64),6,IF(lenb(SUBSTITUTE($Z64,W$1&amp;" (7)",""))&lt;lenb($Z64),1,IF(lenb(SUBSTITUTE($Z64,W$1&amp;" (8)",""))&lt;lenb($Z64),8,IF(lenb(SUBSTITUTE($Z64,W$1&amp;" (9)",""))&lt;lenb($Z64),9,IF(lenb(SUBSTITUTE($Z64,W$1&amp;" (10)",""))&lt;lenb($Z64),10,IF(lenb(SUBSTITUTE($Z64,W$1,""))&lt;lenb($Z64),"ERROR",IF($Z64=$Y$1,"-",0))))))))))))</f>
        <v>-</v>
      </c>
      <c r="X64" s="105" t="str">
        <f t="shared" si="69"/>
        <v>-</v>
      </c>
      <c r="Y64" s="105">
        <f t="shared" si="4"/>
        <v>1</v>
      </c>
      <c r="Z64" s="104" t="s">
        <v>23</v>
      </c>
      <c r="AA64" s="34">
        <f t="shared" si="5"/>
        <v>0</v>
      </c>
      <c r="AB64" s="34">
        <f>COUNTIFS(Links!B:B,"FSE",Links!C:C,A64,Links!AD:AD,1)</f>
        <v>0</v>
      </c>
      <c r="AC64" s="106" t="s">
        <v>36</v>
      </c>
      <c r="AD64" s="107" t="s">
        <v>35</v>
      </c>
      <c r="AE64" s="104" t="s">
        <v>36</v>
      </c>
      <c r="AF64" s="37" t="s">
        <v>42</v>
      </c>
      <c r="AG64" s="37" t="s">
        <v>42</v>
      </c>
      <c r="AH64" s="37" t="s">
        <v>42</v>
      </c>
      <c r="AI64" s="105" t="str">
        <f t="shared" si="6"/>
        <v>----</v>
      </c>
      <c r="AJ64" s="108" t="str">
        <f t="shared" si="7"/>
        <v>Paper has no link and no statement</v>
      </c>
      <c r="AK64" s="109" t="s">
        <v>3401</v>
      </c>
      <c r="AL64" s="110" t="s">
        <v>3402</v>
      </c>
      <c r="AM64" s="40" t="str">
        <f t="shared" si="8"/>
        <v>[FP0707]</v>
      </c>
    </row>
    <row r="65" ht="67.5" customHeight="1">
      <c r="A65" s="41">
        <v>708.0</v>
      </c>
      <c r="B65" s="42" t="s">
        <v>3541</v>
      </c>
      <c r="C65" s="43">
        <v>2015.0</v>
      </c>
      <c r="D65" s="111" t="s">
        <v>37</v>
      </c>
      <c r="E65" s="45" t="s">
        <v>36</v>
      </c>
      <c r="F65" s="45" t="s">
        <v>36</v>
      </c>
      <c r="G65" s="45" t="s">
        <v>36</v>
      </c>
      <c r="H65" s="45" t="s">
        <v>36</v>
      </c>
      <c r="I65" s="45" t="s">
        <v>36</v>
      </c>
      <c r="J65" s="112" t="s">
        <v>3542</v>
      </c>
      <c r="K65" s="113" t="s">
        <v>37</v>
      </c>
      <c r="L65" s="114" t="s">
        <v>35</v>
      </c>
      <c r="M65" s="114" t="s">
        <v>37</v>
      </c>
      <c r="N65" s="114" t="s">
        <v>35</v>
      </c>
      <c r="O65" s="114" t="s">
        <v>35</v>
      </c>
      <c r="P65" s="114" t="s">
        <v>35</v>
      </c>
      <c r="Q65" s="114" t="s">
        <v>37</v>
      </c>
      <c r="R65" s="114" t="s">
        <v>35</v>
      </c>
      <c r="S65" s="115" t="s">
        <v>3543</v>
      </c>
      <c r="T65" s="50" t="s">
        <v>3544</v>
      </c>
      <c r="U65" s="50" t="s">
        <v>3545</v>
      </c>
      <c r="V65" s="116">
        <f t="shared" si="2"/>
        <v>0</v>
      </c>
      <c r="W65" s="116">
        <f t="shared" ref="W65:X65" si="70">IF(lenb(SUBSTITUTE($Z65,W$1&amp;" (1)",""))&lt;lenb($Z65),1,IF(lenb(SUBSTITUTE($Z65,W$1&amp;" (2)",""))&lt;lenb($Z65),2,IF(lenb(SUBSTITUTE($Z65,W$1&amp;" (3)",""))&lt;lenb($Z65),3,IF(lenb(SUBSTITUTE($Z65,W$1&amp;" (4)",""))&lt;lenb($Z65),4,IF(lenb(SUBSTITUTE($Z65,W$1&amp;" (5)",""))&lt;lenb($Z65),5,IF(lenb(SUBSTITUTE($Z65,W$1&amp;" (6)",""))&lt;lenb($Z65),6,IF(lenb(SUBSTITUTE($Z65,W$1&amp;" (7)",""))&lt;lenb($Z65),1,IF(lenb(SUBSTITUTE($Z65,W$1&amp;" (8)",""))&lt;lenb($Z65),8,IF(lenb(SUBSTITUTE($Z65,W$1&amp;" (9)",""))&lt;lenb($Z65),9,IF(lenb(SUBSTITUTE($Z65,W$1&amp;" (10)",""))&lt;lenb($Z65),10,IF(lenb(SUBSTITUTE($Z65,W$1,""))&lt;lenb($Z65),"ERROR",IF($Z65=$Y$1,"-",0))))))))))))</f>
        <v>1</v>
      </c>
      <c r="X65" s="116">
        <f t="shared" si="70"/>
        <v>0</v>
      </c>
      <c r="Y65" s="116" t="str">
        <f t="shared" si="4"/>
        <v>-</v>
      </c>
      <c r="Z65" s="115" t="s">
        <v>3423</v>
      </c>
      <c r="AA65" s="54">
        <f t="shared" si="5"/>
        <v>1</v>
      </c>
      <c r="AB65" s="54">
        <f>COUNTIFS(Links!B:B,"FSE",Links!C:C,A65,Links!AD:AD,1)</f>
        <v>1</v>
      </c>
      <c r="AC65" s="117" t="s">
        <v>35</v>
      </c>
      <c r="AD65" s="118" t="s">
        <v>35</v>
      </c>
      <c r="AE65" s="115" t="s">
        <v>36</v>
      </c>
      <c r="AF65" s="57" t="s">
        <v>42</v>
      </c>
      <c r="AG65" s="57" t="s">
        <v>42</v>
      </c>
      <c r="AH65" s="57" t="s">
        <v>42</v>
      </c>
      <c r="AI65" s="116" t="str">
        <f t="shared" si="6"/>
        <v>----</v>
      </c>
      <c r="AJ65" s="119" t="str">
        <f t="shared" si="7"/>
        <v>Paper has link but no statement</v>
      </c>
      <c r="AK65" s="120" t="s">
        <v>3401</v>
      </c>
      <c r="AL65" s="121" t="s">
        <v>3402</v>
      </c>
      <c r="AM65" s="60" t="str">
        <f t="shared" si="8"/>
        <v>[FP0708]</v>
      </c>
    </row>
    <row r="66" ht="67.5" customHeight="1">
      <c r="A66" s="61">
        <v>709.0</v>
      </c>
      <c r="B66" s="22" t="s">
        <v>3546</v>
      </c>
      <c r="C66" s="23">
        <v>2015.0</v>
      </c>
      <c r="D66" s="100" t="s">
        <v>35</v>
      </c>
      <c r="E66" s="25" t="s">
        <v>36</v>
      </c>
      <c r="F66" s="25" t="s">
        <v>36</v>
      </c>
      <c r="G66" s="25" t="s">
        <v>36</v>
      </c>
      <c r="H66" s="25" t="s">
        <v>36</v>
      </c>
      <c r="I66" s="25" t="s">
        <v>36</v>
      </c>
      <c r="J66" s="101" t="s">
        <v>36</v>
      </c>
      <c r="K66" s="102" t="s">
        <v>37</v>
      </c>
      <c r="L66" s="103" t="s">
        <v>35</v>
      </c>
      <c r="M66" s="103" t="s">
        <v>35</v>
      </c>
      <c r="N66" s="103" t="s">
        <v>35</v>
      </c>
      <c r="O66" s="103" t="s">
        <v>35</v>
      </c>
      <c r="P66" s="103" t="s">
        <v>35</v>
      </c>
      <c r="Q66" s="103" t="s">
        <v>35</v>
      </c>
      <c r="R66" s="103" t="s">
        <v>37</v>
      </c>
      <c r="S66" s="104" t="s">
        <v>3547</v>
      </c>
      <c r="T66" s="30" t="s">
        <v>3548</v>
      </c>
      <c r="U66" s="30" t="s">
        <v>3548</v>
      </c>
      <c r="V66" s="105">
        <f t="shared" si="2"/>
        <v>1</v>
      </c>
      <c r="W66" s="105">
        <f t="shared" ref="W66:X66" si="71">IF(lenb(SUBSTITUTE($Z66,W$1&amp;" (1)",""))&lt;lenb($Z66),1,IF(lenb(SUBSTITUTE($Z66,W$1&amp;" (2)",""))&lt;lenb($Z66),2,IF(lenb(SUBSTITUTE($Z66,W$1&amp;" (3)",""))&lt;lenb($Z66),3,IF(lenb(SUBSTITUTE($Z66,W$1&amp;" (4)",""))&lt;lenb($Z66),4,IF(lenb(SUBSTITUTE($Z66,W$1&amp;" (5)",""))&lt;lenb($Z66),5,IF(lenb(SUBSTITUTE($Z66,W$1&amp;" (6)",""))&lt;lenb($Z66),6,IF(lenb(SUBSTITUTE($Z66,W$1&amp;" (7)",""))&lt;lenb($Z66),1,IF(lenb(SUBSTITUTE($Z66,W$1&amp;" (8)",""))&lt;lenb($Z66),8,IF(lenb(SUBSTITUTE($Z66,W$1&amp;" (9)",""))&lt;lenb($Z66),9,IF(lenb(SUBSTITUTE($Z66,W$1&amp;" (10)",""))&lt;lenb($Z66),10,IF(lenb(SUBSTITUTE($Z66,W$1,""))&lt;lenb($Z66),"ERROR",IF($Z66=$Y$1,"-",0))))))))))))</f>
        <v>0</v>
      </c>
      <c r="X66" s="105">
        <f t="shared" si="71"/>
        <v>0</v>
      </c>
      <c r="Y66" s="105" t="str">
        <f t="shared" si="4"/>
        <v>-</v>
      </c>
      <c r="Z66" s="104" t="s">
        <v>3400</v>
      </c>
      <c r="AA66" s="34">
        <f t="shared" si="5"/>
        <v>1</v>
      </c>
      <c r="AB66" s="34">
        <f>COUNTIFS(Links!B:B,"FSE",Links!C:C,A66,Links!AD:AD,1)</f>
        <v>1</v>
      </c>
      <c r="AC66" s="106" t="s">
        <v>35</v>
      </c>
      <c r="AD66" s="107" t="s">
        <v>35</v>
      </c>
      <c r="AE66" s="104" t="s">
        <v>36</v>
      </c>
      <c r="AF66" s="37" t="s">
        <v>42</v>
      </c>
      <c r="AG66" s="37" t="s">
        <v>42</v>
      </c>
      <c r="AH66" s="37" t="s">
        <v>42</v>
      </c>
      <c r="AI66" s="105" t="str">
        <f t="shared" si="6"/>
        <v>----</v>
      </c>
      <c r="AJ66" s="108" t="str">
        <f t="shared" si="7"/>
        <v>Paper has link but no statement</v>
      </c>
      <c r="AK66" s="109" t="s">
        <v>3401</v>
      </c>
      <c r="AL66" s="110" t="s">
        <v>3402</v>
      </c>
      <c r="AM66" s="40" t="str">
        <f t="shared" si="8"/>
        <v>[FP0709]</v>
      </c>
    </row>
    <row r="67" ht="67.5" customHeight="1">
      <c r="A67" s="41">
        <v>710.0</v>
      </c>
      <c r="B67" s="42" t="s">
        <v>3549</v>
      </c>
      <c r="C67" s="43">
        <v>2015.0</v>
      </c>
      <c r="D67" s="111" t="s">
        <v>35</v>
      </c>
      <c r="E67" s="45" t="s">
        <v>36</v>
      </c>
      <c r="F67" s="45" t="s">
        <v>36</v>
      </c>
      <c r="G67" s="45" t="s">
        <v>36</v>
      </c>
      <c r="H67" s="45" t="s">
        <v>36</v>
      </c>
      <c r="I67" s="45" t="s">
        <v>36</v>
      </c>
      <c r="J67" s="112" t="s">
        <v>36</v>
      </c>
      <c r="K67" s="113" t="s">
        <v>37</v>
      </c>
      <c r="L67" s="114" t="s">
        <v>37</v>
      </c>
      <c r="M67" s="114" t="s">
        <v>35</v>
      </c>
      <c r="N67" s="114" t="s">
        <v>35</v>
      </c>
      <c r="O67" s="114" t="s">
        <v>35</v>
      </c>
      <c r="P67" s="114" t="s">
        <v>35</v>
      </c>
      <c r="Q67" s="114" t="s">
        <v>35</v>
      </c>
      <c r="R67" s="114" t="s">
        <v>37</v>
      </c>
      <c r="S67" s="115" t="s">
        <v>3550</v>
      </c>
      <c r="T67" s="50" t="s">
        <v>3551</v>
      </c>
      <c r="U67" s="50" t="s">
        <v>3551</v>
      </c>
      <c r="V67" s="116">
        <f t="shared" si="2"/>
        <v>1</v>
      </c>
      <c r="W67" s="116">
        <f t="shared" ref="W67:X67" si="72">IF(lenb(SUBSTITUTE($Z67,W$1&amp;" (1)",""))&lt;lenb($Z67),1,IF(lenb(SUBSTITUTE($Z67,W$1&amp;" (2)",""))&lt;lenb($Z67),2,IF(lenb(SUBSTITUTE($Z67,W$1&amp;" (3)",""))&lt;lenb($Z67),3,IF(lenb(SUBSTITUTE($Z67,W$1&amp;" (4)",""))&lt;lenb($Z67),4,IF(lenb(SUBSTITUTE($Z67,W$1&amp;" (5)",""))&lt;lenb($Z67),5,IF(lenb(SUBSTITUTE($Z67,W$1&amp;" (6)",""))&lt;lenb($Z67),6,IF(lenb(SUBSTITUTE($Z67,W$1&amp;" (7)",""))&lt;lenb($Z67),1,IF(lenb(SUBSTITUTE($Z67,W$1&amp;" (8)",""))&lt;lenb($Z67),8,IF(lenb(SUBSTITUTE($Z67,W$1&amp;" (9)",""))&lt;lenb($Z67),9,IF(lenb(SUBSTITUTE($Z67,W$1&amp;" (10)",""))&lt;lenb($Z67),10,IF(lenb(SUBSTITUTE($Z67,W$1,""))&lt;lenb($Z67),"ERROR",IF($Z67=$Y$1,"-",0))))))))))))</f>
        <v>0</v>
      </c>
      <c r="X67" s="116">
        <f t="shared" si="72"/>
        <v>0</v>
      </c>
      <c r="Y67" s="116" t="str">
        <f t="shared" si="4"/>
        <v>-</v>
      </c>
      <c r="Z67" s="115" t="s">
        <v>3400</v>
      </c>
      <c r="AA67" s="54">
        <f t="shared" si="5"/>
        <v>1</v>
      </c>
      <c r="AB67" s="54">
        <f>COUNTIFS(Links!B:B,"FSE",Links!C:C,A67,Links!AD:AD,1)</f>
        <v>0</v>
      </c>
      <c r="AC67" s="117" t="s">
        <v>35</v>
      </c>
      <c r="AD67" s="118" t="s">
        <v>37</v>
      </c>
      <c r="AE67" s="115" t="s">
        <v>3552</v>
      </c>
      <c r="AF67" s="57" t="s">
        <v>281</v>
      </c>
      <c r="AG67" s="57" t="s">
        <v>223</v>
      </c>
      <c r="AH67" s="57" t="s">
        <v>42</v>
      </c>
      <c r="AI67" s="116" t="str">
        <f t="shared" si="6"/>
        <v>Barriers (Confidentiality and privacy)
Barriers (Agreements and legal rights)</v>
      </c>
      <c r="AJ67" s="119" t="str">
        <f t="shared" si="7"/>
        <v>Paper has link and statement</v>
      </c>
      <c r="AK67" s="120" t="s">
        <v>3401</v>
      </c>
      <c r="AL67" s="121" t="s">
        <v>3402</v>
      </c>
      <c r="AM67" s="60" t="str">
        <f t="shared" si="8"/>
        <v>[FP0710]</v>
      </c>
    </row>
    <row r="68" ht="67.5" customHeight="1">
      <c r="A68" s="61">
        <v>711.0</v>
      </c>
      <c r="B68" s="22" t="s">
        <v>3553</v>
      </c>
      <c r="C68" s="23">
        <v>2015.0</v>
      </c>
      <c r="D68" s="100" t="s">
        <v>37</v>
      </c>
      <c r="E68" s="25" t="s">
        <v>36</v>
      </c>
      <c r="F68" s="25" t="s">
        <v>36</v>
      </c>
      <c r="G68" s="25" t="s">
        <v>36</v>
      </c>
      <c r="H68" s="25" t="s">
        <v>36</v>
      </c>
      <c r="I68" s="25" t="s">
        <v>36</v>
      </c>
      <c r="J68" s="101" t="s">
        <v>3554</v>
      </c>
      <c r="K68" s="102" t="s">
        <v>37</v>
      </c>
      <c r="L68" s="103" t="s">
        <v>35</v>
      </c>
      <c r="M68" s="103" t="s">
        <v>35</v>
      </c>
      <c r="N68" s="103" t="s">
        <v>35</v>
      </c>
      <c r="O68" s="103" t="s">
        <v>35</v>
      </c>
      <c r="P68" s="103" t="s">
        <v>35</v>
      </c>
      <c r="Q68" s="103" t="s">
        <v>37</v>
      </c>
      <c r="R68" s="103" t="s">
        <v>35</v>
      </c>
      <c r="S68" s="104" t="s">
        <v>3555</v>
      </c>
      <c r="T68" s="30" t="s">
        <v>3556</v>
      </c>
      <c r="U68" s="30" t="s">
        <v>3556</v>
      </c>
      <c r="V68" s="105">
        <f t="shared" si="2"/>
        <v>1</v>
      </c>
      <c r="W68" s="105">
        <f t="shared" ref="W68:X68" si="73">IF(lenb(SUBSTITUTE($Z68,W$1&amp;" (1)",""))&lt;lenb($Z68),1,IF(lenb(SUBSTITUTE($Z68,W$1&amp;" (2)",""))&lt;lenb($Z68),2,IF(lenb(SUBSTITUTE($Z68,W$1&amp;" (3)",""))&lt;lenb($Z68),3,IF(lenb(SUBSTITUTE($Z68,W$1&amp;" (4)",""))&lt;lenb($Z68),4,IF(lenb(SUBSTITUTE($Z68,W$1&amp;" (5)",""))&lt;lenb($Z68),5,IF(lenb(SUBSTITUTE($Z68,W$1&amp;" (6)",""))&lt;lenb($Z68),6,IF(lenb(SUBSTITUTE($Z68,W$1&amp;" (7)",""))&lt;lenb($Z68),1,IF(lenb(SUBSTITUTE($Z68,W$1&amp;" (8)",""))&lt;lenb($Z68),8,IF(lenb(SUBSTITUTE($Z68,W$1&amp;" (9)",""))&lt;lenb($Z68),9,IF(lenb(SUBSTITUTE($Z68,W$1&amp;" (10)",""))&lt;lenb($Z68),10,IF(lenb(SUBSTITUTE($Z68,W$1,""))&lt;lenb($Z68),"ERROR",IF($Z68=$Y$1,"-",0))))))))))))</f>
        <v>0</v>
      </c>
      <c r="X68" s="105">
        <f t="shared" si="73"/>
        <v>0</v>
      </c>
      <c r="Y68" s="105" t="str">
        <f t="shared" si="4"/>
        <v>-</v>
      </c>
      <c r="Z68" s="104" t="s">
        <v>3400</v>
      </c>
      <c r="AA68" s="34">
        <f t="shared" si="5"/>
        <v>1</v>
      </c>
      <c r="AB68" s="34">
        <f>COUNTIFS(Links!B:B,"FSE",Links!C:C,A68,Links!AD:AD,1)</f>
        <v>1</v>
      </c>
      <c r="AC68" s="106" t="s">
        <v>35</v>
      </c>
      <c r="AD68" s="107" t="s">
        <v>35</v>
      </c>
      <c r="AE68" s="104" t="s">
        <v>36</v>
      </c>
      <c r="AF68" s="37" t="s">
        <v>42</v>
      </c>
      <c r="AG68" s="37" t="s">
        <v>42</v>
      </c>
      <c r="AH68" s="37" t="s">
        <v>42</v>
      </c>
      <c r="AI68" s="105" t="str">
        <f t="shared" si="6"/>
        <v>----</v>
      </c>
      <c r="AJ68" s="108" t="str">
        <f t="shared" si="7"/>
        <v>Paper has link but no statement</v>
      </c>
      <c r="AK68" s="109" t="s">
        <v>3401</v>
      </c>
      <c r="AL68" s="110" t="s">
        <v>3402</v>
      </c>
      <c r="AM68" s="40" t="str">
        <f t="shared" si="8"/>
        <v>[FP0711]</v>
      </c>
    </row>
    <row r="69" ht="67.5" customHeight="1">
      <c r="A69" s="41">
        <v>712.0</v>
      </c>
      <c r="B69" s="42" t="s">
        <v>3557</v>
      </c>
      <c r="C69" s="43">
        <v>2015.0</v>
      </c>
      <c r="D69" s="111" t="s">
        <v>35</v>
      </c>
      <c r="E69" s="45" t="s">
        <v>36</v>
      </c>
      <c r="F69" s="45" t="s">
        <v>36</v>
      </c>
      <c r="G69" s="45" t="s">
        <v>36</v>
      </c>
      <c r="H69" s="45" t="s">
        <v>36</v>
      </c>
      <c r="I69" s="45" t="s">
        <v>36</v>
      </c>
      <c r="J69" s="112" t="s">
        <v>36</v>
      </c>
      <c r="K69" s="113" t="s">
        <v>37</v>
      </c>
      <c r="L69" s="114" t="s">
        <v>35</v>
      </c>
      <c r="M69" s="114" t="s">
        <v>35</v>
      </c>
      <c r="N69" s="114" t="s">
        <v>35</v>
      </c>
      <c r="O69" s="114" t="s">
        <v>35</v>
      </c>
      <c r="P69" s="114" t="s">
        <v>35</v>
      </c>
      <c r="Q69" s="114" t="s">
        <v>35</v>
      </c>
      <c r="R69" s="114" t="s">
        <v>37</v>
      </c>
      <c r="S69" s="115" t="s">
        <v>3558</v>
      </c>
      <c r="T69" s="50" t="s">
        <v>3559</v>
      </c>
      <c r="U69" s="50" t="s">
        <v>3559</v>
      </c>
      <c r="V69" s="116">
        <f t="shared" si="2"/>
        <v>1</v>
      </c>
      <c r="W69" s="116">
        <f t="shared" ref="W69:X69" si="74">IF(lenb(SUBSTITUTE($Z69,W$1&amp;" (1)",""))&lt;lenb($Z69),1,IF(lenb(SUBSTITUTE($Z69,W$1&amp;" (2)",""))&lt;lenb($Z69),2,IF(lenb(SUBSTITUTE($Z69,W$1&amp;" (3)",""))&lt;lenb($Z69),3,IF(lenb(SUBSTITUTE($Z69,W$1&amp;" (4)",""))&lt;lenb($Z69),4,IF(lenb(SUBSTITUTE($Z69,W$1&amp;" (5)",""))&lt;lenb($Z69),5,IF(lenb(SUBSTITUTE($Z69,W$1&amp;" (6)",""))&lt;lenb($Z69),6,IF(lenb(SUBSTITUTE($Z69,W$1&amp;" (7)",""))&lt;lenb($Z69),1,IF(lenb(SUBSTITUTE($Z69,W$1&amp;" (8)",""))&lt;lenb($Z69),8,IF(lenb(SUBSTITUTE($Z69,W$1&amp;" (9)",""))&lt;lenb($Z69),9,IF(lenb(SUBSTITUTE($Z69,W$1&amp;" (10)",""))&lt;lenb($Z69),10,IF(lenb(SUBSTITUTE($Z69,W$1,""))&lt;lenb($Z69),"ERROR",IF($Z69=$Y$1,"-",0))))))))))))</f>
        <v>0</v>
      </c>
      <c r="X69" s="116">
        <f t="shared" si="74"/>
        <v>0</v>
      </c>
      <c r="Y69" s="116" t="str">
        <f t="shared" si="4"/>
        <v>-</v>
      </c>
      <c r="Z69" s="115" t="s">
        <v>3400</v>
      </c>
      <c r="AA69" s="54">
        <f t="shared" si="5"/>
        <v>1</v>
      </c>
      <c r="AB69" s="54">
        <f>COUNTIFS(Links!B:B,"FSE",Links!C:C,A69,Links!AD:AD,1)</f>
        <v>0</v>
      </c>
      <c r="AC69" s="117" t="s">
        <v>35</v>
      </c>
      <c r="AD69" s="118" t="s">
        <v>35</v>
      </c>
      <c r="AE69" s="115" t="s">
        <v>36</v>
      </c>
      <c r="AF69" s="57" t="s">
        <v>42</v>
      </c>
      <c r="AG69" s="57" t="s">
        <v>42</v>
      </c>
      <c r="AH69" s="57" t="s">
        <v>42</v>
      </c>
      <c r="AI69" s="116" t="str">
        <f t="shared" si="6"/>
        <v>----</v>
      </c>
      <c r="AJ69" s="119" t="str">
        <f t="shared" si="7"/>
        <v>Paper has link but no statement</v>
      </c>
      <c r="AK69" s="120" t="s">
        <v>3401</v>
      </c>
      <c r="AL69" s="121" t="s">
        <v>3402</v>
      </c>
      <c r="AM69" s="60" t="str">
        <f t="shared" si="8"/>
        <v>[FP0712]</v>
      </c>
    </row>
    <row r="70" ht="67.5" customHeight="1">
      <c r="A70" s="61">
        <v>713.0</v>
      </c>
      <c r="B70" s="22" t="s">
        <v>3560</v>
      </c>
      <c r="C70" s="23">
        <v>2015.0</v>
      </c>
      <c r="D70" s="100" t="s">
        <v>35</v>
      </c>
      <c r="E70" s="25" t="s">
        <v>36</v>
      </c>
      <c r="F70" s="25" t="s">
        <v>36</v>
      </c>
      <c r="G70" s="25" t="s">
        <v>36</v>
      </c>
      <c r="H70" s="25" t="s">
        <v>36</v>
      </c>
      <c r="I70" s="25" t="s">
        <v>36</v>
      </c>
      <c r="J70" s="101" t="s">
        <v>36</v>
      </c>
      <c r="K70" s="102" t="s">
        <v>37</v>
      </c>
      <c r="L70" s="103" t="s">
        <v>35</v>
      </c>
      <c r="M70" s="103" t="s">
        <v>37</v>
      </c>
      <c r="N70" s="103" t="s">
        <v>35</v>
      </c>
      <c r="O70" s="103" t="s">
        <v>35</v>
      </c>
      <c r="P70" s="103" t="s">
        <v>35</v>
      </c>
      <c r="Q70" s="103" t="s">
        <v>35</v>
      </c>
      <c r="R70" s="103" t="s">
        <v>37</v>
      </c>
      <c r="S70" s="104" t="s">
        <v>3561</v>
      </c>
      <c r="T70" s="30" t="s">
        <v>3562</v>
      </c>
      <c r="U70" s="30" t="s">
        <v>3562</v>
      </c>
      <c r="V70" s="105">
        <f t="shared" si="2"/>
        <v>0</v>
      </c>
      <c r="W70" s="105">
        <f t="shared" ref="W70:X70" si="75">IF(lenb(SUBSTITUTE($Z70,W$1&amp;" (1)",""))&lt;lenb($Z70),1,IF(lenb(SUBSTITUTE($Z70,W$1&amp;" (2)",""))&lt;lenb($Z70),2,IF(lenb(SUBSTITUTE($Z70,W$1&amp;" (3)",""))&lt;lenb($Z70),3,IF(lenb(SUBSTITUTE($Z70,W$1&amp;" (4)",""))&lt;lenb($Z70),4,IF(lenb(SUBSTITUTE($Z70,W$1&amp;" (5)",""))&lt;lenb($Z70),5,IF(lenb(SUBSTITUTE($Z70,W$1&amp;" (6)",""))&lt;lenb($Z70),6,IF(lenb(SUBSTITUTE($Z70,W$1&amp;" (7)",""))&lt;lenb($Z70),1,IF(lenb(SUBSTITUTE($Z70,W$1&amp;" (8)",""))&lt;lenb($Z70),8,IF(lenb(SUBSTITUTE($Z70,W$1&amp;" (9)",""))&lt;lenb($Z70),9,IF(lenb(SUBSTITUTE($Z70,W$1&amp;" (10)",""))&lt;lenb($Z70),10,IF(lenb(SUBSTITUTE($Z70,W$1,""))&lt;lenb($Z70),"ERROR",IF($Z70=$Y$1,"-",0))))))))))))</f>
        <v>0</v>
      </c>
      <c r="X70" s="105">
        <f t="shared" si="75"/>
        <v>1</v>
      </c>
      <c r="Y70" s="105" t="str">
        <f t="shared" si="4"/>
        <v>-</v>
      </c>
      <c r="Z70" s="104" t="s">
        <v>3563</v>
      </c>
      <c r="AA70" s="34">
        <f t="shared" si="5"/>
        <v>1</v>
      </c>
      <c r="AB70" s="34">
        <f>COUNTIFS(Links!B:B,"FSE",Links!C:C,A70,Links!AD:AD,1)</f>
        <v>0</v>
      </c>
      <c r="AC70" s="106" t="s">
        <v>35</v>
      </c>
      <c r="AD70" s="107" t="s">
        <v>35</v>
      </c>
      <c r="AE70" s="104" t="s">
        <v>36</v>
      </c>
      <c r="AF70" s="37" t="s">
        <v>42</v>
      </c>
      <c r="AG70" s="37" t="s">
        <v>42</v>
      </c>
      <c r="AH70" s="37" t="s">
        <v>42</v>
      </c>
      <c r="AI70" s="105" t="str">
        <f t="shared" si="6"/>
        <v>----</v>
      </c>
      <c r="AJ70" s="108" t="str">
        <f t="shared" si="7"/>
        <v>Paper has link but no statement</v>
      </c>
      <c r="AK70" s="109" t="s">
        <v>3401</v>
      </c>
      <c r="AL70" s="110" t="s">
        <v>3402</v>
      </c>
      <c r="AM70" s="40" t="str">
        <f t="shared" si="8"/>
        <v>[FP0713]</v>
      </c>
    </row>
    <row r="71" ht="67.5" customHeight="1">
      <c r="A71" s="41">
        <v>714.0</v>
      </c>
      <c r="B71" s="42" t="s">
        <v>3564</v>
      </c>
      <c r="C71" s="43">
        <v>2015.0</v>
      </c>
      <c r="D71" s="111" t="s">
        <v>37</v>
      </c>
      <c r="E71" s="45" t="s">
        <v>36</v>
      </c>
      <c r="F71" s="45" t="s">
        <v>36</v>
      </c>
      <c r="G71" s="45" t="s">
        <v>36</v>
      </c>
      <c r="H71" s="45" t="s">
        <v>36</v>
      </c>
      <c r="I71" s="45" t="s">
        <v>36</v>
      </c>
      <c r="J71" s="112" t="s">
        <v>3565</v>
      </c>
      <c r="K71" s="113" t="s">
        <v>37</v>
      </c>
      <c r="L71" s="114" t="s">
        <v>35</v>
      </c>
      <c r="M71" s="114" t="s">
        <v>37</v>
      </c>
      <c r="N71" s="114" t="s">
        <v>35</v>
      </c>
      <c r="O71" s="114" t="s">
        <v>37</v>
      </c>
      <c r="P71" s="114" t="s">
        <v>35</v>
      </c>
      <c r="Q71" s="114" t="s">
        <v>35</v>
      </c>
      <c r="R71" s="114" t="s">
        <v>37</v>
      </c>
      <c r="S71" s="115" t="s">
        <v>3566</v>
      </c>
      <c r="T71" s="50" t="s">
        <v>3567</v>
      </c>
      <c r="U71" s="50" t="s">
        <v>3567</v>
      </c>
      <c r="V71" s="116">
        <f t="shared" si="2"/>
        <v>1</v>
      </c>
      <c r="W71" s="116">
        <f t="shared" ref="W71:X71" si="76">IF(lenb(SUBSTITUTE($Z71,W$1&amp;" (1)",""))&lt;lenb($Z71),1,IF(lenb(SUBSTITUTE($Z71,W$1&amp;" (2)",""))&lt;lenb($Z71),2,IF(lenb(SUBSTITUTE($Z71,W$1&amp;" (3)",""))&lt;lenb($Z71),3,IF(lenb(SUBSTITUTE($Z71,W$1&amp;" (4)",""))&lt;lenb($Z71),4,IF(lenb(SUBSTITUTE($Z71,W$1&amp;" (5)",""))&lt;lenb($Z71),5,IF(lenb(SUBSTITUTE($Z71,W$1&amp;" (6)",""))&lt;lenb($Z71),6,IF(lenb(SUBSTITUTE($Z71,W$1&amp;" (7)",""))&lt;lenb($Z71),1,IF(lenb(SUBSTITUTE($Z71,W$1&amp;" (8)",""))&lt;lenb($Z71),8,IF(lenb(SUBSTITUTE($Z71,W$1&amp;" (9)",""))&lt;lenb($Z71),9,IF(lenb(SUBSTITUTE($Z71,W$1&amp;" (10)",""))&lt;lenb($Z71),10,IF(lenb(SUBSTITUTE($Z71,W$1,""))&lt;lenb($Z71),"ERROR",IF($Z71=$Y$1,"-",0))))))))))))</f>
        <v>0</v>
      </c>
      <c r="X71" s="116">
        <f t="shared" si="76"/>
        <v>0</v>
      </c>
      <c r="Y71" s="116" t="str">
        <f t="shared" si="4"/>
        <v>-</v>
      </c>
      <c r="Z71" s="115" t="s">
        <v>3400</v>
      </c>
      <c r="AA71" s="54">
        <f t="shared" si="5"/>
        <v>1</v>
      </c>
      <c r="AB71" s="54">
        <f>COUNTIFS(Links!B:B,"FSE",Links!C:C,A71,Links!AD:AD,1)</f>
        <v>1</v>
      </c>
      <c r="AC71" s="117" t="s">
        <v>35</v>
      </c>
      <c r="AD71" s="118" t="s">
        <v>35</v>
      </c>
      <c r="AE71" s="115" t="s">
        <v>36</v>
      </c>
      <c r="AF71" s="57" t="s">
        <v>42</v>
      </c>
      <c r="AG71" s="57" t="s">
        <v>42</v>
      </c>
      <c r="AH71" s="57" t="s">
        <v>42</v>
      </c>
      <c r="AI71" s="116" t="str">
        <f t="shared" si="6"/>
        <v>----</v>
      </c>
      <c r="AJ71" s="119" t="str">
        <f t="shared" si="7"/>
        <v>Paper has link but no statement</v>
      </c>
      <c r="AK71" s="120" t="s">
        <v>3401</v>
      </c>
      <c r="AL71" s="121" t="s">
        <v>3402</v>
      </c>
      <c r="AM71" s="60" t="str">
        <f t="shared" si="8"/>
        <v>[FP0714]</v>
      </c>
    </row>
    <row r="72" ht="67.5" customHeight="1">
      <c r="A72" s="61">
        <v>715.0</v>
      </c>
      <c r="B72" s="22" t="s">
        <v>3568</v>
      </c>
      <c r="C72" s="23">
        <v>2015.0</v>
      </c>
      <c r="D72" s="100" t="s">
        <v>35</v>
      </c>
      <c r="E72" s="25" t="s">
        <v>36</v>
      </c>
      <c r="F72" s="25" t="s">
        <v>36</v>
      </c>
      <c r="G72" s="25" t="s">
        <v>36</v>
      </c>
      <c r="H72" s="25" t="s">
        <v>36</v>
      </c>
      <c r="I72" s="25" t="s">
        <v>36</v>
      </c>
      <c r="J72" s="101" t="s">
        <v>36</v>
      </c>
      <c r="K72" s="102" t="s">
        <v>35</v>
      </c>
      <c r="L72" s="103" t="s">
        <v>36</v>
      </c>
      <c r="M72" s="103" t="s">
        <v>36</v>
      </c>
      <c r="N72" s="103" t="s">
        <v>36</v>
      </c>
      <c r="O72" s="103" t="s">
        <v>36</v>
      </c>
      <c r="P72" s="103" t="s">
        <v>36</v>
      </c>
      <c r="Q72" s="103" t="s">
        <v>36</v>
      </c>
      <c r="R72" s="103" t="s">
        <v>36</v>
      </c>
      <c r="S72" s="104" t="s">
        <v>42</v>
      </c>
      <c r="T72" s="30" t="s">
        <v>36</v>
      </c>
      <c r="U72" s="30" t="s">
        <v>36</v>
      </c>
      <c r="V72" s="105" t="str">
        <f t="shared" si="2"/>
        <v>-</v>
      </c>
      <c r="W72" s="105" t="str">
        <f t="shared" ref="W72:X72" si="77">IF(lenb(SUBSTITUTE($Z72,W$1&amp;" (1)",""))&lt;lenb($Z72),1,IF(lenb(SUBSTITUTE($Z72,W$1&amp;" (2)",""))&lt;lenb($Z72),2,IF(lenb(SUBSTITUTE($Z72,W$1&amp;" (3)",""))&lt;lenb($Z72),3,IF(lenb(SUBSTITUTE($Z72,W$1&amp;" (4)",""))&lt;lenb($Z72),4,IF(lenb(SUBSTITUTE($Z72,W$1&amp;" (5)",""))&lt;lenb($Z72),5,IF(lenb(SUBSTITUTE($Z72,W$1&amp;" (6)",""))&lt;lenb($Z72),6,IF(lenb(SUBSTITUTE($Z72,W$1&amp;" (7)",""))&lt;lenb($Z72),1,IF(lenb(SUBSTITUTE($Z72,W$1&amp;" (8)",""))&lt;lenb($Z72),8,IF(lenb(SUBSTITUTE($Z72,W$1&amp;" (9)",""))&lt;lenb($Z72),9,IF(lenb(SUBSTITUTE($Z72,W$1&amp;" (10)",""))&lt;lenb($Z72),10,IF(lenb(SUBSTITUTE($Z72,W$1,""))&lt;lenb($Z72),"ERROR",IF($Z72=$Y$1,"-",0))))))))))))</f>
        <v>-</v>
      </c>
      <c r="X72" s="105" t="str">
        <f t="shared" si="77"/>
        <v>-</v>
      </c>
      <c r="Y72" s="105">
        <f t="shared" si="4"/>
        <v>1</v>
      </c>
      <c r="Z72" s="104" t="s">
        <v>23</v>
      </c>
      <c r="AA72" s="34">
        <f t="shared" si="5"/>
        <v>0</v>
      </c>
      <c r="AB72" s="34">
        <f>COUNTIFS(Links!B:B,"FSE",Links!C:C,A72,Links!AD:AD,1)</f>
        <v>0</v>
      </c>
      <c r="AC72" s="106" t="s">
        <v>36</v>
      </c>
      <c r="AD72" s="107" t="s">
        <v>35</v>
      </c>
      <c r="AE72" s="104" t="s">
        <v>36</v>
      </c>
      <c r="AF72" s="37" t="s">
        <v>42</v>
      </c>
      <c r="AG72" s="37" t="s">
        <v>42</v>
      </c>
      <c r="AH72" s="37" t="s">
        <v>42</v>
      </c>
      <c r="AI72" s="105" t="str">
        <f t="shared" si="6"/>
        <v>----</v>
      </c>
      <c r="AJ72" s="108" t="str">
        <f t="shared" si="7"/>
        <v>Paper has no link and no statement</v>
      </c>
      <c r="AK72" s="109" t="s">
        <v>3401</v>
      </c>
      <c r="AL72" s="110" t="s">
        <v>3402</v>
      </c>
      <c r="AM72" s="40" t="str">
        <f t="shared" si="8"/>
        <v>[FP0715]</v>
      </c>
    </row>
    <row r="73" ht="67.5" customHeight="1">
      <c r="A73" s="41">
        <v>716.0</v>
      </c>
      <c r="B73" s="42" t="s">
        <v>3569</v>
      </c>
      <c r="C73" s="43">
        <v>2015.0</v>
      </c>
      <c r="D73" s="111" t="s">
        <v>35</v>
      </c>
      <c r="E73" s="45" t="s">
        <v>36</v>
      </c>
      <c r="F73" s="45" t="s">
        <v>36</v>
      </c>
      <c r="G73" s="45" t="s">
        <v>36</v>
      </c>
      <c r="H73" s="45" t="s">
        <v>36</v>
      </c>
      <c r="I73" s="45" t="s">
        <v>36</v>
      </c>
      <c r="J73" s="112" t="s">
        <v>36</v>
      </c>
      <c r="K73" s="113" t="s">
        <v>37</v>
      </c>
      <c r="L73" s="114" t="s">
        <v>37</v>
      </c>
      <c r="M73" s="114" t="s">
        <v>35</v>
      </c>
      <c r="N73" s="114" t="s">
        <v>35</v>
      </c>
      <c r="O73" s="114" t="s">
        <v>35</v>
      </c>
      <c r="P73" s="114" t="s">
        <v>35</v>
      </c>
      <c r="Q73" s="114" t="s">
        <v>35</v>
      </c>
      <c r="R73" s="114" t="s">
        <v>37</v>
      </c>
      <c r="S73" s="115" t="s">
        <v>42</v>
      </c>
      <c r="T73" s="42" t="s">
        <v>3570</v>
      </c>
      <c r="U73" s="50" t="s">
        <v>3570</v>
      </c>
      <c r="V73" s="116">
        <f t="shared" si="2"/>
        <v>1</v>
      </c>
      <c r="W73" s="116">
        <f t="shared" ref="W73:X73" si="78">IF(lenb(SUBSTITUTE($Z73,W$1&amp;" (1)",""))&lt;lenb($Z73),1,IF(lenb(SUBSTITUTE($Z73,W$1&amp;" (2)",""))&lt;lenb($Z73),2,IF(lenb(SUBSTITUTE($Z73,W$1&amp;" (3)",""))&lt;lenb($Z73),3,IF(lenb(SUBSTITUTE($Z73,W$1&amp;" (4)",""))&lt;lenb($Z73),4,IF(lenb(SUBSTITUTE($Z73,W$1&amp;" (5)",""))&lt;lenb($Z73),5,IF(lenb(SUBSTITUTE($Z73,W$1&amp;" (6)",""))&lt;lenb($Z73),6,IF(lenb(SUBSTITUTE($Z73,W$1&amp;" (7)",""))&lt;lenb($Z73),1,IF(lenb(SUBSTITUTE($Z73,W$1&amp;" (8)",""))&lt;lenb($Z73),8,IF(lenb(SUBSTITUTE($Z73,W$1&amp;" (9)",""))&lt;lenb($Z73),9,IF(lenb(SUBSTITUTE($Z73,W$1&amp;" (10)",""))&lt;lenb($Z73),10,IF(lenb(SUBSTITUTE($Z73,W$1,""))&lt;lenb($Z73),"ERROR",IF($Z73=$Y$1,"-",0))))))))))))</f>
        <v>0</v>
      </c>
      <c r="X73" s="116">
        <f t="shared" si="78"/>
        <v>0</v>
      </c>
      <c r="Y73" s="116" t="str">
        <f t="shared" si="4"/>
        <v>-</v>
      </c>
      <c r="Z73" s="115" t="s">
        <v>3400</v>
      </c>
      <c r="AA73" s="54">
        <f t="shared" si="5"/>
        <v>1</v>
      </c>
      <c r="AB73" s="54">
        <f>COUNTIFS(Links!B:B,"FSE",Links!C:C,A73,Links!AD:AD,1)</f>
        <v>0</v>
      </c>
      <c r="AC73" s="117" t="s">
        <v>35</v>
      </c>
      <c r="AD73" s="118" t="s">
        <v>35</v>
      </c>
      <c r="AE73" s="115" t="s">
        <v>36</v>
      </c>
      <c r="AF73" s="57" t="s">
        <v>42</v>
      </c>
      <c r="AG73" s="57" t="s">
        <v>42</v>
      </c>
      <c r="AH73" s="57" t="s">
        <v>42</v>
      </c>
      <c r="AI73" s="116" t="str">
        <f t="shared" si="6"/>
        <v>----</v>
      </c>
      <c r="AJ73" s="119" t="str">
        <f t="shared" si="7"/>
        <v>Paper has link but no statement</v>
      </c>
      <c r="AK73" s="120" t="s">
        <v>3401</v>
      </c>
      <c r="AL73" s="121" t="s">
        <v>3402</v>
      </c>
      <c r="AM73" s="60" t="str">
        <f t="shared" si="8"/>
        <v>[FP0716]</v>
      </c>
    </row>
    <row r="74" ht="67.5" customHeight="1">
      <c r="A74" s="61">
        <v>717.0</v>
      </c>
      <c r="B74" s="22" t="s">
        <v>3571</v>
      </c>
      <c r="C74" s="23">
        <v>2015.0</v>
      </c>
      <c r="D74" s="100" t="s">
        <v>37</v>
      </c>
      <c r="E74" s="25" t="s">
        <v>36</v>
      </c>
      <c r="F74" s="25" t="s">
        <v>36</v>
      </c>
      <c r="G74" s="25" t="s">
        <v>36</v>
      </c>
      <c r="H74" s="25" t="s">
        <v>36</v>
      </c>
      <c r="I74" s="25" t="s">
        <v>36</v>
      </c>
      <c r="J74" s="101" t="s">
        <v>3572</v>
      </c>
      <c r="K74" s="102" t="s">
        <v>37</v>
      </c>
      <c r="L74" s="103" t="s">
        <v>37</v>
      </c>
      <c r="M74" s="103" t="s">
        <v>35</v>
      </c>
      <c r="N74" s="103" t="s">
        <v>35</v>
      </c>
      <c r="O74" s="103" t="s">
        <v>35</v>
      </c>
      <c r="P74" s="103" t="s">
        <v>35</v>
      </c>
      <c r="Q74" s="103" t="s">
        <v>37</v>
      </c>
      <c r="R74" s="103" t="s">
        <v>37</v>
      </c>
      <c r="S74" s="104" t="s">
        <v>3573</v>
      </c>
      <c r="T74" s="30" t="s">
        <v>3574</v>
      </c>
      <c r="U74" s="30" t="s">
        <v>3574</v>
      </c>
      <c r="V74" s="105">
        <f t="shared" si="2"/>
        <v>0</v>
      </c>
      <c r="W74" s="105">
        <f t="shared" ref="W74:X74" si="79">IF(lenb(SUBSTITUTE($Z74,W$1&amp;" (1)",""))&lt;lenb($Z74),1,IF(lenb(SUBSTITUTE($Z74,W$1&amp;" (2)",""))&lt;lenb($Z74),2,IF(lenb(SUBSTITUTE($Z74,W$1&amp;" (3)",""))&lt;lenb($Z74),3,IF(lenb(SUBSTITUTE($Z74,W$1&amp;" (4)",""))&lt;lenb($Z74),4,IF(lenb(SUBSTITUTE($Z74,W$1&amp;" (5)",""))&lt;lenb($Z74),5,IF(lenb(SUBSTITUTE($Z74,W$1&amp;" (6)",""))&lt;lenb($Z74),6,IF(lenb(SUBSTITUTE($Z74,W$1&amp;" (7)",""))&lt;lenb($Z74),1,IF(lenb(SUBSTITUTE($Z74,W$1&amp;" (8)",""))&lt;lenb($Z74),8,IF(lenb(SUBSTITUTE($Z74,W$1&amp;" (9)",""))&lt;lenb($Z74),9,IF(lenb(SUBSTITUTE($Z74,W$1&amp;" (10)",""))&lt;lenb($Z74),10,IF(lenb(SUBSTITUTE($Z74,W$1,""))&lt;lenb($Z74),"ERROR",IF($Z74=$Y$1,"-",0))))))))))))</f>
        <v>1</v>
      </c>
      <c r="X74" s="105">
        <f t="shared" si="79"/>
        <v>0</v>
      </c>
      <c r="Y74" s="105" t="str">
        <f t="shared" si="4"/>
        <v>-</v>
      </c>
      <c r="Z74" s="104" t="s">
        <v>3423</v>
      </c>
      <c r="AA74" s="34">
        <f t="shared" si="5"/>
        <v>1</v>
      </c>
      <c r="AB74" s="34">
        <f>COUNTIFS(Links!B:B,"FSE",Links!C:C,A74,Links!AD:AD,1)</f>
        <v>0</v>
      </c>
      <c r="AC74" s="106" t="s">
        <v>35</v>
      </c>
      <c r="AD74" s="107" t="s">
        <v>35</v>
      </c>
      <c r="AE74" s="104" t="s">
        <v>36</v>
      </c>
      <c r="AF74" s="37" t="s">
        <v>42</v>
      </c>
      <c r="AG74" s="37" t="s">
        <v>42</v>
      </c>
      <c r="AH74" s="37" t="s">
        <v>42</v>
      </c>
      <c r="AI74" s="105" t="str">
        <f t="shared" si="6"/>
        <v>----</v>
      </c>
      <c r="AJ74" s="108" t="str">
        <f t="shared" si="7"/>
        <v>Paper has link but no statement</v>
      </c>
      <c r="AK74" s="109" t="s">
        <v>3401</v>
      </c>
      <c r="AL74" s="110" t="s">
        <v>3402</v>
      </c>
      <c r="AM74" s="40" t="str">
        <f t="shared" si="8"/>
        <v>[FP0717]</v>
      </c>
    </row>
    <row r="75" ht="67.5" customHeight="1">
      <c r="A75" s="41">
        <v>718.0</v>
      </c>
      <c r="B75" s="42" t="s">
        <v>3575</v>
      </c>
      <c r="C75" s="43">
        <v>2015.0</v>
      </c>
      <c r="D75" s="111" t="s">
        <v>35</v>
      </c>
      <c r="E75" s="45" t="s">
        <v>36</v>
      </c>
      <c r="F75" s="45" t="s">
        <v>36</v>
      </c>
      <c r="G75" s="45" t="s">
        <v>36</v>
      </c>
      <c r="H75" s="45" t="s">
        <v>36</v>
      </c>
      <c r="I75" s="45" t="s">
        <v>36</v>
      </c>
      <c r="J75" s="112" t="s">
        <v>36</v>
      </c>
      <c r="K75" s="113" t="s">
        <v>37</v>
      </c>
      <c r="L75" s="114" t="s">
        <v>37</v>
      </c>
      <c r="M75" s="114" t="s">
        <v>37</v>
      </c>
      <c r="N75" s="114" t="s">
        <v>35</v>
      </c>
      <c r="O75" s="114" t="s">
        <v>35</v>
      </c>
      <c r="P75" s="114" t="s">
        <v>35</v>
      </c>
      <c r="Q75" s="114" t="s">
        <v>35</v>
      </c>
      <c r="R75" s="114" t="s">
        <v>37</v>
      </c>
      <c r="S75" s="115" t="s">
        <v>3576</v>
      </c>
      <c r="T75" s="50" t="s">
        <v>3577</v>
      </c>
      <c r="U75" s="50" t="s">
        <v>3577</v>
      </c>
      <c r="V75" s="116">
        <f t="shared" si="2"/>
        <v>1</v>
      </c>
      <c r="W75" s="116">
        <f t="shared" ref="W75:X75" si="80">IF(lenb(SUBSTITUTE($Z75,W$1&amp;" (1)",""))&lt;lenb($Z75),1,IF(lenb(SUBSTITUTE($Z75,W$1&amp;" (2)",""))&lt;lenb($Z75),2,IF(lenb(SUBSTITUTE($Z75,W$1&amp;" (3)",""))&lt;lenb($Z75),3,IF(lenb(SUBSTITUTE($Z75,W$1&amp;" (4)",""))&lt;lenb($Z75),4,IF(lenb(SUBSTITUTE($Z75,W$1&amp;" (5)",""))&lt;lenb($Z75),5,IF(lenb(SUBSTITUTE($Z75,W$1&amp;" (6)",""))&lt;lenb($Z75),6,IF(lenb(SUBSTITUTE($Z75,W$1&amp;" (7)",""))&lt;lenb($Z75),1,IF(lenb(SUBSTITUTE($Z75,W$1&amp;" (8)",""))&lt;lenb($Z75),8,IF(lenb(SUBSTITUTE($Z75,W$1&amp;" (9)",""))&lt;lenb($Z75),9,IF(lenb(SUBSTITUTE($Z75,W$1&amp;" (10)",""))&lt;lenb($Z75),10,IF(lenb(SUBSTITUTE($Z75,W$1,""))&lt;lenb($Z75),"ERROR",IF($Z75=$Y$1,"-",0))))))))))))</f>
        <v>0</v>
      </c>
      <c r="X75" s="116">
        <f t="shared" si="80"/>
        <v>0</v>
      </c>
      <c r="Y75" s="116" t="str">
        <f t="shared" si="4"/>
        <v>-</v>
      </c>
      <c r="Z75" s="115" t="s">
        <v>3400</v>
      </c>
      <c r="AA75" s="54">
        <f t="shared" si="5"/>
        <v>1</v>
      </c>
      <c r="AB75" s="54">
        <f>COUNTIFS(Links!B:B,"FSE",Links!C:C,A75,Links!AD:AD,1)</f>
        <v>1</v>
      </c>
      <c r="AC75" s="117" t="s">
        <v>35</v>
      </c>
      <c r="AD75" s="118" t="s">
        <v>35</v>
      </c>
      <c r="AE75" s="115" t="s">
        <v>36</v>
      </c>
      <c r="AF75" s="57" t="s">
        <v>42</v>
      </c>
      <c r="AG75" s="57" t="s">
        <v>42</v>
      </c>
      <c r="AH75" s="57" t="s">
        <v>42</v>
      </c>
      <c r="AI75" s="116" t="str">
        <f t="shared" si="6"/>
        <v>----</v>
      </c>
      <c r="AJ75" s="119" t="str">
        <f t="shared" si="7"/>
        <v>Paper has link but no statement</v>
      </c>
      <c r="AK75" s="120" t="s">
        <v>3401</v>
      </c>
      <c r="AL75" s="121" t="s">
        <v>3402</v>
      </c>
      <c r="AM75" s="60" t="str">
        <f t="shared" si="8"/>
        <v>[FP0718]</v>
      </c>
    </row>
    <row r="76" ht="67.5" customHeight="1">
      <c r="A76" s="61">
        <v>719.0</v>
      </c>
      <c r="B76" s="22" t="s">
        <v>3578</v>
      </c>
      <c r="C76" s="23">
        <v>2015.0</v>
      </c>
      <c r="D76" s="100" t="s">
        <v>35</v>
      </c>
      <c r="E76" s="25" t="s">
        <v>36</v>
      </c>
      <c r="F76" s="25" t="s">
        <v>36</v>
      </c>
      <c r="G76" s="25" t="s">
        <v>36</v>
      </c>
      <c r="H76" s="25" t="s">
        <v>36</v>
      </c>
      <c r="I76" s="25" t="s">
        <v>36</v>
      </c>
      <c r="J76" s="101" t="s">
        <v>36</v>
      </c>
      <c r="K76" s="102" t="s">
        <v>37</v>
      </c>
      <c r="L76" s="103" t="s">
        <v>35</v>
      </c>
      <c r="M76" s="103" t="s">
        <v>35</v>
      </c>
      <c r="N76" s="103" t="s">
        <v>35</v>
      </c>
      <c r="O76" s="103" t="s">
        <v>37</v>
      </c>
      <c r="P76" s="103" t="s">
        <v>35</v>
      </c>
      <c r="Q76" s="103" t="s">
        <v>35</v>
      </c>
      <c r="R76" s="103" t="s">
        <v>35</v>
      </c>
      <c r="S76" s="104" t="s">
        <v>3579</v>
      </c>
      <c r="T76" s="30" t="s">
        <v>3580</v>
      </c>
      <c r="U76" s="30" t="s">
        <v>3580</v>
      </c>
      <c r="V76" s="105">
        <f t="shared" si="2"/>
        <v>1</v>
      </c>
      <c r="W76" s="105">
        <f t="shared" ref="W76:X76" si="81">IF(lenb(SUBSTITUTE($Z76,W$1&amp;" (1)",""))&lt;lenb($Z76),1,IF(lenb(SUBSTITUTE($Z76,W$1&amp;" (2)",""))&lt;lenb($Z76),2,IF(lenb(SUBSTITUTE($Z76,W$1&amp;" (3)",""))&lt;lenb($Z76),3,IF(lenb(SUBSTITUTE($Z76,W$1&amp;" (4)",""))&lt;lenb($Z76),4,IF(lenb(SUBSTITUTE($Z76,W$1&amp;" (5)",""))&lt;lenb($Z76),5,IF(lenb(SUBSTITUTE($Z76,W$1&amp;" (6)",""))&lt;lenb($Z76),6,IF(lenb(SUBSTITUTE($Z76,W$1&amp;" (7)",""))&lt;lenb($Z76),1,IF(lenb(SUBSTITUTE($Z76,W$1&amp;" (8)",""))&lt;lenb($Z76),8,IF(lenb(SUBSTITUTE($Z76,W$1&amp;" (9)",""))&lt;lenb($Z76),9,IF(lenb(SUBSTITUTE($Z76,W$1&amp;" (10)",""))&lt;lenb($Z76),10,IF(lenb(SUBSTITUTE($Z76,W$1,""))&lt;lenb($Z76),"ERROR",IF($Z76=$Y$1,"-",0))))))))))))</f>
        <v>0</v>
      </c>
      <c r="X76" s="105">
        <f t="shared" si="81"/>
        <v>0</v>
      </c>
      <c r="Y76" s="105" t="str">
        <f t="shared" si="4"/>
        <v>-</v>
      </c>
      <c r="Z76" s="104" t="s">
        <v>3400</v>
      </c>
      <c r="AA76" s="34">
        <f t="shared" si="5"/>
        <v>1</v>
      </c>
      <c r="AB76" s="34">
        <f>COUNTIFS(Links!B:B,"FSE",Links!C:C,A76,Links!AD:AD,1)</f>
        <v>0</v>
      </c>
      <c r="AC76" s="106" t="s">
        <v>35</v>
      </c>
      <c r="AD76" s="107" t="s">
        <v>35</v>
      </c>
      <c r="AE76" s="104" t="s">
        <v>36</v>
      </c>
      <c r="AF76" s="37" t="s">
        <v>42</v>
      </c>
      <c r="AG76" s="37" t="s">
        <v>42</v>
      </c>
      <c r="AH76" s="37" t="s">
        <v>42</v>
      </c>
      <c r="AI76" s="105" t="str">
        <f t="shared" si="6"/>
        <v>----</v>
      </c>
      <c r="AJ76" s="108" t="str">
        <f t="shared" si="7"/>
        <v>Paper has link but no statement</v>
      </c>
      <c r="AK76" s="109" t="s">
        <v>3401</v>
      </c>
      <c r="AL76" s="110" t="s">
        <v>3402</v>
      </c>
      <c r="AM76" s="40" t="str">
        <f t="shared" si="8"/>
        <v>[FP0719]</v>
      </c>
    </row>
    <row r="77" ht="67.5" customHeight="1">
      <c r="A77" s="41">
        <v>720.0</v>
      </c>
      <c r="B77" s="42" t="s">
        <v>3581</v>
      </c>
      <c r="C77" s="43">
        <v>2015.0</v>
      </c>
      <c r="D77" s="111" t="s">
        <v>37</v>
      </c>
      <c r="E77" s="45" t="s">
        <v>36</v>
      </c>
      <c r="F77" s="45" t="s">
        <v>36</v>
      </c>
      <c r="G77" s="45" t="s">
        <v>36</v>
      </c>
      <c r="H77" s="45" t="s">
        <v>36</v>
      </c>
      <c r="I77" s="45" t="s">
        <v>36</v>
      </c>
      <c r="J77" s="112" t="s">
        <v>3582</v>
      </c>
      <c r="K77" s="113" t="s">
        <v>37</v>
      </c>
      <c r="L77" s="114" t="s">
        <v>35</v>
      </c>
      <c r="M77" s="114" t="s">
        <v>37</v>
      </c>
      <c r="N77" s="114" t="s">
        <v>35</v>
      </c>
      <c r="O77" s="114" t="s">
        <v>35</v>
      </c>
      <c r="P77" s="114" t="s">
        <v>35</v>
      </c>
      <c r="Q77" s="114" t="s">
        <v>37</v>
      </c>
      <c r="R77" s="114" t="s">
        <v>37</v>
      </c>
      <c r="S77" s="115" t="s">
        <v>3583</v>
      </c>
      <c r="T77" s="50" t="s">
        <v>3584</v>
      </c>
      <c r="U77" s="50" t="s">
        <v>3584</v>
      </c>
      <c r="V77" s="116">
        <f t="shared" si="2"/>
        <v>1</v>
      </c>
      <c r="W77" s="116">
        <f t="shared" ref="W77:X77" si="82">IF(lenb(SUBSTITUTE($Z77,W$1&amp;" (1)",""))&lt;lenb($Z77),1,IF(lenb(SUBSTITUTE($Z77,W$1&amp;" (2)",""))&lt;lenb($Z77),2,IF(lenb(SUBSTITUTE($Z77,W$1&amp;" (3)",""))&lt;lenb($Z77),3,IF(lenb(SUBSTITUTE($Z77,W$1&amp;" (4)",""))&lt;lenb($Z77),4,IF(lenb(SUBSTITUTE($Z77,W$1&amp;" (5)",""))&lt;lenb($Z77),5,IF(lenb(SUBSTITUTE($Z77,W$1&amp;" (6)",""))&lt;lenb($Z77),6,IF(lenb(SUBSTITUTE($Z77,W$1&amp;" (7)",""))&lt;lenb($Z77),1,IF(lenb(SUBSTITUTE($Z77,W$1&amp;" (8)",""))&lt;lenb($Z77),8,IF(lenb(SUBSTITUTE($Z77,W$1&amp;" (9)",""))&lt;lenb($Z77),9,IF(lenb(SUBSTITUTE($Z77,W$1&amp;" (10)",""))&lt;lenb($Z77),10,IF(lenb(SUBSTITUTE($Z77,W$1,""))&lt;lenb($Z77),"ERROR",IF($Z77=$Y$1,"-",0))))))))))))</f>
        <v>1</v>
      </c>
      <c r="X77" s="116">
        <f t="shared" si="82"/>
        <v>0</v>
      </c>
      <c r="Y77" s="116" t="str">
        <f t="shared" si="4"/>
        <v>-</v>
      </c>
      <c r="Z77" s="115" t="s">
        <v>3585</v>
      </c>
      <c r="AA77" s="54">
        <f t="shared" si="5"/>
        <v>2</v>
      </c>
      <c r="AB77" s="54">
        <f>COUNTIFS(Links!B:B,"FSE",Links!C:C,A77,Links!AD:AD,1)</f>
        <v>2</v>
      </c>
      <c r="AC77" s="117" t="s">
        <v>35</v>
      </c>
      <c r="AD77" s="118" t="s">
        <v>35</v>
      </c>
      <c r="AE77" s="115" t="s">
        <v>36</v>
      </c>
      <c r="AF77" s="57" t="s">
        <v>42</v>
      </c>
      <c r="AG77" s="57" t="s">
        <v>42</v>
      </c>
      <c r="AH77" s="57" t="s">
        <v>42</v>
      </c>
      <c r="AI77" s="116" t="str">
        <f t="shared" si="6"/>
        <v>----</v>
      </c>
      <c r="AJ77" s="119" t="str">
        <f t="shared" si="7"/>
        <v>Paper has link but no statement</v>
      </c>
      <c r="AK77" s="120" t="s">
        <v>3401</v>
      </c>
      <c r="AL77" s="121" t="s">
        <v>3402</v>
      </c>
      <c r="AM77" s="60" t="str">
        <f t="shared" si="8"/>
        <v>[FP0720]</v>
      </c>
    </row>
    <row r="78" ht="67.5" customHeight="1">
      <c r="A78" s="61">
        <v>721.0</v>
      </c>
      <c r="B78" s="22" t="s">
        <v>3586</v>
      </c>
      <c r="C78" s="23">
        <v>2015.0</v>
      </c>
      <c r="D78" s="100" t="s">
        <v>35</v>
      </c>
      <c r="E78" s="25" t="s">
        <v>36</v>
      </c>
      <c r="F78" s="25" t="s">
        <v>36</v>
      </c>
      <c r="G78" s="25" t="s">
        <v>36</v>
      </c>
      <c r="H78" s="25" t="s">
        <v>36</v>
      </c>
      <c r="I78" s="25" t="s">
        <v>36</v>
      </c>
      <c r="J78" s="101" t="s">
        <v>36</v>
      </c>
      <c r="K78" s="102" t="s">
        <v>35</v>
      </c>
      <c r="L78" s="103" t="s">
        <v>36</v>
      </c>
      <c r="M78" s="103" t="s">
        <v>36</v>
      </c>
      <c r="N78" s="103" t="s">
        <v>36</v>
      </c>
      <c r="O78" s="103" t="s">
        <v>36</v>
      </c>
      <c r="P78" s="103" t="s">
        <v>36</v>
      </c>
      <c r="Q78" s="103" t="s">
        <v>36</v>
      </c>
      <c r="R78" s="103" t="s">
        <v>36</v>
      </c>
      <c r="S78" s="104" t="s">
        <v>42</v>
      </c>
      <c r="T78" s="22" t="s">
        <v>36</v>
      </c>
      <c r="U78" s="22" t="s">
        <v>36</v>
      </c>
      <c r="V78" s="105" t="str">
        <f t="shared" si="2"/>
        <v>-</v>
      </c>
      <c r="W78" s="105" t="str">
        <f t="shared" ref="W78:X78" si="83">IF(lenb(SUBSTITUTE($Z78,W$1&amp;" (1)",""))&lt;lenb($Z78),1,IF(lenb(SUBSTITUTE($Z78,W$1&amp;" (2)",""))&lt;lenb($Z78),2,IF(lenb(SUBSTITUTE($Z78,W$1&amp;" (3)",""))&lt;lenb($Z78),3,IF(lenb(SUBSTITUTE($Z78,W$1&amp;" (4)",""))&lt;lenb($Z78),4,IF(lenb(SUBSTITUTE($Z78,W$1&amp;" (5)",""))&lt;lenb($Z78),5,IF(lenb(SUBSTITUTE($Z78,W$1&amp;" (6)",""))&lt;lenb($Z78),6,IF(lenb(SUBSTITUTE($Z78,W$1&amp;" (7)",""))&lt;lenb($Z78),1,IF(lenb(SUBSTITUTE($Z78,W$1&amp;" (8)",""))&lt;lenb($Z78),8,IF(lenb(SUBSTITUTE($Z78,W$1&amp;" (9)",""))&lt;lenb($Z78),9,IF(lenb(SUBSTITUTE($Z78,W$1&amp;" (10)",""))&lt;lenb($Z78),10,IF(lenb(SUBSTITUTE($Z78,W$1,""))&lt;lenb($Z78),"ERROR",IF($Z78=$Y$1,"-",0))))))))))))</f>
        <v>-</v>
      </c>
      <c r="X78" s="105" t="str">
        <f t="shared" si="83"/>
        <v>-</v>
      </c>
      <c r="Y78" s="105">
        <f t="shared" si="4"/>
        <v>1</v>
      </c>
      <c r="Z78" s="104" t="s">
        <v>23</v>
      </c>
      <c r="AA78" s="34">
        <f t="shared" si="5"/>
        <v>0</v>
      </c>
      <c r="AB78" s="34">
        <f>COUNTIFS(Links!B:B,"FSE",Links!C:C,A78,Links!AD:AD,1)</f>
        <v>0</v>
      </c>
      <c r="AC78" s="106" t="s">
        <v>36</v>
      </c>
      <c r="AD78" s="107" t="s">
        <v>35</v>
      </c>
      <c r="AE78" s="104" t="s">
        <v>36</v>
      </c>
      <c r="AF78" s="37" t="s">
        <v>42</v>
      </c>
      <c r="AG78" s="37" t="s">
        <v>42</v>
      </c>
      <c r="AH78" s="37" t="s">
        <v>42</v>
      </c>
      <c r="AI78" s="105" t="str">
        <f t="shared" si="6"/>
        <v>----</v>
      </c>
      <c r="AJ78" s="108" t="str">
        <f t="shared" si="7"/>
        <v>Paper has no link and no statement</v>
      </c>
      <c r="AK78" s="109" t="s">
        <v>3401</v>
      </c>
      <c r="AL78" s="110" t="s">
        <v>3402</v>
      </c>
      <c r="AM78" s="40" t="str">
        <f t="shared" si="8"/>
        <v>[FP0721]</v>
      </c>
    </row>
    <row r="79" ht="67.5" customHeight="1">
      <c r="A79" s="41">
        <v>722.0</v>
      </c>
      <c r="B79" s="42" t="s">
        <v>3587</v>
      </c>
      <c r="C79" s="43">
        <v>2015.0</v>
      </c>
      <c r="D79" s="111" t="s">
        <v>35</v>
      </c>
      <c r="E79" s="45" t="s">
        <v>36</v>
      </c>
      <c r="F79" s="45" t="s">
        <v>36</v>
      </c>
      <c r="G79" s="45" t="s">
        <v>36</v>
      </c>
      <c r="H79" s="45" t="s">
        <v>36</v>
      </c>
      <c r="I79" s="45" t="s">
        <v>36</v>
      </c>
      <c r="J79" s="112" t="s">
        <v>36</v>
      </c>
      <c r="K79" s="113" t="s">
        <v>35</v>
      </c>
      <c r="L79" s="114" t="s">
        <v>36</v>
      </c>
      <c r="M79" s="114" t="s">
        <v>36</v>
      </c>
      <c r="N79" s="114" t="s">
        <v>36</v>
      </c>
      <c r="O79" s="114" t="s">
        <v>36</v>
      </c>
      <c r="P79" s="114" t="s">
        <v>36</v>
      </c>
      <c r="Q79" s="114" t="s">
        <v>36</v>
      </c>
      <c r="R79" s="114" t="s">
        <v>36</v>
      </c>
      <c r="S79" s="115" t="s">
        <v>42</v>
      </c>
      <c r="T79" s="50" t="s">
        <v>36</v>
      </c>
      <c r="U79" s="50" t="s">
        <v>36</v>
      </c>
      <c r="V79" s="116" t="str">
        <f t="shared" si="2"/>
        <v>-</v>
      </c>
      <c r="W79" s="116" t="str">
        <f t="shared" ref="W79:X79" si="84">IF(lenb(SUBSTITUTE($Z79,W$1&amp;" (1)",""))&lt;lenb($Z79),1,IF(lenb(SUBSTITUTE($Z79,W$1&amp;" (2)",""))&lt;lenb($Z79),2,IF(lenb(SUBSTITUTE($Z79,W$1&amp;" (3)",""))&lt;lenb($Z79),3,IF(lenb(SUBSTITUTE($Z79,W$1&amp;" (4)",""))&lt;lenb($Z79),4,IF(lenb(SUBSTITUTE($Z79,W$1&amp;" (5)",""))&lt;lenb($Z79),5,IF(lenb(SUBSTITUTE($Z79,W$1&amp;" (6)",""))&lt;lenb($Z79),6,IF(lenb(SUBSTITUTE($Z79,W$1&amp;" (7)",""))&lt;lenb($Z79),1,IF(lenb(SUBSTITUTE($Z79,W$1&amp;" (8)",""))&lt;lenb($Z79),8,IF(lenb(SUBSTITUTE($Z79,W$1&amp;" (9)",""))&lt;lenb($Z79),9,IF(lenb(SUBSTITUTE($Z79,W$1&amp;" (10)",""))&lt;lenb($Z79),10,IF(lenb(SUBSTITUTE($Z79,W$1,""))&lt;lenb($Z79),"ERROR",IF($Z79=$Y$1,"-",0))))))))))))</f>
        <v>-</v>
      </c>
      <c r="X79" s="116" t="str">
        <f t="shared" si="84"/>
        <v>-</v>
      </c>
      <c r="Y79" s="116">
        <f t="shared" si="4"/>
        <v>1</v>
      </c>
      <c r="Z79" s="115" t="s">
        <v>23</v>
      </c>
      <c r="AA79" s="54">
        <f t="shared" si="5"/>
        <v>0</v>
      </c>
      <c r="AB79" s="54">
        <f>COUNTIFS(Links!B:B,"FSE",Links!C:C,A79,Links!AD:AD,1)</f>
        <v>0</v>
      </c>
      <c r="AC79" s="117" t="s">
        <v>36</v>
      </c>
      <c r="AD79" s="118" t="s">
        <v>35</v>
      </c>
      <c r="AE79" s="115" t="s">
        <v>36</v>
      </c>
      <c r="AF79" s="57" t="s">
        <v>42</v>
      </c>
      <c r="AG79" s="57" t="s">
        <v>42</v>
      </c>
      <c r="AH79" s="57" t="s">
        <v>42</v>
      </c>
      <c r="AI79" s="116" t="str">
        <f t="shared" si="6"/>
        <v>----</v>
      </c>
      <c r="AJ79" s="119" t="str">
        <f t="shared" si="7"/>
        <v>Paper has no link and no statement</v>
      </c>
      <c r="AK79" s="120" t="s">
        <v>3401</v>
      </c>
      <c r="AL79" s="121" t="s">
        <v>3402</v>
      </c>
      <c r="AM79" s="60" t="str">
        <f t="shared" si="8"/>
        <v>[FP0722]</v>
      </c>
    </row>
    <row r="80" ht="67.5" customHeight="1">
      <c r="A80" s="61">
        <v>723.0</v>
      </c>
      <c r="B80" s="22" t="s">
        <v>3588</v>
      </c>
      <c r="C80" s="23">
        <v>2015.0</v>
      </c>
      <c r="D80" s="100" t="s">
        <v>35</v>
      </c>
      <c r="E80" s="25" t="s">
        <v>36</v>
      </c>
      <c r="F80" s="25" t="s">
        <v>36</v>
      </c>
      <c r="G80" s="25" t="s">
        <v>36</v>
      </c>
      <c r="H80" s="25" t="s">
        <v>36</v>
      </c>
      <c r="I80" s="25" t="s">
        <v>36</v>
      </c>
      <c r="J80" s="101" t="s">
        <v>36</v>
      </c>
      <c r="K80" s="102" t="s">
        <v>37</v>
      </c>
      <c r="L80" s="103" t="s">
        <v>35</v>
      </c>
      <c r="M80" s="103" t="s">
        <v>37</v>
      </c>
      <c r="N80" s="103" t="s">
        <v>35</v>
      </c>
      <c r="O80" s="103" t="s">
        <v>35</v>
      </c>
      <c r="P80" s="103" t="s">
        <v>35</v>
      </c>
      <c r="Q80" s="103" t="s">
        <v>35</v>
      </c>
      <c r="R80" s="103" t="s">
        <v>37</v>
      </c>
      <c r="S80" s="104" t="s">
        <v>3589</v>
      </c>
      <c r="T80" s="30" t="s">
        <v>3590</v>
      </c>
      <c r="U80" s="30" t="s">
        <v>3590</v>
      </c>
      <c r="V80" s="105">
        <f t="shared" si="2"/>
        <v>0</v>
      </c>
      <c r="W80" s="105">
        <f t="shared" ref="W80:X80" si="85">IF(lenb(SUBSTITUTE($Z80,W$1&amp;" (1)",""))&lt;lenb($Z80),1,IF(lenb(SUBSTITUTE($Z80,W$1&amp;" (2)",""))&lt;lenb($Z80),2,IF(lenb(SUBSTITUTE($Z80,W$1&amp;" (3)",""))&lt;lenb($Z80),3,IF(lenb(SUBSTITUTE($Z80,W$1&amp;" (4)",""))&lt;lenb($Z80),4,IF(lenb(SUBSTITUTE($Z80,W$1&amp;" (5)",""))&lt;lenb($Z80),5,IF(lenb(SUBSTITUTE($Z80,W$1&amp;" (6)",""))&lt;lenb($Z80),6,IF(lenb(SUBSTITUTE($Z80,W$1&amp;" (7)",""))&lt;lenb($Z80),1,IF(lenb(SUBSTITUTE($Z80,W$1&amp;" (8)",""))&lt;lenb($Z80),8,IF(lenb(SUBSTITUTE($Z80,W$1&amp;" (9)",""))&lt;lenb($Z80),9,IF(lenb(SUBSTITUTE($Z80,W$1&amp;" (10)",""))&lt;lenb($Z80),10,IF(lenb(SUBSTITUTE($Z80,W$1,""))&lt;lenb($Z80),"ERROR",IF($Z80=$Y$1,"-",0))))))))))))</f>
        <v>1</v>
      </c>
      <c r="X80" s="105">
        <f t="shared" si="85"/>
        <v>0</v>
      </c>
      <c r="Y80" s="105" t="str">
        <f t="shared" si="4"/>
        <v>-</v>
      </c>
      <c r="Z80" s="104" t="s">
        <v>3423</v>
      </c>
      <c r="AA80" s="34">
        <f t="shared" si="5"/>
        <v>1</v>
      </c>
      <c r="AB80" s="34">
        <f>COUNTIFS(Links!B:B,"FSE",Links!C:C,A80,Links!AD:AD,1)</f>
        <v>1</v>
      </c>
      <c r="AC80" s="106" t="s">
        <v>35</v>
      </c>
      <c r="AD80" s="107" t="s">
        <v>35</v>
      </c>
      <c r="AE80" s="104" t="s">
        <v>36</v>
      </c>
      <c r="AF80" s="37" t="s">
        <v>42</v>
      </c>
      <c r="AG80" s="37" t="s">
        <v>42</v>
      </c>
      <c r="AH80" s="37" t="s">
        <v>42</v>
      </c>
      <c r="AI80" s="105" t="str">
        <f t="shared" si="6"/>
        <v>----</v>
      </c>
      <c r="AJ80" s="108" t="str">
        <f t="shared" si="7"/>
        <v>Paper has link but no statement</v>
      </c>
      <c r="AK80" s="109" t="s">
        <v>3401</v>
      </c>
      <c r="AL80" s="110" t="s">
        <v>3402</v>
      </c>
      <c r="AM80" s="40" t="str">
        <f t="shared" si="8"/>
        <v>[FP0723]</v>
      </c>
    </row>
    <row r="81" ht="67.5" customHeight="1">
      <c r="A81" s="41">
        <v>724.0</v>
      </c>
      <c r="B81" s="42" t="s">
        <v>3591</v>
      </c>
      <c r="C81" s="43">
        <v>2015.0</v>
      </c>
      <c r="D81" s="111" t="s">
        <v>35</v>
      </c>
      <c r="E81" s="45" t="s">
        <v>36</v>
      </c>
      <c r="F81" s="45" t="s">
        <v>36</v>
      </c>
      <c r="G81" s="45" t="s">
        <v>36</v>
      </c>
      <c r="H81" s="45" t="s">
        <v>36</v>
      </c>
      <c r="I81" s="45" t="s">
        <v>36</v>
      </c>
      <c r="J81" s="112" t="s">
        <v>36</v>
      </c>
      <c r="K81" s="113" t="s">
        <v>37</v>
      </c>
      <c r="L81" s="114" t="s">
        <v>37</v>
      </c>
      <c r="M81" s="114" t="s">
        <v>35</v>
      </c>
      <c r="N81" s="114" t="s">
        <v>35</v>
      </c>
      <c r="O81" s="114" t="s">
        <v>35</v>
      </c>
      <c r="P81" s="114" t="s">
        <v>35</v>
      </c>
      <c r="Q81" s="114" t="s">
        <v>35</v>
      </c>
      <c r="R81" s="114" t="s">
        <v>37</v>
      </c>
      <c r="S81" s="115" t="s">
        <v>3592</v>
      </c>
      <c r="T81" s="50" t="s">
        <v>3593</v>
      </c>
      <c r="U81" s="50" t="s">
        <v>3593</v>
      </c>
      <c r="V81" s="116">
        <f t="shared" si="2"/>
        <v>1</v>
      </c>
      <c r="W81" s="116">
        <f t="shared" ref="W81:X81" si="86">IF(lenb(SUBSTITUTE($Z81,W$1&amp;" (1)",""))&lt;lenb($Z81),1,IF(lenb(SUBSTITUTE($Z81,W$1&amp;" (2)",""))&lt;lenb($Z81),2,IF(lenb(SUBSTITUTE($Z81,W$1&amp;" (3)",""))&lt;lenb($Z81),3,IF(lenb(SUBSTITUTE($Z81,W$1&amp;" (4)",""))&lt;lenb($Z81),4,IF(lenb(SUBSTITUTE($Z81,W$1&amp;" (5)",""))&lt;lenb($Z81),5,IF(lenb(SUBSTITUTE($Z81,W$1&amp;" (6)",""))&lt;lenb($Z81),6,IF(lenb(SUBSTITUTE($Z81,W$1&amp;" (7)",""))&lt;lenb($Z81),1,IF(lenb(SUBSTITUTE($Z81,W$1&amp;" (8)",""))&lt;lenb($Z81),8,IF(lenb(SUBSTITUTE($Z81,W$1&amp;" (9)",""))&lt;lenb($Z81),9,IF(lenb(SUBSTITUTE($Z81,W$1&amp;" (10)",""))&lt;lenb($Z81),10,IF(lenb(SUBSTITUTE($Z81,W$1,""))&lt;lenb($Z81),"ERROR",IF($Z81=$Y$1,"-",0))))))))))))</f>
        <v>0</v>
      </c>
      <c r="X81" s="116">
        <f t="shared" si="86"/>
        <v>0</v>
      </c>
      <c r="Y81" s="116" t="str">
        <f t="shared" si="4"/>
        <v>-</v>
      </c>
      <c r="Z81" s="115" t="s">
        <v>3400</v>
      </c>
      <c r="AA81" s="54">
        <f t="shared" si="5"/>
        <v>1</v>
      </c>
      <c r="AB81" s="54">
        <f>COUNTIFS(Links!B:B,"FSE",Links!C:C,A81,Links!AD:AD,1)</f>
        <v>1</v>
      </c>
      <c r="AC81" s="117" t="s">
        <v>35</v>
      </c>
      <c r="AD81" s="118" t="s">
        <v>35</v>
      </c>
      <c r="AE81" s="115" t="s">
        <v>36</v>
      </c>
      <c r="AF81" s="57" t="s">
        <v>42</v>
      </c>
      <c r="AG81" s="57" t="s">
        <v>42</v>
      </c>
      <c r="AH81" s="57" t="s">
        <v>42</v>
      </c>
      <c r="AI81" s="116" t="str">
        <f t="shared" si="6"/>
        <v>----</v>
      </c>
      <c r="AJ81" s="119" t="str">
        <f t="shared" si="7"/>
        <v>Paper has link but no statement</v>
      </c>
      <c r="AK81" s="120" t="s">
        <v>3401</v>
      </c>
      <c r="AL81" s="121" t="s">
        <v>3402</v>
      </c>
      <c r="AM81" s="60" t="str">
        <f t="shared" si="8"/>
        <v>[FP0724]</v>
      </c>
    </row>
    <row r="82" ht="67.5" customHeight="1">
      <c r="A82" s="61">
        <v>725.0</v>
      </c>
      <c r="B82" s="22" t="s">
        <v>3594</v>
      </c>
      <c r="C82" s="23">
        <v>2015.0</v>
      </c>
      <c r="D82" s="100" t="s">
        <v>35</v>
      </c>
      <c r="E82" s="25" t="s">
        <v>36</v>
      </c>
      <c r="F82" s="25" t="s">
        <v>36</v>
      </c>
      <c r="G82" s="25" t="s">
        <v>36</v>
      </c>
      <c r="H82" s="25" t="s">
        <v>36</v>
      </c>
      <c r="I82" s="25" t="s">
        <v>36</v>
      </c>
      <c r="J82" s="101" t="s">
        <v>36</v>
      </c>
      <c r="K82" s="102" t="s">
        <v>35</v>
      </c>
      <c r="L82" s="103" t="s">
        <v>36</v>
      </c>
      <c r="M82" s="103" t="s">
        <v>36</v>
      </c>
      <c r="N82" s="103" t="s">
        <v>36</v>
      </c>
      <c r="O82" s="103" t="s">
        <v>36</v>
      </c>
      <c r="P82" s="103" t="s">
        <v>36</v>
      </c>
      <c r="Q82" s="103" t="s">
        <v>36</v>
      </c>
      <c r="R82" s="103" t="s">
        <v>36</v>
      </c>
      <c r="S82" s="104" t="s">
        <v>42</v>
      </c>
      <c r="T82" s="30" t="s">
        <v>36</v>
      </c>
      <c r="U82" s="30" t="s">
        <v>36</v>
      </c>
      <c r="V82" s="105" t="str">
        <f t="shared" si="2"/>
        <v>-</v>
      </c>
      <c r="W82" s="105" t="str">
        <f t="shared" ref="W82:X82" si="87">IF(lenb(SUBSTITUTE($Z82,W$1&amp;" (1)",""))&lt;lenb($Z82),1,IF(lenb(SUBSTITUTE($Z82,W$1&amp;" (2)",""))&lt;lenb($Z82),2,IF(lenb(SUBSTITUTE($Z82,W$1&amp;" (3)",""))&lt;lenb($Z82),3,IF(lenb(SUBSTITUTE($Z82,W$1&amp;" (4)",""))&lt;lenb($Z82),4,IF(lenb(SUBSTITUTE($Z82,W$1&amp;" (5)",""))&lt;lenb($Z82),5,IF(lenb(SUBSTITUTE($Z82,W$1&amp;" (6)",""))&lt;lenb($Z82),6,IF(lenb(SUBSTITUTE($Z82,W$1&amp;" (7)",""))&lt;lenb($Z82),1,IF(lenb(SUBSTITUTE($Z82,W$1&amp;" (8)",""))&lt;lenb($Z82),8,IF(lenb(SUBSTITUTE($Z82,W$1&amp;" (9)",""))&lt;lenb($Z82),9,IF(lenb(SUBSTITUTE($Z82,W$1&amp;" (10)",""))&lt;lenb($Z82),10,IF(lenb(SUBSTITUTE($Z82,W$1,""))&lt;lenb($Z82),"ERROR",IF($Z82=$Y$1,"-",0))))))))))))</f>
        <v>-</v>
      </c>
      <c r="X82" s="105" t="str">
        <f t="shared" si="87"/>
        <v>-</v>
      </c>
      <c r="Y82" s="105">
        <f t="shared" si="4"/>
        <v>1</v>
      </c>
      <c r="Z82" s="104" t="s">
        <v>23</v>
      </c>
      <c r="AA82" s="34">
        <f t="shared" si="5"/>
        <v>0</v>
      </c>
      <c r="AB82" s="34">
        <f>COUNTIFS(Links!B:B,"FSE",Links!C:C,A82,Links!AD:AD,1)</f>
        <v>0</v>
      </c>
      <c r="AC82" s="106" t="s">
        <v>36</v>
      </c>
      <c r="AD82" s="107" t="s">
        <v>35</v>
      </c>
      <c r="AE82" s="104" t="s">
        <v>36</v>
      </c>
      <c r="AF82" s="37" t="s">
        <v>42</v>
      </c>
      <c r="AG82" s="37" t="s">
        <v>42</v>
      </c>
      <c r="AH82" s="37" t="s">
        <v>42</v>
      </c>
      <c r="AI82" s="105" t="str">
        <f t="shared" si="6"/>
        <v>----</v>
      </c>
      <c r="AJ82" s="108" t="str">
        <f t="shared" si="7"/>
        <v>Paper has no link and no statement</v>
      </c>
      <c r="AK82" s="109" t="s">
        <v>3401</v>
      </c>
      <c r="AL82" s="110" t="s">
        <v>3402</v>
      </c>
      <c r="AM82" s="40" t="str">
        <f t="shared" si="8"/>
        <v>[FP0725]</v>
      </c>
    </row>
    <row r="83" ht="67.5" customHeight="1">
      <c r="A83" s="41">
        <v>726.0</v>
      </c>
      <c r="B83" s="42" t="s">
        <v>3595</v>
      </c>
      <c r="C83" s="43">
        <v>2015.0</v>
      </c>
      <c r="D83" s="111" t="s">
        <v>35</v>
      </c>
      <c r="E83" s="45" t="s">
        <v>36</v>
      </c>
      <c r="F83" s="45" t="s">
        <v>36</v>
      </c>
      <c r="G83" s="45" t="s">
        <v>36</v>
      </c>
      <c r="H83" s="45" t="s">
        <v>36</v>
      </c>
      <c r="I83" s="45" t="s">
        <v>36</v>
      </c>
      <c r="J83" s="112" t="s">
        <v>36</v>
      </c>
      <c r="K83" s="113" t="s">
        <v>35</v>
      </c>
      <c r="L83" s="114" t="s">
        <v>36</v>
      </c>
      <c r="M83" s="114" t="s">
        <v>36</v>
      </c>
      <c r="N83" s="114" t="s">
        <v>36</v>
      </c>
      <c r="O83" s="114" t="s">
        <v>36</v>
      </c>
      <c r="P83" s="114" t="s">
        <v>36</v>
      </c>
      <c r="Q83" s="114" t="s">
        <v>36</v>
      </c>
      <c r="R83" s="114" t="s">
        <v>36</v>
      </c>
      <c r="S83" s="115" t="s">
        <v>42</v>
      </c>
      <c r="T83" s="50" t="s">
        <v>36</v>
      </c>
      <c r="U83" s="50" t="s">
        <v>36</v>
      </c>
      <c r="V83" s="116" t="str">
        <f t="shared" si="2"/>
        <v>-</v>
      </c>
      <c r="W83" s="116" t="str">
        <f t="shared" ref="W83:X83" si="88">IF(lenb(SUBSTITUTE($Z83,W$1&amp;" (1)",""))&lt;lenb($Z83),1,IF(lenb(SUBSTITUTE($Z83,W$1&amp;" (2)",""))&lt;lenb($Z83),2,IF(lenb(SUBSTITUTE($Z83,W$1&amp;" (3)",""))&lt;lenb($Z83),3,IF(lenb(SUBSTITUTE($Z83,W$1&amp;" (4)",""))&lt;lenb($Z83),4,IF(lenb(SUBSTITUTE($Z83,W$1&amp;" (5)",""))&lt;lenb($Z83),5,IF(lenb(SUBSTITUTE($Z83,W$1&amp;" (6)",""))&lt;lenb($Z83),6,IF(lenb(SUBSTITUTE($Z83,W$1&amp;" (7)",""))&lt;lenb($Z83),1,IF(lenb(SUBSTITUTE($Z83,W$1&amp;" (8)",""))&lt;lenb($Z83),8,IF(lenb(SUBSTITUTE($Z83,W$1&amp;" (9)",""))&lt;lenb($Z83),9,IF(lenb(SUBSTITUTE($Z83,W$1&amp;" (10)",""))&lt;lenb($Z83),10,IF(lenb(SUBSTITUTE($Z83,W$1,""))&lt;lenb($Z83),"ERROR",IF($Z83=$Y$1,"-",0))))))))))))</f>
        <v>-</v>
      </c>
      <c r="X83" s="116" t="str">
        <f t="shared" si="88"/>
        <v>-</v>
      </c>
      <c r="Y83" s="116">
        <f t="shared" si="4"/>
        <v>1</v>
      </c>
      <c r="Z83" s="115" t="s">
        <v>23</v>
      </c>
      <c r="AA83" s="54">
        <f t="shared" si="5"/>
        <v>0</v>
      </c>
      <c r="AB83" s="54">
        <f>COUNTIFS(Links!B:B,"FSE",Links!C:C,A83,Links!AD:AD,1)</f>
        <v>0</v>
      </c>
      <c r="AC83" s="117" t="s">
        <v>36</v>
      </c>
      <c r="AD83" s="118" t="s">
        <v>35</v>
      </c>
      <c r="AE83" s="115" t="s">
        <v>36</v>
      </c>
      <c r="AF83" s="57" t="s">
        <v>42</v>
      </c>
      <c r="AG83" s="57" t="s">
        <v>42</v>
      </c>
      <c r="AH83" s="57" t="s">
        <v>42</v>
      </c>
      <c r="AI83" s="116" t="str">
        <f t="shared" si="6"/>
        <v>----</v>
      </c>
      <c r="AJ83" s="119" t="str">
        <f t="shared" si="7"/>
        <v>Paper has no link and no statement</v>
      </c>
      <c r="AK83" s="120" t="s">
        <v>3401</v>
      </c>
      <c r="AL83" s="121" t="s">
        <v>3402</v>
      </c>
      <c r="AM83" s="60" t="str">
        <f t="shared" si="8"/>
        <v>[FP0726]</v>
      </c>
    </row>
    <row r="84" ht="67.5" customHeight="1">
      <c r="A84" s="61">
        <v>727.0</v>
      </c>
      <c r="B84" s="22" t="s">
        <v>3596</v>
      </c>
      <c r="C84" s="23">
        <v>2015.0</v>
      </c>
      <c r="D84" s="100" t="s">
        <v>35</v>
      </c>
      <c r="E84" s="25" t="s">
        <v>36</v>
      </c>
      <c r="F84" s="25" t="s">
        <v>36</v>
      </c>
      <c r="G84" s="25" t="s">
        <v>36</v>
      </c>
      <c r="H84" s="25" t="s">
        <v>36</v>
      </c>
      <c r="I84" s="25" t="s">
        <v>36</v>
      </c>
      <c r="J84" s="101" t="s">
        <v>36</v>
      </c>
      <c r="K84" s="102" t="s">
        <v>37</v>
      </c>
      <c r="L84" s="103" t="s">
        <v>35</v>
      </c>
      <c r="M84" s="103" t="s">
        <v>37</v>
      </c>
      <c r="N84" s="103" t="s">
        <v>35</v>
      </c>
      <c r="O84" s="103" t="s">
        <v>35</v>
      </c>
      <c r="P84" s="103" t="s">
        <v>35</v>
      </c>
      <c r="Q84" s="103" t="s">
        <v>35</v>
      </c>
      <c r="R84" s="103" t="s">
        <v>37</v>
      </c>
      <c r="S84" s="104" t="s">
        <v>3597</v>
      </c>
      <c r="T84" s="30" t="s">
        <v>3598</v>
      </c>
      <c r="U84" s="30" t="s">
        <v>3598</v>
      </c>
      <c r="V84" s="105">
        <f t="shared" si="2"/>
        <v>0</v>
      </c>
      <c r="W84" s="105">
        <f t="shared" ref="W84:X84" si="89">IF(lenb(SUBSTITUTE($Z84,W$1&amp;" (1)",""))&lt;lenb($Z84),1,IF(lenb(SUBSTITUTE($Z84,W$1&amp;" (2)",""))&lt;lenb($Z84),2,IF(lenb(SUBSTITUTE($Z84,W$1&amp;" (3)",""))&lt;lenb($Z84),3,IF(lenb(SUBSTITUTE($Z84,W$1&amp;" (4)",""))&lt;lenb($Z84),4,IF(lenb(SUBSTITUTE($Z84,W$1&amp;" (5)",""))&lt;lenb($Z84),5,IF(lenb(SUBSTITUTE($Z84,W$1&amp;" (6)",""))&lt;lenb($Z84),6,IF(lenb(SUBSTITUTE($Z84,W$1&amp;" (7)",""))&lt;lenb($Z84),1,IF(lenb(SUBSTITUTE($Z84,W$1&amp;" (8)",""))&lt;lenb($Z84),8,IF(lenb(SUBSTITUTE($Z84,W$1&amp;" (9)",""))&lt;lenb($Z84),9,IF(lenb(SUBSTITUTE($Z84,W$1&amp;" (10)",""))&lt;lenb($Z84),10,IF(lenb(SUBSTITUTE($Z84,W$1,""))&lt;lenb($Z84),"ERROR",IF($Z84=$Y$1,"-",0))))))))))))</f>
        <v>1</v>
      </c>
      <c r="X84" s="105">
        <f t="shared" si="89"/>
        <v>0</v>
      </c>
      <c r="Y84" s="105" t="str">
        <f t="shared" si="4"/>
        <v>-</v>
      </c>
      <c r="Z84" s="104" t="s">
        <v>3423</v>
      </c>
      <c r="AA84" s="34">
        <f t="shared" si="5"/>
        <v>1</v>
      </c>
      <c r="AB84" s="34">
        <f>COUNTIFS(Links!B:B,"FSE",Links!C:C,A84,Links!AD:AD,1)</f>
        <v>1</v>
      </c>
      <c r="AC84" s="106" t="s">
        <v>35</v>
      </c>
      <c r="AD84" s="107" t="s">
        <v>35</v>
      </c>
      <c r="AE84" s="104" t="s">
        <v>36</v>
      </c>
      <c r="AF84" s="37" t="s">
        <v>42</v>
      </c>
      <c r="AG84" s="37" t="s">
        <v>42</v>
      </c>
      <c r="AH84" s="37" t="s">
        <v>42</v>
      </c>
      <c r="AI84" s="105" t="str">
        <f t="shared" si="6"/>
        <v>----</v>
      </c>
      <c r="AJ84" s="108" t="str">
        <f t="shared" si="7"/>
        <v>Paper has link but no statement</v>
      </c>
      <c r="AK84" s="109" t="s">
        <v>3401</v>
      </c>
      <c r="AL84" s="110" t="s">
        <v>3402</v>
      </c>
      <c r="AM84" s="40" t="str">
        <f t="shared" si="8"/>
        <v>[FP0727]</v>
      </c>
    </row>
    <row r="85" ht="67.5" customHeight="1">
      <c r="A85" s="41">
        <v>728.0</v>
      </c>
      <c r="B85" s="42" t="s">
        <v>3599</v>
      </c>
      <c r="C85" s="43">
        <v>2015.0</v>
      </c>
      <c r="D85" s="111" t="s">
        <v>35</v>
      </c>
      <c r="E85" s="45" t="s">
        <v>36</v>
      </c>
      <c r="F85" s="45" t="s">
        <v>36</v>
      </c>
      <c r="G85" s="45" t="s">
        <v>36</v>
      </c>
      <c r="H85" s="45" t="s">
        <v>36</v>
      </c>
      <c r="I85" s="45" t="s">
        <v>36</v>
      </c>
      <c r="J85" s="112" t="s">
        <v>36</v>
      </c>
      <c r="K85" s="113" t="s">
        <v>37</v>
      </c>
      <c r="L85" s="114" t="s">
        <v>37</v>
      </c>
      <c r="M85" s="114" t="s">
        <v>35</v>
      </c>
      <c r="N85" s="114" t="s">
        <v>35</v>
      </c>
      <c r="O85" s="114" t="s">
        <v>35</v>
      </c>
      <c r="P85" s="114" t="s">
        <v>35</v>
      </c>
      <c r="Q85" s="114" t="s">
        <v>35</v>
      </c>
      <c r="R85" s="114" t="s">
        <v>37</v>
      </c>
      <c r="S85" s="115" t="s">
        <v>3600</v>
      </c>
      <c r="T85" s="50" t="s">
        <v>3601</v>
      </c>
      <c r="U85" s="50" t="s">
        <v>3601</v>
      </c>
      <c r="V85" s="116">
        <f t="shared" si="2"/>
        <v>0</v>
      </c>
      <c r="W85" s="116">
        <f t="shared" ref="W85:X85" si="90">IF(lenb(SUBSTITUTE($Z85,W$1&amp;" (1)",""))&lt;lenb($Z85),1,IF(lenb(SUBSTITUTE($Z85,W$1&amp;" (2)",""))&lt;lenb($Z85),2,IF(lenb(SUBSTITUTE($Z85,W$1&amp;" (3)",""))&lt;lenb($Z85),3,IF(lenb(SUBSTITUTE($Z85,W$1&amp;" (4)",""))&lt;lenb($Z85),4,IF(lenb(SUBSTITUTE($Z85,W$1&amp;" (5)",""))&lt;lenb($Z85),5,IF(lenb(SUBSTITUTE($Z85,W$1&amp;" (6)",""))&lt;lenb($Z85),6,IF(lenb(SUBSTITUTE($Z85,W$1&amp;" (7)",""))&lt;lenb($Z85),1,IF(lenb(SUBSTITUTE($Z85,W$1&amp;" (8)",""))&lt;lenb($Z85),8,IF(lenb(SUBSTITUTE($Z85,W$1&amp;" (9)",""))&lt;lenb($Z85),9,IF(lenb(SUBSTITUTE($Z85,W$1&amp;" (10)",""))&lt;lenb($Z85),10,IF(lenb(SUBSTITUTE($Z85,W$1,""))&lt;lenb($Z85),"ERROR",IF($Z85=$Y$1,"-",0))))))))))))</f>
        <v>1</v>
      </c>
      <c r="X85" s="116">
        <f t="shared" si="90"/>
        <v>0</v>
      </c>
      <c r="Y85" s="116" t="str">
        <f t="shared" si="4"/>
        <v>-</v>
      </c>
      <c r="Z85" s="115" t="s">
        <v>3423</v>
      </c>
      <c r="AA85" s="54">
        <f t="shared" si="5"/>
        <v>1</v>
      </c>
      <c r="AB85" s="54">
        <f>COUNTIFS(Links!B:B,"FSE",Links!C:C,A85,Links!AD:AD,1)</f>
        <v>1</v>
      </c>
      <c r="AC85" s="117" t="s">
        <v>35</v>
      </c>
      <c r="AD85" s="118" t="s">
        <v>37</v>
      </c>
      <c r="AE85" s="129" t="s">
        <v>3602</v>
      </c>
      <c r="AF85" s="57" t="s">
        <v>281</v>
      </c>
      <c r="AG85" s="57" t="s">
        <v>42</v>
      </c>
      <c r="AH85" s="57" t="s">
        <v>42</v>
      </c>
      <c r="AI85" s="116" t="str">
        <f t="shared" si="6"/>
        <v>Barriers (Confidentiality and privacy)</v>
      </c>
      <c r="AJ85" s="119" t="str">
        <f t="shared" si="7"/>
        <v>Paper has link and statement</v>
      </c>
      <c r="AK85" s="120" t="s">
        <v>3401</v>
      </c>
      <c r="AL85" s="121" t="s">
        <v>3402</v>
      </c>
      <c r="AM85" s="60" t="str">
        <f t="shared" si="8"/>
        <v>[FP0728]</v>
      </c>
    </row>
    <row r="86" ht="67.5" customHeight="1">
      <c r="A86" s="61">
        <v>729.0</v>
      </c>
      <c r="B86" s="22" t="s">
        <v>3603</v>
      </c>
      <c r="C86" s="23">
        <v>2015.0</v>
      </c>
      <c r="D86" s="100" t="s">
        <v>35</v>
      </c>
      <c r="E86" s="25" t="s">
        <v>36</v>
      </c>
      <c r="F86" s="25" t="s">
        <v>36</v>
      </c>
      <c r="G86" s="25" t="s">
        <v>36</v>
      </c>
      <c r="H86" s="25" t="s">
        <v>36</v>
      </c>
      <c r="I86" s="25" t="s">
        <v>36</v>
      </c>
      <c r="J86" s="101" t="s">
        <v>36</v>
      </c>
      <c r="K86" s="102" t="s">
        <v>37</v>
      </c>
      <c r="L86" s="103" t="s">
        <v>35</v>
      </c>
      <c r="M86" s="103" t="s">
        <v>37</v>
      </c>
      <c r="N86" s="103" t="s">
        <v>37</v>
      </c>
      <c r="O86" s="103" t="s">
        <v>35</v>
      </c>
      <c r="P86" s="103" t="s">
        <v>35</v>
      </c>
      <c r="Q86" s="103" t="s">
        <v>35</v>
      </c>
      <c r="R86" s="103" t="s">
        <v>35</v>
      </c>
      <c r="S86" s="104" t="s">
        <v>84</v>
      </c>
      <c r="T86" s="30" t="s">
        <v>3604</v>
      </c>
      <c r="U86" s="30" t="s">
        <v>3605</v>
      </c>
      <c r="V86" s="105">
        <f t="shared" si="2"/>
        <v>0</v>
      </c>
      <c r="W86" s="105">
        <f t="shared" ref="W86:X86" si="91">IF(lenb(SUBSTITUTE($Z86,W$1&amp;" (1)",""))&lt;lenb($Z86),1,IF(lenb(SUBSTITUTE($Z86,W$1&amp;" (2)",""))&lt;lenb($Z86),2,IF(lenb(SUBSTITUTE($Z86,W$1&amp;" (3)",""))&lt;lenb($Z86),3,IF(lenb(SUBSTITUTE($Z86,W$1&amp;" (4)",""))&lt;lenb($Z86),4,IF(lenb(SUBSTITUTE($Z86,W$1&amp;" (5)",""))&lt;lenb($Z86),5,IF(lenb(SUBSTITUTE($Z86,W$1&amp;" (6)",""))&lt;lenb($Z86),6,IF(lenb(SUBSTITUTE($Z86,W$1&amp;" (7)",""))&lt;lenb($Z86),1,IF(lenb(SUBSTITUTE($Z86,W$1&amp;" (8)",""))&lt;lenb($Z86),8,IF(lenb(SUBSTITUTE($Z86,W$1&amp;" (9)",""))&lt;lenb($Z86),9,IF(lenb(SUBSTITUTE($Z86,W$1&amp;" (10)",""))&lt;lenb($Z86),10,IF(lenb(SUBSTITUTE($Z86,W$1,""))&lt;lenb($Z86),"ERROR",IF($Z86=$Y$1,"-",0))))))))))))</f>
        <v>1</v>
      </c>
      <c r="X86" s="105">
        <f t="shared" si="91"/>
        <v>0</v>
      </c>
      <c r="Y86" s="105" t="str">
        <f t="shared" si="4"/>
        <v>-</v>
      </c>
      <c r="Z86" s="104" t="s">
        <v>3423</v>
      </c>
      <c r="AA86" s="34">
        <f t="shared" si="5"/>
        <v>1</v>
      </c>
      <c r="AB86" s="34">
        <f>COUNTIFS(Links!B:B,"FSE",Links!C:C,A86,Links!AD:AD,1)</f>
        <v>0</v>
      </c>
      <c r="AC86" s="106" t="s">
        <v>35</v>
      </c>
      <c r="AD86" s="107" t="s">
        <v>35</v>
      </c>
      <c r="AE86" s="104" t="s">
        <v>36</v>
      </c>
      <c r="AF86" s="37" t="s">
        <v>42</v>
      </c>
      <c r="AG86" s="37" t="s">
        <v>42</v>
      </c>
      <c r="AH86" s="37" t="s">
        <v>42</v>
      </c>
      <c r="AI86" s="105" t="str">
        <f t="shared" si="6"/>
        <v>----</v>
      </c>
      <c r="AJ86" s="108" t="str">
        <f t="shared" si="7"/>
        <v>Paper has link but no statement</v>
      </c>
      <c r="AK86" s="109" t="s">
        <v>3401</v>
      </c>
      <c r="AL86" s="110" t="s">
        <v>3402</v>
      </c>
      <c r="AM86" s="40" t="str">
        <f t="shared" si="8"/>
        <v>[FP0729]</v>
      </c>
    </row>
    <row r="87" ht="67.5" customHeight="1">
      <c r="A87" s="41">
        <v>730.0</v>
      </c>
      <c r="B87" s="42" t="s">
        <v>3606</v>
      </c>
      <c r="C87" s="43">
        <v>2015.0</v>
      </c>
      <c r="D87" s="111" t="s">
        <v>35</v>
      </c>
      <c r="E87" s="45" t="s">
        <v>36</v>
      </c>
      <c r="F87" s="45" t="s">
        <v>36</v>
      </c>
      <c r="G87" s="45" t="s">
        <v>36</v>
      </c>
      <c r="H87" s="45" t="s">
        <v>36</v>
      </c>
      <c r="I87" s="45" t="s">
        <v>36</v>
      </c>
      <c r="J87" s="112" t="s">
        <v>36</v>
      </c>
      <c r="K87" s="113" t="s">
        <v>37</v>
      </c>
      <c r="L87" s="114" t="s">
        <v>35</v>
      </c>
      <c r="M87" s="114" t="s">
        <v>35</v>
      </c>
      <c r="N87" s="114" t="s">
        <v>37</v>
      </c>
      <c r="O87" s="114" t="s">
        <v>35</v>
      </c>
      <c r="P87" s="114" t="s">
        <v>35</v>
      </c>
      <c r="Q87" s="114" t="s">
        <v>35</v>
      </c>
      <c r="R87" s="114" t="s">
        <v>35</v>
      </c>
      <c r="S87" s="115" t="s">
        <v>84</v>
      </c>
      <c r="T87" s="50" t="s">
        <v>3607</v>
      </c>
      <c r="U87" s="50" t="s">
        <v>3607</v>
      </c>
      <c r="V87" s="116">
        <f t="shared" si="2"/>
        <v>1</v>
      </c>
      <c r="W87" s="116">
        <f t="shared" ref="W87:X87" si="92">IF(lenb(SUBSTITUTE($Z87,W$1&amp;" (1)",""))&lt;lenb($Z87),1,IF(lenb(SUBSTITUTE($Z87,W$1&amp;" (2)",""))&lt;lenb($Z87),2,IF(lenb(SUBSTITUTE($Z87,W$1&amp;" (3)",""))&lt;lenb($Z87),3,IF(lenb(SUBSTITUTE($Z87,W$1&amp;" (4)",""))&lt;lenb($Z87),4,IF(lenb(SUBSTITUTE($Z87,W$1&amp;" (5)",""))&lt;lenb($Z87),5,IF(lenb(SUBSTITUTE($Z87,W$1&amp;" (6)",""))&lt;lenb($Z87),6,IF(lenb(SUBSTITUTE($Z87,W$1&amp;" (7)",""))&lt;lenb($Z87),1,IF(lenb(SUBSTITUTE($Z87,W$1&amp;" (8)",""))&lt;lenb($Z87),8,IF(lenb(SUBSTITUTE($Z87,W$1&amp;" (9)",""))&lt;lenb($Z87),9,IF(lenb(SUBSTITUTE($Z87,W$1&amp;" (10)",""))&lt;lenb($Z87),10,IF(lenb(SUBSTITUTE($Z87,W$1,""))&lt;lenb($Z87),"ERROR",IF($Z87=$Y$1,"-",0))))))))))))</f>
        <v>0</v>
      </c>
      <c r="X87" s="116">
        <f t="shared" si="92"/>
        <v>0</v>
      </c>
      <c r="Y87" s="116" t="str">
        <f t="shared" si="4"/>
        <v>-</v>
      </c>
      <c r="Z87" s="115" t="s">
        <v>3400</v>
      </c>
      <c r="AA87" s="54">
        <f t="shared" si="5"/>
        <v>1</v>
      </c>
      <c r="AB87" s="54">
        <f>COUNTIFS(Links!B:B,"FSE",Links!C:C,A87,Links!AD:AD,1)</f>
        <v>0</v>
      </c>
      <c r="AC87" s="117" t="s">
        <v>35</v>
      </c>
      <c r="AD87" s="118" t="s">
        <v>35</v>
      </c>
      <c r="AE87" s="115" t="s">
        <v>36</v>
      </c>
      <c r="AF87" s="57" t="s">
        <v>42</v>
      </c>
      <c r="AG87" s="57" t="s">
        <v>42</v>
      </c>
      <c r="AH87" s="57" t="s">
        <v>42</v>
      </c>
      <c r="AI87" s="116" t="str">
        <f t="shared" si="6"/>
        <v>----</v>
      </c>
      <c r="AJ87" s="119" t="str">
        <f t="shared" si="7"/>
        <v>Paper has link but no statement</v>
      </c>
      <c r="AK87" s="120" t="s">
        <v>3401</v>
      </c>
      <c r="AL87" s="121" t="s">
        <v>3402</v>
      </c>
      <c r="AM87" s="60" t="str">
        <f t="shared" si="8"/>
        <v>[FP0730]</v>
      </c>
    </row>
    <row r="88" ht="67.5" customHeight="1">
      <c r="A88" s="61">
        <v>731.0</v>
      </c>
      <c r="B88" s="22" t="s">
        <v>3608</v>
      </c>
      <c r="C88" s="23">
        <v>2015.0</v>
      </c>
      <c r="D88" s="100" t="s">
        <v>35</v>
      </c>
      <c r="E88" s="25" t="s">
        <v>36</v>
      </c>
      <c r="F88" s="25" t="s">
        <v>36</v>
      </c>
      <c r="G88" s="25" t="s">
        <v>36</v>
      </c>
      <c r="H88" s="25" t="s">
        <v>36</v>
      </c>
      <c r="I88" s="25" t="s">
        <v>36</v>
      </c>
      <c r="J88" s="101" t="s">
        <v>36</v>
      </c>
      <c r="K88" s="102" t="s">
        <v>37</v>
      </c>
      <c r="L88" s="103" t="s">
        <v>35</v>
      </c>
      <c r="M88" s="103" t="s">
        <v>35</v>
      </c>
      <c r="N88" s="103" t="s">
        <v>37</v>
      </c>
      <c r="O88" s="103" t="s">
        <v>35</v>
      </c>
      <c r="P88" s="103" t="s">
        <v>35</v>
      </c>
      <c r="Q88" s="103" t="s">
        <v>35</v>
      </c>
      <c r="R88" s="103" t="s">
        <v>35</v>
      </c>
      <c r="S88" s="104" t="s">
        <v>84</v>
      </c>
      <c r="T88" s="30" t="s">
        <v>3609</v>
      </c>
      <c r="U88" s="30" t="s">
        <v>3610</v>
      </c>
      <c r="V88" s="105">
        <f t="shared" si="2"/>
        <v>0</v>
      </c>
      <c r="W88" s="105">
        <f t="shared" ref="W88:X88" si="93">IF(lenb(SUBSTITUTE($Z88,W$1&amp;" (1)",""))&lt;lenb($Z88),1,IF(lenb(SUBSTITUTE($Z88,W$1&amp;" (2)",""))&lt;lenb($Z88),2,IF(lenb(SUBSTITUTE($Z88,W$1&amp;" (3)",""))&lt;lenb($Z88),3,IF(lenb(SUBSTITUTE($Z88,W$1&amp;" (4)",""))&lt;lenb($Z88),4,IF(lenb(SUBSTITUTE($Z88,W$1&amp;" (5)",""))&lt;lenb($Z88),5,IF(lenb(SUBSTITUTE($Z88,W$1&amp;" (6)",""))&lt;lenb($Z88),6,IF(lenb(SUBSTITUTE($Z88,W$1&amp;" (7)",""))&lt;lenb($Z88),1,IF(lenb(SUBSTITUTE($Z88,W$1&amp;" (8)",""))&lt;lenb($Z88),8,IF(lenb(SUBSTITUTE($Z88,W$1&amp;" (9)",""))&lt;lenb($Z88),9,IF(lenb(SUBSTITUTE($Z88,W$1&amp;" (10)",""))&lt;lenb($Z88),10,IF(lenb(SUBSTITUTE($Z88,W$1,""))&lt;lenb($Z88),"ERROR",IF($Z88=$Y$1,"-",0))))))))))))</f>
        <v>1</v>
      </c>
      <c r="X88" s="105">
        <f t="shared" si="93"/>
        <v>0</v>
      </c>
      <c r="Y88" s="105" t="str">
        <f t="shared" si="4"/>
        <v>-</v>
      </c>
      <c r="Z88" s="104" t="s">
        <v>3423</v>
      </c>
      <c r="AA88" s="34">
        <f t="shared" si="5"/>
        <v>1</v>
      </c>
      <c r="AB88" s="34">
        <f>COUNTIFS(Links!B:B,"FSE",Links!C:C,A88,Links!AD:AD,1)</f>
        <v>1</v>
      </c>
      <c r="AC88" s="106" t="s">
        <v>35</v>
      </c>
      <c r="AD88" s="107" t="s">
        <v>35</v>
      </c>
      <c r="AE88" s="104" t="s">
        <v>36</v>
      </c>
      <c r="AF88" s="37" t="s">
        <v>42</v>
      </c>
      <c r="AG88" s="37" t="s">
        <v>42</v>
      </c>
      <c r="AH88" s="37" t="s">
        <v>42</v>
      </c>
      <c r="AI88" s="105" t="str">
        <f t="shared" si="6"/>
        <v>----</v>
      </c>
      <c r="AJ88" s="108" t="str">
        <f t="shared" si="7"/>
        <v>Paper has link but no statement</v>
      </c>
      <c r="AK88" s="109" t="s">
        <v>3401</v>
      </c>
      <c r="AL88" s="110" t="s">
        <v>3402</v>
      </c>
      <c r="AM88" s="40" t="str">
        <f t="shared" si="8"/>
        <v>[FP0731]</v>
      </c>
    </row>
    <row r="89" ht="67.5" customHeight="1">
      <c r="A89" s="41">
        <v>732.0</v>
      </c>
      <c r="B89" s="42" t="s">
        <v>3611</v>
      </c>
      <c r="C89" s="43">
        <v>2015.0</v>
      </c>
      <c r="D89" s="111" t="s">
        <v>37</v>
      </c>
      <c r="E89" s="45" t="s">
        <v>36</v>
      </c>
      <c r="F89" s="45" t="s">
        <v>36</v>
      </c>
      <c r="G89" s="45" t="s">
        <v>36</v>
      </c>
      <c r="H89" s="45" t="s">
        <v>36</v>
      </c>
      <c r="I89" s="45" t="s">
        <v>36</v>
      </c>
      <c r="J89" s="112" t="s">
        <v>3612</v>
      </c>
      <c r="K89" s="113" t="s">
        <v>37</v>
      </c>
      <c r="L89" s="114" t="s">
        <v>35</v>
      </c>
      <c r="M89" s="114" t="s">
        <v>37</v>
      </c>
      <c r="N89" s="114" t="s">
        <v>35</v>
      </c>
      <c r="O89" s="114" t="s">
        <v>35</v>
      </c>
      <c r="P89" s="114" t="s">
        <v>35</v>
      </c>
      <c r="Q89" s="114" t="s">
        <v>37</v>
      </c>
      <c r="R89" s="114" t="s">
        <v>37</v>
      </c>
      <c r="S89" s="115" t="s">
        <v>3523</v>
      </c>
      <c r="T89" s="50" t="s">
        <v>3613</v>
      </c>
      <c r="U89" s="50" t="s">
        <v>3614</v>
      </c>
      <c r="V89" s="116">
        <f t="shared" si="2"/>
        <v>2</v>
      </c>
      <c r="W89" s="116">
        <f t="shared" ref="W89:X89" si="94">IF(lenb(SUBSTITUTE($Z89,W$1&amp;" (1)",""))&lt;lenb($Z89),1,IF(lenb(SUBSTITUTE($Z89,W$1&amp;" (2)",""))&lt;lenb($Z89),2,IF(lenb(SUBSTITUTE($Z89,W$1&amp;" (3)",""))&lt;lenb($Z89),3,IF(lenb(SUBSTITUTE($Z89,W$1&amp;" (4)",""))&lt;lenb($Z89),4,IF(lenb(SUBSTITUTE($Z89,W$1&amp;" (5)",""))&lt;lenb($Z89),5,IF(lenb(SUBSTITUTE($Z89,W$1&amp;" (6)",""))&lt;lenb($Z89),6,IF(lenb(SUBSTITUTE($Z89,W$1&amp;" (7)",""))&lt;lenb($Z89),1,IF(lenb(SUBSTITUTE($Z89,W$1&amp;" (8)",""))&lt;lenb($Z89),8,IF(lenb(SUBSTITUTE($Z89,W$1&amp;" (9)",""))&lt;lenb($Z89),9,IF(lenb(SUBSTITUTE($Z89,W$1&amp;" (10)",""))&lt;lenb($Z89),10,IF(lenb(SUBSTITUTE($Z89,W$1,""))&lt;lenb($Z89),"ERROR",IF($Z89=$Y$1,"-",0))))))))))))</f>
        <v>0</v>
      </c>
      <c r="X89" s="116">
        <f t="shared" si="94"/>
        <v>0</v>
      </c>
      <c r="Y89" s="116" t="str">
        <f t="shared" si="4"/>
        <v>-</v>
      </c>
      <c r="Z89" s="115" t="s">
        <v>3452</v>
      </c>
      <c r="AA89" s="54">
        <f t="shared" si="5"/>
        <v>2</v>
      </c>
      <c r="AB89" s="54">
        <f>COUNTIFS(Links!B:B,"FSE",Links!C:C,A89,Links!AD:AD,1)</f>
        <v>0</v>
      </c>
      <c r="AC89" s="117" t="s">
        <v>35</v>
      </c>
      <c r="AD89" s="118" t="s">
        <v>35</v>
      </c>
      <c r="AE89" s="115" t="s">
        <v>36</v>
      </c>
      <c r="AF89" s="57" t="s">
        <v>42</v>
      </c>
      <c r="AG89" s="57" t="s">
        <v>42</v>
      </c>
      <c r="AH89" s="57" t="s">
        <v>42</v>
      </c>
      <c r="AI89" s="116" t="str">
        <f t="shared" si="6"/>
        <v>----</v>
      </c>
      <c r="AJ89" s="119" t="str">
        <f t="shared" si="7"/>
        <v>Paper has link but no statement</v>
      </c>
      <c r="AK89" s="120" t="s">
        <v>3401</v>
      </c>
      <c r="AL89" s="121" t="s">
        <v>3402</v>
      </c>
      <c r="AM89" s="60" t="str">
        <f t="shared" si="8"/>
        <v>[FP0732]</v>
      </c>
    </row>
    <row r="90" ht="67.5" customHeight="1">
      <c r="A90" s="61">
        <v>733.0</v>
      </c>
      <c r="B90" s="22" t="s">
        <v>3615</v>
      </c>
      <c r="C90" s="23">
        <v>2015.0</v>
      </c>
      <c r="D90" s="100" t="s">
        <v>35</v>
      </c>
      <c r="E90" s="25" t="s">
        <v>36</v>
      </c>
      <c r="F90" s="25" t="s">
        <v>36</v>
      </c>
      <c r="G90" s="25" t="s">
        <v>36</v>
      </c>
      <c r="H90" s="25" t="s">
        <v>36</v>
      </c>
      <c r="I90" s="25" t="s">
        <v>36</v>
      </c>
      <c r="J90" s="101" t="s">
        <v>36</v>
      </c>
      <c r="K90" s="102" t="s">
        <v>35</v>
      </c>
      <c r="L90" s="103" t="s">
        <v>36</v>
      </c>
      <c r="M90" s="103" t="s">
        <v>36</v>
      </c>
      <c r="N90" s="103" t="s">
        <v>36</v>
      </c>
      <c r="O90" s="103" t="s">
        <v>36</v>
      </c>
      <c r="P90" s="103" t="s">
        <v>36</v>
      </c>
      <c r="Q90" s="103" t="s">
        <v>36</v>
      </c>
      <c r="R90" s="103" t="s">
        <v>36</v>
      </c>
      <c r="S90" s="104" t="s">
        <v>42</v>
      </c>
      <c r="T90" s="30" t="s">
        <v>36</v>
      </c>
      <c r="U90" s="30" t="s">
        <v>36</v>
      </c>
      <c r="V90" s="105" t="str">
        <f t="shared" si="2"/>
        <v>-</v>
      </c>
      <c r="W90" s="105" t="str">
        <f t="shared" ref="W90:X90" si="95">IF(lenb(SUBSTITUTE($Z90,W$1&amp;" (1)",""))&lt;lenb($Z90),1,IF(lenb(SUBSTITUTE($Z90,W$1&amp;" (2)",""))&lt;lenb($Z90),2,IF(lenb(SUBSTITUTE($Z90,W$1&amp;" (3)",""))&lt;lenb($Z90),3,IF(lenb(SUBSTITUTE($Z90,W$1&amp;" (4)",""))&lt;lenb($Z90),4,IF(lenb(SUBSTITUTE($Z90,W$1&amp;" (5)",""))&lt;lenb($Z90),5,IF(lenb(SUBSTITUTE($Z90,W$1&amp;" (6)",""))&lt;lenb($Z90),6,IF(lenb(SUBSTITUTE($Z90,W$1&amp;" (7)",""))&lt;lenb($Z90),1,IF(lenb(SUBSTITUTE($Z90,W$1&amp;" (8)",""))&lt;lenb($Z90),8,IF(lenb(SUBSTITUTE($Z90,W$1&amp;" (9)",""))&lt;lenb($Z90),9,IF(lenb(SUBSTITUTE($Z90,W$1&amp;" (10)",""))&lt;lenb($Z90),10,IF(lenb(SUBSTITUTE($Z90,W$1,""))&lt;lenb($Z90),"ERROR",IF($Z90=$Y$1,"-",0))))))))))))</f>
        <v>-</v>
      </c>
      <c r="X90" s="105" t="str">
        <f t="shared" si="95"/>
        <v>-</v>
      </c>
      <c r="Y90" s="105">
        <f t="shared" si="4"/>
        <v>1</v>
      </c>
      <c r="Z90" s="104" t="s">
        <v>23</v>
      </c>
      <c r="AA90" s="34">
        <f t="shared" si="5"/>
        <v>0</v>
      </c>
      <c r="AB90" s="34">
        <f>COUNTIFS(Links!B:B,"FSE",Links!C:C,A90,Links!AD:AD,1)</f>
        <v>0</v>
      </c>
      <c r="AC90" s="106" t="s">
        <v>36</v>
      </c>
      <c r="AD90" s="107" t="s">
        <v>35</v>
      </c>
      <c r="AE90" s="104" t="s">
        <v>36</v>
      </c>
      <c r="AF90" s="37" t="s">
        <v>42</v>
      </c>
      <c r="AG90" s="37" t="s">
        <v>42</v>
      </c>
      <c r="AH90" s="37" t="s">
        <v>42</v>
      </c>
      <c r="AI90" s="105" t="str">
        <f t="shared" si="6"/>
        <v>----</v>
      </c>
      <c r="AJ90" s="108" t="str">
        <f t="shared" si="7"/>
        <v>Paper has no link and no statement</v>
      </c>
      <c r="AK90" s="109" t="s">
        <v>3401</v>
      </c>
      <c r="AL90" s="110" t="s">
        <v>3402</v>
      </c>
      <c r="AM90" s="40" t="str">
        <f t="shared" si="8"/>
        <v>[FP0733]</v>
      </c>
    </row>
    <row r="91" ht="67.5" customHeight="1">
      <c r="A91" s="41">
        <v>734.0</v>
      </c>
      <c r="B91" s="42" t="s">
        <v>3616</v>
      </c>
      <c r="C91" s="43">
        <v>2015.0</v>
      </c>
      <c r="D91" s="111" t="s">
        <v>35</v>
      </c>
      <c r="E91" s="45" t="s">
        <v>36</v>
      </c>
      <c r="F91" s="45" t="s">
        <v>36</v>
      </c>
      <c r="G91" s="45" t="s">
        <v>36</v>
      </c>
      <c r="H91" s="45" t="s">
        <v>36</v>
      </c>
      <c r="I91" s="45" t="s">
        <v>36</v>
      </c>
      <c r="J91" s="112" t="s">
        <v>36</v>
      </c>
      <c r="K91" s="113" t="s">
        <v>37</v>
      </c>
      <c r="L91" s="114" t="s">
        <v>37</v>
      </c>
      <c r="M91" s="114" t="s">
        <v>35</v>
      </c>
      <c r="N91" s="114" t="s">
        <v>35</v>
      </c>
      <c r="O91" s="114" t="s">
        <v>35</v>
      </c>
      <c r="P91" s="114" t="s">
        <v>35</v>
      </c>
      <c r="Q91" s="114" t="s">
        <v>35</v>
      </c>
      <c r="R91" s="114" t="s">
        <v>37</v>
      </c>
      <c r="S91" s="115" t="s">
        <v>3617</v>
      </c>
      <c r="T91" s="50" t="s">
        <v>3618</v>
      </c>
      <c r="U91" s="50" t="s">
        <v>3618</v>
      </c>
      <c r="V91" s="116">
        <f t="shared" si="2"/>
        <v>0</v>
      </c>
      <c r="W91" s="116">
        <f t="shared" ref="W91:X91" si="96">IF(lenb(SUBSTITUTE($Z91,W$1&amp;" (1)",""))&lt;lenb($Z91),1,IF(lenb(SUBSTITUTE($Z91,W$1&amp;" (2)",""))&lt;lenb($Z91),2,IF(lenb(SUBSTITUTE($Z91,W$1&amp;" (3)",""))&lt;lenb($Z91),3,IF(lenb(SUBSTITUTE($Z91,W$1&amp;" (4)",""))&lt;lenb($Z91),4,IF(lenb(SUBSTITUTE($Z91,W$1&amp;" (5)",""))&lt;lenb($Z91),5,IF(lenb(SUBSTITUTE($Z91,W$1&amp;" (6)",""))&lt;lenb($Z91),6,IF(lenb(SUBSTITUTE($Z91,W$1&amp;" (7)",""))&lt;lenb($Z91),1,IF(lenb(SUBSTITUTE($Z91,W$1&amp;" (8)",""))&lt;lenb($Z91),8,IF(lenb(SUBSTITUTE($Z91,W$1&amp;" (9)",""))&lt;lenb($Z91),9,IF(lenb(SUBSTITUTE($Z91,W$1&amp;" (10)",""))&lt;lenb($Z91),10,IF(lenb(SUBSTITUTE($Z91,W$1,""))&lt;lenb($Z91),"ERROR",IF($Z91=$Y$1,"-",0))))))))))))</f>
        <v>1</v>
      </c>
      <c r="X91" s="116">
        <f t="shared" si="96"/>
        <v>0</v>
      </c>
      <c r="Y91" s="116" t="str">
        <f t="shared" si="4"/>
        <v>-</v>
      </c>
      <c r="Z91" s="115" t="s">
        <v>3423</v>
      </c>
      <c r="AA91" s="54">
        <f t="shared" si="5"/>
        <v>1</v>
      </c>
      <c r="AB91" s="54">
        <f>COUNTIFS(Links!B:B,"FSE",Links!C:C,A91,Links!AD:AD,1)</f>
        <v>0</v>
      </c>
      <c r="AC91" s="117" t="s">
        <v>35</v>
      </c>
      <c r="AD91" s="118" t="s">
        <v>35</v>
      </c>
      <c r="AE91" s="115" t="s">
        <v>36</v>
      </c>
      <c r="AF91" s="57" t="s">
        <v>42</v>
      </c>
      <c r="AG91" s="57" t="s">
        <v>42</v>
      </c>
      <c r="AH91" s="57" t="s">
        <v>42</v>
      </c>
      <c r="AI91" s="116" t="str">
        <f t="shared" si="6"/>
        <v>----</v>
      </c>
      <c r="AJ91" s="119" t="str">
        <f t="shared" si="7"/>
        <v>Paper has link but no statement</v>
      </c>
      <c r="AK91" s="120" t="s">
        <v>3401</v>
      </c>
      <c r="AL91" s="121" t="s">
        <v>3402</v>
      </c>
      <c r="AM91" s="60" t="str">
        <f t="shared" si="8"/>
        <v>[FP0734]</v>
      </c>
    </row>
    <row r="92" ht="67.5" customHeight="1">
      <c r="A92" s="61">
        <v>735.0</v>
      </c>
      <c r="B92" s="22" t="s">
        <v>3619</v>
      </c>
      <c r="C92" s="23">
        <v>2015.0</v>
      </c>
      <c r="D92" s="100" t="s">
        <v>37</v>
      </c>
      <c r="E92" s="25" t="s">
        <v>36</v>
      </c>
      <c r="F92" s="25" t="s">
        <v>36</v>
      </c>
      <c r="G92" s="25" t="s">
        <v>36</v>
      </c>
      <c r="H92" s="25" t="s">
        <v>36</v>
      </c>
      <c r="I92" s="25" t="s">
        <v>36</v>
      </c>
      <c r="J92" s="101" t="s">
        <v>3620</v>
      </c>
      <c r="K92" s="102" t="s">
        <v>37</v>
      </c>
      <c r="L92" s="103" t="s">
        <v>37</v>
      </c>
      <c r="M92" s="103" t="s">
        <v>37</v>
      </c>
      <c r="N92" s="103" t="s">
        <v>37</v>
      </c>
      <c r="O92" s="103" t="s">
        <v>35</v>
      </c>
      <c r="P92" s="103" t="s">
        <v>35</v>
      </c>
      <c r="Q92" s="103" t="s">
        <v>35</v>
      </c>
      <c r="R92" s="103" t="s">
        <v>37</v>
      </c>
      <c r="S92" s="104" t="s">
        <v>3621</v>
      </c>
      <c r="T92" s="130" t="s">
        <v>3622</v>
      </c>
      <c r="U92" s="130" t="s">
        <v>3623</v>
      </c>
      <c r="V92" s="105">
        <f t="shared" si="2"/>
        <v>2</v>
      </c>
      <c r="W92" s="105">
        <f t="shared" ref="W92:X92" si="97">IF(lenb(SUBSTITUTE($Z92,W$1&amp;" (1)",""))&lt;lenb($Z92),1,IF(lenb(SUBSTITUTE($Z92,W$1&amp;" (2)",""))&lt;lenb($Z92),2,IF(lenb(SUBSTITUTE($Z92,W$1&amp;" (3)",""))&lt;lenb($Z92),3,IF(lenb(SUBSTITUTE($Z92,W$1&amp;" (4)",""))&lt;lenb($Z92),4,IF(lenb(SUBSTITUTE($Z92,W$1&amp;" (5)",""))&lt;lenb($Z92),5,IF(lenb(SUBSTITUTE($Z92,W$1&amp;" (6)",""))&lt;lenb($Z92),6,IF(lenb(SUBSTITUTE($Z92,W$1&amp;" (7)",""))&lt;lenb($Z92),1,IF(lenb(SUBSTITUTE($Z92,W$1&amp;" (8)",""))&lt;lenb($Z92),8,IF(lenb(SUBSTITUTE($Z92,W$1&amp;" (9)",""))&lt;lenb($Z92),9,IF(lenb(SUBSTITUTE($Z92,W$1&amp;" (10)",""))&lt;lenb($Z92),10,IF(lenb(SUBSTITUTE($Z92,W$1,""))&lt;lenb($Z92),"ERROR",IF($Z92=$Y$1,"-",0))))))))))))</f>
        <v>0</v>
      </c>
      <c r="X92" s="105">
        <f t="shared" si="97"/>
        <v>0</v>
      </c>
      <c r="Y92" s="105" t="str">
        <f t="shared" si="4"/>
        <v>-</v>
      </c>
      <c r="Z92" s="104" t="s">
        <v>3452</v>
      </c>
      <c r="AA92" s="34">
        <f t="shared" si="5"/>
        <v>2</v>
      </c>
      <c r="AB92" s="34">
        <f>COUNTIFS(Links!B:B,"FSE",Links!C:C,A92,Links!AD:AD,1)</f>
        <v>0</v>
      </c>
      <c r="AC92" s="106" t="s">
        <v>35</v>
      </c>
      <c r="AD92" s="107" t="s">
        <v>35</v>
      </c>
      <c r="AE92" s="104" t="s">
        <v>36</v>
      </c>
      <c r="AF92" s="37" t="s">
        <v>42</v>
      </c>
      <c r="AG92" s="37" t="s">
        <v>42</v>
      </c>
      <c r="AH92" s="37" t="s">
        <v>42</v>
      </c>
      <c r="AI92" s="105" t="str">
        <f t="shared" si="6"/>
        <v>----</v>
      </c>
      <c r="AJ92" s="108" t="str">
        <f t="shared" si="7"/>
        <v>Paper has link but no statement</v>
      </c>
      <c r="AK92" s="109" t="s">
        <v>3401</v>
      </c>
      <c r="AL92" s="110" t="s">
        <v>3402</v>
      </c>
      <c r="AM92" s="40" t="str">
        <f t="shared" si="8"/>
        <v>[FP0735]</v>
      </c>
    </row>
    <row r="93" ht="67.5" customHeight="1">
      <c r="A93" s="41">
        <v>736.0</v>
      </c>
      <c r="B93" s="42" t="s">
        <v>3624</v>
      </c>
      <c r="C93" s="43">
        <v>2015.0</v>
      </c>
      <c r="D93" s="111" t="s">
        <v>35</v>
      </c>
      <c r="E93" s="45" t="s">
        <v>36</v>
      </c>
      <c r="F93" s="45" t="s">
        <v>36</v>
      </c>
      <c r="G93" s="45" t="s">
        <v>36</v>
      </c>
      <c r="H93" s="45" t="s">
        <v>36</v>
      </c>
      <c r="I93" s="45" t="s">
        <v>36</v>
      </c>
      <c r="J93" s="112" t="s">
        <v>36</v>
      </c>
      <c r="K93" s="113" t="s">
        <v>37</v>
      </c>
      <c r="L93" s="114" t="s">
        <v>35</v>
      </c>
      <c r="M93" s="114" t="s">
        <v>35</v>
      </c>
      <c r="N93" s="114" t="s">
        <v>37</v>
      </c>
      <c r="O93" s="114" t="s">
        <v>35</v>
      </c>
      <c r="P93" s="114" t="s">
        <v>35</v>
      </c>
      <c r="Q93" s="114" t="s">
        <v>35</v>
      </c>
      <c r="R93" s="114" t="s">
        <v>35</v>
      </c>
      <c r="S93" s="115" t="s">
        <v>84</v>
      </c>
      <c r="T93" s="50" t="s">
        <v>3625</v>
      </c>
      <c r="U93" s="50" t="s">
        <v>3625</v>
      </c>
      <c r="V93" s="116">
        <f t="shared" si="2"/>
        <v>2</v>
      </c>
      <c r="W93" s="116">
        <f t="shared" ref="W93:X93" si="98">IF(lenb(SUBSTITUTE($Z93,W$1&amp;" (1)",""))&lt;lenb($Z93),1,IF(lenb(SUBSTITUTE($Z93,W$1&amp;" (2)",""))&lt;lenb($Z93),2,IF(lenb(SUBSTITUTE($Z93,W$1&amp;" (3)",""))&lt;lenb($Z93),3,IF(lenb(SUBSTITUTE($Z93,W$1&amp;" (4)",""))&lt;lenb($Z93),4,IF(lenb(SUBSTITUTE($Z93,W$1&amp;" (5)",""))&lt;lenb($Z93),5,IF(lenb(SUBSTITUTE($Z93,W$1&amp;" (6)",""))&lt;lenb($Z93),6,IF(lenb(SUBSTITUTE($Z93,W$1&amp;" (7)",""))&lt;lenb($Z93),1,IF(lenb(SUBSTITUTE($Z93,W$1&amp;" (8)",""))&lt;lenb($Z93),8,IF(lenb(SUBSTITUTE($Z93,W$1&amp;" (9)",""))&lt;lenb($Z93),9,IF(lenb(SUBSTITUTE($Z93,W$1&amp;" (10)",""))&lt;lenb($Z93),10,IF(lenb(SUBSTITUTE($Z93,W$1,""))&lt;lenb($Z93),"ERROR",IF($Z93=$Y$1,"-",0))))))))))))</f>
        <v>0</v>
      </c>
      <c r="X93" s="116">
        <f t="shared" si="98"/>
        <v>0</v>
      </c>
      <c r="Y93" s="116" t="str">
        <f t="shared" si="4"/>
        <v>-</v>
      </c>
      <c r="Z93" s="115" t="s">
        <v>3452</v>
      </c>
      <c r="AA93" s="54">
        <f t="shared" si="5"/>
        <v>2</v>
      </c>
      <c r="AB93" s="54">
        <f>COUNTIFS(Links!B:B,"FSE",Links!C:C,A93,Links!AD:AD,1)</f>
        <v>1</v>
      </c>
      <c r="AC93" s="117" t="s">
        <v>35</v>
      </c>
      <c r="AD93" s="118" t="s">
        <v>35</v>
      </c>
      <c r="AE93" s="115" t="s">
        <v>36</v>
      </c>
      <c r="AF93" s="57" t="s">
        <v>42</v>
      </c>
      <c r="AG93" s="57" t="s">
        <v>42</v>
      </c>
      <c r="AH93" s="57" t="s">
        <v>42</v>
      </c>
      <c r="AI93" s="116" t="str">
        <f t="shared" si="6"/>
        <v>----</v>
      </c>
      <c r="AJ93" s="119" t="str">
        <f t="shared" si="7"/>
        <v>Paper has link but no statement</v>
      </c>
      <c r="AK93" s="120" t="s">
        <v>3401</v>
      </c>
      <c r="AL93" s="121" t="s">
        <v>3402</v>
      </c>
      <c r="AM93" s="60" t="str">
        <f t="shared" si="8"/>
        <v>[FP0736]</v>
      </c>
    </row>
    <row r="94" ht="67.5" customHeight="1">
      <c r="A94" s="61">
        <v>737.0</v>
      </c>
      <c r="B94" s="22" t="s">
        <v>3626</v>
      </c>
      <c r="C94" s="23">
        <v>2015.0</v>
      </c>
      <c r="D94" s="100" t="s">
        <v>35</v>
      </c>
      <c r="E94" s="25" t="s">
        <v>36</v>
      </c>
      <c r="F94" s="25" t="s">
        <v>36</v>
      </c>
      <c r="G94" s="25" t="s">
        <v>36</v>
      </c>
      <c r="H94" s="25" t="s">
        <v>36</v>
      </c>
      <c r="I94" s="25" t="s">
        <v>36</v>
      </c>
      <c r="J94" s="101" t="s">
        <v>36</v>
      </c>
      <c r="K94" s="102" t="s">
        <v>37</v>
      </c>
      <c r="L94" s="103" t="s">
        <v>35</v>
      </c>
      <c r="M94" s="103" t="s">
        <v>37</v>
      </c>
      <c r="N94" s="103" t="s">
        <v>35</v>
      </c>
      <c r="O94" s="103" t="s">
        <v>35</v>
      </c>
      <c r="P94" s="103" t="s">
        <v>35</v>
      </c>
      <c r="Q94" s="103" t="s">
        <v>35</v>
      </c>
      <c r="R94" s="103" t="s">
        <v>37</v>
      </c>
      <c r="S94" s="104" t="s">
        <v>3627</v>
      </c>
      <c r="T94" s="30" t="s">
        <v>3628</v>
      </c>
      <c r="U94" s="30" t="s">
        <v>3628</v>
      </c>
      <c r="V94" s="105">
        <f t="shared" si="2"/>
        <v>0</v>
      </c>
      <c r="W94" s="105">
        <f t="shared" ref="W94:X94" si="99">IF(lenb(SUBSTITUTE($Z94,W$1&amp;" (1)",""))&lt;lenb($Z94),1,IF(lenb(SUBSTITUTE($Z94,W$1&amp;" (2)",""))&lt;lenb($Z94),2,IF(lenb(SUBSTITUTE($Z94,W$1&amp;" (3)",""))&lt;lenb($Z94),3,IF(lenb(SUBSTITUTE($Z94,W$1&amp;" (4)",""))&lt;lenb($Z94),4,IF(lenb(SUBSTITUTE($Z94,W$1&amp;" (5)",""))&lt;lenb($Z94),5,IF(lenb(SUBSTITUTE($Z94,W$1&amp;" (6)",""))&lt;lenb($Z94),6,IF(lenb(SUBSTITUTE($Z94,W$1&amp;" (7)",""))&lt;lenb($Z94),1,IF(lenb(SUBSTITUTE($Z94,W$1&amp;" (8)",""))&lt;lenb($Z94),8,IF(lenb(SUBSTITUTE($Z94,W$1&amp;" (9)",""))&lt;lenb($Z94),9,IF(lenb(SUBSTITUTE($Z94,W$1&amp;" (10)",""))&lt;lenb($Z94),10,IF(lenb(SUBSTITUTE($Z94,W$1,""))&lt;lenb($Z94),"ERROR",IF($Z94=$Y$1,"-",0))))))))))))</f>
        <v>1</v>
      </c>
      <c r="X94" s="105">
        <f t="shared" si="99"/>
        <v>0</v>
      </c>
      <c r="Y94" s="105" t="str">
        <f t="shared" si="4"/>
        <v>-</v>
      </c>
      <c r="Z94" s="104" t="s">
        <v>3423</v>
      </c>
      <c r="AA94" s="34">
        <f t="shared" si="5"/>
        <v>1</v>
      </c>
      <c r="AB94" s="34">
        <f>COUNTIFS(Links!B:B,"FSE",Links!C:C,A94,Links!AD:AD,1)</f>
        <v>1</v>
      </c>
      <c r="AC94" s="106" t="s">
        <v>35</v>
      </c>
      <c r="AD94" s="107" t="s">
        <v>35</v>
      </c>
      <c r="AE94" s="104" t="s">
        <v>36</v>
      </c>
      <c r="AF94" s="37" t="s">
        <v>42</v>
      </c>
      <c r="AG94" s="37" t="s">
        <v>42</v>
      </c>
      <c r="AH94" s="37" t="s">
        <v>42</v>
      </c>
      <c r="AI94" s="105" t="str">
        <f t="shared" si="6"/>
        <v>----</v>
      </c>
      <c r="AJ94" s="108" t="str">
        <f t="shared" si="7"/>
        <v>Paper has link but no statement</v>
      </c>
      <c r="AK94" s="109" t="s">
        <v>3401</v>
      </c>
      <c r="AL94" s="110" t="s">
        <v>3402</v>
      </c>
      <c r="AM94" s="40" t="str">
        <f t="shared" si="8"/>
        <v>[FP0737]</v>
      </c>
    </row>
    <row r="95" ht="67.5" customHeight="1">
      <c r="A95" s="41">
        <v>738.0</v>
      </c>
      <c r="B95" s="42" t="s">
        <v>3629</v>
      </c>
      <c r="C95" s="43">
        <v>2015.0</v>
      </c>
      <c r="D95" s="111" t="s">
        <v>37</v>
      </c>
      <c r="E95" s="45" t="s">
        <v>36</v>
      </c>
      <c r="F95" s="45" t="s">
        <v>36</v>
      </c>
      <c r="G95" s="45" t="s">
        <v>36</v>
      </c>
      <c r="H95" s="45" t="s">
        <v>36</v>
      </c>
      <c r="I95" s="45" t="s">
        <v>36</v>
      </c>
      <c r="J95" s="112" t="s">
        <v>3630</v>
      </c>
      <c r="K95" s="113" t="s">
        <v>37</v>
      </c>
      <c r="L95" s="114" t="s">
        <v>37</v>
      </c>
      <c r="M95" s="114" t="s">
        <v>35</v>
      </c>
      <c r="N95" s="114" t="s">
        <v>35</v>
      </c>
      <c r="O95" s="114" t="s">
        <v>35</v>
      </c>
      <c r="P95" s="114" t="s">
        <v>35</v>
      </c>
      <c r="Q95" s="114" t="s">
        <v>37</v>
      </c>
      <c r="R95" s="114" t="s">
        <v>35</v>
      </c>
      <c r="S95" s="115" t="s">
        <v>3555</v>
      </c>
      <c r="T95" s="50" t="s">
        <v>3631</v>
      </c>
      <c r="U95" s="50" t="s">
        <v>3632</v>
      </c>
      <c r="V95" s="116">
        <f t="shared" si="2"/>
        <v>0</v>
      </c>
      <c r="W95" s="116">
        <f t="shared" ref="W95:X95" si="100">IF(lenb(SUBSTITUTE($Z95,W$1&amp;" (1)",""))&lt;lenb($Z95),1,IF(lenb(SUBSTITUTE($Z95,W$1&amp;" (2)",""))&lt;lenb($Z95),2,IF(lenb(SUBSTITUTE($Z95,W$1&amp;" (3)",""))&lt;lenb($Z95),3,IF(lenb(SUBSTITUTE($Z95,W$1&amp;" (4)",""))&lt;lenb($Z95),4,IF(lenb(SUBSTITUTE($Z95,W$1&amp;" (5)",""))&lt;lenb($Z95),5,IF(lenb(SUBSTITUTE($Z95,W$1&amp;" (6)",""))&lt;lenb($Z95),6,IF(lenb(SUBSTITUTE($Z95,W$1&amp;" (7)",""))&lt;lenb($Z95),1,IF(lenb(SUBSTITUTE($Z95,W$1&amp;" (8)",""))&lt;lenb($Z95),8,IF(lenb(SUBSTITUTE($Z95,W$1&amp;" (9)",""))&lt;lenb($Z95),9,IF(lenb(SUBSTITUTE($Z95,W$1&amp;" (10)",""))&lt;lenb($Z95),10,IF(lenb(SUBSTITUTE($Z95,W$1,""))&lt;lenb($Z95),"ERROR",IF($Z95=$Y$1,"-",0))))))))))))</f>
        <v>1</v>
      </c>
      <c r="X95" s="116">
        <f t="shared" si="100"/>
        <v>0</v>
      </c>
      <c r="Y95" s="116" t="str">
        <f t="shared" si="4"/>
        <v>-</v>
      </c>
      <c r="Z95" s="115" t="s">
        <v>3423</v>
      </c>
      <c r="AA95" s="54">
        <f t="shared" si="5"/>
        <v>1</v>
      </c>
      <c r="AB95" s="54">
        <f>COUNTIFS(Links!B:B,"FSE",Links!C:C,A95,Links!AD:AD,1)</f>
        <v>1</v>
      </c>
      <c r="AC95" s="117" t="s">
        <v>35</v>
      </c>
      <c r="AD95" s="118" t="s">
        <v>35</v>
      </c>
      <c r="AE95" s="115" t="s">
        <v>36</v>
      </c>
      <c r="AF95" s="57" t="s">
        <v>42</v>
      </c>
      <c r="AG95" s="57" t="s">
        <v>42</v>
      </c>
      <c r="AH95" s="57" t="s">
        <v>42</v>
      </c>
      <c r="AI95" s="116" t="str">
        <f t="shared" si="6"/>
        <v>----</v>
      </c>
      <c r="AJ95" s="119" t="str">
        <f t="shared" si="7"/>
        <v>Paper has link but no statement</v>
      </c>
      <c r="AK95" s="120" t="s">
        <v>3401</v>
      </c>
      <c r="AL95" s="121" t="s">
        <v>3402</v>
      </c>
      <c r="AM95" s="60" t="str">
        <f t="shared" si="8"/>
        <v>[FP0738]</v>
      </c>
    </row>
    <row r="96" ht="67.5" customHeight="1">
      <c r="A96" s="61">
        <v>739.0</v>
      </c>
      <c r="B96" s="22" t="s">
        <v>3633</v>
      </c>
      <c r="C96" s="23">
        <v>2015.0</v>
      </c>
      <c r="D96" s="100" t="s">
        <v>35</v>
      </c>
      <c r="E96" s="25" t="s">
        <v>36</v>
      </c>
      <c r="F96" s="25" t="s">
        <v>36</v>
      </c>
      <c r="G96" s="25" t="s">
        <v>36</v>
      </c>
      <c r="H96" s="25" t="s">
        <v>36</v>
      </c>
      <c r="I96" s="25" t="s">
        <v>36</v>
      </c>
      <c r="J96" s="101" t="s">
        <v>36</v>
      </c>
      <c r="K96" s="102" t="s">
        <v>37</v>
      </c>
      <c r="L96" s="103" t="s">
        <v>37</v>
      </c>
      <c r="M96" s="103" t="s">
        <v>35</v>
      </c>
      <c r="N96" s="103" t="s">
        <v>35</v>
      </c>
      <c r="O96" s="103" t="s">
        <v>35</v>
      </c>
      <c r="P96" s="103" t="s">
        <v>35</v>
      </c>
      <c r="Q96" s="103" t="s">
        <v>35</v>
      </c>
      <c r="R96" s="103" t="s">
        <v>37</v>
      </c>
      <c r="S96" s="104" t="s">
        <v>3634</v>
      </c>
      <c r="T96" s="30" t="s">
        <v>3635</v>
      </c>
      <c r="U96" s="30" t="s">
        <v>3635</v>
      </c>
      <c r="V96" s="105">
        <f t="shared" si="2"/>
        <v>1</v>
      </c>
      <c r="W96" s="105">
        <f t="shared" ref="W96:X96" si="101">IF(lenb(SUBSTITUTE($Z96,W$1&amp;" (1)",""))&lt;lenb($Z96),1,IF(lenb(SUBSTITUTE($Z96,W$1&amp;" (2)",""))&lt;lenb($Z96),2,IF(lenb(SUBSTITUTE($Z96,W$1&amp;" (3)",""))&lt;lenb($Z96),3,IF(lenb(SUBSTITUTE($Z96,W$1&amp;" (4)",""))&lt;lenb($Z96),4,IF(lenb(SUBSTITUTE($Z96,W$1&amp;" (5)",""))&lt;lenb($Z96),5,IF(lenb(SUBSTITUTE($Z96,W$1&amp;" (6)",""))&lt;lenb($Z96),6,IF(lenb(SUBSTITUTE($Z96,W$1&amp;" (7)",""))&lt;lenb($Z96),1,IF(lenb(SUBSTITUTE($Z96,W$1&amp;" (8)",""))&lt;lenb($Z96),8,IF(lenb(SUBSTITUTE($Z96,W$1&amp;" (9)",""))&lt;lenb($Z96),9,IF(lenb(SUBSTITUTE($Z96,W$1&amp;" (10)",""))&lt;lenb($Z96),10,IF(lenb(SUBSTITUTE($Z96,W$1,""))&lt;lenb($Z96),"ERROR",IF($Z96=$Y$1,"-",0))))))))))))</f>
        <v>0</v>
      </c>
      <c r="X96" s="105">
        <f t="shared" si="101"/>
        <v>0</v>
      </c>
      <c r="Y96" s="105" t="str">
        <f t="shared" si="4"/>
        <v>-</v>
      </c>
      <c r="Z96" s="104" t="s">
        <v>3400</v>
      </c>
      <c r="AA96" s="34">
        <f t="shared" si="5"/>
        <v>1</v>
      </c>
      <c r="AB96" s="34">
        <f>COUNTIFS(Links!B:B,"FSE",Links!C:C,A96,Links!AD:AD,1)</f>
        <v>1</v>
      </c>
      <c r="AC96" s="106" t="s">
        <v>35</v>
      </c>
      <c r="AD96" s="107" t="s">
        <v>35</v>
      </c>
      <c r="AE96" s="104" t="s">
        <v>36</v>
      </c>
      <c r="AF96" s="37" t="s">
        <v>42</v>
      </c>
      <c r="AG96" s="37" t="s">
        <v>42</v>
      </c>
      <c r="AH96" s="37" t="s">
        <v>42</v>
      </c>
      <c r="AI96" s="105" t="str">
        <f t="shared" si="6"/>
        <v>----</v>
      </c>
      <c r="AJ96" s="108" t="str">
        <f t="shared" si="7"/>
        <v>Paper has link but no statement</v>
      </c>
      <c r="AK96" s="109" t="s">
        <v>3401</v>
      </c>
      <c r="AL96" s="110" t="s">
        <v>3402</v>
      </c>
      <c r="AM96" s="40" t="str">
        <f t="shared" si="8"/>
        <v>[FP0739]</v>
      </c>
    </row>
    <row r="97" ht="67.5" customHeight="1">
      <c r="A97" s="41">
        <v>740.0</v>
      </c>
      <c r="B97" s="42" t="s">
        <v>3636</v>
      </c>
      <c r="C97" s="43">
        <v>2015.0</v>
      </c>
      <c r="D97" s="111" t="s">
        <v>35</v>
      </c>
      <c r="E97" s="45" t="s">
        <v>36</v>
      </c>
      <c r="F97" s="45" t="s">
        <v>36</v>
      </c>
      <c r="G97" s="45" t="s">
        <v>36</v>
      </c>
      <c r="H97" s="45" t="s">
        <v>36</v>
      </c>
      <c r="I97" s="45" t="s">
        <v>36</v>
      </c>
      <c r="J97" s="112" t="s">
        <v>36</v>
      </c>
      <c r="K97" s="113" t="s">
        <v>35</v>
      </c>
      <c r="L97" s="114" t="s">
        <v>36</v>
      </c>
      <c r="M97" s="114" t="s">
        <v>36</v>
      </c>
      <c r="N97" s="114" t="s">
        <v>36</v>
      </c>
      <c r="O97" s="114" t="s">
        <v>36</v>
      </c>
      <c r="P97" s="114" t="s">
        <v>36</v>
      </c>
      <c r="Q97" s="114" t="s">
        <v>36</v>
      </c>
      <c r="R97" s="114" t="s">
        <v>36</v>
      </c>
      <c r="S97" s="115" t="s">
        <v>42</v>
      </c>
      <c r="T97" s="50" t="s">
        <v>36</v>
      </c>
      <c r="U97" s="50" t="s">
        <v>36</v>
      </c>
      <c r="V97" s="116" t="str">
        <f t="shared" si="2"/>
        <v>-</v>
      </c>
      <c r="W97" s="116" t="str">
        <f t="shared" ref="W97:X97" si="102">IF(lenb(SUBSTITUTE($Z97,W$1&amp;" (1)",""))&lt;lenb($Z97),1,IF(lenb(SUBSTITUTE($Z97,W$1&amp;" (2)",""))&lt;lenb($Z97),2,IF(lenb(SUBSTITUTE($Z97,W$1&amp;" (3)",""))&lt;lenb($Z97),3,IF(lenb(SUBSTITUTE($Z97,W$1&amp;" (4)",""))&lt;lenb($Z97),4,IF(lenb(SUBSTITUTE($Z97,W$1&amp;" (5)",""))&lt;lenb($Z97),5,IF(lenb(SUBSTITUTE($Z97,W$1&amp;" (6)",""))&lt;lenb($Z97),6,IF(lenb(SUBSTITUTE($Z97,W$1&amp;" (7)",""))&lt;lenb($Z97),1,IF(lenb(SUBSTITUTE($Z97,W$1&amp;" (8)",""))&lt;lenb($Z97),8,IF(lenb(SUBSTITUTE($Z97,W$1&amp;" (9)",""))&lt;lenb($Z97),9,IF(lenb(SUBSTITUTE($Z97,W$1&amp;" (10)",""))&lt;lenb($Z97),10,IF(lenb(SUBSTITUTE($Z97,W$1,""))&lt;lenb($Z97),"ERROR",IF($Z97=$Y$1,"-",0))))))))))))</f>
        <v>-</v>
      </c>
      <c r="X97" s="116" t="str">
        <f t="shared" si="102"/>
        <v>-</v>
      </c>
      <c r="Y97" s="116">
        <f t="shared" si="4"/>
        <v>1</v>
      </c>
      <c r="Z97" s="115" t="s">
        <v>23</v>
      </c>
      <c r="AA97" s="54">
        <f t="shared" si="5"/>
        <v>0</v>
      </c>
      <c r="AB97" s="54">
        <f>COUNTIFS(Links!B:B,"FSE",Links!C:C,A97,Links!AD:AD,1)</f>
        <v>0</v>
      </c>
      <c r="AC97" s="117" t="s">
        <v>36</v>
      </c>
      <c r="AD97" s="118" t="s">
        <v>35</v>
      </c>
      <c r="AE97" s="115" t="s">
        <v>36</v>
      </c>
      <c r="AF97" s="57" t="s">
        <v>42</v>
      </c>
      <c r="AG97" s="57" t="s">
        <v>42</v>
      </c>
      <c r="AH97" s="57" t="s">
        <v>42</v>
      </c>
      <c r="AI97" s="116" t="str">
        <f t="shared" si="6"/>
        <v>----</v>
      </c>
      <c r="AJ97" s="119" t="str">
        <f t="shared" si="7"/>
        <v>Paper has no link and no statement</v>
      </c>
      <c r="AK97" s="120" t="s">
        <v>3401</v>
      </c>
      <c r="AL97" s="121" t="s">
        <v>3402</v>
      </c>
      <c r="AM97" s="60" t="str">
        <f t="shared" si="8"/>
        <v>[FP0740]</v>
      </c>
    </row>
    <row r="98" ht="67.5" customHeight="1">
      <c r="A98" s="61">
        <v>741.0</v>
      </c>
      <c r="B98" s="22" t="s">
        <v>3637</v>
      </c>
      <c r="C98" s="23">
        <v>2015.0</v>
      </c>
      <c r="D98" s="100" t="s">
        <v>35</v>
      </c>
      <c r="E98" s="25" t="s">
        <v>36</v>
      </c>
      <c r="F98" s="25" t="s">
        <v>36</v>
      </c>
      <c r="G98" s="25" t="s">
        <v>36</v>
      </c>
      <c r="H98" s="25" t="s">
        <v>36</v>
      </c>
      <c r="I98" s="25" t="s">
        <v>36</v>
      </c>
      <c r="J98" s="101" t="s">
        <v>36</v>
      </c>
      <c r="K98" s="102" t="s">
        <v>37</v>
      </c>
      <c r="L98" s="103" t="s">
        <v>35</v>
      </c>
      <c r="M98" s="103" t="s">
        <v>37</v>
      </c>
      <c r="N98" s="103" t="s">
        <v>35</v>
      </c>
      <c r="O98" s="103" t="s">
        <v>35</v>
      </c>
      <c r="P98" s="103" t="s">
        <v>35</v>
      </c>
      <c r="Q98" s="103" t="s">
        <v>35</v>
      </c>
      <c r="R98" s="103" t="s">
        <v>37</v>
      </c>
      <c r="S98" s="104" t="s">
        <v>3638</v>
      </c>
      <c r="T98" s="30" t="s">
        <v>3639</v>
      </c>
      <c r="U98" s="30" t="s">
        <v>3639</v>
      </c>
      <c r="V98" s="105">
        <f t="shared" si="2"/>
        <v>0</v>
      </c>
      <c r="W98" s="105">
        <f t="shared" ref="W98:X98" si="103">IF(lenb(SUBSTITUTE($Z98,W$1&amp;" (1)",""))&lt;lenb($Z98),1,IF(lenb(SUBSTITUTE($Z98,W$1&amp;" (2)",""))&lt;lenb($Z98),2,IF(lenb(SUBSTITUTE($Z98,W$1&amp;" (3)",""))&lt;lenb($Z98),3,IF(lenb(SUBSTITUTE($Z98,W$1&amp;" (4)",""))&lt;lenb($Z98),4,IF(lenb(SUBSTITUTE($Z98,W$1&amp;" (5)",""))&lt;lenb($Z98),5,IF(lenb(SUBSTITUTE($Z98,W$1&amp;" (6)",""))&lt;lenb($Z98),6,IF(lenb(SUBSTITUTE($Z98,W$1&amp;" (7)",""))&lt;lenb($Z98),1,IF(lenb(SUBSTITUTE($Z98,W$1&amp;" (8)",""))&lt;lenb($Z98),8,IF(lenb(SUBSTITUTE($Z98,W$1&amp;" (9)",""))&lt;lenb($Z98),9,IF(lenb(SUBSTITUTE($Z98,W$1&amp;" (10)",""))&lt;lenb($Z98),10,IF(lenb(SUBSTITUTE($Z98,W$1,""))&lt;lenb($Z98),"ERROR",IF($Z98=$Y$1,"-",0))))))))))))</f>
        <v>1</v>
      </c>
      <c r="X98" s="105">
        <f t="shared" si="103"/>
        <v>0</v>
      </c>
      <c r="Y98" s="105" t="str">
        <f t="shared" si="4"/>
        <v>-</v>
      </c>
      <c r="Z98" s="104" t="s">
        <v>3423</v>
      </c>
      <c r="AA98" s="34">
        <f t="shared" si="5"/>
        <v>1</v>
      </c>
      <c r="AB98" s="34">
        <f>COUNTIFS(Links!B:B,"FSE",Links!C:C,A98,Links!AD:AD,1)</f>
        <v>0</v>
      </c>
      <c r="AC98" s="106" t="s">
        <v>35</v>
      </c>
      <c r="AD98" s="107" t="s">
        <v>35</v>
      </c>
      <c r="AE98" s="104" t="s">
        <v>36</v>
      </c>
      <c r="AF98" s="37" t="s">
        <v>42</v>
      </c>
      <c r="AG98" s="37" t="s">
        <v>42</v>
      </c>
      <c r="AH98" s="37" t="s">
        <v>42</v>
      </c>
      <c r="AI98" s="105" t="str">
        <f t="shared" si="6"/>
        <v>----</v>
      </c>
      <c r="AJ98" s="108" t="str">
        <f t="shared" si="7"/>
        <v>Paper has link but no statement</v>
      </c>
      <c r="AK98" s="109" t="s">
        <v>3401</v>
      </c>
      <c r="AL98" s="110" t="s">
        <v>3402</v>
      </c>
      <c r="AM98" s="40" t="str">
        <f t="shared" si="8"/>
        <v>[FP0741]</v>
      </c>
    </row>
    <row r="99" ht="67.5" customHeight="1">
      <c r="A99" s="41">
        <v>742.0</v>
      </c>
      <c r="B99" s="42" t="s">
        <v>3640</v>
      </c>
      <c r="C99" s="43">
        <v>2015.0</v>
      </c>
      <c r="D99" s="111" t="s">
        <v>35</v>
      </c>
      <c r="E99" s="45" t="s">
        <v>36</v>
      </c>
      <c r="F99" s="45" t="s">
        <v>36</v>
      </c>
      <c r="G99" s="45" t="s">
        <v>36</v>
      </c>
      <c r="H99" s="45" t="s">
        <v>36</v>
      </c>
      <c r="I99" s="45" t="s">
        <v>36</v>
      </c>
      <c r="J99" s="112" t="s">
        <v>36</v>
      </c>
      <c r="K99" s="113" t="s">
        <v>35</v>
      </c>
      <c r="L99" s="114" t="s">
        <v>36</v>
      </c>
      <c r="M99" s="114" t="s">
        <v>36</v>
      </c>
      <c r="N99" s="114" t="s">
        <v>36</v>
      </c>
      <c r="O99" s="114" t="s">
        <v>36</v>
      </c>
      <c r="P99" s="114" t="s">
        <v>36</v>
      </c>
      <c r="Q99" s="114" t="s">
        <v>36</v>
      </c>
      <c r="R99" s="114" t="s">
        <v>36</v>
      </c>
      <c r="S99" s="115" t="s">
        <v>42</v>
      </c>
      <c r="T99" s="50" t="s">
        <v>36</v>
      </c>
      <c r="U99" s="50" t="s">
        <v>36</v>
      </c>
      <c r="V99" s="116" t="str">
        <f t="shared" si="2"/>
        <v>-</v>
      </c>
      <c r="W99" s="116" t="str">
        <f t="shared" ref="W99:X99" si="104">IF(lenb(SUBSTITUTE($Z99,W$1&amp;" (1)",""))&lt;lenb($Z99),1,IF(lenb(SUBSTITUTE($Z99,W$1&amp;" (2)",""))&lt;lenb($Z99),2,IF(lenb(SUBSTITUTE($Z99,W$1&amp;" (3)",""))&lt;lenb($Z99),3,IF(lenb(SUBSTITUTE($Z99,W$1&amp;" (4)",""))&lt;lenb($Z99),4,IF(lenb(SUBSTITUTE($Z99,W$1&amp;" (5)",""))&lt;lenb($Z99),5,IF(lenb(SUBSTITUTE($Z99,W$1&amp;" (6)",""))&lt;lenb($Z99),6,IF(lenb(SUBSTITUTE($Z99,W$1&amp;" (7)",""))&lt;lenb($Z99),1,IF(lenb(SUBSTITUTE($Z99,W$1&amp;" (8)",""))&lt;lenb($Z99),8,IF(lenb(SUBSTITUTE($Z99,W$1&amp;" (9)",""))&lt;lenb($Z99),9,IF(lenb(SUBSTITUTE($Z99,W$1&amp;" (10)",""))&lt;lenb($Z99),10,IF(lenb(SUBSTITUTE($Z99,W$1,""))&lt;lenb($Z99),"ERROR",IF($Z99=$Y$1,"-",0))))))))))))</f>
        <v>-</v>
      </c>
      <c r="X99" s="116" t="str">
        <f t="shared" si="104"/>
        <v>-</v>
      </c>
      <c r="Y99" s="116">
        <f t="shared" si="4"/>
        <v>1</v>
      </c>
      <c r="Z99" s="115" t="s">
        <v>23</v>
      </c>
      <c r="AA99" s="54">
        <f t="shared" si="5"/>
        <v>0</v>
      </c>
      <c r="AB99" s="54">
        <f>COUNTIFS(Links!B:B,"FSE",Links!C:C,A99,Links!AD:AD,1)</f>
        <v>0</v>
      </c>
      <c r="AC99" s="117" t="s">
        <v>36</v>
      </c>
      <c r="AD99" s="118" t="s">
        <v>37</v>
      </c>
      <c r="AE99" s="115" t="s">
        <v>3641</v>
      </c>
      <c r="AF99" s="57" t="s">
        <v>146</v>
      </c>
      <c r="AG99" s="57" t="s">
        <v>42</v>
      </c>
      <c r="AH99" s="57" t="s">
        <v>42</v>
      </c>
      <c r="AI99" s="116" t="str">
        <f t="shared" si="6"/>
        <v>Future plans (—)</v>
      </c>
      <c r="AJ99" s="119" t="str">
        <f t="shared" si="7"/>
        <v>Paper has no link but has statement</v>
      </c>
      <c r="AK99" s="120" t="s">
        <v>3401</v>
      </c>
      <c r="AL99" s="121" t="s">
        <v>3402</v>
      </c>
      <c r="AM99" s="60" t="str">
        <f t="shared" si="8"/>
        <v>[FP0742]</v>
      </c>
    </row>
    <row r="100" ht="67.5" customHeight="1">
      <c r="A100" s="61">
        <v>743.0</v>
      </c>
      <c r="B100" s="22" t="s">
        <v>3642</v>
      </c>
      <c r="C100" s="23">
        <v>2015.0</v>
      </c>
      <c r="D100" s="100" t="s">
        <v>35</v>
      </c>
      <c r="E100" s="25" t="s">
        <v>36</v>
      </c>
      <c r="F100" s="25" t="s">
        <v>36</v>
      </c>
      <c r="G100" s="25" t="s">
        <v>36</v>
      </c>
      <c r="H100" s="25" t="s">
        <v>36</v>
      </c>
      <c r="I100" s="25" t="s">
        <v>36</v>
      </c>
      <c r="J100" s="101" t="s">
        <v>36</v>
      </c>
      <c r="K100" s="102" t="s">
        <v>35</v>
      </c>
      <c r="L100" s="103" t="s">
        <v>36</v>
      </c>
      <c r="M100" s="103" t="s">
        <v>36</v>
      </c>
      <c r="N100" s="103" t="s">
        <v>36</v>
      </c>
      <c r="O100" s="103" t="s">
        <v>36</v>
      </c>
      <c r="P100" s="103" t="s">
        <v>36</v>
      </c>
      <c r="Q100" s="103" t="s">
        <v>36</v>
      </c>
      <c r="R100" s="103" t="s">
        <v>36</v>
      </c>
      <c r="S100" s="104" t="s">
        <v>42</v>
      </c>
      <c r="T100" s="30" t="s">
        <v>36</v>
      </c>
      <c r="U100" s="30" t="s">
        <v>36</v>
      </c>
      <c r="V100" s="105" t="str">
        <f t="shared" si="2"/>
        <v>-</v>
      </c>
      <c r="W100" s="105" t="str">
        <f t="shared" ref="W100:X100" si="105">IF(lenb(SUBSTITUTE($Z100,W$1&amp;" (1)",""))&lt;lenb($Z100),1,IF(lenb(SUBSTITUTE($Z100,W$1&amp;" (2)",""))&lt;lenb($Z100),2,IF(lenb(SUBSTITUTE($Z100,W$1&amp;" (3)",""))&lt;lenb($Z100),3,IF(lenb(SUBSTITUTE($Z100,W$1&amp;" (4)",""))&lt;lenb($Z100),4,IF(lenb(SUBSTITUTE($Z100,W$1&amp;" (5)",""))&lt;lenb($Z100),5,IF(lenb(SUBSTITUTE($Z100,W$1&amp;" (6)",""))&lt;lenb($Z100),6,IF(lenb(SUBSTITUTE($Z100,W$1&amp;" (7)",""))&lt;lenb($Z100),1,IF(lenb(SUBSTITUTE($Z100,W$1&amp;" (8)",""))&lt;lenb($Z100),8,IF(lenb(SUBSTITUTE($Z100,W$1&amp;" (9)",""))&lt;lenb($Z100),9,IF(lenb(SUBSTITUTE($Z100,W$1&amp;" (10)",""))&lt;lenb($Z100),10,IF(lenb(SUBSTITUTE($Z100,W$1,""))&lt;lenb($Z100),"ERROR",IF($Z100=$Y$1,"-",0))))))))))))</f>
        <v>-</v>
      </c>
      <c r="X100" s="105" t="str">
        <f t="shared" si="105"/>
        <v>-</v>
      </c>
      <c r="Y100" s="105">
        <f t="shared" si="4"/>
        <v>1</v>
      </c>
      <c r="Z100" s="104" t="s">
        <v>23</v>
      </c>
      <c r="AA100" s="34">
        <f t="shared" si="5"/>
        <v>0</v>
      </c>
      <c r="AB100" s="34">
        <f>COUNTIFS(Links!B:B,"FSE",Links!C:C,A100,Links!AD:AD,1)</f>
        <v>0</v>
      </c>
      <c r="AC100" s="106" t="s">
        <v>36</v>
      </c>
      <c r="AD100" s="107" t="s">
        <v>35</v>
      </c>
      <c r="AE100" s="104" t="s">
        <v>36</v>
      </c>
      <c r="AF100" s="37" t="s">
        <v>42</v>
      </c>
      <c r="AG100" s="37" t="s">
        <v>42</v>
      </c>
      <c r="AH100" s="37" t="s">
        <v>42</v>
      </c>
      <c r="AI100" s="105" t="str">
        <f t="shared" si="6"/>
        <v>----</v>
      </c>
      <c r="AJ100" s="108" t="str">
        <f t="shared" si="7"/>
        <v>Paper has no link and no statement</v>
      </c>
      <c r="AK100" s="109" t="s">
        <v>3401</v>
      </c>
      <c r="AL100" s="110" t="s">
        <v>3402</v>
      </c>
      <c r="AM100" s="40" t="str">
        <f t="shared" si="8"/>
        <v>[FP0743]</v>
      </c>
    </row>
    <row r="101" ht="67.5" customHeight="1">
      <c r="A101" s="41">
        <v>744.0</v>
      </c>
      <c r="B101" s="42" t="s">
        <v>3643</v>
      </c>
      <c r="C101" s="43">
        <v>2015.0</v>
      </c>
      <c r="D101" s="111" t="s">
        <v>35</v>
      </c>
      <c r="E101" s="45" t="s">
        <v>36</v>
      </c>
      <c r="F101" s="45" t="s">
        <v>36</v>
      </c>
      <c r="G101" s="45" t="s">
        <v>36</v>
      </c>
      <c r="H101" s="45" t="s">
        <v>36</v>
      </c>
      <c r="I101" s="45" t="s">
        <v>36</v>
      </c>
      <c r="J101" s="112" t="s">
        <v>36</v>
      </c>
      <c r="K101" s="113" t="s">
        <v>35</v>
      </c>
      <c r="L101" s="114" t="s">
        <v>36</v>
      </c>
      <c r="M101" s="114" t="s">
        <v>36</v>
      </c>
      <c r="N101" s="114" t="s">
        <v>36</v>
      </c>
      <c r="O101" s="114" t="s">
        <v>36</v>
      </c>
      <c r="P101" s="114" t="s">
        <v>36</v>
      </c>
      <c r="Q101" s="114" t="s">
        <v>36</v>
      </c>
      <c r="R101" s="114" t="s">
        <v>36</v>
      </c>
      <c r="S101" s="115" t="s">
        <v>42</v>
      </c>
      <c r="T101" s="50" t="s">
        <v>36</v>
      </c>
      <c r="U101" s="50" t="s">
        <v>36</v>
      </c>
      <c r="V101" s="116" t="str">
        <f t="shared" si="2"/>
        <v>-</v>
      </c>
      <c r="W101" s="116" t="str">
        <f t="shared" ref="W101:X101" si="106">IF(lenb(SUBSTITUTE($Z101,W$1&amp;" (1)",""))&lt;lenb($Z101),1,IF(lenb(SUBSTITUTE($Z101,W$1&amp;" (2)",""))&lt;lenb($Z101),2,IF(lenb(SUBSTITUTE($Z101,W$1&amp;" (3)",""))&lt;lenb($Z101),3,IF(lenb(SUBSTITUTE($Z101,W$1&amp;" (4)",""))&lt;lenb($Z101),4,IF(lenb(SUBSTITUTE($Z101,W$1&amp;" (5)",""))&lt;lenb($Z101),5,IF(lenb(SUBSTITUTE($Z101,W$1&amp;" (6)",""))&lt;lenb($Z101),6,IF(lenb(SUBSTITUTE($Z101,W$1&amp;" (7)",""))&lt;lenb($Z101),1,IF(lenb(SUBSTITUTE($Z101,W$1&amp;" (8)",""))&lt;lenb($Z101),8,IF(lenb(SUBSTITUTE($Z101,W$1&amp;" (9)",""))&lt;lenb($Z101),9,IF(lenb(SUBSTITUTE($Z101,W$1&amp;" (10)",""))&lt;lenb($Z101),10,IF(lenb(SUBSTITUTE($Z101,W$1,""))&lt;lenb($Z101),"ERROR",IF($Z101=$Y$1,"-",0))))))))))))</f>
        <v>-</v>
      </c>
      <c r="X101" s="116" t="str">
        <f t="shared" si="106"/>
        <v>-</v>
      </c>
      <c r="Y101" s="116">
        <f t="shared" si="4"/>
        <v>1</v>
      </c>
      <c r="Z101" s="115" t="s">
        <v>23</v>
      </c>
      <c r="AA101" s="54">
        <f t="shared" si="5"/>
        <v>0</v>
      </c>
      <c r="AB101" s="54">
        <f>COUNTIFS(Links!B:B,"FSE",Links!C:C,A101,Links!AD:AD,1)</f>
        <v>0</v>
      </c>
      <c r="AC101" s="117" t="s">
        <v>36</v>
      </c>
      <c r="AD101" s="118" t="s">
        <v>35</v>
      </c>
      <c r="AE101" s="115" t="s">
        <v>36</v>
      </c>
      <c r="AF101" s="57" t="s">
        <v>42</v>
      </c>
      <c r="AG101" s="57" t="s">
        <v>42</v>
      </c>
      <c r="AH101" s="57" t="s">
        <v>42</v>
      </c>
      <c r="AI101" s="116" t="str">
        <f t="shared" si="6"/>
        <v>----</v>
      </c>
      <c r="AJ101" s="119" t="str">
        <f t="shared" si="7"/>
        <v>Paper has no link and no statement</v>
      </c>
      <c r="AK101" s="120" t="s">
        <v>3401</v>
      </c>
      <c r="AL101" s="121" t="s">
        <v>3402</v>
      </c>
      <c r="AM101" s="60" t="str">
        <f t="shared" si="8"/>
        <v>[FP0744]</v>
      </c>
    </row>
    <row r="102" ht="67.5" customHeight="1">
      <c r="A102" s="61">
        <v>745.0</v>
      </c>
      <c r="B102" s="22" t="s">
        <v>3644</v>
      </c>
      <c r="C102" s="23">
        <v>2015.0</v>
      </c>
      <c r="D102" s="100" t="s">
        <v>35</v>
      </c>
      <c r="E102" s="25" t="s">
        <v>36</v>
      </c>
      <c r="F102" s="25" t="s">
        <v>36</v>
      </c>
      <c r="G102" s="25" t="s">
        <v>36</v>
      </c>
      <c r="H102" s="25" t="s">
        <v>36</v>
      </c>
      <c r="I102" s="25" t="s">
        <v>36</v>
      </c>
      <c r="J102" s="101" t="s">
        <v>36</v>
      </c>
      <c r="K102" s="102" t="s">
        <v>35</v>
      </c>
      <c r="L102" s="103" t="s">
        <v>36</v>
      </c>
      <c r="M102" s="103" t="s">
        <v>36</v>
      </c>
      <c r="N102" s="103" t="s">
        <v>36</v>
      </c>
      <c r="O102" s="103" t="s">
        <v>36</v>
      </c>
      <c r="P102" s="103" t="s">
        <v>36</v>
      </c>
      <c r="Q102" s="103" t="s">
        <v>36</v>
      </c>
      <c r="R102" s="103" t="s">
        <v>36</v>
      </c>
      <c r="S102" s="104" t="s">
        <v>42</v>
      </c>
      <c r="T102" s="30" t="s">
        <v>36</v>
      </c>
      <c r="U102" s="30" t="s">
        <v>36</v>
      </c>
      <c r="V102" s="105" t="str">
        <f t="shared" si="2"/>
        <v>-</v>
      </c>
      <c r="W102" s="105" t="str">
        <f t="shared" ref="W102:X102" si="107">IF(lenb(SUBSTITUTE($Z102,W$1&amp;" (1)",""))&lt;lenb($Z102),1,IF(lenb(SUBSTITUTE($Z102,W$1&amp;" (2)",""))&lt;lenb($Z102),2,IF(lenb(SUBSTITUTE($Z102,W$1&amp;" (3)",""))&lt;lenb($Z102),3,IF(lenb(SUBSTITUTE($Z102,W$1&amp;" (4)",""))&lt;lenb($Z102),4,IF(lenb(SUBSTITUTE($Z102,W$1&amp;" (5)",""))&lt;lenb($Z102),5,IF(lenb(SUBSTITUTE($Z102,W$1&amp;" (6)",""))&lt;lenb($Z102),6,IF(lenb(SUBSTITUTE($Z102,W$1&amp;" (7)",""))&lt;lenb($Z102),1,IF(lenb(SUBSTITUTE($Z102,W$1&amp;" (8)",""))&lt;lenb($Z102),8,IF(lenb(SUBSTITUTE($Z102,W$1&amp;" (9)",""))&lt;lenb($Z102),9,IF(lenb(SUBSTITUTE($Z102,W$1&amp;" (10)",""))&lt;lenb($Z102),10,IF(lenb(SUBSTITUTE($Z102,W$1,""))&lt;lenb($Z102),"ERROR",IF($Z102=$Y$1,"-",0))))))))))))</f>
        <v>-</v>
      </c>
      <c r="X102" s="105" t="str">
        <f t="shared" si="107"/>
        <v>-</v>
      </c>
      <c r="Y102" s="105">
        <f t="shared" si="4"/>
        <v>1</v>
      </c>
      <c r="Z102" s="104" t="s">
        <v>23</v>
      </c>
      <c r="AA102" s="34">
        <f t="shared" si="5"/>
        <v>0</v>
      </c>
      <c r="AB102" s="34">
        <f>COUNTIFS(Links!B:B,"FSE",Links!C:C,A102,Links!AD:AD,1)</f>
        <v>0</v>
      </c>
      <c r="AC102" s="106" t="s">
        <v>36</v>
      </c>
      <c r="AD102" s="107" t="s">
        <v>35</v>
      </c>
      <c r="AE102" s="104" t="s">
        <v>36</v>
      </c>
      <c r="AF102" s="37" t="s">
        <v>42</v>
      </c>
      <c r="AG102" s="37" t="s">
        <v>42</v>
      </c>
      <c r="AH102" s="37" t="s">
        <v>42</v>
      </c>
      <c r="AI102" s="105" t="str">
        <f t="shared" si="6"/>
        <v>----</v>
      </c>
      <c r="AJ102" s="108" t="str">
        <f t="shared" si="7"/>
        <v>Paper has no link and no statement</v>
      </c>
      <c r="AK102" s="109" t="s">
        <v>3401</v>
      </c>
      <c r="AL102" s="110" t="s">
        <v>3402</v>
      </c>
      <c r="AM102" s="40" t="str">
        <f t="shared" si="8"/>
        <v>[FP0745]</v>
      </c>
    </row>
    <row r="103" ht="67.5" customHeight="1">
      <c r="A103" s="41">
        <v>746.0</v>
      </c>
      <c r="B103" s="42" t="s">
        <v>3645</v>
      </c>
      <c r="C103" s="43">
        <v>2015.0</v>
      </c>
      <c r="D103" s="111" t="s">
        <v>35</v>
      </c>
      <c r="E103" s="45" t="s">
        <v>36</v>
      </c>
      <c r="F103" s="45" t="s">
        <v>36</v>
      </c>
      <c r="G103" s="45" t="s">
        <v>36</v>
      </c>
      <c r="H103" s="45" t="s">
        <v>36</v>
      </c>
      <c r="I103" s="45" t="s">
        <v>36</v>
      </c>
      <c r="J103" s="112" t="s">
        <v>36</v>
      </c>
      <c r="K103" s="113" t="s">
        <v>37</v>
      </c>
      <c r="L103" s="114" t="s">
        <v>37</v>
      </c>
      <c r="M103" s="114" t="s">
        <v>35</v>
      </c>
      <c r="N103" s="114" t="s">
        <v>37</v>
      </c>
      <c r="O103" s="114" t="s">
        <v>37</v>
      </c>
      <c r="P103" s="114" t="s">
        <v>35</v>
      </c>
      <c r="Q103" s="114" t="s">
        <v>35</v>
      </c>
      <c r="R103" s="114" t="s">
        <v>35</v>
      </c>
      <c r="S103" s="115" t="s">
        <v>3646</v>
      </c>
      <c r="T103" s="50" t="s">
        <v>3647</v>
      </c>
      <c r="U103" s="50" t="s">
        <v>3647</v>
      </c>
      <c r="V103" s="116">
        <f t="shared" si="2"/>
        <v>0</v>
      </c>
      <c r="W103" s="116">
        <f t="shared" ref="W103:X103" si="108">IF(lenb(SUBSTITUTE($Z103,W$1&amp;" (1)",""))&lt;lenb($Z103),1,IF(lenb(SUBSTITUTE($Z103,W$1&amp;" (2)",""))&lt;lenb($Z103),2,IF(lenb(SUBSTITUTE($Z103,W$1&amp;" (3)",""))&lt;lenb($Z103),3,IF(lenb(SUBSTITUTE($Z103,W$1&amp;" (4)",""))&lt;lenb($Z103),4,IF(lenb(SUBSTITUTE($Z103,W$1&amp;" (5)",""))&lt;lenb($Z103),5,IF(lenb(SUBSTITUTE($Z103,W$1&amp;" (6)",""))&lt;lenb($Z103),6,IF(lenb(SUBSTITUTE($Z103,W$1&amp;" (7)",""))&lt;lenb($Z103),1,IF(lenb(SUBSTITUTE($Z103,W$1&amp;" (8)",""))&lt;lenb($Z103),8,IF(lenb(SUBSTITUTE($Z103,W$1&amp;" (9)",""))&lt;lenb($Z103),9,IF(lenb(SUBSTITUTE($Z103,W$1&amp;" (10)",""))&lt;lenb($Z103),10,IF(lenb(SUBSTITUTE($Z103,W$1,""))&lt;lenb($Z103),"ERROR",IF($Z103=$Y$1,"-",0))))))))))))</f>
        <v>1</v>
      </c>
      <c r="X103" s="116">
        <f t="shared" si="108"/>
        <v>0</v>
      </c>
      <c r="Y103" s="116" t="str">
        <f t="shared" si="4"/>
        <v>-</v>
      </c>
      <c r="Z103" s="115" t="s">
        <v>3423</v>
      </c>
      <c r="AA103" s="54">
        <f t="shared" si="5"/>
        <v>1</v>
      </c>
      <c r="AB103" s="54">
        <f>COUNTIFS(Links!B:B,"FSE",Links!C:C,A103,Links!AD:AD,1)</f>
        <v>0</v>
      </c>
      <c r="AC103" s="117" t="s">
        <v>35</v>
      </c>
      <c r="AD103" s="118" t="s">
        <v>35</v>
      </c>
      <c r="AE103" s="115" t="s">
        <v>36</v>
      </c>
      <c r="AF103" s="57" t="s">
        <v>42</v>
      </c>
      <c r="AG103" s="57" t="s">
        <v>42</v>
      </c>
      <c r="AH103" s="57" t="s">
        <v>42</v>
      </c>
      <c r="AI103" s="116" t="str">
        <f t="shared" si="6"/>
        <v>----</v>
      </c>
      <c r="AJ103" s="119" t="str">
        <f t="shared" si="7"/>
        <v>Paper has link but no statement</v>
      </c>
      <c r="AK103" s="120" t="s">
        <v>3401</v>
      </c>
      <c r="AL103" s="121" t="s">
        <v>3402</v>
      </c>
      <c r="AM103" s="60" t="str">
        <f t="shared" si="8"/>
        <v>[FP0746]</v>
      </c>
    </row>
    <row r="104" ht="67.5" customHeight="1">
      <c r="A104" s="61">
        <v>747.0</v>
      </c>
      <c r="B104" s="22" t="s">
        <v>3648</v>
      </c>
      <c r="C104" s="23">
        <v>2015.0</v>
      </c>
      <c r="D104" s="100" t="s">
        <v>35</v>
      </c>
      <c r="E104" s="25" t="s">
        <v>36</v>
      </c>
      <c r="F104" s="25" t="s">
        <v>36</v>
      </c>
      <c r="G104" s="25" t="s">
        <v>36</v>
      </c>
      <c r="H104" s="25" t="s">
        <v>36</v>
      </c>
      <c r="I104" s="25" t="s">
        <v>36</v>
      </c>
      <c r="J104" s="101" t="s">
        <v>36</v>
      </c>
      <c r="K104" s="102" t="s">
        <v>35</v>
      </c>
      <c r="L104" s="103" t="s">
        <v>36</v>
      </c>
      <c r="M104" s="103" t="s">
        <v>36</v>
      </c>
      <c r="N104" s="103" t="s">
        <v>36</v>
      </c>
      <c r="O104" s="103" t="s">
        <v>36</v>
      </c>
      <c r="P104" s="103" t="s">
        <v>36</v>
      </c>
      <c r="Q104" s="103" t="s">
        <v>36</v>
      </c>
      <c r="R104" s="103" t="s">
        <v>36</v>
      </c>
      <c r="S104" s="104" t="s">
        <v>42</v>
      </c>
      <c r="T104" s="30" t="s">
        <v>36</v>
      </c>
      <c r="U104" s="30" t="s">
        <v>36</v>
      </c>
      <c r="V104" s="105" t="str">
        <f t="shared" si="2"/>
        <v>-</v>
      </c>
      <c r="W104" s="105" t="str">
        <f t="shared" ref="W104:X104" si="109">IF(lenb(SUBSTITUTE($Z104,W$1&amp;" (1)",""))&lt;lenb($Z104),1,IF(lenb(SUBSTITUTE($Z104,W$1&amp;" (2)",""))&lt;lenb($Z104),2,IF(lenb(SUBSTITUTE($Z104,W$1&amp;" (3)",""))&lt;lenb($Z104),3,IF(lenb(SUBSTITUTE($Z104,W$1&amp;" (4)",""))&lt;lenb($Z104),4,IF(lenb(SUBSTITUTE($Z104,W$1&amp;" (5)",""))&lt;lenb($Z104),5,IF(lenb(SUBSTITUTE($Z104,W$1&amp;" (6)",""))&lt;lenb($Z104),6,IF(lenb(SUBSTITUTE($Z104,W$1&amp;" (7)",""))&lt;lenb($Z104),1,IF(lenb(SUBSTITUTE($Z104,W$1&amp;" (8)",""))&lt;lenb($Z104),8,IF(lenb(SUBSTITUTE($Z104,W$1&amp;" (9)",""))&lt;lenb($Z104),9,IF(lenb(SUBSTITUTE($Z104,W$1&amp;" (10)",""))&lt;lenb($Z104),10,IF(lenb(SUBSTITUTE($Z104,W$1,""))&lt;lenb($Z104),"ERROR",IF($Z104=$Y$1,"-",0))))))))))))</f>
        <v>-</v>
      </c>
      <c r="X104" s="105" t="str">
        <f t="shared" si="109"/>
        <v>-</v>
      </c>
      <c r="Y104" s="105">
        <f t="shared" si="4"/>
        <v>1</v>
      </c>
      <c r="Z104" s="104" t="s">
        <v>23</v>
      </c>
      <c r="AA104" s="34">
        <f t="shared" si="5"/>
        <v>0</v>
      </c>
      <c r="AB104" s="34">
        <f>COUNTIFS(Links!B:B,"FSE",Links!C:C,A104,Links!AD:AD,1)</f>
        <v>0</v>
      </c>
      <c r="AC104" s="106" t="s">
        <v>36</v>
      </c>
      <c r="AD104" s="107" t="s">
        <v>35</v>
      </c>
      <c r="AE104" s="104" t="s">
        <v>36</v>
      </c>
      <c r="AF104" s="37" t="s">
        <v>42</v>
      </c>
      <c r="AG104" s="37" t="s">
        <v>42</v>
      </c>
      <c r="AH104" s="37" t="s">
        <v>42</v>
      </c>
      <c r="AI104" s="105" t="str">
        <f t="shared" si="6"/>
        <v>----</v>
      </c>
      <c r="AJ104" s="108" t="str">
        <f t="shared" si="7"/>
        <v>Paper has no link and no statement</v>
      </c>
      <c r="AK104" s="109" t="s">
        <v>3401</v>
      </c>
      <c r="AL104" s="110" t="s">
        <v>3402</v>
      </c>
      <c r="AM104" s="40" t="str">
        <f t="shared" si="8"/>
        <v>[FP0747]</v>
      </c>
    </row>
    <row r="105" ht="67.5" customHeight="1">
      <c r="A105" s="41">
        <v>748.0</v>
      </c>
      <c r="B105" s="42" t="s">
        <v>3649</v>
      </c>
      <c r="C105" s="43">
        <v>2015.0</v>
      </c>
      <c r="D105" s="111" t="s">
        <v>35</v>
      </c>
      <c r="E105" s="45" t="s">
        <v>36</v>
      </c>
      <c r="F105" s="45" t="s">
        <v>36</v>
      </c>
      <c r="G105" s="45" t="s">
        <v>36</v>
      </c>
      <c r="H105" s="45" t="s">
        <v>36</v>
      </c>
      <c r="I105" s="45" t="s">
        <v>36</v>
      </c>
      <c r="J105" s="112" t="s">
        <v>36</v>
      </c>
      <c r="K105" s="113" t="s">
        <v>35</v>
      </c>
      <c r="L105" s="114" t="s">
        <v>36</v>
      </c>
      <c r="M105" s="114" t="s">
        <v>36</v>
      </c>
      <c r="N105" s="114" t="s">
        <v>36</v>
      </c>
      <c r="O105" s="114" t="s">
        <v>36</v>
      </c>
      <c r="P105" s="114" t="s">
        <v>36</v>
      </c>
      <c r="Q105" s="114" t="s">
        <v>36</v>
      </c>
      <c r="R105" s="114" t="s">
        <v>36</v>
      </c>
      <c r="S105" s="115" t="s">
        <v>42</v>
      </c>
      <c r="T105" s="50" t="s">
        <v>36</v>
      </c>
      <c r="U105" s="50" t="s">
        <v>36</v>
      </c>
      <c r="V105" s="116" t="str">
        <f t="shared" si="2"/>
        <v>-</v>
      </c>
      <c r="W105" s="116" t="str">
        <f t="shared" ref="W105:X105" si="110">IF(lenb(SUBSTITUTE($Z105,W$1&amp;" (1)",""))&lt;lenb($Z105),1,IF(lenb(SUBSTITUTE($Z105,W$1&amp;" (2)",""))&lt;lenb($Z105),2,IF(lenb(SUBSTITUTE($Z105,W$1&amp;" (3)",""))&lt;lenb($Z105),3,IF(lenb(SUBSTITUTE($Z105,W$1&amp;" (4)",""))&lt;lenb($Z105),4,IF(lenb(SUBSTITUTE($Z105,W$1&amp;" (5)",""))&lt;lenb($Z105),5,IF(lenb(SUBSTITUTE($Z105,W$1&amp;" (6)",""))&lt;lenb($Z105),6,IF(lenb(SUBSTITUTE($Z105,W$1&amp;" (7)",""))&lt;lenb($Z105),1,IF(lenb(SUBSTITUTE($Z105,W$1&amp;" (8)",""))&lt;lenb($Z105),8,IF(lenb(SUBSTITUTE($Z105,W$1&amp;" (9)",""))&lt;lenb($Z105),9,IF(lenb(SUBSTITUTE($Z105,W$1&amp;" (10)",""))&lt;lenb($Z105),10,IF(lenb(SUBSTITUTE($Z105,W$1,""))&lt;lenb($Z105),"ERROR",IF($Z105=$Y$1,"-",0))))))))))))</f>
        <v>-</v>
      </c>
      <c r="X105" s="116" t="str">
        <f t="shared" si="110"/>
        <v>-</v>
      </c>
      <c r="Y105" s="116">
        <f t="shared" si="4"/>
        <v>1</v>
      </c>
      <c r="Z105" s="115" t="s">
        <v>23</v>
      </c>
      <c r="AA105" s="54">
        <f t="shared" si="5"/>
        <v>0</v>
      </c>
      <c r="AB105" s="54">
        <f>COUNTIFS(Links!B:B,"FSE",Links!C:C,A105,Links!AD:AD,1)</f>
        <v>0</v>
      </c>
      <c r="AC105" s="117" t="s">
        <v>36</v>
      </c>
      <c r="AD105" s="118" t="s">
        <v>35</v>
      </c>
      <c r="AE105" s="115" t="s">
        <v>36</v>
      </c>
      <c r="AF105" s="57" t="s">
        <v>42</v>
      </c>
      <c r="AG105" s="57" t="s">
        <v>42</v>
      </c>
      <c r="AH105" s="57" t="s">
        <v>42</v>
      </c>
      <c r="AI105" s="116" t="str">
        <f t="shared" si="6"/>
        <v>----</v>
      </c>
      <c r="AJ105" s="119" t="str">
        <f t="shared" si="7"/>
        <v>Paper has no link and no statement</v>
      </c>
      <c r="AK105" s="120" t="s">
        <v>3401</v>
      </c>
      <c r="AL105" s="121" t="s">
        <v>3402</v>
      </c>
      <c r="AM105" s="60" t="str">
        <f t="shared" si="8"/>
        <v>[FP0748]</v>
      </c>
    </row>
    <row r="106" ht="67.5" customHeight="1">
      <c r="A106" s="61">
        <v>749.0</v>
      </c>
      <c r="B106" s="22" t="s">
        <v>3650</v>
      </c>
      <c r="C106" s="23">
        <v>2015.0</v>
      </c>
      <c r="D106" s="100" t="s">
        <v>35</v>
      </c>
      <c r="E106" s="25" t="s">
        <v>36</v>
      </c>
      <c r="F106" s="25" t="s">
        <v>36</v>
      </c>
      <c r="G106" s="25" t="s">
        <v>36</v>
      </c>
      <c r="H106" s="25" t="s">
        <v>36</v>
      </c>
      <c r="I106" s="25" t="s">
        <v>36</v>
      </c>
      <c r="J106" s="101" t="s">
        <v>36</v>
      </c>
      <c r="K106" s="102" t="s">
        <v>35</v>
      </c>
      <c r="L106" s="103" t="s">
        <v>36</v>
      </c>
      <c r="M106" s="103" t="s">
        <v>36</v>
      </c>
      <c r="N106" s="103" t="s">
        <v>36</v>
      </c>
      <c r="O106" s="103" t="s">
        <v>36</v>
      </c>
      <c r="P106" s="103" t="s">
        <v>36</v>
      </c>
      <c r="Q106" s="103" t="s">
        <v>36</v>
      </c>
      <c r="R106" s="103" t="s">
        <v>36</v>
      </c>
      <c r="S106" s="104" t="s">
        <v>42</v>
      </c>
      <c r="T106" s="30" t="s">
        <v>36</v>
      </c>
      <c r="U106" s="30" t="s">
        <v>36</v>
      </c>
      <c r="V106" s="105" t="str">
        <f t="shared" si="2"/>
        <v>-</v>
      </c>
      <c r="W106" s="105" t="str">
        <f t="shared" ref="W106:X106" si="111">IF(lenb(SUBSTITUTE($Z106,W$1&amp;" (1)",""))&lt;lenb($Z106),1,IF(lenb(SUBSTITUTE($Z106,W$1&amp;" (2)",""))&lt;lenb($Z106),2,IF(lenb(SUBSTITUTE($Z106,W$1&amp;" (3)",""))&lt;lenb($Z106),3,IF(lenb(SUBSTITUTE($Z106,W$1&amp;" (4)",""))&lt;lenb($Z106),4,IF(lenb(SUBSTITUTE($Z106,W$1&amp;" (5)",""))&lt;lenb($Z106),5,IF(lenb(SUBSTITUTE($Z106,W$1&amp;" (6)",""))&lt;lenb($Z106),6,IF(lenb(SUBSTITUTE($Z106,W$1&amp;" (7)",""))&lt;lenb($Z106),1,IF(lenb(SUBSTITUTE($Z106,W$1&amp;" (8)",""))&lt;lenb($Z106),8,IF(lenb(SUBSTITUTE($Z106,W$1&amp;" (9)",""))&lt;lenb($Z106),9,IF(lenb(SUBSTITUTE($Z106,W$1&amp;" (10)",""))&lt;lenb($Z106),10,IF(lenb(SUBSTITUTE($Z106,W$1,""))&lt;lenb($Z106),"ERROR",IF($Z106=$Y$1,"-",0))))))))))))</f>
        <v>-</v>
      </c>
      <c r="X106" s="105" t="str">
        <f t="shared" si="111"/>
        <v>-</v>
      </c>
      <c r="Y106" s="105">
        <f t="shared" si="4"/>
        <v>1</v>
      </c>
      <c r="Z106" s="104" t="s">
        <v>23</v>
      </c>
      <c r="AA106" s="34">
        <f t="shared" si="5"/>
        <v>0</v>
      </c>
      <c r="AB106" s="34">
        <f>COUNTIFS(Links!B:B,"FSE",Links!C:C,A106,Links!AD:AD,1)</f>
        <v>0</v>
      </c>
      <c r="AC106" s="106" t="s">
        <v>36</v>
      </c>
      <c r="AD106" s="107" t="s">
        <v>35</v>
      </c>
      <c r="AE106" s="104" t="s">
        <v>36</v>
      </c>
      <c r="AF106" s="37" t="s">
        <v>42</v>
      </c>
      <c r="AG106" s="37" t="s">
        <v>42</v>
      </c>
      <c r="AH106" s="37" t="s">
        <v>42</v>
      </c>
      <c r="AI106" s="105" t="str">
        <f t="shared" si="6"/>
        <v>----</v>
      </c>
      <c r="AJ106" s="108" t="str">
        <f t="shared" si="7"/>
        <v>Paper has no link and no statement</v>
      </c>
      <c r="AK106" s="109" t="s">
        <v>3401</v>
      </c>
      <c r="AL106" s="110" t="s">
        <v>3402</v>
      </c>
      <c r="AM106" s="40" t="str">
        <f t="shared" si="8"/>
        <v>[FP0749]</v>
      </c>
    </row>
    <row r="107" ht="67.5" customHeight="1">
      <c r="A107" s="41">
        <v>750.0</v>
      </c>
      <c r="B107" s="42" t="s">
        <v>3651</v>
      </c>
      <c r="C107" s="43">
        <v>2015.0</v>
      </c>
      <c r="D107" s="111" t="s">
        <v>35</v>
      </c>
      <c r="E107" s="45" t="s">
        <v>36</v>
      </c>
      <c r="F107" s="45" t="s">
        <v>36</v>
      </c>
      <c r="G107" s="45" t="s">
        <v>36</v>
      </c>
      <c r="H107" s="45" t="s">
        <v>36</v>
      </c>
      <c r="I107" s="45" t="s">
        <v>36</v>
      </c>
      <c r="J107" s="112" t="s">
        <v>36</v>
      </c>
      <c r="K107" s="113" t="s">
        <v>35</v>
      </c>
      <c r="L107" s="114" t="s">
        <v>36</v>
      </c>
      <c r="M107" s="114" t="s">
        <v>36</v>
      </c>
      <c r="N107" s="114" t="s">
        <v>36</v>
      </c>
      <c r="O107" s="114" t="s">
        <v>36</v>
      </c>
      <c r="P107" s="114" t="s">
        <v>36</v>
      </c>
      <c r="Q107" s="114" t="s">
        <v>36</v>
      </c>
      <c r="R107" s="114" t="s">
        <v>36</v>
      </c>
      <c r="S107" s="115" t="s">
        <v>42</v>
      </c>
      <c r="T107" s="50" t="s">
        <v>36</v>
      </c>
      <c r="U107" s="50" t="s">
        <v>36</v>
      </c>
      <c r="V107" s="116" t="str">
        <f t="shared" si="2"/>
        <v>-</v>
      </c>
      <c r="W107" s="116" t="str">
        <f t="shared" ref="W107:X107" si="112">IF(lenb(SUBSTITUTE($Z107,W$1&amp;" (1)",""))&lt;lenb($Z107),1,IF(lenb(SUBSTITUTE($Z107,W$1&amp;" (2)",""))&lt;lenb($Z107),2,IF(lenb(SUBSTITUTE($Z107,W$1&amp;" (3)",""))&lt;lenb($Z107),3,IF(lenb(SUBSTITUTE($Z107,W$1&amp;" (4)",""))&lt;lenb($Z107),4,IF(lenb(SUBSTITUTE($Z107,W$1&amp;" (5)",""))&lt;lenb($Z107),5,IF(lenb(SUBSTITUTE($Z107,W$1&amp;" (6)",""))&lt;lenb($Z107),6,IF(lenb(SUBSTITUTE($Z107,W$1&amp;" (7)",""))&lt;lenb($Z107),1,IF(lenb(SUBSTITUTE($Z107,W$1&amp;" (8)",""))&lt;lenb($Z107),8,IF(lenb(SUBSTITUTE($Z107,W$1&amp;" (9)",""))&lt;lenb($Z107),9,IF(lenb(SUBSTITUTE($Z107,W$1&amp;" (10)",""))&lt;lenb($Z107),10,IF(lenb(SUBSTITUTE($Z107,W$1,""))&lt;lenb($Z107),"ERROR",IF($Z107=$Y$1,"-",0))))))))))))</f>
        <v>-</v>
      </c>
      <c r="X107" s="116" t="str">
        <f t="shared" si="112"/>
        <v>-</v>
      </c>
      <c r="Y107" s="116">
        <f t="shared" si="4"/>
        <v>1</v>
      </c>
      <c r="Z107" s="115" t="s">
        <v>23</v>
      </c>
      <c r="AA107" s="54">
        <f t="shared" si="5"/>
        <v>0</v>
      </c>
      <c r="AB107" s="54">
        <f>COUNTIFS(Links!B:B,"FSE",Links!C:C,A107,Links!AD:AD,1)</f>
        <v>0</v>
      </c>
      <c r="AC107" s="117" t="s">
        <v>36</v>
      </c>
      <c r="AD107" s="118" t="s">
        <v>35</v>
      </c>
      <c r="AE107" s="115" t="s">
        <v>36</v>
      </c>
      <c r="AF107" s="57" t="s">
        <v>42</v>
      </c>
      <c r="AG107" s="57" t="s">
        <v>42</v>
      </c>
      <c r="AH107" s="57" t="s">
        <v>42</v>
      </c>
      <c r="AI107" s="116" t="str">
        <f t="shared" si="6"/>
        <v>----</v>
      </c>
      <c r="AJ107" s="119" t="str">
        <f t="shared" si="7"/>
        <v>Paper has no link and no statement</v>
      </c>
      <c r="AK107" s="120" t="s">
        <v>3401</v>
      </c>
      <c r="AL107" s="121" t="s">
        <v>3402</v>
      </c>
      <c r="AM107" s="60" t="str">
        <f t="shared" si="8"/>
        <v>[FP0750]</v>
      </c>
    </row>
    <row r="108" ht="67.5" customHeight="1">
      <c r="A108" s="61">
        <v>751.0</v>
      </c>
      <c r="B108" s="22" t="s">
        <v>3652</v>
      </c>
      <c r="C108" s="23">
        <v>2015.0</v>
      </c>
      <c r="D108" s="100" t="s">
        <v>35</v>
      </c>
      <c r="E108" s="25" t="s">
        <v>36</v>
      </c>
      <c r="F108" s="25" t="s">
        <v>36</v>
      </c>
      <c r="G108" s="25" t="s">
        <v>36</v>
      </c>
      <c r="H108" s="25" t="s">
        <v>36</v>
      </c>
      <c r="I108" s="25" t="s">
        <v>36</v>
      </c>
      <c r="J108" s="101" t="s">
        <v>36</v>
      </c>
      <c r="K108" s="102" t="s">
        <v>35</v>
      </c>
      <c r="L108" s="103" t="s">
        <v>36</v>
      </c>
      <c r="M108" s="103" t="s">
        <v>36</v>
      </c>
      <c r="N108" s="103" t="s">
        <v>36</v>
      </c>
      <c r="O108" s="103" t="s">
        <v>36</v>
      </c>
      <c r="P108" s="103" t="s">
        <v>36</v>
      </c>
      <c r="Q108" s="103" t="s">
        <v>36</v>
      </c>
      <c r="R108" s="103" t="s">
        <v>36</v>
      </c>
      <c r="S108" s="104" t="s">
        <v>36</v>
      </c>
      <c r="T108" s="30" t="s">
        <v>36</v>
      </c>
      <c r="U108" s="30" t="s">
        <v>36</v>
      </c>
      <c r="V108" s="105" t="str">
        <f t="shared" si="2"/>
        <v>-</v>
      </c>
      <c r="W108" s="105" t="str">
        <f t="shared" ref="W108:X108" si="113">IF(lenb(SUBSTITUTE($Z108,W$1&amp;" (1)",""))&lt;lenb($Z108),1,IF(lenb(SUBSTITUTE($Z108,W$1&amp;" (2)",""))&lt;lenb($Z108),2,IF(lenb(SUBSTITUTE($Z108,W$1&amp;" (3)",""))&lt;lenb($Z108),3,IF(lenb(SUBSTITUTE($Z108,W$1&amp;" (4)",""))&lt;lenb($Z108),4,IF(lenb(SUBSTITUTE($Z108,W$1&amp;" (5)",""))&lt;lenb($Z108),5,IF(lenb(SUBSTITUTE($Z108,W$1&amp;" (6)",""))&lt;lenb($Z108),6,IF(lenb(SUBSTITUTE($Z108,W$1&amp;" (7)",""))&lt;lenb($Z108),1,IF(lenb(SUBSTITUTE($Z108,W$1&amp;" (8)",""))&lt;lenb($Z108),8,IF(lenb(SUBSTITUTE($Z108,W$1&amp;" (9)",""))&lt;lenb($Z108),9,IF(lenb(SUBSTITUTE($Z108,W$1&amp;" (10)",""))&lt;lenb($Z108),10,IF(lenb(SUBSTITUTE($Z108,W$1,""))&lt;lenb($Z108),"ERROR",IF($Z108=$Y$1,"-",0))))))))))))</f>
        <v>-</v>
      </c>
      <c r="X108" s="105" t="str">
        <f t="shared" si="113"/>
        <v>-</v>
      </c>
      <c r="Y108" s="105">
        <f t="shared" si="4"/>
        <v>1</v>
      </c>
      <c r="Z108" s="104" t="s">
        <v>23</v>
      </c>
      <c r="AA108" s="34">
        <f t="shared" si="5"/>
        <v>0</v>
      </c>
      <c r="AB108" s="34">
        <f>COUNTIFS(Links!B:B,"FSE",Links!C:C,A108,Links!AD:AD,1)</f>
        <v>0</v>
      </c>
      <c r="AC108" s="106" t="s">
        <v>36</v>
      </c>
      <c r="AD108" s="107" t="s">
        <v>35</v>
      </c>
      <c r="AE108" s="104" t="s">
        <v>36</v>
      </c>
      <c r="AF108" s="37" t="s">
        <v>42</v>
      </c>
      <c r="AG108" s="37" t="s">
        <v>42</v>
      </c>
      <c r="AH108" s="37" t="s">
        <v>42</v>
      </c>
      <c r="AI108" s="105" t="str">
        <f t="shared" si="6"/>
        <v>----</v>
      </c>
      <c r="AJ108" s="108" t="str">
        <f t="shared" si="7"/>
        <v>Paper has no link and no statement</v>
      </c>
      <c r="AK108" s="109" t="s">
        <v>3401</v>
      </c>
      <c r="AL108" s="110" t="s">
        <v>3402</v>
      </c>
      <c r="AM108" s="40" t="str">
        <f t="shared" si="8"/>
        <v>[FP0751]</v>
      </c>
    </row>
    <row r="109" ht="67.5" customHeight="1">
      <c r="A109" s="41">
        <v>752.0</v>
      </c>
      <c r="B109" s="42" t="s">
        <v>3653</v>
      </c>
      <c r="C109" s="43">
        <v>2015.0</v>
      </c>
      <c r="D109" s="111" t="s">
        <v>35</v>
      </c>
      <c r="E109" s="45" t="s">
        <v>36</v>
      </c>
      <c r="F109" s="45" t="s">
        <v>36</v>
      </c>
      <c r="G109" s="45" t="s">
        <v>36</v>
      </c>
      <c r="H109" s="45" t="s">
        <v>36</v>
      </c>
      <c r="I109" s="45" t="s">
        <v>36</v>
      </c>
      <c r="J109" s="112" t="s">
        <v>36</v>
      </c>
      <c r="K109" s="113" t="s">
        <v>37</v>
      </c>
      <c r="L109" s="114" t="s">
        <v>35</v>
      </c>
      <c r="M109" s="114" t="s">
        <v>37</v>
      </c>
      <c r="N109" s="114" t="s">
        <v>35</v>
      </c>
      <c r="O109" s="114" t="s">
        <v>35</v>
      </c>
      <c r="P109" s="114" t="s">
        <v>35</v>
      </c>
      <c r="Q109" s="114" t="s">
        <v>35</v>
      </c>
      <c r="R109" s="114" t="s">
        <v>37</v>
      </c>
      <c r="S109" s="115" t="s">
        <v>42</v>
      </c>
      <c r="T109" s="50" t="s">
        <v>3654</v>
      </c>
      <c r="U109" s="50" t="s">
        <v>3654</v>
      </c>
      <c r="V109" s="116">
        <f t="shared" si="2"/>
        <v>0</v>
      </c>
      <c r="W109" s="116">
        <f t="shared" ref="W109:X109" si="114">IF(lenb(SUBSTITUTE($Z109,W$1&amp;" (1)",""))&lt;lenb($Z109),1,IF(lenb(SUBSTITUTE($Z109,W$1&amp;" (2)",""))&lt;lenb($Z109),2,IF(lenb(SUBSTITUTE($Z109,W$1&amp;" (3)",""))&lt;lenb($Z109),3,IF(lenb(SUBSTITUTE($Z109,W$1&amp;" (4)",""))&lt;lenb($Z109),4,IF(lenb(SUBSTITUTE($Z109,W$1&amp;" (5)",""))&lt;lenb($Z109),5,IF(lenb(SUBSTITUTE($Z109,W$1&amp;" (6)",""))&lt;lenb($Z109),6,IF(lenb(SUBSTITUTE($Z109,W$1&amp;" (7)",""))&lt;lenb($Z109),1,IF(lenb(SUBSTITUTE($Z109,W$1&amp;" (8)",""))&lt;lenb($Z109),8,IF(lenb(SUBSTITUTE($Z109,W$1&amp;" (9)",""))&lt;lenb($Z109),9,IF(lenb(SUBSTITUTE($Z109,W$1&amp;" (10)",""))&lt;lenb($Z109),10,IF(lenb(SUBSTITUTE($Z109,W$1,""))&lt;lenb($Z109),"ERROR",IF($Z109=$Y$1,"-",0))))))))))))</f>
        <v>1</v>
      </c>
      <c r="X109" s="116">
        <f t="shared" si="114"/>
        <v>0</v>
      </c>
      <c r="Y109" s="116" t="str">
        <f t="shared" si="4"/>
        <v>-</v>
      </c>
      <c r="Z109" s="115" t="s">
        <v>3423</v>
      </c>
      <c r="AA109" s="54">
        <f t="shared" si="5"/>
        <v>1</v>
      </c>
      <c r="AB109" s="54">
        <f>COUNTIFS(Links!B:B,"FSE",Links!C:C,A109,Links!AD:AD,1)</f>
        <v>0</v>
      </c>
      <c r="AC109" s="117" t="s">
        <v>35</v>
      </c>
      <c r="AD109" s="118" t="s">
        <v>35</v>
      </c>
      <c r="AE109" s="115" t="s">
        <v>36</v>
      </c>
      <c r="AF109" s="57" t="s">
        <v>42</v>
      </c>
      <c r="AG109" s="57" t="s">
        <v>42</v>
      </c>
      <c r="AH109" s="57" t="s">
        <v>42</v>
      </c>
      <c r="AI109" s="116" t="str">
        <f t="shared" si="6"/>
        <v>----</v>
      </c>
      <c r="AJ109" s="119" t="str">
        <f t="shared" si="7"/>
        <v>Paper has link but no statement</v>
      </c>
      <c r="AK109" s="120" t="s">
        <v>3401</v>
      </c>
      <c r="AL109" s="121" t="s">
        <v>3402</v>
      </c>
      <c r="AM109" s="60" t="str">
        <f t="shared" si="8"/>
        <v>[FP0752]</v>
      </c>
    </row>
    <row r="110" ht="67.5" customHeight="1">
      <c r="A110" s="61">
        <v>753.0</v>
      </c>
      <c r="B110" s="22" t="s">
        <v>3655</v>
      </c>
      <c r="C110" s="23">
        <v>2015.0</v>
      </c>
      <c r="D110" s="100" t="s">
        <v>35</v>
      </c>
      <c r="E110" s="25" t="s">
        <v>36</v>
      </c>
      <c r="F110" s="25" t="s">
        <v>36</v>
      </c>
      <c r="G110" s="25" t="s">
        <v>36</v>
      </c>
      <c r="H110" s="25" t="s">
        <v>36</v>
      </c>
      <c r="I110" s="25" t="s">
        <v>36</v>
      </c>
      <c r="J110" s="101" t="s">
        <v>36</v>
      </c>
      <c r="K110" s="102" t="s">
        <v>37</v>
      </c>
      <c r="L110" s="103" t="s">
        <v>35</v>
      </c>
      <c r="M110" s="103" t="s">
        <v>35</v>
      </c>
      <c r="N110" s="103" t="s">
        <v>37</v>
      </c>
      <c r="O110" s="103" t="s">
        <v>35</v>
      </c>
      <c r="P110" s="103" t="s">
        <v>35</v>
      </c>
      <c r="Q110" s="103" t="s">
        <v>35</v>
      </c>
      <c r="R110" s="103" t="s">
        <v>35</v>
      </c>
      <c r="S110" s="104" t="s">
        <v>84</v>
      </c>
      <c r="T110" s="30" t="s">
        <v>3656</v>
      </c>
      <c r="U110" s="30" t="s">
        <v>3656</v>
      </c>
      <c r="V110" s="105">
        <f t="shared" si="2"/>
        <v>1</v>
      </c>
      <c r="W110" s="105">
        <f t="shared" ref="W110:X110" si="115">IF(lenb(SUBSTITUTE($Z110,W$1&amp;" (1)",""))&lt;lenb($Z110),1,IF(lenb(SUBSTITUTE($Z110,W$1&amp;" (2)",""))&lt;lenb($Z110),2,IF(lenb(SUBSTITUTE($Z110,W$1&amp;" (3)",""))&lt;lenb($Z110),3,IF(lenb(SUBSTITUTE($Z110,W$1&amp;" (4)",""))&lt;lenb($Z110),4,IF(lenb(SUBSTITUTE($Z110,W$1&amp;" (5)",""))&lt;lenb($Z110),5,IF(lenb(SUBSTITUTE($Z110,W$1&amp;" (6)",""))&lt;lenb($Z110),6,IF(lenb(SUBSTITUTE($Z110,W$1&amp;" (7)",""))&lt;lenb($Z110),1,IF(lenb(SUBSTITUTE($Z110,W$1&amp;" (8)",""))&lt;lenb($Z110),8,IF(lenb(SUBSTITUTE($Z110,W$1&amp;" (9)",""))&lt;lenb($Z110),9,IF(lenb(SUBSTITUTE($Z110,W$1&amp;" (10)",""))&lt;lenb($Z110),10,IF(lenb(SUBSTITUTE($Z110,W$1,""))&lt;lenb($Z110),"ERROR",IF($Z110=$Y$1,"-",0))))))))))))</f>
        <v>0</v>
      </c>
      <c r="X110" s="105">
        <f t="shared" si="115"/>
        <v>0</v>
      </c>
      <c r="Y110" s="105" t="str">
        <f t="shared" si="4"/>
        <v>-</v>
      </c>
      <c r="Z110" s="104" t="s">
        <v>3400</v>
      </c>
      <c r="AA110" s="34">
        <f t="shared" si="5"/>
        <v>1</v>
      </c>
      <c r="AB110" s="34">
        <f>COUNTIFS(Links!B:B,"FSE",Links!C:C,A110,Links!AD:AD,1)</f>
        <v>0</v>
      </c>
      <c r="AC110" s="106" t="s">
        <v>35</v>
      </c>
      <c r="AD110" s="107" t="s">
        <v>35</v>
      </c>
      <c r="AE110" s="104" t="s">
        <v>36</v>
      </c>
      <c r="AF110" s="37" t="s">
        <v>42</v>
      </c>
      <c r="AG110" s="37" t="s">
        <v>42</v>
      </c>
      <c r="AH110" s="37" t="s">
        <v>42</v>
      </c>
      <c r="AI110" s="105" t="str">
        <f t="shared" si="6"/>
        <v>----</v>
      </c>
      <c r="AJ110" s="108" t="str">
        <f t="shared" si="7"/>
        <v>Paper has link but no statement</v>
      </c>
      <c r="AK110" s="109" t="s">
        <v>3401</v>
      </c>
      <c r="AL110" s="110" t="s">
        <v>3402</v>
      </c>
      <c r="AM110" s="40" t="str">
        <f t="shared" si="8"/>
        <v>[FP0753]</v>
      </c>
    </row>
    <row r="111" ht="67.5" customHeight="1">
      <c r="A111" s="41">
        <v>754.0</v>
      </c>
      <c r="B111" s="42" t="s">
        <v>3657</v>
      </c>
      <c r="C111" s="43">
        <v>2015.0</v>
      </c>
      <c r="D111" s="111" t="s">
        <v>35</v>
      </c>
      <c r="E111" s="45" t="s">
        <v>36</v>
      </c>
      <c r="F111" s="45" t="s">
        <v>36</v>
      </c>
      <c r="G111" s="45" t="s">
        <v>36</v>
      </c>
      <c r="H111" s="45" t="s">
        <v>36</v>
      </c>
      <c r="I111" s="45" t="s">
        <v>36</v>
      </c>
      <c r="J111" s="112" t="s">
        <v>36</v>
      </c>
      <c r="K111" s="113" t="s">
        <v>37</v>
      </c>
      <c r="L111" s="114" t="s">
        <v>37</v>
      </c>
      <c r="M111" s="114" t="s">
        <v>35</v>
      </c>
      <c r="N111" s="114" t="s">
        <v>37</v>
      </c>
      <c r="O111" s="114" t="s">
        <v>35</v>
      </c>
      <c r="P111" s="114" t="s">
        <v>37</v>
      </c>
      <c r="Q111" s="114" t="s">
        <v>35</v>
      </c>
      <c r="R111" s="114" t="s">
        <v>35</v>
      </c>
      <c r="S111" s="115" t="s">
        <v>84</v>
      </c>
      <c r="T111" s="50" t="s">
        <v>3658</v>
      </c>
      <c r="U111" s="50" t="s">
        <v>3658</v>
      </c>
      <c r="V111" s="116">
        <f t="shared" si="2"/>
        <v>0</v>
      </c>
      <c r="W111" s="116">
        <f t="shared" ref="W111:X111" si="116">IF(lenb(SUBSTITUTE($Z111,W$1&amp;" (1)",""))&lt;lenb($Z111),1,IF(lenb(SUBSTITUTE($Z111,W$1&amp;" (2)",""))&lt;lenb($Z111),2,IF(lenb(SUBSTITUTE($Z111,W$1&amp;" (3)",""))&lt;lenb($Z111),3,IF(lenb(SUBSTITUTE($Z111,W$1&amp;" (4)",""))&lt;lenb($Z111),4,IF(lenb(SUBSTITUTE($Z111,W$1&amp;" (5)",""))&lt;lenb($Z111),5,IF(lenb(SUBSTITUTE($Z111,W$1&amp;" (6)",""))&lt;lenb($Z111),6,IF(lenb(SUBSTITUTE($Z111,W$1&amp;" (7)",""))&lt;lenb($Z111),1,IF(lenb(SUBSTITUTE($Z111,W$1&amp;" (8)",""))&lt;lenb($Z111),8,IF(lenb(SUBSTITUTE($Z111,W$1&amp;" (9)",""))&lt;lenb($Z111),9,IF(lenb(SUBSTITUTE($Z111,W$1&amp;" (10)",""))&lt;lenb($Z111),10,IF(lenb(SUBSTITUTE($Z111,W$1,""))&lt;lenb($Z111),"ERROR",IF($Z111=$Y$1,"-",0))))))))))))</f>
        <v>1</v>
      </c>
      <c r="X111" s="116">
        <f t="shared" si="116"/>
        <v>0</v>
      </c>
      <c r="Y111" s="116" t="str">
        <f t="shared" si="4"/>
        <v>-</v>
      </c>
      <c r="Z111" s="115" t="s">
        <v>3423</v>
      </c>
      <c r="AA111" s="54">
        <f t="shared" si="5"/>
        <v>1</v>
      </c>
      <c r="AB111" s="54">
        <f>COUNTIFS(Links!B:B,"FSE",Links!C:C,A111,Links!AD:AD,1)</f>
        <v>1</v>
      </c>
      <c r="AC111" s="117" t="s">
        <v>35</v>
      </c>
      <c r="AD111" s="118" t="s">
        <v>35</v>
      </c>
      <c r="AE111" s="115" t="s">
        <v>36</v>
      </c>
      <c r="AF111" s="57" t="s">
        <v>42</v>
      </c>
      <c r="AG111" s="57" t="s">
        <v>42</v>
      </c>
      <c r="AH111" s="57" t="s">
        <v>42</v>
      </c>
      <c r="AI111" s="116" t="str">
        <f t="shared" si="6"/>
        <v>----</v>
      </c>
      <c r="AJ111" s="119" t="str">
        <f t="shared" si="7"/>
        <v>Paper has link but no statement</v>
      </c>
      <c r="AK111" s="120" t="s">
        <v>3401</v>
      </c>
      <c r="AL111" s="121" t="s">
        <v>3402</v>
      </c>
      <c r="AM111" s="60" t="str">
        <f t="shared" si="8"/>
        <v>[FP0754]</v>
      </c>
    </row>
    <row r="112" ht="67.5" customHeight="1">
      <c r="A112" s="61">
        <v>755.0</v>
      </c>
      <c r="B112" s="22" t="s">
        <v>3659</v>
      </c>
      <c r="C112" s="23">
        <v>2015.0</v>
      </c>
      <c r="D112" s="100" t="s">
        <v>35</v>
      </c>
      <c r="E112" s="25" t="s">
        <v>36</v>
      </c>
      <c r="F112" s="25" t="s">
        <v>36</v>
      </c>
      <c r="G112" s="25" t="s">
        <v>36</v>
      </c>
      <c r="H112" s="25" t="s">
        <v>36</v>
      </c>
      <c r="I112" s="25" t="s">
        <v>36</v>
      </c>
      <c r="J112" s="101" t="s">
        <v>36</v>
      </c>
      <c r="K112" s="102" t="s">
        <v>37</v>
      </c>
      <c r="L112" s="103" t="s">
        <v>35</v>
      </c>
      <c r="M112" s="103" t="s">
        <v>35</v>
      </c>
      <c r="N112" s="103" t="s">
        <v>35</v>
      </c>
      <c r="O112" s="103" t="s">
        <v>37</v>
      </c>
      <c r="P112" s="103" t="s">
        <v>37</v>
      </c>
      <c r="Q112" s="103" t="s">
        <v>35</v>
      </c>
      <c r="R112" s="103" t="s">
        <v>35</v>
      </c>
      <c r="S112" s="104" t="s">
        <v>3660</v>
      </c>
      <c r="T112" s="30" t="s">
        <v>3661</v>
      </c>
      <c r="U112" s="30" t="s">
        <v>3661</v>
      </c>
      <c r="V112" s="105">
        <f t="shared" si="2"/>
        <v>1</v>
      </c>
      <c r="W112" s="105">
        <f t="shared" ref="W112:X112" si="117">IF(lenb(SUBSTITUTE($Z112,W$1&amp;" (1)",""))&lt;lenb($Z112),1,IF(lenb(SUBSTITUTE($Z112,W$1&amp;" (2)",""))&lt;lenb($Z112),2,IF(lenb(SUBSTITUTE($Z112,W$1&amp;" (3)",""))&lt;lenb($Z112),3,IF(lenb(SUBSTITUTE($Z112,W$1&amp;" (4)",""))&lt;lenb($Z112),4,IF(lenb(SUBSTITUTE($Z112,W$1&amp;" (5)",""))&lt;lenb($Z112),5,IF(lenb(SUBSTITUTE($Z112,W$1&amp;" (6)",""))&lt;lenb($Z112),6,IF(lenb(SUBSTITUTE($Z112,W$1&amp;" (7)",""))&lt;lenb($Z112),1,IF(lenb(SUBSTITUTE($Z112,W$1&amp;" (8)",""))&lt;lenb($Z112),8,IF(lenb(SUBSTITUTE($Z112,W$1&amp;" (9)",""))&lt;lenb($Z112),9,IF(lenb(SUBSTITUTE($Z112,W$1&amp;" (10)",""))&lt;lenb($Z112),10,IF(lenb(SUBSTITUTE($Z112,W$1,""))&lt;lenb($Z112),"ERROR",IF($Z112=$Y$1,"-",0))))))))))))</f>
        <v>0</v>
      </c>
      <c r="X112" s="105">
        <f t="shared" si="117"/>
        <v>0</v>
      </c>
      <c r="Y112" s="105" t="str">
        <f t="shared" si="4"/>
        <v>-</v>
      </c>
      <c r="Z112" s="104" t="s">
        <v>3400</v>
      </c>
      <c r="AA112" s="34">
        <f t="shared" si="5"/>
        <v>1</v>
      </c>
      <c r="AB112" s="34">
        <f>COUNTIFS(Links!B:B,"FSE",Links!C:C,A112,Links!AD:AD,1)</f>
        <v>0</v>
      </c>
      <c r="AC112" s="106" t="s">
        <v>35</v>
      </c>
      <c r="AD112" s="107" t="s">
        <v>35</v>
      </c>
      <c r="AE112" s="104" t="s">
        <v>36</v>
      </c>
      <c r="AF112" s="37" t="s">
        <v>42</v>
      </c>
      <c r="AG112" s="37" t="s">
        <v>42</v>
      </c>
      <c r="AH112" s="37" t="s">
        <v>42</v>
      </c>
      <c r="AI112" s="105" t="str">
        <f t="shared" si="6"/>
        <v>----</v>
      </c>
      <c r="AJ112" s="108" t="str">
        <f t="shared" si="7"/>
        <v>Paper has link but no statement</v>
      </c>
      <c r="AK112" s="109" t="s">
        <v>3401</v>
      </c>
      <c r="AL112" s="110" t="s">
        <v>3402</v>
      </c>
      <c r="AM112" s="40" t="str">
        <f t="shared" si="8"/>
        <v>[FP0755]</v>
      </c>
    </row>
    <row r="113" ht="67.5" customHeight="1">
      <c r="A113" s="41">
        <v>756.0</v>
      </c>
      <c r="B113" s="42" t="s">
        <v>3662</v>
      </c>
      <c r="C113" s="43">
        <v>2015.0</v>
      </c>
      <c r="D113" s="111" t="s">
        <v>35</v>
      </c>
      <c r="E113" s="45" t="s">
        <v>36</v>
      </c>
      <c r="F113" s="45" t="s">
        <v>36</v>
      </c>
      <c r="G113" s="45" t="s">
        <v>36</v>
      </c>
      <c r="H113" s="45" t="s">
        <v>36</v>
      </c>
      <c r="I113" s="45" t="s">
        <v>36</v>
      </c>
      <c r="J113" s="112" t="s">
        <v>36</v>
      </c>
      <c r="K113" s="113" t="s">
        <v>37</v>
      </c>
      <c r="L113" s="114" t="s">
        <v>37</v>
      </c>
      <c r="M113" s="114" t="s">
        <v>35</v>
      </c>
      <c r="N113" s="114" t="s">
        <v>35</v>
      </c>
      <c r="O113" s="114" t="s">
        <v>35</v>
      </c>
      <c r="P113" s="114" t="s">
        <v>35</v>
      </c>
      <c r="Q113" s="114" t="s">
        <v>35</v>
      </c>
      <c r="R113" s="114" t="s">
        <v>37</v>
      </c>
      <c r="S113" s="115" t="s">
        <v>3663</v>
      </c>
      <c r="T113" s="50" t="s">
        <v>3664</v>
      </c>
      <c r="U113" s="50" t="s">
        <v>3665</v>
      </c>
      <c r="V113" s="116">
        <f t="shared" si="2"/>
        <v>0</v>
      </c>
      <c r="W113" s="116">
        <f t="shared" ref="W113:X113" si="118">IF(lenb(SUBSTITUTE($Z113,W$1&amp;" (1)",""))&lt;lenb($Z113),1,IF(lenb(SUBSTITUTE($Z113,W$1&amp;" (2)",""))&lt;lenb($Z113),2,IF(lenb(SUBSTITUTE($Z113,W$1&amp;" (3)",""))&lt;lenb($Z113),3,IF(lenb(SUBSTITUTE($Z113,W$1&amp;" (4)",""))&lt;lenb($Z113),4,IF(lenb(SUBSTITUTE($Z113,W$1&amp;" (5)",""))&lt;lenb($Z113),5,IF(lenb(SUBSTITUTE($Z113,W$1&amp;" (6)",""))&lt;lenb($Z113),6,IF(lenb(SUBSTITUTE($Z113,W$1&amp;" (7)",""))&lt;lenb($Z113),1,IF(lenb(SUBSTITUTE($Z113,W$1&amp;" (8)",""))&lt;lenb($Z113),8,IF(lenb(SUBSTITUTE($Z113,W$1&amp;" (9)",""))&lt;lenb($Z113),9,IF(lenb(SUBSTITUTE($Z113,W$1&amp;" (10)",""))&lt;lenb($Z113),10,IF(lenb(SUBSTITUTE($Z113,W$1,""))&lt;lenb($Z113),"ERROR",IF($Z113=$Y$1,"-",0))))))))))))</f>
        <v>1</v>
      </c>
      <c r="X113" s="116">
        <f t="shared" si="118"/>
        <v>0</v>
      </c>
      <c r="Y113" s="116" t="str">
        <f t="shared" si="4"/>
        <v>-</v>
      </c>
      <c r="Z113" s="115" t="s">
        <v>3423</v>
      </c>
      <c r="AA113" s="54">
        <f t="shared" si="5"/>
        <v>1</v>
      </c>
      <c r="AB113" s="54">
        <f>COUNTIFS(Links!B:B,"FSE",Links!C:C,A113,Links!AD:AD,1)</f>
        <v>1</v>
      </c>
      <c r="AC113" s="117" t="s">
        <v>35</v>
      </c>
      <c r="AD113" s="118" t="s">
        <v>35</v>
      </c>
      <c r="AE113" s="115" t="s">
        <v>36</v>
      </c>
      <c r="AF113" s="57" t="s">
        <v>42</v>
      </c>
      <c r="AG113" s="57" t="s">
        <v>42</v>
      </c>
      <c r="AH113" s="57" t="s">
        <v>42</v>
      </c>
      <c r="AI113" s="116" t="str">
        <f t="shared" si="6"/>
        <v>----</v>
      </c>
      <c r="AJ113" s="119" t="str">
        <f t="shared" si="7"/>
        <v>Paper has link but no statement</v>
      </c>
      <c r="AK113" s="120" t="s">
        <v>3401</v>
      </c>
      <c r="AL113" s="121" t="s">
        <v>3402</v>
      </c>
      <c r="AM113" s="60" t="str">
        <f t="shared" si="8"/>
        <v>[FP0756]</v>
      </c>
    </row>
    <row r="114" ht="67.5" customHeight="1">
      <c r="A114" s="61">
        <v>757.0</v>
      </c>
      <c r="B114" s="22" t="s">
        <v>3666</v>
      </c>
      <c r="C114" s="23">
        <v>2015.0</v>
      </c>
      <c r="D114" s="100" t="s">
        <v>35</v>
      </c>
      <c r="E114" s="25" t="s">
        <v>36</v>
      </c>
      <c r="F114" s="25" t="s">
        <v>36</v>
      </c>
      <c r="G114" s="25" t="s">
        <v>36</v>
      </c>
      <c r="H114" s="25" t="s">
        <v>36</v>
      </c>
      <c r="I114" s="25" t="s">
        <v>36</v>
      </c>
      <c r="J114" s="101" t="s">
        <v>36</v>
      </c>
      <c r="K114" s="102" t="s">
        <v>37</v>
      </c>
      <c r="L114" s="103" t="s">
        <v>37</v>
      </c>
      <c r="M114" s="103" t="s">
        <v>35</v>
      </c>
      <c r="N114" s="103" t="s">
        <v>35</v>
      </c>
      <c r="O114" s="103" t="s">
        <v>35</v>
      </c>
      <c r="P114" s="103" t="s">
        <v>35</v>
      </c>
      <c r="Q114" s="103" t="s">
        <v>35</v>
      </c>
      <c r="R114" s="103" t="s">
        <v>37</v>
      </c>
      <c r="S114" s="104" t="s">
        <v>3667</v>
      </c>
      <c r="T114" s="130" t="s">
        <v>3668</v>
      </c>
      <c r="U114" s="130" t="s">
        <v>3669</v>
      </c>
      <c r="V114" s="105">
        <f t="shared" si="2"/>
        <v>1</v>
      </c>
      <c r="W114" s="105">
        <f t="shared" ref="W114:X114" si="119">IF(lenb(SUBSTITUTE($Z114,W$1&amp;" (1)",""))&lt;lenb($Z114),1,IF(lenb(SUBSTITUTE($Z114,W$1&amp;" (2)",""))&lt;lenb($Z114),2,IF(lenb(SUBSTITUTE($Z114,W$1&amp;" (3)",""))&lt;lenb($Z114),3,IF(lenb(SUBSTITUTE($Z114,W$1&amp;" (4)",""))&lt;lenb($Z114),4,IF(lenb(SUBSTITUTE($Z114,W$1&amp;" (5)",""))&lt;lenb($Z114),5,IF(lenb(SUBSTITUTE($Z114,W$1&amp;" (6)",""))&lt;lenb($Z114),6,IF(lenb(SUBSTITUTE($Z114,W$1&amp;" (7)",""))&lt;lenb($Z114),1,IF(lenb(SUBSTITUTE($Z114,W$1&amp;" (8)",""))&lt;lenb($Z114),8,IF(lenb(SUBSTITUTE($Z114,W$1&amp;" (9)",""))&lt;lenb($Z114),9,IF(lenb(SUBSTITUTE($Z114,W$1&amp;" (10)",""))&lt;lenb($Z114),10,IF(lenb(SUBSTITUTE($Z114,W$1,""))&lt;lenb($Z114),"ERROR",IF($Z114=$Y$1,"-",0))))))))))))</f>
        <v>1</v>
      </c>
      <c r="X114" s="105">
        <f t="shared" si="119"/>
        <v>0</v>
      </c>
      <c r="Y114" s="105" t="str">
        <f t="shared" si="4"/>
        <v>-</v>
      </c>
      <c r="Z114" s="104" t="s">
        <v>3441</v>
      </c>
      <c r="AA114" s="34">
        <f t="shared" si="5"/>
        <v>2</v>
      </c>
      <c r="AB114" s="34">
        <f>COUNTIFS(Links!B:B,"FSE",Links!C:C,A114,Links!AD:AD,1)</f>
        <v>1</v>
      </c>
      <c r="AC114" s="106" t="s">
        <v>35</v>
      </c>
      <c r="AD114" s="107" t="s">
        <v>35</v>
      </c>
      <c r="AE114" s="104" t="s">
        <v>36</v>
      </c>
      <c r="AF114" s="37" t="s">
        <v>42</v>
      </c>
      <c r="AG114" s="37" t="s">
        <v>42</v>
      </c>
      <c r="AH114" s="37" t="s">
        <v>42</v>
      </c>
      <c r="AI114" s="105" t="str">
        <f t="shared" si="6"/>
        <v>----</v>
      </c>
      <c r="AJ114" s="108" t="str">
        <f t="shared" si="7"/>
        <v>Paper has link but no statement</v>
      </c>
      <c r="AK114" s="109" t="s">
        <v>3401</v>
      </c>
      <c r="AL114" s="110" t="s">
        <v>3402</v>
      </c>
      <c r="AM114" s="40" t="str">
        <f t="shared" si="8"/>
        <v>[FP0757]</v>
      </c>
    </row>
    <row r="115" ht="67.5" customHeight="1">
      <c r="A115" s="41">
        <v>758.0</v>
      </c>
      <c r="B115" s="42" t="s">
        <v>3670</v>
      </c>
      <c r="C115" s="43">
        <v>2015.0</v>
      </c>
      <c r="D115" s="111" t="s">
        <v>35</v>
      </c>
      <c r="E115" s="45" t="s">
        <v>36</v>
      </c>
      <c r="F115" s="45" t="s">
        <v>36</v>
      </c>
      <c r="G115" s="45" t="s">
        <v>36</v>
      </c>
      <c r="H115" s="45" t="s">
        <v>36</v>
      </c>
      <c r="I115" s="45" t="s">
        <v>36</v>
      </c>
      <c r="J115" s="112" t="s">
        <v>36</v>
      </c>
      <c r="K115" s="113" t="s">
        <v>35</v>
      </c>
      <c r="L115" s="114" t="s">
        <v>36</v>
      </c>
      <c r="M115" s="114" t="s">
        <v>36</v>
      </c>
      <c r="N115" s="114" t="s">
        <v>36</v>
      </c>
      <c r="O115" s="114" t="s">
        <v>36</v>
      </c>
      <c r="P115" s="114" t="s">
        <v>36</v>
      </c>
      <c r="Q115" s="114" t="s">
        <v>36</v>
      </c>
      <c r="R115" s="114" t="s">
        <v>36</v>
      </c>
      <c r="S115" s="115" t="s">
        <v>42</v>
      </c>
      <c r="T115" s="50" t="s">
        <v>36</v>
      </c>
      <c r="U115" s="50" t="s">
        <v>36</v>
      </c>
      <c r="V115" s="116" t="str">
        <f t="shared" si="2"/>
        <v>-</v>
      </c>
      <c r="W115" s="116" t="str">
        <f t="shared" ref="W115:X115" si="120">IF(lenb(SUBSTITUTE($Z115,W$1&amp;" (1)",""))&lt;lenb($Z115),1,IF(lenb(SUBSTITUTE($Z115,W$1&amp;" (2)",""))&lt;lenb($Z115),2,IF(lenb(SUBSTITUTE($Z115,W$1&amp;" (3)",""))&lt;lenb($Z115),3,IF(lenb(SUBSTITUTE($Z115,W$1&amp;" (4)",""))&lt;lenb($Z115),4,IF(lenb(SUBSTITUTE($Z115,W$1&amp;" (5)",""))&lt;lenb($Z115),5,IF(lenb(SUBSTITUTE($Z115,W$1&amp;" (6)",""))&lt;lenb($Z115),6,IF(lenb(SUBSTITUTE($Z115,W$1&amp;" (7)",""))&lt;lenb($Z115),1,IF(lenb(SUBSTITUTE($Z115,W$1&amp;" (8)",""))&lt;lenb($Z115),8,IF(lenb(SUBSTITUTE($Z115,W$1&amp;" (9)",""))&lt;lenb($Z115),9,IF(lenb(SUBSTITUTE($Z115,W$1&amp;" (10)",""))&lt;lenb($Z115),10,IF(lenb(SUBSTITUTE($Z115,W$1,""))&lt;lenb($Z115),"ERROR",IF($Z115=$Y$1,"-",0))))))))))))</f>
        <v>-</v>
      </c>
      <c r="X115" s="116" t="str">
        <f t="shared" si="120"/>
        <v>-</v>
      </c>
      <c r="Y115" s="116">
        <f t="shared" si="4"/>
        <v>1</v>
      </c>
      <c r="Z115" s="115" t="s">
        <v>23</v>
      </c>
      <c r="AA115" s="54">
        <f t="shared" si="5"/>
        <v>0</v>
      </c>
      <c r="AB115" s="54">
        <f>COUNTIFS(Links!B:B,"FSE",Links!C:C,A115,Links!AD:AD,1)</f>
        <v>0</v>
      </c>
      <c r="AC115" s="117" t="s">
        <v>36</v>
      </c>
      <c r="AD115" s="118" t="s">
        <v>35</v>
      </c>
      <c r="AE115" s="115" t="s">
        <v>36</v>
      </c>
      <c r="AF115" s="57" t="s">
        <v>42</v>
      </c>
      <c r="AG115" s="57" t="s">
        <v>42</v>
      </c>
      <c r="AH115" s="57" t="s">
        <v>42</v>
      </c>
      <c r="AI115" s="116" t="str">
        <f t="shared" si="6"/>
        <v>----</v>
      </c>
      <c r="AJ115" s="119" t="str">
        <f t="shared" si="7"/>
        <v>Paper has no link and no statement</v>
      </c>
      <c r="AK115" s="120" t="s">
        <v>3401</v>
      </c>
      <c r="AL115" s="121" t="s">
        <v>3402</v>
      </c>
      <c r="AM115" s="60" t="str">
        <f t="shared" si="8"/>
        <v>[FP0758]</v>
      </c>
    </row>
    <row r="116" ht="67.5" customHeight="1">
      <c r="A116" s="61">
        <v>759.0</v>
      </c>
      <c r="B116" s="22" t="s">
        <v>3671</v>
      </c>
      <c r="C116" s="23">
        <v>2015.0</v>
      </c>
      <c r="D116" s="100" t="s">
        <v>35</v>
      </c>
      <c r="E116" s="25" t="s">
        <v>36</v>
      </c>
      <c r="F116" s="25" t="s">
        <v>36</v>
      </c>
      <c r="G116" s="25" t="s">
        <v>36</v>
      </c>
      <c r="H116" s="25" t="s">
        <v>36</v>
      </c>
      <c r="I116" s="25" t="s">
        <v>36</v>
      </c>
      <c r="J116" s="101" t="s">
        <v>36</v>
      </c>
      <c r="K116" s="102" t="s">
        <v>37</v>
      </c>
      <c r="L116" s="103" t="s">
        <v>37</v>
      </c>
      <c r="M116" s="103" t="s">
        <v>35</v>
      </c>
      <c r="N116" s="103" t="s">
        <v>35</v>
      </c>
      <c r="O116" s="103" t="s">
        <v>35</v>
      </c>
      <c r="P116" s="103" t="s">
        <v>35</v>
      </c>
      <c r="Q116" s="103" t="s">
        <v>35</v>
      </c>
      <c r="R116" s="103" t="s">
        <v>37</v>
      </c>
      <c r="S116" s="104" t="s">
        <v>3672</v>
      </c>
      <c r="T116" s="30" t="s">
        <v>3673</v>
      </c>
      <c r="U116" s="30" t="s">
        <v>3674</v>
      </c>
      <c r="V116" s="105">
        <f t="shared" si="2"/>
        <v>1</v>
      </c>
      <c r="W116" s="105">
        <f t="shared" ref="W116:X116" si="121">IF(lenb(SUBSTITUTE($Z116,W$1&amp;" (1)",""))&lt;lenb($Z116),1,IF(lenb(SUBSTITUTE($Z116,W$1&amp;" (2)",""))&lt;lenb($Z116),2,IF(lenb(SUBSTITUTE($Z116,W$1&amp;" (3)",""))&lt;lenb($Z116),3,IF(lenb(SUBSTITUTE($Z116,W$1&amp;" (4)",""))&lt;lenb($Z116),4,IF(lenb(SUBSTITUTE($Z116,W$1&amp;" (5)",""))&lt;lenb($Z116),5,IF(lenb(SUBSTITUTE($Z116,W$1&amp;" (6)",""))&lt;lenb($Z116),6,IF(lenb(SUBSTITUTE($Z116,W$1&amp;" (7)",""))&lt;lenb($Z116),1,IF(lenb(SUBSTITUTE($Z116,W$1&amp;" (8)",""))&lt;lenb($Z116),8,IF(lenb(SUBSTITUTE($Z116,W$1&amp;" (9)",""))&lt;lenb($Z116),9,IF(lenb(SUBSTITUTE($Z116,W$1&amp;" (10)",""))&lt;lenb($Z116),10,IF(lenb(SUBSTITUTE($Z116,W$1,""))&lt;lenb($Z116),"ERROR",IF($Z116=$Y$1,"-",0))))))))))))</f>
        <v>0</v>
      </c>
      <c r="X116" s="105">
        <f t="shared" si="121"/>
        <v>1</v>
      </c>
      <c r="Y116" s="105" t="str">
        <f t="shared" si="4"/>
        <v>-</v>
      </c>
      <c r="Z116" s="104" t="s">
        <v>3675</v>
      </c>
      <c r="AA116" s="34">
        <f t="shared" si="5"/>
        <v>2</v>
      </c>
      <c r="AB116" s="34">
        <f>COUNTIFS(Links!B:B,"FSE",Links!C:C,A116,Links!AD:AD,1)</f>
        <v>0</v>
      </c>
      <c r="AC116" s="106" t="s">
        <v>35</v>
      </c>
      <c r="AD116" s="107" t="s">
        <v>35</v>
      </c>
      <c r="AE116" s="104" t="s">
        <v>36</v>
      </c>
      <c r="AF116" s="37" t="s">
        <v>42</v>
      </c>
      <c r="AG116" s="37" t="s">
        <v>42</v>
      </c>
      <c r="AH116" s="37" t="s">
        <v>42</v>
      </c>
      <c r="AI116" s="105" t="str">
        <f t="shared" si="6"/>
        <v>----</v>
      </c>
      <c r="AJ116" s="108" t="str">
        <f t="shared" si="7"/>
        <v>Paper has link but no statement</v>
      </c>
      <c r="AK116" s="109" t="s">
        <v>3401</v>
      </c>
      <c r="AL116" s="110" t="s">
        <v>3402</v>
      </c>
      <c r="AM116" s="40" t="str">
        <f t="shared" si="8"/>
        <v>[FP0759]</v>
      </c>
    </row>
    <row r="117" ht="67.5" customHeight="1">
      <c r="A117" s="41">
        <v>760.0</v>
      </c>
      <c r="B117" s="42" t="s">
        <v>3676</v>
      </c>
      <c r="C117" s="43">
        <v>2015.0</v>
      </c>
      <c r="D117" s="111" t="s">
        <v>35</v>
      </c>
      <c r="E117" s="45" t="s">
        <v>36</v>
      </c>
      <c r="F117" s="45" t="s">
        <v>36</v>
      </c>
      <c r="G117" s="45" t="s">
        <v>36</v>
      </c>
      <c r="H117" s="45" t="s">
        <v>36</v>
      </c>
      <c r="I117" s="45" t="s">
        <v>36</v>
      </c>
      <c r="J117" s="112" t="s">
        <v>36</v>
      </c>
      <c r="K117" s="113" t="s">
        <v>37</v>
      </c>
      <c r="L117" s="114" t="s">
        <v>35</v>
      </c>
      <c r="M117" s="114" t="s">
        <v>35</v>
      </c>
      <c r="N117" s="114" t="s">
        <v>35</v>
      </c>
      <c r="O117" s="114" t="s">
        <v>37</v>
      </c>
      <c r="P117" s="114" t="s">
        <v>35</v>
      </c>
      <c r="Q117" s="114" t="s">
        <v>35</v>
      </c>
      <c r="R117" s="114" t="s">
        <v>35</v>
      </c>
      <c r="S117" s="115" t="s">
        <v>3677</v>
      </c>
      <c r="T117" s="50" t="s">
        <v>3678</v>
      </c>
      <c r="U117" s="50" t="s">
        <v>3678</v>
      </c>
      <c r="V117" s="116">
        <f t="shared" si="2"/>
        <v>0</v>
      </c>
      <c r="W117" s="116">
        <f t="shared" ref="W117:X117" si="122">IF(lenb(SUBSTITUTE($Z117,W$1&amp;" (1)",""))&lt;lenb($Z117),1,IF(lenb(SUBSTITUTE($Z117,W$1&amp;" (2)",""))&lt;lenb($Z117),2,IF(lenb(SUBSTITUTE($Z117,W$1&amp;" (3)",""))&lt;lenb($Z117),3,IF(lenb(SUBSTITUTE($Z117,W$1&amp;" (4)",""))&lt;lenb($Z117),4,IF(lenb(SUBSTITUTE($Z117,W$1&amp;" (5)",""))&lt;lenb($Z117),5,IF(lenb(SUBSTITUTE($Z117,W$1&amp;" (6)",""))&lt;lenb($Z117),6,IF(lenb(SUBSTITUTE($Z117,W$1&amp;" (7)",""))&lt;lenb($Z117),1,IF(lenb(SUBSTITUTE($Z117,W$1&amp;" (8)",""))&lt;lenb($Z117),8,IF(lenb(SUBSTITUTE($Z117,W$1&amp;" (9)",""))&lt;lenb($Z117),9,IF(lenb(SUBSTITUTE($Z117,W$1&amp;" (10)",""))&lt;lenb($Z117),10,IF(lenb(SUBSTITUTE($Z117,W$1,""))&lt;lenb($Z117),"ERROR",IF($Z117=$Y$1,"-",0))))))))))))</f>
        <v>1</v>
      </c>
      <c r="X117" s="116">
        <f t="shared" si="122"/>
        <v>0</v>
      </c>
      <c r="Y117" s="116" t="str">
        <f t="shared" si="4"/>
        <v>-</v>
      </c>
      <c r="Z117" s="115" t="s">
        <v>3423</v>
      </c>
      <c r="AA117" s="54">
        <f t="shared" si="5"/>
        <v>1</v>
      </c>
      <c r="AB117" s="54">
        <f>COUNTIFS(Links!B:B,"FSE",Links!C:C,A117,Links!AD:AD,1)</f>
        <v>0</v>
      </c>
      <c r="AC117" s="117" t="s">
        <v>35</v>
      </c>
      <c r="AD117" s="118" t="s">
        <v>35</v>
      </c>
      <c r="AE117" s="115" t="s">
        <v>36</v>
      </c>
      <c r="AF117" s="57" t="s">
        <v>42</v>
      </c>
      <c r="AG117" s="57" t="s">
        <v>42</v>
      </c>
      <c r="AH117" s="57" t="s">
        <v>42</v>
      </c>
      <c r="AI117" s="116" t="str">
        <f t="shared" si="6"/>
        <v>----</v>
      </c>
      <c r="AJ117" s="119" t="str">
        <f t="shared" si="7"/>
        <v>Paper has link but no statement</v>
      </c>
      <c r="AK117" s="120" t="s">
        <v>3401</v>
      </c>
      <c r="AL117" s="121" t="s">
        <v>3402</v>
      </c>
      <c r="AM117" s="60" t="str">
        <f t="shared" si="8"/>
        <v>[FP0760]</v>
      </c>
    </row>
    <row r="118" ht="67.5" customHeight="1">
      <c r="A118" s="61">
        <v>761.0</v>
      </c>
      <c r="B118" s="22" t="s">
        <v>3679</v>
      </c>
      <c r="C118" s="23">
        <v>2015.0</v>
      </c>
      <c r="D118" s="100" t="s">
        <v>35</v>
      </c>
      <c r="E118" s="25" t="s">
        <v>36</v>
      </c>
      <c r="F118" s="25" t="s">
        <v>36</v>
      </c>
      <c r="G118" s="25" t="s">
        <v>36</v>
      </c>
      <c r="H118" s="25" t="s">
        <v>36</v>
      </c>
      <c r="I118" s="25" t="s">
        <v>36</v>
      </c>
      <c r="J118" s="101" t="s">
        <v>36</v>
      </c>
      <c r="K118" s="102" t="s">
        <v>35</v>
      </c>
      <c r="L118" s="103" t="s">
        <v>36</v>
      </c>
      <c r="M118" s="103" t="s">
        <v>36</v>
      </c>
      <c r="N118" s="103" t="s">
        <v>36</v>
      </c>
      <c r="O118" s="103" t="s">
        <v>36</v>
      </c>
      <c r="P118" s="103" t="s">
        <v>36</v>
      </c>
      <c r="Q118" s="103" t="s">
        <v>36</v>
      </c>
      <c r="R118" s="103" t="s">
        <v>36</v>
      </c>
      <c r="S118" s="104" t="s">
        <v>42</v>
      </c>
      <c r="T118" s="30" t="s">
        <v>36</v>
      </c>
      <c r="U118" s="30" t="s">
        <v>36</v>
      </c>
      <c r="V118" s="105" t="str">
        <f t="shared" si="2"/>
        <v>-</v>
      </c>
      <c r="W118" s="105" t="str">
        <f t="shared" ref="W118:X118" si="123">IF(lenb(SUBSTITUTE($Z118,W$1&amp;" (1)",""))&lt;lenb($Z118),1,IF(lenb(SUBSTITUTE($Z118,W$1&amp;" (2)",""))&lt;lenb($Z118),2,IF(lenb(SUBSTITUTE($Z118,W$1&amp;" (3)",""))&lt;lenb($Z118),3,IF(lenb(SUBSTITUTE($Z118,W$1&amp;" (4)",""))&lt;lenb($Z118),4,IF(lenb(SUBSTITUTE($Z118,W$1&amp;" (5)",""))&lt;lenb($Z118),5,IF(lenb(SUBSTITUTE($Z118,W$1&amp;" (6)",""))&lt;lenb($Z118),6,IF(lenb(SUBSTITUTE($Z118,W$1&amp;" (7)",""))&lt;lenb($Z118),1,IF(lenb(SUBSTITUTE($Z118,W$1&amp;" (8)",""))&lt;lenb($Z118),8,IF(lenb(SUBSTITUTE($Z118,W$1&amp;" (9)",""))&lt;lenb($Z118),9,IF(lenb(SUBSTITUTE($Z118,W$1&amp;" (10)",""))&lt;lenb($Z118),10,IF(lenb(SUBSTITUTE($Z118,W$1,""))&lt;lenb($Z118),"ERROR",IF($Z118=$Y$1,"-",0))))))))))))</f>
        <v>-</v>
      </c>
      <c r="X118" s="105" t="str">
        <f t="shared" si="123"/>
        <v>-</v>
      </c>
      <c r="Y118" s="105">
        <f t="shared" si="4"/>
        <v>1</v>
      </c>
      <c r="Z118" s="104" t="s">
        <v>23</v>
      </c>
      <c r="AA118" s="34">
        <f t="shared" si="5"/>
        <v>0</v>
      </c>
      <c r="AB118" s="34">
        <f>COUNTIFS(Links!B:B,"FSE",Links!C:C,A118,Links!AD:AD,1)</f>
        <v>0</v>
      </c>
      <c r="AC118" s="106" t="s">
        <v>36</v>
      </c>
      <c r="AD118" s="107" t="s">
        <v>35</v>
      </c>
      <c r="AE118" s="104" t="s">
        <v>36</v>
      </c>
      <c r="AF118" s="37" t="s">
        <v>42</v>
      </c>
      <c r="AG118" s="37" t="s">
        <v>42</v>
      </c>
      <c r="AH118" s="37" t="s">
        <v>42</v>
      </c>
      <c r="AI118" s="105" t="str">
        <f t="shared" si="6"/>
        <v>----</v>
      </c>
      <c r="AJ118" s="108" t="str">
        <f t="shared" si="7"/>
        <v>Paper has no link and no statement</v>
      </c>
      <c r="AK118" s="109" t="s">
        <v>3401</v>
      </c>
      <c r="AL118" s="110" t="s">
        <v>3402</v>
      </c>
      <c r="AM118" s="40" t="str">
        <f t="shared" si="8"/>
        <v>[FP0761]</v>
      </c>
    </row>
    <row r="119" ht="67.5" customHeight="1">
      <c r="A119" s="41">
        <v>762.0</v>
      </c>
      <c r="B119" s="42" t="s">
        <v>3680</v>
      </c>
      <c r="C119" s="43">
        <v>2015.0</v>
      </c>
      <c r="D119" s="111" t="s">
        <v>35</v>
      </c>
      <c r="E119" s="45" t="s">
        <v>36</v>
      </c>
      <c r="F119" s="45" t="s">
        <v>36</v>
      </c>
      <c r="G119" s="45" t="s">
        <v>36</v>
      </c>
      <c r="H119" s="45" t="s">
        <v>36</v>
      </c>
      <c r="I119" s="45" t="s">
        <v>36</v>
      </c>
      <c r="J119" s="112" t="s">
        <v>36</v>
      </c>
      <c r="K119" s="113" t="s">
        <v>35</v>
      </c>
      <c r="L119" s="114" t="s">
        <v>36</v>
      </c>
      <c r="M119" s="114" t="s">
        <v>36</v>
      </c>
      <c r="N119" s="114" t="s">
        <v>36</v>
      </c>
      <c r="O119" s="114" t="s">
        <v>36</v>
      </c>
      <c r="P119" s="114" t="s">
        <v>36</v>
      </c>
      <c r="Q119" s="114" t="s">
        <v>36</v>
      </c>
      <c r="R119" s="114" t="s">
        <v>36</v>
      </c>
      <c r="S119" s="115" t="s">
        <v>42</v>
      </c>
      <c r="T119" s="50" t="s">
        <v>36</v>
      </c>
      <c r="U119" s="50" t="s">
        <v>36</v>
      </c>
      <c r="V119" s="116" t="str">
        <f t="shared" si="2"/>
        <v>-</v>
      </c>
      <c r="W119" s="116" t="str">
        <f t="shared" ref="W119:X119" si="124">IF(lenb(SUBSTITUTE($Z119,W$1&amp;" (1)",""))&lt;lenb($Z119),1,IF(lenb(SUBSTITUTE($Z119,W$1&amp;" (2)",""))&lt;lenb($Z119),2,IF(lenb(SUBSTITUTE($Z119,W$1&amp;" (3)",""))&lt;lenb($Z119),3,IF(lenb(SUBSTITUTE($Z119,W$1&amp;" (4)",""))&lt;lenb($Z119),4,IF(lenb(SUBSTITUTE($Z119,W$1&amp;" (5)",""))&lt;lenb($Z119),5,IF(lenb(SUBSTITUTE($Z119,W$1&amp;" (6)",""))&lt;lenb($Z119),6,IF(lenb(SUBSTITUTE($Z119,W$1&amp;" (7)",""))&lt;lenb($Z119),1,IF(lenb(SUBSTITUTE($Z119,W$1&amp;" (8)",""))&lt;lenb($Z119),8,IF(lenb(SUBSTITUTE($Z119,W$1&amp;" (9)",""))&lt;lenb($Z119),9,IF(lenb(SUBSTITUTE($Z119,W$1&amp;" (10)",""))&lt;lenb($Z119),10,IF(lenb(SUBSTITUTE($Z119,W$1,""))&lt;lenb($Z119),"ERROR",IF($Z119=$Y$1,"-",0))))))))))))</f>
        <v>-</v>
      </c>
      <c r="X119" s="116" t="str">
        <f t="shared" si="124"/>
        <v>-</v>
      </c>
      <c r="Y119" s="116">
        <f t="shared" si="4"/>
        <v>1</v>
      </c>
      <c r="Z119" s="115" t="s">
        <v>23</v>
      </c>
      <c r="AA119" s="54">
        <f t="shared" si="5"/>
        <v>0</v>
      </c>
      <c r="AB119" s="54">
        <f>COUNTIFS(Links!B:B,"FSE",Links!C:C,A119,Links!AD:AD,1)</f>
        <v>0</v>
      </c>
      <c r="AC119" s="117" t="s">
        <v>36</v>
      </c>
      <c r="AD119" s="118" t="s">
        <v>35</v>
      </c>
      <c r="AE119" s="115" t="s">
        <v>36</v>
      </c>
      <c r="AF119" s="57" t="s">
        <v>42</v>
      </c>
      <c r="AG119" s="57" t="s">
        <v>42</v>
      </c>
      <c r="AH119" s="57" t="s">
        <v>42</v>
      </c>
      <c r="AI119" s="116" t="str">
        <f t="shared" si="6"/>
        <v>----</v>
      </c>
      <c r="AJ119" s="119" t="str">
        <f t="shared" si="7"/>
        <v>Paper has no link and no statement</v>
      </c>
      <c r="AK119" s="120" t="s">
        <v>3401</v>
      </c>
      <c r="AL119" s="121" t="s">
        <v>3402</v>
      </c>
      <c r="AM119" s="60" t="str">
        <f t="shared" si="8"/>
        <v>[FP0762]</v>
      </c>
    </row>
    <row r="120" ht="67.5" customHeight="1">
      <c r="A120" s="61">
        <v>763.0</v>
      </c>
      <c r="B120" s="22" t="s">
        <v>3681</v>
      </c>
      <c r="C120" s="23">
        <v>2015.0</v>
      </c>
      <c r="D120" s="100" t="s">
        <v>37</v>
      </c>
      <c r="E120" s="25" t="s">
        <v>36</v>
      </c>
      <c r="F120" s="25" t="s">
        <v>36</v>
      </c>
      <c r="G120" s="25" t="s">
        <v>36</v>
      </c>
      <c r="H120" s="25" t="s">
        <v>36</v>
      </c>
      <c r="I120" s="25" t="s">
        <v>36</v>
      </c>
      <c r="J120" s="101" t="s">
        <v>3682</v>
      </c>
      <c r="K120" s="102" t="s">
        <v>37</v>
      </c>
      <c r="L120" s="103" t="s">
        <v>35</v>
      </c>
      <c r="M120" s="103" t="s">
        <v>37</v>
      </c>
      <c r="N120" s="103" t="s">
        <v>37</v>
      </c>
      <c r="O120" s="103" t="s">
        <v>35</v>
      </c>
      <c r="P120" s="103" t="s">
        <v>35</v>
      </c>
      <c r="Q120" s="103" t="s">
        <v>37</v>
      </c>
      <c r="R120" s="103" t="s">
        <v>37</v>
      </c>
      <c r="S120" s="104" t="s">
        <v>3683</v>
      </c>
      <c r="T120" s="30" t="s">
        <v>3684</v>
      </c>
      <c r="U120" s="30" t="s">
        <v>3684</v>
      </c>
      <c r="V120" s="105">
        <f t="shared" si="2"/>
        <v>0</v>
      </c>
      <c r="W120" s="105">
        <f t="shared" ref="W120:X120" si="125">IF(lenb(SUBSTITUTE($Z120,W$1&amp;" (1)",""))&lt;lenb($Z120),1,IF(lenb(SUBSTITUTE($Z120,W$1&amp;" (2)",""))&lt;lenb($Z120),2,IF(lenb(SUBSTITUTE($Z120,W$1&amp;" (3)",""))&lt;lenb($Z120),3,IF(lenb(SUBSTITUTE($Z120,W$1&amp;" (4)",""))&lt;lenb($Z120),4,IF(lenb(SUBSTITUTE($Z120,W$1&amp;" (5)",""))&lt;lenb($Z120),5,IF(lenb(SUBSTITUTE($Z120,W$1&amp;" (6)",""))&lt;lenb($Z120),6,IF(lenb(SUBSTITUTE($Z120,W$1&amp;" (7)",""))&lt;lenb($Z120),1,IF(lenb(SUBSTITUTE($Z120,W$1&amp;" (8)",""))&lt;lenb($Z120),8,IF(lenb(SUBSTITUTE($Z120,W$1&amp;" (9)",""))&lt;lenb($Z120),9,IF(lenb(SUBSTITUTE($Z120,W$1&amp;" (10)",""))&lt;lenb($Z120),10,IF(lenb(SUBSTITUTE($Z120,W$1,""))&lt;lenb($Z120),"ERROR",IF($Z120=$Y$1,"-",0))))))))))))</f>
        <v>1</v>
      </c>
      <c r="X120" s="105">
        <f t="shared" si="125"/>
        <v>0</v>
      </c>
      <c r="Y120" s="105" t="str">
        <f t="shared" si="4"/>
        <v>-</v>
      </c>
      <c r="Z120" s="104" t="s">
        <v>3423</v>
      </c>
      <c r="AA120" s="34">
        <f t="shared" si="5"/>
        <v>1</v>
      </c>
      <c r="AB120" s="34">
        <f>COUNTIFS(Links!B:B,"FSE",Links!C:C,A120,Links!AD:AD,1)</f>
        <v>0</v>
      </c>
      <c r="AC120" s="106" t="s">
        <v>35</v>
      </c>
      <c r="AD120" s="107" t="s">
        <v>35</v>
      </c>
      <c r="AE120" s="104" t="s">
        <v>36</v>
      </c>
      <c r="AF120" s="37" t="s">
        <v>42</v>
      </c>
      <c r="AG120" s="37" t="s">
        <v>42</v>
      </c>
      <c r="AH120" s="37" t="s">
        <v>42</v>
      </c>
      <c r="AI120" s="105" t="str">
        <f t="shared" si="6"/>
        <v>----</v>
      </c>
      <c r="AJ120" s="108" t="str">
        <f t="shared" si="7"/>
        <v>Paper has link but no statement</v>
      </c>
      <c r="AK120" s="109" t="s">
        <v>3401</v>
      </c>
      <c r="AL120" s="110" t="s">
        <v>3402</v>
      </c>
      <c r="AM120" s="40" t="str">
        <f t="shared" si="8"/>
        <v>[FP0763]</v>
      </c>
    </row>
    <row r="121" ht="67.5" customHeight="1">
      <c r="A121" s="41">
        <v>764.0</v>
      </c>
      <c r="B121" s="42" t="s">
        <v>3685</v>
      </c>
      <c r="C121" s="43">
        <v>2015.0</v>
      </c>
      <c r="D121" s="111" t="s">
        <v>37</v>
      </c>
      <c r="E121" s="45" t="s">
        <v>36</v>
      </c>
      <c r="F121" s="45" t="s">
        <v>36</v>
      </c>
      <c r="G121" s="45" t="s">
        <v>36</v>
      </c>
      <c r="H121" s="45" t="s">
        <v>36</v>
      </c>
      <c r="I121" s="45" t="s">
        <v>36</v>
      </c>
      <c r="J121" s="112" t="s">
        <v>3686</v>
      </c>
      <c r="K121" s="113" t="s">
        <v>35</v>
      </c>
      <c r="L121" s="114" t="s">
        <v>36</v>
      </c>
      <c r="M121" s="114" t="s">
        <v>36</v>
      </c>
      <c r="N121" s="114" t="s">
        <v>36</v>
      </c>
      <c r="O121" s="114" t="s">
        <v>36</v>
      </c>
      <c r="P121" s="114" t="s">
        <v>36</v>
      </c>
      <c r="Q121" s="114" t="s">
        <v>36</v>
      </c>
      <c r="R121" s="114" t="s">
        <v>36</v>
      </c>
      <c r="S121" s="115" t="s">
        <v>42</v>
      </c>
      <c r="T121" s="50" t="s">
        <v>36</v>
      </c>
      <c r="U121" s="50" t="s">
        <v>36</v>
      </c>
      <c r="V121" s="116" t="str">
        <f t="shared" si="2"/>
        <v>-</v>
      </c>
      <c r="W121" s="116" t="str">
        <f t="shared" ref="W121:X121" si="126">IF(lenb(SUBSTITUTE($Z121,W$1&amp;" (1)",""))&lt;lenb($Z121),1,IF(lenb(SUBSTITUTE($Z121,W$1&amp;" (2)",""))&lt;lenb($Z121),2,IF(lenb(SUBSTITUTE($Z121,W$1&amp;" (3)",""))&lt;lenb($Z121),3,IF(lenb(SUBSTITUTE($Z121,W$1&amp;" (4)",""))&lt;lenb($Z121),4,IF(lenb(SUBSTITUTE($Z121,W$1&amp;" (5)",""))&lt;lenb($Z121),5,IF(lenb(SUBSTITUTE($Z121,W$1&amp;" (6)",""))&lt;lenb($Z121),6,IF(lenb(SUBSTITUTE($Z121,W$1&amp;" (7)",""))&lt;lenb($Z121),1,IF(lenb(SUBSTITUTE($Z121,W$1&amp;" (8)",""))&lt;lenb($Z121),8,IF(lenb(SUBSTITUTE($Z121,W$1&amp;" (9)",""))&lt;lenb($Z121),9,IF(lenb(SUBSTITUTE($Z121,W$1&amp;" (10)",""))&lt;lenb($Z121),10,IF(lenb(SUBSTITUTE($Z121,W$1,""))&lt;lenb($Z121),"ERROR",IF($Z121=$Y$1,"-",0))))))))))))</f>
        <v>-</v>
      </c>
      <c r="X121" s="116" t="str">
        <f t="shared" si="126"/>
        <v>-</v>
      </c>
      <c r="Y121" s="116">
        <f t="shared" si="4"/>
        <v>1</v>
      </c>
      <c r="Z121" s="115" t="s">
        <v>23</v>
      </c>
      <c r="AA121" s="54">
        <f t="shared" si="5"/>
        <v>0</v>
      </c>
      <c r="AB121" s="54">
        <f>COUNTIFS(Links!B:B,"FSE",Links!C:C,A121,Links!AD:AD,1)</f>
        <v>0</v>
      </c>
      <c r="AC121" s="117" t="s">
        <v>36</v>
      </c>
      <c r="AD121" s="118" t="s">
        <v>35</v>
      </c>
      <c r="AE121" s="115" t="s">
        <v>36</v>
      </c>
      <c r="AF121" s="57" t="s">
        <v>42</v>
      </c>
      <c r="AG121" s="57" t="s">
        <v>42</v>
      </c>
      <c r="AH121" s="57" t="s">
        <v>42</v>
      </c>
      <c r="AI121" s="116" t="str">
        <f t="shared" si="6"/>
        <v>----</v>
      </c>
      <c r="AJ121" s="119" t="str">
        <f t="shared" si="7"/>
        <v>Paper has no link and no statement</v>
      </c>
      <c r="AK121" s="120" t="s">
        <v>3401</v>
      </c>
      <c r="AL121" s="121" t="s">
        <v>3402</v>
      </c>
      <c r="AM121" s="60" t="str">
        <f t="shared" si="8"/>
        <v>[FP0764]</v>
      </c>
    </row>
    <row r="122" ht="67.5" customHeight="1">
      <c r="A122" s="61">
        <v>765.0</v>
      </c>
      <c r="B122" s="22" t="s">
        <v>3687</v>
      </c>
      <c r="C122" s="23">
        <v>2015.0</v>
      </c>
      <c r="D122" s="100" t="s">
        <v>35</v>
      </c>
      <c r="E122" s="25" t="s">
        <v>36</v>
      </c>
      <c r="F122" s="25" t="s">
        <v>36</v>
      </c>
      <c r="G122" s="25" t="s">
        <v>36</v>
      </c>
      <c r="H122" s="25" t="s">
        <v>36</v>
      </c>
      <c r="I122" s="25" t="s">
        <v>36</v>
      </c>
      <c r="J122" s="101" t="s">
        <v>36</v>
      </c>
      <c r="K122" s="102" t="s">
        <v>37</v>
      </c>
      <c r="L122" s="103" t="s">
        <v>35</v>
      </c>
      <c r="M122" s="103" t="s">
        <v>37</v>
      </c>
      <c r="N122" s="103" t="s">
        <v>35</v>
      </c>
      <c r="O122" s="103" t="s">
        <v>35</v>
      </c>
      <c r="P122" s="103" t="s">
        <v>35</v>
      </c>
      <c r="Q122" s="103" t="s">
        <v>35</v>
      </c>
      <c r="R122" s="103" t="s">
        <v>37</v>
      </c>
      <c r="S122" s="104" t="s">
        <v>3688</v>
      </c>
      <c r="T122" s="30" t="s">
        <v>3689</v>
      </c>
      <c r="U122" s="30" t="s">
        <v>3689</v>
      </c>
      <c r="V122" s="105">
        <f t="shared" si="2"/>
        <v>0</v>
      </c>
      <c r="W122" s="105">
        <f t="shared" ref="W122:X122" si="127">IF(lenb(SUBSTITUTE($Z122,W$1&amp;" (1)",""))&lt;lenb($Z122),1,IF(lenb(SUBSTITUTE($Z122,W$1&amp;" (2)",""))&lt;lenb($Z122),2,IF(lenb(SUBSTITUTE($Z122,W$1&amp;" (3)",""))&lt;lenb($Z122),3,IF(lenb(SUBSTITUTE($Z122,W$1&amp;" (4)",""))&lt;lenb($Z122),4,IF(lenb(SUBSTITUTE($Z122,W$1&amp;" (5)",""))&lt;lenb($Z122),5,IF(lenb(SUBSTITUTE($Z122,W$1&amp;" (6)",""))&lt;lenb($Z122),6,IF(lenb(SUBSTITUTE($Z122,W$1&amp;" (7)",""))&lt;lenb($Z122),1,IF(lenb(SUBSTITUTE($Z122,W$1&amp;" (8)",""))&lt;lenb($Z122),8,IF(lenb(SUBSTITUTE($Z122,W$1&amp;" (9)",""))&lt;lenb($Z122),9,IF(lenb(SUBSTITUTE($Z122,W$1&amp;" (10)",""))&lt;lenb($Z122),10,IF(lenb(SUBSTITUTE($Z122,W$1,""))&lt;lenb($Z122),"ERROR",IF($Z122=$Y$1,"-",0))))))))))))</f>
        <v>1</v>
      </c>
      <c r="X122" s="105">
        <f t="shared" si="127"/>
        <v>0</v>
      </c>
      <c r="Y122" s="105" t="str">
        <f t="shared" si="4"/>
        <v>-</v>
      </c>
      <c r="Z122" s="104" t="s">
        <v>3423</v>
      </c>
      <c r="AA122" s="34">
        <f t="shared" si="5"/>
        <v>1</v>
      </c>
      <c r="AB122" s="34">
        <f>COUNTIFS(Links!B:B,"FSE",Links!C:C,A122,Links!AD:AD,1)</f>
        <v>0</v>
      </c>
      <c r="AC122" s="106" t="s">
        <v>35</v>
      </c>
      <c r="AD122" s="107" t="s">
        <v>35</v>
      </c>
      <c r="AE122" s="104" t="s">
        <v>36</v>
      </c>
      <c r="AF122" s="37" t="s">
        <v>42</v>
      </c>
      <c r="AG122" s="37" t="s">
        <v>42</v>
      </c>
      <c r="AH122" s="37" t="s">
        <v>42</v>
      </c>
      <c r="AI122" s="105" t="str">
        <f t="shared" si="6"/>
        <v>----</v>
      </c>
      <c r="AJ122" s="108" t="str">
        <f t="shared" si="7"/>
        <v>Paper has link but no statement</v>
      </c>
      <c r="AK122" s="109" t="s">
        <v>3401</v>
      </c>
      <c r="AL122" s="110" t="s">
        <v>3402</v>
      </c>
      <c r="AM122" s="40" t="str">
        <f t="shared" si="8"/>
        <v>[FP0765]</v>
      </c>
    </row>
    <row r="123" ht="67.5" customHeight="1">
      <c r="A123" s="41">
        <v>766.0</v>
      </c>
      <c r="B123" s="42" t="s">
        <v>3690</v>
      </c>
      <c r="C123" s="43">
        <v>2015.0</v>
      </c>
      <c r="D123" s="111" t="s">
        <v>37</v>
      </c>
      <c r="E123" s="45" t="s">
        <v>36</v>
      </c>
      <c r="F123" s="45" t="s">
        <v>36</v>
      </c>
      <c r="G123" s="45" t="s">
        <v>36</v>
      </c>
      <c r="H123" s="45" t="s">
        <v>36</v>
      </c>
      <c r="I123" s="45" t="s">
        <v>36</v>
      </c>
      <c r="J123" s="112" t="s">
        <v>3691</v>
      </c>
      <c r="K123" s="113" t="s">
        <v>37</v>
      </c>
      <c r="L123" s="114" t="s">
        <v>37</v>
      </c>
      <c r="M123" s="114" t="s">
        <v>35</v>
      </c>
      <c r="N123" s="114" t="s">
        <v>37</v>
      </c>
      <c r="O123" s="114" t="s">
        <v>35</v>
      </c>
      <c r="P123" s="114" t="s">
        <v>35</v>
      </c>
      <c r="Q123" s="114" t="s">
        <v>35</v>
      </c>
      <c r="R123" s="114" t="s">
        <v>37</v>
      </c>
      <c r="S123" s="115" t="s">
        <v>3692</v>
      </c>
      <c r="T123" s="50" t="s">
        <v>3693</v>
      </c>
      <c r="U123" s="50" t="s">
        <v>3693</v>
      </c>
      <c r="V123" s="116">
        <f t="shared" si="2"/>
        <v>1</v>
      </c>
      <c r="W123" s="116">
        <f t="shared" ref="W123:X123" si="128">IF(lenb(SUBSTITUTE($Z123,W$1&amp;" (1)",""))&lt;lenb($Z123),1,IF(lenb(SUBSTITUTE($Z123,W$1&amp;" (2)",""))&lt;lenb($Z123),2,IF(lenb(SUBSTITUTE($Z123,W$1&amp;" (3)",""))&lt;lenb($Z123),3,IF(lenb(SUBSTITUTE($Z123,W$1&amp;" (4)",""))&lt;lenb($Z123),4,IF(lenb(SUBSTITUTE($Z123,W$1&amp;" (5)",""))&lt;lenb($Z123),5,IF(lenb(SUBSTITUTE($Z123,W$1&amp;" (6)",""))&lt;lenb($Z123),6,IF(lenb(SUBSTITUTE($Z123,W$1&amp;" (7)",""))&lt;lenb($Z123),1,IF(lenb(SUBSTITUTE($Z123,W$1&amp;" (8)",""))&lt;lenb($Z123),8,IF(lenb(SUBSTITUTE($Z123,W$1&amp;" (9)",""))&lt;lenb($Z123),9,IF(lenb(SUBSTITUTE($Z123,W$1&amp;" (10)",""))&lt;lenb($Z123),10,IF(lenb(SUBSTITUTE($Z123,W$1,""))&lt;lenb($Z123),"ERROR",IF($Z123=$Y$1,"-",0))))))))))))</f>
        <v>0</v>
      </c>
      <c r="X123" s="116">
        <f t="shared" si="128"/>
        <v>0</v>
      </c>
      <c r="Y123" s="116" t="str">
        <f t="shared" si="4"/>
        <v>-</v>
      </c>
      <c r="Z123" s="115" t="s">
        <v>3400</v>
      </c>
      <c r="AA123" s="54">
        <f t="shared" si="5"/>
        <v>1</v>
      </c>
      <c r="AB123" s="54">
        <f>COUNTIFS(Links!B:B,"FSE",Links!C:C,A123,Links!AD:AD,1)</f>
        <v>0</v>
      </c>
      <c r="AC123" s="117" t="s">
        <v>35</v>
      </c>
      <c r="AD123" s="118" t="s">
        <v>35</v>
      </c>
      <c r="AE123" s="115" t="s">
        <v>36</v>
      </c>
      <c r="AF123" s="57" t="s">
        <v>42</v>
      </c>
      <c r="AG123" s="57" t="s">
        <v>42</v>
      </c>
      <c r="AH123" s="57" t="s">
        <v>42</v>
      </c>
      <c r="AI123" s="116" t="str">
        <f t="shared" si="6"/>
        <v>----</v>
      </c>
      <c r="AJ123" s="119" t="str">
        <f t="shared" si="7"/>
        <v>Paper has link but no statement</v>
      </c>
      <c r="AK123" s="120" t="s">
        <v>3401</v>
      </c>
      <c r="AL123" s="121" t="s">
        <v>3402</v>
      </c>
      <c r="AM123" s="60" t="str">
        <f t="shared" si="8"/>
        <v>[FP0766]</v>
      </c>
    </row>
    <row r="124" ht="67.5" customHeight="1">
      <c r="A124" s="61">
        <v>767.0</v>
      </c>
      <c r="B124" s="22" t="s">
        <v>3694</v>
      </c>
      <c r="C124" s="23">
        <v>2015.0</v>
      </c>
      <c r="D124" s="100" t="s">
        <v>37</v>
      </c>
      <c r="E124" s="25" t="s">
        <v>36</v>
      </c>
      <c r="F124" s="25" t="s">
        <v>36</v>
      </c>
      <c r="G124" s="25" t="s">
        <v>36</v>
      </c>
      <c r="H124" s="25" t="s">
        <v>36</v>
      </c>
      <c r="I124" s="25" t="s">
        <v>36</v>
      </c>
      <c r="J124" s="101" t="s">
        <v>3695</v>
      </c>
      <c r="K124" s="102" t="s">
        <v>37</v>
      </c>
      <c r="L124" s="103" t="s">
        <v>37</v>
      </c>
      <c r="M124" s="103" t="s">
        <v>35</v>
      </c>
      <c r="N124" s="103" t="s">
        <v>35</v>
      </c>
      <c r="O124" s="103" t="s">
        <v>35</v>
      </c>
      <c r="P124" s="103" t="s">
        <v>35</v>
      </c>
      <c r="Q124" s="103" t="s">
        <v>37</v>
      </c>
      <c r="R124" s="103" t="s">
        <v>37</v>
      </c>
      <c r="S124" s="104" t="s">
        <v>3696</v>
      </c>
      <c r="T124" s="30" t="s">
        <v>3697</v>
      </c>
      <c r="U124" s="30" t="s">
        <v>3697</v>
      </c>
      <c r="V124" s="105">
        <f t="shared" si="2"/>
        <v>1</v>
      </c>
      <c r="W124" s="105">
        <f t="shared" ref="W124:X124" si="129">IF(lenb(SUBSTITUTE($Z124,W$1&amp;" (1)",""))&lt;lenb($Z124),1,IF(lenb(SUBSTITUTE($Z124,W$1&amp;" (2)",""))&lt;lenb($Z124),2,IF(lenb(SUBSTITUTE($Z124,W$1&amp;" (3)",""))&lt;lenb($Z124),3,IF(lenb(SUBSTITUTE($Z124,W$1&amp;" (4)",""))&lt;lenb($Z124),4,IF(lenb(SUBSTITUTE($Z124,W$1&amp;" (5)",""))&lt;lenb($Z124),5,IF(lenb(SUBSTITUTE($Z124,W$1&amp;" (6)",""))&lt;lenb($Z124),6,IF(lenb(SUBSTITUTE($Z124,W$1&amp;" (7)",""))&lt;lenb($Z124),1,IF(lenb(SUBSTITUTE($Z124,W$1&amp;" (8)",""))&lt;lenb($Z124),8,IF(lenb(SUBSTITUTE($Z124,W$1&amp;" (9)",""))&lt;lenb($Z124),9,IF(lenb(SUBSTITUTE($Z124,W$1&amp;" (10)",""))&lt;lenb($Z124),10,IF(lenb(SUBSTITUTE($Z124,W$1,""))&lt;lenb($Z124),"ERROR",IF($Z124=$Y$1,"-",0))))))))))))</f>
        <v>0</v>
      </c>
      <c r="X124" s="105">
        <f t="shared" si="129"/>
        <v>0</v>
      </c>
      <c r="Y124" s="105" t="str">
        <f t="shared" si="4"/>
        <v>-</v>
      </c>
      <c r="Z124" s="104" t="s">
        <v>3400</v>
      </c>
      <c r="AA124" s="34">
        <f t="shared" si="5"/>
        <v>1</v>
      </c>
      <c r="AB124" s="34">
        <f>COUNTIFS(Links!B:B,"FSE",Links!C:C,A124,Links!AD:AD,1)</f>
        <v>0</v>
      </c>
      <c r="AC124" s="106" t="s">
        <v>35</v>
      </c>
      <c r="AD124" s="107" t="s">
        <v>35</v>
      </c>
      <c r="AE124" s="104" t="s">
        <v>36</v>
      </c>
      <c r="AF124" s="37" t="s">
        <v>42</v>
      </c>
      <c r="AG124" s="37" t="s">
        <v>42</v>
      </c>
      <c r="AH124" s="37" t="s">
        <v>42</v>
      </c>
      <c r="AI124" s="105" t="str">
        <f t="shared" si="6"/>
        <v>----</v>
      </c>
      <c r="AJ124" s="108" t="str">
        <f t="shared" si="7"/>
        <v>Paper has link but no statement</v>
      </c>
      <c r="AK124" s="109" t="s">
        <v>3401</v>
      </c>
      <c r="AL124" s="110" t="s">
        <v>3402</v>
      </c>
      <c r="AM124" s="40" t="str">
        <f t="shared" si="8"/>
        <v>[FP0767]</v>
      </c>
    </row>
    <row r="125" ht="67.5" customHeight="1">
      <c r="A125" s="41">
        <v>768.0</v>
      </c>
      <c r="B125" s="42" t="s">
        <v>3698</v>
      </c>
      <c r="C125" s="43">
        <v>2015.0</v>
      </c>
      <c r="D125" s="111" t="s">
        <v>35</v>
      </c>
      <c r="E125" s="45" t="s">
        <v>36</v>
      </c>
      <c r="F125" s="45" t="s">
        <v>36</v>
      </c>
      <c r="G125" s="45" t="s">
        <v>36</v>
      </c>
      <c r="H125" s="45" t="s">
        <v>36</v>
      </c>
      <c r="I125" s="45" t="s">
        <v>36</v>
      </c>
      <c r="J125" s="112" t="s">
        <v>36</v>
      </c>
      <c r="K125" s="113" t="s">
        <v>37</v>
      </c>
      <c r="L125" s="114" t="s">
        <v>35</v>
      </c>
      <c r="M125" s="114" t="s">
        <v>37</v>
      </c>
      <c r="N125" s="114" t="s">
        <v>37</v>
      </c>
      <c r="O125" s="114" t="s">
        <v>35</v>
      </c>
      <c r="P125" s="114" t="s">
        <v>35</v>
      </c>
      <c r="Q125" s="114" t="s">
        <v>35</v>
      </c>
      <c r="R125" s="114" t="s">
        <v>37</v>
      </c>
      <c r="S125" s="115" t="s">
        <v>3699</v>
      </c>
      <c r="T125" s="50" t="s">
        <v>3700</v>
      </c>
      <c r="U125" s="50" t="s">
        <v>3700</v>
      </c>
      <c r="V125" s="116">
        <f t="shared" si="2"/>
        <v>1</v>
      </c>
      <c r="W125" s="116">
        <f t="shared" ref="W125:X125" si="130">IF(lenb(SUBSTITUTE($Z125,W$1&amp;" (1)",""))&lt;lenb($Z125),1,IF(lenb(SUBSTITUTE($Z125,W$1&amp;" (2)",""))&lt;lenb($Z125),2,IF(lenb(SUBSTITUTE($Z125,W$1&amp;" (3)",""))&lt;lenb($Z125),3,IF(lenb(SUBSTITUTE($Z125,W$1&amp;" (4)",""))&lt;lenb($Z125),4,IF(lenb(SUBSTITUTE($Z125,W$1&amp;" (5)",""))&lt;lenb($Z125),5,IF(lenb(SUBSTITUTE($Z125,W$1&amp;" (6)",""))&lt;lenb($Z125),6,IF(lenb(SUBSTITUTE($Z125,W$1&amp;" (7)",""))&lt;lenb($Z125),1,IF(lenb(SUBSTITUTE($Z125,W$1&amp;" (8)",""))&lt;lenb($Z125),8,IF(lenb(SUBSTITUTE($Z125,W$1&amp;" (9)",""))&lt;lenb($Z125),9,IF(lenb(SUBSTITUTE($Z125,W$1&amp;" (10)",""))&lt;lenb($Z125),10,IF(lenb(SUBSTITUTE($Z125,W$1,""))&lt;lenb($Z125),"ERROR",IF($Z125=$Y$1,"-",0))))))))))))</f>
        <v>0</v>
      </c>
      <c r="X125" s="116">
        <f t="shared" si="130"/>
        <v>0</v>
      </c>
      <c r="Y125" s="116" t="str">
        <f t="shared" si="4"/>
        <v>-</v>
      </c>
      <c r="Z125" s="115" t="s">
        <v>3400</v>
      </c>
      <c r="AA125" s="54">
        <f t="shared" si="5"/>
        <v>1</v>
      </c>
      <c r="AB125" s="54">
        <f>COUNTIFS(Links!B:B,"FSE",Links!C:C,A125,Links!AD:AD,1)</f>
        <v>0</v>
      </c>
      <c r="AC125" s="117" t="s">
        <v>35</v>
      </c>
      <c r="AD125" s="118" t="s">
        <v>35</v>
      </c>
      <c r="AE125" s="115" t="s">
        <v>36</v>
      </c>
      <c r="AF125" s="57" t="s">
        <v>42</v>
      </c>
      <c r="AG125" s="57" t="s">
        <v>42</v>
      </c>
      <c r="AH125" s="57" t="s">
        <v>42</v>
      </c>
      <c r="AI125" s="116" t="str">
        <f t="shared" si="6"/>
        <v>----</v>
      </c>
      <c r="AJ125" s="119" t="str">
        <f t="shared" si="7"/>
        <v>Paper has link but no statement</v>
      </c>
      <c r="AK125" s="120" t="s">
        <v>3401</v>
      </c>
      <c r="AL125" s="121" t="s">
        <v>3402</v>
      </c>
      <c r="AM125" s="60" t="str">
        <f t="shared" si="8"/>
        <v>[FP0768]</v>
      </c>
    </row>
    <row r="126" ht="67.5" customHeight="1">
      <c r="A126" s="61">
        <v>769.0</v>
      </c>
      <c r="B126" s="22" t="s">
        <v>3701</v>
      </c>
      <c r="C126" s="23">
        <v>2015.0</v>
      </c>
      <c r="D126" s="100" t="s">
        <v>37</v>
      </c>
      <c r="E126" s="25" t="s">
        <v>36</v>
      </c>
      <c r="F126" s="25" t="s">
        <v>36</v>
      </c>
      <c r="G126" s="25" t="s">
        <v>36</v>
      </c>
      <c r="H126" s="25" t="s">
        <v>36</v>
      </c>
      <c r="I126" s="25" t="s">
        <v>36</v>
      </c>
      <c r="J126" s="101" t="s">
        <v>3702</v>
      </c>
      <c r="K126" s="102" t="s">
        <v>37</v>
      </c>
      <c r="L126" s="103" t="s">
        <v>35</v>
      </c>
      <c r="M126" s="103" t="s">
        <v>35</v>
      </c>
      <c r="N126" s="103" t="s">
        <v>35</v>
      </c>
      <c r="O126" s="103" t="s">
        <v>35</v>
      </c>
      <c r="P126" s="103" t="s">
        <v>35</v>
      </c>
      <c r="Q126" s="103" t="s">
        <v>37</v>
      </c>
      <c r="R126" s="103" t="s">
        <v>35</v>
      </c>
      <c r="S126" s="104" t="s">
        <v>3703</v>
      </c>
      <c r="T126" s="30" t="s">
        <v>3704</v>
      </c>
      <c r="U126" s="30" t="s">
        <v>3704</v>
      </c>
      <c r="V126" s="105">
        <f t="shared" si="2"/>
        <v>2</v>
      </c>
      <c r="W126" s="105">
        <f t="shared" ref="W126:X126" si="131">IF(lenb(SUBSTITUTE($Z126,W$1&amp;" (1)",""))&lt;lenb($Z126),1,IF(lenb(SUBSTITUTE($Z126,W$1&amp;" (2)",""))&lt;lenb($Z126),2,IF(lenb(SUBSTITUTE($Z126,W$1&amp;" (3)",""))&lt;lenb($Z126),3,IF(lenb(SUBSTITUTE($Z126,W$1&amp;" (4)",""))&lt;lenb($Z126),4,IF(lenb(SUBSTITUTE($Z126,W$1&amp;" (5)",""))&lt;lenb($Z126),5,IF(lenb(SUBSTITUTE($Z126,W$1&amp;" (6)",""))&lt;lenb($Z126),6,IF(lenb(SUBSTITUTE($Z126,W$1&amp;" (7)",""))&lt;lenb($Z126),1,IF(lenb(SUBSTITUTE($Z126,W$1&amp;" (8)",""))&lt;lenb($Z126),8,IF(lenb(SUBSTITUTE($Z126,W$1&amp;" (9)",""))&lt;lenb($Z126),9,IF(lenb(SUBSTITUTE($Z126,W$1&amp;" (10)",""))&lt;lenb($Z126),10,IF(lenb(SUBSTITUTE($Z126,W$1,""))&lt;lenb($Z126),"ERROR",IF($Z126=$Y$1,"-",0))))))))))))</f>
        <v>0</v>
      </c>
      <c r="X126" s="105">
        <f t="shared" si="131"/>
        <v>0</v>
      </c>
      <c r="Y126" s="105" t="str">
        <f t="shared" si="4"/>
        <v>-</v>
      </c>
      <c r="Z126" s="104" t="s">
        <v>3452</v>
      </c>
      <c r="AA126" s="34">
        <f t="shared" si="5"/>
        <v>2</v>
      </c>
      <c r="AB126" s="34">
        <f>COUNTIFS(Links!B:B,"FSE",Links!C:C,A126,Links!AD:AD,1)</f>
        <v>0</v>
      </c>
      <c r="AC126" s="106" t="s">
        <v>35</v>
      </c>
      <c r="AD126" s="107" t="s">
        <v>35</v>
      </c>
      <c r="AE126" s="104" t="s">
        <v>36</v>
      </c>
      <c r="AF126" s="37" t="s">
        <v>42</v>
      </c>
      <c r="AG126" s="37" t="s">
        <v>42</v>
      </c>
      <c r="AH126" s="37" t="s">
        <v>42</v>
      </c>
      <c r="AI126" s="105" t="str">
        <f t="shared" si="6"/>
        <v>----</v>
      </c>
      <c r="AJ126" s="108" t="str">
        <f t="shared" si="7"/>
        <v>Paper has link but no statement</v>
      </c>
      <c r="AK126" s="109" t="s">
        <v>3401</v>
      </c>
      <c r="AL126" s="110" t="s">
        <v>3402</v>
      </c>
      <c r="AM126" s="40" t="str">
        <f t="shared" si="8"/>
        <v>[FP0769]</v>
      </c>
    </row>
    <row r="127" ht="67.5" customHeight="1">
      <c r="A127" s="41">
        <v>770.0</v>
      </c>
      <c r="B127" s="42" t="s">
        <v>3705</v>
      </c>
      <c r="C127" s="43">
        <v>2015.0</v>
      </c>
      <c r="D127" s="111" t="s">
        <v>37</v>
      </c>
      <c r="E127" s="45" t="s">
        <v>36</v>
      </c>
      <c r="F127" s="45" t="s">
        <v>36</v>
      </c>
      <c r="G127" s="45" t="s">
        <v>36</v>
      </c>
      <c r="H127" s="45" t="s">
        <v>36</v>
      </c>
      <c r="I127" s="45" t="s">
        <v>36</v>
      </c>
      <c r="J127" s="112" t="s">
        <v>3706</v>
      </c>
      <c r="K127" s="113" t="s">
        <v>37</v>
      </c>
      <c r="L127" s="114" t="s">
        <v>35</v>
      </c>
      <c r="M127" s="114" t="s">
        <v>35</v>
      </c>
      <c r="N127" s="114" t="s">
        <v>35</v>
      </c>
      <c r="O127" s="114" t="s">
        <v>35</v>
      </c>
      <c r="P127" s="114" t="s">
        <v>35</v>
      </c>
      <c r="Q127" s="114" t="s">
        <v>37</v>
      </c>
      <c r="R127" s="114" t="s">
        <v>35</v>
      </c>
      <c r="S127" s="115" t="s">
        <v>3523</v>
      </c>
      <c r="T127" s="50" t="s">
        <v>3707</v>
      </c>
      <c r="U127" s="50" t="s">
        <v>3707</v>
      </c>
      <c r="V127" s="116">
        <f t="shared" si="2"/>
        <v>1</v>
      </c>
      <c r="W127" s="116">
        <f t="shared" ref="W127:X127" si="132">IF(lenb(SUBSTITUTE($Z127,W$1&amp;" (1)",""))&lt;lenb($Z127),1,IF(lenb(SUBSTITUTE($Z127,W$1&amp;" (2)",""))&lt;lenb($Z127),2,IF(lenb(SUBSTITUTE($Z127,W$1&amp;" (3)",""))&lt;lenb($Z127),3,IF(lenb(SUBSTITUTE($Z127,W$1&amp;" (4)",""))&lt;lenb($Z127),4,IF(lenb(SUBSTITUTE($Z127,W$1&amp;" (5)",""))&lt;lenb($Z127),5,IF(lenb(SUBSTITUTE($Z127,W$1&amp;" (6)",""))&lt;lenb($Z127),6,IF(lenb(SUBSTITUTE($Z127,W$1&amp;" (7)",""))&lt;lenb($Z127),1,IF(lenb(SUBSTITUTE($Z127,W$1&amp;" (8)",""))&lt;lenb($Z127),8,IF(lenb(SUBSTITUTE($Z127,W$1&amp;" (9)",""))&lt;lenb($Z127),9,IF(lenb(SUBSTITUTE($Z127,W$1&amp;" (10)",""))&lt;lenb($Z127),10,IF(lenb(SUBSTITUTE($Z127,W$1,""))&lt;lenb($Z127),"ERROR",IF($Z127=$Y$1,"-",0))))))))))))</f>
        <v>0</v>
      </c>
      <c r="X127" s="116">
        <f t="shared" si="132"/>
        <v>0</v>
      </c>
      <c r="Y127" s="116" t="str">
        <f t="shared" si="4"/>
        <v>-</v>
      </c>
      <c r="Z127" s="115" t="s">
        <v>3400</v>
      </c>
      <c r="AA127" s="54">
        <f t="shared" si="5"/>
        <v>1</v>
      </c>
      <c r="AB127" s="54">
        <f>COUNTIFS(Links!B:B,"FSE",Links!C:C,A127,Links!AD:AD,1)</f>
        <v>1</v>
      </c>
      <c r="AC127" s="117" t="s">
        <v>35</v>
      </c>
      <c r="AD127" s="118" t="s">
        <v>35</v>
      </c>
      <c r="AE127" s="115" t="s">
        <v>36</v>
      </c>
      <c r="AF127" s="57" t="s">
        <v>42</v>
      </c>
      <c r="AG127" s="57" t="s">
        <v>42</v>
      </c>
      <c r="AH127" s="57" t="s">
        <v>42</v>
      </c>
      <c r="AI127" s="116" t="str">
        <f t="shared" si="6"/>
        <v>----</v>
      </c>
      <c r="AJ127" s="119" t="str">
        <f t="shared" si="7"/>
        <v>Paper has link but no statement</v>
      </c>
      <c r="AK127" s="120" t="s">
        <v>3401</v>
      </c>
      <c r="AL127" s="121" t="s">
        <v>3402</v>
      </c>
      <c r="AM127" s="60" t="str">
        <f t="shared" si="8"/>
        <v>[FP0770]</v>
      </c>
    </row>
    <row r="128" ht="67.5" customHeight="1">
      <c r="A128" s="61">
        <v>771.0</v>
      </c>
      <c r="B128" s="22" t="s">
        <v>3708</v>
      </c>
      <c r="C128" s="23">
        <v>2015.0</v>
      </c>
      <c r="D128" s="100" t="s">
        <v>35</v>
      </c>
      <c r="E128" s="25" t="s">
        <v>36</v>
      </c>
      <c r="F128" s="25" t="s">
        <v>36</v>
      </c>
      <c r="G128" s="25" t="s">
        <v>36</v>
      </c>
      <c r="H128" s="25" t="s">
        <v>36</v>
      </c>
      <c r="I128" s="25" t="s">
        <v>36</v>
      </c>
      <c r="J128" s="101" t="s">
        <v>36</v>
      </c>
      <c r="K128" s="102" t="s">
        <v>35</v>
      </c>
      <c r="L128" s="103" t="s">
        <v>36</v>
      </c>
      <c r="M128" s="103" t="s">
        <v>36</v>
      </c>
      <c r="N128" s="103" t="s">
        <v>36</v>
      </c>
      <c r="O128" s="103" t="s">
        <v>36</v>
      </c>
      <c r="P128" s="103" t="s">
        <v>36</v>
      </c>
      <c r="Q128" s="103" t="s">
        <v>36</v>
      </c>
      <c r="R128" s="103" t="s">
        <v>36</v>
      </c>
      <c r="S128" s="104" t="s">
        <v>42</v>
      </c>
      <c r="T128" s="30" t="s">
        <v>36</v>
      </c>
      <c r="U128" s="30" t="s">
        <v>36</v>
      </c>
      <c r="V128" s="105" t="str">
        <f t="shared" si="2"/>
        <v>-</v>
      </c>
      <c r="W128" s="105" t="str">
        <f t="shared" ref="W128:X128" si="133">IF(lenb(SUBSTITUTE($Z128,W$1&amp;" (1)",""))&lt;lenb($Z128),1,IF(lenb(SUBSTITUTE($Z128,W$1&amp;" (2)",""))&lt;lenb($Z128),2,IF(lenb(SUBSTITUTE($Z128,W$1&amp;" (3)",""))&lt;lenb($Z128),3,IF(lenb(SUBSTITUTE($Z128,W$1&amp;" (4)",""))&lt;lenb($Z128),4,IF(lenb(SUBSTITUTE($Z128,W$1&amp;" (5)",""))&lt;lenb($Z128),5,IF(lenb(SUBSTITUTE($Z128,W$1&amp;" (6)",""))&lt;lenb($Z128),6,IF(lenb(SUBSTITUTE($Z128,W$1&amp;" (7)",""))&lt;lenb($Z128),1,IF(lenb(SUBSTITUTE($Z128,W$1&amp;" (8)",""))&lt;lenb($Z128),8,IF(lenb(SUBSTITUTE($Z128,W$1&amp;" (9)",""))&lt;lenb($Z128),9,IF(lenb(SUBSTITUTE($Z128,W$1&amp;" (10)",""))&lt;lenb($Z128),10,IF(lenb(SUBSTITUTE($Z128,W$1,""))&lt;lenb($Z128),"ERROR",IF($Z128=$Y$1,"-",0))))))))))))</f>
        <v>-</v>
      </c>
      <c r="X128" s="105" t="str">
        <f t="shared" si="133"/>
        <v>-</v>
      </c>
      <c r="Y128" s="105">
        <f t="shared" si="4"/>
        <v>1</v>
      </c>
      <c r="Z128" s="104" t="s">
        <v>23</v>
      </c>
      <c r="AA128" s="34">
        <f t="shared" si="5"/>
        <v>0</v>
      </c>
      <c r="AB128" s="34">
        <f>COUNTIFS(Links!B:B,"FSE",Links!C:C,A128,Links!AD:AD,1)</f>
        <v>0</v>
      </c>
      <c r="AC128" s="106" t="s">
        <v>36</v>
      </c>
      <c r="AD128" s="107" t="s">
        <v>35</v>
      </c>
      <c r="AE128" s="104" t="s">
        <v>36</v>
      </c>
      <c r="AF128" s="37" t="s">
        <v>42</v>
      </c>
      <c r="AG128" s="37" t="s">
        <v>42</v>
      </c>
      <c r="AH128" s="37" t="s">
        <v>42</v>
      </c>
      <c r="AI128" s="105" t="str">
        <f t="shared" si="6"/>
        <v>----</v>
      </c>
      <c r="AJ128" s="108" t="str">
        <f t="shared" si="7"/>
        <v>Paper has no link and no statement</v>
      </c>
      <c r="AK128" s="109" t="s">
        <v>3401</v>
      </c>
      <c r="AL128" s="110" t="s">
        <v>3402</v>
      </c>
      <c r="AM128" s="40" t="str">
        <f t="shared" si="8"/>
        <v>[FP0771]</v>
      </c>
    </row>
    <row r="129" ht="67.5" customHeight="1">
      <c r="A129" s="41">
        <v>772.0</v>
      </c>
      <c r="B129" s="42" t="s">
        <v>3709</v>
      </c>
      <c r="C129" s="43">
        <v>2015.0</v>
      </c>
      <c r="D129" s="111" t="s">
        <v>35</v>
      </c>
      <c r="E129" s="45" t="s">
        <v>36</v>
      </c>
      <c r="F129" s="45" t="s">
        <v>36</v>
      </c>
      <c r="G129" s="45" t="s">
        <v>36</v>
      </c>
      <c r="H129" s="45" t="s">
        <v>36</v>
      </c>
      <c r="I129" s="45" t="s">
        <v>36</v>
      </c>
      <c r="J129" s="112" t="s">
        <v>36</v>
      </c>
      <c r="K129" s="113" t="s">
        <v>35</v>
      </c>
      <c r="L129" s="114" t="s">
        <v>36</v>
      </c>
      <c r="M129" s="114" t="s">
        <v>36</v>
      </c>
      <c r="N129" s="114" t="s">
        <v>36</v>
      </c>
      <c r="O129" s="114" t="s">
        <v>36</v>
      </c>
      <c r="P129" s="114" t="s">
        <v>36</v>
      </c>
      <c r="Q129" s="114" t="s">
        <v>36</v>
      </c>
      <c r="R129" s="114" t="s">
        <v>36</v>
      </c>
      <c r="S129" s="115" t="s">
        <v>42</v>
      </c>
      <c r="T129" s="50" t="s">
        <v>36</v>
      </c>
      <c r="U129" s="50" t="s">
        <v>36</v>
      </c>
      <c r="V129" s="116" t="str">
        <f t="shared" si="2"/>
        <v>-</v>
      </c>
      <c r="W129" s="116" t="str">
        <f t="shared" ref="W129:X129" si="134">IF(lenb(SUBSTITUTE($Z129,W$1&amp;" (1)",""))&lt;lenb($Z129),1,IF(lenb(SUBSTITUTE($Z129,W$1&amp;" (2)",""))&lt;lenb($Z129),2,IF(lenb(SUBSTITUTE($Z129,W$1&amp;" (3)",""))&lt;lenb($Z129),3,IF(lenb(SUBSTITUTE($Z129,W$1&amp;" (4)",""))&lt;lenb($Z129),4,IF(lenb(SUBSTITUTE($Z129,W$1&amp;" (5)",""))&lt;lenb($Z129),5,IF(lenb(SUBSTITUTE($Z129,W$1&amp;" (6)",""))&lt;lenb($Z129),6,IF(lenb(SUBSTITUTE($Z129,W$1&amp;" (7)",""))&lt;lenb($Z129),1,IF(lenb(SUBSTITUTE($Z129,W$1&amp;" (8)",""))&lt;lenb($Z129),8,IF(lenb(SUBSTITUTE($Z129,W$1&amp;" (9)",""))&lt;lenb($Z129),9,IF(lenb(SUBSTITUTE($Z129,W$1&amp;" (10)",""))&lt;lenb($Z129),10,IF(lenb(SUBSTITUTE($Z129,W$1,""))&lt;lenb($Z129),"ERROR",IF($Z129=$Y$1,"-",0))))))))))))</f>
        <v>-</v>
      </c>
      <c r="X129" s="116" t="str">
        <f t="shared" si="134"/>
        <v>-</v>
      </c>
      <c r="Y129" s="116">
        <f t="shared" si="4"/>
        <v>1</v>
      </c>
      <c r="Z129" s="115" t="s">
        <v>23</v>
      </c>
      <c r="AA129" s="54">
        <f t="shared" si="5"/>
        <v>0</v>
      </c>
      <c r="AB129" s="54">
        <f>COUNTIFS(Links!B:B,"FSE",Links!C:C,A129,Links!AD:AD,1)</f>
        <v>0</v>
      </c>
      <c r="AC129" s="117" t="s">
        <v>36</v>
      </c>
      <c r="AD129" s="118" t="s">
        <v>35</v>
      </c>
      <c r="AE129" s="115" t="s">
        <v>36</v>
      </c>
      <c r="AF129" s="57" t="s">
        <v>42</v>
      </c>
      <c r="AG129" s="57" t="s">
        <v>42</v>
      </c>
      <c r="AH129" s="57" t="s">
        <v>42</v>
      </c>
      <c r="AI129" s="116" t="str">
        <f t="shared" si="6"/>
        <v>----</v>
      </c>
      <c r="AJ129" s="119" t="str">
        <f t="shared" si="7"/>
        <v>Paper has no link and no statement</v>
      </c>
      <c r="AK129" s="120" t="s">
        <v>3401</v>
      </c>
      <c r="AL129" s="121" t="s">
        <v>3402</v>
      </c>
      <c r="AM129" s="60" t="str">
        <f t="shared" si="8"/>
        <v>[FP0772]</v>
      </c>
    </row>
    <row r="130" ht="67.5" customHeight="1">
      <c r="A130" s="61">
        <v>773.0</v>
      </c>
      <c r="B130" s="22" t="s">
        <v>3710</v>
      </c>
      <c r="C130" s="23">
        <v>2015.0</v>
      </c>
      <c r="D130" s="100" t="s">
        <v>37</v>
      </c>
      <c r="E130" s="25" t="s">
        <v>36</v>
      </c>
      <c r="F130" s="25" t="s">
        <v>36</v>
      </c>
      <c r="G130" s="25" t="s">
        <v>36</v>
      </c>
      <c r="H130" s="25" t="s">
        <v>36</v>
      </c>
      <c r="I130" s="25" t="s">
        <v>36</v>
      </c>
      <c r="J130" s="101" t="s">
        <v>3711</v>
      </c>
      <c r="K130" s="102" t="s">
        <v>37</v>
      </c>
      <c r="L130" s="103" t="s">
        <v>35</v>
      </c>
      <c r="M130" s="103" t="s">
        <v>35</v>
      </c>
      <c r="N130" s="103" t="s">
        <v>35</v>
      </c>
      <c r="O130" s="103" t="s">
        <v>35</v>
      </c>
      <c r="P130" s="103" t="s">
        <v>35</v>
      </c>
      <c r="Q130" s="103" t="s">
        <v>35</v>
      </c>
      <c r="R130" s="103" t="s">
        <v>37</v>
      </c>
      <c r="S130" s="104" t="s">
        <v>1618</v>
      </c>
      <c r="T130" s="30" t="s">
        <v>3712</v>
      </c>
      <c r="U130" s="30" t="s">
        <v>3712</v>
      </c>
      <c r="V130" s="105">
        <f t="shared" si="2"/>
        <v>0</v>
      </c>
      <c r="W130" s="105">
        <f t="shared" ref="W130:X130" si="135">IF(lenb(SUBSTITUTE($Z130,W$1&amp;" (1)",""))&lt;lenb($Z130),1,IF(lenb(SUBSTITUTE($Z130,W$1&amp;" (2)",""))&lt;lenb($Z130),2,IF(lenb(SUBSTITUTE($Z130,W$1&amp;" (3)",""))&lt;lenb($Z130),3,IF(lenb(SUBSTITUTE($Z130,W$1&amp;" (4)",""))&lt;lenb($Z130),4,IF(lenb(SUBSTITUTE($Z130,W$1&amp;" (5)",""))&lt;lenb($Z130),5,IF(lenb(SUBSTITUTE($Z130,W$1&amp;" (6)",""))&lt;lenb($Z130),6,IF(lenb(SUBSTITUTE($Z130,W$1&amp;" (7)",""))&lt;lenb($Z130),1,IF(lenb(SUBSTITUTE($Z130,W$1&amp;" (8)",""))&lt;lenb($Z130),8,IF(lenb(SUBSTITUTE($Z130,W$1&amp;" (9)",""))&lt;lenb($Z130),9,IF(lenb(SUBSTITUTE($Z130,W$1&amp;" (10)",""))&lt;lenb($Z130),10,IF(lenb(SUBSTITUTE($Z130,W$1,""))&lt;lenb($Z130),"ERROR",IF($Z130=$Y$1,"-",0))))))))))))</f>
        <v>1</v>
      </c>
      <c r="X130" s="105">
        <f t="shared" si="135"/>
        <v>0</v>
      </c>
      <c r="Y130" s="105" t="str">
        <f t="shared" si="4"/>
        <v>-</v>
      </c>
      <c r="Z130" s="104" t="s">
        <v>3423</v>
      </c>
      <c r="AA130" s="34">
        <f t="shared" si="5"/>
        <v>1</v>
      </c>
      <c r="AB130" s="34">
        <f>COUNTIFS(Links!B:B,"FSE",Links!C:C,A130,Links!AD:AD,1)</f>
        <v>1</v>
      </c>
      <c r="AC130" s="106" t="s">
        <v>35</v>
      </c>
      <c r="AD130" s="107" t="s">
        <v>35</v>
      </c>
      <c r="AE130" s="104" t="s">
        <v>36</v>
      </c>
      <c r="AF130" s="37" t="s">
        <v>42</v>
      </c>
      <c r="AG130" s="37" t="s">
        <v>42</v>
      </c>
      <c r="AH130" s="37" t="s">
        <v>42</v>
      </c>
      <c r="AI130" s="105" t="str">
        <f t="shared" si="6"/>
        <v>----</v>
      </c>
      <c r="AJ130" s="108" t="str">
        <f t="shared" si="7"/>
        <v>Paper has link but no statement</v>
      </c>
      <c r="AK130" s="109" t="s">
        <v>3401</v>
      </c>
      <c r="AL130" s="110" t="s">
        <v>3402</v>
      </c>
      <c r="AM130" s="40" t="str">
        <f t="shared" si="8"/>
        <v>[FP0773]</v>
      </c>
    </row>
    <row r="131" ht="67.5" customHeight="1">
      <c r="A131" s="41">
        <v>774.0</v>
      </c>
      <c r="B131" s="42" t="s">
        <v>3713</v>
      </c>
      <c r="C131" s="43">
        <v>2015.0</v>
      </c>
      <c r="D131" s="111" t="s">
        <v>35</v>
      </c>
      <c r="E131" s="45" t="s">
        <v>36</v>
      </c>
      <c r="F131" s="45" t="s">
        <v>36</v>
      </c>
      <c r="G131" s="45" t="s">
        <v>36</v>
      </c>
      <c r="H131" s="45" t="s">
        <v>36</v>
      </c>
      <c r="I131" s="45" t="s">
        <v>36</v>
      </c>
      <c r="J131" s="112" t="s">
        <v>36</v>
      </c>
      <c r="K131" s="113" t="s">
        <v>37</v>
      </c>
      <c r="L131" s="114" t="s">
        <v>35</v>
      </c>
      <c r="M131" s="114" t="s">
        <v>35</v>
      </c>
      <c r="N131" s="114" t="s">
        <v>37</v>
      </c>
      <c r="O131" s="114" t="s">
        <v>35</v>
      </c>
      <c r="P131" s="114" t="s">
        <v>35</v>
      </c>
      <c r="Q131" s="114" t="s">
        <v>35</v>
      </c>
      <c r="R131" s="114" t="s">
        <v>35</v>
      </c>
      <c r="S131" s="115" t="s">
        <v>84</v>
      </c>
      <c r="T131" s="50" t="s">
        <v>3714</v>
      </c>
      <c r="U131" s="50" t="s">
        <v>3714</v>
      </c>
      <c r="V131" s="116">
        <f t="shared" si="2"/>
        <v>1</v>
      </c>
      <c r="W131" s="116">
        <f t="shared" ref="W131:X131" si="136">IF(lenb(SUBSTITUTE($Z131,W$1&amp;" (1)",""))&lt;lenb($Z131),1,IF(lenb(SUBSTITUTE($Z131,W$1&amp;" (2)",""))&lt;lenb($Z131),2,IF(lenb(SUBSTITUTE($Z131,W$1&amp;" (3)",""))&lt;lenb($Z131),3,IF(lenb(SUBSTITUTE($Z131,W$1&amp;" (4)",""))&lt;lenb($Z131),4,IF(lenb(SUBSTITUTE($Z131,W$1&amp;" (5)",""))&lt;lenb($Z131),5,IF(lenb(SUBSTITUTE($Z131,W$1&amp;" (6)",""))&lt;lenb($Z131),6,IF(lenb(SUBSTITUTE($Z131,W$1&amp;" (7)",""))&lt;lenb($Z131),1,IF(lenb(SUBSTITUTE($Z131,W$1&amp;" (8)",""))&lt;lenb($Z131),8,IF(lenb(SUBSTITUTE($Z131,W$1&amp;" (9)",""))&lt;lenb($Z131),9,IF(lenb(SUBSTITUTE($Z131,W$1&amp;" (10)",""))&lt;lenb($Z131),10,IF(lenb(SUBSTITUTE($Z131,W$1,""))&lt;lenb($Z131),"ERROR",IF($Z131=$Y$1,"-",0))))))))))))</f>
        <v>0</v>
      </c>
      <c r="X131" s="116">
        <f t="shared" si="136"/>
        <v>0</v>
      </c>
      <c r="Y131" s="116" t="str">
        <f t="shared" si="4"/>
        <v>-</v>
      </c>
      <c r="Z131" s="115" t="s">
        <v>3400</v>
      </c>
      <c r="AA131" s="54">
        <f t="shared" si="5"/>
        <v>1</v>
      </c>
      <c r="AB131" s="54">
        <f>COUNTIFS(Links!B:B,"FSE",Links!C:C,A131,Links!AD:AD,1)</f>
        <v>0</v>
      </c>
      <c r="AC131" s="117" t="s">
        <v>35</v>
      </c>
      <c r="AD131" s="118" t="s">
        <v>35</v>
      </c>
      <c r="AE131" s="115" t="s">
        <v>36</v>
      </c>
      <c r="AF131" s="57" t="s">
        <v>42</v>
      </c>
      <c r="AG131" s="57" t="s">
        <v>42</v>
      </c>
      <c r="AH131" s="57" t="s">
        <v>42</v>
      </c>
      <c r="AI131" s="116" t="str">
        <f t="shared" si="6"/>
        <v>----</v>
      </c>
      <c r="AJ131" s="119" t="str">
        <f t="shared" si="7"/>
        <v>Paper has link but no statement</v>
      </c>
      <c r="AK131" s="120" t="s">
        <v>3401</v>
      </c>
      <c r="AL131" s="121" t="s">
        <v>3402</v>
      </c>
      <c r="AM131" s="60" t="str">
        <f t="shared" si="8"/>
        <v>[FP0774]</v>
      </c>
    </row>
    <row r="132" ht="67.5" customHeight="1">
      <c r="A132" s="61">
        <v>775.0</v>
      </c>
      <c r="B132" s="22" t="s">
        <v>3715</v>
      </c>
      <c r="C132" s="23">
        <v>2015.0</v>
      </c>
      <c r="D132" s="100" t="s">
        <v>35</v>
      </c>
      <c r="E132" s="25" t="s">
        <v>36</v>
      </c>
      <c r="F132" s="25" t="s">
        <v>36</v>
      </c>
      <c r="G132" s="25" t="s">
        <v>36</v>
      </c>
      <c r="H132" s="25" t="s">
        <v>36</v>
      </c>
      <c r="I132" s="25" t="s">
        <v>36</v>
      </c>
      <c r="J132" s="101" t="s">
        <v>36</v>
      </c>
      <c r="K132" s="102" t="s">
        <v>35</v>
      </c>
      <c r="L132" s="103" t="s">
        <v>36</v>
      </c>
      <c r="M132" s="103" t="s">
        <v>36</v>
      </c>
      <c r="N132" s="103" t="s">
        <v>36</v>
      </c>
      <c r="O132" s="103" t="s">
        <v>36</v>
      </c>
      <c r="P132" s="103" t="s">
        <v>36</v>
      </c>
      <c r="Q132" s="103" t="s">
        <v>36</v>
      </c>
      <c r="R132" s="103" t="s">
        <v>36</v>
      </c>
      <c r="S132" s="104" t="s">
        <v>42</v>
      </c>
      <c r="T132" s="30" t="s">
        <v>36</v>
      </c>
      <c r="U132" s="30" t="s">
        <v>36</v>
      </c>
      <c r="V132" s="105" t="str">
        <f t="shared" si="2"/>
        <v>-</v>
      </c>
      <c r="W132" s="105" t="str">
        <f t="shared" ref="W132:X132" si="137">IF(lenb(SUBSTITUTE($Z132,W$1&amp;" (1)",""))&lt;lenb($Z132),1,IF(lenb(SUBSTITUTE($Z132,W$1&amp;" (2)",""))&lt;lenb($Z132),2,IF(lenb(SUBSTITUTE($Z132,W$1&amp;" (3)",""))&lt;lenb($Z132),3,IF(lenb(SUBSTITUTE($Z132,W$1&amp;" (4)",""))&lt;lenb($Z132),4,IF(lenb(SUBSTITUTE($Z132,W$1&amp;" (5)",""))&lt;lenb($Z132),5,IF(lenb(SUBSTITUTE($Z132,W$1&amp;" (6)",""))&lt;lenb($Z132),6,IF(lenb(SUBSTITUTE($Z132,W$1&amp;" (7)",""))&lt;lenb($Z132),1,IF(lenb(SUBSTITUTE($Z132,W$1&amp;" (8)",""))&lt;lenb($Z132),8,IF(lenb(SUBSTITUTE($Z132,W$1&amp;" (9)",""))&lt;lenb($Z132),9,IF(lenb(SUBSTITUTE($Z132,W$1&amp;" (10)",""))&lt;lenb($Z132),10,IF(lenb(SUBSTITUTE($Z132,W$1,""))&lt;lenb($Z132),"ERROR",IF($Z132=$Y$1,"-",0))))))))))))</f>
        <v>-</v>
      </c>
      <c r="X132" s="105" t="str">
        <f t="shared" si="137"/>
        <v>-</v>
      </c>
      <c r="Y132" s="105">
        <f t="shared" si="4"/>
        <v>1</v>
      </c>
      <c r="Z132" s="104" t="s">
        <v>23</v>
      </c>
      <c r="AA132" s="34">
        <f t="shared" si="5"/>
        <v>0</v>
      </c>
      <c r="AB132" s="34">
        <f>COUNTIFS(Links!B:B,"FSE",Links!C:C,A132,Links!AD:AD,1)</f>
        <v>0</v>
      </c>
      <c r="AC132" s="106" t="s">
        <v>36</v>
      </c>
      <c r="AD132" s="107" t="s">
        <v>35</v>
      </c>
      <c r="AE132" s="104" t="s">
        <v>36</v>
      </c>
      <c r="AF132" s="37" t="s">
        <v>42</v>
      </c>
      <c r="AG132" s="37" t="s">
        <v>42</v>
      </c>
      <c r="AH132" s="37" t="s">
        <v>42</v>
      </c>
      <c r="AI132" s="105" t="str">
        <f t="shared" si="6"/>
        <v>----</v>
      </c>
      <c r="AJ132" s="108" t="str">
        <f t="shared" si="7"/>
        <v>Paper has no link and no statement</v>
      </c>
      <c r="AK132" s="109" t="s">
        <v>3401</v>
      </c>
      <c r="AL132" s="110" t="s">
        <v>3402</v>
      </c>
      <c r="AM132" s="40" t="str">
        <f t="shared" si="8"/>
        <v>[FP0775]</v>
      </c>
    </row>
    <row r="133" ht="67.5" customHeight="1">
      <c r="A133" s="41">
        <v>776.0</v>
      </c>
      <c r="B133" s="42" t="s">
        <v>3716</v>
      </c>
      <c r="C133" s="43">
        <v>2015.0</v>
      </c>
      <c r="D133" s="111" t="s">
        <v>37</v>
      </c>
      <c r="E133" s="45" t="s">
        <v>36</v>
      </c>
      <c r="F133" s="45" t="s">
        <v>36</v>
      </c>
      <c r="G133" s="45" t="s">
        <v>36</v>
      </c>
      <c r="H133" s="45" t="s">
        <v>36</v>
      </c>
      <c r="I133" s="45" t="s">
        <v>36</v>
      </c>
      <c r="J133" s="112" t="s">
        <v>3717</v>
      </c>
      <c r="K133" s="113" t="s">
        <v>37</v>
      </c>
      <c r="L133" s="114" t="s">
        <v>35</v>
      </c>
      <c r="M133" s="114" t="s">
        <v>37</v>
      </c>
      <c r="N133" s="114" t="s">
        <v>35</v>
      </c>
      <c r="O133" s="114" t="s">
        <v>35</v>
      </c>
      <c r="P133" s="114" t="s">
        <v>35</v>
      </c>
      <c r="Q133" s="114" t="s">
        <v>37</v>
      </c>
      <c r="R133" s="114" t="s">
        <v>35</v>
      </c>
      <c r="S133" s="115" t="s">
        <v>3718</v>
      </c>
      <c r="T133" s="50" t="s">
        <v>3719</v>
      </c>
      <c r="U133" s="50" t="s">
        <v>3719</v>
      </c>
      <c r="V133" s="116">
        <f t="shared" si="2"/>
        <v>1</v>
      </c>
      <c r="W133" s="116">
        <f t="shared" ref="W133:X133" si="138">IF(lenb(SUBSTITUTE($Z133,W$1&amp;" (1)",""))&lt;lenb($Z133),1,IF(lenb(SUBSTITUTE($Z133,W$1&amp;" (2)",""))&lt;lenb($Z133),2,IF(lenb(SUBSTITUTE($Z133,W$1&amp;" (3)",""))&lt;lenb($Z133),3,IF(lenb(SUBSTITUTE($Z133,W$1&amp;" (4)",""))&lt;lenb($Z133),4,IF(lenb(SUBSTITUTE($Z133,W$1&amp;" (5)",""))&lt;lenb($Z133),5,IF(lenb(SUBSTITUTE($Z133,W$1&amp;" (6)",""))&lt;lenb($Z133),6,IF(lenb(SUBSTITUTE($Z133,W$1&amp;" (7)",""))&lt;lenb($Z133),1,IF(lenb(SUBSTITUTE($Z133,W$1&amp;" (8)",""))&lt;lenb($Z133),8,IF(lenb(SUBSTITUTE($Z133,W$1&amp;" (9)",""))&lt;lenb($Z133),9,IF(lenb(SUBSTITUTE($Z133,W$1&amp;" (10)",""))&lt;lenb($Z133),10,IF(lenb(SUBSTITUTE($Z133,W$1,""))&lt;lenb($Z133),"ERROR",IF($Z133=$Y$1,"-",0))))))))))))</f>
        <v>0</v>
      </c>
      <c r="X133" s="116">
        <f t="shared" si="138"/>
        <v>0</v>
      </c>
      <c r="Y133" s="116" t="str">
        <f t="shared" si="4"/>
        <v>-</v>
      </c>
      <c r="Z133" s="115" t="s">
        <v>3400</v>
      </c>
      <c r="AA133" s="54">
        <f t="shared" si="5"/>
        <v>1</v>
      </c>
      <c r="AB133" s="54">
        <f>COUNTIFS(Links!B:B,"FSE",Links!C:C,A133,Links!AD:AD,1)</f>
        <v>0</v>
      </c>
      <c r="AC133" s="117" t="s">
        <v>35</v>
      </c>
      <c r="AD133" s="118" t="s">
        <v>35</v>
      </c>
      <c r="AE133" s="115" t="s">
        <v>36</v>
      </c>
      <c r="AF133" s="57" t="s">
        <v>42</v>
      </c>
      <c r="AG133" s="57" t="s">
        <v>42</v>
      </c>
      <c r="AH133" s="57" t="s">
        <v>42</v>
      </c>
      <c r="AI133" s="116" t="str">
        <f t="shared" si="6"/>
        <v>----</v>
      </c>
      <c r="AJ133" s="119" t="str">
        <f t="shared" si="7"/>
        <v>Paper has link but no statement</v>
      </c>
      <c r="AK133" s="120" t="s">
        <v>3401</v>
      </c>
      <c r="AL133" s="121" t="s">
        <v>3402</v>
      </c>
      <c r="AM133" s="60" t="str">
        <f t="shared" si="8"/>
        <v>[FP0776]</v>
      </c>
    </row>
    <row r="134" ht="67.5" customHeight="1">
      <c r="A134" s="61">
        <v>777.0</v>
      </c>
      <c r="B134" s="22" t="s">
        <v>3720</v>
      </c>
      <c r="C134" s="23">
        <v>2015.0</v>
      </c>
      <c r="D134" s="100" t="s">
        <v>35</v>
      </c>
      <c r="E134" s="25" t="s">
        <v>36</v>
      </c>
      <c r="F134" s="25" t="s">
        <v>36</v>
      </c>
      <c r="G134" s="25" t="s">
        <v>36</v>
      </c>
      <c r="H134" s="25" t="s">
        <v>36</v>
      </c>
      <c r="I134" s="25" t="s">
        <v>36</v>
      </c>
      <c r="J134" s="101" t="s">
        <v>36</v>
      </c>
      <c r="K134" s="102" t="s">
        <v>37</v>
      </c>
      <c r="L134" s="103" t="s">
        <v>37</v>
      </c>
      <c r="M134" s="103" t="s">
        <v>35</v>
      </c>
      <c r="N134" s="103" t="s">
        <v>37</v>
      </c>
      <c r="O134" s="103" t="s">
        <v>35</v>
      </c>
      <c r="P134" s="103" t="s">
        <v>35</v>
      </c>
      <c r="Q134" s="103" t="s">
        <v>35</v>
      </c>
      <c r="R134" s="103" t="s">
        <v>37</v>
      </c>
      <c r="S134" s="104" t="s">
        <v>3721</v>
      </c>
      <c r="T134" s="30" t="s">
        <v>3722</v>
      </c>
      <c r="U134" s="30" t="s">
        <v>3722</v>
      </c>
      <c r="V134" s="105">
        <f t="shared" si="2"/>
        <v>1</v>
      </c>
      <c r="W134" s="105">
        <f t="shared" ref="W134:X134" si="139">IF(lenb(SUBSTITUTE($Z134,W$1&amp;" (1)",""))&lt;lenb($Z134),1,IF(lenb(SUBSTITUTE($Z134,W$1&amp;" (2)",""))&lt;lenb($Z134),2,IF(lenb(SUBSTITUTE($Z134,W$1&amp;" (3)",""))&lt;lenb($Z134),3,IF(lenb(SUBSTITUTE($Z134,W$1&amp;" (4)",""))&lt;lenb($Z134),4,IF(lenb(SUBSTITUTE($Z134,W$1&amp;" (5)",""))&lt;lenb($Z134),5,IF(lenb(SUBSTITUTE($Z134,W$1&amp;" (6)",""))&lt;lenb($Z134),6,IF(lenb(SUBSTITUTE($Z134,W$1&amp;" (7)",""))&lt;lenb($Z134),1,IF(lenb(SUBSTITUTE($Z134,W$1&amp;" (8)",""))&lt;lenb($Z134),8,IF(lenb(SUBSTITUTE($Z134,W$1&amp;" (9)",""))&lt;lenb($Z134),9,IF(lenb(SUBSTITUTE($Z134,W$1&amp;" (10)",""))&lt;lenb($Z134),10,IF(lenb(SUBSTITUTE($Z134,W$1,""))&lt;lenb($Z134),"ERROR",IF($Z134=$Y$1,"-",0))))))))))))</f>
        <v>0</v>
      </c>
      <c r="X134" s="105">
        <f t="shared" si="139"/>
        <v>0</v>
      </c>
      <c r="Y134" s="105" t="str">
        <f t="shared" si="4"/>
        <v>-</v>
      </c>
      <c r="Z134" s="104" t="s">
        <v>3400</v>
      </c>
      <c r="AA134" s="34">
        <f t="shared" si="5"/>
        <v>1</v>
      </c>
      <c r="AB134" s="34">
        <f>COUNTIFS(Links!B:B,"FSE",Links!C:C,A134,Links!AD:AD,1)</f>
        <v>0</v>
      </c>
      <c r="AC134" s="106" t="s">
        <v>35</v>
      </c>
      <c r="AD134" s="107" t="s">
        <v>35</v>
      </c>
      <c r="AE134" s="104" t="s">
        <v>36</v>
      </c>
      <c r="AF134" s="37" t="s">
        <v>42</v>
      </c>
      <c r="AG134" s="37" t="s">
        <v>42</v>
      </c>
      <c r="AH134" s="37" t="s">
        <v>42</v>
      </c>
      <c r="AI134" s="105" t="str">
        <f t="shared" si="6"/>
        <v>----</v>
      </c>
      <c r="AJ134" s="108" t="str">
        <f t="shared" si="7"/>
        <v>Paper has link but no statement</v>
      </c>
      <c r="AK134" s="109" t="s">
        <v>3401</v>
      </c>
      <c r="AL134" s="110" t="s">
        <v>3402</v>
      </c>
      <c r="AM134" s="40" t="str">
        <f t="shared" si="8"/>
        <v>[FP0777]</v>
      </c>
    </row>
    <row r="135" ht="67.5" customHeight="1">
      <c r="A135" s="41">
        <v>778.0</v>
      </c>
      <c r="B135" s="42" t="s">
        <v>3723</v>
      </c>
      <c r="C135" s="43">
        <v>2015.0</v>
      </c>
      <c r="D135" s="111" t="s">
        <v>35</v>
      </c>
      <c r="E135" s="45" t="s">
        <v>36</v>
      </c>
      <c r="F135" s="45" t="s">
        <v>36</v>
      </c>
      <c r="G135" s="45" t="s">
        <v>36</v>
      </c>
      <c r="H135" s="45" t="s">
        <v>36</v>
      </c>
      <c r="I135" s="45" t="s">
        <v>36</v>
      </c>
      <c r="J135" s="112" t="s">
        <v>36</v>
      </c>
      <c r="K135" s="113" t="s">
        <v>35</v>
      </c>
      <c r="L135" s="114" t="s">
        <v>36</v>
      </c>
      <c r="M135" s="114" t="s">
        <v>36</v>
      </c>
      <c r="N135" s="114" t="s">
        <v>36</v>
      </c>
      <c r="O135" s="114" t="s">
        <v>36</v>
      </c>
      <c r="P135" s="114" t="s">
        <v>36</v>
      </c>
      <c r="Q135" s="114" t="s">
        <v>36</v>
      </c>
      <c r="R135" s="114" t="s">
        <v>36</v>
      </c>
      <c r="S135" s="115" t="s">
        <v>42</v>
      </c>
      <c r="T135" s="50" t="s">
        <v>36</v>
      </c>
      <c r="U135" s="50" t="s">
        <v>36</v>
      </c>
      <c r="V135" s="116" t="str">
        <f t="shared" si="2"/>
        <v>-</v>
      </c>
      <c r="W135" s="116" t="str">
        <f t="shared" ref="W135:X135" si="140">IF(lenb(SUBSTITUTE($Z135,W$1&amp;" (1)",""))&lt;lenb($Z135),1,IF(lenb(SUBSTITUTE($Z135,W$1&amp;" (2)",""))&lt;lenb($Z135),2,IF(lenb(SUBSTITUTE($Z135,W$1&amp;" (3)",""))&lt;lenb($Z135),3,IF(lenb(SUBSTITUTE($Z135,W$1&amp;" (4)",""))&lt;lenb($Z135),4,IF(lenb(SUBSTITUTE($Z135,W$1&amp;" (5)",""))&lt;lenb($Z135),5,IF(lenb(SUBSTITUTE($Z135,W$1&amp;" (6)",""))&lt;lenb($Z135),6,IF(lenb(SUBSTITUTE($Z135,W$1&amp;" (7)",""))&lt;lenb($Z135),1,IF(lenb(SUBSTITUTE($Z135,W$1&amp;" (8)",""))&lt;lenb($Z135),8,IF(lenb(SUBSTITUTE($Z135,W$1&amp;" (9)",""))&lt;lenb($Z135),9,IF(lenb(SUBSTITUTE($Z135,W$1&amp;" (10)",""))&lt;lenb($Z135),10,IF(lenb(SUBSTITUTE($Z135,W$1,""))&lt;lenb($Z135),"ERROR",IF($Z135=$Y$1,"-",0))))))))))))</f>
        <v>-</v>
      </c>
      <c r="X135" s="116" t="str">
        <f t="shared" si="140"/>
        <v>-</v>
      </c>
      <c r="Y135" s="116">
        <f t="shared" si="4"/>
        <v>1</v>
      </c>
      <c r="Z135" s="115" t="s">
        <v>23</v>
      </c>
      <c r="AA135" s="54">
        <f t="shared" si="5"/>
        <v>0</v>
      </c>
      <c r="AB135" s="54">
        <f>COUNTIFS(Links!B:B,"FSE",Links!C:C,A135,Links!AD:AD,1)</f>
        <v>0</v>
      </c>
      <c r="AC135" s="117" t="s">
        <v>36</v>
      </c>
      <c r="AD135" s="118" t="s">
        <v>35</v>
      </c>
      <c r="AE135" s="115" t="s">
        <v>36</v>
      </c>
      <c r="AF135" s="57" t="s">
        <v>42</v>
      </c>
      <c r="AG135" s="57" t="s">
        <v>42</v>
      </c>
      <c r="AH135" s="57" t="s">
        <v>42</v>
      </c>
      <c r="AI135" s="116" t="str">
        <f t="shared" si="6"/>
        <v>----</v>
      </c>
      <c r="AJ135" s="119" t="str">
        <f t="shared" si="7"/>
        <v>Paper has no link and no statement</v>
      </c>
      <c r="AK135" s="120" t="s">
        <v>3401</v>
      </c>
      <c r="AL135" s="121" t="s">
        <v>3402</v>
      </c>
      <c r="AM135" s="60" t="str">
        <f t="shared" si="8"/>
        <v>[FP0778]</v>
      </c>
    </row>
    <row r="136" ht="67.5" customHeight="1">
      <c r="A136" s="61">
        <v>779.0</v>
      </c>
      <c r="B136" s="22" t="s">
        <v>3724</v>
      </c>
      <c r="C136" s="23">
        <v>2015.0</v>
      </c>
      <c r="D136" s="100" t="s">
        <v>37</v>
      </c>
      <c r="E136" s="25" t="s">
        <v>36</v>
      </c>
      <c r="F136" s="25" t="s">
        <v>36</v>
      </c>
      <c r="G136" s="25" t="s">
        <v>36</v>
      </c>
      <c r="H136" s="25" t="s">
        <v>36</v>
      </c>
      <c r="I136" s="25" t="s">
        <v>36</v>
      </c>
      <c r="J136" s="101" t="s">
        <v>3582</v>
      </c>
      <c r="K136" s="102" t="s">
        <v>37</v>
      </c>
      <c r="L136" s="103" t="s">
        <v>35</v>
      </c>
      <c r="M136" s="103" t="s">
        <v>37</v>
      </c>
      <c r="N136" s="103" t="s">
        <v>35</v>
      </c>
      <c r="O136" s="103" t="s">
        <v>35</v>
      </c>
      <c r="P136" s="103" t="s">
        <v>35</v>
      </c>
      <c r="Q136" s="103" t="s">
        <v>35</v>
      </c>
      <c r="R136" s="103" t="s">
        <v>37</v>
      </c>
      <c r="S136" s="104" t="s">
        <v>3725</v>
      </c>
      <c r="T136" s="30" t="s">
        <v>3726</v>
      </c>
      <c r="U136" s="30" t="s">
        <v>3726</v>
      </c>
      <c r="V136" s="105">
        <f t="shared" si="2"/>
        <v>1</v>
      </c>
      <c r="W136" s="105">
        <f t="shared" ref="W136:X136" si="141">IF(lenb(SUBSTITUTE($Z136,W$1&amp;" (1)",""))&lt;lenb($Z136),1,IF(lenb(SUBSTITUTE($Z136,W$1&amp;" (2)",""))&lt;lenb($Z136),2,IF(lenb(SUBSTITUTE($Z136,W$1&amp;" (3)",""))&lt;lenb($Z136),3,IF(lenb(SUBSTITUTE($Z136,W$1&amp;" (4)",""))&lt;lenb($Z136),4,IF(lenb(SUBSTITUTE($Z136,W$1&amp;" (5)",""))&lt;lenb($Z136),5,IF(lenb(SUBSTITUTE($Z136,W$1&amp;" (6)",""))&lt;lenb($Z136),6,IF(lenb(SUBSTITUTE($Z136,W$1&amp;" (7)",""))&lt;lenb($Z136),1,IF(lenb(SUBSTITUTE($Z136,W$1&amp;" (8)",""))&lt;lenb($Z136),8,IF(lenb(SUBSTITUTE($Z136,W$1&amp;" (9)",""))&lt;lenb($Z136),9,IF(lenb(SUBSTITUTE($Z136,W$1&amp;" (10)",""))&lt;lenb($Z136),10,IF(lenb(SUBSTITUTE($Z136,W$1,""))&lt;lenb($Z136),"ERROR",IF($Z136=$Y$1,"-",0))))))))))))</f>
        <v>0</v>
      </c>
      <c r="X136" s="105">
        <f t="shared" si="141"/>
        <v>0</v>
      </c>
      <c r="Y136" s="105" t="str">
        <f t="shared" si="4"/>
        <v>-</v>
      </c>
      <c r="Z136" s="104" t="s">
        <v>3400</v>
      </c>
      <c r="AA136" s="34">
        <f t="shared" si="5"/>
        <v>1</v>
      </c>
      <c r="AB136" s="34">
        <f>COUNTIFS(Links!B:B,"FSE",Links!C:C,A136,Links!AD:AD,1)</f>
        <v>0</v>
      </c>
      <c r="AC136" s="106" t="s">
        <v>35</v>
      </c>
      <c r="AD136" s="107" t="s">
        <v>35</v>
      </c>
      <c r="AE136" s="104" t="s">
        <v>36</v>
      </c>
      <c r="AF136" s="37" t="s">
        <v>42</v>
      </c>
      <c r="AG136" s="37" t="s">
        <v>42</v>
      </c>
      <c r="AH136" s="37" t="s">
        <v>42</v>
      </c>
      <c r="AI136" s="105" t="str">
        <f t="shared" si="6"/>
        <v>----</v>
      </c>
      <c r="AJ136" s="108" t="str">
        <f t="shared" si="7"/>
        <v>Paper has link but no statement</v>
      </c>
      <c r="AK136" s="109" t="s">
        <v>3401</v>
      </c>
      <c r="AL136" s="110" t="s">
        <v>3402</v>
      </c>
      <c r="AM136" s="40" t="str">
        <f t="shared" si="8"/>
        <v>[FP0779]</v>
      </c>
    </row>
    <row r="137" ht="67.5" customHeight="1">
      <c r="A137" s="41">
        <v>632.0</v>
      </c>
      <c r="B137" s="42" t="s">
        <v>3727</v>
      </c>
      <c r="C137" s="43">
        <v>2016.0</v>
      </c>
      <c r="D137" s="111" t="s">
        <v>35</v>
      </c>
      <c r="E137" s="45" t="s">
        <v>36</v>
      </c>
      <c r="F137" s="45" t="s">
        <v>36</v>
      </c>
      <c r="G137" s="45" t="s">
        <v>36</v>
      </c>
      <c r="H137" s="45" t="s">
        <v>36</v>
      </c>
      <c r="I137" s="45" t="s">
        <v>36</v>
      </c>
      <c r="J137" s="112" t="s">
        <v>36</v>
      </c>
      <c r="K137" s="113" t="s">
        <v>37</v>
      </c>
      <c r="L137" s="114" t="s">
        <v>35</v>
      </c>
      <c r="M137" s="131" t="s">
        <v>37</v>
      </c>
      <c r="N137" s="131" t="s">
        <v>37</v>
      </c>
      <c r="O137" s="131" t="s">
        <v>37</v>
      </c>
      <c r="P137" s="114" t="s">
        <v>35</v>
      </c>
      <c r="Q137" s="114" t="s">
        <v>35</v>
      </c>
      <c r="R137" s="131" t="s">
        <v>37</v>
      </c>
      <c r="S137" s="115" t="s">
        <v>3728</v>
      </c>
      <c r="T137" s="50" t="s">
        <v>3729</v>
      </c>
      <c r="U137" s="50" t="s">
        <v>3729</v>
      </c>
      <c r="V137" s="116">
        <f t="shared" si="2"/>
        <v>1</v>
      </c>
      <c r="W137" s="116">
        <f t="shared" ref="W137:X137" si="142">IF(lenb(SUBSTITUTE($Z137,W$1&amp;" (1)",""))&lt;lenb($Z137),1,IF(lenb(SUBSTITUTE($Z137,W$1&amp;" (2)",""))&lt;lenb($Z137),2,IF(lenb(SUBSTITUTE($Z137,W$1&amp;" (3)",""))&lt;lenb($Z137),3,IF(lenb(SUBSTITUTE($Z137,W$1&amp;" (4)",""))&lt;lenb($Z137),4,IF(lenb(SUBSTITUTE($Z137,W$1&amp;" (5)",""))&lt;lenb($Z137),5,IF(lenb(SUBSTITUTE($Z137,W$1&amp;" (6)",""))&lt;lenb($Z137),6,IF(lenb(SUBSTITUTE($Z137,W$1&amp;" (7)",""))&lt;lenb($Z137),1,IF(lenb(SUBSTITUTE($Z137,W$1&amp;" (8)",""))&lt;lenb($Z137),8,IF(lenb(SUBSTITUTE($Z137,W$1&amp;" (9)",""))&lt;lenb($Z137),9,IF(lenb(SUBSTITUTE($Z137,W$1&amp;" (10)",""))&lt;lenb($Z137),10,IF(lenb(SUBSTITUTE($Z137,W$1,""))&lt;lenb($Z137),"ERROR",IF($Z137=$Y$1,"-",0))))))))))))</f>
        <v>0</v>
      </c>
      <c r="X137" s="116">
        <f t="shared" si="142"/>
        <v>0</v>
      </c>
      <c r="Y137" s="116" t="str">
        <f t="shared" si="4"/>
        <v>-</v>
      </c>
      <c r="Z137" s="115" t="s">
        <v>3400</v>
      </c>
      <c r="AA137" s="54">
        <f t="shared" si="5"/>
        <v>1</v>
      </c>
      <c r="AB137" s="54">
        <f>COUNTIFS(Links!B:B,"FSE",Links!C:C,A137,Links!AD:AD,1)</f>
        <v>1</v>
      </c>
      <c r="AC137" s="117" t="s">
        <v>35</v>
      </c>
      <c r="AD137" s="118" t="s">
        <v>35</v>
      </c>
      <c r="AE137" s="115" t="s">
        <v>36</v>
      </c>
      <c r="AF137" s="57" t="s">
        <v>42</v>
      </c>
      <c r="AG137" s="57" t="s">
        <v>42</v>
      </c>
      <c r="AH137" s="57" t="s">
        <v>42</v>
      </c>
      <c r="AI137" s="116" t="str">
        <f t="shared" si="6"/>
        <v>----</v>
      </c>
      <c r="AJ137" s="119" t="str">
        <f t="shared" si="7"/>
        <v>Paper has link but no statement</v>
      </c>
      <c r="AK137" s="120" t="s">
        <v>3401</v>
      </c>
      <c r="AL137" s="121" t="s">
        <v>3402</v>
      </c>
      <c r="AM137" s="60" t="str">
        <f t="shared" si="8"/>
        <v>[FP0632]</v>
      </c>
    </row>
    <row r="138" ht="67.5" customHeight="1">
      <c r="A138" s="61">
        <v>633.0</v>
      </c>
      <c r="B138" s="22" t="s">
        <v>3730</v>
      </c>
      <c r="C138" s="23">
        <v>2016.0</v>
      </c>
      <c r="D138" s="100" t="s">
        <v>35</v>
      </c>
      <c r="E138" s="25" t="s">
        <v>36</v>
      </c>
      <c r="F138" s="25" t="s">
        <v>36</v>
      </c>
      <c r="G138" s="25" t="s">
        <v>36</v>
      </c>
      <c r="H138" s="25" t="s">
        <v>36</v>
      </c>
      <c r="I138" s="25" t="s">
        <v>36</v>
      </c>
      <c r="J138" s="101" t="s">
        <v>36</v>
      </c>
      <c r="K138" s="102" t="s">
        <v>37</v>
      </c>
      <c r="L138" s="103" t="s">
        <v>37</v>
      </c>
      <c r="M138" s="103" t="s">
        <v>35</v>
      </c>
      <c r="N138" s="103" t="s">
        <v>35</v>
      </c>
      <c r="O138" s="103" t="s">
        <v>35</v>
      </c>
      <c r="P138" s="103" t="s">
        <v>35</v>
      </c>
      <c r="Q138" s="103" t="s">
        <v>35</v>
      </c>
      <c r="R138" s="103" t="s">
        <v>37</v>
      </c>
      <c r="S138" s="104" t="s">
        <v>3731</v>
      </c>
      <c r="T138" s="22" t="s">
        <v>3732</v>
      </c>
      <c r="U138" s="30" t="s">
        <v>3732</v>
      </c>
      <c r="V138" s="105">
        <f t="shared" si="2"/>
        <v>0</v>
      </c>
      <c r="W138" s="105">
        <f t="shared" ref="W138:X138" si="143">IF(lenb(SUBSTITUTE($Z138,W$1&amp;" (1)",""))&lt;lenb($Z138),1,IF(lenb(SUBSTITUTE($Z138,W$1&amp;" (2)",""))&lt;lenb($Z138),2,IF(lenb(SUBSTITUTE($Z138,W$1&amp;" (3)",""))&lt;lenb($Z138),3,IF(lenb(SUBSTITUTE($Z138,W$1&amp;" (4)",""))&lt;lenb($Z138),4,IF(lenb(SUBSTITUTE($Z138,W$1&amp;" (5)",""))&lt;lenb($Z138),5,IF(lenb(SUBSTITUTE($Z138,W$1&amp;" (6)",""))&lt;lenb($Z138),6,IF(lenb(SUBSTITUTE($Z138,W$1&amp;" (7)",""))&lt;lenb($Z138),1,IF(lenb(SUBSTITUTE($Z138,W$1&amp;" (8)",""))&lt;lenb($Z138),8,IF(lenb(SUBSTITUTE($Z138,W$1&amp;" (9)",""))&lt;lenb($Z138),9,IF(lenb(SUBSTITUTE($Z138,W$1&amp;" (10)",""))&lt;lenb($Z138),10,IF(lenb(SUBSTITUTE($Z138,W$1,""))&lt;lenb($Z138),"ERROR",IF($Z138=$Y$1,"-",0))))))))))))</f>
        <v>0</v>
      </c>
      <c r="X138" s="105">
        <f t="shared" si="143"/>
        <v>1</v>
      </c>
      <c r="Y138" s="105" t="str">
        <f t="shared" si="4"/>
        <v>-</v>
      </c>
      <c r="Z138" s="104" t="s">
        <v>3563</v>
      </c>
      <c r="AA138" s="34">
        <f t="shared" si="5"/>
        <v>1</v>
      </c>
      <c r="AB138" s="34">
        <f>COUNTIFS(Links!B:B,"FSE",Links!C:C,A138,Links!AD:AD,1)</f>
        <v>0</v>
      </c>
      <c r="AC138" s="106" t="s">
        <v>35</v>
      </c>
      <c r="AD138" s="107" t="s">
        <v>35</v>
      </c>
      <c r="AE138" s="104" t="s">
        <v>36</v>
      </c>
      <c r="AF138" s="37" t="s">
        <v>42</v>
      </c>
      <c r="AG138" s="37" t="s">
        <v>42</v>
      </c>
      <c r="AH138" s="37" t="s">
        <v>42</v>
      </c>
      <c r="AI138" s="105" t="str">
        <f t="shared" si="6"/>
        <v>----</v>
      </c>
      <c r="AJ138" s="108" t="str">
        <f t="shared" si="7"/>
        <v>Paper has link but no statement</v>
      </c>
      <c r="AK138" s="109" t="s">
        <v>3401</v>
      </c>
      <c r="AL138" s="110" t="s">
        <v>3402</v>
      </c>
      <c r="AM138" s="40" t="str">
        <f t="shared" si="8"/>
        <v>[FP0633]</v>
      </c>
    </row>
    <row r="139" ht="67.5" customHeight="1">
      <c r="A139" s="41">
        <v>634.0</v>
      </c>
      <c r="B139" s="42" t="s">
        <v>3733</v>
      </c>
      <c r="C139" s="43">
        <v>2016.0</v>
      </c>
      <c r="D139" s="111" t="s">
        <v>35</v>
      </c>
      <c r="E139" s="45" t="s">
        <v>36</v>
      </c>
      <c r="F139" s="45" t="s">
        <v>36</v>
      </c>
      <c r="G139" s="45" t="s">
        <v>36</v>
      </c>
      <c r="H139" s="45" t="s">
        <v>36</v>
      </c>
      <c r="I139" s="45" t="s">
        <v>36</v>
      </c>
      <c r="J139" s="112" t="s">
        <v>36</v>
      </c>
      <c r="K139" s="113" t="s">
        <v>35</v>
      </c>
      <c r="L139" s="114" t="s">
        <v>36</v>
      </c>
      <c r="M139" s="114" t="s">
        <v>36</v>
      </c>
      <c r="N139" s="114" t="s">
        <v>36</v>
      </c>
      <c r="O139" s="114" t="s">
        <v>36</v>
      </c>
      <c r="P139" s="114" t="s">
        <v>36</v>
      </c>
      <c r="Q139" s="114" t="s">
        <v>36</v>
      </c>
      <c r="R139" s="114" t="s">
        <v>36</v>
      </c>
      <c r="S139" s="115" t="s">
        <v>42</v>
      </c>
      <c r="T139" s="50" t="s">
        <v>36</v>
      </c>
      <c r="U139" s="50" t="s">
        <v>36</v>
      </c>
      <c r="V139" s="116" t="str">
        <f t="shared" si="2"/>
        <v>-</v>
      </c>
      <c r="W139" s="116" t="str">
        <f t="shared" ref="W139:X139" si="144">IF(lenb(SUBSTITUTE($Z139,W$1&amp;" (1)",""))&lt;lenb($Z139),1,IF(lenb(SUBSTITUTE($Z139,W$1&amp;" (2)",""))&lt;lenb($Z139),2,IF(lenb(SUBSTITUTE($Z139,W$1&amp;" (3)",""))&lt;lenb($Z139),3,IF(lenb(SUBSTITUTE($Z139,W$1&amp;" (4)",""))&lt;lenb($Z139),4,IF(lenb(SUBSTITUTE($Z139,W$1&amp;" (5)",""))&lt;lenb($Z139),5,IF(lenb(SUBSTITUTE($Z139,W$1&amp;" (6)",""))&lt;lenb($Z139),6,IF(lenb(SUBSTITUTE($Z139,W$1&amp;" (7)",""))&lt;lenb($Z139),1,IF(lenb(SUBSTITUTE($Z139,W$1&amp;" (8)",""))&lt;lenb($Z139),8,IF(lenb(SUBSTITUTE($Z139,W$1&amp;" (9)",""))&lt;lenb($Z139),9,IF(lenb(SUBSTITUTE($Z139,W$1&amp;" (10)",""))&lt;lenb($Z139),10,IF(lenb(SUBSTITUTE($Z139,W$1,""))&lt;lenb($Z139),"ERROR",IF($Z139=$Y$1,"-",0))))))))))))</f>
        <v>-</v>
      </c>
      <c r="X139" s="116" t="str">
        <f t="shared" si="144"/>
        <v>-</v>
      </c>
      <c r="Y139" s="116">
        <f t="shared" si="4"/>
        <v>1</v>
      </c>
      <c r="Z139" s="115" t="s">
        <v>23</v>
      </c>
      <c r="AA139" s="54">
        <f t="shared" si="5"/>
        <v>0</v>
      </c>
      <c r="AB139" s="54">
        <f>COUNTIFS(Links!B:B,"FSE",Links!C:C,A139,Links!AD:AD,1)</f>
        <v>0</v>
      </c>
      <c r="AC139" s="117" t="s">
        <v>36</v>
      </c>
      <c r="AD139" s="118" t="s">
        <v>35</v>
      </c>
      <c r="AE139" s="115" t="s">
        <v>36</v>
      </c>
      <c r="AF139" s="57" t="s">
        <v>42</v>
      </c>
      <c r="AG139" s="57" t="s">
        <v>42</v>
      </c>
      <c r="AH139" s="57" t="s">
        <v>42</v>
      </c>
      <c r="AI139" s="116" t="str">
        <f t="shared" si="6"/>
        <v>----</v>
      </c>
      <c r="AJ139" s="119" t="str">
        <f t="shared" si="7"/>
        <v>Paper has no link and no statement</v>
      </c>
      <c r="AK139" s="120" t="s">
        <v>3401</v>
      </c>
      <c r="AL139" s="121" t="s">
        <v>3402</v>
      </c>
      <c r="AM139" s="60" t="str">
        <f t="shared" si="8"/>
        <v>[FP0634]</v>
      </c>
    </row>
    <row r="140" ht="67.5" customHeight="1">
      <c r="A140" s="61">
        <v>635.0</v>
      </c>
      <c r="B140" s="22" t="s">
        <v>3734</v>
      </c>
      <c r="C140" s="23">
        <v>2016.0</v>
      </c>
      <c r="D140" s="100" t="s">
        <v>35</v>
      </c>
      <c r="E140" s="25" t="s">
        <v>36</v>
      </c>
      <c r="F140" s="25" t="s">
        <v>36</v>
      </c>
      <c r="G140" s="25" t="s">
        <v>36</v>
      </c>
      <c r="H140" s="25" t="s">
        <v>36</v>
      </c>
      <c r="I140" s="25" t="s">
        <v>36</v>
      </c>
      <c r="J140" s="101" t="s">
        <v>36</v>
      </c>
      <c r="K140" s="102" t="s">
        <v>35</v>
      </c>
      <c r="L140" s="103" t="s">
        <v>36</v>
      </c>
      <c r="M140" s="103" t="s">
        <v>36</v>
      </c>
      <c r="N140" s="103" t="s">
        <v>36</v>
      </c>
      <c r="O140" s="103" t="s">
        <v>36</v>
      </c>
      <c r="P140" s="103" t="s">
        <v>36</v>
      </c>
      <c r="Q140" s="103" t="s">
        <v>36</v>
      </c>
      <c r="R140" s="103" t="s">
        <v>36</v>
      </c>
      <c r="S140" s="104" t="s">
        <v>42</v>
      </c>
      <c r="T140" s="30" t="s">
        <v>36</v>
      </c>
      <c r="U140" s="30" t="s">
        <v>36</v>
      </c>
      <c r="V140" s="105" t="str">
        <f t="shared" si="2"/>
        <v>-</v>
      </c>
      <c r="W140" s="105" t="str">
        <f t="shared" ref="W140:X140" si="145">IF(lenb(SUBSTITUTE($Z140,W$1&amp;" (1)",""))&lt;lenb($Z140),1,IF(lenb(SUBSTITUTE($Z140,W$1&amp;" (2)",""))&lt;lenb($Z140),2,IF(lenb(SUBSTITUTE($Z140,W$1&amp;" (3)",""))&lt;lenb($Z140),3,IF(lenb(SUBSTITUTE($Z140,W$1&amp;" (4)",""))&lt;lenb($Z140),4,IF(lenb(SUBSTITUTE($Z140,W$1&amp;" (5)",""))&lt;lenb($Z140),5,IF(lenb(SUBSTITUTE($Z140,W$1&amp;" (6)",""))&lt;lenb($Z140),6,IF(lenb(SUBSTITUTE($Z140,W$1&amp;" (7)",""))&lt;lenb($Z140),1,IF(lenb(SUBSTITUTE($Z140,W$1&amp;" (8)",""))&lt;lenb($Z140),8,IF(lenb(SUBSTITUTE($Z140,W$1&amp;" (9)",""))&lt;lenb($Z140),9,IF(lenb(SUBSTITUTE($Z140,W$1&amp;" (10)",""))&lt;lenb($Z140),10,IF(lenb(SUBSTITUTE($Z140,W$1,""))&lt;lenb($Z140),"ERROR",IF($Z140=$Y$1,"-",0))))))))))))</f>
        <v>-</v>
      </c>
      <c r="X140" s="105" t="str">
        <f t="shared" si="145"/>
        <v>-</v>
      </c>
      <c r="Y140" s="105">
        <f t="shared" si="4"/>
        <v>1</v>
      </c>
      <c r="Z140" s="104" t="s">
        <v>23</v>
      </c>
      <c r="AA140" s="34">
        <f t="shared" si="5"/>
        <v>0</v>
      </c>
      <c r="AB140" s="34">
        <f>COUNTIFS(Links!B:B,"FSE",Links!C:C,A140,Links!AD:AD,1)</f>
        <v>0</v>
      </c>
      <c r="AC140" s="106" t="s">
        <v>36</v>
      </c>
      <c r="AD140" s="107" t="s">
        <v>35</v>
      </c>
      <c r="AE140" s="104" t="s">
        <v>36</v>
      </c>
      <c r="AF140" s="37" t="s">
        <v>42</v>
      </c>
      <c r="AG140" s="37" t="s">
        <v>42</v>
      </c>
      <c r="AH140" s="37" t="s">
        <v>42</v>
      </c>
      <c r="AI140" s="105" t="str">
        <f t="shared" si="6"/>
        <v>----</v>
      </c>
      <c r="AJ140" s="108" t="str">
        <f t="shared" si="7"/>
        <v>Paper has no link and no statement</v>
      </c>
      <c r="AK140" s="109" t="s">
        <v>3401</v>
      </c>
      <c r="AL140" s="110" t="s">
        <v>3402</v>
      </c>
      <c r="AM140" s="40" t="str">
        <f t="shared" si="8"/>
        <v>[FP0635]</v>
      </c>
    </row>
    <row r="141" ht="67.5" customHeight="1">
      <c r="A141" s="41">
        <v>636.0</v>
      </c>
      <c r="B141" s="42" t="s">
        <v>3735</v>
      </c>
      <c r="C141" s="43">
        <v>2016.0</v>
      </c>
      <c r="D141" s="111" t="s">
        <v>35</v>
      </c>
      <c r="E141" s="45" t="s">
        <v>36</v>
      </c>
      <c r="F141" s="45" t="s">
        <v>36</v>
      </c>
      <c r="G141" s="45" t="s">
        <v>36</v>
      </c>
      <c r="H141" s="45" t="s">
        <v>36</v>
      </c>
      <c r="I141" s="45" t="s">
        <v>36</v>
      </c>
      <c r="J141" s="112" t="s">
        <v>36</v>
      </c>
      <c r="K141" s="113" t="s">
        <v>37</v>
      </c>
      <c r="L141" s="114" t="s">
        <v>37</v>
      </c>
      <c r="M141" s="114" t="s">
        <v>35</v>
      </c>
      <c r="N141" s="114" t="s">
        <v>35</v>
      </c>
      <c r="O141" s="114" t="s">
        <v>35</v>
      </c>
      <c r="P141" s="114" t="s">
        <v>35</v>
      </c>
      <c r="Q141" s="114" t="s">
        <v>35</v>
      </c>
      <c r="R141" s="114" t="s">
        <v>37</v>
      </c>
      <c r="S141" s="115" t="s">
        <v>3600</v>
      </c>
      <c r="T141" s="50" t="s">
        <v>3736</v>
      </c>
      <c r="U141" s="50" t="s">
        <v>3737</v>
      </c>
      <c r="V141" s="116">
        <f t="shared" si="2"/>
        <v>0</v>
      </c>
      <c r="W141" s="116">
        <f t="shared" ref="W141:X141" si="146">IF(lenb(SUBSTITUTE($Z141,W$1&amp;" (1)",""))&lt;lenb($Z141),1,IF(lenb(SUBSTITUTE($Z141,W$1&amp;" (2)",""))&lt;lenb($Z141),2,IF(lenb(SUBSTITUTE($Z141,W$1&amp;" (3)",""))&lt;lenb($Z141),3,IF(lenb(SUBSTITUTE($Z141,W$1&amp;" (4)",""))&lt;lenb($Z141),4,IF(lenb(SUBSTITUTE($Z141,W$1&amp;" (5)",""))&lt;lenb($Z141),5,IF(lenb(SUBSTITUTE($Z141,W$1&amp;" (6)",""))&lt;lenb($Z141),6,IF(lenb(SUBSTITUTE($Z141,W$1&amp;" (7)",""))&lt;lenb($Z141),1,IF(lenb(SUBSTITUTE($Z141,W$1&amp;" (8)",""))&lt;lenb($Z141),8,IF(lenb(SUBSTITUTE($Z141,W$1&amp;" (9)",""))&lt;lenb($Z141),9,IF(lenb(SUBSTITUTE($Z141,W$1&amp;" (10)",""))&lt;lenb($Z141),10,IF(lenb(SUBSTITUTE($Z141,W$1,""))&lt;lenb($Z141),"ERROR",IF($Z141=$Y$1,"-",0))))))))))))</f>
        <v>1</v>
      </c>
      <c r="X141" s="116">
        <f t="shared" si="146"/>
        <v>0</v>
      </c>
      <c r="Y141" s="116" t="str">
        <f t="shared" si="4"/>
        <v>-</v>
      </c>
      <c r="Z141" s="115" t="s">
        <v>3423</v>
      </c>
      <c r="AA141" s="54">
        <f t="shared" si="5"/>
        <v>1</v>
      </c>
      <c r="AB141" s="54">
        <f>COUNTIFS(Links!B:B,"FSE",Links!C:C,A141,Links!AD:AD,1)</f>
        <v>1</v>
      </c>
      <c r="AC141" s="117" t="s">
        <v>35</v>
      </c>
      <c r="AD141" s="118" t="s">
        <v>35</v>
      </c>
      <c r="AE141" s="115" t="s">
        <v>36</v>
      </c>
      <c r="AF141" s="57" t="s">
        <v>42</v>
      </c>
      <c r="AG141" s="57" t="s">
        <v>42</v>
      </c>
      <c r="AH141" s="57" t="s">
        <v>42</v>
      </c>
      <c r="AI141" s="116" t="str">
        <f t="shared" si="6"/>
        <v>----</v>
      </c>
      <c r="AJ141" s="119" t="str">
        <f t="shared" si="7"/>
        <v>Paper has link but no statement</v>
      </c>
      <c r="AK141" s="120" t="s">
        <v>3401</v>
      </c>
      <c r="AL141" s="121" t="s">
        <v>3402</v>
      </c>
      <c r="AM141" s="60" t="str">
        <f t="shared" si="8"/>
        <v>[FP0636]</v>
      </c>
    </row>
    <row r="142" ht="67.5" customHeight="1">
      <c r="A142" s="61">
        <v>637.0</v>
      </c>
      <c r="B142" s="22" t="s">
        <v>3738</v>
      </c>
      <c r="C142" s="23">
        <v>2016.0</v>
      </c>
      <c r="D142" s="100" t="s">
        <v>35</v>
      </c>
      <c r="E142" s="25" t="s">
        <v>36</v>
      </c>
      <c r="F142" s="25" t="s">
        <v>36</v>
      </c>
      <c r="G142" s="25" t="s">
        <v>36</v>
      </c>
      <c r="H142" s="25" t="s">
        <v>36</v>
      </c>
      <c r="I142" s="25" t="s">
        <v>36</v>
      </c>
      <c r="J142" s="101" t="s">
        <v>36</v>
      </c>
      <c r="K142" s="102" t="s">
        <v>37</v>
      </c>
      <c r="L142" s="103" t="s">
        <v>37</v>
      </c>
      <c r="M142" s="103" t="s">
        <v>35</v>
      </c>
      <c r="N142" s="103" t="s">
        <v>35</v>
      </c>
      <c r="O142" s="103" t="s">
        <v>35</v>
      </c>
      <c r="P142" s="103" t="s">
        <v>35</v>
      </c>
      <c r="Q142" s="103" t="s">
        <v>35</v>
      </c>
      <c r="R142" s="103" t="s">
        <v>37</v>
      </c>
      <c r="S142" s="104" t="s">
        <v>3739</v>
      </c>
      <c r="T142" s="30" t="s">
        <v>3740</v>
      </c>
      <c r="U142" s="30" t="s">
        <v>3740</v>
      </c>
      <c r="V142" s="105">
        <f t="shared" si="2"/>
        <v>3</v>
      </c>
      <c r="W142" s="105">
        <f t="shared" ref="W142:X142" si="147">IF(lenb(SUBSTITUTE($Z142,W$1&amp;" (1)",""))&lt;lenb($Z142),1,IF(lenb(SUBSTITUTE($Z142,W$1&amp;" (2)",""))&lt;lenb($Z142),2,IF(lenb(SUBSTITUTE($Z142,W$1&amp;" (3)",""))&lt;lenb($Z142),3,IF(lenb(SUBSTITUTE($Z142,W$1&amp;" (4)",""))&lt;lenb($Z142),4,IF(lenb(SUBSTITUTE($Z142,W$1&amp;" (5)",""))&lt;lenb($Z142),5,IF(lenb(SUBSTITUTE($Z142,W$1&amp;" (6)",""))&lt;lenb($Z142),6,IF(lenb(SUBSTITUTE($Z142,W$1&amp;" (7)",""))&lt;lenb($Z142),1,IF(lenb(SUBSTITUTE($Z142,W$1&amp;" (8)",""))&lt;lenb($Z142),8,IF(lenb(SUBSTITUTE($Z142,W$1&amp;" (9)",""))&lt;lenb($Z142),9,IF(lenb(SUBSTITUTE($Z142,W$1&amp;" (10)",""))&lt;lenb($Z142),10,IF(lenb(SUBSTITUTE($Z142,W$1,""))&lt;lenb($Z142),"ERROR",IF($Z142=$Y$1,"-",0))))))))))))</f>
        <v>0</v>
      </c>
      <c r="X142" s="105">
        <f t="shared" si="147"/>
        <v>0</v>
      </c>
      <c r="Y142" s="105" t="str">
        <f t="shared" si="4"/>
        <v>-</v>
      </c>
      <c r="Z142" s="104" t="s">
        <v>3741</v>
      </c>
      <c r="AA142" s="34">
        <f t="shared" si="5"/>
        <v>3</v>
      </c>
      <c r="AB142" s="34">
        <f>COUNTIFS(Links!B:B,"FSE",Links!C:C,A142,Links!AD:AD,1)</f>
        <v>0</v>
      </c>
      <c r="AC142" s="106" t="s">
        <v>35</v>
      </c>
      <c r="AD142" s="107" t="s">
        <v>37</v>
      </c>
      <c r="AE142" s="128" t="s">
        <v>3742</v>
      </c>
      <c r="AF142" s="37" t="s">
        <v>822</v>
      </c>
      <c r="AG142" s="37" t="s">
        <v>281</v>
      </c>
      <c r="AH142" s="37" t="s">
        <v>42</v>
      </c>
      <c r="AI142" s="105" t="str">
        <f t="shared" si="6"/>
        <v>Limited access (Request required)
Barriers (Confidentiality and privacy)</v>
      </c>
      <c r="AJ142" s="108" t="str">
        <f t="shared" si="7"/>
        <v>Paper has link and statement</v>
      </c>
      <c r="AK142" s="109" t="s">
        <v>3401</v>
      </c>
      <c r="AL142" s="110" t="s">
        <v>3402</v>
      </c>
      <c r="AM142" s="40" t="str">
        <f t="shared" si="8"/>
        <v>[FP0637]</v>
      </c>
    </row>
    <row r="143" ht="67.5" customHeight="1">
      <c r="A143" s="41">
        <v>638.0</v>
      </c>
      <c r="B143" s="42" t="s">
        <v>3743</v>
      </c>
      <c r="C143" s="43">
        <v>2016.0</v>
      </c>
      <c r="D143" s="111" t="s">
        <v>35</v>
      </c>
      <c r="E143" s="45" t="s">
        <v>36</v>
      </c>
      <c r="F143" s="45" t="s">
        <v>36</v>
      </c>
      <c r="G143" s="45" t="s">
        <v>36</v>
      </c>
      <c r="H143" s="45" t="s">
        <v>36</v>
      </c>
      <c r="I143" s="45" t="s">
        <v>36</v>
      </c>
      <c r="J143" s="112" t="s">
        <v>36</v>
      </c>
      <c r="K143" s="113" t="s">
        <v>35</v>
      </c>
      <c r="L143" s="114" t="s">
        <v>36</v>
      </c>
      <c r="M143" s="114" t="s">
        <v>36</v>
      </c>
      <c r="N143" s="114" t="s">
        <v>36</v>
      </c>
      <c r="O143" s="114" t="s">
        <v>36</v>
      </c>
      <c r="P143" s="114" t="s">
        <v>36</v>
      </c>
      <c r="Q143" s="114" t="s">
        <v>36</v>
      </c>
      <c r="R143" s="114" t="s">
        <v>36</v>
      </c>
      <c r="S143" s="115" t="s">
        <v>42</v>
      </c>
      <c r="T143" s="50" t="s">
        <v>36</v>
      </c>
      <c r="U143" s="50" t="s">
        <v>36</v>
      </c>
      <c r="V143" s="116" t="str">
        <f t="shared" si="2"/>
        <v>-</v>
      </c>
      <c r="W143" s="116" t="str">
        <f t="shared" ref="W143:X143" si="148">IF(lenb(SUBSTITUTE($Z143,W$1&amp;" (1)",""))&lt;lenb($Z143),1,IF(lenb(SUBSTITUTE($Z143,W$1&amp;" (2)",""))&lt;lenb($Z143),2,IF(lenb(SUBSTITUTE($Z143,W$1&amp;" (3)",""))&lt;lenb($Z143),3,IF(lenb(SUBSTITUTE($Z143,W$1&amp;" (4)",""))&lt;lenb($Z143),4,IF(lenb(SUBSTITUTE($Z143,W$1&amp;" (5)",""))&lt;lenb($Z143),5,IF(lenb(SUBSTITUTE($Z143,W$1&amp;" (6)",""))&lt;lenb($Z143),6,IF(lenb(SUBSTITUTE($Z143,W$1&amp;" (7)",""))&lt;lenb($Z143),1,IF(lenb(SUBSTITUTE($Z143,W$1&amp;" (8)",""))&lt;lenb($Z143),8,IF(lenb(SUBSTITUTE($Z143,W$1&amp;" (9)",""))&lt;lenb($Z143),9,IF(lenb(SUBSTITUTE($Z143,W$1&amp;" (10)",""))&lt;lenb($Z143),10,IF(lenb(SUBSTITUTE($Z143,W$1,""))&lt;lenb($Z143),"ERROR",IF($Z143=$Y$1,"-",0))))))))))))</f>
        <v>-</v>
      </c>
      <c r="X143" s="116" t="str">
        <f t="shared" si="148"/>
        <v>-</v>
      </c>
      <c r="Y143" s="116">
        <f t="shared" si="4"/>
        <v>1</v>
      </c>
      <c r="Z143" s="115" t="s">
        <v>23</v>
      </c>
      <c r="AA143" s="54">
        <f t="shared" si="5"/>
        <v>0</v>
      </c>
      <c r="AB143" s="54">
        <f>COUNTIFS(Links!B:B,"FSE",Links!C:C,A143,Links!AD:AD,1)</f>
        <v>0</v>
      </c>
      <c r="AC143" s="117" t="s">
        <v>36</v>
      </c>
      <c r="AD143" s="118" t="s">
        <v>35</v>
      </c>
      <c r="AE143" s="115" t="s">
        <v>36</v>
      </c>
      <c r="AF143" s="57" t="s">
        <v>42</v>
      </c>
      <c r="AG143" s="57" t="s">
        <v>42</v>
      </c>
      <c r="AH143" s="57" t="s">
        <v>42</v>
      </c>
      <c r="AI143" s="116" t="str">
        <f t="shared" si="6"/>
        <v>----</v>
      </c>
      <c r="AJ143" s="119" t="str">
        <f t="shared" si="7"/>
        <v>Paper has no link and no statement</v>
      </c>
      <c r="AK143" s="120" t="s">
        <v>3401</v>
      </c>
      <c r="AL143" s="121" t="s">
        <v>3402</v>
      </c>
      <c r="AM143" s="60" t="str">
        <f t="shared" si="8"/>
        <v>[FP0638]</v>
      </c>
    </row>
    <row r="144" ht="67.5" customHeight="1">
      <c r="A144" s="61">
        <v>639.0</v>
      </c>
      <c r="B144" s="22" t="s">
        <v>3744</v>
      </c>
      <c r="C144" s="23">
        <v>2016.0</v>
      </c>
      <c r="D144" s="100" t="s">
        <v>35</v>
      </c>
      <c r="E144" s="25" t="s">
        <v>36</v>
      </c>
      <c r="F144" s="25" t="s">
        <v>36</v>
      </c>
      <c r="G144" s="25" t="s">
        <v>36</v>
      </c>
      <c r="H144" s="25" t="s">
        <v>36</v>
      </c>
      <c r="I144" s="25" t="s">
        <v>36</v>
      </c>
      <c r="J144" s="101" t="s">
        <v>36</v>
      </c>
      <c r="K144" s="102" t="s">
        <v>35</v>
      </c>
      <c r="L144" s="103" t="s">
        <v>36</v>
      </c>
      <c r="M144" s="103" t="s">
        <v>36</v>
      </c>
      <c r="N144" s="103" t="s">
        <v>36</v>
      </c>
      <c r="O144" s="103" t="s">
        <v>36</v>
      </c>
      <c r="P144" s="103" t="s">
        <v>36</v>
      </c>
      <c r="Q144" s="103" t="s">
        <v>36</v>
      </c>
      <c r="R144" s="103" t="s">
        <v>36</v>
      </c>
      <c r="S144" s="104" t="s">
        <v>42</v>
      </c>
      <c r="T144" s="30" t="s">
        <v>36</v>
      </c>
      <c r="U144" s="30" t="s">
        <v>36</v>
      </c>
      <c r="V144" s="105" t="str">
        <f t="shared" si="2"/>
        <v>-</v>
      </c>
      <c r="W144" s="105" t="str">
        <f t="shared" ref="W144:X144" si="149">IF(lenb(SUBSTITUTE($Z144,W$1&amp;" (1)",""))&lt;lenb($Z144),1,IF(lenb(SUBSTITUTE($Z144,W$1&amp;" (2)",""))&lt;lenb($Z144),2,IF(lenb(SUBSTITUTE($Z144,W$1&amp;" (3)",""))&lt;lenb($Z144),3,IF(lenb(SUBSTITUTE($Z144,W$1&amp;" (4)",""))&lt;lenb($Z144),4,IF(lenb(SUBSTITUTE($Z144,W$1&amp;" (5)",""))&lt;lenb($Z144),5,IF(lenb(SUBSTITUTE($Z144,W$1&amp;" (6)",""))&lt;lenb($Z144),6,IF(lenb(SUBSTITUTE($Z144,W$1&amp;" (7)",""))&lt;lenb($Z144),1,IF(lenb(SUBSTITUTE($Z144,W$1&amp;" (8)",""))&lt;lenb($Z144),8,IF(lenb(SUBSTITUTE($Z144,W$1&amp;" (9)",""))&lt;lenb($Z144),9,IF(lenb(SUBSTITUTE($Z144,W$1&amp;" (10)",""))&lt;lenb($Z144),10,IF(lenb(SUBSTITUTE($Z144,W$1,""))&lt;lenb($Z144),"ERROR",IF($Z144=$Y$1,"-",0))))))))))))</f>
        <v>-</v>
      </c>
      <c r="X144" s="105" t="str">
        <f t="shared" si="149"/>
        <v>-</v>
      </c>
      <c r="Y144" s="105">
        <f t="shared" si="4"/>
        <v>1</v>
      </c>
      <c r="Z144" s="104" t="s">
        <v>23</v>
      </c>
      <c r="AA144" s="34">
        <f t="shared" si="5"/>
        <v>0</v>
      </c>
      <c r="AB144" s="34">
        <f>COUNTIFS(Links!B:B,"FSE",Links!C:C,A144,Links!AD:AD,1)</f>
        <v>0</v>
      </c>
      <c r="AC144" s="106" t="s">
        <v>36</v>
      </c>
      <c r="AD144" s="107" t="s">
        <v>35</v>
      </c>
      <c r="AE144" s="104" t="s">
        <v>36</v>
      </c>
      <c r="AF144" s="37" t="s">
        <v>42</v>
      </c>
      <c r="AG144" s="37" t="s">
        <v>42</v>
      </c>
      <c r="AH144" s="37" t="s">
        <v>42</v>
      </c>
      <c r="AI144" s="105" t="str">
        <f t="shared" si="6"/>
        <v>----</v>
      </c>
      <c r="AJ144" s="108" t="str">
        <f t="shared" si="7"/>
        <v>Paper has no link and no statement</v>
      </c>
      <c r="AK144" s="109" t="s">
        <v>3401</v>
      </c>
      <c r="AL144" s="110" t="s">
        <v>3402</v>
      </c>
      <c r="AM144" s="40" t="str">
        <f t="shared" si="8"/>
        <v>[FP0639]</v>
      </c>
    </row>
    <row r="145" ht="67.5" customHeight="1">
      <c r="A145" s="41">
        <v>640.0</v>
      </c>
      <c r="B145" s="42" t="s">
        <v>3745</v>
      </c>
      <c r="C145" s="43">
        <v>2016.0</v>
      </c>
      <c r="D145" s="111" t="s">
        <v>37</v>
      </c>
      <c r="E145" s="45" t="s">
        <v>36</v>
      </c>
      <c r="F145" s="45" t="s">
        <v>36</v>
      </c>
      <c r="G145" s="45" t="s">
        <v>36</v>
      </c>
      <c r="H145" s="45" t="s">
        <v>36</v>
      </c>
      <c r="I145" s="45" t="s">
        <v>36</v>
      </c>
      <c r="J145" s="112" t="s">
        <v>3746</v>
      </c>
      <c r="K145" s="113" t="s">
        <v>37</v>
      </c>
      <c r="L145" s="131" t="s">
        <v>37</v>
      </c>
      <c r="M145" s="131" t="s">
        <v>37</v>
      </c>
      <c r="N145" s="114" t="s">
        <v>35</v>
      </c>
      <c r="O145" s="114" t="s">
        <v>35</v>
      </c>
      <c r="P145" s="131" t="s">
        <v>37</v>
      </c>
      <c r="Q145" s="131" t="s">
        <v>37</v>
      </c>
      <c r="R145" s="131" t="s">
        <v>37</v>
      </c>
      <c r="S145" s="115" t="s">
        <v>3747</v>
      </c>
      <c r="T145" s="50" t="s">
        <v>3748</v>
      </c>
      <c r="U145" s="50" t="s">
        <v>3748</v>
      </c>
      <c r="V145" s="116">
        <f t="shared" si="2"/>
        <v>0</v>
      </c>
      <c r="W145" s="116">
        <f t="shared" ref="W145:X145" si="150">IF(lenb(SUBSTITUTE($Z145,W$1&amp;" (1)",""))&lt;lenb($Z145),1,IF(lenb(SUBSTITUTE($Z145,W$1&amp;" (2)",""))&lt;lenb($Z145),2,IF(lenb(SUBSTITUTE($Z145,W$1&amp;" (3)",""))&lt;lenb($Z145),3,IF(lenb(SUBSTITUTE($Z145,W$1&amp;" (4)",""))&lt;lenb($Z145),4,IF(lenb(SUBSTITUTE($Z145,W$1&amp;" (5)",""))&lt;lenb($Z145),5,IF(lenb(SUBSTITUTE($Z145,W$1&amp;" (6)",""))&lt;lenb($Z145),6,IF(lenb(SUBSTITUTE($Z145,W$1&amp;" (7)",""))&lt;lenb($Z145),1,IF(lenb(SUBSTITUTE($Z145,W$1&amp;" (8)",""))&lt;lenb($Z145),8,IF(lenb(SUBSTITUTE($Z145,W$1&amp;" (9)",""))&lt;lenb($Z145),9,IF(lenb(SUBSTITUTE($Z145,W$1&amp;" (10)",""))&lt;lenb($Z145),10,IF(lenb(SUBSTITUTE($Z145,W$1,""))&lt;lenb($Z145),"ERROR",IF($Z145=$Y$1,"-",0))))))))))))</f>
        <v>1</v>
      </c>
      <c r="X145" s="116">
        <f t="shared" si="150"/>
        <v>0</v>
      </c>
      <c r="Y145" s="116" t="str">
        <f t="shared" si="4"/>
        <v>-</v>
      </c>
      <c r="Z145" s="115" t="s">
        <v>3423</v>
      </c>
      <c r="AA145" s="54">
        <f t="shared" si="5"/>
        <v>1</v>
      </c>
      <c r="AB145" s="54">
        <f>COUNTIFS(Links!B:B,"FSE",Links!C:C,A145,Links!AD:AD,1)</f>
        <v>0</v>
      </c>
      <c r="AC145" s="117" t="s">
        <v>35</v>
      </c>
      <c r="AD145" s="118" t="s">
        <v>35</v>
      </c>
      <c r="AE145" s="115" t="s">
        <v>36</v>
      </c>
      <c r="AF145" s="57" t="s">
        <v>42</v>
      </c>
      <c r="AG145" s="57" t="s">
        <v>42</v>
      </c>
      <c r="AH145" s="57" t="s">
        <v>42</v>
      </c>
      <c r="AI145" s="116" t="str">
        <f t="shared" si="6"/>
        <v>----</v>
      </c>
      <c r="AJ145" s="119" t="str">
        <f t="shared" si="7"/>
        <v>Paper has link but no statement</v>
      </c>
      <c r="AK145" s="120" t="s">
        <v>3401</v>
      </c>
      <c r="AL145" s="121" t="s">
        <v>3402</v>
      </c>
      <c r="AM145" s="60" t="str">
        <f t="shared" si="8"/>
        <v>[FP0640]</v>
      </c>
    </row>
    <row r="146" ht="67.5" customHeight="1">
      <c r="A146" s="61">
        <v>641.0</v>
      </c>
      <c r="B146" s="22" t="s">
        <v>3749</v>
      </c>
      <c r="C146" s="23">
        <v>2016.0</v>
      </c>
      <c r="D146" s="100" t="s">
        <v>35</v>
      </c>
      <c r="E146" s="25" t="s">
        <v>36</v>
      </c>
      <c r="F146" s="25" t="s">
        <v>36</v>
      </c>
      <c r="G146" s="25" t="s">
        <v>36</v>
      </c>
      <c r="H146" s="25" t="s">
        <v>36</v>
      </c>
      <c r="I146" s="25" t="s">
        <v>36</v>
      </c>
      <c r="J146" s="101" t="s">
        <v>36</v>
      </c>
      <c r="K146" s="102" t="s">
        <v>37</v>
      </c>
      <c r="L146" s="103" t="s">
        <v>37</v>
      </c>
      <c r="M146" s="103" t="s">
        <v>35</v>
      </c>
      <c r="N146" s="103" t="s">
        <v>35</v>
      </c>
      <c r="O146" s="103" t="s">
        <v>35</v>
      </c>
      <c r="P146" s="103" t="s">
        <v>35</v>
      </c>
      <c r="Q146" s="103" t="s">
        <v>35</v>
      </c>
      <c r="R146" s="103" t="s">
        <v>37</v>
      </c>
      <c r="S146" s="104" t="s">
        <v>3488</v>
      </c>
      <c r="T146" s="30" t="s">
        <v>3750</v>
      </c>
      <c r="U146" s="30" t="s">
        <v>3750</v>
      </c>
      <c r="V146" s="105">
        <f t="shared" si="2"/>
        <v>1</v>
      </c>
      <c r="W146" s="105">
        <f t="shared" ref="W146:X146" si="151">IF(lenb(SUBSTITUTE($Z146,W$1&amp;" (1)",""))&lt;lenb($Z146),1,IF(lenb(SUBSTITUTE($Z146,W$1&amp;" (2)",""))&lt;lenb($Z146),2,IF(lenb(SUBSTITUTE($Z146,W$1&amp;" (3)",""))&lt;lenb($Z146),3,IF(lenb(SUBSTITUTE($Z146,W$1&amp;" (4)",""))&lt;lenb($Z146),4,IF(lenb(SUBSTITUTE($Z146,W$1&amp;" (5)",""))&lt;lenb($Z146),5,IF(lenb(SUBSTITUTE($Z146,W$1&amp;" (6)",""))&lt;lenb($Z146),6,IF(lenb(SUBSTITUTE($Z146,W$1&amp;" (7)",""))&lt;lenb($Z146),1,IF(lenb(SUBSTITUTE($Z146,W$1&amp;" (8)",""))&lt;lenb($Z146),8,IF(lenb(SUBSTITUTE($Z146,W$1&amp;" (9)",""))&lt;lenb($Z146),9,IF(lenb(SUBSTITUTE($Z146,W$1&amp;" (10)",""))&lt;lenb($Z146),10,IF(lenb(SUBSTITUTE($Z146,W$1,""))&lt;lenb($Z146),"ERROR",IF($Z146=$Y$1,"-",0))))))))))))</f>
        <v>0</v>
      </c>
      <c r="X146" s="105">
        <f t="shared" si="151"/>
        <v>0</v>
      </c>
      <c r="Y146" s="105" t="str">
        <f t="shared" si="4"/>
        <v>-</v>
      </c>
      <c r="Z146" s="104" t="s">
        <v>3400</v>
      </c>
      <c r="AA146" s="34">
        <f t="shared" si="5"/>
        <v>1</v>
      </c>
      <c r="AB146" s="34">
        <f>COUNTIFS(Links!B:B,"FSE",Links!C:C,A146,Links!AD:AD,1)</f>
        <v>0</v>
      </c>
      <c r="AC146" s="106" t="s">
        <v>35</v>
      </c>
      <c r="AD146" s="107" t="s">
        <v>35</v>
      </c>
      <c r="AE146" s="104" t="s">
        <v>36</v>
      </c>
      <c r="AF146" s="37" t="s">
        <v>42</v>
      </c>
      <c r="AG146" s="37" t="s">
        <v>42</v>
      </c>
      <c r="AH146" s="37" t="s">
        <v>42</v>
      </c>
      <c r="AI146" s="105" t="str">
        <f t="shared" si="6"/>
        <v>----</v>
      </c>
      <c r="AJ146" s="108" t="str">
        <f t="shared" si="7"/>
        <v>Paper has link but no statement</v>
      </c>
      <c r="AK146" s="109" t="s">
        <v>3401</v>
      </c>
      <c r="AL146" s="110" t="s">
        <v>3402</v>
      </c>
      <c r="AM146" s="40" t="str">
        <f t="shared" si="8"/>
        <v>[FP0641]</v>
      </c>
    </row>
    <row r="147" ht="67.5" customHeight="1">
      <c r="A147" s="41">
        <v>642.0</v>
      </c>
      <c r="B147" s="42" t="s">
        <v>3751</v>
      </c>
      <c r="C147" s="43">
        <v>2016.0</v>
      </c>
      <c r="D147" s="111" t="s">
        <v>37</v>
      </c>
      <c r="E147" s="45" t="s">
        <v>36</v>
      </c>
      <c r="F147" s="45" t="s">
        <v>36</v>
      </c>
      <c r="G147" s="45" t="s">
        <v>36</v>
      </c>
      <c r="H147" s="45" t="s">
        <v>36</v>
      </c>
      <c r="I147" s="45" t="s">
        <v>36</v>
      </c>
      <c r="J147" s="112" t="s">
        <v>3746</v>
      </c>
      <c r="K147" s="113" t="s">
        <v>37</v>
      </c>
      <c r="L147" s="114" t="s">
        <v>35</v>
      </c>
      <c r="M147" s="114" t="s">
        <v>37</v>
      </c>
      <c r="N147" s="114" t="s">
        <v>37</v>
      </c>
      <c r="O147" s="114" t="s">
        <v>35</v>
      </c>
      <c r="P147" s="114" t="s">
        <v>35</v>
      </c>
      <c r="Q147" s="114" t="s">
        <v>37</v>
      </c>
      <c r="R147" s="114" t="s">
        <v>37</v>
      </c>
      <c r="S147" s="115" t="s">
        <v>3752</v>
      </c>
      <c r="T147" s="50" t="s">
        <v>3753</v>
      </c>
      <c r="U147" s="50" t="s">
        <v>3754</v>
      </c>
      <c r="V147" s="116">
        <f t="shared" si="2"/>
        <v>2</v>
      </c>
      <c r="W147" s="116">
        <f t="shared" ref="W147:X147" si="152">IF(lenb(SUBSTITUTE($Z147,W$1&amp;" (1)",""))&lt;lenb($Z147),1,IF(lenb(SUBSTITUTE($Z147,W$1&amp;" (2)",""))&lt;lenb($Z147),2,IF(lenb(SUBSTITUTE($Z147,W$1&amp;" (3)",""))&lt;lenb($Z147),3,IF(lenb(SUBSTITUTE($Z147,W$1&amp;" (4)",""))&lt;lenb($Z147),4,IF(lenb(SUBSTITUTE($Z147,W$1&amp;" (5)",""))&lt;lenb($Z147),5,IF(lenb(SUBSTITUTE($Z147,W$1&amp;" (6)",""))&lt;lenb($Z147),6,IF(lenb(SUBSTITUTE($Z147,W$1&amp;" (7)",""))&lt;lenb($Z147),1,IF(lenb(SUBSTITUTE($Z147,W$1&amp;" (8)",""))&lt;lenb($Z147),8,IF(lenb(SUBSTITUTE($Z147,W$1&amp;" (9)",""))&lt;lenb($Z147),9,IF(lenb(SUBSTITUTE($Z147,W$1&amp;" (10)",""))&lt;lenb($Z147),10,IF(lenb(SUBSTITUTE($Z147,W$1,""))&lt;lenb($Z147),"ERROR",IF($Z147=$Y$1,"-",0))))))))))))</f>
        <v>0</v>
      </c>
      <c r="X147" s="116">
        <f t="shared" si="152"/>
        <v>0</v>
      </c>
      <c r="Y147" s="116" t="str">
        <f t="shared" si="4"/>
        <v>-</v>
      </c>
      <c r="Z147" s="115" t="s">
        <v>3452</v>
      </c>
      <c r="AA147" s="54">
        <f t="shared" si="5"/>
        <v>2</v>
      </c>
      <c r="AB147" s="54">
        <f>COUNTIFS(Links!B:B,"FSE",Links!C:C,A147,Links!AD:AD,1)</f>
        <v>1</v>
      </c>
      <c r="AC147" s="117" t="s">
        <v>35</v>
      </c>
      <c r="AD147" s="118" t="s">
        <v>35</v>
      </c>
      <c r="AE147" s="115" t="s">
        <v>36</v>
      </c>
      <c r="AF147" s="57" t="s">
        <v>42</v>
      </c>
      <c r="AG147" s="57" t="s">
        <v>42</v>
      </c>
      <c r="AH147" s="57" t="s">
        <v>42</v>
      </c>
      <c r="AI147" s="116" t="str">
        <f t="shared" si="6"/>
        <v>----</v>
      </c>
      <c r="AJ147" s="119" t="str">
        <f t="shared" si="7"/>
        <v>Paper has link but no statement</v>
      </c>
      <c r="AK147" s="120" t="s">
        <v>3401</v>
      </c>
      <c r="AL147" s="121" t="s">
        <v>3402</v>
      </c>
      <c r="AM147" s="60" t="str">
        <f t="shared" si="8"/>
        <v>[FP0642]</v>
      </c>
    </row>
    <row r="148" ht="67.5" customHeight="1">
      <c r="A148" s="61">
        <v>643.0</v>
      </c>
      <c r="B148" s="22" t="s">
        <v>3755</v>
      </c>
      <c r="C148" s="23">
        <v>2016.0</v>
      </c>
      <c r="D148" s="100" t="s">
        <v>35</v>
      </c>
      <c r="E148" s="25" t="s">
        <v>36</v>
      </c>
      <c r="F148" s="25" t="s">
        <v>36</v>
      </c>
      <c r="G148" s="25" t="s">
        <v>36</v>
      </c>
      <c r="H148" s="25" t="s">
        <v>36</v>
      </c>
      <c r="I148" s="25" t="s">
        <v>36</v>
      </c>
      <c r="J148" s="101" t="s">
        <v>36</v>
      </c>
      <c r="K148" s="102" t="s">
        <v>37</v>
      </c>
      <c r="L148" s="103" t="s">
        <v>35</v>
      </c>
      <c r="M148" s="103" t="s">
        <v>35</v>
      </c>
      <c r="N148" s="103" t="s">
        <v>35</v>
      </c>
      <c r="O148" s="103" t="s">
        <v>35</v>
      </c>
      <c r="P148" s="103" t="s">
        <v>35</v>
      </c>
      <c r="Q148" s="103" t="s">
        <v>37</v>
      </c>
      <c r="R148" s="103" t="s">
        <v>35</v>
      </c>
      <c r="S148" s="104" t="s">
        <v>3756</v>
      </c>
      <c r="T148" s="30" t="s">
        <v>3757</v>
      </c>
      <c r="U148" s="30" t="s">
        <v>3757</v>
      </c>
      <c r="V148" s="105">
        <f t="shared" si="2"/>
        <v>0</v>
      </c>
      <c r="W148" s="105">
        <f t="shared" ref="W148:X148" si="153">IF(lenb(SUBSTITUTE($Z148,W$1&amp;" (1)",""))&lt;lenb($Z148),1,IF(lenb(SUBSTITUTE($Z148,W$1&amp;" (2)",""))&lt;lenb($Z148),2,IF(lenb(SUBSTITUTE($Z148,W$1&amp;" (3)",""))&lt;lenb($Z148),3,IF(lenb(SUBSTITUTE($Z148,W$1&amp;" (4)",""))&lt;lenb($Z148),4,IF(lenb(SUBSTITUTE($Z148,W$1&amp;" (5)",""))&lt;lenb($Z148),5,IF(lenb(SUBSTITUTE($Z148,W$1&amp;" (6)",""))&lt;lenb($Z148),6,IF(lenb(SUBSTITUTE($Z148,W$1&amp;" (7)",""))&lt;lenb($Z148),1,IF(lenb(SUBSTITUTE($Z148,W$1&amp;" (8)",""))&lt;lenb($Z148),8,IF(lenb(SUBSTITUTE($Z148,W$1&amp;" (9)",""))&lt;lenb($Z148),9,IF(lenb(SUBSTITUTE($Z148,W$1&amp;" (10)",""))&lt;lenb($Z148),10,IF(lenb(SUBSTITUTE($Z148,W$1,""))&lt;lenb($Z148),"ERROR",IF($Z148=$Y$1,"-",0))))))))))))</f>
        <v>1</v>
      </c>
      <c r="X148" s="105">
        <f t="shared" si="153"/>
        <v>0</v>
      </c>
      <c r="Y148" s="105" t="str">
        <f t="shared" si="4"/>
        <v>-</v>
      </c>
      <c r="Z148" s="104" t="s">
        <v>3423</v>
      </c>
      <c r="AA148" s="34">
        <f t="shared" si="5"/>
        <v>1</v>
      </c>
      <c r="AB148" s="34">
        <f>COUNTIFS(Links!B:B,"FSE",Links!C:C,A148,Links!AD:AD,1)</f>
        <v>1</v>
      </c>
      <c r="AC148" s="106" t="s">
        <v>35</v>
      </c>
      <c r="AD148" s="107" t="s">
        <v>35</v>
      </c>
      <c r="AE148" s="104" t="s">
        <v>36</v>
      </c>
      <c r="AF148" s="37" t="s">
        <v>42</v>
      </c>
      <c r="AG148" s="37" t="s">
        <v>42</v>
      </c>
      <c r="AH148" s="37" t="s">
        <v>42</v>
      </c>
      <c r="AI148" s="105" t="str">
        <f t="shared" si="6"/>
        <v>----</v>
      </c>
      <c r="AJ148" s="108" t="str">
        <f t="shared" si="7"/>
        <v>Paper has link but no statement</v>
      </c>
      <c r="AK148" s="109" t="s">
        <v>3401</v>
      </c>
      <c r="AL148" s="110" t="s">
        <v>3402</v>
      </c>
      <c r="AM148" s="40" t="str">
        <f t="shared" si="8"/>
        <v>[FP0643]</v>
      </c>
    </row>
    <row r="149" ht="67.5" customHeight="1">
      <c r="A149" s="41">
        <v>644.0</v>
      </c>
      <c r="B149" s="42" t="s">
        <v>3758</v>
      </c>
      <c r="C149" s="43">
        <v>2016.0</v>
      </c>
      <c r="D149" s="111" t="s">
        <v>37</v>
      </c>
      <c r="E149" s="45" t="s">
        <v>36</v>
      </c>
      <c r="F149" s="45" t="s">
        <v>36</v>
      </c>
      <c r="G149" s="45" t="s">
        <v>36</v>
      </c>
      <c r="H149" s="45" t="s">
        <v>36</v>
      </c>
      <c r="I149" s="45" t="s">
        <v>36</v>
      </c>
      <c r="J149" s="112" t="s">
        <v>3759</v>
      </c>
      <c r="K149" s="113" t="s">
        <v>37</v>
      </c>
      <c r="L149" s="114" t="s">
        <v>35</v>
      </c>
      <c r="M149" s="114" t="s">
        <v>35</v>
      </c>
      <c r="N149" s="114" t="s">
        <v>37</v>
      </c>
      <c r="O149" s="114" t="s">
        <v>35</v>
      </c>
      <c r="P149" s="114" t="s">
        <v>35</v>
      </c>
      <c r="Q149" s="114" t="s">
        <v>37</v>
      </c>
      <c r="R149" s="114" t="s">
        <v>35</v>
      </c>
      <c r="S149" s="115" t="s">
        <v>3760</v>
      </c>
      <c r="T149" s="50" t="s">
        <v>3761</v>
      </c>
      <c r="U149" s="50" t="s">
        <v>3761</v>
      </c>
      <c r="V149" s="116">
        <f t="shared" si="2"/>
        <v>2</v>
      </c>
      <c r="W149" s="116">
        <f t="shared" ref="W149:X149" si="154">IF(lenb(SUBSTITUTE($Z149,W$1&amp;" (1)",""))&lt;lenb($Z149),1,IF(lenb(SUBSTITUTE($Z149,W$1&amp;" (2)",""))&lt;lenb($Z149),2,IF(lenb(SUBSTITUTE($Z149,W$1&amp;" (3)",""))&lt;lenb($Z149),3,IF(lenb(SUBSTITUTE($Z149,W$1&amp;" (4)",""))&lt;lenb($Z149),4,IF(lenb(SUBSTITUTE($Z149,W$1&amp;" (5)",""))&lt;lenb($Z149),5,IF(lenb(SUBSTITUTE($Z149,W$1&amp;" (6)",""))&lt;lenb($Z149),6,IF(lenb(SUBSTITUTE($Z149,W$1&amp;" (7)",""))&lt;lenb($Z149),1,IF(lenb(SUBSTITUTE($Z149,W$1&amp;" (8)",""))&lt;lenb($Z149),8,IF(lenb(SUBSTITUTE($Z149,W$1&amp;" (9)",""))&lt;lenb($Z149),9,IF(lenb(SUBSTITUTE($Z149,W$1&amp;" (10)",""))&lt;lenb($Z149),10,IF(lenb(SUBSTITUTE($Z149,W$1,""))&lt;lenb($Z149),"ERROR",IF($Z149=$Y$1,"-",0))))))))))))</f>
        <v>0</v>
      </c>
      <c r="X149" s="116">
        <f t="shared" si="154"/>
        <v>0</v>
      </c>
      <c r="Y149" s="116" t="str">
        <f t="shared" si="4"/>
        <v>-</v>
      </c>
      <c r="Z149" s="115" t="s">
        <v>3452</v>
      </c>
      <c r="AA149" s="54">
        <f t="shared" si="5"/>
        <v>2</v>
      </c>
      <c r="AB149" s="54">
        <f>COUNTIFS(Links!B:B,"FSE",Links!C:C,A149,Links!AD:AD,1)</f>
        <v>0</v>
      </c>
      <c r="AC149" s="117" t="s">
        <v>35</v>
      </c>
      <c r="AD149" s="118" t="s">
        <v>35</v>
      </c>
      <c r="AE149" s="115" t="s">
        <v>36</v>
      </c>
      <c r="AF149" s="57" t="s">
        <v>42</v>
      </c>
      <c r="AG149" s="57" t="s">
        <v>42</v>
      </c>
      <c r="AH149" s="57" t="s">
        <v>42</v>
      </c>
      <c r="AI149" s="116" t="str">
        <f t="shared" si="6"/>
        <v>----</v>
      </c>
      <c r="AJ149" s="119" t="str">
        <f t="shared" si="7"/>
        <v>Paper has link but no statement</v>
      </c>
      <c r="AK149" s="120" t="s">
        <v>3401</v>
      </c>
      <c r="AL149" s="121" t="s">
        <v>3402</v>
      </c>
      <c r="AM149" s="60" t="str">
        <f t="shared" si="8"/>
        <v>[FP0644]</v>
      </c>
    </row>
    <row r="150" ht="67.5" customHeight="1">
      <c r="A150" s="61">
        <v>645.0</v>
      </c>
      <c r="B150" s="22" t="s">
        <v>3762</v>
      </c>
      <c r="C150" s="23">
        <v>2016.0</v>
      </c>
      <c r="D150" s="100" t="s">
        <v>35</v>
      </c>
      <c r="E150" s="25" t="s">
        <v>36</v>
      </c>
      <c r="F150" s="25" t="s">
        <v>36</v>
      </c>
      <c r="G150" s="25" t="s">
        <v>36</v>
      </c>
      <c r="H150" s="25" t="s">
        <v>36</v>
      </c>
      <c r="I150" s="25" t="s">
        <v>36</v>
      </c>
      <c r="J150" s="101" t="s">
        <v>36</v>
      </c>
      <c r="K150" s="102" t="s">
        <v>37</v>
      </c>
      <c r="L150" s="103" t="s">
        <v>35</v>
      </c>
      <c r="M150" s="103" t="s">
        <v>35</v>
      </c>
      <c r="N150" s="103" t="s">
        <v>35</v>
      </c>
      <c r="O150" s="103" t="s">
        <v>35</v>
      </c>
      <c r="P150" s="103" t="s">
        <v>35</v>
      </c>
      <c r="Q150" s="103" t="s">
        <v>35</v>
      </c>
      <c r="R150" s="103" t="s">
        <v>37</v>
      </c>
      <c r="S150" s="104" t="s">
        <v>3763</v>
      </c>
      <c r="T150" s="30" t="s">
        <v>3764</v>
      </c>
      <c r="U150" s="30" t="s">
        <v>3764</v>
      </c>
      <c r="V150" s="105">
        <f t="shared" si="2"/>
        <v>0</v>
      </c>
      <c r="W150" s="105">
        <f t="shared" ref="W150:X150" si="155">IF(lenb(SUBSTITUTE($Z150,W$1&amp;" (1)",""))&lt;lenb($Z150),1,IF(lenb(SUBSTITUTE($Z150,W$1&amp;" (2)",""))&lt;lenb($Z150),2,IF(lenb(SUBSTITUTE($Z150,W$1&amp;" (3)",""))&lt;lenb($Z150),3,IF(lenb(SUBSTITUTE($Z150,W$1&amp;" (4)",""))&lt;lenb($Z150),4,IF(lenb(SUBSTITUTE($Z150,W$1&amp;" (5)",""))&lt;lenb($Z150),5,IF(lenb(SUBSTITUTE($Z150,W$1&amp;" (6)",""))&lt;lenb($Z150),6,IF(lenb(SUBSTITUTE($Z150,W$1&amp;" (7)",""))&lt;lenb($Z150),1,IF(lenb(SUBSTITUTE($Z150,W$1&amp;" (8)",""))&lt;lenb($Z150),8,IF(lenb(SUBSTITUTE($Z150,W$1&amp;" (9)",""))&lt;lenb($Z150),9,IF(lenb(SUBSTITUTE($Z150,W$1&amp;" (10)",""))&lt;lenb($Z150),10,IF(lenb(SUBSTITUTE($Z150,W$1,""))&lt;lenb($Z150),"ERROR",IF($Z150=$Y$1,"-",0))))))))))))</f>
        <v>1</v>
      </c>
      <c r="X150" s="105">
        <f t="shared" si="155"/>
        <v>0</v>
      </c>
      <c r="Y150" s="105" t="str">
        <f t="shared" si="4"/>
        <v>-</v>
      </c>
      <c r="Z150" s="104" t="s">
        <v>3423</v>
      </c>
      <c r="AA150" s="34">
        <f t="shared" si="5"/>
        <v>1</v>
      </c>
      <c r="AB150" s="34">
        <f>COUNTIFS(Links!B:B,"FSE",Links!C:C,A150,Links!AD:AD,1)</f>
        <v>1</v>
      </c>
      <c r="AC150" s="106" t="s">
        <v>35</v>
      </c>
      <c r="AD150" s="107" t="s">
        <v>35</v>
      </c>
      <c r="AE150" s="104" t="s">
        <v>36</v>
      </c>
      <c r="AF150" s="37" t="s">
        <v>42</v>
      </c>
      <c r="AG150" s="37" t="s">
        <v>42</v>
      </c>
      <c r="AH150" s="37" t="s">
        <v>42</v>
      </c>
      <c r="AI150" s="105" t="str">
        <f t="shared" si="6"/>
        <v>----</v>
      </c>
      <c r="AJ150" s="108" t="str">
        <f t="shared" si="7"/>
        <v>Paper has link but no statement</v>
      </c>
      <c r="AK150" s="109" t="s">
        <v>3401</v>
      </c>
      <c r="AL150" s="110" t="s">
        <v>3402</v>
      </c>
      <c r="AM150" s="40" t="str">
        <f t="shared" si="8"/>
        <v>[FP0645]</v>
      </c>
    </row>
    <row r="151" ht="67.5" customHeight="1">
      <c r="A151" s="41">
        <v>646.0</v>
      </c>
      <c r="B151" s="42" t="s">
        <v>3765</v>
      </c>
      <c r="C151" s="43">
        <v>2016.0</v>
      </c>
      <c r="D151" s="111" t="s">
        <v>35</v>
      </c>
      <c r="E151" s="45" t="s">
        <v>36</v>
      </c>
      <c r="F151" s="45" t="s">
        <v>36</v>
      </c>
      <c r="G151" s="45" t="s">
        <v>36</v>
      </c>
      <c r="H151" s="45" t="s">
        <v>36</v>
      </c>
      <c r="I151" s="45" t="s">
        <v>36</v>
      </c>
      <c r="J151" s="112" t="s">
        <v>36</v>
      </c>
      <c r="K151" s="113" t="s">
        <v>35</v>
      </c>
      <c r="L151" s="114" t="s">
        <v>36</v>
      </c>
      <c r="M151" s="114" t="s">
        <v>36</v>
      </c>
      <c r="N151" s="114" t="s">
        <v>36</v>
      </c>
      <c r="O151" s="114" t="s">
        <v>36</v>
      </c>
      <c r="P151" s="114" t="s">
        <v>36</v>
      </c>
      <c r="Q151" s="114" t="s">
        <v>36</v>
      </c>
      <c r="R151" s="114" t="s">
        <v>36</v>
      </c>
      <c r="S151" s="115" t="s">
        <v>42</v>
      </c>
      <c r="T151" s="50" t="s">
        <v>36</v>
      </c>
      <c r="U151" s="50" t="s">
        <v>36</v>
      </c>
      <c r="V151" s="116" t="str">
        <f t="shared" si="2"/>
        <v>-</v>
      </c>
      <c r="W151" s="116" t="str">
        <f t="shared" ref="W151:X151" si="156">IF(lenb(SUBSTITUTE($Z151,W$1&amp;" (1)",""))&lt;lenb($Z151),1,IF(lenb(SUBSTITUTE($Z151,W$1&amp;" (2)",""))&lt;lenb($Z151),2,IF(lenb(SUBSTITUTE($Z151,W$1&amp;" (3)",""))&lt;lenb($Z151),3,IF(lenb(SUBSTITUTE($Z151,W$1&amp;" (4)",""))&lt;lenb($Z151),4,IF(lenb(SUBSTITUTE($Z151,W$1&amp;" (5)",""))&lt;lenb($Z151),5,IF(lenb(SUBSTITUTE($Z151,W$1&amp;" (6)",""))&lt;lenb($Z151),6,IF(lenb(SUBSTITUTE($Z151,W$1&amp;" (7)",""))&lt;lenb($Z151),1,IF(lenb(SUBSTITUTE($Z151,W$1&amp;" (8)",""))&lt;lenb($Z151),8,IF(lenb(SUBSTITUTE($Z151,W$1&amp;" (9)",""))&lt;lenb($Z151),9,IF(lenb(SUBSTITUTE($Z151,W$1&amp;" (10)",""))&lt;lenb($Z151),10,IF(lenb(SUBSTITUTE($Z151,W$1,""))&lt;lenb($Z151),"ERROR",IF($Z151=$Y$1,"-",0))))))))))))</f>
        <v>-</v>
      </c>
      <c r="X151" s="116" t="str">
        <f t="shared" si="156"/>
        <v>-</v>
      </c>
      <c r="Y151" s="116">
        <f t="shared" si="4"/>
        <v>1</v>
      </c>
      <c r="Z151" s="115" t="s">
        <v>23</v>
      </c>
      <c r="AA151" s="54">
        <f t="shared" si="5"/>
        <v>0</v>
      </c>
      <c r="AB151" s="54">
        <f>COUNTIFS(Links!B:B,"FSE",Links!C:C,A151,Links!AD:AD,1)</f>
        <v>0</v>
      </c>
      <c r="AC151" s="117" t="s">
        <v>36</v>
      </c>
      <c r="AD151" s="118" t="s">
        <v>35</v>
      </c>
      <c r="AE151" s="115" t="s">
        <v>36</v>
      </c>
      <c r="AF151" s="57" t="s">
        <v>42</v>
      </c>
      <c r="AG151" s="57" t="s">
        <v>42</v>
      </c>
      <c r="AH151" s="57" t="s">
        <v>42</v>
      </c>
      <c r="AI151" s="116" t="str">
        <f t="shared" si="6"/>
        <v>----</v>
      </c>
      <c r="AJ151" s="119" t="str">
        <f t="shared" si="7"/>
        <v>Paper has no link and no statement</v>
      </c>
      <c r="AK151" s="120" t="s">
        <v>3401</v>
      </c>
      <c r="AL151" s="121" t="s">
        <v>3402</v>
      </c>
      <c r="AM151" s="60" t="str">
        <f t="shared" si="8"/>
        <v>[FP0646]</v>
      </c>
    </row>
    <row r="152" ht="67.5" customHeight="1">
      <c r="A152" s="61">
        <v>647.0</v>
      </c>
      <c r="B152" s="22" t="s">
        <v>3766</v>
      </c>
      <c r="C152" s="23">
        <v>2016.0</v>
      </c>
      <c r="D152" s="100" t="s">
        <v>37</v>
      </c>
      <c r="E152" s="25" t="s">
        <v>36</v>
      </c>
      <c r="F152" s="25" t="s">
        <v>36</v>
      </c>
      <c r="G152" s="25" t="s">
        <v>36</v>
      </c>
      <c r="H152" s="25" t="s">
        <v>36</v>
      </c>
      <c r="I152" s="25" t="s">
        <v>36</v>
      </c>
      <c r="J152" s="101" t="s">
        <v>3759</v>
      </c>
      <c r="K152" s="102" t="s">
        <v>37</v>
      </c>
      <c r="L152" s="103" t="s">
        <v>35</v>
      </c>
      <c r="M152" s="103" t="s">
        <v>37</v>
      </c>
      <c r="N152" s="103" t="s">
        <v>37</v>
      </c>
      <c r="O152" s="103" t="s">
        <v>35</v>
      </c>
      <c r="P152" s="103" t="s">
        <v>35</v>
      </c>
      <c r="Q152" s="103" t="s">
        <v>37</v>
      </c>
      <c r="R152" s="103" t="s">
        <v>35</v>
      </c>
      <c r="S152" s="104" t="s">
        <v>3767</v>
      </c>
      <c r="T152" s="30" t="s">
        <v>3768</v>
      </c>
      <c r="U152" s="30" t="s">
        <v>3768</v>
      </c>
      <c r="V152" s="105">
        <f t="shared" si="2"/>
        <v>0</v>
      </c>
      <c r="W152" s="105">
        <f t="shared" ref="W152:X152" si="157">IF(lenb(SUBSTITUTE($Z152,W$1&amp;" (1)",""))&lt;lenb($Z152),1,IF(lenb(SUBSTITUTE($Z152,W$1&amp;" (2)",""))&lt;lenb($Z152),2,IF(lenb(SUBSTITUTE($Z152,W$1&amp;" (3)",""))&lt;lenb($Z152),3,IF(lenb(SUBSTITUTE($Z152,W$1&amp;" (4)",""))&lt;lenb($Z152),4,IF(lenb(SUBSTITUTE($Z152,W$1&amp;" (5)",""))&lt;lenb($Z152),5,IF(lenb(SUBSTITUTE($Z152,W$1&amp;" (6)",""))&lt;lenb($Z152),6,IF(lenb(SUBSTITUTE($Z152,W$1&amp;" (7)",""))&lt;lenb($Z152),1,IF(lenb(SUBSTITUTE($Z152,W$1&amp;" (8)",""))&lt;lenb($Z152),8,IF(lenb(SUBSTITUTE($Z152,W$1&amp;" (9)",""))&lt;lenb($Z152),9,IF(lenb(SUBSTITUTE($Z152,W$1&amp;" (10)",""))&lt;lenb($Z152),10,IF(lenb(SUBSTITUTE($Z152,W$1,""))&lt;lenb($Z152),"ERROR",IF($Z152=$Y$1,"-",0))))))))))))</f>
        <v>1</v>
      </c>
      <c r="X152" s="105">
        <f t="shared" si="157"/>
        <v>0</v>
      </c>
      <c r="Y152" s="105" t="str">
        <f t="shared" si="4"/>
        <v>-</v>
      </c>
      <c r="Z152" s="104" t="s">
        <v>3423</v>
      </c>
      <c r="AA152" s="34">
        <f t="shared" si="5"/>
        <v>1</v>
      </c>
      <c r="AB152" s="34">
        <f>COUNTIFS(Links!B:B,"FSE",Links!C:C,A152,Links!AD:AD,1)</f>
        <v>1</v>
      </c>
      <c r="AC152" s="106" t="s">
        <v>35</v>
      </c>
      <c r="AD152" s="107" t="s">
        <v>35</v>
      </c>
      <c r="AE152" s="104" t="s">
        <v>36</v>
      </c>
      <c r="AF152" s="37" t="s">
        <v>42</v>
      </c>
      <c r="AG152" s="37" t="s">
        <v>42</v>
      </c>
      <c r="AH152" s="37" t="s">
        <v>42</v>
      </c>
      <c r="AI152" s="105" t="str">
        <f t="shared" si="6"/>
        <v>----</v>
      </c>
      <c r="AJ152" s="108" t="str">
        <f t="shared" si="7"/>
        <v>Paper has link but no statement</v>
      </c>
      <c r="AK152" s="109" t="s">
        <v>3401</v>
      </c>
      <c r="AL152" s="110" t="s">
        <v>3402</v>
      </c>
      <c r="AM152" s="40" t="str">
        <f t="shared" si="8"/>
        <v>[FP0647]</v>
      </c>
    </row>
    <row r="153" ht="67.5" customHeight="1">
      <c r="A153" s="41">
        <v>648.0</v>
      </c>
      <c r="B153" s="42" t="s">
        <v>3769</v>
      </c>
      <c r="C153" s="43">
        <v>2016.0</v>
      </c>
      <c r="D153" s="111" t="s">
        <v>35</v>
      </c>
      <c r="E153" s="45" t="s">
        <v>36</v>
      </c>
      <c r="F153" s="45" t="s">
        <v>36</v>
      </c>
      <c r="G153" s="45" t="s">
        <v>36</v>
      </c>
      <c r="H153" s="45" t="s">
        <v>36</v>
      </c>
      <c r="I153" s="45" t="s">
        <v>36</v>
      </c>
      <c r="J153" s="112" t="s">
        <v>36</v>
      </c>
      <c r="K153" s="113" t="s">
        <v>37</v>
      </c>
      <c r="L153" s="114" t="s">
        <v>37</v>
      </c>
      <c r="M153" s="114" t="s">
        <v>35</v>
      </c>
      <c r="N153" s="114" t="s">
        <v>35</v>
      </c>
      <c r="O153" s="114" t="s">
        <v>35</v>
      </c>
      <c r="P153" s="114" t="s">
        <v>35</v>
      </c>
      <c r="Q153" s="114" t="s">
        <v>35</v>
      </c>
      <c r="R153" s="114" t="s">
        <v>37</v>
      </c>
      <c r="S153" s="115" t="s">
        <v>3770</v>
      </c>
      <c r="T153" s="50" t="s">
        <v>3771</v>
      </c>
      <c r="U153" s="50" t="s">
        <v>3771</v>
      </c>
      <c r="V153" s="116">
        <f t="shared" si="2"/>
        <v>3</v>
      </c>
      <c r="W153" s="116">
        <f t="shared" ref="W153:X153" si="158">IF(lenb(SUBSTITUTE($Z153,W$1&amp;" (1)",""))&lt;lenb($Z153),1,IF(lenb(SUBSTITUTE($Z153,W$1&amp;" (2)",""))&lt;lenb($Z153),2,IF(lenb(SUBSTITUTE($Z153,W$1&amp;" (3)",""))&lt;lenb($Z153),3,IF(lenb(SUBSTITUTE($Z153,W$1&amp;" (4)",""))&lt;lenb($Z153),4,IF(lenb(SUBSTITUTE($Z153,W$1&amp;" (5)",""))&lt;lenb($Z153),5,IF(lenb(SUBSTITUTE($Z153,W$1&amp;" (6)",""))&lt;lenb($Z153),6,IF(lenb(SUBSTITUTE($Z153,W$1&amp;" (7)",""))&lt;lenb($Z153),1,IF(lenb(SUBSTITUTE($Z153,W$1&amp;" (8)",""))&lt;lenb($Z153),8,IF(lenb(SUBSTITUTE($Z153,W$1&amp;" (9)",""))&lt;lenb($Z153),9,IF(lenb(SUBSTITUTE($Z153,W$1&amp;" (10)",""))&lt;lenb($Z153),10,IF(lenb(SUBSTITUTE($Z153,W$1,""))&lt;lenb($Z153),"ERROR",IF($Z153=$Y$1,"-",0))))))))))))</f>
        <v>0</v>
      </c>
      <c r="X153" s="116">
        <f t="shared" si="158"/>
        <v>0</v>
      </c>
      <c r="Y153" s="116" t="str">
        <f t="shared" si="4"/>
        <v>-</v>
      </c>
      <c r="Z153" s="115" t="s">
        <v>3741</v>
      </c>
      <c r="AA153" s="54">
        <f t="shared" si="5"/>
        <v>3</v>
      </c>
      <c r="AB153" s="54">
        <f>COUNTIFS(Links!B:B,"FSE",Links!C:C,A153,Links!AD:AD,1)</f>
        <v>0</v>
      </c>
      <c r="AC153" s="117" t="s">
        <v>35</v>
      </c>
      <c r="AD153" s="118" t="s">
        <v>35</v>
      </c>
      <c r="AE153" s="115" t="s">
        <v>36</v>
      </c>
      <c r="AF153" s="57" t="s">
        <v>42</v>
      </c>
      <c r="AG153" s="57" t="s">
        <v>42</v>
      </c>
      <c r="AH153" s="57" t="s">
        <v>42</v>
      </c>
      <c r="AI153" s="116" t="str">
        <f t="shared" si="6"/>
        <v>----</v>
      </c>
      <c r="AJ153" s="119" t="str">
        <f t="shared" si="7"/>
        <v>Paper has link but no statement</v>
      </c>
      <c r="AK153" s="120" t="s">
        <v>3401</v>
      </c>
      <c r="AL153" s="121" t="s">
        <v>3402</v>
      </c>
      <c r="AM153" s="60" t="str">
        <f t="shared" si="8"/>
        <v>[FP0648]</v>
      </c>
    </row>
    <row r="154" ht="67.5" customHeight="1">
      <c r="A154" s="61">
        <v>649.0</v>
      </c>
      <c r="B154" s="22" t="s">
        <v>3772</v>
      </c>
      <c r="C154" s="23">
        <v>2016.0</v>
      </c>
      <c r="D154" s="100" t="s">
        <v>35</v>
      </c>
      <c r="E154" s="25" t="s">
        <v>36</v>
      </c>
      <c r="F154" s="25" t="s">
        <v>36</v>
      </c>
      <c r="G154" s="25" t="s">
        <v>36</v>
      </c>
      <c r="H154" s="25" t="s">
        <v>36</v>
      </c>
      <c r="I154" s="25" t="s">
        <v>36</v>
      </c>
      <c r="J154" s="101" t="s">
        <v>36</v>
      </c>
      <c r="K154" s="102" t="s">
        <v>37</v>
      </c>
      <c r="L154" s="103" t="s">
        <v>37</v>
      </c>
      <c r="M154" s="103" t="s">
        <v>35</v>
      </c>
      <c r="N154" s="103" t="s">
        <v>35</v>
      </c>
      <c r="O154" s="103" t="s">
        <v>35</v>
      </c>
      <c r="P154" s="103" t="s">
        <v>35</v>
      </c>
      <c r="Q154" s="103" t="s">
        <v>35</v>
      </c>
      <c r="R154" s="103" t="s">
        <v>37</v>
      </c>
      <c r="S154" s="104" t="s">
        <v>3773</v>
      </c>
      <c r="T154" s="30" t="s">
        <v>3774</v>
      </c>
      <c r="U154" s="30" t="s">
        <v>3774</v>
      </c>
      <c r="V154" s="105">
        <f t="shared" si="2"/>
        <v>1</v>
      </c>
      <c r="W154" s="105">
        <f t="shared" ref="W154:X154" si="159">IF(lenb(SUBSTITUTE($Z154,W$1&amp;" (1)",""))&lt;lenb($Z154),1,IF(lenb(SUBSTITUTE($Z154,W$1&amp;" (2)",""))&lt;lenb($Z154),2,IF(lenb(SUBSTITUTE($Z154,W$1&amp;" (3)",""))&lt;lenb($Z154),3,IF(lenb(SUBSTITUTE($Z154,W$1&amp;" (4)",""))&lt;lenb($Z154),4,IF(lenb(SUBSTITUTE($Z154,W$1&amp;" (5)",""))&lt;lenb($Z154),5,IF(lenb(SUBSTITUTE($Z154,W$1&amp;" (6)",""))&lt;lenb($Z154),6,IF(lenb(SUBSTITUTE($Z154,W$1&amp;" (7)",""))&lt;lenb($Z154),1,IF(lenb(SUBSTITUTE($Z154,W$1&amp;" (8)",""))&lt;lenb($Z154),8,IF(lenb(SUBSTITUTE($Z154,W$1&amp;" (9)",""))&lt;lenb($Z154),9,IF(lenb(SUBSTITUTE($Z154,W$1&amp;" (10)",""))&lt;lenb($Z154),10,IF(lenb(SUBSTITUTE($Z154,W$1,""))&lt;lenb($Z154),"ERROR",IF($Z154=$Y$1,"-",0))))))))))))</f>
        <v>0</v>
      </c>
      <c r="X154" s="105">
        <f t="shared" si="159"/>
        <v>0</v>
      </c>
      <c r="Y154" s="105" t="str">
        <f t="shared" si="4"/>
        <v>-</v>
      </c>
      <c r="Z154" s="104" t="s">
        <v>3400</v>
      </c>
      <c r="AA154" s="34">
        <f t="shared" si="5"/>
        <v>1</v>
      </c>
      <c r="AB154" s="34">
        <f>COUNTIFS(Links!B:B,"FSE",Links!C:C,A154,Links!AD:AD,1)</f>
        <v>1</v>
      </c>
      <c r="AC154" s="106" t="s">
        <v>35</v>
      </c>
      <c r="AD154" s="107" t="s">
        <v>35</v>
      </c>
      <c r="AE154" s="104" t="s">
        <v>36</v>
      </c>
      <c r="AF154" s="37" t="s">
        <v>42</v>
      </c>
      <c r="AG154" s="37" t="s">
        <v>42</v>
      </c>
      <c r="AH154" s="37" t="s">
        <v>42</v>
      </c>
      <c r="AI154" s="105" t="str">
        <f t="shared" si="6"/>
        <v>----</v>
      </c>
      <c r="AJ154" s="108" t="str">
        <f t="shared" si="7"/>
        <v>Paper has link but no statement</v>
      </c>
      <c r="AK154" s="109" t="s">
        <v>3401</v>
      </c>
      <c r="AL154" s="110" t="s">
        <v>3402</v>
      </c>
      <c r="AM154" s="40" t="str">
        <f t="shared" si="8"/>
        <v>[FP0649]</v>
      </c>
    </row>
    <row r="155" ht="67.5" customHeight="1">
      <c r="A155" s="41">
        <v>650.0</v>
      </c>
      <c r="B155" s="42" t="s">
        <v>3775</v>
      </c>
      <c r="C155" s="43">
        <v>2016.0</v>
      </c>
      <c r="D155" s="111" t="s">
        <v>35</v>
      </c>
      <c r="E155" s="45" t="s">
        <v>36</v>
      </c>
      <c r="F155" s="45" t="s">
        <v>36</v>
      </c>
      <c r="G155" s="45" t="s">
        <v>36</v>
      </c>
      <c r="H155" s="45" t="s">
        <v>36</v>
      </c>
      <c r="I155" s="45" t="s">
        <v>36</v>
      </c>
      <c r="J155" s="112" t="s">
        <v>36</v>
      </c>
      <c r="K155" s="113" t="s">
        <v>37</v>
      </c>
      <c r="L155" s="114" t="s">
        <v>35</v>
      </c>
      <c r="M155" s="114" t="s">
        <v>35</v>
      </c>
      <c r="N155" s="114" t="s">
        <v>35</v>
      </c>
      <c r="O155" s="114" t="s">
        <v>35</v>
      </c>
      <c r="P155" s="114" t="s">
        <v>35</v>
      </c>
      <c r="Q155" s="114" t="s">
        <v>35</v>
      </c>
      <c r="R155" s="114" t="s">
        <v>37</v>
      </c>
      <c r="S155" s="115" t="s">
        <v>3776</v>
      </c>
      <c r="T155" s="50" t="s">
        <v>3777</v>
      </c>
      <c r="U155" s="50" t="s">
        <v>3777</v>
      </c>
      <c r="V155" s="116">
        <f t="shared" si="2"/>
        <v>1</v>
      </c>
      <c r="W155" s="116">
        <f t="shared" ref="W155:X155" si="160">IF(lenb(SUBSTITUTE($Z155,W$1&amp;" (1)",""))&lt;lenb($Z155),1,IF(lenb(SUBSTITUTE($Z155,W$1&amp;" (2)",""))&lt;lenb($Z155),2,IF(lenb(SUBSTITUTE($Z155,W$1&amp;" (3)",""))&lt;lenb($Z155),3,IF(lenb(SUBSTITUTE($Z155,W$1&amp;" (4)",""))&lt;lenb($Z155),4,IF(lenb(SUBSTITUTE($Z155,W$1&amp;" (5)",""))&lt;lenb($Z155),5,IF(lenb(SUBSTITUTE($Z155,W$1&amp;" (6)",""))&lt;lenb($Z155),6,IF(lenb(SUBSTITUTE($Z155,W$1&amp;" (7)",""))&lt;lenb($Z155),1,IF(lenb(SUBSTITUTE($Z155,W$1&amp;" (8)",""))&lt;lenb($Z155),8,IF(lenb(SUBSTITUTE($Z155,W$1&amp;" (9)",""))&lt;lenb($Z155),9,IF(lenb(SUBSTITUTE($Z155,W$1&amp;" (10)",""))&lt;lenb($Z155),10,IF(lenb(SUBSTITUTE($Z155,W$1,""))&lt;lenb($Z155),"ERROR",IF($Z155=$Y$1,"-",0))))))))))))</f>
        <v>0</v>
      </c>
      <c r="X155" s="116">
        <f t="shared" si="160"/>
        <v>0</v>
      </c>
      <c r="Y155" s="116" t="str">
        <f t="shared" si="4"/>
        <v>-</v>
      </c>
      <c r="Z155" s="115" t="s">
        <v>3400</v>
      </c>
      <c r="AA155" s="54">
        <f t="shared" si="5"/>
        <v>1</v>
      </c>
      <c r="AB155" s="54">
        <f>COUNTIFS(Links!B:B,"FSE",Links!C:C,A155,Links!AD:AD,1)</f>
        <v>0</v>
      </c>
      <c r="AC155" s="117" t="s">
        <v>35</v>
      </c>
      <c r="AD155" s="118" t="s">
        <v>35</v>
      </c>
      <c r="AE155" s="115" t="s">
        <v>36</v>
      </c>
      <c r="AF155" s="57" t="s">
        <v>42</v>
      </c>
      <c r="AG155" s="57" t="s">
        <v>42</v>
      </c>
      <c r="AH155" s="57" t="s">
        <v>42</v>
      </c>
      <c r="AI155" s="116" t="str">
        <f t="shared" si="6"/>
        <v>----</v>
      </c>
      <c r="AJ155" s="119" t="str">
        <f t="shared" si="7"/>
        <v>Paper has link but no statement</v>
      </c>
      <c r="AK155" s="120" t="s">
        <v>3401</v>
      </c>
      <c r="AL155" s="121" t="s">
        <v>3402</v>
      </c>
      <c r="AM155" s="60" t="str">
        <f t="shared" si="8"/>
        <v>[FP0650]</v>
      </c>
    </row>
    <row r="156" ht="67.5" customHeight="1">
      <c r="A156" s="61">
        <v>651.0</v>
      </c>
      <c r="B156" s="22" t="s">
        <v>3778</v>
      </c>
      <c r="C156" s="23">
        <v>2016.0</v>
      </c>
      <c r="D156" s="100" t="s">
        <v>35</v>
      </c>
      <c r="E156" s="25" t="s">
        <v>36</v>
      </c>
      <c r="F156" s="25" t="s">
        <v>36</v>
      </c>
      <c r="G156" s="25" t="s">
        <v>36</v>
      </c>
      <c r="H156" s="25" t="s">
        <v>36</v>
      </c>
      <c r="I156" s="25" t="s">
        <v>36</v>
      </c>
      <c r="J156" s="101" t="s">
        <v>36</v>
      </c>
      <c r="K156" s="102" t="s">
        <v>37</v>
      </c>
      <c r="L156" s="103" t="s">
        <v>37</v>
      </c>
      <c r="M156" s="103" t="s">
        <v>35</v>
      </c>
      <c r="N156" s="103" t="s">
        <v>37</v>
      </c>
      <c r="O156" s="103" t="s">
        <v>35</v>
      </c>
      <c r="P156" s="103" t="s">
        <v>35</v>
      </c>
      <c r="Q156" s="103" t="s">
        <v>35</v>
      </c>
      <c r="R156" s="103" t="s">
        <v>35</v>
      </c>
      <c r="S156" s="104" t="s">
        <v>84</v>
      </c>
      <c r="T156" s="30" t="s">
        <v>3779</v>
      </c>
      <c r="U156" s="30" t="s">
        <v>3779</v>
      </c>
      <c r="V156" s="105">
        <f t="shared" si="2"/>
        <v>1</v>
      </c>
      <c r="W156" s="105">
        <f t="shared" ref="W156:X156" si="161">IF(lenb(SUBSTITUTE($Z156,W$1&amp;" (1)",""))&lt;lenb($Z156),1,IF(lenb(SUBSTITUTE($Z156,W$1&amp;" (2)",""))&lt;lenb($Z156),2,IF(lenb(SUBSTITUTE($Z156,W$1&amp;" (3)",""))&lt;lenb($Z156),3,IF(lenb(SUBSTITUTE($Z156,W$1&amp;" (4)",""))&lt;lenb($Z156),4,IF(lenb(SUBSTITUTE($Z156,W$1&amp;" (5)",""))&lt;lenb($Z156),5,IF(lenb(SUBSTITUTE($Z156,W$1&amp;" (6)",""))&lt;lenb($Z156),6,IF(lenb(SUBSTITUTE($Z156,W$1&amp;" (7)",""))&lt;lenb($Z156),1,IF(lenb(SUBSTITUTE($Z156,W$1&amp;" (8)",""))&lt;lenb($Z156),8,IF(lenb(SUBSTITUTE($Z156,W$1&amp;" (9)",""))&lt;lenb($Z156),9,IF(lenb(SUBSTITUTE($Z156,W$1&amp;" (10)",""))&lt;lenb($Z156),10,IF(lenb(SUBSTITUTE($Z156,W$1,""))&lt;lenb($Z156),"ERROR",IF($Z156=$Y$1,"-",0))))))))))))</f>
        <v>0</v>
      </c>
      <c r="X156" s="105">
        <f t="shared" si="161"/>
        <v>0</v>
      </c>
      <c r="Y156" s="105" t="str">
        <f t="shared" si="4"/>
        <v>-</v>
      </c>
      <c r="Z156" s="104" t="s">
        <v>3400</v>
      </c>
      <c r="AA156" s="34">
        <f t="shared" si="5"/>
        <v>1</v>
      </c>
      <c r="AB156" s="34">
        <f>COUNTIFS(Links!B:B,"FSE",Links!C:C,A156,Links!AD:AD,1)</f>
        <v>0</v>
      </c>
      <c r="AC156" s="106" t="s">
        <v>35</v>
      </c>
      <c r="AD156" s="107" t="s">
        <v>35</v>
      </c>
      <c r="AE156" s="104" t="s">
        <v>36</v>
      </c>
      <c r="AF156" s="37" t="s">
        <v>42</v>
      </c>
      <c r="AG156" s="37" t="s">
        <v>42</v>
      </c>
      <c r="AH156" s="37" t="s">
        <v>42</v>
      </c>
      <c r="AI156" s="105" t="str">
        <f t="shared" si="6"/>
        <v>----</v>
      </c>
      <c r="AJ156" s="108" t="str">
        <f t="shared" si="7"/>
        <v>Paper has link but no statement</v>
      </c>
      <c r="AK156" s="109" t="s">
        <v>3401</v>
      </c>
      <c r="AL156" s="110" t="s">
        <v>3402</v>
      </c>
      <c r="AM156" s="40" t="str">
        <f t="shared" si="8"/>
        <v>[FP0651]</v>
      </c>
    </row>
    <row r="157" ht="67.5" customHeight="1">
      <c r="A157" s="41">
        <v>652.0</v>
      </c>
      <c r="B157" s="42" t="s">
        <v>3780</v>
      </c>
      <c r="C157" s="43">
        <v>2016.0</v>
      </c>
      <c r="D157" s="111" t="s">
        <v>35</v>
      </c>
      <c r="E157" s="45" t="s">
        <v>36</v>
      </c>
      <c r="F157" s="45" t="s">
        <v>36</v>
      </c>
      <c r="G157" s="45" t="s">
        <v>36</v>
      </c>
      <c r="H157" s="45" t="s">
        <v>36</v>
      </c>
      <c r="I157" s="45" t="s">
        <v>36</v>
      </c>
      <c r="J157" s="112" t="s">
        <v>36</v>
      </c>
      <c r="K157" s="113" t="s">
        <v>37</v>
      </c>
      <c r="L157" s="114" t="s">
        <v>37</v>
      </c>
      <c r="M157" s="114" t="s">
        <v>35</v>
      </c>
      <c r="N157" s="114" t="s">
        <v>35</v>
      </c>
      <c r="O157" s="114" t="s">
        <v>35</v>
      </c>
      <c r="P157" s="114" t="s">
        <v>35</v>
      </c>
      <c r="Q157" s="114" t="s">
        <v>35</v>
      </c>
      <c r="R157" s="114" t="s">
        <v>37</v>
      </c>
      <c r="S157" s="115" t="s">
        <v>3781</v>
      </c>
      <c r="T157" s="50" t="s">
        <v>3782</v>
      </c>
      <c r="U157" s="50" t="s">
        <v>3782</v>
      </c>
      <c r="V157" s="116">
        <f t="shared" si="2"/>
        <v>1</v>
      </c>
      <c r="W157" s="116">
        <f t="shared" ref="W157:X157" si="162">IF(lenb(SUBSTITUTE($Z157,W$1&amp;" (1)",""))&lt;lenb($Z157),1,IF(lenb(SUBSTITUTE($Z157,W$1&amp;" (2)",""))&lt;lenb($Z157),2,IF(lenb(SUBSTITUTE($Z157,W$1&amp;" (3)",""))&lt;lenb($Z157),3,IF(lenb(SUBSTITUTE($Z157,W$1&amp;" (4)",""))&lt;lenb($Z157),4,IF(lenb(SUBSTITUTE($Z157,W$1&amp;" (5)",""))&lt;lenb($Z157),5,IF(lenb(SUBSTITUTE($Z157,W$1&amp;" (6)",""))&lt;lenb($Z157),6,IF(lenb(SUBSTITUTE($Z157,W$1&amp;" (7)",""))&lt;lenb($Z157),1,IF(lenb(SUBSTITUTE($Z157,W$1&amp;" (8)",""))&lt;lenb($Z157),8,IF(lenb(SUBSTITUTE($Z157,W$1&amp;" (9)",""))&lt;lenb($Z157),9,IF(lenb(SUBSTITUTE($Z157,W$1&amp;" (10)",""))&lt;lenb($Z157),10,IF(lenb(SUBSTITUTE($Z157,W$1,""))&lt;lenb($Z157),"ERROR",IF($Z157=$Y$1,"-",0))))))))))))</f>
        <v>0</v>
      </c>
      <c r="X157" s="116">
        <f t="shared" si="162"/>
        <v>0</v>
      </c>
      <c r="Y157" s="116" t="str">
        <f t="shared" si="4"/>
        <v>-</v>
      </c>
      <c r="Z157" s="115" t="s">
        <v>3400</v>
      </c>
      <c r="AA157" s="54">
        <f t="shared" si="5"/>
        <v>1</v>
      </c>
      <c r="AB157" s="54">
        <f>COUNTIFS(Links!B:B,"FSE",Links!C:C,A157,Links!AD:AD,1)</f>
        <v>0</v>
      </c>
      <c r="AC157" s="117" t="s">
        <v>35</v>
      </c>
      <c r="AD157" s="118" t="s">
        <v>35</v>
      </c>
      <c r="AE157" s="115" t="s">
        <v>36</v>
      </c>
      <c r="AF157" s="57" t="s">
        <v>42</v>
      </c>
      <c r="AG157" s="57" t="s">
        <v>42</v>
      </c>
      <c r="AH157" s="57" t="s">
        <v>42</v>
      </c>
      <c r="AI157" s="116" t="str">
        <f t="shared" si="6"/>
        <v>----</v>
      </c>
      <c r="AJ157" s="119" t="str">
        <f t="shared" si="7"/>
        <v>Paper has link but no statement</v>
      </c>
      <c r="AK157" s="120" t="s">
        <v>3401</v>
      </c>
      <c r="AL157" s="121" t="s">
        <v>3402</v>
      </c>
      <c r="AM157" s="60" t="str">
        <f t="shared" si="8"/>
        <v>[FP0652]</v>
      </c>
    </row>
    <row r="158" ht="67.5" customHeight="1">
      <c r="A158" s="61">
        <v>653.0</v>
      </c>
      <c r="B158" s="22" t="s">
        <v>3783</v>
      </c>
      <c r="C158" s="23">
        <v>2016.0</v>
      </c>
      <c r="D158" s="100" t="s">
        <v>35</v>
      </c>
      <c r="E158" s="25" t="s">
        <v>36</v>
      </c>
      <c r="F158" s="25" t="s">
        <v>36</v>
      </c>
      <c r="G158" s="25" t="s">
        <v>36</v>
      </c>
      <c r="H158" s="25" t="s">
        <v>36</v>
      </c>
      <c r="I158" s="25" t="s">
        <v>36</v>
      </c>
      <c r="J158" s="101" t="s">
        <v>36</v>
      </c>
      <c r="K158" s="102" t="s">
        <v>37</v>
      </c>
      <c r="L158" s="103" t="s">
        <v>37</v>
      </c>
      <c r="M158" s="103" t="s">
        <v>35</v>
      </c>
      <c r="N158" s="103" t="s">
        <v>35</v>
      </c>
      <c r="O158" s="103" t="s">
        <v>35</v>
      </c>
      <c r="P158" s="103" t="s">
        <v>35</v>
      </c>
      <c r="Q158" s="103" t="s">
        <v>35</v>
      </c>
      <c r="R158" s="103" t="s">
        <v>37</v>
      </c>
      <c r="S158" s="104" t="s">
        <v>3784</v>
      </c>
      <c r="T158" s="30" t="s">
        <v>3785</v>
      </c>
      <c r="U158" s="30" t="s">
        <v>3785</v>
      </c>
      <c r="V158" s="105">
        <f t="shared" si="2"/>
        <v>1</v>
      </c>
      <c r="W158" s="105">
        <f t="shared" ref="W158:X158" si="163">IF(lenb(SUBSTITUTE($Z158,W$1&amp;" (1)",""))&lt;lenb($Z158),1,IF(lenb(SUBSTITUTE($Z158,W$1&amp;" (2)",""))&lt;lenb($Z158),2,IF(lenb(SUBSTITUTE($Z158,W$1&amp;" (3)",""))&lt;lenb($Z158),3,IF(lenb(SUBSTITUTE($Z158,W$1&amp;" (4)",""))&lt;lenb($Z158),4,IF(lenb(SUBSTITUTE($Z158,W$1&amp;" (5)",""))&lt;lenb($Z158),5,IF(lenb(SUBSTITUTE($Z158,W$1&amp;" (6)",""))&lt;lenb($Z158),6,IF(lenb(SUBSTITUTE($Z158,W$1&amp;" (7)",""))&lt;lenb($Z158),1,IF(lenb(SUBSTITUTE($Z158,W$1&amp;" (8)",""))&lt;lenb($Z158),8,IF(lenb(SUBSTITUTE($Z158,W$1&amp;" (9)",""))&lt;lenb($Z158),9,IF(lenb(SUBSTITUTE($Z158,W$1&amp;" (10)",""))&lt;lenb($Z158),10,IF(lenb(SUBSTITUTE($Z158,W$1,""))&lt;lenb($Z158),"ERROR",IF($Z158=$Y$1,"-",0))))))))))))</f>
        <v>0</v>
      </c>
      <c r="X158" s="105">
        <f t="shared" si="163"/>
        <v>0</v>
      </c>
      <c r="Y158" s="105" t="str">
        <f t="shared" si="4"/>
        <v>-</v>
      </c>
      <c r="Z158" s="104" t="s">
        <v>3400</v>
      </c>
      <c r="AA158" s="34">
        <f t="shared" si="5"/>
        <v>1</v>
      </c>
      <c r="AB158" s="34">
        <f>COUNTIFS(Links!B:B,"FSE",Links!C:C,A158,Links!AD:AD,1)</f>
        <v>0</v>
      </c>
      <c r="AC158" s="106" t="s">
        <v>35</v>
      </c>
      <c r="AD158" s="107" t="s">
        <v>35</v>
      </c>
      <c r="AE158" s="104" t="s">
        <v>36</v>
      </c>
      <c r="AF158" s="37" t="s">
        <v>42</v>
      </c>
      <c r="AG158" s="37" t="s">
        <v>42</v>
      </c>
      <c r="AH158" s="37" t="s">
        <v>42</v>
      </c>
      <c r="AI158" s="105" t="str">
        <f t="shared" si="6"/>
        <v>----</v>
      </c>
      <c r="AJ158" s="108" t="str">
        <f t="shared" si="7"/>
        <v>Paper has link but no statement</v>
      </c>
      <c r="AK158" s="109" t="s">
        <v>3401</v>
      </c>
      <c r="AL158" s="110" t="s">
        <v>3402</v>
      </c>
      <c r="AM158" s="40" t="str">
        <f t="shared" si="8"/>
        <v>[FP0653]</v>
      </c>
    </row>
    <row r="159" ht="67.5" customHeight="1">
      <c r="A159" s="41">
        <v>654.0</v>
      </c>
      <c r="B159" s="42" t="s">
        <v>3786</v>
      </c>
      <c r="C159" s="43">
        <v>2016.0</v>
      </c>
      <c r="D159" s="111" t="s">
        <v>35</v>
      </c>
      <c r="E159" s="45" t="s">
        <v>36</v>
      </c>
      <c r="F159" s="45" t="s">
        <v>36</v>
      </c>
      <c r="G159" s="45" t="s">
        <v>36</v>
      </c>
      <c r="H159" s="45" t="s">
        <v>36</v>
      </c>
      <c r="I159" s="45" t="s">
        <v>36</v>
      </c>
      <c r="J159" s="112" t="s">
        <v>36</v>
      </c>
      <c r="K159" s="113" t="s">
        <v>35</v>
      </c>
      <c r="L159" s="114" t="s">
        <v>36</v>
      </c>
      <c r="M159" s="114" t="s">
        <v>36</v>
      </c>
      <c r="N159" s="114" t="s">
        <v>36</v>
      </c>
      <c r="O159" s="114" t="s">
        <v>36</v>
      </c>
      <c r="P159" s="114" t="s">
        <v>36</v>
      </c>
      <c r="Q159" s="114" t="s">
        <v>36</v>
      </c>
      <c r="R159" s="114" t="s">
        <v>36</v>
      </c>
      <c r="S159" s="115" t="s">
        <v>42</v>
      </c>
      <c r="T159" s="50" t="s">
        <v>36</v>
      </c>
      <c r="U159" s="50" t="s">
        <v>36</v>
      </c>
      <c r="V159" s="116" t="str">
        <f t="shared" si="2"/>
        <v>-</v>
      </c>
      <c r="W159" s="116" t="str">
        <f t="shared" ref="W159:X159" si="164">IF(lenb(SUBSTITUTE($Z159,W$1&amp;" (1)",""))&lt;lenb($Z159),1,IF(lenb(SUBSTITUTE($Z159,W$1&amp;" (2)",""))&lt;lenb($Z159),2,IF(lenb(SUBSTITUTE($Z159,W$1&amp;" (3)",""))&lt;lenb($Z159),3,IF(lenb(SUBSTITUTE($Z159,W$1&amp;" (4)",""))&lt;lenb($Z159),4,IF(lenb(SUBSTITUTE($Z159,W$1&amp;" (5)",""))&lt;lenb($Z159),5,IF(lenb(SUBSTITUTE($Z159,W$1&amp;" (6)",""))&lt;lenb($Z159),6,IF(lenb(SUBSTITUTE($Z159,W$1&amp;" (7)",""))&lt;lenb($Z159),1,IF(lenb(SUBSTITUTE($Z159,W$1&amp;" (8)",""))&lt;lenb($Z159),8,IF(lenb(SUBSTITUTE($Z159,W$1&amp;" (9)",""))&lt;lenb($Z159),9,IF(lenb(SUBSTITUTE($Z159,W$1&amp;" (10)",""))&lt;lenb($Z159),10,IF(lenb(SUBSTITUTE($Z159,W$1,""))&lt;lenb($Z159),"ERROR",IF($Z159=$Y$1,"-",0))))))))))))</f>
        <v>-</v>
      </c>
      <c r="X159" s="116" t="str">
        <f t="shared" si="164"/>
        <v>-</v>
      </c>
      <c r="Y159" s="116">
        <f t="shared" si="4"/>
        <v>1</v>
      </c>
      <c r="Z159" s="115" t="s">
        <v>23</v>
      </c>
      <c r="AA159" s="54">
        <f t="shared" si="5"/>
        <v>0</v>
      </c>
      <c r="AB159" s="54">
        <f>COUNTIFS(Links!B:B,"FSE",Links!C:C,A159,Links!AD:AD,1)</f>
        <v>0</v>
      </c>
      <c r="AC159" s="117" t="s">
        <v>36</v>
      </c>
      <c r="AD159" s="118" t="s">
        <v>35</v>
      </c>
      <c r="AE159" s="115" t="s">
        <v>36</v>
      </c>
      <c r="AF159" s="57" t="s">
        <v>42</v>
      </c>
      <c r="AG159" s="57" t="s">
        <v>42</v>
      </c>
      <c r="AH159" s="57" t="s">
        <v>42</v>
      </c>
      <c r="AI159" s="116" t="str">
        <f t="shared" si="6"/>
        <v>----</v>
      </c>
      <c r="AJ159" s="119" t="str">
        <f t="shared" si="7"/>
        <v>Paper has no link and no statement</v>
      </c>
      <c r="AK159" s="120" t="s">
        <v>3401</v>
      </c>
      <c r="AL159" s="121" t="s">
        <v>3402</v>
      </c>
      <c r="AM159" s="60" t="str">
        <f t="shared" si="8"/>
        <v>[FP0654]</v>
      </c>
    </row>
    <row r="160" ht="67.5" customHeight="1">
      <c r="A160" s="61">
        <v>655.0</v>
      </c>
      <c r="B160" s="22" t="s">
        <v>3787</v>
      </c>
      <c r="C160" s="23">
        <v>2016.0</v>
      </c>
      <c r="D160" s="100" t="s">
        <v>37</v>
      </c>
      <c r="E160" s="25" t="s">
        <v>36</v>
      </c>
      <c r="F160" s="25" t="s">
        <v>36</v>
      </c>
      <c r="G160" s="25" t="s">
        <v>36</v>
      </c>
      <c r="H160" s="25" t="s">
        <v>36</v>
      </c>
      <c r="I160" s="25" t="s">
        <v>36</v>
      </c>
      <c r="J160" s="101" t="s">
        <v>3759</v>
      </c>
      <c r="K160" s="102" t="s">
        <v>37</v>
      </c>
      <c r="L160" s="103" t="s">
        <v>35</v>
      </c>
      <c r="M160" s="103" t="s">
        <v>37</v>
      </c>
      <c r="N160" s="103" t="s">
        <v>35</v>
      </c>
      <c r="O160" s="103" t="s">
        <v>37</v>
      </c>
      <c r="P160" s="103" t="s">
        <v>37</v>
      </c>
      <c r="Q160" s="103" t="s">
        <v>37</v>
      </c>
      <c r="R160" s="103" t="s">
        <v>35</v>
      </c>
      <c r="S160" s="104" t="s">
        <v>3788</v>
      </c>
      <c r="T160" s="104" t="s">
        <v>3789</v>
      </c>
      <c r="U160" s="30" t="s">
        <v>3790</v>
      </c>
      <c r="V160" s="105">
        <f t="shared" si="2"/>
        <v>1</v>
      </c>
      <c r="W160" s="105">
        <f t="shared" ref="W160:X160" si="165">IF(lenb(SUBSTITUTE($Z160,W$1&amp;" (1)",""))&lt;lenb($Z160),1,IF(lenb(SUBSTITUTE($Z160,W$1&amp;" (2)",""))&lt;lenb($Z160),2,IF(lenb(SUBSTITUTE($Z160,W$1&amp;" (3)",""))&lt;lenb($Z160),3,IF(lenb(SUBSTITUTE($Z160,W$1&amp;" (4)",""))&lt;lenb($Z160),4,IF(lenb(SUBSTITUTE($Z160,W$1&amp;" (5)",""))&lt;lenb($Z160),5,IF(lenb(SUBSTITUTE($Z160,W$1&amp;" (6)",""))&lt;lenb($Z160),6,IF(lenb(SUBSTITUTE($Z160,W$1&amp;" (7)",""))&lt;lenb($Z160),1,IF(lenb(SUBSTITUTE($Z160,W$1&amp;" (8)",""))&lt;lenb($Z160),8,IF(lenb(SUBSTITUTE($Z160,W$1&amp;" (9)",""))&lt;lenb($Z160),9,IF(lenb(SUBSTITUTE($Z160,W$1&amp;" (10)",""))&lt;lenb($Z160),10,IF(lenb(SUBSTITUTE($Z160,W$1,""))&lt;lenb($Z160),"ERROR",IF($Z160=$Y$1,"-",0))))))))))))</f>
        <v>0</v>
      </c>
      <c r="X160" s="105">
        <f t="shared" si="165"/>
        <v>0</v>
      </c>
      <c r="Y160" s="105" t="str">
        <f t="shared" si="4"/>
        <v>-</v>
      </c>
      <c r="Z160" s="104" t="s">
        <v>3400</v>
      </c>
      <c r="AA160" s="34">
        <f t="shared" si="5"/>
        <v>1</v>
      </c>
      <c r="AB160" s="34">
        <f>COUNTIFS(Links!B:B,"FSE",Links!C:C,A160,Links!AD:AD,1)</f>
        <v>1</v>
      </c>
      <c r="AC160" s="106" t="s">
        <v>35</v>
      </c>
      <c r="AD160" s="107" t="s">
        <v>35</v>
      </c>
      <c r="AE160" s="104" t="s">
        <v>36</v>
      </c>
      <c r="AF160" s="37" t="s">
        <v>42</v>
      </c>
      <c r="AG160" s="37" t="s">
        <v>42</v>
      </c>
      <c r="AH160" s="37" t="s">
        <v>42</v>
      </c>
      <c r="AI160" s="105" t="str">
        <f t="shared" si="6"/>
        <v>----</v>
      </c>
      <c r="AJ160" s="108" t="str">
        <f t="shared" si="7"/>
        <v>Paper has link but no statement</v>
      </c>
      <c r="AK160" s="109" t="s">
        <v>3401</v>
      </c>
      <c r="AL160" s="110" t="s">
        <v>3402</v>
      </c>
      <c r="AM160" s="40" t="str">
        <f t="shared" si="8"/>
        <v>[FP0655]</v>
      </c>
    </row>
    <row r="161" ht="67.5" customHeight="1">
      <c r="A161" s="41">
        <v>656.0</v>
      </c>
      <c r="B161" s="42" t="s">
        <v>3791</v>
      </c>
      <c r="C161" s="43">
        <v>2016.0</v>
      </c>
      <c r="D161" s="111" t="s">
        <v>35</v>
      </c>
      <c r="E161" s="45" t="s">
        <v>36</v>
      </c>
      <c r="F161" s="45" t="s">
        <v>36</v>
      </c>
      <c r="G161" s="45" t="s">
        <v>36</v>
      </c>
      <c r="H161" s="45" t="s">
        <v>36</v>
      </c>
      <c r="I161" s="45" t="s">
        <v>36</v>
      </c>
      <c r="J161" s="112" t="s">
        <v>36</v>
      </c>
      <c r="K161" s="113" t="s">
        <v>37</v>
      </c>
      <c r="L161" s="114" t="s">
        <v>37</v>
      </c>
      <c r="M161" s="114" t="s">
        <v>37</v>
      </c>
      <c r="N161" s="114" t="s">
        <v>37</v>
      </c>
      <c r="O161" s="114" t="s">
        <v>35</v>
      </c>
      <c r="P161" s="114" t="s">
        <v>35</v>
      </c>
      <c r="Q161" s="114" t="s">
        <v>35</v>
      </c>
      <c r="R161" s="114" t="s">
        <v>37</v>
      </c>
      <c r="S161" s="115" t="s">
        <v>3792</v>
      </c>
      <c r="T161" s="50" t="s">
        <v>3793</v>
      </c>
      <c r="U161" s="50" t="s">
        <v>3793</v>
      </c>
      <c r="V161" s="116">
        <f t="shared" si="2"/>
        <v>2</v>
      </c>
      <c r="W161" s="116">
        <f t="shared" ref="W161:X161" si="166">IF(lenb(SUBSTITUTE($Z161,W$1&amp;" (1)",""))&lt;lenb($Z161),1,IF(lenb(SUBSTITUTE($Z161,W$1&amp;" (2)",""))&lt;lenb($Z161),2,IF(lenb(SUBSTITUTE($Z161,W$1&amp;" (3)",""))&lt;lenb($Z161),3,IF(lenb(SUBSTITUTE($Z161,W$1&amp;" (4)",""))&lt;lenb($Z161),4,IF(lenb(SUBSTITUTE($Z161,W$1&amp;" (5)",""))&lt;lenb($Z161),5,IF(lenb(SUBSTITUTE($Z161,W$1&amp;" (6)",""))&lt;lenb($Z161),6,IF(lenb(SUBSTITUTE($Z161,W$1&amp;" (7)",""))&lt;lenb($Z161),1,IF(lenb(SUBSTITUTE($Z161,W$1&amp;" (8)",""))&lt;lenb($Z161),8,IF(lenb(SUBSTITUTE($Z161,W$1&amp;" (9)",""))&lt;lenb($Z161),9,IF(lenb(SUBSTITUTE($Z161,W$1&amp;" (10)",""))&lt;lenb($Z161),10,IF(lenb(SUBSTITUTE($Z161,W$1,""))&lt;lenb($Z161),"ERROR",IF($Z161=$Y$1,"-",0))))))))))))</f>
        <v>0</v>
      </c>
      <c r="X161" s="116">
        <f t="shared" si="166"/>
        <v>0</v>
      </c>
      <c r="Y161" s="116" t="str">
        <f t="shared" si="4"/>
        <v>-</v>
      </c>
      <c r="Z161" s="115" t="s">
        <v>3452</v>
      </c>
      <c r="AA161" s="54">
        <f t="shared" si="5"/>
        <v>2</v>
      </c>
      <c r="AB161" s="54">
        <f>COUNTIFS(Links!B:B,"FSE",Links!C:C,A161,Links!AD:AD,1)</f>
        <v>0</v>
      </c>
      <c r="AC161" s="117" t="s">
        <v>35</v>
      </c>
      <c r="AD161" s="118" t="s">
        <v>35</v>
      </c>
      <c r="AE161" s="115" t="s">
        <v>36</v>
      </c>
      <c r="AF161" s="57" t="s">
        <v>42</v>
      </c>
      <c r="AG161" s="57" t="s">
        <v>42</v>
      </c>
      <c r="AH161" s="57" t="s">
        <v>42</v>
      </c>
      <c r="AI161" s="116" t="str">
        <f t="shared" si="6"/>
        <v>----</v>
      </c>
      <c r="AJ161" s="119" t="str">
        <f t="shared" si="7"/>
        <v>Paper has link but no statement</v>
      </c>
      <c r="AK161" s="120" t="s">
        <v>3401</v>
      </c>
      <c r="AL161" s="121" t="s">
        <v>3402</v>
      </c>
      <c r="AM161" s="60" t="str">
        <f t="shared" si="8"/>
        <v>[FP0656]</v>
      </c>
    </row>
    <row r="162" ht="67.5" customHeight="1">
      <c r="A162" s="61">
        <v>657.0</v>
      </c>
      <c r="B162" s="22" t="s">
        <v>3794</v>
      </c>
      <c r="C162" s="23">
        <v>2016.0</v>
      </c>
      <c r="D162" s="100" t="s">
        <v>37</v>
      </c>
      <c r="E162" s="25" t="s">
        <v>36</v>
      </c>
      <c r="F162" s="25" t="s">
        <v>36</v>
      </c>
      <c r="G162" s="25" t="s">
        <v>36</v>
      </c>
      <c r="H162" s="25" t="s">
        <v>36</v>
      </c>
      <c r="I162" s="25" t="s">
        <v>36</v>
      </c>
      <c r="J162" s="101" t="s">
        <v>3746</v>
      </c>
      <c r="K162" s="102" t="s">
        <v>37</v>
      </c>
      <c r="L162" s="103" t="s">
        <v>37</v>
      </c>
      <c r="M162" s="103" t="s">
        <v>35</v>
      </c>
      <c r="N162" s="103" t="s">
        <v>35</v>
      </c>
      <c r="O162" s="103" t="s">
        <v>35</v>
      </c>
      <c r="P162" s="103" t="s">
        <v>37</v>
      </c>
      <c r="Q162" s="103" t="s">
        <v>37</v>
      </c>
      <c r="R162" s="103" t="s">
        <v>37</v>
      </c>
      <c r="S162" s="104" t="s">
        <v>3795</v>
      </c>
      <c r="T162" s="30" t="s">
        <v>3796</v>
      </c>
      <c r="U162" s="30" t="s">
        <v>3796</v>
      </c>
      <c r="V162" s="105">
        <f t="shared" si="2"/>
        <v>1</v>
      </c>
      <c r="W162" s="105">
        <f t="shared" ref="W162:X162" si="167">IF(lenb(SUBSTITUTE($Z162,W$1&amp;" (1)",""))&lt;lenb($Z162),1,IF(lenb(SUBSTITUTE($Z162,W$1&amp;" (2)",""))&lt;lenb($Z162),2,IF(lenb(SUBSTITUTE($Z162,W$1&amp;" (3)",""))&lt;lenb($Z162),3,IF(lenb(SUBSTITUTE($Z162,W$1&amp;" (4)",""))&lt;lenb($Z162),4,IF(lenb(SUBSTITUTE($Z162,W$1&amp;" (5)",""))&lt;lenb($Z162),5,IF(lenb(SUBSTITUTE($Z162,W$1&amp;" (6)",""))&lt;lenb($Z162),6,IF(lenb(SUBSTITUTE($Z162,W$1&amp;" (7)",""))&lt;lenb($Z162),1,IF(lenb(SUBSTITUTE($Z162,W$1&amp;" (8)",""))&lt;lenb($Z162),8,IF(lenb(SUBSTITUTE($Z162,W$1&amp;" (9)",""))&lt;lenb($Z162),9,IF(lenb(SUBSTITUTE($Z162,W$1&amp;" (10)",""))&lt;lenb($Z162),10,IF(lenb(SUBSTITUTE($Z162,W$1,""))&lt;lenb($Z162),"ERROR",IF($Z162=$Y$1,"-",0))))))))))))</f>
        <v>0</v>
      </c>
      <c r="X162" s="105">
        <f t="shared" si="167"/>
        <v>0</v>
      </c>
      <c r="Y162" s="105" t="str">
        <f t="shared" si="4"/>
        <v>-</v>
      </c>
      <c r="Z162" s="104" t="s">
        <v>3400</v>
      </c>
      <c r="AA162" s="34">
        <f t="shared" si="5"/>
        <v>1</v>
      </c>
      <c r="AB162" s="34">
        <f>COUNTIFS(Links!B:B,"FSE",Links!C:C,A162,Links!AD:AD,1)</f>
        <v>0</v>
      </c>
      <c r="AC162" s="106" t="s">
        <v>35</v>
      </c>
      <c r="AD162" s="107" t="s">
        <v>35</v>
      </c>
      <c r="AE162" s="104" t="s">
        <v>36</v>
      </c>
      <c r="AF162" s="37" t="s">
        <v>42</v>
      </c>
      <c r="AG162" s="37" t="s">
        <v>42</v>
      </c>
      <c r="AH162" s="37" t="s">
        <v>42</v>
      </c>
      <c r="AI162" s="105" t="str">
        <f t="shared" si="6"/>
        <v>----</v>
      </c>
      <c r="AJ162" s="108" t="str">
        <f t="shared" si="7"/>
        <v>Paper has link but no statement</v>
      </c>
      <c r="AK162" s="109" t="s">
        <v>3401</v>
      </c>
      <c r="AL162" s="110" t="s">
        <v>3402</v>
      </c>
      <c r="AM162" s="40" t="str">
        <f t="shared" si="8"/>
        <v>[FP0657]</v>
      </c>
    </row>
    <row r="163" ht="67.5" customHeight="1">
      <c r="A163" s="41">
        <v>658.0</v>
      </c>
      <c r="B163" s="42" t="s">
        <v>3797</v>
      </c>
      <c r="C163" s="43">
        <v>2016.0</v>
      </c>
      <c r="D163" s="111" t="s">
        <v>35</v>
      </c>
      <c r="E163" s="45" t="s">
        <v>36</v>
      </c>
      <c r="F163" s="45" t="s">
        <v>36</v>
      </c>
      <c r="G163" s="45" t="s">
        <v>36</v>
      </c>
      <c r="H163" s="45" t="s">
        <v>36</v>
      </c>
      <c r="I163" s="45" t="s">
        <v>36</v>
      </c>
      <c r="J163" s="112" t="s">
        <v>36</v>
      </c>
      <c r="K163" s="113" t="s">
        <v>35</v>
      </c>
      <c r="L163" s="114" t="s">
        <v>36</v>
      </c>
      <c r="M163" s="114" t="s">
        <v>36</v>
      </c>
      <c r="N163" s="114" t="s">
        <v>36</v>
      </c>
      <c r="O163" s="114" t="s">
        <v>36</v>
      </c>
      <c r="P163" s="114" t="s">
        <v>36</v>
      </c>
      <c r="Q163" s="114" t="s">
        <v>36</v>
      </c>
      <c r="R163" s="114" t="s">
        <v>36</v>
      </c>
      <c r="S163" s="115" t="s">
        <v>42</v>
      </c>
      <c r="T163" s="50" t="s">
        <v>36</v>
      </c>
      <c r="U163" s="50" t="s">
        <v>36</v>
      </c>
      <c r="V163" s="116" t="str">
        <f t="shared" si="2"/>
        <v>-</v>
      </c>
      <c r="W163" s="116" t="str">
        <f t="shared" ref="W163:X163" si="168">IF(lenb(SUBSTITUTE($Z163,W$1&amp;" (1)",""))&lt;lenb($Z163),1,IF(lenb(SUBSTITUTE($Z163,W$1&amp;" (2)",""))&lt;lenb($Z163),2,IF(lenb(SUBSTITUTE($Z163,W$1&amp;" (3)",""))&lt;lenb($Z163),3,IF(lenb(SUBSTITUTE($Z163,W$1&amp;" (4)",""))&lt;lenb($Z163),4,IF(lenb(SUBSTITUTE($Z163,W$1&amp;" (5)",""))&lt;lenb($Z163),5,IF(lenb(SUBSTITUTE($Z163,W$1&amp;" (6)",""))&lt;lenb($Z163),6,IF(lenb(SUBSTITUTE($Z163,W$1&amp;" (7)",""))&lt;lenb($Z163),1,IF(lenb(SUBSTITUTE($Z163,W$1&amp;" (8)",""))&lt;lenb($Z163),8,IF(lenb(SUBSTITUTE($Z163,W$1&amp;" (9)",""))&lt;lenb($Z163),9,IF(lenb(SUBSTITUTE($Z163,W$1&amp;" (10)",""))&lt;lenb($Z163),10,IF(lenb(SUBSTITUTE($Z163,W$1,""))&lt;lenb($Z163),"ERROR",IF($Z163=$Y$1,"-",0))))))))))))</f>
        <v>-</v>
      </c>
      <c r="X163" s="116" t="str">
        <f t="shared" si="168"/>
        <v>-</v>
      </c>
      <c r="Y163" s="116">
        <f t="shared" si="4"/>
        <v>1</v>
      </c>
      <c r="Z163" s="115" t="s">
        <v>23</v>
      </c>
      <c r="AA163" s="54">
        <f t="shared" si="5"/>
        <v>0</v>
      </c>
      <c r="AB163" s="54">
        <f>COUNTIFS(Links!B:B,"FSE",Links!C:C,A163,Links!AD:AD,1)</f>
        <v>0</v>
      </c>
      <c r="AC163" s="117" t="s">
        <v>36</v>
      </c>
      <c r="AD163" s="118" t="s">
        <v>35</v>
      </c>
      <c r="AE163" s="115" t="s">
        <v>36</v>
      </c>
      <c r="AF163" s="57" t="s">
        <v>42</v>
      </c>
      <c r="AG163" s="57" t="s">
        <v>42</v>
      </c>
      <c r="AH163" s="57" t="s">
        <v>42</v>
      </c>
      <c r="AI163" s="116" t="str">
        <f t="shared" si="6"/>
        <v>----</v>
      </c>
      <c r="AJ163" s="119" t="str">
        <f t="shared" si="7"/>
        <v>Paper has no link and no statement</v>
      </c>
      <c r="AK163" s="120" t="s">
        <v>3401</v>
      </c>
      <c r="AL163" s="121" t="s">
        <v>3402</v>
      </c>
      <c r="AM163" s="60" t="str">
        <f t="shared" si="8"/>
        <v>[FP0658]</v>
      </c>
    </row>
    <row r="164" ht="67.5" customHeight="1">
      <c r="A164" s="61">
        <v>659.0</v>
      </c>
      <c r="B164" s="22" t="s">
        <v>3798</v>
      </c>
      <c r="C164" s="23">
        <v>2016.0</v>
      </c>
      <c r="D164" s="100" t="s">
        <v>37</v>
      </c>
      <c r="E164" s="25" t="s">
        <v>36</v>
      </c>
      <c r="F164" s="25" t="s">
        <v>36</v>
      </c>
      <c r="G164" s="25" t="s">
        <v>36</v>
      </c>
      <c r="H164" s="25" t="s">
        <v>36</v>
      </c>
      <c r="I164" s="25" t="s">
        <v>36</v>
      </c>
      <c r="J164" s="101" t="s">
        <v>3746</v>
      </c>
      <c r="K164" s="102" t="s">
        <v>37</v>
      </c>
      <c r="L164" s="103" t="s">
        <v>37</v>
      </c>
      <c r="M164" s="103" t="s">
        <v>35</v>
      </c>
      <c r="N164" s="103" t="s">
        <v>37</v>
      </c>
      <c r="O164" s="103" t="s">
        <v>35</v>
      </c>
      <c r="P164" s="103" t="s">
        <v>35</v>
      </c>
      <c r="Q164" s="103" t="s">
        <v>37</v>
      </c>
      <c r="R164" s="103" t="s">
        <v>35</v>
      </c>
      <c r="S164" s="104" t="s">
        <v>3799</v>
      </c>
      <c r="T164" s="30" t="s">
        <v>3800</v>
      </c>
      <c r="U164" s="30" t="s">
        <v>3800</v>
      </c>
      <c r="V164" s="105">
        <f t="shared" si="2"/>
        <v>1</v>
      </c>
      <c r="W164" s="105">
        <f t="shared" ref="W164:X164" si="169">IF(lenb(SUBSTITUTE($Z164,W$1&amp;" (1)",""))&lt;lenb($Z164),1,IF(lenb(SUBSTITUTE($Z164,W$1&amp;" (2)",""))&lt;lenb($Z164),2,IF(lenb(SUBSTITUTE($Z164,W$1&amp;" (3)",""))&lt;lenb($Z164),3,IF(lenb(SUBSTITUTE($Z164,W$1&amp;" (4)",""))&lt;lenb($Z164),4,IF(lenb(SUBSTITUTE($Z164,W$1&amp;" (5)",""))&lt;lenb($Z164),5,IF(lenb(SUBSTITUTE($Z164,W$1&amp;" (6)",""))&lt;lenb($Z164),6,IF(lenb(SUBSTITUTE($Z164,W$1&amp;" (7)",""))&lt;lenb($Z164),1,IF(lenb(SUBSTITUTE($Z164,W$1&amp;" (8)",""))&lt;lenb($Z164),8,IF(lenb(SUBSTITUTE($Z164,W$1&amp;" (9)",""))&lt;lenb($Z164),9,IF(lenb(SUBSTITUTE($Z164,W$1&amp;" (10)",""))&lt;lenb($Z164),10,IF(lenb(SUBSTITUTE($Z164,W$1,""))&lt;lenb($Z164),"ERROR",IF($Z164=$Y$1,"-",0))))))))))))</f>
        <v>0</v>
      </c>
      <c r="X164" s="105">
        <f t="shared" si="169"/>
        <v>0</v>
      </c>
      <c r="Y164" s="105" t="str">
        <f t="shared" si="4"/>
        <v>-</v>
      </c>
      <c r="Z164" s="104" t="s">
        <v>3400</v>
      </c>
      <c r="AA164" s="34">
        <f t="shared" si="5"/>
        <v>1</v>
      </c>
      <c r="AB164" s="34">
        <f>COUNTIFS(Links!B:B,"FSE",Links!C:C,A164,Links!AD:AD,1)</f>
        <v>0</v>
      </c>
      <c r="AC164" s="106" t="s">
        <v>35</v>
      </c>
      <c r="AD164" s="107" t="s">
        <v>35</v>
      </c>
      <c r="AE164" s="104" t="s">
        <v>36</v>
      </c>
      <c r="AF164" s="37" t="s">
        <v>42</v>
      </c>
      <c r="AG164" s="37" t="s">
        <v>42</v>
      </c>
      <c r="AH164" s="37" t="s">
        <v>42</v>
      </c>
      <c r="AI164" s="105" t="str">
        <f t="shared" si="6"/>
        <v>----</v>
      </c>
      <c r="AJ164" s="108" t="str">
        <f t="shared" si="7"/>
        <v>Paper has link but no statement</v>
      </c>
      <c r="AK164" s="109" t="s">
        <v>3401</v>
      </c>
      <c r="AL164" s="110" t="s">
        <v>3402</v>
      </c>
      <c r="AM164" s="40" t="str">
        <f t="shared" si="8"/>
        <v>[FP0659]</v>
      </c>
    </row>
    <row r="165" ht="67.5" customHeight="1">
      <c r="A165" s="41">
        <v>660.0</v>
      </c>
      <c r="B165" s="42" t="s">
        <v>3801</v>
      </c>
      <c r="C165" s="43">
        <v>2016.0</v>
      </c>
      <c r="D165" s="111" t="s">
        <v>35</v>
      </c>
      <c r="E165" s="45" t="s">
        <v>36</v>
      </c>
      <c r="F165" s="45" t="s">
        <v>36</v>
      </c>
      <c r="G165" s="45" t="s">
        <v>36</v>
      </c>
      <c r="H165" s="45" t="s">
        <v>36</v>
      </c>
      <c r="I165" s="45" t="s">
        <v>36</v>
      </c>
      <c r="J165" s="112" t="s">
        <v>36</v>
      </c>
      <c r="K165" s="113" t="s">
        <v>37</v>
      </c>
      <c r="L165" s="114" t="s">
        <v>37</v>
      </c>
      <c r="M165" s="114" t="s">
        <v>35</v>
      </c>
      <c r="N165" s="114" t="s">
        <v>35</v>
      </c>
      <c r="O165" s="114" t="s">
        <v>35</v>
      </c>
      <c r="P165" s="114" t="s">
        <v>35</v>
      </c>
      <c r="Q165" s="114" t="s">
        <v>35</v>
      </c>
      <c r="R165" s="114" t="s">
        <v>37</v>
      </c>
      <c r="S165" s="115" t="s">
        <v>3802</v>
      </c>
      <c r="T165" s="50" t="s">
        <v>3803</v>
      </c>
      <c r="U165" s="50" t="s">
        <v>3803</v>
      </c>
      <c r="V165" s="116">
        <f t="shared" si="2"/>
        <v>1</v>
      </c>
      <c r="W165" s="116">
        <f t="shared" ref="W165:X165" si="170">IF(lenb(SUBSTITUTE($Z165,W$1&amp;" (1)",""))&lt;lenb($Z165),1,IF(lenb(SUBSTITUTE($Z165,W$1&amp;" (2)",""))&lt;lenb($Z165),2,IF(lenb(SUBSTITUTE($Z165,W$1&amp;" (3)",""))&lt;lenb($Z165),3,IF(lenb(SUBSTITUTE($Z165,W$1&amp;" (4)",""))&lt;lenb($Z165),4,IF(lenb(SUBSTITUTE($Z165,W$1&amp;" (5)",""))&lt;lenb($Z165),5,IF(lenb(SUBSTITUTE($Z165,W$1&amp;" (6)",""))&lt;lenb($Z165),6,IF(lenb(SUBSTITUTE($Z165,W$1&amp;" (7)",""))&lt;lenb($Z165),1,IF(lenb(SUBSTITUTE($Z165,W$1&amp;" (8)",""))&lt;lenb($Z165),8,IF(lenb(SUBSTITUTE($Z165,W$1&amp;" (9)",""))&lt;lenb($Z165),9,IF(lenb(SUBSTITUTE($Z165,W$1&amp;" (10)",""))&lt;lenb($Z165),10,IF(lenb(SUBSTITUTE($Z165,W$1,""))&lt;lenb($Z165),"ERROR",IF($Z165=$Y$1,"-",0))))))))))))</f>
        <v>0</v>
      </c>
      <c r="X165" s="116">
        <f t="shared" si="170"/>
        <v>0</v>
      </c>
      <c r="Y165" s="116" t="str">
        <f t="shared" si="4"/>
        <v>-</v>
      </c>
      <c r="Z165" s="115" t="s">
        <v>3400</v>
      </c>
      <c r="AA165" s="54">
        <f t="shared" si="5"/>
        <v>1</v>
      </c>
      <c r="AB165" s="54">
        <f>COUNTIFS(Links!B:B,"FSE",Links!C:C,A165,Links!AD:AD,1)</f>
        <v>1</v>
      </c>
      <c r="AC165" s="117" t="s">
        <v>35</v>
      </c>
      <c r="AD165" s="118" t="s">
        <v>35</v>
      </c>
      <c r="AE165" s="115" t="s">
        <v>36</v>
      </c>
      <c r="AF165" s="57" t="s">
        <v>42</v>
      </c>
      <c r="AG165" s="57" t="s">
        <v>42</v>
      </c>
      <c r="AH165" s="57" t="s">
        <v>42</v>
      </c>
      <c r="AI165" s="116" t="str">
        <f t="shared" si="6"/>
        <v>----</v>
      </c>
      <c r="AJ165" s="119" t="str">
        <f t="shared" si="7"/>
        <v>Paper has link but no statement</v>
      </c>
      <c r="AK165" s="120" t="s">
        <v>3401</v>
      </c>
      <c r="AL165" s="121" t="s">
        <v>3402</v>
      </c>
      <c r="AM165" s="60" t="str">
        <f t="shared" si="8"/>
        <v>[FP0660]</v>
      </c>
    </row>
    <row r="166" ht="67.5" customHeight="1">
      <c r="A166" s="61">
        <v>661.0</v>
      </c>
      <c r="B166" s="22" t="s">
        <v>3804</v>
      </c>
      <c r="C166" s="23">
        <v>2016.0</v>
      </c>
      <c r="D166" s="100" t="s">
        <v>35</v>
      </c>
      <c r="E166" s="25" t="s">
        <v>36</v>
      </c>
      <c r="F166" s="25" t="s">
        <v>36</v>
      </c>
      <c r="G166" s="25" t="s">
        <v>36</v>
      </c>
      <c r="H166" s="25" t="s">
        <v>36</v>
      </c>
      <c r="I166" s="25" t="s">
        <v>36</v>
      </c>
      <c r="J166" s="101" t="s">
        <v>36</v>
      </c>
      <c r="K166" s="102" t="s">
        <v>37</v>
      </c>
      <c r="L166" s="103" t="s">
        <v>35</v>
      </c>
      <c r="M166" s="103" t="s">
        <v>37</v>
      </c>
      <c r="N166" s="103" t="s">
        <v>35</v>
      </c>
      <c r="O166" s="103" t="s">
        <v>35</v>
      </c>
      <c r="P166" s="103" t="s">
        <v>35</v>
      </c>
      <c r="Q166" s="103" t="s">
        <v>35</v>
      </c>
      <c r="R166" s="103" t="s">
        <v>37</v>
      </c>
      <c r="S166" s="104" t="s">
        <v>3805</v>
      </c>
      <c r="T166" s="30" t="s">
        <v>3806</v>
      </c>
      <c r="U166" s="30" t="s">
        <v>3806</v>
      </c>
      <c r="V166" s="105">
        <f t="shared" si="2"/>
        <v>0</v>
      </c>
      <c r="W166" s="105">
        <f t="shared" ref="W166:X166" si="171">IF(lenb(SUBSTITUTE($Z166,W$1&amp;" (1)",""))&lt;lenb($Z166),1,IF(lenb(SUBSTITUTE($Z166,W$1&amp;" (2)",""))&lt;lenb($Z166),2,IF(lenb(SUBSTITUTE($Z166,W$1&amp;" (3)",""))&lt;lenb($Z166),3,IF(lenb(SUBSTITUTE($Z166,W$1&amp;" (4)",""))&lt;lenb($Z166),4,IF(lenb(SUBSTITUTE($Z166,W$1&amp;" (5)",""))&lt;lenb($Z166),5,IF(lenb(SUBSTITUTE($Z166,W$1&amp;" (6)",""))&lt;lenb($Z166),6,IF(lenb(SUBSTITUTE($Z166,W$1&amp;" (7)",""))&lt;lenb($Z166),1,IF(lenb(SUBSTITUTE($Z166,W$1&amp;" (8)",""))&lt;lenb($Z166),8,IF(lenb(SUBSTITUTE($Z166,W$1&amp;" (9)",""))&lt;lenb($Z166),9,IF(lenb(SUBSTITUTE($Z166,W$1&amp;" (10)",""))&lt;lenb($Z166),10,IF(lenb(SUBSTITUTE($Z166,W$1,""))&lt;lenb($Z166),"ERROR",IF($Z166=$Y$1,"-",0))))))))))))</f>
        <v>1</v>
      </c>
      <c r="X166" s="105">
        <f t="shared" si="171"/>
        <v>0</v>
      </c>
      <c r="Y166" s="105" t="str">
        <f t="shared" si="4"/>
        <v>-</v>
      </c>
      <c r="Z166" s="104" t="s">
        <v>3423</v>
      </c>
      <c r="AA166" s="34">
        <f t="shared" si="5"/>
        <v>1</v>
      </c>
      <c r="AB166" s="34">
        <f>COUNTIFS(Links!B:B,"FSE",Links!C:C,A166,Links!AD:AD,1)</f>
        <v>0</v>
      </c>
      <c r="AC166" s="106" t="s">
        <v>35</v>
      </c>
      <c r="AD166" s="107" t="s">
        <v>35</v>
      </c>
      <c r="AE166" s="104" t="s">
        <v>36</v>
      </c>
      <c r="AF166" s="37" t="s">
        <v>42</v>
      </c>
      <c r="AG166" s="37" t="s">
        <v>42</v>
      </c>
      <c r="AH166" s="37" t="s">
        <v>42</v>
      </c>
      <c r="AI166" s="105" t="str">
        <f t="shared" si="6"/>
        <v>----</v>
      </c>
      <c r="AJ166" s="108" t="str">
        <f t="shared" si="7"/>
        <v>Paper has link but no statement</v>
      </c>
      <c r="AK166" s="109" t="s">
        <v>3401</v>
      </c>
      <c r="AL166" s="110" t="s">
        <v>3402</v>
      </c>
      <c r="AM166" s="40" t="str">
        <f t="shared" si="8"/>
        <v>[FP0661]</v>
      </c>
    </row>
    <row r="167" ht="67.5" customHeight="1">
      <c r="A167" s="41">
        <v>662.0</v>
      </c>
      <c r="B167" s="42" t="s">
        <v>3807</v>
      </c>
      <c r="C167" s="43">
        <v>2016.0</v>
      </c>
      <c r="D167" s="111" t="s">
        <v>35</v>
      </c>
      <c r="E167" s="45" t="s">
        <v>36</v>
      </c>
      <c r="F167" s="45" t="s">
        <v>36</v>
      </c>
      <c r="G167" s="45" t="s">
        <v>36</v>
      </c>
      <c r="H167" s="45" t="s">
        <v>36</v>
      </c>
      <c r="I167" s="45" t="s">
        <v>36</v>
      </c>
      <c r="J167" s="112" t="s">
        <v>36</v>
      </c>
      <c r="K167" s="113" t="s">
        <v>35</v>
      </c>
      <c r="L167" s="114" t="s">
        <v>36</v>
      </c>
      <c r="M167" s="114" t="s">
        <v>36</v>
      </c>
      <c r="N167" s="114" t="s">
        <v>36</v>
      </c>
      <c r="O167" s="114" t="s">
        <v>36</v>
      </c>
      <c r="P167" s="114" t="s">
        <v>36</v>
      </c>
      <c r="Q167" s="114" t="s">
        <v>36</v>
      </c>
      <c r="R167" s="114" t="s">
        <v>36</v>
      </c>
      <c r="S167" s="115" t="s">
        <v>36</v>
      </c>
      <c r="T167" s="50" t="s">
        <v>36</v>
      </c>
      <c r="U167" s="50" t="s">
        <v>36</v>
      </c>
      <c r="V167" s="116" t="str">
        <f t="shared" si="2"/>
        <v>-</v>
      </c>
      <c r="W167" s="116" t="str">
        <f t="shared" ref="W167:X167" si="172">IF(lenb(SUBSTITUTE($Z167,W$1&amp;" (1)",""))&lt;lenb($Z167),1,IF(lenb(SUBSTITUTE($Z167,W$1&amp;" (2)",""))&lt;lenb($Z167),2,IF(lenb(SUBSTITUTE($Z167,W$1&amp;" (3)",""))&lt;lenb($Z167),3,IF(lenb(SUBSTITUTE($Z167,W$1&amp;" (4)",""))&lt;lenb($Z167),4,IF(lenb(SUBSTITUTE($Z167,W$1&amp;" (5)",""))&lt;lenb($Z167),5,IF(lenb(SUBSTITUTE($Z167,W$1&amp;" (6)",""))&lt;lenb($Z167),6,IF(lenb(SUBSTITUTE($Z167,W$1&amp;" (7)",""))&lt;lenb($Z167),1,IF(lenb(SUBSTITUTE($Z167,W$1&amp;" (8)",""))&lt;lenb($Z167),8,IF(lenb(SUBSTITUTE($Z167,W$1&amp;" (9)",""))&lt;lenb($Z167),9,IF(lenb(SUBSTITUTE($Z167,W$1&amp;" (10)",""))&lt;lenb($Z167),10,IF(lenb(SUBSTITUTE($Z167,W$1,""))&lt;lenb($Z167),"ERROR",IF($Z167=$Y$1,"-",0))))))))))))</f>
        <v>-</v>
      </c>
      <c r="X167" s="116" t="str">
        <f t="shared" si="172"/>
        <v>-</v>
      </c>
      <c r="Y167" s="116">
        <f t="shared" si="4"/>
        <v>1</v>
      </c>
      <c r="Z167" s="115" t="s">
        <v>23</v>
      </c>
      <c r="AA167" s="54">
        <f t="shared" si="5"/>
        <v>0</v>
      </c>
      <c r="AB167" s="54">
        <f>COUNTIFS(Links!B:B,"FSE",Links!C:C,A167,Links!AD:AD,1)</f>
        <v>0</v>
      </c>
      <c r="AC167" s="117" t="s">
        <v>36</v>
      </c>
      <c r="AD167" s="118" t="s">
        <v>35</v>
      </c>
      <c r="AE167" s="115" t="s">
        <v>36</v>
      </c>
      <c r="AF167" s="57" t="s">
        <v>42</v>
      </c>
      <c r="AG167" s="57" t="s">
        <v>42</v>
      </c>
      <c r="AH167" s="57" t="s">
        <v>42</v>
      </c>
      <c r="AI167" s="116" t="str">
        <f t="shared" si="6"/>
        <v>----</v>
      </c>
      <c r="AJ167" s="119" t="str">
        <f t="shared" si="7"/>
        <v>Paper has no link and no statement</v>
      </c>
      <c r="AK167" s="120" t="s">
        <v>3401</v>
      </c>
      <c r="AL167" s="121" t="s">
        <v>3402</v>
      </c>
      <c r="AM167" s="60" t="str">
        <f t="shared" si="8"/>
        <v>[FP0662]</v>
      </c>
    </row>
    <row r="168" ht="67.5" customHeight="1">
      <c r="A168" s="61">
        <v>663.0</v>
      </c>
      <c r="B168" s="22" t="s">
        <v>3808</v>
      </c>
      <c r="C168" s="23">
        <v>2016.0</v>
      </c>
      <c r="D168" s="100" t="s">
        <v>37</v>
      </c>
      <c r="E168" s="25" t="s">
        <v>36</v>
      </c>
      <c r="F168" s="25" t="s">
        <v>36</v>
      </c>
      <c r="G168" s="25" t="s">
        <v>36</v>
      </c>
      <c r="H168" s="25" t="s">
        <v>36</v>
      </c>
      <c r="I168" s="25" t="s">
        <v>36</v>
      </c>
      <c r="J168" s="101" t="s">
        <v>3746</v>
      </c>
      <c r="K168" s="102" t="s">
        <v>37</v>
      </c>
      <c r="L168" s="103" t="s">
        <v>35</v>
      </c>
      <c r="M168" s="103" t="s">
        <v>37</v>
      </c>
      <c r="N168" s="103" t="s">
        <v>37</v>
      </c>
      <c r="O168" s="103" t="s">
        <v>35</v>
      </c>
      <c r="P168" s="103" t="s">
        <v>35</v>
      </c>
      <c r="Q168" s="103" t="s">
        <v>37</v>
      </c>
      <c r="R168" s="103" t="s">
        <v>37</v>
      </c>
      <c r="S168" s="104" t="s">
        <v>3809</v>
      </c>
      <c r="T168" s="30" t="s">
        <v>3810</v>
      </c>
      <c r="U168" s="132" t="s">
        <v>3811</v>
      </c>
      <c r="V168" s="105">
        <f t="shared" si="2"/>
        <v>0</v>
      </c>
      <c r="W168" s="105">
        <f t="shared" ref="W168:X168" si="173">IF(lenb(SUBSTITUTE($Z168,W$1&amp;" (1)",""))&lt;lenb($Z168),1,IF(lenb(SUBSTITUTE($Z168,W$1&amp;" (2)",""))&lt;lenb($Z168),2,IF(lenb(SUBSTITUTE($Z168,W$1&amp;" (3)",""))&lt;lenb($Z168),3,IF(lenb(SUBSTITUTE($Z168,W$1&amp;" (4)",""))&lt;lenb($Z168),4,IF(lenb(SUBSTITUTE($Z168,W$1&amp;" (5)",""))&lt;lenb($Z168),5,IF(lenb(SUBSTITUTE($Z168,W$1&amp;" (6)",""))&lt;lenb($Z168),6,IF(lenb(SUBSTITUTE($Z168,W$1&amp;" (7)",""))&lt;lenb($Z168),1,IF(lenb(SUBSTITUTE($Z168,W$1&amp;" (8)",""))&lt;lenb($Z168),8,IF(lenb(SUBSTITUTE($Z168,W$1&amp;" (9)",""))&lt;lenb($Z168),9,IF(lenb(SUBSTITUTE($Z168,W$1&amp;" (10)",""))&lt;lenb($Z168),10,IF(lenb(SUBSTITUTE($Z168,W$1,""))&lt;lenb($Z168),"ERROR",IF($Z168=$Y$1,"-",0))))))))))))</f>
        <v>1</v>
      </c>
      <c r="X168" s="105">
        <f t="shared" si="173"/>
        <v>0</v>
      </c>
      <c r="Y168" s="105" t="str">
        <f t="shared" si="4"/>
        <v>-</v>
      </c>
      <c r="Z168" s="104" t="s">
        <v>3423</v>
      </c>
      <c r="AA168" s="34">
        <f t="shared" si="5"/>
        <v>1</v>
      </c>
      <c r="AB168" s="34">
        <f>COUNTIFS(Links!B:B,"FSE",Links!C:C,A168,Links!AD:AD,1)</f>
        <v>1</v>
      </c>
      <c r="AC168" s="106" t="s">
        <v>35</v>
      </c>
      <c r="AD168" s="107" t="s">
        <v>35</v>
      </c>
      <c r="AE168" s="104" t="s">
        <v>36</v>
      </c>
      <c r="AF168" s="37" t="s">
        <v>42</v>
      </c>
      <c r="AG168" s="37" t="s">
        <v>42</v>
      </c>
      <c r="AH168" s="37" t="s">
        <v>42</v>
      </c>
      <c r="AI168" s="105" t="str">
        <f t="shared" si="6"/>
        <v>----</v>
      </c>
      <c r="AJ168" s="108" t="str">
        <f t="shared" si="7"/>
        <v>Paper has link but no statement</v>
      </c>
      <c r="AK168" s="109" t="s">
        <v>3401</v>
      </c>
      <c r="AL168" s="110" t="s">
        <v>3402</v>
      </c>
      <c r="AM168" s="40" t="str">
        <f t="shared" si="8"/>
        <v>[FP0663]</v>
      </c>
    </row>
    <row r="169" ht="67.5" customHeight="1">
      <c r="A169" s="41">
        <v>664.0</v>
      </c>
      <c r="B169" s="42" t="s">
        <v>3812</v>
      </c>
      <c r="C169" s="43">
        <v>2016.0</v>
      </c>
      <c r="D169" s="111" t="s">
        <v>35</v>
      </c>
      <c r="E169" s="45" t="s">
        <v>36</v>
      </c>
      <c r="F169" s="45" t="s">
        <v>36</v>
      </c>
      <c r="G169" s="45" t="s">
        <v>36</v>
      </c>
      <c r="H169" s="45" t="s">
        <v>36</v>
      </c>
      <c r="I169" s="45" t="s">
        <v>36</v>
      </c>
      <c r="J169" s="112" t="s">
        <v>36</v>
      </c>
      <c r="K169" s="113" t="s">
        <v>37</v>
      </c>
      <c r="L169" s="114" t="s">
        <v>35</v>
      </c>
      <c r="M169" s="114" t="s">
        <v>37</v>
      </c>
      <c r="N169" s="114" t="s">
        <v>37</v>
      </c>
      <c r="O169" s="114" t="s">
        <v>35</v>
      </c>
      <c r="P169" s="114" t="s">
        <v>35</v>
      </c>
      <c r="Q169" s="114" t="s">
        <v>35</v>
      </c>
      <c r="R169" s="114" t="s">
        <v>37</v>
      </c>
      <c r="S169" s="115" t="s">
        <v>3813</v>
      </c>
      <c r="T169" s="50" t="s">
        <v>3814</v>
      </c>
      <c r="U169" s="50" t="s">
        <v>3814</v>
      </c>
      <c r="V169" s="116">
        <f t="shared" si="2"/>
        <v>0</v>
      </c>
      <c r="W169" s="116">
        <f t="shared" ref="W169:X169" si="174">IF(lenb(SUBSTITUTE($Z169,W$1&amp;" (1)",""))&lt;lenb($Z169),1,IF(lenb(SUBSTITUTE($Z169,W$1&amp;" (2)",""))&lt;lenb($Z169),2,IF(lenb(SUBSTITUTE($Z169,W$1&amp;" (3)",""))&lt;lenb($Z169),3,IF(lenb(SUBSTITUTE($Z169,W$1&amp;" (4)",""))&lt;lenb($Z169),4,IF(lenb(SUBSTITUTE($Z169,W$1&amp;" (5)",""))&lt;lenb($Z169),5,IF(lenb(SUBSTITUTE($Z169,W$1&amp;" (6)",""))&lt;lenb($Z169),6,IF(lenb(SUBSTITUTE($Z169,W$1&amp;" (7)",""))&lt;lenb($Z169),1,IF(lenb(SUBSTITUTE($Z169,W$1&amp;" (8)",""))&lt;lenb($Z169),8,IF(lenb(SUBSTITUTE($Z169,W$1&amp;" (9)",""))&lt;lenb($Z169),9,IF(lenb(SUBSTITUTE($Z169,W$1&amp;" (10)",""))&lt;lenb($Z169),10,IF(lenb(SUBSTITUTE($Z169,W$1,""))&lt;lenb($Z169),"ERROR",IF($Z169=$Y$1,"-",0))))))))))))</f>
        <v>1</v>
      </c>
      <c r="X169" s="116">
        <f t="shared" si="174"/>
        <v>0</v>
      </c>
      <c r="Y169" s="116" t="str">
        <f t="shared" si="4"/>
        <v>-</v>
      </c>
      <c r="Z169" s="115" t="s">
        <v>3423</v>
      </c>
      <c r="AA169" s="54">
        <f t="shared" si="5"/>
        <v>1</v>
      </c>
      <c r="AB169" s="54">
        <f>COUNTIFS(Links!B:B,"FSE",Links!C:C,A169,Links!AD:AD,1)</f>
        <v>0</v>
      </c>
      <c r="AC169" s="117" t="s">
        <v>35</v>
      </c>
      <c r="AD169" s="118" t="s">
        <v>35</v>
      </c>
      <c r="AE169" s="115" t="s">
        <v>36</v>
      </c>
      <c r="AF169" s="57" t="s">
        <v>42</v>
      </c>
      <c r="AG169" s="57" t="s">
        <v>42</v>
      </c>
      <c r="AH169" s="57" t="s">
        <v>42</v>
      </c>
      <c r="AI169" s="116" t="str">
        <f t="shared" si="6"/>
        <v>----</v>
      </c>
      <c r="AJ169" s="119" t="str">
        <f t="shared" si="7"/>
        <v>Paper has link but no statement</v>
      </c>
      <c r="AK169" s="120" t="s">
        <v>3401</v>
      </c>
      <c r="AL169" s="121" t="s">
        <v>3402</v>
      </c>
      <c r="AM169" s="60" t="str">
        <f t="shared" si="8"/>
        <v>[FP0664]</v>
      </c>
    </row>
    <row r="170" ht="67.5" customHeight="1">
      <c r="A170" s="61">
        <v>665.0</v>
      </c>
      <c r="B170" s="22" t="s">
        <v>3815</v>
      </c>
      <c r="C170" s="23">
        <v>2016.0</v>
      </c>
      <c r="D170" s="100" t="s">
        <v>35</v>
      </c>
      <c r="E170" s="25" t="s">
        <v>36</v>
      </c>
      <c r="F170" s="25" t="s">
        <v>36</v>
      </c>
      <c r="G170" s="25" t="s">
        <v>36</v>
      </c>
      <c r="H170" s="25" t="s">
        <v>36</v>
      </c>
      <c r="I170" s="25" t="s">
        <v>36</v>
      </c>
      <c r="J170" s="101" t="s">
        <v>36</v>
      </c>
      <c r="K170" s="102" t="s">
        <v>35</v>
      </c>
      <c r="L170" s="103" t="s">
        <v>36</v>
      </c>
      <c r="M170" s="103" t="s">
        <v>36</v>
      </c>
      <c r="N170" s="103" t="s">
        <v>36</v>
      </c>
      <c r="O170" s="103" t="s">
        <v>36</v>
      </c>
      <c r="P170" s="103" t="s">
        <v>36</v>
      </c>
      <c r="Q170" s="103" t="s">
        <v>36</v>
      </c>
      <c r="R170" s="103" t="s">
        <v>36</v>
      </c>
      <c r="S170" s="104" t="s">
        <v>42</v>
      </c>
      <c r="T170" s="30" t="s">
        <v>36</v>
      </c>
      <c r="U170" s="30" t="s">
        <v>36</v>
      </c>
      <c r="V170" s="105" t="str">
        <f t="shared" si="2"/>
        <v>-</v>
      </c>
      <c r="W170" s="105" t="str">
        <f t="shared" ref="W170:X170" si="175">IF(lenb(SUBSTITUTE($Z170,W$1&amp;" (1)",""))&lt;lenb($Z170),1,IF(lenb(SUBSTITUTE($Z170,W$1&amp;" (2)",""))&lt;lenb($Z170),2,IF(lenb(SUBSTITUTE($Z170,W$1&amp;" (3)",""))&lt;lenb($Z170),3,IF(lenb(SUBSTITUTE($Z170,W$1&amp;" (4)",""))&lt;lenb($Z170),4,IF(lenb(SUBSTITUTE($Z170,W$1&amp;" (5)",""))&lt;lenb($Z170),5,IF(lenb(SUBSTITUTE($Z170,W$1&amp;" (6)",""))&lt;lenb($Z170),6,IF(lenb(SUBSTITUTE($Z170,W$1&amp;" (7)",""))&lt;lenb($Z170),1,IF(lenb(SUBSTITUTE($Z170,W$1&amp;" (8)",""))&lt;lenb($Z170),8,IF(lenb(SUBSTITUTE($Z170,W$1&amp;" (9)",""))&lt;lenb($Z170),9,IF(lenb(SUBSTITUTE($Z170,W$1&amp;" (10)",""))&lt;lenb($Z170),10,IF(lenb(SUBSTITUTE($Z170,W$1,""))&lt;lenb($Z170),"ERROR",IF($Z170=$Y$1,"-",0))))))))))))</f>
        <v>-</v>
      </c>
      <c r="X170" s="105" t="str">
        <f t="shared" si="175"/>
        <v>-</v>
      </c>
      <c r="Y170" s="105">
        <f t="shared" si="4"/>
        <v>1</v>
      </c>
      <c r="Z170" s="104" t="s">
        <v>23</v>
      </c>
      <c r="AA170" s="34">
        <f t="shared" si="5"/>
        <v>0</v>
      </c>
      <c r="AB170" s="34">
        <f>COUNTIFS(Links!B:B,"FSE",Links!C:C,A170,Links!AD:AD,1)</f>
        <v>0</v>
      </c>
      <c r="AC170" s="106" t="s">
        <v>36</v>
      </c>
      <c r="AD170" s="107" t="s">
        <v>35</v>
      </c>
      <c r="AE170" s="104" t="s">
        <v>36</v>
      </c>
      <c r="AF170" s="37" t="s">
        <v>42</v>
      </c>
      <c r="AG170" s="37" t="s">
        <v>42</v>
      </c>
      <c r="AH170" s="37" t="s">
        <v>42</v>
      </c>
      <c r="AI170" s="105" t="str">
        <f t="shared" si="6"/>
        <v>----</v>
      </c>
      <c r="AJ170" s="108" t="str">
        <f t="shared" si="7"/>
        <v>Paper has no link and no statement</v>
      </c>
      <c r="AK170" s="109" t="s">
        <v>3401</v>
      </c>
      <c r="AL170" s="110" t="s">
        <v>3402</v>
      </c>
      <c r="AM170" s="40" t="str">
        <f t="shared" si="8"/>
        <v>[FP0665]</v>
      </c>
    </row>
    <row r="171" ht="67.5" customHeight="1">
      <c r="A171" s="41">
        <v>666.0</v>
      </c>
      <c r="B171" s="42" t="s">
        <v>3816</v>
      </c>
      <c r="C171" s="43">
        <v>2016.0</v>
      </c>
      <c r="D171" s="111" t="s">
        <v>35</v>
      </c>
      <c r="E171" s="45" t="s">
        <v>36</v>
      </c>
      <c r="F171" s="45" t="s">
        <v>36</v>
      </c>
      <c r="G171" s="45" t="s">
        <v>36</v>
      </c>
      <c r="H171" s="45" t="s">
        <v>36</v>
      </c>
      <c r="I171" s="45" t="s">
        <v>36</v>
      </c>
      <c r="J171" s="112" t="s">
        <v>36</v>
      </c>
      <c r="K171" s="113" t="s">
        <v>37</v>
      </c>
      <c r="L171" s="114" t="s">
        <v>37</v>
      </c>
      <c r="M171" s="114" t="s">
        <v>35</v>
      </c>
      <c r="N171" s="114" t="s">
        <v>37</v>
      </c>
      <c r="O171" s="114" t="s">
        <v>35</v>
      </c>
      <c r="P171" s="114" t="s">
        <v>35</v>
      </c>
      <c r="Q171" s="114" t="s">
        <v>35</v>
      </c>
      <c r="R171" s="114" t="s">
        <v>35</v>
      </c>
      <c r="S171" s="115" t="s">
        <v>84</v>
      </c>
      <c r="T171" s="50" t="s">
        <v>3817</v>
      </c>
      <c r="U171" s="50" t="s">
        <v>3817</v>
      </c>
      <c r="V171" s="116">
        <f t="shared" si="2"/>
        <v>1</v>
      </c>
      <c r="W171" s="116">
        <f t="shared" ref="W171:X171" si="176">IF(lenb(SUBSTITUTE($Z171,W$1&amp;" (1)",""))&lt;lenb($Z171),1,IF(lenb(SUBSTITUTE($Z171,W$1&amp;" (2)",""))&lt;lenb($Z171),2,IF(lenb(SUBSTITUTE($Z171,W$1&amp;" (3)",""))&lt;lenb($Z171),3,IF(lenb(SUBSTITUTE($Z171,W$1&amp;" (4)",""))&lt;lenb($Z171),4,IF(lenb(SUBSTITUTE($Z171,W$1&amp;" (5)",""))&lt;lenb($Z171),5,IF(lenb(SUBSTITUTE($Z171,W$1&amp;" (6)",""))&lt;lenb($Z171),6,IF(lenb(SUBSTITUTE($Z171,W$1&amp;" (7)",""))&lt;lenb($Z171),1,IF(lenb(SUBSTITUTE($Z171,W$1&amp;" (8)",""))&lt;lenb($Z171),8,IF(lenb(SUBSTITUTE($Z171,W$1&amp;" (9)",""))&lt;lenb($Z171),9,IF(lenb(SUBSTITUTE($Z171,W$1&amp;" (10)",""))&lt;lenb($Z171),10,IF(lenb(SUBSTITUTE($Z171,W$1,""))&lt;lenb($Z171),"ERROR",IF($Z171=$Y$1,"-",0))))))))))))</f>
        <v>0</v>
      </c>
      <c r="X171" s="116">
        <f t="shared" si="176"/>
        <v>0</v>
      </c>
      <c r="Y171" s="116" t="str">
        <f t="shared" si="4"/>
        <v>-</v>
      </c>
      <c r="Z171" s="115" t="s">
        <v>3400</v>
      </c>
      <c r="AA171" s="54">
        <f t="shared" si="5"/>
        <v>1</v>
      </c>
      <c r="AB171" s="54">
        <f>COUNTIFS(Links!B:B,"FSE",Links!C:C,A171,Links!AD:AD,1)</f>
        <v>1</v>
      </c>
      <c r="AC171" s="117" t="s">
        <v>35</v>
      </c>
      <c r="AD171" s="118" t="s">
        <v>35</v>
      </c>
      <c r="AE171" s="115" t="s">
        <v>36</v>
      </c>
      <c r="AF171" s="57" t="s">
        <v>42</v>
      </c>
      <c r="AG171" s="57" t="s">
        <v>42</v>
      </c>
      <c r="AH171" s="57" t="s">
        <v>42</v>
      </c>
      <c r="AI171" s="116" t="str">
        <f t="shared" si="6"/>
        <v>----</v>
      </c>
      <c r="AJ171" s="119" t="str">
        <f t="shared" si="7"/>
        <v>Paper has link but no statement</v>
      </c>
      <c r="AK171" s="120" t="s">
        <v>3401</v>
      </c>
      <c r="AL171" s="121" t="s">
        <v>3402</v>
      </c>
      <c r="AM171" s="60" t="str">
        <f t="shared" si="8"/>
        <v>[FP0666]</v>
      </c>
    </row>
    <row r="172" ht="67.5" customHeight="1">
      <c r="A172" s="61">
        <v>667.0</v>
      </c>
      <c r="B172" s="22" t="s">
        <v>3818</v>
      </c>
      <c r="C172" s="23">
        <v>2016.0</v>
      </c>
      <c r="D172" s="100" t="s">
        <v>37</v>
      </c>
      <c r="E172" s="25" t="s">
        <v>36</v>
      </c>
      <c r="F172" s="25" t="s">
        <v>36</v>
      </c>
      <c r="G172" s="25" t="s">
        <v>36</v>
      </c>
      <c r="H172" s="25" t="s">
        <v>36</v>
      </c>
      <c r="I172" s="25" t="s">
        <v>36</v>
      </c>
      <c r="J172" s="101" t="s">
        <v>3746</v>
      </c>
      <c r="K172" s="102" t="s">
        <v>37</v>
      </c>
      <c r="L172" s="103" t="s">
        <v>35</v>
      </c>
      <c r="M172" s="103" t="s">
        <v>35</v>
      </c>
      <c r="N172" s="103" t="s">
        <v>35</v>
      </c>
      <c r="O172" s="103" t="s">
        <v>35</v>
      </c>
      <c r="P172" s="103" t="s">
        <v>35</v>
      </c>
      <c r="Q172" s="103" t="s">
        <v>37</v>
      </c>
      <c r="R172" s="103" t="s">
        <v>35</v>
      </c>
      <c r="S172" s="104" t="s">
        <v>3819</v>
      </c>
      <c r="T172" s="30" t="s">
        <v>3820</v>
      </c>
      <c r="U172" s="30" t="s">
        <v>3820</v>
      </c>
      <c r="V172" s="105">
        <f t="shared" si="2"/>
        <v>1</v>
      </c>
      <c r="W172" s="105">
        <f t="shared" ref="W172:X172" si="177">IF(lenb(SUBSTITUTE($Z172,W$1&amp;" (1)",""))&lt;lenb($Z172),1,IF(lenb(SUBSTITUTE($Z172,W$1&amp;" (2)",""))&lt;lenb($Z172),2,IF(lenb(SUBSTITUTE($Z172,W$1&amp;" (3)",""))&lt;lenb($Z172),3,IF(lenb(SUBSTITUTE($Z172,W$1&amp;" (4)",""))&lt;lenb($Z172),4,IF(lenb(SUBSTITUTE($Z172,W$1&amp;" (5)",""))&lt;lenb($Z172),5,IF(lenb(SUBSTITUTE($Z172,W$1&amp;" (6)",""))&lt;lenb($Z172),6,IF(lenb(SUBSTITUTE($Z172,W$1&amp;" (7)",""))&lt;lenb($Z172),1,IF(lenb(SUBSTITUTE($Z172,W$1&amp;" (8)",""))&lt;lenb($Z172),8,IF(lenb(SUBSTITUTE($Z172,W$1&amp;" (9)",""))&lt;lenb($Z172),9,IF(lenb(SUBSTITUTE($Z172,W$1&amp;" (10)",""))&lt;lenb($Z172),10,IF(lenb(SUBSTITUTE($Z172,W$1,""))&lt;lenb($Z172),"ERROR",IF($Z172=$Y$1,"-",0))))))))))))</f>
        <v>0</v>
      </c>
      <c r="X172" s="105">
        <f t="shared" si="177"/>
        <v>0</v>
      </c>
      <c r="Y172" s="105" t="str">
        <f t="shared" si="4"/>
        <v>-</v>
      </c>
      <c r="Z172" s="104" t="s">
        <v>3400</v>
      </c>
      <c r="AA172" s="34">
        <f t="shared" si="5"/>
        <v>1</v>
      </c>
      <c r="AB172" s="34">
        <f>COUNTIFS(Links!B:B,"FSE",Links!C:C,A172,Links!AD:AD,1)</f>
        <v>0</v>
      </c>
      <c r="AC172" s="106" t="s">
        <v>35</v>
      </c>
      <c r="AD172" s="107" t="s">
        <v>35</v>
      </c>
      <c r="AE172" s="104" t="s">
        <v>36</v>
      </c>
      <c r="AF172" s="37" t="s">
        <v>42</v>
      </c>
      <c r="AG172" s="37" t="s">
        <v>42</v>
      </c>
      <c r="AH172" s="37" t="s">
        <v>42</v>
      </c>
      <c r="AI172" s="105" t="str">
        <f t="shared" si="6"/>
        <v>----</v>
      </c>
      <c r="AJ172" s="108" t="str">
        <f t="shared" si="7"/>
        <v>Paper has link but no statement</v>
      </c>
      <c r="AK172" s="109" t="s">
        <v>3401</v>
      </c>
      <c r="AL172" s="110" t="s">
        <v>3402</v>
      </c>
      <c r="AM172" s="40" t="str">
        <f t="shared" si="8"/>
        <v>[FP0667]</v>
      </c>
    </row>
    <row r="173" ht="67.5" customHeight="1">
      <c r="A173" s="41">
        <v>668.0</v>
      </c>
      <c r="B173" s="42" t="s">
        <v>3821</v>
      </c>
      <c r="C173" s="43">
        <v>2016.0</v>
      </c>
      <c r="D173" s="111" t="s">
        <v>37</v>
      </c>
      <c r="E173" s="45" t="s">
        <v>36</v>
      </c>
      <c r="F173" s="45" t="s">
        <v>36</v>
      </c>
      <c r="G173" s="45" t="s">
        <v>36</v>
      </c>
      <c r="H173" s="45" t="s">
        <v>36</v>
      </c>
      <c r="I173" s="45" t="s">
        <v>36</v>
      </c>
      <c r="J173" s="112" t="s">
        <v>3746</v>
      </c>
      <c r="K173" s="113" t="s">
        <v>37</v>
      </c>
      <c r="L173" s="114" t="s">
        <v>35</v>
      </c>
      <c r="M173" s="114" t="s">
        <v>37</v>
      </c>
      <c r="N173" s="114" t="s">
        <v>37</v>
      </c>
      <c r="O173" s="114" t="s">
        <v>35</v>
      </c>
      <c r="P173" s="114" t="s">
        <v>35</v>
      </c>
      <c r="Q173" s="114" t="s">
        <v>37</v>
      </c>
      <c r="R173" s="114" t="s">
        <v>35</v>
      </c>
      <c r="S173" s="115" t="s">
        <v>3822</v>
      </c>
      <c r="T173" s="124" t="s">
        <v>3823</v>
      </c>
      <c r="U173" s="50" t="s">
        <v>3824</v>
      </c>
      <c r="V173" s="116">
        <f t="shared" si="2"/>
        <v>0</v>
      </c>
      <c r="W173" s="116">
        <f t="shared" ref="W173:X173" si="178">IF(lenb(SUBSTITUTE($Z173,W$1&amp;" (1)",""))&lt;lenb($Z173),1,IF(lenb(SUBSTITUTE($Z173,W$1&amp;" (2)",""))&lt;lenb($Z173),2,IF(lenb(SUBSTITUTE($Z173,W$1&amp;" (3)",""))&lt;lenb($Z173),3,IF(lenb(SUBSTITUTE($Z173,W$1&amp;" (4)",""))&lt;lenb($Z173),4,IF(lenb(SUBSTITUTE($Z173,W$1&amp;" (5)",""))&lt;lenb($Z173),5,IF(lenb(SUBSTITUTE($Z173,W$1&amp;" (6)",""))&lt;lenb($Z173),6,IF(lenb(SUBSTITUTE($Z173,W$1&amp;" (7)",""))&lt;lenb($Z173),1,IF(lenb(SUBSTITUTE($Z173,W$1&amp;" (8)",""))&lt;lenb($Z173),8,IF(lenb(SUBSTITUTE($Z173,W$1&amp;" (9)",""))&lt;lenb($Z173),9,IF(lenb(SUBSTITUTE($Z173,W$1&amp;" (10)",""))&lt;lenb($Z173),10,IF(lenb(SUBSTITUTE($Z173,W$1,""))&lt;lenb($Z173),"ERROR",IF($Z173=$Y$1,"-",0))))))))))))</f>
        <v>2</v>
      </c>
      <c r="X173" s="116">
        <f t="shared" si="178"/>
        <v>0</v>
      </c>
      <c r="Y173" s="116" t="str">
        <f t="shared" si="4"/>
        <v>-</v>
      </c>
      <c r="Z173" s="115" t="s">
        <v>3419</v>
      </c>
      <c r="AA173" s="54">
        <f t="shared" si="5"/>
        <v>2</v>
      </c>
      <c r="AB173" s="54">
        <f>COUNTIFS(Links!B:B,"FSE",Links!C:C,A173,Links!AD:AD,1)</f>
        <v>1</v>
      </c>
      <c r="AC173" s="117" t="s">
        <v>35</v>
      </c>
      <c r="AD173" s="118" t="s">
        <v>35</v>
      </c>
      <c r="AE173" s="115" t="s">
        <v>36</v>
      </c>
      <c r="AF173" s="57" t="s">
        <v>42</v>
      </c>
      <c r="AG173" s="57" t="s">
        <v>42</v>
      </c>
      <c r="AH173" s="57" t="s">
        <v>42</v>
      </c>
      <c r="AI173" s="116" t="str">
        <f t="shared" si="6"/>
        <v>----</v>
      </c>
      <c r="AJ173" s="119" t="str">
        <f t="shared" si="7"/>
        <v>Paper has link but no statement</v>
      </c>
      <c r="AK173" s="120" t="s">
        <v>3401</v>
      </c>
      <c r="AL173" s="121" t="s">
        <v>3402</v>
      </c>
      <c r="AM173" s="60" t="str">
        <f t="shared" si="8"/>
        <v>[FP0668]</v>
      </c>
    </row>
    <row r="174" ht="67.5" customHeight="1">
      <c r="A174" s="61">
        <v>669.0</v>
      </c>
      <c r="B174" s="22" t="s">
        <v>3825</v>
      </c>
      <c r="C174" s="23">
        <v>2016.0</v>
      </c>
      <c r="D174" s="100" t="s">
        <v>37</v>
      </c>
      <c r="E174" s="25" t="s">
        <v>36</v>
      </c>
      <c r="F174" s="25" t="s">
        <v>36</v>
      </c>
      <c r="G174" s="25" t="s">
        <v>36</v>
      </c>
      <c r="H174" s="25" t="s">
        <v>36</v>
      </c>
      <c r="I174" s="25" t="s">
        <v>36</v>
      </c>
      <c r="J174" s="101" t="s">
        <v>3759</v>
      </c>
      <c r="K174" s="102" t="s">
        <v>37</v>
      </c>
      <c r="L174" s="103" t="s">
        <v>37</v>
      </c>
      <c r="M174" s="103" t="s">
        <v>35</v>
      </c>
      <c r="N174" s="103" t="s">
        <v>35</v>
      </c>
      <c r="O174" s="103" t="s">
        <v>35</v>
      </c>
      <c r="P174" s="103" t="s">
        <v>35</v>
      </c>
      <c r="Q174" s="103" t="s">
        <v>37</v>
      </c>
      <c r="R174" s="103" t="s">
        <v>37</v>
      </c>
      <c r="S174" s="104" t="s">
        <v>3826</v>
      </c>
      <c r="T174" s="30" t="s">
        <v>3827</v>
      </c>
      <c r="U174" s="30" t="s">
        <v>3827</v>
      </c>
      <c r="V174" s="105">
        <f t="shared" si="2"/>
        <v>1</v>
      </c>
      <c r="W174" s="105">
        <f t="shared" ref="W174:X174" si="179">IF(lenb(SUBSTITUTE($Z174,W$1&amp;" (1)",""))&lt;lenb($Z174),1,IF(lenb(SUBSTITUTE($Z174,W$1&amp;" (2)",""))&lt;lenb($Z174),2,IF(lenb(SUBSTITUTE($Z174,W$1&amp;" (3)",""))&lt;lenb($Z174),3,IF(lenb(SUBSTITUTE($Z174,W$1&amp;" (4)",""))&lt;lenb($Z174),4,IF(lenb(SUBSTITUTE($Z174,W$1&amp;" (5)",""))&lt;lenb($Z174),5,IF(lenb(SUBSTITUTE($Z174,W$1&amp;" (6)",""))&lt;lenb($Z174),6,IF(lenb(SUBSTITUTE($Z174,W$1&amp;" (7)",""))&lt;lenb($Z174),1,IF(lenb(SUBSTITUTE($Z174,W$1&amp;" (8)",""))&lt;lenb($Z174),8,IF(lenb(SUBSTITUTE($Z174,W$1&amp;" (9)",""))&lt;lenb($Z174),9,IF(lenb(SUBSTITUTE($Z174,W$1&amp;" (10)",""))&lt;lenb($Z174),10,IF(lenb(SUBSTITUTE($Z174,W$1,""))&lt;lenb($Z174),"ERROR",IF($Z174=$Y$1,"-",0))))))))))))</f>
        <v>1</v>
      </c>
      <c r="X174" s="105">
        <f t="shared" si="179"/>
        <v>0</v>
      </c>
      <c r="Y174" s="105" t="str">
        <f t="shared" si="4"/>
        <v>-</v>
      </c>
      <c r="Z174" s="104" t="s">
        <v>3441</v>
      </c>
      <c r="AA174" s="34">
        <f t="shared" si="5"/>
        <v>2</v>
      </c>
      <c r="AB174" s="34">
        <f>COUNTIFS(Links!B:B,"FSE",Links!C:C,A174,Links!AD:AD,1)</f>
        <v>1</v>
      </c>
      <c r="AC174" s="106" t="s">
        <v>35</v>
      </c>
      <c r="AD174" s="107" t="s">
        <v>35</v>
      </c>
      <c r="AE174" s="104" t="s">
        <v>36</v>
      </c>
      <c r="AF174" s="37" t="s">
        <v>42</v>
      </c>
      <c r="AG174" s="37" t="s">
        <v>42</v>
      </c>
      <c r="AH174" s="37" t="s">
        <v>42</v>
      </c>
      <c r="AI174" s="105" t="str">
        <f t="shared" si="6"/>
        <v>----</v>
      </c>
      <c r="AJ174" s="108" t="str">
        <f t="shared" si="7"/>
        <v>Paper has link but no statement</v>
      </c>
      <c r="AK174" s="109" t="s">
        <v>3401</v>
      </c>
      <c r="AL174" s="110" t="s">
        <v>3402</v>
      </c>
      <c r="AM174" s="40" t="str">
        <f t="shared" si="8"/>
        <v>[FP0669]</v>
      </c>
    </row>
    <row r="175" ht="67.5" customHeight="1">
      <c r="A175" s="41">
        <v>670.0</v>
      </c>
      <c r="B175" s="42" t="s">
        <v>3828</v>
      </c>
      <c r="C175" s="43">
        <v>2016.0</v>
      </c>
      <c r="D175" s="111" t="s">
        <v>35</v>
      </c>
      <c r="E175" s="45" t="s">
        <v>36</v>
      </c>
      <c r="F175" s="45" t="s">
        <v>36</v>
      </c>
      <c r="G175" s="45" t="s">
        <v>36</v>
      </c>
      <c r="H175" s="45" t="s">
        <v>36</v>
      </c>
      <c r="I175" s="45" t="s">
        <v>36</v>
      </c>
      <c r="J175" s="112" t="s">
        <v>36</v>
      </c>
      <c r="K175" s="113" t="s">
        <v>35</v>
      </c>
      <c r="L175" s="114" t="s">
        <v>36</v>
      </c>
      <c r="M175" s="114" t="s">
        <v>36</v>
      </c>
      <c r="N175" s="114" t="s">
        <v>36</v>
      </c>
      <c r="O175" s="114" t="s">
        <v>36</v>
      </c>
      <c r="P175" s="114" t="s">
        <v>36</v>
      </c>
      <c r="Q175" s="114" t="s">
        <v>36</v>
      </c>
      <c r="R175" s="114" t="s">
        <v>36</v>
      </c>
      <c r="S175" s="115" t="s">
        <v>42</v>
      </c>
      <c r="T175" s="50" t="s">
        <v>36</v>
      </c>
      <c r="U175" s="50" t="s">
        <v>36</v>
      </c>
      <c r="V175" s="116" t="str">
        <f t="shared" si="2"/>
        <v>-</v>
      </c>
      <c r="W175" s="116" t="str">
        <f t="shared" ref="W175:X175" si="180">IF(lenb(SUBSTITUTE($Z175,W$1&amp;" (1)",""))&lt;lenb($Z175),1,IF(lenb(SUBSTITUTE($Z175,W$1&amp;" (2)",""))&lt;lenb($Z175),2,IF(lenb(SUBSTITUTE($Z175,W$1&amp;" (3)",""))&lt;lenb($Z175),3,IF(lenb(SUBSTITUTE($Z175,W$1&amp;" (4)",""))&lt;lenb($Z175),4,IF(lenb(SUBSTITUTE($Z175,W$1&amp;" (5)",""))&lt;lenb($Z175),5,IF(lenb(SUBSTITUTE($Z175,W$1&amp;" (6)",""))&lt;lenb($Z175),6,IF(lenb(SUBSTITUTE($Z175,W$1&amp;" (7)",""))&lt;lenb($Z175),1,IF(lenb(SUBSTITUTE($Z175,W$1&amp;" (8)",""))&lt;lenb($Z175),8,IF(lenb(SUBSTITUTE($Z175,W$1&amp;" (9)",""))&lt;lenb($Z175),9,IF(lenb(SUBSTITUTE($Z175,W$1&amp;" (10)",""))&lt;lenb($Z175),10,IF(lenb(SUBSTITUTE($Z175,W$1,""))&lt;lenb($Z175),"ERROR",IF($Z175=$Y$1,"-",0))))))))))))</f>
        <v>-</v>
      </c>
      <c r="X175" s="116" t="str">
        <f t="shared" si="180"/>
        <v>-</v>
      </c>
      <c r="Y175" s="116">
        <f t="shared" si="4"/>
        <v>1</v>
      </c>
      <c r="Z175" s="115" t="s">
        <v>23</v>
      </c>
      <c r="AA175" s="54">
        <f t="shared" si="5"/>
        <v>0</v>
      </c>
      <c r="AB175" s="54">
        <f>COUNTIFS(Links!B:B,"FSE",Links!C:C,A175,Links!AD:AD,1)</f>
        <v>0</v>
      </c>
      <c r="AC175" s="117" t="s">
        <v>36</v>
      </c>
      <c r="AD175" s="118" t="s">
        <v>35</v>
      </c>
      <c r="AE175" s="115" t="s">
        <v>36</v>
      </c>
      <c r="AF175" s="57" t="s">
        <v>42</v>
      </c>
      <c r="AG175" s="57" t="s">
        <v>42</v>
      </c>
      <c r="AH175" s="57" t="s">
        <v>42</v>
      </c>
      <c r="AI175" s="116" t="str">
        <f t="shared" si="6"/>
        <v>----</v>
      </c>
      <c r="AJ175" s="119" t="str">
        <f t="shared" si="7"/>
        <v>Paper has no link and no statement</v>
      </c>
      <c r="AK175" s="120" t="s">
        <v>3401</v>
      </c>
      <c r="AL175" s="121" t="s">
        <v>3402</v>
      </c>
      <c r="AM175" s="60" t="str">
        <f t="shared" si="8"/>
        <v>[FP0670]</v>
      </c>
    </row>
    <row r="176" ht="67.5" customHeight="1">
      <c r="A176" s="61">
        <v>671.0</v>
      </c>
      <c r="B176" s="22" t="s">
        <v>3829</v>
      </c>
      <c r="C176" s="23">
        <v>2016.0</v>
      </c>
      <c r="D176" s="100" t="s">
        <v>35</v>
      </c>
      <c r="E176" s="25" t="s">
        <v>36</v>
      </c>
      <c r="F176" s="25" t="s">
        <v>36</v>
      </c>
      <c r="G176" s="25" t="s">
        <v>36</v>
      </c>
      <c r="H176" s="25" t="s">
        <v>36</v>
      </c>
      <c r="I176" s="25" t="s">
        <v>36</v>
      </c>
      <c r="J176" s="101" t="s">
        <v>36</v>
      </c>
      <c r="K176" s="102" t="s">
        <v>37</v>
      </c>
      <c r="L176" s="103" t="s">
        <v>37</v>
      </c>
      <c r="M176" s="103" t="s">
        <v>35</v>
      </c>
      <c r="N176" s="103" t="s">
        <v>37</v>
      </c>
      <c r="O176" s="103" t="s">
        <v>35</v>
      </c>
      <c r="P176" s="103" t="s">
        <v>35</v>
      </c>
      <c r="Q176" s="103" t="s">
        <v>35</v>
      </c>
      <c r="R176" s="103" t="s">
        <v>37</v>
      </c>
      <c r="S176" s="104" t="s">
        <v>3830</v>
      </c>
      <c r="T176" s="130" t="s">
        <v>3831</v>
      </c>
      <c r="U176" s="130" t="s">
        <v>3832</v>
      </c>
      <c r="V176" s="105">
        <f t="shared" si="2"/>
        <v>4</v>
      </c>
      <c r="W176" s="105">
        <f t="shared" ref="W176:X176" si="181">IF(lenb(SUBSTITUTE($Z176,W$1&amp;" (1)",""))&lt;lenb($Z176),1,IF(lenb(SUBSTITUTE($Z176,W$1&amp;" (2)",""))&lt;lenb($Z176),2,IF(lenb(SUBSTITUTE($Z176,W$1&amp;" (3)",""))&lt;lenb($Z176),3,IF(lenb(SUBSTITUTE($Z176,W$1&amp;" (4)",""))&lt;lenb($Z176),4,IF(lenb(SUBSTITUTE($Z176,W$1&amp;" (5)",""))&lt;lenb($Z176),5,IF(lenb(SUBSTITUTE($Z176,W$1&amp;" (6)",""))&lt;lenb($Z176),6,IF(lenb(SUBSTITUTE($Z176,W$1&amp;" (7)",""))&lt;lenb($Z176),1,IF(lenb(SUBSTITUTE($Z176,W$1&amp;" (8)",""))&lt;lenb($Z176),8,IF(lenb(SUBSTITUTE($Z176,W$1&amp;" (9)",""))&lt;lenb($Z176),9,IF(lenb(SUBSTITUTE($Z176,W$1&amp;" (10)",""))&lt;lenb($Z176),10,IF(lenb(SUBSTITUTE($Z176,W$1,""))&lt;lenb($Z176),"ERROR",IF($Z176=$Y$1,"-",0))))))))))))</f>
        <v>1</v>
      </c>
      <c r="X176" s="105">
        <f t="shared" si="181"/>
        <v>0</v>
      </c>
      <c r="Y176" s="105" t="str">
        <f t="shared" si="4"/>
        <v>-</v>
      </c>
      <c r="Z176" s="104" t="s">
        <v>3833</v>
      </c>
      <c r="AA176" s="34">
        <f t="shared" si="5"/>
        <v>5</v>
      </c>
      <c r="AB176" s="34">
        <f>COUNTIFS(Links!B:B,"FSE",Links!C:C,A176,Links!AD:AD,1)</f>
        <v>4</v>
      </c>
      <c r="AC176" s="106" t="s">
        <v>37</v>
      </c>
      <c r="AD176" s="107" t="s">
        <v>35</v>
      </c>
      <c r="AE176" s="104" t="s">
        <v>36</v>
      </c>
      <c r="AF176" s="37" t="s">
        <v>42</v>
      </c>
      <c r="AG176" s="37" t="s">
        <v>42</v>
      </c>
      <c r="AH176" s="37" t="s">
        <v>42</v>
      </c>
      <c r="AI176" s="105" t="str">
        <f t="shared" si="6"/>
        <v>----</v>
      </c>
      <c r="AJ176" s="108" t="str">
        <f t="shared" si="7"/>
        <v>Paper has link but no statement</v>
      </c>
      <c r="AK176" s="109" t="s">
        <v>3401</v>
      </c>
      <c r="AL176" s="110" t="s">
        <v>3402</v>
      </c>
      <c r="AM176" s="40" t="str">
        <f t="shared" si="8"/>
        <v>[FP0671]</v>
      </c>
    </row>
    <row r="177" ht="67.5" customHeight="1">
      <c r="A177" s="41">
        <v>672.0</v>
      </c>
      <c r="B177" s="42" t="s">
        <v>3834</v>
      </c>
      <c r="C177" s="43">
        <v>2016.0</v>
      </c>
      <c r="D177" s="111" t="s">
        <v>35</v>
      </c>
      <c r="E177" s="45" t="s">
        <v>36</v>
      </c>
      <c r="F177" s="45" t="s">
        <v>36</v>
      </c>
      <c r="G177" s="45" t="s">
        <v>36</v>
      </c>
      <c r="H177" s="45" t="s">
        <v>36</v>
      </c>
      <c r="I177" s="45" t="s">
        <v>36</v>
      </c>
      <c r="J177" s="112" t="s">
        <v>36</v>
      </c>
      <c r="K177" s="113" t="s">
        <v>35</v>
      </c>
      <c r="L177" s="114" t="s">
        <v>36</v>
      </c>
      <c r="M177" s="114" t="s">
        <v>36</v>
      </c>
      <c r="N177" s="114" t="s">
        <v>36</v>
      </c>
      <c r="O177" s="114" t="s">
        <v>36</v>
      </c>
      <c r="P177" s="114" t="s">
        <v>36</v>
      </c>
      <c r="Q177" s="114" t="s">
        <v>36</v>
      </c>
      <c r="R177" s="114" t="s">
        <v>36</v>
      </c>
      <c r="S177" s="115" t="s">
        <v>42</v>
      </c>
      <c r="T177" s="50" t="s">
        <v>36</v>
      </c>
      <c r="U177" s="50" t="s">
        <v>36</v>
      </c>
      <c r="V177" s="116" t="str">
        <f t="shared" si="2"/>
        <v>-</v>
      </c>
      <c r="W177" s="116" t="str">
        <f t="shared" ref="W177:X177" si="182">IF(lenb(SUBSTITUTE($Z177,W$1&amp;" (1)",""))&lt;lenb($Z177),1,IF(lenb(SUBSTITUTE($Z177,W$1&amp;" (2)",""))&lt;lenb($Z177),2,IF(lenb(SUBSTITUTE($Z177,W$1&amp;" (3)",""))&lt;lenb($Z177),3,IF(lenb(SUBSTITUTE($Z177,W$1&amp;" (4)",""))&lt;lenb($Z177),4,IF(lenb(SUBSTITUTE($Z177,W$1&amp;" (5)",""))&lt;lenb($Z177),5,IF(lenb(SUBSTITUTE($Z177,W$1&amp;" (6)",""))&lt;lenb($Z177),6,IF(lenb(SUBSTITUTE($Z177,W$1&amp;" (7)",""))&lt;lenb($Z177),1,IF(lenb(SUBSTITUTE($Z177,W$1&amp;" (8)",""))&lt;lenb($Z177),8,IF(lenb(SUBSTITUTE($Z177,W$1&amp;" (9)",""))&lt;lenb($Z177),9,IF(lenb(SUBSTITUTE($Z177,W$1&amp;" (10)",""))&lt;lenb($Z177),10,IF(lenb(SUBSTITUTE($Z177,W$1,""))&lt;lenb($Z177),"ERROR",IF($Z177=$Y$1,"-",0))))))))))))</f>
        <v>-</v>
      </c>
      <c r="X177" s="116" t="str">
        <f t="shared" si="182"/>
        <v>-</v>
      </c>
      <c r="Y177" s="116">
        <f t="shared" si="4"/>
        <v>1</v>
      </c>
      <c r="Z177" s="115" t="s">
        <v>23</v>
      </c>
      <c r="AA177" s="54">
        <f t="shared" si="5"/>
        <v>0</v>
      </c>
      <c r="AB177" s="54">
        <f>COUNTIFS(Links!B:B,"FSE",Links!C:C,A177,Links!AD:AD,1)</f>
        <v>0</v>
      </c>
      <c r="AC177" s="117" t="s">
        <v>36</v>
      </c>
      <c r="AD177" s="118" t="s">
        <v>35</v>
      </c>
      <c r="AE177" s="115" t="s">
        <v>36</v>
      </c>
      <c r="AF177" s="57" t="s">
        <v>42</v>
      </c>
      <c r="AG177" s="57" t="s">
        <v>42</v>
      </c>
      <c r="AH177" s="57" t="s">
        <v>42</v>
      </c>
      <c r="AI177" s="116" t="str">
        <f t="shared" si="6"/>
        <v>----</v>
      </c>
      <c r="AJ177" s="119" t="str">
        <f t="shared" si="7"/>
        <v>Paper has no link and no statement</v>
      </c>
      <c r="AK177" s="120" t="s">
        <v>3401</v>
      </c>
      <c r="AL177" s="121" t="s">
        <v>3402</v>
      </c>
      <c r="AM177" s="60" t="str">
        <f t="shared" si="8"/>
        <v>[FP0672]</v>
      </c>
    </row>
    <row r="178" ht="67.5" customHeight="1">
      <c r="A178" s="61">
        <v>673.0</v>
      </c>
      <c r="B178" s="22" t="s">
        <v>3835</v>
      </c>
      <c r="C178" s="23">
        <v>2016.0</v>
      </c>
      <c r="D178" s="100" t="s">
        <v>35</v>
      </c>
      <c r="E178" s="25" t="s">
        <v>36</v>
      </c>
      <c r="F178" s="25" t="s">
        <v>36</v>
      </c>
      <c r="G178" s="25" t="s">
        <v>36</v>
      </c>
      <c r="H178" s="25" t="s">
        <v>36</v>
      </c>
      <c r="I178" s="25" t="s">
        <v>36</v>
      </c>
      <c r="J178" s="101" t="s">
        <v>36</v>
      </c>
      <c r="K178" s="102" t="s">
        <v>37</v>
      </c>
      <c r="L178" s="103" t="s">
        <v>37</v>
      </c>
      <c r="M178" s="103" t="s">
        <v>35</v>
      </c>
      <c r="N178" s="103" t="s">
        <v>35</v>
      </c>
      <c r="O178" s="103" t="s">
        <v>35</v>
      </c>
      <c r="P178" s="103" t="s">
        <v>35</v>
      </c>
      <c r="Q178" s="103" t="s">
        <v>35</v>
      </c>
      <c r="R178" s="103" t="s">
        <v>37</v>
      </c>
      <c r="S178" s="104" t="s">
        <v>3836</v>
      </c>
      <c r="T178" s="30" t="s">
        <v>3837</v>
      </c>
      <c r="U178" s="30" t="s">
        <v>3837</v>
      </c>
      <c r="V178" s="105">
        <f t="shared" si="2"/>
        <v>1</v>
      </c>
      <c r="W178" s="105">
        <f t="shared" ref="W178:X178" si="183">IF(lenb(SUBSTITUTE($Z178,W$1&amp;" (1)",""))&lt;lenb($Z178),1,IF(lenb(SUBSTITUTE($Z178,W$1&amp;" (2)",""))&lt;lenb($Z178),2,IF(lenb(SUBSTITUTE($Z178,W$1&amp;" (3)",""))&lt;lenb($Z178),3,IF(lenb(SUBSTITUTE($Z178,W$1&amp;" (4)",""))&lt;lenb($Z178),4,IF(lenb(SUBSTITUTE($Z178,W$1&amp;" (5)",""))&lt;lenb($Z178),5,IF(lenb(SUBSTITUTE($Z178,W$1&amp;" (6)",""))&lt;lenb($Z178),6,IF(lenb(SUBSTITUTE($Z178,W$1&amp;" (7)",""))&lt;lenb($Z178),1,IF(lenb(SUBSTITUTE($Z178,W$1&amp;" (8)",""))&lt;lenb($Z178),8,IF(lenb(SUBSTITUTE($Z178,W$1&amp;" (9)",""))&lt;lenb($Z178),9,IF(lenb(SUBSTITUTE($Z178,W$1&amp;" (10)",""))&lt;lenb($Z178),10,IF(lenb(SUBSTITUTE($Z178,W$1,""))&lt;lenb($Z178),"ERROR",IF($Z178=$Y$1,"-",0))))))))))))</f>
        <v>0</v>
      </c>
      <c r="X178" s="105">
        <f t="shared" si="183"/>
        <v>0</v>
      </c>
      <c r="Y178" s="105" t="str">
        <f t="shared" si="4"/>
        <v>-</v>
      </c>
      <c r="Z178" s="104" t="s">
        <v>3400</v>
      </c>
      <c r="AA178" s="34">
        <f t="shared" si="5"/>
        <v>1</v>
      </c>
      <c r="AB178" s="34">
        <f>COUNTIFS(Links!B:B,"FSE",Links!C:C,A178,Links!AD:AD,1)</f>
        <v>0</v>
      </c>
      <c r="AC178" s="106" t="s">
        <v>35</v>
      </c>
      <c r="AD178" s="107" t="s">
        <v>35</v>
      </c>
      <c r="AE178" s="104" t="s">
        <v>36</v>
      </c>
      <c r="AF178" s="37" t="s">
        <v>42</v>
      </c>
      <c r="AG178" s="37" t="s">
        <v>42</v>
      </c>
      <c r="AH178" s="37" t="s">
        <v>42</v>
      </c>
      <c r="AI178" s="105" t="str">
        <f t="shared" si="6"/>
        <v>----</v>
      </c>
      <c r="AJ178" s="108" t="str">
        <f t="shared" si="7"/>
        <v>Paper has link but no statement</v>
      </c>
      <c r="AK178" s="109" t="s">
        <v>3401</v>
      </c>
      <c r="AL178" s="110" t="s">
        <v>3402</v>
      </c>
      <c r="AM178" s="40" t="str">
        <f t="shared" si="8"/>
        <v>[FP0673]</v>
      </c>
    </row>
    <row r="179" ht="67.5" customHeight="1">
      <c r="A179" s="41">
        <v>674.0</v>
      </c>
      <c r="B179" s="42" t="s">
        <v>3838</v>
      </c>
      <c r="C179" s="43">
        <v>2016.0</v>
      </c>
      <c r="D179" s="111" t="s">
        <v>35</v>
      </c>
      <c r="E179" s="45" t="s">
        <v>36</v>
      </c>
      <c r="F179" s="45" t="s">
        <v>36</v>
      </c>
      <c r="G179" s="45" t="s">
        <v>36</v>
      </c>
      <c r="H179" s="45" t="s">
        <v>36</v>
      </c>
      <c r="I179" s="45" t="s">
        <v>36</v>
      </c>
      <c r="J179" s="112" t="s">
        <v>36</v>
      </c>
      <c r="K179" s="113" t="s">
        <v>37</v>
      </c>
      <c r="L179" s="114" t="s">
        <v>37</v>
      </c>
      <c r="M179" s="114" t="s">
        <v>37</v>
      </c>
      <c r="N179" s="114" t="s">
        <v>37</v>
      </c>
      <c r="O179" s="114" t="s">
        <v>35</v>
      </c>
      <c r="P179" s="114" t="s">
        <v>35</v>
      </c>
      <c r="Q179" s="114" t="s">
        <v>35</v>
      </c>
      <c r="R179" s="114" t="s">
        <v>37</v>
      </c>
      <c r="S179" s="115" t="s">
        <v>3839</v>
      </c>
      <c r="T179" s="124" t="s">
        <v>3840</v>
      </c>
      <c r="U179" s="124" t="s">
        <v>3841</v>
      </c>
      <c r="V179" s="116">
        <f t="shared" si="2"/>
        <v>2</v>
      </c>
      <c r="W179" s="116">
        <f t="shared" ref="W179:X179" si="184">IF(lenb(SUBSTITUTE($Z179,W$1&amp;" (1)",""))&lt;lenb($Z179),1,IF(lenb(SUBSTITUTE($Z179,W$1&amp;" (2)",""))&lt;lenb($Z179),2,IF(lenb(SUBSTITUTE($Z179,W$1&amp;" (3)",""))&lt;lenb($Z179),3,IF(lenb(SUBSTITUTE($Z179,W$1&amp;" (4)",""))&lt;lenb($Z179),4,IF(lenb(SUBSTITUTE($Z179,W$1&amp;" (5)",""))&lt;lenb($Z179),5,IF(lenb(SUBSTITUTE($Z179,W$1&amp;" (6)",""))&lt;lenb($Z179),6,IF(lenb(SUBSTITUTE($Z179,W$1&amp;" (7)",""))&lt;lenb($Z179),1,IF(lenb(SUBSTITUTE($Z179,W$1&amp;" (8)",""))&lt;lenb($Z179),8,IF(lenb(SUBSTITUTE($Z179,W$1&amp;" (9)",""))&lt;lenb($Z179),9,IF(lenb(SUBSTITUTE($Z179,W$1&amp;" (10)",""))&lt;lenb($Z179),10,IF(lenb(SUBSTITUTE($Z179,W$1,""))&lt;lenb($Z179),"ERROR",IF($Z179=$Y$1,"-",0))))))))))))</f>
        <v>3</v>
      </c>
      <c r="X179" s="116">
        <f t="shared" si="184"/>
        <v>0</v>
      </c>
      <c r="Y179" s="116" t="str">
        <f t="shared" si="4"/>
        <v>-</v>
      </c>
      <c r="Z179" s="115" t="s">
        <v>3842</v>
      </c>
      <c r="AA179" s="54">
        <f t="shared" si="5"/>
        <v>5</v>
      </c>
      <c r="AB179" s="54">
        <f>COUNTIFS(Links!B:B,"FSE",Links!C:C,A179,Links!AD:AD,1)</f>
        <v>3</v>
      </c>
      <c r="AC179" s="117" t="s">
        <v>35</v>
      </c>
      <c r="AD179" s="118" t="s">
        <v>35</v>
      </c>
      <c r="AE179" s="115" t="s">
        <v>36</v>
      </c>
      <c r="AF179" s="57" t="s">
        <v>42</v>
      </c>
      <c r="AG179" s="57" t="s">
        <v>42</v>
      </c>
      <c r="AH179" s="57" t="s">
        <v>42</v>
      </c>
      <c r="AI179" s="116" t="str">
        <f t="shared" si="6"/>
        <v>----</v>
      </c>
      <c r="AJ179" s="119" t="str">
        <f t="shared" si="7"/>
        <v>Paper has link but no statement</v>
      </c>
      <c r="AK179" s="120" t="s">
        <v>3401</v>
      </c>
      <c r="AL179" s="121" t="s">
        <v>3402</v>
      </c>
      <c r="AM179" s="60" t="str">
        <f t="shared" si="8"/>
        <v>[FP0674]</v>
      </c>
    </row>
    <row r="180" ht="67.5" customHeight="1">
      <c r="A180" s="61">
        <v>675.0</v>
      </c>
      <c r="B180" s="22" t="s">
        <v>3843</v>
      </c>
      <c r="C180" s="23">
        <v>2016.0</v>
      </c>
      <c r="D180" s="100" t="s">
        <v>35</v>
      </c>
      <c r="E180" s="25" t="s">
        <v>36</v>
      </c>
      <c r="F180" s="25" t="s">
        <v>36</v>
      </c>
      <c r="G180" s="25" t="s">
        <v>36</v>
      </c>
      <c r="H180" s="25" t="s">
        <v>36</v>
      </c>
      <c r="I180" s="25" t="s">
        <v>36</v>
      </c>
      <c r="J180" s="101" t="s">
        <v>36</v>
      </c>
      <c r="K180" s="102" t="s">
        <v>37</v>
      </c>
      <c r="L180" s="103" t="s">
        <v>35</v>
      </c>
      <c r="M180" s="103" t="s">
        <v>35</v>
      </c>
      <c r="N180" s="103" t="s">
        <v>37</v>
      </c>
      <c r="O180" s="103" t="s">
        <v>35</v>
      </c>
      <c r="P180" s="103" t="s">
        <v>35</v>
      </c>
      <c r="Q180" s="103" t="s">
        <v>35</v>
      </c>
      <c r="R180" s="103" t="s">
        <v>35</v>
      </c>
      <c r="S180" s="104" t="s">
        <v>13</v>
      </c>
      <c r="T180" s="30" t="s">
        <v>3844</v>
      </c>
      <c r="U180" s="30" t="s">
        <v>3844</v>
      </c>
      <c r="V180" s="105">
        <f t="shared" si="2"/>
        <v>0</v>
      </c>
      <c r="W180" s="105">
        <f t="shared" ref="W180:X180" si="185">IF(lenb(SUBSTITUTE($Z180,W$1&amp;" (1)",""))&lt;lenb($Z180),1,IF(lenb(SUBSTITUTE($Z180,W$1&amp;" (2)",""))&lt;lenb($Z180),2,IF(lenb(SUBSTITUTE($Z180,W$1&amp;" (3)",""))&lt;lenb($Z180),3,IF(lenb(SUBSTITUTE($Z180,W$1&amp;" (4)",""))&lt;lenb($Z180),4,IF(lenb(SUBSTITUTE($Z180,W$1&amp;" (5)",""))&lt;lenb($Z180),5,IF(lenb(SUBSTITUTE($Z180,W$1&amp;" (6)",""))&lt;lenb($Z180),6,IF(lenb(SUBSTITUTE($Z180,W$1&amp;" (7)",""))&lt;lenb($Z180),1,IF(lenb(SUBSTITUTE($Z180,W$1&amp;" (8)",""))&lt;lenb($Z180),8,IF(lenb(SUBSTITUTE($Z180,W$1&amp;" (9)",""))&lt;lenb($Z180),9,IF(lenb(SUBSTITUTE($Z180,W$1&amp;" (10)",""))&lt;lenb($Z180),10,IF(lenb(SUBSTITUTE($Z180,W$1,""))&lt;lenb($Z180),"ERROR",IF($Z180=$Y$1,"-",0))))))))))))</f>
        <v>1</v>
      </c>
      <c r="X180" s="105">
        <f t="shared" si="185"/>
        <v>0</v>
      </c>
      <c r="Y180" s="105" t="str">
        <f t="shared" si="4"/>
        <v>-</v>
      </c>
      <c r="Z180" s="104" t="s">
        <v>3423</v>
      </c>
      <c r="AA180" s="34">
        <f t="shared" si="5"/>
        <v>1</v>
      </c>
      <c r="AB180" s="34">
        <f>COUNTIFS(Links!B:B,"FSE",Links!C:C,A180,Links!AD:AD,1)</f>
        <v>0</v>
      </c>
      <c r="AC180" s="106" t="s">
        <v>35</v>
      </c>
      <c r="AD180" s="107" t="s">
        <v>35</v>
      </c>
      <c r="AE180" s="104" t="s">
        <v>36</v>
      </c>
      <c r="AF180" s="37" t="s">
        <v>42</v>
      </c>
      <c r="AG180" s="37" t="s">
        <v>42</v>
      </c>
      <c r="AH180" s="37" t="s">
        <v>42</v>
      </c>
      <c r="AI180" s="105" t="str">
        <f t="shared" si="6"/>
        <v>----</v>
      </c>
      <c r="AJ180" s="108" t="str">
        <f t="shared" si="7"/>
        <v>Paper has link but no statement</v>
      </c>
      <c r="AK180" s="109" t="s">
        <v>3401</v>
      </c>
      <c r="AL180" s="110" t="s">
        <v>3402</v>
      </c>
      <c r="AM180" s="40" t="str">
        <f t="shared" si="8"/>
        <v>[FP0675]</v>
      </c>
    </row>
    <row r="181" ht="67.5" customHeight="1">
      <c r="A181" s="41">
        <v>676.0</v>
      </c>
      <c r="B181" s="42" t="s">
        <v>3845</v>
      </c>
      <c r="C181" s="43">
        <v>2016.0</v>
      </c>
      <c r="D181" s="111" t="s">
        <v>35</v>
      </c>
      <c r="E181" s="45" t="s">
        <v>36</v>
      </c>
      <c r="F181" s="45" t="s">
        <v>36</v>
      </c>
      <c r="G181" s="45" t="s">
        <v>36</v>
      </c>
      <c r="H181" s="45" t="s">
        <v>36</v>
      </c>
      <c r="I181" s="45" t="s">
        <v>36</v>
      </c>
      <c r="J181" s="112" t="s">
        <v>36</v>
      </c>
      <c r="K181" s="113" t="s">
        <v>37</v>
      </c>
      <c r="L181" s="114" t="s">
        <v>35</v>
      </c>
      <c r="M181" s="114" t="s">
        <v>37</v>
      </c>
      <c r="N181" s="114" t="s">
        <v>37</v>
      </c>
      <c r="O181" s="114" t="s">
        <v>35</v>
      </c>
      <c r="P181" s="114" t="s">
        <v>35</v>
      </c>
      <c r="Q181" s="114" t="s">
        <v>35</v>
      </c>
      <c r="R181" s="114" t="s">
        <v>37</v>
      </c>
      <c r="S181" s="115" t="s">
        <v>3846</v>
      </c>
      <c r="T181" s="50" t="s">
        <v>3847</v>
      </c>
      <c r="U181" s="50" t="s">
        <v>3847</v>
      </c>
      <c r="V181" s="116">
        <f t="shared" si="2"/>
        <v>1</v>
      </c>
      <c r="W181" s="116">
        <f t="shared" ref="W181:X181" si="186">IF(lenb(SUBSTITUTE($Z181,W$1&amp;" (1)",""))&lt;lenb($Z181),1,IF(lenb(SUBSTITUTE($Z181,W$1&amp;" (2)",""))&lt;lenb($Z181),2,IF(lenb(SUBSTITUTE($Z181,W$1&amp;" (3)",""))&lt;lenb($Z181),3,IF(lenb(SUBSTITUTE($Z181,W$1&amp;" (4)",""))&lt;lenb($Z181),4,IF(lenb(SUBSTITUTE($Z181,W$1&amp;" (5)",""))&lt;lenb($Z181),5,IF(lenb(SUBSTITUTE($Z181,W$1&amp;" (6)",""))&lt;lenb($Z181),6,IF(lenb(SUBSTITUTE($Z181,W$1&amp;" (7)",""))&lt;lenb($Z181),1,IF(lenb(SUBSTITUTE($Z181,W$1&amp;" (8)",""))&lt;lenb($Z181),8,IF(lenb(SUBSTITUTE($Z181,W$1&amp;" (9)",""))&lt;lenb($Z181),9,IF(lenb(SUBSTITUTE($Z181,W$1&amp;" (10)",""))&lt;lenb($Z181),10,IF(lenb(SUBSTITUTE($Z181,W$1,""))&lt;lenb($Z181),"ERROR",IF($Z181=$Y$1,"-",0))))))))))))</f>
        <v>0</v>
      </c>
      <c r="X181" s="116">
        <f t="shared" si="186"/>
        <v>0</v>
      </c>
      <c r="Y181" s="116" t="str">
        <f t="shared" si="4"/>
        <v>-</v>
      </c>
      <c r="Z181" s="115" t="s">
        <v>3400</v>
      </c>
      <c r="AA181" s="54">
        <f t="shared" si="5"/>
        <v>1</v>
      </c>
      <c r="AB181" s="54">
        <f>COUNTIFS(Links!B:B,"FSE",Links!C:C,A181,Links!AD:AD,1)</f>
        <v>1</v>
      </c>
      <c r="AC181" s="117" t="s">
        <v>35</v>
      </c>
      <c r="AD181" s="118" t="s">
        <v>35</v>
      </c>
      <c r="AE181" s="115" t="s">
        <v>36</v>
      </c>
      <c r="AF181" s="57" t="s">
        <v>42</v>
      </c>
      <c r="AG181" s="57" t="s">
        <v>42</v>
      </c>
      <c r="AH181" s="57" t="s">
        <v>42</v>
      </c>
      <c r="AI181" s="116" t="str">
        <f t="shared" si="6"/>
        <v>----</v>
      </c>
      <c r="AJ181" s="119" t="str">
        <f t="shared" si="7"/>
        <v>Paper has link but no statement</v>
      </c>
      <c r="AK181" s="120" t="s">
        <v>3401</v>
      </c>
      <c r="AL181" s="121" t="s">
        <v>3402</v>
      </c>
      <c r="AM181" s="60" t="str">
        <f t="shared" si="8"/>
        <v>[FP0676]</v>
      </c>
    </row>
    <row r="182" ht="67.5" customHeight="1">
      <c r="A182" s="61">
        <v>677.0</v>
      </c>
      <c r="B182" s="22" t="s">
        <v>3848</v>
      </c>
      <c r="C182" s="23">
        <v>2016.0</v>
      </c>
      <c r="D182" s="100" t="s">
        <v>35</v>
      </c>
      <c r="E182" s="25" t="s">
        <v>36</v>
      </c>
      <c r="F182" s="25" t="s">
        <v>36</v>
      </c>
      <c r="G182" s="25" t="s">
        <v>36</v>
      </c>
      <c r="H182" s="25" t="s">
        <v>36</v>
      </c>
      <c r="I182" s="25" t="s">
        <v>36</v>
      </c>
      <c r="J182" s="101" t="s">
        <v>36</v>
      </c>
      <c r="K182" s="102" t="s">
        <v>35</v>
      </c>
      <c r="L182" s="103" t="s">
        <v>36</v>
      </c>
      <c r="M182" s="103" t="s">
        <v>36</v>
      </c>
      <c r="N182" s="103" t="s">
        <v>36</v>
      </c>
      <c r="O182" s="103" t="s">
        <v>36</v>
      </c>
      <c r="P182" s="103" t="s">
        <v>36</v>
      </c>
      <c r="Q182" s="103" t="s">
        <v>36</v>
      </c>
      <c r="R182" s="103" t="s">
        <v>36</v>
      </c>
      <c r="S182" s="104" t="s">
        <v>42</v>
      </c>
      <c r="T182" s="30" t="s">
        <v>36</v>
      </c>
      <c r="U182" s="30" t="s">
        <v>36</v>
      </c>
      <c r="V182" s="105" t="str">
        <f t="shared" si="2"/>
        <v>-</v>
      </c>
      <c r="W182" s="105" t="str">
        <f t="shared" ref="W182:X182" si="187">IF(lenb(SUBSTITUTE($Z182,W$1&amp;" (1)",""))&lt;lenb($Z182),1,IF(lenb(SUBSTITUTE($Z182,W$1&amp;" (2)",""))&lt;lenb($Z182),2,IF(lenb(SUBSTITUTE($Z182,W$1&amp;" (3)",""))&lt;lenb($Z182),3,IF(lenb(SUBSTITUTE($Z182,W$1&amp;" (4)",""))&lt;lenb($Z182),4,IF(lenb(SUBSTITUTE($Z182,W$1&amp;" (5)",""))&lt;lenb($Z182),5,IF(lenb(SUBSTITUTE($Z182,W$1&amp;" (6)",""))&lt;lenb($Z182),6,IF(lenb(SUBSTITUTE($Z182,W$1&amp;" (7)",""))&lt;lenb($Z182),1,IF(lenb(SUBSTITUTE($Z182,W$1&amp;" (8)",""))&lt;lenb($Z182),8,IF(lenb(SUBSTITUTE($Z182,W$1&amp;" (9)",""))&lt;lenb($Z182),9,IF(lenb(SUBSTITUTE($Z182,W$1&amp;" (10)",""))&lt;lenb($Z182),10,IF(lenb(SUBSTITUTE($Z182,W$1,""))&lt;lenb($Z182),"ERROR",IF($Z182=$Y$1,"-",0))))))))))))</f>
        <v>-</v>
      </c>
      <c r="X182" s="105" t="str">
        <f t="shared" si="187"/>
        <v>-</v>
      </c>
      <c r="Y182" s="105">
        <f t="shared" si="4"/>
        <v>1</v>
      </c>
      <c r="Z182" s="104" t="s">
        <v>23</v>
      </c>
      <c r="AA182" s="34">
        <f t="shared" si="5"/>
        <v>0</v>
      </c>
      <c r="AB182" s="34">
        <f>COUNTIFS(Links!B:B,"FSE",Links!C:C,A182,Links!AD:AD,1)</f>
        <v>0</v>
      </c>
      <c r="AC182" s="106" t="s">
        <v>36</v>
      </c>
      <c r="AD182" s="107" t="s">
        <v>35</v>
      </c>
      <c r="AE182" s="104" t="s">
        <v>36</v>
      </c>
      <c r="AF182" s="37" t="s">
        <v>42</v>
      </c>
      <c r="AG182" s="37" t="s">
        <v>42</v>
      </c>
      <c r="AH182" s="37" t="s">
        <v>42</v>
      </c>
      <c r="AI182" s="105" t="str">
        <f t="shared" si="6"/>
        <v>----</v>
      </c>
      <c r="AJ182" s="108" t="str">
        <f t="shared" si="7"/>
        <v>Paper has no link and no statement</v>
      </c>
      <c r="AK182" s="109" t="s">
        <v>3401</v>
      </c>
      <c r="AL182" s="110" t="s">
        <v>3402</v>
      </c>
      <c r="AM182" s="40" t="str">
        <f t="shared" si="8"/>
        <v>[FP0677]</v>
      </c>
    </row>
    <row r="183" ht="67.5" customHeight="1">
      <c r="A183" s="41">
        <v>678.0</v>
      </c>
      <c r="B183" s="42" t="s">
        <v>3849</v>
      </c>
      <c r="C183" s="43">
        <v>2016.0</v>
      </c>
      <c r="D183" s="111" t="s">
        <v>35</v>
      </c>
      <c r="E183" s="45" t="s">
        <v>36</v>
      </c>
      <c r="F183" s="45" t="s">
        <v>36</v>
      </c>
      <c r="G183" s="45" t="s">
        <v>36</v>
      </c>
      <c r="H183" s="45" t="s">
        <v>36</v>
      </c>
      <c r="I183" s="45" t="s">
        <v>36</v>
      </c>
      <c r="J183" s="112" t="s">
        <v>36</v>
      </c>
      <c r="K183" s="113" t="s">
        <v>35</v>
      </c>
      <c r="L183" s="114" t="s">
        <v>36</v>
      </c>
      <c r="M183" s="114" t="s">
        <v>36</v>
      </c>
      <c r="N183" s="114" t="s">
        <v>36</v>
      </c>
      <c r="O183" s="114" t="s">
        <v>36</v>
      </c>
      <c r="P183" s="114" t="s">
        <v>36</v>
      </c>
      <c r="Q183" s="114" t="s">
        <v>36</v>
      </c>
      <c r="R183" s="114" t="s">
        <v>36</v>
      </c>
      <c r="S183" s="115" t="s">
        <v>42</v>
      </c>
      <c r="T183" s="50" t="s">
        <v>36</v>
      </c>
      <c r="U183" s="50" t="s">
        <v>36</v>
      </c>
      <c r="V183" s="116" t="str">
        <f t="shared" si="2"/>
        <v>-</v>
      </c>
      <c r="W183" s="116" t="str">
        <f t="shared" ref="W183:X183" si="188">IF(lenb(SUBSTITUTE($Z183,W$1&amp;" (1)",""))&lt;lenb($Z183),1,IF(lenb(SUBSTITUTE($Z183,W$1&amp;" (2)",""))&lt;lenb($Z183),2,IF(lenb(SUBSTITUTE($Z183,W$1&amp;" (3)",""))&lt;lenb($Z183),3,IF(lenb(SUBSTITUTE($Z183,W$1&amp;" (4)",""))&lt;lenb($Z183),4,IF(lenb(SUBSTITUTE($Z183,W$1&amp;" (5)",""))&lt;lenb($Z183),5,IF(lenb(SUBSTITUTE($Z183,W$1&amp;" (6)",""))&lt;lenb($Z183),6,IF(lenb(SUBSTITUTE($Z183,W$1&amp;" (7)",""))&lt;lenb($Z183),1,IF(lenb(SUBSTITUTE($Z183,W$1&amp;" (8)",""))&lt;lenb($Z183),8,IF(lenb(SUBSTITUTE($Z183,W$1&amp;" (9)",""))&lt;lenb($Z183),9,IF(lenb(SUBSTITUTE($Z183,W$1&amp;" (10)",""))&lt;lenb($Z183),10,IF(lenb(SUBSTITUTE($Z183,W$1,""))&lt;lenb($Z183),"ERROR",IF($Z183=$Y$1,"-",0))))))))))))</f>
        <v>-</v>
      </c>
      <c r="X183" s="116" t="str">
        <f t="shared" si="188"/>
        <v>-</v>
      </c>
      <c r="Y183" s="116">
        <f t="shared" si="4"/>
        <v>1</v>
      </c>
      <c r="Z183" s="115" t="s">
        <v>23</v>
      </c>
      <c r="AA183" s="54">
        <f t="shared" si="5"/>
        <v>0</v>
      </c>
      <c r="AB183" s="54">
        <f>COUNTIFS(Links!B:B,"FSE",Links!C:C,A183,Links!AD:AD,1)</f>
        <v>0</v>
      </c>
      <c r="AC183" s="117" t="s">
        <v>36</v>
      </c>
      <c r="AD183" s="118" t="s">
        <v>35</v>
      </c>
      <c r="AE183" s="115" t="s">
        <v>36</v>
      </c>
      <c r="AF183" s="57" t="s">
        <v>42</v>
      </c>
      <c r="AG183" s="57" t="s">
        <v>42</v>
      </c>
      <c r="AH183" s="57" t="s">
        <v>42</v>
      </c>
      <c r="AI183" s="116" t="str">
        <f t="shared" si="6"/>
        <v>----</v>
      </c>
      <c r="AJ183" s="119" t="str">
        <f t="shared" si="7"/>
        <v>Paper has no link and no statement</v>
      </c>
      <c r="AK183" s="120" t="s">
        <v>3401</v>
      </c>
      <c r="AL183" s="121" t="s">
        <v>3402</v>
      </c>
      <c r="AM183" s="60" t="str">
        <f t="shared" si="8"/>
        <v>[FP0678]</v>
      </c>
    </row>
    <row r="184" ht="67.5" customHeight="1">
      <c r="A184" s="61">
        <v>679.0</v>
      </c>
      <c r="B184" s="22" t="s">
        <v>3850</v>
      </c>
      <c r="C184" s="23">
        <v>2016.0</v>
      </c>
      <c r="D184" s="100" t="s">
        <v>35</v>
      </c>
      <c r="E184" s="25" t="s">
        <v>36</v>
      </c>
      <c r="F184" s="25" t="s">
        <v>36</v>
      </c>
      <c r="G184" s="25" t="s">
        <v>36</v>
      </c>
      <c r="H184" s="25" t="s">
        <v>36</v>
      </c>
      <c r="I184" s="25" t="s">
        <v>36</v>
      </c>
      <c r="J184" s="101" t="s">
        <v>36</v>
      </c>
      <c r="K184" s="102" t="s">
        <v>35</v>
      </c>
      <c r="L184" s="103" t="s">
        <v>36</v>
      </c>
      <c r="M184" s="103" t="s">
        <v>36</v>
      </c>
      <c r="N184" s="103" t="s">
        <v>36</v>
      </c>
      <c r="O184" s="103" t="s">
        <v>36</v>
      </c>
      <c r="P184" s="103" t="s">
        <v>36</v>
      </c>
      <c r="Q184" s="103" t="s">
        <v>36</v>
      </c>
      <c r="R184" s="103" t="s">
        <v>36</v>
      </c>
      <c r="S184" s="104" t="s">
        <v>42</v>
      </c>
      <c r="T184" s="30" t="s">
        <v>36</v>
      </c>
      <c r="U184" s="30" t="s">
        <v>36</v>
      </c>
      <c r="V184" s="105" t="str">
        <f t="shared" si="2"/>
        <v>-</v>
      </c>
      <c r="W184" s="105" t="str">
        <f t="shared" ref="W184:X184" si="189">IF(lenb(SUBSTITUTE($Z184,W$1&amp;" (1)",""))&lt;lenb($Z184),1,IF(lenb(SUBSTITUTE($Z184,W$1&amp;" (2)",""))&lt;lenb($Z184),2,IF(lenb(SUBSTITUTE($Z184,W$1&amp;" (3)",""))&lt;lenb($Z184),3,IF(lenb(SUBSTITUTE($Z184,W$1&amp;" (4)",""))&lt;lenb($Z184),4,IF(lenb(SUBSTITUTE($Z184,W$1&amp;" (5)",""))&lt;lenb($Z184),5,IF(lenb(SUBSTITUTE($Z184,W$1&amp;" (6)",""))&lt;lenb($Z184),6,IF(lenb(SUBSTITUTE($Z184,W$1&amp;" (7)",""))&lt;lenb($Z184),1,IF(lenb(SUBSTITUTE($Z184,W$1&amp;" (8)",""))&lt;lenb($Z184),8,IF(lenb(SUBSTITUTE($Z184,W$1&amp;" (9)",""))&lt;lenb($Z184),9,IF(lenb(SUBSTITUTE($Z184,W$1&amp;" (10)",""))&lt;lenb($Z184),10,IF(lenb(SUBSTITUTE($Z184,W$1,""))&lt;lenb($Z184),"ERROR",IF($Z184=$Y$1,"-",0))))))))))))</f>
        <v>-</v>
      </c>
      <c r="X184" s="105" t="str">
        <f t="shared" si="189"/>
        <v>-</v>
      </c>
      <c r="Y184" s="105">
        <f t="shared" si="4"/>
        <v>1</v>
      </c>
      <c r="Z184" s="104" t="s">
        <v>23</v>
      </c>
      <c r="AA184" s="34">
        <f t="shared" si="5"/>
        <v>0</v>
      </c>
      <c r="AB184" s="34">
        <f>COUNTIFS(Links!B:B,"FSE",Links!C:C,A184,Links!AD:AD,1)</f>
        <v>0</v>
      </c>
      <c r="AC184" s="106" t="s">
        <v>36</v>
      </c>
      <c r="AD184" s="107" t="s">
        <v>35</v>
      </c>
      <c r="AE184" s="104" t="s">
        <v>36</v>
      </c>
      <c r="AF184" s="37" t="s">
        <v>42</v>
      </c>
      <c r="AG184" s="37" t="s">
        <v>42</v>
      </c>
      <c r="AH184" s="37" t="s">
        <v>42</v>
      </c>
      <c r="AI184" s="105" t="str">
        <f t="shared" si="6"/>
        <v>----</v>
      </c>
      <c r="AJ184" s="108" t="str">
        <f t="shared" si="7"/>
        <v>Paper has no link and no statement</v>
      </c>
      <c r="AK184" s="109" t="s">
        <v>3401</v>
      </c>
      <c r="AL184" s="110" t="s">
        <v>3402</v>
      </c>
      <c r="AM184" s="40" t="str">
        <f t="shared" si="8"/>
        <v>[FP0679]</v>
      </c>
    </row>
    <row r="185" ht="67.5" customHeight="1">
      <c r="A185" s="41">
        <v>680.0</v>
      </c>
      <c r="B185" s="42" t="s">
        <v>3851</v>
      </c>
      <c r="C185" s="43">
        <v>2016.0</v>
      </c>
      <c r="D185" s="111" t="s">
        <v>37</v>
      </c>
      <c r="E185" s="45" t="s">
        <v>36</v>
      </c>
      <c r="F185" s="45" t="s">
        <v>36</v>
      </c>
      <c r="G185" s="45" t="s">
        <v>36</v>
      </c>
      <c r="H185" s="45" t="s">
        <v>36</v>
      </c>
      <c r="I185" s="45" t="s">
        <v>36</v>
      </c>
      <c r="J185" s="112" t="s">
        <v>3852</v>
      </c>
      <c r="K185" s="113" t="s">
        <v>37</v>
      </c>
      <c r="L185" s="114" t="s">
        <v>35</v>
      </c>
      <c r="M185" s="114" t="s">
        <v>37</v>
      </c>
      <c r="N185" s="114" t="s">
        <v>35</v>
      </c>
      <c r="O185" s="114" t="s">
        <v>35</v>
      </c>
      <c r="P185" s="114" t="s">
        <v>35</v>
      </c>
      <c r="Q185" s="114" t="s">
        <v>37</v>
      </c>
      <c r="R185" s="114" t="s">
        <v>37</v>
      </c>
      <c r="S185" s="115" t="s">
        <v>3853</v>
      </c>
      <c r="T185" s="50" t="s">
        <v>3854</v>
      </c>
      <c r="U185" s="50" t="s">
        <v>3854</v>
      </c>
      <c r="V185" s="116">
        <f t="shared" si="2"/>
        <v>0</v>
      </c>
      <c r="W185" s="116">
        <f t="shared" ref="W185:X185" si="190">IF(lenb(SUBSTITUTE($Z185,W$1&amp;" (1)",""))&lt;lenb($Z185),1,IF(lenb(SUBSTITUTE($Z185,W$1&amp;" (2)",""))&lt;lenb($Z185),2,IF(lenb(SUBSTITUTE($Z185,W$1&amp;" (3)",""))&lt;lenb($Z185),3,IF(lenb(SUBSTITUTE($Z185,W$1&amp;" (4)",""))&lt;lenb($Z185),4,IF(lenb(SUBSTITUTE($Z185,W$1&amp;" (5)",""))&lt;lenb($Z185),5,IF(lenb(SUBSTITUTE($Z185,W$1&amp;" (6)",""))&lt;lenb($Z185),6,IF(lenb(SUBSTITUTE($Z185,W$1&amp;" (7)",""))&lt;lenb($Z185),1,IF(lenb(SUBSTITUTE($Z185,W$1&amp;" (8)",""))&lt;lenb($Z185),8,IF(lenb(SUBSTITUTE($Z185,W$1&amp;" (9)",""))&lt;lenb($Z185),9,IF(lenb(SUBSTITUTE($Z185,W$1&amp;" (10)",""))&lt;lenb($Z185),10,IF(lenb(SUBSTITUTE($Z185,W$1,""))&lt;lenb($Z185),"ERROR",IF($Z185=$Y$1,"-",0))))))))))))</f>
        <v>1</v>
      </c>
      <c r="X185" s="116">
        <f t="shared" si="190"/>
        <v>0</v>
      </c>
      <c r="Y185" s="116" t="str">
        <f t="shared" si="4"/>
        <v>-</v>
      </c>
      <c r="Z185" s="115" t="s">
        <v>3423</v>
      </c>
      <c r="AA185" s="54">
        <f t="shared" si="5"/>
        <v>1</v>
      </c>
      <c r="AB185" s="54">
        <f>COUNTIFS(Links!B:B,"FSE",Links!C:C,A185,Links!AD:AD,1)</f>
        <v>0</v>
      </c>
      <c r="AC185" s="117" t="s">
        <v>35</v>
      </c>
      <c r="AD185" s="118" t="s">
        <v>35</v>
      </c>
      <c r="AE185" s="115" t="s">
        <v>36</v>
      </c>
      <c r="AF185" s="57" t="s">
        <v>42</v>
      </c>
      <c r="AG185" s="57" t="s">
        <v>42</v>
      </c>
      <c r="AH185" s="57" t="s">
        <v>42</v>
      </c>
      <c r="AI185" s="116" t="str">
        <f t="shared" si="6"/>
        <v>----</v>
      </c>
      <c r="AJ185" s="119" t="str">
        <f t="shared" si="7"/>
        <v>Paper has link but no statement</v>
      </c>
      <c r="AK185" s="120" t="s">
        <v>3401</v>
      </c>
      <c r="AL185" s="121" t="s">
        <v>3402</v>
      </c>
      <c r="AM185" s="60" t="str">
        <f t="shared" si="8"/>
        <v>[FP0680]</v>
      </c>
    </row>
    <row r="186" ht="67.5" customHeight="1">
      <c r="A186" s="61">
        <v>681.0</v>
      </c>
      <c r="B186" s="22" t="s">
        <v>3855</v>
      </c>
      <c r="C186" s="23">
        <v>2016.0</v>
      </c>
      <c r="D186" s="100" t="s">
        <v>37</v>
      </c>
      <c r="E186" s="25" t="s">
        <v>36</v>
      </c>
      <c r="F186" s="25" t="s">
        <v>36</v>
      </c>
      <c r="G186" s="25" t="s">
        <v>36</v>
      </c>
      <c r="H186" s="25" t="s">
        <v>36</v>
      </c>
      <c r="I186" s="25" t="s">
        <v>36</v>
      </c>
      <c r="J186" s="101" t="s">
        <v>3759</v>
      </c>
      <c r="K186" s="102" t="s">
        <v>37</v>
      </c>
      <c r="L186" s="103" t="s">
        <v>37</v>
      </c>
      <c r="M186" s="103" t="s">
        <v>35</v>
      </c>
      <c r="N186" s="103" t="s">
        <v>35</v>
      </c>
      <c r="O186" s="103" t="s">
        <v>35</v>
      </c>
      <c r="P186" s="103" t="s">
        <v>35</v>
      </c>
      <c r="Q186" s="103" t="s">
        <v>37</v>
      </c>
      <c r="R186" s="103" t="s">
        <v>37</v>
      </c>
      <c r="S186" s="104" t="s">
        <v>3856</v>
      </c>
      <c r="T186" s="130" t="s">
        <v>3857</v>
      </c>
      <c r="U186" s="30" t="s">
        <v>3858</v>
      </c>
      <c r="V186" s="105">
        <f t="shared" si="2"/>
        <v>1</v>
      </c>
      <c r="W186" s="105">
        <f t="shared" ref="W186:X186" si="191">IF(lenb(SUBSTITUTE($Z186,W$1&amp;" (1)",""))&lt;lenb($Z186),1,IF(lenb(SUBSTITUTE($Z186,W$1&amp;" (2)",""))&lt;lenb($Z186),2,IF(lenb(SUBSTITUTE($Z186,W$1&amp;" (3)",""))&lt;lenb($Z186),3,IF(lenb(SUBSTITUTE($Z186,W$1&amp;" (4)",""))&lt;lenb($Z186),4,IF(lenb(SUBSTITUTE($Z186,W$1&amp;" (5)",""))&lt;lenb($Z186),5,IF(lenb(SUBSTITUTE($Z186,W$1&amp;" (6)",""))&lt;lenb($Z186),6,IF(lenb(SUBSTITUTE($Z186,W$1&amp;" (7)",""))&lt;lenb($Z186),1,IF(lenb(SUBSTITUTE($Z186,W$1&amp;" (8)",""))&lt;lenb($Z186),8,IF(lenb(SUBSTITUTE($Z186,W$1&amp;" (9)",""))&lt;lenb($Z186),9,IF(lenb(SUBSTITUTE($Z186,W$1&amp;" (10)",""))&lt;lenb($Z186),10,IF(lenb(SUBSTITUTE($Z186,W$1,""))&lt;lenb($Z186),"ERROR",IF($Z186=$Y$1,"-",0))))))))))))</f>
        <v>0</v>
      </c>
      <c r="X186" s="105">
        <f t="shared" si="191"/>
        <v>0</v>
      </c>
      <c r="Y186" s="105" t="str">
        <f t="shared" si="4"/>
        <v>-</v>
      </c>
      <c r="Z186" s="104" t="s">
        <v>3400</v>
      </c>
      <c r="AA186" s="34">
        <f t="shared" si="5"/>
        <v>1</v>
      </c>
      <c r="AB186" s="34">
        <f>COUNTIFS(Links!B:B,"FSE",Links!C:C,A186,Links!AD:AD,1)</f>
        <v>0</v>
      </c>
      <c r="AC186" s="106" t="s">
        <v>35</v>
      </c>
      <c r="AD186" s="107" t="s">
        <v>35</v>
      </c>
      <c r="AE186" s="104" t="s">
        <v>36</v>
      </c>
      <c r="AF186" s="37" t="s">
        <v>42</v>
      </c>
      <c r="AG186" s="37" t="s">
        <v>42</v>
      </c>
      <c r="AH186" s="37" t="s">
        <v>42</v>
      </c>
      <c r="AI186" s="105" t="str">
        <f t="shared" si="6"/>
        <v>----</v>
      </c>
      <c r="AJ186" s="108" t="str">
        <f t="shared" si="7"/>
        <v>Paper has link but no statement</v>
      </c>
      <c r="AK186" s="109" t="s">
        <v>3401</v>
      </c>
      <c r="AL186" s="110" t="s">
        <v>3402</v>
      </c>
      <c r="AM186" s="40" t="str">
        <f t="shared" si="8"/>
        <v>[FP0681]</v>
      </c>
    </row>
    <row r="187" ht="67.5" customHeight="1">
      <c r="A187" s="41">
        <v>682.0</v>
      </c>
      <c r="B187" s="42" t="s">
        <v>3859</v>
      </c>
      <c r="C187" s="43">
        <v>2016.0</v>
      </c>
      <c r="D187" s="111" t="s">
        <v>35</v>
      </c>
      <c r="E187" s="45" t="s">
        <v>36</v>
      </c>
      <c r="F187" s="45" t="s">
        <v>36</v>
      </c>
      <c r="G187" s="45" t="s">
        <v>36</v>
      </c>
      <c r="H187" s="45" t="s">
        <v>36</v>
      </c>
      <c r="I187" s="45" t="s">
        <v>36</v>
      </c>
      <c r="J187" s="112" t="s">
        <v>36</v>
      </c>
      <c r="K187" s="113" t="s">
        <v>37</v>
      </c>
      <c r="L187" s="114" t="s">
        <v>37</v>
      </c>
      <c r="M187" s="114" t="s">
        <v>35</v>
      </c>
      <c r="N187" s="114" t="s">
        <v>37</v>
      </c>
      <c r="O187" s="114" t="s">
        <v>37</v>
      </c>
      <c r="P187" s="114" t="s">
        <v>35</v>
      </c>
      <c r="Q187" s="114" t="s">
        <v>35</v>
      </c>
      <c r="R187" s="114" t="s">
        <v>35</v>
      </c>
      <c r="S187" s="115" t="s">
        <v>3860</v>
      </c>
      <c r="T187" s="50" t="s">
        <v>3861</v>
      </c>
      <c r="U187" s="50" t="s">
        <v>3861</v>
      </c>
      <c r="V187" s="116">
        <f t="shared" si="2"/>
        <v>0</v>
      </c>
      <c r="W187" s="116">
        <f t="shared" ref="W187:X187" si="192">IF(lenb(SUBSTITUTE($Z187,W$1&amp;" (1)",""))&lt;lenb($Z187),1,IF(lenb(SUBSTITUTE($Z187,W$1&amp;" (2)",""))&lt;lenb($Z187),2,IF(lenb(SUBSTITUTE($Z187,W$1&amp;" (3)",""))&lt;lenb($Z187),3,IF(lenb(SUBSTITUTE($Z187,W$1&amp;" (4)",""))&lt;lenb($Z187),4,IF(lenb(SUBSTITUTE($Z187,W$1&amp;" (5)",""))&lt;lenb($Z187),5,IF(lenb(SUBSTITUTE($Z187,W$1&amp;" (6)",""))&lt;lenb($Z187),6,IF(lenb(SUBSTITUTE($Z187,W$1&amp;" (7)",""))&lt;lenb($Z187),1,IF(lenb(SUBSTITUTE($Z187,W$1&amp;" (8)",""))&lt;lenb($Z187),8,IF(lenb(SUBSTITUTE($Z187,W$1&amp;" (9)",""))&lt;lenb($Z187),9,IF(lenb(SUBSTITUTE($Z187,W$1&amp;" (10)",""))&lt;lenb($Z187),10,IF(lenb(SUBSTITUTE($Z187,W$1,""))&lt;lenb($Z187),"ERROR",IF($Z187=$Y$1,"-",0))))))))))))</f>
        <v>1</v>
      </c>
      <c r="X187" s="116">
        <f t="shared" si="192"/>
        <v>0</v>
      </c>
      <c r="Y187" s="116" t="str">
        <f t="shared" si="4"/>
        <v>-</v>
      </c>
      <c r="Z187" s="115" t="s">
        <v>3423</v>
      </c>
      <c r="AA187" s="54">
        <f t="shared" si="5"/>
        <v>1</v>
      </c>
      <c r="AB187" s="54">
        <f>COUNTIFS(Links!B:B,"FSE",Links!C:C,A187,Links!AD:AD,1)</f>
        <v>1</v>
      </c>
      <c r="AC187" s="117" t="s">
        <v>35</v>
      </c>
      <c r="AD187" s="118" t="s">
        <v>35</v>
      </c>
      <c r="AE187" s="115" t="s">
        <v>36</v>
      </c>
      <c r="AF187" s="57" t="s">
        <v>42</v>
      </c>
      <c r="AG187" s="57" t="s">
        <v>42</v>
      </c>
      <c r="AH187" s="57" t="s">
        <v>42</v>
      </c>
      <c r="AI187" s="116" t="str">
        <f t="shared" si="6"/>
        <v>----</v>
      </c>
      <c r="AJ187" s="119" t="str">
        <f t="shared" si="7"/>
        <v>Paper has link but no statement</v>
      </c>
      <c r="AK187" s="120" t="s">
        <v>3401</v>
      </c>
      <c r="AL187" s="121" t="s">
        <v>3402</v>
      </c>
      <c r="AM187" s="60" t="str">
        <f t="shared" si="8"/>
        <v>[FP0682]</v>
      </c>
    </row>
    <row r="188" ht="67.5" customHeight="1">
      <c r="A188" s="61">
        <v>683.0</v>
      </c>
      <c r="B188" s="22" t="s">
        <v>3862</v>
      </c>
      <c r="C188" s="23">
        <v>2016.0</v>
      </c>
      <c r="D188" s="100" t="s">
        <v>35</v>
      </c>
      <c r="E188" s="25" t="s">
        <v>36</v>
      </c>
      <c r="F188" s="25" t="s">
        <v>36</v>
      </c>
      <c r="G188" s="25" t="s">
        <v>36</v>
      </c>
      <c r="H188" s="25" t="s">
        <v>36</v>
      </c>
      <c r="I188" s="25" t="s">
        <v>36</v>
      </c>
      <c r="J188" s="101" t="s">
        <v>36</v>
      </c>
      <c r="K188" s="102" t="s">
        <v>35</v>
      </c>
      <c r="L188" s="103" t="s">
        <v>36</v>
      </c>
      <c r="M188" s="103" t="s">
        <v>36</v>
      </c>
      <c r="N188" s="103" t="s">
        <v>36</v>
      </c>
      <c r="O188" s="103" t="s">
        <v>36</v>
      </c>
      <c r="P188" s="103" t="s">
        <v>36</v>
      </c>
      <c r="Q188" s="103" t="s">
        <v>36</v>
      </c>
      <c r="R188" s="103" t="s">
        <v>36</v>
      </c>
      <c r="S188" s="104" t="s">
        <v>36</v>
      </c>
      <c r="T188" s="30" t="s">
        <v>36</v>
      </c>
      <c r="U188" s="30" t="s">
        <v>36</v>
      </c>
      <c r="V188" s="105" t="str">
        <f t="shared" si="2"/>
        <v>-</v>
      </c>
      <c r="W188" s="105" t="str">
        <f t="shared" ref="W188:X188" si="193">IF(lenb(SUBSTITUTE($Z188,W$1&amp;" (1)",""))&lt;lenb($Z188),1,IF(lenb(SUBSTITUTE($Z188,W$1&amp;" (2)",""))&lt;lenb($Z188),2,IF(lenb(SUBSTITUTE($Z188,W$1&amp;" (3)",""))&lt;lenb($Z188),3,IF(lenb(SUBSTITUTE($Z188,W$1&amp;" (4)",""))&lt;lenb($Z188),4,IF(lenb(SUBSTITUTE($Z188,W$1&amp;" (5)",""))&lt;lenb($Z188),5,IF(lenb(SUBSTITUTE($Z188,W$1&amp;" (6)",""))&lt;lenb($Z188),6,IF(lenb(SUBSTITUTE($Z188,W$1&amp;" (7)",""))&lt;lenb($Z188),1,IF(lenb(SUBSTITUTE($Z188,W$1&amp;" (8)",""))&lt;lenb($Z188),8,IF(lenb(SUBSTITUTE($Z188,W$1&amp;" (9)",""))&lt;lenb($Z188),9,IF(lenb(SUBSTITUTE($Z188,W$1&amp;" (10)",""))&lt;lenb($Z188),10,IF(lenb(SUBSTITUTE($Z188,W$1,""))&lt;lenb($Z188),"ERROR",IF($Z188=$Y$1,"-",0))))))))))))</f>
        <v>-</v>
      </c>
      <c r="X188" s="105" t="str">
        <f t="shared" si="193"/>
        <v>-</v>
      </c>
      <c r="Y188" s="105">
        <f t="shared" si="4"/>
        <v>1</v>
      </c>
      <c r="Z188" s="104" t="s">
        <v>23</v>
      </c>
      <c r="AA188" s="34">
        <f t="shared" si="5"/>
        <v>0</v>
      </c>
      <c r="AB188" s="34">
        <f>COUNTIFS(Links!B:B,"FSE",Links!C:C,A188,Links!AD:AD,1)</f>
        <v>0</v>
      </c>
      <c r="AC188" s="106" t="s">
        <v>36</v>
      </c>
      <c r="AD188" s="107" t="s">
        <v>35</v>
      </c>
      <c r="AE188" s="104" t="s">
        <v>36</v>
      </c>
      <c r="AF188" s="37" t="s">
        <v>42</v>
      </c>
      <c r="AG188" s="37" t="s">
        <v>42</v>
      </c>
      <c r="AH188" s="37" t="s">
        <v>42</v>
      </c>
      <c r="AI188" s="105" t="str">
        <f t="shared" si="6"/>
        <v>----</v>
      </c>
      <c r="AJ188" s="108" t="str">
        <f t="shared" si="7"/>
        <v>Paper has no link and no statement</v>
      </c>
      <c r="AK188" s="109" t="s">
        <v>3401</v>
      </c>
      <c r="AL188" s="110" t="s">
        <v>3402</v>
      </c>
      <c r="AM188" s="40" t="str">
        <f t="shared" si="8"/>
        <v>[FP0683]</v>
      </c>
    </row>
    <row r="189" ht="67.5" customHeight="1">
      <c r="A189" s="41">
        <v>684.0</v>
      </c>
      <c r="B189" s="42" t="s">
        <v>3863</v>
      </c>
      <c r="C189" s="43">
        <v>2016.0</v>
      </c>
      <c r="D189" s="111" t="s">
        <v>35</v>
      </c>
      <c r="E189" s="45" t="s">
        <v>36</v>
      </c>
      <c r="F189" s="45" t="s">
        <v>36</v>
      </c>
      <c r="G189" s="45" t="s">
        <v>36</v>
      </c>
      <c r="H189" s="45" t="s">
        <v>36</v>
      </c>
      <c r="I189" s="45" t="s">
        <v>36</v>
      </c>
      <c r="J189" s="112" t="s">
        <v>36</v>
      </c>
      <c r="K189" s="113" t="s">
        <v>37</v>
      </c>
      <c r="L189" s="114" t="s">
        <v>35</v>
      </c>
      <c r="M189" s="114" t="s">
        <v>35</v>
      </c>
      <c r="N189" s="114" t="s">
        <v>35</v>
      </c>
      <c r="O189" s="114" t="s">
        <v>35</v>
      </c>
      <c r="P189" s="114" t="s">
        <v>35</v>
      </c>
      <c r="Q189" s="114" t="s">
        <v>35</v>
      </c>
      <c r="R189" s="114" t="s">
        <v>37</v>
      </c>
      <c r="S189" s="115" t="s">
        <v>3864</v>
      </c>
      <c r="T189" s="50" t="s">
        <v>3865</v>
      </c>
      <c r="U189" s="50" t="s">
        <v>3865</v>
      </c>
      <c r="V189" s="116">
        <f t="shared" si="2"/>
        <v>1</v>
      </c>
      <c r="W189" s="116">
        <f t="shared" ref="W189:X189" si="194">IF(lenb(SUBSTITUTE($Z189,W$1&amp;" (1)",""))&lt;lenb($Z189),1,IF(lenb(SUBSTITUTE($Z189,W$1&amp;" (2)",""))&lt;lenb($Z189),2,IF(lenb(SUBSTITUTE($Z189,W$1&amp;" (3)",""))&lt;lenb($Z189),3,IF(lenb(SUBSTITUTE($Z189,W$1&amp;" (4)",""))&lt;lenb($Z189),4,IF(lenb(SUBSTITUTE($Z189,W$1&amp;" (5)",""))&lt;lenb($Z189),5,IF(lenb(SUBSTITUTE($Z189,W$1&amp;" (6)",""))&lt;lenb($Z189),6,IF(lenb(SUBSTITUTE($Z189,W$1&amp;" (7)",""))&lt;lenb($Z189),1,IF(lenb(SUBSTITUTE($Z189,W$1&amp;" (8)",""))&lt;lenb($Z189),8,IF(lenb(SUBSTITUTE($Z189,W$1&amp;" (9)",""))&lt;lenb($Z189),9,IF(lenb(SUBSTITUTE($Z189,W$1&amp;" (10)",""))&lt;lenb($Z189),10,IF(lenb(SUBSTITUTE($Z189,W$1,""))&lt;lenb($Z189),"ERROR",IF($Z189=$Y$1,"-",0))))))))))))</f>
        <v>0</v>
      </c>
      <c r="X189" s="116">
        <f t="shared" si="194"/>
        <v>0</v>
      </c>
      <c r="Y189" s="116" t="str">
        <f t="shared" si="4"/>
        <v>-</v>
      </c>
      <c r="Z189" s="115" t="s">
        <v>3400</v>
      </c>
      <c r="AA189" s="54">
        <f t="shared" si="5"/>
        <v>1</v>
      </c>
      <c r="AB189" s="54">
        <f>COUNTIFS(Links!B:B,"FSE",Links!C:C,A189,Links!AD:AD,1)</f>
        <v>0</v>
      </c>
      <c r="AC189" s="117" t="s">
        <v>35</v>
      </c>
      <c r="AD189" s="118" t="s">
        <v>35</v>
      </c>
      <c r="AE189" s="115" t="s">
        <v>36</v>
      </c>
      <c r="AF189" s="57" t="s">
        <v>42</v>
      </c>
      <c r="AG189" s="57" t="s">
        <v>42</v>
      </c>
      <c r="AH189" s="57" t="s">
        <v>42</v>
      </c>
      <c r="AI189" s="116" t="str">
        <f t="shared" si="6"/>
        <v>----</v>
      </c>
      <c r="AJ189" s="119" t="str">
        <f t="shared" si="7"/>
        <v>Paper has link but no statement</v>
      </c>
      <c r="AK189" s="120" t="s">
        <v>3401</v>
      </c>
      <c r="AL189" s="121" t="s">
        <v>3402</v>
      </c>
      <c r="AM189" s="60" t="str">
        <f t="shared" si="8"/>
        <v>[FP0684]</v>
      </c>
    </row>
    <row r="190" ht="67.5" customHeight="1">
      <c r="A190" s="61">
        <v>685.0</v>
      </c>
      <c r="B190" s="22" t="s">
        <v>3866</v>
      </c>
      <c r="C190" s="23">
        <v>2016.0</v>
      </c>
      <c r="D190" s="100" t="s">
        <v>35</v>
      </c>
      <c r="E190" s="25" t="s">
        <v>36</v>
      </c>
      <c r="F190" s="25" t="s">
        <v>36</v>
      </c>
      <c r="G190" s="25" t="s">
        <v>36</v>
      </c>
      <c r="H190" s="25" t="s">
        <v>36</v>
      </c>
      <c r="I190" s="25" t="s">
        <v>36</v>
      </c>
      <c r="J190" s="101" t="s">
        <v>36</v>
      </c>
      <c r="K190" s="102" t="s">
        <v>35</v>
      </c>
      <c r="L190" s="103" t="s">
        <v>36</v>
      </c>
      <c r="M190" s="103" t="s">
        <v>36</v>
      </c>
      <c r="N190" s="103" t="s">
        <v>36</v>
      </c>
      <c r="O190" s="103" t="s">
        <v>36</v>
      </c>
      <c r="P190" s="103" t="s">
        <v>36</v>
      </c>
      <c r="Q190" s="103" t="s">
        <v>36</v>
      </c>
      <c r="R190" s="103" t="s">
        <v>36</v>
      </c>
      <c r="S190" s="104" t="s">
        <v>42</v>
      </c>
      <c r="T190" s="30" t="s">
        <v>36</v>
      </c>
      <c r="U190" s="30" t="s">
        <v>36</v>
      </c>
      <c r="V190" s="105" t="str">
        <f t="shared" si="2"/>
        <v>-</v>
      </c>
      <c r="W190" s="105" t="str">
        <f t="shared" ref="W190:X190" si="195">IF(lenb(SUBSTITUTE($Z190,W$1&amp;" (1)",""))&lt;lenb($Z190),1,IF(lenb(SUBSTITUTE($Z190,W$1&amp;" (2)",""))&lt;lenb($Z190),2,IF(lenb(SUBSTITUTE($Z190,W$1&amp;" (3)",""))&lt;lenb($Z190),3,IF(lenb(SUBSTITUTE($Z190,W$1&amp;" (4)",""))&lt;lenb($Z190),4,IF(lenb(SUBSTITUTE($Z190,W$1&amp;" (5)",""))&lt;lenb($Z190),5,IF(lenb(SUBSTITUTE($Z190,W$1&amp;" (6)",""))&lt;lenb($Z190),6,IF(lenb(SUBSTITUTE($Z190,W$1&amp;" (7)",""))&lt;lenb($Z190),1,IF(lenb(SUBSTITUTE($Z190,W$1&amp;" (8)",""))&lt;lenb($Z190),8,IF(lenb(SUBSTITUTE($Z190,W$1&amp;" (9)",""))&lt;lenb($Z190),9,IF(lenb(SUBSTITUTE($Z190,W$1&amp;" (10)",""))&lt;lenb($Z190),10,IF(lenb(SUBSTITUTE($Z190,W$1,""))&lt;lenb($Z190),"ERROR",IF($Z190=$Y$1,"-",0))))))))))))</f>
        <v>-</v>
      </c>
      <c r="X190" s="105" t="str">
        <f t="shared" si="195"/>
        <v>-</v>
      </c>
      <c r="Y190" s="105">
        <f t="shared" si="4"/>
        <v>1</v>
      </c>
      <c r="Z190" s="104" t="s">
        <v>23</v>
      </c>
      <c r="AA190" s="34">
        <f t="shared" si="5"/>
        <v>0</v>
      </c>
      <c r="AB190" s="34">
        <f>COUNTIFS(Links!B:B,"FSE",Links!C:C,A190,Links!AD:AD,1)</f>
        <v>0</v>
      </c>
      <c r="AC190" s="106" t="s">
        <v>36</v>
      </c>
      <c r="AD190" s="107" t="s">
        <v>35</v>
      </c>
      <c r="AE190" s="104" t="s">
        <v>36</v>
      </c>
      <c r="AF190" s="37" t="s">
        <v>42</v>
      </c>
      <c r="AG190" s="37" t="s">
        <v>42</v>
      </c>
      <c r="AH190" s="37" t="s">
        <v>42</v>
      </c>
      <c r="AI190" s="105" t="str">
        <f t="shared" si="6"/>
        <v>----</v>
      </c>
      <c r="AJ190" s="108" t="str">
        <f t="shared" si="7"/>
        <v>Paper has no link and no statement</v>
      </c>
      <c r="AK190" s="109" t="s">
        <v>3401</v>
      </c>
      <c r="AL190" s="110" t="s">
        <v>3402</v>
      </c>
      <c r="AM190" s="40" t="str">
        <f t="shared" si="8"/>
        <v>[FP0685]</v>
      </c>
    </row>
    <row r="191" ht="67.5" customHeight="1">
      <c r="A191" s="41">
        <v>686.0</v>
      </c>
      <c r="B191" s="42" t="s">
        <v>3867</v>
      </c>
      <c r="C191" s="43">
        <v>2016.0</v>
      </c>
      <c r="D191" s="111" t="s">
        <v>35</v>
      </c>
      <c r="E191" s="45" t="s">
        <v>36</v>
      </c>
      <c r="F191" s="45" t="s">
        <v>36</v>
      </c>
      <c r="G191" s="45" t="s">
        <v>36</v>
      </c>
      <c r="H191" s="45" t="s">
        <v>36</v>
      </c>
      <c r="I191" s="45" t="s">
        <v>36</v>
      </c>
      <c r="J191" s="112" t="s">
        <v>36</v>
      </c>
      <c r="K191" s="113" t="s">
        <v>37</v>
      </c>
      <c r="L191" s="114" t="s">
        <v>35</v>
      </c>
      <c r="M191" s="114" t="s">
        <v>37</v>
      </c>
      <c r="N191" s="114" t="s">
        <v>35</v>
      </c>
      <c r="O191" s="114" t="s">
        <v>35</v>
      </c>
      <c r="P191" s="114" t="s">
        <v>35</v>
      </c>
      <c r="Q191" s="114" t="s">
        <v>35</v>
      </c>
      <c r="R191" s="114" t="s">
        <v>37</v>
      </c>
      <c r="S191" s="115" t="s">
        <v>3868</v>
      </c>
      <c r="T191" s="50" t="s">
        <v>3869</v>
      </c>
      <c r="U191" s="50" t="s">
        <v>3869</v>
      </c>
      <c r="V191" s="116">
        <f t="shared" si="2"/>
        <v>0</v>
      </c>
      <c r="W191" s="116">
        <f t="shared" ref="W191:X191" si="196">IF(lenb(SUBSTITUTE($Z191,W$1&amp;" (1)",""))&lt;lenb($Z191),1,IF(lenb(SUBSTITUTE($Z191,W$1&amp;" (2)",""))&lt;lenb($Z191),2,IF(lenb(SUBSTITUTE($Z191,W$1&amp;" (3)",""))&lt;lenb($Z191),3,IF(lenb(SUBSTITUTE($Z191,W$1&amp;" (4)",""))&lt;lenb($Z191),4,IF(lenb(SUBSTITUTE($Z191,W$1&amp;" (5)",""))&lt;lenb($Z191),5,IF(lenb(SUBSTITUTE($Z191,W$1&amp;" (6)",""))&lt;lenb($Z191),6,IF(lenb(SUBSTITUTE($Z191,W$1&amp;" (7)",""))&lt;lenb($Z191),1,IF(lenb(SUBSTITUTE($Z191,W$1&amp;" (8)",""))&lt;lenb($Z191),8,IF(lenb(SUBSTITUTE($Z191,W$1&amp;" (9)",""))&lt;lenb($Z191),9,IF(lenb(SUBSTITUTE($Z191,W$1&amp;" (10)",""))&lt;lenb($Z191),10,IF(lenb(SUBSTITUTE($Z191,W$1,""))&lt;lenb($Z191),"ERROR",IF($Z191=$Y$1,"-",0))))))))))))</f>
        <v>1</v>
      </c>
      <c r="X191" s="116">
        <f t="shared" si="196"/>
        <v>0</v>
      </c>
      <c r="Y191" s="116" t="str">
        <f t="shared" si="4"/>
        <v>-</v>
      </c>
      <c r="Z191" s="115" t="s">
        <v>3423</v>
      </c>
      <c r="AA191" s="54">
        <f t="shared" si="5"/>
        <v>1</v>
      </c>
      <c r="AB191" s="54">
        <f>COUNTIFS(Links!B:B,"FSE",Links!C:C,A191,Links!AD:AD,1)</f>
        <v>0</v>
      </c>
      <c r="AC191" s="117" t="s">
        <v>35</v>
      </c>
      <c r="AD191" s="118" t="s">
        <v>35</v>
      </c>
      <c r="AE191" s="115" t="s">
        <v>36</v>
      </c>
      <c r="AF191" s="57" t="s">
        <v>42</v>
      </c>
      <c r="AG191" s="57" t="s">
        <v>42</v>
      </c>
      <c r="AH191" s="57" t="s">
        <v>42</v>
      </c>
      <c r="AI191" s="116" t="str">
        <f t="shared" si="6"/>
        <v>----</v>
      </c>
      <c r="AJ191" s="119" t="str">
        <f t="shared" si="7"/>
        <v>Paper has link but no statement</v>
      </c>
      <c r="AK191" s="120" t="s">
        <v>3401</v>
      </c>
      <c r="AL191" s="121" t="s">
        <v>3402</v>
      </c>
      <c r="AM191" s="60" t="str">
        <f t="shared" si="8"/>
        <v>[FP0686]</v>
      </c>
    </row>
    <row r="192" ht="67.5" customHeight="1">
      <c r="A192" s="61">
        <v>687.0</v>
      </c>
      <c r="B192" s="22" t="s">
        <v>3870</v>
      </c>
      <c r="C192" s="23">
        <v>2016.0</v>
      </c>
      <c r="D192" s="100" t="s">
        <v>35</v>
      </c>
      <c r="E192" s="25" t="s">
        <v>36</v>
      </c>
      <c r="F192" s="25" t="s">
        <v>36</v>
      </c>
      <c r="G192" s="25" t="s">
        <v>36</v>
      </c>
      <c r="H192" s="25" t="s">
        <v>36</v>
      </c>
      <c r="I192" s="25" t="s">
        <v>36</v>
      </c>
      <c r="J192" s="101" t="s">
        <v>36</v>
      </c>
      <c r="K192" s="102" t="s">
        <v>37</v>
      </c>
      <c r="L192" s="103" t="s">
        <v>35</v>
      </c>
      <c r="M192" s="103" t="s">
        <v>35</v>
      </c>
      <c r="N192" s="103" t="s">
        <v>35</v>
      </c>
      <c r="O192" s="103" t="s">
        <v>35</v>
      </c>
      <c r="P192" s="103" t="s">
        <v>35</v>
      </c>
      <c r="Q192" s="103" t="s">
        <v>35</v>
      </c>
      <c r="R192" s="103" t="s">
        <v>37</v>
      </c>
      <c r="S192" s="104" t="s">
        <v>3871</v>
      </c>
      <c r="T192" s="30" t="s">
        <v>3872</v>
      </c>
      <c r="U192" s="30" t="s">
        <v>3872</v>
      </c>
      <c r="V192" s="105">
        <f t="shared" si="2"/>
        <v>1</v>
      </c>
      <c r="W192" s="105">
        <f t="shared" ref="W192:X192" si="197">IF(lenb(SUBSTITUTE($Z192,W$1&amp;" (1)",""))&lt;lenb($Z192),1,IF(lenb(SUBSTITUTE($Z192,W$1&amp;" (2)",""))&lt;lenb($Z192),2,IF(lenb(SUBSTITUTE($Z192,W$1&amp;" (3)",""))&lt;lenb($Z192),3,IF(lenb(SUBSTITUTE($Z192,W$1&amp;" (4)",""))&lt;lenb($Z192),4,IF(lenb(SUBSTITUTE($Z192,W$1&amp;" (5)",""))&lt;lenb($Z192),5,IF(lenb(SUBSTITUTE($Z192,W$1&amp;" (6)",""))&lt;lenb($Z192),6,IF(lenb(SUBSTITUTE($Z192,W$1&amp;" (7)",""))&lt;lenb($Z192),1,IF(lenb(SUBSTITUTE($Z192,W$1&amp;" (8)",""))&lt;lenb($Z192),8,IF(lenb(SUBSTITUTE($Z192,W$1&amp;" (9)",""))&lt;lenb($Z192),9,IF(lenb(SUBSTITUTE($Z192,W$1&amp;" (10)",""))&lt;lenb($Z192),10,IF(lenb(SUBSTITUTE($Z192,W$1,""))&lt;lenb($Z192),"ERROR",IF($Z192=$Y$1,"-",0))))))))))))</f>
        <v>0</v>
      </c>
      <c r="X192" s="105">
        <f t="shared" si="197"/>
        <v>0</v>
      </c>
      <c r="Y192" s="105" t="str">
        <f t="shared" si="4"/>
        <v>-</v>
      </c>
      <c r="Z192" s="104" t="s">
        <v>3400</v>
      </c>
      <c r="AA192" s="34">
        <f t="shared" si="5"/>
        <v>1</v>
      </c>
      <c r="AB192" s="34">
        <f>COUNTIFS(Links!B:B,"FSE",Links!C:C,A192,Links!AD:AD,1)</f>
        <v>0</v>
      </c>
      <c r="AC192" s="106" t="s">
        <v>35</v>
      </c>
      <c r="AD192" s="107" t="s">
        <v>35</v>
      </c>
      <c r="AE192" s="104" t="s">
        <v>36</v>
      </c>
      <c r="AF192" s="37" t="s">
        <v>42</v>
      </c>
      <c r="AG192" s="37" t="s">
        <v>42</v>
      </c>
      <c r="AH192" s="37" t="s">
        <v>42</v>
      </c>
      <c r="AI192" s="105" t="str">
        <f t="shared" si="6"/>
        <v>----</v>
      </c>
      <c r="AJ192" s="108" t="str">
        <f t="shared" si="7"/>
        <v>Paper has link but no statement</v>
      </c>
      <c r="AK192" s="109" t="s">
        <v>3401</v>
      </c>
      <c r="AL192" s="110" t="s">
        <v>3402</v>
      </c>
      <c r="AM192" s="40" t="str">
        <f t="shared" si="8"/>
        <v>[FP0687]</v>
      </c>
    </row>
    <row r="193" ht="67.5" customHeight="1">
      <c r="A193" s="41">
        <v>688.0</v>
      </c>
      <c r="B193" s="42" t="s">
        <v>3873</v>
      </c>
      <c r="C193" s="43">
        <v>2016.0</v>
      </c>
      <c r="D193" s="111" t="s">
        <v>37</v>
      </c>
      <c r="E193" s="45" t="s">
        <v>36</v>
      </c>
      <c r="F193" s="45" t="s">
        <v>36</v>
      </c>
      <c r="G193" s="45" t="s">
        <v>36</v>
      </c>
      <c r="H193" s="45" t="s">
        <v>36</v>
      </c>
      <c r="I193" s="45" t="s">
        <v>36</v>
      </c>
      <c r="J193" s="112" t="s">
        <v>3746</v>
      </c>
      <c r="K193" s="113" t="s">
        <v>37</v>
      </c>
      <c r="L193" s="114" t="s">
        <v>35</v>
      </c>
      <c r="M193" s="114" t="s">
        <v>37</v>
      </c>
      <c r="N193" s="114" t="s">
        <v>35</v>
      </c>
      <c r="O193" s="114" t="s">
        <v>37</v>
      </c>
      <c r="P193" s="114" t="s">
        <v>35</v>
      </c>
      <c r="Q193" s="114" t="s">
        <v>37</v>
      </c>
      <c r="R193" s="114" t="s">
        <v>37</v>
      </c>
      <c r="S193" s="115" t="s">
        <v>3874</v>
      </c>
      <c r="T193" s="50" t="s">
        <v>3875</v>
      </c>
      <c r="U193" s="50" t="s">
        <v>3875</v>
      </c>
      <c r="V193" s="116">
        <f t="shared" si="2"/>
        <v>1</v>
      </c>
      <c r="W193" s="116">
        <f t="shared" ref="W193:X193" si="198">IF(lenb(SUBSTITUTE($Z193,W$1&amp;" (1)",""))&lt;lenb($Z193),1,IF(lenb(SUBSTITUTE($Z193,W$1&amp;" (2)",""))&lt;lenb($Z193),2,IF(lenb(SUBSTITUTE($Z193,W$1&amp;" (3)",""))&lt;lenb($Z193),3,IF(lenb(SUBSTITUTE($Z193,W$1&amp;" (4)",""))&lt;lenb($Z193),4,IF(lenb(SUBSTITUTE($Z193,W$1&amp;" (5)",""))&lt;lenb($Z193),5,IF(lenb(SUBSTITUTE($Z193,W$1&amp;" (6)",""))&lt;lenb($Z193),6,IF(lenb(SUBSTITUTE($Z193,W$1&amp;" (7)",""))&lt;lenb($Z193),1,IF(lenb(SUBSTITUTE($Z193,W$1&amp;" (8)",""))&lt;lenb($Z193),8,IF(lenb(SUBSTITUTE($Z193,W$1&amp;" (9)",""))&lt;lenb($Z193),9,IF(lenb(SUBSTITUTE($Z193,W$1&amp;" (10)",""))&lt;lenb($Z193),10,IF(lenb(SUBSTITUTE($Z193,W$1,""))&lt;lenb($Z193),"ERROR",IF($Z193=$Y$1,"-",0))))))))))))</f>
        <v>0</v>
      </c>
      <c r="X193" s="116">
        <f t="shared" si="198"/>
        <v>0</v>
      </c>
      <c r="Y193" s="116" t="str">
        <f t="shared" si="4"/>
        <v>-</v>
      </c>
      <c r="Z193" s="115" t="s">
        <v>3400</v>
      </c>
      <c r="AA193" s="54">
        <f t="shared" si="5"/>
        <v>1</v>
      </c>
      <c r="AB193" s="54">
        <f>COUNTIFS(Links!B:B,"FSE",Links!C:C,A193,Links!AD:AD,1)</f>
        <v>0</v>
      </c>
      <c r="AC193" s="117" t="s">
        <v>35</v>
      </c>
      <c r="AD193" s="118" t="s">
        <v>35</v>
      </c>
      <c r="AE193" s="115" t="s">
        <v>36</v>
      </c>
      <c r="AF193" s="57" t="s">
        <v>42</v>
      </c>
      <c r="AG193" s="57" t="s">
        <v>42</v>
      </c>
      <c r="AH193" s="57" t="s">
        <v>42</v>
      </c>
      <c r="AI193" s="116" t="str">
        <f t="shared" si="6"/>
        <v>----</v>
      </c>
      <c r="AJ193" s="119" t="str">
        <f t="shared" si="7"/>
        <v>Paper has link but no statement</v>
      </c>
      <c r="AK193" s="120" t="s">
        <v>3401</v>
      </c>
      <c r="AL193" s="121" t="s">
        <v>3402</v>
      </c>
      <c r="AM193" s="60" t="str">
        <f t="shared" si="8"/>
        <v>[FP0688]</v>
      </c>
    </row>
    <row r="194" ht="67.5" customHeight="1">
      <c r="A194" s="61">
        <v>689.0</v>
      </c>
      <c r="B194" s="22" t="s">
        <v>3876</v>
      </c>
      <c r="C194" s="23">
        <v>2016.0</v>
      </c>
      <c r="D194" s="100" t="s">
        <v>35</v>
      </c>
      <c r="E194" s="25" t="s">
        <v>36</v>
      </c>
      <c r="F194" s="25" t="s">
        <v>36</v>
      </c>
      <c r="G194" s="25" t="s">
        <v>36</v>
      </c>
      <c r="H194" s="25" t="s">
        <v>36</v>
      </c>
      <c r="I194" s="25" t="s">
        <v>36</v>
      </c>
      <c r="J194" s="101" t="s">
        <v>36</v>
      </c>
      <c r="K194" s="102" t="s">
        <v>35</v>
      </c>
      <c r="L194" s="103" t="s">
        <v>36</v>
      </c>
      <c r="M194" s="103" t="s">
        <v>36</v>
      </c>
      <c r="N194" s="103" t="s">
        <v>36</v>
      </c>
      <c r="O194" s="103" t="s">
        <v>36</v>
      </c>
      <c r="P194" s="103" t="s">
        <v>36</v>
      </c>
      <c r="Q194" s="103" t="s">
        <v>36</v>
      </c>
      <c r="R194" s="103" t="s">
        <v>36</v>
      </c>
      <c r="S194" s="104" t="s">
        <v>42</v>
      </c>
      <c r="T194" s="30" t="s">
        <v>36</v>
      </c>
      <c r="U194" s="30" t="s">
        <v>36</v>
      </c>
      <c r="V194" s="105" t="str">
        <f t="shared" si="2"/>
        <v>-</v>
      </c>
      <c r="W194" s="105" t="str">
        <f t="shared" ref="W194:X194" si="199">IF(lenb(SUBSTITUTE($Z194,W$1&amp;" (1)",""))&lt;lenb($Z194),1,IF(lenb(SUBSTITUTE($Z194,W$1&amp;" (2)",""))&lt;lenb($Z194),2,IF(lenb(SUBSTITUTE($Z194,W$1&amp;" (3)",""))&lt;lenb($Z194),3,IF(lenb(SUBSTITUTE($Z194,W$1&amp;" (4)",""))&lt;lenb($Z194),4,IF(lenb(SUBSTITUTE($Z194,W$1&amp;" (5)",""))&lt;lenb($Z194),5,IF(lenb(SUBSTITUTE($Z194,W$1&amp;" (6)",""))&lt;lenb($Z194),6,IF(lenb(SUBSTITUTE($Z194,W$1&amp;" (7)",""))&lt;lenb($Z194),1,IF(lenb(SUBSTITUTE($Z194,W$1&amp;" (8)",""))&lt;lenb($Z194),8,IF(lenb(SUBSTITUTE($Z194,W$1&amp;" (9)",""))&lt;lenb($Z194),9,IF(lenb(SUBSTITUTE($Z194,W$1&amp;" (10)",""))&lt;lenb($Z194),10,IF(lenb(SUBSTITUTE($Z194,W$1,""))&lt;lenb($Z194),"ERROR",IF($Z194=$Y$1,"-",0))))))))))))</f>
        <v>-</v>
      </c>
      <c r="X194" s="105" t="str">
        <f t="shared" si="199"/>
        <v>-</v>
      </c>
      <c r="Y194" s="105">
        <f t="shared" si="4"/>
        <v>1</v>
      </c>
      <c r="Z194" s="104" t="s">
        <v>23</v>
      </c>
      <c r="AA194" s="34">
        <f t="shared" si="5"/>
        <v>0</v>
      </c>
      <c r="AB194" s="34">
        <f>COUNTIFS(Links!B:B,"FSE",Links!C:C,A194,Links!AD:AD,1)</f>
        <v>0</v>
      </c>
      <c r="AC194" s="106" t="s">
        <v>36</v>
      </c>
      <c r="AD194" s="107" t="s">
        <v>35</v>
      </c>
      <c r="AE194" s="104" t="s">
        <v>36</v>
      </c>
      <c r="AF194" s="37" t="s">
        <v>42</v>
      </c>
      <c r="AG194" s="37" t="s">
        <v>42</v>
      </c>
      <c r="AH194" s="37" t="s">
        <v>42</v>
      </c>
      <c r="AI194" s="105" t="str">
        <f t="shared" si="6"/>
        <v>----</v>
      </c>
      <c r="AJ194" s="108" t="str">
        <f t="shared" si="7"/>
        <v>Paper has no link and no statement</v>
      </c>
      <c r="AK194" s="109" t="s">
        <v>3401</v>
      </c>
      <c r="AL194" s="110" t="s">
        <v>3402</v>
      </c>
      <c r="AM194" s="40" t="str">
        <f t="shared" si="8"/>
        <v>[FP0689]</v>
      </c>
    </row>
    <row r="195" ht="67.5" customHeight="1">
      <c r="A195" s="41">
        <v>690.0</v>
      </c>
      <c r="B195" s="42" t="s">
        <v>3877</v>
      </c>
      <c r="C195" s="43">
        <v>2016.0</v>
      </c>
      <c r="D195" s="111" t="s">
        <v>35</v>
      </c>
      <c r="E195" s="45" t="s">
        <v>36</v>
      </c>
      <c r="F195" s="45" t="s">
        <v>36</v>
      </c>
      <c r="G195" s="45" t="s">
        <v>36</v>
      </c>
      <c r="H195" s="45" t="s">
        <v>36</v>
      </c>
      <c r="I195" s="45" t="s">
        <v>36</v>
      </c>
      <c r="J195" s="112" t="s">
        <v>36</v>
      </c>
      <c r="K195" s="113" t="s">
        <v>37</v>
      </c>
      <c r="L195" s="114" t="s">
        <v>35</v>
      </c>
      <c r="M195" s="114" t="s">
        <v>35</v>
      </c>
      <c r="N195" s="114" t="s">
        <v>37</v>
      </c>
      <c r="O195" s="114" t="s">
        <v>35</v>
      </c>
      <c r="P195" s="114" t="s">
        <v>35</v>
      </c>
      <c r="Q195" s="114" t="s">
        <v>35</v>
      </c>
      <c r="R195" s="114" t="s">
        <v>35</v>
      </c>
      <c r="S195" s="115" t="s">
        <v>84</v>
      </c>
      <c r="T195" s="50" t="s">
        <v>3878</v>
      </c>
      <c r="U195" s="50" t="s">
        <v>3878</v>
      </c>
      <c r="V195" s="116">
        <f t="shared" si="2"/>
        <v>1</v>
      </c>
      <c r="W195" s="116">
        <f t="shared" ref="W195:X195" si="200">IF(lenb(SUBSTITUTE($Z195,W$1&amp;" (1)",""))&lt;lenb($Z195),1,IF(lenb(SUBSTITUTE($Z195,W$1&amp;" (2)",""))&lt;lenb($Z195),2,IF(lenb(SUBSTITUTE($Z195,W$1&amp;" (3)",""))&lt;lenb($Z195),3,IF(lenb(SUBSTITUTE($Z195,W$1&amp;" (4)",""))&lt;lenb($Z195),4,IF(lenb(SUBSTITUTE($Z195,W$1&amp;" (5)",""))&lt;lenb($Z195),5,IF(lenb(SUBSTITUTE($Z195,W$1&amp;" (6)",""))&lt;lenb($Z195),6,IF(lenb(SUBSTITUTE($Z195,W$1&amp;" (7)",""))&lt;lenb($Z195),1,IF(lenb(SUBSTITUTE($Z195,W$1&amp;" (8)",""))&lt;lenb($Z195),8,IF(lenb(SUBSTITUTE($Z195,W$1&amp;" (9)",""))&lt;lenb($Z195),9,IF(lenb(SUBSTITUTE($Z195,W$1&amp;" (10)",""))&lt;lenb($Z195),10,IF(lenb(SUBSTITUTE($Z195,W$1,""))&lt;lenb($Z195),"ERROR",IF($Z195=$Y$1,"-",0))))))))))))</f>
        <v>0</v>
      </c>
      <c r="X195" s="116">
        <f t="shared" si="200"/>
        <v>0</v>
      </c>
      <c r="Y195" s="116" t="str">
        <f t="shared" si="4"/>
        <v>-</v>
      </c>
      <c r="Z195" s="115" t="s">
        <v>3400</v>
      </c>
      <c r="AA195" s="54">
        <f t="shared" si="5"/>
        <v>1</v>
      </c>
      <c r="AB195" s="54">
        <f>COUNTIFS(Links!B:B,"FSE",Links!C:C,A195,Links!AD:AD,1)</f>
        <v>0</v>
      </c>
      <c r="AC195" s="117" t="s">
        <v>35</v>
      </c>
      <c r="AD195" s="118" t="s">
        <v>35</v>
      </c>
      <c r="AE195" s="115" t="s">
        <v>36</v>
      </c>
      <c r="AF195" s="57" t="s">
        <v>42</v>
      </c>
      <c r="AG195" s="57" t="s">
        <v>42</v>
      </c>
      <c r="AH195" s="57" t="s">
        <v>42</v>
      </c>
      <c r="AI195" s="116" t="str">
        <f t="shared" si="6"/>
        <v>----</v>
      </c>
      <c r="AJ195" s="119" t="str">
        <f t="shared" si="7"/>
        <v>Paper has link but no statement</v>
      </c>
      <c r="AK195" s="120" t="s">
        <v>3401</v>
      </c>
      <c r="AL195" s="121" t="s">
        <v>3402</v>
      </c>
      <c r="AM195" s="60" t="str">
        <f t="shared" si="8"/>
        <v>[FP0690]</v>
      </c>
    </row>
    <row r="196" ht="67.5" customHeight="1">
      <c r="A196" s="61">
        <v>691.0</v>
      </c>
      <c r="B196" s="22" t="s">
        <v>3879</v>
      </c>
      <c r="C196" s="23">
        <v>2016.0</v>
      </c>
      <c r="D196" s="100" t="s">
        <v>35</v>
      </c>
      <c r="E196" s="25" t="s">
        <v>36</v>
      </c>
      <c r="F196" s="25" t="s">
        <v>36</v>
      </c>
      <c r="G196" s="25" t="s">
        <v>36</v>
      </c>
      <c r="H196" s="25" t="s">
        <v>36</v>
      </c>
      <c r="I196" s="25" t="s">
        <v>36</v>
      </c>
      <c r="J196" s="101" t="s">
        <v>36</v>
      </c>
      <c r="K196" s="102" t="s">
        <v>37</v>
      </c>
      <c r="L196" s="103" t="s">
        <v>35</v>
      </c>
      <c r="M196" s="103" t="s">
        <v>35</v>
      </c>
      <c r="N196" s="103" t="s">
        <v>37</v>
      </c>
      <c r="O196" s="103" t="s">
        <v>35</v>
      </c>
      <c r="P196" s="103" t="s">
        <v>35</v>
      </c>
      <c r="Q196" s="103" t="s">
        <v>35</v>
      </c>
      <c r="R196" s="103" t="s">
        <v>37</v>
      </c>
      <c r="S196" s="104" t="s">
        <v>3880</v>
      </c>
      <c r="T196" s="30" t="s">
        <v>3881</v>
      </c>
      <c r="U196" s="30" t="s">
        <v>3881</v>
      </c>
      <c r="V196" s="105">
        <f t="shared" si="2"/>
        <v>1</v>
      </c>
      <c r="W196" s="105">
        <f t="shared" ref="W196:X196" si="201">IF(lenb(SUBSTITUTE($Z196,W$1&amp;" (1)",""))&lt;lenb($Z196),1,IF(lenb(SUBSTITUTE($Z196,W$1&amp;" (2)",""))&lt;lenb($Z196),2,IF(lenb(SUBSTITUTE($Z196,W$1&amp;" (3)",""))&lt;lenb($Z196),3,IF(lenb(SUBSTITUTE($Z196,W$1&amp;" (4)",""))&lt;lenb($Z196),4,IF(lenb(SUBSTITUTE($Z196,W$1&amp;" (5)",""))&lt;lenb($Z196),5,IF(lenb(SUBSTITUTE($Z196,W$1&amp;" (6)",""))&lt;lenb($Z196),6,IF(lenb(SUBSTITUTE($Z196,W$1&amp;" (7)",""))&lt;lenb($Z196),1,IF(lenb(SUBSTITUTE($Z196,W$1&amp;" (8)",""))&lt;lenb($Z196),8,IF(lenb(SUBSTITUTE($Z196,W$1&amp;" (9)",""))&lt;lenb($Z196),9,IF(lenb(SUBSTITUTE($Z196,W$1&amp;" (10)",""))&lt;lenb($Z196),10,IF(lenb(SUBSTITUTE($Z196,W$1,""))&lt;lenb($Z196),"ERROR",IF($Z196=$Y$1,"-",0))))))))))))</f>
        <v>0</v>
      </c>
      <c r="X196" s="105">
        <f t="shared" si="201"/>
        <v>0</v>
      </c>
      <c r="Y196" s="105" t="str">
        <f t="shared" si="4"/>
        <v>-</v>
      </c>
      <c r="Z196" s="104" t="s">
        <v>3400</v>
      </c>
      <c r="AA196" s="34">
        <f t="shared" si="5"/>
        <v>1</v>
      </c>
      <c r="AB196" s="34">
        <f>COUNTIFS(Links!B:B,"FSE",Links!C:C,A196,Links!AD:AD,1)</f>
        <v>0</v>
      </c>
      <c r="AC196" s="106" t="s">
        <v>35</v>
      </c>
      <c r="AD196" s="107" t="s">
        <v>35</v>
      </c>
      <c r="AE196" s="104" t="s">
        <v>36</v>
      </c>
      <c r="AF196" s="37" t="s">
        <v>42</v>
      </c>
      <c r="AG196" s="37" t="s">
        <v>42</v>
      </c>
      <c r="AH196" s="37" t="s">
        <v>42</v>
      </c>
      <c r="AI196" s="105" t="str">
        <f t="shared" si="6"/>
        <v>----</v>
      </c>
      <c r="AJ196" s="108" t="str">
        <f t="shared" si="7"/>
        <v>Paper has link but no statement</v>
      </c>
      <c r="AK196" s="109" t="s">
        <v>3401</v>
      </c>
      <c r="AL196" s="110" t="s">
        <v>3402</v>
      </c>
      <c r="AM196" s="40" t="str">
        <f t="shared" si="8"/>
        <v>[FP0691]</v>
      </c>
    </row>
    <row r="197" ht="67.5" customHeight="1">
      <c r="A197" s="41">
        <v>692.0</v>
      </c>
      <c r="B197" s="42" t="s">
        <v>3882</v>
      </c>
      <c r="C197" s="43">
        <v>2016.0</v>
      </c>
      <c r="D197" s="111" t="s">
        <v>35</v>
      </c>
      <c r="E197" s="45" t="s">
        <v>36</v>
      </c>
      <c r="F197" s="45" t="s">
        <v>36</v>
      </c>
      <c r="G197" s="45" t="s">
        <v>36</v>
      </c>
      <c r="H197" s="45" t="s">
        <v>36</v>
      </c>
      <c r="I197" s="45" t="s">
        <v>36</v>
      </c>
      <c r="J197" s="112" t="s">
        <v>36</v>
      </c>
      <c r="K197" s="113" t="s">
        <v>37</v>
      </c>
      <c r="L197" s="114" t="s">
        <v>37</v>
      </c>
      <c r="M197" s="114" t="s">
        <v>35</v>
      </c>
      <c r="N197" s="114" t="s">
        <v>35</v>
      </c>
      <c r="O197" s="114" t="s">
        <v>35</v>
      </c>
      <c r="P197" s="114" t="s">
        <v>35</v>
      </c>
      <c r="Q197" s="114" t="s">
        <v>35</v>
      </c>
      <c r="R197" s="114" t="s">
        <v>37</v>
      </c>
      <c r="S197" s="115" t="s">
        <v>3883</v>
      </c>
      <c r="T197" s="50" t="s">
        <v>3884</v>
      </c>
      <c r="U197" s="50" t="s">
        <v>3884</v>
      </c>
      <c r="V197" s="116">
        <f t="shared" si="2"/>
        <v>0</v>
      </c>
      <c r="W197" s="116">
        <f t="shared" ref="W197:X197" si="202">IF(lenb(SUBSTITUTE($Z197,W$1&amp;" (1)",""))&lt;lenb($Z197),1,IF(lenb(SUBSTITUTE($Z197,W$1&amp;" (2)",""))&lt;lenb($Z197),2,IF(lenb(SUBSTITUTE($Z197,W$1&amp;" (3)",""))&lt;lenb($Z197),3,IF(lenb(SUBSTITUTE($Z197,W$1&amp;" (4)",""))&lt;lenb($Z197),4,IF(lenb(SUBSTITUTE($Z197,W$1&amp;" (5)",""))&lt;lenb($Z197),5,IF(lenb(SUBSTITUTE($Z197,W$1&amp;" (6)",""))&lt;lenb($Z197),6,IF(lenb(SUBSTITUTE($Z197,W$1&amp;" (7)",""))&lt;lenb($Z197),1,IF(lenb(SUBSTITUTE($Z197,W$1&amp;" (8)",""))&lt;lenb($Z197),8,IF(lenb(SUBSTITUTE($Z197,W$1&amp;" (9)",""))&lt;lenb($Z197),9,IF(lenb(SUBSTITUTE($Z197,W$1&amp;" (10)",""))&lt;lenb($Z197),10,IF(lenb(SUBSTITUTE($Z197,W$1,""))&lt;lenb($Z197),"ERROR",IF($Z197=$Y$1,"-",0))))))))))))</f>
        <v>1</v>
      </c>
      <c r="X197" s="116">
        <f t="shared" si="202"/>
        <v>0</v>
      </c>
      <c r="Y197" s="116" t="str">
        <f t="shared" si="4"/>
        <v>-</v>
      </c>
      <c r="Z197" s="115" t="s">
        <v>3423</v>
      </c>
      <c r="AA197" s="54">
        <f t="shared" si="5"/>
        <v>1</v>
      </c>
      <c r="AB197" s="54">
        <f>COUNTIFS(Links!B:B,"FSE",Links!C:C,A197,Links!AD:AD,1)</f>
        <v>0</v>
      </c>
      <c r="AC197" s="117" t="s">
        <v>35</v>
      </c>
      <c r="AD197" s="118" t="s">
        <v>35</v>
      </c>
      <c r="AE197" s="115" t="s">
        <v>36</v>
      </c>
      <c r="AF197" s="57" t="s">
        <v>42</v>
      </c>
      <c r="AG197" s="57" t="s">
        <v>42</v>
      </c>
      <c r="AH197" s="57" t="s">
        <v>42</v>
      </c>
      <c r="AI197" s="116" t="str">
        <f t="shared" si="6"/>
        <v>----</v>
      </c>
      <c r="AJ197" s="119" t="str">
        <f t="shared" si="7"/>
        <v>Paper has link but no statement</v>
      </c>
      <c r="AK197" s="120" t="s">
        <v>3401</v>
      </c>
      <c r="AL197" s="121" t="s">
        <v>3402</v>
      </c>
      <c r="AM197" s="60" t="str">
        <f t="shared" si="8"/>
        <v>[FP0692]</v>
      </c>
    </row>
    <row r="198" ht="67.5" customHeight="1">
      <c r="A198" s="61">
        <v>693.0</v>
      </c>
      <c r="B198" s="22" t="s">
        <v>3885</v>
      </c>
      <c r="C198" s="23">
        <v>2016.0</v>
      </c>
      <c r="D198" s="100" t="s">
        <v>35</v>
      </c>
      <c r="E198" s="25" t="s">
        <v>36</v>
      </c>
      <c r="F198" s="25" t="s">
        <v>36</v>
      </c>
      <c r="G198" s="25" t="s">
        <v>36</v>
      </c>
      <c r="H198" s="25" t="s">
        <v>36</v>
      </c>
      <c r="I198" s="25" t="s">
        <v>36</v>
      </c>
      <c r="J198" s="101" t="s">
        <v>36</v>
      </c>
      <c r="K198" s="102" t="s">
        <v>37</v>
      </c>
      <c r="L198" s="103" t="s">
        <v>35</v>
      </c>
      <c r="M198" s="103" t="s">
        <v>37</v>
      </c>
      <c r="N198" s="103" t="s">
        <v>37</v>
      </c>
      <c r="O198" s="103" t="s">
        <v>35</v>
      </c>
      <c r="P198" s="103" t="s">
        <v>35</v>
      </c>
      <c r="Q198" s="103" t="s">
        <v>35</v>
      </c>
      <c r="R198" s="103" t="s">
        <v>37</v>
      </c>
      <c r="S198" s="104" t="s">
        <v>3886</v>
      </c>
      <c r="T198" s="30" t="s">
        <v>3887</v>
      </c>
      <c r="U198" s="30" t="s">
        <v>3887</v>
      </c>
      <c r="V198" s="105">
        <f t="shared" si="2"/>
        <v>1</v>
      </c>
      <c r="W198" s="105">
        <f t="shared" ref="W198:X198" si="203">IF(lenb(SUBSTITUTE($Z198,W$1&amp;" (1)",""))&lt;lenb($Z198),1,IF(lenb(SUBSTITUTE($Z198,W$1&amp;" (2)",""))&lt;lenb($Z198),2,IF(lenb(SUBSTITUTE($Z198,W$1&amp;" (3)",""))&lt;lenb($Z198),3,IF(lenb(SUBSTITUTE($Z198,W$1&amp;" (4)",""))&lt;lenb($Z198),4,IF(lenb(SUBSTITUTE($Z198,W$1&amp;" (5)",""))&lt;lenb($Z198),5,IF(lenb(SUBSTITUTE($Z198,W$1&amp;" (6)",""))&lt;lenb($Z198),6,IF(lenb(SUBSTITUTE($Z198,W$1&amp;" (7)",""))&lt;lenb($Z198),1,IF(lenb(SUBSTITUTE($Z198,W$1&amp;" (8)",""))&lt;lenb($Z198),8,IF(lenb(SUBSTITUTE($Z198,W$1&amp;" (9)",""))&lt;lenb($Z198),9,IF(lenb(SUBSTITUTE($Z198,W$1&amp;" (10)",""))&lt;lenb($Z198),10,IF(lenb(SUBSTITUTE($Z198,W$1,""))&lt;lenb($Z198),"ERROR",IF($Z198=$Y$1,"-",0))))))))))))</f>
        <v>0</v>
      </c>
      <c r="X198" s="105">
        <f t="shared" si="203"/>
        <v>0</v>
      </c>
      <c r="Y198" s="105" t="str">
        <f t="shared" si="4"/>
        <v>-</v>
      </c>
      <c r="Z198" s="104" t="s">
        <v>3400</v>
      </c>
      <c r="AA198" s="34">
        <f t="shared" si="5"/>
        <v>1</v>
      </c>
      <c r="AB198" s="34">
        <f>COUNTIFS(Links!B:B,"FSE",Links!C:C,A198,Links!AD:AD,1)</f>
        <v>1</v>
      </c>
      <c r="AC198" s="106" t="s">
        <v>35</v>
      </c>
      <c r="AD198" s="107" t="s">
        <v>35</v>
      </c>
      <c r="AE198" s="104" t="s">
        <v>36</v>
      </c>
      <c r="AF198" s="37" t="s">
        <v>42</v>
      </c>
      <c r="AG198" s="37" t="s">
        <v>42</v>
      </c>
      <c r="AH198" s="37" t="s">
        <v>42</v>
      </c>
      <c r="AI198" s="105" t="str">
        <f t="shared" si="6"/>
        <v>----</v>
      </c>
      <c r="AJ198" s="108" t="str">
        <f t="shared" si="7"/>
        <v>Paper has link but no statement</v>
      </c>
      <c r="AK198" s="109" t="s">
        <v>3401</v>
      </c>
      <c r="AL198" s="110" t="s">
        <v>3402</v>
      </c>
      <c r="AM198" s="40" t="str">
        <f t="shared" si="8"/>
        <v>[FP0693]</v>
      </c>
    </row>
    <row r="199" ht="67.5" customHeight="1">
      <c r="A199" s="41">
        <v>694.0</v>
      </c>
      <c r="B199" s="42" t="s">
        <v>3888</v>
      </c>
      <c r="C199" s="43">
        <v>2016.0</v>
      </c>
      <c r="D199" s="111" t="s">
        <v>35</v>
      </c>
      <c r="E199" s="45" t="s">
        <v>36</v>
      </c>
      <c r="F199" s="45" t="s">
        <v>36</v>
      </c>
      <c r="G199" s="45" t="s">
        <v>36</v>
      </c>
      <c r="H199" s="45" t="s">
        <v>36</v>
      </c>
      <c r="I199" s="45" t="s">
        <v>36</v>
      </c>
      <c r="J199" s="112" t="s">
        <v>36</v>
      </c>
      <c r="K199" s="113" t="s">
        <v>37</v>
      </c>
      <c r="L199" s="114" t="s">
        <v>35</v>
      </c>
      <c r="M199" s="114" t="s">
        <v>37</v>
      </c>
      <c r="N199" s="114" t="s">
        <v>37</v>
      </c>
      <c r="O199" s="114" t="s">
        <v>35</v>
      </c>
      <c r="P199" s="114" t="s">
        <v>35</v>
      </c>
      <c r="Q199" s="114" t="s">
        <v>35</v>
      </c>
      <c r="R199" s="114" t="s">
        <v>37</v>
      </c>
      <c r="S199" s="115" t="s">
        <v>3889</v>
      </c>
      <c r="T199" s="50" t="s">
        <v>3890</v>
      </c>
      <c r="U199" s="50" t="s">
        <v>3891</v>
      </c>
      <c r="V199" s="116">
        <f t="shared" si="2"/>
        <v>0</v>
      </c>
      <c r="W199" s="116">
        <f t="shared" ref="W199:X199" si="204">IF(lenb(SUBSTITUTE($Z199,W$1&amp;" (1)",""))&lt;lenb($Z199),1,IF(lenb(SUBSTITUTE($Z199,W$1&amp;" (2)",""))&lt;lenb($Z199),2,IF(lenb(SUBSTITUTE($Z199,W$1&amp;" (3)",""))&lt;lenb($Z199),3,IF(lenb(SUBSTITUTE($Z199,W$1&amp;" (4)",""))&lt;lenb($Z199),4,IF(lenb(SUBSTITUTE($Z199,W$1&amp;" (5)",""))&lt;lenb($Z199),5,IF(lenb(SUBSTITUTE($Z199,W$1&amp;" (6)",""))&lt;lenb($Z199),6,IF(lenb(SUBSTITUTE($Z199,W$1&amp;" (7)",""))&lt;lenb($Z199),1,IF(lenb(SUBSTITUTE($Z199,W$1&amp;" (8)",""))&lt;lenb($Z199),8,IF(lenb(SUBSTITUTE($Z199,W$1&amp;" (9)",""))&lt;lenb($Z199),9,IF(lenb(SUBSTITUTE($Z199,W$1&amp;" (10)",""))&lt;lenb($Z199),10,IF(lenb(SUBSTITUTE($Z199,W$1,""))&lt;lenb($Z199),"ERROR",IF($Z199=$Y$1,"-",0))))))))))))</f>
        <v>2</v>
      </c>
      <c r="X199" s="116">
        <f t="shared" si="204"/>
        <v>0</v>
      </c>
      <c r="Y199" s="116" t="str">
        <f t="shared" si="4"/>
        <v>-</v>
      </c>
      <c r="Z199" s="115" t="s">
        <v>3419</v>
      </c>
      <c r="AA199" s="54">
        <f t="shared" si="5"/>
        <v>2</v>
      </c>
      <c r="AB199" s="54">
        <f>COUNTIFS(Links!B:B,"FSE",Links!C:C,A199,Links!AD:AD,1)</f>
        <v>2</v>
      </c>
      <c r="AC199" s="117" t="s">
        <v>35</v>
      </c>
      <c r="AD199" s="118" t="s">
        <v>35</v>
      </c>
      <c r="AE199" s="115" t="s">
        <v>36</v>
      </c>
      <c r="AF199" s="57" t="s">
        <v>42</v>
      </c>
      <c r="AG199" s="57" t="s">
        <v>42</v>
      </c>
      <c r="AH199" s="57" t="s">
        <v>42</v>
      </c>
      <c r="AI199" s="116" t="str">
        <f t="shared" si="6"/>
        <v>----</v>
      </c>
      <c r="AJ199" s="119" t="str">
        <f t="shared" si="7"/>
        <v>Paper has link but no statement</v>
      </c>
      <c r="AK199" s="120" t="s">
        <v>3401</v>
      </c>
      <c r="AL199" s="121" t="s">
        <v>3402</v>
      </c>
      <c r="AM199" s="60" t="str">
        <f t="shared" si="8"/>
        <v>[FP0694]</v>
      </c>
    </row>
    <row r="200" ht="67.5" customHeight="1">
      <c r="A200" s="61">
        <v>695.0</v>
      </c>
      <c r="B200" s="22" t="s">
        <v>3892</v>
      </c>
      <c r="C200" s="23">
        <v>2016.0</v>
      </c>
      <c r="D200" s="100" t="s">
        <v>35</v>
      </c>
      <c r="E200" s="25" t="s">
        <v>36</v>
      </c>
      <c r="F200" s="25" t="s">
        <v>36</v>
      </c>
      <c r="G200" s="25" t="s">
        <v>36</v>
      </c>
      <c r="H200" s="25" t="s">
        <v>36</v>
      </c>
      <c r="I200" s="25" t="s">
        <v>36</v>
      </c>
      <c r="J200" s="101" t="s">
        <v>36</v>
      </c>
      <c r="K200" s="102" t="s">
        <v>37</v>
      </c>
      <c r="L200" s="103" t="s">
        <v>35</v>
      </c>
      <c r="M200" s="103" t="s">
        <v>37</v>
      </c>
      <c r="N200" s="103" t="s">
        <v>35</v>
      </c>
      <c r="O200" s="103" t="s">
        <v>35</v>
      </c>
      <c r="P200" s="103" t="s">
        <v>35</v>
      </c>
      <c r="Q200" s="103" t="s">
        <v>35</v>
      </c>
      <c r="R200" s="103" t="s">
        <v>37</v>
      </c>
      <c r="S200" s="104" t="s">
        <v>3893</v>
      </c>
      <c r="T200" s="30" t="s">
        <v>3894</v>
      </c>
      <c r="U200" s="30" t="s">
        <v>3894</v>
      </c>
      <c r="V200" s="105">
        <f t="shared" si="2"/>
        <v>1</v>
      </c>
      <c r="W200" s="105">
        <f t="shared" ref="W200:X200" si="205">IF(lenb(SUBSTITUTE($Z200,W$1&amp;" (1)",""))&lt;lenb($Z200),1,IF(lenb(SUBSTITUTE($Z200,W$1&amp;" (2)",""))&lt;lenb($Z200),2,IF(lenb(SUBSTITUTE($Z200,W$1&amp;" (3)",""))&lt;lenb($Z200),3,IF(lenb(SUBSTITUTE($Z200,W$1&amp;" (4)",""))&lt;lenb($Z200),4,IF(lenb(SUBSTITUTE($Z200,W$1&amp;" (5)",""))&lt;lenb($Z200),5,IF(lenb(SUBSTITUTE($Z200,W$1&amp;" (6)",""))&lt;lenb($Z200),6,IF(lenb(SUBSTITUTE($Z200,W$1&amp;" (7)",""))&lt;lenb($Z200),1,IF(lenb(SUBSTITUTE($Z200,W$1&amp;" (8)",""))&lt;lenb($Z200),8,IF(lenb(SUBSTITUTE($Z200,W$1&amp;" (9)",""))&lt;lenb($Z200),9,IF(lenb(SUBSTITUTE($Z200,W$1&amp;" (10)",""))&lt;lenb($Z200),10,IF(lenb(SUBSTITUTE($Z200,W$1,""))&lt;lenb($Z200),"ERROR",IF($Z200=$Y$1,"-",0))))))))))))</f>
        <v>0</v>
      </c>
      <c r="X200" s="105">
        <f t="shared" si="205"/>
        <v>0</v>
      </c>
      <c r="Y200" s="105" t="str">
        <f t="shared" si="4"/>
        <v>-</v>
      </c>
      <c r="Z200" s="104" t="s">
        <v>3400</v>
      </c>
      <c r="AA200" s="34">
        <f t="shared" si="5"/>
        <v>1</v>
      </c>
      <c r="AB200" s="34">
        <f>COUNTIFS(Links!B:B,"FSE",Links!C:C,A200,Links!AD:AD,1)</f>
        <v>0</v>
      </c>
      <c r="AC200" s="106" t="s">
        <v>35</v>
      </c>
      <c r="AD200" s="107" t="s">
        <v>35</v>
      </c>
      <c r="AE200" s="104" t="s">
        <v>36</v>
      </c>
      <c r="AF200" s="37" t="s">
        <v>42</v>
      </c>
      <c r="AG200" s="37" t="s">
        <v>42</v>
      </c>
      <c r="AH200" s="37" t="s">
        <v>42</v>
      </c>
      <c r="AI200" s="105" t="str">
        <f t="shared" si="6"/>
        <v>----</v>
      </c>
      <c r="AJ200" s="108" t="str">
        <f t="shared" si="7"/>
        <v>Paper has link but no statement</v>
      </c>
      <c r="AK200" s="109" t="s">
        <v>3401</v>
      </c>
      <c r="AL200" s="110" t="s">
        <v>3402</v>
      </c>
      <c r="AM200" s="40" t="str">
        <f t="shared" si="8"/>
        <v>[FP0695]</v>
      </c>
    </row>
    <row r="201" ht="67.5" customHeight="1">
      <c r="A201" s="41">
        <v>696.0</v>
      </c>
      <c r="B201" s="42" t="s">
        <v>3895</v>
      </c>
      <c r="C201" s="43">
        <v>2016.0</v>
      </c>
      <c r="D201" s="111" t="s">
        <v>35</v>
      </c>
      <c r="E201" s="45" t="s">
        <v>36</v>
      </c>
      <c r="F201" s="45" t="s">
        <v>36</v>
      </c>
      <c r="G201" s="45" t="s">
        <v>36</v>
      </c>
      <c r="H201" s="45" t="s">
        <v>36</v>
      </c>
      <c r="I201" s="45" t="s">
        <v>36</v>
      </c>
      <c r="J201" s="112" t="s">
        <v>36</v>
      </c>
      <c r="K201" s="113" t="s">
        <v>35</v>
      </c>
      <c r="L201" s="114" t="s">
        <v>36</v>
      </c>
      <c r="M201" s="114" t="s">
        <v>36</v>
      </c>
      <c r="N201" s="114" t="s">
        <v>36</v>
      </c>
      <c r="O201" s="114" t="s">
        <v>36</v>
      </c>
      <c r="P201" s="114" t="s">
        <v>36</v>
      </c>
      <c r="Q201" s="114" t="s">
        <v>36</v>
      </c>
      <c r="R201" s="114" t="s">
        <v>36</v>
      </c>
      <c r="S201" s="115" t="s">
        <v>42</v>
      </c>
      <c r="T201" s="50" t="s">
        <v>36</v>
      </c>
      <c r="U201" s="50" t="s">
        <v>36</v>
      </c>
      <c r="V201" s="116" t="str">
        <f t="shared" si="2"/>
        <v>-</v>
      </c>
      <c r="W201" s="116" t="str">
        <f t="shared" ref="W201:X201" si="206">IF(lenb(SUBSTITUTE($Z201,W$1&amp;" (1)",""))&lt;lenb($Z201),1,IF(lenb(SUBSTITUTE($Z201,W$1&amp;" (2)",""))&lt;lenb($Z201),2,IF(lenb(SUBSTITUTE($Z201,W$1&amp;" (3)",""))&lt;lenb($Z201),3,IF(lenb(SUBSTITUTE($Z201,W$1&amp;" (4)",""))&lt;lenb($Z201),4,IF(lenb(SUBSTITUTE($Z201,W$1&amp;" (5)",""))&lt;lenb($Z201),5,IF(lenb(SUBSTITUTE($Z201,W$1&amp;" (6)",""))&lt;lenb($Z201),6,IF(lenb(SUBSTITUTE($Z201,W$1&amp;" (7)",""))&lt;lenb($Z201),1,IF(lenb(SUBSTITUTE($Z201,W$1&amp;" (8)",""))&lt;lenb($Z201),8,IF(lenb(SUBSTITUTE($Z201,W$1&amp;" (9)",""))&lt;lenb($Z201),9,IF(lenb(SUBSTITUTE($Z201,W$1&amp;" (10)",""))&lt;lenb($Z201),10,IF(lenb(SUBSTITUTE($Z201,W$1,""))&lt;lenb($Z201),"ERROR",IF($Z201=$Y$1,"-",0))))))))))))</f>
        <v>-</v>
      </c>
      <c r="X201" s="116" t="str">
        <f t="shared" si="206"/>
        <v>-</v>
      </c>
      <c r="Y201" s="116">
        <f t="shared" si="4"/>
        <v>1</v>
      </c>
      <c r="Z201" s="115" t="s">
        <v>23</v>
      </c>
      <c r="AA201" s="54">
        <f t="shared" si="5"/>
        <v>0</v>
      </c>
      <c r="AB201" s="54">
        <f>COUNTIFS(Links!B:B,"FSE",Links!C:C,A201,Links!AD:AD,1)</f>
        <v>0</v>
      </c>
      <c r="AC201" s="117" t="s">
        <v>36</v>
      </c>
      <c r="AD201" s="118" t="s">
        <v>35</v>
      </c>
      <c r="AE201" s="115" t="s">
        <v>36</v>
      </c>
      <c r="AF201" s="57" t="s">
        <v>42</v>
      </c>
      <c r="AG201" s="57" t="s">
        <v>42</v>
      </c>
      <c r="AH201" s="57" t="s">
        <v>42</v>
      </c>
      <c r="AI201" s="116" t="str">
        <f t="shared" si="6"/>
        <v>----</v>
      </c>
      <c r="AJ201" s="119" t="str">
        <f t="shared" si="7"/>
        <v>Paper has no link and no statement</v>
      </c>
      <c r="AK201" s="120" t="s">
        <v>3401</v>
      </c>
      <c r="AL201" s="121" t="s">
        <v>3402</v>
      </c>
      <c r="AM201" s="60" t="str">
        <f t="shared" si="8"/>
        <v>[FP0696]</v>
      </c>
    </row>
    <row r="202" ht="67.5" customHeight="1">
      <c r="A202" s="61">
        <v>697.0</v>
      </c>
      <c r="B202" s="22" t="s">
        <v>3896</v>
      </c>
      <c r="C202" s="23">
        <v>2016.0</v>
      </c>
      <c r="D202" s="100" t="s">
        <v>35</v>
      </c>
      <c r="E202" s="25" t="s">
        <v>36</v>
      </c>
      <c r="F202" s="25" t="s">
        <v>36</v>
      </c>
      <c r="G202" s="25" t="s">
        <v>36</v>
      </c>
      <c r="H202" s="25" t="s">
        <v>36</v>
      </c>
      <c r="I202" s="25" t="s">
        <v>36</v>
      </c>
      <c r="J202" s="101" t="s">
        <v>36</v>
      </c>
      <c r="K202" s="102" t="s">
        <v>37</v>
      </c>
      <c r="L202" s="103" t="s">
        <v>35</v>
      </c>
      <c r="M202" s="103" t="s">
        <v>35</v>
      </c>
      <c r="N202" s="103" t="s">
        <v>37</v>
      </c>
      <c r="O202" s="103" t="s">
        <v>35</v>
      </c>
      <c r="P202" s="103" t="s">
        <v>35</v>
      </c>
      <c r="Q202" s="103" t="s">
        <v>35</v>
      </c>
      <c r="R202" s="103" t="s">
        <v>35</v>
      </c>
      <c r="S202" s="104" t="s">
        <v>84</v>
      </c>
      <c r="T202" s="30" t="s">
        <v>3897</v>
      </c>
      <c r="U202" s="30" t="s">
        <v>3897</v>
      </c>
      <c r="V202" s="105">
        <f t="shared" si="2"/>
        <v>1</v>
      </c>
      <c r="W202" s="105">
        <f t="shared" ref="W202:X202" si="207">IF(lenb(SUBSTITUTE($Z202,W$1&amp;" (1)",""))&lt;lenb($Z202),1,IF(lenb(SUBSTITUTE($Z202,W$1&amp;" (2)",""))&lt;lenb($Z202),2,IF(lenb(SUBSTITUTE($Z202,W$1&amp;" (3)",""))&lt;lenb($Z202),3,IF(lenb(SUBSTITUTE($Z202,W$1&amp;" (4)",""))&lt;lenb($Z202),4,IF(lenb(SUBSTITUTE($Z202,W$1&amp;" (5)",""))&lt;lenb($Z202),5,IF(lenb(SUBSTITUTE($Z202,W$1&amp;" (6)",""))&lt;lenb($Z202),6,IF(lenb(SUBSTITUTE($Z202,W$1&amp;" (7)",""))&lt;lenb($Z202),1,IF(lenb(SUBSTITUTE($Z202,W$1&amp;" (8)",""))&lt;lenb($Z202),8,IF(lenb(SUBSTITUTE($Z202,W$1&amp;" (9)",""))&lt;lenb($Z202),9,IF(lenb(SUBSTITUTE($Z202,W$1&amp;" (10)",""))&lt;lenb($Z202),10,IF(lenb(SUBSTITUTE($Z202,W$1,""))&lt;lenb($Z202),"ERROR",IF($Z202=$Y$1,"-",0))))))))))))</f>
        <v>0</v>
      </c>
      <c r="X202" s="105">
        <f t="shared" si="207"/>
        <v>0</v>
      </c>
      <c r="Y202" s="105" t="str">
        <f t="shared" si="4"/>
        <v>-</v>
      </c>
      <c r="Z202" s="104" t="s">
        <v>3400</v>
      </c>
      <c r="AA202" s="34">
        <f t="shared" si="5"/>
        <v>1</v>
      </c>
      <c r="AB202" s="34">
        <f>COUNTIFS(Links!B:B,"FSE",Links!C:C,A202,Links!AD:AD,1)</f>
        <v>1</v>
      </c>
      <c r="AC202" s="106" t="s">
        <v>35</v>
      </c>
      <c r="AD202" s="107" t="s">
        <v>35</v>
      </c>
      <c r="AE202" s="104" t="s">
        <v>36</v>
      </c>
      <c r="AF202" s="37" t="s">
        <v>42</v>
      </c>
      <c r="AG202" s="37" t="s">
        <v>42</v>
      </c>
      <c r="AH202" s="37" t="s">
        <v>42</v>
      </c>
      <c r="AI202" s="105" t="str">
        <f t="shared" si="6"/>
        <v>----</v>
      </c>
      <c r="AJ202" s="108" t="str">
        <f t="shared" si="7"/>
        <v>Paper has link but no statement</v>
      </c>
      <c r="AK202" s="109" t="s">
        <v>3401</v>
      </c>
      <c r="AL202" s="110" t="s">
        <v>3402</v>
      </c>
      <c r="AM202" s="40" t="str">
        <f t="shared" si="8"/>
        <v>[FP0697]</v>
      </c>
    </row>
    <row r="203" ht="67.5" customHeight="1">
      <c r="A203" s="41">
        <v>698.0</v>
      </c>
      <c r="B203" s="42" t="s">
        <v>3898</v>
      </c>
      <c r="C203" s="43">
        <v>2016.0</v>
      </c>
      <c r="D203" s="111" t="s">
        <v>35</v>
      </c>
      <c r="E203" s="45" t="s">
        <v>36</v>
      </c>
      <c r="F203" s="45" t="s">
        <v>36</v>
      </c>
      <c r="G203" s="45" t="s">
        <v>36</v>
      </c>
      <c r="H203" s="45" t="s">
        <v>36</v>
      </c>
      <c r="I203" s="45" t="s">
        <v>36</v>
      </c>
      <c r="J203" s="112" t="s">
        <v>36</v>
      </c>
      <c r="K203" s="113" t="s">
        <v>35</v>
      </c>
      <c r="L203" s="114" t="s">
        <v>36</v>
      </c>
      <c r="M203" s="114" t="s">
        <v>36</v>
      </c>
      <c r="N203" s="114" t="s">
        <v>36</v>
      </c>
      <c r="O203" s="114" t="s">
        <v>36</v>
      </c>
      <c r="P203" s="114" t="s">
        <v>36</v>
      </c>
      <c r="Q203" s="114" t="s">
        <v>36</v>
      </c>
      <c r="R203" s="114" t="s">
        <v>36</v>
      </c>
      <c r="S203" s="115" t="s">
        <v>42</v>
      </c>
      <c r="T203" s="50" t="s">
        <v>36</v>
      </c>
      <c r="U203" s="50" t="s">
        <v>36</v>
      </c>
      <c r="V203" s="116" t="str">
        <f t="shared" si="2"/>
        <v>-</v>
      </c>
      <c r="W203" s="116" t="str">
        <f t="shared" ref="W203:X203" si="208">IF(lenb(SUBSTITUTE($Z203,W$1&amp;" (1)",""))&lt;lenb($Z203),1,IF(lenb(SUBSTITUTE($Z203,W$1&amp;" (2)",""))&lt;lenb($Z203),2,IF(lenb(SUBSTITUTE($Z203,W$1&amp;" (3)",""))&lt;lenb($Z203),3,IF(lenb(SUBSTITUTE($Z203,W$1&amp;" (4)",""))&lt;lenb($Z203),4,IF(lenb(SUBSTITUTE($Z203,W$1&amp;" (5)",""))&lt;lenb($Z203),5,IF(lenb(SUBSTITUTE($Z203,W$1&amp;" (6)",""))&lt;lenb($Z203),6,IF(lenb(SUBSTITUTE($Z203,W$1&amp;" (7)",""))&lt;lenb($Z203),1,IF(lenb(SUBSTITUTE($Z203,W$1&amp;" (8)",""))&lt;lenb($Z203),8,IF(lenb(SUBSTITUTE($Z203,W$1&amp;" (9)",""))&lt;lenb($Z203),9,IF(lenb(SUBSTITUTE($Z203,W$1&amp;" (10)",""))&lt;lenb($Z203),10,IF(lenb(SUBSTITUTE($Z203,W$1,""))&lt;lenb($Z203),"ERROR",IF($Z203=$Y$1,"-",0))))))))))))</f>
        <v>-</v>
      </c>
      <c r="X203" s="116" t="str">
        <f t="shared" si="208"/>
        <v>-</v>
      </c>
      <c r="Y203" s="116">
        <f t="shared" si="4"/>
        <v>1</v>
      </c>
      <c r="Z203" s="115" t="s">
        <v>23</v>
      </c>
      <c r="AA203" s="54">
        <f t="shared" si="5"/>
        <v>0</v>
      </c>
      <c r="AB203" s="54">
        <f>COUNTIFS(Links!B:B,"FSE",Links!C:C,A203,Links!AD:AD,1)</f>
        <v>0</v>
      </c>
      <c r="AC203" s="117" t="s">
        <v>36</v>
      </c>
      <c r="AD203" s="118" t="s">
        <v>35</v>
      </c>
      <c r="AE203" s="115" t="s">
        <v>36</v>
      </c>
      <c r="AF203" s="57" t="s">
        <v>42</v>
      </c>
      <c r="AG203" s="57" t="s">
        <v>42</v>
      </c>
      <c r="AH203" s="57" t="s">
        <v>42</v>
      </c>
      <c r="AI203" s="116" t="str">
        <f t="shared" si="6"/>
        <v>----</v>
      </c>
      <c r="AJ203" s="119" t="str">
        <f t="shared" si="7"/>
        <v>Paper has no link and no statement</v>
      </c>
      <c r="AK203" s="120" t="s">
        <v>3401</v>
      </c>
      <c r="AL203" s="121" t="s">
        <v>3402</v>
      </c>
      <c r="AM203" s="60" t="str">
        <f t="shared" si="8"/>
        <v>[FP0698]</v>
      </c>
    </row>
    <row r="204" ht="67.5" customHeight="1">
      <c r="A204" s="61">
        <v>699.0</v>
      </c>
      <c r="B204" s="22" t="s">
        <v>3899</v>
      </c>
      <c r="C204" s="23">
        <v>2016.0</v>
      </c>
      <c r="D204" s="100" t="s">
        <v>37</v>
      </c>
      <c r="E204" s="25" t="s">
        <v>36</v>
      </c>
      <c r="F204" s="25" t="s">
        <v>36</v>
      </c>
      <c r="G204" s="25" t="s">
        <v>36</v>
      </c>
      <c r="H204" s="25" t="s">
        <v>36</v>
      </c>
      <c r="I204" s="25" t="s">
        <v>36</v>
      </c>
      <c r="J204" s="101" t="s">
        <v>3759</v>
      </c>
      <c r="K204" s="102" t="s">
        <v>37</v>
      </c>
      <c r="L204" s="103" t="s">
        <v>35</v>
      </c>
      <c r="M204" s="103" t="s">
        <v>37</v>
      </c>
      <c r="N204" s="103" t="s">
        <v>35</v>
      </c>
      <c r="O204" s="103" t="s">
        <v>35</v>
      </c>
      <c r="P204" s="103" t="s">
        <v>35</v>
      </c>
      <c r="Q204" s="103" t="s">
        <v>37</v>
      </c>
      <c r="R204" s="103" t="s">
        <v>37</v>
      </c>
      <c r="S204" s="104" t="s">
        <v>3900</v>
      </c>
      <c r="T204" s="30" t="s">
        <v>3901</v>
      </c>
      <c r="U204" s="30" t="s">
        <v>3901</v>
      </c>
      <c r="V204" s="105">
        <f t="shared" si="2"/>
        <v>1</v>
      </c>
      <c r="W204" s="105">
        <f t="shared" ref="W204:X204" si="209">IF(lenb(SUBSTITUTE($Z204,W$1&amp;" (1)",""))&lt;lenb($Z204),1,IF(lenb(SUBSTITUTE($Z204,W$1&amp;" (2)",""))&lt;lenb($Z204),2,IF(lenb(SUBSTITUTE($Z204,W$1&amp;" (3)",""))&lt;lenb($Z204),3,IF(lenb(SUBSTITUTE($Z204,W$1&amp;" (4)",""))&lt;lenb($Z204),4,IF(lenb(SUBSTITUTE($Z204,W$1&amp;" (5)",""))&lt;lenb($Z204),5,IF(lenb(SUBSTITUTE($Z204,W$1&amp;" (6)",""))&lt;lenb($Z204),6,IF(lenb(SUBSTITUTE($Z204,W$1&amp;" (7)",""))&lt;lenb($Z204),1,IF(lenb(SUBSTITUTE($Z204,W$1&amp;" (8)",""))&lt;lenb($Z204),8,IF(lenb(SUBSTITUTE($Z204,W$1&amp;" (9)",""))&lt;lenb($Z204),9,IF(lenb(SUBSTITUTE($Z204,W$1&amp;" (10)",""))&lt;lenb($Z204),10,IF(lenb(SUBSTITUTE($Z204,W$1,""))&lt;lenb($Z204),"ERROR",IF($Z204=$Y$1,"-",0))))))))))))</f>
        <v>0</v>
      </c>
      <c r="X204" s="105">
        <f t="shared" si="209"/>
        <v>1</v>
      </c>
      <c r="Y204" s="105" t="str">
        <f t="shared" si="4"/>
        <v>-</v>
      </c>
      <c r="Z204" s="104" t="s">
        <v>3675</v>
      </c>
      <c r="AA204" s="34">
        <f t="shared" si="5"/>
        <v>2</v>
      </c>
      <c r="AB204" s="34">
        <f>COUNTIFS(Links!B:B,"FSE",Links!C:C,A204,Links!AD:AD,1)</f>
        <v>0</v>
      </c>
      <c r="AC204" s="106" t="s">
        <v>35</v>
      </c>
      <c r="AD204" s="107" t="s">
        <v>35</v>
      </c>
      <c r="AE204" s="104" t="s">
        <v>36</v>
      </c>
      <c r="AF204" s="37" t="s">
        <v>42</v>
      </c>
      <c r="AG204" s="37" t="s">
        <v>42</v>
      </c>
      <c r="AH204" s="37" t="s">
        <v>42</v>
      </c>
      <c r="AI204" s="105" t="str">
        <f t="shared" si="6"/>
        <v>----</v>
      </c>
      <c r="AJ204" s="108" t="str">
        <f t="shared" si="7"/>
        <v>Paper has link but no statement</v>
      </c>
      <c r="AK204" s="109" t="s">
        <v>3401</v>
      </c>
      <c r="AL204" s="110" t="s">
        <v>3402</v>
      </c>
      <c r="AM204" s="40" t="str">
        <f t="shared" si="8"/>
        <v>[FP0699]</v>
      </c>
    </row>
    <row r="205" ht="67.5" customHeight="1">
      <c r="A205" s="41">
        <v>700.0</v>
      </c>
      <c r="B205" s="42" t="s">
        <v>3902</v>
      </c>
      <c r="C205" s="43">
        <v>2016.0</v>
      </c>
      <c r="D205" s="111" t="s">
        <v>35</v>
      </c>
      <c r="E205" s="45" t="s">
        <v>36</v>
      </c>
      <c r="F205" s="45" t="s">
        <v>36</v>
      </c>
      <c r="G205" s="45" t="s">
        <v>36</v>
      </c>
      <c r="H205" s="45" t="s">
        <v>36</v>
      </c>
      <c r="I205" s="45" t="s">
        <v>36</v>
      </c>
      <c r="J205" s="112" t="s">
        <v>36</v>
      </c>
      <c r="K205" s="113" t="s">
        <v>37</v>
      </c>
      <c r="L205" s="114" t="s">
        <v>37</v>
      </c>
      <c r="M205" s="114" t="s">
        <v>35</v>
      </c>
      <c r="N205" s="114" t="s">
        <v>35</v>
      </c>
      <c r="O205" s="114" t="s">
        <v>35</v>
      </c>
      <c r="P205" s="114" t="s">
        <v>35</v>
      </c>
      <c r="Q205" s="114" t="s">
        <v>35</v>
      </c>
      <c r="R205" s="114" t="s">
        <v>37</v>
      </c>
      <c r="S205" s="115" t="s">
        <v>3903</v>
      </c>
      <c r="T205" s="50" t="s">
        <v>3904</v>
      </c>
      <c r="U205" s="50" t="s">
        <v>3904</v>
      </c>
      <c r="V205" s="116">
        <f t="shared" si="2"/>
        <v>0</v>
      </c>
      <c r="W205" s="116">
        <f t="shared" ref="W205:X205" si="210">IF(lenb(SUBSTITUTE($Z205,W$1&amp;" (1)",""))&lt;lenb($Z205),1,IF(lenb(SUBSTITUTE($Z205,W$1&amp;" (2)",""))&lt;lenb($Z205),2,IF(lenb(SUBSTITUTE($Z205,W$1&amp;" (3)",""))&lt;lenb($Z205),3,IF(lenb(SUBSTITUTE($Z205,W$1&amp;" (4)",""))&lt;lenb($Z205),4,IF(lenb(SUBSTITUTE($Z205,W$1&amp;" (5)",""))&lt;lenb($Z205),5,IF(lenb(SUBSTITUTE($Z205,W$1&amp;" (6)",""))&lt;lenb($Z205),6,IF(lenb(SUBSTITUTE($Z205,W$1&amp;" (7)",""))&lt;lenb($Z205),1,IF(lenb(SUBSTITUTE($Z205,W$1&amp;" (8)",""))&lt;lenb($Z205),8,IF(lenb(SUBSTITUTE($Z205,W$1&amp;" (9)",""))&lt;lenb($Z205),9,IF(lenb(SUBSTITUTE($Z205,W$1&amp;" (10)",""))&lt;lenb($Z205),10,IF(lenb(SUBSTITUTE($Z205,W$1,""))&lt;lenb($Z205),"ERROR",IF($Z205=$Y$1,"-",0))))))))))))</f>
        <v>1</v>
      </c>
      <c r="X205" s="116">
        <f t="shared" si="210"/>
        <v>0</v>
      </c>
      <c r="Y205" s="116" t="str">
        <f t="shared" si="4"/>
        <v>-</v>
      </c>
      <c r="Z205" s="115" t="s">
        <v>3423</v>
      </c>
      <c r="AA205" s="54">
        <f t="shared" si="5"/>
        <v>1</v>
      </c>
      <c r="AB205" s="54">
        <f>COUNTIFS(Links!B:B,"FSE",Links!C:C,A205,Links!AD:AD,1)</f>
        <v>0</v>
      </c>
      <c r="AC205" s="117" t="s">
        <v>35</v>
      </c>
      <c r="AD205" s="118" t="s">
        <v>35</v>
      </c>
      <c r="AE205" s="115" t="s">
        <v>36</v>
      </c>
      <c r="AF205" s="57" t="s">
        <v>42</v>
      </c>
      <c r="AG205" s="57" t="s">
        <v>42</v>
      </c>
      <c r="AH205" s="57" t="s">
        <v>42</v>
      </c>
      <c r="AI205" s="116" t="str">
        <f t="shared" si="6"/>
        <v>----</v>
      </c>
      <c r="AJ205" s="119" t="str">
        <f t="shared" si="7"/>
        <v>Paper has link but no statement</v>
      </c>
      <c r="AK205" s="120" t="s">
        <v>3401</v>
      </c>
      <c r="AL205" s="121" t="s">
        <v>3402</v>
      </c>
      <c r="AM205" s="60" t="str">
        <f t="shared" si="8"/>
        <v>[FP0700]</v>
      </c>
    </row>
    <row r="206" ht="67.5" customHeight="1">
      <c r="A206" s="61">
        <v>701.0</v>
      </c>
      <c r="B206" s="22" t="s">
        <v>3905</v>
      </c>
      <c r="C206" s="23">
        <v>2016.0</v>
      </c>
      <c r="D206" s="100" t="s">
        <v>37</v>
      </c>
      <c r="E206" s="25" t="s">
        <v>36</v>
      </c>
      <c r="F206" s="25" t="s">
        <v>36</v>
      </c>
      <c r="G206" s="25" t="s">
        <v>36</v>
      </c>
      <c r="H206" s="25" t="s">
        <v>36</v>
      </c>
      <c r="I206" s="25" t="s">
        <v>36</v>
      </c>
      <c r="J206" s="101" t="s">
        <v>3852</v>
      </c>
      <c r="K206" s="102" t="s">
        <v>37</v>
      </c>
      <c r="L206" s="103" t="s">
        <v>37</v>
      </c>
      <c r="M206" s="103" t="s">
        <v>35</v>
      </c>
      <c r="N206" s="103" t="s">
        <v>37</v>
      </c>
      <c r="O206" s="103" t="s">
        <v>35</v>
      </c>
      <c r="P206" s="103" t="s">
        <v>35</v>
      </c>
      <c r="Q206" s="103" t="s">
        <v>37</v>
      </c>
      <c r="R206" s="103" t="s">
        <v>35</v>
      </c>
      <c r="S206" s="104" t="s">
        <v>3906</v>
      </c>
      <c r="T206" s="30" t="s">
        <v>3907</v>
      </c>
      <c r="U206" s="30" t="s">
        <v>3907</v>
      </c>
      <c r="V206" s="105">
        <f t="shared" si="2"/>
        <v>2</v>
      </c>
      <c r="W206" s="105">
        <f t="shared" ref="W206:X206" si="211">IF(lenb(SUBSTITUTE($Z206,W$1&amp;" (1)",""))&lt;lenb($Z206),1,IF(lenb(SUBSTITUTE($Z206,W$1&amp;" (2)",""))&lt;lenb($Z206),2,IF(lenb(SUBSTITUTE($Z206,W$1&amp;" (3)",""))&lt;lenb($Z206),3,IF(lenb(SUBSTITUTE($Z206,W$1&amp;" (4)",""))&lt;lenb($Z206),4,IF(lenb(SUBSTITUTE($Z206,W$1&amp;" (5)",""))&lt;lenb($Z206),5,IF(lenb(SUBSTITUTE($Z206,W$1&amp;" (6)",""))&lt;lenb($Z206),6,IF(lenb(SUBSTITUTE($Z206,W$1&amp;" (7)",""))&lt;lenb($Z206),1,IF(lenb(SUBSTITUTE($Z206,W$1&amp;" (8)",""))&lt;lenb($Z206),8,IF(lenb(SUBSTITUTE($Z206,W$1&amp;" (9)",""))&lt;lenb($Z206),9,IF(lenb(SUBSTITUTE($Z206,W$1&amp;" (10)",""))&lt;lenb($Z206),10,IF(lenb(SUBSTITUTE($Z206,W$1,""))&lt;lenb($Z206),"ERROR",IF($Z206=$Y$1,"-",0))))))))))))</f>
        <v>0</v>
      </c>
      <c r="X206" s="105">
        <f t="shared" si="211"/>
        <v>0</v>
      </c>
      <c r="Y206" s="105" t="str">
        <f t="shared" si="4"/>
        <v>-</v>
      </c>
      <c r="Z206" s="104" t="s">
        <v>3452</v>
      </c>
      <c r="AA206" s="34">
        <f t="shared" si="5"/>
        <v>2</v>
      </c>
      <c r="AB206" s="34">
        <f>COUNTIFS(Links!B:B,"FSE",Links!C:C,A206,Links!AD:AD,1)</f>
        <v>0</v>
      </c>
      <c r="AC206" s="106" t="s">
        <v>35</v>
      </c>
      <c r="AD206" s="107" t="s">
        <v>35</v>
      </c>
      <c r="AE206" s="104" t="s">
        <v>36</v>
      </c>
      <c r="AF206" s="37" t="s">
        <v>42</v>
      </c>
      <c r="AG206" s="37" t="s">
        <v>42</v>
      </c>
      <c r="AH206" s="37" t="s">
        <v>42</v>
      </c>
      <c r="AI206" s="105" t="str">
        <f t="shared" si="6"/>
        <v>----</v>
      </c>
      <c r="AJ206" s="108" t="str">
        <f t="shared" si="7"/>
        <v>Paper has link but no statement</v>
      </c>
      <c r="AK206" s="109" t="s">
        <v>3401</v>
      </c>
      <c r="AL206" s="110" t="s">
        <v>3402</v>
      </c>
      <c r="AM206" s="40" t="str">
        <f t="shared" si="8"/>
        <v>[FP0701]</v>
      </c>
    </row>
    <row r="207" ht="67.5" customHeight="1">
      <c r="A207" s="41">
        <v>702.0</v>
      </c>
      <c r="B207" s="42" t="s">
        <v>3908</v>
      </c>
      <c r="C207" s="43">
        <v>2016.0</v>
      </c>
      <c r="D207" s="111" t="s">
        <v>35</v>
      </c>
      <c r="E207" s="45" t="s">
        <v>36</v>
      </c>
      <c r="F207" s="45" t="s">
        <v>36</v>
      </c>
      <c r="G207" s="45" t="s">
        <v>36</v>
      </c>
      <c r="H207" s="45" t="s">
        <v>36</v>
      </c>
      <c r="I207" s="45" t="s">
        <v>36</v>
      </c>
      <c r="J207" s="112" t="s">
        <v>36</v>
      </c>
      <c r="K207" s="113" t="s">
        <v>35</v>
      </c>
      <c r="L207" s="114" t="s">
        <v>36</v>
      </c>
      <c r="M207" s="114" t="s">
        <v>36</v>
      </c>
      <c r="N207" s="114" t="s">
        <v>36</v>
      </c>
      <c r="O207" s="114" t="s">
        <v>36</v>
      </c>
      <c r="P207" s="114" t="s">
        <v>36</v>
      </c>
      <c r="Q207" s="114" t="s">
        <v>36</v>
      </c>
      <c r="R207" s="114" t="s">
        <v>36</v>
      </c>
      <c r="S207" s="115" t="s">
        <v>42</v>
      </c>
      <c r="T207" s="50" t="s">
        <v>36</v>
      </c>
      <c r="U207" s="50" t="s">
        <v>36</v>
      </c>
      <c r="V207" s="116" t="str">
        <f t="shared" si="2"/>
        <v>-</v>
      </c>
      <c r="W207" s="116" t="str">
        <f t="shared" ref="W207:X207" si="212">IF(lenb(SUBSTITUTE($Z207,W$1&amp;" (1)",""))&lt;lenb($Z207),1,IF(lenb(SUBSTITUTE($Z207,W$1&amp;" (2)",""))&lt;lenb($Z207),2,IF(lenb(SUBSTITUTE($Z207,W$1&amp;" (3)",""))&lt;lenb($Z207),3,IF(lenb(SUBSTITUTE($Z207,W$1&amp;" (4)",""))&lt;lenb($Z207),4,IF(lenb(SUBSTITUTE($Z207,W$1&amp;" (5)",""))&lt;lenb($Z207),5,IF(lenb(SUBSTITUTE($Z207,W$1&amp;" (6)",""))&lt;lenb($Z207),6,IF(lenb(SUBSTITUTE($Z207,W$1&amp;" (7)",""))&lt;lenb($Z207),1,IF(lenb(SUBSTITUTE($Z207,W$1&amp;" (8)",""))&lt;lenb($Z207),8,IF(lenb(SUBSTITUTE($Z207,W$1&amp;" (9)",""))&lt;lenb($Z207),9,IF(lenb(SUBSTITUTE($Z207,W$1&amp;" (10)",""))&lt;lenb($Z207),10,IF(lenb(SUBSTITUTE($Z207,W$1,""))&lt;lenb($Z207),"ERROR",IF($Z207=$Y$1,"-",0))))))))))))</f>
        <v>-</v>
      </c>
      <c r="X207" s="116" t="str">
        <f t="shared" si="212"/>
        <v>-</v>
      </c>
      <c r="Y207" s="116">
        <f t="shared" si="4"/>
        <v>1</v>
      </c>
      <c r="Z207" s="115" t="s">
        <v>23</v>
      </c>
      <c r="AA207" s="54">
        <f t="shared" si="5"/>
        <v>0</v>
      </c>
      <c r="AB207" s="54">
        <f>COUNTIFS(Links!B:B,"FSE",Links!C:C,A207,Links!AD:AD,1)</f>
        <v>0</v>
      </c>
      <c r="AC207" s="117" t="s">
        <v>36</v>
      </c>
      <c r="AD207" s="118" t="s">
        <v>35</v>
      </c>
      <c r="AE207" s="115" t="s">
        <v>36</v>
      </c>
      <c r="AF207" s="57" t="s">
        <v>42</v>
      </c>
      <c r="AG207" s="57" t="s">
        <v>42</v>
      </c>
      <c r="AH207" s="57" t="s">
        <v>42</v>
      </c>
      <c r="AI207" s="116" t="str">
        <f t="shared" si="6"/>
        <v>----</v>
      </c>
      <c r="AJ207" s="119" t="str">
        <f t="shared" si="7"/>
        <v>Paper has no link and no statement</v>
      </c>
      <c r="AK207" s="120" t="s">
        <v>3401</v>
      </c>
      <c r="AL207" s="121" t="s">
        <v>3402</v>
      </c>
      <c r="AM207" s="60" t="str">
        <f t="shared" si="8"/>
        <v>[FP0702]</v>
      </c>
    </row>
    <row r="208" ht="67.5" customHeight="1">
      <c r="A208" s="61">
        <v>703.0</v>
      </c>
      <c r="B208" s="22" t="s">
        <v>3909</v>
      </c>
      <c r="C208" s="23">
        <v>2016.0</v>
      </c>
      <c r="D208" s="100" t="s">
        <v>35</v>
      </c>
      <c r="E208" s="25" t="s">
        <v>36</v>
      </c>
      <c r="F208" s="25" t="s">
        <v>36</v>
      </c>
      <c r="G208" s="25" t="s">
        <v>36</v>
      </c>
      <c r="H208" s="25" t="s">
        <v>36</v>
      </c>
      <c r="I208" s="25" t="s">
        <v>36</v>
      </c>
      <c r="J208" s="101" t="s">
        <v>36</v>
      </c>
      <c r="K208" s="102" t="s">
        <v>37</v>
      </c>
      <c r="L208" s="103" t="s">
        <v>37</v>
      </c>
      <c r="M208" s="103" t="s">
        <v>35</v>
      </c>
      <c r="N208" s="103" t="s">
        <v>35</v>
      </c>
      <c r="O208" s="103" t="s">
        <v>35</v>
      </c>
      <c r="P208" s="103" t="s">
        <v>35</v>
      </c>
      <c r="Q208" s="103" t="s">
        <v>35</v>
      </c>
      <c r="R208" s="103" t="s">
        <v>37</v>
      </c>
      <c r="S208" s="104" t="s">
        <v>3910</v>
      </c>
      <c r="T208" s="30" t="s">
        <v>3911</v>
      </c>
      <c r="U208" s="30" t="s">
        <v>3911</v>
      </c>
      <c r="V208" s="105">
        <f t="shared" si="2"/>
        <v>1</v>
      </c>
      <c r="W208" s="105">
        <f t="shared" ref="W208:X208" si="213">IF(lenb(SUBSTITUTE($Z208,W$1&amp;" (1)",""))&lt;lenb($Z208),1,IF(lenb(SUBSTITUTE($Z208,W$1&amp;" (2)",""))&lt;lenb($Z208),2,IF(lenb(SUBSTITUTE($Z208,W$1&amp;" (3)",""))&lt;lenb($Z208),3,IF(lenb(SUBSTITUTE($Z208,W$1&amp;" (4)",""))&lt;lenb($Z208),4,IF(lenb(SUBSTITUTE($Z208,W$1&amp;" (5)",""))&lt;lenb($Z208),5,IF(lenb(SUBSTITUTE($Z208,W$1&amp;" (6)",""))&lt;lenb($Z208),6,IF(lenb(SUBSTITUTE($Z208,W$1&amp;" (7)",""))&lt;lenb($Z208),1,IF(lenb(SUBSTITUTE($Z208,W$1&amp;" (8)",""))&lt;lenb($Z208),8,IF(lenb(SUBSTITUTE($Z208,W$1&amp;" (9)",""))&lt;lenb($Z208),9,IF(lenb(SUBSTITUTE($Z208,W$1&amp;" (10)",""))&lt;lenb($Z208),10,IF(lenb(SUBSTITUTE($Z208,W$1,""))&lt;lenb($Z208),"ERROR",IF($Z208=$Y$1,"-",0))))))))))))</f>
        <v>0</v>
      </c>
      <c r="X208" s="105">
        <f t="shared" si="213"/>
        <v>0</v>
      </c>
      <c r="Y208" s="105" t="str">
        <f t="shared" si="4"/>
        <v>-</v>
      </c>
      <c r="Z208" s="104" t="s">
        <v>3400</v>
      </c>
      <c r="AA208" s="34">
        <f t="shared" si="5"/>
        <v>1</v>
      </c>
      <c r="AB208" s="34">
        <f>COUNTIFS(Links!B:B,"FSE",Links!C:C,A208,Links!AD:AD,1)</f>
        <v>0</v>
      </c>
      <c r="AC208" s="106" t="s">
        <v>35</v>
      </c>
      <c r="AD208" s="107" t="s">
        <v>35</v>
      </c>
      <c r="AE208" s="104" t="s">
        <v>36</v>
      </c>
      <c r="AF208" s="37" t="s">
        <v>42</v>
      </c>
      <c r="AG208" s="37" t="s">
        <v>42</v>
      </c>
      <c r="AH208" s="37" t="s">
        <v>42</v>
      </c>
      <c r="AI208" s="105" t="str">
        <f t="shared" si="6"/>
        <v>----</v>
      </c>
      <c r="AJ208" s="108" t="str">
        <f t="shared" si="7"/>
        <v>Paper has link but no statement</v>
      </c>
      <c r="AK208" s="109" t="s">
        <v>3401</v>
      </c>
      <c r="AL208" s="110" t="s">
        <v>3402</v>
      </c>
      <c r="AM208" s="40" t="str">
        <f t="shared" si="8"/>
        <v>[FP0703]</v>
      </c>
    </row>
    <row r="209" ht="67.5" customHeight="1">
      <c r="A209" s="41">
        <v>704.0</v>
      </c>
      <c r="B209" s="42" t="s">
        <v>3912</v>
      </c>
      <c r="C209" s="43">
        <v>2016.0</v>
      </c>
      <c r="D209" s="111" t="s">
        <v>37</v>
      </c>
      <c r="E209" s="45" t="s">
        <v>36</v>
      </c>
      <c r="F209" s="45" t="s">
        <v>36</v>
      </c>
      <c r="G209" s="45" t="s">
        <v>36</v>
      </c>
      <c r="H209" s="45" t="s">
        <v>36</v>
      </c>
      <c r="I209" s="45" t="s">
        <v>36</v>
      </c>
      <c r="J209" s="112" t="s">
        <v>3746</v>
      </c>
      <c r="K209" s="113" t="s">
        <v>37</v>
      </c>
      <c r="L209" s="114" t="s">
        <v>37</v>
      </c>
      <c r="M209" s="114" t="s">
        <v>35</v>
      </c>
      <c r="N209" s="114" t="s">
        <v>37</v>
      </c>
      <c r="O209" s="114" t="s">
        <v>35</v>
      </c>
      <c r="P209" s="114" t="s">
        <v>35</v>
      </c>
      <c r="Q209" s="114" t="s">
        <v>37</v>
      </c>
      <c r="R209" s="114" t="s">
        <v>37</v>
      </c>
      <c r="S209" s="115" t="s">
        <v>3913</v>
      </c>
      <c r="T209" s="50" t="s">
        <v>3914</v>
      </c>
      <c r="U209" s="50" t="s">
        <v>3914</v>
      </c>
      <c r="V209" s="116">
        <f t="shared" si="2"/>
        <v>1</v>
      </c>
      <c r="W209" s="116">
        <f t="shared" ref="W209:X209" si="214">IF(lenb(SUBSTITUTE($Z209,W$1&amp;" (1)",""))&lt;lenb($Z209),1,IF(lenb(SUBSTITUTE($Z209,W$1&amp;" (2)",""))&lt;lenb($Z209),2,IF(lenb(SUBSTITUTE($Z209,W$1&amp;" (3)",""))&lt;lenb($Z209),3,IF(lenb(SUBSTITUTE($Z209,W$1&amp;" (4)",""))&lt;lenb($Z209),4,IF(lenb(SUBSTITUTE($Z209,W$1&amp;" (5)",""))&lt;lenb($Z209),5,IF(lenb(SUBSTITUTE($Z209,W$1&amp;" (6)",""))&lt;lenb($Z209),6,IF(lenb(SUBSTITUTE($Z209,W$1&amp;" (7)",""))&lt;lenb($Z209),1,IF(lenb(SUBSTITUTE($Z209,W$1&amp;" (8)",""))&lt;lenb($Z209),8,IF(lenb(SUBSTITUTE($Z209,W$1&amp;" (9)",""))&lt;lenb($Z209),9,IF(lenb(SUBSTITUTE($Z209,W$1&amp;" (10)",""))&lt;lenb($Z209),10,IF(lenb(SUBSTITUTE($Z209,W$1,""))&lt;lenb($Z209),"ERROR",IF($Z209=$Y$1,"-",0))))))))))))</f>
        <v>1</v>
      </c>
      <c r="X209" s="116">
        <f t="shared" si="214"/>
        <v>0</v>
      </c>
      <c r="Y209" s="116" t="str">
        <f t="shared" si="4"/>
        <v>-</v>
      </c>
      <c r="Z209" s="115" t="s">
        <v>3441</v>
      </c>
      <c r="AA209" s="54">
        <f t="shared" si="5"/>
        <v>2</v>
      </c>
      <c r="AB209" s="54">
        <f>COUNTIFS(Links!B:B,"FSE",Links!C:C,A209,Links!AD:AD,1)</f>
        <v>1</v>
      </c>
      <c r="AC209" s="117" t="s">
        <v>35</v>
      </c>
      <c r="AD209" s="118" t="s">
        <v>35</v>
      </c>
      <c r="AE209" s="115" t="s">
        <v>36</v>
      </c>
      <c r="AF209" s="57" t="s">
        <v>42</v>
      </c>
      <c r="AG209" s="57" t="s">
        <v>42</v>
      </c>
      <c r="AH209" s="57" t="s">
        <v>42</v>
      </c>
      <c r="AI209" s="116" t="str">
        <f t="shared" si="6"/>
        <v>----</v>
      </c>
      <c r="AJ209" s="119" t="str">
        <f t="shared" si="7"/>
        <v>Paper has link but no statement</v>
      </c>
      <c r="AK209" s="120" t="s">
        <v>3401</v>
      </c>
      <c r="AL209" s="121" t="s">
        <v>3402</v>
      </c>
      <c r="AM209" s="60" t="str">
        <f t="shared" si="8"/>
        <v>[FP0704]</v>
      </c>
    </row>
    <row r="210" ht="67.5" customHeight="1">
      <c r="A210" s="61">
        <v>705.0</v>
      </c>
      <c r="B210" s="22" t="s">
        <v>3915</v>
      </c>
      <c r="C210" s="23">
        <v>2016.0</v>
      </c>
      <c r="D210" s="100" t="s">
        <v>35</v>
      </c>
      <c r="E210" s="25" t="s">
        <v>36</v>
      </c>
      <c r="F210" s="25" t="s">
        <v>36</v>
      </c>
      <c r="G210" s="25" t="s">
        <v>36</v>
      </c>
      <c r="H210" s="25" t="s">
        <v>36</v>
      </c>
      <c r="I210" s="25" t="s">
        <v>36</v>
      </c>
      <c r="J210" s="101" t="s">
        <v>36</v>
      </c>
      <c r="K210" s="102" t="s">
        <v>37</v>
      </c>
      <c r="L210" s="103" t="s">
        <v>35</v>
      </c>
      <c r="M210" s="103" t="s">
        <v>37</v>
      </c>
      <c r="N210" s="103" t="s">
        <v>35</v>
      </c>
      <c r="O210" s="103" t="s">
        <v>35</v>
      </c>
      <c r="P210" s="103" t="s">
        <v>35</v>
      </c>
      <c r="Q210" s="103" t="s">
        <v>35</v>
      </c>
      <c r="R210" s="103" t="s">
        <v>37</v>
      </c>
      <c r="S210" s="104" t="s">
        <v>3916</v>
      </c>
      <c r="T210" s="30" t="s">
        <v>3917</v>
      </c>
      <c r="U210" s="30" t="s">
        <v>3917</v>
      </c>
      <c r="V210" s="105">
        <f t="shared" si="2"/>
        <v>0</v>
      </c>
      <c r="W210" s="105">
        <f t="shared" ref="W210:X210" si="215">IF(lenb(SUBSTITUTE($Z210,W$1&amp;" (1)",""))&lt;lenb($Z210),1,IF(lenb(SUBSTITUTE($Z210,W$1&amp;" (2)",""))&lt;lenb($Z210),2,IF(lenb(SUBSTITUTE($Z210,W$1&amp;" (3)",""))&lt;lenb($Z210),3,IF(lenb(SUBSTITUTE($Z210,W$1&amp;" (4)",""))&lt;lenb($Z210),4,IF(lenb(SUBSTITUTE($Z210,W$1&amp;" (5)",""))&lt;lenb($Z210),5,IF(lenb(SUBSTITUTE($Z210,W$1&amp;" (6)",""))&lt;lenb($Z210),6,IF(lenb(SUBSTITUTE($Z210,W$1&amp;" (7)",""))&lt;lenb($Z210),1,IF(lenb(SUBSTITUTE($Z210,W$1&amp;" (8)",""))&lt;lenb($Z210),8,IF(lenb(SUBSTITUTE($Z210,W$1&amp;" (9)",""))&lt;lenb($Z210),9,IF(lenb(SUBSTITUTE($Z210,W$1&amp;" (10)",""))&lt;lenb($Z210),10,IF(lenb(SUBSTITUTE($Z210,W$1,""))&lt;lenb($Z210),"ERROR",IF($Z210=$Y$1,"-",0))))))))))))</f>
        <v>1</v>
      </c>
      <c r="X210" s="105">
        <f t="shared" si="215"/>
        <v>0</v>
      </c>
      <c r="Y210" s="105" t="str">
        <f t="shared" si="4"/>
        <v>-</v>
      </c>
      <c r="Z210" s="104" t="s">
        <v>3423</v>
      </c>
      <c r="AA210" s="34">
        <f t="shared" si="5"/>
        <v>1</v>
      </c>
      <c r="AB210" s="34">
        <f>COUNTIFS(Links!B:B,"FSE",Links!C:C,A210,Links!AD:AD,1)</f>
        <v>0</v>
      </c>
      <c r="AC210" s="106" t="s">
        <v>35</v>
      </c>
      <c r="AD210" s="107" t="s">
        <v>35</v>
      </c>
      <c r="AE210" s="104" t="s">
        <v>36</v>
      </c>
      <c r="AF210" s="37" t="s">
        <v>42</v>
      </c>
      <c r="AG210" s="37" t="s">
        <v>42</v>
      </c>
      <c r="AH210" s="37" t="s">
        <v>42</v>
      </c>
      <c r="AI210" s="105" t="str">
        <f t="shared" si="6"/>
        <v>----</v>
      </c>
      <c r="AJ210" s="108" t="str">
        <f t="shared" si="7"/>
        <v>Paper has link but no statement</v>
      </c>
      <c r="AK210" s="109" t="s">
        <v>3401</v>
      </c>
      <c r="AL210" s="110" t="s">
        <v>3402</v>
      </c>
      <c r="AM210" s="40" t="str">
        <f t="shared" si="8"/>
        <v>[FP0705]</v>
      </c>
    </row>
    <row r="211" ht="67.5" customHeight="1">
      <c r="A211" s="41">
        <v>560.0</v>
      </c>
      <c r="B211" s="42" t="s">
        <v>3918</v>
      </c>
      <c r="C211" s="43">
        <v>2017.0</v>
      </c>
      <c r="D211" s="111" t="s">
        <v>37</v>
      </c>
      <c r="E211" s="45" t="s">
        <v>37</v>
      </c>
      <c r="F211" s="45" t="s">
        <v>37</v>
      </c>
      <c r="G211" s="45" t="s">
        <v>35</v>
      </c>
      <c r="H211" s="45" t="s">
        <v>35</v>
      </c>
      <c r="I211" s="45" t="s">
        <v>35</v>
      </c>
      <c r="J211" s="112" t="s">
        <v>36</v>
      </c>
      <c r="K211" s="113" t="s">
        <v>37</v>
      </c>
      <c r="L211" s="114" t="s">
        <v>35</v>
      </c>
      <c r="M211" s="114" t="s">
        <v>37</v>
      </c>
      <c r="N211" s="114" t="s">
        <v>37</v>
      </c>
      <c r="O211" s="114" t="s">
        <v>35</v>
      </c>
      <c r="P211" s="114" t="s">
        <v>35</v>
      </c>
      <c r="Q211" s="114" t="s">
        <v>37</v>
      </c>
      <c r="R211" s="114" t="s">
        <v>37</v>
      </c>
      <c r="S211" s="115" t="s">
        <v>3919</v>
      </c>
      <c r="T211" s="124" t="s">
        <v>3920</v>
      </c>
      <c r="U211" s="124" t="s">
        <v>3920</v>
      </c>
      <c r="V211" s="116">
        <f t="shared" si="2"/>
        <v>1</v>
      </c>
      <c r="W211" s="116">
        <f t="shared" ref="W211:X211" si="216">IF(lenb(SUBSTITUTE($Z211,W$1&amp;" (1)",""))&lt;lenb($Z211),1,IF(lenb(SUBSTITUTE($Z211,W$1&amp;" (2)",""))&lt;lenb($Z211),2,IF(lenb(SUBSTITUTE($Z211,W$1&amp;" (3)",""))&lt;lenb($Z211),3,IF(lenb(SUBSTITUTE($Z211,W$1&amp;" (4)",""))&lt;lenb($Z211),4,IF(lenb(SUBSTITUTE($Z211,W$1&amp;" (5)",""))&lt;lenb($Z211),5,IF(lenb(SUBSTITUTE($Z211,W$1&amp;" (6)",""))&lt;lenb($Z211),6,IF(lenb(SUBSTITUTE($Z211,W$1&amp;" (7)",""))&lt;lenb($Z211),1,IF(lenb(SUBSTITUTE($Z211,W$1&amp;" (8)",""))&lt;lenb($Z211),8,IF(lenb(SUBSTITUTE($Z211,W$1&amp;" (9)",""))&lt;lenb($Z211),9,IF(lenb(SUBSTITUTE($Z211,W$1&amp;" (10)",""))&lt;lenb($Z211),10,IF(lenb(SUBSTITUTE($Z211,W$1,""))&lt;lenb($Z211),"ERROR",IF($Z211=$Y$1,"-",0))))))))))))</f>
        <v>0</v>
      </c>
      <c r="X211" s="116">
        <f t="shared" si="216"/>
        <v>2</v>
      </c>
      <c r="Y211" s="116" t="str">
        <f t="shared" si="4"/>
        <v>-</v>
      </c>
      <c r="Z211" s="115" t="s">
        <v>3921</v>
      </c>
      <c r="AA211" s="54">
        <f t="shared" si="5"/>
        <v>3</v>
      </c>
      <c r="AB211" s="54">
        <f>COUNTIFS(Links!B:B,"FSE",Links!C:C,A211,Links!AD:AD,1)</f>
        <v>0</v>
      </c>
      <c r="AC211" s="117" t="s">
        <v>35</v>
      </c>
      <c r="AD211" s="118" t="s">
        <v>35</v>
      </c>
      <c r="AE211" s="115" t="s">
        <v>36</v>
      </c>
      <c r="AF211" s="57" t="s">
        <v>42</v>
      </c>
      <c r="AG211" s="57" t="s">
        <v>42</v>
      </c>
      <c r="AH211" s="57" t="s">
        <v>42</v>
      </c>
      <c r="AI211" s="116" t="str">
        <f t="shared" si="6"/>
        <v>----</v>
      </c>
      <c r="AJ211" s="119" t="str">
        <f t="shared" si="7"/>
        <v>Paper has link but no statement</v>
      </c>
      <c r="AK211" s="120" t="s">
        <v>3401</v>
      </c>
      <c r="AL211" s="121" t="s">
        <v>3402</v>
      </c>
      <c r="AM211" s="60" t="str">
        <f t="shared" si="8"/>
        <v>[FP0560]</v>
      </c>
    </row>
    <row r="212" ht="67.5" customHeight="1">
      <c r="A212" s="61">
        <v>561.0</v>
      </c>
      <c r="B212" s="22" t="s">
        <v>3922</v>
      </c>
      <c r="C212" s="23">
        <v>2017.0</v>
      </c>
      <c r="D212" s="100" t="s">
        <v>35</v>
      </c>
      <c r="E212" s="25" t="s">
        <v>36</v>
      </c>
      <c r="F212" s="25" t="s">
        <v>36</v>
      </c>
      <c r="G212" s="25" t="s">
        <v>36</v>
      </c>
      <c r="H212" s="25" t="s">
        <v>36</v>
      </c>
      <c r="I212" s="25" t="s">
        <v>36</v>
      </c>
      <c r="J212" s="101" t="s">
        <v>36</v>
      </c>
      <c r="K212" s="102" t="s">
        <v>37</v>
      </c>
      <c r="L212" s="103" t="s">
        <v>35</v>
      </c>
      <c r="M212" s="103" t="s">
        <v>35</v>
      </c>
      <c r="N212" s="103" t="s">
        <v>35</v>
      </c>
      <c r="O212" s="103" t="s">
        <v>35</v>
      </c>
      <c r="P212" s="103" t="s">
        <v>35</v>
      </c>
      <c r="Q212" s="103" t="s">
        <v>35</v>
      </c>
      <c r="R212" s="103" t="s">
        <v>37</v>
      </c>
      <c r="S212" s="104" t="s">
        <v>3923</v>
      </c>
      <c r="T212" s="30" t="s">
        <v>3924</v>
      </c>
      <c r="U212" s="30" t="s">
        <v>3924</v>
      </c>
      <c r="V212" s="105">
        <f t="shared" si="2"/>
        <v>1</v>
      </c>
      <c r="W212" s="105">
        <f t="shared" ref="W212:X212" si="217">IF(lenb(SUBSTITUTE($Z212,W$1&amp;" (1)",""))&lt;lenb($Z212),1,IF(lenb(SUBSTITUTE($Z212,W$1&amp;" (2)",""))&lt;lenb($Z212),2,IF(lenb(SUBSTITUTE($Z212,W$1&amp;" (3)",""))&lt;lenb($Z212),3,IF(lenb(SUBSTITUTE($Z212,W$1&amp;" (4)",""))&lt;lenb($Z212),4,IF(lenb(SUBSTITUTE($Z212,W$1&amp;" (5)",""))&lt;lenb($Z212),5,IF(lenb(SUBSTITUTE($Z212,W$1&amp;" (6)",""))&lt;lenb($Z212),6,IF(lenb(SUBSTITUTE($Z212,W$1&amp;" (7)",""))&lt;lenb($Z212),1,IF(lenb(SUBSTITUTE($Z212,W$1&amp;" (8)",""))&lt;lenb($Z212),8,IF(lenb(SUBSTITUTE($Z212,W$1&amp;" (9)",""))&lt;lenb($Z212),9,IF(lenb(SUBSTITUTE($Z212,W$1&amp;" (10)",""))&lt;lenb($Z212),10,IF(lenb(SUBSTITUTE($Z212,W$1,""))&lt;lenb($Z212),"ERROR",IF($Z212=$Y$1,"-",0))))))))))))</f>
        <v>0</v>
      </c>
      <c r="X212" s="105">
        <f t="shared" si="217"/>
        <v>0</v>
      </c>
      <c r="Y212" s="105" t="str">
        <f t="shared" si="4"/>
        <v>-</v>
      </c>
      <c r="Z212" s="104" t="s">
        <v>3400</v>
      </c>
      <c r="AA212" s="34">
        <f t="shared" si="5"/>
        <v>1</v>
      </c>
      <c r="AB212" s="34">
        <f>COUNTIFS(Links!B:B,"FSE",Links!C:C,A212,Links!AD:AD,1)</f>
        <v>0</v>
      </c>
      <c r="AC212" s="106" t="s">
        <v>35</v>
      </c>
      <c r="AD212" s="107" t="s">
        <v>35</v>
      </c>
      <c r="AE212" s="104" t="s">
        <v>36</v>
      </c>
      <c r="AF212" s="37" t="s">
        <v>42</v>
      </c>
      <c r="AG212" s="37" t="s">
        <v>42</v>
      </c>
      <c r="AH212" s="37" t="s">
        <v>42</v>
      </c>
      <c r="AI212" s="105" t="str">
        <f t="shared" si="6"/>
        <v>----</v>
      </c>
      <c r="AJ212" s="108" t="str">
        <f t="shared" si="7"/>
        <v>Paper has link but no statement</v>
      </c>
      <c r="AK212" s="109" t="s">
        <v>3401</v>
      </c>
      <c r="AL212" s="110" t="s">
        <v>3402</v>
      </c>
      <c r="AM212" s="40" t="str">
        <f t="shared" si="8"/>
        <v>[FP0561]</v>
      </c>
    </row>
    <row r="213" ht="67.5" customHeight="1">
      <c r="A213" s="41">
        <v>562.0</v>
      </c>
      <c r="B213" s="42" t="s">
        <v>3925</v>
      </c>
      <c r="C213" s="43">
        <v>2017.0</v>
      </c>
      <c r="D213" s="111" t="s">
        <v>35</v>
      </c>
      <c r="E213" s="45" t="s">
        <v>36</v>
      </c>
      <c r="F213" s="45" t="s">
        <v>36</v>
      </c>
      <c r="G213" s="45" t="s">
        <v>36</v>
      </c>
      <c r="H213" s="45" t="s">
        <v>36</v>
      </c>
      <c r="I213" s="45" t="s">
        <v>36</v>
      </c>
      <c r="J213" s="112" t="s">
        <v>36</v>
      </c>
      <c r="K213" s="113" t="s">
        <v>37</v>
      </c>
      <c r="L213" s="114" t="s">
        <v>35</v>
      </c>
      <c r="M213" s="114" t="s">
        <v>37</v>
      </c>
      <c r="N213" s="114" t="s">
        <v>35</v>
      </c>
      <c r="O213" s="114" t="s">
        <v>35</v>
      </c>
      <c r="P213" s="114" t="s">
        <v>35</v>
      </c>
      <c r="Q213" s="114" t="s">
        <v>35</v>
      </c>
      <c r="R213" s="114" t="s">
        <v>37</v>
      </c>
      <c r="S213" s="115" t="s">
        <v>3926</v>
      </c>
      <c r="T213" s="50" t="s">
        <v>3927</v>
      </c>
      <c r="U213" s="50" t="s">
        <v>3927</v>
      </c>
      <c r="V213" s="116">
        <f t="shared" si="2"/>
        <v>0</v>
      </c>
      <c r="W213" s="116">
        <f t="shared" ref="W213:X213" si="218">IF(lenb(SUBSTITUTE($Z213,W$1&amp;" (1)",""))&lt;lenb($Z213),1,IF(lenb(SUBSTITUTE($Z213,W$1&amp;" (2)",""))&lt;lenb($Z213),2,IF(lenb(SUBSTITUTE($Z213,W$1&amp;" (3)",""))&lt;lenb($Z213),3,IF(lenb(SUBSTITUTE($Z213,W$1&amp;" (4)",""))&lt;lenb($Z213),4,IF(lenb(SUBSTITUTE($Z213,W$1&amp;" (5)",""))&lt;lenb($Z213),5,IF(lenb(SUBSTITUTE($Z213,W$1&amp;" (6)",""))&lt;lenb($Z213),6,IF(lenb(SUBSTITUTE($Z213,W$1&amp;" (7)",""))&lt;lenb($Z213),1,IF(lenb(SUBSTITUTE($Z213,W$1&amp;" (8)",""))&lt;lenb($Z213),8,IF(lenb(SUBSTITUTE($Z213,W$1&amp;" (9)",""))&lt;lenb($Z213),9,IF(lenb(SUBSTITUTE($Z213,W$1&amp;" (10)",""))&lt;lenb($Z213),10,IF(lenb(SUBSTITUTE($Z213,W$1,""))&lt;lenb($Z213),"ERROR",IF($Z213=$Y$1,"-",0))))))))))))</f>
        <v>1</v>
      </c>
      <c r="X213" s="116">
        <f t="shared" si="218"/>
        <v>0</v>
      </c>
      <c r="Y213" s="116" t="str">
        <f t="shared" si="4"/>
        <v>-</v>
      </c>
      <c r="Z213" s="115" t="s">
        <v>3423</v>
      </c>
      <c r="AA213" s="54">
        <f t="shared" si="5"/>
        <v>1</v>
      </c>
      <c r="AB213" s="54">
        <f>COUNTIFS(Links!B:B,"FSE",Links!C:C,A213,Links!AD:AD,1)</f>
        <v>1</v>
      </c>
      <c r="AC213" s="117" t="s">
        <v>35</v>
      </c>
      <c r="AD213" s="118" t="s">
        <v>35</v>
      </c>
      <c r="AE213" s="115" t="s">
        <v>36</v>
      </c>
      <c r="AF213" s="57" t="s">
        <v>42</v>
      </c>
      <c r="AG213" s="57" t="s">
        <v>42</v>
      </c>
      <c r="AH213" s="57" t="s">
        <v>42</v>
      </c>
      <c r="AI213" s="116" t="str">
        <f t="shared" si="6"/>
        <v>----</v>
      </c>
      <c r="AJ213" s="119" t="str">
        <f t="shared" si="7"/>
        <v>Paper has link but no statement</v>
      </c>
      <c r="AK213" s="120" t="s">
        <v>3401</v>
      </c>
      <c r="AL213" s="121" t="s">
        <v>3402</v>
      </c>
      <c r="AM213" s="60" t="str">
        <f t="shared" si="8"/>
        <v>[FP0562]</v>
      </c>
    </row>
    <row r="214" ht="67.5" customHeight="1">
      <c r="A214" s="61">
        <v>563.0</v>
      </c>
      <c r="B214" s="22" t="s">
        <v>3928</v>
      </c>
      <c r="C214" s="23">
        <v>2017.0</v>
      </c>
      <c r="D214" s="100" t="s">
        <v>35</v>
      </c>
      <c r="E214" s="25" t="s">
        <v>36</v>
      </c>
      <c r="F214" s="25" t="s">
        <v>36</v>
      </c>
      <c r="G214" s="25" t="s">
        <v>36</v>
      </c>
      <c r="H214" s="25" t="s">
        <v>36</v>
      </c>
      <c r="I214" s="25" t="s">
        <v>36</v>
      </c>
      <c r="J214" s="101" t="s">
        <v>36</v>
      </c>
      <c r="K214" s="102" t="s">
        <v>37</v>
      </c>
      <c r="L214" s="103" t="s">
        <v>37</v>
      </c>
      <c r="M214" s="103" t="s">
        <v>35</v>
      </c>
      <c r="N214" s="103" t="s">
        <v>37</v>
      </c>
      <c r="O214" s="103" t="s">
        <v>35</v>
      </c>
      <c r="P214" s="103" t="s">
        <v>35</v>
      </c>
      <c r="Q214" s="103" t="s">
        <v>35</v>
      </c>
      <c r="R214" s="103" t="s">
        <v>35</v>
      </c>
      <c r="S214" s="104" t="s">
        <v>36</v>
      </c>
      <c r="T214" s="30" t="s">
        <v>3929</v>
      </c>
      <c r="U214" s="30" t="s">
        <v>3929</v>
      </c>
      <c r="V214" s="105">
        <f t="shared" si="2"/>
        <v>1</v>
      </c>
      <c r="W214" s="105">
        <f t="shared" ref="W214:X214" si="219">IF(lenb(SUBSTITUTE($Z214,W$1&amp;" (1)",""))&lt;lenb($Z214),1,IF(lenb(SUBSTITUTE($Z214,W$1&amp;" (2)",""))&lt;lenb($Z214),2,IF(lenb(SUBSTITUTE($Z214,W$1&amp;" (3)",""))&lt;lenb($Z214),3,IF(lenb(SUBSTITUTE($Z214,W$1&amp;" (4)",""))&lt;lenb($Z214),4,IF(lenb(SUBSTITUTE($Z214,W$1&amp;" (5)",""))&lt;lenb($Z214),5,IF(lenb(SUBSTITUTE($Z214,W$1&amp;" (6)",""))&lt;lenb($Z214),6,IF(lenb(SUBSTITUTE($Z214,W$1&amp;" (7)",""))&lt;lenb($Z214),1,IF(lenb(SUBSTITUTE($Z214,W$1&amp;" (8)",""))&lt;lenb($Z214),8,IF(lenb(SUBSTITUTE($Z214,W$1&amp;" (9)",""))&lt;lenb($Z214),9,IF(lenb(SUBSTITUTE($Z214,W$1&amp;" (10)",""))&lt;lenb($Z214),10,IF(lenb(SUBSTITUTE($Z214,W$1,""))&lt;lenb($Z214),"ERROR",IF($Z214=$Y$1,"-",0))))))))))))</f>
        <v>0</v>
      </c>
      <c r="X214" s="105">
        <f t="shared" si="219"/>
        <v>0</v>
      </c>
      <c r="Y214" s="105" t="str">
        <f t="shared" si="4"/>
        <v>-</v>
      </c>
      <c r="Z214" s="104" t="s">
        <v>3400</v>
      </c>
      <c r="AA214" s="34">
        <f t="shared" si="5"/>
        <v>1</v>
      </c>
      <c r="AB214" s="34">
        <f>COUNTIFS(Links!B:B,"FSE",Links!C:C,A214,Links!AD:AD,1)</f>
        <v>0</v>
      </c>
      <c r="AC214" s="106" t="s">
        <v>35</v>
      </c>
      <c r="AD214" s="107" t="s">
        <v>35</v>
      </c>
      <c r="AE214" s="104" t="s">
        <v>36</v>
      </c>
      <c r="AF214" s="37" t="s">
        <v>42</v>
      </c>
      <c r="AG214" s="37" t="s">
        <v>42</v>
      </c>
      <c r="AH214" s="37" t="s">
        <v>42</v>
      </c>
      <c r="AI214" s="105" t="str">
        <f t="shared" si="6"/>
        <v>----</v>
      </c>
      <c r="AJ214" s="108" t="str">
        <f t="shared" si="7"/>
        <v>Paper has link but no statement</v>
      </c>
      <c r="AK214" s="109" t="s">
        <v>3401</v>
      </c>
      <c r="AL214" s="110" t="s">
        <v>3402</v>
      </c>
      <c r="AM214" s="40" t="str">
        <f t="shared" si="8"/>
        <v>[FP0563]</v>
      </c>
    </row>
    <row r="215" ht="67.5" customHeight="1">
      <c r="A215" s="41">
        <v>564.0</v>
      </c>
      <c r="B215" s="42" t="s">
        <v>3930</v>
      </c>
      <c r="C215" s="43">
        <v>2017.0</v>
      </c>
      <c r="D215" s="111" t="s">
        <v>35</v>
      </c>
      <c r="E215" s="45" t="s">
        <v>36</v>
      </c>
      <c r="F215" s="45" t="s">
        <v>36</v>
      </c>
      <c r="G215" s="45" t="s">
        <v>36</v>
      </c>
      <c r="H215" s="45" t="s">
        <v>36</v>
      </c>
      <c r="I215" s="45" t="s">
        <v>36</v>
      </c>
      <c r="J215" s="112" t="s">
        <v>36</v>
      </c>
      <c r="K215" s="113" t="s">
        <v>35</v>
      </c>
      <c r="L215" s="114" t="s">
        <v>36</v>
      </c>
      <c r="M215" s="114" t="s">
        <v>36</v>
      </c>
      <c r="N215" s="114" t="s">
        <v>36</v>
      </c>
      <c r="O215" s="114" t="s">
        <v>36</v>
      </c>
      <c r="P215" s="114" t="s">
        <v>36</v>
      </c>
      <c r="Q215" s="114" t="s">
        <v>36</v>
      </c>
      <c r="R215" s="114" t="s">
        <v>36</v>
      </c>
      <c r="S215" s="115" t="s">
        <v>42</v>
      </c>
      <c r="T215" s="50" t="s">
        <v>36</v>
      </c>
      <c r="U215" s="50" t="s">
        <v>36</v>
      </c>
      <c r="V215" s="116" t="str">
        <f t="shared" si="2"/>
        <v>-</v>
      </c>
      <c r="W215" s="116" t="str">
        <f t="shared" ref="W215:X215" si="220">IF(lenb(SUBSTITUTE($Z215,W$1&amp;" (1)",""))&lt;lenb($Z215),1,IF(lenb(SUBSTITUTE($Z215,W$1&amp;" (2)",""))&lt;lenb($Z215),2,IF(lenb(SUBSTITUTE($Z215,W$1&amp;" (3)",""))&lt;lenb($Z215),3,IF(lenb(SUBSTITUTE($Z215,W$1&amp;" (4)",""))&lt;lenb($Z215),4,IF(lenb(SUBSTITUTE($Z215,W$1&amp;" (5)",""))&lt;lenb($Z215),5,IF(lenb(SUBSTITUTE($Z215,W$1&amp;" (6)",""))&lt;lenb($Z215),6,IF(lenb(SUBSTITUTE($Z215,W$1&amp;" (7)",""))&lt;lenb($Z215),1,IF(lenb(SUBSTITUTE($Z215,W$1&amp;" (8)",""))&lt;lenb($Z215),8,IF(lenb(SUBSTITUTE($Z215,W$1&amp;" (9)",""))&lt;lenb($Z215),9,IF(lenb(SUBSTITUTE($Z215,W$1&amp;" (10)",""))&lt;lenb($Z215),10,IF(lenb(SUBSTITUTE($Z215,W$1,""))&lt;lenb($Z215),"ERROR",IF($Z215=$Y$1,"-",0))))))))))))</f>
        <v>-</v>
      </c>
      <c r="X215" s="116" t="str">
        <f t="shared" si="220"/>
        <v>-</v>
      </c>
      <c r="Y215" s="116">
        <f t="shared" si="4"/>
        <v>1</v>
      </c>
      <c r="Z215" s="115" t="s">
        <v>23</v>
      </c>
      <c r="AA215" s="54">
        <f t="shared" si="5"/>
        <v>0</v>
      </c>
      <c r="AB215" s="54">
        <f>COUNTIFS(Links!B:B,"FSE",Links!C:C,A215,Links!AD:AD,1)</f>
        <v>0</v>
      </c>
      <c r="AC215" s="117" t="s">
        <v>36</v>
      </c>
      <c r="AD215" s="118" t="s">
        <v>35</v>
      </c>
      <c r="AE215" s="115" t="s">
        <v>36</v>
      </c>
      <c r="AF215" s="57" t="s">
        <v>42</v>
      </c>
      <c r="AG215" s="57" t="s">
        <v>42</v>
      </c>
      <c r="AH215" s="57" t="s">
        <v>42</v>
      </c>
      <c r="AI215" s="116" t="str">
        <f t="shared" si="6"/>
        <v>----</v>
      </c>
      <c r="AJ215" s="119" t="str">
        <f t="shared" si="7"/>
        <v>Paper has no link and no statement</v>
      </c>
      <c r="AK215" s="120" t="s">
        <v>3401</v>
      </c>
      <c r="AL215" s="121" t="s">
        <v>3402</v>
      </c>
      <c r="AM215" s="60" t="str">
        <f t="shared" si="8"/>
        <v>[FP0564]</v>
      </c>
    </row>
    <row r="216" ht="67.5" customHeight="1">
      <c r="A216" s="61">
        <v>565.0</v>
      </c>
      <c r="B216" s="22" t="s">
        <v>3931</v>
      </c>
      <c r="C216" s="23">
        <v>2017.0</v>
      </c>
      <c r="D216" s="100" t="s">
        <v>35</v>
      </c>
      <c r="E216" s="25" t="s">
        <v>36</v>
      </c>
      <c r="F216" s="25" t="s">
        <v>36</v>
      </c>
      <c r="G216" s="25" t="s">
        <v>36</v>
      </c>
      <c r="H216" s="25" t="s">
        <v>36</v>
      </c>
      <c r="I216" s="25" t="s">
        <v>36</v>
      </c>
      <c r="J216" s="101" t="s">
        <v>36</v>
      </c>
      <c r="K216" s="102" t="s">
        <v>37</v>
      </c>
      <c r="L216" s="103" t="s">
        <v>37</v>
      </c>
      <c r="M216" s="103" t="s">
        <v>35</v>
      </c>
      <c r="N216" s="103" t="s">
        <v>35</v>
      </c>
      <c r="O216" s="103" t="s">
        <v>35</v>
      </c>
      <c r="P216" s="103" t="s">
        <v>35</v>
      </c>
      <c r="Q216" s="103" t="s">
        <v>35</v>
      </c>
      <c r="R216" s="103" t="s">
        <v>37</v>
      </c>
      <c r="S216" s="104" t="s">
        <v>3932</v>
      </c>
      <c r="T216" s="30" t="s">
        <v>3933</v>
      </c>
      <c r="U216" s="30" t="s">
        <v>3933</v>
      </c>
      <c r="V216" s="105">
        <f t="shared" si="2"/>
        <v>1</v>
      </c>
      <c r="W216" s="105">
        <f t="shared" ref="W216:X216" si="221">IF(lenb(SUBSTITUTE($Z216,W$1&amp;" (1)",""))&lt;lenb($Z216),1,IF(lenb(SUBSTITUTE($Z216,W$1&amp;" (2)",""))&lt;lenb($Z216),2,IF(lenb(SUBSTITUTE($Z216,W$1&amp;" (3)",""))&lt;lenb($Z216),3,IF(lenb(SUBSTITUTE($Z216,W$1&amp;" (4)",""))&lt;lenb($Z216),4,IF(lenb(SUBSTITUTE($Z216,W$1&amp;" (5)",""))&lt;lenb($Z216),5,IF(lenb(SUBSTITUTE($Z216,W$1&amp;" (6)",""))&lt;lenb($Z216),6,IF(lenb(SUBSTITUTE($Z216,W$1&amp;" (7)",""))&lt;lenb($Z216),1,IF(lenb(SUBSTITUTE($Z216,W$1&amp;" (8)",""))&lt;lenb($Z216),8,IF(lenb(SUBSTITUTE($Z216,W$1&amp;" (9)",""))&lt;lenb($Z216),9,IF(lenb(SUBSTITUTE($Z216,W$1&amp;" (10)",""))&lt;lenb($Z216),10,IF(lenb(SUBSTITUTE($Z216,W$1,""))&lt;lenb($Z216),"ERROR",IF($Z216=$Y$1,"-",0))))))))))))</f>
        <v>0</v>
      </c>
      <c r="X216" s="105">
        <f t="shared" si="221"/>
        <v>0</v>
      </c>
      <c r="Y216" s="105" t="str">
        <f t="shared" si="4"/>
        <v>-</v>
      </c>
      <c r="Z216" s="104" t="s">
        <v>3400</v>
      </c>
      <c r="AA216" s="34">
        <f t="shared" si="5"/>
        <v>1</v>
      </c>
      <c r="AB216" s="34">
        <f>COUNTIFS(Links!B:B,"FSE",Links!C:C,A216,Links!AD:AD,1)</f>
        <v>0</v>
      </c>
      <c r="AC216" s="106" t="s">
        <v>35</v>
      </c>
      <c r="AD216" s="107" t="s">
        <v>35</v>
      </c>
      <c r="AE216" s="104" t="s">
        <v>36</v>
      </c>
      <c r="AF216" s="37" t="s">
        <v>42</v>
      </c>
      <c r="AG216" s="37" t="s">
        <v>42</v>
      </c>
      <c r="AH216" s="37" t="s">
        <v>42</v>
      </c>
      <c r="AI216" s="105" t="str">
        <f t="shared" si="6"/>
        <v>----</v>
      </c>
      <c r="AJ216" s="108" t="str">
        <f t="shared" si="7"/>
        <v>Paper has link but no statement</v>
      </c>
      <c r="AK216" s="109" t="s">
        <v>3401</v>
      </c>
      <c r="AL216" s="110" t="s">
        <v>3402</v>
      </c>
      <c r="AM216" s="40" t="str">
        <f t="shared" si="8"/>
        <v>[FP0565]</v>
      </c>
    </row>
    <row r="217" ht="67.5" customHeight="1">
      <c r="A217" s="41">
        <v>566.0</v>
      </c>
      <c r="B217" s="42" t="s">
        <v>3934</v>
      </c>
      <c r="C217" s="43">
        <v>2017.0</v>
      </c>
      <c r="D217" s="111" t="s">
        <v>35</v>
      </c>
      <c r="E217" s="45" t="s">
        <v>36</v>
      </c>
      <c r="F217" s="45" t="s">
        <v>36</v>
      </c>
      <c r="G217" s="45" t="s">
        <v>36</v>
      </c>
      <c r="H217" s="45" t="s">
        <v>36</v>
      </c>
      <c r="I217" s="45" t="s">
        <v>36</v>
      </c>
      <c r="J217" s="112" t="s">
        <v>36</v>
      </c>
      <c r="K217" s="113" t="s">
        <v>37</v>
      </c>
      <c r="L217" s="114" t="s">
        <v>35</v>
      </c>
      <c r="M217" s="114" t="s">
        <v>37</v>
      </c>
      <c r="N217" s="114" t="s">
        <v>35</v>
      </c>
      <c r="O217" s="114" t="s">
        <v>35</v>
      </c>
      <c r="P217" s="114" t="s">
        <v>35</v>
      </c>
      <c r="Q217" s="114" t="s">
        <v>35</v>
      </c>
      <c r="R217" s="114" t="s">
        <v>37</v>
      </c>
      <c r="S217" s="115" t="s">
        <v>3935</v>
      </c>
      <c r="T217" s="50" t="s">
        <v>3936</v>
      </c>
      <c r="U217" s="50" t="s">
        <v>3936</v>
      </c>
      <c r="V217" s="116">
        <f t="shared" si="2"/>
        <v>0</v>
      </c>
      <c r="W217" s="116">
        <f t="shared" ref="W217:X217" si="222">IF(lenb(SUBSTITUTE($Z217,W$1&amp;" (1)",""))&lt;lenb($Z217),1,IF(lenb(SUBSTITUTE($Z217,W$1&amp;" (2)",""))&lt;lenb($Z217),2,IF(lenb(SUBSTITUTE($Z217,W$1&amp;" (3)",""))&lt;lenb($Z217),3,IF(lenb(SUBSTITUTE($Z217,W$1&amp;" (4)",""))&lt;lenb($Z217),4,IF(lenb(SUBSTITUTE($Z217,W$1&amp;" (5)",""))&lt;lenb($Z217),5,IF(lenb(SUBSTITUTE($Z217,W$1&amp;" (6)",""))&lt;lenb($Z217),6,IF(lenb(SUBSTITUTE($Z217,W$1&amp;" (7)",""))&lt;lenb($Z217),1,IF(lenb(SUBSTITUTE($Z217,W$1&amp;" (8)",""))&lt;lenb($Z217),8,IF(lenb(SUBSTITUTE($Z217,W$1&amp;" (9)",""))&lt;lenb($Z217),9,IF(lenb(SUBSTITUTE($Z217,W$1&amp;" (10)",""))&lt;lenb($Z217),10,IF(lenb(SUBSTITUTE($Z217,W$1,""))&lt;lenb($Z217),"ERROR",IF($Z217=$Y$1,"-",0))))))))))))</f>
        <v>1</v>
      </c>
      <c r="X217" s="116">
        <f t="shared" si="222"/>
        <v>0</v>
      </c>
      <c r="Y217" s="116" t="str">
        <f t="shared" si="4"/>
        <v>-</v>
      </c>
      <c r="Z217" s="115" t="s">
        <v>3423</v>
      </c>
      <c r="AA217" s="54">
        <f t="shared" si="5"/>
        <v>1</v>
      </c>
      <c r="AB217" s="54">
        <f>COUNTIFS(Links!B:B,"FSE",Links!C:C,A217,Links!AD:AD,1)</f>
        <v>0</v>
      </c>
      <c r="AC217" s="117" t="s">
        <v>35</v>
      </c>
      <c r="AD217" s="118" t="s">
        <v>35</v>
      </c>
      <c r="AE217" s="115" t="s">
        <v>36</v>
      </c>
      <c r="AF217" s="57" t="s">
        <v>42</v>
      </c>
      <c r="AG217" s="57" t="s">
        <v>42</v>
      </c>
      <c r="AH217" s="57" t="s">
        <v>42</v>
      </c>
      <c r="AI217" s="116" t="str">
        <f t="shared" si="6"/>
        <v>----</v>
      </c>
      <c r="AJ217" s="119" t="str">
        <f t="shared" si="7"/>
        <v>Paper has link but no statement</v>
      </c>
      <c r="AK217" s="120" t="s">
        <v>3401</v>
      </c>
      <c r="AL217" s="121" t="s">
        <v>3402</v>
      </c>
      <c r="AM217" s="60" t="str">
        <f t="shared" si="8"/>
        <v>[FP0566]</v>
      </c>
    </row>
    <row r="218" ht="67.5" customHeight="1">
      <c r="A218" s="61">
        <v>567.0</v>
      </c>
      <c r="B218" s="22" t="s">
        <v>3937</v>
      </c>
      <c r="C218" s="23">
        <v>2017.0</v>
      </c>
      <c r="D218" s="100" t="s">
        <v>35</v>
      </c>
      <c r="E218" s="25" t="s">
        <v>36</v>
      </c>
      <c r="F218" s="25" t="s">
        <v>36</v>
      </c>
      <c r="G218" s="25" t="s">
        <v>36</v>
      </c>
      <c r="H218" s="25" t="s">
        <v>36</v>
      </c>
      <c r="I218" s="25" t="s">
        <v>36</v>
      </c>
      <c r="J218" s="101" t="s">
        <v>36</v>
      </c>
      <c r="K218" s="102" t="s">
        <v>37</v>
      </c>
      <c r="L218" s="103" t="s">
        <v>35</v>
      </c>
      <c r="M218" s="103" t="s">
        <v>35</v>
      </c>
      <c r="N218" s="103" t="s">
        <v>35</v>
      </c>
      <c r="O218" s="103" t="s">
        <v>35</v>
      </c>
      <c r="P218" s="103" t="s">
        <v>37</v>
      </c>
      <c r="Q218" s="103" t="s">
        <v>35</v>
      </c>
      <c r="R218" s="103" t="s">
        <v>37</v>
      </c>
      <c r="S218" s="104" t="s">
        <v>3938</v>
      </c>
      <c r="T218" s="30" t="s">
        <v>3939</v>
      </c>
      <c r="U218" s="30" t="s">
        <v>3939</v>
      </c>
      <c r="V218" s="105">
        <f t="shared" si="2"/>
        <v>1</v>
      </c>
      <c r="W218" s="105">
        <f t="shared" ref="W218:X218" si="223">IF(lenb(SUBSTITUTE($Z218,W$1&amp;" (1)",""))&lt;lenb($Z218),1,IF(lenb(SUBSTITUTE($Z218,W$1&amp;" (2)",""))&lt;lenb($Z218),2,IF(lenb(SUBSTITUTE($Z218,W$1&amp;" (3)",""))&lt;lenb($Z218),3,IF(lenb(SUBSTITUTE($Z218,W$1&amp;" (4)",""))&lt;lenb($Z218),4,IF(lenb(SUBSTITUTE($Z218,W$1&amp;" (5)",""))&lt;lenb($Z218),5,IF(lenb(SUBSTITUTE($Z218,W$1&amp;" (6)",""))&lt;lenb($Z218),6,IF(lenb(SUBSTITUTE($Z218,W$1&amp;" (7)",""))&lt;lenb($Z218),1,IF(lenb(SUBSTITUTE($Z218,W$1&amp;" (8)",""))&lt;lenb($Z218),8,IF(lenb(SUBSTITUTE($Z218,W$1&amp;" (9)",""))&lt;lenb($Z218),9,IF(lenb(SUBSTITUTE($Z218,W$1&amp;" (10)",""))&lt;lenb($Z218),10,IF(lenb(SUBSTITUTE($Z218,W$1,""))&lt;lenb($Z218),"ERROR",IF($Z218=$Y$1,"-",0))))))))))))</f>
        <v>0</v>
      </c>
      <c r="X218" s="105">
        <f t="shared" si="223"/>
        <v>0</v>
      </c>
      <c r="Y218" s="105" t="str">
        <f t="shared" si="4"/>
        <v>-</v>
      </c>
      <c r="Z218" s="104" t="s">
        <v>3400</v>
      </c>
      <c r="AA218" s="34">
        <f t="shared" si="5"/>
        <v>1</v>
      </c>
      <c r="AB218" s="34">
        <f>COUNTIFS(Links!B:B,"FSE",Links!C:C,A218,Links!AD:AD,1)</f>
        <v>1</v>
      </c>
      <c r="AC218" s="106" t="s">
        <v>35</v>
      </c>
      <c r="AD218" s="107" t="s">
        <v>35</v>
      </c>
      <c r="AE218" s="104" t="s">
        <v>36</v>
      </c>
      <c r="AF218" s="37" t="s">
        <v>42</v>
      </c>
      <c r="AG218" s="37" t="s">
        <v>42</v>
      </c>
      <c r="AH218" s="37" t="s">
        <v>42</v>
      </c>
      <c r="AI218" s="105" t="str">
        <f t="shared" si="6"/>
        <v>----</v>
      </c>
      <c r="AJ218" s="108" t="str">
        <f t="shared" si="7"/>
        <v>Paper has link but no statement</v>
      </c>
      <c r="AK218" s="109" t="s">
        <v>3401</v>
      </c>
      <c r="AL218" s="110" t="s">
        <v>3402</v>
      </c>
      <c r="AM218" s="40" t="str">
        <f t="shared" si="8"/>
        <v>[FP0567]</v>
      </c>
    </row>
    <row r="219" ht="67.5" customHeight="1">
      <c r="A219" s="41">
        <v>568.0</v>
      </c>
      <c r="B219" s="42" t="s">
        <v>3940</v>
      </c>
      <c r="C219" s="43">
        <v>2017.0</v>
      </c>
      <c r="D219" s="111" t="s">
        <v>37</v>
      </c>
      <c r="E219" s="45" t="s">
        <v>35</v>
      </c>
      <c r="F219" s="45" t="s">
        <v>35</v>
      </c>
      <c r="G219" s="45" t="s">
        <v>37</v>
      </c>
      <c r="H219" s="45" t="s">
        <v>35</v>
      </c>
      <c r="I219" s="45" t="s">
        <v>35</v>
      </c>
      <c r="J219" s="112" t="s">
        <v>36</v>
      </c>
      <c r="K219" s="113" t="s">
        <v>37</v>
      </c>
      <c r="L219" s="114" t="s">
        <v>37</v>
      </c>
      <c r="M219" s="114" t="s">
        <v>35</v>
      </c>
      <c r="N219" s="114" t="s">
        <v>37</v>
      </c>
      <c r="O219" s="114" t="s">
        <v>35</v>
      </c>
      <c r="P219" s="114" t="s">
        <v>35</v>
      </c>
      <c r="Q219" s="114" t="s">
        <v>35</v>
      </c>
      <c r="R219" s="114" t="s">
        <v>35</v>
      </c>
      <c r="S219" s="115" t="s">
        <v>3941</v>
      </c>
      <c r="T219" s="50" t="s">
        <v>3942</v>
      </c>
      <c r="U219" s="50" t="s">
        <v>3942</v>
      </c>
      <c r="V219" s="116">
        <f t="shared" si="2"/>
        <v>1</v>
      </c>
      <c r="W219" s="116">
        <f t="shared" ref="W219:X219" si="224">IF(lenb(SUBSTITUTE($Z219,W$1&amp;" (1)",""))&lt;lenb($Z219),1,IF(lenb(SUBSTITUTE($Z219,W$1&amp;" (2)",""))&lt;lenb($Z219),2,IF(lenb(SUBSTITUTE($Z219,W$1&amp;" (3)",""))&lt;lenb($Z219),3,IF(lenb(SUBSTITUTE($Z219,W$1&amp;" (4)",""))&lt;lenb($Z219),4,IF(lenb(SUBSTITUTE($Z219,W$1&amp;" (5)",""))&lt;lenb($Z219),5,IF(lenb(SUBSTITUTE($Z219,W$1&amp;" (6)",""))&lt;lenb($Z219),6,IF(lenb(SUBSTITUTE($Z219,W$1&amp;" (7)",""))&lt;lenb($Z219),1,IF(lenb(SUBSTITUTE($Z219,W$1&amp;" (8)",""))&lt;lenb($Z219),8,IF(lenb(SUBSTITUTE($Z219,W$1&amp;" (9)",""))&lt;lenb($Z219),9,IF(lenb(SUBSTITUTE($Z219,W$1&amp;" (10)",""))&lt;lenb($Z219),10,IF(lenb(SUBSTITUTE($Z219,W$1,""))&lt;lenb($Z219),"ERROR",IF($Z219=$Y$1,"-",0))))))))))))</f>
        <v>0</v>
      </c>
      <c r="X219" s="116">
        <f t="shared" si="224"/>
        <v>0</v>
      </c>
      <c r="Y219" s="116" t="str">
        <f t="shared" si="4"/>
        <v>-</v>
      </c>
      <c r="Z219" s="115" t="s">
        <v>3400</v>
      </c>
      <c r="AA219" s="54">
        <f t="shared" si="5"/>
        <v>1</v>
      </c>
      <c r="AB219" s="54">
        <f>COUNTIFS(Links!B:B,"FSE",Links!C:C,A219,Links!AD:AD,1)</f>
        <v>1</v>
      </c>
      <c r="AC219" s="117" t="s">
        <v>35</v>
      </c>
      <c r="AD219" s="118" t="s">
        <v>35</v>
      </c>
      <c r="AE219" s="115" t="s">
        <v>36</v>
      </c>
      <c r="AF219" s="57" t="s">
        <v>42</v>
      </c>
      <c r="AG219" s="57" t="s">
        <v>42</v>
      </c>
      <c r="AH219" s="57" t="s">
        <v>42</v>
      </c>
      <c r="AI219" s="116" t="str">
        <f t="shared" si="6"/>
        <v>----</v>
      </c>
      <c r="AJ219" s="119" t="str">
        <f t="shared" si="7"/>
        <v>Paper has link but no statement</v>
      </c>
      <c r="AK219" s="120" t="s">
        <v>3401</v>
      </c>
      <c r="AL219" s="121" t="s">
        <v>3402</v>
      </c>
      <c r="AM219" s="60" t="str">
        <f t="shared" si="8"/>
        <v>[FP0568]</v>
      </c>
    </row>
    <row r="220" ht="67.5" customHeight="1">
      <c r="A220" s="61">
        <v>569.0</v>
      </c>
      <c r="B220" s="22" t="s">
        <v>3943</v>
      </c>
      <c r="C220" s="23">
        <v>2017.0</v>
      </c>
      <c r="D220" s="100" t="s">
        <v>37</v>
      </c>
      <c r="E220" s="25" t="s">
        <v>35</v>
      </c>
      <c r="F220" s="25" t="s">
        <v>35</v>
      </c>
      <c r="G220" s="25" t="s">
        <v>37</v>
      </c>
      <c r="H220" s="25" t="s">
        <v>35</v>
      </c>
      <c r="I220" s="25" t="s">
        <v>35</v>
      </c>
      <c r="J220" s="101" t="s">
        <v>36</v>
      </c>
      <c r="K220" s="102" t="s">
        <v>37</v>
      </c>
      <c r="L220" s="103" t="s">
        <v>35</v>
      </c>
      <c r="M220" s="103" t="s">
        <v>37</v>
      </c>
      <c r="N220" s="103" t="s">
        <v>37</v>
      </c>
      <c r="O220" s="103" t="s">
        <v>37</v>
      </c>
      <c r="P220" s="103" t="s">
        <v>35</v>
      </c>
      <c r="Q220" s="103" t="s">
        <v>35</v>
      </c>
      <c r="R220" s="103" t="s">
        <v>37</v>
      </c>
      <c r="S220" s="104" t="s">
        <v>3944</v>
      </c>
      <c r="T220" s="30" t="s">
        <v>3945</v>
      </c>
      <c r="U220" s="30" t="s">
        <v>3945</v>
      </c>
      <c r="V220" s="105">
        <f t="shared" si="2"/>
        <v>1</v>
      </c>
      <c r="W220" s="105">
        <f t="shared" ref="W220:X220" si="225">IF(lenb(SUBSTITUTE($Z220,W$1&amp;" (1)",""))&lt;lenb($Z220),1,IF(lenb(SUBSTITUTE($Z220,W$1&amp;" (2)",""))&lt;lenb($Z220),2,IF(lenb(SUBSTITUTE($Z220,W$1&amp;" (3)",""))&lt;lenb($Z220),3,IF(lenb(SUBSTITUTE($Z220,W$1&amp;" (4)",""))&lt;lenb($Z220),4,IF(lenb(SUBSTITUTE($Z220,W$1&amp;" (5)",""))&lt;lenb($Z220),5,IF(lenb(SUBSTITUTE($Z220,W$1&amp;" (6)",""))&lt;lenb($Z220),6,IF(lenb(SUBSTITUTE($Z220,W$1&amp;" (7)",""))&lt;lenb($Z220),1,IF(lenb(SUBSTITUTE($Z220,W$1&amp;" (8)",""))&lt;lenb($Z220),8,IF(lenb(SUBSTITUTE($Z220,W$1&amp;" (9)",""))&lt;lenb($Z220),9,IF(lenb(SUBSTITUTE($Z220,W$1&amp;" (10)",""))&lt;lenb($Z220),10,IF(lenb(SUBSTITUTE($Z220,W$1,""))&lt;lenb($Z220),"ERROR",IF($Z220=$Y$1,"-",0))))))))))))</f>
        <v>0</v>
      </c>
      <c r="X220" s="105">
        <f t="shared" si="225"/>
        <v>0</v>
      </c>
      <c r="Y220" s="105" t="str">
        <f t="shared" si="4"/>
        <v>-</v>
      </c>
      <c r="Z220" s="104" t="s">
        <v>3400</v>
      </c>
      <c r="AA220" s="34">
        <f t="shared" si="5"/>
        <v>1</v>
      </c>
      <c r="AB220" s="34">
        <f>COUNTIFS(Links!B:B,"FSE",Links!C:C,A220,Links!AD:AD,1)</f>
        <v>0</v>
      </c>
      <c r="AC220" s="106" t="s">
        <v>35</v>
      </c>
      <c r="AD220" s="107" t="s">
        <v>35</v>
      </c>
      <c r="AE220" s="104" t="s">
        <v>36</v>
      </c>
      <c r="AF220" s="37" t="s">
        <v>42</v>
      </c>
      <c r="AG220" s="37" t="s">
        <v>42</v>
      </c>
      <c r="AH220" s="37" t="s">
        <v>42</v>
      </c>
      <c r="AI220" s="105" t="str">
        <f t="shared" si="6"/>
        <v>----</v>
      </c>
      <c r="AJ220" s="108" t="str">
        <f t="shared" si="7"/>
        <v>Paper has link but no statement</v>
      </c>
      <c r="AK220" s="109" t="s">
        <v>3401</v>
      </c>
      <c r="AL220" s="110" t="s">
        <v>3402</v>
      </c>
      <c r="AM220" s="40" t="str">
        <f t="shared" si="8"/>
        <v>[FP0569]</v>
      </c>
    </row>
    <row r="221" ht="67.5" customHeight="1">
      <c r="A221" s="41">
        <v>570.0</v>
      </c>
      <c r="B221" s="42" t="s">
        <v>3946</v>
      </c>
      <c r="C221" s="43">
        <v>2017.0</v>
      </c>
      <c r="D221" s="111" t="s">
        <v>35</v>
      </c>
      <c r="E221" s="45" t="s">
        <v>36</v>
      </c>
      <c r="F221" s="45" t="s">
        <v>36</v>
      </c>
      <c r="G221" s="45" t="s">
        <v>36</v>
      </c>
      <c r="H221" s="45" t="s">
        <v>36</v>
      </c>
      <c r="I221" s="45" t="s">
        <v>36</v>
      </c>
      <c r="J221" s="112" t="s">
        <v>36</v>
      </c>
      <c r="K221" s="113" t="s">
        <v>37</v>
      </c>
      <c r="L221" s="131" t="s">
        <v>37</v>
      </c>
      <c r="M221" s="114" t="s">
        <v>35</v>
      </c>
      <c r="N221" s="131" t="s">
        <v>37</v>
      </c>
      <c r="O221" s="131" t="s">
        <v>37</v>
      </c>
      <c r="P221" s="114" t="s">
        <v>35</v>
      </c>
      <c r="Q221" s="114" t="s">
        <v>35</v>
      </c>
      <c r="R221" s="131" t="s">
        <v>37</v>
      </c>
      <c r="S221" s="115" t="s">
        <v>3947</v>
      </c>
      <c r="T221" s="115" t="s">
        <v>3948</v>
      </c>
      <c r="U221" s="50" t="s">
        <v>3949</v>
      </c>
      <c r="V221" s="116">
        <f t="shared" si="2"/>
        <v>1</v>
      </c>
      <c r="W221" s="116">
        <f t="shared" ref="W221:X221" si="226">IF(lenb(SUBSTITUTE($Z221,W$1&amp;" (1)",""))&lt;lenb($Z221),1,IF(lenb(SUBSTITUTE($Z221,W$1&amp;" (2)",""))&lt;lenb($Z221),2,IF(lenb(SUBSTITUTE($Z221,W$1&amp;" (3)",""))&lt;lenb($Z221),3,IF(lenb(SUBSTITUTE($Z221,W$1&amp;" (4)",""))&lt;lenb($Z221),4,IF(lenb(SUBSTITUTE($Z221,W$1&amp;" (5)",""))&lt;lenb($Z221),5,IF(lenb(SUBSTITUTE($Z221,W$1&amp;" (6)",""))&lt;lenb($Z221),6,IF(lenb(SUBSTITUTE($Z221,W$1&amp;" (7)",""))&lt;lenb($Z221),1,IF(lenb(SUBSTITUTE($Z221,W$1&amp;" (8)",""))&lt;lenb($Z221),8,IF(lenb(SUBSTITUTE($Z221,W$1&amp;" (9)",""))&lt;lenb($Z221),9,IF(lenb(SUBSTITUTE($Z221,W$1&amp;" (10)",""))&lt;lenb($Z221),10,IF(lenb(SUBSTITUTE($Z221,W$1,""))&lt;lenb($Z221),"ERROR",IF($Z221=$Y$1,"-",0))))))))))))</f>
        <v>0</v>
      </c>
      <c r="X221" s="116">
        <f t="shared" si="226"/>
        <v>0</v>
      </c>
      <c r="Y221" s="116" t="str">
        <f t="shared" si="4"/>
        <v>-</v>
      </c>
      <c r="Z221" s="115" t="s">
        <v>3400</v>
      </c>
      <c r="AA221" s="54">
        <f t="shared" si="5"/>
        <v>1</v>
      </c>
      <c r="AB221" s="54">
        <f>COUNTIFS(Links!B:B,"FSE",Links!C:C,A221,Links!AD:AD,1)</f>
        <v>0</v>
      </c>
      <c r="AC221" s="117" t="s">
        <v>35</v>
      </c>
      <c r="AD221" s="118" t="s">
        <v>35</v>
      </c>
      <c r="AE221" s="115" t="s">
        <v>36</v>
      </c>
      <c r="AF221" s="57" t="s">
        <v>42</v>
      </c>
      <c r="AG221" s="57" t="s">
        <v>42</v>
      </c>
      <c r="AH221" s="57" t="s">
        <v>42</v>
      </c>
      <c r="AI221" s="116" t="str">
        <f t="shared" si="6"/>
        <v>----</v>
      </c>
      <c r="AJ221" s="119" t="str">
        <f t="shared" si="7"/>
        <v>Paper has link but no statement</v>
      </c>
      <c r="AK221" s="120" t="s">
        <v>3401</v>
      </c>
      <c r="AL221" s="121" t="s">
        <v>3402</v>
      </c>
      <c r="AM221" s="60" t="str">
        <f t="shared" si="8"/>
        <v>[FP0570]</v>
      </c>
    </row>
    <row r="222" ht="67.5" customHeight="1">
      <c r="A222" s="61">
        <v>571.0</v>
      </c>
      <c r="B222" s="22" t="s">
        <v>3950</v>
      </c>
      <c r="C222" s="23">
        <v>2017.0</v>
      </c>
      <c r="D222" s="100" t="s">
        <v>35</v>
      </c>
      <c r="E222" s="25" t="s">
        <v>36</v>
      </c>
      <c r="F222" s="25" t="s">
        <v>36</v>
      </c>
      <c r="G222" s="25" t="s">
        <v>36</v>
      </c>
      <c r="H222" s="25" t="s">
        <v>36</v>
      </c>
      <c r="I222" s="25" t="s">
        <v>36</v>
      </c>
      <c r="J222" s="101" t="s">
        <v>36</v>
      </c>
      <c r="K222" s="102" t="s">
        <v>37</v>
      </c>
      <c r="L222" s="103" t="s">
        <v>37</v>
      </c>
      <c r="M222" s="103" t="s">
        <v>35</v>
      </c>
      <c r="N222" s="103" t="s">
        <v>37</v>
      </c>
      <c r="O222" s="103" t="s">
        <v>35</v>
      </c>
      <c r="P222" s="103" t="s">
        <v>35</v>
      </c>
      <c r="Q222" s="103" t="s">
        <v>35</v>
      </c>
      <c r="R222" s="103" t="s">
        <v>35</v>
      </c>
      <c r="S222" s="104" t="s">
        <v>36</v>
      </c>
      <c r="T222" s="30" t="s">
        <v>3951</v>
      </c>
      <c r="U222" s="30" t="s">
        <v>3951</v>
      </c>
      <c r="V222" s="105">
        <f t="shared" si="2"/>
        <v>1</v>
      </c>
      <c r="W222" s="105">
        <f t="shared" ref="W222:X222" si="227">IF(lenb(SUBSTITUTE($Z222,W$1&amp;" (1)",""))&lt;lenb($Z222),1,IF(lenb(SUBSTITUTE($Z222,W$1&amp;" (2)",""))&lt;lenb($Z222),2,IF(lenb(SUBSTITUTE($Z222,W$1&amp;" (3)",""))&lt;lenb($Z222),3,IF(lenb(SUBSTITUTE($Z222,W$1&amp;" (4)",""))&lt;lenb($Z222),4,IF(lenb(SUBSTITUTE($Z222,W$1&amp;" (5)",""))&lt;lenb($Z222),5,IF(lenb(SUBSTITUTE($Z222,W$1&amp;" (6)",""))&lt;lenb($Z222),6,IF(lenb(SUBSTITUTE($Z222,W$1&amp;" (7)",""))&lt;lenb($Z222),1,IF(lenb(SUBSTITUTE($Z222,W$1&amp;" (8)",""))&lt;lenb($Z222),8,IF(lenb(SUBSTITUTE($Z222,W$1&amp;" (9)",""))&lt;lenb($Z222),9,IF(lenb(SUBSTITUTE($Z222,W$1&amp;" (10)",""))&lt;lenb($Z222),10,IF(lenb(SUBSTITUTE($Z222,W$1,""))&lt;lenb($Z222),"ERROR",IF($Z222=$Y$1,"-",0))))))))))))</f>
        <v>0</v>
      </c>
      <c r="X222" s="105">
        <f t="shared" si="227"/>
        <v>0</v>
      </c>
      <c r="Y222" s="105" t="str">
        <f t="shared" si="4"/>
        <v>-</v>
      </c>
      <c r="Z222" s="104" t="s">
        <v>3400</v>
      </c>
      <c r="AA222" s="34">
        <f t="shared" si="5"/>
        <v>1</v>
      </c>
      <c r="AB222" s="34">
        <f>COUNTIFS(Links!B:B,"FSE",Links!C:C,A222,Links!AD:AD,1)</f>
        <v>0</v>
      </c>
      <c r="AC222" s="106" t="s">
        <v>35</v>
      </c>
      <c r="AD222" s="107" t="s">
        <v>35</v>
      </c>
      <c r="AE222" s="104" t="s">
        <v>36</v>
      </c>
      <c r="AF222" s="37" t="s">
        <v>42</v>
      </c>
      <c r="AG222" s="37" t="s">
        <v>42</v>
      </c>
      <c r="AH222" s="37" t="s">
        <v>42</v>
      </c>
      <c r="AI222" s="105" t="str">
        <f t="shared" si="6"/>
        <v>----</v>
      </c>
      <c r="AJ222" s="108" t="str">
        <f t="shared" si="7"/>
        <v>Paper has link but no statement</v>
      </c>
      <c r="AK222" s="109" t="s">
        <v>3401</v>
      </c>
      <c r="AL222" s="110" t="s">
        <v>3402</v>
      </c>
      <c r="AM222" s="40" t="str">
        <f t="shared" si="8"/>
        <v>[FP0571]</v>
      </c>
    </row>
    <row r="223" ht="67.5" customHeight="1">
      <c r="A223" s="41">
        <v>572.0</v>
      </c>
      <c r="B223" s="42" t="s">
        <v>3952</v>
      </c>
      <c r="C223" s="43">
        <v>2017.0</v>
      </c>
      <c r="D223" s="111" t="s">
        <v>35</v>
      </c>
      <c r="E223" s="45" t="s">
        <v>36</v>
      </c>
      <c r="F223" s="45" t="s">
        <v>36</v>
      </c>
      <c r="G223" s="45" t="s">
        <v>36</v>
      </c>
      <c r="H223" s="45" t="s">
        <v>36</v>
      </c>
      <c r="I223" s="45" t="s">
        <v>36</v>
      </c>
      <c r="J223" s="112" t="s">
        <v>36</v>
      </c>
      <c r="K223" s="113" t="s">
        <v>35</v>
      </c>
      <c r="L223" s="114" t="s">
        <v>36</v>
      </c>
      <c r="M223" s="114" t="s">
        <v>36</v>
      </c>
      <c r="N223" s="114" t="s">
        <v>36</v>
      </c>
      <c r="O223" s="114" t="s">
        <v>36</v>
      </c>
      <c r="P223" s="114" t="s">
        <v>36</v>
      </c>
      <c r="Q223" s="114" t="s">
        <v>36</v>
      </c>
      <c r="R223" s="114" t="s">
        <v>36</v>
      </c>
      <c r="S223" s="115" t="s">
        <v>42</v>
      </c>
      <c r="T223" s="50" t="s">
        <v>36</v>
      </c>
      <c r="U223" s="50" t="s">
        <v>36</v>
      </c>
      <c r="V223" s="116" t="str">
        <f t="shared" si="2"/>
        <v>-</v>
      </c>
      <c r="W223" s="116" t="str">
        <f t="shared" ref="W223:X223" si="228">IF(lenb(SUBSTITUTE($Z223,W$1&amp;" (1)",""))&lt;lenb($Z223),1,IF(lenb(SUBSTITUTE($Z223,W$1&amp;" (2)",""))&lt;lenb($Z223),2,IF(lenb(SUBSTITUTE($Z223,W$1&amp;" (3)",""))&lt;lenb($Z223),3,IF(lenb(SUBSTITUTE($Z223,W$1&amp;" (4)",""))&lt;lenb($Z223),4,IF(lenb(SUBSTITUTE($Z223,W$1&amp;" (5)",""))&lt;lenb($Z223),5,IF(lenb(SUBSTITUTE($Z223,W$1&amp;" (6)",""))&lt;lenb($Z223),6,IF(lenb(SUBSTITUTE($Z223,W$1&amp;" (7)",""))&lt;lenb($Z223),1,IF(lenb(SUBSTITUTE($Z223,W$1&amp;" (8)",""))&lt;lenb($Z223),8,IF(lenb(SUBSTITUTE($Z223,W$1&amp;" (9)",""))&lt;lenb($Z223),9,IF(lenb(SUBSTITUTE($Z223,W$1&amp;" (10)",""))&lt;lenb($Z223),10,IF(lenb(SUBSTITUTE($Z223,W$1,""))&lt;lenb($Z223),"ERROR",IF($Z223=$Y$1,"-",0))))))))))))</f>
        <v>-</v>
      </c>
      <c r="X223" s="116" t="str">
        <f t="shared" si="228"/>
        <v>-</v>
      </c>
      <c r="Y223" s="116">
        <f t="shared" si="4"/>
        <v>1</v>
      </c>
      <c r="Z223" s="115" t="s">
        <v>23</v>
      </c>
      <c r="AA223" s="54">
        <f t="shared" si="5"/>
        <v>0</v>
      </c>
      <c r="AB223" s="54">
        <f>COUNTIFS(Links!B:B,"FSE",Links!C:C,A223,Links!AD:AD,1)</f>
        <v>0</v>
      </c>
      <c r="AC223" s="117" t="s">
        <v>36</v>
      </c>
      <c r="AD223" s="118" t="s">
        <v>35</v>
      </c>
      <c r="AE223" s="115" t="s">
        <v>36</v>
      </c>
      <c r="AF223" s="57" t="s">
        <v>42</v>
      </c>
      <c r="AG223" s="57" t="s">
        <v>42</v>
      </c>
      <c r="AH223" s="57" t="s">
        <v>42</v>
      </c>
      <c r="AI223" s="116" t="str">
        <f t="shared" si="6"/>
        <v>----</v>
      </c>
      <c r="AJ223" s="119" t="str">
        <f t="shared" si="7"/>
        <v>Paper has no link and no statement</v>
      </c>
      <c r="AK223" s="120" t="s">
        <v>3401</v>
      </c>
      <c r="AL223" s="121" t="s">
        <v>3402</v>
      </c>
      <c r="AM223" s="60" t="str">
        <f t="shared" si="8"/>
        <v>[FP0572]</v>
      </c>
    </row>
    <row r="224" ht="67.5" customHeight="1">
      <c r="A224" s="61">
        <v>573.0</v>
      </c>
      <c r="B224" s="22" t="s">
        <v>3953</v>
      </c>
      <c r="C224" s="23">
        <v>2017.0</v>
      </c>
      <c r="D224" s="100" t="s">
        <v>35</v>
      </c>
      <c r="E224" s="25" t="s">
        <v>36</v>
      </c>
      <c r="F224" s="25" t="s">
        <v>36</v>
      </c>
      <c r="G224" s="25" t="s">
        <v>36</v>
      </c>
      <c r="H224" s="25" t="s">
        <v>36</v>
      </c>
      <c r="I224" s="25" t="s">
        <v>36</v>
      </c>
      <c r="J224" s="101" t="s">
        <v>36</v>
      </c>
      <c r="K224" s="102" t="s">
        <v>35</v>
      </c>
      <c r="L224" s="103" t="s">
        <v>36</v>
      </c>
      <c r="M224" s="103" t="s">
        <v>36</v>
      </c>
      <c r="N224" s="103" t="s">
        <v>36</v>
      </c>
      <c r="O224" s="103" t="s">
        <v>36</v>
      </c>
      <c r="P224" s="103" t="s">
        <v>36</v>
      </c>
      <c r="Q224" s="103" t="s">
        <v>36</v>
      </c>
      <c r="R224" s="103" t="s">
        <v>36</v>
      </c>
      <c r="S224" s="104" t="s">
        <v>42</v>
      </c>
      <c r="T224" s="30" t="s">
        <v>36</v>
      </c>
      <c r="U224" s="30" t="s">
        <v>36</v>
      </c>
      <c r="V224" s="105" t="str">
        <f t="shared" si="2"/>
        <v>-</v>
      </c>
      <c r="W224" s="105" t="str">
        <f t="shared" ref="W224:X224" si="229">IF(lenb(SUBSTITUTE($Z224,W$1&amp;" (1)",""))&lt;lenb($Z224),1,IF(lenb(SUBSTITUTE($Z224,W$1&amp;" (2)",""))&lt;lenb($Z224),2,IF(lenb(SUBSTITUTE($Z224,W$1&amp;" (3)",""))&lt;lenb($Z224),3,IF(lenb(SUBSTITUTE($Z224,W$1&amp;" (4)",""))&lt;lenb($Z224),4,IF(lenb(SUBSTITUTE($Z224,W$1&amp;" (5)",""))&lt;lenb($Z224),5,IF(lenb(SUBSTITUTE($Z224,W$1&amp;" (6)",""))&lt;lenb($Z224),6,IF(lenb(SUBSTITUTE($Z224,W$1&amp;" (7)",""))&lt;lenb($Z224),1,IF(lenb(SUBSTITUTE($Z224,W$1&amp;" (8)",""))&lt;lenb($Z224),8,IF(lenb(SUBSTITUTE($Z224,W$1&amp;" (9)",""))&lt;lenb($Z224),9,IF(lenb(SUBSTITUTE($Z224,W$1&amp;" (10)",""))&lt;lenb($Z224),10,IF(lenb(SUBSTITUTE($Z224,W$1,""))&lt;lenb($Z224),"ERROR",IF($Z224=$Y$1,"-",0))))))))))))</f>
        <v>-</v>
      </c>
      <c r="X224" s="105" t="str">
        <f t="shared" si="229"/>
        <v>-</v>
      </c>
      <c r="Y224" s="105">
        <f t="shared" si="4"/>
        <v>1</v>
      </c>
      <c r="Z224" s="104" t="s">
        <v>23</v>
      </c>
      <c r="AA224" s="34">
        <f t="shared" si="5"/>
        <v>0</v>
      </c>
      <c r="AB224" s="34">
        <f>COUNTIFS(Links!B:B,"FSE",Links!C:C,A224,Links!AD:AD,1)</f>
        <v>0</v>
      </c>
      <c r="AC224" s="106" t="s">
        <v>36</v>
      </c>
      <c r="AD224" s="107" t="s">
        <v>35</v>
      </c>
      <c r="AE224" s="104" t="s">
        <v>36</v>
      </c>
      <c r="AF224" s="37" t="s">
        <v>42</v>
      </c>
      <c r="AG224" s="37" t="s">
        <v>42</v>
      </c>
      <c r="AH224" s="37" t="s">
        <v>42</v>
      </c>
      <c r="AI224" s="105" t="str">
        <f t="shared" si="6"/>
        <v>----</v>
      </c>
      <c r="AJ224" s="108" t="str">
        <f t="shared" si="7"/>
        <v>Paper has no link and no statement</v>
      </c>
      <c r="AK224" s="109" t="s">
        <v>3401</v>
      </c>
      <c r="AL224" s="110" t="s">
        <v>3402</v>
      </c>
      <c r="AM224" s="40" t="str">
        <f t="shared" si="8"/>
        <v>[FP0573]</v>
      </c>
    </row>
    <row r="225" ht="67.5" customHeight="1">
      <c r="A225" s="41">
        <v>574.0</v>
      </c>
      <c r="B225" s="42" t="s">
        <v>3954</v>
      </c>
      <c r="C225" s="43">
        <v>2017.0</v>
      </c>
      <c r="D225" s="111" t="s">
        <v>35</v>
      </c>
      <c r="E225" s="45" t="s">
        <v>36</v>
      </c>
      <c r="F225" s="45" t="s">
        <v>36</v>
      </c>
      <c r="G225" s="45" t="s">
        <v>36</v>
      </c>
      <c r="H225" s="45" t="s">
        <v>36</v>
      </c>
      <c r="I225" s="45" t="s">
        <v>36</v>
      </c>
      <c r="J225" s="112" t="s">
        <v>36</v>
      </c>
      <c r="K225" s="113" t="s">
        <v>37</v>
      </c>
      <c r="L225" s="114" t="s">
        <v>37</v>
      </c>
      <c r="M225" s="114" t="s">
        <v>35</v>
      </c>
      <c r="N225" s="114" t="s">
        <v>35</v>
      </c>
      <c r="O225" s="114" t="s">
        <v>35</v>
      </c>
      <c r="P225" s="114" t="s">
        <v>35</v>
      </c>
      <c r="Q225" s="114" t="s">
        <v>35</v>
      </c>
      <c r="R225" s="114" t="s">
        <v>37</v>
      </c>
      <c r="S225" s="115" t="s">
        <v>3955</v>
      </c>
      <c r="T225" s="50" t="s">
        <v>3956</v>
      </c>
      <c r="U225" s="50" t="s">
        <v>3956</v>
      </c>
      <c r="V225" s="116">
        <f t="shared" si="2"/>
        <v>1</v>
      </c>
      <c r="W225" s="116">
        <f t="shared" ref="W225:X225" si="230">IF(lenb(SUBSTITUTE($Z225,W$1&amp;" (1)",""))&lt;lenb($Z225),1,IF(lenb(SUBSTITUTE($Z225,W$1&amp;" (2)",""))&lt;lenb($Z225),2,IF(lenb(SUBSTITUTE($Z225,W$1&amp;" (3)",""))&lt;lenb($Z225),3,IF(lenb(SUBSTITUTE($Z225,W$1&amp;" (4)",""))&lt;lenb($Z225),4,IF(lenb(SUBSTITUTE($Z225,W$1&amp;" (5)",""))&lt;lenb($Z225),5,IF(lenb(SUBSTITUTE($Z225,W$1&amp;" (6)",""))&lt;lenb($Z225),6,IF(lenb(SUBSTITUTE($Z225,W$1&amp;" (7)",""))&lt;lenb($Z225),1,IF(lenb(SUBSTITUTE($Z225,W$1&amp;" (8)",""))&lt;lenb($Z225),8,IF(lenb(SUBSTITUTE($Z225,W$1&amp;" (9)",""))&lt;lenb($Z225),9,IF(lenb(SUBSTITUTE($Z225,W$1&amp;" (10)",""))&lt;lenb($Z225),10,IF(lenb(SUBSTITUTE($Z225,W$1,""))&lt;lenb($Z225),"ERROR",IF($Z225=$Y$1,"-",0))))))))))))</f>
        <v>0</v>
      </c>
      <c r="X225" s="116">
        <f t="shared" si="230"/>
        <v>0</v>
      </c>
      <c r="Y225" s="116" t="str">
        <f t="shared" si="4"/>
        <v>-</v>
      </c>
      <c r="Z225" s="115" t="s">
        <v>3400</v>
      </c>
      <c r="AA225" s="54">
        <f t="shared" si="5"/>
        <v>1</v>
      </c>
      <c r="AB225" s="54">
        <f>COUNTIFS(Links!B:B,"FSE",Links!C:C,A225,Links!AD:AD,1)</f>
        <v>0</v>
      </c>
      <c r="AC225" s="117" t="s">
        <v>35</v>
      </c>
      <c r="AD225" s="118" t="s">
        <v>35</v>
      </c>
      <c r="AE225" s="115" t="s">
        <v>36</v>
      </c>
      <c r="AF225" s="57" t="s">
        <v>42</v>
      </c>
      <c r="AG225" s="57" t="s">
        <v>42</v>
      </c>
      <c r="AH225" s="57" t="s">
        <v>42</v>
      </c>
      <c r="AI225" s="116" t="str">
        <f t="shared" si="6"/>
        <v>----</v>
      </c>
      <c r="AJ225" s="119" t="str">
        <f t="shared" si="7"/>
        <v>Paper has link but no statement</v>
      </c>
      <c r="AK225" s="120" t="s">
        <v>3401</v>
      </c>
      <c r="AL225" s="121" t="s">
        <v>3402</v>
      </c>
      <c r="AM225" s="60" t="str">
        <f t="shared" si="8"/>
        <v>[FP0574]</v>
      </c>
    </row>
    <row r="226" ht="67.5" customHeight="1">
      <c r="A226" s="61">
        <v>575.0</v>
      </c>
      <c r="B226" s="22" t="s">
        <v>3957</v>
      </c>
      <c r="C226" s="23">
        <v>2017.0</v>
      </c>
      <c r="D226" s="100" t="s">
        <v>35</v>
      </c>
      <c r="E226" s="25" t="s">
        <v>36</v>
      </c>
      <c r="F226" s="25" t="s">
        <v>36</v>
      </c>
      <c r="G226" s="25" t="s">
        <v>36</v>
      </c>
      <c r="H226" s="25" t="s">
        <v>36</v>
      </c>
      <c r="I226" s="25" t="s">
        <v>36</v>
      </c>
      <c r="J226" s="101" t="s">
        <v>36</v>
      </c>
      <c r="K226" s="102" t="s">
        <v>35</v>
      </c>
      <c r="L226" s="103" t="s">
        <v>36</v>
      </c>
      <c r="M226" s="103" t="s">
        <v>36</v>
      </c>
      <c r="N226" s="103" t="s">
        <v>36</v>
      </c>
      <c r="O226" s="103" t="s">
        <v>36</v>
      </c>
      <c r="P226" s="103" t="s">
        <v>36</v>
      </c>
      <c r="Q226" s="103" t="s">
        <v>36</v>
      </c>
      <c r="R226" s="103" t="s">
        <v>36</v>
      </c>
      <c r="S226" s="104" t="s">
        <v>42</v>
      </c>
      <c r="T226" s="30" t="s">
        <v>36</v>
      </c>
      <c r="U226" s="30" t="s">
        <v>36</v>
      </c>
      <c r="V226" s="105" t="str">
        <f t="shared" si="2"/>
        <v>-</v>
      </c>
      <c r="W226" s="105" t="str">
        <f t="shared" ref="W226:X226" si="231">IF(lenb(SUBSTITUTE($Z226,W$1&amp;" (1)",""))&lt;lenb($Z226),1,IF(lenb(SUBSTITUTE($Z226,W$1&amp;" (2)",""))&lt;lenb($Z226),2,IF(lenb(SUBSTITUTE($Z226,W$1&amp;" (3)",""))&lt;lenb($Z226),3,IF(lenb(SUBSTITUTE($Z226,W$1&amp;" (4)",""))&lt;lenb($Z226),4,IF(lenb(SUBSTITUTE($Z226,W$1&amp;" (5)",""))&lt;lenb($Z226),5,IF(lenb(SUBSTITUTE($Z226,W$1&amp;" (6)",""))&lt;lenb($Z226),6,IF(lenb(SUBSTITUTE($Z226,W$1&amp;" (7)",""))&lt;lenb($Z226),1,IF(lenb(SUBSTITUTE($Z226,W$1&amp;" (8)",""))&lt;lenb($Z226),8,IF(lenb(SUBSTITUTE($Z226,W$1&amp;" (9)",""))&lt;lenb($Z226),9,IF(lenb(SUBSTITUTE($Z226,W$1&amp;" (10)",""))&lt;lenb($Z226),10,IF(lenb(SUBSTITUTE($Z226,W$1,""))&lt;lenb($Z226),"ERROR",IF($Z226=$Y$1,"-",0))))))))))))</f>
        <v>-</v>
      </c>
      <c r="X226" s="105" t="str">
        <f t="shared" si="231"/>
        <v>-</v>
      </c>
      <c r="Y226" s="105">
        <f t="shared" si="4"/>
        <v>1</v>
      </c>
      <c r="Z226" s="104" t="s">
        <v>23</v>
      </c>
      <c r="AA226" s="34">
        <f t="shared" si="5"/>
        <v>0</v>
      </c>
      <c r="AB226" s="34">
        <f>COUNTIFS(Links!B:B,"FSE",Links!C:C,A226,Links!AD:AD,1)</f>
        <v>0</v>
      </c>
      <c r="AC226" s="106" t="s">
        <v>36</v>
      </c>
      <c r="AD226" s="107" t="s">
        <v>35</v>
      </c>
      <c r="AE226" s="104" t="s">
        <v>36</v>
      </c>
      <c r="AF226" s="37" t="s">
        <v>42</v>
      </c>
      <c r="AG226" s="37" t="s">
        <v>42</v>
      </c>
      <c r="AH226" s="37" t="s">
        <v>42</v>
      </c>
      <c r="AI226" s="105" t="str">
        <f t="shared" si="6"/>
        <v>----</v>
      </c>
      <c r="AJ226" s="108" t="str">
        <f t="shared" si="7"/>
        <v>Paper has no link and no statement</v>
      </c>
      <c r="AK226" s="109" t="s">
        <v>3401</v>
      </c>
      <c r="AL226" s="110" t="s">
        <v>3402</v>
      </c>
      <c r="AM226" s="40" t="str">
        <f t="shared" si="8"/>
        <v>[FP0575]</v>
      </c>
    </row>
    <row r="227" ht="67.5" customHeight="1">
      <c r="A227" s="41">
        <v>576.0</v>
      </c>
      <c r="B227" s="42" t="s">
        <v>3958</v>
      </c>
      <c r="C227" s="43">
        <v>2017.0</v>
      </c>
      <c r="D227" s="111" t="s">
        <v>35</v>
      </c>
      <c r="E227" s="45" t="s">
        <v>36</v>
      </c>
      <c r="F227" s="45" t="s">
        <v>36</v>
      </c>
      <c r="G227" s="45" t="s">
        <v>36</v>
      </c>
      <c r="H227" s="45" t="s">
        <v>36</v>
      </c>
      <c r="I227" s="45" t="s">
        <v>36</v>
      </c>
      <c r="J227" s="112" t="s">
        <v>36</v>
      </c>
      <c r="K227" s="113" t="s">
        <v>37</v>
      </c>
      <c r="L227" s="114" t="s">
        <v>35</v>
      </c>
      <c r="M227" s="114" t="s">
        <v>35</v>
      </c>
      <c r="N227" s="114" t="s">
        <v>37</v>
      </c>
      <c r="O227" s="114" t="s">
        <v>35</v>
      </c>
      <c r="P227" s="114" t="s">
        <v>35</v>
      </c>
      <c r="Q227" s="114" t="s">
        <v>35</v>
      </c>
      <c r="R227" s="114" t="s">
        <v>35</v>
      </c>
      <c r="S227" s="115" t="s">
        <v>36</v>
      </c>
      <c r="T227" s="50" t="s">
        <v>3959</v>
      </c>
      <c r="U227" s="50" t="s">
        <v>3959</v>
      </c>
      <c r="V227" s="116">
        <f t="shared" si="2"/>
        <v>0</v>
      </c>
      <c r="W227" s="116">
        <f t="shared" ref="W227:X227" si="232">IF(lenb(SUBSTITUTE($Z227,W$1&amp;" (1)",""))&lt;lenb($Z227),1,IF(lenb(SUBSTITUTE($Z227,W$1&amp;" (2)",""))&lt;lenb($Z227),2,IF(lenb(SUBSTITUTE($Z227,W$1&amp;" (3)",""))&lt;lenb($Z227),3,IF(lenb(SUBSTITUTE($Z227,W$1&amp;" (4)",""))&lt;lenb($Z227),4,IF(lenb(SUBSTITUTE($Z227,W$1&amp;" (5)",""))&lt;lenb($Z227),5,IF(lenb(SUBSTITUTE($Z227,W$1&amp;" (6)",""))&lt;lenb($Z227),6,IF(lenb(SUBSTITUTE($Z227,W$1&amp;" (7)",""))&lt;lenb($Z227),1,IF(lenb(SUBSTITUTE($Z227,W$1&amp;" (8)",""))&lt;lenb($Z227),8,IF(lenb(SUBSTITUTE($Z227,W$1&amp;" (9)",""))&lt;lenb($Z227),9,IF(lenb(SUBSTITUTE($Z227,W$1&amp;" (10)",""))&lt;lenb($Z227),10,IF(lenb(SUBSTITUTE($Z227,W$1,""))&lt;lenb($Z227),"ERROR",IF($Z227=$Y$1,"-",0))))))))))))</f>
        <v>1</v>
      </c>
      <c r="X227" s="116">
        <f t="shared" si="232"/>
        <v>0</v>
      </c>
      <c r="Y227" s="116" t="str">
        <f t="shared" si="4"/>
        <v>-</v>
      </c>
      <c r="Z227" s="115" t="s">
        <v>3423</v>
      </c>
      <c r="AA227" s="54">
        <f t="shared" si="5"/>
        <v>1</v>
      </c>
      <c r="AB227" s="54">
        <f>COUNTIFS(Links!B:B,"FSE",Links!C:C,A227,Links!AD:AD,1)</f>
        <v>1</v>
      </c>
      <c r="AC227" s="117" t="s">
        <v>35</v>
      </c>
      <c r="AD227" s="118" t="s">
        <v>37</v>
      </c>
      <c r="AE227" s="115" t="s">
        <v>3960</v>
      </c>
      <c r="AF227" s="115" t="s">
        <v>223</v>
      </c>
      <c r="AG227" s="57" t="s">
        <v>42</v>
      </c>
      <c r="AH227" s="57" t="s">
        <v>42</v>
      </c>
      <c r="AI227" s="116" t="str">
        <f t="shared" si="6"/>
        <v>Barriers (Agreements and legal rights)</v>
      </c>
      <c r="AJ227" s="119" t="str">
        <f t="shared" si="7"/>
        <v>Paper has link and statement</v>
      </c>
      <c r="AK227" s="120" t="s">
        <v>3401</v>
      </c>
      <c r="AL227" s="121" t="s">
        <v>3402</v>
      </c>
      <c r="AM227" s="60" t="str">
        <f t="shared" si="8"/>
        <v>[FP0576]</v>
      </c>
    </row>
    <row r="228" ht="67.5" customHeight="1">
      <c r="A228" s="61">
        <v>577.0</v>
      </c>
      <c r="B228" s="22" t="s">
        <v>3961</v>
      </c>
      <c r="C228" s="23">
        <v>2017.0</v>
      </c>
      <c r="D228" s="100" t="s">
        <v>35</v>
      </c>
      <c r="E228" s="25" t="s">
        <v>36</v>
      </c>
      <c r="F228" s="25" t="s">
        <v>36</v>
      </c>
      <c r="G228" s="25" t="s">
        <v>36</v>
      </c>
      <c r="H228" s="25" t="s">
        <v>36</v>
      </c>
      <c r="I228" s="25" t="s">
        <v>36</v>
      </c>
      <c r="J228" s="101" t="s">
        <v>36</v>
      </c>
      <c r="K228" s="102" t="s">
        <v>37</v>
      </c>
      <c r="L228" s="103" t="s">
        <v>35</v>
      </c>
      <c r="M228" s="133" t="s">
        <v>37</v>
      </c>
      <c r="N228" s="133" t="s">
        <v>37</v>
      </c>
      <c r="O228" s="103" t="s">
        <v>35</v>
      </c>
      <c r="P228" s="103" t="s">
        <v>35</v>
      </c>
      <c r="Q228" s="103" t="s">
        <v>35</v>
      </c>
      <c r="R228" s="133" t="s">
        <v>37</v>
      </c>
      <c r="S228" s="104" t="s">
        <v>3962</v>
      </c>
      <c r="T228" s="30" t="s">
        <v>3963</v>
      </c>
      <c r="U228" s="30" t="s">
        <v>3963</v>
      </c>
      <c r="V228" s="105">
        <f t="shared" si="2"/>
        <v>1</v>
      </c>
      <c r="W228" s="105">
        <f t="shared" ref="W228:X228" si="233">IF(lenb(SUBSTITUTE($Z228,W$1&amp;" (1)",""))&lt;lenb($Z228),1,IF(lenb(SUBSTITUTE($Z228,W$1&amp;" (2)",""))&lt;lenb($Z228),2,IF(lenb(SUBSTITUTE($Z228,W$1&amp;" (3)",""))&lt;lenb($Z228),3,IF(lenb(SUBSTITUTE($Z228,W$1&amp;" (4)",""))&lt;lenb($Z228),4,IF(lenb(SUBSTITUTE($Z228,W$1&amp;" (5)",""))&lt;lenb($Z228),5,IF(lenb(SUBSTITUTE($Z228,W$1&amp;" (6)",""))&lt;lenb($Z228),6,IF(lenb(SUBSTITUTE($Z228,W$1&amp;" (7)",""))&lt;lenb($Z228),1,IF(lenb(SUBSTITUTE($Z228,W$1&amp;" (8)",""))&lt;lenb($Z228),8,IF(lenb(SUBSTITUTE($Z228,W$1&amp;" (9)",""))&lt;lenb($Z228),9,IF(lenb(SUBSTITUTE($Z228,W$1&amp;" (10)",""))&lt;lenb($Z228),10,IF(lenb(SUBSTITUTE($Z228,W$1,""))&lt;lenb($Z228),"ERROR",IF($Z228=$Y$1,"-",0))))))))))))</f>
        <v>0</v>
      </c>
      <c r="X228" s="105">
        <f t="shared" si="233"/>
        <v>0</v>
      </c>
      <c r="Y228" s="105" t="str">
        <f t="shared" si="4"/>
        <v>-</v>
      </c>
      <c r="Z228" s="104" t="s">
        <v>3400</v>
      </c>
      <c r="AA228" s="34">
        <f t="shared" si="5"/>
        <v>1</v>
      </c>
      <c r="AB228" s="34">
        <f>COUNTIFS(Links!B:B,"FSE",Links!C:C,A228,Links!AD:AD,1)</f>
        <v>1</v>
      </c>
      <c r="AC228" s="106" t="s">
        <v>35</v>
      </c>
      <c r="AD228" s="107" t="s">
        <v>35</v>
      </c>
      <c r="AE228" s="104" t="s">
        <v>36</v>
      </c>
      <c r="AF228" s="37" t="s">
        <v>42</v>
      </c>
      <c r="AG228" s="37" t="s">
        <v>42</v>
      </c>
      <c r="AH228" s="37" t="s">
        <v>42</v>
      </c>
      <c r="AI228" s="105" t="str">
        <f t="shared" si="6"/>
        <v>----</v>
      </c>
      <c r="AJ228" s="108" t="str">
        <f t="shared" si="7"/>
        <v>Paper has link but no statement</v>
      </c>
      <c r="AK228" s="109" t="s">
        <v>3401</v>
      </c>
      <c r="AL228" s="110" t="s">
        <v>3402</v>
      </c>
      <c r="AM228" s="40" t="str">
        <f t="shared" si="8"/>
        <v>[FP0577]</v>
      </c>
    </row>
    <row r="229" ht="67.5" customHeight="1">
      <c r="A229" s="41">
        <v>578.0</v>
      </c>
      <c r="B229" s="42" t="s">
        <v>3964</v>
      </c>
      <c r="C229" s="43">
        <v>2017.0</v>
      </c>
      <c r="D229" s="111" t="s">
        <v>37</v>
      </c>
      <c r="E229" s="45" t="s">
        <v>35</v>
      </c>
      <c r="F229" s="45" t="s">
        <v>37</v>
      </c>
      <c r="G229" s="45" t="s">
        <v>35</v>
      </c>
      <c r="H229" s="45" t="s">
        <v>35</v>
      </c>
      <c r="I229" s="45" t="s">
        <v>35</v>
      </c>
      <c r="J229" s="112" t="s">
        <v>36</v>
      </c>
      <c r="K229" s="113" t="s">
        <v>37</v>
      </c>
      <c r="L229" s="114" t="s">
        <v>35</v>
      </c>
      <c r="M229" s="114" t="s">
        <v>37</v>
      </c>
      <c r="N229" s="114" t="s">
        <v>37</v>
      </c>
      <c r="O229" s="114" t="s">
        <v>35</v>
      </c>
      <c r="P229" s="114" t="s">
        <v>35</v>
      </c>
      <c r="Q229" s="114" t="s">
        <v>35</v>
      </c>
      <c r="R229" s="114" t="s">
        <v>37</v>
      </c>
      <c r="S229" s="115" t="s">
        <v>3965</v>
      </c>
      <c r="T229" s="50" t="s">
        <v>3966</v>
      </c>
      <c r="U229" s="50" t="s">
        <v>3966</v>
      </c>
      <c r="V229" s="116">
        <f t="shared" si="2"/>
        <v>1</v>
      </c>
      <c r="W229" s="116">
        <f t="shared" ref="W229:X229" si="234">IF(lenb(SUBSTITUTE($Z229,W$1&amp;" (1)",""))&lt;lenb($Z229),1,IF(lenb(SUBSTITUTE($Z229,W$1&amp;" (2)",""))&lt;lenb($Z229),2,IF(lenb(SUBSTITUTE($Z229,W$1&amp;" (3)",""))&lt;lenb($Z229),3,IF(lenb(SUBSTITUTE($Z229,W$1&amp;" (4)",""))&lt;lenb($Z229),4,IF(lenb(SUBSTITUTE($Z229,W$1&amp;" (5)",""))&lt;lenb($Z229),5,IF(lenb(SUBSTITUTE($Z229,W$1&amp;" (6)",""))&lt;lenb($Z229),6,IF(lenb(SUBSTITUTE($Z229,W$1&amp;" (7)",""))&lt;lenb($Z229),1,IF(lenb(SUBSTITUTE($Z229,W$1&amp;" (8)",""))&lt;lenb($Z229),8,IF(lenb(SUBSTITUTE($Z229,W$1&amp;" (9)",""))&lt;lenb($Z229),9,IF(lenb(SUBSTITUTE($Z229,W$1&amp;" (10)",""))&lt;lenb($Z229),10,IF(lenb(SUBSTITUTE($Z229,W$1,""))&lt;lenb($Z229),"ERROR",IF($Z229=$Y$1,"-",0))))))))))))</f>
        <v>0</v>
      </c>
      <c r="X229" s="116">
        <f t="shared" si="234"/>
        <v>0</v>
      </c>
      <c r="Y229" s="116" t="str">
        <f t="shared" si="4"/>
        <v>-</v>
      </c>
      <c r="Z229" s="115" t="s">
        <v>3400</v>
      </c>
      <c r="AA229" s="54">
        <f t="shared" si="5"/>
        <v>1</v>
      </c>
      <c r="AB229" s="54">
        <f>COUNTIFS(Links!B:B,"FSE",Links!C:C,A229,Links!AD:AD,1)</f>
        <v>1</v>
      </c>
      <c r="AC229" s="117" t="s">
        <v>35</v>
      </c>
      <c r="AD229" s="118" t="s">
        <v>35</v>
      </c>
      <c r="AE229" s="115" t="s">
        <v>36</v>
      </c>
      <c r="AF229" s="57" t="s">
        <v>42</v>
      </c>
      <c r="AG229" s="57" t="s">
        <v>42</v>
      </c>
      <c r="AH229" s="57" t="s">
        <v>42</v>
      </c>
      <c r="AI229" s="116" t="str">
        <f t="shared" si="6"/>
        <v>----</v>
      </c>
      <c r="AJ229" s="119" t="str">
        <f t="shared" si="7"/>
        <v>Paper has link but no statement</v>
      </c>
      <c r="AK229" s="120" t="s">
        <v>3401</v>
      </c>
      <c r="AL229" s="121" t="s">
        <v>3402</v>
      </c>
      <c r="AM229" s="60" t="str">
        <f t="shared" si="8"/>
        <v>[FP0578]</v>
      </c>
    </row>
    <row r="230" ht="67.5" customHeight="1">
      <c r="A230" s="61">
        <v>579.0</v>
      </c>
      <c r="B230" s="22" t="s">
        <v>3967</v>
      </c>
      <c r="C230" s="23">
        <v>2017.0</v>
      </c>
      <c r="D230" s="100" t="s">
        <v>35</v>
      </c>
      <c r="E230" s="25" t="s">
        <v>36</v>
      </c>
      <c r="F230" s="25" t="s">
        <v>36</v>
      </c>
      <c r="G230" s="25" t="s">
        <v>36</v>
      </c>
      <c r="H230" s="25" t="s">
        <v>36</v>
      </c>
      <c r="I230" s="25" t="s">
        <v>36</v>
      </c>
      <c r="J230" s="101" t="s">
        <v>36</v>
      </c>
      <c r="K230" s="102" t="s">
        <v>37</v>
      </c>
      <c r="L230" s="133" t="s">
        <v>37</v>
      </c>
      <c r="M230" s="133" t="s">
        <v>37</v>
      </c>
      <c r="N230" s="103" t="s">
        <v>35</v>
      </c>
      <c r="O230" s="133" t="s">
        <v>37</v>
      </c>
      <c r="P230" s="103" t="s">
        <v>35</v>
      </c>
      <c r="Q230" s="103" t="s">
        <v>35</v>
      </c>
      <c r="R230" s="133" t="s">
        <v>37</v>
      </c>
      <c r="S230" s="104" t="s">
        <v>3968</v>
      </c>
      <c r="T230" s="30" t="s">
        <v>3969</v>
      </c>
      <c r="U230" s="30" t="s">
        <v>3969</v>
      </c>
      <c r="V230" s="105">
        <f t="shared" si="2"/>
        <v>0</v>
      </c>
      <c r="W230" s="105">
        <f t="shared" ref="W230:X230" si="235">IF(lenb(SUBSTITUTE($Z230,W$1&amp;" (1)",""))&lt;lenb($Z230),1,IF(lenb(SUBSTITUTE($Z230,W$1&amp;" (2)",""))&lt;lenb($Z230),2,IF(lenb(SUBSTITUTE($Z230,W$1&amp;" (3)",""))&lt;lenb($Z230),3,IF(lenb(SUBSTITUTE($Z230,W$1&amp;" (4)",""))&lt;lenb($Z230),4,IF(lenb(SUBSTITUTE($Z230,W$1&amp;" (5)",""))&lt;lenb($Z230),5,IF(lenb(SUBSTITUTE($Z230,W$1&amp;" (6)",""))&lt;lenb($Z230),6,IF(lenb(SUBSTITUTE($Z230,W$1&amp;" (7)",""))&lt;lenb($Z230),1,IF(lenb(SUBSTITUTE($Z230,W$1&amp;" (8)",""))&lt;lenb($Z230),8,IF(lenb(SUBSTITUTE($Z230,W$1&amp;" (9)",""))&lt;lenb($Z230),9,IF(lenb(SUBSTITUTE($Z230,W$1&amp;" (10)",""))&lt;lenb($Z230),10,IF(lenb(SUBSTITUTE($Z230,W$1,""))&lt;lenb($Z230),"ERROR",IF($Z230=$Y$1,"-",0))))))))))))</f>
        <v>1</v>
      </c>
      <c r="X230" s="105">
        <f t="shared" si="235"/>
        <v>0</v>
      </c>
      <c r="Y230" s="105" t="str">
        <f t="shared" si="4"/>
        <v>-</v>
      </c>
      <c r="Z230" s="104" t="s">
        <v>3423</v>
      </c>
      <c r="AA230" s="34">
        <f t="shared" si="5"/>
        <v>1</v>
      </c>
      <c r="AB230" s="34">
        <f>COUNTIFS(Links!B:B,"FSE",Links!C:C,A230,Links!AD:AD,1)</f>
        <v>0</v>
      </c>
      <c r="AC230" s="106" t="s">
        <v>35</v>
      </c>
      <c r="AD230" s="107" t="s">
        <v>35</v>
      </c>
      <c r="AE230" s="104" t="s">
        <v>36</v>
      </c>
      <c r="AF230" s="37" t="s">
        <v>42</v>
      </c>
      <c r="AG230" s="37" t="s">
        <v>42</v>
      </c>
      <c r="AH230" s="37" t="s">
        <v>42</v>
      </c>
      <c r="AI230" s="105" t="str">
        <f t="shared" si="6"/>
        <v>----</v>
      </c>
      <c r="AJ230" s="108" t="str">
        <f t="shared" si="7"/>
        <v>Paper has link but no statement</v>
      </c>
      <c r="AK230" s="109" t="s">
        <v>3401</v>
      </c>
      <c r="AL230" s="110" t="s">
        <v>3402</v>
      </c>
      <c r="AM230" s="40" t="str">
        <f t="shared" si="8"/>
        <v>[FP0579]</v>
      </c>
    </row>
    <row r="231" ht="67.5" customHeight="1">
      <c r="A231" s="41">
        <v>580.0</v>
      </c>
      <c r="B231" s="42" t="s">
        <v>3970</v>
      </c>
      <c r="C231" s="43">
        <v>2017.0</v>
      </c>
      <c r="D231" s="111" t="s">
        <v>35</v>
      </c>
      <c r="E231" s="45" t="s">
        <v>36</v>
      </c>
      <c r="F231" s="45" t="s">
        <v>36</v>
      </c>
      <c r="G231" s="45" t="s">
        <v>36</v>
      </c>
      <c r="H231" s="45" t="s">
        <v>36</v>
      </c>
      <c r="I231" s="45" t="s">
        <v>36</v>
      </c>
      <c r="J231" s="112" t="s">
        <v>36</v>
      </c>
      <c r="K231" s="113" t="s">
        <v>37</v>
      </c>
      <c r="L231" s="114" t="s">
        <v>35</v>
      </c>
      <c r="M231" s="114" t="s">
        <v>37</v>
      </c>
      <c r="N231" s="114" t="s">
        <v>35</v>
      </c>
      <c r="O231" s="114" t="s">
        <v>35</v>
      </c>
      <c r="P231" s="114" t="s">
        <v>35</v>
      </c>
      <c r="Q231" s="114" t="s">
        <v>35</v>
      </c>
      <c r="R231" s="114" t="s">
        <v>37</v>
      </c>
      <c r="S231" s="115" t="s">
        <v>3971</v>
      </c>
      <c r="T231" s="50" t="s">
        <v>3972</v>
      </c>
      <c r="U231" s="50" t="s">
        <v>3972</v>
      </c>
      <c r="V231" s="116">
        <f t="shared" si="2"/>
        <v>1</v>
      </c>
      <c r="W231" s="116">
        <f t="shared" ref="W231:X231" si="236">IF(lenb(SUBSTITUTE($Z231,W$1&amp;" (1)",""))&lt;lenb($Z231),1,IF(lenb(SUBSTITUTE($Z231,W$1&amp;" (2)",""))&lt;lenb($Z231),2,IF(lenb(SUBSTITUTE($Z231,W$1&amp;" (3)",""))&lt;lenb($Z231),3,IF(lenb(SUBSTITUTE($Z231,W$1&amp;" (4)",""))&lt;lenb($Z231),4,IF(lenb(SUBSTITUTE($Z231,W$1&amp;" (5)",""))&lt;lenb($Z231),5,IF(lenb(SUBSTITUTE($Z231,W$1&amp;" (6)",""))&lt;lenb($Z231),6,IF(lenb(SUBSTITUTE($Z231,W$1&amp;" (7)",""))&lt;lenb($Z231),1,IF(lenb(SUBSTITUTE($Z231,W$1&amp;" (8)",""))&lt;lenb($Z231),8,IF(lenb(SUBSTITUTE($Z231,W$1&amp;" (9)",""))&lt;lenb($Z231),9,IF(lenb(SUBSTITUTE($Z231,W$1&amp;" (10)",""))&lt;lenb($Z231),10,IF(lenb(SUBSTITUTE($Z231,W$1,""))&lt;lenb($Z231),"ERROR",IF($Z231=$Y$1,"-",0))))))))))))</f>
        <v>0</v>
      </c>
      <c r="X231" s="116">
        <f t="shared" si="236"/>
        <v>0</v>
      </c>
      <c r="Y231" s="116" t="str">
        <f t="shared" si="4"/>
        <v>-</v>
      </c>
      <c r="Z231" s="115" t="s">
        <v>3400</v>
      </c>
      <c r="AA231" s="54">
        <f t="shared" si="5"/>
        <v>1</v>
      </c>
      <c r="AB231" s="54">
        <f>COUNTIFS(Links!B:B,"FSE",Links!C:C,A231,Links!AD:AD,1)</f>
        <v>0</v>
      </c>
      <c r="AC231" s="117" t="s">
        <v>35</v>
      </c>
      <c r="AD231" s="118" t="s">
        <v>35</v>
      </c>
      <c r="AE231" s="115" t="s">
        <v>36</v>
      </c>
      <c r="AF231" s="57" t="s">
        <v>42</v>
      </c>
      <c r="AG231" s="57" t="s">
        <v>42</v>
      </c>
      <c r="AH231" s="57" t="s">
        <v>42</v>
      </c>
      <c r="AI231" s="116" t="str">
        <f t="shared" si="6"/>
        <v>----</v>
      </c>
      <c r="AJ231" s="119" t="str">
        <f t="shared" si="7"/>
        <v>Paper has link but no statement</v>
      </c>
      <c r="AK231" s="120" t="s">
        <v>3401</v>
      </c>
      <c r="AL231" s="121" t="s">
        <v>3402</v>
      </c>
      <c r="AM231" s="60" t="str">
        <f t="shared" si="8"/>
        <v>[FP0580]</v>
      </c>
    </row>
    <row r="232" ht="67.5" customHeight="1">
      <c r="A232" s="61">
        <v>581.0</v>
      </c>
      <c r="B232" s="22" t="s">
        <v>3973</v>
      </c>
      <c r="C232" s="23">
        <v>2017.0</v>
      </c>
      <c r="D232" s="100" t="s">
        <v>35</v>
      </c>
      <c r="E232" s="25" t="s">
        <v>36</v>
      </c>
      <c r="F232" s="25" t="s">
        <v>36</v>
      </c>
      <c r="G232" s="25" t="s">
        <v>36</v>
      </c>
      <c r="H232" s="25" t="s">
        <v>36</v>
      </c>
      <c r="I232" s="25" t="s">
        <v>36</v>
      </c>
      <c r="J232" s="101" t="s">
        <v>36</v>
      </c>
      <c r="K232" s="102" t="s">
        <v>37</v>
      </c>
      <c r="L232" s="103" t="s">
        <v>37</v>
      </c>
      <c r="M232" s="103" t="s">
        <v>35</v>
      </c>
      <c r="N232" s="103" t="s">
        <v>37</v>
      </c>
      <c r="O232" s="103" t="s">
        <v>35</v>
      </c>
      <c r="P232" s="103" t="s">
        <v>35</v>
      </c>
      <c r="Q232" s="103" t="s">
        <v>35</v>
      </c>
      <c r="R232" s="103" t="s">
        <v>37</v>
      </c>
      <c r="S232" s="104" t="s">
        <v>3974</v>
      </c>
      <c r="T232" s="130" t="s">
        <v>3975</v>
      </c>
      <c r="U232" s="130" t="s">
        <v>3976</v>
      </c>
      <c r="V232" s="105">
        <f t="shared" si="2"/>
        <v>4</v>
      </c>
      <c r="W232" s="105">
        <f t="shared" ref="W232:X232" si="237">IF(lenb(SUBSTITUTE($Z232,W$1&amp;" (1)",""))&lt;lenb($Z232),1,IF(lenb(SUBSTITUTE($Z232,W$1&amp;" (2)",""))&lt;lenb($Z232),2,IF(lenb(SUBSTITUTE($Z232,W$1&amp;" (3)",""))&lt;lenb($Z232),3,IF(lenb(SUBSTITUTE($Z232,W$1&amp;" (4)",""))&lt;lenb($Z232),4,IF(lenb(SUBSTITUTE($Z232,W$1&amp;" (5)",""))&lt;lenb($Z232),5,IF(lenb(SUBSTITUTE($Z232,W$1&amp;" (6)",""))&lt;lenb($Z232),6,IF(lenb(SUBSTITUTE($Z232,W$1&amp;" (7)",""))&lt;lenb($Z232),1,IF(lenb(SUBSTITUTE($Z232,W$1&amp;" (8)",""))&lt;lenb($Z232),8,IF(lenb(SUBSTITUTE($Z232,W$1&amp;" (9)",""))&lt;lenb($Z232),9,IF(lenb(SUBSTITUTE($Z232,W$1&amp;" (10)",""))&lt;lenb($Z232),10,IF(lenb(SUBSTITUTE($Z232,W$1,""))&lt;lenb($Z232),"ERROR",IF($Z232=$Y$1,"-",0))))))))))))</f>
        <v>2</v>
      </c>
      <c r="X232" s="105">
        <f t="shared" si="237"/>
        <v>0</v>
      </c>
      <c r="Y232" s="105" t="str">
        <f t="shared" si="4"/>
        <v>-</v>
      </c>
      <c r="Z232" s="104" t="s">
        <v>3977</v>
      </c>
      <c r="AA232" s="34">
        <f t="shared" si="5"/>
        <v>6</v>
      </c>
      <c r="AB232" s="34">
        <f>COUNTIFS(Links!B:B,"FSE",Links!C:C,A232,Links!AD:AD,1)</f>
        <v>0</v>
      </c>
      <c r="AC232" s="106" t="s">
        <v>35</v>
      </c>
      <c r="AD232" s="107" t="s">
        <v>35</v>
      </c>
      <c r="AE232" s="104" t="s">
        <v>36</v>
      </c>
      <c r="AF232" s="37" t="s">
        <v>42</v>
      </c>
      <c r="AG232" s="37" t="s">
        <v>42</v>
      </c>
      <c r="AH232" s="37" t="s">
        <v>42</v>
      </c>
      <c r="AI232" s="105" t="str">
        <f t="shared" si="6"/>
        <v>----</v>
      </c>
      <c r="AJ232" s="108" t="str">
        <f t="shared" si="7"/>
        <v>Paper has link but no statement</v>
      </c>
      <c r="AK232" s="109" t="s">
        <v>3401</v>
      </c>
      <c r="AL232" s="110" t="s">
        <v>3402</v>
      </c>
      <c r="AM232" s="40" t="str">
        <f t="shared" si="8"/>
        <v>[FP0581]</v>
      </c>
    </row>
    <row r="233" ht="67.5" customHeight="1">
      <c r="A233" s="41">
        <v>582.0</v>
      </c>
      <c r="B233" s="42" t="s">
        <v>3978</v>
      </c>
      <c r="C233" s="43">
        <v>2017.0</v>
      </c>
      <c r="D233" s="111" t="s">
        <v>35</v>
      </c>
      <c r="E233" s="45" t="s">
        <v>36</v>
      </c>
      <c r="F233" s="45" t="s">
        <v>36</v>
      </c>
      <c r="G233" s="45" t="s">
        <v>36</v>
      </c>
      <c r="H233" s="45" t="s">
        <v>36</v>
      </c>
      <c r="I233" s="45" t="s">
        <v>36</v>
      </c>
      <c r="J233" s="112" t="s">
        <v>36</v>
      </c>
      <c r="K233" s="113" t="s">
        <v>37</v>
      </c>
      <c r="L233" s="114" t="s">
        <v>35</v>
      </c>
      <c r="M233" s="114" t="s">
        <v>35</v>
      </c>
      <c r="N233" s="114" t="s">
        <v>37</v>
      </c>
      <c r="O233" s="114" t="s">
        <v>35</v>
      </c>
      <c r="P233" s="114" t="s">
        <v>35</v>
      </c>
      <c r="Q233" s="114" t="s">
        <v>35</v>
      </c>
      <c r="R233" s="114" t="s">
        <v>35</v>
      </c>
      <c r="S233" s="115" t="s">
        <v>36</v>
      </c>
      <c r="T233" s="50" t="s">
        <v>3979</v>
      </c>
      <c r="U233" s="50" t="s">
        <v>3979</v>
      </c>
      <c r="V233" s="116">
        <f t="shared" si="2"/>
        <v>1</v>
      </c>
      <c r="W233" s="116">
        <f t="shared" ref="W233:X233" si="238">IF(lenb(SUBSTITUTE($Z233,W$1&amp;" (1)",""))&lt;lenb($Z233),1,IF(lenb(SUBSTITUTE($Z233,W$1&amp;" (2)",""))&lt;lenb($Z233),2,IF(lenb(SUBSTITUTE($Z233,W$1&amp;" (3)",""))&lt;lenb($Z233),3,IF(lenb(SUBSTITUTE($Z233,W$1&amp;" (4)",""))&lt;lenb($Z233),4,IF(lenb(SUBSTITUTE($Z233,W$1&amp;" (5)",""))&lt;lenb($Z233),5,IF(lenb(SUBSTITUTE($Z233,W$1&amp;" (6)",""))&lt;lenb($Z233),6,IF(lenb(SUBSTITUTE($Z233,W$1&amp;" (7)",""))&lt;lenb($Z233),1,IF(lenb(SUBSTITUTE($Z233,W$1&amp;" (8)",""))&lt;lenb($Z233),8,IF(lenb(SUBSTITUTE($Z233,W$1&amp;" (9)",""))&lt;lenb($Z233),9,IF(lenb(SUBSTITUTE($Z233,W$1&amp;" (10)",""))&lt;lenb($Z233),10,IF(lenb(SUBSTITUTE($Z233,W$1,""))&lt;lenb($Z233),"ERROR",IF($Z233=$Y$1,"-",0))))))))))))</f>
        <v>0</v>
      </c>
      <c r="X233" s="116">
        <f t="shared" si="238"/>
        <v>0</v>
      </c>
      <c r="Y233" s="116" t="str">
        <f t="shared" si="4"/>
        <v>-</v>
      </c>
      <c r="Z233" s="115" t="s">
        <v>3400</v>
      </c>
      <c r="AA233" s="54">
        <f t="shared" si="5"/>
        <v>1</v>
      </c>
      <c r="AB233" s="54">
        <f>COUNTIFS(Links!B:B,"FSE",Links!C:C,A233,Links!AD:AD,1)</f>
        <v>0</v>
      </c>
      <c r="AC233" s="117" t="s">
        <v>35</v>
      </c>
      <c r="AD233" s="118" t="s">
        <v>35</v>
      </c>
      <c r="AE233" s="115" t="s">
        <v>36</v>
      </c>
      <c r="AF233" s="57" t="s">
        <v>42</v>
      </c>
      <c r="AG233" s="57" t="s">
        <v>42</v>
      </c>
      <c r="AH233" s="57" t="s">
        <v>42</v>
      </c>
      <c r="AI233" s="116" t="str">
        <f t="shared" si="6"/>
        <v>----</v>
      </c>
      <c r="AJ233" s="119" t="str">
        <f t="shared" si="7"/>
        <v>Paper has link but no statement</v>
      </c>
      <c r="AK233" s="120" t="s">
        <v>3401</v>
      </c>
      <c r="AL233" s="121" t="s">
        <v>3402</v>
      </c>
      <c r="AM233" s="60" t="str">
        <f t="shared" si="8"/>
        <v>[FP0582]</v>
      </c>
    </row>
    <row r="234" ht="67.5" customHeight="1">
      <c r="A234" s="61">
        <v>583.0</v>
      </c>
      <c r="B234" s="22" t="s">
        <v>3980</v>
      </c>
      <c r="C234" s="23">
        <v>2017.0</v>
      </c>
      <c r="D234" s="100" t="s">
        <v>35</v>
      </c>
      <c r="E234" s="25" t="s">
        <v>36</v>
      </c>
      <c r="F234" s="25" t="s">
        <v>36</v>
      </c>
      <c r="G234" s="25" t="s">
        <v>36</v>
      </c>
      <c r="H234" s="25" t="s">
        <v>36</v>
      </c>
      <c r="I234" s="25" t="s">
        <v>36</v>
      </c>
      <c r="J234" s="101" t="s">
        <v>36</v>
      </c>
      <c r="K234" s="102" t="s">
        <v>37</v>
      </c>
      <c r="L234" s="103" t="s">
        <v>37</v>
      </c>
      <c r="M234" s="103" t="s">
        <v>35</v>
      </c>
      <c r="N234" s="103" t="s">
        <v>37</v>
      </c>
      <c r="O234" s="103" t="s">
        <v>35</v>
      </c>
      <c r="P234" s="103" t="s">
        <v>35</v>
      </c>
      <c r="Q234" s="103" t="s">
        <v>35</v>
      </c>
      <c r="R234" s="103" t="s">
        <v>37</v>
      </c>
      <c r="S234" s="104" t="s">
        <v>3981</v>
      </c>
      <c r="T234" s="30" t="s">
        <v>3982</v>
      </c>
      <c r="U234" s="30" t="s">
        <v>3982</v>
      </c>
      <c r="V234" s="105">
        <f t="shared" si="2"/>
        <v>1</v>
      </c>
      <c r="W234" s="105">
        <f t="shared" ref="W234:X234" si="239">IF(lenb(SUBSTITUTE($Z234,W$1&amp;" (1)",""))&lt;lenb($Z234),1,IF(lenb(SUBSTITUTE($Z234,W$1&amp;" (2)",""))&lt;lenb($Z234),2,IF(lenb(SUBSTITUTE($Z234,W$1&amp;" (3)",""))&lt;lenb($Z234),3,IF(lenb(SUBSTITUTE($Z234,W$1&amp;" (4)",""))&lt;lenb($Z234),4,IF(lenb(SUBSTITUTE($Z234,W$1&amp;" (5)",""))&lt;lenb($Z234),5,IF(lenb(SUBSTITUTE($Z234,W$1&amp;" (6)",""))&lt;lenb($Z234),6,IF(lenb(SUBSTITUTE($Z234,W$1&amp;" (7)",""))&lt;lenb($Z234),1,IF(lenb(SUBSTITUTE($Z234,W$1&amp;" (8)",""))&lt;lenb($Z234),8,IF(lenb(SUBSTITUTE($Z234,W$1&amp;" (9)",""))&lt;lenb($Z234),9,IF(lenb(SUBSTITUTE($Z234,W$1&amp;" (10)",""))&lt;lenb($Z234),10,IF(lenb(SUBSTITUTE($Z234,W$1,""))&lt;lenb($Z234),"ERROR",IF($Z234=$Y$1,"-",0))))))))))))</f>
        <v>0</v>
      </c>
      <c r="X234" s="105">
        <f t="shared" si="239"/>
        <v>0</v>
      </c>
      <c r="Y234" s="105" t="str">
        <f t="shared" si="4"/>
        <v>-</v>
      </c>
      <c r="Z234" s="104" t="s">
        <v>3400</v>
      </c>
      <c r="AA234" s="34">
        <f t="shared" si="5"/>
        <v>1</v>
      </c>
      <c r="AB234" s="34">
        <f>COUNTIFS(Links!B:B,"FSE",Links!C:C,A234,Links!AD:AD,1)</f>
        <v>0</v>
      </c>
      <c r="AC234" s="106" t="s">
        <v>35</v>
      </c>
      <c r="AD234" s="107" t="s">
        <v>35</v>
      </c>
      <c r="AE234" s="104" t="s">
        <v>36</v>
      </c>
      <c r="AF234" s="37" t="s">
        <v>42</v>
      </c>
      <c r="AG234" s="37" t="s">
        <v>42</v>
      </c>
      <c r="AH234" s="37" t="s">
        <v>42</v>
      </c>
      <c r="AI234" s="105" t="str">
        <f t="shared" si="6"/>
        <v>----</v>
      </c>
      <c r="AJ234" s="108" t="str">
        <f t="shared" si="7"/>
        <v>Paper has link but no statement</v>
      </c>
      <c r="AK234" s="109" t="s">
        <v>3401</v>
      </c>
      <c r="AL234" s="110" t="s">
        <v>3402</v>
      </c>
      <c r="AM234" s="40" t="str">
        <f t="shared" si="8"/>
        <v>[FP0583]</v>
      </c>
    </row>
    <row r="235" ht="67.5" customHeight="1">
      <c r="A235" s="41">
        <v>584.0</v>
      </c>
      <c r="B235" s="42" t="s">
        <v>3983</v>
      </c>
      <c r="C235" s="43">
        <v>2017.0</v>
      </c>
      <c r="D235" s="111" t="s">
        <v>37</v>
      </c>
      <c r="E235" s="45" t="s">
        <v>35</v>
      </c>
      <c r="F235" s="45" t="s">
        <v>35</v>
      </c>
      <c r="G235" s="45" t="s">
        <v>37</v>
      </c>
      <c r="H235" s="45" t="s">
        <v>35</v>
      </c>
      <c r="I235" s="45" t="s">
        <v>35</v>
      </c>
      <c r="J235" s="112" t="s">
        <v>36</v>
      </c>
      <c r="K235" s="113" t="s">
        <v>37</v>
      </c>
      <c r="L235" s="114" t="s">
        <v>37</v>
      </c>
      <c r="M235" s="114" t="s">
        <v>35</v>
      </c>
      <c r="N235" s="114" t="s">
        <v>35</v>
      </c>
      <c r="O235" s="114" t="s">
        <v>35</v>
      </c>
      <c r="P235" s="114" t="s">
        <v>37</v>
      </c>
      <c r="Q235" s="114" t="s">
        <v>37</v>
      </c>
      <c r="R235" s="114" t="s">
        <v>35</v>
      </c>
      <c r="S235" s="115" t="s">
        <v>3984</v>
      </c>
      <c r="T235" s="50" t="s">
        <v>3985</v>
      </c>
      <c r="U235" s="50" t="s">
        <v>3985</v>
      </c>
      <c r="V235" s="116">
        <f t="shared" si="2"/>
        <v>1</v>
      </c>
      <c r="W235" s="116">
        <f t="shared" ref="W235:X235" si="240">IF(lenb(SUBSTITUTE($Z235,W$1&amp;" (1)",""))&lt;lenb($Z235),1,IF(lenb(SUBSTITUTE($Z235,W$1&amp;" (2)",""))&lt;lenb($Z235),2,IF(lenb(SUBSTITUTE($Z235,W$1&amp;" (3)",""))&lt;lenb($Z235),3,IF(lenb(SUBSTITUTE($Z235,W$1&amp;" (4)",""))&lt;lenb($Z235),4,IF(lenb(SUBSTITUTE($Z235,W$1&amp;" (5)",""))&lt;lenb($Z235),5,IF(lenb(SUBSTITUTE($Z235,W$1&amp;" (6)",""))&lt;lenb($Z235),6,IF(lenb(SUBSTITUTE($Z235,W$1&amp;" (7)",""))&lt;lenb($Z235),1,IF(lenb(SUBSTITUTE($Z235,W$1&amp;" (8)",""))&lt;lenb($Z235),8,IF(lenb(SUBSTITUTE($Z235,W$1&amp;" (9)",""))&lt;lenb($Z235),9,IF(lenb(SUBSTITUTE($Z235,W$1&amp;" (10)",""))&lt;lenb($Z235),10,IF(lenb(SUBSTITUTE($Z235,W$1,""))&lt;lenb($Z235),"ERROR",IF($Z235=$Y$1,"-",0))))))))))))</f>
        <v>0</v>
      </c>
      <c r="X235" s="116">
        <f t="shared" si="240"/>
        <v>0</v>
      </c>
      <c r="Y235" s="116" t="str">
        <f t="shared" si="4"/>
        <v>-</v>
      </c>
      <c r="Z235" s="115" t="s">
        <v>3400</v>
      </c>
      <c r="AA235" s="54">
        <f t="shared" si="5"/>
        <v>1</v>
      </c>
      <c r="AB235" s="54">
        <f>COUNTIFS(Links!B:B,"FSE",Links!C:C,A235,Links!AD:AD,1)</f>
        <v>0</v>
      </c>
      <c r="AC235" s="117" t="s">
        <v>35</v>
      </c>
      <c r="AD235" s="118" t="s">
        <v>35</v>
      </c>
      <c r="AE235" s="115" t="s">
        <v>36</v>
      </c>
      <c r="AF235" s="57" t="s">
        <v>42</v>
      </c>
      <c r="AG235" s="57" t="s">
        <v>42</v>
      </c>
      <c r="AH235" s="57" t="s">
        <v>42</v>
      </c>
      <c r="AI235" s="116" t="str">
        <f t="shared" si="6"/>
        <v>----</v>
      </c>
      <c r="AJ235" s="119" t="str">
        <f t="shared" si="7"/>
        <v>Paper has link but no statement</v>
      </c>
      <c r="AK235" s="120" t="s">
        <v>3401</v>
      </c>
      <c r="AL235" s="121" t="s">
        <v>3402</v>
      </c>
      <c r="AM235" s="60" t="str">
        <f t="shared" si="8"/>
        <v>[FP0584]</v>
      </c>
    </row>
    <row r="236" ht="67.5" customHeight="1">
      <c r="A236" s="61">
        <v>585.0</v>
      </c>
      <c r="B236" s="22" t="s">
        <v>3986</v>
      </c>
      <c r="C236" s="23">
        <v>2017.0</v>
      </c>
      <c r="D236" s="100" t="s">
        <v>35</v>
      </c>
      <c r="E236" s="25" t="s">
        <v>36</v>
      </c>
      <c r="F236" s="25" t="s">
        <v>36</v>
      </c>
      <c r="G236" s="25" t="s">
        <v>36</v>
      </c>
      <c r="H236" s="25" t="s">
        <v>36</v>
      </c>
      <c r="I236" s="25" t="s">
        <v>36</v>
      </c>
      <c r="J236" s="101" t="s">
        <v>36</v>
      </c>
      <c r="K236" s="102" t="s">
        <v>37</v>
      </c>
      <c r="L236" s="103" t="s">
        <v>35</v>
      </c>
      <c r="M236" s="103" t="s">
        <v>35</v>
      </c>
      <c r="N236" s="103" t="s">
        <v>37</v>
      </c>
      <c r="O236" s="103" t="s">
        <v>35</v>
      </c>
      <c r="P236" s="103" t="s">
        <v>35</v>
      </c>
      <c r="Q236" s="103" t="s">
        <v>35</v>
      </c>
      <c r="R236" s="103" t="s">
        <v>35</v>
      </c>
      <c r="S236" s="104" t="s">
        <v>36</v>
      </c>
      <c r="T236" s="30" t="s">
        <v>3987</v>
      </c>
      <c r="U236" s="30" t="s">
        <v>3987</v>
      </c>
      <c r="V236" s="105">
        <f t="shared" si="2"/>
        <v>1</v>
      </c>
      <c r="W236" s="105">
        <f t="shared" ref="W236:X236" si="241">IF(lenb(SUBSTITUTE($Z236,W$1&amp;" (1)",""))&lt;lenb($Z236),1,IF(lenb(SUBSTITUTE($Z236,W$1&amp;" (2)",""))&lt;lenb($Z236),2,IF(lenb(SUBSTITUTE($Z236,W$1&amp;" (3)",""))&lt;lenb($Z236),3,IF(lenb(SUBSTITUTE($Z236,W$1&amp;" (4)",""))&lt;lenb($Z236),4,IF(lenb(SUBSTITUTE($Z236,W$1&amp;" (5)",""))&lt;lenb($Z236),5,IF(lenb(SUBSTITUTE($Z236,W$1&amp;" (6)",""))&lt;lenb($Z236),6,IF(lenb(SUBSTITUTE($Z236,W$1&amp;" (7)",""))&lt;lenb($Z236),1,IF(lenb(SUBSTITUTE($Z236,W$1&amp;" (8)",""))&lt;lenb($Z236),8,IF(lenb(SUBSTITUTE($Z236,W$1&amp;" (9)",""))&lt;lenb($Z236),9,IF(lenb(SUBSTITUTE($Z236,W$1&amp;" (10)",""))&lt;lenb($Z236),10,IF(lenb(SUBSTITUTE($Z236,W$1,""))&lt;lenb($Z236),"ERROR",IF($Z236=$Y$1,"-",0))))))))))))</f>
        <v>0</v>
      </c>
      <c r="X236" s="105">
        <f t="shared" si="241"/>
        <v>0</v>
      </c>
      <c r="Y236" s="105" t="str">
        <f t="shared" si="4"/>
        <v>-</v>
      </c>
      <c r="Z236" s="104" t="s">
        <v>3400</v>
      </c>
      <c r="AA236" s="34">
        <f t="shared" si="5"/>
        <v>1</v>
      </c>
      <c r="AB236" s="34">
        <f>COUNTIFS(Links!B:B,"FSE",Links!C:C,A236,Links!AD:AD,1)</f>
        <v>1</v>
      </c>
      <c r="AC236" s="106" t="s">
        <v>35</v>
      </c>
      <c r="AD236" s="107" t="s">
        <v>35</v>
      </c>
      <c r="AE236" s="104" t="s">
        <v>36</v>
      </c>
      <c r="AF236" s="37" t="s">
        <v>42</v>
      </c>
      <c r="AG236" s="37" t="s">
        <v>42</v>
      </c>
      <c r="AH236" s="37" t="s">
        <v>42</v>
      </c>
      <c r="AI236" s="105" t="str">
        <f t="shared" si="6"/>
        <v>----</v>
      </c>
      <c r="AJ236" s="108" t="str">
        <f t="shared" si="7"/>
        <v>Paper has link but no statement</v>
      </c>
      <c r="AK236" s="109" t="s">
        <v>3401</v>
      </c>
      <c r="AL236" s="110" t="s">
        <v>3402</v>
      </c>
      <c r="AM236" s="40" t="str">
        <f t="shared" si="8"/>
        <v>[FP0585]</v>
      </c>
    </row>
    <row r="237" ht="67.5" customHeight="1">
      <c r="A237" s="41">
        <v>586.0</v>
      </c>
      <c r="B237" s="42" t="s">
        <v>3988</v>
      </c>
      <c r="C237" s="43">
        <v>2017.0</v>
      </c>
      <c r="D237" s="111" t="s">
        <v>35</v>
      </c>
      <c r="E237" s="45" t="s">
        <v>36</v>
      </c>
      <c r="F237" s="45" t="s">
        <v>36</v>
      </c>
      <c r="G237" s="45" t="s">
        <v>36</v>
      </c>
      <c r="H237" s="45" t="s">
        <v>36</v>
      </c>
      <c r="I237" s="45" t="s">
        <v>36</v>
      </c>
      <c r="J237" s="112" t="s">
        <v>36</v>
      </c>
      <c r="K237" s="113" t="s">
        <v>37</v>
      </c>
      <c r="L237" s="114" t="s">
        <v>35</v>
      </c>
      <c r="M237" s="114" t="s">
        <v>35</v>
      </c>
      <c r="N237" s="114" t="s">
        <v>37</v>
      </c>
      <c r="O237" s="114" t="s">
        <v>35</v>
      </c>
      <c r="P237" s="114" t="s">
        <v>35</v>
      </c>
      <c r="Q237" s="114" t="s">
        <v>35</v>
      </c>
      <c r="R237" s="114" t="s">
        <v>35</v>
      </c>
      <c r="S237" s="115" t="s">
        <v>36</v>
      </c>
      <c r="T237" s="50" t="s">
        <v>3989</v>
      </c>
      <c r="U237" s="50" t="s">
        <v>3989</v>
      </c>
      <c r="V237" s="116">
        <f t="shared" si="2"/>
        <v>1</v>
      </c>
      <c r="W237" s="116">
        <f t="shared" ref="W237:X237" si="242">IF(lenb(SUBSTITUTE($Z237,W$1&amp;" (1)",""))&lt;lenb($Z237),1,IF(lenb(SUBSTITUTE($Z237,W$1&amp;" (2)",""))&lt;lenb($Z237),2,IF(lenb(SUBSTITUTE($Z237,W$1&amp;" (3)",""))&lt;lenb($Z237),3,IF(lenb(SUBSTITUTE($Z237,W$1&amp;" (4)",""))&lt;lenb($Z237),4,IF(lenb(SUBSTITUTE($Z237,W$1&amp;" (5)",""))&lt;lenb($Z237),5,IF(lenb(SUBSTITUTE($Z237,W$1&amp;" (6)",""))&lt;lenb($Z237),6,IF(lenb(SUBSTITUTE($Z237,W$1&amp;" (7)",""))&lt;lenb($Z237),1,IF(lenb(SUBSTITUTE($Z237,W$1&amp;" (8)",""))&lt;lenb($Z237),8,IF(lenb(SUBSTITUTE($Z237,W$1&amp;" (9)",""))&lt;lenb($Z237),9,IF(lenb(SUBSTITUTE($Z237,W$1&amp;" (10)",""))&lt;lenb($Z237),10,IF(lenb(SUBSTITUTE($Z237,W$1,""))&lt;lenb($Z237),"ERROR",IF($Z237=$Y$1,"-",0))))))))))))</f>
        <v>0</v>
      </c>
      <c r="X237" s="116">
        <f t="shared" si="242"/>
        <v>0</v>
      </c>
      <c r="Y237" s="116" t="str">
        <f t="shared" si="4"/>
        <v>-</v>
      </c>
      <c r="Z237" s="115" t="s">
        <v>3400</v>
      </c>
      <c r="AA237" s="54">
        <f t="shared" si="5"/>
        <v>1</v>
      </c>
      <c r="AB237" s="54">
        <f>COUNTIFS(Links!B:B,"FSE",Links!C:C,A237,Links!AD:AD,1)</f>
        <v>1</v>
      </c>
      <c r="AC237" s="117" t="s">
        <v>35</v>
      </c>
      <c r="AD237" s="118" t="s">
        <v>35</v>
      </c>
      <c r="AE237" s="115" t="s">
        <v>36</v>
      </c>
      <c r="AF237" s="57" t="s">
        <v>42</v>
      </c>
      <c r="AG237" s="57" t="s">
        <v>42</v>
      </c>
      <c r="AH237" s="57" t="s">
        <v>42</v>
      </c>
      <c r="AI237" s="116" t="str">
        <f t="shared" si="6"/>
        <v>----</v>
      </c>
      <c r="AJ237" s="119" t="str">
        <f t="shared" si="7"/>
        <v>Paper has link but no statement</v>
      </c>
      <c r="AK237" s="120" t="s">
        <v>3401</v>
      </c>
      <c r="AL237" s="121" t="s">
        <v>3402</v>
      </c>
      <c r="AM237" s="60" t="str">
        <f t="shared" si="8"/>
        <v>[FP0586]</v>
      </c>
    </row>
    <row r="238" ht="67.5" customHeight="1">
      <c r="A238" s="61">
        <v>587.0</v>
      </c>
      <c r="B238" s="22" t="s">
        <v>3990</v>
      </c>
      <c r="C238" s="23">
        <v>2017.0</v>
      </c>
      <c r="D238" s="100" t="s">
        <v>35</v>
      </c>
      <c r="E238" s="25" t="s">
        <v>36</v>
      </c>
      <c r="F238" s="25" t="s">
        <v>36</v>
      </c>
      <c r="G238" s="25" t="s">
        <v>36</v>
      </c>
      <c r="H238" s="25" t="s">
        <v>36</v>
      </c>
      <c r="I238" s="25" t="s">
        <v>36</v>
      </c>
      <c r="J238" s="101" t="s">
        <v>36</v>
      </c>
      <c r="K238" s="102" t="s">
        <v>35</v>
      </c>
      <c r="L238" s="103" t="s">
        <v>36</v>
      </c>
      <c r="M238" s="103" t="s">
        <v>36</v>
      </c>
      <c r="N238" s="103" t="s">
        <v>36</v>
      </c>
      <c r="O238" s="103" t="s">
        <v>36</v>
      </c>
      <c r="P238" s="103" t="s">
        <v>36</v>
      </c>
      <c r="Q238" s="103" t="s">
        <v>36</v>
      </c>
      <c r="R238" s="103" t="s">
        <v>36</v>
      </c>
      <c r="S238" s="104" t="s">
        <v>42</v>
      </c>
      <c r="T238" s="30" t="s">
        <v>36</v>
      </c>
      <c r="U238" s="30" t="s">
        <v>36</v>
      </c>
      <c r="V238" s="105" t="str">
        <f t="shared" si="2"/>
        <v>-</v>
      </c>
      <c r="W238" s="105" t="str">
        <f t="shared" ref="W238:X238" si="243">IF(lenb(SUBSTITUTE($Z238,W$1&amp;" (1)",""))&lt;lenb($Z238),1,IF(lenb(SUBSTITUTE($Z238,W$1&amp;" (2)",""))&lt;lenb($Z238),2,IF(lenb(SUBSTITUTE($Z238,W$1&amp;" (3)",""))&lt;lenb($Z238),3,IF(lenb(SUBSTITUTE($Z238,W$1&amp;" (4)",""))&lt;lenb($Z238),4,IF(lenb(SUBSTITUTE($Z238,W$1&amp;" (5)",""))&lt;lenb($Z238),5,IF(lenb(SUBSTITUTE($Z238,W$1&amp;" (6)",""))&lt;lenb($Z238),6,IF(lenb(SUBSTITUTE($Z238,W$1&amp;" (7)",""))&lt;lenb($Z238),1,IF(lenb(SUBSTITUTE($Z238,W$1&amp;" (8)",""))&lt;lenb($Z238),8,IF(lenb(SUBSTITUTE($Z238,W$1&amp;" (9)",""))&lt;lenb($Z238),9,IF(lenb(SUBSTITUTE($Z238,W$1&amp;" (10)",""))&lt;lenb($Z238),10,IF(lenb(SUBSTITUTE($Z238,W$1,""))&lt;lenb($Z238),"ERROR",IF($Z238=$Y$1,"-",0))))))))))))</f>
        <v>-</v>
      </c>
      <c r="X238" s="105" t="str">
        <f t="shared" si="243"/>
        <v>-</v>
      </c>
      <c r="Y238" s="105">
        <f t="shared" si="4"/>
        <v>1</v>
      </c>
      <c r="Z238" s="104" t="s">
        <v>23</v>
      </c>
      <c r="AA238" s="34">
        <f t="shared" si="5"/>
        <v>0</v>
      </c>
      <c r="AB238" s="34">
        <f>COUNTIFS(Links!B:B,"FSE",Links!C:C,A238,Links!AD:AD,1)</f>
        <v>0</v>
      </c>
      <c r="AC238" s="106" t="s">
        <v>36</v>
      </c>
      <c r="AD238" s="107" t="s">
        <v>35</v>
      </c>
      <c r="AE238" s="104" t="s">
        <v>36</v>
      </c>
      <c r="AF238" s="37" t="s">
        <v>42</v>
      </c>
      <c r="AG238" s="37" t="s">
        <v>42</v>
      </c>
      <c r="AH238" s="37" t="s">
        <v>42</v>
      </c>
      <c r="AI238" s="105" t="str">
        <f t="shared" si="6"/>
        <v>----</v>
      </c>
      <c r="AJ238" s="108" t="str">
        <f t="shared" si="7"/>
        <v>Paper has no link and no statement</v>
      </c>
      <c r="AK238" s="109" t="s">
        <v>3401</v>
      </c>
      <c r="AL238" s="110" t="s">
        <v>3402</v>
      </c>
      <c r="AM238" s="40" t="str">
        <f t="shared" si="8"/>
        <v>[FP0587]</v>
      </c>
    </row>
    <row r="239" ht="67.5" customHeight="1">
      <c r="A239" s="41">
        <v>588.0</v>
      </c>
      <c r="B239" s="42" t="s">
        <v>3991</v>
      </c>
      <c r="C239" s="43">
        <v>2017.0</v>
      </c>
      <c r="D239" s="111" t="s">
        <v>35</v>
      </c>
      <c r="E239" s="45" t="s">
        <v>36</v>
      </c>
      <c r="F239" s="45" t="s">
        <v>36</v>
      </c>
      <c r="G239" s="45" t="s">
        <v>36</v>
      </c>
      <c r="H239" s="45" t="s">
        <v>36</v>
      </c>
      <c r="I239" s="45" t="s">
        <v>36</v>
      </c>
      <c r="J239" s="112" t="s">
        <v>36</v>
      </c>
      <c r="K239" s="113" t="s">
        <v>35</v>
      </c>
      <c r="L239" s="114" t="s">
        <v>36</v>
      </c>
      <c r="M239" s="114" t="s">
        <v>36</v>
      </c>
      <c r="N239" s="114" t="s">
        <v>36</v>
      </c>
      <c r="O239" s="114" t="s">
        <v>36</v>
      </c>
      <c r="P239" s="114" t="s">
        <v>36</v>
      </c>
      <c r="Q239" s="114" t="s">
        <v>36</v>
      </c>
      <c r="R239" s="114" t="s">
        <v>36</v>
      </c>
      <c r="S239" s="115" t="s">
        <v>42</v>
      </c>
      <c r="T239" s="50" t="s">
        <v>36</v>
      </c>
      <c r="U239" s="50" t="s">
        <v>36</v>
      </c>
      <c r="V239" s="116" t="str">
        <f t="shared" si="2"/>
        <v>-</v>
      </c>
      <c r="W239" s="116" t="str">
        <f t="shared" ref="W239:X239" si="244">IF(lenb(SUBSTITUTE($Z239,W$1&amp;" (1)",""))&lt;lenb($Z239),1,IF(lenb(SUBSTITUTE($Z239,W$1&amp;" (2)",""))&lt;lenb($Z239),2,IF(lenb(SUBSTITUTE($Z239,W$1&amp;" (3)",""))&lt;lenb($Z239),3,IF(lenb(SUBSTITUTE($Z239,W$1&amp;" (4)",""))&lt;lenb($Z239),4,IF(lenb(SUBSTITUTE($Z239,W$1&amp;" (5)",""))&lt;lenb($Z239),5,IF(lenb(SUBSTITUTE($Z239,W$1&amp;" (6)",""))&lt;lenb($Z239),6,IF(lenb(SUBSTITUTE($Z239,W$1&amp;" (7)",""))&lt;lenb($Z239),1,IF(lenb(SUBSTITUTE($Z239,W$1&amp;" (8)",""))&lt;lenb($Z239),8,IF(lenb(SUBSTITUTE($Z239,W$1&amp;" (9)",""))&lt;lenb($Z239),9,IF(lenb(SUBSTITUTE($Z239,W$1&amp;" (10)",""))&lt;lenb($Z239),10,IF(lenb(SUBSTITUTE($Z239,W$1,""))&lt;lenb($Z239),"ERROR",IF($Z239=$Y$1,"-",0))))))))))))</f>
        <v>-</v>
      </c>
      <c r="X239" s="116" t="str">
        <f t="shared" si="244"/>
        <v>-</v>
      </c>
      <c r="Y239" s="116">
        <f t="shared" si="4"/>
        <v>1</v>
      </c>
      <c r="Z239" s="115" t="s">
        <v>23</v>
      </c>
      <c r="AA239" s="54">
        <f t="shared" si="5"/>
        <v>0</v>
      </c>
      <c r="AB239" s="54">
        <f>COUNTIFS(Links!B:B,"FSE",Links!C:C,A239,Links!AD:AD,1)</f>
        <v>0</v>
      </c>
      <c r="AC239" s="117" t="s">
        <v>36</v>
      </c>
      <c r="AD239" s="118" t="s">
        <v>35</v>
      </c>
      <c r="AE239" s="115" t="s">
        <v>36</v>
      </c>
      <c r="AF239" s="57" t="s">
        <v>42</v>
      </c>
      <c r="AG239" s="57" t="s">
        <v>42</v>
      </c>
      <c r="AH239" s="57" t="s">
        <v>42</v>
      </c>
      <c r="AI239" s="116" t="str">
        <f t="shared" si="6"/>
        <v>----</v>
      </c>
      <c r="AJ239" s="119" t="str">
        <f t="shared" si="7"/>
        <v>Paper has no link and no statement</v>
      </c>
      <c r="AK239" s="120" t="s">
        <v>3401</v>
      </c>
      <c r="AL239" s="121" t="s">
        <v>3402</v>
      </c>
      <c r="AM239" s="60" t="str">
        <f t="shared" si="8"/>
        <v>[FP0588]</v>
      </c>
    </row>
    <row r="240" ht="67.5" customHeight="1">
      <c r="A240" s="61">
        <v>589.0</v>
      </c>
      <c r="B240" s="22" t="s">
        <v>3992</v>
      </c>
      <c r="C240" s="23">
        <v>2017.0</v>
      </c>
      <c r="D240" s="100" t="s">
        <v>35</v>
      </c>
      <c r="E240" s="25" t="s">
        <v>36</v>
      </c>
      <c r="F240" s="25" t="s">
        <v>36</v>
      </c>
      <c r="G240" s="25" t="s">
        <v>36</v>
      </c>
      <c r="H240" s="25" t="s">
        <v>36</v>
      </c>
      <c r="I240" s="25" t="s">
        <v>36</v>
      </c>
      <c r="J240" s="101" t="s">
        <v>36</v>
      </c>
      <c r="K240" s="102" t="s">
        <v>37</v>
      </c>
      <c r="L240" s="103" t="s">
        <v>35</v>
      </c>
      <c r="M240" s="103" t="s">
        <v>37</v>
      </c>
      <c r="N240" s="103" t="s">
        <v>35</v>
      </c>
      <c r="O240" s="103" t="s">
        <v>35</v>
      </c>
      <c r="P240" s="103" t="s">
        <v>35</v>
      </c>
      <c r="Q240" s="103" t="s">
        <v>35</v>
      </c>
      <c r="R240" s="103" t="s">
        <v>37</v>
      </c>
      <c r="S240" s="104" t="s">
        <v>3993</v>
      </c>
      <c r="T240" s="126" t="s">
        <v>3994</v>
      </c>
      <c r="U240" s="126" t="s">
        <v>3994</v>
      </c>
      <c r="V240" s="105">
        <f t="shared" si="2"/>
        <v>1</v>
      </c>
      <c r="W240" s="105">
        <f t="shared" ref="W240:X240" si="245">IF(lenb(SUBSTITUTE($Z240,W$1&amp;" (1)",""))&lt;lenb($Z240),1,IF(lenb(SUBSTITUTE($Z240,W$1&amp;" (2)",""))&lt;lenb($Z240),2,IF(lenb(SUBSTITUTE($Z240,W$1&amp;" (3)",""))&lt;lenb($Z240),3,IF(lenb(SUBSTITUTE($Z240,W$1&amp;" (4)",""))&lt;lenb($Z240),4,IF(lenb(SUBSTITUTE($Z240,W$1&amp;" (5)",""))&lt;lenb($Z240),5,IF(lenb(SUBSTITUTE($Z240,W$1&amp;" (6)",""))&lt;lenb($Z240),6,IF(lenb(SUBSTITUTE($Z240,W$1&amp;" (7)",""))&lt;lenb($Z240),1,IF(lenb(SUBSTITUTE($Z240,W$1&amp;" (8)",""))&lt;lenb($Z240),8,IF(lenb(SUBSTITUTE($Z240,W$1&amp;" (9)",""))&lt;lenb($Z240),9,IF(lenb(SUBSTITUTE($Z240,W$1&amp;" (10)",""))&lt;lenb($Z240),10,IF(lenb(SUBSTITUTE($Z240,W$1,""))&lt;lenb($Z240),"ERROR",IF($Z240=$Y$1,"-",0))))))))))))</f>
        <v>0</v>
      </c>
      <c r="X240" s="105">
        <f t="shared" si="245"/>
        <v>0</v>
      </c>
      <c r="Y240" s="105" t="str">
        <f t="shared" si="4"/>
        <v>-</v>
      </c>
      <c r="Z240" s="104" t="s">
        <v>3400</v>
      </c>
      <c r="AA240" s="34">
        <f t="shared" si="5"/>
        <v>1</v>
      </c>
      <c r="AB240" s="34">
        <f>COUNTIFS(Links!B:B,"FSE",Links!C:C,A240,Links!AD:AD,1)</f>
        <v>0</v>
      </c>
      <c r="AC240" s="106" t="s">
        <v>35</v>
      </c>
      <c r="AD240" s="107" t="s">
        <v>35</v>
      </c>
      <c r="AE240" s="104" t="s">
        <v>36</v>
      </c>
      <c r="AF240" s="37" t="s">
        <v>42</v>
      </c>
      <c r="AG240" s="37" t="s">
        <v>42</v>
      </c>
      <c r="AH240" s="37" t="s">
        <v>42</v>
      </c>
      <c r="AI240" s="105" t="str">
        <f t="shared" si="6"/>
        <v>----</v>
      </c>
      <c r="AJ240" s="108" t="str">
        <f t="shared" si="7"/>
        <v>Paper has link but no statement</v>
      </c>
      <c r="AK240" s="109" t="s">
        <v>3401</v>
      </c>
      <c r="AL240" s="110" t="s">
        <v>3402</v>
      </c>
      <c r="AM240" s="40" t="str">
        <f t="shared" si="8"/>
        <v>[FP0589]</v>
      </c>
    </row>
    <row r="241" ht="67.5" customHeight="1">
      <c r="A241" s="41">
        <v>590.0</v>
      </c>
      <c r="B241" s="42" t="s">
        <v>3995</v>
      </c>
      <c r="C241" s="43">
        <v>2017.0</v>
      </c>
      <c r="D241" s="111" t="s">
        <v>35</v>
      </c>
      <c r="E241" s="45" t="s">
        <v>36</v>
      </c>
      <c r="F241" s="45" t="s">
        <v>36</v>
      </c>
      <c r="G241" s="45" t="s">
        <v>36</v>
      </c>
      <c r="H241" s="45" t="s">
        <v>36</v>
      </c>
      <c r="I241" s="45" t="s">
        <v>36</v>
      </c>
      <c r="J241" s="112" t="s">
        <v>36</v>
      </c>
      <c r="K241" s="113" t="s">
        <v>37</v>
      </c>
      <c r="L241" s="114" t="s">
        <v>35</v>
      </c>
      <c r="M241" s="114" t="s">
        <v>37</v>
      </c>
      <c r="N241" s="114" t="s">
        <v>35</v>
      </c>
      <c r="O241" s="114" t="s">
        <v>35</v>
      </c>
      <c r="P241" s="114" t="s">
        <v>35</v>
      </c>
      <c r="Q241" s="114" t="s">
        <v>35</v>
      </c>
      <c r="R241" s="114" t="s">
        <v>37</v>
      </c>
      <c r="S241" s="115" t="s">
        <v>3996</v>
      </c>
      <c r="T241" s="50" t="s">
        <v>3997</v>
      </c>
      <c r="U241" s="50" t="s">
        <v>3997</v>
      </c>
      <c r="V241" s="116">
        <f t="shared" si="2"/>
        <v>1</v>
      </c>
      <c r="W241" s="116">
        <f t="shared" ref="W241:X241" si="246">IF(lenb(SUBSTITUTE($Z241,W$1&amp;" (1)",""))&lt;lenb($Z241),1,IF(lenb(SUBSTITUTE($Z241,W$1&amp;" (2)",""))&lt;lenb($Z241),2,IF(lenb(SUBSTITUTE($Z241,W$1&amp;" (3)",""))&lt;lenb($Z241),3,IF(lenb(SUBSTITUTE($Z241,W$1&amp;" (4)",""))&lt;lenb($Z241),4,IF(lenb(SUBSTITUTE($Z241,W$1&amp;" (5)",""))&lt;lenb($Z241),5,IF(lenb(SUBSTITUTE($Z241,W$1&amp;" (6)",""))&lt;lenb($Z241),6,IF(lenb(SUBSTITUTE($Z241,W$1&amp;" (7)",""))&lt;lenb($Z241),1,IF(lenb(SUBSTITUTE($Z241,W$1&amp;" (8)",""))&lt;lenb($Z241),8,IF(lenb(SUBSTITUTE($Z241,W$1&amp;" (9)",""))&lt;lenb($Z241),9,IF(lenb(SUBSTITUTE($Z241,W$1&amp;" (10)",""))&lt;lenb($Z241),10,IF(lenb(SUBSTITUTE($Z241,W$1,""))&lt;lenb($Z241),"ERROR",IF($Z241=$Y$1,"-",0))))))))))))</f>
        <v>0</v>
      </c>
      <c r="X241" s="116">
        <f t="shared" si="246"/>
        <v>0</v>
      </c>
      <c r="Y241" s="116" t="str">
        <f t="shared" si="4"/>
        <v>-</v>
      </c>
      <c r="Z241" s="115" t="s">
        <v>3400</v>
      </c>
      <c r="AA241" s="54">
        <f t="shared" si="5"/>
        <v>1</v>
      </c>
      <c r="AB241" s="54">
        <f>COUNTIFS(Links!B:B,"FSE",Links!C:C,A241,Links!AD:AD,1)</f>
        <v>1</v>
      </c>
      <c r="AC241" s="117" t="s">
        <v>35</v>
      </c>
      <c r="AD241" s="118" t="s">
        <v>35</v>
      </c>
      <c r="AE241" s="115" t="s">
        <v>36</v>
      </c>
      <c r="AF241" s="57" t="s">
        <v>42</v>
      </c>
      <c r="AG241" s="57" t="s">
        <v>42</v>
      </c>
      <c r="AH241" s="57" t="s">
        <v>42</v>
      </c>
      <c r="AI241" s="116" t="str">
        <f t="shared" si="6"/>
        <v>----</v>
      </c>
      <c r="AJ241" s="119" t="str">
        <f t="shared" si="7"/>
        <v>Paper has link but no statement</v>
      </c>
      <c r="AK241" s="120" t="s">
        <v>3401</v>
      </c>
      <c r="AL241" s="121" t="s">
        <v>3402</v>
      </c>
      <c r="AM241" s="60" t="str">
        <f t="shared" si="8"/>
        <v>[FP0590]</v>
      </c>
    </row>
    <row r="242" ht="67.5" customHeight="1">
      <c r="A242" s="61">
        <v>591.0</v>
      </c>
      <c r="B242" s="22" t="s">
        <v>3998</v>
      </c>
      <c r="C242" s="23">
        <v>2017.0</v>
      </c>
      <c r="D242" s="100" t="s">
        <v>35</v>
      </c>
      <c r="E242" s="25" t="s">
        <v>36</v>
      </c>
      <c r="F242" s="25" t="s">
        <v>36</v>
      </c>
      <c r="G242" s="25" t="s">
        <v>36</v>
      </c>
      <c r="H242" s="25" t="s">
        <v>36</v>
      </c>
      <c r="I242" s="25" t="s">
        <v>36</v>
      </c>
      <c r="J242" s="101" t="s">
        <v>36</v>
      </c>
      <c r="K242" s="102" t="s">
        <v>37</v>
      </c>
      <c r="L242" s="103" t="s">
        <v>37</v>
      </c>
      <c r="M242" s="103" t="s">
        <v>35</v>
      </c>
      <c r="N242" s="103" t="s">
        <v>37</v>
      </c>
      <c r="O242" s="103" t="s">
        <v>35</v>
      </c>
      <c r="P242" s="103" t="s">
        <v>35</v>
      </c>
      <c r="Q242" s="103" t="s">
        <v>35</v>
      </c>
      <c r="R242" s="103" t="s">
        <v>35</v>
      </c>
      <c r="S242" s="104" t="s">
        <v>36</v>
      </c>
      <c r="T242" s="30" t="s">
        <v>3999</v>
      </c>
      <c r="U242" s="30" t="s">
        <v>3999</v>
      </c>
      <c r="V242" s="105">
        <f t="shared" si="2"/>
        <v>1</v>
      </c>
      <c r="W242" s="105">
        <f t="shared" ref="W242:X242" si="247">IF(lenb(SUBSTITUTE($Z242,W$1&amp;" (1)",""))&lt;lenb($Z242),1,IF(lenb(SUBSTITUTE($Z242,W$1&amp;" (2)",""))&lt;lenb($Z242),2,IF(lenb(SUBSTITUTE($Z242,W$1&amp;" (3)",""))&lt;lenb($Z242),3,IF(lenb(SUBSTITUTE($Z242,W$1&amp;" (4)",""))&lt;lenb($Z242),4,IF(lenb(SUBSTITUTE($Z242,W$1&amp;" (5)",""))&lt;lenb($Z242),5,IF(lenb(SUBSTITUTE($Z242,W$1&amp;" (6)",""))&lt;lenb($Z242),6,IF(lenb(SUBSTITUTE($Z242,W$1&amp;" (7)",""))&lt;lenb($Z242),1,IF(lenb(SUBSTITUTE($Z242,W$1&amp;" (8)",""))&lt;lenb($Z242),8,IF(lenb(SUBSTITUTE($Z242,W$1&amp;" (9)",""))&lt;lenb($Z242),9,IF(lenb(SUBSTITUTE($Z242,W$1&amp;" (10)",""))&lt;lenb($Z242),10,IF(lenb(SUBSTITUTE($Z242,W$1,""))&lt;lenb($Z242),"ERROR",IF($Z242=$Y$1,"-",0))))))))))))</f>
        <v>0</v>
      </c>
      <c r="X242" s="105">
        <f t="shared" si="247"/>
        <v>0</v>
      </c>
      <c r="Y242" s="105" t="str">
        <f t="shared" si="4"/>
        <v>-</v>
      </c>
      <c r="Z242" s="104" t="s">
        <v>3400</v>
      </c>
      <c r="AA242" s="34">
        <f t="shared" si="5"/>
        <v>1</v>
      </c>
      <c r="AB242" s="34">
        <f>COUNTIFS(Links!B:B,"FSE",Links!C:C,A242,Links!AD:AD,1)</f>
        <v>0</v>
      </c>
      <c r="AC242" s="106" t="s">
        <v>35</v>
      </c>
      <c r="AD242" s="107" t="s">
        <v>35</v>
      </c>
      <c r="AE242" s="104" t="s">
        <v>36</v>
      </c>
      <c r="AF242" s="37" t="s">
        <v>42</v>
      </c>
      <c r="AG242" s="37" t="s">
        <v>42</v>
      </c>
      <c r="AH242" s="37" t="s">
        <v>42</v>
      </c>
      <c r="AI242" s="105" t="str">
        <f t="shared" si="6"/>
        <v>----</v>
      </c>
      <c r="AJ242" s="108" t="str">
        <f t="shared" si="7"/>
        <v>Paper has link but no statement</v>
      </c>
      <c r="AK242" s="109" t="s">
        <v>3401</v>
      </c>
      <c r="AL242" s="110" t="s">
        <v>3402</v>
      </c>
      <c r="AM242" s="40" t="str">
        <f t="shared" si="8"/>
        <v>[FP0591]</v>
      </c>
    </row>
    <row r="243" ht="67.5" customHeight="1">
      <c r="A243" s="41">
        <v>592.0</v>
      </c>
      <c r="B243" s="42" t="s">
        <v>4000</v>
      </c>
      <c r="C243" s="43">
        <v>2017.0</v>
      </c>
      <c r="D243" s="111" t="s">
        <v>35</v>
      </c>
      <c r="E243" s="45" t="s">
        <v>36</v>
      </c>
      <c r="F243" s="45" t="s">
        <v>36</v>
      </c>
      <c r="G243" s="45" t="s">
        <v>36</v>
      </c>
      <c r="H243" s="45" t="s">
        <v>36</v>
      </c>
      <c r="I243" s="45" t="s">
        <v>36</v>
      </c>
      <c r="J243" s="112" t="s">
        <v>36</v>
      </c>
      <c r="K243" s="113" t="s">
        <v>37</v>
      </c>
      <c r="L243" s="114" t="s">
        <v>37</v>
      </c>
      <c r="M243" s="114" t="s">
        <v>35</v>
      </c>
      <c r="N243" s="114" t="s">
        <v>37</v>
      </c>
      <c r="O243" s="114" t="s">
        <v>35</v>
      </c>
      <c r="P243" s="114" t="s">
        <v>35</v>
      </c>
      <c r="Q243" s="114" t="s">
        <v>35</v>
      </c>
      <c r="R243" s="114" t="s">
        <v>35</v>
      </c>
      <c r="S243" s="115" t="s">
        <v>36</v>
      </c>
      <c r="T243" s="50" t="s">
        <v>4001</v>
      </c>
      <c r="U243" s="50" t="s">
        <v>4001</v>
      </c>
      <c r="V243" s="116">
        <f t="shared" si="2"/>
        <v>0</v>
      </c>
      <c r="W243" s="116">
        <f t="shared" ref="W243:X243" si="248">IF(lenb(SUBSTITUTE($Z243,W$1&amp;" (1)",""))&lt;lenb($Z243),1,IF(lenb(SUBSTITUTE($Z243,W$1&amp;" (2)",""))&lt;lenb($Z243),2,IF(lenb(SUBSTITUTE($Z243,W$1&amp;" (3)",""))&lt;lenb($Z243),3,IF(lenb(SUBSTITUTE($Z243,W$1&amp;" (4)",""))&lt;lenb($Z243),4,IF(lenb(SUBSTITUTE($Z243,W$1&amp;" (5)",""))&lt;lenb($Z243),5,IF(lenb(SUBSTITUTE($Z243,W$1&amp;" (6)",""))&lt;lenb($Z243),6,IF(lenb(SUBSTITUTE($Z243,W$1&amp;" (7)",""))&lt;lenb($Z243),1,IF(lenb(SUBSTITUTE($Z243,W$1&amp;" (8)",""))&lt;lenb($Z243),8,IF(lenb(SUBSTITUTE($Z243,W$1&amp;" (9)",""))&lt;lenb($Z243),9,IF(lenb(SUBSTITUTE($Z243,W$1&amp;" (10)",""))&lt;lenb($Z243),10,IF(lenb(SUBSTITUTE($Z243,W$1,""))&lt;lenb($Z243),"ERROR",IF($Z243=$Y$1,"-",0))))))))))))</f>
        <v>1</v>
      </c>
      <c r="X243" s="116">
        <f t="shared" si="248"/>
        <v>0</v>
      </c>
      <c r="Y243" s="116" t="str">
        <f t="shared" si="4"/>
        <v>-</v>
      </c>
      <c r="Z243" s="115" t="s">
        <v>3423</v>
      </c>
      <c r="AA243" s="54">
        <f t="shared" si="5"/>
        <v>1</v>
      </c>
      <c r="AB243" s="54">
        <f>COUNTIFS(Links!B:B,"FSE",Links!C:C,A243,Links!AD:AD,1)</f>
        <v>1</v>
      </c>
      <c r="AC243" s="117" t="s">
        <v>35</v>
      </c>
      <c r="AD243" s="118" t="s">
        <v>35</v>
      </c>
      <c r="AE243" s="115" t="s">
        <v>36</v>
      </c>
      <c r="AF243" s="57" t="s">
        <v>42</v>
      </c>
      <c r="AG243" s="57" t="s">
        <v>42</v>
      </c>
      <c r="AH243" s="57" t="s">
        <v>42</v>
      </c>
      <c r="AI243" s="116" t="str">
        <f t="shared" si="6"/>
        <v>----</v>
      </c>
      <c r="AJ243" s="119" t="str">
        <f t="shared" si="7"/>
        <v>Paper has link but no statement</v>
      </c>
      <c r="AK243" s="120" t="s">
        <v>3401</v>
      </c>
      <c r="AL243" s="121" t="s">
        <v>3402</v>
      </c>
      <c r="AM243" s="60" t="str">
        <f t="shared" si="8"/>
        <v>[FP0592]</v>
      </c>
    </row>
    <row r="244" ht="67.5" customHeight="1">
      <c r="A244" s="61">
        <v>593.0</v>
      </c>
      <c r="B244" s="22" t="s">
        <v>4002</v>
      </c>
      <c r="C244" s="23">
        <v>2017.0</v>
      </c>
      <c r="D244" s="100" t="s">
        <v>35</v>
      </c>
      <c r="E244" s="25" t="s">
        <v>36</v>
      </c>
      <c r="F244" s="25" t="s">
        <v>36</v>
      </c>
      <c r="G244" s="25" t="s">
        <v>36</v>
      </c>
      <c r="H244" s="25" t="s">
        <v>36</v>
      </c>
      <c r="I244" s="25" t="s">
        <v>36</v>
      </c>
      <c r="J244" s="101" t="s">
        <v>36</v>
      </c>
      <c r="K244" s="102" t="s">
        <v>37</v>
      </c>
      <c r="L244" s="103" t="s">
        <v>37</v>
      </c>
      <c r="M244" s="103" t="s">
        <v>37</v>
      </c>
      <c r="N244" s="103" t="s">
        <v>37</v>
      </c>
      <c r="O244" s="103" t="s">
        <v>35</v>
      </c>
      <c r="P244" s="103" t="s">
        <v>35</v>
      </c>
      <c r="Q244" s="103" t="s">
        <v>35</v>
      </c>
      <c r="R244" s="103" t="s">
        <v>37</v>
      </c>
      <c r="S244" s="104" t="s">
        <v>4003</v>
      </c>
      <c r="T244" s="30" t="s">
        <v>4004</v>
      </c>
      <c r="U244" s="30" t="s">
        <v>4004</v>
      </c>
      <c r="V244" s="105">
        <f t="shared" si="2"/>
        <v>0</v>
      </c>
      <c r="W244" s="105">
        <f t="shared" ref="W244:X244" si="249">IF(lenb(SUBSTITUTE($Z244,W$1&amp;" (1)",""))&lt;lenb($Z244),1,IF(lenb(SUBSTITUTE($Z244,W$1&amp;" (2)",""))&lt;lenb($Z244),2,IF(lenb(SUBSTITUTE($Z244,W$1&amp;" (3)",""))&lt;lenb($Z244),3,IF(lenb(SUBSTITUTE($Z244,W$1&amp;" (4)",""))&lt;lenb($Z244),4,IF(lenb(SUBSTITUTE($Z244,W$1&amp;" (5)",""))&lt;lenb($Z244),5,IF(lenb(SUBSTITUTE($Z244,W$1&amp;" (6)",""))&lt;lenb($Z244),6,IF(lenb(SUBSTITUTE($Z244,W$1&amp;" (7)",""))&lt;lenb($Z244),1,IF(lenb(SUBSTITUTE($Z244,W$1&amp;" (8)",""))&lt;lenb($Z244),8,IF(lenb(SUBSTITUTE($Z244,W$1&amp;" (9)",""))&lt;lenb($Z244),9,IF(lenb(SUBSTITUTE($Z244,W$1&amp;" (10)",""))&lt;lenb($Z244),10,IF(lenb(SUBSTITUTE($Z244,W$1,""))&lt;lenb($Z244),"ERROR",IF($Z244=$Y$1,"-",0))))))))))))</f>
        <v>1</v>
      </c>
      <c r="X244" s="105">
        <f t="shared" si="249"/>
        <v>0</v>
      </c>
      <c r="Y244" s="105" t="str">
        <f t="shared" si="4"/>
        <v>-</v>
      </c>
      <c r="Z244" s="104" t="s">
        <v>3423</v>
      </c>
      <c r="AA244" s="34">
        <f t="shared" si="5"/>
        <v>1</v>
      </c>
      <c r="AB244" s="34">
        <f>COUNTIFS(Links!B:B,"FSE",Links!C:C,A244,Links!AD:AD,1)</f>
        <v>1</v>
      </c>
      <c r="AC244" s="106" t="s">
        <v>35</v>
      </c>
      <c r="AD244" s="107" t="s">
        <v>35</v>
      </c>
      <c r="AE244" s="104" t="s">
        <v>36</v>
      </c>
      <c r="AF244" s="37" t="s">
        <v>42</v>
      </c>
      <c r="AG244" s="37" t="s">
        <v>42</v>
      </c>
      <c r="AH244" s="37" t="s">
        <v>42</v>
      </c>
      <c r="AI244" s="105" t="str">
        <f t="shared" si="6"/>
        <v>----</v>
      </c>
      <c r="AJ244" s="108" t="str">
        <f t="shared" si="7"/>
        <v>Paper has link but no statement</v>
      </c>
      <c r="AK244" s="109" t="s">
        <v>3401</v>
      </c>
      <c r="AL244" s="110" t="s">
        <v>3402</v>
      </c>
      <c r="AM244" s="40" t="str">
        <f t="shared" si="8"/>
        <v>[FP0593]</v>
      </c>
    </row>
    <row r="245" ht="67.5" customHeight="1">
      <c r="A245" s="41">
        <v>594.0</v>
      </c>
      <c r="B245" s="42" t="s">
        <v>4005</v>
      </c>
      <c r="C245" s="43">
        <v>2017.0</v>
      </c>
      <c r="D245" s="111" t="s">
        <v>35</v>
      </c>
      <c r="E245" s="45" t="s">
        <v>36</v>
      </c>
      <c r="F245" s="45" t="s">
        <v>36</v>
      </c>
      <c r="G245" s="45" t="s">
        <v>36</v>
      </c>
      <c r="H245" s="45" t="s">
        <v>36</v>
      </c>
      <c r="I245" s="45" t="s">
        <v>36</v>
      </c>
      <c r="J245" s="112" t="s">
        <v>36</v>
      </c>
      <c r="K245" s="113" t="s">
        <v>37</v>
      </c>
      <c r="L245" s="114" t="s">
        <v>37</v>
      </c>
      <c r="M245" s="114" t="s">
        <v>35</v>
      </c>
      <c r="N245" s="114" t="s">
        <v>35</v>
      </c>
      <c r="O245" s="114" t="s">
        <v>35</v>
      </c>
      <c r="P245" s="114" t="s">
        <v>35</v>
      </c>
      <c r="Q245" s="114" t="s">
        <v>35</v>
      </c>
      <c r="R245" s="114" t="s">
        <v>37</v>
      </c>
      <c r="S245" s="115" t="s">
        <v>4006</v>
      </c>
      <c r="T245" s="50" t="s">
        <v>4007</v>
      </c>
      <c r="U245" s="50" t="s">
        <v>4007</v>
      </c>
      <c r="V245" s="116">
        <f t="shared" si="2"/>
        <v>0</v>
      </c>
      <c r="W245" s="116">
        <f t="shared" ref="W245:X245" si="250">IF(lenb(SUBSTITUTE($Z245,W$1&amp;" (1)",""))&lt;lenb($Z245),1,IF(lenb(SUBSTITUTE($Z245,W$1&amp;" (2)",""))&lt;lenb($Z245),2,IF(lenb(SUBSTITUTE($Z245,W$1&amp;" (3)",""))&lt;lenb($Z245),3,IF(lenb(SUBSTITUTE($Z245,W$1&amp;" (4)",""))&lt;lenb($Z245),4,IF(lenb(SUBSTITUTE($Z245,W$1&amp;" (5)",""))&lt;lenb($Z245),5,IF(lenb(SUBSTITUTE($Z245,W$1&amp;" (6)",""))&lt;lenb($Z245),6,IF(lenb(SUBSTITUTE($Z245,W$1&amp;" (7)",""))&lt;lenb($Z245),1,IF(lenb(SUBSTITUTE($Z245,W$1&amp;" (8)",""))&lt;lenb($Z245),8,IF(lenb(SUBSTITUTE($Z245,W$1&amp;" (9)",""))&lt;lenb($Z245),9,IF(lenb(SUBSTITUTE($Z245,W$1&amp;" (10)",""))&lt;lenb($Z245),10,IF(lenb(SUBSTITUTE($Z245,W$1,""))&lt;lenb($Z245),"ERROR",IF($Z245=$Y$1,"-",0))))))))))))</f>
        <v>1</v>
      </c>
      <c r="X245" s="116">
        <f t="shared" si="250"/>
        <v>0</v>
      </c>
      <c r="Y245" s="116" t="str">
        <f t="shared" si="4"/>
        <v>-</v>
      </c>
      <c r="Z245" s="115" t="s">
        <v>3423</v>
      </c>
      <c r="AA245" s="54">
        <f t="shared" si="5"/>
        <v>1</v>
      </c>
      <c r="AB245" s="54">
        <f>COUNTIFS(Links!B:B,"FSE",Links!C:C,A245,Links!AD:AD,1)</f>
        <v>1</v>
      </c>
      <c r="AC245" s="117" t="s">
        <v>35</v>
      </c>
      <c r="AD245" s="118" t="s">
        <v>35</v>
      </c>
      <c r="AE245" s="115" t="s">
        <v>36</v>
      </c>
      <c r="AF245" s="57" t="s">
        <v>42</v>
      </c>
      <c r="AG245" s="57" t="s">
        <v>42</v>
      </c>
      <c r="AH245" s="57" t="s">
        <v>42</v>
      </c>
      <c r="AI245" s="116" t="str">
        <f t="shared" si="6"/>
        <v>----</v>
      </c>
      <c r="AJ245" s="119" t="str">
        <f t="shared" si="7"/>
        <v>Paper has link but no statement</v>
      </c>
      <c r="AK245" s="120" t="s">
        <v>3401</v>
      </c>
      <c r="AL245" s="121" t="s">
        <v>3402</v>
      </c>
      <c r="AM245" s="60" t="str">
        <f t="shared" si="8"/>
        <v>[FP0594]</v>
      </c>
    </row>
    <row r="246" ht="67.5" customHeight="1">
      <c r="A246" s="61">
        <v>595.0</v>
      </c>
      <c r="B246" s="22" t="s">
        <v>4008</v>
      </c>
      <c r="C246" s="23">
        <v>2017.0</v>
      </c>
      <c r="D246" s="100" t="s">
        <v>37</v>
      </c>
      <c r="E246" s="25" t="s">
        <v>35</v>
      </c>
      <c r="F246" s="25" t="s">
        <v>37</v>
      </c>
      <c r="G246" s="25" t="s">
        <v>35</v>
      </c>
      <c r="H246" s="25" t="s">
        <v>35</v>
      </c>
      <c r="I246" s="25" t="s">
        <v>35</v>
      </c>
      <c r="J246" s="101" t="s">
        <v>36</v>
      </c>
      <c r="K246" s="102" t="s">
        <v>37</v>
      </c>
      <c r="L246" s="103" t="s">
        <v>37</v>
      </c>
      <c r="M246" s="103" t="s">
        <v>35</v>
      </c>
      <c r="N246" s="103" t="s">
        <v>35</v>
      </c>
      <c r="O246" s="103" t="s">
        <v>35</v>
      </c>
      <c r="P246" s="103" t="s">
        <v>35</v>
      </c>
      <c r="Q246" s="103" t="s">
        <v>37</v>
      </c>
      <c r="R246" s="103" t="s">
        <v>35</v>
      </c>
      <c r="S246" s="104" t="s">
        <v>4009</v>
      </c>
      <c r="T246" s="30" t="s">
        <v>4010</v>
      </c>
      <c r="U246" s="30" t="s">
        <v>4010</v>
      </c>
      <c r="V246" s="105">
        <f t="shared" si="2"/>
        <v>1</v>
      </c>
      <c r="W246" s="105">
        <f t="shared" ref="W246:X246" si="251">IF(lenb(SUBSTITUTE($Z246,W$1&amp;" (1)",""))&lt;lenb($Z246),1,IF(lenb(SUBSTITUTE($Z246,W$1&amp;" (2)",""))&lt;lenb($Z246),2,IF(lenb(SUBSTITUTE($Z246,W$1&amp;" (3)",""))&lt;lenb($Z246),3,IF(lenb(SUBSTITUTE($Z246,W$1&amp;" (4)",""))&lt;lenb($Z246),4,IF(lenb(SUBSTITUTE($Z246,W$1&amp;" (5)",""))&lt;lenb($Z246),5,IF(lenb(SUBSTITUTE($Z246,W$1&amp;" (6)",""))&lt;lenb($Z246),6,IF(lenb(SUBSTITUTE($Z246,W$1&amp;" (7)",""))&lt;lenb($Z246),1,IF(lenb(SUBSTITUTE($Z246,W$1&amp;" (8)",""))&lt;lenb($Z246),8,IF(lenb(SUBSTITUTE($Z246,W$1&amp;" (9)",""))&lt;lenb($Z246),9,IF(lenb(SUBSTITUTE($Z246,W$1&amp;" (10)",""))&lt;lenb($Z246),10,IF(lenb(SUBSTITUTE($Z246,W$1,""))&lt;lenb($Z246),"ERROR",IF($Z246=$Y$1,"-",0))))))))))))</f>
        <v>0</v>
      </c>
      <c r="X246" s="105">
        <f t="shared" si="251"/>
        <v>0</v>
      </c>
      <c r="Y246" s="105" t="str">
        <f t="shared" si="4"/>
        <v>-</v>
      </c>
      <c r="Z246" s="104" t="s">
        <v>3400</v>
      </c>
      <c r="AA246" s="34">
        <f t="shared" si="5"/>
        <v>1</v>
      </c>
      <c r="AB246" s="34">
        <f>COUNTIFS(Links!B:B,"FSE",Links!C:C,A246,Links!AD:AD,1)</f>
        <v>0</v>
      </c>
      <c r="AC246" s="106" t="s">
        <v>35</v>
      </c>
      <c r="AD246" s="107" t="s">
        <v>35</v>
      </c>
      <c r="AE246" s="104" t="s">
        <v>36</v>
      </c>
      <c r="AF246" s="37" t="s">
        <v>42</v>
      </c>
      <c r="AG246" s="37" t="s">
        <v>42</v>
      </c>
      <c r="AH246" s="37" t="s">
        <v>42</v>
      </c>
      <c r="AI246" s="105" t="str">
        <f t="shared" si="6"/>
        <v>----</v>
      </c>
      <c r="AJ246" s="108" t="str">
        <f t="shared" si="7"/>
        <v>Paper has link but no statement</v>
      </c>
      <c r="AK246" s="109" t="s">
        <v>3401</v>
      </c>
      <c r="AL246" s="110" t="s">
        <v>3402</v>
      </c>
      <c r="AM246" s="40" t="str">
        <f t="shared" si="8"/>
        <v>[FP0595]</v>
      </c>
    </row>
    <row r="247" ht="67.5" customHeight="1">
      <c r="A247" s="41">
        <v>596.0</v>
      </c>
      <c r="B247" s="42" t="s">
        <v>4011</v>
      </c>
      <c r="C247" s="43">
        <v>2017.0</v>
      </c>
      <c r="D247" s="111" t="s">
        <v>35</v>
      </c>
      <c r="E247" s="45" t="s">
        <v>36</v>
      </c>
      <c r="F247" s="45" t="s">
        <v>36</v>
      </c>
      <c r="G247" s="45" t="s">
        <v>36</v>
      </c>
      <c r="H247" s="45" t="s">
        <v>36</v>
      </c>
      <c r="I247" s="45" t="s">
        <v>36</v>
      </c>
      <c r="J247" s="112" t="s">
        <v>36</v>
      </c>
      <c r="K247" s="113" t="s">
        <v>35</v>
      </c>
      <c r="L247" s="114" t="s">
        <v>36</v>
      </c>
      <c r="M247" s="114" t="s">
        <v>36</v>
      </c>
      <c r="N247" s="114" t="s">
        <v>36</v>
      </c>
      <c r="O247" s="114" t="s">
        <v>36</v>
      </c>
      <c r="P247" s="114" t="s">
        <v>36</v>
      </c>
      <c r="Q247" s="114" t="s">
        <v>36</v>
      </c>
      <c r="R247" s="114" t="s">
        <v>36</v>
      </c>
      <c r="S247" s="115" t="s">
        <v>42</v>
      </c>
      <c r="T247" s="50" t="s">
        <v>36</v>
      </c>
      <c r="U247" s="50" t="s">
        <v>36</v>
      </c>
      <c r="V247" s="116" t="str">
        <f t="shared" si="2"/>
        <v>-</v>
      </c>
      <c r="W247" s="116" t="str">
        <f t="shared" ref="W247:X247" si="252">IF(lenb(SUBSTITUTE($Z247,W$1&amp;" (1)",""))&lt;lenb($Z247),1,IF(lenb(SUBSTITUTE($Z247,W$1&amp;" (2)",""))&lt;lenb($Z247),2,IF(lenb(SUBSTITUTE($Z247,W$1&amp;" (3)",""))&lt;lenb($Z247),3,IF(lenb(SUBSTITUTE($Z247,W$1&amp;" (4)",""))&lt;lenb($Z247),4,IF(lenb(SUBSTITUTE($Z247,W$1&amp;" (5)",""))&lt;lenb($Z247),5,IF(lenb(SUBSTITUTE($Z247,W$1&amp;" (6)",""))&lt;lenb($Z247),6,IF(lenb(SUBSTITUTE($Z247,W$1&amp;" (7)",""))&lt;lenb($Z247),1,IF(lenb(SUBSTITUTE($Z247,W$1&amp;" (8)",""))&lt;lenb($Z247),8,IF(lenb(SUBSTITUTE($Z247,W$1&amp;" (9)",""))&lt;lenb($Z247),9,IF(lenb(SUBSTITUTE($Z247,W$1&amp;" (10)",""))&lt;lenb($Z247),10,IF(lenb(SUBSTITUTE($Z247,W$1,""))&lt;lenb($Z247),"ERROR",IF($Z247=$Y$1,"-",0))))))))))))</f>
        <v>-</v>
      </c>
      <c r="X247" s="116" t="str">
        <f t="shared" si="252"/>
        <v>-</v>
      </c>
      <c r="Y247" s="116">
        <f t="shared" si="4"/>
        <v>1</v>
      </c>
      <c r="Z247" s="115" t="s">
        <v>23</v>
      </c>
      <c r="AA247" s="54">
        <f t="shared" si="5"/>
        <v>0</v>
      </c>
      <c r="AB247" s="54">
        <f>COUNTIFS(Links!B:B,"FSE",Links!C:C,A247,Links!AD:AD,1)</f>
        <v>0</v>
      </c>
      <c r="AC247" s="117" t="s">
        <v>36</v>
      </c>
      <c r="AD247" s="118" t="s">
        <v>35</v>
      </c>
      <c r="AE247" s="115" t="s">
        <v>36</v>
      </c>
      <c r="AF247" s="57" t="s">
        <v>42</v>
      </c>
      <c r="AG247" s="57" t="s">
        <v>42</v>
      </c>
      <c r="AH247" s="57" t="s">
        <v>42</v>
      </c>
      <c r="AI247" s="116" t="str">
        <f t="shared" si="6"/>
        <v>----</v>
      </c>
      <c r="AJ247" s="119" t="str">
        <f t="shared" si="7"/>
        <v>Paper has no link and no statement</v>
      </c>
      <c r="AK247" s="120" t="s">
        <v>3401</v>
      </c>
      <c r="AL247" s="121" t="s">
        <v>3402</v>
      </c>
      <c r="AM247" s="60" t="str">
        <f t="shared" si="8"/>
        <v>[FP0596]</v>
      </c>
    </row>
    <row r="248" ht="67.5" customHeight="1">
      <c r="A248" s="61">
        <v>597.0</v>
      </c>
      <c r="B248" s="22" t="s">
        <v>4012</v>
      </c>
      <c r="C248" s="23">
        <v>2017.0</v>
      </c>
      <c r="D248" s="100" t="s">
        <v>35</v>
      </c>
      <c r="E248" s="25" t="s">
        <v>36</v>
      </c>
      <c r="F248" s="25" t="s">
        <v>36</v>
      </c>
      <c r="G248" s="25" t="s">
        <v>36</v>
      </c>
      <c r="H248" s="25" t="s">
        <v>36</v>
      </c>
      <c r="I248" s="25" t="s">
        <v>36</v>
      </c>
      <c r="J248" s="101" t="s">
        <v>36</v>
      </c>
      <c r="K248" s="102" t="s">
        <v>37</v>
      </c>
      <c r="L248" s="103" t="s">
        <v>37</v>
      </c>
      <c r="M248" s="103" t="s">
        <v>35</v>
      </c>
      <c r="N248" s="103" t="s">
        <v>35</v>
      </c>
      <c r="O248" s="103" t="s">
        <v>35</v>
      </c>
      <c r="P248" s="103" t="s">
        <v>35</v>
      </c>
      <c r="Q248" s="103" t="s">
        <v>35</v>
      </c>
      <c r="R248" s="103" t="s">
        <v>37</v>
      </c>
      <c r="S248" s="104" t="s">
        <v>1666</v>
      </c>
      <c r="T248" s="30" t="s">
        <v>4013</v>
      </c>
      <c r="U248" s="30" t="s">
        <v>4013</v>
      </c>
      <c r="V248" s="105">
        <f t="shared" si="2"/>
        <v>1</v>
      </c>
      <c r="W248" s="105">
        <f t="shared" ref="W248:X248" si="253">IF(lenb(SUBSTITUTE($Z248,W$1&amp;" (1)",""))&lt;lenb($Z248),1,IF(lenb(SUBSTITUTE($Z248,W$1&amp;" (2)",""))&lt;lenb($Z248),2,IF(lenb(SUBSTITUTE($Z248,W$1&amp;" (3)",""))&lt;lenb($Z248),3,IF(lenb(SUBSTITUTE($Z248,W$1&amp;" (4)",""))&lt;lenb($Z248),4,IF(lenb(SUBSTITUTE($Z248,W$1&amp;" (5)",""))&lt;lenb($Z248),5,IF(lenb(SUBSTITUTE($Z248,W$1&amp;" (6)",""))&lt;lenb($Z248),6,IF(lenb(SUBSTITUTE($Z248,W$1&amp;" (7)",""))&lt;lenb($Z248),1,IF(lenb(SUBSTITUTE($Z248,W$1&amp;" (8)",""))&lt;lenb($Z248),8,IF(lenb(SUBSTITUTE($Z248,W$1&amp;" (9)",""))&lt;lenb($Z248),9,IF(lenb(SUBSTITUTE($Z248,W$1&amp;" (10)",""))&lt;lenb($Z248),10,IF(lenb(SUBSTITUTE($Z248,W$1,""))&lt;lenb($Z248),"ERROR",IF($Z248=$Y$1,"-",0))))))))))))</f>
        <v>0</v>
      </c>
      <c r="X248" s="105">
        <f t="shared" si="253"/>
        <v>0</v>
      </c>
      <c r="Y248" s="105" t="str">
        <f t="shared" si="4"/>
        <v>-</v>
      </c>
      <c r="Z248" s="104" t="s">
        <v>3400</v>
      </c>
      <c r="AA248" s="34">
        <f t="shared" si="5"/>
        <v>1</v>
      </c>
      <c r="AB248" s="34">
        <f>COUNTIFS(Links!B:B,"FSE",Links!C:C,A248,Links!AD:AD,1)</f>
        <v>0</v>
      </c>
      <c r="AC248" s="106" t="s">
        <v>35</v>
      </c>
      <c r="AD248" s="107" t="s">
        <v>35</v>
      </c>
      <c r="AE248" s="104" t="s">
        <v>36</v>
      </c>
      <c r="AF248" s="37" t="s">
        <v>42</v>
      </c>
      <c r="AG248" s="37" t="s">
        <v>42</v>
      </c>
      <c r="AH248" s="37" t="s">
        <v>42</v>
      </c>
      <c r="AI248" s="105" t="str">
        <f t="shared" si="6"/>
        <v>----</v>
      </c>
      <c r="AJ248" s="108" t="str">
        <f t="shared" si="7"/>
        <v>Paper has link but no statement</v>
      </c>
      <c r="AK248" s="109" t="s">
        <v>3401</v>
      </c>
      <c r="AL248" s="110" t="s">
        <v>3402</v>
      </c>
      <c r="AM248" s="40" t="str">
        <f t="shared" si="8"/>
        <v>[FP0597]</v>
      </c>
    </row>
    <row r="249" ht="67.5" customHeight="1">
      <c r="A249" s="41">
        <v>598.0</v>
      </c>
      <c r="B249" s="42" t="s">
        <v>4014</v>
      </c>
      <c r="C249" s="43">
        <v>2017.0</v>
      </c>
      <c r="D249" s="111" t="s">
        <v>35</v>
      </c>
      <c r="E249" s="45" t="s">
        <v>36</v>
      </c>
      <c r="F249" s="45" t="s">
        <v>36</v>
      </c>
      <c r="G249" s="45" t="s">
        <v>36</v>
      </c>
      <c r="H249" s="45" t="s">
        <v>36</v>
      </c>
      <c r="I249" s="45" t="s">
        <v>36</v>
      </c>
      <c r="J249" s="112" t="s">
        <v>36</v>
      </c>
      <c r="K249" s="113" t="s">
        <v>35</v>
      </c>
      <c r="L249" s="114" t="s">
        <v>36</v>
      </c>
      <c r="M249" s="114" t="s">
        <v>36</v>
      </c>
      <c r="N249" s="114" t="s">
        <v>36</v>
      </c>
      <c r="O249" s="114" t="s">
        <v>36</v>
      </c>
      <c r="P249" s="114" t="s">
        <v>36</v>
      </c>
      <c r="Q249" s="114" t="s">
        <v>36</v>
      </c>
      <c r="R249" s="114" t="s">
        <v>36</v>
      </c>
      <c r="S249" s="115" t="s">
        <v>42</v>
      </c>
      <c r="T249" s="50" t="s">
        <v>36</v>
      </c>
      <c r="U249" s="50" t="s">
        <v>36</v>
      </c>
      <c r="V249" s="116" t="str">
        <f t="shared" si="2"/>
        <v>-</v>
      </c>
      <c r="W249" s="116" t="str">
        <f t="shared" ref="W249:X249" si="254">IF(lenb(SUBSTITUTE($Z249,W$1&amp;" (1)",""))&lt;lenb($Z249),1,IF(lenb(SUBSTITUTE($Z249,W$1&amp;" (2)",""))&lt;lenb($Z249),2,IF(lenb(SUBSTITUTE($Z249,W$1&amp;" (3)",""))&lt;lenb($Z249),3,IF(lenb(SUBSTITUTE($Z249,W$1&amp;" (4)",""))&lt;lenb($Z249),4,IF(lenb(SUBSTITUTE($Z249,W$1&amp;" (5)",""))&lt;lenb($Z249),5,IF(lenb(SUBSTITUTE($Z249,W$1&amp;" (6)",""))&lt;lenb($Z249),6,IF(lenb(SUBSTITUTE($Z249,W$1&amp;" (7)",""))&lt;lenb($Z249),1,IF(lenb(SUBSTITUTE($Z249,W$1&amp;" (8)",""))&lt;lenb($Z249),8,IF(lenb(SUBSTITUTE($Z249,W$1&amp;" (9)",""))&lt;lenb($Z249),9,IF(lenb(SUBSTITUTE($Z249,W$1&amp;" (10)",""))&lt;lenb($Z249),10,IF(lenb(SUBSTITUTE($Z249,W$1,""))&lt;lenb($Z249),"ERROR",IF($Z249=$Y$1,"-",0))))))))))))</f>
        <v>-</v>
      </c>
      <c r="X249" s="116" t="str">
        <f t="shared" si="254"/>
        <v>-</v>
      </c>
      <c r="Y249" s="116">
        <f t="shared" si="4"/>
        <v>1</v>
      </c>
      <c r="Z249" s="115" t="s">
        <v>23</v>
      </c>
      <c r="AA249" s="54">
        <f t="shared" si="5"/>
        <v>0</v>
      </c>
      <c r="AB249" s="54">
        <f>COUNTIFS(Links!B:B,"FSE",Links!C:C,A249,Links!AD:AD,1)</f>
        <v>0</v>
      </c>
      <c r="AC249" s="117" t="s">
        <v>36</v>
      </c>
      <c r="AD249" s="118" t="s">
        <v>35</v>
      </c>
      <c r="AE249" s="115" t="s">
        <v>36</v>
      </c>
      <c r="AF249" s="57" t="s">
        <v>42</v>
      </c>
      <c r="AG249" s="57" t="s">
        <v>42</v>
      </c>
      <c r="AH249" s="57" t="s">
        <v>42</v>
      </c>
      <c r="AI249" s="116" t="str">
        <f t="shared" si="6"/>
        <v>----</v>
      </c>
      <c r="AJ249" s="119" t="str">
        <f t="shared" si="7"/>
        <v>Paper has no link and no statement</v>
      </c>
      <c r="AK249" s="120" t="s">
        <v>3401</v>
      </c>
      <c r="AL249" s="121" t="s">
        <v>3402</v>
      </c>
      <c r="AM249" s="60" t="str">
        <f t="shared" si="8"/>
        <v>[FP0598]</v>
      </c>
    </row>
    <row r="250" ht="67.5" customHeight="1">
      <c r="A250" s="61">
        <v>599.0</v>
      </c>
      <c r="B250" s="22" t="s">
        <v>4015</v>
      </c>
      <c r="C250" s="23">
        <v>2017.0</v>
      </c>
      <c r="D250" s="100" t="s">
        <v>35</v>
      </c>
      <c r="E250" s="25" t="s">
        <v>36</v>
      </c>
      <c r="F250" s="25" t="s">
        <v>36</v>
      </c>
      <c r="G250" s="25" t="s">
        <v>36</v>
      </c>
      <c r="H250" s="25" t="s">
        <v>36</v>
      </c>
      <c r="I250" s="25" t="s">
        <v>36</v>
      </c>
      <c r="J250" s="101" t="s">
        <v>36</v>
      </c>
      <c r="K250" s="102" t="s">
        <v>37</v>
      </c>
      <c r="L250" s="103" t="s">
        <v>35</v>
      </c>
      <c r="M250" s="103" t="s">
        <v>37</v>
      </c>
      <c r="N250" s="103" t="s">
        <v>35</v>
      </c>
      <c r="O250" s="103" t="s">
        <v>35</v>
      </c>
      <c r="P250" s="103" t="s">
        <v>35</v>
      </c>
      <c r="Q250" s="103" t="s">
        <v>35</v>
      </c>
      <c r="R250" s="103" t="s">
        <v>37</v>
      </c>
      <c r="S250" s="104" t="s">
        <v>4016</v>
      </c>
      <c r="T250" s="30" t="s">
        <v>4017</v>
      </c>
      <c r="U250" s="30" t="s">
        <v>4017</v>
      </c>
      <c r="V250" s="105">
        <f t="shared" si="2"/>
        <v>1</v>
      </c>
      <c r="W250" s="105">
        <f t="shared" ref="W250:X250" si="255">IF(lenb(SUBSTITUTE($Z250,W$1&amp;" (1)",""))&lt;lenb($Z250),1,IF(lenb(SUBSTITUTE($Z250,W$1&amp;" (2)",""))&lt;lenb($Z250),2,IF(lenb(SUBSTITUTE($Z250,W$1&amp;" (3)",""))&lt;lenb($Z250),3,IF(lenb(SUBSTITUTE($Z250,W$1&amp;" (4)",""))&lt;lenb($Z250),4,IF(lenb(SUBSTITUTE($Z250,W$1&amp;" (5)",""))&lt;lenb($Z250),5,IF(lenb(SUBSTITUTE($Z250,W$1&amp;" (6)",""))&lt;lenb($Z250),6,IF(lenb(SUBSTITUTE($Z250,W$1&amp;" (7)",""))&lt;lenb($Z250),1,IF(lenb(SUBSTITUTE($Z250,W$1&amp;" (8)",""))&lt;lenb($Z250),8,IF(lenb(SUBSTITUTE($Z250,W$1&amp;" (9)",""))&lt;lenb($Z250),9,IF(lenb(SUBSTITUTE($Z250,W$1&amp;" (10)",""))&lt;lenb($Z250),10,IF(lenb(SUBSTITUTE($Z250,W$1,""))&lt;lenb($Z250),"ERROR",IF($Z250=$Y$1,"-",0))))))))))))</f>
        <v>0</v>
      </c>
      <c r="X250" s="105">
        <f t="shared" si="255"/>
        <v>0</v>
      </c>
      <c r="Y250" s="105" t="str">
        <f t="shared" si="4"/>
        <v>-</v>
      </c>
      <c r="Z250" s="104" t="s">
        <v>3400</v>
      </c>
      <c r="AA250" s="34">
        <f t="shared" si="5"/>
        <v>1</v>
      </c>
      <c r="AB250" s="34">
        <f>COUNTIFS(Links!B:B,"FSE",Links!C:C,A250,Links!AD:AD,1)</f>
        <v>0</v>
      </c>
      <c r="AC250" s="106" t="s">
        <v>35</v>
      </c>
      <c r="AD250" s="107" t="s">
        <v>35</v>
      </c>
      <c r="AE250" s="104" t="s">
        <v>36</v>
      </c>
      <c r="AF250" s="37" t="s">
        <v>42</v>
      </c>
      <c r="AG250" s="37" t="s">
        <v>42</v>
      </c>
      <c r="AH250" s="37" t="s">
        <v>42</v>
      </c>
      <c r="AI250" s="105" t="str">
        <f t="shared" si="6"/>
        <v>----</v>
      </c>
      <c r="AJ250" s="108" t="str">
        <f t="shared" si="7"/>
        <v>Paper has link but no statement</v>
      </c>
      <c r="AK250" s="109" t="s">
        <v>3401</v>
      </c>
      <c r="AL250" s="110" t="s">
        <v>3402</v>
      </c>
      <c r="AM250" s="40" t="str">
        <f t="shared" si="8"/>
        <v>[FP0599]</v>
      </c>
    </row>
    <row r="251" ht="67.5" customHeight="1">
      <c r="A251" s="41">
        <v>600.0</v>
      </c>
      <c r="B251" s="42" t="s">
        <v>4018</v>
      </c>
      <c r="C251" s="43">
        <v>2017.0</v>
      </c>
      <c r="D251" s="111" t="s">
        <v>35</v>
      </c>
      <c r="E251" s="45" t="s">
        <v>36</v>
      </c>
      <c r="F251" s="45" t="s">
        <v>36</v>
      </c>
      <c r="G251" s="45" t="s">
        <v>36</v>
      </c>
      <c r="H251" s="45" t="s">
        <v>36</v>
      </c>
      <c r="I251" s="45" t="s">
        <v>36</v>
      </c>
      <c r="J251" s="112" t="s">
        <v>36</v>
      </c>
      <c r="K251" s="113" t="s">
        <v>35</v>
      </c>
      <c r="L251" s="114" t="s">
        <v>36</v>
      </c>
      <c r="M251" s="114" t="s">
        <v>36</v>
      </c>
      <c r="N251" s="114" t="s">
        <v>36</v>
      </c>
      <c r="O251" s="114" t="s">
        <v>36</v>
      </c>
      <c r="P251" s="114" t="s">
        <v>36</v>
      </c>
      <c r="Q251" s="114" t="s">
        <v>36</v>
      </c>
      <c r="R251" s="114" t="s">
        <v>36</v>
      </c>
      <c r="S251" s="115" t="s">
        <v>42</v>
      </c>
      <c r="T251" s="50" t="s">
        <v>36</v>
      </c>
      <c r="U251" s="50" t="s">
        <v>36</v>
      </c>
      <c r="V251" s="116" t="str">
        <f t="shared" si="2"/>
        <v>-</v>
      </c>
      <c r="W251" s="116" t="str">
        <f t="shared" ref="W251:X251" si="256">IF(lenb(SUBSTITUTE($Z251,W$1&amp;" (1)",""))&lt;lenb($Z251),1,IF(lenb(SUBSTITUTE($Z251,W$1&amp;" (2)",""))&lt;lenb($Z251),2,IF(lenb(SUBSTITUTE($Z251,W$1&amp;" (3)",""))&lt;lenb($Z251),3,IF(lenb(SUBSTITUTE($Z251,W$1&amp;" (4)",""))&lt;lenb($Z251),4,IF(lenb(SUBSTITUTE($Z251,W$1&amp;" (5)",""))&lt;lenb($Z251),5,IF(lenb(SUBSTITUTE($Z251,W$1&amp;" (6)",""))&lt;lenb($Z251),6,IF(lenb(SUBSTITUTE($Z251,W$1&amp;" (7)",""))&lt;lenb($Z251),1,IF(lenb(SUBSTITUTE($Z251,W$1&amp;" (8)",""))&lt;lenb($Z251),8,IF(lenb(SUBSTITUTE($Z251,W$1&amp;" (9)",""))&lt;lenb($Z251),9,IF(lenb(SUBSTITUTE($Z251,W$1&amp;" (10)",""))&lt;lenb($Z251),10,IF(lenb(SUBSTITUTE($Z251,W$1,""))&lt;lenb($Z251),"ERROR",IF($Z251=$Y$1,"-",0))))))))))))</f>
        <v>-</v>
      </c>
      <c r="X251" s="116" t="str">
        <f t="shared" si="256"/>
        <v>-</v>
      </c>
      <c r="Y251" s="116">
        <f t="shared" si="4"/>
        <v>1</v>
      </c>
      <c r="Z251" s="115" t="s">
        <v>23</v>
      </c>
      <c r="AA251" s="54">
        <f t="shared" si="5"/>
        <v>0</v>
      </c>
      <c r="AB251" s="54">
        <f>COUNTIFS(Links!B:B,"FSE",Links!C:C,A251,Links!AD:AD,1)</f>
        <v>0</v>
      </c>
      <c r="AC251" s="117" t="s">
        <v>36</v>
      </c>
      <c r="AD251" s="118" t="s">
        <v>35</v>
      </c>
      <c r="AE251" s="115" t="s">
        <v>36</v>
      </c>
      <c r="AF251" s="57" t="s">
        <v>42</v>
      </c>
      <c r="AG251" s="57" t="s">
        <v>42</v>
      </c>
      <c r="AH251" s="57" t="s">
        <v>42</v>
      </c>
      <c r="AI251" s="116" t="str">
        <f t="shared" si="6"/>
        <v>----</v>
      </c>
      <c r="AJ251" s="119" t="str">
        <f t="shared" si="7"/>
        <v>Paper has no link and no statement</v>
      </c>
      <c r="AK251" s="120" t="s">
        <v>3401</v>
      </c>
      <c r="AL251" s="121" t="s">
        <v>3402</v>
      </c>
      <c r="AM251" s="60" t="str">
        <f t="shared" si="8"/>
        <v>[FP0600]</v>
      </c>
    </row>
    <row r="252" ht="67.5" customHeight="1">
      <c r="A252" s="61">
        <v>601.0</v>
      </c>
      <c r="B252" s="22" t="s">
        <v>4019</v>
      </c>
      <c r="C252" s="23">
        <v>2017.0</v>
      </c>
      <c r="D252" s="100" t="s">
        <v>35</v>
      </c>
      <c r="E252" s="25" t="s">
        <v>36</v>
      </c>
      <c r="F252" s="25" t="s">
        <v>36</v>
      </c>
      <c r="G252" s="25" t="s">
        <v>36</v>
      </c>
      <c r="H252" s="25" t="s">
        <v>36</v>
      </c>
      <c r="I252" s="25" t="s">
        <v>36</v>
      </c>
      <c r="J252" s="101" t="s">
        <v>36</v>
      </c>
      <c r="K252" s="102" t="s">
        <v>35</v>
      </c>
      <c r="L252" s="103" t="s">
        <v>36</v>
      </c>
      <c r="M252" s="103" t="s">
        <v>36</v>
      </c>
      <c r="N252" s="103" t="s">
        <v>36</v>
      </c>
      <c r="O252" s="103" t="s">
        <v>36</v>
      </c>
      <c r="P252" s="103" t="s">
        <v>36</v>
      </c>
      <c r="Q252" s="103" t="s">
        <v>36</v>
      </c>
      <c r="R252" s="103" t="s">
        <v>36</v>
      </c>
      <c r="S252" s="104" t="s">
        <v>42</v>
      </c>
      <c r="T252" s="30" t="s">
        <v>36</v>
      </c>
      <c r="U252" s="30" t="s">
        <v>36</v>
      </c>
      <c r="V252" s="105" t="str">
        <f t="shared" si="2"/>
        <v>-</v>
      </c>
      <c r="W252" s="105" t="str">
        <f t="shared" ref="W252:X252" si="257">IF(lenb(SUBSTITUTE($Z252,W$1&amp;" (1)",""))&lt;lenb($Z252),1,IF(lenb(SUBSTITUTE($Z252,W$1&amp;" (2)",""))&lt;lenb($Z252),2,IF(lenb(SUBSTITUTE($Z252,W$1&amp;" (3)",""))&lt;lenb($Z252),3,IF(lenb(SUBSTITUTE($Z252,W$1&amp;" (4)",""))&lt;lenb($Z252),4,IF(lenb(SUBSTITUTE($Z252,W$1&amp;" (5)",""))&lt;lenb($Z252),5,IF(lenb(SUBSTITUTE($Z252,W$1&amp;" (6)",""))&lt;lenb($Z252),6,IF(lenb(SUBSTITUTE($Z252,W$1&amp;" (7)",""))&lt;lenb($Z252),1,IF(lenb(SUBSTITUTE($Z252,W$1&amp;" (8)",""))&lt;lenb($Z252),8,IF(lenb(SUBSTITUTE($Z252,W$1&amp;" (9)",""))&lt;lenb($Z252),9,IF(lenb(SUBSTITUTE($Z252,W$1&amp;" (10)",""))&lt;lenb($Z252),10,IF(lenb(SUBSTITUTE($Z252,W$1,""))&lt;lenb($Z252),"ERROR",IF($Z252=$Y$1,"-",0))))))))))))</f>
        <v>-</v>
      </c>
      <c r="X252" s="105" t="str">
        <f t="shared" si="257"/>
        <v>-</v>
      </c>
      <c r="Y252" s="105">
        <f t="shared" si="4"/>
        <v>1</v>
      </c>
      <c r="Z252" s="104" t="s">
        <v>23</v>
      </c>
      <c r="AA252" s="34">
        <f t="shared" si="5"/>
        <v>0</v>
      </c>
      <c r="AB252" s="34">
        <f>COUNTIFS(Links!B:B,"FSE",Links!C:C,A252,Links!AD:AD,1)</f>
        <v>0</v>
      </c>
      <c r="AC252" s="106" t="s">
        <v>36</v>
      </c>
      <c r="AD252" s="107" t="s">
        <v>35</v>
      </c>
      <c r="AE252" s="104" t="s">
        <v>36</v>
      </c>
      <c r="AF252" s="37" t="s">
        <v>42</v>
      </c>
      <c r="AG252" s="37" t="s">
        <v>42</v>
      </c>
      <c r="AH252" s="37" t="s">
        <v>42</v>
      </c>
      <c r="AI252" s="105" t="str">
        <f t="shared" si="6"/>
        <v>----</v>
      </c>
      <c r="AJ252" s="108" t="str">
        <f t="shared" si="7"/>
        <v>Paper has no link and no statement</v>
      </c>
      <c r="AK252" s="109" t="s">
        <v>3401</v>
      </c>
      <c r="AL252" s="110" t="s">
        <v>3402</v>
      </c>
      <c r="AM252" s="40" t="str">
        <f t="shared" si="8"/>
        <v>[FP0601]</v>
      </c>
    </row>
    <row r="253" ht="67.5" customHeight="1">
      <c r="A253" s="41">
        <v>602.0</v>
      </c>
      <c r="B253" s="42" t="s">
        <v>4020</v>
      </c>
      <c r="C253" s="43">
        <v>2017.0</v>
      </c>
      <c r="D253" s="111" t="s">
        <v>35</v>
      </c>
      <c r="E253" s="45" t="s">
        <v>36</v>
      </c>
      <c r="F253" s="45" t="s">
        <v>36</v>
      </c>
      <c r="G253" s="45" t="s">
        <v>36</v>
      </c>
      <c r="H253" s="45" t="s">
        <v>36</v>
      </c>
      <c r="I253" s="45" t="s">
        <v>36</v>
      </c>
      <c r="J253" s="112" t="s">
        <v>36</v>
      </c>
      <c r="K253" s="113" t="s">
        <v>37</v>
      </c>
      <c r="L253" s="114" t="s">
        <v>35</v>
      </c>
      <c r="M253" s="114" t="s">
        <v>35</v>
      </c>
      <c r="N253" s="114" t="s">
        <v>37</v>
      </c>
      <c r="O253" s="114" t="s">
        <v>35</v>
      </c>
      <c r="P253" s="114" t="s">
        <v>35</v>
      </c>
      <c r="Q253" s="114" t="s">
        <v>35</v>
      </c>
      <c r="R253" s="114" t="s">
        <v>35</v>
      </c>
      <c r="S253" s="115" t="s">
        <v>944</v>
      </c>
      <c r="T253" s="50" t="s">
        <v>4021</v>
      </c>
      <c r="U253" s="50" t="s">
        <v>4021</v>
      </c>
      <c r="V253" s="116">
        <f t="shared" si="2"/>
        <v>1</v>
      </c>
      <c r="W253" s="116">
        <f t="shared" ref="W253:X253" si="258">IF(lenb(SUBSTITUTE($Z253,W$1&amp;" (1)",""))&lt;lenb($Z253),1,IF(lenb(SUBSTITUTE($Z253,W$1&amp;" (2)",""))&lt;lenb($Z253),2,IF(lenb(SUBSTITUTE($Z253,W$1&amp;" (3)",""))&lt;lenb($Z253),3,IF(lenb(SUBSTITUTE($Z253,W$1&amp;" (4)",""))&lt;lenb($Z253),4,IF(lenb(SUBSTITUTE($Z253,W$1&amp;" (5)",""))&lt;lenb($Z253),5,IF(lenb(SUBSTITUTE($Z253,W$1&amp;" (6)",""))&lt;lenb($Z253),6,IF(lenb(SUBSTITUTE($Z253,W$1&amp;" (7)",""))&lt;lenb($Z253),1,IF(lenb(SUBSTITUTE($Z253,W$1&amp;" (8)",""))&lt;lenb($Z253),8,IF(lenb(SUBSTITUTE($Z253,W$1&amp;" (9)",""))&lt;lenb($Z253),9,IF(lenb(SUBSTITUTE($Z253,W$1&amp;" (10)",""))&lt;lenb($Z253),10,IF(lenb(SUBSTITUTE($Z253,W$1,""))&lt;lenb($Z253),"ERROR",IF($Z253=$Y$1,"-",0))))))))))))</f>
        <v>0</v>
      </c>
      <c r="X253" s="116">
        <f t="shared" si="258"/>
        <v>0</v>
      </c>
      <c r="Y253" s="116" t="str">
        <f t="shared" si="4"/>
        <v>-</v>
      </c>
      <c r="Z253" s="115" t="s">
        <v>3400</v>
      </c>
      <c r="AA253" s="54">
        <f t="shared" si="5"/>
        <v>1</v>
      </c>
      <c r="AB253" s="54">
        <f>COUNTIFS(Links!B:B,"FSE",Links!C:C,A253,Links!AD:AD,1)</f>
        <v>0</v>
      </c>
      <c r="AC253" s="117" t="s">
        <v>35</v>
      </c>
      <c r="AD253" s="118" t="s">
        <v>35</v>
      </c>
      <c r="AE253" s="115" t="s">
        <v>36</v>
      </c>
      <c r="AF253" s="57" t="s">
        <v>42</v>
      </c>
      <c r="AG253" s="57" t="s">
        <v>42</v>
      </c>
      <c r="AH253" s="57" t="s">
        <v>42</v>
      </c>
      <c r="AI253" s="116" t="str">
        <f t="shared" si="6"/>
        <v>----</v>
      </c>
      <c r="AJ253" s="119" t="str">
        <f t="shared" si="7"/>
        <v>Paper has link but no statement</v>
      </c>
      <c r="AK253" s="120" t="s">
        <v>3401</v>
      </c>
      <c r="AL253" s="121" t="s">
        <v>3402</v>
      </c>
      <c r="AM253" s="60" t="str">
        <f t="shared" si="8"/>
        <v>[FP0602]</v>
      </c>
    </row>
    <row r="254" ht="67.5" customHeight="1">
      <c r="A254" s="61">
        <v>603.0</v>
      </c>
      <c r="B254" s="22" t="s">
        <v>4022</v>
      </c>
      <c r="C254" s="23">
        <v>2017.0</v>
      </c>
      <c r="D254" s="100" t="s">
        <v>37</v>
      </c>
      <c r="E254" s="25" t="s">
        <v>35</v>
      </c>
      <c r="F254" s="25" t="s">
        <v>35</v>
      </c>
      <c r="G254" s="25" t="s">
        <v>37</v>
      </c>
      <c r="H254" s="25" t="s">
        <v>35</v>
      </c>
      <c r="I254" s="25" t="s">
        <v>35</v>
      </c>
      <c r="J254" s="101" t="s">
        <v>36</v>
      </c>
      <c r="K254" s="102" t="s">
        <v>37</v>
      </c>
      <c r="L254" s="103" t="s">
        <v>35</v>
      </c>
      <c r="M254" s="103" t="s">
        <v>35</v>
      </c>
      <c r="N254" s="103" t="s">
        <v>35</v>
      </c>
      <c r="O254" s="103" t="s">
        <v>35</v>
      </c>
      <c r="P254" s="103" t="s">
        <v>35</v>
      </c>
      <c r="Q254" s="103" t="s">
        <v>37</v>
      </c>
      <c r="R254" s="103" t="s">
        <v>35</v>
      </c>
      <c r="S254" s="104" t="s">
        <v>4023</v>
      </c>
      <c r="T254" s="30" t="s">
        <v>4024</v>
      </c>
      <c r="U254" s="30" t="s">
        <v>4024</v>
      </c>
      <c r="V254" s="105">
        <f t="shared" si="2"/>
        <v>2</v>
      </c>
      <c r="W254" s="105">
        <f t="shared" ref="W254:X254" si="259">IF(lenb(SUBSTITUTE($Z254,W$1&amp;" (1)",""))&lt;lenb($Z254),1,IF(lenb(SUBSTITUTE($Z254,W$1&amp;" (2)",""))&lt;lenb($Z254),2,IF(lenb(SUBSTITUTE($Z254,W$1&amp;" (3)",""))&lt;lenb($Z254),3,IF(lenb(SUBSTITUTE($Z254,W$1&amp;" (4)",""))&lt;lenb($Z254),4,IF(lenb(SUBSTITUTE($Z254,W$1&amp;" (5)",""))&lt;lenb($Z254),5,IF(lenb(SUBSTITUTE($Z254,W$1&amp;" (6)",""))&lt;lenb($Z254),6,IF(lenb(SUBSTITUTE($Z254,W$1&amp;" (7)",""))&lt;lenb($Z254),1,IF(lenb(SUBSTITUTE($Z254,W$1&amp;" (8)",""))&lt;lenb($Z254),8,IF(lenb(SUBSTITUTE($Z254,W$1&amp;" (9)",""))&lt;lenb($Z254),9,IF(lenb(SUBSTITUTE($Z254,W$1&amp;" (10)",""))&lt;lenb($Z254),10,IF(lenb(SUBSTITUTE($Z254,W$1,""))&lt;lenb($Z254),"ERROR",IF($Z254=$Y$1,"-",0))))))))))))</f>
        <v>0</v>
      </c>
      <c r="X254" s="105">
        <f t="shared" si="259"/>
        <v>0</v>
      </c>
      <c r="Y254" s="105" t="str">
        <f t="shared" si="4"/>
        <v>-</v>
      </c>
      <c r="Z254" s="104" t="s">
        <v>3452</v>
      </c>
      <c r="AA254" s="34">
        <f t="shared" si="5"/>
        <v>2</v>
      </c>
      <c r="AB254" s="34">
        <f>COUNTIFS(Links!B:B,"FSE",Links!C:C,A254,Links!AD:AD,1)</f>
        <v>0</v>
      </c>
      <c r="AC254" s="106" t="s">
        <v>35</v>
      </c>
      <c r="AD254" s="107" t="s">
        <v>35</v>
      </c>
      <c r="AE254" s="104" t="s">
        <v>36</v>
      </c>
      <c r="AF254" s="37" t="s">
        <v>42</v>
      </c>
      <c r="AG254" s="37" t="s">
        <v>42</v>
      </c>
      <c r="AH254" s="37" t="s">
        <v>42</v>
      </c>
      <c r="AI254" s="105" t="str">
        <f t="shared" si="6"/>
        <v>----</v>
      </c>
      <c r="AJ254" s="108" t="str">
        <f t="shared" si="7"/>
        <v>Paper has link but no statement</v>
      </c>
      <c r="AK254" s="109" t="s">
        <v>3401</v>
      </c>
      <c r="AL254" s="110" t="s">
        <v>3402</v>
      </c>
      <c r="AM254" s="40" t="str">
        <f t="shared" si="8"/>
        <v>[FP0603]</v>
      </c>
    </row>
    <row r="255" ht="67.5" customHeight="1">
      <c r="A255" s="41">
        <v>604.0</v>
      </c>
      <c r="B255" s="42" t="s">
        <v>4025</v>
      </c>
      <c r="C255" s="43">
        <v>2017.0</v>
      </c>
      <c r="D255" s="111" t="s">
        <v>35</v>
      </c>
      <c r="E255" s="45" t="s">
        <v>36</v>
      </c>
      <c r="F255" s="45" t="s">
        <v>36</v>
      </c>
      <c r="G255" s="45" t="s">
        <v>36</v>
      </c>
      <c r="H255" s="45" t="s">
        <v>36</v>
      </c>
      <c r="I255" s="45" t="s">
        <v>36</v>
      </c>
      <c r="J255" s="112" t="s">
        <v>36</v>
      </c>
      <c r="K255" s="113" t="s">
        <v>37</v>
      </c>
      <c r="L255" s="114" t="s">
        <v>35</v>
      </c>
      <c r="M255" s="114" t="s">
        <v>37</v>
      </c>
      <c r="N255" s="114" t="s">
        <v>35</v>
      </c>
      <c r="O255" s="114" t="s">
        <v>35</v>
      </c>
      <c r="P255" s="114" t="s">
        <v>35</v>
      </c>
      <c r="Q255" s="114" t="s">
        <v>35</v>
      </c>
      <c r="R255" s="114" t="s">
        <v>37</v>
      </c>
      <c r="S255" s="115" t="s">
        <v>4026</v>
      </c>
      <c r="T255" s="50" t="s">
        <v>4027</v>
      </c>
      <c r="U255" s="50" t="s">
        <v>4027</v>
      </c>
      <c r="V255" s="116">
        <f t="shared" si="2"/>
        <v>0</v>
      </c>
      <c r="W255" s="116">
        <f t="shared" ref="W255:X255" si="260">IF(lenb(SUBSTITUTE($Z255,W$1&amp;" (1)",""))&lt;lenb($Z255),1,IF(lenb(SUBSTITUTE($Z255,W$1&amp;" (2)",""))&lt;lenb($Z255),2,IF(lenb(SUBSTITUTE($Z255,W$1&amp;" (3)",""))&lt;lenb($Z255),3,IF(lenb(SUBSTITUTE($Z255,W$1&amp;" (4)",""))&lt;lenb($Z255),4,IF(lenb(SUBSTITUTE($Z255,W$1&amp;" (5)",""))&lt;lenb($Z255),5,IF(lenb(SUBSTITUTE($Z255,W$1&amp;" (6)",""))&lt;lenb($Z255),6,IF(lenb(SUBSTITUTE($Z255,W$1&amp;" (7)",""))&lt;lenb($Z255),1,IF(lenb(SUBSTITUTE($Z255,W$1&amp;" (8)",""))&lt;lenb($Z255),8,IF(lenb(SUBSTITUTE($Z255,W$1&amp;" (9)",""))&lt;lenb($Z255),9,IF(lenb(SUBSTITUTE($Z255,W$1&amp;" (10)",""))&lt;lenb($Z255),10,IF(lenb(SUBSTITUTE($Z255,W$1,""))&lt;lenb($Z255),"ERROR",IF($Z255=$Y$1,"-",0))))))))))))</f>
        <v>1</v>
      </c>
      <c r="X255" s="116">
        <f t="shared" si="260"/>
        <v>0</v>
      </c>
      <c r="Y255" s="116" t="str">
        <f t="shared" si="4"/>
        <v>-</v>
      </c>
      <c r="Z255" s="115" t="s">
        <v>3423</v>
      </c>
      <c r="AA255" s="54">
        <f t="shared" si="5"/>
        <v>1</v>
      </c>
      <c r="AB255" s="54">
        <f>COUNTIFS(Links!B:B,"FSE",Links!C:C,A255,Links!AD:AD,1)</f>
        <v>1</v>
      </c>
      <c r="AC255" s="117" t="s">
        <v>35</v>
      </c>
      <c r="AD255" s="118" t="s">
        <v>35</v>
      </c>
      <c r="AE255" s="115" t="s">
        <v>36</v>
      </c>
      <c r="AF255" s="57" t="s">
        <v>42</v>
      </c>
      <c r="AG255" s="57" t="s">
        <v>42</v>
      </c>
      <c r="AH255" s="57" t="s">
        <v>42</v>
      </c>
      <c r="AI255" s="116" t="str">
        <f t="shared" si="6"/>
        <v>----</v>
      </c>
      <c r="AJ255" s="119" t="str">
        <f t="shared" si="7"/>
        <v>Paper has link but no statement</v>
      </c>
      <c r="AK255" s="120" t="s">
        <v>3401</v>
      </c>
      <c r="AL255" s="121" t="s">
        <v>3402</v>
      </c>
      <c r="AM255" s="60" t="str">
        <f t="shared" si="8"/>
        <v>[FP0604]</v>
      </c>
    </row>
    <row r="256" ht="67.5" customHeight="1">
      <c r="A256" s="61">
        <v>605.0</v>
      </c>
      <c r="B256" s="22" t="s">
        <v>4028</v>
      </c>
      <c r="C256" s="23">
        <v>2017.0</v>
      </c>
      <c r="D256" s="100" t="s">
        <v>37</v>
      </c>
      <c r="E256" s="25" t="s">
        <v>35</v>
      </c>
      <c r="F256" s="25" t="s">
        <v>35</v>
      </c>
      <c r="G256" s="25" t="s">
        <v>37</v>
      </c>
      <c r="H256" s="25" t="s">
        <v>35</v>
      </c>
      <c r="I256" s="25" t="s">
        <v>35</v>
      </c>
      <c r="J256" s="101" t="s">
        <v>36</v>
      </c>
      <c r="K256" s="102" t="s">
        <v>37</v>
      </c>
      <c r="L256" s="103" t="s">
        <v>35</v>
      </c>
      <c r="M256" s="103" t="s">
        <v>35</v>
      </c>
      <c r="N256" s="103" t="s">
        <v>35</v>
      </c>
      <c r="O256" s="103" t="s">
        <v>35</v>
      </c>
      <c r="P256" s="103" t="s">
        <v>35</v>
      </c>
      <c r="Q256" s="103" t="s">
        <v>35</v>
      </c>
      <c r="R256" s="103" t="s">
        <v>37</v>
      </c>
      <c r="S256" s="104" t="s">
        <v>4029</v>
      </c>
      <c r="T256" s="30" t="s">
        <v>4030</v>
      </c>
      <c r="U256" s="30" t="s">
        <v>4030</v>
      </c>
      <c r="V256" s="105">
        <f t="shared" si="2"/>
        <v>1</v>
      </c>
      <c r="W256" s="105">
        <f t="shared" ref="W256:X256" si="261">IF(lenb(SUBSTITUTE($Z256,W$1&amp;" (1)",""))&lt;lenb($Z256),1,IF(lenb(SUBSTITUTE($Z256,W$1&amp;" (2)",""))&lt;lenb($Z256),2,IF(lenb(SUBSTITUTE($Z256,W$1&amp;" (3)",""))&lt;lenb($Z256),3,IF(lenb(SUBSTITUTE($Z256,W$1&amp;" (4)",""))&lt;lenb($Z256),4,IF(lenb(SUBSTITUTE($Z256,W$1&amp;" (5)",""))&lt;lenb($Z256),5,IF(lenb(SUBSTITUTE($Z256,W$1&amp;" (6)",""))&lt;lenb($Z256),6,IF(lenb(SUBSTITUTE($Z256,W$1&amp;" (7)",""))&lt;lenb($Z256),1,IF(lenb(SUBSTITUTE($Z256,W$1&amp;" (8)",""))&lt;lenb($Z256),8,IF(lenb(SUBSTITUTE($Z256,W$1&amp;" (9)",""))&lt;lenb($Z256),9,IF(lenb(SUBSTITUTE($Z256,W$1&amp;" (10)",""))&lt;lenb($Z256),10,IF(lenb(SUBSTITUTE($Z256,W$1,""))&lt;lenb($Z256),"ERROR",IF($Z256=$Y$1,"-",0))))))))))))</f>
        <v>0</v>
      </c>
      <c r="X256" s="105">
        <f t="shared" si="261"/>
        <v>0</v>
      </c>
      <c r="Y256" s="105" t="str">
        <f t="shared" si="4"/>
        <v>-</v>
      </c>
      <c r="Z256" s="104" t="s">
        <v>3400</v>
      </c>
      <c r="AA256" s="34">
        <f t="shared" si="5"/>
        <v>1</v>
      </c>
      <c r="AB256" s="34">
        <f>COUNTIFS(Links!B:B,"FSE",Links!C:C,A256,Links!AD:AD,1)</f>
        <v>0</v>
      </c>
      <c r="AC256" s="106" t="s">
        <v>35</v>
      </c>
      <c r="AD256" s="107" t="s">
        <v>35</v>
      </c>
      <c r="AE256" s="104" t="s">
        <v>36</v>
      </c>
      <c r="AF256" s="37" t="s">
        <v>42</v>
      </c>
      <c r="AG256" s="37" t="s">
        <v>42</v>
      </c>
      <c r="AH256" s="37" t="s">
        <v>42</v>
      </c>
      <c r="AI256" s="105" t="str">
        <f t="shared" si="6"/>
        <v>----</v>
      </c>
      <c r="AJ256" s="108" t="str">
        <f t="shared" si="7"/>
        <v>Paper has link but no statement</v>
      </c>
      <c r="AK256" s="109" t="s">
        <v>3401</v>
      </c>
      <c r="AL256" s="110" t="s">
        <v>3402</v>
      </c>
      <c r="AM256" s="40" t="str">
        <f t="shared" si="8"/>
        <v>[FP0605]</v>
      </c>
    </row>
    <row r="257" ht="67.5" customHeight="1">
      <c r="A257" s="41">
        <v>606.0</v>
      </c>
      <c r="B257" s="42" t="s">
        <v>4031</v>
      </c>
      <c r="C257" s="43">
        <v>2017.0</v>
      </c>
      <c r="D257" s="111" t="s">
        <v>35</v>
      </c>
      <c r="E257" s="45" t="s">
        <v>36</v>
      </c>
      <c r="F257" s="45" t="s">
        <v>36</v>
      </c>
      <c r="G257" s="45" t="s">
        <v>36</v>
      </c>
      <c r="H257" s="45" t="s">
        <v>36</v>
      </c>
      <c r="I257" s="45" t="s">
        <v>36</v>
      </c>
      <c r="J257" s="112" t="s">
        <v>36</v>
      </c>
      <c r="K257" s="113" t="s">
        <v>37</v>
      </c>
      <c r="L257" s="114" t="s">
        <v>35</v>
      </c>
      <c r="M257" s="114" t="s">
        <v>35</v>
      </c>
      <c r="N257" s="114" t="s">
        <v>35</v>
      </c>
      <c r="O257" s="114" t="s">
        <v>35</v>
      </c>
      <c r="P257" s="114" t="s">
        <v>35</v>
      </c>
      <c r="Q257" s="114" t="s">
        <v>35</v>
      </c>
      <c r="R257" s="114" t="s">
        <v>37</v>
      </c>
      <c r="S257" s="115" t="s">
        <v>3923</v>
      </c>
      <c r="T257" s="50" t="s">
        <v>4032</v>
      </c>
      <c r="U257" s="50" t="s">
        <v>4033</v>
      </c>
      <c r="V257" s="116">
        <f t="shared" si="2"/>
        <v>1</v>
      </c>
      <c r="W257" s="116">
        <f t="shared" ref="W257:X257" si="262">IF(lenb(SUBSTITUTE($Z257,W$1&amp;" (1)",""))&lt;lenb($Z257),1,IF(lenb(SUBSTITUTE($Z257,W$1&amp;" (2)",""))&lt;lenb($Z257),2,IF(lenb(SUBSTITUTE($Z257,W$1&amp;" (3)",""))&lt;lenb($Z257),3,IF(lenb(SUBSTITUTE($Z257,W$1&amp;" (4)",""))&lt;lenb($Z257),4,IF(lenb(SUBSTITUTE($Z257,W$1&amp;" (5)",""))&lt;lenb($Z257),5,IF(lenb(SUBSTITUTE($Z257,W$1&amp;" (6)",""))&lt;lenb($Z257),6,IF(lenb(SUBSTITUTE($Z257,W$1&amp;" (7)",""))&lt;lenb($Z257),1,IF(lenb(SUBSTITUTE($Z257,W$1&amp;" (8)",""))&lt;lenb($Z257),8,IF(lenb(SUBSTITUTE($Z257,W$1&amp;" (9)",""))&lt;lenb($Z257),9,IF(lenb(SUBSTITUTE($Z257,W$1&amp;" (10)",""))&lt;lenb($Z257),10,IF(lenb(SUBSTITUTE($Z257,W$1,""))&lt;lenb($Z257),"ERROR",IF($Z257=$Y$1,"-",0))))))))))))</f>
        <v>0</v>
      </c>
      <c r="X257" s="116">
        <f t="shared" si="262"/>
        <v>0</v>
      </c>
      <c r="Y257" s="116" t="str">
        <f t="shared" si="4"/>
        <v>-</v>
      </c>
      <c r="Z257" s="115" t="s">
        <v>3400</v>
      </c>
      <c r="AA257" s="54">
        <f t="shared" si="5"/>
        <v>1</v>
      </c>
      <c r="AB257" s="54">
        <f>COUNTIFS(Links!B:B,"FSE",Links!C:C,A257,Links!AD:AD,1)</f>
        <v>1</v>
      </c>
      <c r="AC257" s="117" t="s">
        <v>37</v>
      </c>
      <c r="AD257" s="118" t="s">
        <v>35</v>
      </c>
      <c r="AE257" s="115" t="s">
        <v>36</v>
      </c>
      <c r="AF257" s="57" t="s">
        <v>42</v>
      </c>
      <c r="AG257" s="57" t="s">
        <v>42</v>
      </c>
      <c r="AH257" s="57" t="s">
        <v>42</v>
      </c>
      <c r="AI257" s="116" t="str">
        <f t="shared" si="6"/>
        <v>----</v>
      </c>
      <c r="AJ257" s="119" t="str">
        <f t="shared" si="7"/>
        <v>Paper has link but no statement</v>
      </c>
      <c r="AK257" s="120" t="s">
        <v>3401</v>
      </c>
      <c r="AL257" s="121" t="s">
        <v>3402</v>
      </c>
      <c r="AM257" s="60" t="str">
        <f t="shared" si="8"/>
        <v>[FP0606]</v>
      </c>
    </row>
    <row r="258" ht="67.5" customHeight="1">
      <c r="A258" s="61">
        <v>607.0</v>
      </c>
      <c r="B258" s="22" t="s">
        <v>4034</v>
      </c>
      <c r="C258" s="23">
        <v>2017.0</v>
      </c>
      <c r="D258" s="100" t="s">
        <v>35</v>
      </c>
      <c r="E258" s="25" t="s">
        <v>36</v>
      </c>
      <c r="F258" s="25" t="s">
        <v>36</v>
      </c>
      <c r="G258" s="25" t="s">
        <v>36</v>
      </c>
      <c r="H258" s="25" t="s">
        <v>36</v>
      </c>
      <c r="I258" s="25" t="s">
        <v>36</v>
      </c>
      <c r="J258" s="101" t="s">
        <v>36</v>
      </c>
      <c r="K258" s="102" t="s">
        <v>37</v>
      </c>
      <c r="L258" s="103" t="s">
        <v>37</v>
      </c>
      <c r="M258" s="103" t="s">
        <v>35</v>
      </c>
      <c r="N258" s="103" t="s">
        <v>35</v>
      </c>
      <c r="O258" s="103" t="s">
        <v>35</v>
      </c>
      <c r="P258" s="103" t="s">
        <v>35</v>
      </c>
      <c r="Q258" s="103" t="s">
        <v>35</v>
      </c>
      <c r="R258" s="103" t="s">
        <v>37</v>
      </c>
      <c r="S258" s="104" t="s">
        <v>4035</v>
      </c>
      <c r="T258" s="30" t="s">
        <v>4036</v>
      </c>
      <c r="U258" s="30" t="s">
        <v>4036</v>
      </c>
      <c r="V258" s="105">
        <f t="shared" si="2"/>
        <v>2</v>
      </c>
      <c r="W258" s="105">
        <f t="shared" ref="W258:X258" si="263">IF(lenb(SUBSTITUTE($Z258,W$1&amp;" (1)",""))&lt;lenb($Z258),1,IF(lenb(SUBSTITUTE($Z258,W$1&amp;" (2)",""))&lt;lenb($Z258),2,IF(lenb(SUBSTITUTE($Z258,W$1&amp;" (3)",""))&lt;lenb($Z258),3,IF(lenb(SUBSTITUTE($Z258,W$1&amp;" (4)",""))&lt;lenb($Z258),4,IF(lenb(SUBSTITUTE($Z258,W$1&amp;" (5)",""))&lt;lenb($Z258),5,IF(lenb(SUBSTITUTE($Z258,W$1&amp;" (6)",""))&lt;lenb($Z258),6,IF(lenb(SUBSTITUTE($Z258,W$1&amp;" (7)",""))&lt;lenb($Z258),1,IF(lenb(SUBSTITUTE($Z258,W$1&amp;" (8)",""))&lt;lenb($Z258),8,IF(lenb(SUBSTITUTE($Z258,W$1&amp;" (9)",""))&lt;lenb($Z258),9,IF(lenb(SUBSTITUTE($Z258,W$1&amp;" (10)",""))&lt;lenb($Z258),10,IF(lenb(SUBSTITUTE($Z258,W$1,""))&lt;lenb($Z258),"ERROR",IF($Z258=$Y$1,"-",0))))))))))))</f>
        <v>0</v>
      </c>
      <c r="X258" s="105">
        <f t="shared" si="263"/>
        <v>0</v>
      </c>
      <c r="Y258" s="105" t="str">
        <f t="shared" si="4"/>
        <v>-</v>
      </c>
      <c r="Z258" s="104" t="s">
        <v>3452</v>
      </c>
      <c r="AA258" s="34">
        <f t="shared" si="5"/>
        <v>2</v>
      </c>
      <c r="AB258" s="34">
        <f>COUNTIFS(Links!B:B,"FSE",Links!C:C,A258,Links!AD:AD,1)</f>
        <v>0</v>
      </c>
      <c r="AC258" s="106" t="s">
        <v>35</v>
      </c>
      <c r="AD258" s="107" t="s">
        <v>35</v>
      </c>
      <c r="AE258" s="104" t="s">
        <v>36</v>
      </c>
      <c r="AF258" s="37" t="s">
        <v>42</v>
      </c>
      <c r="AG258" s="37" t="s">
        <v>42</v>
      </c>
      <c r="AH258" s="37" t="s">
        <v>42</v>
      </c>
      <c r="AI258" s="105" t="str">
        <f t="shared" si="6"/>
        <v>----</v>
      </c>
      <c r="AJ258" s="108" t="str">
        <f t="shared" si="7"/>
        <v>Paper has link but no statement</v>
      </c>
      <c r="AK258" s="109" t="s">
        <v>3401</v>
      </c>
      <c r="AL258" s="110" t="s">
        <v>3402</v>
      </c>
      <c r="AM258" s="40" t="str">
        <f t="shared" si="8"/>
        <v>[FP0607]</v>
      </c>
    </row>
    <row r="259" ht="67.5" customHeight="1">
      <c r="A259" s="41">
        <v>608.0</v>
      </c>
      <c r="B259" s="42" t="s">
        <v>4037</v>
      </c>
      <c r="C259" s="43">
        <v>2017.0</v>
      </c>
      <c r="D259" s="111" t="s">
        <v>37</v>
      </c>
      <c r="E259" s="45" t="s">
        <v>35</v>
      </c>
      <c r="F259" s="45" t="s">
        <v>37</v>
      </c>
      <c r="G259" s="45" t="s">
        <v>35</v>
      </c>
      <c r="H259" s="45" t="s">
        <v>35</v>
      </c>
      <c r="I259" s="45" t="s">
        <v>35</v>
      </c>
      <c r="J259" s="112" t="s">
        <v>36</v>
      </c>
      <c r="K259" s="113" t="s">
        <v>37</v>
      </c>
      <c r="L259" s="114" t="s">
        <v>35</v>
      </c>
      <c r="M259" s="114" t="s">
        <v>35</v>
      </c>
      <c r="N259" s="114" t="s">
        <v>37</v>
      </c>
      <c r="O259" s="114" t="s">
        <v>35</v>
      </c>
      <c r="P259" s="114" t="s">
        <v>35</v>
      </c>
      <c r="Q259" s="114" t="s">
        <v>37</v>
      </c>
      <c r="R259" s="114" t="s">
        <v>37</v>
      </c>
      <c r="S259" s="115" t="s">
        <v>4038</v>
      </c>
      <c r="T259" s="50" t="s">
        <v>4039</v>
      </c>
      <c r="U259" s="50" t="s">
        <v>4039</v>
      </c>
      <c r="V259" s="116">
        <f t="shared" si="2"/>
        <v>0</v>
      </c>
      <c r="W259" s="116">
        <f t="shared" ref="W259:X259" si="264">IF(lenb(SUBSTITUTE($Z259,W$1&amp;" (1)",""))&lt;lenb($Z259),1,IF(lenb(SUBSTITUTE($Z259,W$1&amp;" (2)",""))&lt;lenb($Z259),2,IF(lenb(SUBSTITUTE($Z259,W$1&amp;" (3)",""))&lt;lenb($Z259),3,IF(lenb(SUBSTITUTE($Z259,W$1&amp;" (4)",""))&lt;lenb($Z259),4,IF(lenb(SUBSTITUTE($Z259,W$1&amp;" (5)",""))&lt;lenb($Z259),5,IF(lenb(SUBSTITUTE($Z259,W$1&amp;" (6)",""))&lt;lenb($Z259),6,IF(lenb(SUBSTITUTE($Z259,W$1&amp;" (7)",""))&lt;lenb($Z259),1,IF(lenb(SUBSTITUTE($Z259,W$1&amp;" (8)",""))&lt;lenb($Z259),8,IF(lenb(SUBSTITUTE($Z259,W$1&amp;" (9)",""))&lt;lenb($Z259),9,IF(lenb(SUBSTITUTE($Z259,W$1&amp;" (10)",""))&lt;lenb($Z259),10,IF(lenb(SUBSTITUTE($Z259,W$1,""))&lt;lenb($Z259),"ERROR",IF($Z259=$Y$1,"-",0))))))))))))</f>
        <v>1</v>
      </c>
      <c r="X259" s="116">
        <f t="shared" si="264"/>
        <v>1</v>
      </c>
      <c r="Y259" s="116" t="str">
        <f t="shared" si="4"/>
        <v>-</v>
      </c>
      <c r="Z259" s="115" t="s">
        <v>4040</v>
      </c>
      <c r="AA259" s="54">
        <f t="shared" si="5"/>
        <v>2</v>
      </c>
      <c r="AB259" s="54">
        <f>COUNTIFS(Links!B:B,"FSE",Links!C:C,A259,Links!AD:AD,1)</f>
        <v>1</v>
      </c>
      <c r="AC259" s="117" t="s">
        <v>35</v>
      </c>
      <c r="AD259" s="118" t="s">
        <v>35</v>
      </c>
      <c r="AE259" s="115" t="s">
        <v>36</v>
      </c>
      <c r="AF259" s="57" t="s">
        <v>42</v>
      </c>
      <c r="AG259" s="57" t="s">
        <v>42</v>
      </c>
      <c r="AH259" s="57" t="s">
        <v>42</v>
      </c>
      <c r="AI259" s="116" t="str">
        <f t="shared" si="6"/>
        <v>----</v>
      </c>
      <c r="AJ259" s="119" t="str">
        <f t="shared" si="7"/>
        <v>Paper has link but no statement</v>
      </c>
      <c r="AK259" s="120" t="s">
        <v>3401</v>
      </c>
      <c r="AL259" s="121" t="s">
        <v>3402</v>
      </c>
      <c r="AM259" s="60" t="str">
        <f t="shared" si="8"/>
        <v>[FP0608]</v>
      </c>
    </row>
    <row r="260" ht="67.5" customHeight="1">
      <c r="A260" s="61">
        <v>609.0</v>
      </c>
      <c r="B260" s="22" t="s">
        <v>4041</v>
      </c>
      <c r="C260" s="23">
        <v>2017.0</v>
      </c>
      <c r="D260" s="100" t="s">
        <v>35</v>
      </c>
      <c r="E260" s="25" t="s">
        <v>36</v>
      </c>
      <c r="F260" s="25" t="s">
        <v>36</v>
      </c>
      <c r="G260" s="25" t="s">
        <v>36</v>
      </c>
      <c r="H260" s="25" t="s">
        <v>36</v>
      </c>
      <c r="I260" s="25" t="s">
        <v>36</v>
      </c>
      <c r="J260" s="101" t="s">
        <v>36</v>
      </c>
      <c r="K260" s="102" t="s">
        <v>35</v>
      </c>
      <c r="L260" s="103" t="s">
        <v>36</v>
      </c>
      <c r="M260" s="103" t="s">
        <v>36</v>
      </c>
      <c r="N260" s="103" t="s">
        <v>36</v>
      </c>
      <c r="O260" s="103" t="s">
        <v>36</v>
      </c>
      <c r="P260" s="103" t="s">
        <v>36</v>
      </c>
      <c r="Q260" s="103" t="s">
        <v>36</v>
      </c>
      <c r="R260" s="103" t="s">
        <v>36</v>
      </c>
      <c r="S260" s="104" t="s">
        <v>42</v>
      </c>
      <c r="T260" s="30" t="s">
        <v>36</v>
      </c>
      <c r="U260" s="30" t="s">
        <v>36</v>
      </c>
      <c r="V260" s="105" t="str">
        <f t="shared" si="2"/>
        <v>-</v>
      </c>
      <c r="W260" s="105" t="str">
        <f t="shared" ref="W260:X260" si="265">IF(lenb(SUBSTITUTE($Z260,W$1&amp;" (1)",""))&lt;lenb($Z260),1,IF(lenb(SUBSTITUTE($Z260,W$1&amp;" (2)",""))&lt;lenb($Z260),2,IF(lenb(SUBSTITUTE($Z260,W$1&amp;" (3)",""))&lt;lenb($Z260),3,IF(lenb(SUBSTITUTE($Z260,W$1&amp;" (4)",""))&lt;lenb($Z260),4,IF(lenb(SUBSTITUTE($Z260,W$1&amp;" (5)",""))&lt;lenb($Z260),5,IF(lenb(SUBSTITUTE($Z260,W$1&amp;" (6)",""))&lt;lenb($Z260),6,IF(lenb(SUBSTITUTE($Z260,W$1&amp;" (7)",""))&lt;lenb($Z260),1,IF(lenb(SUBSTITUTE($Z260,W$1&amp;" (8)",""))&lt;lenb($Z260),8,IF(lenb(SUBSTITUTE($Z260,W$1&amp;" (9)",""))&lt;lenb($Z260),9,IF(lenb(SUBSTITUTE($Z260,W$1&amp;" (10)",""))&lt;lenb($Z260),10,IF(lenb(SUBSTITUTE($Z260,W$1,""))&lt;lenb($Z260),"ERROR",IF($Z260=$Y$1,"-",0))))))))))))</f>
        <v>-</v>
      </c>
      <c r="X260" s="105" t="str">
        <f t="shared" si="265"/>
        <v>-</v>
      </c>
      <c r="Y260" s="105">
        <f t="shared" si="4"/>
        <v>1</v>
      </c>
      <c r="Z260" s="104" t="s">
        <v>23</v>
      </c>
      <c r="AA260" s="34">
        <f t="shared" si="5"/>
        <v>0</v>
      </c>
      <c r="AB260" s="34">
        <f>COUNTIFS(Links!B:B,"FSE",Links!C:C,A260,Links!AD:AD,1)</f>
        <v>0</v>
      </c>
      <c r="AC260" s="106" t="s">
        <v>36</v>
      </c>
      <c r="AD260" s="107" t="s">
        <v>35</v>
      </c>
      <c r="AE260" s="104" t="s">
        <v>36</v>
      </c>
      <c r="AF260" s="37" t="s">
        <v>42</v>
      </c>
      <c r="AG260" s="37" t="s">
        <v>42</v>
      </c>
      <c r="AH260" s="37" t="s">
        <v>42</v>
      </c>
      <c r="AI260" s="105" t="str">
        <f t="shared" si="6"/>
        <v>----</v>
      </c>
      <c r="AJ260" s="108" t="str">
        <f t="shared" si="7"/>
        <v>Paper has no link and no statement</v>
      </c>
      <c r="AK260" s="109" t="s">
        <v>3401</v>
      </c>
      <c r="AL260" s="110" t="s">
        <v>3402</v>
      </c>
      <c r="AM260" s="40" t="str">
        <f t="shared" si="8"/>
        <v>[FP0609]</v>
      </c>
    </row>
    <row r="261" ht="67.5" customHeight="1">
      <c r="A261" s="41">
        <v>610.0</v>
      </c>
      <c r="B261" s="42" t="s">
        <v>4042</v>
      </c>
      <c r="C261" s="43">
        <v>2017.0</v>
      </c>
      <c r="D261" s="111" t="s">
        <v>35</v>
      </c>
      <c r="E261" s="45" t="s">
        <v>36</v>
      </c>
      <c r="F261" s="45" t="s">
        <v>36</v>
      </c>
      <c r="G261" s="45" t="s">
        <v>36</v>
      </c>
      <c r="H261" s="45" t="s">
        <v>36</v>
      </c>
      <c r="I261" s="45" t="s">
        <v>36</v>
      </c>
      <c r="J261" s="112" t="s">
        <v>36</v>
      </c>
      <c r="K261" s="113" t="s">
        <v>37</v>
      </c>
      <c r="L261" s="114" t="s">
        <v>37</v>
      </c>
      <c r="M261" s="114" t="s">
        <v>35</v>
      </c>
      <c r="N261" s="114" t="s">
        <v>37</v>
      </c>
      <c r="O261" s="114" t="s">
        <v>35</v>
      </c>
      <c r="P261" s="114" t="s">
        <v>35</v>
      </c>
      <c r="Q261" s="114" t="s">
        <v>35</v>
      </c>
      <c r="R261" s="114" t="s">
        <v>37</v>
      </c>
      <c r="S261" s="115" t="s">
        <v>4043</v>
      </c>
      <c r="T261" s="50" t="s">
        <v>4044</v>
      </c>
      <c r="U261" s="50" t="s">
        <v>4044</v>
      </c>
      <c r="V261" s="116">
        <f t="shared" si="2"/>
        <v>1</v>
      </c>
      <c r="W261" s="116">
        <f t="shared" ref="W261:X261" si="266">IF(lenb(SUBSTITUTE($Z261,W$1&amp;" (1)",""))&lt;lenb($Z261),1,IF(lenb(SUBSTITUTE($Z261,W$1&amp;" (2)",""))&lt;lenb($Z261),2,IF(lenb(SUBSTITUTE($Z261,W$1&amp;" (3)",""))&lt;lenb($Z261),3,IF(lenb(SUBSTITUTE($Z261,W$1&amp;" (4)",""))&lt;lenb($Z261),4,IF(lenb(SUBSTITUTE($Z261,W$1&amp;" (5)",""))&lt;lenb($Z261),5,IF(lenb(SUBSTITUTE($Z261,W$1&amp;" (6)",""))&lt;lenb($Z261),6,IF(lenb(SUBSTITUTE($Z261,W$1&amp;" (7)",""))&lt;lenb($Z261),1,IF(lenb(SUBSTITUTE($Z261,W$1&amp;" (8)",""))&lt;lenb($Z261),8,IF(lenb(SUBSTITUTE($Z261,W$1&amp;" (9)",""))&lt;lenb($Z261),9,IF(lenb(SUBSTITUTE($Z261,W$1&amp;" (10)",""))&lt;lenb($Z261),10,IF(lenb(SUBSTITUTE($Z261,W$1,""))&lt;lenb($Z261),"ERROR",IF($Z261=$Y$1,"-",0))))))))))))</f>
        <v>0</v>
      </c>
      <c r="X261" s="116">
        <f t="shared" si="266"/>
        <v>0</v>
      </c>
      <c r="Y261" s="116" t="str">
        <f t="shared" si="4"/>
        <v>-</v>
      </c>
      <c r="Z261" s="115" t="s">
        <v>3400</v>
      </c>
      <c r="AA261" s="54">
        <f t="shared" si="5"/>
        <v>1</v>
      </c>
      <c r="AB261" s="54">
        <f>COUNTIFS(Links!B:B,"FSE",Links!C:C,A261,Links!AD:AD,1)</f>
        <v>0</v>
      </c>
      <c r="AC261" s="117" t="s">
        <v>35</v>
      </c>
      <c r="AD261" s="118" t="s">
        <v>35</v>
      </c>
      <c r="AE261" s="115" t="s">
        <v>36</v>
      </c>
      <c r="AF261" s="57" t="s">
        <v>42</v>
      </c>
      <c r="AG261" s="57" t="s">
        <v>42</v>
      </c>
      <c r="AH261" s="57" t="s">
        <v>42</v>
      </c>
      <c r="AI261" s="116" t="str">
        <f t="shared" si="6"/>
        <v>----</v>
      </c>
      <c r="AJ261" s="119" t="str">
        <f t="shared" si="7"/>
        <v>Paper has link but no statement</v>
      </c>
      <c r="AK261" s="120" t="s">
        <v>3401</v>
      </c>
      <c r="AL261" s="121" t="s">
        <v>3402</v>
      </c>
      <c r="AM261" s="60" t="str">
        <f t="shared" si="8"/>
        <v>[FP0610]</v>
      </c>
    </row>
    <row r="262" ht="67.5" customHeight="1">
      <c r="A262" s="61">
        <v>611.0</v>
      </c>
      <c r="B262" s="22" t="s">
        <v>4045</v>
      </c>
      <c r="C262" s="23">
        <v>2017.0</v>
      </c>
      <c r="D262" s="100" t="s">
        <v>35</v>
      </c>
      <c r="E262" s="25" t="s">
        <v>36</v>
      </c>
      <c r="F262" s="25" t="s">
        <v>36</v>
      </c>
      <c r="G262" s="25" t="s">
        <v>36</v>
      </c>
      <c r="H262" s="25" t="s">
        <v>36</v>
      </c>
      <c r="I262" s="25" t="s">
        <v>36</v>
      </c>
      <c r="J262" s="101" t="s">
        <v>36</v>
      </c>
      <c r="K262" s="102" t="s">
        <v>35</v>
      </c>
      <c r="L262" s="103" t="s">
        <v>36</v>
      </c>
      <c r="M262" s="103" t="s">
        <v>36</v>
      </c>
      <c r="N262" s="103" t="s">
        <v>36</v>
      </c>
      <c r="O262" s="103" t="s">
        <v>36</v>
      </c>
      <c r="P262" s="103" t="s">
        <v>36</v>
      </c>
      <c r="Q262" s="103" t="s">
        <v>36</v>
      </c>
      <c r="R262" s="103" t="s">
        <v>36</v>
      </c>
      <c r="S262" s="104" t="s">
        <v>42</v>
      </c>
      <c r="T262" s="30" t="s">
        <v>36</v>
      </c>
      <c r="U262" s="30" t="s">
        <v>36</v>
      </c>
      <c r="V262" s="105" t="str">
        <f t="shared" si="2"/>
        <v>-</v>
      </c>
      <c r="W262" s="105" t="str">
        <f t="shared" ref="W262:X262" si="267">IF(lenb(SUBSTITUTE($Z262,W$1&amp;" (1)",""))&lt;lenb($Z262),1,IF(lenb(SUBSTITUTE($Z262,W$1&amp;" (2)",""))&lt;lenb($Z262),2,IF(lenb(SUBSTITUTE($Z262,W$1&amp;" (3)",""))&lt;lenb($Z262),3,IF(lenb(SUBSTITUTE($Z262,W$1&amp;" (4)",""))&lt;lenb($Z262),4,IF(lenb(SUBSTITUTE($Z262,W$1&amp;" (5)",""))&lt;lenb($Z262),5,IF(lenb(SUBSTITUTE($Z262,W$1&amp;" (6)",""))&lt;lenb($Z262),6,IF(lenb(SUBSTITUTE($Z262,W$1&amp;" (7)",""))&lt;lenb($Z262),1,IF(lenb(SUBSTITUTE($Z262,W$1&amp;" (8)",""))&lt;lenb($Z262),8,IF(lenb(SUBSTITUTE($Z262,W$1&amp;" (9)",""))&lt;lenb($Z262),9,IF(lenb(SUBSTITUTE($Z262,W$1&amp;" (10)",""))&lt;lenb($Z262),10,IF(lenb(SUBSTITUTE($Z262,W$1,""))&lt;lenb($Z262),"ERROR",IF($Z262=$Y$1,"-",0))))))))))))</f>
        <v>-</v>
      </c>
      <c r="X262" s="105" t="str">
        <f t="shared" si="267"/>
        <v>-</v>
      </c>
      <c r="Y262" s="105">
        <f t="shared" si="4"/>
        <v>1</v>
      </c>
      <c r="Z262" s="104" t="s">
        <v>23</v>
      </c>
      <c r="AA262" s="34">
        <f t="shared" si="5"/>
        <v>0</v>
      </c>
      <c r="AB262" s="34">
        <f>COUNTIFS(Links!B:B,"FSE",Links!C:C,A262,Links!AD:AD,1)</f>
        <v>0</v>
      </c>
      <c r="AC262" s="106" t="s">
        <v>36</v>
      </c>
      <c r="AD262" s="107" t="s">
        <v>35</v>
      </c>
      <c r="AE262" s="104" t="s">
        <v>36</v>
      </c>
      <c r="AF262" s="37" t="s">
        <v>42</v>
      </c>
      <c r="AG262" s="37" t="s">
        <v>42</v>
      </c>
      <c r="AH262" s="37" t="s">
        <v>42</v>
      </c>
      <c r="AI262" s="105" t="str">
        <f t="shared" si="6"/>
        <v>----</v>
      </c>
      <c r="AJ262" s="108" t="str">
        <f t="shared" si="7"/>
        <v>Paper has no link and no statement</v>
      </c>
      <c r="AK262" s="109" t="s">
        <v>3401</v>
      </c>
      <c r="AL262" s="110" t="s">
        <v>3402</v>
      </c>
      <c r="AM262" s="40" t="str">
        <f t="shared" si="8"/>
        <v>[FP0611]</v>
      </c>
    </row>
    <row r="263" ht="67.5" customHeight="1">
      <c r="A263" s="41">
        <v>612.0</v>
      </c>
      <c r="B263" s="42" t="s">
        <v>4046</v>
      </c>
      <c r="C263" s="43">
        <v>2017.0</v>
      </c>
      <c r="D263" s="111" t="s">
        <v>35</v>
      </c>
      <c r="E263" s="45" t="s">
        <v>36</v>
      </c>
      <c r="F263" s="45" t="s">
        <v>36</v>
      </c>
      <c r="G263" s="45" t="s">
        <v>36</v>
      </c>
      <c r="H263" s="45" t="s">
        <v>36</v>
      </c>
      <c r="I263" s="45" t="s">
        <v>36</v>
      </c>
      <c r="J263" s="112" t="s">
        <v>36</v>
      </c>
      <c r="K263" s="113" t="s">
        <v>35</v>
      </c>
      <c r="L263" s="114" t="s">
        <v>36</v>
      </c>
      <c r="M263" s="114" t="s">
        <v>36</v>
      </c>
      <c r="N263" s="114" t="s">
        <v>36</v>
      </c>
      <c r="O263" s="114" t="s">
        <v>36</v>
      </c>
      <c r="P263" s="114" t="s">
        <v>36</v>
      </c>
      <c r="Q263" s="114" t="s">
        <v>36</v>
      </c>
      <c r="R263" s="114" t="s">
        <v>36</v>
      </c>
      <c r="S263" s="115" t="s">
        <v>42</v>
      </c>
      <c r="T263" s="50" t="s">
        <v>36</v>
      </c>
      <c r="U263" s="50" t="s">
        <v>36</v>
      </c>
      <c r="V263" s="116" t="str">
        <f t="shared" si="2"/>
        <v>-</v>
      </c>
      <c r="W263" s="116" t="str">
        <f t="shared" ref="W263:X263" si="268">IF(lenb(SUBSTITUTE($Z263,W$1&amp;" (1)",""))&lt;lenb($Z263),1,IF(lenb(SUBSTITUTE($Z263,W$1&amp;" (2)",""))&lt;lenb($Z263),2,IF(lenb(SUBSTITUTE($Z263,W$1&amp;" (3)",""))&lt;lenb($Z263),3,IF(lenb(SUBSTITUTE($Z263,W$1&amp;" (4)",""))&lt;lenb($Z263),4,IF(lenb(SUBSTITUTE($Z263,W$1&amp;" (5)",""))&lt;lenb($Z263),5,IF(lenb(SUBSTITUTE($Z263,W$1&amp;" (6)",""))&lt;lenb($Z263),6,IF(lenb(SUBSTITUTE($Z263,W$1&amp;" (7)",""))&lt;lenb($Z263),1,IF(lenb(SUBSTITUTE($Z263,W$1&amp;" (8)",""))&lt;lenb($Z263),8,IF(lenb(SUBSTITUTE($Z263,W$1&amp;" (9)",""))&lt;lenb($Z263),9,IF(lenb(SUBSTITUTE($Z263,W$1&amp;" (10)",""))&lt;lenb($Z263),10,IF(lenb(SUBSTITUTE($Z263,W$1,""))&lt;lenb($Z263),"ERROR",IF($Z263=$Y$1,"-",0))))))))))))</f>
        <v>-</v>
      </c>
      <c r="X263" s="116" t="str">
        <f t="shared" si="268"/>
        <v>-</v>
      </c>
      <c r="Y263" s="116">
        <f t="shared" si="4"/>
        <v>1</v>
      </c>
      <c r="Z263" s="115" t="s">
        <v>23</v>
      </c>
      <c r="AA263" s="54">
        <f t="shared" si="5"/>
        <v>0</v>
      </c>
      <c r="AB263" s="54">
        <f>COUNTIFS(Links!B:B,"FSE",Links!C:C,A263,Links!AD:AD,1)</f>
        <v>0</v>
      </c>
      <c r="AC263" s="117" t="s">
        <v>36</v>
      </c>
      <c r="AD263" s="118" t="s">
        <v>35</v>
      </c>
      <c r="AE263" s="115" t="s">
        <v>36</v>
      </c>
      <c r="AF263" s="57" t="s">
        <v>42</v>
      </c>
      <c r="AG263" s="57" t="s">
        <v>42</v>
      </c>
      <c r="AH263" s="57" t="s">
        <v>42</v>
      </c>
      <c r="AI263" s="116" t="str">
        <f t="shared" si="6"/>
        <v>----</v>
      </c>
      <c r="AJ263" s="119" t="str">
        <f t="shared" si="7"/>
        <v>Paper has no link and no statement</v>
      </c>
      <c r="AK263" s="120" t="s">
        <v>3401</v>
      </c>
      <c r="AL263" s="121" t="s">
        <v>3402</v>
      </c>
      <c r="AM263" s="60" t="str">
        <f t="shared" si="8"/>
        <v>[FP0612]</v>
      </c>
    </row>
    <row r="264" ht="67.5" customHeight="1">
      <c r="A264" s="61">
        <v>613.0</v>
      </c>
      <c r="B264" s="22" t="s">
        <v>4047</v>
      </c>
      <c r="C264" s="23">
        <v>2017.0</v>
      </c>
      <c r="D264" s="100" t="s">
        <v>35</v>
      </c>
      <c r="E264" s="25" t="s">
        <v>36</v>
      </c>
      <c r="F264" s="25" t="s">
        <v>36</v>
      </c>
      <c r="G264" s="25" t="s">
        <v>36</v>
      </c>
      <c r="H264" s="25" t="s">
        <v>36</v>
      </c>
      <c r="I264" s="25" t="s">
        <v>36</v>
      </c>
      <c r="J264" s="101" t="s">
        <v>36</v>
      </c>
      <c r="K264" s="102" t="s">
        <v>37</v>
      </c>
      <c r="L264" s="103" t="s">
        <v>35</v>
      </c>
      <c r="M264" s="103" t="s">
        <v>37</v>
      </c>
      <c r="N264" s="103" t="s">
        <v>35</v>
      </c>
      <c r="O264" s="103" t="s">
        <v>35</v>
      </c>
      <c r="P264" s="103" t="s">
        <v>35</v>
      </c>
      <c r="Q264" s="103" t="s">
        <v>35</v>
      </c>
      <c r="R264" s="103" t="s">
        <v>37</v>
      </c>
      <c r="S264" s="104" t="s">
        <v>4048</v>
      </c>
      <c r="T264" s="30" t="s">
        <v>4049</v>
      </c>
      <c r="U264" s="30" t="s">
        <v>4049</v>
      </c>
      <c r="V264" s="105">
        <f t="shared" si="2"/>
        <v>0</v>
      </c>
      <c r="W264" s="105">
        <f t="shared" ref="W264:X264" si="269">IF(lenb(SUBSTITUTE($Z264,W$1&amp;" (1)",""))&lt;lenb($Z264),1,IF(lenb(SUBSTITUTE($Z264,W$1&amp;" (2)",""))&lt;lenb($Z264),2,IF(lenb(SUBSTITUTE($Z264,W$1&amp;" (3)",""))&lt;lenb($Z264),3,IF(lenb(SUBSTITUTE($Z264,W$1&amp;" (4)",""))&lt;lenb($Z264),4,IF(lenb(SUBSTITUTE($Z264,W$1&amp;" (5)",""))&lt;lenb($Z264),5,IF(lenb(SUBSTITUTE($Z264,W$1&amp;" (6)",""))&lt;lenb($Z264),6,IF(lenb(SUBSTITUTE($Z264,W$1&amp;" (7)",""))&lt;lenb($Z264),1,IF(lenb(SUBSTITUTE($Z264,W$1&amp;" (8)",""))&lt;lenb($Z264),8,IF(lenb(SUBSTITUTE($Z264,W$1&amp;" (9)",""))&lt;lenb($Z264),9,IF(lenb(SUBSTITUTE($Z264,W$1&amp;" (10)",""))&lt;lenb($Z264),10,IF(lenb(SUBSTITUTE($Z264,W$1,""))&lt;lenb($Z264),"ERROR",IF($Z264=$Y$1,"-",0))))))))))))</f>
        <v>1</v>
      </c>
      <c r="X264" s="105">
        <f t="shared" si="269"/>
        <v>0</v>
      </c>
      <c r="Y264" s="105" t="str">
        <f t="shared" si="4"/>
        <v>-</v>
      </c>
      <c r="Z264" s="104" t="s">
        <v>3423</v>
      </c>
      <c r="AA264" s="34">
        <f t="shared" si="5"/>
        <v>1</v>
      </c>
      <c r="AB264" s="34">
        <f>COUNTIFS(Links!B:B,"FSE",Links!C:C,A264,Links!AD:AD,1)</f>
        <v>0</v>
      </c>
      <c r="AC264" s="106" t="s">
        <v>35</v>
      </c>
      <c r="AD264" s="107" t="s">
        <v>35</v>
      </c>
      <c r="AE264" s="104" t="s">
        <v>36</v>
      </c>
      <c r="AF264" s="37" t="s">
        <v>42</v>
      </c>
      <c r="AG264" s="37" t="s">
        <v>42</v>
      </c>
      <c r="AH264" s="37" t="s">
        <v>42</v>
      </c>
      <c r="AI264" s="105" t="str">
        <f t="shared" si="6"/>
        <v>----</v>
      </c>
      <c r="AJ264" s="108" t="str">
        <f t="shared" si="7"/>
        <v>Paper has link but no statement</v>
      </c>
      <c r="AK264" s="109" t="s">
        <v>3401</v>
      </c>
      <c r="AL264" s="110" t="s">
        <v>3402</v>
      </c>
      <c r="AM264" s="40" t="str">
        <f t="shared" si="8"/>
        <v>[FP0613]</v>
      </c>
    </row>
    <row r="265" ht="67.5" customHeight="1">
      <c r="A265" s="41">
        <v>614.0</v>
      </c>
      <c r="B265" s="42" t="s">
        <v>4050</v>
      </c>
      <c r="C265" s="43">
        <v>2017.0</v>
      </c>
      <c r="D265" s="111" t="s">
        <v>35</v>
      </c>
      <c r="E265" s="45" t="s">
        <v>36</v>
      </c>
      <c r="F265" s="45" t="s">
        <v>36</v>
      </c>
      <c r="G265" s="45" t="s">
        <v>36</v>
      </c>
      <c r="H265" s="45" t="s">
        <v>36</v>
      </c>
      <c r="I265" s="45" t="s">
        <v>36</v>
      </c>
      <c r="J265" s="112" t="s">
        <v>36</v>
      </c>
      <c r="K265" s="113" t="s">
        <v>37</v>
      </c>
      <c r="L265" s="114" t="s">
        <v>35</v>
      </c>
      <c r="M265" s="114" t="s">
        <v>37</v>
      </c>
      <c r="N265" s="114" t="s">
        <v>37</v>
      </c>
      <c r="O265" s="114" t="s">
        <v>37</v>
      </c>
      <c r="P265" s="114" t="s">
        <v>35</v>
      </c>
      <c r="Q265" s="114" t="s">
        <v>35</v>
      </c>
      <c r="R265" s="114" t="s">
        <v>37</v>
      </c>
      <c r="S265" s="115" t="s">
        <v>4051</v>
      </c>
      <c r="T265" s="50" t="s">
        <v>4052</v>
      </c>
      <c r="U265" s="50" t="s">
        <v>4052</v>
      </c>
      <c r="V265" s="116">
        <f t="shared" si="2"/>
        <v>1</v>
      </c>
      <c r="W265" s="116">
        <f t="shared" ref="W265:X265" si="270">IF(lenb(SUBSTITUTE($Z265,W$1&amp;" (1)",""))&lt;lenb($Z265),1,IF(lenb(SUBSTITUTE($Z265,W$1&amp;" (2)",""))&lt;lenb($Z265),2,IF(lenb(SUBSTITUTE($Z265,W$1&amp;" (3)",""))&lt;lenb($Z265),3,IF(lenb(SUBSTITUTE($Z265,W$1&amp;" (4)",""))&lt;lenb($Z265),4,IF(lenb(SUBSTITUTE($Z265,W$1&amp;" (5)",""))&lt;lenb($Z265),5,IF(lenb(SUBSTITUTE($Z265,W$1&amp;" (6)",""))&lt;lenb($Z265),6,IF(lenb(SUBSTITUTE($Z265,W$1&amp;" (7)",""))&lt;lenb($Z265),1,IF(lenb(SUBSTITUTE($Z265,W$1&amp;" (8)",""))&lt;lenb($Z265),8,IF(lenb(SUBSTITUTE($Z265,W$1&amp;" (9)",""))&lt;lenb($Z265),9,IF(lenb(SUBSTITUTE($Z265,W$1&amp;" (10)",""))&lt;lenb($Z265),10,IF(lenb(SUBSTITUTE($Z265,W$1,""))&lt;lenb($Z265),"ERROR",IF($Z265=$Y$1,"-",0))))))))))))</f>
        <v>0</v>
      </c>
      <c r="X265" s="116">
        <f t="shared" si="270"/>
        <v>0</v>
      </c>
      <c r="Y265" s="116" t="str">
        <f t="shared" si="4"/>
        <v>-</v>
      </c>
      <c r="Z265" s="115" t="s">
        <v>3400</v>
      </c>
      <c r="AA265" s="54">
        <f t="shared" si="5"/>
        <v>1</v>
      </c>
      <c r="AB265" s="54">
        <f>COUNTIFS(Links!B:B,"FSE",Links!C:C,A265,Links!AD:AD,1)</f>
        <v>1</v>
      </c>
      <c r="AC265" s="117" t="s">
        <v>35</v>
      </c>
      <c r="AD265" s="118" t="s">
        <v>35</v>
      </c>
      <c r="AE265" s="115" t="s">
        <v>36</v>
      </c>
      <c r="AF265" s="57" t="s">
        <v>42</v>
      </c>
      <c r="AG265" s="57" t="s">
        <v>42</v>
      </c>
      <c r="AH265" s="57" t="s">
        <v>42</v>
      </c>
      <c r="AI265" s="116" t="str">
        <f t="shared" si="6"/>
        <v>----</v>
      </c>
      <c r="AJ265" s="119" t="str">
        <f t="shared" si="7"/>
        <v>Paper has link but no statement</v>
      </c>
      <c r="AK265" s="120" t="s">
        <v>3401</v>
      </c>
      <c r="AL265" s="121" t="s">
        <v>3402</v>
      </c>
      <c r="AM265" s="60" t="str">
        <f t="shared" si="8"/>
        <v>[FP0614]</v>
      </c>
    </row>
    <row r="266" ht="67.5" customHeight="1">
      <c r="A266" s="61">
        <v>615.0</v>
      </c>
      <c r="B266" s="22" t="s">
        <v>4053</v>
      </c>
      <c r="C266" s="23">
        <v>2017.0</v>
      </c>
      <c r="D266" s="100" t="s">
        <v>35</v>
      </c>
      <c r="E266" s="25" t="s">
        <v>36</v>
      </c>
      <c r="F266" s="25" t="s">
        <v>36</v>
      </c>
      <c r="G266" s="25" t="s">
        <v>36</v>
      </c>
      <c r="H266" s="25" t="s">
        <v>36</v>
      </c>
      <c r="I266" s="25" t="s">
        <v>36</v>
      </c>
      <c r="J266" s="101" t="s">
        <v>36</v>
      </c>
      <c r="K266" s="102" t="s">
        <v>37</v>
      </c>
      <c r="L266" s="103" t="s">
        <v>35</v>
      </c>
      <c r="M266" s="103" t="s">
        <v>37</v>
      </c>
      <c r="N266" s="103" t="s">
        <v>35</v>
      </c>
      <c r="O266" s="103" t="s">
        <v>35</v>
      </c>
      <c r="P266" s="103" t="s">
        <v>35</v>
      </c>
      <c r="Q266" s="103" t="s">
        <v>35</v>
      </c>
      <c r="R266" s="103" t="s">
        <v>37</v>
      </c>
      <c r="S266" s="104" t="s">
        <v>4054</v>
      </c>
      <c r="T266" s="76" t="s">
        <v>4055</v>
      </c>
      <c r="U266" s="76" t="s">
        <v>4055</v>
      </c>
      <c r="V266" s="105">
        <f t="shared" si="2"/>
        <v>1</v>
      </c>
      <c r="W266" s="105">
        <f t="shared" ref="W266:X266" si="271">IF(lenb(SUBSTITUTE($Z266,W$1&amp;" (1)",""))&lt;lenb($Z266),1,IF(lenb(SUBSTITUTE($Z266,W$1&amp;" (2)",""))&lt;lenb($Z266),2,IF(lenb(SUBSTITUTE($Z266,W$1&amp;" (3)",""))&lt;lenb($Z266),3,IF(lenb(SUBSTITUTE($Z266,W$1&amp;" (4)",""))&lt;lenb($Z266),4,IF(lenb(SUBSTITUTE($Z266,W$1&amp;" (5)",""))&lt;lenb($Z266),5,IF(lenb(SUBSTITUTE($Z266,W$1&amp;" (6)",""))&lt;lenb($Z266),6,IF(lenb(SUBSTITUTE($Z266,W$1&amp;" (7)",""))&lt;lenb($Z266),1,IF(lenb(SUBSTITUTE($Z266,W$1&amp;" (8)",""))&lt;lenb($Z266),8,IF(lenb(SUBSTITUTE($Z266,W$1&amp;" (9)",""))&lt;lenb($Z266),9,IF(lenb(SUBSTITUTE($Z266,W$1&amp;" (10)",""))&lt;lenb($Z266),10,IF(lenb(SUBSTITUTE($Z266,W$1,""))&lt;lenb($Z266),"ERROR",IF($Z266=$Y$1,"-",0))))))))))))</f>
        <v>0</v>
      </c>
      <c r="X266" s="105">
        <f t="shared" si="271"/>
        <v>0</v>
      </c>
      <c r="Y266" s="105" t="str">
        <f t="shared" si="4"/>
        <v>-</v>
      </c>
      <c r="Z266" s="104" t="s">
        <v>3400</v>
      </c>
      <c r="AA266" s="34">
        <f t="shared" si="5"/>
        <v>1</v>
      </c>
      <c r="AB266" s="34">
        <f>COUNTIFS(Links!B:B,"FSE",Links!C:C,A266,Links!AD:AD,1)</f>
        <v>1</v>
      </c>
      <c r="AC266" s="106" t="s">
        <v>35</v>
      </c>
      <c r="AD266" s="107" t="s">
        <v>35</v>
      </c>
      <c r="AE266" s="104" t="s">
        <v>36</v>
      </c>
      <c r="AF266" s="37" t="s">
        <v>42</v>
      </c>
      <c r="AG266" s="37" t="s">
        <v>42</v>
      </c>
      <c r="AH266" s="37" t="s">
        <v>42</v>
      </c>
      <c r="AI266" s="105" t="str">
        <f t="shared" si="6"/>
        <v>----</v>
      </c>
      <c r="AJ266" s="108" t="str">
        <f t="shared" si="7"/>
        <v>Paper has link but no statement</v>
      </c>
      <c r="AK266" s="109" t="s">
        <v>3401</v>
      </c>
      <c r="AL266" s="110" t="s">
        <v>3402</v>
      </c>
      <c r="AM266" s="40" t="str">
        <f t="shared" si="8"/>
        <v>[FP0615]</v>
      </c>
    </row>
    <row r="267" ht="67.5" customHeight="1">
      <c r="A267" s="41">
        <v>616.0</v>
      </c>
      <c r="B267" s="42" t="s">
        <v>4056</v>
      </c>
      <c r="C267" s="43">
        <v>2017.0</v>
      </c>
      <c r="D267" s="111" t="s">
        <v>35</v>
      </c>
      <c r="E267" s="45" t="s">
        <v>36</v>
      </c>
      <c r="F267" s="45" t="s">
        <v>36</v>
      </c>
      <c r="G267" s="45" t="s">
        <v>36</v>
      </c>
      <c r="H267" s="45" t="s">
        <v>36</v>
      </c>
      <c r="I267" s="45" t="s">
        <v>36</v>
      </c>
      <c r="J267" s="112" t="s">
        <v>36</v>
      </c>
      <c r="K267" s="113" t="s">
        <v>37</v>
      </c>
      <c r="L267" s="114" t="s">
        <v>35</v>
      </c>
      <c r="M267" s="114" t="s">
        <v>37</v>
      </c>
      <c r="N267" s="114" t="s">
        <v>37</v>
      </c>
      <c r="O267" s="114" t="s">
        <v>35</v>
      </c>
      <c r="P267" s="114" t="s">
        <v>35</v>
      </c>
      <c r="Q267" s="114" t="s">
        <v>35</v>
      </c>
      <c r="R267" s="114" t="s">
        <v>37</v>
      </c>
      <c r="S267" s="115" t="s">
        <v>4057</v>
      </c>
      <c r="T267" s="50" t="s">
        <v>4058</v>
      </c>
      <c r="U267" s="50" t="s">
        <v>4059</v>
      </c>
      <c r="V267" s="116">
        <f t="shared" si="2"/>
        <v>1</v>
      </c>
      <c r="W267" s="116">
        <f t="shared" ref="W267:X267" si="272">IF(lenb(SUBSTITUTE($Z267,W$1&amp;" (1)",""))&lt;lenb($Z267),1,IF(lenb(SUBSTITUTE($Z267,W$1&amp;" (2)",""))&lt;lenb($Z267),2,IF(lenb(SUBSTITUTE($Z267,W$1&amp;" (3)",""))&lt;lenb($Z267),3,IF(lenb(SUBSTITUTE($Z267,W$1&amp;" (4)",""))&lt;lenb($Z267),4,IF(lenb(SUBSTITUTE($Z267,W$1&amp;" (5)",""))&lt;lenb($Z267),5,IF(lenb(SUBSTITUTE($Z267,W$1&amp;" (6)",""))&lt;lenb($Z267),6,IF(lenb(SUBSTITUTE($Z267,W$1&amp;" (7)",""))&lt;lenb($Z267),1,IF(lenb(SUBSTITUTE($Z267,W$1&amp;" (8)",""))&lt;lenb($Z267),8,IF(lenb(SUBSTITUTE($Z267,W$1&amp;" (9)",""))&lt;lenb($Z267),9,IF(lenb(SUBSTITUTE($Z267,W$1&amp;" (10)",""))&lt;lenb($Z267),10,IF(lenb(SUBSTITUTE($Z267,W$1,""))&lt;lenb($Z267),"ERROR",IF($Z267=$Y$1,"-",0))))))))))))</f>
        <v>0</v>
      </c>
      <c r="X267" s="116">
        <f t="shared" si="272"/>
        <v>0</v>
      </c>
      <c r="Y267" s="116" t="str">
        <f t="shared" si="4"/>
        <v>-</v>
      </c>
      <c r="Z267" s="115" t="s">
        <v>3400</v>
      </c>
      <c r="AA267" s="54">
        <f t="shared" si="5"/>
        <v>1</v>
      </c>
      <c r="AB267" s="54">
        <f>COUNTIFS(Links!B:B,"FSE",Links!C:C,A267,Links!AD:AD,1)</f>
        <v>1</v>
      </c>
      <c r="AC267" s="117" t="s">
        <v>35</v>
      </c>
      <c r="AD267" s="118" t="s">
        <v>35</v>
      </c>
      <c r="AE267" s="115" t="s">
        <v>36</v>
      </c>
      <c r="AF267" s="57" t="s">
        <v>42</v>
      </c>
      <c r="AG267" s="57" t="s">
        <v>42</v>
      </c>
      <c r="AH267" s="57" t="s">
        <v>42</v>
      </c>
      <c r="AI267" s="116" t="str">
        <f t="shared" si="6"/>
        <v>----</v>
      </c>
      <c r="AJ267" s="119" t="str">
        <f t="shared" si="7"/>
        <v>Paper has link but no statement</v>
      </c>
      <c r="AK267" s="120" t="s">
        <v>3401</v>
      </c>
      <c r="AL267" s="121" t="s">
        <v>3402</v>
      </c>
      <c r="AM267" s="60" t="str">
        <f t="shared" si="8"/>
        <v>[FP0616]</v>
      </c>
    </row>
    <row r="268" ht="67.5" customHeight="1">
      <c r="A268" s="61">
        <v>617.0</v>
      </c>
      <c r="B268" s="22" t="s">
        <v>4060</v>
      </c>
      <c r="C268" s="23">
        <v>2017.0</v>
      </c>
      <c r="D268" s="100" t="s">
        <v>35</v>
      </c>
      <c r="E268" s="25" t="s">
        <v>36</v>
      </c>
      <c r="F268" s="25" t="s">
        <v>36</v>
      </c>
      <c r="G268" s="25" t="s">
        <v>36</v>
      </c>
      <c r="H268" s="25" t="s">
        <v>36</v>
      </c>
      <c r="I268" s="25" t="s">
        <v>36</v>
      </c>
      <c r="J268" s="101" t="s">
        <v>36</v>
      </c>
      <c r="K268" s="102" t="s">
        <v>35</v>
      </c>
      <c r="L268" s="103" t="s">
        <v>36</v>
      </c>
      <c r="M268" s="103" t="s">
        <v>36</v>
      </c>
      <c r="N268" s="103" t="s">
        <v>36</v>
      </c>
      <c r="O268" s="103" t="s">
        <v>36</v>
      </c>
      <c r="P268" s="103" t="s">
        <v>36</v>
      </c>
      <c r="Q268" s="103" t="s">
        <v>36</v>
      </c>
      <c r="R268" s="103" t="s">
        <v>36</v>
      </c>
      <c r="S268" s="104" t="s">
        <v>42</v>
      </c>
      <c r="T268" s="30" t="s">
        <v>36</v>
      </c>
      <c r="U268" s="30" t="s">
        <v>36</v>
      </c>
      <c r="V268" s="105" t="str">
        <f t="shared" si="2"/>
        <v>-</v>
      </c>
      <c r="W268" s="105" t="str">
        <f t="shared" ref="W268:X268" si="273">IF(lenb(SUBSTITUTE($Z268,W$1&amp;" (1)",""))&lt;lenb($Z268),1,IF(lenb(SUBSTITUTE($Z268,W$1&amp;" (2)",""))&lt;lenb($Z268),2,IF(lenb(SUBSTITUTE($Z268,W$1&amp;" (3)",""))&lt;lenb($Z268),3,IF(lenb(SUBSTITUTE($Z268,W$1&amp;" (4)",""))&lt;lenb($Z268),4,IF(lenb(SUBSTITUTE($Z268,W$1&amp;" (5)",""))&lt;lenb($Z268),5,IF(lenb(SUBSTITUTE($Z268,W$1&amp;" (6)",""))&lt;lenb($Z268),6,IF(lenb(SUBSTITUTE($Z268,W$1&amp;" (7)",""))&lt;lenb($Z268),1,IF(lenb(SUBSTITUTE($Z268,W$1&amp;" (8)",""))&lt;lenb($Z268),8,IF(lenb(SUBSTITUTE($Z268,W$1&amp;" (9)",""))&lt;lenb($Z268),9,IF(lenb(SUBSTITUTE($Z268,W$1&amp;" (10)",""))&lt;lenb($Z268),10,IF(lenb(SUBSTITUTE($Z268,W$1,""))&lt;lenb($Z268),"ERROR",IF($Z268=$Y$1,"-",0))))))))))))</f>
        <v>-</v>
      </c>
      <c r="X268" s="105" t="str">
        <f t="shared" si="273"/>
        <v>-</v>
      </c>
      <c r="Y268" s="105">
        <f t="shared" si="4"/>
        <v>1</v>
      </c>
      <c r="Z268" s="104" t="s">
        <v>23</v>
      </c>
      <c r="AA268" s="34">
        <f t="shared" si="5"/>
        <v>0</v>
      </c>
      <c r="AB268" s="34">
        <f>COUNTIFS(Links!B:B,"FSE",Links!C:C,A268,Links!AD:AD,1)</f>
        <v>0</v>
      </c>
      <c r="AC268" s="106" t="s">
        <v>36</v>
      </c>
      <c r="AD268" s="107" t="s">
        <v>35</v>
      </c>
      <c r="AE268" s="104" t="s">
        <v>36</v>
      </c>
      <c r="AF268" s="37" t="s">
        <v>42</v>
      </c>
      <c r="AG268" s="37" t="s">
        <v>42</v>
      </c>
      <c r="AH268" s="37" t="s">
        <v>42</v>
      </c>
      <c r="AI268" s="105" t="str">
        <f t="shared" si="6"/>
        <v>----</v>
      </c>
      <c r="AJ268" s="108" t="str">
        <f t="shared" si="7"/>
        <v>Paper has no link and no statement</v>
      </c>
      <c r="AK268" s="109" t="s">
        <v>3401</v>
      </c>
      <c r="AL268" s="110" t="s">
        <v>3402</v>
      </c>
      <c r="AM268" s="40" t="str">
        <f t="shared" si="8"/>
        <v>[FP0617]</v>
      </c>
    </row>
    <row r="269" ht="67.5" customHeight="1">
      <c r="A269" s="41">
        <v>618.0</v>
      </c>
      <c r="B269" s="42" t="s">
        <v>4061</v>
      </c>
      <c r="C269" s="43">
        <v>2017.0</v>
      </c>
      <c r="D269" s="111" t="s">
        <v>35</v>
      </c>
      <c r="E269" s="45" t="s">
        <v>36</v>
      </c>
      <c r="F269" s="45" t="s">
        <v>36</v>
      </c>
      <c r="G269" s="45" t="s">
        <v>36</v>
      </c>
      <c r="H269" s="45" t="s">
        <v>36</v>
      </c>
      <c r="I269" s="45" t="s">
        <v>36</v>
      </c>
      <c r="J269" s="112" t="s">
        <v>36</v>
      </c>
      <c r="K269" s="113" t="s">
        <v>37</v>
      </c>
      <c r="L269" s="114" t="s">
        <v>35</v>
      </c>
      <c r="M269" s="114" t="s">
        <v>35</v>
      </c>
      <c r="N269" s="114" t="s">
        <v>37</v>
      </c>
      <c r="O269" s="114" t="s">
        <v>35</v>
      </c>
      <c r="P269" s="114" t="s">
        <v>35</v>
      </c>
      <c r="Q269" s="114" t="s">
        <v>35</v>
      </c>
      <c r="R269" s="114" t="s">
        <v>37</v>
      </c>
      <c r="S269" s="115" t="s">
        <v>4062</v>
      </c>
      <c r="T269" s="50" t="s">
        <v>4063</v>
      </c>
      <c r="U269" s="50" t="s">
        <v>4063</v>
      </c>
      <c r="V269" s="116">
        <f t="shared" si="2"/>
        <v>0</v>
      </c>
      <c r="W269" s="116">
        <f t="shared" ref="W269:X269" si="274">IF(lenb(SUBSTITUTE($Z269,W$1&amp;" (1)",""))&lt;lenb($Z269),1,IF(lenb(SUBSTITUTE($Z269,W$1&amp;" (2)",""))&lt;lenb($Z269),2,IF(lenb(SUBSTITUTE($Z269,W$1&amp;" (3)",""))&lt;lenb($Z269),3,IF(lenb(SUBSTITUTE($Z269,W$1&amp;" (4)",""))&lt;lenb($Z269),4,IF(lenb(SUBSTITUTE($Z269,W$1&amp;" (5)",""))&lt;lenb($Z269),5,IF(lenb(SUBSTITUTE($Z269,W$1&amp;" (6)",""))&lt;lenb($Z269),6,IF(lenb(SUBSTITUTE($Z269,W$1&amp;" (7)",""))&lt;lenb($Z269),1,IF(lenb(SUBSTITUTE($Z269,W$1&amp;" (8)",""))&lt;lenb($Z269),8,IF(lenb(SUBSTITUTE($Z269,W$1&amp;" (9)",""))&lt;lenb($Z269),9,IF(lenb(SUBSTITUTE($Z269,W$1&amp;" (10)",""))&lt;lenb($Z269),10,IF(lenb(SUBSTITUTE($Z269,W$1,""))&lt;lenb($Z269),"ERROR",IF($Z269=$Y$1,"-",0))))))))))))</f>
        <v>1</v>
      </c>
      <c r="X269" s="116">
        <f t="shared" si="274"/>
        <v>0</v>
      </c>
      <c r="Y269" s="116" t="str">
        <f t="shared" si="4"/>
        <v>-</v>
      </c>
      <c r="Z269" s="115" t="s">
        <v>3423</v>
      </c>
      <c r="AA269" s="54">
        <f t="shared" si="5"/>
        <v>1</v>
      </c>
      <c r="AB269" s="54">
        <f>COUNTIFS(Links!B:B,"FSE",Links!C:C,A269,Links!AD:AD,1)</f>
        <v>0</v>
      </c>
      <c r="AC269" s="117" t="s">
        <v>35</v>
      </c>
      <c r="AD269" s="118" t="s">
        <v>35</v>
      </c>
      <c r="AE269" s="115" t="s">
        <v>36</v>
      </c>
      <c r="AF269" s="57" t="s">
        <v>42</v>
      </c>
      <c r="AG269" s="57" t="s">
        <v>42</v>
      </c>
      <c r="AH269" s="57" t="s">
        <v>42</v>
      </c>
      <c r="AI269" s="116" t="str">
        <f t="shared" si="6"/>
        <v>----</v>
      </c>
      <c r="AJ269" s="119" t="str">
        <f t="shared" si="7"/>
        <v>Paper has link but no statement</v>
      </c>
      <c r="AK269" s="120" t="s">
        <v>3401</v>
      </c>
      <c r="AL269" s="121" t="s">
        <v>3402</v>
      </c>
      <c r="AM269" s="60" t="str">
        <f t="shared" si="8"/>
        <v>[FP0618]</v>
      </c>
    </row>
    <row r="270" ht="67.5" customHeight="1">
      <c r="A270" s="61">
        <v>619.0</v>
      </c>
      <c r="B270" s="22" t="s">
        <v>4064</v>
      </c>
      <c r="C270" s="23">
        <v>2017.0</v>
      </c>
      <c r="D270" s="100" t="s">
        <v>35</v>
      </c>
      <c r="E270" s="25" t="s">
        <v>36</v>
      </c>
      <c r="F270" s="25" t="s">
        <v>36</v>
      </c>
      <c r="G270" s="25" t="s">
        <v>36</v>
      </c>
      <c r="H270" s="25" t="s">
        <v>36</v>
      </c>
      <c r="I270" s="25" t="s">
        <v>36</v>
      </c>
      <c r="J270" s="101" t="s">
        <v>36</v>
      </c>
      <c r="K270" s="102" t="s">
        <v>35</v>
      </c>
      <c r="L270" s="103" t="s">
        <v>36</v>
      </c>
      <c r="M270" s="103" t="s">
        <v>36</v>
      </c>
      <c r="N270" s="103" t="s">
        <v>36</v>
      </c>
      <c r="O270" s="103" t="s">
        <v>36</v>
      </c>
      <c r="P270" s="103" t="s">
        <v>36</v>
      </c>
      <c r="Q270" s="103" t="s">
        <v>36</v>
      </c>
      <c r="R270" s="103" t="s">
        <v>36</v>
      </c>
      <c r="S270" s="104" t="s">
        <v>36</v>
      </c>
      <c r="T270" s="30" t="s">
        <v>36</v>
      </c>
      <c r="U270" s="30" t="s">
        <v>36</v>
      </c>
      <c r="V270" s="105" t="str">
        <f t="shared" si="2"/>
        <v>-</v>
      </c>
      <c r="W270" s="105" t="str">
        <f t="shared" ref="W270:X270" si="275">IF(lenb(SUBSTITUTE($Z270,W$1&amp;" (1)",""))&lt;lenb($Z270),1,IF(lenb(SUBSTITUTE($Z270,W$1&amp;" (2)",""))&lt;lenb($Z270),2,IF(lenb(SUBSTITUTE($Z270,W$1&amp;" (3)",""))&lt;lenb($Z270),3,IF(lenb(SUBSTITUTE($Z270,W$1&amp;" (4)",""))&lt;lenb($Z270),4,IF(lenb(SUBSTITUTE($Z270,W$1&amp;" (5)",""))&lt;lenb($Z270),5,IF(lenb(SUBSTITUTE($Z270,W$1&amp;" (6)",""))&lt;lenb($Z270),6,IF(lenb(SUBSTITUTE($Z270,W$1&amp;" (7)",""))&lt;lenb($Z270),1,IF(lenb(SUBSTITUTE($Z270,W$1&amp;" (8)",""))&lt;lenb($Z270),8,IF(lenb(SUBSTITUTE($Z270,W$1&amp;" (9)",""))&lt;lenb($Z270),9,IF(lenb(SUBSTITUTE($Z270,W$1&amp;" (10)",""))&lt;lenb($Z270),10,IF(lenb(SUBSTITUTE($Z270,W$1,""))&lt;lenb($Z270),"ERROR",IF($Z270=$Y$1,"-",0))))))))))))</f>
        <v>-</v>
      </c>
      <c r="X270" s="105" t="str">
        <f t="shared" si="275"/>
        <v>-</v>
      </c>
      <c r="Y270" s="105">
        <f t="shared" si="4"/>
        <v>1</v>
      </c>
      <c r="Z270" s="104" t="s">
        <v>23</v>
      </c>
      <c r="AA270" s="34">
        <f t="shared" si="5"/>
        <v>0</v>
      </c>
      <c r="AB270" s="34">
        <f>COUNTIFS(Links!B:B,"FSE",Links!C:C,A270,Links!AD:AD,1)</f>
        <v>0</v>
      </c>
      <c r="AC270" s="106" t="s">
        <v>36</v>
      </c>
      <c r="AD270" s="107" t="s">
        <v>35</v>
      </c>
      <c r="AE270" s="104" t="s">
        <v>36</v>
      </c>
      <c r="AF270" s="37" t="s">
        <v>42</v>
      </c>
      <c r="AG270" s="37" t="s">
        <v>42</v>
      </c>
      <c r="AH270" s="37" t="s">
        <v>42</v>
      </c>
      <c r="AI270" s="105" t="str">
        <f t="shared" si="6"/>
        <v>----</v>
      </c>
      <c r="AJ270" s="108" t="str">
        <f t="shared" si="7"/>
        <v>Paper has no link and no statement</v>
      </c>
      <c r="AK270" s="109" t="s">
        <v>3401</v>
      </c>
      <c r="AL270" s="110" t="s">
        <v>3402</v>
      </c>
      <c r="AM270" s="40" t="str">
        <f t="shared" si="8"/>
        <v>[FP0619]</v>
      </c>
    </row>
    <row r="271" ht="67.5" customHeight="1">
      <c r="A271" s="41">
        <v>620.0</v>
      </c>
      <c r="B271" s="42" t="s">
        <v>4065</v>
      </c>
      <c r="C271" s="43">
        <v>2017.0</v>
      </c>
      <c r="D271" s="111" t="s">
        <v>35</v>
      </c>
      <c r="E271" s="45" t="s">
        <v>36</v>
      </c>
      <c r="F271" s="45" t="s">
        <v>36</v>
      </c>
      <c r="G271" s="45" t="s">
        <v>36</v>
      </c>
      <c r="H271" s="45" t="s">
        <v>36</v>
      </c>
      <c r="I271" s="45" t="s">
        <v>36</v>
      </c>
      <c r="J271" s="112" t="s">
        <v>36</v>
      </c>
      <c r="K271" s="113" t="s">
        <v>37</v>
      </c>
      <c r="L271" s="114" t="s">
        <v>35</v>
      </c>
      <c r="M271" s="114" t="s">
        <v>37</v>
      </c>
      <c r="N271" s="114" t="s">
        <v>37</v>
      </c>
      <c r="O271" s="114" t="s">
        <v>37</v>
      </c>
      <c r="P271" s="114" t="s">
        <v>35</v>
      </c>
      <c r="Q271" s="114" t="s">
        <v>35</v>
      </c>
      <c r="R271" s="114" t="s">
        <v>35</v>
      </c>
      <c r="S271" s="115" t="s">
        <v>4066</v>
      </c>
      <c r="T271" s="50" t="s">
        <v>4067</v>
      </c>
      <c r="U271" s="50" t="s">
        <v>4067</v>
      </c>
      <c r="V271" s="116">
        <f t="shared" si="2"/>
        <v>0</v>
      </c>
      <c r="W271" s="116">
        <f t="shared" ref="W271:X271" si="276">IF(lenb(SUBSTITUTE($Z271,W$1&amp;" (1)",""))&lt;lenb($Z271),1,IF(lenb(SUBSTITUTE($Z271,W$1&amp;" (2)",""))&lt;lenb($Z271),2,IF(lenb(SUBSTITUTE($Z271,W$1&amp;" (3)",""))&lt;lenb($Z271),3,IF(lenb(SUBSTITUTE($Z271,W$1&amp;" (4)",""))&lt;lenb($Z271),4,IF(lenb(SUBSTITUTE($Z271,W$1&amp;" (5)",""))&lt;lenb($Z271),5,IF(lenb(SUBSTITUTE($Z271,W$1&amp;" (6)",""))&lt;lenb($Z271),6,IF(lenb(SUBSTITUTE($Z271,W$1&amp;" (7)",""))&lt;lenb($Z271),1,IF(lenb(SUBSTITUTE($Z271,W$1&amp;" (8)",""))&lt;lenb($Z271),8,IF(lenb(SUBSTITUTE($Z271,W$1&amp;" (9)",""))&lt;lenb($Z271),9,IF(lenb(SUBSTITUTE($Z271,W$1&amp;" (10)",""))&lt;lenb($Z271),10,IF(lenb(SUBSTITUTE($Z271,W$1,""))&lt;lenb($Z271),"ERROR",IF($Z271=$Y$1,"-",0))))))))))))</f>
        <v>1</v>
      </c>
      <c r="X271" s="116">
        <f t="shared" si="276"/>
        <v>0</v>
      </c>
      <c r="Y271" s="116" t="str">
        <f t="shared" si="4"/>
        <v>-</v>
      </c>
      <c r="Z271" s="115" t="s">
        <v>3423</v>
      </c>
      <c r="AA271" s="54">
        <f t="shared" si="5"/>
        <v>1</v>
      </c>
      <c r="AB271" s="54">
        <f>COUNTIFS(Links!B:B,"FSE",Links!C:C,A271,Links!AD:AD,1)</f>
        <v>1</v>
      </c>
      <c r="AC271" s="117" t="s">
        <v>35</v>
      </c>
      <c r="AD271" s="118" t="s">
        <v>35</v>
      </c>
      <c r="AE271" s="115" t="s">
        <v>36</v>
      </c>
      <c r="AF271" s="57" t="s">
        <v>42</v>
      </c>
      <c r="AG271" s="57" t="s">
        <v>42</v>
      </c>
      <c r="AH271" s="57" t="s">
        <v>42</v>
      </c>
      <c r="AI271" s="116" t="str">
        <f t="shared" si="6"/>
        <v>----</v>
      </c>
      <c r="AJ271" s="119" t="str">
        <f t="shared" si="7"/>
        <v>Paper has link but no statement</v>
      </c>
      <c r="AK271" s="120" t="s">
        <v>3401</v>
      </c>
      <c r="AL271" s="121" t="s">
        <v>3402</v>
      </c>
      <c r="AM271" s="60" t="str">
        <f t="shared" si="8"/>
        <v>[FP0620]</v>
      </c>
    </row>
    <row r="272" ht="67.5" customHeight="1">
      <c r="A272" s="61">
        <v>621.0</v>
      </c>
      <c r="B272" s="22" t="s">
        <v>4068</v>
      </c>
      <c r="C272" s="23">
        <v>2017.0</v>
      </c>
      <c r="D272" s="100" t="s">
        <v>35</v>
      </c>
      <c r="E272" s="25" t="s">
        <v>36</v>
      </c>
      <c r="F272" s="25" t="s">
        <v>36</v>
      </c>
      <c r="G272" s="25" t="s">
        <v>36</v>
      </c>
      <c r="H272" s="25" t="s">
        <v>36</v>
      </c>
      <c r="I272" s="25" t="s">
        <v>36</v>
      </c>
      <c r="J272" s="101" t="s">
        <v>36</v>
      </c>
      <c r="K272" s="102" t="s">
        <v>35</v>
      </c>
      <c r="L272" s="103" t="s">
        <v>36</v>
      </c>
      <c r="M272" s="103" t="s">
        <v>36</v>
      </c>
      <c r="N272" s="103" t="s">
        <v>36</v>
      </c>
      <c r="O272" s="103" t="s">
        <v>36</v>
      </c>
      <c r="P272" s="103" t="s">
        <v>36</v>
      </c>
      <c r="Q272" s="103" t="s">
        <v>36</v>
      </c>
      <c r="R272" s="103" t="s">
        <v>36</v>
      </c>
      <c r="S272" s="104" t="s">
        <v>42</v>
      </c>
      <c r="T272" s="30" t="s">
        <v>36</v>
      </c>
      <c r="U272" s="30" t="s">
        <v>36</v>
      </c>
      <c r="V272" s="105" t="str">
        <f t="shared" si="2"/>
        <v>-</v>
      </c>
      <c r="W272" s="105" t="str">
        <f t="shared" ref="W272:X272" si="277">IF(lenb(SUBSTITUTE($Z272,W$1&amp;" (1)",""))&lt;lenb($Z272),1,IF(lenb(SUBSTITUTE($Z272,W$1&amp;" (2)",""))&lt;lenb($Z272),2,IF(lenb(SUBSTITUTE($Z272,W$1&amp;" (3)",""))&lt;lenb($Z272),3,IF(lenb(SUBSTITUTE($Z272,W$1&amp;" (4)",""))&lt;lenb($Z272),4,IF(lenb(SUBSTITUTE($Z272,W$1&amp;" (5)",""))&lt;lenb($Z272),5,IF(lenb(SUBSTITUTE($Z272,W$1&amp;" (6)",""))&lt;lenb($Z272),6,IF(lenb(SUBSTITUTE($Z272,W$1&amp;" (7)",""))&lt;lenb($Z272),1,IF(lenb(SUBSTITUTE($Z272,W$1&amp;" (8)",""))&lt;lenb($Z272),8,IF(lenb(SUBSTITUTE($Z272,W$1&amp;" (9)",""))&lt;lenb($Z272),9,IF(lenb(SUBSTITUTE($Z272,W$1&amp;" (10)",""))&lt;lenb($Z272),10,IF(lenb(SUBSTITUTE($Z272,W$1,""))&lt;lenb($Z272),"ERROR",IF($Z272=$Y$1,"-",0))))))))))))</f>
        <v>-</v>
      </c>
      <c r="X272" s="105" t="str">
        <f t="shared" si="277"/>
        <v>-</v>
      </c>
      <c r="Y272" s="105">
        <f t="shared" si="4"/>
        <v>1</v>
      </c>
      <c r="Z272" s="104" t="s">
        <v>23</v>
      </c>
      <c r="AA272" s="34">
        <f t="shared" si="5"/>
        <v>0</v>
      </c>
      <c r="AB272" s="34">
        <f>COUNTIFS(Links!B:B,"FSE",Links!C:C,A272,Links!AD:AD,1)</f>
        <v>0</v>
      </c>
      <c r="AC272" s="106" t="s">
        <v>36</v>
      </c>
      <c r="AD272" s="107" t="s">
        <v>35</v>
      </c>
      <c r="AE272" s="104" t="s">
        <v>36</v>
      </c>
      <c r="AF272" s="37" t="s">
        <v>42</v>
      </c>
      <c r="AG272" s="37" t="s">
        <v>42</v>
      </c>
      <c r="AH272" s="37" t="s">
        <v>42</v>
      </c>
      <c r="AI272" s="105" t="str">
        <f t="shared" si="6"/>
        <v>----</v>
      </c>
      <c r="AJ272" s="108" t="str">
        <f t="shared" si="7"/>
        <v>Paper has no link and no statement</v>
      </c>
      <c r="AK272" s="109" t="s">
        <v>3401</v>
      </c>
      <c r="AL272" s="110" t="s">
        <v>3402</v>
      </c>
      <c r="AM272" s="40" t="str">
        <f t="shared" si="8"/>
        <v>[FP0621]</v>
      </c>
    </row>
    <row r="273" ht="67.5" customHeight="1">
      <c r="A273" s="41">
        <v>622.0</v>
      </c>
      <c r="B273" s="42" t="s">
        <v>4069</v>
      </c>
      <c r="C273" s="43">
        <v>2017.0</v>
      </c>
      <c r="D273" s="111" t="s">
        <v>37</v>
      </c>
      <c r="E273" s="45" t="s">
        <v>35</v>
      </c>
      <c r="F273" s="45" t="s">
        <v>37</v>
      </c>
      <c r="G273" s="45" t="s">
        <v>35</v>
      </c>
      <c r="H273" s="45" t="s">
        <v>35</v>
      </c>
      <c r="I273" s="45" t="s">
        <v>35</v>
      </c>
      <c r="J273" s="112" t="s">
        <v>36</v>
      </c>
      <c r="K273" s="113" t="s">
        <v>37</v>
      </c>
      <c r="L273" s="114" t="s">
        <v>35</v>
      </c>
      <c r="M273" s="114" t="s">
        <v>35</v>
      </c>
      <c r="N273" s="114" t="s">
        <v>37</v>
      </c>
      <c r="O273" s="114" t="s">
        <v>35</v>
      </c>
      <c r="P273" s="114" t="s">
        <v>35</v>
      </c>
      <c r="Q273" s="114" t="s">
        <v>37</v>
      </c>
      <c r="R273" s="114" t="s">
        <v>35</v>
      </c>
      <c r="S273" s="115" t="s">
        <v>4070</v>
      </c>
      <c r="T273" s="50" t="s">
        <v>4071</v>
      </c>
      <c r="U273" s="50" t="s">
        <v>4071</v>
      </c>
      <c r="V273" s="116">
        <f t="shared" si="2"/>
        <v>1</v>
      </c>
      <c r="W273" s="116">
        <f t="shared" ref="W273:X273" si="278">IF(lenb(SUBSTITUTE($Z273,W$1&amp;" (1)",""))&lt;lenb($Z273),1,IF(lenb(SUBSTITUTE($Z273,W$1&amp;" (2)",""))&lt;lenb($Z273),2,IF(lenb(SUBSTITUTE($Z273,W$1&amp;" (3)",""))&lt;lenb($Z273),3,IF(lenb(SUBSTITUTE($Z273,W$1&amp;" (4)",""))&lt;lenb($Z273),4,IF(lenb(SUBSTITUTE($Z273,W$1&amp;" (5)",""))&lt;lenb($Z273),5,IF(lenb(SUBSTITUTE($Z273,W$1&amp;" (6)",""))&lt;lenb($Z273),6,IF(lenb(SUBSTITUTE($Z273,W$1&amp;" (7)",""))&lt;lenb($Z273),1,IF(lenb(SUBSTITUTE($Z273,W$1&amp;" (8)",""))&lt;lenb($Z273),8,IF(lenb(SUBSTITUTE($Z273,W$1&amp;" (9)",""))&lt;lenb($Z273),9,IF(lenb(SUBSTITUTE($Z273,W$1&amp;" (10)",""))&lt;lenb($Z273),10,IF(lenb(SUBSTITUTE($Z273,W$1,""))&lt;lenb($Z273),"ERROR",IF($Z273=$Y$1,"-",0))))))))))))</f>
        <v>0</v>
      </c>
      <c r="X273" s="116">
        <f t="shared" si="278"/>
        <v>0</v>
      </c>
      <c r="Y273" s="116" t="str">
        <f t="shared" si="4"/>
        <v>-</v>
      </c>
      <c r="Z273" s="115" t="s">
        <v>3400</v>
      </c>
      <c r="AA273" s="54">
        <f t="shared" si="5"/>
        <v>1</v>
      </c>
      <c r="AB273" s="54">
        <f>COUNTIFS(Links!B:B,"FSE",Links!C:C,A273,Links!AD:AD,1)</f>
        <v>1</v>
      </c>
      <c r="AC273" s="117" t="s">
        <v>35</v>
      </c>
      <c r="AD273" s="118" t="s">
        <v>35</v>
      </c>
      <c r="AE273" s="115" t="s">
        <v>36</v>
      </c>
      <c r="AF273" s="57" t="s">
        <v>42</v>
      </c>
      <c r="AG273" s="57" t="s">
        <v>42</v>
      </c>
      <c r="AH273" s="57" t="s">
        <v>42</v>
      </c>
      <c r="AI273" s="116" t="str">
        <f t="shared" si="6"/>
        <v>----</v>
      </c>
      <c r="AJ273" s="119" t="str">
        <f t="shared" si="7"/>
        <v>Paper has link but no statement</v>
      </c>
      <c r="AK273" s="120" t="s">
        <v>3401</v>
      </c>
      <c r="AL273" s="121" t="s">
        <v>3402</v>
      </c>
      <c r="AM273" s="60" t="str">
        <f t="shared" si="8"/>
        <v>[FP0622]</v>
      </c>
    </row>
    <row r="274" ht="67.5" customHeight="1">
      <c r="A274" s="61">
        <v>623.0</v>
      </c>
      <c r="B274" s="22" t="s">
        <v>4072</v>
      </c>
      <c r="C274" s="23">
        <v>2017.0</v>
      </c>
      <c r="D274" s="100" t="s">
        <v>37</v>
      </c>
      <c r="E274" s="25" t="s">
        <v>35</v>
      </c>
      <c r="F274" s="25" t="s">
        <v>37</v>
      </c>
      <c r="G274" s="25" t="s">
        <v>35</v>
      </c>
      <c r="H274" s="25" t="s">
        <v>35</v>
      </c>
      <c r="I274" s="25" t="s">
        <v>35</v>
      </c>
      <c r="J274" s="101" t="s">
        <v>36</v>
      </c>
      <c r="K274" s="102" t="s">
        <v>37</v>
      </c>
      <c r="L274" s="103" t="s">
        <v>35</v>
      </c>
      <c r="M274" s="103" t="s">
        <v>35</v>
      </c>
      <c r="N274" s="103" t="s">
        <v>37</v>
      </c>
      <c r="O274" s="103" t="s">
        <v>35</v>
      </c>
      <c r="P274" s="103" t="s">
        <v>35</v>
      </c>
      <c r="Q274" s="103" t="s">
        <v>37</v>
      </c>
      <c r="R274" s="103" t="s">
        <v>35</v>
      </c>
      <c r="S274" s="104" t="s">
        <v>4073</v>
      </c>
      <c r="T274" s="30" t="s">
        <v>4074</v>
      </c>
      <c r="U274" s="30" t="s">
        <v>4074</v>
      </c>
      <c r="V274" s="105">
        <f t="shared" si="2"/>
        <v>1</v>
      </c>
      <c r="W274" s="105">
        <f t="shared" ref="W274:X274" si="279">IF(lenb(SUBSTITUTE($Z274,W$1&amp;" (1)",""))&lt;lenb($Z274),1,IF(lenb(SUBSTITUTE($Z274,W$1&amp;" (2)",""))&lt;lenb($Z274),2,IF(lenb(SUBSTITUTE($Z274,W$1&amp;" (3)",""))&lt;lenb($Z274),3,IF(lenb(SUBSTITUTE($Z274,W$1&amp;" (4)",""))&lt;lenb($Z274),4,IF(lenb(SUBSTITUTE($Z274,W$1&amp;" (5)",""))&lt;lenb($Z274),5,IF(lenb(SUBSTITUTE($Z274,W$1&amp;" (6)",""))&lt;lenb($Z274),6,IF(lenb(SUBSTITUTE($Z274,W$1&amp;" (7)",""))&lt;lenb($Z274),1,IF(lenb(SUBSTITUTE($Z274,W$1&amp;" (8)",""))&lt;lenb($Z274),8,IF(lenb(SUBSTITUTE($Z274,W$1&amp;" (9)",""))&lt;lenb($Z274),9,IF(lenb(SUBSTITUTE($Z274,W$1&amp;" (10)",""))&lt;lenb($Z274),10,IF(lenb(SUBSTITUTE($Z274,W$1,""))&lt;lenb($Z274),"ERROR",IF($Z274=$Y$1,"-",0))))))))))))</f>
        <v>0</v>
      </c>
      <c r="X274" s="105">
        <f t="shared" si="279"/>
        <v>0</v>
      </c>
      <c r="Y274" s="105" t="str">
        <f t="shared" si="4"/>
        <v>-</v>
      </c>
      <c r="Z274" s="104" t="s">
        <v>3400</v>
      </c>
      <c r="AA274" s="34">
        <f t="shared" si="5"/>
        <v>1</v>
      </c>
      <c r="AB274" s="34">
        <f>COUNTIFS(Links!B:B,"FSE",Links!C:C,A274,Links!AD:AD,1)</f>
        <v>0</v>
      </c>
      <c r="AC274" s="106" t="s">
        <v>35</v>
      </c>
      <c r="AD274" s="107" t="s">
        <v>35</v>
      </c>
      <c r="AE274" s="104" t="s">
        <v>36</v>
      </c>
      <c r="AF274" s="37" t="s">
        <v>42</v>
      </c>
      <c r="AG274" s="37" t="s">
        <v>42</v>
      </c>
      <c r="AH274" s="37" t="s">
        <v>42</v>
      </c>
      <c r="AI274" s="105" t="str">
        <f t="shared" si="6"/>
        <v>----</v>
      </c>
      <c r="AJ274" s="108" t="str">
        <f t="shared" si="7"/>
        <v>Paper has link but no statement</v>
      </c>
      <c r="AK274" s="109" t="s">
        <v>3401</v>
      </c>
      <c r="AL274" s="110" t="s">
        <v>3402</v>
      </c>
      <c r="AM274" s="40" t="str">
        <f t="shared" si="8"/>
        <v>[FP0623]</v>
      </c>
    </row>
    <row r="275" ht="67.5" customHeight="1">
      <c r="A275" s="41">
        <v>624.0</v>
      </c>
      <c r="B275" s="42" t="s">
        <v>4075</v>
      </c>
      <c r="C275" s="43">
        <v>2017.0</v>
      </c>
      <c r="D275" s="111" t="s">
        <v>35</v>
      </c>
      <c r="E275" s="45" t="s">
        <v>36</v>
      </c>
      <c r="F275" s="45" t="s">
        <v>36</v>
      </c>
      <c r="G275" s="45" t="s">
        <v>36</v>
      </c>
      <c r="H275" s="45" t="s">
        <v>36</v>
      </c>
      <c r="I275" s="45" t="s">
        <v>36</v>
      </c>
      <c r="J275" s="112" t="s">
        <v>36</v>
      </c>
      <c r="K275" s="113" t="s">
        <v>35</v>
      </c>
      <c r="L275" s="114" t="s">
        <v>36</v>
      </c>
      <c r="M275" s="114" t="s">
        <v>36</v>
      </c>
      <c r="N275" s="114" t="s">
        <v>36</v>
      </c>
      <c r="O275" s="114" t="s">
        <v>36</v>
      </c>
      <c r="P275" s="114" t="s">
        <v>36</v>
      </c>
      <c r="Q275" s="114" t="s">
        <v>36</v>
      </c>
      <c r="R275" s="114" t="s">
        <v>36</v>
      </c>
      <c r="S275" s="115" t="s">
        <v>42</v>
      </c>
      <c r="T275" s="50" t="s">
        <v>36</v>
      </c>
      <c r="U275" s="50" t="s">
        <v>36</v>
      </c>
      <c r="V275" s="116" t="str">
        <f t="shared" si="2"/>
        <v>-</v>
      </c>
      <c r="W275" s="116" t="str">
        <f t="shared" ref="W275:X275" si="280">IF(lenb(SUBSTITUTE($Z275,W$1&amp;" (1)",""))&lt;lenb($Z275),1,IF(lenb(SUBSTITUTE($Z275,W$1&amp;" (2)",""))&lt;lenb($Z275),2,IF(lenb(SUBSTITUTE($Z275,W$1&amp;" (3)",""))&lt;lenb($Z275),3,IF(lenb(SUBSTITUTE($Z275,W$1&amp;" (4)",""))&lt;lenb($Z275),4,IF(lenb(SUBSTITUTE($Z275,W$1&amp;" (5)",""))&lt;lenb($Z275),5,IF(lenb(SUBSTITUTE($Z275,W$1&amp;" (6)",""))&lt;lenb($Z275),6,IF(lenb(SUBSTITUTE($Z275,W$1&amp;" (7)",""))&lt;lenb($Z275),1,IF(lenb(SUBSTITUTE($Z275,W$1&amp;" (8)",""))&lt;lenb($Z275),8,IF(lenb(SUBSTITUTE($Z275,W$1&amp;" (9)",""))&lt;lenb($Z275),9,IF(lenb(SUBSTITUTE($Z275,W$1&amp;" (10)",""))&lt;lenb($Z275),10,IF(lenb(SUBSTITUTE($Z275,W$1,""))&lt;lenb($Z275),"ERROR",IF($Z275=$Y$1,"-",0))))))))))))</f>
        <v>-</v>
      </c>
      <c r="X275" s="116" t="str">
        <f t="shared" si="280"/>
        <v>-</v>
      </c>
      <c r="Y275" s="116">
        <f t="shared" si="4"/>
        <v>1</v>
      </c>
      <c r="Z275" s="115" t="s">
        <v>23</v>
      </c>
      <c r="AA275" s="54">
        <f t="shared" si="5"/>
        <v>0</v>
      </c>
      <c r="AB275" s="54">
        <f>COUNTIFS(Links!B:B,"FSE",Links!C:C,A275,Links!AD:AD,1)</f>
        <v>0</v>
      </c>
      <c r="AC275" s="117" t="s">
        <v>36</v>
      </c>
      <c r="AD275" s="118" t="s">
        <v>35</v>
      </c>
      <c r="AE275" s="115" t="s">
        <v>36</v>
      </c>
      <c r="AF275" s="57" t="s">
        <v>42</v>
      </c>
      <c r="AG275" s="57" t="s">
        <v>42</v>
      </c>
      <c r="AH275" s="57" t="s">
        <v>42</v>
      </c>
      <c r="AI275" s="116" t="str">
        <f t="shared" si="6"/>
        <v>----</v>
      </c>
      <c r="AJ275" s="119" t="str">
        <f t="shared" si="7"/>
        <v>Paper has no link and no statement</v>
      </c>
      <c r="AK275" s="120" t="s">
        <v>3401</v>
      </c>
      <c r="AL275" s="121" t="s">
        <v>3402</v>
      </c>
      <c r="AM275" s="60" t="str">
        <f t="shared" si="8"/>
        <v>[FP0624]</v>
      </c>
    </row>
    <row r="276" ht="67.5" customHeight="1">
      <c r="A276" s="61">
        <v>625.0</v>
      </c>
      <c r="B276" s="22" t="s">
        <v>4076</v>
      </c>
      <c r="C276" s="23">
        <v>2017.0</v>
      </c>
      <c r="D276" s="100" t="s">
        <v>35</v>
      </c>
      <c r="E276" s="25" t="s">
        <v>36</v>
      </c>
      <c r="F276" s="25" t="s">
        <v>36</v>
      </c>
      <c r="G276" s="25" t="s">
        <v>36</v>
      </c>
      <c r="H276" s="25" t="s">
        <v>36</v>
      </c>
      <c r="I276" s="25" t="s">
        <v>36</v>
      </c>
      <c r="J276" s="101" t="s">
        <v>36</v>
      </c>
      <c r="K276" s="102" t="s">
        <v>37</v>
      </c>
      <c r="L276" s="103" t="s">
        <v>37</v>
      </c>
      <c r="M276" s="103" t="s">
        <v>35</v>
      </c>
      <c r="N276" s="103" t="s">
        <v>37</v>
      </c>
      <c r="O276" s="103" t="s">
        <v>35</v>
      </c>
      <c r="P276" s="103" t="s">
        <v>35</v>
      </c>
      <c r="Q276" s="103" t="s">
        <v>35</v>
      </c>
      <c r="R276" s="103" t="s">
        <v>37</v>
      </c>
      <c r="S276" s="104" t="s">
        <v>4077</v>
      </c>
      <c r="T276" s="30" t="s">
        <v>4078</v>
      </c>
      <c r="U276" s="30" t="s">
        <v>4078</v>
      </c>
      <c r="V276" s="105">
        <f t="shared" si="2"/>
        <v>1</v>
      </c>
      <c r="W276" s="105">
        <f t="shared" ref="W276:X276" si="281">IF(lenb(SUBSTITUTE($Z276,W$1&amp;" (1)",""))&lt;lenb($Z276),1,IF(lenb(SUBSTITUTE($Z276,W$1&amp;" (2)",""))&lt;lenb($Z276),2,IF(lenb(SUBSTITUTE($Z276,W$1&amp;" (3)",""))&lt;lenb($Z276),3,IF(lenb(SUBSTITUTE($Z276,W$1&amp;" (4)",""))&lt;lenb($Z276),4,IF(lenb(SUBSTITUTE($Z276,W$1&amp;" (5)",""))&lt;lenb($Z276),5,IF(lenb(SUBSTITUTE($Z276,W$1&amp;" (6)",""))&lt;lenb($Z276),6,IF(lenb(SUBSTITUTE($Z276,W$1&amp;" (7)",""))&lt;lenb($Z276),1,IF(lenb(SUBSTITUTE($Z276,W$1&amp;" (8)",""))&lt;lenb($Z276),8,IF(lenb(SUBSTITUTE($Z276,W$1&amp;" (9)",""))&lt;lenb($Z276),9,IF(lenb(SUBSTITUTE($Z276,W$1&amp;" (10)",""))&lt;lenb($Z276),10,IF(lenb(SUBSTITUTE($Z276,W$1,""))&lt;lenb($Z276),"ERROR",IF($Z276=$Y$1,"-",0))))))))))))</f>
        <v>0</v>
      </c>
      <c r="X276" s="105">
        <f t="shared" si="281"/>
        <v>0</v>
      </c>
      <c r="Y276" s="105" t="str">
        <f t="shared" si="4"/>
        <v>-</v>
      </c>
      <c r="Z276" s="104" t="s">
        <v>3400</v>
      </c>
      <c r="AA276" s="34">
        <f t="shared" si="5"/>
        <v>1</v>
      </c>
      <c r="AB276" s="34">
        <f>COUNTIFS(Links!B:B,"FSE",Links!C:C,A276,Links!AD:AD,1)</f>
        <v>0</v>
      </c>
      <c r="AC276" s="106" t="s">
        <v>35</v>
      </c>
      <c r="AD276" s="107" t="s">
        <v>35</v>
      </c>
      <c r="AE276" s="104" t="s">
        <v>36</v>
      </c>
      <c r="AF276" s="37" t="s">
        <v>42</v>
      </c>
      <c r="AG276" s="37" t="s">
        <v>42</v>
      </c>
      <c r="AH276" s="37" t="s">
        <v>42</v>
      </c>
      <c r="AI276" s="105" t="str">
        <f t="shared" si="6"/>
        <v>----</v>
      </c>
      <c r="AJ276" s="108" t="str">
        <f t="shared" si="7"/>
        <v>Paper has link but no statement</v>
      </c>
      <c r="AK276" s="109" t="s">
        <v>3401</v>
      </c>
      <c r="AL276" s="110" t="s">
        <v>3402</v>
      </c>
      <c r="AM276" s="40" t="str">
        <f t="shared" si="8"/>
        <v>[FP0625]</v>
      </c>
    </row>
    <row r="277" ht="67.5" customHeight="1">
      <c r="A277" s="41">
        <v>626.0</v>
      </c>
      <c r="B277" s="42" t="s">
        <v>4079</v>
      </c>
      <c r="C277" s="43">
        <v>2017.0</v>
      </c>
      <c r="D277" s="111" t="s">
        <v>35</v>
      </c>
      <c r="E277" s="45" t="s">
        <v>36</v>
      </c>
      <c r="F277" s="45" t="s">
        <v>36</v>
      </c>
      <c r="G277" s="45" t="s">
        <v>36</v>
      </c>
      <c r="H277" s="45" t="s">
        <v>36</v>
      </c>
      <c r="I277" s="45" t="s">
        <v>36</v>
      </c>
      <c r="J277" s="112" t="s">
        <v>36</v>
      </c>
      <c r="K277" s="113" t="s">
        <v>35</v>
      </c>
      <c r="L277" s="114" t="s">
        <v>36</v>
      </c>
      <c r="M277" s="114" t="s">
        <v>36</v>
      </c>
      <c r="N277" s="114" t="s">
        <v>36</v>
      </c>
      <c r="O277" s="114" t="s">
        <v>36</v>
      </c>
      <c r="P277" s="114" t="s">
        <v>36</v>
      </c>
      <c r="Q277" s="114" t="s">
        <v>36</v>
      </c>
      <c r="R277" s="114" t="s">
        <v>36</v>
      </c>
      <c r="S277" s="115" t="s">
        <v>42</v>
      </c>
      <c r="T277" s="50" t="s">
        <v>36</v>
      </c>
      <c r="U277" s="50" t="s">
        <v>36</v>
      </c>
      <c r="V277" s="116" t="str">
        <f t="shared" si="2"/>
        <v>-</v>
      </c>
      <c r="W277" s="116" t="str">
        <f t="shared" ref="W277:X277" si="282">IF(lenb(SUBSTITUTE($Z277,W$1&amp;" (1)",""))&lt;lenb($Z277),1,IF(lenb(SUBSTITUTE($Z277,W$1&amp;" (2)",""))&lt;lenb($Z277),2,IF(lenb(SUBSTITUTE($Z277,W$1&amp;" (3)",""))&lt;lenb($Z277),3,IF(lenb(SUBSTITUTE($Z277,W$1&amp;" (4)",""))&lt;lenb($Z277),4,IF(lenb(SUBSTITUTE($Z277,W$1&amp;" (5)",""))&lt;lenb($Z277),5,IF(lenb(SUBSTITUTE($Z277,W$1&amp;" (6)",""))&lt;lenb($Z277),6,IF(lenb(SUBSTITUTE($Z277,W$1&amp;" (7)",""))&lt;lenb($Z277),1,IF(lenb(SUBSTITUTE($Z277,W$1&amp;" (8)",""))&lt;lenb($Z277),8,IF(lenb(SUBSTITUTE($Z277,W$1&amp;" (9)",""))&lt;lenb($Z277),9,IF(lenb(SUBSTITUTE($Z277,W$1&amp;" (10)",""))&lt;lenb($Z277),10,IF(lenb(SUBSTITUTE($Z277,W$1,""))&lt;lenb($Z277),"ERROR",IF($Z277=$Y$1,"-",0))))))))))))</f>
        <v>-</v>
      </c>
      <c r="X277" s="116" t="str">
        <f t="shared" si="282"/>
        <v>-</v>
      </c>
      <c r="Y277" s="116">
        <f t="shared" si="4"/>
        <v>1</v>
      </c>
      <c r="Z277" s="115" t="s">
        <v>23</v>
      </c>
      <c r="AA277" s="54">
        <f t="shared" si="5"/>
        <v>0</v>
      </c>
      <c r="AB277" s="54">
        <f>COUNTIFS(Links!B:B,"FSE",Links!C:C,A277,Links!AD:AD,1)</f>
        <v>0</v>
      </c>
      <c r="AC277" s="117" t="s">
        <v>36</v>
      </c>
      <c r="AD277" s="118" t="s">
        <v>35</v>
      </c>
      <c r="AE277" s="115" t="s">
        <v>36</v>
      </c>
      <c r="AF277" s="57" t="s">
        <v>42</v>
      </c>
      <c r="AG277" s="57" t="s">
        <v>42</v>
      </c>
      <c r="AH277" s="57" t="s">
        <v>42</v>
      </c>
      <c r="AI277" s="116" t="str">
        <f t="shared" si="6"/>
        <v>----</v>
      </c>
      <c r="AJ277" s="119" t="str">
        <f t="shared" si="7"/>
        <v>Paper has no link and no statement</v>
      </c>
      <c r="AK277" s="120" t="s">
        <v>3401</v>
      </c>
      <c r="AL277" s="121" t="s">
        <v>3402</v>
      </c>
      <c r="AM277" s="60" t="str">
        <f t="shared" si="8"/>
        <v>[FP0626]</v>
      </c>
    </row>
    <row r="278" ht="67.5" customHeight="1">
      <c r="A278" s="61">
        <v>627.0</v>
      </c>
      <c r="B278" s="22" t="s">
        <v>4080</v>
      </c>
      <c r="C278" s="23">
        <v>2017.0</v>
      </c>
      <c r="D278" s="100" t="s">
        <v>35</v>
      </c>
      <c r="E278" s="25" t="s">
        <v>36</v>
      </c>
      <c r="F278" s="25" t="s">
        <v>36</v>
      </c>
      <c r="G278" s="25" t="s">
        <v>36</v>
      </c>
      <c r="H278" s="25" t="s">
        <v>36</v>
      </c>
      <c r="I278" s="25" t="s">
        <v>36</v>
      </c>
      <c r="J278" s="101" t="s">
        <v>36</v>
      </c>
      <c r="K278" s="102" t="s">
        <v>37</v>
      </c>
      <c r="L278" s="103" t="s">
        <v>35</v>
      </c>
      <c r="M278" s="103" t="s">
        <v>37</v>
      </c>
      <c r="N278" s="103" t="s">
        <v>35</v>
      </c>
      <c r="O278" s="103" t="s">
        <v>35</v>
      </c>
      <c r="P278" s="103" t="s">
        <v>35</v>
      </c>
      <c r="Q278" s="103" t="s">
        <v>35</v>
      </c>
      <c r="R278" s="103" t="s">
        <v>37</v>
      </c>
      <c r="S278" s="104" t="s">
        <v>4081</v>
      </c>
      <c r="T278" s="30" t="s">
        <v>4082</v>
      </c>
      <c r="U278" s="30" t="s">
        <v>4082</v>
      </c>
      <c r="V278" s="105">
        <f t="shared" si="2"/>
        <v>1</v>
      </c>
      <c r="W278" s="105">
        <f t="shared" ref="W278:X278" si="283">IF(lenb(SUBSTITUTE($Z278,W$1&amp;" (1)",""))&lt;lenb($Z278),1,IF(lenb(SUBSTITUTE($Z278,W$1&amp;" (2)",""))&lt;lenb($Z278),2,IF(lenb(SUBSTITUTE($Z278,W$1&amp;" (3)",""))&lt;lenb($Z278),3,IF(lenb(SUBSTITUTE($Z278,W$1&amp;" (4)",""))&lt;lenb($Z278),4,IF(lenb(SUBSTITUTE($Z278,W$1&amp;" (5)",""))&lt;lenb($Z278),5,IF(lenb(SUBSTITUTE($Z278,W$1&amp;" (6)",""))&lt;lenb($Z278),6,IF(lenb(SUBSTITUTE($Z278,W$1&amp;" (7)",""))&lt;lenb($Z278),1,IF(lenb(SUBSTITUTE($Z278,W$1&amp;" (8)",""))&lt;lenb($Z278),8,IF(lenb(SUBSTITUTE($Z278,W$1&amp;" (9)",""))&lt;lenb($Z278),9,IF(lenb(SUBSTITUTE($Z278,W$1&amp;" (10)",""))&lt;lenb($Z278),10,IF(lenb(SUBSTITUTE($Z278,W$1,""))&lt;lenb($Z278),"ERROR",IF($Z278=$Y$1,"-",0))))))))))))</f>
        <v>0</v>
      </c>
      <c r="X278" s="105">
        <f t="shared" si="283"/>
        <v>0</v>
      </c>
      <c r="Y278" s="105" t="str">
        <f t="shared" si="4"/>
        <v>-</v>
      </c>
      <c r="Z278" s="104" t="s">
        <v>3400</v>
      </c>
      <c r="AA278" s="34">
        <f t="shared" si="5"/>
        <v>1</v>
      </c>
      <c r="AB278" s="34">
        <f>COUNTIFS(Links!B:B,"FSE",Links!C:C,A278,Links!AD:AD,1)</f>
        <v>0</v>
      </c>
      <c r="AC278" s="106" t="s">
        <v>35</v>
      </c>
      <c r="AD278" s="107" t="s">
        <v>35</v>
      </c>
      <c r="AE278" s="104" t="s">
        <v>36</v>
      </c>
      <c r="AF278" s="37" t="s">
        <v>42</v>
      </c>
      <c r="AG278" s="37" t="s">
        <v>42</v>
      </c>
      <c r="AH278" s="37" t="s">
        <v>42</v>
      </c>
      <c r="AI278" s="105" t="str">
        <f t="shared" si="6"/>
        <v>----</v>
      </c>
      <c r="AJ278" s="108" t="str">
        <f t="shared" si="7"/>
        <v>Paper has link but no statement</v>
      </c>
      <c r="AK278" s="109" t="s">
        <v>3401</v>
      </c>
      <c r="AL278" s="110" t="s">
        <v>3402</v>
      </c>
      <c r="AM278" s="40" t="str">
        <f t="shared" si="8"/>
        <v>[FP0627]</v>
      </c>
    </row>
    <row r="279" ht="67.5" customHeight="1">
      <c r="A279" s="41">
        <v>628.0</v>
      </c>
      <c r="B279" s="42" t="s">
        <v>4083</v>
      </c>
      <c r="C279" s="43">
        <v>2017.0</v>
      </c>
      <c r="D279" s="111" t="s">
        <v>35</v>
      </c>
      <c r="E279" s="45" t="s">
        <v>36</v>
      </c>
      <c r="F279" s="45" t="s">
        <v>36</v>
      </c>
      <c r="G279" s="45" t="s">
        <v>36</v>
      </c>
      <c r="H279" s="45" t="s">
        <v>36</v>
      </c>
      <c r="I279" s="45" t="s">
        <v>36</v>
      </c>
      <c r="J279" s="112" t="s">
        <v>36</v>
      </c>
      <c r="K279" s="113" t="s">
        <v>37</v>
      </c>
      <c r="L279" s="114" t="s">
        <v>35</v>
      </c>
      <c r="M279" s="114" t="s">
        <v>35</v>
      </c>
      <c r="N279" s="114" t="s">
        <v>35</v>
      </c>
      <c r="O279" s="114" t="s">
        <v>37</v>
      </c>
      <c r="P279" s="114" t="s">
        <v>35</v>
      </c>
      <c r="Q279" s="114" t="s">
        <v>35</v>
      </c>
      <c r="R279" s="114" t="s">
        <v>37</v>
      </c>
      <c r="S279" s="115" t="s">
        <v>4084</v>
      </c>
      <c r="T279" s="50" t="s">
        <v>4085</v>
      </c>
      <c r="U279" s="50" t="s">
        <v>4085</v>
      </c>
      <c r="V279" s="116">
        <f t="shared" si="2"/>
        <v>1</v>
      </c>
      <c r="W279" s="116">
        <f t="shared" ref="W279:X279" si="284">IF(lenb(SUBSTITUTE($Z279,W$1&amp;" (1)",""))&lt;lenb($Z279),1,IF(lenb(SUBSTITUTE($Z279,W$1&amp;" (2)",""))&lt;lenb($Z279),2,IF(lenb(SUBSTITUTE($Z279,W$1&amp;" (3)",""))&lt;lenb($Z279),3,IF(lenb(SUBSTITUTE($Z279,W$1&amp;" (4)",""))&lt;lenb($Z279),4,IF(lenb(SUBSTITUTE($Z279,W$1&amp;" (5)",""))&lt;lenb($Z279),5,IF(lenb(SUBSTITUTE($Z279,W$1&amp;" (6)",""))&lt;lenb($Z279),6,IF(lenb(SUBSTITUTE($Z279,W$1&amp;" (7)",""))&lt;lenb($Z279),1,IF(lenb(SUBSTITUTE($Z279,W$1&amp;" (8)",""))&lt;lenb($Z279),8,IF(lenb(SUBSTITUTE($Z279,W$1&amp;" (9)",""))&lt;lenb($Z279),9,IF(lenb(SUBSTITUTE($Z279,W$1&amp;" (10)",""))&lt;lenb($Z279),10,IF(lenb(SUBSTITUTE($Z279,W$1,""))&lt;lenb($Z279),"ERROR",IF($Z279=$Y$1,"-",0))))))))))))</f>
        <v>0</v>
      </c>
      <c r="X279" s="116">
        <f t="shared" si="284"/>
        <v>0</v>
      </c>
      <c r="Y279" s="116" t="str">
        <f t="shared" si="4"/>
        <v>-</v>
      </c>
      <c r="Z279" s="115" t="s">
        <v>3400</v>
      </c>
      <c r="AA279" s="54">
        <f t="shared" si="5"/>
        <v>1</v>
      </c>
      <c r="AB279" s="54">
        <f>COUNTIFS(Links!B:B,"FSE",Links!C:C,A279,Links!AD:AD,1)</f>
        <v>0</v>
      </c>
      <c r="AC279" s="117" t="s">
        <v>35</v>
      </c>
      <c r="AD279" s="118" t="s">
        <v>35</v>
      </c>
      <c r="AE279" s="115" t="s">
        <v>36</v>
      </c>
      <c r="AF279" s="57" t="s">
        <v>42</v>
      </c>
      <c r="AG279" s="57" t="s">
        <v>42</v>
      </c>
      <c r="AH279" s="57" t="s">
        <v>42</v>
      </c>
      <c r="AI279" s="116" t="str">
        <f t="shared" si="6"/>
        <v>----</v>
      </c>
      <c r="AJ279" s="119" t="str">
        <f t="shared" si="7"/>
        <v>Paper has link but no statement</v>
      </c>
      <c r="AK279" s="120" t="s">
        <v>3401</v>
      </c>
      <c r="AL279" s="121" t="s">
        <v>3402</v>
      </c>
      <c r="AM279" s="60" t="str">
        <f t="shared" si="8"/>
        <v>[FP0628]</v>
      </c>
    </row>
    <row r="280" ht="67.5" customHeight="1">
      <c r="A280" s="61">
        <v>629.0</v>
      </c>
      <c r="B280" s="22" t="s">
        <v>4086</v>
      </c>
      <c r="C280" s="23">
        <v>2017.0</v>
      </c>
      <c r="D280" s="100" t="s">
        <v>35</v>
      </c>
      <c r="E280" s="25" t="s">
        <v>36</v>
      </c>
      <c r="F280" s="25" t="s">
        <v>36</v>
      </c>
      <c r="G280" s="25" t="s">
        <v>36</v>
      </c>
      <c r="H280" s="25" t="s">
        <v>36</v>
      </c>
      <c r="I280" s="25" t="s">
        <v>36</v>
      </c>
      <c r="J280" s="101" t="s">
        <v>36</v>
      </c>
      <c r="K280" s="102" t="s">
        <v>35</v>
      </c>
      <c r="L280" s="103" t="s">
        <v>36</v>
      </c>
      <c r="M280" s="103" t="s">
        <v>36</v>
      </c>
      <c r="N280" s="103" t="s">
        <v>36</v>
      </c>
      <c r="O280" s="103" t="s">
        <v>36</v>
      </c>
      <c r="P280" s="103" t="s">
        <v>36</v>
      </c>
      <c r="Q280" s="103" t="s">
        <v>36</v>
      </c>
      <c r="R280" s="103" t="s">
        <v>36</v>
      </c>
      <c r="S280" s="104" t="s">
        <v>42</v>
      </c>
      <c r="T280" s="30" t="s">
        <v>36</v>
      </c>
      <c r="U280" s="30" t="s">
        <v>36</v>
      </c>
      <c r="V280" s="105" t="str">
        <f t="shared" si="2"/>
        <v>-</v>
      </c>
      <c r="W280" s="105" t="str">
        <f t="shared" ref="W280:X280" si="285">IF(lenb(SUBSTITUTE($Z280,W$1&amp;" (1)",""))&lt;lenb($Z280),1,IF(lenb(SUBSTITUTE($Z280,W$1&amp;" (2)",""))&lt;lenb($Z280),2,IF(lenb(SUBSTITUTE($Z280,W$1&amp;" (3)",""))&lt;lenb($Z280),3,IF(lenb(SUBSTITUTE($Z280,W$1&amp;" (4)",""))&lt;lenb($Z280),4,IF(lenb(SUBSTITUTE($Z280,W$1&amp;" (5)",""))&lt;lenb($Z280),5,IF(lenb(SUBSTITUTE($Z280,W$1&amp;" (6)",""))&lt;lenb($Z280),6,IF(lenb(SUBSTITUTE($Z280,W$1&amp;" (7)",""))&lt;lenb($Z280),1,IF(lenb(SUBSTITUTE($Z280,W$1&amp;" (8)",""))&lt;lenb($Z280),8,IF(lenb(SUBSTITUTE($Z280,W$1&amp;" (9)",""))&lt;lenb($Z280),9,IF(lenb(SUBSTITUTE($Z280,W$1&amp;" (10)",""))&lt;lenb($Z280),10,IF(lenb(SUBSTITUTE($Z280,W$1,""))&lt;lenb($Z280),"ERROR",IF($Z280=$Y$1,"-",0))))))))))))</f>
        <v>-</v>
      </c>
      <c r="X280" s="105" t="str">
        <f t="shared" si="285"/>
        <v>-</v>
      </c>
      <c r="Y280" s="105">
        <f t="shared" si="4"/>
        <v>1</v>
      </c>
      <c r="Z280" s="104" t="s">
        <v>23</v>
      </c>
      <c r="AA280" s="34">
        <f t="shared" si="5"/>
        <v>0</v>
      </c>
      <c r="AB280" s="34">
        <f>COUNTIFS(Links!B:B,"FSE",Links!C:C,A280,Links!AD:AD,1)</f>
        <v>0</v>
      </c>
      <c r="AC280" s="106" t="s">
        <v>36</v>
      </c>
      <c r="AD280" s="107" t="s">
        <v>35</v>
      </c>
      <c r="AE280" s="104" t="s">
        <v>36</v>
      </c>
      <c r="AF280" s="37" t="s">
        <v>42</v>
      </c>
      <c r="AG280" s="37" t="s">
        <v>42</v>
      </c>
      <c r="AH280" s="37" t="s">
        <v>42</v>
      </c>
      <c r="AI280" s="105" t="str">
        <f t="shared" si="6"/>
        <v>----</v>
      </c>
      <c r="AJ280" s="108" t="str">
        <f t="shared" si="7"/>
        <v>Paper has no link and no statement</v>
      </c>
      <c r="AK280" s="109" t="s">
        <v>3401</v>
      </c>
      <c r="AL280" s="110" t="s">
        <v>3402</v>
      </c>
      <c r="AM280" s="40" t="str">
        <f t="shared" si="8"/>
        <v>[FP0629]</v>
      </c>
    </row>
    <row r="281" ht="67.5" customHeight="1">
      <c r="A281" s="41">
        <v>630.0</v>
      </c>
      <c r="B281" s="42" t="s">
        <v>4087</v>
      </c>
      <c r="C281" s="43">
        <v>2017.0</v>
      </c>
      <c r="D281" s="111" t="s">
        <v>35</v>
      </c>
      <c r="E281" s="45" t="s">
        <v>36</v>
      </c>
      <c r="F281" s="45" t="s">
        <v>36</v>
      </c>
      <c r="G281" s="45" t="s">
        <v>36</v>
      </c>
      <c r="H281" s="45" t="s">
        <v>36</v>
      </c>
      <c r="I281" s="45" t="s">
        <v>36</v>
      </c>
      <c r="J281" s="112" t="s">
        <v>36</v>
      </c>
      <c r="K281" s="113" t="s">
        <v>37</v>
      </c>
      <c r="L281" s="114" t="s">
        <v>37</v>
      </c>
      <c r="M281" s="114" t="s">
        <v>35</v>
      </c>
      <c r="N281" s="114" t="s">
        <v>35</v>
      </c>
      <c r="O281" s="114" t="s">
        <v>35</v>
      </c>
      <c r="P281" s="114" t="s">
        <v>35</v>
      </c>
      <c r="Q281" s="114" t="s">
        <v>37</v>
      </c>
      <c r="R281" s="114" t="s">
        <v>35</v>
      </c>
      <c r="S281" s="115" t="s">
        <v>4088</v>
      </c>
      <c r="T281" s="50" t="s">
        <v>4089</v>
      </c>
      <c r="U281" s="50" t="s">
        <v>4089</v>
      </c>
      <c r="V281" s="116">
        <f t="shared" si="2"/>
        <v>1</v>
      </c>
      <c r="W281" s="116">
        <f t="shared" ref="W281:X281" si="286">IF(lenb(SUBSTITUTE($Z281,W$1&amp;" (1)",""))&lt;lenb($Z281),1,IF(lenb(SUBSTITUTE($Z281,W$1&amp;" (2)",""))&lt;lenb($Z281),2,IF(lenb(SUBSTITUTE($Z281,W$1&amp;" (3)",""))&lt;lenb($Z281),3,IF(lenb(SUBSTITUTE($Z281,W$1&amp;" (4)",""))&lt;lenb($Z281),4,IF(lenb(SUBSTITUTE($Z281,W$1&amp;" (5)",""))&lt;lenb($Z281),5,IF(lenb(SUBSTITUTE($Z281,W$1&amp;" (6)",""))&lt;lenb($Z281),6,IF(lenb(SUBSTITUTE($Z281,W$1&amp;" (7)",""))&lt;lenb($Z281),1,IF(lenb(SUBSTITUTE($Z281,W$1&amp;" (8)",""))&lt;lenb($Z281),8,IF(lenb(SUBSTITUTE($Z281,W$1&amp;" (9)",""))&lt;lenb($Z281),9,IF(lenb(SUBSTITUTE($Z281,W$1&amp;" (10)",""))&lt;lenb($Z281),10,IF(lenb(SUBSTITUTE($Z281,W$1,""))&lt;lenb($Z281),"ERROR",IF($Z281=$Y$1,"-",0))))))))))))</f>
        <v>0</v>
      </c>
      <c r="X281" s="116">
        <f t="shared" si="286"/>
        <v>0</v>
      </c>
      <c r="Y281" s="116" t="str">
        <f t="shared" si="4"/>
        <v>-</v>
      </c>
      <c r="Z281" s="115" t="s">
        <v>3400</v>
      </c>
      <c r="AA281" s="54">
        <f t="shared" si="5"/>
        <v>1</v>
      </c>
      <c r="AB281" s="54">
        <f>COUNTIFS(Links!B:B,"FSE",Links!C:C,A281,Links!AD:AD,1)</f>
        <v>0</v>
      </c>
      <c r="AC281" s="117" t="s">
        <v>35</v>
      </c>
      <c r="AD281" s="118" t="s">
        <v>35</v>
      </c>
      <c r="AE281" s="115" t="s">
        <v>36</v>
      </c>
      <c r="AF281" s="57" t="s">
        <v>42</v>
      </c>
      <c r="AG281" s="57" t="s">
        <v>42</v>
      </c>
      <c r="AH281" s="57" t="s">
        <v>42</v>
      </c>
      <c r="AI281" s="116" t="str">
        <f t="shared" si="6"/>
        <v>----</v>
      </c>
      <c r="AJ281" s="119" t="str">
        <f t="shared" si="7"/>
        <v>Paper has link but no statement</v>
      </c>
      <c r="AK281" s="120" t="s">
        <v>3401</v>
      </c>
      <c r="AL281" s="121" t="s">
        <v>3402</v>
      </c>
      <c r="AM281" s="60" t="str">
        <f t="shared" si="8"/>
        <v>[FP0630]</v>
      </c>
    </row>
    <row r="282" ht="67.5" customHeight="1">
      <c r="A282" s="61">
        <v>631.0</v>
      </c>
      <c r="B282" s="22" t="s">
        <v>4090</v>
      </c>
      <c r="C282" s="23">
        <v>2017.0</v>
      </c>
      <c r="D282" s="100" t="s">
        <v>35</v>
      </c>
      <c r="E282" s="25" t="s">
        <v>36</v>
      </c>
      <c r="F282" s="25" t="s">
        <v>36</v>
      </c>
      <c r="G282" s="25" t="s">
        <v>36</v>
      </c>
      <c r="H282" s="25" t="s">
        <v>36</v>
      </c>
      <c r="I282" s="25" t="s">
        <v>36</v>
      </c>
      <c r="J282" s="101" t="s">
        <v>36</v>
      </c>
      <c r="K282" s="102" t="s">
        <v>37</v>
      </c>
      <c r="L282" s="103" t="s">
        <v>35</v>
      </c>
      <c r="M282" s="103" t="s">
        <v>35</v>
      </c>
      <c r="N282" s="103" t="s">
        <v>37</v>
      </c>
      <c r="O282" s="103" t="s">
        <v>35</v>
      </c>
      <c r="P282" s="103" t="s">
        <v>37</v>
      </c>
      <c r="Q282" s="103" t="s">
        <v>35</v>
      </c>
      <c r="R282" s="103" t="s">
        <v>35</v>
      </c>
      <c r="S282" s="104" t="s">
        <v>944</v>
      </c>
      <c r="T282" s="30" t="s">
        <v>4091</v>
      </c>
      <c r="U282" s="30" t="s">
        <v>4091</v>
      </c>
      <c r="V282" s="105">
        <f t="shared" si="2"/>
        <v>0</v>
      </c>
      <c r="W282" s="105">
        <f t="shared" ref="W282:X282" si="287">IF(lenb(SUBSTITUTE($Z282,W$1&amp;" (1)",""))&lt;lenb($Z282),1,IF(lenb(SUBSTITUTE($Z282,W$1&amp;" (2)",""))&lt;lenb($Z282),2,IF(lenb(SUBSTITUTE($Z282,W$1&amp;" (3)",""))&lt;lenb($Z282),3,IF(lenb(SUBSTITUTE($Z282,W$1&amp;" (4)",""))&lt;lenb($Z282),4,IF(lenb(SUBSTITUTE($Z282,W$1&amp;" (5)",""))&lt;lenb($Z282),5,IF(lenb(SUBSTITUTE($Z282,W$1&amp;" (6)",""))&lt;lenb($Z282),6,IF(lenb(SUBSTITUTE($Z282,W$1&amp;" (7)",""))&lt;lenb($Z282),1,IF(lenb(SUBSTITUTE($Z282,W$1&amp;" (8)",""))&lt;lenb($Z282),8,IF(lenb(SUBSTITUTE($Z282,W$1&amp;" (9)",""))&lt;lenb($Z282),9,IF(lenb(SUBSTITUTE($Z282,W$1&amp;" (10)",""))&lt;lenb($Z282),10,IF(lenb(SUBSTITUTE($Z282,W$1,""))&lt;lenb($Z282),"ERROR",IF($Z282=$Y$1,"-",0))))))))))))</f>
        <v>1</v>
      </c>
      <c r="X282" s="105">
        <f t="shared" si="287"/>
        <v>0</v>
      </c>
      <c r="Y282" s="105" t="str">
        <f t="shared" si="4"/>
        <v>-</v>
      </c>
      <c r="Z282" s="104" t="s">
        <v>3423</v>
      </c>
      <c r="AA282" s="34">
        <f t="shared" si="5"/>
        <v>1</v>
      </c>
      <c r="AB282" s="34">
        <f>COUNTIFS(Links!B:B,"FSE",Links!C:C,A282,Links!AD:AD,1)</f>
        <v>1</v>
      </c>
      <c r="AC282" s="106" t="s">
        <v>35</v>
      </c>
      <c r="AD282" s="107" t="s">
        <v>35</v>
      </c>
      <c r="AE282" s="104" t="s">
        <v>36</v>
      </c>
      <c r="AF282" s="37" t="s">
        <v>42</v>
      </c>
      <c r="AG282" s="37" t="s">
        <v>42</v>
      </c>
      <c r="AH282" s="37" t="s">
        <v>42</v>
      </c>
      <c r="AI282" s="105" t="str">
        <f t="shared" si="6"/>
        <v>----</v>
      </c>
      <c r="AJ282" s="108" t="str">
        <f t="shared" si="7"/>
        <v>Paper has link but no statement</v>
      </c>
      <c r="AK282" s="109" t="s">
        <v>3401</v>
      </c>
      <c r="AL282" s="110" t="s">
        <v>3402</v>
      </c>
      <c r="AM282" s="40" t="str">
        <f t="shared" si="8"/>
        <v>[FP0631]</v>
      </c>
    </row>
    <row r="283" ht="67.5" customHeight="1">
      <c r="A283" s="41">
        <v>499.0</v>
      </c>
      <c r="B283" s="42" t="s">
        <v>4092</v>
      </c>
      <c r="C283" s="43">
        <v>2018.0</v>
      </c>
      <c r="D283" s="111" t="s">
        <v>35</v>
      </c>
      <c r="E283" s="45" t="s">
        <v>36</v>
      </c>
      <c r="F283" s="45" t="s">
        <v>36</v>
      </c>
      <c r="G283" s="45" t="s">
        <v>36</v>
      </c>
      <c r="H283" s="45" t="s">
        <v>36</v>
      </c>
      <c r="I283" s="45" t="s">
        <v>36</v>
      </c>
      <c r="J283" s="112" t="s">
        <v>36</v>
      </c>
      <c r="K283" s="113" t="s">
        <v>35</v>
      </c>
      <c r="L283" s="114" t="s">
        <v>36</v>
      </c>
      <c r="M283" s="114" t="s">
        <v>36</v>
      </c>
      <c r="N283" s="114" t="s">
        <v>36</v>
      </c>
      <c r="O283" s="114" t="s">
        <v>36</v>
      </c>
      <c r="P283" s="114" t="s">
        <v>36</v>
      </c>
      <c r="Q283" s="114" t="s">
        <v>36</v>
      </c>
      <c r="R283" s="114" t="s">
        <v>36</v>
      </c>
      <c r="S283" s="115" t="s">
        <v>42</v>
      </c>
      <c r="T283" s="50" t="s">
        <v>36</v>
      </c>
      <c r="U283" s="50" t="s">
        <v>36</v>
      </c>
      <c r="V283" s="116" t="str">
        <f t="shared" si="2"/>
        <v>-</v>
      </c>
      <c r="W283" s="116" t="str">
        <f t="shared" ref="W283:X283" si="288">IF(lenb(SUBSTITUTE($Z283,W$1&amp;" (1)",""))&lt;lenb($Z283),1,IF(lenb(SUBSTITUTE($Z283,W$1&amp;" (2)",""))&lt;lenb($Z283),2,IF(lenb(SUBSTITUTE($Z283,W$1&amp;" (3)",""))&lt;lenb($Z283),3,IF(lenb(SUBSTITUTE($Z283,W$1&amp;" (4)",""))&lt;lenb($Z283),4,IF(lenb(SUBSTITUTE($Z283,W$1&amp;" (5)",""))&lt;lenb($Z283),5,IF(lenb(SUBSTITUTE($Z283,W$1&amp;" (6)",""))&lt;lenb($Z283),6,IF(lenb(SUBSTITUTE($Z283,W$1&amp;" (7)",""))&lt;lenb($Z283),1,IF(lenb(SUBSTITUTE($Z283,W$1&amp;" (8)",""))&lt;lenb($Z283),8,IF(lenb(SUBSTITUTE($Z283,W$1&amp;" (9)",""))&lt;lenb($Z283),9,IF(lenb(SUBSTITUTE($Z283,W$1&amp;" (10)",""))&lt;lenb($Z283),10,IF(lenb(SUBSTITUTE($Z283,W$1,""))&lt;lenb($Z283),"ERROR",IF($Z283=$Y$1,"-",0))))))))))))</f>
        <v>-</v>
      </c>
      <c r="X283" s="116" t="str">
        <f t="shared" si="288"/>
        <v>-</v>
      </c>
      <c r="Y283" s="116">
        <f t="shared" si="4"/>
        <v>1</v>
      </c>
      <c r="Z283" s="115" t="s">
        <v>23</v>
      </c>
      <c r="AA283" s="54">
        <f t="shared" si="5"/>
        <v>0</v>
      </c>
      <c r="AB283" s="54">
        <f>COUNTIFS(Links!B:B,"FSE",Links!C:C,A283,Links!AD:AD,1)</f>
        <v>0</v>
      </c>
      <c r="AC283" s="117" t="s">
        <v>36</v>
      </c>
      <c r="AD283" s="118" t="s">
        <v>35</v>
      </c>
      <c r="AE283" s="115" t="s">
        <v>36</v>
      </c>
      <c r="AF283" s="57" t="s">
        <v>42</v>
      </c>
      <c r="AG283" s="57" t="s">
        <v>42</v>
      </c>
      <c r="AH283" s="57" t="s">
        <v>42</v>
      </c>
      <c r="AI283" s="116" t="str">
        <f t="shared" si="6"/>
        <v>----</v>
      </c>
      <c r="AJ283" s="119" t="str">
        <f t="shared" si="7"/>
        <v>Paper has no link and no statement</v>
      </c>
      <c r="AK283" s="120" t="s">
        <v>3401</v>
      </c>
      <c r="AL283" s="121" t="s">
        <v>3402</v>
      </c>
      <c r="AM283" s="60" t="str">
        <f t="shared" si="8"/>
        <v>[FP0499]</v>
      </c>
    </row>
    <row r="284" ht="67.5" customHeight="1">
      <c r="A284" s="61">
        <v>500.0</v>
      </c>
      <c r="B284" s="22" t="s">
        <v>4093</v>
      </c>
      <c r="C284" s="23">
        <v>2018.0</v>
      </c>
      <c r="D284" s="100" t="s">
        <v>35</v>
      </c>
      <c r="E284" s="25" t="s">
        <v>36</v>
      </c>
      <c r="F284" s="25" t="s">
        <v>36</v>
      </c>
      <c r="G284" s="25" t="s">
        <v>36</v>
      </c>
      <c r="H284" s="25" t="s">
        <v>36</v>
      </c>
      <c r="I284" s="25" t="s">
        <v>36</v>
      </c>
      <c r="J284" s="101" t="s">
        <v>36</v>
      </c>
      <c r="K284" s="102" t="s">
        <v>37</v>
      </c>
      <c r="L284" s="103" t="s">
        <v>37</v>
      </c>
      <c r="M284" s="103" t="s">
        <v>35</v>
      </c>
      <c r="N284" s="103" t="s">
        <v>35</v>
      </c>
      <c r="O284" s="103" t="s">
        <v>35</v>
      </c>
      <c r="P284" s="103" t="s">
        <v>35</v>
      </c>
      <c r="Q284" s="103" t="s">
        <v>35</v>
      </c>
      <c r="R284" s="103" t="s">
        <v>37</v>
      </c>
      <c r="S284" s="104" t="s">
        <v>4094</v>
      </c>
      <c r="T284" s="30" t="s">
        <v>4095</v>
      </c>
      <c r="U284" s="30" t="s">
        <v>4095</v>
      </c>
      <c r="V284" s="105">
        <f t="shared" si="2"/>
        <v>1</v>
      </c>
      <c r="W284" s="105">
        <f t="shared" ref="W284:X284" si="289">IF(lenb(SUBSTITUTE($Z284,W$1&amp;" (1)",""))&lt;lenb($Z284),1,IF(lenb(SUBSTITUTE($Z284,W$1&amp;" (2)",""))&lt;lenb($Z284),2,IF(lenb(SUBSTITUTE($Z284,W$1&amp;" (3)",""))&lt;lenb($Z284),3,IF(lenb(SUBSTITUTE($Z284,W$1&amp;" (4)",""))&lt;lenb($Z284),4,IF(lenb(SUBSTITUTE($Z284,W$1&amp;" (5)",""))&lt;lenb($Z284),5,IF(lenb(SUBSTITUTE($Z284,W$1&amp;" (6)",""))&lt;lenb($Z284),6,IF(lenb(SUBSTITUTE($Z284,W$1&amp;" (7)",""))&lt;lenb($Z284),1,IF(lenb(SUBSTITUTE($Z284,W$1&amp;" (8)",""))&lt;lenb($Z284),8,IF(lenb(SUBSTITUTE($Z284,W$1&amp;" (9)",""))&lt;lenb($Z284),9,IF(lenb(SUBSTITUTE($Z284,W$1&amp;" (10)",""))&lt;lenb($Z284),10,IF(lenb(SUBSTITUTE($Z284,W$1,""))&lt;lenb($Z284),"ERROR",IF($Z284=$Y$1,"-",0))))))))))))</f>
        <v>0</v>
      </c>
      <c r="X284" s="105">
        <f t="shared" si="289"/>
        <v>0</v>
      </c>
      <c r="Y284" s="105" t="str">
        <f t="shared" si="4"/>
        <v>-</v>
      </c>
      <c r="Z284" s="104" t="s">
        <v>3400</v>
      </c>
      <c r="AA284" s="34">
        <f t="shared" si="5"/>
        <v>1</v>
      </c>
      <c r="AB284" s="34">
        <f>COUNTIFS(Links!B:B,"FSE",Links!C:C,A284,Links!AD:AD,1)</f>
        <v>0</v>
      </c>
      <c r="AC284" s="106" t="s">
        <v>35</v>
      </c>
      <c r="AD284" s="107" t="s">
        <v>35</v>
      </c>
      <c r="AE284" s="104" t="s">
        <v>36</v>
      </c>
      <c r="AF284" s="37" t="s">
        <v>42</v>
      </c>
      <c r="AG284" s="37" t="s">
        <v>42</v>
      </c>
      <c r="AH284" s="37" t="s">
        <v>42</v>
      </c>
      <c r="AI284" s="105" t="str">
        <f t="shared" si="6"/>
        <v>----</v>
      </c>
      <c r="AJ284" s="108" t="str">
        <f t="shared" si="7"/>
        <v>Paper has link but no statement</v>
      </c>
      <c r="AK284" s="109" t="s">
        <v>3401</v>
      </c>
      <c r="AL284" s="110" t="s">
        <v>3402</v>
      </c>
      <c r="AM284" s="40" t="str">
        <f t="shared" si="8"/>
        <v>[FP0500]</v>
      </c>
    </row>
    <row r="285" ht="67.5" customHeight="1">
      <c r="A285" s="41">
        <v>501.0</v>
      </c>
      <c r="B285" s="42" t="s">
        <v>4096</v>
      </c>
      <c r="C285" s="43">
        <v>2018.0</v>
      </c>
      <c r="D285" s="111" t="s">
        <v>37</v>
      </c>
      <c r="E285" s="45" t="s">
        <v>37</v>
      </c>
      <c r="F285" s="45" t="s">
        <v>37</v>
      </c>
      <c r="G285" s="45" t="s">
        <v>37</v>
      </c>
      <c r="H285" s="45" t="s">
        <v>35</v>
      </c>
      <c r="I285" s="45" t="s">
        <v>35</v>
      </c>
      <c r="J285" s="112" t="s">
        <v>36</v>
      </c>
      <c r="K285" s="113" t="s">
        <v>37</v>
      </c>
      <c r="L285" s="114" t="s">
        <v>35</v>
      </c>
      <c r="M285" s="114" t="s">
        <v>37</v>
      </c>
      <c r="N285" s="114" t="s">
        <v>37</v>
      </c>
      <c r="O285" s="114" t="s">
        <v>35</v>
      </c>
      <c r="P285" s="114" t="s">
        <v>35</v>
      </c>
      <c r="Q285" s="114" t="s">
        <v>35</v>
      </c>
      <c r="R285" s="114" t="s">
        <v>37</v>
      </c>
      <c r="S285" s="115" t="s">
        <v>4097</v>
      </c>
      <c r="T285" s="50" t="s">
        <v>4098</v>
      </c>
      <c r="U285" s="50" t="s">
        <v>4099</v>
      </c>
      <c r="V285" s="116">
        <f t="shared" si="2"/>
        <v>2</v>
      </c>
      <c r="W285" s="116">
        <f t="shared" ref="W285:X285" si="290">IF(lenb(SUBSTITUTE($Z285,W$1&amp;" (1)",""))&lt;lenb($Z285),1,IF(lenb(SUBSTITUTE($Z285,W$1&amp;" (2)",""))&lt;lenb($Z285),2,IF(lenb(SUBSTITUTE($Z285,W$1&amp;" (3)",""))&lt;lenb($Z285),3,IF(lenb(SUBSTITUTE($Z285,W$1&amp;" (4)",""))&lt;lenb($Z285),4,IF(lenb(SUBSTITUTE($Z285,W$1&amp;" (5)",""))&lt;lenb($Z285),5,IF(lenb(SUBSTITUTE($Z285,W$1&amp;" (6)",""))&lt;lenb($Z285),6,IF(lenb(SUBSTITUTE($Z285,W$1&amp;" (7)",""))&lt;lenb($Z285),1,IF(lenb(SUBSTITUTE($Z285,W$1&amp;" (8)",""))&lt;lenb($Z285),8,IF(lenb(SUBSTITUTE($Z285,W$1&amp;" (9)",""))&lt;lenb($Z285),9,IF(lenb(SUBSTITUTE($Z285,W$1&amp;" (10)",""))&lt;lenb($Z285),10,IF(lenb(SUBSTITUTE($Z285,W$1,""))&lt;lenb($Z285),"ERROR",IF($Z285=$Y$1,"-",0))))))))))))</f>
        <v>0</v>
      </c>
      <c r="X285" s="116">
        <f t="shared" si="290"/>
        <v>0</v>
      </c>
      <c r="Y285" s="116" t="str">
        <f t="shared" si="4"/>
        <v>-</v>
      </c>
      <c r="Z285" s="115" t="s">
        <v>3452</v>
      </c>
      <c r="AA285" s="54">
        <f t="shared" si="5"/>
        <v>2</v>
      </c>
      <c r="AB285" s="54">
        <f>COUNTIFS(Links!B:B,"FSE",Links!C:C,A285,Links!AD:AD,1)</f>
        <v>0</v>
      </c>
      <c r="AC285" s="117" t="s">
        <v>37</v>
      </c>
      <c r="AD285" s="118" t="s">
        <v>35</v>
      </c>
      <c r="AE285" s="115" t="s">
        <v>36</v>
      </c>
      <c r="AF285" s="57" t="s">
        <v>42</v>
      </c>
      <c r="AG285" s="57" t="s">
        <v>42</v>
      </c>
      <c r="AH285" s="57" t="s">
        <v>42</v>
      </c>
      <c r="AI285" s="116" t="str">
        <f t="shared" si="6"/>
        <v>----</v>
      </c>
      <c r="AJ285" s="119" t="str">
        <f t="shared" si="7"/>
        <v>Paper has link but no statement</v>
      </c>
      <c r="AK285" s="120" t="s">
        <v>3401</v>
      </c>
      <c r="AL285" s="121" t="s">
        <v>3402</v>
      </c>
      <c r="AM285" s="60" t="str">
        <f t="shared" si="8"/>
        <v>[FP0501]</v>
      </c>
    </row>
    <row r="286" ht="67.5" customHeight="1">
      <c r="A286" s="61">
        <v>502.0</v>
      </c>
      <c r="B286" s="22" t="s">
        <v>4100</v>
      </c>
      <c r="C286" s="23">
        <v>2018.0</v>
      </c>
      <c r="D286" s="100" t="s">
        <v>37</v>
      </c>
      <c r="E286" s="25" t="s">
        <v>37</v>
      </c>
      <c r="F286" s="25" t="s">
        <v>37</v>
      </c>
      <c r="G286" s="25" t="s">
        <v>37</v>
      </c>
      <c r="H286" s="25" t="s">
        <v>35</v>
      </c>
      <c r="I286" s="25" t="s">
        <v>35</v>
      </c>
      <c r="J286" s="101" t="s">
        <v>36</v>
      </c>
      <c r="K286" s="102" t="s">
        <v>37</v>
      </c>
      <c r="L286" s="103" t="s">
        <v>35</v>
      </c>
      <c r="M286" s="103" t="s">
        <v>35</v>
      </c>
      <c r="N286" s="103" t="s">
        <v>35</v>
      </c>
      <c r="O286" s="103" t="s">
        <v>35</v>
      </c>
      <c r="P286" s="103" t="s">
        <v>35</v>
      </c>
      <c r="Q286" s="103" t="s">
        <v>35</v>
      </c>
      <c r="R286" s="103" t="s">
        <v>37</v>
      </c>
      <c r="S286" s="104" t="s">
        <v>4101</v>
      </c>
      <c r="T286" s="30" t="s">
        <v>4102</v>
      </c>
      <c r="U286" s="30" t="s">
        <v>4102</v>
      </c>
      <c r="V286" s="105">
        <f t="shared" si="2"/>
        <v>1</v>
      </c>
      <c r="W286" s="105">
        <f t="shared" ref="W286:X286" si="291">IF(lenb(SUBSTITUTE($Z286,W$1&amp;" (1)",""))&lt;lenb($Z286),1,IF(lenb(SUBSTITUTE($Z286,W$1&amp;" (2)",""))&lt;lenb($Z286),2,IF(lenb(SUBSTITUTE($Z286,W$1&amp;" (3)",""))&lt;lenb($Z286),3,IF(lenb(SUBSTITUTE($Z286,W$1&amp;" (4)",""))&lt;lenb($Z286),4,IF(lenb(SUBSTITUTE($Z286,W$1&amp;" (5)",""))&lt;lenb($Z286),5,IF(lenb(SUBSTITUTE($Z286,W$1&amp;" (6)",""))&lt;lenb($Z286),6,IF(lenb(SUBSTITUTE($Z286,W$1&amp;" (7)",""))&lt;lenb($Z286),1,IF(lenb(SUBSTITUTE($Z286,W$1&amp;" (8)",""))&lt;lenb($Z286),8,IF(lenb(SUBSTITUTE($Z286,W$1&amp;" (9)",""))&lt;lenb($Z286),9,IF(lenb(SUBSTITUTE($Z286,W$1&amp;" (10)",""))&lt;lenb($Z286),10,IF(lenb(SUBSTITUTE($Z286,W$1,""))&lt;lenb($Z286),"ERROR",IF($Z286=$Y$1,"-",0))))))))))))</f>
        <v>0</v>
      </c>
      <c r="X286" s="105">
        <f t="shared" si="291"/>
        <v>0</v>
      </c>
      <c r="Y286" s="105" t="str">
        <f t="shared" si="4"/>
        <v>-</v>
      </c>
      <c r="Z286" s="104" t="s">
        <v>3400</v>
      </c>
      <c r="AA286" s="34">
        <f t="shared" si="5"/>
        <v>1</v>
      </c>
      <c r="AB286" s="34">
        <f>COUNTIFS(Links!B:B,"FSE",Links!C:C,A286,Links!AD:AD,1)</f>
        <v>0</v>
      </c>
      <c r="AC286" s="106" t="s">
        <v>35</v>
      </c>
      <c r="AD286" s="107" t="s">
        <v>35</v>
      </c>
      <c r="AE286" s="104" t="s">
        <v>36</v>
      </c>
      <c r="AF286" s="37" t="s">
        <v>42</v>
      </c>
      <c r="AG286" s="37" t="s">
        <v>42</v>
      </c>
      <c r="AH286" s="37" t="s">
        <v>42</v>
      </c>
      <c r="AI286" s="105" t="str">
        <f t="shared" si="6"/>
        <v>----</v>
      </c>
      <c r="AJ286" s="108" t="str">
        <f t="shared" si="7"/>
        <v>Paper has link but no statement</v>
      </c>
      <c r="AK286" s="109" t="s">
        <v>3401</v>
      </c>
      <c r="AL286" s="110" t="s">
        <v>3402</v>
      </c>
      <c r="AM286" s="40" t="str">
        <f t="shared" si="8"/>
        <v>[FP0502]</v>
      </c>
    </row>
    <row r="287" ht="67.5" customHeight="1">
      <c r="A287" s="41">
        <v>503.0</v>
      </c>
      <c r="B287" s="42" t="s">
        <v>4103</v>
      </c>
      <c r="C287" s="43">
        <v>2018.0</v>
      </c>
      <c r="D287" s="111" t="s">
        <v>35</v>
      </c>
      <c r="E287" s="45" t="s">
        <v>36</v>
      </c>
      <c r="F287" s="45" t="s">
        <v>36</v>
      </c>
      <c r="G287" s="45" t="s">
        <v>36</v>
      </c>
      <c r="H287" s="45" t="s">
        <v>36</v>
      </c>
      <c r="I287" s="45" t="s">
        <v>36</v>
      </c>
      <c r="J287" s="112" t="s">
        <v>36</v>
      </c>
      <c r="K287" s="113" t="s">
        <v>37</v>
      </c>
      <c r="L287" s="114" t="s">
        <v>35</v>
      </c>
      <c r="M287" s="114" t="s">
        <v>37</v>
      </c>
      <c r="N287" s="114" t="s">
        <v>37</v>
      </c>
      <c r="O287" s="114" t="s">
        <v>35</v>
      </c>
      <c r="P287" s="114" t="s">
        <v>35</v>
      </c>
      <c r="Q287" s="114" t="s">
        <v>35</v>
      </c>
      <c r="R287" s="114" t="s">
        <v>37</v>
      </c>
      <c r="S287" s="115" t="s">
        <v>4104</v>
      </c>
      <c r="T287" s="50" t="s">
        <v>4105</v>
      </c>
      <c r="U287" s="50" t="s">
        <v>4105</v>
      </c>
      <c r="V287" s="116">
        <f t="shared" si="2"/>
        <v>1</v>
      </c>
      <c r="W287" s="116">
        <f t="shared" ref="W287:X287" si="292">IF(lenb(SUBSTITUTE($Z287,W$1&amp;" (1)",""))&lt;lenb($Z287),1,IF(lenb(SUBSTITUTE($Z287,W$1&amp;" (2)",""))&lt;lenb($Z287),2,IF(lenb(SUBSTITUTE($Z287,W$1&amp;" (3)",""))&lt;lenb($Z287),3,IF(lenb(SUBSTITUTE($Z287,W$1&amp;" (4)",""))&lt;lenb($Z287),4,IF(lenb(SUBSTITUTE($Z287,W$1&amp;" (5)",""))&lt;lenb($Z287),5,IF(lenb(SUBSTITUTE($Z287,W$1&amp;" (6)",""))&lt;lenb($Z287),6,IF(lenb(SUBSTITUTE($Z287,W$1&amp;" (7)",""))&lt;lenb($Z287),1,IF(lenb(SUBSTITUTE($Z287,W$1&amp;" (8)",""))&lt;lenb($Z287),8,IF(lenb(SUBSTITUTE($Z287,W$1&amp;" (9)",""))&lt;lenb($Z287),9,IF(lenb(SUBSTITUTE($Z287,W$1&amp;" (10)",""))&lt;lenb($Z287),10,IF(lenb(SUBSTITUTE($Z287,W$1,""))&lt;lenb($Z287),"ERROR",IF($Z287=$Y$1,"-",0))))))))))))</f>
        <v>0</v>
      </c>
      <c r="X287" s="116">
        <f t="shared" si="292"/>
        <v>0</v>
      </c>
      <c r="Y287" s="116" t="str">
        <f t="shared" si="4"/>
        <v>-</v>
      </c>
      <c r="Z287" s="115" t="s">
        <v>3400</v>
      </c>
      <c r="AA287" s="54">
        <f t="shared" si="5"/>
        <v>1</v>
      </c>
      <c r="AB287" s="54">
        <f>COUNTIFS(Links!B:B,"FSE",Links!C:C,A287,Links!AD:AD,1)</f>
        <v>1</v>
      </c>
      <c r="AC287" s="117" t="s">
        <v>35</v>
      </c>
      <c r="AD287" s="118" t="s">
        <v>35</v>
      </c>
      <c r="AE287" s="115" t="s">
        <v>36</v>
      </c>
      <c r="AF287" s="57" t="s">
        <v>42</v>
      </c>
      <c r="AG287" s="57" t="s">
        <v>42</v>
      </c>
      <c r="AH287" s="57" t="s">
        <v>42</v>
      </c>
      <c r="AI287" s="116" t="str">
        <f t="shared" si="6"/>
        <v>----</v>
      </c>
      <c r="AJ287" s="119" t="str">
        <f t="shared" si="7"/>
        <v>Paper has link but no statement</v>
      </c>
      <c r="AK287" s="120" t="s">
        <v>3401</v>
      </c>
      <c r="AL287" s="121" t="s">
        <v>3402</v>
      </c>
      <c r="AM287" s="60" t="str">
        <f t="shared" si="8"/>
        <v>[FP0503]</v>
      </c>
    </row>
    <row r="288" ht="67.5" customHeight="1">
      <c r="A288" s="61">
        <v>504.0</v>
      </c>
      <c r="B288" s="22" t="s">
        <v>4106</v>
      </c>
      <c r="C288" s="23">
        <v>2018.0</v>
      </c>
      <c r="D288" s="100" t="s">
        <v>35</v>
      </c>
      <c r="E288" s="25" t="s">
        <v>36</v>
      </c>
      <c r="F288" s="25" t="s">
        <v>36</v>
      </c>
      <c r="G288" s="25" t="s">
        <v>36</v>
      </c>
      <c r="H288" s="25" t="s">
        <v>36</v>
      </c>
      <c r="I288" s="25" t="s">
        <v>36</v>
      </c>
      <c r="J288" s="101" t="s">
        <v>36</v>
      </c>
      <c r="K288" s="102" t="s">
        <v>37</v>
      </c>
      <c r="L288" s="103" t="s">
        <v>37</v>
      </c>
      <c r="M288" s="103" t="s">
        <v>35</v>
      </c>
      <c r="N288" s="103" t="s">
        <v>37</v>
      </c>
      <c r="O288" s="103" t="s">
        <v>35</v>
      </c>
      <c r="P288" s="103" t="s">
        <v>35</v>
      </c>
      <c r="Q288" s="103" t="s">
        <v>35</v>
      </c>
      <c r="R288" s="103" t="s">
        <v>35</v>
      </c>
      <c r="S288" s="104" t="s">
        <v>944</v>
      </c>
      <c r="T288" s="30" t="s">
        <v>4107</v>
      </c>
      <c r="U288" s="30" t="s">
        <v>4107</v>
      </c>
      <c r="V288" s="105">
        <f t="shared" si="2"/>
        <v>1</v>
      </c>
      <c r="W288" s="105">
        <f t="shared" ref="W288:X288" si="293">IF(lenb(SUBSTITUTE($Z288,W$1&amp;" (1)",""))&lt;lenb($Z288),1,IF(lenb(SUBSTITUTE($Z288,W$1&amp;" (2)",""))&lt;lenb($Z288),2,IF(lenb(SUBSTITUTE($Z288,W$1&amp;" (3)",""))&lt;lenb($Z288),3,IF(lenb(SUBSTITUTE($Z288,W$1&amp;" (4)",""))&lt;lenb($Z288),4,IF(lenb(SUBSTITUTE($Z288,W$1&amp;" (5)",""))&lt;lenb($Z288),5,IF(lenb(SUBSTITUTE($Z288,W$1&amp;" (6)",""))&lt;lenb($Z288),6,IF(lenb(SUBSTITUTE($Z288,W$1&amp;" (7)",""))&lt;lenb($Z288),1,IF(lenb(SUBSTITUTE($Z288,W$1&amp;" (8)",""))&lt;lenb($Z288),8,IF(lenb(SUBSTITUTE($Z288,W$1&amp;" (9)",""))&lt;lenb($Z288),9,IF(lenb(SUBSTITUTE($Z288,W$1&amp;" (10)",""))&lt;lenb($Z288),10,IF(lenb(SUBSTITUTE($Z288,W$1,""))&lt;lenb($Z288),"ERROR",IF($Z288=$Y$1,"-",0))))))))))))</f>
        <v>0</v>
      </c>
      <c r="X288" s="105">
        <f t="shared" si="293"/>
        <v>0</v>
      </c>
      <c r="Y288" s="105" t="str">
        <f t="shared" si="4"/>
        <v>-</v>
      </c>
      <c r="Z288" s="104" t="s">
        <v>3400</v>
      </c>
      <c r="AA288" s="34">
        <f t="shared" si="5"/>
        <v>1</v>
      </c>
      <c r="AB288" s="34">
        <f>COUNTIFS(Links!B:B,"FSE",Links!C:C,A288,Links!AD:AD,1)</f>
        <v>0</v>
      </c>
      <c r="AC288" s="106" t="s">
        <v>35</v>
      </c>
      <c r="AD288" s="107" t="s">
        <v>35</v>
      </c>
      <c r="AE288" s="104" t="s">
        <v>36</v>
      </c>
      <c r="AF288" s="37" t="s">
        <v>42</v>
      </c>
      <c r="AG288" s="37" t="s">
        <v>42</v>
      </c>
      <c r="AH288" s="37" t="s">
        <v>42</v>
      </c>
      <c r="AI288" s="105" t="str">
        <f t="shared" si="6"/>
        <v>----</v>
      </c>
      <c r="AJ288" s="108" t="str">
        <f t="shared" si="7"/>
        <v>Paper has link but no statement</v>
      </c>
      <c r="AK288" s="109" t="s">
        <v>3401</v>
      </c>
      <c r="AL288" s="110" t="s">
        <v>3402</v>
      </c>
      <c r="AM288" s="40" t="str">
        <f t="shared" si="8"/>
        <v>[FP0504]</v>
      </c>
    </row>
    <row r="289" ht="67.5" customHeight="1">
      <c r="A289" s="41">
        <v>505.0</v>
      </c>
      <c r="B289" s="42" t="s">
        <v>4108</v>
      </c>
      <c r="C289" s="43">
        <v>2018.0</v>
      </c>
      <c r="D289" s="111" t="s">
        <v>35</v>
      </c>
      <c r="E289" s="45" t="s">
        <v>36</v>
      </c>
      <c r="F289" s="45" t="s">
        <v>36</v>
      </c>
      <c r="G289" s="45" t="s">
        <v>36</v>
      </c>
      <c r="H289" s="45" t="s">
        <v>36</v>
      </c>
      <c r="I289" s="45" t="s">
        <v>36</v>
      </c>
      <c r="J289" s="112" t="s">
        <v>36</v>
      </c>
      <c r="K289" s="113" t="s">
        <v>37</v>
      </c>
      <c r="L289" s="114" t="s">
        <v>37</v>
      </c>
      <c r="M289" s="114" t="s">
        <v>35</v>
      </c>
      <c r="N289" s="114" t="s">
        <v>35</v>
      </c>
      <c r="O289" s="114" t="s">
        <v>35</v>
      </c>
      <c r="P289" s="114" t="s">
        <v>35</v>
      </c>
      <c r="Q289" s="114" t="s">
        <v>35</v>
      </c>
      <c r="R289" s="114" t="s">
        <v>37</v>
      </c>
      <c r="S289" s="115" t="s">
        <v>4109</v>
      </c>
      <c r="T289" s="124" t="s">
        <v>4110</v>
      </c>
      <c r="U289" s="50" t="s">
        <v>4111</v>
      </c>
      <c r="V289" s="116">
        <f t="shared" si="2"/>
        <v>3</v>
      </c>
      <c r="W289" s="116">
        <f t="shared" ref="W289:X289" si="294">IF(lenb(SUBSTITUTE($Z289,W$1&amp;" (1)",""))&lt;lenb($Z289),1,IF(lenb(SUBSTITUTE($Z289,W$1&amp;" (2)",""))&lt;lenb($Z289),2,IF(lenb(SUBSTITUTE($Z289,W$1&amp;" (3)",""))&lt;lenb($Z289),3,IF(lenb(SUBSTITUTE($Z289,W$1&amp;" (4)",""))&lt;lenb($Z289),4,IF(lenb(SUBSTITUTE($Z289,W$1&amp;" (5)",""))&lt;lenb($Z289),5,IF(lenb(SUBSTITUTE($Z289,W$1&amp;" (6)",""))&lt;lenb($Z289),6,IF(lenb(SUBSTITUTE($Z289,W$1&amp;" (7)",""))&lt;lenb($Z289),1,IF(lenb(SUBSTITUTE($Z289,W$1&amp;" (8)",""))&lt;lenb($Z289),8,IF(lenb(SUBSTITUTE($Z289,W$1&amp;" (9)",""))&lt;lenb($Z289),9,IF(lenb(SUBSTITUTE($Z289,W$1&amp;" (10)",""))&lt;lenb($Z289),10,IF(lenb(SUBSTITUTE($Z289,W$1,""))&lt;lenb($Z289),"ERROR",IF($Z289=$Y$1,"-",0))))))))))))</f>
        <v>0</v>
      </c>
      <c r="X289" s="116">
        <f t="shared" si="294"/>
        <v>0</v>
      </c>
      <c r="Y289" s="116" t="str">
        <f t="shared" si="4"/>
        <v>-</v>
      </c>
      <c r="Z289" s="115" t="s">
        <v>3741</v>
      </c>
      <c r="AA289" s="54">
        <f t="shared" si="5"/>
        <v>3</v>
      </c>
      <c r="AB289" s="54">
        <f>COUNTIFS(Links!B:B,"FSE",Links!C:C,A289,Links!AD:AD,1)</f>
        <v>0</v>
      </c>
      <c r="AC289" s="117" t="s">
        <v>35</v>
      </c>
      <c r="AD289" s="118" t="s">
        <v>35</v>
      </c>
      <c r="AE289" s="115" t="s">
        <v>36</v>
      </c>
      <c r="AF289" s="57" t="s">
        <v>42</v>
      </c>
      <c r="AG289" s="57" t="s">
        <v>42</v>
      </c>
      <c r="AH289" s="57" t="s">
        <v>42</v>
      </c>
      <c r="AI289" s="116" t="str">
        <f t="shared" si="6"/>
        <v>----</v>
      </c>
      <c r="AJ289" s="119" t="str">
        <f t="shared" si="7"/>
        <v>Paper has link but no statement</v>
      </c>
      <c r="AK289" s="120" t="s">
        <v>3401</v>
      </c>
      <c r="AL289" s="121" t="s">
        <v>3402</v>
      </c>
      <c r="AM289" s="60" t="str">
        <f t="shared" si="8"/>
        <v>[FP0505]</v>
      </c>
    </row>
    <row r="290" ht="67.5" customHeight="1">
      <c r="A290" s="61">
        <v>506.0</v>
      </c>
      <c r="B290" s="22" t="s">
        <v>4112</v>
      </c>
      <c r="C290" s="23">
        <v>2018.0</v>
      </c>
      <c r="D290" s="100" t="s">
        <v>35</v>
      </c>
      <c r="E290" s="25" t="s">
        <v>36</v>
      </c>
      <c r="F290" s="25" t="s">
        <v>36</v>
      </c>
      <c r="G290" s="25" t="s">
        <v>36</v>
      </c>
      <c r="H290" s="25" t="s">
        <v>36</v>
      </c>
      <c r="I290" s="25" t="s">
        <v>36</v>
      </c>
      <c r="J290" s="101" t="s">
        <v>36</v>
      </c>
      <c r="K290" s="102" t="s">
        <v>37</v>
      </c>
      <c r="L290" s="103" t="s">
        <v>37</v>
      </c>
      <c r="M290" s="103" t="s">
        <v>35</v>
      </c>
      <c r="N290" s="103" t="s">
        <v>35</v>
      </c>
      <c r="O290" s="103" t="s">
        <v>35</v>
      </c>
      <c r="P290" s="103" t="s">
        <v>35</v>
      </c>
      <c r="Q290" s="103" t="s">
        <v>35</v>
      </c>
      <c r="R290" s="103" t="s">
        <v>37</v>
      </c>
      <c r="S290" s="104" t="s">
        <v>4113</v>
      </c>
      <c r="T290" s="30" t="s">
        <v>4114</v>
      </c>
      <c r="U290" s="30" t="s">
        <v>4115</v>
      </c>
      <c r="V290" s="105">
        <f t="shared" si="2"/>
        <v>1</v>
      </c>
      <c r="W290" s="105">
        <f t="shared" ref="W290:X290" si="295">IF(lenb(SUBSTITUTE($Z290,W$1&amp;" (1)",""))&lt;lenb($Z290),1,IF(lenb(SUBSTITUTE($Z290,W$1&amp;" (2)",""))&lt;lenb($Z290),2,IF(lenb(SUBSTITUTE($Z290,W$1&amp;" (3)",""))&lt;lenb($Z290),3,IF(lenb(SUBSTITUTE($Z290,W$1&amp;" (4)",""))&lt;lenb($Z290),4,IF(lenb(SUBSTITUTE($Z290,W$1&amp;" (5)",""))&lt;lenb($Z290),5,IF(lenb(SUBSTITUTE($Z290,W$1&amp;" (6)",""))&lt;lenb($Z290),6,IF(lenb(SUBSTITUTE($Z290,W$1&amp;" (7)",""))&lt;lenb($Z290),1,IF(lenb(SUBSTITUTE($Z290,W$1&amp;" (8)",""))&lt;lenb($Z290),8,IF(lenb(SUBSTITUTE($Z290,W$1&amp;" (9)",""))&lt;lenb($Z290),9,IF(lenb(SUBSTITUTE($Z290,W$1&amp;" (10)",""))&lt;lenb($Z290),10,IF(lenb(SUBSTITUTE($Z290,W$1,""))&lt;lenb($Z290),"ERROR",IF($Z290=$Y$1,"-",0))))))))))))</f>
        <v>0</v>
      </c>
      <c r="X290" s="105">
        <f t="shared" si="295"/>
        <v>0</v>
      </c>
      <c r="Y290" s="105" t="str">
        <f t="shared" si="4"/>
        <v>-</v>
      </c>
      <c r="Z290" s="104" t="s">
        <v>3400</v>
      </c>
      <c r="AA290" s="34">
        <f t="shared" si="5"/>
        <v>1</v>
      </c>
      <c r="AB290" s="34">
        <f>COUNTIFS(Links!B:B,"FSE",Links!C:C,A290,Links!AD:AD,1)</f>
        <v>0</v>
      </c>
      <c r="AC290" s="106" t="s">
        <v>35</v>
      </c>
      <c r="AD290" s="107" t="s">
        <v>35</v>
      </c>
      <c r="AE290" s="104" t="s">
        <v>36</v>
      </c>
      <c r="AF290" s="37" t="s">
        <v>42</v>
      </c>
      <c r="AG290" s="37" t="s">
        <v>42</v>
      </c>
      <c r="AH290" s="37" t="s">
        <v>42</v>
      </c>
      <c r="AI290" s="105" t="str">
        <f t="shared" si="6"/>
        <v>----</v>
      </c>
      <c r="AJ290" s="108" t="str">
        <f t="shared" si="7"/>
        <v>Paper has link but no statement</v>
      </c>
      <c r="AK290" s="109" t="s">
        <v>3401</v>
      </c>
      <c r="AL290" s="110" t="s">
        <v>3402</v>
      </c>
      <c r="AM290" s="40" t="str">
        <f t="shared" si="8"/>
        <v>[FP0506]</v>
      </c>
    </row>
    <row r="291" ht="67.5" customHeight="1">
      <c r="A291" s="41">
        <v>507.0</v>
      </c>
      <c r="B291" s="42" t="s">
        <v>4116</v>
      </c>
      <c r="C291" s="43">
        <v>2018.0</v>
      </c>
      <c r="D291" s="111" t="s">
        <v>35</v>
      </c>
      <c r="E291" s="45" t="s">
        <v>36</v>
      </c>
      <c r="F291" s="45" t="s">
        <v>36</v>
      </c>
      <c r="G291" s="45" t="s">
        <v>36</v>
      </c>
      <c r="H291" s="45" t="s">
        <v>36</v>
      </c>
      <c r="I291" s="45" t="s">
        <v>36</v>
      </c>
      <c r="J291" s="112" t="s">
        <v>36</v>
      </c>
      <c r="K291" s="113" t="s">
        <v>37</v>
      </c>
      <c r="L291" s="114" t="s">
        <v>37</v>
      </c>
      <c r="M291" s="114" t="s">
        <v>35</v>
      </c>
      <c r="N291" s="114" t="s">
        <v>37</v>
      </c>
      <c r="O291" s="114" t="s">
        <v>35</v>
      </c>
      <c r="P291" s="114" t="s">
        <v>35</v>
      </c>
      <c r="Q291" s="114" t="s">
        <v>35</v>
      </c>
      <c r="R291" s="114" t="s">
        <v>35</v>
      </c>
      <c r="S291" s="115" t="s">
        <v>36</v>
      </c>
      <c r="T291" s="50" t="s">
        <v>4117</v>
      </c>
      <c r="U291" s="50" t="s">
        <v>4117</v>
      </c>
      <c r="V291" s="116">
        <f t="shared" si="2"/>
        <v>0</v>
      </c>
      <c r="W291" s="116">
        <f t="shared" ref="W291:X291" si="296">IF(lenb(SUBSTITUTE($Z291,W$1&amp;" (1)",""))&lt;lenb($Z291),1,IF(lenb(SUBSTITUTE($Z291,W$1&amp;" (2)",""))&lt;lenb($Z291),2,IF(lenb(SUBSTITUTE($Z291,W$1&amp;" (3)",""))&lt;lenb($Z291),3,IF(lenb(SUBSTITUTE($Z291,W$1&amp;" (4)",""))&lt;lenb($Z291),4,IF(lenb(SUBSTITUTE($Z291,W$1&amp;" (5)",""))&lt;lenb($Z291),5,IF(lenb(SUBSTITUTE($Z291,W$1&amp;" (6)",""))&lt;lenb($Z291),6,IF(lenb(SUBSTITUTE($Z291,W$1&amp;" (7)",""))&lt;lenb($Z291),1,IF(lenb(SUBSTITUTE($Z291,W$1&amp;" (8)",""))&lt;lenb($Z291),8,IF(lenb(SUBSTITUTE($Z291,W$1&amp;" (9)",""))&lt;lenb($Z291),9,IF(lenb(SUBSTITUTE($Z291,W$1&amp;" (10)",""))&lt;lenb($Z291),10,IF(lenb(SUBSTITUTE($Z291,W$1,""))&lt;lenb($Z291),"ERROR",IF($Z291=$Y$1,"-",0))))))))))))</f>
        <v>1</v>
      </c>
      <c r="X291" s="116">
        <f t="shared" si="296"/>
        <v>0</v>
      </c>
      <c r="Y291" s="116" t="str">
        <f t="shared" si="4"/>
        <v>-</v>
      </c>
      <c r="Z291" s="115" t="s">
        <v>3423</v>
      </c>
      <c r="AA291" s="54">
        <f t="shared" si="5"/>
        <v>1</v>
      </c>
      <c r="AB291" s="54">
        <f>COUNTIFS(Links!B:B,"FSE",Links!C:C,A291,Links!AD:AD,1)</f>
        <v>1</v>
      </c>
      <c r="AC291" s="117" t="s">
        <v>35</v>
      </c>
      <c r="AD291" s="118" t="s">
        <v>35</v>
      </c>
      <c r="AE291" s="115" t="s">
        <v>36</v>
      </c>
      <c r="AF291" s="57" t="s">
        <v>42</v>
      </c>
      <c r="AG291" s="57" t="s">
        <v>42</v>
      </c>
      <c r="AH291" s="57" t="s">
        <v>42</v>
      </c>
      <c r="AI291" s="116" t="str">
        <f t="shared" si="6"/>
        <v>----</v>
      </c>
      <c r="AJ291" s="119" t="str">
        <f t="shared" si="7"/>
        <v>Paper has link but no statement</v>
      </c>
      <c r="AK291" s="120" t="s">
        <v>3401</v>
      </c>
      <c r="AL291" s="121" t="s">
        <v>3402</v>
      </c>
      <c r="AM291" s="60" t="str">
        <f t="shared" si="8"/>
        <v>[FP0507]</v>
      </c>
    </row>
    <row r="292" ht="67.5" customHeight="1">
      <c r="A292" s="61">
        <v>508.0</v>
      </c>
      <c r="B292" s="22" t="s">
        <v>4118</v>
      </c>
      <c r="C292" s="23">
        <v>2018.0</v>
      </c>
      <c r="D292" s="100" t="s">
        <v>35</v>
      </c>
      <c r="E292" s="25" t="s">
        <v>36</v>
      </c>
      <c r="F292" s="25" t="s">
        <v>36</v>
      </c>
      <c r="G292" s="25" t="s">
        <v>36</v>
      </c>
      <c r="H292" s="25" t="s">
        <v>36</v>
      </c>
      <c r="I292" s="25" t="s">
        <v>36</v>
      </c>
      <c r="J292" s="101" t="s">
        <v>36</v>
      </c>
      <c r="K292" s="102" t="s">
        <v>37</v>
      </c>
      <c r="L292" s="103" t="s">
        <v>35</v>
      </c>
      <c r="M292" s="103" t="s">
        <v>35</v>
      </c>
      <c r="N292" s="103" t="s">
        <v>37</v>
      </c>
      <c r="O292" s="103" t="s">
        <v>35</v>
      </c>
      <c r="P292" s="103" t="s">
        <v>35</v>
      </c>
      <c r="Q292" s="103" t="s">
        <v>35</v>
      </c>
      <c r="R292" s="103" t="s">
        <v>37</v>
      </c>
      <c r="S292" s="104" t="s">
        <v>36</v>
      </c>
      <c r="T292" s="30" t="s">
        <v>4119</v>
      </c>
      <c r="U292" s="30" t="s">
        <v>4119</v>
      </c>
      <c r="V292" s="105">
        <f t="shared" si="2"/>
        <v>1</v>
      </c>
      <c r="W292" s="105">
        <f t="shared" ref="W292:X292" si="297">IF(lenb(SUBSTITUTE($Z292,W$1&amp;" (1)",""))&lt;lenb($Z292),1,IF(lenb(SUBSTITUTE($Z292,W$1&amp;" (2)",""))&lt;lenb($Z292),2,IF(lenb(SUBSTITUTE($Z292,W$1&amp;" (3)",""))&lt;lenb($Z292),3,IF(lenb(SUBSTITUTE($Z292,W$1&amp;" (4)",""))&lt;lenb($Z292),4,IF(lenb(SUBSTITUTE($Z292,W$1&amp;" (5)",""))&lt;lenb($Z292),5,IF(lenb(SUBSTITUTE($Z292,W$1&amp;" (6)",""))&lt;lenb($Z292),6,IF(lenb(SUBSTITUTE($Z292,W$1&amp;" (7)",""))&lt;lenb($Z292),1,IF(lenb(SUBSTITUTE($Z292,W$1&amp;" (8)",""))&lt;lenb($Z292),8,IF(lenb(SUBSTITUTE($Z292,W$1&amp;" (9)",""))&lt;lenb($Z292),9,IF(lenb(SUBSTITUTE($Z292,W$1&amp;" (10)",""))&lt;lenb($Z292),10,IF(lenb(SUBSTITUTE($Z292,W$1,""))&lt;lenb($Z292),"ERROR",IF($Z292=$Y$1,"-",0))))))))))))</f>
        <v>0</v>
      </c>
      <c r="X292" s="105">
        <f t="shared" si="297"/>
        <v>0</v>
      </c>
      <c r="Y292" s="105" t="str">
        <f t="shared" si="4"/>
        <v>-</v>
      </c>
      <c r="Z292" s="104" t="s">
        <v>3400</v>
      </c>
      <c r="AA292" s="34">
        <f t="shared" si="5"/>
        <v>1</v>
      </c>
      <c r="AB292" s="34">
        <f>COUNTIFS(Links!B:B,"FSE",Links!C:C,A292,Links!AD:AD,1)</f>
        <v>0</v>
      </c>
      <c r="AC292" s="106" t="s">
        <v>35</v>
      </c>
      <c r="AD292" s="107" t="s">
        <v>35</v>
      </c>
      <c r="AE292" s="104" t="s">
        <v>36</v>
      </c>
      <c r="AF292" s="37" t="s">
        <v>42</v>
      </c>
      <c r="AG292" s="37" t="s">
        <v>42</v>
      </c>
      <c r="AH292" s="37" t="s">
        <v>42</v>
      </c>
      <c r="AI292" s="105" t="str">
        <f t="shared" si="6"/>
        <v>----</v>
      </c>
      <c r="AJ292" s="108" t="str">
        <f t="shared" si="7"/>
        <v>Paper has link but no statement</v>
      </c>
      <c r="AK292" s="109" t="s">
        <v>3401</v>
      </c>
      <c r="AL292" s="110" t="s">
        <v>3402</v>
      </c>
      <c r="AM292" s="40" t="str">
        <f t="shared" si="8"/>
        <v>[FP0508]</v>
      </c>
    </row>
    <row r="293" ht="67.5" customHeight="1">
      <c r="A293" s="41">
        <v>509.0</v>
      </c>
      <c r="B293" s="42" t="s">
        <v>4120</v>
      </c>
      <c r="C293" s="43">
        <v>2018.0</v>
      </c>
      <c r="D293" s="111" t="s">
        <v>35</v>
      </c>
      <c r="E293" s="45" t="s">
        <v>36</v>
      </c>
      <c r="F293" s="45" t="s">
        <v>36</v>
      </c>
      <c r="G293" s="45" t="s">
        <v>36</v>
      </c>
      <c r="H293" s="45" t="s">
        <v>36</v>
      </c>
      <c r="I293" s="45" t="s">
        <v>36</v>
      </c>
      <c r="J293" s="112" t="s">
        <v>36</v>
      </c>
      <c r="K293" s="113" t="s">
        <v>37</v>
      </c>
      <c r="L293" s="114" t="s">
        <v>37</v>
      </c>
      <c r="M293" s="114" t="s">
        <v>35</v>
      </c>
      <c r="N293" s="114" t="s">
        <v>37</v>
      </c>
      <c r="O293" s="114" t="s">
        <v>35</v>
      </c>
      <c r="P293" s="114" t="s">
        <v>35</v>
      </c>
      <c r="Q293" s="114" t="s">
        <v>35</v>
      </c>
      <c r="R293" s="114" t="s">
        <v>37</v>
      </c>
      <c r="S293" s="115" t="s">
        <v>1188</v>
      </c>
      <c r="T293" s="50" t="s">
        <v>4121</v>
      </c>
      <c r="U293" s="50" t="s">
        <v>4122</v>
      </c>
      <c r="V293" s="116">
        <f t="shared" si="2"/>
        <v>0</v>
      </c>
      <c r="W293" s="116">
        <f t="shared" ref="W293:X293" si="298">IF(lenb(SUBSTITUTE($Z293,W$1&amp;" (1)",""))&lt;lenb($Z293),1,IF(lenb(SUBSTITUTE($Z293,W$1&amp;" (2)",""))&lt;lenb($Z293),2,IF(lenb(SUBSTITUTE($Z293,W$1&amp;" (3)",""))&lt;lenb($Z293),3,IF(lenb(SUBSTITUTE($Z293,W$1&amp;" (4)",""))&lt;lenb($Z293),4,IF(lenb(SUBSTITUTE($Z293,W$1&amp;" (5)",""))&lt;lenb($Z293),5,IF(lenb(SUBSTITUTE($Z293,W$1&amp;" (6)",""))&lt;lenb($Z293),6,IF(lenb(SUBSTITUTE($Z293,W$1&amp;" (7)",""))&lt;lenb($Z293),1,IF(lenb(SUBSTITUTE($Z293,W$1&amp;" (8)",""))&lt;lenb($Z293),8,IF(lenb(SUBSTITUTE($Z293,W$1&amp;" (9)",""))&lt;lenb($Z293),9,IF(lenb(SUBSTITUTE($Z293,W$1&amp;" (10)",""))&lt;lenb($Z293),10,IF(lenb(SUBSTITUTE($Z293,W$1,""))&lt;lenb($Z293),"ERROR",IF($Z293=$Y$1,"-",0))))))))))))</f>
        <v>2</v>
      </c>
      <c r="X293" s="116">
        <f t="shared" si="298"/>
        <v>0</v>
      </c>
      <c r="Y293" s="116" t="str">
        <f t="shared" si="4"/>
        <v>-</v>
      </c>
      <c r="Z293" s="115" t="s">
        <v>3419</v>
      </c>
      <c r="AA293" s="54">
        <f t="shared" si="5"/>
        <v>2</v>
      </c>
      <c r="AB293" s="54">
        <f>COUNTIFS(Links!B:B,"FSE",Links!C:C,A293,Links!AD:AD,1)</f>
        <v>0</v>
      </c>
      <c r="AC293" s="117" t="s">
        <v>35</v>
      </c>
      <c r="AD293" s="118" t="s">
        <v>35</v>
      </c>
      <c r="AE293" s="115" t="s">
        <v>36</v>
      </c>
      <c r="AF293" s="57" t="s">
        <v>42</v>
      </c>
      <c r="AG293" s="57" t="s">
        <v>42</v>
      </c>
      <c r="AH293" s="57" t="s">
        <v>42</v>
      </c>
      <c r="AI293" s="116" t="str">
        <f t="shared" si="6"/>
        <v>----</v>
      </c>
      <c r="AJ293" s="119" t="str">
        <f t="shared" si="7"/>
        <v>Paper has link but no statement</v>
      </c>
      <c r="AK293" s="120" t="s">
        <v>3401</v>
      </c>
      <c r="AL293" s="121" t="s">
        <v>3402</v>
      </c>
      <c r="AM293" s="60" t="str">
        <f t="shared" si="8"/>
        <v>[FP0509]</v>
      </c>
    </row>
    <row r="294" ht="67.5" customHeight="1">
      <c r="A294" s="61">
        <v>510.0</v>
      </c>
      <c r="B294" s="22" t="s">
        <v>4123</v>
      </c>
      <c r="C294" s="23">
        <v>2018.0</v>
      </c>
      <c r="D294" s="100" t="s">
        <v>37</v>
      </c>
      <c r="E294" s="25" t="s">
        <v>37</v>
      </c>
      <c r="F294" s="25" t="s">
        <v>37</v>
      </c>
      <c r="G294" s="25" t="s">
        <v>35</v>
      </c>
      <c r="H294" s="25" t="s">
        <v>35</v>
      </c>
      <c r="I294" s="25" t="s">
        <v>35</v>
      </c>
      <c r="J294" s="101" t="s">
        <v>36</v>
      </c>
      <c r="K294" s="102" t="s">
        <v>37</v>
      </c>
      <c r="L294" s="103" t="s">
        <v>35</v>
      </c>
      <c r="M294" s="103" t="s">
        <v>35</v>
      </c>
      <c r="N294" s="103" t="s">
        <v>35</v>
      </c>
      <c r="O294" s="103" t="s">
        <v>35</v>
      </c>
      <c r="P294" s="103" t="s">
        <v>35</v>
      </c>
      <c r="Q294" s="103" t="s">
        <v>35</v>
      </c>
      <c r="R294" s="103" t="s">
        <v>37</v>
      </c>
      <c r="S294" s="104" t="s">
        <v>4101</v>
      </c>
      <c r="T294" s="30" t="s">
        <v>4124</v>
      </c>
      <c r="U294" s="30" t="s">
        <v>4124</v>
      </c>
      <c r="V294" s="105">
        <f t="shared" si="2"/>
        <v>1</v>
      </c>
      <c r="W294" s="105">
        <f t="shared" ref="W294:X294" si="299">IF(lenb(SUBSTITUTE($Z294,W$1&amp;" (1)",""))&lt;lenb($Z294),1,IF(lenb(SUBSTITUTE($Z294,W$1&amp;" (2)",""))&lt;lenb($Z294),2,IF(lenb(SUBSTITUTE($Z294,W$1&amp;" (3)",""))&lt;lenb($Z294),3,IF(lenb(SUBSTITUTE($Z294,W$1&amp;" (4)",""))&lt;lenb($Z294),4,IF(lenb(SUBSTITUTE($Z294,W$1&amp;" (5)",""))&lt;lenb($Z294),5,IF(lenb(SUBSTITUTE($Z294,W$1&amp;" (6)",""))&lt;lenb($Z294),6,IF(lenb(SUBSTITUTE($Z294,W$1&amp;" (7)",""))&lt;lenb($Z294),1,IF(lenb(SUBSTITUTE($Z294,W$1&amp;" (8)",""))&lt;lenb($Z294),8,IF(lenb(SUBSTITUTE($Z294,W$1&amp;" (9)",""))&lt;lenb($Z294),9,IF(lenb(SUBSTITUTE($Z294,W$1&amp;" (10)",""))&lt;lenb($Z294),10,IF(lenb(SUBSTITUTE($Z294,W$1,""))&lt;lenb($Z294),"ERROR",IF($Z294=$Y$1,"-",0))))))))))))</f>
        <v>0</v>
      </c>
      <c r="X294" s="105">
        <f t="shared" si="299"/>
        <v>0</v>
      </c>
      <c r="Y294" s="105" t="str">
        <f t="shared" si="4"/>
        <v>-</v>
      </c>
      <c r="Z294" s="104" t="s">
        <v>3400</v>
      </c>
      <c r="AA294" s="34">
        <f t="shared" si="5"/>
        <v>1</v>
      </c>
      <c r="AB294" s="34">
        <f>COUNTIFS(Links!B:B,"FSE",Links!C:C,A294,Links!AD:AD,1)</f>
        <v>0</v>
      </c>
      <c r="AC294" s="106" t="s">
        <v>35</v>
      </c>
      <c r="AD294" s="107" t="s">
        <v>35</v>
      </c>
      <c r="AE294" s="104" t="s">
        <v>36</v>
      </c>
      <c r="AF294" s="37" t="s">
        <v>42</v>
      </c>
      <c r="AG294" s="37" t="s">
        <v>42</v>
      </c>
      <c r="AH294" s="37" t="s">
        <v>42</v>
      </c>
      <c r="AI294" s="105" t="str">
        <f t="shared" si="6"/>
        <v>----</v>
      </c>
      <c r="AJ294" s="108" t="str">
        <f t="shared" si="7"/>
        <v>Paper has link but no statement</v>
      </c>
      <c r="AK294" s="109" t="s">
        <v>3401</v>
      </c>
      <c r="AL294" s="110" t="s">
        <v>3402</v>
      </c>
      <c r="AM294" s="40" t="str">
        <f t="shared" si="8"/>
        <v>[FP0510]</v>
      </c>
    </row>
    <row r="295" ht="67.5" customHeight="1">
      <c r="A295" s="41">
        <v>511.0</v>
      </c>
      <c r="B295" s="42" t="s">
        <v>4125</v>
      </c>
      <c r="C295" s="43">
        <v>2018.0</v>
      </c>
      <c r="D295" s="111" t="s">
        <v>35</v>
      </c>
      <c r="E295" s="45" t="s">
        <v>36</v>
      </c>
      <c r="F295" s="45" t="s">
        <v>36</v>
      </c>
      <c r="G295" s="45" t="s">
        <v>36</v>
      </c>
      <c r="H295" s="45" t="s">
        <v>36</v>
      </c>
      <c r="I295" s="45" t="s">
        <v>36</v>
      </c>
      <c r="J295" s="112" t="s">
        <v>36</v>
      </c>
      <c r="K295" s="113" t="s">
        <v>37</v>
      </c>
      <c r="L295" s="114" t="s">
        <v>37</v>
      </c>
      <c r="M295" s="114" t="s">
        <v>35</v>
      </c>
      <c r="N295" s="114" t="s">
        <v>37</v>
      </c>
      <c r="O295" s="114" t="s">
        <v>35</v>
      </c>
      <c r="P295" s="114" t="s">
        <v>35</v>
      </c>
      <c r="Q295" s="114" t="s">
        <v>35</v>
      </c>
      <c r="R295" s="114" t="s">
        <v>35</v>
      </c>
      <c r="S295" s="115" t="s">
        <v>36</v>
      </c>
      <c r="T295" s="50" t="s">
        <v>4126</v>
      </c>
      <c r="U295" s="50" t="s">
        <v>4126</v>
      </c>
      <c r="V295" s="116">
        <f t="shared" si="2"/>
        <v>1</v>
      </c>
      <c r="W295" s="116">
        <f t="shared" ref="W295:X295" si="300">IF(lenb(SUBSTITUTE($Z295,W$1&amp;" (1)",""))&lt;lenb($Z295),1,IF(lenb(SUBSTITUTE($Z295,W$1&amp;" (2)",""))&lt;lenb($Z295),2,IF(lenb(SUBSTITUTE($Z295,W$1&amp;" (3)",""))&lt;lenb($Z295),3,IF(lenb(SUBSTITUTE($Z295,W$1&amp;" (4)",""))&lt;lenb($Z295),4,IF(lenb(SUBSTITUTE($Z295,W$1&amp;" (5)",""))&lt;lenb($Z295),5,IF(lenb(SUBSTITUTE($Z295,W$1&amp;" (6)",""))&lt;lenb($Z295),6,IF(lenb(SUBSTITUTE($Z295,W$1&amp;" (7)",""))&lt;lenb($Z295),1,IF(lenb(SUBSTITUTE($Z295,W$1&amp;" (8)",""))&lt;lenb($Z295),8,IF(lenb(SUBSTITUTE($Z295,W$1&amp;" (9)",""))&lt;lenb($Z295),9,IF(lenb(SUBSTITUTE($Z295,W$1&amp;" (10)",""))&lt;lenb($Z295),10,IF(lenb(SUBSTITUTE($Z295,W$1,""))&lt;lenb($Z295),"ERROR",IF($Z295=$Y$1,"-",0))))))))))))</f>
        <v>0</v>
      </c>
      <c r="X295" s="116">
        <f t="shared" si="300"/>
        <v>0</v>
      </c>
      <c r="Y295" s="116" t="str">
        <f t="shared" si="4"/>
        <v>-</v>
      </c>
      <c r="Z295" s="115" t="s">
        <v>3400</v>
      </c>
      <c r="AA295" s="54">
        <f t="shared" si="5"/>
        <v>1</v>
      </c>
      <c r="AB295" s="54">
        <f>COUNTIFS(Links!B:B,"FSE",Links!C:C,A295,Links!AD:AD,1)</f>
        <v>0</v>
      </c>
      <c r="AC295" s="117" t="s">
        <v>35</v>
      </c>
      <c r="AD295" s="118" t="s">
        <v>35</v>
      </c>
      <c r="AE295" s="115" t="s">
        <v>36</v>
      </c>
      <c r="AF295" s="57" t="s">
        <v>42</v>
      </c>
      <c r="AG295" s="57" t="s">
        <v>42</v>
      </c>
      <c r="AH295" s="57" t="s">
        <v>42</v>
      </c>
      <c r="AI295" s="116" t="str">
        <f t="shared" si="6"/>
        <v>----</v>
      </c>
      <c r="AJ295" s="119" t="str">
        <f t="shared" si="7"/>
        <v>Paper has link but no statement</v>
      </c>
      <c r="AK295" s="120" t="s">
        <v>3401</v>
      </c>
      <c r="AL295" s="121" t="s">
        <v>3402</v>
      </c>
      <c r="AM295" s="60" t="str">
        <f t="shared" si="8"/>
        <v>[FP0511]</v>
      </c>
    </row>
    <row r="296" ht="67.5" customHeight="1">
      <c r="A296" s="61">
        <v>512.0</v>
      </c>
      <c r="B296" s="22" t="s">
        <v>4127</v>
      </c>
      <c r="C296" s="23">
        <v>2018.0</v>
      </c>
      <c r="D296" s="100" t="s">
        <v>35</v>
      </c>
      <c r="E296" s="25" t="s">
        <v>36</v>
      </c>
      <c r="F296" s="25" t="s">
        <v>36</v>
      </c>
      <c r="G296" s="25" t="s">
        <v>36</v>
      </c>
      <c r="H296" s="25" t="s">
        <v>36</v>
      </c>
      <c r="I296" s="25" t="s">
        <v>36</v>
      </c>
      <c r="J296" s="101" t="s">
        <v>36</v>
      </c>
      <c r="K296" s="102" t="s">
        <v>37</v>
      </c>
      <c r="L296" s="103" t="s">
        <v>35</v>
      </c>
      <c r="M296" s="103" t="s">
        <v>35</v>
      </c>
      <c r="N296" s="103" t="s">
        <v>35</v>
      </c>
      <c r="O296" s="103" t="s">
        <v>35</v>
      </c>
      <c r="P296" s="103" t="s">
        <v>35</v>
      </c>
      <c r="Q296" s="103" t="s">
        <v>35</v>
      </c>
      <c r="R296" s="103" t="s">
        <v>37</v>
      </c>
      <c r="S296" s="104" t="s">
        <v>4128</v>
      </c>
      <c r="T296" s="30" t="s">
        <v>4129</v>
      </c>
      <c r="U296" s="30" t="s">
        <v>4129</v>
      </c>
      <c r="V296" s="105">
        <f t="shared" si="2"/>
        <v>1</v>
      </c>
      <c r="W296" s="105">
        <f t="shared" ref="W296:X296" si="301">IF(lenb(SUBSTITUTE($Z296,W$1&amp;" (1)",""))&lt;lenb($Z296),1,IF(lenb(SUBSTITUTE($Z296,W$1&amp;" (2)",""))&lt;lenb($Z296),2,IF(lenb(SUBSTITUTE($Z296,W$1&amp;" (3)",""))&lt;lenb($Z296),3,IF(lenb(SUBSTITUTE($Z296,W$1&amp;" (4)",""))&lt;lenb($Z296),4,IF(lenb(SUBSTITUTE($Z296,W$1&amp;" (5)",""))&lt;lenb($Z296),5,IF(lenb(SUBSTITUTE($Z296,W$1&amp;" (6)",""))&lt;lenb($Z296),6,IF(lenb(SUBSTITUTE($Z296,W$1&amp;" (7)",""))&lt;lenb($Z296),1,IF(lenb(SUBSTITUTE($Z296,W$1&amp;" (8)",""))&lt;lenb($Z296),8,IF(lenb(SUBSTITUTE($Z296,W$1&amp;" (9)",""))&lt;lenb($Z296),9,IF(lenb(SUBSTITUTE($Z296,W$1&amp;" (10)",""))&lt;lenb($Z296),10,IF(lenb(SUBSTITUTE($Z296,W$1,""))&lt;lenb($Z296),"ERROR",IF($Z296=$Y$1,"-",0))))))))))))</f>
        <v>0</v>
      </c>
      <c r="X296" s="105">
        <f t="shared" si="301"/>
        <v>0</v>
      </c>
      <c r="Y296" s="105" t="str">
        <f t="shared" si="4"/>
        <v>-</v>
      </c>
      <c r="Z296" s="104" t="s">
        <v>3400</v>
      </c>
      <c r="AA296" s="34">
        <f t="shared" si="5"/>
        <v>1</v>
      </c>
      <c r="AB296" s="34">
        <f>COUNTIFS(Links!B:B,"FSE",Links!C:C,A296,Links!AD:AD,1)</f>
        <v>0</v>
      </c>
      <c r="AC296" s="106" t="s">
        <v>35</v>
      </c>
      <c r="AD296" s="107" t="s">
        <v>37</v>
      </c>
      <c r="AE296" s="104" t="s">
        <v>4130</v>
      </c>
      <c r="AF296" s="104" t="s">
        <v>146</v>
      </c>
      <c r="AG296" s="37" t="s">
        <v>42</v>
      </c>
      <c r="AH296" s="37" t="s">
        <v>42</v>
      </c>
      <c r="AI296" s="105" t="str">
        <f t="shared" si="6"/>
        <v>Future plans (—)</v>
      </c>
      <c r="AJ296" s="108" t="str">
        <f t="shared" si="7"/>
        <v>Paper has link and statement</v>
      </c>
      <c r="AK296" s="109" t="s">
        <v>3401</v>
      </c>
      <c r="AL296" s="110" t="s">
        <v>3402</v>
      </c>
      <c r="AM296" s="40" t="str">
        <f t="shared" si="8"/>
        <v>[FP0512]</v>
      </c>
    </row>
    <row r="297" ht="67.5" customHeight="1">
      <c r="A297" s="41">
        <v>513.0</v>
      </c>
      <c r="B297" s="42" t="s">
        <v>4131</v>
      </c>
      <c r="C297" s="43">
        <v>2018.0</v>
      </c>
      <c r="D297" s="111" t="s">
        <v>37</v>
      </c>
      <c r="E297" s="45" t="s">
        <v>35</v>
      </c>
      <c r="F297" s="45" t="s">
        <v>37</v>
      </c>
      <c r="G297" s="45" t="s">
        <v>35</v>
      </c>
      <c r="H297" s="45" t="s">
        <v>35</v>
      </c>
      <c r="I297" s="45" t="s">
        <v>35</v>
      </c>
      <c r="J297" s="112" t="s">
        <v>36</v>
      </c>
      <c r="K297" s="113" t="s">
        <v>37</v>
      </c>
      <c r="L297" s="114" t="s">
        <v>35</v>
      </c>
      <c r="M297" s="114" t="s">
        <v>37</v>
      </c>
      <c r="N297" s="114" t="s">
        <v>35</v>
      </c>
      <c r="O297" s="114" t="s">
        <v>35</v>
      </c>
      <c r="P297" s="114" t="s">
        <v>35</v>
      </c>
      <c r="Q297" s="114" t="s">
        <v>37</v>
      </c>
      <c r="R297" s="114" t="s">
        <v>35</v>
      </c>
      <c r="S297" s="115" t="s">
        <v>4132</v>
      </c>
      <c r="T297" s="50" t="s">
        <v>4133</v>
      </c>
      <c r="U297" s="134" t="s">
        <v>4134</v>
      </c>
      <c r="V297" s="116">
        <f t="shared" si="2"/>
        <v>4</v>
      </c>
      <c r="W297" s="116">
        <f t="shared" ref="W297:X297" si="302">IF(lenb(SUBSTITUTE($Z297,W$1&amp;" (1)",""))&lt;lenb($Z297),1,IF(lenb(SUBSTITUTE($Z297,W$1&amp;" (2)",""))&lt;lenb($Z297),2,IF(lenb(SUBSTITUTE($Z297,W$1&amp;" (3)",""))&lt;lenb($Z297),3,IF(lenb(SUBSTITUTE($Z297,W$1&amp;" (4)",""))&lt;lenb($Z297),4,IF(lenb(SUBSTITUTE($Z297,W$1&amp;" (5)",""))&lt;lenb($Z297),5,IF(lenb(SUBSTITUTE($Z297,W$1&amp;" (6)",""))&lt;lenb($Z297),6,IF(lenb(SUBSTITUTE($Z297,W$1&amp;" (7)",""))&lt;lenb($Z297),1,IF(lenb(SUBSTITUTE($Z297,W$1&amp;" (8)",""))&lt;lenb($Z297),8,IF(lenb(SUBSTITUTE($Z297,W$1&amp;" (9)",""))&lt;lenb($Z297),9,IF(lenb(SUBSTITUTE($Z297,W$1&amp;" (10)",""))&lt;lenb($Z297),10,IF(lenb(SUBSTITUTE($Z297,W$1,""))&lt;lenb($Z297),"ERROR",IF($Z297=$Y$1,"-",0))))))))))))</f>
        <v>0</v>
      </c>
      <c r="X297" s="116">
        <f t="shared" si="302"/>
        <v>0</v>
      </c>
      <c r="Y297" s="116" t="str">
        <f t="shared" si="4"/>
        <v>-</v>
      </c>
      <c r="Z297" s="115" t="s">
        <v>4135</v>
      </c>
      <c r="AA297" s="54">
        <f t="shared" si="5"/>
        <v>4</v>
      </c>
      <c r="AB297" s="54">
        <f>COUNTIFS(Links!B:B,"FSE",Links!C:C,A297,Links!AD:AD,1)</f>
        <v>0</v>
      </c>
      <c r="AC297" s="117" t="s">
        <v>37</v>
      </c>
      <c r="AD297" s="118" t="s">
        <v>35</v>
      </c>
      <c r="AE297" s="115" t="s">
        <v>36</v>
      </c>
      <c r="AF297" s="57" t="s">
        <v>42</v>
      </c>
      <c r="AG297" s="57" t="s">
        <v>42</v>
      </c>
      <c r="AH297" s="57" t="s">
        <v>42</v>
      </c>
      <c r="AI297" s="116" t="str">
        <f t="shared" si="6"/>
        <v>----</v>
      </c>
      <c r="AJ297" s="119" t="str">
        <f t="shared" si="7"/>
        <v>Paper has link but no statement</v>
      </c>
      <c r="AK297" s="120" t="s">
        <v>3401</v>
      </c>
      <c r="AL297" s="121" t="s">
        <v>3402</v>
      </c>
      <c r="AM297" s="60" t="str">
        <f t="shared" si="8"/>
        <v>[FP0513]</v>
      </c>
    </row>
    <row r="298" ht="67.5" customHeight="1">
      <c r="A298" s="61">
        <v>514.0</v>
      </c>
      <c r="B298" s="22" t="s">
        <v>4136</v>
      </c>
      <c r="C298" s="23">
        <v>2018.0</v>
      </c>
      <c r="D298" s="100" t="s">
        <v>35</v>
      </c>
      <c r="E298" s="25" t="s">
        <v>36</v>
      </c>
      <c r="F298" s="25" t="s">
        <v>36</v>
      </c>
      <c r="G298" s="25" t="s">
        <v>36</v>
      </c>
      <c r="H298" s="25" t="s">
        <v>36</v>
      </c>
      <c r="I298" s="25" t="s">
        <v>36</v>
      </c>
      <c r="J298" s="101" t="s">
        <v>36</v>
      </c>
      <c r="K298" s="102" t="s">
        <v>37</v>
      </c>
      <c r="L298" s="103" t="s">
        <v>35</v>
      </c>
      <c r="M298" s="103" t="s">
        <v>37</v>
      </c>
      <c r="N298" s="103" t="s">
        <v>37</v>
      </c>
      <c r="O298" s="103" t="s">
        <v>35</v>
      </c>
      <c r="P298" s="103" t="s">
        <v>35</v>
      </c>
      <c r="Q298" s="103" t="s">
        <v>35</v>
      </c>
      <c r="R298" s="103" t="s">
        <v>35</v>
      </c>
      <c r="S298" s="104" t="s">
        <v>4137</v>
      </c>
      <c r="T298" s="30" t="s">
        <v>4138</v>
      </c>
      <c r="U298" s="30" t="s">
        <v>4138</v>
      </c>
      <c r="V298" s="105">
        <f t="shared" si="2"/>
        <v>1</v>
      </c>
      <c r="W298" s="105">
        <f t="shared" ref="W298:X298" si="303">IF(lenb(SUBSTITUTE($Z298,W$1&amp;" (1)",""))&lt;lenb($Z298),1,IF(lenb(SUBSTITUTE($Z298,W$1&amp;" (2)",""))&lt;lenb($Z298),2,IF(lenb(SUBSTITUTE($Z298,W$1&amp;" (3)",""))&lt;lenb($Z298),3,IF(lenb(SUBSTITUTE($Z298,W$1&amp;" (4)",""))&lt;lenb($Z298),4,IF(lenb(SUBSTITUTE($Z298,W$1&amp;" (5)",""))&lt;lenb($Z298),5,IF(lenb(SUBSTITUTE($Z298,W$1&amp;" (6)",""))&lt;lenb($Z298),6,IF(lenb(SUBSTITUTE($Z298,W$1&amp;" (7)",""))&lt;lenb($Z298),1,IF(lenb(SUBSTITUTE($Z298,W$1&amp;" (8)",""))&lt;lenb($Z298),8,IF(lenb(SUBSTITUTE($Z298,W$1&amp;" (9)",""))&lt;lenb($Z298),9,IF(lenb(SUBSTITUTE($Z298,W$1&amp;" (10)",""))&lt;lenb($Z298),10,IF(lenb(SUBSTITUTE($Z298,W$1,""))&lt;lenb($Z298),"ERROR",IF($Z298=$Y$1,"-",0))))))))))))</f>
        <v>0</v>
      </c>
      <c r="X298" s="105">
        <f t="shared" si="303"/>
        <v>0</v>
      </c>
      <c r="Y298" s="105" t="str">
        <f t="shared" si="4"/>
        <v>-</v>
      </c>
      <c r="Z298" s="104" t="s">
        <v>3400</v>
      </c>
      <c r="AA298" s="34">
        <f t="shared" si="5"/>
        <v>1</v>
      </c>
      <c r="AB298" s="34">
        <f>COUNTIFS(Links!B:B,"FSE",Links!C:C,A298,Links!AD:AD,1)</f>
        <v>0</v>
      </c>
      <c r="AC298" s="106" t="s">
        <v>35</v>
      </c>
      <c r="AD298" s="107" t="s">
        <v>35</v>
      </c>
      <c r="AE298" s="104" t="s">
        <v>36</v>
      </c>
      <c r="AF298" s="37" t="s">
        <v>42</v>
      </c>
      <c r="AG298" s="37" t="s">
        <v>42</v>
      </c>
      <c r="AH298" s="37" t="s">
        <v>42</v>
      </c>
      <c r="AI298" s="105" t="str">
        <f t="shared" si="6"/>
        <v>----</v>
      </c>
      <c r="AJ298" s="108" t="str">
        <f t="shared" si="7"/>
        <v>Paper has link but no statement</v>
      </c>
      <c r="AK298" s="109" t="s">
        <v>3401</v>
      </c>
      <c r="AL298" s="110" t="s">
        <v>3402</v>
      </c>
      <c r="AM298" s="40" t="str">
        <f t="shared" si="8"/>
        <v>[FP0514]</v>
      </c>
    </row>
    <row r="299" ht="67.5" customHeight="1">
      <c r="A299" s="41">
        <v>515.0</v>
      </c>
      <c r="B299" s="42" t="s">
        <v>4139</v>
      </c>
      <c r="C299" s="43">
        <v>2018.0</v>
      </c>
      <c r="D299" s="111" t="s">
        <v>37</v>
      </c>
      <c r="E299" s="45" t="s">
        <v>37</v>
      </c>
      <c r="F299" s="45" t="s">
        <v>37</v>
      </c>
      <c r="G299" s="45" t="s">
        <v>37</v>
      </c>
      <c r="H299" s="45" t="s">
        <v>35</v>
      </c>
      <c r="I299" s="45" t="s">
        <v>35</v>
      </c>
      <c r="J299" s="112" t="s">
        <v>36</v>
      </c>
      <c r="K299" s="113" t="s">
        <v>37</v>
      </c>
      <c r="L299" s="114" t="s">
        <v>35</v>
      </c>
      <c r="M299" s="114" t="s">
        <v>37</v>
      </c>
      <c r="N299" s="114" t="s">
        <v>35</v>
      </c>
      <c r="O299" s="114" t="s">
        <v>35</v>
      </c>
      <c r="P299" s="114" t="s">
        <v>35</v>
      </c>
      <c r="Q299" s="114" t="s">
        <v>35</v>
      </c>
      <c r="R299" s="114" t="s">
        <v>37</v>
      </c>
      <c r="S299" s="115" t="s">
        <v>4140</v>
      </c>
      <c r="T299" s="50" t="s">
        <v>4141</v>
      </c>
      <c r="U299" s="50" t="s">
        <v>4141</v>
      </c>
      <c r="V299" s="116">
        <f t="shared" si="2"/>
        <v>1</v>
      </c>
      <c r="W299" s="116">
        <f t="shared" ref="W299:X299" si="304">IF(lenb(SUBSTITUTE($Z299,W$1&amp;" (1)",""))&lt;lenb($Z299),1,IF(lenb(SUBSTITUTE($Z299,W$1&amp;" (2)",""))&lt;lenb($Z299),2,IF(lenb(SUBSTITUTE($Z299,W$1&amp;" (3)",""))&lt;lenb($Z299),3,IF(lenb(SUBSTITUTE($Z299,W$1&amp;" (4)",""))&lt;lenb($Z299),4,IF(lenb(SUBSTITUTE($Z299,W$1&amp;" (5)",""))&lt;lenb($Z299),5,IF(lenb(SUBSTITUTE($Z299,W$1&amp;" (6)",""))&lt;lenb($Z299),6,IF(lenb(SUBSTITUTE($Z299,W$1&amp;" (7)",""))&lt;lenb($Z299),1,IF(lenb(SUBSTITUTE($Z299,W$1&amp;" (8)",""))&lt;lenb($Z299),8,IF(lenb(SUBSTITUTE($Z299,W$1&amp;" (9)",""))&lt;lenb($Z299),9,IF(lenb(SUBSTITUTE($Z299,W$1&amp;" (10)",""))&lt;lenb($Z299),10,IF(lenb(SUBSTITUTE($Z299,W$1,""))&lt;lenb($Z299),"ERROR",IF($Z299=$Y$1,"-",0))))))))))))</f>
        <v>0</v>
      </c>
      <c r="X299" s="116">
        <f t="shared" si="304"/>
        <v>0</v>
      </c>
      <c r="Y299" s="116" t="str">
        <f t="shared" si="4"/>
        <v>-</v>
      </c>
      <c r="Z299" s="115" t="s">
        <v>3400</v>
      </c>
      <c r="AA299" s="54">
        <f t="shared" si="5"/>
        <v>1</v>
      </c>
      <c r="AB299" s="54">
        <f>COUNTIFS(Links!B:B,"FSE",Links!C:C,A299,Links!AD:AD,1)</f>
        <v>0</v>
      </c>
      <c r="AC299" s="117" t="s">
        <v>37</v>
      </c>
      <c r="AD299" s="118" t="s">
        <v>37</v>
      </c>
      <c r="AE299" s="115" t="s">
        <v>4142</v>
      </c>
      <c r="AF299" s="115" t="s">
        <v>281</v>
      </c>
      <c r="AG299" s="57" t="s">
        <v>42</v>
      </c>
      <c r="AH299" s="57" t="s">
        <v>42</v>
      </c>
      <c r="AI299" s="116" t="str">
        <f t="shared" si="6"/>
        <v>Barriers (Confidentiality and privacy)</v>
      </c>
      <c r="AJ299" s="119" t="str">
        <f t="shared" si="7"/>
        <v>Paper has link and statement</v>
      </c>
      <c r="AK299" s="120" t="s">
        <v>3401</v>
      </c>
      <c r="AL299" s="121" t="s">
        <v>3402</v>
      </c>
      <c r="AM299" s="60" t="str">
        <f t="shared" si="8"/>
        <v>[FP0515]</v>
      </c>
    </row>
    <row r="300" ht="67.5" customHeight="1">
      <c r="A300" s="61">
        <v>516.0</v>
      </c>
      <c r="B300" s="22" t="s">
        <v>4143</v>
      </c>
      <c r="C300" s="23">
        <v>2018.0</v>
      </c>
      <c r="D300" s="100" t="s">
        <v>35</v>
      </c>
      <c r="E300" s="25" t="s">
        <v>36</v>
      </c>
      <c r="F300" s="25" t="s">
        <v>36</v>
      </c>
      <c r="G300" s="25" t="s">
        <v>36</v>
      </c>
      <c r="H300" s="25" t="s">
        <v>36</v>
      </c>
      <c r="I300" s="25" t="s">
        <v>36</v>
      </c>
      <c r="J300" s="101" t="s">
        <v>36</v>
      </c>
      <c r="K300" s="102" t="s">
        <v>37</v>
      </c>
      <c r="L300" s="103" t="s">
        <v>37</v>
      </c>
      <c r="M300" s="103" t="s">
        <v>37</v>
      </c>
      <c r="N300" s="103" t="s">
        <v>35</v>
      </c>
      <c r="O300" s="103" t="s">
        <v>35</v>
      </c>
      <c r="P300" s="103" t="s">
        <v>35</v>
      </c>
      <c r="Q300" s="103" t="s">
        <v>35</v>
      </c>
      <c r="R300" s="103" t="s">
        <v>37</v>
      </c>
      <c r="S300" s="104" t="s">
        <v>4144</v>
      </c>
      <c r="T300" s="30" t="s">
        <v>4145</v>
      </c>
      <c r="U300" s="30" t="s">
        <v>4145</v>
      </c>
      <c r="V300" s="105">
        <f t="shared" si="2"/>
        <v>1</v>
      </c>
      <c r="W300" s="105">
        <f t="shared" ref="W300:X300" si="305">IF(lenb(SUBSTITUTE($Z300,W$1&amp;" (1)",""))&lt;lenb($Z300),1,IF(lenb(SUBSTITUTE($Z300,W$1&amp;" (2)",""))&lt;lenb($Z300),2,IF(lenb(SUBSTITUTE($Z300,W$1&amp;" (3)",""))&lt;lenb($Z300),3,IF(lenb(SUBSTITUTE($Z300,W$1&amp;" (4)",""))&lt;lenb($Z300),4,IF(lenb(SUBSTITUTE($Z300,W$1&amp;" (5)",""))&lt;lenb($Z300),5,IF(lenb(SUBSTITUTE($Z300,W$1&amp;" (6)",""))&lt;lenb($Z300),6,IF(lenb(SUBSTITUTE($Z300,W$1&amp;" (7)",""))&lt;lenb($Z300),1,IF(lenb(SUBSTITUTE($Z300,W$1&amp;" (8)",""))&lt;lenb($Z300),8,IF(lenb(SUBSTITUTE($Z300,W$1&amp;" (9)",""))&lt;lenb($Z300),9,IF(lenb(SUBSTITUTE($Z300,W$1&amp;" (10)",""))&lt;lenb($Z300),10,IF(lenb(SUBSTITUTE($Z300,W$1,""))&lt;lenb($Z300),"ERROR",IF($Z300=$Y$1,"-",0))))))))))))</f>
        <v>0</v>
      </c>
      <c r="X300" s="105">
        <f t="shared" si="305"/>
        <v>0</v>
      </c>
      <c r="Y300" s="105" t="str">
        <f t="shared" si="4"/>
        <v>-</v>
      </c>
      <c r="Z300" s="104" t="s">
        <v>3400</v>
      </c>
      <c r="AA300" s="34">
        <f t="shared" si="5"/>
        <v>1</v>
      </c>
      <c r="AB300" s="34">
        <f>COUNTIFS(Links!B:B,"FSE",Links!C:C,A300,Links!AD:AD,1)</f>
        <v>0</v>
      </c>
      <c r="AC300" s="106" t="s">
        <v>37</v>
      </c>
      <c r="AD300" s="107" t="s">
        <v>37</v>
      </c>
      <c r="AE300" s="104" t="s">
        <v>4146</v>
      </c>
      <c r="AF300" s="104" t="s">
        <v>223</v>
      </c>
      <c r="AG300" s="37" t="s">
        <v>42</v>
      </c>
      <c r="AH300" s="37" t="s">
        <v>42</v>
      </c>
      <c r="AI300" s="105" t="str">
        <f t="shared" si="6"/>
        <v>Barriers (Agreements and legal rights)</v>
      </c>
      <c r="AJ300" s="108" t="str">
        <f t="shared" si="7"/>
        <v>Paper has link and statement</v>
      </c>
      <c r="AK300" s="109" t="s">
        <v>3401</v>
      </c>
      <c r="AL300" s="110" t="s">
        <v>3402</v>
      </c>
      <c r="AM300" s="40" t="str">
        <f t="shared" si="8"/>
        <v>[FP0516]</v>
      </c>
    </row>
    <row r="301" ht="67.5" customHeight="1">
      <c r="A301" s="41">
        <v>517.0</v>
      </c>
      <c r="B301" s="42" t="s">
        <v>4147</v>
      </c>
      <c r="C301" s="43">
        <v>2018.0</v>
      </c>
      <c r="D301" s="111" t="s">
        <v>37</v>
      </c>
      <c r="E301" s="45" t="s">
        <v>37</v>
      </c>
      <c r="F301" s="45" t="s">
        <v>35</v>
      </c>
      <c r="G301" s="45" t="s">
        <v>35</v>
      </c>
      <c r="H301" s="45" t="s">
        <v>37</v>
      </c>
      <c r="I301" s="53" t="s">
        <v>37</v>
      </c>
      <c r="J301" s="112" t="s">
        <v>36</v>
      </c>
      <c r="K301" s="113" t="s">
        <v>37</v>
      </c>
      <c r="L301" s="114" t="s">
        <v>35</v>
      </c>
      <c r="M301" s="114" t="s">
        <v>37</v>
      </c>
      <c r="N301" s="114" t="s">
        <v>37</v>
      </c>
      <c r="O301" s="114" t="s">
        <v>35</v>
      </c>
      <c r="P301" s="114" t="s">
        <v>35</v>
      </c>
      <c r="Q301" s="114" t="s">
        <v>35</v>
      </c>
      <c r="R301" s="114" t="s">
        <v>37</v>
      </c>
      <c r="S301" s="115" t="s">
        <v>4148</v>
      </c>
      <c r="T301" s="50" t="s">
        <v>4149</v>
      </c>
      <c r="U301" s="50" t="s">
        <v>4149</v>
      </c>
      <c r="V301" s="116">
        <f t="shared" si="2"/>
        <v>1</v>
      </c>
      <c r="W301" s="116">
        <f t="shared" ref="W301:X301" si="306">IF(lenb(SUBSTITUTE($Z301,W$1&amp;" (1)",""))&lt;lenb($Z301),1,IF(lenb(SUBSTITUTE($Z301,W$1&amp;" (2)",""))&lt;lenb($Z301),2,IF(lenb(SUBSTITUTE($Z301,W$1&amp;" (3)",""))&lt;lenb($Z301),3,IF(lenb(SUBSTITUTE($Z301,W$1&amp;" (4)",""))&lt;lenb($Z301),4,IF(lenb(SUBSTITUTE($Z301,W$1&amp;" (5)",""))&lt;lenb($Z301),5,IF(lenb(SUBSTITUTE($Z301,W$1&amp;" (6)",""))&lt;lenb($Z301),6,IF(lenb(SUBSTITUTE($Z301,W$1&amp;" (7)",""))&lt;lenb($Z301),1,IF(lenb(SUBSTITUTE($Z301,W$1&amp;" (8)",""))&lt;lenb($Z301),8,IF(lenb(SUBSTITUTE($Z301,W$1&amp;" (9)",""))&lt;lenb($Z301),9,IF(lenb(SUBSTITUTE($Z301,W$1&amp;" (10)",""))&lt;lenb($Z301),10,IF(lenb(SUBSTITUTE($Z301,W$1,""))&lt;lenb($Z301),"ERROR",IF($Z301=$Y$1,"-",0))))))))))))</f>
        <v>0</v>
      </c>
      <c r="X301" s="116">
        <f t="shared" si="306"/>
        <v>0</v>
      </c>
      <c r="Y301" s="116" t="str">
        <f t="shared" si="4"/>
        <v>-</v>
      </c>
      <c r="Z301" s="115" t="s">
        <v>3400</v>
      </c>
      <c r="AA301" s="54">
        <f t="shared" si="5"/>
        <v>1</v>
      </c>
      <c r="AB301" s="54">
        <f>COUNTIFS(Links!B:B,"FSE",Links!C:C,A301,Links!AD:AD,1)</f>
        <v>0</v>
      </c>
      <c r="AC301" s="117" t="s">
        <v>35</v>
      </c>
      <c r="AD301" s="118" t="s">
        <v>35</v>
      </c>
      <c r="AE301" s="115" t="s">
        <v>36</v>
      </c>
      <c r="AF301" s="57" t="s">
        <v>42</v>
      </c>
      <c r="AG301" s="57" t="s">
        <v>42</v>
      </c>
      <c r="AH301" s="57" t="s">
        <v>42</v>
      </c>
      <c r="AI301" s="116" t="str">
        <f t="shared" si="6"/>
        <v>----</v>
      </c>
      <c r="AJ301" s="119" t="str">
        <f t="shared" si="7"/>
        <v>Paper has link but no statement</v>
      </c>
      <c r="AK301" s="120" t="s">
        <v>3401</v>
      </c>
      <c r="AL301" s="121" t="s">
        <v>3402</v>
      </c>
      <c r="AM301" s="60" t="str">
        <f t="shared" si="8"/>
        <v>[FP0517]</v>
      </c>
    </row>
    <row r="302" ht="67.5" customHeight="1">
      <c r="A302" s="61">
        <v>518.0</v>
      </c>
      <c r="B302" s="22" t="s">
        <v>4150</v>
      </c>
      <c r="C302" s="23">
        <v>2018.0</v>
      </c>
      <c r="D302" s="100" t="s">
        <v>35</v>
      </c>
      <c r="E302" s="25" t="s">
        <v>36</v>
      </c>
      <c r="F302" s="25" t="s">
        <v>36</v>
      </c>
      <c r="G302" s="25" t="s">
        <v>36</v>
      </c>
      <c r="H302" s="25" t="s">
        <v>36</v>
      </c>
      <c r="I302" s="25" t="s">
        <v>36</v>
      </c>
      <c r="J302" s="101" t="s">
        <v>36</v>
      </c>
      <c r="K302" s="102" t="s">
        <v>35</v>
      </c>
      <c r="L302" s="103" t="s">
        <v>36</v>
      </c>
      <c r="M302" s="103" t="s">
        <v>36</v>
      </c>
      <c r="N302" s="103" t="s">
        <v>36</v>
      </c>
      <c r="O302" s="103" t="s">
        <v>36</v>
      </c>
      <c r="P302" s="103" t="s">
        <v>36</v>
      </c>
      <c r="Q302" s="103" t="s">
        <v>36</v>
      </c>
      <c r="R302" s="103" t="s">
        <v>36</v>
      </c>
      <c r="S302" s="104" t="s">
        <v>42</v>
      </c>
      <c r="T302" s="30" t="s">
        <v>36</v>
      </c>
      <c r="U302" s="30" t="s">
        <v>36</v>
      </c>
      <c r="V302" s="105" t="str">
        <f t="shared" si="2"/>
        <v>-</v>
      </c>
      <c r="W302" s="105" t="str">
        <f t="shared" ref="W302:X302" si="307">IF(lenb(SUBSTITUTE($Z302,W$1&amp;" (1)",""))&lt;lenb($Z302),1,IF(lenb(SUBSTITUTE($Z302,W$1&amp;" (2)",""))&lt;lenb($Z302),2,IF(lenb(SUBSTITUTE($Z302,W$1&amp;" (3)",""))&lt;lenb($Z302),3,IF(lenb(SUBSTITUTE($Z302,W$1&amp;" (4)",""))&lt;lenb($Z302),4,IF(lenb(SUBSTITUTE($Z302,W$1&amp;" (5)",""))&lt;lenb($Z302),5,IF(lenb(SUBSTITUTE($Z302,W$1&amp;" (6)",""))&lt;lenb($Z302),6,IF(lenb(SUBSTITUTE($Z302,W$1&amp;" (7)",""))&lt;lenb($Z302),1,IF(lenb(SUBSTITUTE($Z302,W$1&amp;" (8)",""))&lt;lenb($Z302),8,IF(lenb(SUBSTITUTE($Z302,W$1&amp;" (9)",""))&lt;lenb($Z302),9,IF(lenb(SUBSTITUTE($Z302,W$1&amp;" (10)",""))&lt;lenb($Z302),10,IF(lenb(SUBSTITUTE($Z302,W$1,""))&lt;lenb($Z302),"ERROR",IF($Z302=$Y$1,"-",0))))))))))))</f>
        <v>-</v>
      </c>
      <c r="X302" s="105" t="str">
        <f t="shared" si="307"/>
        <v>-</v>
      </c>
      <c r="Y302" s="105">
        <f t="shared" si="4"/>
        <v>1</v>
      </c>
      <c r="Z302" s="104" t="s">
        <v>23</v>
      </c>
      <c r="AA302" s="34">
        <f t="shared" si="5"/>
        <v>0</v>
      </c>
      <c r="AB302" s="34">
        <f>COUNTIFS(Links!B:B,"FSE",Links!C:C,A302,Links!AD:AD,1)</f>
        <v>0</v>
      </c>
      <c r="AC302" s="106" t="s">
        <v>36</v>
      </c>
      <c r="AD302" s="107" t="s">
        <v>35</v>
      </c>
      <c r="AE302" s="104" t="s">
        <v>36</v>
      </c>
      <c r="AF302" s="37" t="s">
        <v>42</v>
      </c>
      <c r="AG302" s="37" t="s">
        <v>42</v>
      </c>
      <c r="AH302" s="37" t="s">
        <v>42</v>
      </c>
      <c r="AI302" s="105" t="str">
        <f t="shared" si="6"/>
        <v>----</v>
      </c>
      <c r="AJ302" s="108" t="str">
        <f t="shared" si="7"/>
        <v>Paper has no link and no statement</v>
      </c>
      <c r="AK302" s="109" t="s">
        <v>3401</v>
      </c>
      <c r="AL302" s="110" t="s">
        <v>3402</v>
      </c>
      <c r="AM302" s="40" t="str">
        <f t="shared" si="8"/>
        <v>[FP0518]</v>
      </c>
    </row>
    <row r="303" ht="67.5" customHeight="1">
      <c r="A303" s="41">
        <v>519.0</v>
      </c>
      <c r="B303" s="42" t="s">
        <v>4151</v>
      </c>
      <c r="C303" s="43">
        <v>2018.0</v>
      </c>
      <c r="D303" s="111" t="s">
        <v>35</v>
      </c>
      <c r="E303" s="45" t="s">
        <v>36</v>
      </c>
      <c r="F303" s="45" t="s">
        <v>36</v>
      </c>
      <c r="G303" s="45" t="s">
        <v>36</v>
      </c>
      <c r="H303" s="45" t="s">
        <v>36</v>
      </c>
      <c r="I303" s="45" t="s">
        <v>36</v>
      </c>
      <c r="J303" s="112" t="s">
        <v>36</v>
      </c>
      <c r="K303" s="113" t="s">
        <v>37</v>
      </c>
      <c r="L303" s="114" t="s">
        <v>35</v>
      </c>
      <c r="M303" s="114" t="s">
        <v>35</v>
      </c>
      <c r="N303" s="114" t="s">
        <v>35</v>
      </c>
      <c r="O303" s="114" t="s">
        <v>35</v>
      </c>
      <c r="P303" s="114" t="s">
        <v>35</v>
      </c>
      <c r="Q303" s="114" t="s">
        <v>35</v>
      </c>
      <c r="R303" s="114" t="s">
        <v>37</v>
      </c>
      <c r="S303" s="115" t="s">
        <v>1188</v>
      </c>
      <c r="T303" s="50" t="s">
        <v>4152</v>
      </c>
      <c r="U303" s="50" t="s">
        <v>4152</v>
      </c>
      <c r="V303" s="116">
        <f t="shared" si="2"/>
        <v>1</v>
      </c>
      <c r="W303" s="116">
        <f t="shared" ref="W303:X303" si="308">IF(lenb(SUBSTITUTE($Z303,W$1&amp;" (1)",""))&lt;lenb($Z303),1,IF(lenb(SUBSTITUTE($Z303,W$1&amp;" (2)",""))&lt;lenb($Z303),2,IF(lenb(SUBSTITUTE($Z303,W$1&amp;" (3)",""))&lt;lenb($Z303),3,IF(lenb(SUBSTITUTE($Z303,W$1&amp;" (4)",""))&lt;lenb($Z303),4,IF(lenb(SUBSTITUTE($Z303,W$1&amp;" (5)",""))&lt;lenb($Z303),5,IF(lenb(SUBSTITUTE($Z303,W$1&amp;" (6)",""))&lt;lenb($Z303),6,IF(lenb(SUBSTITUTE($Z303,W$1&amp;" (7)",""))&lt;lenb($Z303),1,IF(lenb(SUBSTITUTE($Z303,W$1&amp;" (8)",""))&lt;lenb($Z303),8,IF(lenb(SUBSTITUTE($Z303,W$1&amp;" (9)",""))&lt;lenb($Z303),9,IF(lenb(SUBSTITUTE($Z303,W$1&amp;" (10)",""))&lt;lenb($Z303),10,IF(lenb(SUBSTITUTE($Z303,W$1,""))&lt;lenb($Z303),"ERROR",IF($Z303=$Y$1,"-",0))))))))))))</f>
        <v>0</v>
      </c>
      <c r="X303" s="116">
        <f t="shared" si="308"/>
        <v>0</v>
      </c>
      <c r="Y303" s="116" t="str">
        <f t="shared" si="4"/>
        <v>-</v>
      </c>
      <c r="Z303" s="115" t="s">
        <v>3400</v>
      </c>
      <c r="AA303" s="54">
        <f t="shared" si="5"/>
        <v>1</v>
      </c>
      <c r="AB303" s="54">
        <f>COUNTIFS(Links!B:B,"FSE",Links!C:C,A303,Links!AD:AD,1)</f>
        <v>1</v>
      </c>
      <c r="AC303" s="117" t="s">
        <v>35</v>
      </c>
      <c r="AD303" s="118" t="s">
        <v>35</v>
      </c>
      <c r="AE303" s="115" t="s">
        <v>36</v>
      </c>
      <c r="AF303" s="57" t="s">
        <v>42</v>
      </c>
      <c r="AG303" s="57" t="s">
        <v>42</v>
      </c>
      <c r="AH303" s="57" t="s">
        <v>42</v>
      </c>
      <c r="AI303" s="116" t="str">
        <f t="shared" si="6"/>
        <v>----</v>
      </c>
      <c r="AJ303" s="119" t="str">
        <f t="shared" si="7"/>
        <v>Paper has link but no statement</v>
      </c>
      <c r="AK303" s="120" t="s">
        <v>3401</v>
      </c>
      <c r="AL303" s="121" t="s">
        <v>3402</v>
      </c>
      <c r="AM303" s="60" t="str">
        <f t="shared" si="8"/>
        <v>[FP0519]</v>
      </c>
    </row>
    <row r="304" ht="67.5" customHeight="1">
      <c r="A304" s="61">
        <v>520.0</v>
      </c>
      <c r="B304" s="22" t="s">
        <v>4153</v>
      </c>
      <c r="C304" s="23">
        <v>2018.0</v>
      </c>
      <c r="D304" s="100" t="s">
        <v>37</v>
      </c>
      <c r="E304" s="25" t="s">
        <v>37</v>
      </c>
      <c r="F304" s="25" t="s">
        <v>37</v>
      </c>
      <c r="G304" s="25" t="s">
        <v>37</v>
      </c>
      <c r="H304" s="25" t="s">
        <v>35</v>
      </c>
      <c r="I304" s="25" t="s">
        <v>35</v>
      </c>
      <c r="J304" s="101" t="s">
        <v>36</v>
      </c>
      <c r="K304" s="102" t="s">
        <v>37</v>
      </c>
      <c r="L304" s="103" t="s">
        <v>35</v>
      </c>
      <c r="M304" s="103" t="s">
        <v>35</v>
      </c>
      <c r="N304" s="103" t="s">
        <v>35</v>
      </c>
      <c r="O304" s="103" t="s">
        <v>35</v>
      </c>
      <c r="P304" s="103" t="s">
        <v>35</v>
      </c>
      <c r="Q304" s="103" t="s">
        <v>37</v>
      </c>
      <c r="R304" s="103" t="s">
        <v>35</v>
      </c>
      <c r="S304" s="104" t="s">
        <v>36</v>
      </c>
      <c r="T304" s="30" t="s">
        <v>4154</v>
      </c>
      <c r="U304" s="30" t="s">
        <v>4154</v>
      </c>
      <c r="V304" s="105">
        <f t="shared" si="2"/>
        <v>1</v>
      </c>
      <c r="W304" s="105">
        <f t="shared" ref="W304:X304" si="309">IF(lenb(SUBSTITUTE($Z304,W$1&amp;" (1)",""))&lt;lenb($Z304),1,IF(lenb(SUBSTITUTE($Z304,W$1&amp;" (2)",""))&lt;lenb($Z304),2,IF(lenb(SUBSTITUTE($Z304,W$1&amp;" (3)",""))&lt;lenb($Z304),3,IF(lenb(SUBSTITUTE($Z304,W$1&amp;" (4)",""))&lt;lenb($Z304),4,IF(lenb(SUBSTITUTE($Z304,W$1&amp;" (5)",""))&lt;lenb($Z304),5,IF(lenb(SUBSTITUTE($Z304,W$1&amp;" (6)",""))&lt;lenb($Z304),6,IF(lenb(SUBSTITUTE($Z304,W$1&amp;" (7)",""))&lt;lenb($Z304),1,IF(lenb(SUBSTITUTE($Z304,W$1&amp;" (8)",""))&lt;lenb($Z304),8,IF(lenb(SUBSTITUTE($Z304,W$1&amp;" (9)",""))&lt;lenb($Z304),9,IF(lenb(SUBSTITUTE($Z304,W$1&amp;" (10)",""))&lt;lenb($Z304),10,IF(lenb(SUBSTITUTE($Z304,W$1,""))&lt;lenb($Z304),"ERROR",IF($Z304=$Y$1,"-",0))))))))))))</f>
        <v>0</v>
      </c>
      <c r="X304" s="105">
        <f t="shared" si="309"/>
        <v>0</v>
      </c>
      <c r="Y304" s="105" t="str">
        <f t="shared" si="4"/>
        <v>-</v>
      </c>
      <c r="Z304" s="104" t="s">
        <v>3400</v>
      </c>
      <c r="AA304" s="34">
        <f t="shared" si="5"/>
        <v>1</v>
      </c>
      <c r="AB304" s="34">
        <f>COUNTIFS(Links!B:B,"FSE",Links!C:C,A304,Links!AD:AD,1)</f>
        <v>0</v>
      </c>
      <c r="AC304" s="106" t="s">
        <v>37</v>
      </c>
      <c r="AD304" s="107" t="s">
        <v>35</v>
      </c>
      <c r="AE304" s="104" t="s">
        <v>36</v>
      </c>
      <c r="AF304" s="37" t="s">
        <v>42</v>
      </c>
      <c r="AG304" s="37" t="s">
        <v>42</v>
      </c>
      <c r="AH304" s="37" t="s">
        <v>42</v>
      </c>
      <c r="AI304" s="105" t="str">
        <f t="shared" si="6"/>
        <v>----</v>
      </c>
      <c r="AJ304" s="108" t="str">
        <f t="shared" si="7"/>
        <v>Paper has link but no statement</v>
      </c>
      <c r="AK304" s="109" t="s">
        <v>3401</v>
      </c>
      <c r="AL304" s="110" t="s">
        <v>3402</v>
      </c>
      <c r="AM304" s="40" t="str">
        <f t="shared" si="8"/>
        <v>[FP0520]</v>
      </c>
    </row>
    <row r="305" ht="67.5" customHeight="1">
      <c r="A305" s="41">
        <v>521.0</v>
      </c>
      <c r="B305" s="42" t="s">
        <v>4155</v>
      </c>
      <c r="C305" s="43">
        <v>2018.0</v>
      </c>
      <c r="D305" s="111" t="s">
        <v>35</v>
      </c>
      <c r="E305" s="45" t="s">
        <v>36</v>
      </c>
      <c r="F305" s="45" t="s">
        <v>36</v>
      </c>
      <c r="G305" s="45" t="s">
        <v>36</v>
      </c>
      <c r="H305" s="45" t="s">
        <v>36</v>
      </c>
      <c r="I305" s="45" t="s">
        <v>36</v>
      </c>
      <c r="J305" s="112" t="s">
        <v>36</v>
      </c>
      <c r="K305" s="113" t="s">
        <v>37</v>
      </c>
      <c r="L305" s="114" t="s">
        <v>35</v>
      </c>
      <c r="M305" s="114" t="s">
        <v>35</v>
      </c>
      <c r="N305" s="114" t="s">
        <v>37</v>
      </c>
      <c r="O305" s="114" t="s">
        <v>35</v>
      </c>
      <c r="P305" s="114" t="s">
        <v>35</v>
      </c>
      <c r="Q305" s="114" t="s">
        <v>35</v>
      </c>
      <c r="R305" s="114" t="s">
        <v>35</v>
      </c>
      <c r="S305" s="115" t="s">
        <v>36</v>
      </c>
      <c r="T305" s="50" t="s">
        <v>4156</v>
      </c>
      <c r="U305" s="50" t="s">
        <v>4156</v>
      </c>
      <c r="V305" s="116">
        <f t="shared" si="2"/>
        <v>1</v>
      </c>
      <c r="W305" s="116">
        <f t="shared" ref="W305:X305" si="310">IF(lenb(SUBSTITUTE($Z305,W$1&amp;" (1)",""))&lt;lenb($Z305),1,IF(lenb(SUBSTITUTE($Z305,W$1&amp;" (2)",""))&lt;lenb($Z305),2,IF(lenb(SUBSTITUTE($Z305,W$1&amp;" (3)",""))&lt;lenb($Z305),3,IF(lenb(SUBSTITUTE($Z305,W$1&amp;" (4)",""))&lt;lenb($Z305),4,IF(lenb(SUBSTITUTE($Z305,W$1&amp;" (5)",""))&lt;lenb($Z305),5,IF(lenb(SUBSTITUTE($Z305,W$1&amp;" (6)",""))&lt;lenb($Z305),6,IF(lenb(SUBSTITUTE($Z305,W$1&amp;" (7)",""))&lt;lenb($Z305),1,IF(lenb(SUBSTITUTE($Z305,W$1&amp;" (8)",""))&lt;lenb($Z305),8,IF(lenb(SUBSTITUTE($Z305,W$1&amp;" (9)",""))&lt;lenb($Z305),9,IF(lenb(SUBSTITUTE($Z305,W$1&amp;" (10)",""))&lt;lenb($Z305),10,IF(lenb(SUBSTITUTE($Z305,W$1,""))&lt;lenb($Z305),"ERROR",IF($Z305=$Y$1,"-",0))))))))))))</f>
        <v>0</v>
      </c>
      <c r="X305" s="116">
        <f t="shared" si="310"/>
        <v>0</v>
      </c>
      <c r="Y305" s="116" t="str">
        <f t="shared" si="4"/>
        <v>-</v>
      </c>
      <c r="Z305" s="115" t="s">
        <v>3400</v>
      </c>
      <c r="AA305" s="54">
        <f t="shared" si="5"/>
        <v>1</v>
      </c>
      <c r="AB305" s="54">
        <f>COUNTIFS(Links!B:B,"FSE",Links!C:C,A305,Links!AD:AD,1)</f>
        <v>0</v>
      </c>
      <c r="AC305" s="117" t="s">
        <v>35</v>
      </c>
      <c r="AD305" s="118" t="s">
        <v>35</v>
      </c>
      <c r="AE305" s="115" t="s">
        <v>36</v>
      </c>
      <c r="AF305" s="57" t="s">
        <v>42</v>
      </c>
      <c r="AG305" s="57" t="s">
        <v>42</v>
      </c>
      <c r="AH305" s="57" t="s">
        <v>42</v>
      </c>
      <c r="AI305" s="116" t="str">
        <f t="shared" si="6"/>
        <v>----</v>
      </c>
      <c r="AJ305" s="119" t="str">
        <f t="shared" si="7"/>
        <v>Paper has link but no statement</v>
      </c>
      <c r="AK305" s="120" t="s">
        <v>3401</v>
      </c>
      <c r="AL305" s="121" t="s">
        <v>3402</v>
      </c>
      <c r="AM305" s="60" t="str">
        <f t="shared" si="8"/>
        <v>[FP0521]</v>
      </c>
    </row>
    <row r="306" ht="67.5" customHeight="1">
      <c r="A306" s="61">
        <v>522.0</v>
      </c>
      <c r="B306" s="22" t="s">
        <v>4157</v>
      </c>
      <c r="C306" s="23">
        <v>2018.0</v>
      </c>
      <c r="D306" s="100" t="s">
        <v>35</v>
      </c>
      <c r="E306" s="25" t="s">
        <v>36</v>
      </c>
      <c r="F306" s="25" t="s">
        <v>36</v>
      </c>
      <c r="G306" s="25" t="s">
        <v>36</v>
      </c>
      <c r="H306" s="25" t="s">
        <v>36</v>
      </c>
      <c r="I306" s="25" t="s">
        <v>36</v>
      </c>
      <c r="J306" s="101" t="s">
        <v>36</v>
      </c>
      <c r="K306" s="102" t="s">
        <v>37</v>
      </c>
      <c r="L306" s="103" t="s">
        <v>35</v>
      </c>
      <c r="M306" s="103" t="s">
        <v>35</v>
      </c>
      <c r="N306" s="103" t="s">
        <v>37</v>
      </c>
      <c r="O306" s="103" t="s">
        <v>35</v>
      </c>
      <c r="P306" s="103" t="s">
        <v>35</v>
      </c>
      <c r="Q306" s="103" t="s">
        <v>35</v>
      </c>
      <c r="R306" s="103" t="s">
        <v>35</v>
      </c>
      <c r="S306" s="104" t="s">
        <v>36</v>
      </c>
      <c r="T306" s="30" t="s">
        <v>4158</v>
      </c>
      <c r="U306" s="30" t="s">
        <v>4158</v>
      </c>
      <c r="V306" s="105">
        <f t="shared" si="2"/>
        <v>2</v>
      </c>
      <c r="W306" s="105">
        <f t="shared" ref="W306:X306" si="311">IF(lenb(SUBSTITUTE($Z306,W$1&amp;" (1)",""))&lt;lenb($Z306),1,IF(lenb(SUBSTITUTE($Z306,W$1&amp;" (2)",""))&lt;lenb($Z306),2,IF(lenb(SUBSTITUTE($Z306,W$1&amp;" (3)",""))&lt;lenb($Z306),3,IF(lenb(SUBSTITUTE($Z306,W$1&amp;" (4)",""))&lt;lenb($Z306),4,IF(lenb(SUBSTITUTE($Z306,W$1&amp;" (5)",""))&lt;lenb($Z306),5,IF(lenb(SUBSTITUTE($Z306,W$1&amp;" (6)",""))&lt;lenb($Z306),6,IF(lenb(SUBSTITUTE($Z306,W$1&amp;" (7)",""))&lt;lenb($Z306),1,IF(lenb(SUBSTITUTE($Z306,W$1&amp;" (8)",""))&lt;lenb($Z306),8,IF(lenb(SUBSTITUTE($Z306,W$1&amp;" (9)",""))&lt;lenb($Z306),9,IF(lenb(SUBSTITUTE($Z306,W$1&amp;" (10)",""))&lt;lenb($Z306),10,IF(lenb(SUBSTITUTE($Z306,W$1,""))&lt;lenb($Z306),"ERROR",IF($Z306=$Y$1,"-",0))))))))))))</f>
        <v>0</v>
      </c>
      <c r="X306" s="105">
        <f t="shared" si="311"/>
        <v>0</v>
      </c>
      <c r="Y306" s="105" t="str">
        <f t="shared" si="4"/>
        <v>-</v>
      </c>
      <c r="Z306" s="104" t="s">
        <v>3452</v>
      </c>
      <c r="AA306" s="34">
        <f t="shared" si="5"/>
        <v>2</v>
      </c>
      <c r="AB306" s="34">
        <f>COUNTIFS(Links!B:B,"FSE",Links!C:C,A306,Links!AD:AD,1)</f>
        <v>0</v>
      </c>
      <c r="AC306" s="106" t="s">
        <v>35</v>
      </c>
      <c r="AD306" s="107" t="s">
        <v>35</v>
      </c>
      <c r="AE306" s="104" t="s">
        <v>36</v>
      </c>
      <c r="AF306" s="37" t="s">
        <v>42</v>
      </c>
      <c r="AG306" s="37" t="s">
        <v>42</v>
      </c>
      <c r="AH306" s="37" t="s">
        <v>42</v>
      </c>
      <c r="AI306" s="105" t="str">
        <f t="shared" si="6"/>
        <v>----</v>
      </c>
      <c r="AJ306" s="108" t="str">
        <f t="shared" si="7"/>
        <v>Paper has link but no statement</v>
      </c>
      <c r="AK306" s="109" t="s">
        <v>3401</v>
      </c>
      <c r="AL306" s="110" t="s">
        <v>3402</v>
      </c>
      <c r="AM306" s="40" t="str">
        <f t="shared" si="8"/>
        <v>[FP0522]</v>
      </c>
    </row>
    <row r="307" ht="67.5" customHeight="1">
      <c r="A307" s="41">
        <v>523.0</v>
      </c>
      <c r="B307" s="42" t="s">
        <v>4159</v>
      </c>
      <c r="C307" s="43">
        <v>2018.0</v>
      </c>
      <c r="D307" s="111" t="s">
        <v>35</v>
      </c>
      <c r="E307" s="45" t="s">
        <v>36</v>
      </c>
      <c r="F307" s="45" t="s">
        <v>36</v>
      </c>
      <c r="G307" s="45" t="s">
        <v>36</v>
      </c>
      <c r="H307" s="45" t="s">
        <v>36</v>
      </c>
      <c r="I307" s="45" t="s">
        <v>36</v>
      </c>
      <c r="J307" s="112" t="s">
        <v>36</v>
      </c>
      <c r="K307" s="113" t="s">
        <v>35</v>
      </c>
      <c r="L307" s="114" t="s">
        <v>36</v>
      </c>
      <c r="M307" s="114" t="s">
        <v>36</v>
      </c>
      <c r="N307" s="114" t="s">
        <v>36</v>
      </c>
      <c r="O307" s="114" t="s">
        <v>36</v>
      </c>
      <c r="P307" s="114" t="s">
        <v>36</v>
      </c>
      <c r="Q307" s="114" t="s">
        <v>36</v>
      </c>
      <c r="R307" s="114" t="s">
        <v>36</v>
      </c>
      <c r="S307" s="115" t="s">
        <v>42</v>
      </c>
      <c r="T307" s="50" t="s">
        <v>36</v>
      </c>
      <c r="U307" s="50" t="s">
        <v>36</v>
      </c>
      <c r="V307" s="116" t="str">
        <f t="shared" si="2"/>
        <v>-</v>
      </c>
      <c r="W307" s="116" t="str">
        <f t="shared" ref="W307:X307" si="312">IF(lenb(SUBSTITUTE($Z307,W$1&amp;" (1)",""))&lt;lenb($Z307),1,IF(lenb(SUBSTITUTE($Z307,W$1&amp;" (2)",""))&lt;lenb($Z307),2,IF(lenb(SUBSTITUTE($Z307,W$1&amp;" (3)",""))&lt;lenb($Z307),3,IF(lenb(SUBSTITUTE($Z307,W$1&amp;" (4)",""))&lt;lenb($Z307),4,IF(lenb(SUBSTITUTE($Z307,W$1&amp;" (5)",""))&lt;lenb($Z307),5,IF(lenb(SUBSTITUTE($Z307,W$1&amp;" (6)",""))&lt;lenb($Z307),6,IF(lenb(SUBSTITUTE($Z307,W$1&amp;" (7)",""))&lt;lenb($Z307),1,IF(lenb(SUBSTITUTE($Z307,W$1&amp;" (8)",""))&lt;lenb($Z307),8,IF(lenb(SUBSTITUTE($Z307,W$1&amp;" (9)",""))&lt;lenb($Z307),9,IF(lenb(SUBSTITUTE($Z307,W$1&amp;" (10)",""))&lt;lenb($Z307),10,IF(lenb(SUBSTITUTE($Z307,W$1,""))&lt;lenb($Z307),"ERROR",IF($Z307=$Y$1,"-",0))))))))))))</f>
        <v>-</v>
      </c>
      <c r="X307" s="116" t="str">
        <f t="shared" si="312"/>
        <v>-</v>
      </c>
      <c r="Y307" s="116">
        <f t="shared" si="4"/>
        <v>1</v>
      </c>
      <c r="Z307" s="115" t="s">
        <v>23</v>
      </c>
      <c r="AA307" s="54">
        <f t="shared" si="5"/>
        <v>0</v>
      </c>
      <c r="AB307" s="54">
        <f>COUNTIFS(Links!B:B,"FSE",Links!C:C,A307,Links!AD:AD,1)</f>
        <v>0</v>
      </c>
      <c r="AC307" s="117" t="s">
        <v>36</v>
      </c>
      <c r="AD307" s="118" t="s">
        <v>35</v>
      </c>
      <c r="AE307" s="115" t="s">
        <v>36</v>
      </c>
      <c r="AF307" s="57" t="s">
        <v>42</v>
      </c>
      <c r="AG307" s="57" t="s">
        <v>42</v>
      </c>
      <c r="AH307" s="57" t="s">
        <v>42</v>
      </c>
      <c r="AI307" s="116" t="str">
        <f t="shared" si="6"/>
        <v>----</v>
      </c>
      <c r="AJ307" s="119" t="str">
        <f t="shared" si="7"/>
        <v>Paper has no link and no statement</v>
      </c>
      <c r="AK307" s="120" t="s">
        <v>3401</v>
      </c>
      <c r="AL307" s="121" t="s">
        <v>3402</v>
      </c>
      <c r="AM307" s="60" t="str">
        <f t="shared" si="8"/>
        <v>[FP0523]</v>
      </c>
    </row>
    <row r="308" ht="67.5" customHeight="1">
      <c r="A308" s="61">
        <v>524.0</v>
      </c>
      <c r="B308" s="22" t="s">
        <v>4160</v>
      </c>
      <c r="C308" s="23">
        <v>2018.0</v>
      </c>
      <c r="D308" s="100" t="s">
        <v>35</v>
      </c>
      <c r="E308" s="25" t="s">
        <v>36</v>
      </c>
      <c r="F308" s="25" t="s">
        <v>36</v>
      </c>
      <c r="G308" s="25" t="s">
        <v>36</v>
      </c>
      <c r="H308" s="25" t="s">
        <v>36</v>
      </c>
      <c r="I308" s="25" t="s">
        <v>36</v>
      </c>
      <c r="J308" s="101" t="s">
        <v>36</v>
      </c>
      <c r="K308" s="102" t="s">
        <v>37</v>
      </c>
      <c r="L308" s="103" t="s">
        <v>35</v>
      </c>
      <c r="M308" s="103" t="s">
        <v>35</v>
      </c>
      <c r="N308" s="103" t="s">
        <v>37</v>
      </c>
      <c r="O308" s="103" t="s">
        <v>35</v>
      </c>
      <c r="P308" s="103" t="s">
        <v>35</v>
      </c>
      <c r="Q308" s="103" t="s">
        <v>35</v>
      </c>
      <c r="R308" s="103" t="s">
        <v>35</v>
      </c>
      <c r="S308" s="104" t="s">
        <v>36</v>
      </c>
      <c r="T308" s="30" t="s">
        <v>4161</v>
      </c>
      <c r="U308" s="30" t="s">
        <v>4161</v>
      </c>
      <c r="V308" s="105">
        <f t="shared" si="2"/>
        <v>1</v>
      </c>
      <c r="W308" s="105">
        <f t="shared" ref="W308:X308" si="313">IF(lenb(SUBSTITUTE($Z308,W$1&amp;" (1)",""))&lt;lenb($Z308),1,IF(lenb(SUBSTITUTE($Z308,W$1&amp;" (2)",""))&lt;lenb($Z308),2,IF(lenb(SUBSTITUTE($Z308,W$1&amp;" (3)",""))&lt;lenb($Z308),3,IF(lenb(SUBSTITUTE($Z308,W$1&amp;" (4)",""))&lt;lenb($Z308),4,IF(lenb(SUBSTITUTE($Z308,W$1&amp;" (5)",""))&lt;lenb($Z308),5,IF(lenb(SUBSTITUTE($Z308,W$1&amp;" (6)",""))&lt;lenb($Z308),6,IF(lenb(SUBSTITUTE($Z308,W$1&amp;" (7)",""))&lt;lenb($Z308),1,IF(lenb(SUBSTITUTE($Z308,W$1&amp;" (8)",""))&lt;lenb($Z308),8,IF(lenb(SUBSTITUTE($Z308,W$1&amp;" (9)",""))&lt;lenb($Z308),9,IF(lenb(SUBSTITUTE($Z308,W$1&amp;" (10)",""))&lt;lenb($Z308),10,IF(lenb(SUBSTITUTE($Z308,W$1,""))&lt;lenb($Z308),"ERROR",IF($Z308=$Y$1,"-",0))))))))))))</f>
        <v>0</v>
      </c>
      <c r="X308" s="105">
        <f t="shared" si="313"/>
        <v>0</v>
      </c>
      <c r="Y308" s="105" t="str">
        <f t="shared" si="4"/>
        <v>-</v>
      </c>
      <c r="Z308" s="104" t="s">
        <v>3400</v>
      </c>
      <c r="AA308" s="34">
        <f t="shared" si="5"/>
        <v>1</v>
      </c>
      <c r="AB308" s="34">
        <f>COUNTIFS(Links!B:B,"FSE",Links!C:C,A308,Links!AD:AD,1)</f>
        <v>0</v>
      </c>
      <c r="AC308" s="106" t="s">
        <v>35</v>
      </c>
      <c r="AD308" s="107" t="s">
        <v>35</v>
      </c>
      <c r="AE308" s="104" t="s">
        <v>36</v>
      </c>
      <c r="AF308" s="37" t="s">
        <v>42</v>
      </c>
      <c r="AG308" s="37" t="s">
        <v>42</v>
      </c>
      <c r="AH308" s="37" t="s">
        <v>42</v>
      </c>
      <c r="AI308" s="105" t="str">
        <f t="shared" si="6"/>
        <v>----</v>
      </c>
      <c r="AJ308" s="108" t="str">
        <f t="shared" si="7"/>
        <v>Paper has link but no statement</v>
      </c>
      <c r="AK308" s="109" t="s">
        <v>3401</v>
      </c>
      <c r="AL308" s="110" t="s">
        <v>3402</v>
      </c>
      <c r="AM308" s="40" t="str">
        <f t="shared" si="8"/>
        <v>[FP0524]</v>
      </c>
    </row>
    <row r="309" ht="67.5" customHeight="1">
      <c r="A309" s="41">
        <v>525.0</v>
      </c>
      <c r="B309" s="42" t="s">
        <v>4162</v>
      </c>
      <c r="C309" s="43">
        <v>2018.0</v>
      </c>
      <c r="D309" s="111" t="s">
        <v>35</v>
      </c>
      <c r="E309" s="45" t="s">
        <v>36</v>
      </c>
      <c r="F309" s="45" t="s">
        <v>36</v>
      </c>
      <c r="G309" s="45" t="s">
        <v>36</v>
      </c>
      <c r="H309" s="45" t="s">
        <v>36</v>
      </c>
      <c r="I309" s="45" t="s">
        <v>36</v>
      </c>
      <c r="J309" s="112" t="s">
        <v>36</v>
      </c>
      <c r="K309" s="113" t="s">
        <v>37</v>
      </c>
      <c r="L309" s="114" t="s">
        <v>35</v>
      </c>
      <c r="M309" s="114" t="s">
        <v>35</v>
      </c>
      <c r="N309" s="114" t="s">
        <v>35</v>
      </c>
      <c r="O309" s="114" t="s">
        <v>37</v>
      </c>
      <c r="P309" s="114" t="s">
        <v>35</v>
      </c>
      <c r="Q309" s="114" t="s">
        <v>35</v>
      </c>
      <c r="R309" s="114" t="s">
        <v>35</v>
      </c>
      <c r="S309" s="115" t="s">
        <v>36</v>
      </c>
      <c r="T309" s="50" t="s">
        <v>4163</v>
      </c>
      <c r="U309" s="50" t="s">
        <v>4163</v>
      </c>
      <c r="V309" s="116">
        <f t="shared" si="2"/>
        <v>1</v>
      </c>
      <c r="W309" s="116">
        <f t="shared" ref="W309:X309" si="314">IF(lenb(SUBSTITUTE($Z309,W$1&amp;" (1)",""))&lt;lenb($Z309),1,IF(lenb(SUBSTITUTE($Z309,W$1&amp;" (2)",""))&lt;lenb($Z309),2,IF(lenb(SUBSTITUTE($Z309,W$1&amp;" (3)",""))&lt;lenb($Z309),3,IF(lenb(SUBSTITUTE($Z309,W$1&amp;" (4)",""))&lt;lenb($Z309),4,IF(lenb(SUBSTITUTE($Z309,W$1&amp;" (5)",""))&lt;lenb($Z309),5,IF(lenb(SUBSTITUTE($Z309,W$1&amp;" (6)",""))&lt;lenb($Z309),6,IF(lenb(SUBSTITUTE($Z309,W$1&amp;" (7)",""))&lt;lenb($Z309),1,IF(lenb(SUBSTITUTE($Z309,W$1&amp;" (8)",""))&lt;lenb($Z309),8,IF(lenb(SUBSTITUTE($Z309,W$1&amp;" (9)",""))&lt;lenb($Z309),9,IF(lenb(SUBSTITUTE($Z309,W$1&amp;" (10)",""))&lt;lenb($Z309),10,IF(lenb(SUBSTITUTE($Z309,W$1,""))&lt;lenb($Z309),"ERROR",IF($Z309=$Y$1,"-",0))))))))))))</f>
        <v>0</v>
      </c>
      <c r="X309" s="116">
        <f t="shared" si="314"/>
        <v>0</v>
      </c>
      <c r="Y309" s="116" t="str">
        <f t="shared" si="4"/>
        <v>-</v>
      </c>
      <c r="Z309" s="115" t="s">
        <v>3400</v>
      </c>
      <c r="AA309" s="54">
        <f t="shared" si="5"/>
        <v>1</v>
      </c>
      <c r="AB309" s="54">
        <f>COUNTIFS(Links!B:B,"FSE",Links!C:C,A309,Links!AD:AD,1)</f>
        <v>0</v>
      </c>
      <c r="AC309" s="117" t="s">
        <v>35</v>
      </c>
      <c r="AD309" s="118" t="s">
        <v>35</v>
      </c>
      <c r="AE309" s="115" t="s">
        <v>36</v>
      </c>
      <c r="AF309" s="57" t="s">
        <v>42</v>
      </c>
      <c r="AG309" s="57" t="s">
        <v>42</v>
      </c>
      <c r="AH309" s="57" t="s">
        <v>42</v>
      </c>
      <c r="AI309" s="116" t="str">
        <f t="shared" si="6"/>
        <v>----</v>
      </c>
      <c r="AJ309" s="119" t="str">
        <f t="shared" si="7"/>
        <v>Paper has link but no statement</v>
      </c>
      <c r="AK309" s="120" t="s">
        <v>3401</v>
      </c>
      <c r="AL309" s="121" t="s">
        <v>3402</v>
      </c>
      <c r="AM309" s="60" t="str">
        <f t="shared" si="8"/>
        <v>[FP0525]</v>
      </c>
    </row>
    <row r="310" ht="67.5" customHeight="1">
      <c r="A310" s="61">
        <v>526.0</v>
      </c>
      <c r="B310" s="22" t="s">
        <v>4164</v>
      </c>
      <c r="C310" s="23">
        <v>2018.0</v>
      </c>
      <c r="D310" s="100" t="s">
        <v>37</v>
      </c>
      <c r="E310" s="25" t="s">
        <v>37</v>
      </c>
      <c r="F310" s="25" t="s">
        <v>37</v>
      </c>
      <c r="G310" s="25" t="s">
        <v>37</v>
      </c>
      <c r="H310" s="25" t="s">
        <v>35</v>
      </c>
      <c r="I310" s="25" t="s">
        <v>35</v>
      </c>
      <c r="J310" s="101" t="s">
        <v>36</v>
      </c>
      <c r="K310" s="102" t="s">
        <v>37</v>
      </c>
      <c r="L310" s="103" t="s">
        <v>37</v>
      </c>
      <c r="M310" s="103" t="s">
        <v>35</v>
      </c>
      <c r="N310" s="103" t="s">
        <v>37</v>
      </c>
      <c r="O310" s="103" t="s">
        <v>35</v>
      </c>
      <c r="P310" s="103" t="s">
        <v>35</v>
      </c>
      <c r="Q310" s="103" t="s">
        <v>35</v>
      </c>
      <c r="R310" s="103" t="s">
        <v>35</v>
      </c>
      <c r="S310" s="104" t="s">
        <v>36</v>
      </c>
      <c r="T310" s="30" t="s">
        <v>4165</v>
      </c>
      <c r="U310" s="30" t="s">
        <v>4165</v>
      </c>
      <c r="V310" s="105">
        <f t="shared" si="2"/>
        <v>1</v>
      </c>
      <c r="W310" s="105">
        <f t="shared" ref="W310:X310" si="315">IF(lenb(SUBSTITUTE($Z310,W$1&amp;" (1)",""))&lt;lenb($Z310),1,IF(lenb(SUBSTITUTE($Z310,W$1&amp;" (2)",""))&lt;lenb($Z310),2,IF(lenb(SUBSTITUTE($Z310,W$1&amp;" (3)",""))&lt;lenb($Z310),3,IF(lenb(SUBSTITUTE($Z310,W$1&amp;" (4)",""))&lt;lenb($Z310),4,IF(lenb(SUBSTITUTE($Z310,W$1&amp;" (5)",""))&lt;lenb($Z310),5,IF(lenb(SUBSTITUTE($Z310,W$1&amp;" (6)",""))&lt;lenb($Z310),6,IF(lenb(SUBSTITUTE($Z310,W$1&amp;" (7)",""))&lt;lenb($Z310),1,IF(lenb(SUBSTITUTE($Z310,W$1&amp;" (8)",""))&lt;lenb($Z310),8,IF(lenb(SUBSTITUTE($Z310,W$1&amp;" (9)",""))&lt;lenb($Z310),9,IF(lenb(SUBSTITUTE($Z310,W$1&amp;" (10)",""))&lt;lenb($Z310),10,IF(lenb(SUBSTITUTE($Z310,W$1,""))&lt;lenb($Z310),"ERROR",IF($Z310=$Y$1,"-",0))))))))))))</f>
        <v>0</v>
      </c>
      <c r="X310" s="105">
        <f t="shared" si="315"/>
        <v>0</v>
      </c>
      <c r="Y310" s="105" t="str">
        <f t="shared" si="4"/>
        <v>-</v>
      </c>
      <c r="Z310" s="104" t="s">
        <v>3400</v>
      </c>
      <c r="AA310" s="34">
        <f t="shared" si="5"/>
        <v>1</v>
      </c>
      <c r="AB310" s="34">
        <f>COUNTIFS(Links!B:B,"FSE",Links!C:C,A310,Links!AD:AD,1)</f>
        <v>0</v>
      </c>
      <c r="AC310" s="106" t="s">
        <v>35</v>
      </c>
      <c r="AD310" s="107" t="s">
        <v>35</v>
      </c>
      <c r="AE310" s="104" t="s">
        <v>36</v>
      </c>
      <c r="AF310" s="37" t="s">
        <v>42</v>
      </c>
      <c r="AG310" s="37" t="s">
        <v>42</v>
      </c>
      <c r="AH310" s="37" t="s">
        <v>42</v>
      </c>
      <c r="AI310" s="105" t="str">
        <f t="shared" si="6"/>
        <v>----</v>
      </c>
      <c r="AJ310" s="108" t="str">
        <f t="shared" si="7"/>
        <v>Paper has link but no statement</v>
      </c>
      <c r="AK310" s="109" t="s">
        <v>3401</v>
      </c>
      <c r="AL310" s="110" t="s">
        <v>3402</v>
      </c>
      <c r="AM310" s="40" t="str">
        <f t="shared" si="8"/>
        <v>[FP0526]</v>
      </c>
    </row>
    <row r="311" ht="67.5" customHeight="1">
      <c r="A311" s="41">
        <v>527.0</v>
      </c>
      <c r="B311" s="42" t="s">
        <v>4166</v>
      </c>
      <c r="C311" s="43">
        <v>2018.0</v>
      </c>
      <c r="D311" s="111" t="s">
        <v>37</v>
      </c>
      <c r="E311" s="45" t="s">
        <v>37</v>
      </c>
      <c r="F311" s="45" t="s">
        <v>37</v>
      </c>
      <c r="G311" s="45" t="s">
        <v>37</v>
      </c>
      <c r="H311" s="45" t="s">
        <v>35</v>
      </c>
      <c r="I311" s="45" t="s">
        <v>35</v>
      </c>
      <c r="J311" s="112" t="s">
        <v>36</v>
      </c>
      <c r="K311" s="113" t="s">
        <v>37</v>
      </c>
      <c r="L311" s="114" t="s">
        <v>37</v>
      </c>
      <c r="M311" s="114" t="s">
        <v>37</v>
      </c>
      <c r="N311" s="114" t="s">
        <v>37</v>
      </c>
      <c r="O311" s="114" t="s">
        <v>35</v>
      </c>
      <c r="P311" s="114" t="s">
        <v>35</v>
      </c>
      <c r="Q311" s="114" t="s">
        <v>35</v>
      </c>
      <c r="R311" s="114" t="s">
        <v>37</v>
      </c>
      <c r="S311" s="115" t="s">
        <v>4167</v>
      </c>
      <c r="T311" s="124" t="s">
        <v>4168</v>
      </c>
      <c r="U311" s="50" t="s">
        <v>4169</v>
      </c>
      <c r="V311" s="116">
        <f t="shared" si="2"/>
        <v>3</v>
      </c>
      <c r="W311" s="116">
        <f t="shared" ref="W311:X311" si="316">IF(lenb(SUBSTITUTE($Z311,W$1&amp;" (1)",""))&lt;lenb($Z311),1,IF(lenb(SUBSTITUTE($Z311,W$1&amp;" (2)",""))&lt;lenb($Z311),2,IF(lenb(SUBSTITUTE($Z311,W$1&amp;" (3)",""))&lt;lenb($Z311),3,IF(lenb(SUBSTITUTE($Z311,W$1&amp;" (4)",""))&lt;lenb($Z311),4,IF(lenb(SUBSTITUTE($Z311,W$1&amp;" (5)",""))&lt;lenb($Z311),5,IF(lenb(SUBSTITUTE($Z311,W$1&amp;" (6)",""))&lt;lenb($Z311),6,IF(lenb(SUBSTITUTE($Z311,W$1&amp;" (7)",""))&lt;lenb($Z311),1,IF(lenb(SUBSTITUTE($Z311,W$1&amp;" (8)",""))&lt;lenb($Z311),8,IF(lenb(SUBSTITUTE($Z311,W$1&amp;" (9)",""))&lt;lenb($Z311),9,IF(lenb(SUBSTITUTE($Z311,W$1&amp;" (10)",""))&lt;lenb($Z311),10,IF(lenb(SUBSTITUTE($Z311,W$1,""))&lt;lenb($Z311),"ERROR",IF($Z311=$Y$1,"-",0))))))))))))</f>
        <v>0</v>
      </c>
      <c r="X311" s="116">
        <f t="shared" si="316"/>
        <v>0</v>
      </c>
      <c r="Y311" s="116" t="str">
        <f t="shared" si="4"/>
        <v>-</v>
      </c>
      <c r="Z311" s="115" t="s">
        <v>3741</v>
      </c>
      <c r="AA311" s="54">
        <f t="shared" si="5"/>
        <v>3</v>
      </c>
      <c r="AB311" s="54">
        <f>COUNTIFS(Links!B:B,"FSE",Links!C:C,A311,Links!AD:AD,1)</f>
        <v>0</v>
      </c>
      <c r="AC311" s="117" t="s">
        <v>35</v>
      </c>
      <c r="AD311" s="118" t="s">
        <v>35</v>
      </c>
      <c r="AE311" s="115" t="s">
        <v>36</v>
      </c>
      <c r="AF311" s="57" t="s">
        <v>42</v>
      </c>
      <c r="AG311" s="57" t="s">
        <v>42</v>
      </c>
      <c r="AH311" s="57" t="s">
        <v>42</v>
      </c>
      <c r="AI311" s="116" t="str">
        <f t="shared" si="6"/>
        <v>----</v>
      </c>
      <c r="AJ311" s="119" t="str">
        <f t="shared" si="7"/>
        <v>Paper has link but no statement</v>
      </c>
      <c r="AK311" s="120" t="s">
        <v>3401</v>
      </c>
      <c r="AL311" s="121" t="s">
        <v>3402</v>
      </c>
      <c r="AM311" s="60" t="str">
        <f t="shared" si="8"/>
        <v>[FP0527]</v>
      </c>
    </row>
    <row r="312" ht="67.5" customHeight="1">
      <c r="A312" s="61">
        <v>528.0</v>
      </c>
      <c r="B312" s="22" t="s">
        <v>4170</v>
      </c>
      <c r="C312" s="23">
        <v>2018.0</v>
      </c>
      <c r="D312" s="100" t="s">
        <v>35</v>
      </c>
      <c r="E312" s="25" t="s">
        <v>36</v>
      </c>
      <c r="F312" s="25" t="s">
        <v>36</v>
      </c>
      <c r="G312" s="25" t="s">
        <v>36</v>
      </c>
      <c r="H312" s="25" t="s">
        <v>36</v>
      </c>
      <c r="I312" s="25" t="s">
        <v>36</v>
      </c>
      <c r="J312" s="101" t="s">
        <v>36</v>
      </c>
      <c r="K312" s="102" t="s">
        <v>35</v>
      </c>
      <c r="L312" s="103" t="s">
        <v>36</v>
      </c>
      <c r="M312" s="103" t="s">
        <v>36</v>
      </c>
      <c r="N312" s="103" t="s">
        <v>36</v>
      </c>
      <c r="O312" s="103" t="s">
        <v>36</v>
      </c>
      <c r="P312" s="103" t="s">
        <v>36</v>
      </c>
      <c r="Q312" s="103" t="s">
        <v>36</v>
      </c>
      <c r="R312" s="103" t="s">
        <v>36</v>
      </c>
      <c r="S312" s="104" t="s">
        <v>42</v>
      </c>
      <c r="T312" s="30" t="s">
        <v>36</v>
      </c>
      <c r="U312" s="30" t="s">
        <v>36</v>
      </c>
      <c r="V312" s="105" t="str">
        <f t="shared" si="2"/>
        <v>-</v>
      </c>
      <c r="W312" s="105" t="str">
        <f t="shared" ref="W312:X312" si="317">IF(lenb(SUBSTITUTE($Z312,W$1&amp;" (1)",""))&lt;lenb($Z312),1,IF(lenb(SUBSTITUTE($Z312,W$1&amp;" (2)",""))&lt;lenb($Z312),2,IF(lenb(SUBSTITUTE($Z312,W$1&amp;" (3)",""))&lt;lenb($Z312),3,IF(lenb(SUBSTITUTE($Z312,W$1&amp;" (4)",""))&lt;lenb($Z312),4,IF(lenb(SUBSTITUTE($Z312,W$1&amp;" (5)",""))&lt;lenb($Z312),5,IF(lenb(SUBSTITUTE($Z312,W$1&amp;" (6)",""))&lt;lenb($Z312),6,IF(lenb(SUBSTITUTE($Z312,W$1&amp;" (7)",""))&lt;lenb($Z312),1,IF(lenb(SUBSTITUTE($Z312,W$1&amp;" (8)",""))&lt;lenb($Z312),8,IF(lenb(SUBSTITUTE($Z312,W$1&amp;" (9)",""))&lt;lenb($Z312),9,IF(lenb(SUBSTITUTE($Z312,W$1&amp;" (10)",""))&lt;lenb($Z312),10,IF(lenb(SUBSTITUTE($Z312,W$1,""))&lt;lenb($Z312),"ERROR",IF($Z312=$Y$1,"-",0))))))))))))</f>
        <v>-</v>
      </c>
      <c r="X312" s="105" t="str">
        <f t="shared" si="317"/>
        <v>-</v>
      </c>
      <c r="Y312" s="105">
        <f t="shared" si="4"/>
        <v>1</v>
      </c>
      <c r="Z312" s="104" t="s">
        <v>23</v>
      </c>
      <c r="AA312" s="34">
        <f t="shared" si="5"/>
        <v>0</v>
      </c>
      <c r="AB312" s="34">
        <f>COUNTIFS(Links!B:B,"FSE",Links!C:C,A312,Links!AD:AD,1)</f>
        <v>0</v>
      </c>
      <c r="AC312" s="106" t="s">
        <v>36</v>
      </c>
      <c r="AD312" s="107" t="s">
        <v>35</v>
      </c>
      <c r="AE312" s="104" t="s">
        <v>36</v>
      </c>
      <c r="AF312" s="37" t="s">
        <v>42</v>
      </c>
      <c r="AG312" s="37" t="s">
        <v>42</v>
      </c>
      <c r="AH312" s="37" t="s">
        <v>42</v>
      </c>
      <c r="AI312" s="105" t="str">
        <f t="shared" si="6"/>
        <v>----</v>
      </c>
      <c r="AJ312" s="108" t="str">
        <f t="shared" si="7"/>
        <v>Paper has no link and no statement</v>
      </c>
      <c r="AK312" s="109" t="s">
        <v>3401</v>
      </c>
      <c r="AL312" s="110" t="s">
        <v>3402</v>
      </c>
      <c r="AM312" s="40" t="str">
        <f t="shared" si="8"/>
        <v>[FP0528]</v>
      </c>
    </row>
    <row r="313" ht="67.5" customHeight="1">
      <c r="A313" s="41">
        <v>529.0</v>
      </c>
      <c r="B313" s="42" t="s">
        <v>4171</v>
      </c>
      <c r="C313" s="43">
        <v>2018.0</v>
      </c>
      <c r="D313" s="111" t="s">
        <v>37</v>
      </c>
      <c r="E313" s="45" t="s">
        <v>37</v>
      </c>
      <c r="F313" s="45" t="s">
        <v>37</v>
      </c>
      <c r="G313" s="45" t="s">
        <v>37</v>
      </c>
      <c r="H313" s="45" t="s">
        <v>35</v>
      </c>
      <c r="I313" s="45" t="s">
        <v>35</v>
      </c>
      <c r="J313" s="112" t="s">
        <v>36</v>
      </c>
      <c r="K313" s="113" t="s">
        <v>35</v>
      </c>
      <c r="L313" s="114" t="s">
        <v>36</v>
      </c>
      <c r="M313" s="114" t="s">
        <v>36</v>
      </c>
      <c r="N313" s="114" t="s">
        <v>36</v>
      </c>
      <c r="O313" s="114" t="s">
        <v>36</v>
      </c>
      <c r="P313" s="114" t="s">
        <v>36</v>
      </c>
      <c r="Q313" s="114" t="s">
        <v>36</v>
      </c>
      <c r="R313" s="114" t="s">
        <v>36</v>
      </c>
      <c r="S313" s="115" t="s">
        <v>42</v>
      </c>
      <c r="T313" s="50" t="s">
        <v>36</v>
      </c>
      <c r="U313" s="50" t="s">
        <v>36</v>
      </c>
      <c r="V313" s="116" t="str">
        <f t="shared" si="2"/>
        <v>-</v>
      </c>
      <c r="W313" s="116" t="str">
        <f t="shared" ref="W313:X313" si="318">IF(lenb(SUBSTITUTE($Z313,W$1&amp;" (1)",""))&lt;lenb($Z313),1,IF(lenb(SUBSTITUTE($Z313,W$1&amp;" (2)",""))&lt;lenb($Z313),2,IF(lenb(SUBSTITUTE($Z313,W$1&amp;" (3)",""))&lt;lenb($Z313),3,IF(lenb(SUBSTITUTE($Z313,W$1&amp;" (4)",""))&lt;lenb($Z313),4,IF(lenb(SUBSTITUTE($Z313,W$1&amp;" (5)",""))&lt;lenb($Z313),5,IF(lenb(SUBSTITUTE($Z313,W$1&amp;" (6)",""))&lt;lenb($Z313),6,IF(lenb(SUBSTITUTE($Z313,W$1&amp;" (7)",""))&lt;lenb($Z313),1,IF(lenb(SUBSTITUTE($Z313,W$1&amp;" (8)",""))&lt;lenb($Z313),8,IF(lenb(SUBSTITUTE($Z313,W$1&amp;" (9)",""))&lt;lenb($Z313),9,IF(lenb(SUBSTITUTE($Z313,W$1&amp;" (10)",""))&lt;lenb($Z313),10,IF(lenb(SUBSTITUTE($Z313,W$1,""))&lt;lenb($Z313),"ERROR",IF($Z313=$Y$1,"-",0))))))))))))</f>
        <v>-</v>
      </c>
      <c r="X313" s="116" t="str">
        <f t="shared" si="318"/>
        <v>-</v>
      </c>
      <c r="Y313" s="116">
        <f t="shared" si="4"/>
        <v>1</v>
      </c>
      <c r="Z313" s="115" t="s">
        <v>23</v>
      </c>
      <c r="AA313" s="54">
        <f t="shared" si="5"/>
        <v>0</v>
      </c>
      <c r="AB313" s="54">
        <f>COUNTIFS(Links!B:B,"FSE",Links!C:C,A313,Links!AD:AD,1)</f>
        <v>0</v>
      </c>
      <c r="AC313" s="117" t="s">
        <v>36</v>
      </c>
      <c r="AD313" s="118" t="s">
        <v>35</v>
      </c>
      <c r="AE313" s="115" t="s">
        <v>36</v>
      </c>
      <c r="AF313" s="57" t="s">
        <v>42</v>
      </c>
      <c r="AG313" s="57" t="s">
        <v>42</v>
      </c>
      <c r="AH313" s="57" t="s">
        <v>42</v>
      </c>
      <c r="AI313" s="116" t="str">
        <f t="shared" si="6"/>
        <v>----</v>
      </c>
      <c r="AJ313" s="119" t="str">
        <f t="shared" si="7"/>
        <v>Paper has no link and no statement</v>
      </c>
      <c r="AK313" s="120" t="s">
        <v>3401</v>
      </c>
      <c r="AL313" s="121" t="s">
        <v>3402</v>
      </c>
      <c r="AM313" s="60" t="str">
        <f t="shared" si="8"/>
        <v>[FP0529]</v>
      </c>
    </row>
    <row r="314" ht="67.5" customHeight="1">
      <c r="A314" s="61">
        <v>530.0</v>
      </c>
      <c r="B314" s="22" t="s">
        <v>4172</v>
      </c>
      <c r="C314" s="23">
        <v>2018.0</v>
      </c>
      <c r="D314" s="100" t="s">
        <v>35</v>
      </c>
      <c r="E314" s="25" t="s">
        <v>36</v>
      </c>
      <c r="F314" s="25" t="s">
        <v>36</v>
      </c>
      <c r="G314" s="25" t="s">
        <v>36</v>
      </c>
      <c r="H314" s="25" t="s">
        <v>36</v>
      </c>
      <c r="I314" s="25" t="s">
        <v>36</v>
      </c>
      <c r="J314" s="101" t="s">
        <v>36</v>
      </c>
      <c r="K314" s="102" t="s">
        <v>37</v>
      </c>
      <c r="L314" s="103" t="s">
        <v>35</v>
      </c>
      <c r="M314" s="103" t="s">
        <v>37</v>
      </c>
      <c r="N314" s="103" t="s">
        <v>37</v>
      </c>
      <c r="O314" s="103" t="s">
        <v>35</v>
      </c>
      <c r="P314" s="103" t="s">
        <v>35</v>
      </c>
      <c r="Q314" s="103" t="s">
        <v>35</v>
      </c>
      <c r="R314" s="103" t="s">
        <v>37</v>
      </c>
      <c r="S314" s="104" t="s">
        <v>4173</v>
      </c>
      <c r="T314" s="30" t="s">
        <v>4174</v>
      </c>
      <c r="U314" s="30" t="s">
        <v>4174</v>
      </c>
      <c r="V314" s="105">
        <f t="shared" si="2"/>
        <v>1</v>
      </c>
      <c r="W314" s="105">
        <f t="shared" ref="W314:X314" si="319">IF(lenb(SUBSTITUTE($Z314,W$1&amp;" (1)",""))&lt;lenb($Z314),1,IF(lenb(SUBSTITUTE($Z314,W$1&amp;" (2)",""))&lt;lenb($Z314),2,IF(lenb(SUBSTITUTE($Z314,W$1&amp;" (3)",""))&lt;lenb($Z314),3,IF(lenb(SUBSTITUTE($Z314,W$1&amp;" (4)",""))&lt;lenb($Z314),4,IF(lenb(SUBSTITUTE($Z314,W$1&amp;" (5)",""))&lt;lenb($Z314),5,IF(lenb(SUBSTITUTE($Z314,W$1&amp;" (6)",""))&lt;lenb($Z314),6,IF(lenb(SUBSTITUTE($Z314,W$1&amp;" (7)",""))&lt;lenb($Z314),1,IF(lenb(SUBSTITUTE($Z314,W$1&amp;" (8)",""))&lt;lenb($Z314),8,IF(lenb(SUBSTITUTE($Z314,W$1&amp;" (9)",""))&lt;lenb($Z314),9,IF(lenb(SUBSTITUTE($Z314,W$1&amp;" (10)",""))&lt;lenb($Z314),10,IF(lenb(SUBSTITUTE($Z314,W$1,""))&lt;lenb($Z314),"ERROR",IF($Z314=$Y$1,"-",0))))))))))))</f>
        <v>0</v>
      </c>
      <c r="X314" s="105">
        <f t="shared" si="319"/>
        <v>0</v>
      </c>
      <c r="Y314" s="105" t="str">
        <f t="shared" si="4"/>
        <v>-</v>
      </c>
      <c r="Z314" s="104" t="s">
        <v>3400</v>
      </c>
      <c r="AA314" s="34">
        <f t="shared" si="5"/>
        <v>1</v>
      </c>
      <c r="AB314" s="34">
        <f>COUNTIFS(Links!B:B,"FSE",Links!C:C,A314,Links!AD:AD,1)</f>
        <v>0</v>
      </c>
      <c r="AC314" s="106" t="s">
        <v>35</v>
      </c>
      <c r="AD314" s="107" t="s">
        <v>35</v>
      </c>
      <c r="AE314" s="104" t="s">
        <v>36</v>
      </c>
      <c r="AF314" s="37" t="s">
        <v>42</v>
      </c>
      <c r="AG314" s="37" t="s">
        <v>42</v>
      </c>
      <c r="AH314" s="37" t="s">
        <v>42</v>
      </c>
      <c r="AI314" s="105" t="str">
        <f t="shared" si="6"/>
        <v>----</v>
      </c>
      <c r="AJ314" s="108" t="str">
        <f t="shared" si="7"/>
        <v>Paper has link but no statement</v>
      </c>
      <c r="AK314" s="109" t="s">
        <v>3401</v>
      </c>
      <c r="AL314" s="110" t="s">
        <v>3402</v>
      </c>
      <c r="AM314" s="40" t="str">
        <f t="shared" si="8"/>
        <v>[FP0530]</v>
      </c>
    </row>
    <row r="315" ht="67.5" customHeight="1">
      <c r="A315" s="41">
        <v>531.0</v>
      </c>
      <c r="B315" s="42" t="s">
        <v>4175</v>
      </c>
      <c r="C315" s="43">
        <v>2018.0</v>
      </c>
      <c r="D315" s="111" t="s">
        <v>37</v>
      </c>
      <c r="E315" s="45" t="s">
        <v>37</v>
      </c>
      <c r="F315" s="45" t="s">
        <v>37</v>
      </c>
      <c r="G315" s="45" t="s">
        <v>37</v>
      </c>
      <c r="H315" s="45" t="s">
        <v>35</v>
      </c>
      <c r="I315" s="45" t="s">
        <v>35</v>
      </c>
      <c r="J315" s="112" t="s">
        <v>36</v>
      </c>
      <c r="K315" s="113" t="s">
        <v>35</v>
      </c>
      <c r="L315" s="114" t="s">
        <v>36</v>
      </c>
      <c r="M315" s="114" t="s">
        <v>36</v>
      </c>
      <c r="N315" s="114" t="s">
        <v>36</v>
      </c>
      <c r="O315" s="114" t="s">
        <v>36</v>
      </c>
      <c r="P315" s="114" t="s">
        <v>36</v>
      </c>
      <c r="Q315" s="114" t="s">
        <v>36</v>
      </c>
      <c r="R315" s="114" t="s">
        <v>36</v>
      </c>
      <c r="S315" s="115" t="s">
        <v>42</v>
      </c>
      <c r="T315" s="50" t="s">
        <v>36</v>
      </c>
      <c r="U315" s="50" t="s">
        <v>36</v>
      </c>
      <c r="V315" s="116" t="str">
        <f t="shared" si="2"/>
        <v>-</v>
      </c>
      <c r="W315" s="116" t="str">
        <f t="shared" ref="W315:X315" si="320">IF(lenb(SUBSTITUTE($Z315,W$1&amp;" (1)",""))&lt;lenb($Z315),1,IF(lenb(SUBSTITUTE($Z315,W$1&amp;" (2)",""))&lt;lenb($Z315),2,IF(lenb(SUBSTITUTE($Z315,W$1&amp;" (3)",""))&lt;lenb($Z315),3,IF(lenb(SUBSTITUTE($Z315,W$1&amp;" (4)",""))&lt;lenb($Z315),4,IF(lenb(SUBSTITUTE($Z315,W$1&amp;" (5)",""))&lt;lenb($Z315),5,IF(lenb(SUBSTITUTE($Z315,W$1&amp;" (6)",""))&lt;lenb($Z315),6,IF(lenb(SUBSTITUTE($Z315,W$1&amp;" (7)",""))&lt;lenb($Z315),1,IF(lenb(SUBSTITUTE($Z315,W$1&amp;" (8)",""))&lt;lenb($Z315),8,IF(lenb(SUBSTITUTE($Z315,W$1&amp;" (9)",""))&lt;lenb($Z315),9,IF(lenb(SUBSTITUTE($Z315,W$1&amp;" (10)",""))&lt;lenb($Z315),10,IF(lenb(SUBSTITUTE($Z315,W$1,""))&lt;lenb($Z315),"ERROR",IF($Z315=$Y$1,"-",0))))))))))))</f>
        <v>-</v>
      </c>
      <c r="X315" s="116" t="str">
        <f t="shared" si="320"/>
        <v>-</v>
      </c>
      <c r="Y315" s="116">
        <f t="shared" si="4"/>
        <v>1</v>
      </c>
      <c r="Z315" s="115" t="s">
        <v>23</v>
      </c>
      <c r="AA315" s="54">
        <f t="shared" si="5"/>
        <v>0</v>
      </c>
      <c r="AB315" s="54">
        <f>COUNTIFS(Links!B:B,"FSE",Links!C:C,A315,Links!AD:AD,1)</f>
        <v>0</v>
      </c>
      <c r="AC315" s="117" t="s">
        <v>36</v>
      </c>
      <c r="AD315" s="118" t="s">
        <v>35</v>
      </c>
      <c r="AE315" s="115" t="s">
        <v>36</v>
      </c>
      <c r="AF315" s="57" t="s">
        <v>42</v>
      </c>
      <c r="AG315" s="57" t="s">
        <v>42</v>
      </c>
      <c r="AH315" s="57" t="s">
        <v>42</v>
      </c>
      <c r="AI315" s="116" t="str">
        <f t="shared" si="6"/>
        <v>----</v>
      </c>
      <c r="AJ315" s="119" t="str">
        <f t="shared" si="7"/>
        <v>Paper has no link and no statement</v>
      </c>
      <c r="AK315" s="120" t="s">
        <v>3401</v>
      </c>
      <c r="AL315" s="121" t="s">
        <v>3402</v>
      </c>
      <c r="AM315" s="60" t="str">
        <f t="shared" si="8"/>
        <v>[FP0531]</v>
      </c>
    </row>
    <row r="316" ht="67.5" customHeight="1">
      <c r="A316" s="61">
        <v>532.0</v>
      </c>
      <c r="B316" s="22" t="s">
        <v>4176</v>
      </c>
      <c r="C316" s="23">
        <v>2018.0</v>
      </c>
      <c r="D316" s="100" t="s">
        <v>35</v>
      </c>
      <c r="E316" s="25" t="s">
        <v>36</v>
      </c>
      <c r="F316" s="25" t="s">
        <v>36</v>
      </c>
      <c r="G316" s="25" t="s">
        <v>36</v>
      </c>
      <c r="H316" s="25" t="s">
        <v>36</v>
      </c>
      <c r="I316" s="25" t="s">
        <v>36</v>
      </c>
      <c r="J316" s="101" t="s">
        <v>36</v>
      </c>
      <c r="K316" s="102" t="s">
        <v>37</v>
      </c>
      <c r="L316" s="103" t="s">
        <v>37</v>
      </c>
      <c r="M316" s="103" t="s">
        <v>35</v>
      </c>
      <c r="N316" s="103" t="s">
        <v>35</v>
      </c>
      <c r="O316" s="103" t="s">
        <v>37</v>
      </c>
      <c r="P316" s="103" t="s">
        <v>35</v>
      </c>
      <c r="Q316" s="103" t="s">
        <v>35</v>
      </c>
      <c r="R316" s="103" t="s">
        <v>37</v>
      </c>
      <c r="S316" s="104" t="s">
        <v>4177</v>
      </c>
      <c r="T316" s="30" t="s">
        <v>4178</v>
      </c>
      <c r="U316" s="30" t="s">
        <v>4178</v>
      </c>
      <c r="V316" s="105">
        <f t="shared" si="2"/>
        <v>1</v>
      </c>
      <c r="W316" s="105">
        <f t="shared" ref="W316:X316" si="321">IF(lenb(SUBSTITUTE($Z316,W$1&amp;" (1)",""))&lt;lenb($Z316),1,IF(lenb(SUBSTITUTE($Z316,W$1&amp;" (2)",""))&lt;lenb($Z316),2,IF(lenb(SUBSTITUTE($Z316,W$1&amp;" (3)",""))&lt;lenb($Z316),3,IF(lenb(SUBSTITUTE($Z316,W$1&amp;" (4)",""))&lt;lenb($Z316),4,IF(lenb(SUBSTITUTE($Z316,W$1&amp;" (5)",""))&lt;lenb($Z316),5,IF(lenb(SUBSTITUTE($Z316,W$1&amp;" (6)",""))&lt;lenb($Z316),6,IF(lenb(SUBSTITUTE($Z316,W$1&amp;" (7)",""))&lt;lenb($Z316),1,IF(lenb(SUBSTITUTE($Z316,W$1&amp;" (8)",""))&lt;lenb($Z316),8,IF(lenb(SUBSTITUTE($Z316,W$1&amp;" (9)",""))&lt;lenb($Z316),9,IF(lenb(SUBSTITUTE($Z316,W$1&amp;" (10)",""))&lt;lenb($Z316),10,IF(lenb(SUBSTITUTE($Z316,W$1,""))&lt;lenb($Z316),"ERROR",IF($Z316=$Y$1,"-",0))))))))))))</f>
        <v>0</v>
      </c>
      <c r="X316" s="105">
        <f t="shared" si="321"/>
        <v>0</v>
      </c>
      <c r="Y316" s="105" t="str">
        <f t="shared" si="4"/>
        <v>-</v>
      </c>
      <c r="Z316" s="104" t="s">
        <v>3400</v>
      </c>
      <c r="AA316" s="34">
        <f t="shared" si="5"/>
        <v>1</v>
      </c>
      <c r="AB316" s="34">
        <f>COUNTIFS(Links!B:B,"FSE",Links!C:C,A316,Links!AD:AD,1)</f>
        <v>0</v>
      </c>
      <c r="AC316" s="106" t="s">
        <v>35</v>
      </c>
      <c r="AD316" s="107" t="s">
        <v>35</v>
      </c>
      <c r="AE316" s="104" t="s">
        <v>36</v>
      </c>
      <c r="AF316" s="37" t="s">
        <v>42</v>
      </c>
      <c r="AG316" s="37" t="s">
        <v>42</v>
      </c>
      <c r="AH316" s="37" t="s">
        <v>42</v>
      </c>
      <c r="AI316" s="105" t="str">
        <f t="shared" si="6"/>
        <v>----</v>
      </c>
      <c r="AJ316" s="108" t="str">
        <f t="shared" si="7"/>
        <v>Paper has link but no statement</v>
      </c>
      <c r="AK316" s="109" t="s">
        <v>3401</v>
      </c>
      <c r="AL316" s="110" t="s">
        <v>3402</v>
      </c>
      <c r="AM316" s="40" t="str">
        <f t="shared" si="8"/>
        <v>[FP0532]</v>
      </c>
    </row>
    <row r="317" ht="67.5" customHeight="1">
      <c r="A317" s="41">
        <v>533.0</v>
      </c>
      <c r="B317" s="42" t="s">
        <v>4179</v>
      </c>
      <c r="C317" s="43">
        <v>2018.0</v>
      </c>
      <c r="D317" s="111" t="s">
        <v>37</v>
      </c>
      <c r="E317" s="45" t="s">
        <v>37</v>
      </c>
      <c r="F317" s="45" t="s">
        <v>37</v>
      </c>
      <c r="G317" s="45" t="s">
        <v>35</v>
      </c>
      <c r="H317" s="45" t="s">
        <v>35</v>
      </c>
      <c r="I317" s="45" t="s">
        <v>35</v>
      </c>
      <c r="J317" s="112" t="s">
        <v>36</v>
      </c>
      <c r="K317" s="113" t="s">
        <v>37</v>
      </c>
      <c r="L317" s="114" t="s">
        <v>37</v>
      </c>
      <c r="M317" s="114" t="s">
        <v>35</v>
      </c>
      <c r="N317" s="114" t="s">
        <v>35</v>
      </c>
      <c r="O317" s="114" t="s">
        <v>35</v>
      </c>
      <c r="P317" s="114" t="s">
        <v>35</v>
      </c>
      <c r="Q317" s="114" t="s">
        <v>35</v>
      </c>
      <c r="R317" s="114" t="s">
        <v>37</v>
      </c>
      <c r="S317" s="115" t="s">
        <v>4180</v>
      </c>
      <c r="T317" s="50" t="s">
        <v>4181</v>
      </c>
      <c r="U317" s="50" t="s">
        <v>4181</v>
      </c>
      <c r="V317" s="116">
        <f t="shared" si="2"/>
        <v>1</v>
      </c>
      <c r="W317" s="116">
        <f t="shared" ref="W317:X317" si="322">IF(lenb(SUBSTITUTE($Z317,W$1&amp;" (1)",""))&lt;lenb($Z317),1,IF(lenb(SUBSTITUTE($Z317,W$1&amp;" (2)",""))&lt;lenb($Z317),2,IF(lenb(SUBSTITUTE($Z317,W$1&amp;" (3)",""))&lt;lenb($Z317),3,IF(lenb(SUBSTITUTE($Z317,W$1&amp;" (4)",""))&lt;lenb($Z317),4,IF(lenb(SUBSTITUTE($Z317,W$1&amp;" (5)",""))&lt;lenb($Z317),5,IF(lenb(SUBSTITUTE($Z317,W$1&amp;" (6)",""))&lt;lenb($Z317),6,IF(lenb(SUBSTITUTE($Z317,W$1&amp;" (7)",""))&lt;lenb($Z317),1,IF(lenb(SUBSTITUTE($Z317,W$1&amp;" (8)",""))&lt;lenb($Z317),8,IF(lenb(SUBSTITUTE($Z317,W$1&amp;" (9)",""))&lt;lenb($Z317),9,IF(lenb(SUBSTITUTE($Z317,W$1&amp;" (10)",""))&lt;lenb($Z317),10,IF(lenb(SUBSTITUTE($Z317,W$1,""))&lt;lenb($Z317),"ERROR",IF($Z317=$Y$1,"-",0))))))))))))</f>
        <v>0</v>
      </c>
      <c r="X317" s="116">
        <f t="shared" si="322"/>
        <v>0</v>
      </c>
      <c r="Y317" s="116" t="str">
        <f t="shared" si="4"/>
        <v>-</v>
      </c>
      <c r="Z317" s="115" t="s">
        <v>3400</v>
      </c>
      <c r="AA317" s="54">
        <f t="shared" si="5"/>
        <v>1</v>
      </c>
      <c r="AB317" s="54">
        <f>COUNTIFS(Links!B:B,"FSE",Links!C:C,A317,Links!AD:AD,1)</f>
        <v>0</v>
      </c>
      <c r="AC317" s="117" t="s">
        <v>35</v>
      </c>
      <c r="AD317" s="118" t="s">
        <v>35</v>
      </c>
      <c r="AE317" s="115" t="s">
        <v>36</v>
      </c>
      <c r="AF317" s="57" t="s">
        <v>42</v>
      </c>
      <c r="AG317" s="57" t="s">
        <v>42</v>
      </c>
      <c r="AH317" s="57" t="s">
        <v>42</v>
      </c>
      <c r="AI317" s="116" t="str">
        <f t="shared" si="6"/>
        <v>----</v>
      </c>
      <c r="AJ317" s="119" t="str">
        <f t="shared" si="7"/>
        <v>Paper has link but no statement</v>
      </c>
      <c r="AK317" s="120" t="s">
        <v>3401</v>
      </c>
      <c r="AL317" s="121" t="s">
        <v>3402</v>
      </c>
      <c r="AM317" s="60" t="str">
        <f t="shared" si="8"/>
        <v>[FP0533]</v>
      </c>
    </row>
    <row r="318" ht="67.5" customHeight="1">
      <c r="A318" s="61">
        <v>534.0</v>
      </c>
      <c r="B318" s="22" t="s">
        <v>4182</v>
      </c>
      <c r="C318" s="23">
        <v>2018.0</v>
      </c>
      <c r="D318" s="100" t="s">
        <v>35</v>
      </c>
      <c r="E318" s="25" t="s">
        <v>36</v>
      </c>
      <c r="F318" s="25" t="s">
        <v>36</v>
      </c>
      <c r="G318" s="25" t="s">
        <v>36</v>
      </c>
      <c r="H318" s="25" t="s">
        <v>36</v>
      </c>
      <c r="I318" s="25" t="s">
        <v>36</v>
      </c>
      <c r="J318" s="101" t="s">
        <v>36</v>
      </c>
      <c r="K318" s="102" t="s">
        <v>35</v>
      </c>
      <c r="L318" s="103" t="s">
        <v>36</v>
      </c>
      <c r="M318" s="103" t="s">
        <v>36</v>
      </c>
      <c r="N318" s="103" t="s">
        <v>36</v>
      </c>
      <c r="O318" s="103" t="s">
        <v>36</v>
      </c>
      <c r="P318" s="103" t="s">
        <v>36</v>
      </c>
      <c r="Q318" s="103" t="s">
        <v>36</v>
      </c>
      <c r="R318" s="103" t="s">
        <v>36</v>
      </c>
      <c r="S318" s="104" t="s">
        <v>42</v>
      </c>
      <c r="T318" s="30" t="s">
        <v>36</v>
      </c>
      <c r="U318" s="30" t="s">
        <v>36</v>
      </c>
      <c r="V318" s="105" t="str">
        <f t="shared" si="2"/>
        <v>-</v>
      </c>
      <c r="W318" s="105" t="str">
        <f t="shared" ref="W318:X318" si="323">IF(lenb(SUBSTITUTE($Z318,W$1&amp;" (1)",""))&lt;lenb($Z318),1,IF(lenb(SUBSTITUTE($Z318,W$1&amp;" (2)",""))&lt;lenb($Z318),2,IF(lenb(SUBSTITUTE($Z318,W$1&amp;" (3)",""))&lt;lenb($Z318),3,IF(lenb(SUBSTITUTE($Z318,W$1&amp;" (4)",""))&lt;lenb($Z318),4,IF(lenb(SUBSTITUTE($Z318,W$1&amp;" (5)",""))&lt;lenb($Z318),5,IF(lenb(SUBSTITUTE($Z318,W$1&amp;" (6)",""))&lt;lenb($Z318),6,IF(lenb(SUBSTITUTE($Z318,W$1&amp;" (7)",""))&lt;lenb($Z318),1,IF(lenb(SUBSTITUTE($Z318,W$1&amp;" (8)",""))&lt;lenb($Z318),8,IF(lenb(SUBSTITUTE($Z318,W$1&amp;" (9)",""))&lt;lenb($Z318),9,IF(lenb(SUBSTITUTE($Z318,W$1&amp;" (10)",""))&lt;lenb($Z318),10,IF(lenb(SUBSTITUTE($Z318,W$1,""))&lt;lenb($Z318),"ERROR",IF($Z318=$Y$1,"-",0))))))))))))</f>
        <v>-</v>
      </c>
      <c r="X318" s="105" t="str">
        <f t="shared" si="323"/>
        <v>-</v>
      </c>
      <c r="Y318" s="105">
        <f t="shared" si="4"/>
        <v>1</v>
      </c>
      <c r="Z318" s="104" t="s">
        <v>23</v>
      </c>
      <c r="AA318" s="34">
        <f t="shared" si="5"/>
        <v>0</v>
      </c>
      <c r="AB318" s="34">
        <f>COUNTIFS(Links!B:B,"FSE",Links!C:C,A318,Links!AD:AD,1)</f>
        <v>0</v>
      </c>
      <c r="AC318" s="106" t="s">
        <v>36</v>
      </c>
      <c r="AD318" s="107" t="s">
        <v>35</v>
      </c>
      <c r="AE318" s="104" t="s">
        <v>36</v>
      </c>
      <c r="AF318" s="37" t="s">
        <v>42</v>
      </c>
      <c r="AG318" s="37" t="s">
        <v>42</v>
      </c>
      <c r="AH318" s="37" t="s">
        <v>42</v>
      </c>
      <c r="AI318" s="105" t="str">
        <f t="shared" si="6"/>
        <v>----</v>
      </c>
      <c r="AJ318" s="108" t="str">
        <f t="shared" si="7"/>
        <v>Paper has no link and no statement</v>
      </c>
      <c r="AK318" s="109" t="s">
        <v>3401</v>
      </c>
      <c r="AL318" s="110" t="s">
        <v>3402</v>
      </c>
      <c r="AM318" s="40" t="str">
        <f t="shared" si="8"/>
        <v>[FP0534]</v>
      </c>
    </row>
    <row r="319" ht="67.5" customHeight="1">
      <c r="A319" s="41">
        <v>535.0</v>
      </c>
      <c r="B319" s="42" t="s">
        <v>4183</v>
      </c>
      <c r="C319" s="43">
        <v>2018.0</v>
      </c>
      <c r="D319" s="111" t="s">
        <v>37</v>
      </c>
      <c r="E319" s="45" t="s">
        <v>37</v>
      </c>
      <c r="F319" s="45" t="s">
        <v>37</v>
      </c>
      <c r="G319" s="45" t="s">
        <v>37</v>
      </c>
      <c r="H319" s="45" t="s">
        <v>35</v>
      </c>
      <c r="I319" s="45" t="s">
        <v>35</v>
      </c>
      <c r="J319" s="112" t="s">
        <v>36</v>
      </c>
      <c r="K319" s="113" t="s">
        <v>35</v>
      </c>
      <c r="L319" s="114" t="s">
        <v>36</v>
      </c>
      <c r="M319" s="114" t="s">
        <v>36</v>
      </c>
      <c r="N319" s="114" t="s">
        <v>36</v>
      </c>
      <c r="O319" s="114" t="s">
        <v>36</v>
      </c>
      <c r="P319" s="114" t="s">
        <v>36</v>
      </c>
      <c r="Q319" s="114" t="s">
        <v>36</v>
      </c>
      <c r="R319" s="114" t="s">
        <v>36</v>
      </c>
      <c r="S319" s="115" t="s">
        <v>42</v>
      </c>
      <c r="T319" s="50" t="s">
        <v>36</v>
      </c>
      <c r="U319" s="50" t="s">
        <v>36</v>
      </c>
      <c r="V319" s="116" t="str">
        <f t="shared" si="2"/>
        <v>-</v>
      </c>
      <c r="W319" s="116" t="str">
        <f t="shared" ref="W319:X319" si="324">IF(lenb(SUBSTITUTE($Z319,W$1&amp;" (1)",""))&lt;lenb($Z319),1,IF(lenb(SUBSTITUTE($Z319,W$1&amp;" (2)",""))&lt;lenb($Z319),2,IF(lenb(SUBSTITUTE($Z319,W$1&amp;" (3)",""))&lt;lenb($Z319),3,IF(lenb(SUBSTITUTE($Z319,W$1&amp;" (4)",""))&lt;lenb($Z319),4,IF(lenb(SUBSTITUTE($Z319,W$1&amp;" (5)",""))&lt;lenb($Z319),5,IF(lenb(SUBSTITUTE($Z319,W$1&amp;" (6)",""))&lt;lenb($Z319),6,IF(lenb(SUBSTITUTE($Z319,W$1&amp;" (7)",""))&lt;lenb($Z319),1,IF(lenb(SUBSTITUTE($Z319,W$1&amp;" (8)",""))&lt;lenb($Z319),8,IF(lenb(SUBSTITUTE($Z319,W$1&amp;" (9)",""))&lt;lenb($Z319),9,IF(lenb(SUBSTITUTE($Z319,W$1&amp;" (10)",""))&lt;lenb($Z319),10,IF(lenb(SUBSTITUTE($Z319,W$1,""))&lt;lenb($Z319),"ERROR",IF($Z319=$Y$1,"-",0))))))))))))</f>
        <v>-</v>
      </c>
      <c r="X319" s="116" t="str">
        <f t="shared" si="324"/>
        <v>-</v>
      </c>
      <c r="Y319" s="116">
        <f t="shared" si="4"/>
        <v>1</v>
      </c>
      <c r="Z319" s="115" t="s">
        <v>23</v>
      </c>
      <c r="AA319" s="54">
        <f t="shared" si="5"/>
        <v>0</v>
      </c>
      <c r="AB319" s="54">
        <f>COUNTIFS(Links!B:B,"FSE",Links!C:C,A319,Links!AD:AD,1)</f>
        <v>0</v>
      </c>
      <c r="AC319" s="117" t="s">
        <v>36</v>
      </c>
      <c r="AD319" s="118" t="s">
        <v>35</v>
      </c>
      <c r="AE319" s="115" t="s">
        <v>36</v>
      </c>
      <c r="AF319" s="57" t="s">
        <v>42</v>
      </c>
      <c r="AG319" s="57" t="s">
        <v>42</v>
      </c>
      <c r="AH319" s="57" t="s">
        <v>42</v>
      </c>
      <c r="AI319" s="116" t="str">
        <f t="shared" si="6"/>
        <v>----</v>
      </c>
      <c r="AJ319" s="119" t="str">
        <f t="shared" si="7"/>
        <v>Paper has no link and no statement</v>
      </c>
      <c r="AK319" s="120" t="s">
        <v>3401</v>
      </c>
      <c r="AL319" s="121" t="s">
        <v>3402</v>
      </c>
      <c r="AM319" s="60" t="str">
        <f t="shared" si="8"/>
        <v>[FP0535]</v>
      </c>
    </row>
    <row r="320" ht="67.5" customHeight="1">
      <c r="A320" s="61">
        <v>536.0</v>
      </c>
      <c r="B320" s="22" t="s">
        <v>4184</v>
      </c>
      <c r="C320" s="23">
        <v>2018.0</v>
      </c>
      <c r="D320" s="100" t="s">
        <v>35</v>
      </c>
      <c r="E320" s="25" t="s">
        <v>36</v>
      </c>
      <c r="F320" s="25" t="s">
        <v>36</v>
      </c>
      <c r="G320" s="25" t="s">
        <v>36</v>
      </c>
      <c r="H320" s="25" t="s">
        <v>36</v>
      </c>
      <c r="I320" s="25" t="s">
        <v>36</v>
      </c>
      <c r="J320" s="101" t="s">
        <v>36</v>
      </c>
      <c r="K320" s="102" t="s">
        <v>37</v>
      </c>
      <c r="L320" s="103" t="s">
        <v>37</v>
      </c>
      <c r="M320" s="103" t="s">
        <v>35</v>
      </c>
      <c r="N320" s="103" t="s">
        <v>35</v>
      </c>
      <c r="O320" s="103" t="s">
        <v>35</v>
      </c>
      <c r="P320" s="103" t="s">
        <v>35</v>
      </c>
      <c r="Q320" s="103" t="s">
        <v>35</v>
      </c>
      <c r="R320" s="103" t="s">
        <v>37</v>
      </c>
      <c r="S320" s="104" t="s">
        <v>4185</v>
      </c>
      <c r="T320" s="30" t="s">
        <v>4186</v>
      </c>
      <c r="U320" s="30" t="s">
        <v>4186</v>
      </c>
      <c r="V320" s="105">
        <f t="shared" si="2"/>
        <v>1</v>
      </c>
      <c r="W320" s="105">
        <f t="shared" ref="W320:X320" si="325">IF(lenb(SUBSTITUTE($Z320,W$1&amp;" (1)",""))&lt;lenb($Z320),1,IF(lenb(SUBSTITUTE($Z320,W$1&amp;" (2)",""))&lt;lenb($Z320),2,IF(lenb(SUBSTITUTE($Z320,W$1&amp;" (3)",""))&lt;lenb($Z320),3,IF(lenb(SUBSTITUTE($Z320,W$1&amp;" (4)",""))&lt;lenb($Z320),4,IF(lenb(SUBSTITUTE($Z320,W$1&amp;" (5)",""))&lt;lenb($Z320),5,IF(lenb(SUBSTITUTE($Z320,W$1&amp;" (6)",""))&lt;lenb($Z320),6,IF(lenb(SUBSTITUTE($Z320,W$1&amp;" (7)",""))&lt;lenb($Z320),1,IF(lenb(SUBSTITUTE($Z320,W$1&amp;" (8)",""))&lt;lenb($Z320),8,IF(lenb(SUBSTITUTE($Z320,W$1&amp;" (9)",""))&lt;lenb($Z320),9,IF(lenb(SUBSTITUTE($Z320,W$1&amp;" (10)",""))&lt;lenb($Z320),10,IF(lenb(SUBSTITUTE($Z320,W$1,""))&lt;lenb($Z320),"ERROR",IF($Z320=$Y$1,"-",0))))))))))))</f>
        <v>0</v>
      </c>
      <c r="X320" s="105">
        <f t="shared" si="325"/>
        <v>0</v>
      </c>
      <c r="Y320" s="105" t="str">
        <f t="shared" si="4"/>
        <v>-</v>
      </c>
      <c r="Z320" s="104" t="s">
        <v>3400</v>
      </c>
      <c r="AA320" s="34">
        <f t="shared" si="5"/>
        <v>1</v>
      </c>
      <c r="AB320" s="34">
        <f>COUNTIFS(Links!B:B,"FSE",Links!C:C,A320,Links!AD:AD,1)</f>
        <v>0</v>
      </c>
      <c r="AC320" s="106" t="s">
        <v>35</v>
      </c>
      <c r="AD320" s="107" t="s">
        <v>35</v>
      </c>
      <c r="AE320" s="104" t="s">
        <v>36</v>
      </c>
      <c r="AF320" s="37" t="s">
        <v>42</v>
      </c>
      <c r="AG320" s="37" t="s">
        <v>42</v>
      </c>
      <c r="AH320" s="37" t="s">
        <v>42</v>
      </c>
      <c r="AI320" s="105" t="str">
        <f t="shared" si="6"/>
        <v>----</v>
      </c>
      <c r="AJ320" s="108" t="str">
        <f t="shared" si="7"/>
        <v>Paper has link but no statement</v>
      </c>
      <c r="AK320" s="109" t="s">
        <v>3401</v>
      </c>
      <c r="AL320" s="110" t="s">
        <v>3402</v>
      </c>
      <c r="AM320" s="40" t="str">
        <f t="shared" si="8"/>
        <v>[FP0536]</v>
      </c>
    </row>
    <row r="321" ht="67.5" customHeight="1">
      <c r="A321" s="41">
        <v>537.0</v>
      </c>
      <c r="B321" s="42" t="s">
        <v>4187</v>
      </c>
      <c r="C321" s="43">
        <v>2018.0</v>
      </c>
      <c r="D321" s="111" t="s">
        <v>35</v>
      </c>
      <c r="E321" s="45" t="s">
        <v>36</v>
      </c>
      <c r="F321" s="45" t="s">
        <v>36</v>
      </c>
      <c r="G321" s="45" t="s">
        <v>36</v>
      </c>
      <c r="H321" s="45" t="s">
        <v>36</v>
      </c>
      <c r="I321" s="45" t="s">
        <v>36</v>
      </c>
      <c r="J321" s="112" t="s">
        <v>36</v>
      </c>
      <c r="K321" s="113" t="s">
        <v>37</v>
      </c>
      <c r="L321" s="114" t="s">
        <v>35</v>
      </c>
      <c r="M321" s="114" t="s">
        <v>37</v>
      </c>
      <c r="N321" s="114" t="s">
        <v>35</v>
      </c>
      <c r="O321" s="114" t="s">
        <v>35</v>
      </c>
      <c r="P321" s="114" t="s">
        <v>35</v>
      </c>
      <c r="Q321" s="114" t="s">
        <v>35</v>
      </c>
      <c r="R321" s="114" t="s">
        <v>37</v>
      </c>
      <c r="S321" s="115" t="s">
        <v>4188</v>
      </c>
      <c r="T321" s="50" t="s">
        <v>4189</v>
      </c>
      <c r="U321" s="50" t="s">
        <v>4189</v>
      </c>
      <c r="V321" s="116">
        <f t="shared" si="2"/>
        <v>1</v>
      </c>
      <c r="W321" s="116">
        <f t="shared" ref="W321:X321" si="326">IF(lenb(SUBSTITUTE($Z321,W$1&amp;" (1)",""))&lt;lenb($Z321),1,IF(lenb(SUBSTITUTE($Z321,W$1&amp;" (2)",""))&lt;lenb($Z321),2,IF(lenb(SUBSTITUTE($Z321,W$1&amp;" (3)",""))&lt;lenb($Z321),3,IF(lenb(SUBSTITUTE($Z321,W$1&amp;" (4)",""))&lt;lenb($Z321),4,IF(lenb(SUBSTITUTE($Z321,W$1&amp;" (5)",""))&lt;lenb($Z321),5,IF(lenb(SUBSTITUTE($Z321,W$1&amp;" (6)",""))&lt;lenb($Z321),6,IF(lenb(SUBSTITUTE($Z321,W$1&amp;" (7)",""))&lt;lenb($Z321),1,IF(lenb(SUBSTITUTE($Z321,W$1&amp;" (8)",""))&lt;lenb($Z321),8,IF(lenb(SUBSTITUTE($Z321,W$1&amp;" (9)",""))&lt;lenb($Z321),9,IF(lenb(SUBSTITUTE($Z321,W$1&amp;" (10)",""))&lt;lenb($Z321),10,IF(lenb(SUBSTITUTE($Z321,W$1,""))&lt;lenb($Z321),"ERROR",IF($Z321=$Y$1,"-",0))))))))))))</f>
        <v>0</v>
      </c>
      <c r="X321" s="116">
        <f t="shared" si="326"/>
        <v>0</v>
      </c>
      <c r="Y321" s="116" t="str">
        <f t="shared" si="4"/>
        <v>-</v>
      </c>
      <c r="Z321" s="115" t="s">
        <v>3400</v>
      </c>
      <c r="AA321" s="54">
        <f t="shared" si="5"/>
        <v>1</v>
      </c>
      <c r="AB321" s="54">
        <f>COUNTIFS(Links!B:B,"FSE",Links!C:C,A321,Links!AD:AD,1)</f>
        <v>0</v>
      </c>
      <c r="AC321" s="117" t="s">
        <v>35</v>
      </c>
      <c r="AD321" s="118" t="s">
        <v>35</v>
      </c>
      <c r="AE321" s="115" t="s">
        <v>36</v>
      </c>
      <c r="AF321" s="57" t="s">
        <v>42</v>
      </c>
      <c r="AG321" s="57" t="s">
        <v>42</v>
      </c>
      <c r="AH321" s="57" t="s">
        <v>42</v>
      </c>
      <c r="AI321" s="116" t="str">
        <f t="shared" si="6"/>
        <v>----</v>
      </c>
      <c r="AJ321" s="119" t="str">
        <f t="shared" si="7"/>
        <v>Paper has link but no statement</v>
      </c>
      <c r="AK321" s="120" t="s">
        <v>3401</v>
      </c>
      <c r="AL321" s="121" t="s">
        <v>3402</v>
      </c>
      <c r="AM321" s="60" t="str">
        <f t="shared" si="8"/>
        <v>[FP0537]</v>
      </c>
    </row>
    <row r="322" ht="67.5" customHeight="1">
      <c r="A322" s="61">
        <v>538.0</v>
      </c>
      <c r="B322" s="22" t="s">
        <v>4190</v>
      </c>
      <c r="C322" s="23">
        <v>2018.0</v>
      </c>
      <c r="D322" s="100" t="s">
        <v>35</v>
      </c>
      <c r="E322" s="25" t="s">
        <v>36</v>
      </c>
      <c r="F322" s="25" t="s">
        <v>36</v>
      </c>
      <c r="G322" s="25" t="s">
        <v>36</v>
      </c>
      <c r="H322" s="25" t="s">
        <v>36</v>
      </c>
      <c r="I322" s="25" t="s">
        <v>36</v>
      </c>
      <c r="J322" s="101" t="s">
        <v>36</v>
      </c>
      <c r="K322" s="102" t="s">
        <v>37</v>
      </c>
      <c r="L322" s="103" t="s">
        <v>37</v>
      </c>
      <c r="M322" s="103" t="s">
        <v>35</v>
      </c>
      <c r="N322" s="103" t="s">
        <v>37</v>
      </c>
      <c r="O322" s="103" t="s">
        <v>35</v>
      </c>
      <c r="P322" s="103" t="s">
        <v>35</v>
      </c>
      <c r="Q322" s="103" t="s">
        <v>35</v>
      </c>
      <c r="R322" s="103" t="s">
        <v>37</v>
      </c>
      <c r="S322" s="104" t="s">
        <v>4191</v>
      </c>
      <c r="T322" s="130" t="s">
        <v>4192</v>
      </c>
      <c r="U322" s="130" t="s">
        <v>4193</v>
      </c>
      <c r="V322" s="105">
        <f t="shared" si="2"/>
        <v>2</v>
      </c>
      <c r="W322" s="105">
        <f t="shared" ref="W322:X322" si="327">IF(lenb(SUBSTITUTE($Z322,W$1&amp;" (1)",""))&lt;lenb($Z322),1,IF(lenb(SUBSTITUTE($Z322,W$1&amp;" (2)",""))&lt;lenb($Z322),2,IF(lenb(SUBSTITUTE($Z322,W$1&amp;" (3)",""))&lt;lenb($Z322),3,IF(lenb(SUBSTITUTE($Z322,W$1&amp;" (4)",""))&lt;lenb($Z322),4,IF(lenb(SUBSTITUTE($Z322,W$1&amp;" (5)",""))&lt;lenb($Z322),5,IF(lenb(SUBSTITUTE($Z322,W$1&amp;" (6)",""))&lt;lenb($Z322),6,IF(lenb(SUBSTITUTE($Z322,W$1&amp;" (7)",""))&lt;lenb($Z322),1,IF(lenb(SUBSTITUTE($Z322,W$1&amp;" (8)",""))&lt;lenb($Z322),8,IF(lenb(SUBSTITUTE($Z322,W$1&amp;" (9)",""))&lt;lenb($Z322),9,IF(lenb(SUBSTITUTE($Z322,W$1&amp;" (10)",""))&lt;lenb($Z322),10,IF(lenb(SUBSTITUTE($Z322,W$1,""))&lt;lenb($Z322),"ERROR",IF($Z322=$Y$1,"-",0))))))))))))</f>
        <v>0</v>
      </c>
      <c r="X322" s="105">
        <f t="shared" si="327"/>
        <v>0</v>
      </c>
      <c r="Y322" s="105" t="str">
        <f t="shared" si="4"/>
        <v>-</v>
      </c>
      <c r="Z322" s="104" t="s">
        <v>3452</v>
      </c>
      <c r="AA322" s="34">
        <f t="shared" si="5"/>
        <v>2</v>
      </c>
      <c r="AB322" s="34">
        <f>COUNTIFS(Links!B:B,"FSE",Links!C:C,A322,Links!AD:AD,1)</f>
        <v>0</v>
      </c>
      <c r="AC322" s="106" t="s">
        <v>35</v>
      </c>
      <c r="AD322" s="107" t="s">
        <v>35</v>
      </c>
      <c r="AE322" s="104" t="s">
        <v>36</v>
      </c>
      <c r="AF322" s="37" t="s">
        <v>42</v>
      </c>
      <c r="AG322" s="37" t="s">
        <v>42</v>
      </c>
      <c r="AH322" s="37" t="s">
        <v>42</v>
      </c>
      <c r="AI322" s="105" t="str">
        <f t="shared" si="6"/>
        <v>----</v>
      </c>
      <c r="AJ322" s="108" t="str">
        <f t="shared" si="7"/>
        <v>Paper has link but no statement</v>
      </c>
      <c r="AK322" s="109" t="s">
        <v>3401</v>
      </c>
      <c r="AL322" s="110" t="s">
        <v>3402</v>
      </c>
      <c r="AM322" s="40" t="str">
        <f t="shared" si="8"/>
        <v>[FP0538]</v>
      </c>
    </row>
    <row r="323" ht="67.5" customHeight="1">
      <c r="A323" s="41">
        <v>539.0</v>
      </c>
      <c r="B323" s="42" t="s">
        <v>4194</v>
      </c>
      <c r="C323" s="43">
        <v>2018.0</v>
      </c>
      <c r="D323" s="111" t="s">
        <v>35</v>
      </c>
      <c r="E323" s="45" t="s">
        <v>36</v>
      </c>
      <c r="F323" s="45" t="s">
        <v>36</v>
      </c>
      <c r="G323" s="45" t="s">
        <v>36</v>
      </c>
      <c r="H323" s="45" t="s">
        <v>36</v>
      </c>
      <c r="I323" s="45" t="s">
        <v>36</v>
      </c>
      <c r="J323" s="112" t="s">
        <v>36</v>
      </c>
      <c r="K323" s="113" t="s">
        <v>37</v>
      </c>
      <c r="L323" s="114" t="s">
        <v>35</v>
      </c>
      <c r="M323" s="114" t="s">
        <v>35</v>
      </c>
      <c r="N323" s="114" t="s">
        <v>35</v>
      </c>
      <c r="O323" s="114" t="s">
        <v>35</v>
      </c>
      <c r="P323" s="114" t="s">
        <v>35</v>
      </c>
      <c r="Q323" s="114" t="s">
        <v>35</v>
      </c>
      <c r="R323" s="114" t="s">
        <v>37</v>
      </c>
      <c r="S323" s="115" t="s">
        <v>4195</v>
      </c>
      <c r="T323" s="127" t="s">
        <v>4196</v>
      </c>
      <c r="U323" s="127" t="s">
        <v>4196</v>
      </c>
      <c r="V323" s="116">
        <f t="shared" si="2"/>
        <v>0</v>
      </c>
      <c r="W323" s="116">
        <f t="shared" ref="W323:X323" si="328">IF(lenb(SUBSTITUTE($Z323,W$1&amp;" (1)",""))&lt;lenb($Z323),1,IF(lenb(SUBSTITUTE($Z323,W$1&amp;" (2)",""))&lt;lenb($Z323),2,IF(lenb(SUBSTITUTE($Z323,W$1&amp;" (3)",""))&lt;lenb($Z323),3,IF(lenb(SUBSTITUTE($Z323,W$1&amp;" (4)",""))&lt;lenb($Z323),4,IF(lenb(SUBSTITUTE($Z323,W$1&amp;" (5)",""))&lt;lenb($Z323),5,IF(lenb(SUBSTITUTE($Z323,W$1&amp;" (6)",""))&lt;lenb($Z323),6,IF(lenb(SUBSTITUTE($Z323,W$1&amp;" (7)",""))&lt;lenb($Z323),1,IF(lenb(SUBSTITUTE($Z323,W$1&amp;" (8)",""))&lt;lenb($Z323),8,IF(lenb(SUBSTITUTE($Z323,W$1&amp;" (9)",""))&lt;lenb($Z323),9,IF(lenb(SUBSTITUTE($Z323,W$1&amp;" (10)",""))&lt;lenb($Z323),10,IF(lenb(SUBSTITUTE($Z323,W$1,""))&lt;lenb($Z323),"ERROR",IF($Z323=$Y$1,"-",0))))))))))))</f>
        <v>1</v>
      </c>
      <c r="X323" s="116">
        <f t="shared" si="328"/>
        <v>0</v>
      </c>
      <c r="Y323" s="116" t="str">
        <f t="shared" si="4"/>
        <v>-</v>
      </c>
      <c r="Z323" s="115" t="s">
        <v>3423</v>
      </c>
      <c r="AA323" s="54">
        <f t="shared" si="5"/>
        <v>1</v>
      </c>
      <c r="AB323" s="54">
        <f>COUNTIFS(Links!B:B,"FSE",Links!C:C,A323,Links!AD:AD,1)</f>
        <v>1</v>
      </c>
      <c r="AC323" s="117" t="s">
        <v>35</v>
      </c>
      <c r="AD323" s="118" t="s">
        <v>35</v>
      </c>
      <c r="AE323" s="115" t="s">
        <v>36</v>
      </c>
      <c r="AF323" s="57" t="s">
        <v>42</v>
      </c>
      <c r="AG323" s="57" t="s">
        <v>42</v>
      </c>
      <c r="AH323" s="57" t="s">
        <v>42</v>
      </c>
      <c r="AI323" s="116" t="str">
        <f t="shared" si="6"/>
        <v>----</v>
      </c>
      <c r="AJ323" s="119" t="str">
        <f t="shared" si="7"/>
        <v>Paper has link but no statement</v>
      </c>
      <c r="AK323" s="120" t="s">
        <v>3401</v>
      </c>
      <c r="AL323" s="121" t="s">
        <v>3402</v>
      </c>
      <c r="AM323" s="60" t="str">
        <f t="shared" si="8"/>
        <v>[FP0539]</v>
      </c>
    </row>
    <row r="324" ht="67.5" customHeight="1">
      <c r="A324" s="61">
        <v>540.0</v>
      </c>
      <c r="B324" s="22" t="s">
        <v>4197</v>
      </c>
      <c r="C324" s="23">
        <v>2018.0</v>
      </c>
      <c r="D324" s="100" t="s">
        <v>35</v>
      </c>
      <c r="E324" s="25" t="s">
        <v>36</v>
      </c>
      <c r="F324" s="25" t="s">
        <v>36</v>
      </c>
      <c r="G324" s="25" t="s">
        <v>36</v>
      </c>
      <c r="H324" s="25" t="s">
        <v>36</v>
      </c>
      <c r="I324" s="25" t="s">
        <v>36</v>
      </c>
      <c r="J324" s="101" t="s">
        <v>36</v>
      </c>
      <c r="K324" s="102" t="s">
        <v>35</v>
      </c>
      <c r="L324" s="103" t="s">
        <v>36</v>
      </c>
      <c r="M324" s="103" t="s">
        <v>36</v>
      </c>
      <c r="N324" s="103" t="s">
        <v>36</v>
      </c>
      <c r="O324" s="103" t="s">
        <v>36</v>
      </c>
      <c r="P324" s="103" t="s">
        <v>36</v>
      </c>
      <c r="Q324" s="103" t="s">
        <v>36</v>
      </c>
      <c r="R324" s="103" t="s">
        <v>36</v>
      </c>
      <c r="S324" s="104" t="s">
        <v>42</v>
      </c>
      <c r="T324" s="30" t="s">
        <v>36</v>
      </c>
      <c r="U324" s="30" t="s">
        <v>36</v>
      </c>
      <c r="V324" s="105" t="str">
        <f t="shared" si="2"/>
        <v>-</v>
      </c>
      <c r="W324" s="105" t="str">
        <f t="shared" ref="W324:X324" si="329">IF(lenb(SUBSTITUTE($Z324,W$1&amp;" (1)",""))&lt;lenb($Z324),1,IF(lenb(SUBSTITUTE($Z324,W$1&amp;" (2)",""))&lt;lenb($Z324),2,IF(lenb(SUBSTITUTE($Z324,W$1&amp;" (3)",""))&lt;lenb($Z324),3,IF(lenb(SUBSTITUTE($Z324,W$1&amp;" (4)",""))&lt;lenb($Z324),4,IF(lenb(SUBSTITUTE($Z324,W$1&amp;" (5)",""))&lt;lenb($Z324),5,IF(lenb(SUBSTITUTE($Z324,W$1&amp;" (6)",""))&lt;lenb($Z324),6,IF(lenb(SUBSTITUTE($Z324,W$1&amp;" (7)",""))&lt;lenb($Z324),1,IF(lenb(SUBSTITUTE($Z324,W$1&amp;" (8)",""))&lt;lenb($Z324),8,IF(lenb(SUBSTITUTE($Z324,W$1&amp;" (9)",""))&lt;lenb($Z324),9,IF(lenb(SUBSTITUTE($Z324,W$1&amp;" (10)",""))&lt;lenb($Z324),10,IF(lenb(SUBSTITUTE($Z324,W$1,""))&lt;lenb($Z324),"ERROR",IF($Z324=$Y$1,"-",0))))))))))))</f>
        <v>-</v>
      </c>
      <c r="X324" s="105" t="str">
        <f t="shared" si="329"/>
        <v>-</v>
      </c>
      <c r="Y324" s="105">
        <f t="shared" si="4"/>
        <v>1</v>
      </c>
      <c r="Z324" s="104" t="s">
        <v>23</v>
      </c>
      <c r="AA324" s="34">
        <f t="shared" si="5"/>
        <v>0</v>
      </c>
      <c r="AB324" s="34">
        <f>COUNTIFS(Links!B:B,"FSE",Links!C:C,A324,Links!AD:AD,1)</f>
        <v>0</v>
      </c>
      <c r="AC324" s="106" t="s">
        <v>36</v>
      </c>
      <c r="AD324" s="107" t="s">
        <v>35</v>
      </c>
      <c r="AE324" s="104" t="s">
        <v>36</v>
      </c>
      <c r="AF324" s="37" t="s">
        <v>42</v>
      </c>
      <c r="AG324" s="37" t="s">
        <v>42</v>
      </c>
      <c r="AH324" s="37" t="s">
        <v>42</v>
      </c>
      <c r="AI324" s="105" t="str">
        <f t="shared" si="6"/>
        <v>----</v>
      </c>
      <c r="AJ324" s="108" t="str">
        <f t="shared" si="7"/>
        <v>Paper has no link and no statement</v>
      </c>
      <c r="AK324" s="109" t="s">
        <v>3401</v>
      </c>
      <c r="AL324" s="110" t="s">
        <v>3402</v>
      </c>
      <c r="AM324" s="40" t="str">
        <f t="shared" si="8"/>
        <v>[FP0540]</v>
      </c>
    </row>
    <row r="325" ht="67.5" customHeight="1">
      <c r="A325" s="41">
        <v>541.0</v>
      </c>
      <c r="B325" s="42" t="s">
        <v>4198</v>
      </c>
      <c r="C325" s="43">
        <v>2018.0</v>
      </c>
      <c r="D325" s="111" t="s">
        <v>35</v>
      </c>
      <c r="E325" s="45" t="s">
        <v>36</v>
      </c>
      <c r="F325" s="45" t="s">
        <v>36</v>
      </c>
      <c r="G325" s="45" t="s">
        <v>36</v>
      </c>
      <c r="H325" s="45" t="s">
        <v>36</v>
      </c>
      <c r="I325" s="45" t="s">
        <v>36</v>
      </c>
      <c r="J325" s="112" t="s">
        <v>36</v>
      </c>
      <c r="K325" s="113" t="s">
        <v>37</v>
      </c>
      <c r="L325" s="114" t="s">
        <v>35</v>
      </c>
      <c r="M325" s="114" t="s">
        <v>35</v>
      </c>
      <c r="N325" s="114" t="s">
        <v>35</v>
      </c>
      <c r="O325" s="114" t="s">
        <v>35</v>
      </c>
      <c r="P325" s="114" t="s">
        <v>35</v>
      </c>
      <c r="Q325" s="114" t="s">
        <v>37</v>
      </c>
      <c r="R325" s="114" t="s">
        <v>35</v>
      </c>
      <c r="S325" s="115" t="s">
        <v>4199</v>
      </c>
      <c r="T325" s="50" t="s">
        <v>4200</v>
      </c>
      <c r="U325" s="50" t="s">
        <v>4201</v>
      </c>
      <c r="V325" s="116">
        <f t="shared" si="2"/>
        <v>1</v>
      </c>
      <c r="W325" s="116">
        <f t="shared" ref="W325:X325" si="330">IF(lenb(SUBSTITUTE($Z325,W$1&amp;" (1)",""))&lt;lenb($Z325),1,IF(lenb(SUBSTITUTE($Z325,W$1&amp;" (2)",""))&lt;lenb($Z325),2,IF(lenb(SUBSTITUTE($Z325,W$1&amp;" (3)",""))&lt;lenb($Z325),3,IF(lenb(SUBSTITUTE($Z325,W$1&amp;" (4)",""))&lt;lenb($Z325),4,IF(lenb(SUBSTITUTE($Z325,W$1&amp;" (5)",""))&lt;lenb($Z325),5,IF(lenb(SUBSTITUTE($Z325,W$1&amp;" (6)",""))&lt;lenb($Z325),6,IF(lenb(SUBSTITUTE($Z325,W$1&amp;" (7)",""))&lt;lenb($Z325),1,IF(lenb(SUBSTITUTE($Z325,W$1&amp;" (8)",""))&lt;lenb($Z325),8,IF(lenb(SUBSTITUTE($Z325,W$1&amp;" (9)",""))&lt;lenb($Z325),9,IF(lenb(SUBSTITUTE($Z325,W$1&amp;" (10)",""))&lt;lenb($Z325),10,IF(lenb(SUBSTITUTE($Z325,W$1,""))&lt;lenb($Z325),"ERROR",IF($Z325=$Y$1,"-",0))))))))))))</f>
        <v>0</v>
      </c>
      <c r="X325" s="116">
        <f t="shared" si="330"/>
        <v>0</v>
      </c>
      <c r="Y325" s="116" t="str">
        <f t="shared" si="4"/>
        <v>-</v>
      </c>
      <c r="Z325" s="115" t="s">
        <v>3400</v>
      </c>
      <c r="AA325" s="54">
        <f t="shared" si="5"/>
        <v>1</v>
      </c>
      <c r="AB325" s="54">
        <f>COUNTIFS(Links!B:B,"FSE",Links!C:C,A325,Links!AD:AD,1)</f>
        <v>0</v>
      </c>
      <c r="AC325" s="117" t="s">
        <v>35</v>
      </c>
      <c r="AD325" s="118" t="s">
        <v>35</v>
      </c>
      <c r="AE325" s="115" t="s">
        <v>36</v>
      </c>
      <c r="AF325" s="57" t="s">
        <v>42</v>
      </c>
      <c r="AG325" s="57" t="s">
        <v>42</v>
      </c>
      <c r="AH325" s="57" t="s">
        <v>42</v>
      </c>
      <c r="AI325" s="116" t="str">
        <f t="shared" si="6"/>
        <v>----</v>
      </c>
      <c r="AJ325" s="119" t="str">
        <f t="shared" si="7"/>
        <v>Paper has link but no statement</v>
      </c>
      <c r="AK325" s="120" t="s">
        <v>3401</v>
      </c>
      <c r="AL325" s="121" t="s">
        <v>3402</v>
      </c>
      <c r="AM325" s="60" t="str">
        <f t="shared" si="8"/>
        <v>[FP0541]</v>
      </c>
    </row>
    <row r="326" ht="67.5" customHeight="1">
      <c r="A326" s="61">
        <v>542.0</v>
      </c>
      <c r="B326" s="22" t="s">
        <v>4202</v>
      </c>
      <c r="C326" s="23">
        <v>2018.0</v>
      </c>
      <c r="D326" s="100" t="s">
        <v>35</v>
      </c>
      <c r="E326" s="25" t="s">
        <v>36</v>
      </c>
      <c r="F326" s="25" t="s">
        <v>36</v>
      </c>
      <c r="G326" s="25" t="s">
        <v>36</v>
      </c>
      <c r="H326" s="25" t="s">
        <v>36</v>
      </c>
      <c r="I326" s="25" t="s">
        <v>36</v>
      </c>
      <c r="J326" s="101" t="s">
        <v>36</v>
      </c>
      <c r="K326" s="102" t="s">
        <v>37</v>
      </c>
      <c r="L326" s="103" t="s">
        <v>35</v>
      </c>
      <c r="M326" s="103" t="s">
        <v>37</v>
      </c>
      <c r="N326" s="103" t="s">
        <v>37</v>
      </c>
      <c r="O326" s="103" t="s">
        <v>35</v>
      </c>
      <c r="P326" s="103" t="s">
        <v>35</v>
      </c>
      <c r="Q326" s="103" t="s">
        <v>35</v>
      </c>
      <c r="R326" s="103" t="s">
        <v>37</v>
      </c>
      <c r="S326" s="104" t="s">
        <v>4203</v>
      </c>
      <c r="T326" s="30" t="s">
        <v>4204</v>
      </c>
      <c r="U326" s="30" t="s">
        <v>4204</v>
      </c>
      <c r="V326" s="105">
        <f t="shared" si="2"/>
        <v>1</v>
      </c>
      <c r="W326" s="105">
        <f t="shared" ref="W326:X326" si="331">IF(lenb(SUBSTITUTE($Z326,W$1&amp;" (1)",""))&lt;lenb($Z326),1,IF(lenb(SUBSTITUTE($Z326,W$1&amp;" (2)",""))&lt;lenb($Z326),2,IF(lenb(SUBSTITUTE($Z326,W$1&amp;" (3)",""))&lt;lenb($Z326),3,IF(lenb(SUBSTITUTE($Z326,W$1&amp;" (4)",""))&lt;lenb($Z326),4,IF(lenb(SUBSTITUTE($Z326,W$1&amp;" (5)",""))&lt;lenb($Z326),5,IF(lenb(SUBSTITUTE($Z326,W$1&amp;" (6)",""))&lt;lenb($Z326),6,IF(lenb(SUBSTITUTE($Z326,W$1&amp;" (7)",""))&lt;lenb($Z326),1,IF(lenb(SUBSTITUTE($Z326,W$1&amp;" (8)",""))&lt;lenb($Z326),8,IF(lenb(SUBSTITUTE($Z326,W$1&amp;" (9)",""))&lt;lenb($Z326),9,IF(lenb(SUBSTITUTE($Z326,W$1&amp;" (10)",""))&lt;lenb($Z326),10,IF(lenb(SUBSTITUTE($Z326,W$1,""))&lt;lenb($Z326),"ERROR",IF($Z326=$Y$1,"-",0))))))))))))</f>
        <v>0</v>
      </c>
      <c r="X326" s="105">
        <f t="shared" si="331"/>
        <v>0</v>
      </c>
      <c r="Y326" s="105" t="str">
        <f t="shared" si="4"/>
        <v>-</v>
      </c>
      <c r="Z326" s="104" t="s">
        <v>3400</v>
      </c>
      <c r="AA326" s="34">
        <f t="shared" si="5"/>
        <v>1</v>
      </c>
      <c r="AB326" s="34">
        <f>COUNTIFS(Links!B:B,"FSE",Links!C:C,A326,Links!AD:AD,1)</f>
        <v>0</v>
      </c>
      <c r="AC326" s="106" t="s">
        <v>35</v>
      </c>
      <c r="AD326" s="107" t="s">
        <v>35</v>
      </c>
      <c r="AE326" s="104" t="s">
        <v>36</v>
      </c>
      <c r="AF326" s="37" t="s">
        <v>42</v>
      </c>
      <c r="AG326" s="37" t="s">
        <v>42</v>
      </c>
      <c r="AH326" s="37" t="s">
        <v>42</v>
      </c>
      <c r="AI326" s="105" t="str">
        <f t="shared" si="6"/>
        <v>----</v>
      </c>
      <c r="AJ326" s="108" t="str">
        <f t="shared" si="7"/>
        <v>Paper has link but no statement</v>
      </c>
      <c r="AK326" s="109" t="s">
        <v>3401</v>
      </c>
      <c r="AL326" s="110" t="s">
        <v>3402</v>
      </c>
      <c r="AM326" s="40" t="str">
        <f t="shared" si="8"/>
        <v>[FP0542]</v>
      </c>
    </row>
    <row r="327" ht="67.5" customHeight="1">
      <c r="A327" s="41">
        <v>543.0</v>
      </c>
      <c r="B327" s="42" t="s">
        <v>4205</v>
      </c>
      <c r="C327" s="43">
        <v>2018.0</v>
      </c>
      <c r="D327" s="111" t="s">
        <v>37</v>
      </c>
      <c r="E327" s="45" t="s">
        <v>37</v>
      </c>
      <c r="F327" s="45" t="s">
        <v>37</v>
      </c>
      <c r="G327" s="45" t="s">
        <v>35</v>
      </c>
      <c r="H327" s="45" t="s">
        <v>35</v>
      </c>
      <c r="I327" s="45" t="s">
        <v>35</v>
      </c>
      <c r="J327" s="112" t="s">
        <v>36</v>
      </c>
      <c r="K327" s="113" t="s">
        <v>37</v>
      </c>
      <c r="L327" s="114" t="s">
        <v>37</v>
      </c>
      <c r="M327" s="114" t="s">
        <v>35</v>
      </c>
      <c r="N327" s="114" t="s">
        <v>35</v>
      </c>
      <c r="O327" s="114" t="s">
        <v>35</v>
      </c>
      <c r="P327" s="114" t="s">
        <v>35</v>
      </c>
      <c r="Q327" s="114" t="s">
        <v>35</v>
      </c>
      <c r="R327" s="114" t="s">
        <v>37</v>
      </c>
      <c r="S327" s="115" t="s">
        <v>4206</v>
      </c>
      <c r="T327" s="50" t="s">
        <v>4207</v>
      </c>
      <c r="U327" s="50" t="s">
        <v>4207</v>
      </c>
      <c r="V327" s="116">
        <f t="shared" si="2"/>
        <v>1</v>
      </c>
      <c r="W327" s="116">
        <f t="shared" ref="W327:X327" si="332">IF(lenb(SUBSTITUTE($Z327,W$1&amp;" (1)",""))&lt;lenb($Z327),1,IF(lenb(SUBSTITUTE($Z327,W$1&amp;" (2)",""))&lt;lenb($Z327),2,IF(lenb(SUBSTITUTE($Z327,W$1&amp;" (3)",""))&lt;lenb($Z327),3,IF(lenb(SUBSTITUTE($Z327,W$1&amp;" (4)",""))&lt;lenb($Z327),4,IF(lenb(SUBSTITUTE($Z327,W$1&amp;" (5)",""))&lt;lenb($Z327),5,IF(lenb(SUBSTITUTE($Z327,W$1&amp;" (6)",""))&lt;lenb($Z327),6,IF(lenb(SUBSTITUTE($Z327,W$1&amp;" (7)",""))&lt;lenb($Z327),1,IF(lenb(SUBSTITUTE($Z327,W$1&amp;" (8)",""))&lt;lenb($Z327),8,IF(lenb(SUBSTITUTE($Z327,W$1&amp;" (9)",""))&lt;lenb($Z327),9,IF(lenb(SUBSTITUTE($Z327,W$1&amp;" (10)",""))&lt;lenb($Z327),10,IF(lenb(SUBSTITUTE($Z327,W$1,""))&lt;lenb($Z327),"ERROR",IF($Z327=$Y$1,"-",0))))))))))))</f>
        <v>0</v>
      </c>
      <c r="X327" s="116">
        <f t="shared" si="332"/>
        <v>0</v>
      </c>
      <c r="Y327" s="116" t="str">
        <f t="shared" si="4"/>
        <v>-</v>
      </c>
      <c r="Z327" s="115" t="s">
        <v>3400</v>
      </c>
      <c r="AA327" s="54">
        <f t="shared" si="5"/>
        <v>1</v>
      </c>
      <c r="AB327" s="54">
        <f>COUNTIFS(Links!B:B,"FSE",Links!C:C,A327,Links!AD:AD,1)</f>
        <v>0</v>
      </c>
      <c r="AC327" s="117" t="s">
        <v>35</v>
      </c>
      <c r="AD327" s="118" t="s">
        <v>35</v>
      </c>
      <c r="AE327" s="115" t="s">
        <v>36</v>
      </c>
      <c r="AF327" s="57" t="s">
        <v>42</v>
      </c>
      <c r="AG327" s="57" t="s">
        <v>42</v>
      </c>
      <c r="AH327" s="57" t="s">
        <v>42</v>
      </c>
      <c r="AI327" s="116" t="str">
        <f t="shared" si="6"/>
        <v>----</v>
      </c>
      <c r="AJ327" s="119" t="str">
        <f t="shared" si="7"/>
        <v>Paper has link but no statement</v>
      </c>
      <c r="AK327" s="120" t="s">
        <v>3401</v>
      </c>
      <c r="AL327" s="121" t="s">
        <v>3402</v>
      </c>
      <c r="AM327" s="60" t="str">
        <f t="shared" si="8"/>
        <v>[FP0543]</v>
      </c>
    </row>
    <row r="328" ht="67.5" customHeight="1">
      <c r="A328" s="61">
        <v>544.0</v>
      </c>
      <c r="B328" s="22" t="s">
        <v>4208</v>
      </c>
      <c r="C328" s="23">
        <v>2018.0</v>
      </c>
      <c r="D328" s="100" t="s">
        <v>37</v>
      </c>
      <c r="E328" s="25" t="s">
        <v>37</v>
      </c>
      <c r="F328" s="25" t="s">
        <v>37</v>
      </c>
      <c r="G328" s="25" t="s">
        <v>37</v>
      </c>
      <c r="H328" s="25" t="s">
        <v>35</v>
      </c>
      <c r="I328" s="25" t="s">
        <v>35</v>
      </c>
      <c r="J328" s="101" t="s">
        <v>36</v>
      </c>
      <c r="K328" s="102" t="s">
        <v>37</v>
      </c>
      <c r="L328" s="103" t="s">
        <v>35</v>
      </c>
      <c r="M328" s="103" t="s">
        <v>35</v>
      </c>
      <c r="N328" s="103" t="s">
        <v>37</v>
      </c>
      <c r="O328" s="103" t="s">
        <v>35</v>
      </c>
      <c r="P328" s="103" t="s">
        <v>35</v>
      </c>
      <c r="Q328" s="103" t="s">
        <v>35</v>
      </c>
      <c r="R328" s="103" t="s">
        <v>35</v>
      </c>
      <c r="S328" s="104" t="s">
        <v>36</v>
      </c>
      <c r="T328" s="30" t="s">
        <v>4209</v>
      </c>
      <c r="U328" s="30" t="s">
        <v>4209</v>
      </c>
      <c r="V328" s="105">
        <f t="shared" si="2"/>
        <v>1</v>
      </c>
      <c r="W328" s="105">
        <f t="shared" ref="W328:X328" si="333">IF(lenb(SUBSTITUTE($Z328,W$1&amp;" (1)",""))&lt;lenb($Z328),1,IF(lenb(SUBSTITUTE($Z328,W$1&amp;" (2)",""))&lt;lenb($Z328),2,IF(lenb(SUBSTITUTE($Z328,W$1&amp;" (3)",""))&lt;lenb($Z328),3,IF(lenb(SUBSTITUTE($Z328,W$1&amp;" (4)",""))&lt;lenb($Z328),4,IF(lenb(SUBSTITUTE($Z328,W$1&amp;" (5)",""))&lt;lenb($Z328),5,IF(lenb(SUBSTITUTE($Z328,W$1&amp;" (6)",""))&lt;lenb($Z328),6,IF(lenb(SUBSTITUTE($Z328,W$1&amp;" (7)",""))&lt;lenb($Z328),1,IF(lenb(SUBSTITUTE($Z328,W$1&amp;" (8)",""))&lt;lenb($Z328),8,IF(lenb(SUBSTITUTE($Z328,W$1&amp;" (9)",""))&lt;lenb($Z328),9,IF(lenb(SUBSTITUTE($Z328,W$1&amp;" (10)",""))&lt;lenb($Z328),10,IF(lenb(SUBSTITUTE($Z328,W$1,""))&lt;lenb($Z328),"ERROR",IF($Z328=$Y$1,"-",0))))))))))))</f>
        <v>0</v>
      </c>
      <c r="X328" s="105">
        <f t="shared" si="333"/>
        <v>0</v>
      </c>
      <c r="Y328" s="105" t="str">
        <f t="shared" si="4"/>
        <v>-</v>
      </c>
      <c r="Z328" s="104" t="s">
        <v>3400</v>
      </c>
      <c r="AA328" s="34">
        <f t="shared" si="5"/>
        <v>1</v>
      </c>
      <c r="AB328" s="34">
        <f>COUNTIFS(Links!B:B,"FSE",Links!C:C,A328,Links!AD:AD,1)</f>
        <v>1</v>
      </c>
      <c r="AC328" s="106" t="s">
        <v>35</v>
      </c>
      <c r="AD328" s="107" t="s">
        <v>35</v>
      </c>
      <c r="AE328" s="104" t="s">
        <v>36</v>
      </c>
      <c r="AF328" s="37" t="s">
        <v>42</v>
      </c>
      <c r="AG328" s="37" t="s">
        <v>42</v>
      </c>
      <c r="AH328" s="37" t="s">
        <v>42</v>
      </c>
      <c r="AI328" s="105" t="str">
        <f t="shared" si="6"/>
        <v>----</v>
      </c>
      <c r="AJ328" s="108" t="str">
        <f t="shared" si="7"/>
        <v>Paper has link but no statement</v>
      </c>
      <c r="AK328" s="109" t="s">
        <v>3401</v>
      </c>
      <c r="AL328" s="110" t="s">
        <v>3402</v>
      </c>
      <c r="AM328" s="40" t="str">
        <f t="shared" si="8"/>
        <v>[FP0544]</v>
      </c>
    </row>
    <row r="329" ht="67.5" customHeight="1">
      <c r="A329" s="41">
        <v>545.0</v>
      </c>
      <c r="B329" s="42" t="s">
        <v>4210</v>
      </c>
      <c r="C329" s="43">
        <v>2018.0</v>
      </c>
      <c r="D329" s="111" t="s">
        <v>35</v>
      </c>
      <c r="E329" s="45" t="s">
        <v>36</v>
      </c>
      <c r="F329" s="45" t="s">
        <v>36</v>
      </c>
      <c r="G329" s="45" t="s">
        <v>36</v>
      </c>
      <c r="H329" s="45" t="s">
        <v>36</v>
      </c>
      <c r="I329" s="45" t="s">
        <v>36</v>
      </c>
      <c r="J329" s="112" t="s">
        <v>36</v>
      </c>
      <c r="K329" s="113" t="s">
        <v>37</v>
      </c>
      <c r="L329" s="114" t="s">
        <v>35</v>
      </c>
      <c r="M329" s="114" t="s">
        <v>35</v>
      </c>
      <c r="N329" s="114" t="s">
        <v>35</v>
      </c>
      <c r="O329" s="114" t="s">
        <v>37</v>
      </c>
      <c r="P329" s="114" t="s">
        <v>35</v>
      </c>
      <c r="Q329" s="114" t="s">
        <v>35</v>
      </c>
      <c r="R329" s="114" t="s">
        <v>35</v>
      </c>
      <c r="S329" s="115" t="s">
        <v>36</v>
      </c>
      <c r="T329" s="127" t="s">
        <v>4211</v>
      </c>
      <c r="U329" s="127" t="s">
        <v>4211</v>
      </c>
      <c r="V329" s="116">
        <f t="shared" si="2"/>
        <v>1</v>
      </c>
      <c r="W329" s="116">
        <f t="shared" ref="W329:X329" si="334">IF(lenb(SUBSTITUTE($Z329,W$1&amp;" (1)",""))&lt;lenb($Z329),1,IF(lenb(SUBSTITUTE($Z329,W$1&amp;" (2)",""))&lt;lenb($Z329),2,IF(lenb(SUBSTITUTE($Z329,W$1&amp;" (3)",""))&lt;lenb($Z329),3,IF(lenb(SUBSTITUTE($Z329,W$1&amp;" (4)",""))&lt;lenb($Z329),4,IF(lenb(SUBSTITUTE($Z329,W$1&amp;" (5)",""))&lt;lenb($Z329),5,IF(lenb(SUBSTITUTE($Z329,W$1&amp;" (6)",""))&lt;lenb($Z329),6,IF(lenb(SUBSTITUTE($Z329,W$1&amp;" (7)",""))&lt;lenb($Z329),1,IF(lenb(SUBSTITUTE($Z329,W$1&amp;" (8)",""))&lt;lenb($Z329),8,IF(lenb(SUBSTITUTE($Z329,W$1&amp;" (9)",""))&lt;lenb($Z329),9,IF(lenb(SUBSTITUTE($Z329,W$1&amp;" (10)",""))&lt;lenb($Z329),10,IF(lenb(SUBSTITUTE($Z329,W$1,""))&lt;lenb($Z329),"ERROR",IF($Z329=$Y$1,"-",0))))))))))))</f>
        <v>0</v>
      </c>
      <c r="X329" s="116">
        <f t="shared" si="334"/>
        <v>0</v>
      </c>
      <c r="Y329" s="116" t="str">
        <f t="shared" si="4"/>
        <v>-</v>
      </c>
      <c r="Z329" s="115" t="s">
        <v>3400</v>
      </c>
      <c r="AA329" s="54">
        <f t="shared" si="5"/>
        <v>1</v>
      </c>
      <c r="AB329" s="54">
        <f>COUNTIFS(Links!B:B,"FSE",Links!C:C,A329,Links!AD:AD,1)</f>
        <v>0</v>
      </c>
      <c r="AC329" s="117" t="s">
        <v>35</v>
      </c>
      <c r="AD329" s="118" t="s">
        <v>35</v>
      </c>
      <c r="AE329" s="115" t="s">
        <v>36</v>
      </c>
      <c r="AF329" s="57" t="s">
        <v>42</v>
      </c>
      <c r="AG329" s="57" t="s">
        <v>42</v>
      </c>
      <c r="AH329" s="57" t="s">
        <v>42</v>
      </c>
      <c r="AI329" s="116" t="str">
        <f t="shared" si="6"/>
        <v>----</v>
      </c>
      <c r="AJ329" s="119" t="str">
        <f t="shared" si="7"/>
        <v>Paper has link but no statement</v>
      </c>
      <c r="AK329" s="120" t="s">
        <v>3401</v>
      </c>
      <c r="AL329" s="121" t="s">
        <v>3402</v>
      </c>
      <c r="AM329" s="60" t="str">
        <f t="shared" si="8"/>
        <v>[FP0545]</v>
      </c>
    </row>
    <row r="330" ht="67.5" customHeight="1">
      <c r="A330" s="61">
        <v>546.0</v>
      </c>
      <c r="B330" s="22" t="s">
        <v>4212</v>
      </c>
      <c r="C330" s="23">
        <v>2018.0</v>
      </c>
      <c r="D330" s="100" t="s">
        <v>35</v>
      </c>
      <c r="E330" s="25" t="s">
        <v>36</v>
      </c>
      <c r="F330" s="25" t="s">
        <v>36</v>
      </c>
      <c r="G330" s="25" t="s">
        <v>36</v>
      </c>
      <c r="H330" s="25" t="s">
        <v>36</v>
      </c>
      <c r="I330" s="25" t="s">
        <v>36</v>
      </c>
      <c r="J330" s="101" t="s">
        <v>36</v>
      </c>
      <c r="K330" s="102" t="s">
        <v>35</v>
      </c>
      <c r="L330" s="103" t="s">
        <v>36</v>
      </c>
      <c r="M330" s="103" t="s">
        <v>36</v>
      </c>
      <c r="N330" s="103" t="s">
        <v>36</v>
      </c>
      <c r="O330" s="103" t="s">
        <v>36</v>
      </c>
      <c r="P330" s="103" t="s">
        <v>36</v>
      </c>
      <c r="Q330" s="103" t="s">
        <v>36</v>
      </c>
      <c r="R330" s="103" t="s">
        <v>36</v>
      </c>
      <c r="S330" s="104" t="s">
        <v>42</v>
      </c>
      <c r="T330" s="30" t="s">
        <v>36</v>
      </c>
      <c r="U330" s="30" t="s">
        <v>36</v>
      </c>
      <c r="V330" s="105" t="str">
        <f t="shared" si="2"/>
        <v>-</v>
      </c>
      <c r="W330" s="105" t="str">
        <f t="shared" ref="W330:X330" si="335">IF(lenb(SUBSTITUTE($Z330,W$1&amp;" (1)",""))&lt;lenb($Z330),1,IF(lenb(SUBSTITUTE($Z330,W$1&amp;" (2)",""))&lt;lenb($Z330),2,IF(lenb(SUBSTITUTE($Z330,W$1&amp;" (3)",""))&lt;lenb($Z330),3,IF(lenb(SUBSTITUTE($Z330,W$1&amp;" (4)",""))&lt;lenb($Z330),4,IF(lenb(SUBSTITUTE($Z330,W$1&amp;" (5)",""))&lt;lenb($Z330),5,IF(lenb(SUBSTITUTE($Z330,W$1&amp;" (6)",""))&lt;lenb($Z330),6,IF(lenb(SUBSTITUTE($Z330,W$1&amp;" (7)",""))&lt;lenb($Z330),1,IF(lenb(SUBSTITUTE($Z330,W$1&amp;" (8)",""))&lt;lenb($Z330),8,IF(lenb(SUBSTITUTE($Z330,W$1&amp;" (9)",""))&lt;lenb($Z330),9,IF(lenb(SUBSTITUTE($Z330,W$1&amp;" (10)",""))&lt;lenb($Z330),10,IF(lenb(SUBSTITUTE($Z330,W$1,""))&lt;lenb($Z330),"ERROR",IF($Z330=$Y$1,"-",0))))))))))))</f>
        <v>-</v>
      </c>
      <c r="X330" s="105" t="str">
        <f t="shared" si="335"/>
        <v>-</v>
      </c>
      <c r="Y330" s="105">
        <f t="shared" si="4"/>
        <v>1</v>
      </c>
      <c r="Z330" s="104" t="s">
        <v>23</v>
      </c>
      <c r="AA330" s="34">
        <f t="shared" si="5"/>
        <v>0</v>
      </c>
      <c r="AB330" s="34">
        <f>COUNTIFS(Links!B:B,"FSE",Links!C:C,A330,Links!AD:AD,1)</f>
        <v>0</v>
      </c>
      <c r="AC330" s="106" t="s">
        <v>36</v>
      </c>
      <c r="AD330" s="107" t="s">
        <v>35</v>
      </c>
      <c r="AE330" s="104" t="s">
        <v>36</v>
      </c>
      <c r="AF330" s="37" t="s">
        <v>42</v>
      </c>
      <c r="AG330" s="37" t="s">
        <v>42</v>
      </c>
      <c r="AH330" s="37" t="s">
        <v>42</v>
      </c>
      <c r="AI330" s="105" t="str">
        <f t="shared" si="6"/>
        <v>----</v>
      </c>
      <c r="AJ330" s="108" t="str">
        <f t="shared" si="7"/>
        <v>Paper has no link and no statement</v>
      </c>
      <c r="AK330" s="109" t="s">
        <v>3401</v>
      </c>
      <c r="AL330" s="110" t="s">
        <v>3402</v>
      </c>
      <c r="AM330" s="40" t="str">
        <f t="shared" si="8"/>
        <v>[FP0546]</v>
      </c>
    </row>
    <row r="331" ht="67.5" customHeight="1">
      <c r="A331" s="41">
        <v>547.0</v>
      </c>
      <c r="B331" s="42" t="s">
        <v>4213</v>
      </c>
      <c r="C331" s="43">
        <v>2018.0</v>
      </c>
      <c r="D331" s="111" t="s">
        <v>37</v>
      </c>
      <c r="E331" s="45" t="s">
        <v>37</v>
      </c>
      <c r="F331" s="45" t="s">
        <v>37</v>
      </c>
      <c r="G331" s="45" t="s">
        <v>37</v>
      </c>
      <c r="H331" s="45" t="s">
        <v>35</v>
      </c>
      <c r="I331" s="45" t="s">
        <v>35</v>
      </c>
      <c r="J331" s="112" t="s">
        <v>36</v>
      </c>
      <c r="K331" s="113" t="s">
        <v>37</v>
      </c>
      <c r="L331" s="114" t="s">
        <v>35</v>
      </c>
      <c r="M331" s="114" t="s">
        <v>35</v>
      </c>
      <c r="N331" s="114" t="s">
        <v>35</v>
      </c>
      <c r="O331" s="114" t="s">
        <v>35</v>
      </c>
      <c r="P331" s="114" t="s">
        <v>35</v>
      </c>
      <c r="Q331" s="114" t="s">
        <v>35</v>
      </c>
      <c r="R331" s="114" t="s">
        <v>37</v>
      </c>
      <c r="S331" s="115" t="s">
        <v>1188</v>
      </c>
      <c r="T331" s="50" t="s">
        <v>4214</v>
      </c>
      <c r="U331" s="50" t="s">
        <v>4214</v>
      </c>
      <c r="V331" s="116">
        <f t="shared" si="2"/>
        <v>1</v>
      </c>
      <c r="W331" s="116">
        <f t="shared" ref="W331:X331" si="336">IF(lenb(SUBSTITUTE($Z331,W$1&amp;" (1)",""))&lt;lenb($Z331),1,IF(lenb(SUBSTITUTE($Z331,W$1&amp;" (2)",""))&lt;lenb($Z331),2,IF(lenb(SUBSTITUTE($Z331,W$1&amp;" (3)",""))&lt;lenb($Z331),3,IF(lenb(SUBSTITUTE($Z331,W$1&amp;" (4)",""))&lt;lenb($Z331),4,IF(lenb(SUBSTITUTE($Z331,W$1&amp;" (5)",""))&lt;lenb($Z331),5,IF(lenb(SUBSTITUTE($Z331,W$1&amp;" (6)",""))&lt;lenb($Z331),6,IF(lenb(SUBSTITUTE($Z331,W$1&amp;" (7)",""))&lt;lenb($Z331),1,IF(lenb(SUBSTITUTE($Z331,W$1&amp;" (8)",""))&lt;lenb($Z331),8,IF(lenb(SUBSTITUTE($Z331,W$1&amp;" (9)",""))&lt;lenb($Z331),9,IF(lenb(SUBSTITUTE($Z331,W$1&amp;" (10)",""))&lt;lenb($Z331),10,IF(lenb(SUBSTITUTE($Z331,W$1,""))&lt;lenb($Z331),"ERROR",IF($Z331=$Y$1,"-",0))))))))))))</f>
        <v>0</v>
      </c>
      <c r="X331" s="116">
        <f t="shared" si="336"/>
        <v>0</v>
      </c>
      <c r="Y331" s="116" t="str">
        <f t="shared" si="4"/>
        <v>-</v>
      </c>
      <c r="Z331" s="115" t="s">
        <v>3400</v>
      </c>
      <c r="AA331" s="54">
        <f t="shared" si="5"/>
        <v>1</v>
      </c>
      <c r="AB331" s="54">
        <f>COUNTIFS(Links!B:B,"FSE",Links!C:C,A331,Links!AD:AD,1)</f>
        <v>0</v>
      </c>
      <c r="AC331" s="117" t="s">
        <v>37</v>
      </c>
      <c r="AD331" s="118" t="s">
        <v>35</v>
      </c>
      <c r="AE331" s="115" t="s">
        <v>36</v>
      </c>
      <c r="AF331" s="57" t="s">
        <v>42</v>
      </c>
      <c r="AG331" s="57" t="s">
        <v>42</v>
      </c>
      <c r="AH331" s="57" t="s">
        <v>42</v>
      </c>
      <c r="AI331" s="116" t="str">
        <f t="shared" si="6"/>
        <v>----</v>
      </c>
      <c r="AJ331" s="119" t="str">
        <f t="shared" si="7"/>
        <v>Paper has link but no statement</v>
      </c>
      <c r="AK331" s="120" t="s">
        <v>3401</v>
      </c>
      <c r="AL331" s="121" t="s">
        <v>3402</v>
      </c>
      <c r="AM331" s="60" t="str">
        <f t="shared" si="8"/>
        <v>[FP0547]</v>
      </c>
    </row>
    <row r="332" ht="67.5" customHeight="1">
      <c r="A332" s="61">
        <v>548.0</v>
      </c>
      <c r="B332" s="22" t="s">
        <v>4215</v>
      </c>
      <c r="C332" s="23">
        <v>2018.0</v>
      </c>
      <c r="D332" s="100" t="s">
        <v>35</v>
      </c>
      <c r="E332" s="25" t="s">
        <v>36</v>
      </c>
      <c r="F332" s="25" t="s">
        <v>36</v>
      </c>
      <c r="G332" s="25" t="s">
        <v>36</v>
      </c>
      <c r="H332" s="25" t="s">
        <v>36</v>
      </c>
      <c r="I332" s="25" t="s">
        <v>36</v>
      </c>
      <c r="J332" s="101" t="s">
        <v>36</v>
      </c>
      <c r="K332" s="102" t="s">
        <v>37</v>
      </c>
      <c r="L332" s="103" t="s">
        <v>35</v>
      </c>
      <c r="M332" s="103" t="s">
        <v>35</v>
      </c>
      <c r="N332" s="103" t="s">
        <v>37</v>
      </c>
      <c r="O332" s="103" t="s">
        <v>35</v>
      </c>
      <c r="P332" s="103" t="s">
        <v>35</v>
      </c>
      <c r="Q332" s="103" t="s">
        <v>35</v>
      </c>
      <c r="R332" s="103" t="s">
        <v>37</v>
      </c>
      <c r="S332" s="104" t="s">
        <v>4216</v>
      </c>
      <c r="T332" s="30" t="s">
        <v>4217</v>
      </c>
      <c r="U332" s="132" t="s">
        <v>4218</v>
      </c>
      <c r="V332" s="105">
        <f t="shared" si="2"/>
        <v>0</v>
      </c>
      <c r="W332" s="105">
        <f t="shared" ref="W332:X332" si="337">IF(lenb(SUBSTITUTE($Z332,W$1&amp;" (1)",""))&lt;lenb($Z332),1,IF(lenb(SUBSTITUTE($Z332,W$1&amp;" (2)",""))&lt;lenb($Z332),2,IF(lenb(SUBSTITUTE($Z332,W$1&amp;" (3)",""))&lt;lenb($Z332),3,IF(lenb(SUBSTITUTE($Z332,W$1&amp;" (4)",""))&lt;lenb($Z332),4,IF(lenb(SUBSTITUTE($Z332,W$1&amp;" (5)",""))&lt;lenb($Z332),5,IF(lenb(SUBSTITUTE($Z332,W$1&amp;" (6)",""))&lt;lenb($Z332),6,IF(lenb(SUBSTITUTE($Z332,W$1&amp;" (7)",""))&lt;lenb($Z332),1,IF(lenb(SUBSTITUTE($Z332,W$1&amp;" (8)",""))&lt;lenb($Z332),8,IF(lenb(SUBSTITUTE($Z332,W$1&amp;" (9)",""))&lt;lenb($Z332),9,IF(lenb(SUBSTITUTE($Z332,W$1&amp;" (10)",""))&lt;lenb($Z332),10,IF(lenb(SUBSTITUTE($Z332,W$1,""))&lt;lenb($Z332),"ERROR",IF($Z332=$Y$1,"-",0))))))))))))</f>
        <v>0</v>
      </c>
      <c r="X332" s="105">
        <f t="shared" si="337"/>
        <v>1</v>
      </c>
      <c r="Y332" s="105" t="str">
        <f t="shared" si="4"/>
        <v>-</v>
      </c>
      <c r="Z332" s="104" t="s">
        <v>3563</v>
      </c>
      <c r="AA332" s="34">
        <f t="shared" si="5"/>
        <v>1</v>
      </c>
      <c r="AB332" s="34">
        <f>COUNTIFS(Links!B:B,"FSE",Links!C:C,A332,Links!AD:AD,1)</f>
        <v>0</v>
      </c>
      <c r="AC332" s="106" t="s">
        <v>35</v>
      </c>
      <c r="AD332" s="107" t="s">
        <v>35</v>
      </c>
      <c r="AE332" s="104" t="s">
        <v>36</v>
      </c>
      <c r="AF332" s="37" t="s">
        <v>42</v>
      </c>
      <c r="AG332" s="37" t="s">
        <v>42</v>
      </c>
      <c r="AH332" s="37" t="s">
        <v>42</v>
      </c>
      <c r="AI332" s="105" t="str">
        <f t="shared" si="6"/>
        <v>----</v>
      </c>
      <c r="AJ332" s="108" t="str">
        <f t="shared" si="7"/>
        <v>Paper has link but no statement</v>
      </c>
      <c r="AK332" s="109" t="s">
        <v>3401</v>
      </c>
      <c r="AL332" s="110" t="s">
        <v>3402</v>
      </c>
      <c r="AM332" s="40" t="str">
        <f t="shared" si="8"/>
        <v>[FP0548]</v>
      </c>
    </row>
    <row r="333" ht="67.5" customHeight="1">
      <c r="A333" s="41">
        <v>549.0</v>
      </c>
      <c r="B333" s="42" t="s">
        <v>4219</v>
      </c>
      <c r="C333" s="43">
        <v>2018.0</v>
      </c>
      <c r="D333" s="111" t="s">
        <v>35</v>
      </c>
      <c r="E333" s="45" t="s">
        <v>36</v>
      </c>
      <c r="F333" s="45" t="s">
        <v>36</v>
      </c>
      <c r="G333" s="45" t="s">
        <v>36</v>
      </c>
      <c r="H333" s="45" t="s">
        <v>36</v>
      </c>
      <c r="I333" s="45" t="s">
        <v>36</v>
      </c>
      <c r="J333" s="112" t="s">
        <v>36</v>
      </c>
      <c r="K333" s="113" t="s">
        <v>37</v>
      </c>
      <c r="L333" s="114" t="s">
        <v>35</v>
      </c>
      <c r="M333" s="114" t="s">
        <v>35</v>
      </c>
      <c r="N333" s="114" t="s">
        <v>35</v>
      </c>
      <c r="O333" s="114" t="s">
        <v>35</v>
      </c>
      <c r="P333" s="114" t="s">
        <v>35</v>
      </c>
      <c r="Q333" s="114" t="s">
        <v>35</v>
      </c>
      <c r="R333" s="114" t="s">
        <v>37</v>
      </c>
      <c r="S333" s="115" t="s">
        <v>4220</v>
      </c>
      <c r="T333" s="50" t="s">
        <v>4221</v>
      </c>
      <c r="U333" s="50" t="s">
        <v>4221</v>
      </c>
      <c r="V333" s="116">
        <f t="shared" si="2"/>
        <v>1</v>
      </c>
      <c r="W333" s="116">
        <f t="shared" ref="W333:X333" si="338">IF(lenb(SUBSTITUTE($Z333,W$1&amp;" (1)",""))&lt;lenb($Z333),1,IF(lenb(SUBSTITUTE($Z333,W$1&amp;" (2)",""))&lt;lenb($Z333),2,IF(lenb(SUBSTITUTE($Z333,W$1&amp;" (3)",""))&lt;lenb($Z333),3,IF(lenb(SUBSTITUTE($Z333,W$1&amp;" (4)",""))&lt;lenb($Z333),4,IF(lenb(SUBSTITUTE($Z333,W$1&amp;" (5)",""))&lt;lenb($Z333),5,IF(lenb(SUBSTITUTE($Z333,W$1&amp;" (6)",""))&lt;lenb($Z333),6,IF(lenb(SUBSTITUTE($Z333,W$1&amp;" (7)",""))&lt;lenb($Z333),1,IF(lenb(SUBSTITUTE($Z333,W$1&amp;" (8)",""))&lt;lenb($Z333),8,IF(lenb(SUBSTITUTE($Z333,W$1&amp;" (9)",""))&lt;lenb($Z333),9,IF(lenb(SUBSTITUTE($Z333,W$1&amp;" (10)",""))&lt;lenb($Z333),10,IF(lenb(SUBSTITUTE($Z333,W$1,""))&lt;lenb($Z333),"ERROR",IF($Z333=$Y$1,"-",0))))))))))))</f>
        <v>0</v>
      </c>
      <c r="X333" s="116">
        <f t="shared" si="338"/>
        <v>0</v>
      </c>
      <c r="Y333" s="116" t="str">
        <f t="shared" si="4"/>
        <v>-</v>
      </c>
      <c r="Z333" s="115" t="s">
        <v>3400</v>
      </c>
      <c r="AA333" s="54">
        <f t="shared" si="5"/>
        <v>1</v>
      </c>
      <c r="AB333" s="54">
        <f>COUNTIFS(Links!B:B,"FSE",Links!C:C,A333,Links!AD:AD,1)</f>
        <v>0</v>
      </c>
      <c r="AC333" s="117" t="s">
        <v>35</v>
      </c>
      <c r="AD333" s="118" t="s">
        <v>35</v>
      </c>
      <c r="AE333" s="115" t="s">
        <v>36</v>
      </c>
      <c r="AF333" s="57" t="s">
        <v>42</v>
      </c>
      <c r="AG333" s="57" t="s">
        <v>42</v>
      </c>
      <c r="AH333" s="57" t="s">
        <v>42</v>
      </c>
      <c r="AI333" s="116" t="str">
        <f t="shared" si="6"/>
        <v>----</v>
      </c>
      <c r="AJ333" s="119" t="str">
        <f t="shared" si="7"/>
        <v>Paper has link but no statement</v>
      </c>
      <c r="AK333" s="120" t="s">
        <v>3401</v>
      </c>
      <c r="AL333" s="121" t="s">
        <v>3402</v>
      </c>
      <c r="AM333" s="60" t="str">
        <f t="shared" si="8"/>
        <v>[FP0549]</v>
      </c>
    </row>
    <row r="334" ht="67.5" customHeight="1">
      <c r="A334" s="61">
        <v>550.0</v>
      </c>
      <c r="B334" s="22" t="s">
        <v>4222</v>
      </c>
      <c r="C334" s="23">
        <v>2018.0</v>
      </c>
      <c r="D334" s="100" t="s">
        <v>35</v>
      </c>
      <c r="E334" s="25" t="s">
        <v>36</v>
      </c>
      <c r="F334" s="25" t="s">
        <v>36</v>
      </c>
      <c r="G334" s="25" t="s">
        <v>36</v>
      </c>
      <c r="H334" s="25" t="s">
        <v>36</v>
      </c>
      <c r="I334" s="25" t="s">
        <v>36</v>
      </c>
      <c r="J334" s="101" t="s">
        <v>36</v>
      </c>
      <c r="K334" s="102" t="s">
        <v>37</v>
      </c>
      <c r="L334" s="103" t="s">
        <v>35</v>
      </c>
      <c r="M334" s="103" t="s">
        <v>35</v>
      </c>
      <c r="N334" s="103" t="s">
        <v>35</v>
      </c>
      <c r="O334" s="103" t="s">
        <v>37</v>
      </c>
      <c r="P334" s="103" t="s">
        <v>35</v>
      </c>
      <c r="Q334" s="103" t="s">
        <v>35</v>
      </c>
      <c r="R334" s="103" t="s">
        <v>35</v>
      </c>
      <c r="S334" s="104" t="s">
        <v>36</v>
      </c>
      <c r="T334" s="30" t="s">
        <v>4223</v>
      </c>
      <c r="U334" s="30" t="s">
        <v>4223</v>
      </c>
      <c r="V334" s="105">
        <f t="shared" si="2"/>
        <v>1</v>
      </c>
      <c r="W334" s="105">
        <f t="shared" ref="W334:X334" si="339">IF(lenb(SUBSTITUTE($Z334,W$1&amp;" (1)",""))&lt;lenb($Z334),1,IF(lenb(SUBSTITUTE($Z334,W$1&amp;" (2)",""))&lt;lenb($Z334),2,IF(lenb(SUBSTITUTE($Z334,W$1&amp;" (3)",""))&lt;lenb($Z334),3,IF(lenb(SUBSTITUTE($Z334,W$1&amp;" (4)",""))&lt;lenb($Z334),4,IF(lenb(SUBSTITUTE($Z334,W$1&amp;" (5)",""))&lt;lenb($Z334),5,IF(lenb(SUBSTITUTE($Z334,W$1&amp;" (6)",""))&lt;lenb($Z334),6,IF(lenb(SUBSTITUTE($Z334,W$1&amp;" (7)",""))&lt;lenb($Z334),1,IF(lenb(SUBSTITUTE($Z334,W$1&amp;" (8)",""))&lt;lenb($Z334),8,IF(lenb(SUBSTITUTE($Z334,W$1&amp;" (9)",""))&lt;lenb($Z334),9,IF(lenb(SUBSTITUTE($Z334,W$1&amp;" (10)",""))&lt;lenb($Z334),10,IF(lenb(SUBSTITUTE($Z334,W$1,""))&lt;lenb($Z334),"ERROR",IF($Z334=$Y$1,"-",0))))))))))))</f>
        <v>0</v>
      </c>
      <c r="X334" s="105">
        <f t="shared" si="339"/>
        <v>0</v>
      </c>
      <c r="Y334" s="105" t="str">
        <f t="shared" si="4"/>
        <v>-</v>
      </c>
      <c r="Z334" s="104" t="s">
        <v>3400</v>
      </c>
      <c r="AA334" s="34">
        <f t="shared" si="5"/>
        <v>1</v>
      </c>
      <c r="AB334" s="34">
        <f>COUNTIFS(Links!B:B,"FSE",Links!C:C,A334,Links!AD:AD,1)</f>
        <v>0</v>
      </c>
      <c r="AC334" s="106" t="s">
        <v>35</v>
      </c>
      <c r="AD334" s="107" t="s">
        <v>37</v>
      </c>
      <c r="AE334" s="104" t="s">
        <v>4224</v>
      </c>
      <c r="AF334" s="104" t="s">
        <v>146</v>
      </c>
      <c r="AG334" s="37" t="s">
        <v>42</v>
      </c>
      <c r="AH334" s="37" t="s">
        <v>42</v>
      </c>
      <c r="AI334" s="105" t="str">
        <f t="shared" si="6"/>
        <v>Future plans (—)</v>
      </c>
      <c r="AJ334" s="108" t="str">
        <f t="shared" si="7"/>
        <v>Paper has link and statement</v>
      </c>
      <c r="AK334" s="109" t="s">
        <v>3401</v>
      </c>
      <c r="AL334" s="110" t="s">
        <v>3402</v>
      </c>
      <c r="AM334" s="40" t="str">
        <f t="shared" si="8"/>
        <v>[FP0550]</v>
      </c>
    </row>
    <row r="335" ht="67.5" customHeight="1">
      <c r="A335" s="41">
        <v>551.0</v>
      </c>
      <c r="B335" s="42" t="s">
        <v>4225</v>
      </c>
      <c r="C335" s="43">
        <v>2018.0</v>
      </c>
      <c r="D335" s="111" t="s">
        <v>37</v>
      </c>
      <c r="E335" s="45" t="s">
        <v>37</v>
      </c>
      <c r="F335" s="45" t="s">
        <v>37</v>
      </c>
      <c r="G335" s="45" t="s">
        <v>37</v>
      </c>
      <c r="H335" s="45" t="s">
        <v>35</v>
      </c>
      <c r="I335" s="45" t="s">
        <v>35</v>
      </c>
      <c r="J335" s="112" t="s">
        <v>36</v>
      </c>
      <c r="K335" s="113" t="s">
        <v>37</v>
      </c>
      <c r="L335" s="114" t="s">
        <v>35</v>
      </c>
      <c r="M335" s="114" t="s">
        <v>35</v>
      </c>
      <c r="N335" s="114" t="s">
        <v>37</v>
      </c>
      <c r="O335" s="114" t="s">
        <v>35</v>
      </c>
      <c r="P335" s="114" t="s">
        <v>35</v>
      </c>
      <c r="Q335" s="114" t="s">
        <v>35</v>
      </c>
      <c r="R335" s="114" t="s">
        <v>37</v>
      </c>
      <c r="S335" s="115" t="s">
        <v>1666</v>
      </c>
      <c r="T335" s="50" t="s">
        <v>4226</v>
      </c>
      <c r="U335" s="50" t="s">
        <v>4226</v>
      </c>
      <c r="V335" s="116">
        <f t="shared" si="2"/>
        <v>1</v>
      </c>
      <c r="W335" s="116">
        <f t="shared" ref="W335:X335" si="340">IF(lenb(SUBSTITUTE($Z335,W$1&amp;" (1)",""))&lt;lenb($Z335),1,IF(lenb(SUBSTITUTE($Z335,W$1&amp;" (2)",""))&lt;lenb($Z335),2,IF(lenb(SUBSTITUTE($Z335,W$1&amp;" (3)",""))&lt;lenb($Z335),3,IF(lenb(SUBSTITUTE($Z335,W$1&amp;" (4)",""))&lt;lenb($Z335),4,IF(lenb(SUBSTITUTE($Z335,W$1&amp;" (5)",""))&lt;lenb($Z335),5,IF(lenb(SUBSTITUTE($Z335,W$1&amp;" (6)",""))&lt;lenb($Z335),6,IF(lenb(SUBSTITUTE($Z335,W$1&amp;" (7)",""))&lt;lenb($Z335),1,IF(lenb(SUBSTITUTE($Z335,W$1&amp;" (8)",""))&lt;lenb($Z335),8,IF(lenb(SUBSTITUTE($Z335,W$1&amp;" (9)",""))&lt;lenb($Z335),9,IF(lenb(SUBSTITUTE($Z335,W$1&amp;" (10)",""))&lt;lenb($Z335),10,IF(lenb(SUBSTITUTE($Z335,W$1,""))&lt;lenb($Z335),"ERROR",IF($Z335=$Y$1,"-",0))))))))))))</f>
        <v>0</v>
      </c>
      <c r="X335" s="116">
        <f t="shared" si="340"/>
        <v>0</v>
      </c>
      <c r="Y335" s="116" t="str">
        <f t="shared" si="4"/>
        <v>-</v>
      </c>
      <c r="Z335" s="115" t="s">
        <v>3400</v>
      </c>
      <c r="AA335" s="54">
        <f t="shared" si="5"/>
        <v>1</v>
      </c>
      <c r="AB335" s="54">
        <f>COUNTIFS(Links!B:B,"FSE",Links!C:C,A335,Links!AD:AD,1)</f>
        <v>0</v>
      </c>
      <c r="AC335" s="117" t="s">
        <v>35</v>
      </c>
      <c r="AD335" s="118" t="s">
        <v>35</v>
      </c>
      <c r="AE335" s="115" t="s">
        <v>36</v>
      </c>
      <c r="AF335" s="57" t="s">
        <v>42</v>
      </c>
      <c r="AG335" s="57" t="s">
        <v>42</v>
      </c>
      <c r="AH335" s="57" t="s">
        <v>42</v>
      </c>
      <c r="AI335" s="116" t="str">
        <f t="shared" si="6"/>
        <v>----</v>
      </c>
      <c r="AJ335" s="119" t="str">
        <f t="shared" si="7"/>
        <v>Paper has link but no statement</v>
      </c>
      <c r="AK335" s="120" t="s">
        <v>3401</v>
      </c>
      <c r="AL335" s="121" t="s">
        <v>3402</v>
      </c>
      <c r="AM335" s="60" t="str">
        <f t="shared" si="8"/>
        <v>[FP0551]</v>
      </c>
    </row>
    <row r="336" ht="67.5" customHeight="1">
      <c r="A336" s="61">
        <v>552.0</v>
      </c>
      <c r="B336" s="22" t="s">
        <v>4227</v>
      </c>
      <c r="C336" s="23">
        <v>2018.0</v>
      </c>
      <c r="D336" s="100" t="s">
        <v>37</v>
      </c>
      <c r="E336" s="25" t="s">
        <v>37</v>
      </c>
      <c r="F336" s="25" t="s">
        <v>37</v>
      </c>
      <c r="G336" s="25" t="s">
        <v>37</v>
      </c>
      <c r="H336" s="25" t="s">
        <v>35</v>
      </c>
      <c r="I336" s="25" t="s">
        <v>35</v>
      </c>
      <c r="J336" s="101" t="s">
        <v>36</v>
      </c>
      <c r="K336" s="102" t="s">
        <v>37</v>
      </c>
      <c r="L336" s="103" t="s">
        <v>35</v>
      </c>
      <c r="M336" s="103" t="s">
        <v>37</v>
      </c>
      <c r="N336" s="103" t="s">
        <v>35</v>
      </c>
      <c r="O336" s="103" t="s">
        <v>35</v>
      </c>
      <c r="P336" s="103" t="s">
        <v>37</v>
      </c>
      <c r="Q336" s="103" t="s">
        <v>35</v>
      </c>
      <c r="R336" s="103" t="s">
        <v>37</v>
      </c>
      <c r="S336" s="104" t="s">
        <v>4228</v>
      </c>
      <c r="T336" s="30" t="s">
        <v>4229</v>
      </c>
      <c r="U336" s="30" t="s">
        <v>4230</v>
      </c>
      <c r="V336" s="105">
        <f t="shared" si="2"/>
        <v>0</v>
      </c>
      <c r="W336" s="105">
        <f t="shared" ref="W336:X336" si="341">IF(lenb(SUBSTITUTE($Z336,W$1&amp;" (1)",""))&lt;lenb($Z336),1,IF(lenb(SUBSTITUTE($Z336,W$1&amp;" (2)",""))&lt;lenb($Z336),2,IF(lenb(SUBSTITUTE($Z336,W$1&amp;" (3)",""))&lt;lenb($Z336),3,IF(lenb(SUBSTITUTE($Z336,W$1&amp;" (4)",""))&lt;lenb($Z336),4,IF(lenb(SUBSTITUTE($Z336,W$1&amp;" (5)",""))&lt;lenb($Z336),5,IF(lenb(SUBSTITUTE($Z336,W$1&amp;" (6)",""))&lt;lenb($Z336),6,IF(lenb(SUBSTITUTE($Z336,W$1&amp;" (7)",""))&lt;lenb($Z336),1,IF(lenb(SUBSTITUTE($Z336,W$1&amp;" (8)",""))&lt;lenb($Z336),8,IF(lenb(SUBSTITUTE($Z336,W$1&amp;" (9)",""))&lt;lenb($Z336),9,IF(lenb(SUBSTITUTE($Z336,W$1&amp;" (10)",""))&lt;lenb($Z336),10,IF(lenb(SUBSTITUTE($Z336,W$1,""))&lt;lenb($Z336),"ERROR",IF($Z336=$Y$1,"-",0))))))))))))</f>
        <v>1</v>
      </c>
      <c r="X336" s="105">
        <f t="shared" si="341"/>
        <v>0</v>
      </c>
      <c r="Y336" s="105" t="str">
        <f t="shared" si="4"/>
        <v>-</v>
      </c>
      <c r="Z336" s="104" t="s">
        <v>3423</v>
      </c>
      <c r="AA336" s="34">
        <f t="shared" si="5"/>
        <v>1</v>
      </c>
      <c r="AB336" s="34">
        <f>COUNTIFS(Links!B:B,"FSE",Links!C:C,A336,Links!AD:AD,1)</f>
        <v>1</v>
      </c>
      <c r="AC336" s="106" t="s">
        <v>35</v>
      </c>
      <c r="AD336" s="107" t="s">
        <v>35</v>
      </c>
      <c r="AE336" s="104" t="s">
        <v>36</v>
      </c>
      <c r="AF336" s="37" t="s">
        <v>42</v>
      </c>
      <c r="AG336" s="37" t="s">
        <v>42</v>
      </c>
      <c r="AH336" s="37" t="s">
        <v>42</v>
      </c>
      <c r="AI336" s="105" t="str">
        <f t="shared" si="6"/>
        <v>----</v>
      </c>
      <c r="AJ336" s="108" t="str">
        <f t="shared" si="7"/>
        <v>Paper has link but no statement</v>
      </c>
      <c r="AK336" s="109" t="s">
        <v>3401</v>
      </c>
      <c r="AL336" s="110" t="s">
        <v>3402</v>
      </c>
      <c r="AM336" s="40" t="str">
        <f t="shared" si="8"/>
        <v>[FP0552]</v>
      </c>
    </row>
    <row r="337" ht="67.5" customHeight="1">
      <c r="A337" s="41">
        <v>553.0</v>
      </c>
      <c r="B337" s="42" t="s">
        <v>4231</v>
      </c>
      <c r="C337" s="43">
        <v>2018.0</v>
      </c>
      <c r="D337" s="111" t="s">
        <v>35</v>
      </c>
      <c r="E337" s="45" t="s">
        <v>36</v>
      </c>
      <c r="F337" s="45" t="s">
        <v>36</v>
      </c>
      <c r="G337" s="45" t="s">
        <v>36</v>
      </c>
      <c r="H337" s="45" t="s">
        <v>36</v>
      </c>
      <c r="I337" s="45" t="s">
        <v>36</v>
      </c>
      <c r="J337" s="112" t="s">
        <v>36</v>
      </c>
      <c r="K337" s="113" t="s">
        <v>37</v>
      </c>
      <c r="L337" s="114" t="s">
        <v>37</v>
      </c>
      <c r="M337" s="114" t="s">
        <v>35</v>
      </c>
      <c r="N337" s="114" t="s">
        <v>35</v>
      </c>
      <c r="O337" s="114" t="s">
        <v>35</v>
      </c>
      <c r="P337" s="114" t="s">
        <v>35</v>
      </c>
      <c r="Q337" s="114" t="s">
        <v>35</v>
      </c>
      <c r="R337" s="114" t="s">
        <v>37</v>
      </c>
      <c r="S337" s="115" t="s">
        <v>42</v>
      </c>
      <c r="T337" s="124" t="s">
        <v>4232</v>
      </c>
      <c r="U337" s="124" t="s">
        <v>4232</v>
      </c>
      <c r="V337" s="116">
        <f t="shared" si="2"/>
        <v>26</v>
      </c>
      <c r="W337" s="116">
        <f t="shared" ref="W337:X337" si="342">IF(lenb(SUBSTITUTE($Z337,W$1&amp;" (1)",""))&lt;lenb($Z337),1,IF(lenb(SUBSTITUTE($Z337,W$1&amp;" (2)",""))&lt;lenb($Z337),2,IF(lenb(SUBSTITUTE($Z337,W$1&amp;" (3)",""))&lt;lenb($Z337),3,IF(lenb(SUBSTITUTE($Z337,W$1&amp;" (4)",""))&lt;lenb($Z337),4,IF(lenb(SUBSTITUTE($Z337,W$1&amp;" (5)",""))&lt;lenb($Z337),5,IF(lenb(SUBSTITUTE($Z337,W$1&amp;" (6)",""))&lt;lenb($Z337),6,IF(lenb(SUBSTITUTE($Z337,W$1&amp;" (7)",""))&lt;lenb($Z337),1,IF(lenb(SUBSTITUTE($Z337,W$1&amp;" (8)",""))&lt;lenb($Z337),8,IF(lenb(SUBSTITUTE($Z337,W$1&amp;" (9)",""))&lt;lenb($Z337),9,IF(lenb(SUBSTITUTE($Z337,W$1&amp;" (10)",""))&lt;lenb($Z337),10,IF(lenb(SUBSTITUTE($Z337,W$1,""))&lt;lenb($Z337),"ERROR",IF($Z337=$Y$1,"-",0))))))))))))</f>
        <v>1</v>
      </c>
      <c r="X337" s="116">
        <f t="shared" si="342"/>
        <v>0</v>
      </c>
      <c r="Y337" s="116" t="str">
        <f t="shared" si="4"/>
        <v>-</v>
      </c>
      <c r="Z337" s="115" t="s">
        <v>4233</v>
      </c>
      <c r="AA337" s="54">
        <f t="shared" si="5"/>
        <v>27</v>
      </c>
      <c r="AB337" s="54">
        <f>COUNTIFS(Links!B:B,"FSE",Links!C:C,A337,Links!AD:AD,1)</f>
        <v>0</v>
      </c>
      <c r="AC337" s="117" t="s">
        <v>35</v>
      </c>
      <c r="AD337" s="118" t="s">
        <v>35</v>
      </c>
      <c r="AE337" s="115" t="s">
        <v>36</v>
      </c>
      <c r="AF337" s="57" t="s">
        <v>42</v>
      </c>
      <c r="AG337" s="57" t="s">
        <v>42</v>
      </c>
      <c r="AH337" s="57" t="s">
        <v>42</v>
      </c>
      <c r="AI337" s="116" t="str">
        <f t="shared" si="6"/>
        <v>----</v>
      </c>
      <c r="AJ337" s="119" t="str">
        <f t="shared" si="7"/>
        <v>Paper has link but no statement</v>
      </c>
      <c r="AK337" s="120" t="s">
        <v>3401</v>
      </c>
      <c r="AL337" s="121" t="s">
        <v>3402</v>
      </c>
      <c r="AM337" s="60" t="str">
        <f t="shared" si="8"/>
        <v>[FP0553]</v>
      </c>
    </row>
    <row r="338" ht="67.5" customHeight="1">
      <c r="A338" s="61">
        <v>554.0</v>
      </c>
      <c r="B338" s="22" t="s">
        <v>4234</v>
      </c>
      <c r="C338" s="23">
        <v>2018.0</v>
      </c>
      <c r="D338" s="100" t="s">
        <v>37</v>
      </c>
      <c r="E338" s="25" t="s">
        <v>35</v>
      </c>
      <c r="F338" s="25" t="s">
        <v>37</v>
      </c>
      <c r="G338" s="25" t="s">
        <v>37</v>
      </c>
      <c r="H338" s="25" t="s">
        <v>35</v>
      </c>
      <c r="I338" s="25" t="s">
        <v>35</v>
      </c>
      <c r="J338" s="101" t="s">
        <v>36</v>
      </c>
      <c r="K338" s="102" t="s">
        <v>37</v>
      </c>
      <c r="L338" s="103" t="s">
        <v>37</v>
      </c>
      <c r="M338" s="103" t="s">
        <v>35</v>
      </c>
      <c r="N338" s="103" t="s">
        <v>35</v>
      </c>
      <c r="O338" s="103" t="s">
        <v>35</v>
      </c>
      <c r="P338" s="103" t="s">
        <v>35</v>
      </c>
      <c r="Q338" s="103" t="s">
        <v>35</v>
      </c>
      <c r="R338" s="103" t="s">
        <v>37</v>
      </c>
      <c r="S338" s="104" t="s">
        <v>4235</v>
      </c>
      <c r="T338" s="30" t="s">
        <v>4236</v>
      </c>
      <c r="U338" s="30" t="s">
        <v>4236</v>
      </c>
      <c r="V338" s="105">
        <f t="shared" si="2"/>
        <v>1</v>
      </c>
      <c r="W338" s="105">
        <f t="shared" ref="W338:X338" si="343">IF(lenb(SUBSTITUTE($Z338,W$1&amp;" (1)",""))&lt;lenb($Z338),1,IF(lenb(SUBSTITUTE($Z338,W$1&amp;" (2)",""))&lt;lenb($Z338),2,IF(lenb(SUBSTITUTE($Z338,W$1&amp;" (3)",""))&lt;lenb($Z338),3,IF(lenb(SUBSTITUTE($Z338,W$1&amp;" (4)",""))&lt;lenb($Z338),4,IF(lenb(SUBSTITUTE($Z338,W$1&amp;" (5)",""))&lt;lenb($Z338),5,IF(lenb(SUBSTITUTE($Z338,W$1&amp;" (6)",""))&lt;lenb($Z338),6,IF(lenb(SUBSTITUTE($Z338,W$1&amp;" (7)",""))&lt;lenb($Z338),1,IF(lenb(SUBSTITUTE($Z338,W$1&amp;" (8)",""))&lt;lenb($Z338),8,IF(lenb(SUBSTITUTE($Z338,W$1&amp;" (9)",""))&lt;lenb($Z338),9,IF(lenb(SUBSTITUTE($Z338,W$1&amp;" (10)",""))&lt;lenb($Z338),10,IF(lenb(SUBSTITUTE($Z338,W$1,""))&lt;lenb($Z338),"ERROR",IF($Z338=$Y$1,"-",0))))))))))))</f>
        <v>0</v>
      </c>
      <c r="X338" s="105">
        <f t="shared" si="343"/>
        <v>0</v>
      </c>
      <c r="Y338" s="105" t="str">
        <f t="shared" si="4"/>
        <v>-</v>
      </c>
      <c r="Z338" s="104" t="s">
        <v>3400</v>
      </c>
      <c r="AA338" s="34">
        <f t="shared" si="5"/>
        <v>1</v>
      </c>
      <c r="AB338" s="34">
        <f>COUNTIFS(Links!B:B,"FSE",Links!C:C,A338,Links!AD:AD,1)</f>
        <v>0</v>
      </c>
      <c r="AC338" s="106" t="s">
        <v>37</v>
      </c>
      <c r="AD338" s="107" t="s">
        <v>35</v>
      </c>
      <c r="AE338" s="104" t="s">
        <v>36</v>
      </c>
      <c r="AF338" s="37" t="s">
        <v>42</v>
      </c>
      <c r="AG338" s="37" t="s">
        <v>42</v>
      </c>
      <c r="AH338" s="37" t="s">
        <v>42</v>
      </c>
      <c r="AI338" s="105" t="str">
        <f t="shared" si="6"/>
        <v>----</v>
      </c>
      <c r="AJ338" s="108" t="str">
        <f t="shared" si="7"/>
        <v>Paper has link but no statement</v>
      </c>
      <c r="AK338" s="109" t="s">
        <v>3401</v>
      </c>
      <c r="AL338" s="110" t="s">
        <v>3402</v>
      </c>
      <c r="AM338" s="40" t="str">
        <f t="shared" si="8"/>
        <v>[FP0554]</v>
      </c>
    </row>
    <row r="339" ht="67.5" customHeight="1">
      <c r="A339" s="41">
        <v>555.0</v>
      </c>
      <c r="B339" s="42" t="s">
        <v>4237</v>
      </c>
      <c r="C339" s="43">
        <v>2018.0</v>
      </c>
      <c r="D339" s="111" t="s">
        <v>35</v>
      </c>
      <c r="E339" s="45" t="s">
        <v>36</v>
      </c>
      <c r="F339" s="45" t="s">
        <v>36</v>
      </c>
      <c r="G339" s="45" t="s">
        <v>36</v>
      </c>
      <c r="H339" s="45" t="s">
        <v>36</v>
      </c>
      <c r="I339" s="45" t="s">
        <v>36</v>
      </c>
      <c r="J339" s="112" t="s">
        <v>36</v>
      </c>
      <c r="K339" s="113" t="s">
        <v>37</v>
      </c>
      <c r="L339" s="114" t="s">
        <v>35</v>
      </c>
      <c r="M339" s="114" t="s">
        <v>35</v>
      </c>
      <c r="N339" s="114" t="s">
        <v>35</v>
      </c>
      <c r="O339" s="114" t="s">
        <v>37</v>
      </c>
      <c r="P339" s="114" t="s">
        <v>35</v>
      </c>
      <c r="Q339" s="114" t="s">
        <v>35</v>
      </c>
      <c r="R339" s="114" t="s">
        <v>35</v>
      </c>
      <c r="S339" s="115" t="s">
        <v>36</v>
      </c>
      <c r="T339" s="50" t="s">
        <v>4238</v>
      </c>
      <c r="U339" s="50" t="s">
        <v>4238</v>
      </c>
      <c r="V339" s="116">
        <f t="shared" si="2"/>
        <v>1</v>
      </c>
      <c r="W339" s="116">
        <f t="shared" ref="W339:X339" si="344">IF(lenb(SUBSTITUTE($Z339,W$1&amp;" (1)",""))&lt;lenb($Z339),1,IF(lenb(SUBSTITUTE($Z339,W$1&amp;" (2)",""))&lt;lenb($Z339),2,IF(lenb(SUBSTITUTE($Z339,W$1&amp;" (3)",""))&lt;lenb($Z339),3,IF(lenb(SUBSTITUTE($Z339,W$1&amp;" (4)",""))&lt;lenb($Z339),4,IF(lenb(SUBSTITUTE($Z339,W$1&amp;" (5)",""))&lt;lenb($Z339),5,IF(lenb(SUBSTITUTE($Z339,W$1&amp;" (6)",""))&lt;lenb($Z339),6,IF(lenb(SUBSTITUTE($Z339,W$1&amp;" (7)",""))&lt;lenb($Z339),1,IF(lenb(SUBSTITUTE($Z339,W$1&amp;" (8)",""))&lt;lenb($Z339),8,IF(lenb(SUBSTITUTE($Z339,W$1&amp;" (9)",""))&lt;lenb($Z339),9,IF(lenb(SUBSTITUTE($Z339,W$1&amp;" (10)",""))&lt;lenb($Z339),10,IF(lenb(SUBSTITUTE($Z339,W$1,""))&lt;lenb($Z339),"ERROR",IF($Z339=$Y$1,"-",0))))))))))))</f>
        <v>0</v>
      </c>
      <c r="X339" s="116">
        <f t="shared" si="344"/>
        <v>0</v>
      </c>
      <c r="Y339" s="116" t="str">
        <f t="shared" si="4"/>
        <v>-</v>
      </c>
      <c r="Z339" s="115" t="s">
        <v>3400</v>
      </c>
      <c r="AA339" s="54">
        <f t="shared" si="5"/>
        <v>1</v>
      </c>
      <c r="AB339" s="54">
        <f>COUNTIFS(Links!B:B,"FSE",Links!C:C,A339,Links!AD:AD,1)</f>
        <v>0</v>
      </c>
      <c r="AC339" s="117" t="s">
        <v>35</v>
      </c>
      <c r="AD339" s="118" t="s">
        <v>37</v>
      </c>
      <c r="AE339" s="129" t="s">
        <v>4239</v>
      </c>
      <c r="AF339" s="115" t="s">
        <v>223</v>
      </c>
      <c r="AG339" s="57" t="s">
        <v>42</v>
      </c>
      <c r="AH339" s="57" t="s">
        <v>42</v>
      </c>
      <c r="AI339" s="116" t="str">
        <f t="shared" si="6"/>
        <v>Barriers (Agreements and legal rights)</v>
      </c>
      <c r="AJ339" s="119" t="str">
        <f t="shared" si="7"/>
        <v>Paper has link and statement</v>
      </c>
      <c r="AK339" s="120" t="s">
        <v>3401</v>
      </c>
      <c r="AL339" s="121" t="s">
        <v>3402</v>
      </c>
      <c r="AM339" s="60" t="str">
        <f t="shared" si="8"/>
        <v>[FP0555]</v>
      </c>
    </row>
    <row r="340" ht="67.5" customHeight="1">
      <c r="A340" s="61">
        <v>556.0</v>
      </c>
      <c r="B340" s="22" t="s">
        <v>4240</v>
      </c>
      <c r="C340" s="23">
        <v>2018.0</v>
      </c>
      <c r="D340" s="100" t="s">
        <v>35</v>
      </c>
      <c r="E340" s="25" t="s">
        <v>36</v>
      </c>
      <c r="F340" s="25" t="s">
        <v>36</v>
      </c>
      <c r="G340" s="25" t="s">
        <v>36</v>
      </c>
      <c r="H340" s="25" t="s">
        <v>36</v>
      </c>
      <c r="I340" s="25" t="s">
        <v>36</v>
      </c>
      <c r="J340" s="101" t="s">
        <v>36</v>
      </c>
      <c r="K340" s="102" t="s">
        <v>37</v>
      </c>
      <c r="L340" s="103" t="s">
        <v>37</v>
      </c>
      <c r="M340" s="103" t="s">
        <v>35</v>
      </c>
      <c r="N340" s="103" t="s">
        <v>35</v>
      </c>
      <c r="O340" s="103" t="s">
        <v>35</v>
      </c>
      <c r="P340" s="103" t="s">
        <v>35</v>
      </c>
      <c r="Q340" s="103" t="s">
        <v>35</v>
      </c>
      <c r="R340" s="103" t="s">
        <v>37</v>
      </c>
      <c r="S340" s="104" t="s">
        <v>4241</v>
      </c>
      <c r="T340" s="30" t="s">
        <v>4242</v>
      </c>
      <c r="U340" s="30" t="s">
        <v>4243</v>
      </c>
      <c r="V340" s="105">
        <f t="shared" si="2"/>
        <v>2</v>
      </c>
      <c r="W340" s="105">
        <f t="shared" ref="W340:X340" si="345">IF(lenb(SUBSTITUTE($Z340,W$1&amp;" (1)",""))&lt;lenb($Z340),1,IF(lenb(SUBSTITUTE($Z340,W$1&amp;" (2)",""))&lt;lenb($Z340),2,IF(lenb(SUBSTITUTE($Z340,W$1&amp;" (3)",""))&lt;lenb($Z340),3,IF(lenb(SUBSTITUTE($Z340,W$1&amp;" (4)",""))&lt;lenb($Z340),4,IF(lenb(SUBSTITUTE($Z340,W$1&amp;" (5)",""))&lt;lenb($Z340),5,IF(lenb(SUBSTITUTE($Z340,W$1&amp;" (6)",""))&lt;lenb($Z340),6,IF(lenb(SUBSTITUTE($Z340,W$1&amp;" (7)",""))&lt;lenb($Z340),1,IF(lenb(SUBSTITUTE($Z340,W$1&amp;" (8)",""))&lt;lenb($Z340),8,IF(lenb(SUBSTITUTE($Z340,W$1&amp;" (9)",""))&lt;lenb($Z340),9,IF(lenb(SUBSTITUTE($Z340,W$1&amp;" (10)",""))&lt;lenb($Z340),10,IF(lenb(SUBSTITUTE($Z340,W$1,""))&lt;lenb($Z340),"ERROR",IF($Z340=$Y$1,"-",0))))))))))))</f>
        <v>0</v>
      </c>
      <c r="X340" s="105">
        <f t="shared" si="345"/>
        <v>0</v>
      </c>
      <c r="Y340" s="105" t="str">
        <f t="shared" si="4"/>
        <v>-</v>
      </c>
      <c r="Z340" s="104" t="s">
        <v>3452</v>
      </c>
      <c r="AA340" s="34">
        <f t="shared" si="5"/>
        <v>2</v>
      </c>
      <c r="AB340" s="34">
        <f>COUNTIFS(Links!B:B,"FSE",Links!C:C,A340,Links!AD:AD,1)</f>
        <v>0</v>
      </c>
      <c r="AC340" s="106" t="s">
        <v>35</v>
      </c>
      <c r="AD340" s="107" t="s">
        <v>35</v>
      </c>
      <c r="AE340" s="104" t="s">
        <v>36</v>
      </c>
      <c r="AF340" s="37" t="s">
        <v>42</v>
      </c>
      <c r="AG340" s="37" t="s">
        <v>42</v>
      </c>
      <c r="AH340" s="37" t="s">
        <v>42</v>
      </c>
      <c r="AI340" s="105" t="str">
        <f t="shared" si="6"/>
        <v>----</v>
      </c>
      <c r="AJ340" s="108" t="str">
        <f t="shared" si="7"/>
        <v>Paper has link but no statement</v>
      </c>
      <c r="AK340" s="109" t="s">
        <v>3401</v>
      </c>
      <c r="AL340" s="110" t="s">
        <v>3402</v>
      </c>
      <c r="AM340" s="40" t="str">
        <f t="shared" si="8"/>
        <v>[FP0556]</v>
      </c>
    </row>
    <row r="341" ht="67.5" customHeight="1">
      <c r="A341" s="41">
        <v>557.0</v>
      </c>
      <c r="B341" s="42" t="s">
        <v>4244</v>
      </c>
      <c r="C341" s="43">
        <v>2018.0</v>
      </c>
      <c r="D341" s="111" t="s">
        <v>35</v>
      </c>
      <c r="E341" s="45" t="s">
        <v>36</v>
      </c>
      <c r="F341" s="45" t="s">
        <v>36</v>
      </c>
      <c r="G341" s="45" t="s">
        <v>36</v>
      </c>
      <c r="H341" s="45" t="s">
        <v>36</v>
      </c>
      <c r="I341" s="45" t="s">
        <v>36</v>
      </c>
      <c r="J341" s="112" t="s">
        <v>36</v>
      </c>
      <c r="K341" s="113" t="s">
        <v>37</v>
      </c>
      <c r="L341" s="114" t="s">
        <v>35</v>
      </c>
      <c r="M341" s="114" t="s">
        <v>35</v>
      </c>
      <c r="N341" s="114" t="s">
        <v>35</v>
      </c>
      <c r="O341" s="114" t="s">
        <v>35</v>
      </c>
      <c r="P341" s="114" t="s">
        <v>35</v>
      </c>
      <c r="Q341" s="114" t="s">
        <v>35</v>
      </c>
      <c r="R341" s="114" t="s">
        <v>37</v>
      </c>
      <c r="S341" s="115" t="s">
        <v>2457</v>
      </c>
      <c r="T341" s="127" t="s">
        <v>4245</v>
      </c>
      <c r="U341" s="127" t="s">
        <v>4245</v>
      </c>
      <c r="V341" s="116">
        <f t="shared" si="2"/>
        <v>1</v>
      </c>
      <c r="W341" s="116">
        <f t="shared" ref="W341:X341" si="346">IF(lenb(SUBSTITUTE($Z341,W$1&amp;" (1)",""))&lt;lenb($Z341),1,IF(lenb(SUBSTITUTE($Z341,W$1&amp;" (2)",""))&lt;lenb($Z341),2,IF(lenb(SUBSTITUTE($Z341,W$1&amp;" (3)",""))&lt;lenb($Z341),3,IF(lenb(SUBSTITUTE($Z341,W$1&amp;" (4)",""))&lt;lenb($Z341),4,IF(lenb(SUBSTITUTE($Z341,W$1&amp;" (5)",""))&lt;lenb($Z341),5,IF(lenb(SUBSTITUTE($Z341,W$1&amp;" (6)",""))&lt;lenb($Z341),6,IF(lenb(SUBSTITUTE($Z341,W$1&amp;" (7)",""))&lt;lenb($Z341),1,IF(lenb(SUBSTITUTE($Z341,W$1&amp;" (8)",""))&lt;lenb($Z341),8,IF(lenb(SUBSTITUTE($Z341,W$1&amp;" (9)",""))&lt;lenb($Z341),9,IF(lenb(SUBSTITUTE($Z341,W$1&amp;" (10)",""))&lt;lenb($Z341),10,IF(lenb(SUBSTITUTE($Z341,W$1,""))&lt;lenb($Z341),"ERROR",IF($Z341=$Y$1,"-",0))))))))))))</f>
        <v>0</v>
      </c>
      <c r="X341" s="116">
        <f t="shared" si="346"/>
        <v>0</v>
      </c>
      <c r="Y341" s="116" t="str">
        <f t="shared" si="4"/>
        <v>-</v>
      </c>
      <c r="Z341" s="115" t="s">
        <v>3400</v>
      </c>
      <c r="AA341" s="54">
        <f t="shared" si="5"/>
        <v>1</v>
      </c>
      <c r="AB341" s="54">
        <f>COUNTIFS(Links!B:B,"FSE",Links!C:C,A341,Links!AD:AD,1)</f>
        <v>0</v>
      </c>
      <c r="AC341" s="117" t="s">
        <v>35</v>
      </c>
      <c r="AD341" s="118" t="s">
        <v>35</v>
      </c>
      <c r="AE341" s="115" t="s">
        <v>36</v>
      </c>
      <c r="AF341" s="57" t="s">
        <v>42</v>
      </c>
      <c r="AG341" s="57" t="s">
        <v>42</v>
      </c>
      <c r="AH341" s="57" t="s">
        <v>42</v>
      </c>
      <c r="AI341" s="116" t="str">
        <f t="shared" si="6"/>
        <v>----</v>
      </c>
      <c r="AJ341" s="119" t="str">
        <f t="shared" si="7"/>
        <v>Paper has link but no statement</v>
      </c>
      <c r="AK341" s="120" t="s">
        <v>3401</v>
      </c>
      <c r="AL341" s="121" t="s">
        <v>3402</v>
      </c>
      <c r="AM341" s="60" t="str">
        <f t="shared" si="8"/>
        <v>[FP0557]</v>
      </c>
    </row>
    <row r="342" ht="67.5" customHeight="1">
      <c r="A342" s="61">
        <v>558.0</v>
      </c>
      <c r="B342" s="22" t="s">
        <v>4246</v>
      </c>
      <c r="C342" s="23">
        <v>2018.0</v>
      </c>
      <c r="D342" s="100" t="s">
        <v>37</v>
      </c>
      <c r="E342" s="25" t="s">
        <v>37</v>
      </c>
      <c r="F342" s="25" t="s">
        <v>37</v>
      </c>
      <c r="G342" s="25" t="s">
        <v>35</v>
      </c>
      <c r="H342" s="25" t="s">
        <v>35</v>
      </c>
      <c r="I342" s="25" t="s">
        <v>35</v>
      </c>
      <c r="J342" s="101" t="s">
        <v>36</v>
      </c>
      <c r="K342" s="102" t="s">
        <v>37</v>
      </c>
      <c r="L342" s="103" t="s">
        <v>35</v>
      </c>
      <c r="M342" s="103" t="s">
        <v>35</v>
      </c>
      <c r="N342" s="103" t="s">
        <v>35</v>
      </c>
      <c r="O342" s="103" t="s">
        <v>35</v>
      </c>
      <c r="P342" s="103" t="s">
        <v>35</v>
      </c>
      <c r="Q342" s="103" t="s">
        <v>35</v>
      </c>
      <c r="R342" s="103" t="s">
        <v>37</v>
      </c>
      <c r="S342" s="104" t="s">
        <v>1188</v>
      </c>
      <c r="T342" s="30" t="s">
        <v>4247</v>
      </c>
      <c r="U342" s="30" t="s">
        <v>4247</v>
      </c>
      <c r="V342" s="105">
        <f t="shared" si="2"/>
        <v>1</v>
      </c>
      <c r="W342" s="105">
        <f t="shared" ref="W342:X342" si="347">IF(lenb(SUBSTITUTE($Z342,W$1&amp;" (1)",""))&lt;lenb($Z342),1,IF(lenb(SUBSTITUTE($Z342,W$1&amp;" (2)",""))&lt;lenb($Z342),2,IF(lenb(SUBSTITUTE($Z342,W$1&amp;" (3)",""))&lt;lenb($Z342),3,IF(lenb(SUBSTITUTE($Z342,W$1&amp;" (4)",""))&lt;lenb($Z342),4,IF(lenb(SUBSTITUTE($Z342,W$1&amp;" (5)",""))&lt;lenb($Z342),5,IF(lenb(SUBSTITUTE($Z342,W$1&amp;" (6)",""))&lt;lenb($Z342),6,IF(lenb(SUBSTITUTE($Z342,W$1&amp;" (7)",""))&lt;lenb($Z342),1,IF(lenb(SUBSTITUTE($Z342,W$1&amp;" (8)",""))&lt;lenb($Z342),8,IF(lenb(SUBSTITUTE($Z342,W$1&amp;" (9)",""))&lt;lenb($Z342),9,IF(lenb(SUBSTITUTE($Z342,W$1&amp;" (10)",""))&lt;lenb($Z342),10,IF(lenb(SUBSTITUTE($Z342,W$1,""))&lt;lenb($Z342),"ERROR",IF($Z342=$Y$1,"-",0))))))))))))</f>
        <v>0</v>
      </c>
      <c r="X342" s="105">
        <f t="shared" si="347"/>
        <v>0</v>
      </c>
      <c r="Y342" s="105" t="str">
        <f t="shared" si="4"/>
        <v>-</v>
      </c>
      <c r="Z342" s="104" t="s">
        <v>3400</v>
      </c>
      <c r="AA342" s="34">
        <f t="shared" si="5"/>
        <v>1</v>
      </c>
      <c r="AB342" s="34">
        <f>COUNTIFS(Links!B:B,"FSE",Links!C:C,A342,Links!AD:AD,1)</f>
        <v>0</v>
      </c>
      <c r="AC342" s="106" t="s">
        <v>35</v>
      </c>
      <c r="AD342" s="107" t="s">
        <v>35</v>
      </c>
      <c r="AE342" s="104" t="s">
        <v>36</v>
      </c>
      <c r="AF342" s="37" t="s">
        <v>42</v>
      </c>
      <c r="AG342" s="37" t="s">
        <v>42</v>
      </c>
      <c r="AH342" s="37" t="s">
        <v>42</v>
      </c>
      <c r="AI342" s="105" t="str">
        <f t="shared" si="6"/>
        <v>----</v>
      </c>
      <c r="AJ342" s="108" t="str">
        <f t="shared" si="7"/>
        <v>Paper has link but no statement</v>
      </c>
      <c r="AK342" s="109" t="s">
        <v>3401</v>
      </c>
      <c r="AL342" s="110" t="s">
        <v>3402</v>
      </c>
      <c r="AM342" s="40" t="str">
        <f t="shared" si="8"/>
        <v>[FP0558]</v>
      </c>
    </row>
    <row r="343" ht="67.5" customHeight="1">
      <c r="A343" s="41">
        <v>559.0</v>
      </c>
      <c r="B343" s="42" t="s">
        <v>4248</v>
      </c>
      <c r="C343" s="43">
        <v>2018.0</v>
      </c>
      <c r="D343" s="111" t="s">
        <v>35</v>
      </c>
      <c r="E343" s="45" t="s">
        <v>36</v>
      </c>
      <c r="F343" s="45" t="s">
        <v>36</v>
      </c>
      <c r="G343" s="45" t="s">
        <v>36</v>
      </c>
      <c r="H343" s="45" t="s">
        <v>36</v>
      </c>
      <c r="I343" s="45" t="s">
        <v>36</v>
      </c>
      <c r="J343" s="112" t="s">
        <v>36</v>
      </c>
      <c r="K343" s="113" t="s">
        <v>37</v>
      </c>
      <c r="L343" s="114" t="s">
        <v>35</v>
      </c>
      <c r="M343" s="114" t="s">
        <v>35</v>
      </c>
      <c r="N343" s="114" t="s">
        <v>37</v>
      </c>
      <c r="O343" s="114" t="s">
        <v>35</v>
      </c>
      <c r="P343" s="114" t="s">
        <v>35</v>
      </c>
      <c r="Q343" s="114" t="s">
        <v>35</v>
      </c>
      <c r="R343" s="114" t="s">
        <v>35</v>
      </c>
      <c r="S343" s="115" t="s">
        <v>36</v>
      </c>
      <c r="T343" s="50" t="s">
        <v>4249</v>
      </c>
      <c r="U343" s="50" t="s">
        <v>4249</v>
      </c>
      <c r="V343" s="116">
        <f t="shared" si="2"/>
        <v>1</v>
      </c>
      <c r="W343" s="116">
        <f t="shared" ref="W343:X343" si="348">IF(lenb(SUBSTITUTE($Z343,W$1&amp;" (1)",""))&lt;lenb($Z343),1,IF(lenb(SUBSTITUTE($Z343,W$1&amp;" (2)",""))&lt;lenb($Z343),2,IF(lenb(SUBSTITUTE($Z343,W$1&amp;" (3)",""))&lt;lenb($Z343),3,IF(lenb(SUBSTITUTE($Z343,W$1&amp;" (4)",""))&lt;lenb($Z343),4,IF(lenb(SUBSTITUTE($Z343,W$1&amp;" (5)",""))&lt;lenb($Z343),5,IF(lenb(SUBSTITUTE($Z343,W$1&amp;" (6)",""))&lt;lenb($Z343),6,IF(lenb(SUBSTITUTE($Z343,W$1&amp;" (7)",""))&lt;lenb($Z343),1,IF(lenb(SUBSTITUTE($Z343,W$1&amp;" (8)",""))&lt;lenb($Z343),8,IF(lenb(SUBSTITUTE($Z343,W$1&amp;" (9)",""))&lt;lenb($Z343),9,IF(lenb(SUBSTITUTE($Z343,W$1&amp;" (10)",""))&lt;lenb($Z343),10,IF(lenb(SUBSTITUTE($Z343,W$1,""))&lt;lenb($Z343),"ERROR",IF($Z343=$Y$1,"-",0))))))))))))</f>
        <v>0</v>
      </c>
      <c r="X343" s="116">
        <f t="shared" si="348"/>
        <v>0</v>
      </c>
      <c r="Y343" s="116" t="str">
        <f t="shared" si="4"/>
        <v>-</v>
      </c>
      <c r="Z343" s="115" t="s">
        <v>3400</v>
      </c>
      <c r="AA343" s="54">
        <f t="shared" si="5"/>
        <v>1</v>
      </c>
      <c r="AB343" s="54">
        <f>COUNTIFS(Links!B:B,"FSE",Links!C:C,A343,Links!AD:AD,1)</f>
        <v>0</v>
      </c>
      <c r="AC343" s="117" t="s">
        <v>35</v>
      </c>
      <c r="AD343" s="118" t="s">
        <v>35</v>
      </c>
      <c r="AE343" s="115" t="s">
        <v>36</v>
      </c>
      <c r="AF343" s="57" t="s">
        <v>42</v>
      </c>
      <c r="AG343" s="57" t="s">
        <v>42</v>
      </c>
      <c r="AH343" s="57" t="s">
        <v>42</v>
      </c>
      <c r="AI343" s="116" t="str">
        <f t="shared" si="6"/>
        <v>----</v>
      </c>
      <c r="AJ343" s="119" t="str">
        <f t="shared" si="7"/>
        <v>Paper has link but no statement</v>
      </c>
      <c r="AK343" s="120" t="s">
        <v>3401</v>
      </c>
      <c r="AL343" s="121" t="s">
        <v>3402</v>
      </c>
      <c r="AM343" s="60" t="str">
        <f t="shared" si="8"/>
        <v>[FP0559]</v>
      </c>
    </row>
    <row r="344" ht="67.5" customHeight="1">
      <c r="A344" s="61">
        <v>425.0</v>
      </c>
      <c r="B344" s="22" t="s">
        <v>4250</v>
      </c>
      <c r="C344" s="23">
        <v>2019.0</v>
      </c>
      <c r="D344" s="100" t="s">
        <v>37</v>
      </c>
      <c r="E344" s="25" t="s">
        <v>35</v>
      </c>
      <c r="F344" s="25" t="s">
        <v>35</v>
      </c>
      <c r="G344" s="25" t="s">
        <v>37</v>
      </c>
      <c r="H344" s="25" t="s">
        <v>35</v>
      </c>
      <c r="I344" s="25" t="s">
        <v>35</v>
      </c>
      <c r="J344" s="101" t="s">
        <v>36</v>
      </c>
      <c r="K344" s="102" t="s">
        <v>35</v>
      </c>
      <c r="L344" s="103" t="s">
        <v>36</v>
      </c>
      <c r="M344" s="103" t="s">
        <v>36</v>
      </c>
      <c r="N344" s="103" t="s">
        <v>36</v>
      </c>
      <c r="O344" s="103" t="s">
        <v>36</v>
      </c>
      <c r="P344" s="103" t="s">
        <v>36</v>
      </c>
      <c r="Q344" s="103" t="s">
        <v>36</v>
      </c>
      <c r="R344" s="103" t="s">
        <v>36</v>
      </c>
      <c r="S344" s="104" t="s">
        <v>42</v>
      </c>
      <c r="T344" s="30" t="s">
        <v>36</v>
      </c>
      <c r="U344" s="30" t="s">
        <v>36</v>
      </c>
      <c r="V344" s="105" t="str">
        <f t="shared" si="2"/>
        <v>-</v>
      </c>
      <c r="W344" s="105" t="str">
        <f t="shared" ref="W344:X344" si="349">IF(lenb(SUBSTITUTE($Z344,W$1&amp;" (1)",""))&lt;lenb($Z344),1,IF(lenb(SUBSTITUTE($Z344,W$1&amp;" (2)",""))&lt;lenb($Z344),2,IF(lenb(SUBSTITUTE($Z344,W$1&amp;" (3)",""))&lt;lenb($Z344),3,IF(lenb(SUBSTITUTE($Z344,W$1&amp;" (4)",""))&lt;lenb($Z344),4,IF(lenb(SUBSTITUTE($Z344,W$1&amp;" (5)",""))&lt;lenb($Z344),5,IF(lenb(SUBSTITUTE($Z344,W$1&amp;" (6)",""))&lt;lenb($Z344),6,IF(lenb(SUBSTITUTE($Z344,W$1&amp;" (7)",""))&lt;lenb($Z344),1,IF(lenb(SUBSTITUTE($Z344,W$1&amp;" (8)",""))&lt;lenb($Z344),8,IF(lenb(SUBSTITUTE($Z344,W$1&amp;" (9)",""))&lt;lenb($Z344),9,IF(lenb(SUBSTITUTE($Z344,W$1&amp;" (10)",""))&lt;lenb($Z344),10,IF(lenb(SUBSTITUTE($Z344,W$1,""))&lt;lenb($Z344),"ERROR",IF($Z344=$Y$1,"-",0))))))))))))</f>
        <v>-</v>
      </c>
      <c r="X344" s="105" t="str">
        <f t="shared" si="349"/>
        <v>-</v>
      </c>
      <c r="Y344" s="105">
        <f t="shared" si="4"/>
        <v>1</v>
      </c>
      <c r="Z344" s="104" t="s">
        <v>23</v>
      </c>
      <c r="AA344" s="34">
        <f t="shared" si="5"/>
        <v>0</v>
      </c>
      <c r="AB344" s="34">
        <f>COUNTIFS(Links!B:B,"FSE",Links!C:C,A344,Links!AD:AD,1)</f>
        <v>0</v>
      </c>
      <c r="AC344" s="106" t="s">
        <v>36</v>
      </c>
      <c r="AD344" s="107" t="s">
        <v>35</v>
      </c>
      <c r="AE344" s="104" t="s">
        <v>36</v>
      </c>
      <c r="AF344" s="37" t="s">
        <v>42</v>
      </c>
      <c r="AG344" s="37" t="s">
        <v>42</v>
      </c>
      <c r="AH344" s="37" t="s">
        <v>42</v>
      </c>
      <c r="AI344" s="105" t="str">
        <f t="shared" si="6"/>
        <v>----</v>
      </c>
      <c r="AJ344" s="108" t="str">
        <f t="shared" si="7"/>
        <v>Paper has no link and no statement</v>
      </c>
      <c r="AK344" s="109" t="s">
        <v>3401</v>
      </c>
      <c r="AL344" s="110" t="s">
        <v>3402</v>
      </c>
      <c r="AM344" s="40" t="str">
        <f t="shared" si="8"/>
        <v>[FP0425]</v>
      </c>
    </row>
    <row r="345" ht="67.5" customHeight="1">
      <c r="A345" s="41">
        <v>426.0</v>
      </c>
      <c r="B345" s="42" t="s">
        <v>4251</v>
      </c>
      <c r="C345" s="43">
        <v>2019.0</v>
      </c>
      <c r="D345" s="111" t="s">
        <v>35</v>
      </c>
      <c r="E345" s="45" t="s">
        <v>36</v>
      </c>
      <c r="F345" s="45" t="s">
        <v>36</v>
      </c>
      <c r="G345" s="45" t="s">
        <v>36</v>
      </c>
      <c r="H345" s="45" t="s">
        <v>36</v>
      </c>
      <c r="I345" s="45" t="s">
        <v>36</v>
      </c>
      <c r="J345" s="112" t="s">
        <v>36</v>
      </c>
      <c r="K345" s="113" t="s">
        <v>37</v>
      </c>
      <c r="L345" s="114" t="s">
        <v>35</v>
      </c>
      <c r="M345" s="114" t="s">
        <v>35</v>
      </c>
      <c r="N345" s="114" t="s">
        <v>37</v>
      </c>
      <c r="O345" s="114" t="s">
        <v>35</v>
      </c>
      <c r="P345" s="114" t="s">
        <v>35</v>
      </c>
      <c r="Q345" s="114" t="s">
        <v>35</v>
      </c>
      <c r="R345" s="114" t="s">
        <v>37</v>
      </c>
      <c r="S345" s="115" t="s">
        <v>4252</v>
      </c>
      <c r="T345" s="50" t="s">
        <v>4253</v>
      </c>
      <c r="U345" s="50" t="s">
        <v>4253</v>
      </c>
      <c r="V345" s="116">
        <f t="shared" si="2"/>
        <v>1</v>
      </c>
      <c r="W345" s="116">
        <f t="shared" ref="W345:X345" si="350">IF(lenb(SUBSTITUTE($Z345,W$1&amp;" (1)",""))&lt;lenb($Z345),1,IF(lenb(SUBSTITUTE($Z345,W$1&amp;" (2)",""))&lt;lenb($Z345),2,IF(lenb(SUBSTITUTE($Z345,W$1&amp;" (3)",""))&lt;lenb($Z345),3,IF(lenb(SUBSTITUTE($Z345,W$1&amp;" (4)",""))&lt;lenb($Z345),4,IF(lenb(SUBSTITUTE($Z345,W$1&amp;" (5)",""))&lt;lenb($Z345),5,IF(lenb(SUBSTITUTE($Z345,W$1&amp;" (6)",""))&lt;lenb($Z345),6,IF(lenb(SUBSTITUTE($Z345,W$1&amp;" (7)",""))&lt;lenb($Z345),1,IF(lenb(SUBSTITUTE($Z345,W$1&amp;" (8)",""))&lt;lenb($Z345),8,IF(lenb(SUBSTITUTE($Z345,W$1&amp;" (9)",""))&lt;lenb($Z345),9,IF(lenb(SUBSTITUTE($Z345,W$1&amp;" (10)",""))&lt;lenb($Z345),10,IF(lenb(SUBSTITUTE($Z345,W$1,""))&lt;lenb($Z345),"ERROR",IF($Z345=$Y$1,"-",0))))))))))))</f>
        <v>0</v>
      </c>
      <c r="X345" s="116">
        <f t="shared" si="350"/>
        <v>0</v>
      </c>
      <c r="Y345" s="116" t="str">
        <f t="shared" si="4"/>
        <v>-</v>
      </c>
      <c r="Z345" s="115" t="s">
        <v>3400</v>
      </c>
      <c r="AA345" s="54">
        <f t="shared" si="5"/>
        <v>1</v>
      </c>
      <c r="AB345" s="54">
        <f>COUNTIFS(Links!B:B,"FSE",Links!C:C,A345,Links!AD:AD,1)</f>
        <v>0</v>
      </c>
      <c r="AC345" s="117" t="s">
        <v>35</v>
      </c>
      <c r="AD345" s="118" t="s">
        <v>35</v>
      </c>
      <c r="AE345" s="115" t="s">
        <v>36</v>
      </c>
      <c r="AF345" s="57" t="s">
        <v>42</v>
      </c>
      <c r="AG345" s="57" t="s">
        <v>42</v>
      </c>
      <c r="AH345" s="57" t="s">
        <v>42</v>
      </c>
      <c r="AI345" s="116" t="str">
        <f t="shared" si="6"/>
        <v>----</v>
      </c>
      <c r="AJ345" s="119" t="str">
        <f t="shared" si="7"/>
        <v>Paper has link but no statement</v>
      </c>
      <c r="AK345" s="120" t="s">
        <v>3401</v>
      </c>
      <c r="AL345" s="121" t="s">
        <v>3402</v>
      </c>
      <c r="AM345" s="60" t="str">
        <f t="shared" si="8"/>
        <v>[FP0426]</v>
      </c>
    </row>
    <row r="346" ht="67.5" customHeight="1">
      <c r="A346" s="61">
        <v>427.0</v>
      </c>
      <c r="B346" s="22" t="s">
        <v>4254</v>
      </c>
      <c r="C346" s="23">
        <v>2019.0</v>
      </c>
      <c r="D346" s="100" t="s">
        <v>37</v>
      </c>
      <c r="E346" s="25" t="s">
        <v>37</v>
      </c>
      <c r="F346" s="25" t="s">
        <v>35</v>
      </c>
      <c r="G346" s="25" t="s">
        <v>37</v>
      </c>
      <c r="H346" s="25" t="s">
        <v>35</v>
      </c>
      <c r="I346" s="25" t="s">
        <v>35</v>
      </c>
      <c r="J346" s="101" t="s">
        <v>36</v>
      </c>
      <c r="K346" s="102" t="s">
        <v>37</v>
      </c>
      <c r="L346" s="103" t="s">
        <v>35</v>
      </c>
      <c r="M346" s="103" t="s">
        <v>37</v>
      </c>
      <c r="N346" s="103" t="s">
        <v>37</v>
      </c>
      <c r="O346" s="103" t="s">
        <v>35</v>
      </c>
      <c r="P346" s="103" t="s">
        <v>37</v>
      </c>
      <c r="Q346" s="103" t="s">
        <v>35</v>
      </c>
      <c r="R346" s="103" t="s">
        <v>37</v>
      </c>
      <c r="S346" s="104" t="s">
        <v>4255</v>
      </c>
      <c r="T346" s="30" t="s">
        <v>4256</v>
      </c>
      <c r="U346" s="30" t="s">
        <v>4256</v>
      </c>
      <c r="V346" s="105">
        <f t="shared" si="2"/>
        <v>2</v>
      </c>
      <c r="W346" s="105">
        <f t="shared" ref="W346:X346" si="351">IF(lenb(SUBSTITUTE($Z346,W$1&amp;" (1)",""))&lt;lenb($Z346),1,IF(lenb(SUBSTITUTE($Z346,W$1&amp;" (2)",""))&lt;lenb($Z346),2,IF(lenb(SUBSTITUTE($Z346,W$1&amp;" (3)",""))&lt;lenb($Z346),3,IF(lenb(SUBSTITUTE($Z346,W$1&amp;" (4)",""))&lt;lenb($Z346),4,IF(lenb(SUBSTITUTE($Z346,W$1&amp;" (5)",""))&lt;lenb($Z346),5,IF(lenb(SUBSTITUTE($Z346,W$1&amp;" (6)",""))&lt;lenb($Z346),6,IF(lenb(SUBSTITUTE($Z346,W$1&amp;" (7)",""))&lt;lenb($Z346),1,IF(lenb(SUBSTITUTE($Z346,W$1&amp;" (8)",""))&lt;lenb($Z346),8,IF(lenb(SUBSTITUTE($Z346,W$1&amp;" (9)",""))&lt;lenb($Z346),9,IF(lenb(SUBSTITUTE($Z346,W$1&amp;" (10)",""))&lt;lenb($Z346),10,IF(lenb(SUBSTITUTE($Z346,W$1,""))&lt;lenb($Z346),"ERROR",IF($Z346=$Y$1,"-",0))))))))))))</f>
        <v>0</v>
      </c>
      <c r="X346" s="105">
        <f t="shared" si="351"/>
        <v>0</v>
      </c>
      <c r="Y346" s="105" t="str">
        <f t="shared" si="4"/>
        <v>-</v>
      </c>
      <c r="Z346" s="104" t="s">
        <v>3452</v>
      </c>
      <c r="AA346" s="34">
        <f t="shared" si="5"/>
        <v>2</v>
      </c>
      <c r="AB346" s="34">
        <f>COUNTIFS(Links!B:B,"FSE",Links!C:C,A346,Links!AD:AD,1)</f>
        <v>0</v>
      </c>
      <c r="AC346" s="106" t="s">
        <v>37</v>
      </c>
      <c r="AD346" s="107" t="s">
        <v>37</v>
      </c>
      <c r="AE346" s="69" t="s">
        <v>4257</v>
      </c>
      <c r="AF346" s="37" t="s">
        <v>822</v>
      </c>
      <c r="AG346" s="37" t="s">
        <v>42</v>
      </c>
      <c r="AH346" s="37" t="s">
        <v>42</v>
      </c>
      <c r="AI346" s="105" t="str">
        <f t="shared" si="6"/>
        <v>Limited access (Request required)</v>
      </c>
      <c r="AJ346" s="108" t="str">
        <f t="shared" si="7"/>
        <v>Paper has link and statement</v>
      </c>
      <c r="AK346" s="109" t="s">
        <v>3401</v>
      </c>
      <c r="AL346" s="110" t="s">
        <v>3402</v>
      </c>
      <c r="AM346" s="40" t="str">
        <f t="shared" si="8"/>
        <v>[FP0427]</v>
      </c>
    </row>
    <row r="347" ht="67.5" customHeight="1">
      <c r="A347" s="41">
        <v>428.0</v>
      </c>
      <c r="B347" s="42" t="s">
        <v>4258</v>
      </c>
      <c r="C347" s="43">
        <v>2019.0</v>
      </c>
      <c r="D347" s="111" t="s">
        <v>35</v>
      </c>
      <c r="E347" s="45" t="s">
        <v>36</v>
      </c>
      <c r="F347" s="45" t="s">
        <v>36</v>
      </c>
      <c r="G347" s="45" t="s">
        <v>36</v>
      </c>
      <c r="H347" s="45" t="s">
        <v>36</v>
      </c>
      <c r="I347" s="45" t="s">
        <v>36</v>
      </c>
      <c r="J347" s="112" t="s">
        <v>36</v>
      </c>
      <c r="K347" s="113" t="s">
        <v>37</v>
      </c>
      <c r="L347" s="114" t="s">
        <v>37</v>
      </c>
      <c r="M347" s="114" t="s">
        <v>35</v>
      </c>
      <c r="N347" s="114" t="s">
        <v>35</v>
      </c>
      <c r="O347" s="114" t="s">
        <v>35</v>
      </c>
      <c r="P347" s="114" t="s">
        <v>35</v>
      </c>
      <c r="Q347" s="114" t="s">
        <v>35</v>
      </c>
      <c r="R347" s="114" t="s">
        <v>37</v>
      </c>
      <c r="S347" s="115" t="s">
        <v>4259</v>
      </c>
      <c r="T347" s="50" t="s">
        <v>4260</v>
      </c>
      <c r="U347" s="50" t="s">
        <v>4260</v>
      </c>
      <c r="V347" s="116">
        <f t="shared" si="2"/>
        <v>2</v>
      </c>
      <c r="W347" s="116">
        <f t="shared" ref="W347:X347" si="352">IF(lenb(SUBSTITUTE($Z347,W$1&amp;" (1)",""))&lt;lenb($Z347),1,IF(lenb(SUBSTITUTE($Z347,W$1&amp;" (2)",""))&lt;lenb($Z347),2,IF(lenb(SUBSTITUTE($Z347,W$1&amp;" (3)",""))&lt;lenb($Z347),3,IF(lenb(SUBSTITUTE($Z347,W$1&amp;" (4)",""))&lt;lenb($Z347),4,IF(lenb(SUBSTITUTE($Z347,W$1&amp;" (5)",""))&lt;lenb($Z347),5,IF(lenb(SUBSTITUTE($Z347,W$1&amp;" (6)",""))&lt;lenb($Z347),6,IF(lenb(SUBSTITUTE($Z347,W$1&amp;" (7)",""))&lt;lenb($Z347),1,IF(lenb(SUBSTITUTE($Z347,W$1&amp;" (8)",""))&lt;lenb($Z347),8,IF(lenb(SUBSTITUTE($Z347,W$1&amp;" (9)",""))&lt;lenb($Z347),9,IF(lenb(SUBSTITUTE($Z347,W$1&amp;" (10)",""))&lt;lenb($Z347),10,IF(lenb(SUBSTITUTE($Z347,W$1,""))&lt;lenb($Z347),"ERROR",IF($Z347=$Y$1,"-",0))))))))))))</f>
        <v>0</v>
      </c>
      <c r="X347" s="116">
        <f t="shared" si="352"/>
        <v>0</v>
      </c>
      <c r="Y347" s="116" t="str">
        <f t="shared" si="4"/>
        <v>-</v>
      </c>
      <c r="Z347" s="115" t="s">
        <v>3452</v>
      </c>
      <c r="AA347" s="54">
        <f t="shared" si="5"/>
        <v>2</v>
      </c>
      <c r="AB347" s="54">
        <f>COUNTIFS(Links!B:B,"FSE",Links!C:C,A347,Links!AD:AD,1)</f>
        <v>0</v>
      </c>
      <c r="AC347" s="117" t="s">
        <v>35</v>
      </c>
      <c r="AD347" s="118" t="s">
        <v>35</v>
      </c>
      <c r="AE347" s="115" t="s">
        <v>36</v>
      </c>
      <c r="AF347" s="57" t="s">
        <v>42</v>
      </c>
      <c r="AG347" s="57" t="s">
        <v>42</v>
      </c>
      <c r="AH347" s="57" t="s">
        <v>42</v>
      </c>
      <c r="AI347" s="116" t="str">
        <f t="shared" si="6"/>
        <v>----</v>
      </c>
      <c r="AJ347" s="119" t="str">
        <f t="shared" si="7"/>
        <v>Paper has link but no statement</v>
      </c>
      <c r="AK347" s="120" t="s">
        <v>3401</v>
      </c>
      <c r="AL347" s="121" t="s">
        <v>3402</v>
      </c>
      <c r="AM347" s="60" t="str">
        <f t="shared" si="8"/>
        <v>[FP0428]</v>
      </c>
    </row>
    <row r="348" ht="67.5" customHeight="1">
      <c r="A348" s="61">
        <v>429.0</v>
      </c>
      <c r="B348" s="22" t="s">
        <v>4261</v>
      </c>
      <c r="C348" s="23">
        <v>2019.0</v>
      </c>
      <c r="D348" s="100" t="s">
        <v>37</v>
      </c>
      <c r="E348" s="25" t="s">
        <v>37</v>
      </c>
      <c r="F348" s="25" t="s">
        <v>35</v>
      </c>
      <c r="G348" s="25" t="s">
        <v>37</v>
      </c>
      <c r="H348" s="25" t="s">
        <v>35</v>
      </c>
      <c r="I348" s="25" t="s">
        <v>35</v>
      </c>
      <c r="J348" s="101" t="s">
        <v>36</v>
      </c>
      <c r="K348" s="102" t="s">
        <v>37</v>
      </c>
      <c r="L348" s="103" t="s">
        <v>37</v>
      </c>
      <c r="M348" s="103" t="s">
        <v>35</v>
      </c>
      <c r="N348" s="103" t="s">
        <v>37</v>
      </c>
      <c r="O348" s="103" t="s">
        <v>35</v>
      </c>
      <c r="P348" s="103" t="s">
        <v>35</v>
      </c>
      <c r="Q348" s="103" t="s">
        <v>35</v>
      </c>
      <c r="R348" s="103" t="s">
        <v>35</v>
      </c>
      <c r="S348" s="104" t="s">
        <v>4262</v>
      </c>
      <c r="T348" s="30" t="s">
        <v>4263</v>
      </c>
      <c r="U348" s="30" t="s">
        <v>4263</v>
      </c>
      <c r="V348" s="105">
        <f t="shared" si="2"/>
        <v>1</v>
      </c>
      <c r="W348" s="105">
        <f t="shared" ref="W348:X348" si="353">IF(lenb(SUBSTITUTE($Z348,W$1&amp;" (1)",""))&lt;lenb($Z348),1,IF(lenb(SUBSTITUTE($Z348,W$1&amp;" (2)",""))&lt;lenb($Z348),2,IF(lenb(SUBSTITUTE($Z348,W$1&amp;" (3)",""))&lt;lenb($Z348),3,IF(lenb(SUBSTITUTE($Z348,W$1&amp;" (4)",""))&lt;lenb($Z348),4,IF(lenb(SUBSTITUTE($Z348,W$1&amp;" (5)",""))&lt;lenb($Z348),5,IF(lenb(SUBSTITUTE($Z348,W$1&amp;" (6)",""))&lt;lenb($Z348),6,IF(lenb(SUBSTITUTE($Z348,W$1&amp;" (7)",""))&lt;lenb($Z348),1,IF(lenb(SUBSTITUTE($Z348,W$1&amp;" (8)",""))&lt;lenb($Z348),8,IF(lenb(SUBSTITUTE($Z348,W$1&amp;" (9)",""))&lt;lenb($Z348),9,IF(lenb(SUBSTITUTE($Z348,W$1&amp;" (10)",""))&lt;lenb($Z348),10,IF(lenb(SUBSTITUTE($Z348,W$1,""))&lt;lenb($Z348),"ERROR",IF($Z348=$Y$1,"-",0))))))))))))</f>
        <v>0</v>
      </c>
      <c r="X348" s="105">
        <f t="shared" si="353"/>
        <v>0</v>
      </c>
      <c r="Y348" s="105" t="str">
        <f t="shared" si="4"/>
        <v>-</v>
      </c>
      <c r="Z348" s="104" t="s">
        <v>3400</v>
      </c>
      <c r="AA348" s="34">
        <f t="shared" si="5"/>
        <v>1</v>
      </c>
      <c r="AB348" s="34">
        <f>COUNTIFS(Links!B:B,"FSE",Links!C:C,A348,Links!AD:AD,1)</f>
        <v>0</v>
      </c>
      <c r="AC348" s="106" t="s">
        <v>35</v>
      </c>
      <c r="AD348" s="107" t="s">
        <v>35</v>
      </c>
      <c r="AE348" s="104" t="s">
        <v>36</v>
      </c>
      <c r="AF348" s="37" t="s">
        <v>42</v>
      </c>
      <c r="AG348" s="37" t="s">
        <v>42</v>
      </c>
      <c r="AH348" s="37" t="s">
        <v>42</v>
      </c>
      <c r="AI348" s="105" t="str">
        <f t="shared" si="6"/>
        <v>----</v>
      </c>
      <c r="AJ348" s="108" t="str">
        <f t="shared" si="7"/>
        <v>Paper has link but no statement</v>
      </c>
      <c r="AK348" s="109" t="s">
        <v>3401</v>
      </c>
      <c r="AL348" s="110" t="s">
        <v>3402</v>
      </c>
      <c r="AM348" s="40" t="str">
        <f t="shared" si="8"/>
        <v>[FP0429]</v>
      </c>
    </row>
    <row r="349" ht="67.5" customHeight="1">
      <c r="A349" s="41">
        <v>430.0</v>
      </c>
      <c r="B349" s="42" t="s">
        <v>4264</v>
      </c>
      <c r="C349" s="43">
        <v>2019.0</v>
      </c>
      <c r="D349" s="111" t="s">
        <v>35</v>
      </c>
      <c r="E349" s="45" t="s">
        <v>36</v>
      </c>
      <c r="F349" s="45" t="s">
        <v>36</v>
      </c>
      <c r="G349" s="45" t="s">
        <v>36</v>
      </c>
      <c r="H349" s="45" t="s">
        <v>36</v>
      </c>
      <c r="I349" s="45" t="s">
        <v>36</v>
      </c>
      <c r="J349" s="112" t="s">
        <v>36</v>
      </c>
      <c r="K349" s="113" t="s">
        <v>37</v>
      </c>
      <c r="L349" s="114" t="s">
        <v>37</v>
      </c>
      <c r="M349" s="114" t="s">
        <v>35</v>
      </c>
      <c r="N349" s="114" t="s">
        <v>37</v>
      </c>
      <c r="O349" s="114" t="s">
        <v>35</v>
      </c>
      <c r="P349" s="114" t="s">
        <v>35</v>
      </c>
      <c r="Q349" s="114" t="s">
        <v>35</v>
      </c>
      <c r="R349" s="114" t="s">
        <v>35</v>
      </c>
      <c r="S349" s="115" t="s">
        <v>4265</v>
      </c>
      <c r="T349" s="50" t="s">
        <v>4266</v>
      </c>
      <c r="U349" s="50" t="s">
        <v>4266</v>
      </c>
      <c r="V349" s="116">
        <f t="shared" si="2"/>
        <v>1</v>
      </c>
      <c r="W349" s="116">
        <f t="shared" ref="W349:X349" si="354">IF(lenb(SUBSTITUTE($Z349,W$1&amp;" (1)",""))&lt;lenb($Z349),1,IF(lenb(SUBSTITUTE($Z349,W$1&amp;" (2)",""))&lt;lenb($Z349),2,IF(lenb(SUBSTITUTE($Z349,W$1&amp;" (3)",""))&lt;lenb($Z349),3,IF(lenb(SUBSTITUTE($Z349,W$1&amp;" (4)",""))&lt;lenb($Z349),4,IF(lenb(SUBSTITUTE($Z349,W$1&amp;" (5)",""))&lt;lenb($Z349),5,IF(lenb(SUBSTITUTE($Z349,W$1&amp;" (6)",""))&lt;lenb($Z349),6,IF(lenb(SUBSTITUTE($Z349,W$1&amp;" (7)",""))&lt;lenb($Z349),1,IF(lenb(SUBSTITUTE($Z349,W$1&amp;" (8)",""))&lt;lenb($Z349),8,IF(lenb(SUBSTITUTE($Z349,W$1&amp;" (9)",""))&lt;lenb($Z349),9,IF(lenb(SUBSTITUTE($Z349,W$1&amp;" (10)",""))&lt;lenb($Z349),10,IF(lenb(SUBSTITUTE($Z349,W$1,""))&lt;lenb($Z349),"ERROR",IF($Z349=$Y$1,"-",0))))))))))))</f>
        <v>0</v>
      </c>
      <c r="X349" s="116">
        <f t="shared" si="354"/>
        <v>0</v>
      </c>
      <c r="Y349" s="116" t="str">
        <f t="shared" si="4"/>
        <v>-</v>
      </c>
      <c r="Z349" s="115" t="s">
        <v>3400</v>
      </c>
      <c r="AA349" s="54">
        <f t="shared" si="5"/>
        <v>1</v>
      </c>
      <c r="AB349" s="54">
        <f>COUNTIFS(Links!B:B,"FSE",Links!C:C,A349,Links!AD:AD,1)</f>
        <v>0</v>
      </c>
      <c r="AC349" s="117" t="s">
        <v>35</v>
      </c>
      <c r="AD349" s="118" t="s">
        <v>35</v>
      </c>
      <c r="AE349" s="115" t="s">
        <v>36</v>
      </c>
      <c r="AF349" s="57" t="s">
        <v>42</v>
      </c>
      <c r="AG349" s="57" t="s">
        <v>42</v>
      </c>
      <c r="AH349" s="57" t="s">
        <v>42</v>
      </c>
      <c r="AI349" s="116" t="str">
        <f t="shared" si="6"/>
        <v>----</v>
      </c>
      <c r="AJ349" s="119" t="str">
        <f t="shared" si="7"/>
        <v>Paper has link but no statement</v>
      </c>
      <c r="AK349" s="120" t="s">
        <v>3401</v>
      </c>
      <c r="AL349" s="121" t="s">
        <v>3402</v>
      </c>
      <c r="AM349" s="60" t="str">
        <f t="shared" si="8"/>
        <v>[FP0430]</v>
      </c>
    </row>
    <row r="350" ht="67.5" customHeight="1">
      <c r="A350" s="61">
        <v>431.0</v>
      </c>
      <c r="B350" s="22" t="s">
        <v>4267</v>
      </c>
      <c r="C350" s="23">
        <v>2019.0</v>
      </c>
      <c r="D350" s="100" t="s">
        <v>37</v>
      </c>
      <c r="E350" s="25" t="s">
        <v>37</v>
      </c>
      <c r="F350" s="25" t="s">
        <v>35</v>
      </c>
      <c r="G350" s="25" t="s">
        <v>37</v>
      </c>
      <c r="H350" s="25" t="s">
        <v>35</v>
      </c>
      <c r="I350" s="25" t="s">
        <v>35</v>
      </c>
      <c r="J350" s="101" t="s">
        <v>36</v>
      </c>
      <c r="K350" s="102" t="s">
        <v>37</v>
      </c>
      <c r="L350" s="103" t="s">
        <v>35</v>
      </c>
      <c r="M350" s="103" t="s">
        <v>37</v>
      </c>
      <c r="N350" s="103" t="s">
        <v>37</v>
      </c>
      <c r="O350" s="103" t="s">
        <v>35</v>
      </c>
      <c r="P350" s="103" t="s">
        <v>35</v>
      </c>
      <c r="Q350" s="103" t="s">
        <v>35</v>
      </c>
      <c r="R350" s="103" t="s">
        <v>37</v>
      </c>
      <c r="S350" s="104" t="s">
        <v>4268</v>
      </c>
      <c r="T350" s="130" t="s">
        <v>4269</v>
      </c>
      <c r="U350" s="130" t="s">
        <v>4269</v>
      </c>
      <c r="V350" s="105">
        <f t="shared" si="2"/>
        <v>6</v>
      </c>
      <c r="W350" s="105">
        <f t="shared" ref="W350:X350" si="355">IF(lenb(SUBSTITUTE($Z350,W$1&amp;" (1)",""))&lt;lenb($Z350),1,IF(lenb(SUBSTITUTE($Z350,W$1&amp;" (2)",""))&lt;lenb($Z350),2,IF(lenb(SUBSTITUTE($Z350,W$1&amp;" (3)",""))&lt;lenb($Z350),3,IF(lenb(SUBSTITUTE($Z350,W$1&amp;" (4)",""))&lt;lenb($Z350),4,IF(lenb(SUBSTITUTE($Z350,W$1&amp;" (5)",""))&lt;lenb($Z350),5,IF(lenb(SUBSTITUTE($Z350,W$1&amp;" (6)",""))&lt;lenb($Z350),6,IF(lenb(SUBSTITUTE($Z350,W$1&amp;" (7)",""))&lt;lenb($Z350),1,IF(lenb(SUBSTITUTE($Z350,W$1&amp;" (8)",""))&lt;lenb($Z350),8,IF(lenb(SUBSTITUTE($Z350,W$1&amp;" (9)",""))&lt;lenb($Z350),9,IF(lenb(SUBSTITUTE($Z350,W$1&amp;" (10)",""))&lt;lenb($Z350),10,IF(lenb(SUBSTITUTE($Z350,W$1,""))&lt;lenb($Z350),"ERROR",IF($Z350=$Y$1,"-",0))))))))))))</f>
        <v>1</v>
      </c>
      <c r="X350" s="105">
        <f t="shared" si="355"/>
        <v>0</v>
      </c>
      <c r="Y350" s="105" t="str">
        <f t="shared" si="4"/>
        <v>-</v>
      </c>
      <c r="Z350" s="104" t="s">
        <v>4270</v>
      </c>
      <c r="AA350" s="34">
        <f t="shared" si="5"/>
        <v>7</v>
      </c>
      <c r="AB350" s="34">
        <f>COUNTIFS(Links!B:B,"FSE",Links!C:C,A350,Links!AD:AD,1)</f>
        <v>0</v>
      </c>
      <c r="AC350" s="106" t="s">
        <v>35</v>
      </c>
      <c r="AD350" s="107" t="s">
        <v>35</v>
      </c>
      <c r="AE350" s="104" t="s">
        <v>36</v>
      </c>
      <c r="AF350" s="37" t="s">
        <v>42</v>
      </c>
      <c r="AG350" s="37" t="s">
        <v>42</v>
      </c>
      <c r="AH350" s="37" t="s">
        <v>42</v>
      </c>
      <c r="AI350" s="105" t="str">
        <f t="shared" si="6"/>
        <v>----</v>
      </c>
      <c r="AJ350" s="108" t="str">
        <f t="shared" si="7"/>
        <v>Paper has link but no statement</v>
      </c>
      <c r="AK350" s="109" t="s">
        <v>3401</v>
      </c>
      <c r="AL350" s="110" t="s">
        <v>3402</v>
      </c>
      <c r="AM350" s="40" t="str">
        <f t="shared" si="8"/>
        <v>[FP0431]</v>
      </c>
    </row>
    <row r="351" ht="67.5" customHeight="1">
      <c r="A351" s="41">
        <v>432.0</v>
      </c>
      <c r="B351" s="42" t="s">
        <v>4271</v>
      </c>
      <c r="C351" s="43">
        <v>2019.0</v>
      </c>
      <c r="D351" s="111" t="s">
        <v>35</v>
      </c>
      <c r="E351" s="45" t="s">
        <v>36</v>
      </c>
      <c r="F351" s="45" t="s">
        <v>36</v>
      </c>
      <c r="G351" s="45" t="s">
        <v>36</v>
      </c>
      <c r="H351" s="45" t="s">
        <v>36</v>
      </c>
      <c r="I351" s="45" t="s">
        <v>36</v>
      </c>
      <c r="J351" s="112" t="s">
        <v>36</v>
      </c>
      <c r="K351" s="113" t="s">
        <v>37</v>
      </c>
      <c r="L351" s="114" t="s">
        <v>37</v>
      </c>
      <c r="M351" s="114" t="s">
        <v>37</v>
      </c>
      <c r="N351" s="114" t="s">
        <v>35</v>
      </c>
      <c r="O351" s="114" t="s">
        <v>35</v>
      </c>
      <c r="P351" s="114" t="s">
        <v>35</v>
      </c>
      <c r="Q351" s="114" t="s">
        <v>35</v>
      </c>
      <c r="R351" s="114" t="s">
        <v>37</v>
      </c>
      <c r="S351" s="115" t="s">
        <v>4272</v>
      </c>
      <c r="T351" s="50" t="s">
        <v>4273</v>
      </c>
      <c r="U351" s="50" t="s">
        <v>4273</v>
      </c>
      <c r="V351" s="116">
        <f t="shared" si="2"/>
        <v>0</v>
      </c>
      <c r="W351" s="116">
        <f t="shared" ref="W351:X351" si="356">IF(lenb(SUBSTITUTE($Z351,W$1&amp;" (1)",""))&lt;lenb($Z351),1,IF(lenb(SUBSTITUTE($Z351,W$1&amp;" (2)",""))&lt;lenb($Z351),2,IF(lenb(SUBSTITUTE($Z351,W$1&amp;" (3)",""))&lt;lenb($Z351),3,IF(lenb(SUBSTITUTE($Z351,W$1&amp;" (4)",""))&lt;lenb($Z351),4,IF(lenb(SUBSTITUTE($Z351,W$1&amp;" (5)",""))&lt;lenb($Z351),5,IF(lenb(SUBSTITUTE($Z351,W$1&amp;" (6)",""))&lt;lenb($Z351),6,IF(lenb(SUBSTITUTE($Z351,W$1&amp;" (7)",""))&lt;lenb($Z351),1,IF(lenb(SUBSTITUTE($Z351,W$1&amp;" (8)",""))&lt;lenb($Z351),8,IF(lenb(SUBSTITUTE($Z351,W$1&amp;" (9)",""))&lt;lenb($Z351),9,IF(lenb(SUBSTITUTE($Z351,W$1&amp;" (10)",""))&lt;lenb($Z351),10,IF(lenb(SUBSTITUTE($Z351,W$1,""))&lt;lenb($Z351),"ERROR",IF($Z351=$Y$1,"-",0))))))))))))</f>
        <v>1</v>
      </c>
      <c r="X351" s="116">
        <f t="shared" si="356"/>
        <v>0</v>
      </c>
      <c r="Y351" s="116" t="str">
        <f t="shared" si="4"/>
        <v>-</v>
      </c>
      <c r="Z351" s="115" t="s">
        <v>3423</v>
      </c>
      <c r="AA351" s="54">
        <f t="shared" si="5"/>
        <v>1</v>
      </c>
      <c r="AB351" s="54">
        <f>COUNTIFS(Links!B:B,"FSE",Links!C:C,A351,Links!AD:AD,1)</f>
        <v>1</v>
      </c>
      <c r="AC351" s="117" t="s">
        <v>35</v>
      </c>
      <c r="AD351" s="118" t="s">
        <v>35</v>
      </c>
      <c r="AE351" s="115" t="s">
        <v>36</v>
      </c>
      <c r="AF351" s="57" t="s">
        <v>42</v>
      </c>
      <c r="AG351" s="57" t="s">
        <v>42</v>
      </c>
      <c r="AH351" s="57" t="s">
        <v>42</v>
      </c>
      <c r="AI351" s="116" t="str">
        <f t="shared" si="6"/>
        <v>----</v>
      </c>
      <c r="AJ351" s="119" t="str">
        <f t="shared" si="7"/>
        <v>Paper has link but no statement</v>
      </c>
      <c r="AK351" s="120" t="s">
        <v>3401</v>
      </c>
      <c r="AL351" s="121" t="s">
        <v>3402</v>
      </c>
      <c r="AM351" s="60" t="str">
        <f t="shared" si="8"/>
        <v>[FP0432]</v>
      </c>
    </row>
    <row r="352" ht="67.5" customHeight="1">
      <c r="A352" s="61">
        <v>433.0</v>
      </c>
      <c r="B352" s="22" t="s">
        <v>4274</v>
      </c>
      <c r="C352" s="23">
        <v>2019.0</v>
      </c>
      <c r="D352" s="100" t="s">
        <v>35</v>
      </c>
      <c r="E352" s="25" t="s">
        <v>36</v>
      </c>
      <c r="F352" s="25" t="s">
        <v>36</v>
      </c>
      <c r="G352" s="25" t="s">
        <v>36</v>
      </c>
      <c r="H352" s="25" t="s">
        <v>36</v>
      </c>
      <c r="I352" s="25" t="s">
        <v>36</v>
      </c>
      <c r="J352" s="101" t="s">
        <v>36</v>
      </c>
      <c r="K352" s="102" t="s">
        <v>37</v>
      </c>
      <c r="L352" s="103" t="s">
        <v>35</v>
      </c>
      <c r="M352" s="103" t="s">
        <v>37</v>
      </c>
      <c r="N352" s="103" t="s">
        <v>35</v>
      </c>
      <c r="O352" s="103" t="s">
        <v>35</v>
      </c>
      <c r="P352" s="103" t="s">
        <v>35</v>
      </c>
      <c r="Q352" s="103" t="s">
        <v>35</v>
      </c>
      <c r="R352" s="103" t="s">
        <v>37</v>
      </c>
      <c r="S352" s="104" t="s">
        <v>4275</v>
      </c>
      <c r="T352" s="30" t="s">
        <v>4276</v>
      </c>
      <c r="U352" s="30" t="s">
        <v>4276</v>
      </c>
      <c r="V352" s="105">
        <f t="shared" si="2"/>
        <v>0</v>
      </c>
      <c r="W352" s="105">
        <f t="shared" ref="W352:X352" si="357">IF(lenb(SUBSTITUTE($Z352,W$1&amp;" (1)",""))&lt;lenb($Z352),1,IF(lenb(SUBSTITUTE($Z352,W$1&amp;" (2)",""))&lt;lenb($Z352),2,IF(lenb(SUBSTITUTE($Z352,W$1&amp;" (3)",""))&lt;lenb($Z352),3,IF(lenb(SUBSTITUTE($Z352,W$1&amp;" (4)",""))&lt;lenb($Z352),4,IF(lenb(SUBSTITUTE($Z352,W$1&amp;" (5)",""))&lt;lenb($Z352),5,IF(lenb(SUBSTITUTE($Z352,W$1&amp;" (6)",""))&lt;lenb($Z352),6,IF(lenb(SUBSTITUTE($Z352,W$1&amp;" (7)",""))&lt;lenb($Z352),1,IF(lenb(SUBSTITUTE($Z352,W$1&amp;" (8)",""))&lt;lenb($Z352),8,IF(lenb(SUBSTITUTE($Z352,W$1&amp;" (9)",""))&lt;lenb($Z352),9,IF(lenb(SUBSTITUTE($Z352,W$1&amp;" (10)",""))&lt;lenb($Z352),10,IF(lenb(SUBSTITUTE($Z352,W$1,""))&lt;lenb($Z352),"ERROR",IF($Z352=$Y$1,"-",0))))))))))))</f>
        <v>1</v>
      </c>
      <c r="X352" s="105">
        <f t="shared" si="357"/>
        <v>0</v>
      </c>
      <c r="Y352" s="105" t="str">
        <f t="shared" si="4"/>
        <v>-</v>
      </c>
      <c r="Z352" s="104" t="s">
        <v>3423</v>
      </c>
      <c r="AA352" s="34">
        <f t="shared" si="5"/>
        <v>1</v>
      </c>
      <c r="AB352" s="34">
        <f>COUNTIFS(Links!B:B,"FSE",Links!C:C,A352,Links!AD:AD,1)</f>
        <v>0</v>
      </c>
      <c r="AC352" s="106" t="s">
        <v>35</v>
      </c>
      <c r="AD352" s="107" t="s">
        <v>35</v>
      </c>
      <c r="AE352" s="104" t="s">
        <v>36</v>
      </c>
      <c r="AF352" s="37" t="s">
        <v>42</v>
      </c>
      <c r="AG352" s="37" t="s">
        <v>42</v>
      </c>
      <c r="AH352" s="37" t="s">
        <v>42</v>
      </c>
      <c r="AI352" s="105" t="str">
        <f t="shared" si="6"/>
        <v>----</v>
      </c>
      <c r="AJ352" s="108" t="str">
        <f t="shared" si="7"/>
        <v>Paper has link but no statement</v>
      </c>
      <c r="AK352" s="109" t="s">
        <v>3401</v>
      </c>
      <c r="AL352" s="110" t="s">
        <v>3402</v>
      </c>
      <c r="AM352" s="40" t="str">
        <f t="shared" si="8"/>
        <v>[FP0433]</v>
      </c>
    </row>
    <row r="353" ht="67.5" customHeight="1">
      <c r="A353" s="41">
        <v>434.0</v>
      </c>
      <c r="B353" s="42" t="s">
        <v>4277</v>
      </c>
      <c r="C353" s="43">
        <v>2019.0</v>
      </c>
      <c r="D353" s="111" t="s">
        <v>37</v>
      </c>
      <c r="E353" s="45" t="s">
        <v>37</v>
      </c>
      <c r="F353" s="45" t="s">
        <v>35</v>
      </c>
      <c r="G353" s="45" t="s">
        <v>35</v>
      </c>
      <c r="H353" s="45" t="s">
        <v>35</v>
      </c>
      <c r="I353" s="45" t="s">
        <v>35</v>
      </c>
      <c r="J353" s="112" t="s">
        <v>36</v>
      </c>
      <c r="K353" s="113" t="s">
        <v>37</v>
      </c>
      <c r="L353" s="114" t="s">
        <v>37</v>
      </c>
      <c r="M353" s="114" t="s">
        <v>35</v>
      </c>
      <c r="N353" s="114" t="s">
        <v>37</v>
      </c>
      <c r="O353" s="114" t="s">
        <v>35</v>
      </c>
      <c r="P353" s="114" t="s">
        <v>35</v>
      </c>
      <c r="Q353" s="114" t="s">
        <v>35</v>
      </c>
      <c r="R353" s="114" t="s">
        <v>35</v>
      </c>
      <c r="S353" s="115" t="s">
        <v>4278</v>
      </c>
      <c r="T353" s="50" t="s">
        <v>4279</v>
      </c>
      <c r="U353" s="50" t="s">
        <v>4279</v>
      </c>
      <c r="V353" s="116">
        <f t="shared" si="2"/>
        <v>1</v>
      </c>
      <c r="W353" s="116">
        <f t="shared" ref="W353:X353" si="358">IF(lenb(SUBSTITUTE($Z353,W$1&amp;" (1)",""))&lt;lenb($Z353),1,IF(lenb(SUBSTITUTE($Z353,W$1&amp;" (2)",""))&lt;lenb($Z353),2,IF(lenb(SUBSTITUTE($Z353,W$1&amp;" (3)",""))&lt;lenb($Z353),3,IF(lenb(SUBSTITUTE($Z353,W$1&amp;" (4)",""))&lt;lenb($Z353),4,IF(lenb(SUBSTITUTE($Z353,W$1&amp;" (5)",""))&lt;lenb($Z353),5,IF(lenb(SUBSTITUTE($Z353,W$1&amp;" (6)",""))&lt;lenb($Z353),6,IF(lenb(SUBSTITUTE($Z353,W$1&amp;" (7)",""))&lt;lenb($Z353),1,IF(lenb(SUBSTITUTE($Z353,W$1&amp;" (8)",""))&lt;lenb($Z353),8,IF(lenb(SUBSTITUTE($Z353,W$1&amp;" (9)",""))&lt;lenb($Z353),9,IF(lenb(SUBSTITUTE($Z353,W$1&amp;" (10)",""))&lt;lenb($Z353),10,IF(lenb(SUBSTITUTE($Z353,W$1,""))&lt;lenb($Z353),"ERROR",IF($Z353=$Y$1,"-",0))))))))))))</f>
        <v>0</v>
      </c>
      <c r="X353" s="116">
        <f t="shared" si="358"/>
        <v>0</v>
      </c>
      <c r="Y353" s="116" t="str">
        <f t="shared" si="4"/>
        <v>-</v>
      </c>
      <c r="Z353" s="115" t="s">
        <v>3400</v>
      </c>
      <c r="AA353" s="54">
        <f t="shared" si="5"/>
        <v>1</v>
      </c>
      <c r="AB353" s="54">
        <f>COUNTIFS(Links!B:B,"FSE",Links!C:C,A353,Links!AD:AD,1)</f>
        <v>0</v>
      </c>
      <c r="AC353" s="117" t="s">
        <v>37</v>
      </c>
      <c r="AD353" s="118" t="s">
        <v>35</v>
      </c>
      <c r="AE353" s="115" t="s">
        <v>36</v>
      </c>
      <c r="AF353" s="57" t="s">
        <v>42</v>
      </c>
      <c r="AG353" s="57" t="s">
        <v>42</v>
      </c>
      <c r="AH353" s="57" t="s">
        <v>42</v>
      </c>
      <c r="AI353" s="116" t="str">
        <f t="shared" si="6"/>
        <v>----</v>
      </c>
      <c r="AJ353" s="119" t="str">
        <f t="shared" si="7"/>
        <v>Paper has link but no statement</v>
      </c>
      <c r="AK353" s="120" t="s">
        <v>3401</v>
      </c>
      <c r="AL353" s="121" t="s">
        <v>3402</v>
      </c>
      <c r="AM353" s="60" t="str">
        <f t="shared" si="8"/>
        <v>[FP0434]</v>
      </c>
    </row>
    <row r="354" ht="67.5" customHeight="1">
      <c r="A354" s="61">
        <v>435.0</v>
      </c>
      <c r="B354" s="22" t="s">
        <v>4280</v>
      </c>
      <c r="C354" s="23">
        <v>2019.0</v>
      </c>
      <c r="D354" s="100" t="s">
        <v>35</v>
      </c>
      <c r="E354" s="25" t="s">
        <v>36</v>
      </c>
      <c r="F354" s="25" t="s">
        <v>36</v>
      </c>
      <c r="G354" s="25" t="s">
        <v>36</v>
      </c>
      <c r="H354" s="25" t="s">
        <v>36</v>
      </c>
      <c r="I354" s="25" t="s">
        <v>36</v>
      </c>
      <c r="J354" s="101" t="s">
        <v>36</v>
      </c>
      <c r="K354" s="102" t="s">
        <v>37</v>
      </c>
      <c r="L354" s="103" t="s">
        <v>35</v>
      </c>
      <c r="M354" s="103" t="s">
        <v>37</v>
      </c>
      <c r="N354" s="103" t="s">
        <v>35</v>
      </c>
      <c r="O354" s="103" t="s">
        <v>35</v>
      </c>
      <c r="P354" s="103" t="s">
        <v>35</v>
      </c>
      <c r="Q354" s="103" t="s">
        <v>35</v>
      </c>
      <c r="R354" s="103" t="s">
        <v>37</v>
      </c>
      <c r="S354" s="104" t="s">
        <v>4281</v>
      </c>
      <c r="T354" s="30" t="s">
        <v>4282</v>
      </c>
      <c r="U354" s="30" t="s">
        <v>4282</v>
      </c>
      <c r="V354" s="105">
        <f t="shared" si="2"/>
        <v>1</v>
      </c>
      <c r="W354" s="105">
        <f t="shared" ref="W354:X354" si="359">IF(lenb(SUBSTITUTE($Z354,W$1&amp;" (1)",""))&lt;lenb($Z354),1,IF(lenb(SUBSTITUTE($Z354,W$1&amp;" (2)",""))&lt;lenb($Z354),2,IF(lenb(SUBSTITUTE($Z354,W$1&amp;" (3)",""))&lt;lenb($Z354),3,IF(lenb(SUBSTITUTE($Z354,W$1&amp;" (4)",""))&lt;lenb($Z354),4,IF(lenb(SUBSTITUTE($Z354,W$1&amp;" (5)",""))&lt;lenb($Z354),5,IF(lenb(SUBSTITUTE($Z354,W$1&amp;" (6)",""))&lt;lenb($Z354),6,IF(lenb(SUBSTITUTE($Z354,W$1&amp;" (7)",""))&lt;lenb($Z354),1,IF(lenb(SUBSTITUTE($Z354,W$1&amp;" (8)",""))&lt;lenb($Z354),8,IF(lenb(SUBSTITUTE($Z354,W$1&amp;" (9)",""))&lt;lenb($Z354),9,IF(lenb(SUBSTITUTE($Z354,W$1&amp;" (10)",""))&lt;lenb($Z354),10,IF(lenb(SUBSTITUTE($Z354,W$1,""))&lt;lenb($Z354),"ERROR",IF($Z354=$Y$1,"-",0))))))))))))</f>
        <v>0</v>
      </c>
      <c r="X354" s="105">
        <f t="shared" si="359"/>
        <v>0</v>
      </c>
      <c r="Y354" s="105" t="str">
        <f t="shared" si="4"/>
        <v>-</v>
      </c>
      <c r="Z354" s="104" t="s">
        <v>3400</v>
      </c>
      <c r="AA354" s="34">
        <f t="shared" si="5"/>
        <v>1</v>
      </c>
      <c r="AB354" s="34">
        <f>COUNTIFS(Links!B:B,"FSE",Links!C:C,A354,Links!AD:AD,1)</f>
        <v>0</v>
      </c>
      <c r="AC354" s="106" t="s">
        <v>35</v>
      </c>
      <c r="AD354" s="107" t="s">
        <v>35</v>
      </c>
      <c r="AE354" s="104" t="s">
        <v>36</v>
      </c>
      <c r="AF354" s="37" t="s">
        <v>42</v>
      </c>
      <c r="AG354" s="37" t="s">
        <v>42</v>
      </c>
      <c r="AH354" s="37" t="s">
        <v>42</v>
      </c>
      <c r="AI354" s="105" t="str">
        <f t="shared" si="6"/>
        <v>----</v>
      </c>
      <c r="AJ354" s="108" t="str">
        <f t="shared" si="7"/>
        <v>Paper has link but no statement</v>
      </c>
      <c r="AK354" s="109" t="s">
        <v>3401</v>
      </c>
      <c r="AL354" s="110" t="s">
        <v>3402</v>
      </c>
      <c r="AM354" s="40" t="str">
        <f t="shared" si="8"/>
        <v>[FP0435]</v>
      </c>
    </row>
    <row r="355" ht="67.5" customHeight="1">
      <c r="A355" s="41">
        <v>436.0</v>
      </c>
      <c r="B355" s="42" t="s">
        <v>4283</v>
      </c>
      <c r="C355" s="43">
        <v>2019.0</v>
      </c>
      <c r="D355" s="111" t="s">
        <v>35</v>
      </c>
      <c r="E355" s="45" t="s">
        <v>36</v>
      </c>
      <c r="F355" s="45" t="s">
        <v>36</v>
      </c>
      <c r="G355" s="45" t="s">
        <v>36</v>
      </c>
      <c r="H355" s="45" t="s">
        <v>36</v>
      </c>
      <c r="I355" s="45" t="s">
        <v>36</v>
      </c>
      <c r="J355" s="112" t="s">
        <v>36</v>
      </c>
      <c r="K355" s="113" t="s">
        <v>37</v>
      </c>
      <c r="L355" s="114" t="s">
        <v>35</v>
      </c>
      <c r="M355" s="114" t="s">
        <v>35</v>
      </c>
      <c r="N355" s="114" t="s">
        <v>35</v>
      </c>
      <c r="O355" s="114" t="s">
        <v>35</v>
      </c>
      <c r="P355" s="114" t="s">
        <v>35</v>
      </c>
      <c r="Q355" s="114" t="s">
        <v>35</v>
      </c>
      <c r="R355" s="114" t="s">
        <v>37</v>
      </c>
      <c r="S355" s="135" t="s">
        <v>4284</v>
      </c>
      <c r="T355" s="50" t="s">
        <v>4285</v>
      </c>
      <c r="U355" s="50" t="s">
        <v>4285</v>
      </c>
      <c r="V355" s="116">
        <f t="shared" si="2"/>
        <v>1</v>
      </c>
      <c r="W355" s="116">
        <f t="shared" ref="W355:X355" si="360">IF(lenb(SUBSTITUTE($Z355,W$1&amp;" (1)",""))&lt;lenb($Z355),1,IF(lenb(SUBSTITUTE($Z355,W$1&amp;" (2)",""))&lt;lenb($Z355),2,IF(lenb(SUBSTITUTE($Z355,W$1&amp;" (3)",""))&lt;lenb($Z355),3,IF(lenb(SUBSTITUTE($Z355,W$1&amp;" (4)",""))&lt;lenb($Z355),4,IF(lenb(SUBSTITUTE($Z355,W$1&amp;" (5)",""))&lt;lenb($Z355),5,IF(lenb(SUBSTITUTE($Z355,W$1&amp;" (6)",""))&lt;lenb($Z355),6,IF(lenb(SUBSTITUTE($Z355,W$1&amp;" (7)",""))&lt;lenb($Z355),1,IF(lenb(SUBSTITUTE($Z355,W$1&amp;" (8)",""))&lt;lenb($Z355),8,IF(lenb(SUBSTITUTE($Z355,W$1&amp;" (9)",""))&lt;lenb($Z355),9,IF(lenb(SUBSTITUTE($Z355,W$1&amp;" (10)",""))&lt;lenb($Z355),10,IF(lenb(SUBSTITUTE($Z355,W$1,""))&lt;lenb($Z355),"ERROR",IF($Z355=$Y$1,"-",0))))))))))))</f>
        <v>0</v>
      </c>
      <c r="X355" s="116">
        <f t="shared" si="360"/>
        <v>0</v>
      </c>
      <c r="Y355" s="116" t="str">
        <f t="shared" si="4"/>
        <v>-</v>
      </c>
      <c r="Z355" s="115" t="s">
        <v>3400</v>
      </c>
      <c r="AA355" s="54">
        <f t="shared" si="5"/>
        <v>1</v>
      </c>
      <c r="AB355" s="54">
        <f>COUNTIFS(Links!B:B,"FSE",Links!C:C,A355,Links!AD:AD,1)</f>
        <v>0</v>
      </c>
      <c r="AC355" s="117" t="s">
        <v>35</v>
      </c>
      <c r="AD355" s="118" t="s">
        <v>35</v>
      </c>
      <c r="AE355" s="115" t="s">
        <v>36</v>
      </c>
      <c r="AF355" s="57" t="s">
        <v>42</v>
      </c>
      <c r="AG355" s="57" t="s">
        <v>42</v>
      </c>
      <c r="AH355" s="57" t="s">
        <v>42</v>
      </c>
      <c r="AI355" s="116" t="str">
        <f t="shared" si="6"/>
        <v>----</v>
      </c>
      <c r="AJ355" s="119" t="str">
        <f t="shared" si="7"/>
        <v>Paper has link but no statement</v>
      </c>
      <c r="AK355" s="120" t="s">
        <v>3401</v>
      </c>
      <c r="AL355" s="121" t="s">
        <v>3402</v>
      </c>
      <c r="AM355" s="60" t="str">
        <f t="shared" si="8"/>
        <v>[FP0436]</v>
      </c>
    </row>
    <row r="356" ht="67.5" customHeight="1">
      <c r="A356" s="61">
        <v>437.0</v>
      </c>
      <c r="B356" s="22" t="s">
        <v>4286</v>
      </c>
      <c r="C356" s="23">
        <v>2019.0</v>
      </c>
      <c r="D356" s="100" t="s">
        <v>35</v>
      </c>
      <c r="E356" s="25" t="s">
        <v>36</v>
      </c>
      <c r="F356" s="25" t="s">
        <v>36</v>
      </c>
      <c r="G356" s="25" t="s">
        <v>36</v>
      </c>
      <c r="H356" s="25" t="s">
        <v>36</v>
      </c>
      <c r="I356" s="25" t="s">
        <v>36</v>
      </c>
      <c r="J356" s="101" t="s">
        <v>36</v>
      </c>
      <c r="K356" s="102" t="s">
        <v>37</v>
      </c>
      <c r="L356" s="103" t="s">
        <v>35</v>
      </c>
      <c r="M356" s="103" t="s">
        <v>37</v>
      </c>
      <c r="N356" s="103" t="s">
        <v>37</v>
      </c>
      <c r="O356" s="103" t="s">
        <v>35</v>
      </c>
      <c r="P356" s="103" t="s">
        <v>37</v>
      </c>
      <c r="Q356" s="103" t="s">
        <v>35</v>
      </c>
      <c r="R356" s="103" t="s">
        <v>37</v>
      </c>
      <c r="S356" s="104" t="s">
        <v>4287</v>
      </c>
      <c r="T356" s="30" t="s">
        <v>4288</v>
      </c>
      <c r="U356" s="30" t="s">
        <v>4288</v>
      </c>
      <c r="V356" s="105">
        <f t="shared" si="2"/>
        <v>1</v>
      </c>
      <c r="W356" s="105">
        <f t="shared" ref="W356:X356" si="361">IF(lenb(SUBSTITUTE($Z356,W$1&amp;" (1)",""))&lt;lenb($Z356),1,IF(lenb(SUBSTITUTE($Z356,W$1&amp;" (2)",""))&lt;lenb($Z356),2,IF(lenb(SUBSTITUTE($Z356,W$1&amp;" (3)",""))&lt;lenb($Z356),3,IF(lenb(SUBSTITUTE($Z356,W$1&amp;" (4)",""))&lt;lenb($Z356),4,IF(lenb(SUBSTITUTE($Z356,W$1&amp;" (5)",""))&lt;lenb($Z356),5,IF(lenb(SUBSTITUTE($Z356,W$1&amp;" (6)",""))&lt;lenb($Z356),6,IF(lenb(SUBSTITUTE($Z356,W$1&amp;" (7)",""))&lt;lenb($Z356),1,IF(lenb(SUBSTITUTE($Z356,W$1&amp;" (8)",""))&lt;lenb($Z356),8,IF(lenb(SUBSTITUTE($Z356,W$1&amp;" (9)",""))&lt;lenb($Z356),9,IF(lenb(SUBSTITUTE($Z356,W$1&amp;" (10)",""))&lt;lenb($Z356),10,IF(lenb(SUBSTITUTE($Z356,W$1,""))&lt;lenb($Z356),"ERROR",IF($Z356=$Y$1,"-",0))))))))))))</f>
        <v>0</v>
      </c>
      <c r="X356" s="105">
        <f t="shared" si="361"/>
        <v>0</v>
      </c>
      <c r="Y356" s="105" t="str">
        <f t="shared" si="4"/>
        <v>-</v>
      </c>
      <c r="Z356" s="104" t="s">
        <v>3400</v>
      </c>
      <c r="AA356" s="34">
        <f t="shared" si="5"/>
        <v>1</v>
      </c>
      <c r="AB356" s="34">
        <f>COUNTIFS(Links!B:B,"FSE",Links!C:C,A356,Links!AD:AD,1)</f>
        <v>0</v>
      </c>
      <c r="AC356" s="106" t="s">
        <v>35</v>
      </c>
      <c r="AD356" s="107" t="s">
        <v>35</v>
      </c>
      <c r="AE356" s="104" t="s">
        <v>36</v>
      </c>
      <c r="AF356" s="37" t="s">
        <v>42</v>
      </c>
      <c r="AG356" s="37" t="s">
        <v>42</v>
      </c>
      <c r="AH356" s="37" t="s">
        <v>42</v>
      </c>
      <c r="AI356" s="105" t="str">
        <f t="shared" si="6"/>
        <v>----</v>
      </c>
      <c r="AJ356" s="108" t="str">
        <f t="shared" si="7"/>
        <v>Paper has link but no statement</v>
      </c>
      <c r="AK356" s="109" t="s">
        <v>3401</v>
      </c>
      <c r="AL356" s="110" t="s">
        <v>3402</v>
      </c>
      <c r="AM356" s="40" t="str">
        <f t="shared" si="8"/>
        <v>[FP0437]</v>
      </c>
    </row>
    <row r="357" ht="67.5" customHeight="1">
      <c r="A357" s="41">
        <v>438.0</v>
      </c>
      <c r="B357" s="42" t="s">
        <v>4289</v>
      </c>
      <c r="C357" s="43">
        <v>2019.0</v>
      </c>
      <c r="D357" s="111" t="s">
        <v>35</v>
      </c>
      <c r="E357" s="45" t="s">
        <v>36</v>
      </c>
      <c r="F357" s="45" t="s">
        <v>36</v>
      </c>
      <c r="G357" s="45" t="s">
        <v>36</v>
      </c>
      <c r="H357" s="45" t="s">
        <v>36</v>
      </c>
      <c r="I357" s="45" t="s">
        <v>36</v>
      </c>
      <c r="J357" s="112" t="s">
        <v>36</v>
      </c>
      <c r="K357" s="113" t="s">
        <v>37</v>
      </c>
      <c r="L357" s="114" t="s">
        <v>35</v>
      </c>
      <c r="M357" s="114" t="s">
        <v>37</v>
      </c>
      <c r="N357" s="114" t="s">
        <v>37</v>
      </c>
      <c r="O357" s="114" t="s">
        <v>35</v>
      </c>
      <c r="P357" s="114" t="s">
        <v>35</v>
      </c>
      <c r="Q357" s="114" t="s">
        <v>35</v>
      </c>
      <c r="R357" s="114" t="s">
        <v>37</v>
      </c>
      <c r="S357" s="115" t="s">
        <v>4290</v>
      </c>
      <c r="T357" s="50" t="s">
        <v>4291</v>
      </c>
      <c r="U357" s="50" t="s">
        <v>4291</v>
      </c>
      <c r="V357" s="116">
        <f t="shared" si="2"/>
        <v>1</v>
      </c>
      <c r="W357" s="116">
        <f t="shared" ref="W357:X357" si="362">IF(lenb(SUBSTITUTE($Z357,W$1&amp;" (1)",""))&lt;lenb($Z357),1,IF(lenb(SUBSTITUTE($Z357,W$1&amp;" (2)",""))&lt;lenb($Z357),2,IF(lenb(SUBSTITUTE($Z357,W$1&amp;" (3)",""))&lt;lenb($Z357),3,IF(lenb(SUBSTITUTE($Z357,W$1&amp;" (4)",""))&lt;lenb($Z357),4,IF(lenb(SUBSTITUTE($Z357,W$1&amp;" (5)",""))&lt;lenb($Z357),5,IF(lenb(SUBSTITUTE($Z357,W$1&amp;" (6)",""))&lt;lenb($Z357),6,IF(lenb(SUBSTITUTE($Z357,W$1&amp;" (7)",""))&lt;lenb($Z357),1,IF(lenb(SUBSTITUTE($Z357,W$1&amp;" (8)",""))&lt;lenb($Z357),8,IF(lenb(SUBSTITUTE($Z357,W$1&amp;" (9)",""))&lt;lenb($Z357),9,IF(lenb(SUBSTITUTE($Z357,W$1&amp;" (10)",""))&lt;lenb($Z357),10,IF(lenb(SUBSTITUTE($Z357,W$1,""))&lt;lenb($Z357),"ERROR",IF($Z357=$Y$1,"-",0))))))))))))</f>
        <v>0</v>
      </c>
      <c r="X357" s="116">
        <f t="shared" si="362"/>
        <v>0</v>
      </c>
      <c r="Y357" s="116" t="str">
        <f t="shared" si="4"/>
        <v>-</v>
      </c>
      <c r="Z357" s="115" t="s">
        <v>3400</v>
      </c>
      <c r="AA357" s="54">
        <f t="shared" si="5"/>
        <v>1</v>
      </c>
      <c r="AB357" s="54">
        <f>COUNTIFS(Links!B:B,"FSE",Links!C:C,A357,Links!AD:AD,1)</f>
        <v>0</v>
      </c>
      <c r="AC357" s="117" t="s">
        <v>35</v>
      </c>
      <c r="AD357" s="118" t="s">
        <v>35</v>
      </c>
      <c r="AE357" s="115" t="s">
        <v>36</v>
      </c>
      <c r="AF357" s="57" t="s">
        <v>42</v>
      </c>
      <c r="AG357" s="57" t="s">
        <v>42</v>
      </c>
      <c r="AH357" s="57" t="s">
        <v>42</v>
      </c>
      <c r="AI357" s="116" t="str">
        <f t="shared" si="6"/>
        <v>----</v>
      </c>
      <c r="AJ357" s="119" t="str">
        <f t="shared" si="7"/>
        <v>Paper has link but no statement</v>
      </c>
      <c r="AK357" s="120" t="s">
        <v>3401</v>
      </c>
      <c r="AL357" s="121" t="s">
        <v>3402</v>
      </c>
      <c r="AM357" s="60" t="str">
        <f t="shared" si="8"/>
        <v>[FP0438]</v>
      </c>
    </row>
    <row r="358" ht="67.5" customHeight="1">
      <c r="A358" s="61">
        <v>439.0</v>
      </c>
      <c r="B358" s="22" t="s">
        <v>4292</v>
      </c>
      <c r="C358" s="23">
        <v>2019.0</v>
      </c>
      <c r="D358" s="100" t="s">
        <v>35</v>
      </c>
      <c r="E358" s="25" t="s">
        <v>36</v>
      </c>
      <c r="F358" s="25" t="s">
        <v>36</v>
      </c>
      <c r="G358" s="25" t="s">
        <v>36</v>
      </c>
      <c r="H358" s="25" t="s">
        <v>36</v>
      </c>
      <c r="I358" s="25" t="s">
        <v>36</v>
      </c>
      <c r="J358" s="101" t="s">
        <v>36</v>
      </c>
      <c r="K358" s="102" t="s">
        <v>37</v>
      </c>
      <c r="L358" s="103" t="s">
        <v>35</v>
      </c>
      <c r="M358" s="103" t="s">
        <v>35</v>
      </c>
      <c r="N358" s="103" t="s">
        <v>35</v>
      </c>
      <c r="O358" s="103" t="s">
        <v>37</v>
      </c>
      <c r="P358" s="103" t="s">
        <v>35</v>
      </c>
      <c r="Q358" s="103" t="s">
        <v>35</v>
      </c>
      <c r="R358" s="103" t="s">
        <v>37</v>
      </c>
      <c r="S358" s="136" t="s">
        <v>4293</v>
      </c>
      <c r="T358" s="30" t="s">
        <v>4294</v>
      </c>
      <c r="U358" s="30" t="s">
        <v>4294</v>
      </c>
      <c r="V358" s="105">
        <f t="shared" si="2"/>
        <v>2</v>
      </c>
      <c r="W358" s="105">
        <f t="shared" ref="W358:X358" si="363">IF(lenb(SUBSTITUTE($Z358,W$1&amp;" (1)",""))&lt;lenb($Z358),1,IF(lenb(SUBSTITUTE($Z358,W$1&amp;" (2)",""))&lt;lenb($Z358),2,IF(lenb(SUBSTITUTE($Z358,W$1&amp;" (3)",""))&lt;lenb($Z358),3,IF(lenb(SUBSTITUTE($Z358,W$1&amp;" (4)",""))&lt;lenb($Z358),4,IF(lenb(SUBSTITUTE($Z358,W$1&amp;" (5)",""))&lt;lenb($Z358),5,IF(lenb(SUBSTITUTE($Z358,W$1&amp;" (6)",""))&lt;lenb($Z358),6,IF(lenb(SUBSTITUTE($Z358,W$1&amp;" (7)",""))&lt;lenb($Z358),1,IF(lenb(SUBSTITUTE($Z358,W$1&amp;" (8)",""))&lt;lenb($Z358),8,IF(lenb(SUBSTITUTE($Z358,W$1&amp;" (9)",""))&lt;lenb($Z358),9,IF(lenb(SUBSTITUTE($Z358,W$1&amp;" (10)",""))&lt;lenb($Z358),10,IF(lenb(SUBSTITUTE($Z358,W$1,""))&lt;lenb($Z358),"ERROR",IF($Z358=$Y$1,"-",0))))))))))))</f>
        <v>0</v>
      </c>
      <c r="X358" s="105">
        <f t="shared" si="363"/>
        <v>0</v>
      </c>
      <c r="Y358" s="105" t="str">
        <f t="shared" si="4"/>
        <v>-</v>
      </c>
      <c r="Z358" s="104" t="s">
        <v>3452</v>
      </c>
      <c r="AA358" s="34">
        <f t="shared" si="5"/>
        <v>2</v>
      </c>
      <c r="AB358" s="34">
        <f>COUNTIFS(Links!B:B,"FSE",Links!C:C,A358,Links!AD:AD,1)</f>
        <v>0</v>
      </c>
      <c r="AC358" s="106" t="s">
        <v>35</v>
      </c>
      <c r="AD358" s="107" t="s">
        <v>35</v>
      </c>
      <c r="AE358" s="104" t="s">
        <v>36</v>
      </c>
      <c r="AF358" s="37" t="s">
        <v>42</v>
      </c>
      <c r="AG358" s="37" t="s">
        <v>42</v>
      </c>
      <c r="AH358" s="37" t="s">
        <v>42</v>
      </c>
      <c r="AI358" s="105" t="str">
        <f t="shared" si="6"/>
        <v>----</v>
      </c>
      <c r="AJ358" s="108" t="str">
        <f t="shared" si="7"/>
        <v>Paper has link but no statement</v>
      </c>
      <c r="AK358" s="109" t="s">
        <v>3401</v>
      </c>
      <c r="AL358" s="110" t="s">
        <v>3402</v>
      </c>
      <c r="AM358" s="40" t="str">
        <f t="shared" si="8"/>
        <v>[FP0439]</v>
      </c>
    </row>
    <row r="359" ht="67.5" customHeight="1">
      <c r="A359" s="41">
        <v>440.0</v>
      </c>
      <c r="B359" s="42" t="s">
        <v>4295</v>
      </c>
      <c r="C359" s="43">
        <v>2019.0</v>
      </c>
      <c r="D359" s="111" t="s">
        <v>35</v>
      </c>
      <c r="E359" s="45" t="s">
        <v>36</v>
      </c>
      <c r="F359" s="45" t="s">
        <v>36</v>
      </c>
      <c r="G359" s="45" t="s">
        <v>36</v>
      </c>
      <c r="H359" s="45" t="s">
        <v>36</v>
      </c>
      <c r="I359" s="45" t="s">
        <v>36</v>
      </c>
      <c r="J359" s="112" t="s">
        <v>36</v>
      </c>
      <c r="K359" s="113" t="s">
        <v>37</v>
      </c>
      <c r="L359" s="114" t="s">
        <v>35</v>
      </c>
      <c r="M359" s="114" t="s">
        <v>35</v>
      </c>
      <c r="N359" s="114" t="s">
        <v>35</v>
      </c>
      <c r="O359" s="114" t="s">
        <v>37</v>
      </c>
      <c r="P359" s="114" t="s">
        <v>35</v>
      </c>
      <c r="Q359" s="114" t="s">
        <v>35</v>
      </c>
      <c r="R359" s="114" t="s">
        <v>35</v>
      </c>
      <c r="S359" s="115" t="s">
        <v>4296</v>
      </c>
      <c r="T359" s="50" t="s">
        <v>4297</v>
      </c>
      <c r="U359" s="50" t="s">
        <v>4297</v>
      </c>
      <c r="V359" s="116">
        <f t="shared" si="2"/>
        <v>0</v>
      </c>
      <c r="W359" s="116">
        <f t="shared" ref="W359:X359" si="364">IF(lenb(SUBSTITUTE($Z359,W$1&amp;" (1)",""))&lt;lenb($Z359),1,IF(lenb(SUBSTITUTE($Z359,W$1&amp;" (2)",""))&lt;lenb($Z359),2,IF(lenb(SUBSTITUTE($Z359,W$1&amp;" (3)",""))&lt;lenb($Z359),3,IF(lenb(SUBSTITUTE($Z359,W$1&amp;" (4)",""))&lt;lenb($Z359),4,IF(lenb(SUBSTITUTE($Z359,W$1&amp;" (5)",""))&lt;lenb($Z359),5,IF(lenb(SUBSTITUTE($Z359,W$1&amp;" (6)",""))&lt;lenb($Z359),6,IF(lenb(SUBSTITUTE($Z359,W$1&amp;" (7)",""))&lt;lenb($Z359),1,IF(lenb(SUBSTITUTE($Z359,W$1&amp;" (8)",""))&lt;lenb($Z359),8,IF(lenb(SUBSTITUTE($Z359,W$1&amp;" (9)",""))&lt;lenb($Z359),9,IF(lenb(SUBSTITUTE($Z359,W$1&amp;" (10)",""))&lt;lenb($Z359),10,IF(lenb(SUBSTITUTE($Z359,W$1,""))&lt;lenb($Z359),"ERROR",IF($Z359=$Y$1,"-",0))))))))))))</f>
        <v>1</v>
      </c>
      <c r="X359" s="116">
        <f t="shared" si="364"/>
        <v>0</v>
      </c>
      <c r="Y359" s="116" t="str">
        <f t="shared" si="4"/>
        <v>-</v>
      </c>
      <c r="Z359" s="115" t="s">
        <v>3423</v>
      </c>
      <c r="AA359" s="54">
        <f t="shared" si="5"/>
        <v>1</v>
      </c>
      <c r="AB359" s="54">
        <f>COUNTIFS(Links!B:B,"FSE",Links!C:C,A359,Links!AD:AD,1)</f>
        <v>0</v>
      </c>
      <c r="AC359" s="117" t="s">
        <v>35</v>
      </c>
      <c r="AD359" s="118" t="s">
        <v>35</v>
      </c>
      <c r="AE359" s="115" t="s">
        <v>36</v>
      </c>
      <c r="AF359" s="57" t="s">
        <v>42</v>
      </c>
      <c r="AG359" s="57" t="s">
        <v>42</v>
      </c>
      <c r="AH359" s="57" t="s">
        <v>42</v>
      </c>
      <c r="AI359" s="116" t="str">
        <f t="shared" si="6"/>
        <v>----</v>
      </c>
      <c r="AJ359" s="119" t="str">
        <f t="shared" si="7"/>
        <v>Paper has link but no statement</v>
      </c>
      <c r="AK359" s="120" t="s">
        <v>3401</v>
      </c>
      <c r="AL359" s="121" t="s">
        <v>3402</v>
      </c>
      <c r="AM359" s="60" t="str">
        <f t="shared" si="8"/>
        <v>[FP0440]</v>
      </c>
    </row>
    <row r="360" ht="67.5" customHeight="1">
      <c r="A360" s="61">
        <v>441.0</v>
      </c>
      <c r="B360" s="22" t="s">
        <v>4298</v>
      </c>
      <c r="C360" s="23">
        <v>2019.0</v>
      </c>
      <c r="D360" s="100" t="s">
        <v>37</v>
      </c>
      <c r="E360" s="25" t="s">
        <v>37</v>
      </c>
      <c r="F360" s="25" t="s">
        <v>35</v>
      </c>
      <c r="G360" s="25" t="s">
        <v>37</v>
      </c>
      <c r="H360" s="25" t="s">
        <v>35</v>
      </c>
      <c r="I360" s="25" t="s">
        <v>35</v>
      </c>
      <c r="J360" s="101" t="s">
        <v>36</v>
      </c>
      <c r="K360" s="102" t="s">
        <v>37</v>
      </c>
      <c r="L360" s="103" t="s">
        <v>35</v>
      </c>
      <c r="M360" s="103" t="s">
        <v>35</v>
      </c>
      <c r="N360" s="103" t="s">
        <v>35</v>
      </c>
      <c r="O360" s="103" t="s">
        <v>35</v>
      </c>
      <c r="P360" s="103" t="s">
        <v>37</v>
      </c>
      <c r="Q360" s="103" t="s">
        <v>35</v>
      </c>
      <c r="R360" s="103" t="s">
        <v>37</v>
      </c>
      <c r="S360" s="136" t="s">
        <v>4299</v>
      </c>
      <c r="T360" s="30" t="s">
        <v>4300</v>
      </c>
      <c r="U360" s="30" t="s">
        <v>4300</v>
      </c>
      <c r="V360" s="105">
        <f t="shared" si="2"/>
        <v>1</v>
      </c>
      <c r="W360" s="105">
        <f t="shared" ref="W360:X360" si="365">IF(lenb(SUBSTITUTE($Z360,W$1&amp;" (1)",""))&lt;lenb($Z360),1,IF(lenb(SUBSTITUTE($Z360,W$1&amp;" (2)",""))&lt;lenb($Z360),2,IF(lenb(SUBSTITUTE($Z360,W$1&amp;" (3)",""))&lt;lenb($Z360),3,IF(lenb(SUBSTITUTE($Z360,W$1&amp;" (4)",""))&lt;lenb($Z360),4,IF(lenb(SUBSTITUTE($Z360,W$1&amp;" (5)",""))&lt;lenb($Z360),5,IF(lenb(SUBSTITUTE($Z360,W$1&amp;" (6)",""))&lt;lenb($Z360),6,IF(lenb(SUBSTITUTE($Z360,W$1&amp;" (7)",""))&lt;lenb($Z360),1,IF(lenb(SUBSTITUTE($Z360,W$1&amp;" (8)",""))&lt;lenb($Z360),8,IF(lenb(SUBSTITUTE($Z360,W$1&amp;" (9)",""))&lt;lenb($Z360),9,IF(lenb(SUBSTITUTE($Z360,W$1&amp;" (10)",""))&lt;lenb($Z360),10,IF(lenb(SUBSTITUTE($Z360,W$1,""))&lt;lenb($Z360),"ERROR",IF($Z360=$Y$1,"-",0))))))))))))</f>
        <v>0</v>
      </c>
      <c r="X360" s="105">
        <f t="shared" si="365"/>
        <v>0</v>
      </c>
      <c r="Y360" s="105" t="str">
        <f t="shared" si="4"/>
        <v>-</v>
      </c>
      <c r="Z360" s="104" t="s">
        <v>3400</v>
      </c>
      <c r="AA360" s="34">
        <f t="shared" si="5"/>
        <v>1</v>
      </c>
      <c r="AB360" s="34">
        <f>COUNTIFS(Links!B:B,"FSE",Links!C:C,A360,Links!AD:AD,1)</f>
        <v>0</v>
      </c>
      <c r="AC360" s="106" t="s">
        <v>37</v>
      </c>
      <c r="AD360" s="107" t="s">
        <v>35</v>
      </c>
      <c r="AE360" s="104" t="s">
        <v>36</v>
      </c>
      <c r="AF360" s="37" t="s">
        <v>42</v>
      </c>
      <c r="AG360" s="37" t="s">
        <v>42</v>
      </c>
      <c r="AH360" s="37" t="s">
        <v>42</v>
      </c>
      <c r="AI360" s="105" t="str">
        <f t="shared" si="6"/>
        <v>----</v>
      </c>
      <c r="AJ360" s="108" t="str">
        <f t="shared" si="7"/>
        <v>Paper has link but no statement</v>
      </c>
      <c r="AK360" s="109" t="s">
        <v>3401</v>
      </c>
      <c r="AL360" s="110" t="s">
        <v>3402</v>
      </c>
      <c r="AM360" s="40" t="str">
        <f t="shared" si="8"/>
        <v>[FP0441]</v>
      </c>
    </row>
    <row r="361" ht="67.5" customHeight="1">
      <c r="A361" s="41">
        <v>442.0</v>
      </c>
      <c r="B361" s="42" t="s">
        <v>4301</v>
      </c>
      <c r="C361" s="43">
        <v>2019.0</v>
      </c>
      <c r="D361" s="111" t="s">
        <v>37</v>
      </c>
      <c r="E361" s="45" t="s">
        <v>37</v>
      </c>
      <c r="F361" s="45" t="s">
        <v>35</v>
      </c>
      <c r="G361" s="45" t="s">
        <v>37</v>
      </c>
      <c r="H361" s="45" t="s">
        <v>35</v>
      </c>
      <c r="I361" s="45" t="s">
        <v>35</v>
      </c>
      <c r="J361" s="112" t="s">
        <v>36</v>
      </c>
      <c r="K361" s="113" t="s">
        <v>37</v>
      </c>
      <c r="L361" s="114" t="s">
        <v>35</v>
      </c>
      <c r="M361" s="114" t="s">
        <v>35</v>
      </c>
      <c r="N361" s="114" t="s">
        <v>35</v>
      </c>
      <c r="O361" s="114" t="s">
        <v>35</v>
      </c>
      <c r="P361" s="114" t="s">
        <v>35</v>
      </c>
      <c r="Q361" s="114" t="s">
        <v>35</v>
      </c>
      <c r="R361" s="114" t="s">
        <v>37</v>
      </c>
      <c r="S361" s="115" t="s">
        <v>4302</v>
      </c>
      <c r="T361" s="50" t="s">
        <v>4303</v>
      </c>
      <c r="U361" s="50" t="s">
        <v>4304</v>
      </c>
      <c r="V361" s="116">
        <f t="shared" si="2"/>
        <v>3</v>
      </c>
      <c r="W361" s="116">
        <f t="shared" ref="W361:X361" si="366">IF(lenb(SUBSTITUTE($Z361,W$1&amp;" (1)",""))&lt;lenb($Z361),1,IF(lenb(SUBSTITUTE($Z361,W$1&amp;" (2)",""))&lt;lenb($Z361),2,IF(lenb(SUBSTITUTE($Z361,W$1&amp;" (3)",""))&lt;lenb($Z361),3,IF(lenb(SUBSTITUTE($Z361,W$1&amp;" (4)",""))&lt;lenb($Z361),4,IF(lenb(SUBSTITUTE($Z361,W$1&amp;" (5)",""))&lt;lenb($Z361),5,IF(lenb(SUBSTITUTE($Z361,W$1&amp;" (6)",""))&lt;lenb($Z361),6,IF(lenb(SUBSTITUTE($Z361,W$1&amp;" (7)",""))&lt;lenb($Z361),1,IF(lenb(SUBSTITUTE($Z361,W$1&amp;" (8)",""))&lt;lenb($Z361),8,IF(lenb(SUBSTITUTE($Z361,W$1&amp;" (9)",""))&lt;lenb($Z361),9,IF(lenb(SUBSTITUTE($Z361,W$1&amp;" (10)",""))&lt;lenb($Z361),10,IF(lenb(SUBSTITUTE($Z361,W$1,""))&lt;lenb($Z361),"ERROR",IF($Z361=$Y$1,"-",0))))))))))))</f>
        <v>0</v>
      </c>
      <c r="X361" s="116">
        <f t="shared" si="366"/>
        <v>0</v>
      </c>
      <c r="Y361" s="116" t="str">
        <f t="shared" si="4"/>
        <v>-</v>
      </c>
      <c r="Z361" s="115" t="s">
        <v>3741</v>
      </c>
      <c r="AA361" s="54">
        <f t="shared" si="5"/>
        <v>3</v>
      </c>
      <c r="AB361" s="54">
        <f>COUNTIFS(Links!B:B,"FSE",Links!C:C,A361,Links!AD:AD,1)</f>
        <v>0</v>
      </c>
      <c r="AC361" s="117" t="s">
        <v>37</v>
      </c>
      <c r="AD361" s="118" t="s">
        <v>35</v>
      </c>
      <c r="AE361" s="115" t="s">
        <v>36</v>
      </c>
      <c r="AF361" s="57" t="s">
        <v>42</v>
      </c>
      <c r="AG361" s="57" t="s">
        <v>42</v>
      </c>
      <c r="AH361" s="57" t="s">
        <v>42</v>
      </c>
      <c r="AI361" s="116" t="str">
        <f t="shared" si="6"/>
        <v>----</v>
      </c>
      <c r="AJ361" s="119" t="str">
        <f t="shared" si="7"/>
        <v>Paper has link but no statement</v>
      </c>
      <c r="AK361" s="120" t="s">
        <v>3401</v>
      </c>
      <c r="AL361" s="121" t="s">
        <v>3402</v>
      </c>
      <c r="AM361" s="60" t="str">
        <f t="shared" si="8"/>
        <v>[FP0442]</v>
      </c>
    </row>
    <row r="362" ht="67.5" customHeight="1">
      <c r="A362" s="61">
        <v>443.0</v>
      </c>
      <c r="B362" s="22" t="s">
        <v>4305</v>
      </c>
      <c r="C362" s="23">
        <v>2019.0</v>
      </c>
      <c r="D362" s="100" t="s">
        <v>35</v>
      </c>
      <c r="E362" s="25" t="s">
        <v>36</v>
      </c>
      <c r="F362" s="25" t="s">
        <v>36</v>
      </c>
      <c r="G362" s="25" t="s">
        <v>36</v>
      </c>
      <c r="H362" s="25" t="s">
        <v>36</v>
      </c>
      <c r="I362" s="25" t="s">
        <v>36</v>
      </c>
      <c r="J362" s="101" t="s">
        <v>36</v>
      </c>
      <c r="K362" s="102" t="s">
        <v>37</v>
      </c>
      <c r="L362" s="103" t="s">
        <v>37</v>
      </c>
      <c r="M362" s="103" t="s">
        <v>35</v>
      </c>
      <c r="N362" s="103" t="s">
        <v>35</v>
      </c>
      <c r="O362" s="103" t="s">
        <v>35</v>
      </c>
      <c r="P362" s="103" t="s">
        <v>35</v>
      </c>
      <c r="Q362" s="103" t="s">
        <v>35</v>
      </c>
      <c r="R362" s="103" t="s">
        <v>37</v>
      </c>
      <c r="S362" s="104" t="s">
        <v>4306</v>
      </c>
      <c r="T362" s="30" t="s">
        <v>4307</v>
      </c>
      <c r="U362" s="30" t="s">
        <v>4307</v>
      </c>
      <c r="V362" s="105">
        <f t="shared" si="2"/>
        <v>1</v>
      </c>
      <c r="W362" s="105">
        <f t="shared" ref="W362:X362" si="367">IF(lenb(SUBSTITUTE($Z362,W$1&amp;" (1)",""))&lt;lenb($Z362),1,IF(lenb(SUBSTITUTE($Z362,W$1&amp;" (2)",""))&lt;lenb($Z362),2,IF(lenb(SUBSTITUTE($Z362,W$1&amp;" (3)",""))&lt;lenb($Z362),3,IF(lenb(SUBSTITUTE($Z362,W$1&amp;" (4)",""))&lt;lenb($Z362),4,IF(lenb(SUBSTITUTE($Z362,W$1&amp;" (5)",""))&lt;lenb($Z362),5,IF(lenb(SUBSTITUTE($Z362,W$1&amp;" (6)",""))&lt;lenb($Z362),6,IF(lenb(SUBSTITUTE($Z362,W$1&amp;" (7)",""))&lt;lenb($Z362),1,IF(lenb(SUBSTITUTE($Z362,W$1&amp;" (8)",""))&lt;lenb($Z362),8,IF(lenb(SUBSTITUTE($Z362,W$1&amp;" (9)",""))&lt;lenb($Z362),9,IF(lenb(SUBSTITUTE($Z362,W$1&amp;" (10)",""))&lt;lenb($Z362),10,IF(lenb(SUBSTITUTE($Z362,W$1,""))&lt;lenb($Z362),"ERROR",IF($Z362=$Y$1,"-",0))))))))))))</f>
        <v>0</v>
      </c>
      <c r="X362" s="105">
        <f t="shared" si="367"/>
        <v>0</v>
      </c>
      <c r="Y362" s="105" t="str">
        <f t="shared" si="4"/>
        <v>-</v>
      </c>
      <c r="Z362" s="104" t="s">
        <v>3400</v>
      </c>
      <c r="AA362" s="34">
        <f t="shared" si="5"/>
        <v>1</v>
      </c>
      <c r="AB362" s="34">
        <f>COUNTIFS(Links!B:B,"FSE",Links!C:C,A362,Links!AD:AD,1)</f>
        <v>0</v>
      </c>
      <c r="AC362" s="106" t="s">
        <v>35</v>
      </c>
      <c r="AD362" s="107" t="s">
        <v>35</v>
      </c>
      <c r="AE362" s="104" t="s">
        <v>36</v>
      </c>
      <c r="AF362" s="37" t="s">
        <v>42</v>
      </c>
      <c r="AG362" s="37" t="s">
        <v>42</v>
      </c>
      <c r="AH362" s="37" t="s">
        <v>42</v>
      </c>
      <c r="AI362" s="105" t="str">
        <f t="shared" si="6"/>
        <v>----</v>
      </c>
      <c r="AJ362" s="108" t="str">
        <f t="shared" si="7"/>
        <v>Paper has link but no statement</v>
      </c>
      <c r="AK362" s="109" t="s">
        <v>3401</v>
      </c>
      <c r="AL362" s="110" t="s">
        <v>3402</v>
      </c>
      <c r="AM362" s="40" t="str">
        <f t="shared" si="8"/>
        <v>[FP0443]</v>
      </c>
    </row>
    <row r="363" ht="67.5" customHeight="1">
      <c r="A363" s="41">
        <v>444.0</v>
      </c>
      <c r="B363" s="42" t="s">
        <v>4308</v>
      </c>
      <c r="C363" s="43">
        <v>2019.0</v>
      </c>
      <c r="D363" s="111" t="s">
        <v>35</v>
      </c>
      <c r="E363" s="45" t="s">
        <v>36</v>
      </c>
      <c r="F363" s="45" t="s">
        <v>36</v>
      </c>
      <c r="G363" s="45" t="s">
        <v>36</v>
      </c>
      <c r="H363" s="45" t="s">
        <v>36</v>
      </c>
      <c r="I363" s="45" t="s">
        <v>36</v>
      </c>
      <c r="J363" s="112" t="s">
        <v>36</v>
      </c>
      <c r="K363" s="113" t="s">
        <v>37</v>
      </c>
      <c r="L363" s="114" t="s">
        <v>35</v>
      </c>
      <c r="M363" s="114" t="s">
        <v>35</v>
      </c>
      <c r="N363" s="114" t="s">
        <v>35</v>
      </c>
      <c r="O363" s="114" t="s">
        <v>35</v>
      </c>
      <c r="P363" s="114" t="s">
        <v>35</v>
      </c>
      <c r="Q363" s="114" t="s">
        <v>35</v>
      </c>
      <c r="R363" s="114" t="s">
        <v>37</v>
      </c>
      <c r="S363" s="137" t="s">
        <v>4309</v>
      </c>
      <c r="T363" s="50" t="s">
        <v>4310</v>
      </c>
      <c r="U363" s="50" t="s">
        <v>4310</v>
      </c>
      <c r="V363" s="116">
        <f t="shared" si="2"/>
        <v>1</v>
      </c>
      <c r="W363" s="116">
        <f t="shared" ref="W363:X363" si="368">IF(lenb(SUBSTITUTE($Z363,W$1&amp;" (1)",""))&lt;lenb($Z363),1,IF(lenb(SUBSTITUTE($Z363,W$1&amp;" (2)",""))&lt;lenb($Z363),2,IF(lenb(SUBSTITUTE($Z363,W$1&amp;" (3)",""))&lt;lenb($Z363),3,IF(lenb(SUBSTITUTE($Z363,W$1&amp;" (4)",""))&lt;lenb($Z363),4,IF(lenb(SUBSTITUTE($Z363,W$1&amp;" (5)",""))&lt;lenb($Z363),5,IF(lenb(SUBSTITUTE($Z363,W$1&amp;" (6)",""))&lt;lenb($Z363),6,IF(lenb(SUBSTITUTE($Z363,W$1&amp;" (7)",""))&lt;lenb($Z363),1,IF(lenb(SUBSTITUTE($Z363,W$1&amp;" (8)",""))&lt;lenb($Z363),8,IF(lenb(SUBSTITUTE($Z363,W$1&amp;" (9)",""))&lt;lenb($Z363),9,IF(lenb(SUBSTITUTE($Z363,W$1&amp;" (10)",""))&lt;lenb($Z363),10,IF(lenb(SUBSTITUTE($Z363,W$1,""))&lt;lenb($Z363),"ERROR",IF($Z363=$Y$1,"-",0))))))))))))</f>
        <v>0</v>
      </c>
      <c r="X363" s="116">
        <f t="shared" si="368"/>
        <v>0</v>
      </c>
      <c r="Y363" s="116" t="str">
        <f t="shared" si="4"/>
        <v>-</v>
      </c>
      <c r="Z363" s="115" t="s">
        <v>3400</v>
      </c>
      <c r="AA363" s="54">
        <f t="shared" si="5"/>
        <v>1</v>
      </c>
      <c r="AB363" s="54">
        <f>COUNTIFS(Links!B:B,"FSE",Links!C:C,A363,Links!AD:AD,1)</f>
        <v>0</v>
      </c>
      <c r="AC363" s="117" t="s">
        <v>35</v>
      </c>
      <c r="AD363" s="118" t="s">
        <v>35</v>
      </c>
      <c r="AE363" s="115" t="s">
        <v>36</v>
      </c>
      <c r="AF363" s="57" t="s">
        <v>42</v>
      </c>
      <c r="AG363" s="57" t="s">
        <v>42</v>
      </c>
      <c r="AH363" s="57" t="s">
        <v>42</v>
      </c>
      <c r="AI363" s="116" t="str">
        <f t="shared" si="6"/>
        <v>----</v>
      </c>
      <c r="AJ363" s="119" t="str">
        <f t="shared" si="7"/>
        <v>Paper has link but no statement</v>
      </c>
      <c r="AK363" s="120" t="s">
        <v>3401</v>
      </c>
      <c r="AL363" s="121" t="s">
        <v>3402</v>
      </c>
      <c r="AM363" s="60" t="str">
        <f t="shared" si="8"/>
        <v>[FP0444]</v>
      </c>
    </row>
    <row r="364" ht="67.5" customHeight="1">
      <c r="A364" s="61">
        <v>445.0</v>
      </c>
      <c r="B364" s="22" t="s">
        <v>4311</v>
      </c>
      <c r="C364" s="23">
        <v>2019.0</v>
      </c>
      <c r="D364" s="100" t="s">
        <v>35</v>
      </c>
      <c r="E364" s="25" t="s">
        <v>36</v>
      </c>
      <c r="F364" s="25" t="s">
        <v>36</v>
      </c>
      <c r="G364" s="25" t="s">
        <v>36</v>
      </c>
      <c r="H364" s="25" t="s">
        <v>36</v>
      </c>
      <c r="I364" s="25" t="s">
        <v>36</v>
      </c>
      <c r="J364" s="101" t="s">
        <v>36</v>
      </c>
      <c r="K364" s="102" t="s">
        <v>37</v>
      </c>
      <c r="L364" s="103" t="s">
        <v>37</v>
      </c>
      <c r="M364" s="103" t="s">
        <v>35</v>
      </c>
      <c r="N364" s="103" t="s">
        <v>37</v>
      </c>
      <c r="O364" s="103" t="s">
        <v>35</v>
      </c>
      <c r="P364" s="103" t="s">
        <v>35</v>
      </c>
      <c r="Q364" s="103" t="s">
        <v>35</v>
      </c>
      <c r="R364" s="103" t="s">
        <v>35</v>
      </c>
      <c r="S364" s="104" t="s">
        <v>4312</v>
      </c>
      <c r="T364" s="30" t="s">
        <v>4313</v>
      </c>
      <c r="U364" s="30" t="s">
        <v>4313</v>
      </c>
      <c r="V364" s="105">
        <f t="shared" si="2"/>
        <v>1</v>
      </c>
      <c r="W364" s="105">
        <f t="shared" ref="W364:X364" si="369">IF(lenb(SUBSTITUTE($Z364,W$1&amp;" (1)",""))&lt;lenb($Z364),1,IF(lenb(SUBSTITUTE($Z364,W$1&amp;" (2)",""))&lt;lenb($Z364),2,IF(lenb(SUBSTITUTE($Z364,W$1&amp;" (3)",""))&lt;lenb($Z364),3,IF(lenb(SUBSTITUTE($Z364,W$1&amp;" (4)",""))&lt;lenb($Z364),4,IF(lenb(SUBSTITUTE($Z364,W$1&amp;" (5)",""))&lt;lenb($Z364),5,IF(lenb(SUBSTITUTE($Z364,W$1&amp;" (6)",""))&lt;lenb($Z364),6,IF(lenb(SUBSTITUTE($Z364,W$1&amp;" (7)",""))&lt;lenb($Z364),1,IF(lenb(SUBSTITUTE($Z364,W$1&amp;" (8)",""))&lt;lenb($Z364),8,IF(lenb(SUBSTITUTE($Z364,W$1&amp;" (9)",""))&lt;lenb($Z364),9,IF(lenb(SUBSTITUTE($Z364,W$1&amp;" (10)",""))&lt;lenb($Z364),10,IF(lenb(SUBSTITUTE($Z364,W$1,""))&lt;lenb($Z364),"ERROR",IF($Z364=$Y$1,"-",0))))))))))))</f>
        <v>0</v>
      </c>
      <c r="X364" s="105">
        <f t="shared" si="369"/>
        <v>0</v>
      </c>
      <c r="Y364" s="105" t="str">
        <f t="shared" si="4"/>
        <v>-</v>
      </c>
      <c r="Z364" s="104" t="s">
        <v>3400</v>
      </c>
      <c r="AA364" s="34">
        <f t="shared" si="5"/>
        <v>1</v>
      </c>
      <c r="AB364" s="34">
        <f>COUNTIFS(Links!B:B,"FSE",Links!C:C,A364,Links!AD:AD,1)</f>
        <v>0</v>
      </c>
      <c r="AC364" s="106" t="s">
        <v>35</v>
      </c>
      <c r="AD364" s="107" t="s">
        <v>35</v>
      </c>
      <c r="AE364" s="104" t="s">
        <v>36</v>
      </c>
      <c r="AF364" s="37" t="s">
        <v>42</v>
      </c>
      <c r="AG364" s="37" t="s">
        <v>42</v>
      </c>
      <c r="AH364" s="37" t="s">
        <v>42</v>
      </c>
      <c r="AI364" s="105" t="str">
        <f t="shared" si="6"/>
        <v>----</v>
      </c>
      <c r="AJ364" s="108" t="str">
        <f t="shared" si="7"/>
        <v>Paper has link but no statement</v>
      </c>
      <c r="AK364" s="109" t="s">
        <v>3401</v>
      </c>
      <c r="AL364" s="110" t="s">
        <v>3402</v>
      </c>
      <c r="AM364" s="40" t="str">
        <f t="shared" si="8"/>
        <v>[FP0445]</v>
      </c>
    </row>
    <row r="365" ht="67.5" customHeight="1">
      <c r="A365" s="41">
        <v>446.0</v>
      </c>
      <c r="B365" s="42" t="s">
        <v>4314</v>
      </c>
      <c r="C365" s="43">
        <v>2019.0</v>
      </c>
      <c r="D365" s="111" t="s">
        <v>35</v>
      </c>
      <c r="E365" s="45" t="s">
        <v>36</v>
      </c>
      <c r="F365" s="45" t="s">
        <v>36</v>
      </c>
      <c r="G365" s="45" t="s">
        <v>36</v>
      </c>
      <c r="H365" s="45" t="s">
        <v>36</v>
      </c>
      <c r="I365" s="45" t="s">
        <v>36</v>
      </c>
      <c r="J365" s="112" t="s">
        <v>36</v>
      </c>
      <c r="K365" s="113" t="s">
        <v>35</v>
      </c>
      <c r="L365" s="114" t="s">
        <v>36</v>
      </c>
      <c r="M365" s="114" t="s">
        <v>36</v>
      </c>
      <c r="N365" s="114" t="s">
        <v>36</v>
      </c>
      <c r="O365" s="114" t="s">
        <v>36</v>
      </c>
      <c r="P365" s="114" t="s">
        <v>36</v>
      </c>
      <c r="Q365" s="114" t="s">
        <v>36</v>
      </c>
      <c r="R365" s="114" t="s">
        <v>36</v>
      </c>
      <c r="S365" s="115" t="s">
        <v>36</v>
      </c>
      <c r="T365" s="50" t="s">
        <v>36</v>
      </c>
      <c r="U365" s="50" t="s">
        <v>36</v>
      </c>
      <c r="V365" s="116" t="str">
        <f t="shared" si="2"/>
        <v>-</v>
      </c>
      <c r="W365" s="116" t="str">
        <f t="shared" ref="W365:X365" si="370">IF(lenb(SUBSTITUTE($Z365,W$1&amp;" (1)",""))&lt;lenb($Z365),1,IF(lenb(SUBSTITUTE($Z365,W$1&amp;" (2)",""))&lt;lenb($Z365),2,IF(lenb(SUBSTITUTE($Z365,W$1&amp;" (3)",""))&lt;lenb($Z365),3,IF(lenb(SUBSTITUTE($Z365,W$1&amp;" (4)",""))&lt;lenb($Z365),4,IF(lenb(SUBSTITUTE($Z365,W$1&amp;" (5)",""))&lt;lenb($Z365),5,IF(lenb(SUBSTITUTE($Z365,W$1&amp;" (6)",""))&lt;lenb($Z365),6,IF(lenb(SUBSTITUTE($Z365,W$1&amp;" (7)",""))&lt;lenb($Z365),1,IF(lenb(SUBSTITUTE($Z365,W$1&amp;" (8)",""))&lt;lenb($Z365),8,IF(lenb(SUBSTITUTE($Z365,W$1&amp;" (9)",""))&lt;lenb($Z365),9,IF(lenb(SUBSTITUTE($Z365,W$1&amp;" (10)",""))&lt;lenb($Z365),10,IF(lenb(SUBSTITUTE($Z365,W$1,""))&lt;lenb($Z365),"ERROR",IF($Z365=$Y$1,"-",0))))))))))))</f>
        <v>-</v>
      </c>
      <c r="X365" s="116" t="str">
        <f t="shared" si="370"/>
        <v>-</v>
      </c>
      <c r="Y365" s="116">
        <f t="shared" si="4"/>
        <v>1</v>
      </c>
      <c r="Z365" s="115" t="s">
        <v>23</v>
      </c>
      <c r="AA365" s="54">
        <f t="shared" si="5"/>
        <v>0</v>
      </c>
      <c r="AB365" s="54">
        <f>COUNTIFS(Links!B:B,"FSE",Links!C:C,A365,Links!AD:AD,1)</f>
        <v>0</v>
      </c>
      <c r="AC365" s="117" t="s">
        <v>36</v>
      </c>
      <c r="AD365" s="118" t="s">
        <v>35</v>
      </c>
      <c r="AE365" s="115" t="s">
        <v>36</v>
      </c>
      <c r="AF365" s="57" t="s">
        <v>42</v>
      </c>
      <c r="AG365" s="57" t="s">
        <v>42</v>
      </c>
      <c r="AH365" s="57" t="s">
        <v>42</v>
      </c>
      <c r="AI365" s="116" t="str">
        <f t="shared" si="6"/>
        <v>----</v>
      </c>
      <c r="AJ365" s="119" t="str">
        <f t="shared" si="7"/>
        <v>Paper has no link and no statement</v>
      </c>
      <c r="AK365" s="120" t="s">
        <v>3401</v>
      </c>
      <c r="AL365" s="121" t="s">
        <v>3402</v>
      </c>
      <c r="AM365" s="60" t="str">
        <f t="shared" si="8"/>
        <v>[FP0446]</v>
      </c>
    </row>
    <row r="366" ht="67.5" customHeight="1">
      <c r="A366" s="61">
        <v>447.0</v>
      </c>
      <c r="B366" s="22" t="s">
        <v>4315</v>
      </c>
      <c r="C366" s="23">
        <v>2019.0</v>
      </c>
      <c r="D366" s="100" t="s">
        <v>35</v>
      </c>
      <c r="E366" s="25" t="s">
        <v>36</v>
      </c>
      <c r="F366" s="25" t="s">
        <v>36</v>
      </c>
      <c r="G366" s="25" t="s">
        <v>36</v>
      </c>
      <c r="H366" s="25" t="s">
        <v>36</v>
      </c>
      <c r="I366" s="25" t="s">
        <v>36</v>
      </c>
      <c r="J366" s="101" t="s">
        <v>36</v>
      </c>
      <c r="K366" s="102" t="s">
        <v>37</v>
      </c>
      <c r="L366" s="103" t="s">
        <v>35</v>
      </c>
      <c r="M366" s="103" t="s">
        <v>35</v>
      </c>
      <c r="N366" s="103" t="s">
        <v>37</v>
      </c>
      <c r="O366" s="103" t="s">
        <v>35</v>
      </c>
      <c r="P366" s="103" t="s">
        <v>35</v>
      </c>
      <c r="Q366" s="103" t="s">
        <v>35</v>
      </c>
      <c r="R366" s="103" t="s">
        <v>35</v>
      </c>
      <c r="S366" s="104" t="s">
        <v>4316</v>
      </c>
      <c r="T366" s="30" t="s">
        <v>4317</v>
      </c>
      <c r="U366" s="30" t="s">
        <v>4317</v>
      </c>
      <c r="V366" s="105">
        <f t="shared" si="2"/>
        <v>1</v>
      </c>
      <c r="W366" s="105">
        <f t="shared" ref="W366:X366" si="371">IF(lenb(SUBSTITUTE($Z366,W$1&amp;" (1)",""))&lt;lenb($Z366),1,IF(lenb(SUBSTITUTE($Z366,W$1&amp;" (2)",""))&lt;lenb($Z366),2,IF(lenb(SUBSTITUTE($Z366,W$1&amp;" (3)",""))&lt;lenb($Z366),3,IF(lenb(SUBSTITUTE($Z366,W$1&amp;" (4)",""))&lt;lenb($Z366),4,IF(lenb(SUBSTITUTE($Z366,W$1&amp;" (5)",""))&lt;lenb($Z366),5,IF(lenb(SUBSTITUTE($Z366,W$1&amp;" (6)",""))&lt;lenb($Z366),6,IF(lenb(SUBSTITUTE($Z366,W$1&amp;" (7)",""))&lt;lenb($Z366),1,IF(lenb(SUBSTITUTE($Z366,W$1&amp;" (8)",""))&lt;lenb($Z366),8,IF(lenb(SUBSTITUTE($Z366,W$1&amp;" (9)",""))&lt;lenb($Z366),9,IF(lenb(SUBSTITUTE($Z366,W$1&amp;" (10)",""))&lt;lenb($Z366),10,IF(lenb(SUBSTITUTE($Z366,W$1,""))&lt;lenb($Z366),"ERROR",IF($Z366=$Y$1,"-",0))))))))))))</f>
        <v>0</v>
      </c>
      <c r="X366" s="105">
        <f t="shared" si="371"/>
        <v>0</v>
      </c>
      <c r="Y366" s="105" t="str">
        <f t="shared" si="4"/>
        <v>-</v>
      </c>
      <c r="Z366" s="104" t="s">
        <v>3400</v>
      </c>
      <c r="AA366" s="34">
        <f t="shared" si="5"/>
        <v>1</v>
      </c>
      <c r="AB366" s="34">
        <f>COUNTIFS(Links!B:B,"FSE",Links!C:C,A366,Links!AD:AD,1)</f>
        <v>0</v>
      </c>
      <c r="AC366" s="106" t="s">
        <v>35</v>
      </c>
      <c r="AD366" s="107" t="s">
        <v>35</v>
      </c>
      <c r="AE366" s="104" t="s">
        <v>36</v>
      </c>
      <c r="AF366" s="37" t="s">
        <v>42</v>
      </c>
      <c r="AG366" s="37" t="s">
        <v>42</v>
      </c>
      <c r="AH366" s="37" t="s">
        <v>42</v>
      </c>
      <c r="AI366" s="105" t="str">
        <f t="shared" si="6"/>
        <v>----</v>
      </c>
      <c r="AJ366" s="108" t="str">
        <f t="shared" si="7"/>
        <v>Paper has link but no statement</v>
      </c>
      <c r="AK366" s="109" t="s">
        <v>3401</v>
      </c>
      <c r="AL366" s="110" t="s">
        <v>3402</v>
      </c>
      <c r="AM366" s="40" t="str">
        <f t="shared" si="8"/>
        <v>[FP0447]</v>
      </c>
    </row>
    <row r="367" ht="67.5" customHeight="1">
      <c r="A367" s="41">
        <v>448.0</v>
      </c>
      <c r="B367" s="42" t="s">
        <v>4318</v>
      </c>
      <c r="C367" s="43">
        <v>2019.0</v>
      </c>
      <c r="D367" s="111" t="s">
        <v>35</v>
      </c>
      <c r="E367" s="45" t="s">
        <v>36</v>
      </c>
      <c r="F367" s="45" t="s">
        <v>36</v>
      </c>
      <c r="G367" s="45" t="s">
        <v>36</v>
      </c>
      <c r="H367" s="45" t="s">
        <v>36</v>
      </c>
      <c r="I367" s="45" t="s">
        <v>36</v>
      </c>
      <c r="J367" s="112" t="s">
        <v>36</v>
      </c>
      <c r="K367" s="113" t="s">
        <v>37</v>
      </c>
      <c r="L367" s="114" t="s">
        <v>37</v>
      </c>
      <c r="M367" s="114" t="s">
        <v>35</v>
      </c>
      <c r="N367" s="114" t="s">
        <v>35</v>
      </c>
      <c r="O367" s="114" t="s">
        <v>35</v>
      </c>
      <c r="P367" s="114" t="s">
        <v>35</v>
      </c>
      <c r="Q367" s="114" t="s">
        <v>35</v>
      </c>
      <c r="R367" s="114" t="s">
        <v>37</v>
      </c>
      <c r="S367" s="115" t="s">
        <v>4319</v>
      </c>
      <c r="T367" s="50" t="s">
        <v>4320</v>
      </c>
      <c r="U367" s="50" t="s">
        <v>4320</v>
      </c>
      <c r="V367" s="116">
        <f t="shared" si="2"/>
        <v>1</v>
      </c>
      <c r="W367" s="116">
        <f t="shared" ref="W367:X367" si="372">IF(lenb(SUBSTITUTE($Z367,W$1&amp;" (1)",""))&lt;lenb($Z367),1,IF(lenb(SUBSTITUTE($Z367,W$1&amp;" (2)",""))&lt;lenb($Z367),2,IF(lenb(SUBSTITUTE($Z367,W$1&amp;" (3)",""))&lt;lenb($Z367),3,IF(lenb(SUBSTITUTE($Z367,W$1&amp;" (4)",""))&lt;lenb($Z367),4,IF(lenb(SUBSTITUTE($Z367,W$1&amp;" (5)",""))&lt;lenb($Z367),5,IF(lenb(SUBSTITUTE($Z367,W$1&amp;" (6)",""))&lt;lenb($Z367),6,IF(lenb(SUBSTITUTE($Z367,W$1&amp;" (7)",""))&lt;lenb($Z367),1,IF(lenb(SUBSTITUTE($Z367,W$1&amp;" (8)",""))&lt;lenb($Z367),8,IF(lenb(SUBSTITUTE($Z367,W$1&amp;" (9)",""))&lt;lenb($Z367),9,IF(lenb(SUBSTITUTE($Z367,W$1&amp;" (10)",""))&lt;lenb($Z367),10,IF(lenb(SUBSTITUTE($Z367,W$1,""))&lt;lenb($Z367),"ERROR",IF($Z367=$Y$1,"-",0))))))))))))</f>
        <v>0</v>
      </c>
      <c r="X367" s="116">
        <f t="shared" si="372"/>
        <v>0</v>
      </c>
      <c r="Y367" s="116" t="str">
        <f t="shared" si="4"/>
        <v>-</v>
      </c>
      <c r="Z367" s="115" t="s">
        <v>3400</v>
      </c>
      <c r="AA367" s="54">
        <f t="shared" si="5"/>
        <v>1</v>
      </c>
      <c r="AB367" s="54">
        <f>COUNTIFS(Links!B:B,"FSE",Links!C:C,A367,Links!AD:AD,1)</f>
        <v>0</v>
      </c>
      <c r="AC367" s="117" t="s">
        <v>35</v>
      </c>
      <c r="AD367" s="118" t="s">
        <v>35</v>
      </c>
      <c r="AE367" s="115" t="s">
        <v>36</v>
      </c>
      <c r="AF367" s="57" t="s">
        <v>42</v>
      </c>
      <c r="AG367" s="57" t="s">
        <v>42</v>
      </c>
      <c r="AH367" s="57" t="s">
        <v>42</v>
      </c>
      <c r="AI367" s="116" t="str">
        <f t="shared" si="6"/>
        <v>----</v>
      </c>
      <c r="AJ367" s="119" t="str">
        <f t="shared" si="7"/>
        <v>Paper has link but no statement</v>
      </c>
      <c r="AK367" s="120" t="s">
        <v>3401</v>
      </c>
      <c r="AL367" s="121" t="s">
        <v>3402</v>
      </c>
      <c r="AM367" s="60" t="str">
        <f t="shared" si="8"/>
        <v>[FP0448]</v>
      </c>
    </row>
    <row r="368" ht="67.5" customHeight="1">
      <c r="A368" s="61">
        <v>449.0</v>
      </c>
      <c r="B368" s="22" t="s">
        <v>4321</v>
      </c>
      <c r="C368" s="23">
        <v>2019.0</v>
      </c>
      <c r="D368" s="100" t="s">
        <v>35</v>
      </c>
      <c r="E368" s="25" t="s">
        <v>36</v>
      </c>
      <c r="F368" s="25" t="s">
        <v>36</v>
      </c>
      <c r="G368" s="25" t="s">
        <v>36</v>
      </c>
      <c r="H368" s="25" t="s">
        <v>36</v>
      </c>
      <c r="I368" s="25" t="s">
        <v>36</v>
      </c>
      <c r="J368" s="101" t="s">
        <v>36</v>
      </c>
      <c r="K368" s="102" t="s">
        <v>35</v>
      </c>
      <c r="L368" s="103" t="s">
        <v>36</v>
      </c>
      <c r="M368" s="103" t="s">
        <v>36</v>
      </c>
      <c r="N368" s="103" t="s">
        <v>36</v>
      </c>
      <c r="O368" s="103" t="s">
        <v>36</v>
      </c>
      <c r="P368" s="103" t="s">
        <v>36</v>
      </c>
      <c r="Q368" s="103" t="s">
        <v>36</v>
      </c>
      <c r="R368" s="103" t="s">
        <v>36</v>
      </c>
      <c r="S368" s="104" t="s">
        <v>42</v>
      </c>
      <c r="T368" s="30" t="s">
        <v>36</v>
      </c>
      <c r="U368" s="30" t="s">
        <v>36</v>
      </c>
      <c r="V368" s="105" t="str">
        <f t="shared" si="2"/>
        <v>-</v>
      </c>
      <c r="W368" s="105" t="str">
        <f t="shared" ref="W368:X368" si="373">IF(lenb(SUBSTITUTE($Z368,W$1&amp;" (1)",""))&lt;lenb($Z368),1,IF(lenb(SUBSTITUTE($Z368,W$1&amp;" (2)",""))&lt;lenb($Z368),2,IF(lenb(SUBSTITUTE($Z368,W$1&amp;" (3)",""))&lt;lenb($Z368),3,IF(lenb(SUBSTITUTE($Z368,W$1&amp;" (4)",""))&lt;lenb($Z368),4,IF(lenb(SUBSTITUTE($Z368,W$1&amp;" (5)",""))&lt;lenb($Z368),5,IF(lenb(SUBSTITUTE($Z368,W$1&amp;" (6)",""))&lt;lenb($Z368),6,IF(lenb(SUBSTITUTE($Z368,W$1&amp;" (7)",""))&lt;lenb($Z368),1,IF(lenb(SUBSTITUTE($Z368,W$1&amp;" (8)",""))&lt;lenb($Z368),8,IF(lenb(SUBSTITUTE($Z368,W$1&amp;" (9)",""))&lt;lenb($Z368),9,IF(lenb(SUBSTITUTE($Z368,W$1&amp;" (10)",""))&lt;lenb($Z368),10,IF(lenb(SUBSTITUTE($Z368,W$1,""))&lt;lenb($Z368),"ERROR",IF($Z368=$Y$1,"-",0))))))))))))</f>
        <v>-</v>
      </c>
      <c r="X368" s="105" t="str">
        <f t="shared" si="373"/>
        <v>-</v>
      </c>
      <c r="Y368" s="105">
        <f t="shared" si="4"/>
        <v>1</v>
      </c>
      <c r="Z368" s="104" t="s">
        <v>23</v>
      </c>
      <c r="AA368" s="34">
        <f t="shared" si="5"/>
        <v>0</v>
      </c>
      <c r="AB368" s="34">
        <f>COUNTIFS(Links!B:B,"FSE",Links!C:C,A368,Links!AD:AD,1)</f>
        <v>0</v>
      </c>
      <c r="AC368" s="106" t="s">
        <v>36</v>
      </c>
      <c r="AD368" s="107" t="s">
        <v>35</v>
      </c>
      <c r="AE368" s="104" t="s">
        <v>36</v>
      </c>
      <c r="AF368" s="37" t="s">
        <v>42</v>
      </c>
      <c r="AG368" s="37" t="s">
        <v>42</v>
      </c>
      <c r="AH368" s="37" t="s">
        <v>42</v>
      </c>
      <c r="AI368" s="105" t="str">
        <f t="shared" si="6"/>
        <v>----</v>
      </c>
      <c r="AJ368" s="108" t="str">
        <f t="shared" si="7"/>
        <v>Paper has no link and no statement</v>
      </c>
      <c r="AK368" s="109" t="s">
        <v>3401</v>
      </c>
      <c r="AL368" s="110" t="s">
        <v>3402</v>
      </c>
      <c r="AM368" s="40" t="str">
        <f t="shared" si="8"/>
        <v>[FP0449]</v>
      </c>
    </row>
    <row r="369" ht="67.5" customHeight="1">
      <c r="A369" s="41">
        <v>450.0</v>
      </c>
      <c r="B369" s="42" t="s">
        <v>4322</v>
      </c>
      <c r="C369" s="43">
        <v>2019.0</v>
      </c>
      <c r="D369" s="111" t="s">
        <v>35</v>
      </c>
      <c r="E369" s="45" t="s">
        <v>36</v>
      </c>
      <c r="F369" s="45" t="s">
        <v>36</v>
      </c>
      <c r="G369" s="45" t="s">
        <v>36</v>
      </c>
      <c r="H369" s="45" t="s">
        <v>36</v>
      </c>
      <c r="I369" s="45" t="s">
        <v>36</v>
      </c>
      <c r="J369" s="112" t="s">
        <v>36</v>
      </c>
      <c r="K369" s="113" t="s">
        <v>37</v>
      </c>
      <c r="L369" s="114" t="s">
        <v>37</v>
      </c>
      <c r="M369" s="114" t="s">
        <v>35</v>
      </c>
      <c r="N369" s="114" t="s">
        <v>35</v>
      </c>
      <c r="O369" s="114" t="s">
        <v>35</v>
      </c>
      <c r="P369" s="114" t="s">
        <v>35</v>
      </c>
      <c r="Q369" s="114" t="s">
        <v>35</v>
      </c>
      <c r="R369" s="114" t="s">
        <v>37</v>
      </c>
      <c r="S369" s="115" t="s">
        <v>4323</v>
      </c>
      <c r="T369" s="50" t="s">
        <v>4324</v>
      </c>
      <c r="U369" s="50" t="s">
        <v>4324</v>
      </c>
      <c r="V369" s="116">
        <f t="shared" si="2"/>
        <v>1</v>
      </c>
      <c r="W369" s="116">
        <f t="shared" ref="W369:X369" si="374">IF(lenb(SUBSTITUTE($Z369,W$1&amp;" (1)",""))&lt;lenb($Z369),1,IF(lenb(SUBSTITUTE($Z369,W$1&amp;" (2)",""))&lt;lenb($Z369),2,IF(lenb(SUBSTITUTE($Z369,W$1&amp;" (3)",""))&lt;lenb($Z369),3,IF(lenb(SUBSTITUTE($Z369,W$1&amp;" (4)",""))&lt;lenb($Z369),4,IF(lenb(SUBSTITUTE($Z369,W$1&amp;" (5)",""))&lt;lenb($Z369),5,IF(lenb(SUBSTITUTE($Z369,W$1&amp;" (6)",""))&lt;lenb($Z369),6,IF(lenb(SUBSTITUTE($Z369,W$1&amp;" (7)",""))&lt;lenb($Z369),1,IF(lenb(SUBSTITUTE($Z369,W$1&amp;" (8)",""))&lt;lenb($Z369),8,IF(lenb(SUBSTITUTE($Z369,W$1&amp;" (9)",""))&lt;lenb($Z369),9,IF(lenb(SUBSTITUTE($Z369,W$1&amp;" (10)",""))&lt;lenb($Z369),10,IF(lenb(SUBSTITUTE($Z369,W$1,""))&lt;lenb($Z369),"ERROR",IF($Z369=$Y$1,"-",0))))))))))))</f>
        <v>0</v>
      </c>
      <c r="X369" s="116">
        <f t="shared" si="374"/>
        <v>0</v>
      </c>
      <c r="Y369" s="116" t="str">
        <f t="shared" si="4"/>
        <v>-</v>
      </c>
      <c r="Z369" s="115" t="s">
        <v>3400</v>
      </c>
      <c r="AA369" s="54">
        <f t="shared" si="5"/>
        <v>1</v>
      </c>
      <c r="AB369" s="54">
        <f>COUNTIFS(Links!B:B,"FSE",Links!C:C,A369,Links!AD:AD,1)</f>
        <v>0</v>
      </c>
      <c r="AC369" s="117" t="s">
        <v>35</v>
      </c>
      <c r="AD369" s="118" t="s">
        <v>35</v>
      </c>
      <c r="AE369" s="115" t="s">
        <v>36</v>
      </c>
      <c r="AF369" s="57" t="s">
        <v>42</v>
      </c>
      <c r="AG369" s="57" t="s">
        <v>42</v>
      </c>
      <c r="AH369" s="57" t="s">
        <v>42</v>
      </c>
      <c r="AI369" s="116" t="str">
        <f t="shared" si="6"/>
        <v>----</v>
      </c>
      <c r="AJ369" s="119" t="str">
        <f t="shared" si="7"/>
        <v>Paper has link but no statement</v>
      </c>
      <c r="AK369" s="120" t="s">
        <v>3401</v>
      </c>
      <c r="AL369" s="121" t="s">
        <v>3402</v>
      </c>
      <c r="AM369" s="60" t="str">
        <f t="shared" si="8"/>
        <v>[FP0450]</v>
      </c>
    </row>
    <row r="370" ht="67.5" customHeight="1">
      <c r="A370" s="61">
        <v>451.0</v>
      </c>
      <c r="B370" s="22" t="s">
        <v>4325</v>
      </c>
      <c r="C370" s="23">
        <v>2019.0</v>
      </c>
      <c r="D370" s="100" t="s">
        <v>37</v>
      </c>
      <c r="E370" s="25" t="s">
        <v>37</v>
      </c>
      <c r="F370" s="25" t="s">
        <v>35</v>
      </c>
      <c r="G370" s="25" t="s">
        <v>37</v>
      </c>
      <c r="H370" s="25" t="s">
        <v>35</v>
      </c>
      <c r="I370" s="25" t="s">
        <v>35</v>
      </c>
      <c r="J370" s="101" t="s">
        <v>36</v>
      </c>
      <c r="K370" s="102" t="s">
        <v>37</v>
      </c>
      <c r="L370" s="103" t="s">
        <v>37</v>
      </c>
      <c r="M370" s="103" t="s">
        <v>37</v>
      </c>
      <c r="N370" s="103" t="s">
        <v>35</v>
      </c>
      <c r="O370" s="103" t="s">
        <v>35</v>
      </c>
      <c r="P370" s="103" t="s">
        <v>35</v>
      </c>
      <c r="Q370" s="103" t="s">
        <v>35</v>
      </c>
      <c r="R370" s="103" t="s">
        <v>37</v>
      </c>
      <c r="S370" s="104" t="s">
        <v>4326</v>
      </c>
      <c r="T370" s="130" t="s">
        <v>4327</v>
      </c>
      <c r="U370" s="130" t="s">
        <v>4328</v>
      </c>
      <c r="V370" s="105">
        <f t="shared" si="2"/>
        <v>4</v>
      </c>
      <c r="W370" s="105">
        <f t="shared" ref="W370:X370" si="375">IF(lenb(SUBSTITUTE($Z370,W$1&amp;" (1)",""))&lt;lenb($Z370),1,IF(lenb(SUBSTITUTE($Z370,W$1&amp;" (2)",""))&lt;lenb($Z370),2,IF(lenb(SUBSTITUTE($Z370,W$1&amp;" (3)",""))&lt;lenb($Z370),3,IF(lenb(SUBSTITUTE($Z370,W$1&amp;" (4)",""))&lt;lenb($Z370),4,IF(lenb(SUBSTITUTE($Z370,W$1&amp;" (5)",""))&lt;lenb($Z370),5,IF(lenb(SUBSTITUTE($Z370,W$1&amp;" (6)",""))&lt;lenb($Z370),6,IF(lenb(SUBSTITUTE($Z370,W$1&amp;" (7)",""))&lt;lenb($Z370),1,IF(lenb(SUBSTITUTE($Z370,W$1&amp;" (8)",""))&lt;lenb($Z370),8,IF(lenb(SUBSTITUTE($Z370,W$1&amp;" (9)",""))&lt;lenb($Z370),9,IF(lenb(SUBSTITUTE($Z370,W$1&amp;" (10)",""))&lt;lenb($Z370),10,IF(lenb(SUBSTITUTE($Z370,W$1,""))&lt;lenb($Z370),"ERROR",IF($Z370=$Y$1,"-",0))))))))))))</f>
        <v>1</v>
      </c>
      <c r="X370" s="105">
        <f t="shared" si="375"/>
        <v>0</v>
      </c>
      <c r="Y370" s="105" t="str">
        <f t="shared" si="4"/>
        <v>-</v>
      </c>
      <c r="Z370" s="104" t="s">
        <v>4329</v>
      </c>
      <c r="AA370" s="34">
        <f t="shared" si="5"/>
        <v>5</v>
      </c>
      <c r="AB370" s="34">
        <f>COUNTIFS(Links!B:B,"FSE",Links!C:C,A370,Links!AD:AD,1)</f>
        <v>0</v>
      </c>
      <c r="AC370" s="106" t="s">
        <v>35</v>
      </c>
      <c r="AD370" s="107" t="s">
        <v>35</v>
      </c>
      <c r="AE370" s="104" t="s">
        <v>36</v>
      </c>
      <c r="AF370" s="37" t="s">
        <v>42</v>
      </c>
      <c r="AG370" s="37" t="s">
        <v>42</v>
      </c>
      <c r="AH370" s="37" t="s">
        <v>42</v>
      </c>
      <c r="AI370" s="105" t="str">
        <f t="shared" si="6"/>
        <v>----</v>
      </c>
      <c r="AJ370" s="108" t="str">
        <f t="shared" si="7"/>
        <v>Paper has link but no statement</v>
      </c>
      <c r="AK370" s="109" t="s">
        <v>3401</v>
      </c>
      <c r="AL370" s="110" t="s">
        <v>3402</v>
      </c>
      <c r="AM370" s="40" t="str">
        <f t="shared" si="8"/>
        <v>[FP0451]</v>
      </c>
    </row>
    <row r="371" ht="67.5" customHeight="1">
      <c r="A371" s="41">
        <v>452.0</v>
      </c>
      <c r="B371" s="42" t="s">
        <v>4330</v>
      </c>
      <c r="C371" s="43">
        <v>2019.0</v>
      </c>
      <c r="D371" s="111" t="s">
        <v>37</v>
      </c>
      <c r="E371" s="45" t="s">
        <v>37</v>
      </c>
      <c r="F371" s="45" t="s">
        <v>35</v>
      </c>
      <c r="G371" s="45" t="s">
        <v>37</v>
      </c>
      <c r="H371" s="45" t="s">
        <v>35</v>
      </c>
      <c r="I371" s="45" t="s">
        <v>35</v>
      </c>
      <c r="J371" s="112" t="s">
        <v>36</v>
      </c>
      <c r="K371" s="113" t="s">
        <v>37</v>
      </c>
      <c r="L371" s="114" t="s">
        <v>35</v>
      </c>
      <c r="M371" s="114" t="s">
        <v>35</v>
      </c>
      <c r="N371" s="114" t="s">
        <v>35</v>
      </c>
      <c r="O371" s="114" t="s">
        <v>37</v>
      </c>
      <c r="P371" s="114" t="s">
        <v>35</v>
      </c>
      <c r="Q371" s="114" t="s">
        <v>35</v>
      </c>
      <c r="R371" s="114" t="s">
        <v>35</v>
      </c>
      <c r="S371" s="135" t="s">
        <v>4331</v>
      </c>
      <c r="T371" s="50" t="s">
        <v>4332</v>
      </c>
      <c r="U371" s="50" t="s">
        <v>4332</v>
      </c>
      <c r="V371" s="116">
        <f t="shared" si="2"/>
        <v>1</v>
      </c>
      <c r="W371" s="116">
        <f t="shared" ref="W371:X371" si="376">IF(lenb(SUBSTITUTE($Z371,W$1&amp;" (1)",""))&lt;lenb($Z371),1,IF(lenb(SUBSTITUTE($Z371,W$1&amp;" (2)",""))&lt;lenb($Z371),2,IF(lenb(SUBSTITUTE($Z371,W$1&amp;" (3)",""))&lt;lenb($Z371),3,IF(lenb(SUBSTITUTE($Z371,W$1&amp;" (4)",""))&lt;lenb($Z371),4,IF(lenb(SUBSTITUTE($Z371,W$1&amp;" (5)",""))&lt;lenb($Z371),5,IF(lenb(SUBSTITUTE($Z371,W$1&amp;" (6)",""))&lt;lenb($Z371),6,IF(lenb(SUBSTITUTE($Z371,W$1&amp;" (7)",""))&lt;lenb($Z371),1,IF(lenb(SUBSTITUTE($Z371,W$1&amp;" (8)",""))&lt;lenb($Z371),8,IF(lenb(SUBSTITUTE($Z371,W$1&amp;" (9)",""))&lt;lenb($Z371),9,IF(lenb(SUBSTITUTE($Z371,W$1&amp;" (10)",""))&lt;lenb($Z371),10,IF(lenb(SUBSTITUTE($Z371,W$1,""))&lt;lenb($Z371),"ERROR",IF($Z371=$Y$1,"-",0))))))))))))</f>
        <v>0</v>
      </c>
      <c r="X371" s="116">
        <f t="shared" si="376"/>
        <v>0</v>
      </c>
      <c r="Y371" s="116" t="str">
        <f t="shared" si="4"/>
        <v>-</v>
      </c>
      <c r="Z371" s="115" t="s">
        <v>3400</v>
      </c>
      <c r="AA371" s="54">
        <f t="shared" si="5"/>
        <v>1</v>
      </c>
      <c r="AB371" s="54">
        <f>COUNTIFS(Links!B:B,"FSE",Links!C:C,A371,Links!AD:AD,1)</f>
        <v>0</v>
      </c>
      <c r="AC371" s="117" t="s">
        <v>35</v>
      </c>
      <c r="AD371" s="118" t="s">
        <v>35</v>
      </c>
      <c r="AE371" s="115" t="s">
        <v>36</v>
      </c>
      <c r="AF371" s="57" t="s">
        <v>42</v>
      </c>
      <c r="AG371" s="57" t="s">
        <v>42</v>
      </c>
      <c r="AH371" s="57" t="s">
        <v>42</v>
      </c>
      <c r="AI371" s="116" t="str">
        <f t="shared" si="6"/>
        <v>----</v>
      </c>
      <c r="AJ371" s="119" t="str">
        <f t="shared" si="7"/>
        <v>Paper has link but no statement</v>
      </c>
      <c r="AK371" s="120" t="s">
        <v>3401</v>
      </c>
      <c r="AL371" s="121" t="s">
        <v>3402</v>
      </c>
      <c r="AM371" s="60" t="str">
        <f t="shared" si="8"/>
        <v>[FP0452]</v>
      </c>
    </row>
    <row r="372" ht="67.5" customHeight="1">
      <c r="A372" s="61">
        <v>453.0</v>
      </c>
      <c r="B372" s="22" t="s">
        <v>4333</v>
      </c>
      <c r="C372" s="23">
        <v>2019.0</v>
      </c>
      <c r="D372" s="100" t="s">
        <v>35</v>
      </c>
      <c r="E372" s="25" t="s">
        <v>36</v>
      </c>
      <c r="F372" s="25" t="s">
        <v>36</v>
      </c>
      <c r="G372" s="25" t="s">
        <v>36</v>
      </c>
      <c r="H372" s="25" t="s">
        <v>36</v>
      </c>
      <c r="I372" s="25" t="s">
        <v>36</v>
      </c>
      <c r="J372" s="101" t="s">
        <v>36</v>
      </c>
      <c r="K372" s="102" t="s">
        <v>37</v>
      </c>
      <c r="L372" s="103" t="s">
        <v>37</v>
      </c>
      <c r="M372" s="103" t="s">
        <v>35</v>
      </c>
      <c r="N372" s="103" t="s">
        <v>35</v>
      </c>
      <c r="O372" s="103" t="s">
        <v>35</v>
      </c>
      <c r="P372" s="103" t="s">
        <v>35</v>
      </c>
      <c r="Q372" s="103" t="s">
        <v>35</v>
      </c>
      <c r="R372" s="103" t="s">
        <v>37</v>
      </c>
      <c r="S372" s="104" t="s">
        <v>4334</v>
      </c>
      <c r="T372" s="30" t="s">
        <v>4335</v>
      </c>
      <c r="U372" s="30" t="s">
        <v>4335</v>
      </c>
      <c r="V372" s="105">
        <f t="shared" si="2"/>
        <v>1</v>
      </c>
      <c r="W372" s="105">
        <f t="shared" ref="W372:X372" si="377">IF(lenb(SUBSTITUTE($Z372,W$1&amp;" (1)",""))&lt;lenb($Z372),1,IF(lenb(SUBSTITUTE($Z372,W$1&amp;" (2)",""))&lt;lenb($Z372),2,IF(lenb(SUBSTITUTE($Z372,W$1&amp;" (3)",""))&lt;lenb($Z372),3,IF(lenb(SUBSTITUTE($Z372,W$1&amp;" (4)",""))&lt;lenb($Z372),4,IF(lenb(SUBSTITUTE($Z372,W$1&amp;" (5)",""))&lt;lenb($Z372),5,IF(lenb(SUBSTITUTE($Z372,W$1&amp;" (6)",""))&lt;lenb($Z372),6,IF(lenb(SUBSTITUTE($Z372,W$1&amp;" (7)",""))&lt;lenb($Z372),1,IF(lenb(SUBSTITUTE($Z372,W$1&amp;" (8)",""))&lt;lenb($Z372),8,IF(lenb(SUBSTITUTE($Z372,W$1&amp;" (9)",""))&lt;lenb($Z372),9,IF(lenb(SUBSTITUTE($Z372,W$1&amp;" (10)",""))&lt;lenb($Z372),10,IF(lenb(SUBSTITUTE($Z372,W$1,""))&lt;lenb($Z372),"ERROR",IF($Z372=$Y$1,"-",0))))))))))))</f>
        <v>0</v>
      </c>
      <c r="X372" s="105">
        <f t="shared" si="377"/>
        <v>0</v>
      </c>
      <c r="Y372" s="105" t="str">
        <f t="shared" si="4"/>
        <v>-</v>
      </c>
      <c r="Z372" s="104" t="s">
        <v>3400</v>
      </c>
      <c r="AA372" s="34">
        <f t="shared" si="5"/>
        <v>1</v>
      </c>
      <c r="AB372" s="34">
        <f>COUNTIFS(Links!B:B,"FSE",Links!C:C,A372,Links!AD:AD,1)</f>
        <v>0</v>
      </c>
      <c r="AC372" s="106" t="s">
        <v>35</v>
      </c>
      <c r="AD372" s="107" t="s">
        <v>35</v>
      </c>
      <c r="AE372" s="104" t="s">
        <v>36</v>
      </c>
      <c r="AF372" s="37" t="s">
        <v>42</v>
      </c>
      <c r="AG372" s="37" t="s">
        <v>42</v>
      </c>
      <c r="AH372" s="37" t="s">
        <v>42</v>
      </c>
      <c r="AI372" s="105" t="str">
        <f t="shared" si="6"/>
        <v>----</v>
      </c>
      <c r="AJ372" s="108" t="str">
        <f t="shared" si="7"/>
        <v>Paper has link but no statement</v>
      </c>
      <c r="AK372" s="109" t="s">
        <v>3401</v>
      </c>
      <c r="AL372" s="110" t="s">
        <v>3402</v>
      </c>
      <c r="AM372" s="40" t="str">
        <f t="shared" si="8"/>
        <v>[FP0453]</v>
      </c>
    </row>
    <row r="373" ht="67.5" customHeight="1">
      <c r="A373" s="41">
        <v>454.0</v>
      </c>
      <c r="B373" s="42" t="s">
        <v>4336</v>
      </c>
      <c r="C373" s="43">
        <v>2019.0</v>
      </c>
      <c r="D373" s="111" t="s">
        <v>37</v>
      </c>
      <c r="E373" s="45" t="s">
        <v>37</v>
      </c>
      <c r="F373" s="45" t="s">
        <v>35</v>
      </c>
      <c r="G373" s="45" t="s">
        <v>35</v>
      </c>
      <c r="H373" s="45" t="s">
        <v>35</v>
      </c>
      <c r="I373" s="45" t="s">
        <v>35</v>
      </c>
      <c r="J373" s="112" t="s">
        <v>36</v>
      </c>
      <c r="K373" s="113" t="s">
        <v>37</v>
      </c>
      <c r="L373" s="114" t="s">
        <v>37</v>
      </c>
      <c r="M373" s="114" t="s">
        <v>35</v>
      </c>
      <c r="N373" s="114" t="s">
        <v>37</v>
      </c>
      <c r="O373" s="114" t="s">
        <v>35</v>
      </c>
      <c r="P373" s="114" t="s">
        <v>35</v>
      </c>
      <c r="Q373" s="114" t="s">
        <v>35</v>
      </c>
      <c r="R373" s="114" t="s">
        <v>35</v>
      </c>
      <c r="S373" s="115" t="s">
        <v>4337</v>
      </c>
      <c r="T373" s="50" t="s">
        <v>4338</v>
      </c>
      <c r="U373" s="50" t="s">
        <v>4338</v>
      </c>
      <c r="V373" s="116">
        <f t="shared" si="2"/>
        <v>1</v>
      </c>
      <c r="W373" s="116">
        <f t="shared" ref="W373:X373" si="378">IF(lenb(SUBSTITUTE($Z373,W$1&amp;" (1)",""))&lt;lenb($Z373),1,IF(lenb(SUBSTITUTE($Z373,W$1&amp;" (2)",""))&lt;lenb($Z373),2,IF(lenb(SUBSTITUTE($Z373,W$1&amp;" (3)",""))&lt;lenb($Z373),3,IF(lenb(SUBSTITUTE($Z373,W$1&amp;" (4)",""))&lt;lenb($Z373),4,IF(lenb(SUBSTITUTE($Z373,W$1&amp;" (5)",""))&lt;lenb($Z373),5,IF(lenb(SUBSTITUTE($Z373,W$1&amp;" (6)",""))&lt;lenb($Z373),6,IF(lenb(SUBSTITUTE($Z373,W$1&amp;" (7)",""))&lt;lenb($Z373),1,IF(lenb(SUBSTITUTE($Z373,W$1&amp;" (8)",""))&lt;lenb($Z373),8,IF(lenb(SUBSTITUTE($Z373,W$1&amp;" (9)",""))&lt;lenb($Z373),9,IF(lenb(SUBSTITUTE($Z373,W$1&amp;" (10)",""))&lt;lenb($Z373),10,IF(lenb(SUBSTITUTE($Z373,W$1,""))&lt;lenb($Z373),"ERROR",IF($Z373=$Y$1,"-",0))))))))))))</f>
        <v>0</v>
      </c>
      <c r="X373" s="116">
        <f t="shared" si="378"/>
        <v>0</v>
      </c>
      <c r="Y373" s="116" t="str">
        <f t="shared" si="4"/>
        <v>-</v>
      </c>
      <c r="Z373" s="115" t="s">
        <v>3400</v>
      </c>
      <c r="AA373" s="54">
        <f t="shared" si="5"/>
        <v>1</v>
      </c>
      <c r="AB373" s="54">
        <f>COUNTIFS(Links!B:B,"FSE",Links!C:C,A373,Links!AD:AD,1)</f>
        <v>0</v>
      </c>
      <c r="AC373" s="117" t="s">
        <v>37</v>
      </c>
      <c r="AD373" s="118" t="s">
        <v>35</v>
      </c>
      <c r="AE373" s="115" t="s">
        <v>36</v>
      </c>
      <c r="AF373" s="57" t="s">
        <v>42</v>
      </c>
      <c r="AG373" s="57" t="s">
        <v>42</v>
      </c>
      <c r="AH373" s="57" t="s">
        <v>42</v>
      </c>
      <c r="AI373" s="116" t="str">
        <f t="shared" si="6"/>
        <v>----</v>
      </c>
      <c r="AJ373" s="119" t="str">
        <f t="shared" si="7"/>
        <v>Paper has link but no statement</v>
      </c>
      <c r="AK373" s="120" t="s">
        <v>3401</v>
      </c>
      <c r="AL373" s="121" t="s">
        <v>3402</v>
      </c>
      <c r="AM373" s="60" t="str">
        <f t="shared" si="8"/>
        <v>[FP0454]</v>
      </c>
    </row>
    <row r="374" ht="67.5" customHeight="1">
      <c r="A374" s="61">
        <v>455.0</v>
      </c>
      <c r="B374" s="22" t="s">
        <v>4339</v>
      </c>
      <c r="C374" s="23">
        <v>2019.0</v>
      </c>
      <c r="D374" s="100" t="s">
        <v>35</v>
      </c>
      <c r="E374" s="25" t="s">
        <v>36</v>
      </c>
      <c r="F374" s="25" t="s">
        <v>36</v>
      </c>
      <c r="G374" s="25" t="s">
        <v>36</v>
      </c>
      <c r="H374" s="25" t="s">
        <v>36</v>
      </c>
      <c r="I374" s="25" t="s">
        <v>36</v>
      </c>
      <c r="J374" s="101" t="s">
        <v>36</v>
      </c>
      <c r="K374" s="102" t="s">
        <v>37</v>
      </c>
      <c r="L374" s="103" t="s">
        <v>35</v>
      </c>
      <c r="M374" s="103" t="s">
        <v>37</v>
      </c>
      <c r="N374" s="103" t="s">
        <v>35</v>
      </c>
      <c r="O374" s="103" t="s">
        <v>35</v>
      </c>
      <c r="P374" s="103" t="s">
        <v>35</v>
      </c>
      <c r="Q374" s="103" t="s">
        <v>35</v>
      </c>
      <c r="R374" s="103" t="s">
        <v>37</v>
      </c>
      <c r="S374" s="104" t="s">
        <v>4340</v>
      </c>
      <c r="T374" s="30" t="s">
        <v>4341</v>
      </c>
      <c r="U374" s="30" t="s">
        <v>4341</v>
      </c>
      <c r="V374" s="105">
        <f t="shared" si="2"/>
        <v>1</v>
      </c>
      <c r="W374" s="105">
        <f t="shared" ref="W374:X374" si="379">IF(lenb(SUBSTITUTE($Z374,W$1&amp;" (1)",""))&lt;lenb($Z374),1,IF(lenb(SUBSTITUTE($Z374,W$1&amp;" (2)",""))&lt;lenb($Z374),2,IF(lenb(SUBSTITUTE($Z374,W$1&amp;" (3)",""))&lt;lenb($Z374),3,IF(lenb(SUBSTITUTE($Z374,W$1&amp;" (4)",""))&lt;lenb($Z374),4,IF(lenb(SUBSTITUTE($Z374,W$1&amp;" (5)",""))&lt;lenb($Z374),5,IF(lenb(SUBSTITUTE($Z374,W$1&amp;" (6)",""))&lt;lenb($Z374),6,IF(lenb(SUBSTITUTE($Z374,W$1&amp;" (7)",""))&lt;lenb($Z374),1,IF(lenb(SUBSTITUTE($Z374,W$1&amp;" (8)",""))&lt;lenb($Z374),8,IF(lenb(SUBSTITUTE($Z374,W$1&amp;" (9)",""))&lt;lenb($Z374),9,IF(lenb(SUBSTITUTE($Z374,W$1&amp;" (10)",""))&lt;lenb($Z374),10,IF(lenb(SUBSTITUTE($Z374,W$1,""))&lt;lenb($Z374),"ERROR",IF($Z374=$Y$1,"-",0))))))))))))</f>
        <v>0</v>
      </c>
      <c r="X374" s="105">
        <f t="shared" si="379"/>
        <v>0</v>
      </c>
      <c r="Y374" s="105" t="str">
        <f t="shared" si="4"/>
        <v>-</v>
      </c>
      <c r="Z374" s="104" t="s">
        <v>3400</v>
      </c>
      <c r="AA374" s="34">
        <f t="shared" si="5"/>
        <v>1</v>
      </c>
      <c r="AB374" s="34">
        <f>COUNTIFS(Links!B:B,"FSE",Links!C:C,A374,Links!AD:AD,1)</f>
        <v>0</v>
      </c>
      <c r="AC374" s="106" t="s">
        <v>37</v>
      </c>
      <c r="AD374" s="107" t="s">
        <v>35</v>
      </c>
      <c r="AE374" s="104" t="s">
        <v>36</v>
      </c>
      <c r="AF374" s="37" t="s">
        <v>42</v>
      </c>
      <c r="AG374" s="37" t="s">
        <v>42</v>
      </c>
      <c r="AH374" s="37" t="s">
        <v>42</v>
      </c>
      <c r="AI374" s="105" t="str">
        <f t="shared" si="6"/>
        <v>----</v>
      </c>
      <c r="AJ374" s="108" t="str">
        <f t="shared" si="7"/>
        <v>Paper has link but no statement</v>
      </c>
      <c r="AK374" s="109" t="s">
        <v>3401</v>
      </c>
      <c r="AL374" s="110" t="s">
        <v>3402</v>
      </c>
      <c r="AM374" s="40" t="str">
        <f t="shared" si="8"/>
        <v>[FP0455]</v>
      </c>
    </row>
    <row r="375" ht="67.5" customHeight="1">
      <c r="A375" s="41">
        <v>456.0</v>
      </c>
      <c r="B375" s="42" t="s">
        <v>4342</v>
      </c>
      <c r="C375" s="43">
        <v>2019.0</v>
      </c>
      <c r="D375" s="111" t="s">
        <v>35</v>
      </c>
      <c r="E375" s="45" t="s">
        <v>36</v>
      </c>
      <c r="F375" s="45" t="s">
        <v>36</v>
      </c>
      <c r="G375" s="45" t="s">
        <v>36</v>
      </c>
      <c r="H375" s="45" t="s">
        <v>36</v>
      </c>
      <c r="I375" s="45" t="s">
        <v>36</v>
      </c>
      <c r="J375" s="112" t="s">
        <v>36</v>
      </c>
      <c r="K375" s="113" t="s">
        <v>37</v>
      </c>
      <c r="L375" s="114" t="s">
        <v>37</v>
      </c>
      <c r="M375" s="114" t="s">
        <v>35</v>
      </c>
      <c r="N375" s="114" t="s">
        <v>37</v>
      </c>
      <c r="O375" s="114" t="s">
        <v>35</v>
      </c>
      <c r="P375" s="114" t="s">
        <v>35</v>
      </c>
      <c r="Q375" s="114" t="s">
        <v>35</v>
      </c>
      <c r="R375" s="114" t="s">
        <v>35</v>
      </c>
      <c r="S375" s="115" t="s">
        <v>4343</v>
      </c>
      <c r="T375" s="50" t="s">
        <v>4344</v>
      </c>
      <c r="U375" s="50" t="s">
        <v>4344</v>
      </c>
      <c r="V375" s="116">
        <f t="shared" si="2"/>
        <v>1</v>
      </c>
      <c r="W375" s="116">
        <f t="shared" ref="W375:X375" si="380">IF(lenb(SUBSTITUTE($Z375,W$1&amp;" (1)",""))&lt;lenb($Z375),1,IF(lenb(SUBSTITUTE($Z375,W$1&amp;" (2)",""))&lt;lenb($Z375),2,IF(lenb(SUBSTITUTE($Z375,W$1&amp;" (3)",""))&lt;lenb($Z375),3,IF(lenb(SUBSTITUTE($Z375,W$1&amp;" (4)",""))&lt;lenb($Z375),4,IF(lenb(SUBSTITUTE($Z375,W$1&amp;" (5)",""))&lt;lenb($Z375),5,IF(lenb(SUBSTITUTE($Z375,W$1&amp;" (6)",""))&lt;lenb($Z375),6,IF(lenb(SUBSTITUTE($Z375,W$1&amp;" (7)",""))&lt;lenb($Z375),1,IF(lenb(SUBSTITUTE($Z375,W$1&amp;" (8)",""))&lt;lenb($Z375),8,IF(lenb(SUBSTITUTE($Z375,W$1&amp;" (9)",""))&lt;lenb($Z375),9,IF(lenb(SUBSTITUTE($Z375,W$1&amp;" (10)",""))&lt;lenb($Z375),10,IF(lenb(SUBSTITUTE($Z375,W$1,""))&lt;lenb($Z375),"ERROR",IF($Z375=$Y$1,"-",0))))))))))))</f>
        <v>0</v>
      </c>
      <c r="X375" s="116">
        <f t="shared" si="380"/>
        <v>0</v>
      </c>
      <c r="Y375" s="116" t="str">
        <f t="shared" si="4"/>
        <v>-</v>
      </c>
      <c r="Z375" s="115" t="s">
        <v>3400</v>
      </c>
      <c r="AA375" s="54">
        <f t="shared" si="5"/>
        <v>1</v>
      </c>
      <c r="AB375" s="54">
        <f>COUNTIFS(Links!B:B,"FSE",Links!C:C,A375,Links!AD:AD,1)</f>
        <v>0</v>
      </c>
      <c r="AC375" s="117" t="s">
        <v>35</v>
      </c>
      <c r="AD375" s="118" t="s">
        <v>35</v>
      </c>
      <c r="AE375" s="115" t="s">
        <v>36</v>
      </c>
      <c r="AF375" s="57" t="s">
        <v>42</v>
      </c>
      <c r="AG375" s="57" t="s">
        <v>42</v>
      </c>
      <c r="AH375" s="57" t="s">
        <v>42</v>
      </c>
      <c r="AI375" s="116" t="str">
        <f t="shared" si="6"/>
        <v>----</v>
      </c>
      <c r="AJ375" s="119" t="str">
        <f t="shared" si="7"/>
        <v>Paper has link but no statement</v>
      </c>
      <c r="AK375" s="120" t="s">
        <v>3401</v>
      </c>
      <c r="AL375" s="121" t="s">
        <v>3402</v>
      </c>
      <c r="AM375" s="60" t="str">
        <f t="shared" si="8"/>
        <v>[FP0456]</v>
      </c>
    </row>
    <row r="376" ht="67.5" customHeight="1">
      <c r="A376" s="61">
        <v>457.0</v>
      </c>
      <c r="B376" s="22" t="s">
        <v>4345</v>
      </c>
      <c r="C376" s="23">
        <v>2019.0</v>
      </c>
      <c r="D376" s="100" t="s">
        <v>37</v>
      </c>
      <c r="E376" s="25" t="s">
        <v>37</v>
      </c>
      <c r="F376" s="25" t="s">
        <v>35</v>
      </c>
      <c r="G376" s="25" t="s">
        <v>35</v>
      </c>
      <c r="H376" s="25" t="s">
        <v>35</v>
      </c>
      <c r="I376" s="25" t="s">
        <v>35</v>
      </c>
      <c r="J376" s="101" t="s">
        <v>36</v>
      </c>
      <c r="K376" s="102" t="s">
        <v>37</v>
      </c>
      <c r="L376" s="103" t="s">
        <v>37</v>
      </c>
      <c r="M376" s="103" t="s">
        <v>37</v>
      </c>
      <c r="N376" s="103" t="s">
        <v>35</v>
      </c>
      <c r="O376" s="103" t="s">
        <v>35</v>
      </c>
      <c r="P376" s="103" t="s">
        <v>35</v>
      </c>
      <c r="Q376" s="103" t="s">
        <v>35</v>
      </c>
      <c r="R376" s="103" t="s">
        <v>37</v>
      </c>
      <c r="S376" s="104" t="s">
        <v>4346</v>
      </c>
      <c r="T376" s="130" t="s">
        <v>4347</v>
      </c>
      <c r="U376" s="130" t="s">
        <v>4348</v>
      </c>
      <c r="V376" s="105">
        <f t="shared" si="2"/>
        <v>9</v>
      </c>
      <c r="W376" s="105">
        <f t="shared" ref="W376:X376" si="381">IF(lenb(SUBSTITUTE($Z376,W$1&amp;" (1)",""))&lt;lenb($Z376),1,IF(lenb(SUBSTITUTE($Z376,W$1&amp;" (2)",""))&lt;lenb($Z376),2,IF(lenb(SUBSTITUTE($Z376,W$1&amp;" (3)",""))&lt;lenb($Z376),3,IF(lenb(SUBSTITUTE($Z376,W$1&amp;" (4)",""))&lt;lenb($Z376),4,IF(lenb(SUBSTITUTE($Z376,W$1&amp;" (5)",""))&lt;lenb($Z376),5,IF(lenb(SUBSTITUTE($Z376,W$1&amp;" (6)",""))&lt;lenb($Z376),6,IF(lenb(SUBSTITUTE($Z376,W$1&amp;" (7)",""))&lt;lenb($Z376),1,IF(lenb(SUBSTITUTE($Z376,W$1&amp;" (8)",""))&lt;lenb($Z376),8,IF(lenb(SUBSTITUTE($Z376,W$1&amp;" (9)",""))&lt;lenb($Z376),9,IF(lenb(SUBSTITUTE($Z376,W$1&amp;" (10)",""))&lt;lenb($Z376),10,IF(lenb(SUBSTITUTE($Z376,W$1,""))&lt;lenb($Z376),"ERROR",IF($Z376=$Y$1,"-",0))))))))))))</f>
        <v>0</v>
      </c>
      <c r="X376" s="105">
        <f t="shared" si="381"/>
        <v>0</v>
      </c>
      <c r="Y376" s="105" t="str">
        <f t="shared" si="4"/>
        <v>-</v>
      </c>
      <c r="Z376" s="104" t="s">
        <v>4349</v>
      </c>
      <c r="AA376" s="34">
        <f t="shared" si="5"/>
        <v>9</v>
      </c>
      <c r="AB376" s="34">
        <f>COUNTIFS(Links!B:B,"FSE",Links!C:C,A376,Links!AD:AD,1)</f>
        <v>0</v>
      </c>
      <c r="AC376" s="106" t="s">
        <v>35</v>
      </c>
      <c r="AD376" s="107" t="s">
        <v>35</v>
      </c>
      <c r="AE376" s="104" t="s">
        <v>36</v>
      </c>
      <c r="AF376" s="37" t="s">
        <v>42</v>
      </c>
      <c r="AG376" s="37" t="s">
        <v>42</v>
      </c>
      <c r="AH376" s="37" t="s">
        <v>42</v>
      </c>
      <c r="AI376" s="105" t="str">
        <f t="shared" si="6"/>
        <v>----</v>
      </c>
      <c r="AJ376" s="108" t="str">
        <f t="shared" si="7"/>
        <v>Paper has link but no statement</v>
      </c>
      <c r="AK376" s="109" t="s">
        <v>3401</v>
      </c>
      <c r="AL376" s="110" t="s">
        <v>3402</v>
      </c>
      <c r="AM376" s="40" t="str">
        <f t="shared" si="8"/>
        <v>[FP0457]</v>
      </c>
    </row>
    <row r="377" ht="67.5" customHeight="1">
      <c r="A377" s="41">
        <v>458.0</v>
      </c>
      <c r="B377" s="42" t="s">
        <v>4350</v>
      </c>
      <c r="C377" s="43">
        <v>2019.0</v>
      </c>
      <c r="D377" s="111" t="s">
        <v>35</v>
      </c>
      <c r="E377" s="45" t="s">
        <v>36</v>
      </c>
      <c r="F377" s="45" t="s">
        <v>36</v>
      </c>
      <c r="G377" s="45" t="s">
        <v>36</v>
      </c>
      <c r="H377" s="45" t="s">
        <v>36</v>
      </c>
      <c r="I377" s="45" t="s">
        <v>36</v>
      </c>
      <c r="J377" s="112" t="s">
        <v>36</v>
      </c>
      <c r="K377" s="113" t="s">
        <v>37</v>
      </c>
      <c r="L377" s="114" t="s">
        <v>35</v>
      </c>
      <c r="M377" s="114" t="s">
        <v>37</v>
      </c>
      <c r="N377" s="114" t="s">
        <v>37</v>
      </c>
      <c r="O377" s="114" t="s">
        <v>35</v>
      </c>
      <c r="P377" s="114" t="s">
        <v>35</v>
      </c>
      <c r="Q377" s="114" t="s">
        <v>35</v>
      </c>
      <c r="R377" s="114" t="s">
        <v>37</v>
      </c>
      <c r="S377" s="135" t="s">
        <v>4351</v>
      </c>
      <c r="T377" s="50" t="s">
        <v>4352</v>
      </c>
      <c r="U377" s="50" t="s">
        <v>4352</v>
      </c>
      <c r="V377" s="116">
        <f t="shared" si="2"/>
        <v>0</v>
      </c>
      <c r="W377" s="116">
        <f t="shared" ref="W377:X377" si="382">IF(lenb(SUBSTITUTE($Z377,W$1&amp;" (1)",""))&lt;lenb($Z377),1,IF(lenb(SUBSTITUTE($Z377,W$1&amp;" (2)",""))&lt;lenb($Z377),2,IF(lenb(SUBSTITUTE($Z377,W$1&amp;" (3)",""))&lt;lenb($Z377),3,IF(lenb(SUBSTITUTE($Z377,W$1&amp;" (4)",""))&lt;lenb($Z377),4,IF(lenb(SUBSTITUTE($Z377,W$1&amp;" (5)",""))&lt;lenb($Z377),5,IF(lenb(SUBSTITUTE($Z377,W$1&amp;" (6)",""))&lt;lenb($Z377),6,IF(lenb(SUBSTITUTE($Z377,W$1&amp;" (7)",""))&lt;lenb($Z377),1,IF(lenb(SUBSTITUTE($Z377,W$1&amp;" (8)",""))&lt;lenb($Z377),8,IF(lenb(SUBSTITUTE($Z377,W$1&amp;" (9)",""))&lt;lenb($Z377),9,IF(lenb(SUBSTITUTE($Z377,W$1&amp;" (10)",""))&lt;lenb($Z377),10,IF(lenb(SUBSTITUTE($Z377,W$1,""))&lt;lenb($Z377),"ERROR",IF($Z377=$Y$1,"-",0))))))))))))</f>
        <v>1</v>
      </c>
      <c r="X377" s="116">
        <f t="shared" si="382"/>
        <v>0</v>
      </c>
      <c r="Y377" s="116" t="str">
        <f t="shared" si="4"/>
        <v>-</v>
      </c>
      <c r="Z377" s="115" t="s">
        <v>3423</v>
      </c>
      <c r="AA377" s="54">
        <f t="shared" si="5"/>
        <v>1</v>
      </c>
      <c r="AB377" s="54">
        <f>COUNTIFS(Links!B:B,"FSE",Links!C:C,A377,Links!AD:AD,1)</f>
        <v>1</v>
      </c>
      <c r="AC377" s="117" t="s">
        <v>35</v>
      </c>
      <c r="AD377" s="118" t="s">
        <v>35</v>
      </c>
      <c r="AE377" s="115" t="s">
        <v>36</v>
      </c>
      <c r="AF377" s="57" t="s">
        <v>42</v>
      </c>
      <c r="AG377" s="57" t="s">
        <v>42</v>
      </c>
      <c r="AH377" s="57" t="s">
        <v>42</v>
      </c>
      <c r="AI377" s="116" t="str">
        <f t="shared" si="6"/>
        <v>----</v>
      </c>
      <c r="AJ377" s="119" t="str">
        <f t="shared" si="7"/>
        <v>Paper has link but no statement</v>
      </c>
      <c r="AK377" s="120" t="s">
        <v>3401</v>
      </c>
      <c r="AL377" s="121" t="s">
        <v>3402</v>
      </c>
      <c r="AM377" s="60" t="str">
        <f t="shared" si="8"/>
        <v>[FP0458]</v>
      </c>
    </row>
    <row r="378" ht="67.5" customHeight="1">
      <c r="A378" s="61">
        <v>459.0</v>
      </c>
      <c r="B378" s="22" t="s">
        <v>4353</v>
      </c>
      <c r="C378" s="23">
        <v>2019.0</v>
      </c>
      <c r="D378" s="100" t="s">
        <v>37</v>
      </c>
      <c r="E378" s="25" t="s">
        <v>37</v>
      </c>
      <c r="F378" s="25" t="s">
        <v>35</v>
      </c>
      <c r="G378" s="25" t="s">
        <v>35</v>
      </c>
      <c r="H378" s="25" t="s">
        <v>35</v>
      </c>
      <c r="I378" s="25" t="s">
        <v>35</v>
      </c>
      <c r="J378" s="101" t="s">
        <v>36</v>
      </c>
      <c r="K378" s="102" t="s">
        <v>37</v>
      </c>
      <c r="L378" s="103" t="s">
        <v>35</v>
      </c>
      <c r="M378" s="103" t="s">
        <v>35</v>
      </c>
      <c r="N378" s="103" t="s">
        <v>35</v>
      </c>
      <c r="O378" s="103" t="s">
        <v>35</v>
      </c>
      <c r="P378" s="103" t="s">
        <v>35</v>
      </c>
      <c r="Q378" s="103" t="s">
        <v>37</v>
      </c>
      <c r="R378" s="103" t="s">
        <v>35</v>
      </c>
      <c r="S378" s="104" t="s">
        <v>4354</v>
      </c>
      <c r="T378" s="30" t="s">
        <v>4355</v>
      </c>
      <c r="U378" s="30" t="s">
        <v>4355</v>
      </c>
      <c r="V378" s="105">
        <f t="shared" si="2"/>
        <v>1</v>
      </c>
      <c r="W378" s="105">
        <f t="shared" ref="W378:X378" si="383">IF(lenb(SUBSTITUTE($Z378,W$1&amp;" (1)",""))&lt;lenb($Z378),1,IF(lenb(SUBSTITUTE($Z378,W$1&amp;" (2)",""))&lt;lenb($Z378),2,IF(lenb(SUBSTITUTE($Z378,W$1&amp;" (3)",""))&lt;lenb($Z378),3,IF(lenb(SUBSTITUTE($Z378,W$1&amp;" (4)",""))&lt;lenb($Z378),4,IF(lenb(SUBSTITUTE($Z378,W$1&amp;" (5)",""))&lt;lenb($Z378),5,IF(lenb(SUBSTITUTE($Z378,W$1&amp;" (6)",""))&lt;lenb($Z378),6,IF(lenb(SUBSTITUTE($Z378,W$1&amp;" (7)",""))&lt;lenb($Z378),1,IF(lenb(SUBSTITUTE($Z378,W$1&amp;" (8)",""))&lt;lenb($Z378),8,IF(lenb(SUBSTITUTE($Z378,W$1&amp;" (9)",""))&lt;lenb($Z378),9,IF(lenb(SUBSTITUTE($Z378,W$1&amp;" (10)",""))&lt;lenb($Z378),10,IF(lenb(SUBSTITUTE($Z378,W$1,""))&lt;lenb($Z378),"ERROR",IF($Z378=$Y$1,"-",0))))))))))))</f>
        <v>0</v>
      </c>
      <c r="X378" s="105">
        <f t="shared" si="383"/>
        <v>0</v>
      </c>
      <c r="Y378" s="105" t="str">
        <f t="shared" si="4"/>
        <v>-</v>
      </c>
      <c r="Z378" s="104" t="s">
        <v>3400</v>
      </c>
      <c r="AA378" s="34">
        <f t="shared" si="5"/>
        <v>1</v>
      </c>
      <c r="AB378" s="34">
        <f>COUNTIFS(Links!B:B,"FSE",Links!C:C,A378,Links!AD:AD,1)</f>
        <v>0</v>
      </c>
      <c r="AC378" s="106" t="s">
        <v>37</v>
      </c>
      <c r="AD378" s="107" t="s">
        <v>35</v>
      </c>
      <c r="AE378" s="104" t="s">
        <v>36</v>
      </c>
      <c r="AF378" s="37" t="s">
        <v>42</v>
      </c>
      <c r="AG378" s="37" t="s">
        <v>42</v>
      </c>
      <c r="AH378" s="37" t="s">
        <v>42</v>
      </c>
      <c r="AI378" s="105" t="str">
        <f t="shared" si="6"/>
        <v>----</v>
      </c>
      <c r="AJ378" s="108" t="str">
        <f t="shared" si="7"/>
        <v>Paper has link but no statement</v>
      </c>
      <c r="AK378" s="109" t="s">
        <v>3401</v>
      </c>
      <c r="AL378" s="110" t="s">
        <v>3402</v>
      </c>
      <c r="AM378" s="40" t="str">
        <f t="shared" si="8"/>
        <v>[FP0459]</v>
      </c>
    </row>
    <row r="379" ht="67.5" customHeight="1">
      <c r="A379" s="41">
        <v>460.0</v>
      </c>
      <c r="B379" s="42" t="s">
        <v>4356</v>
      </c>
      <c r="C379" s="43">
        <v>2019.0</v>
      </c>
      <c r="D379" s="111" t="s">
        <v>37</v>
      </c>
      <c r="E379" s="45" t="s">
        <v>35</v>
      </c>
      <c r="F379" s="45" t="s">
        <v>35</v>
      </c>
      <c r="G379" s="45" t="s">
        <v>37</v>
      </c>
      <c r="H379" s="45" t="s">
        <v>35</v>
      </c>
      <c r="I379" s="45" t="s">
        <v>35</v>
      </c>
      <c r="J379" s="112" t="s">
        <v>36</v>
      </c>
      <c r="K379" s="113" t="s">
        <v>37</v>
      </c>
      <c r="L379" s="114" t="s">
        <v>35</v>
      </c>
      <c r="M379" s="114" t="s">
        <v>35</v>
      </c>
      <c r="N379" s="114" t="s">
        <v>37</v>
      </c>
      <c r="O379" s="114" t="s">
        <v>35</v>
      </c>
      <c r="P379" s="114" t="s">
        <v>35</v>
      </c>
      <c r="Q379" s="114" t="s">
        <v>35</v>
      </c>
      <c r="R379" s="114" t="s">
        <v>35</v>
      </c>
      <c r="S379" s="115" t="s">
        <v>4357</v>
      </c>
      <c r="T379" s="50" t="s">
        <v>4358</v>
      </c>
      <c r="U379" s="50" t="s">
        <v>4358</v>
      </c>
      <c r="V379" s="116">
        <f t="shared" si="2"/>
        <v>1</v>
      </c>
      <c r="W379" s="116">
        <f t="shared" ref="W379:X379" si="384">IF(lenb(SUBSTITUTE($Z379,W$1&amp;" (1)",""))&lt;lenb($Z379),1,IF(lenb(SUBSTITUTE($Z379,W$1&amp;" (2)",""))&lt;lenb($Z379),2,IF(lenb(SUBSTITUTE($Z379,W$1&amp;" (3)",""))&lt;lenb($Z379),3,IF(lenb(SUBSTITUTE($Z379,W$1&amp;" (4)",""))&lt;lenb($Z379),4,IF(lenb(SUBSTITUTE($Z379,W$1&amp;" (5)",""))&lt;lenb($Z379),5,IF(lenb(SUBSTITUTE($Z379,W$1&amp;" (6)",""))&lt;lenb($Z379),6,IF(lenb(SUBSTITUTE($Z379,W$1&amp;" (7)",""))&lt;lenb($Z379),1,IF(lenb(SUBSTITUTE($Z379,W$1&amp;" (8)",""))&lt;lenb($Z379),8,IF(lenb(SUBSTITUTE($Z379,W$1&amp;" (9)",""))&lt;lenb($Z379),9,IF(lenb(SUBSTITUTE($Z379,W$1&amp;" (10)",""))&lt;lenb($Z379),10,IF(lenb(SUBSTITUTE($Z379,W$1,""))&lt;lenb($Z379),"ERROR",IF($Z379=$Y$1,"-",0))))))))))))</f>
        <v>0</v>
      </c>
      <c r="X379" s="116">
        <f t="shared" si="384"/>
        <v>0</v>
      </c>
      <c r="Y379" s="116" t="str">
        <f t="shared" si="4"/>
        <v>-</v>
      </c>
      <c r="Z379" s="115" t="s">
        <v>3400</v>
      </c>
      <c r="AA379" s="54">
        <f t="shared" si="5"/>
        <v>1</v>
      </c>
      <c r="AB379" s="54">
        <f>COUNTIFS(Links!B:B,"FSE",Links!C:C,A379,Links!AD:AD,1)</f>
        <v>0</v>
      </c>
      <c r="AC379" s="117" t="s">
        <v>35</v>
      </c>
      <c r="AD379" s="118" t="s">
        <v>35</v>
      </c>
      <c r="AE379" s="115" t="s">
        <v>36</v>
      </c>
      <c r="AF379" s="57" t="s">
        <v>42</v>
      </c>
      <c r="AG379" s="57" t="s">
        <v>42</v>
      </c>
      <c r="AH379" s="57" t="s">
        <v>42</v>
      </c>
      <c r="AI379" s="116" t="str">
        <f t="shared" si="6"/>
        <v>----</v>
      </c>
      <c r="AJ379" s="119" t="str">
        <f t="shared" si="7"/>
        <v>Paper has link but no statement</v>
      </c>
      <c r="AK379" s="120" t="s">
        <v>3401</v>
      </c>
      <c r="AL379" s="121" t="s">
        <v>3402</v>
      </c>
      <c r="AM379" s="60" t="str">
        <f t="shared" si="8"/>
        <v>[FP0460]</v>
      </c>
    </row>
    <row r="380" ht="67.5" customHeight="1">
      <c r="A380" s="61">
        <v>461.0</v>
      </c>
      <c r="B380" s="22" t="s">
        <v>4359</v>
      </c>
      <c r="C380" s="23">
        <v>2019.0</v>
      </c>
      <c r="D380" s="100" t="s">
        <v>35</v>
      </c>
      <c r="E380" s="25" t="s">
        <v>36</v>
      </c>
      <c r="F380" s="25" t="s">
        <v>36</v>
      </c>
      <c r="G380" s="25" t="s">
        <v>36</v>
      </c>
      <c r="H380" s="25" t="s">
        <v>36</v>
      </c>
      <c r="I380" s="25" t="s">
        <v>36</v>
      </c>
      <c r="J380" s="101" t="s">
        <v>36</v>
      </c>
      <c r="K380" s="102" t="s">
        <v>35</v>
      </c>
      <c r="L380" s="103" t="s">
        <v>36</v>
      </c>
      <c r="M380" s="103" t="s">
        <v>36</v>
      </c>
      <c r="N380" s="103" t="s">
        <v>36</v>
      </c>
      <c r="O380" s="103" t="s">
        <v>36</v>
      </c>
      <c r="P380" s="103" t="s">
        <v>36</v>
      </c>
      <c r="Q380" s="103" t="s">
        <v>36</v>
      </c>
      <c r="R380" s="103" t="s">
        <v>36</v>
      </c>
      <c r="S380" s="104" t="s">
        <v>42</v>
      </c>
      <c r="T380" s="30" t="s">
        <v>36</v>
      </c>
      <c r="U380" s="30" t="s">
        <v>36</v>
      </c>
      <c r="V380" s="105" t="str">
        <f t="shared" si="2"/>
        <v>-</v>
      </c>
      <c r="W380" s="105" t="str">
        <f t="shared" ref="W380:X380" si="385">IF(lenb(SUBSTITUTE($Z380,W$1&amp;" (1)",""))&lt;lenb($Z380),1,IF(lenb(SUBSTITUTE($Z380,W$1&amp;" (2)",""))&lt;lenb($Z380),2,IF(lenb(SUBSTITUTE($Z380,W$1&amp;" (3)",""))&lt;lenb($Z380),3,IF(lenb(SUBSTITUTE($Z380,W$1&amp;" (4)",""))&lt;lenb($Z380),4,IF(lenb(SUBSTITUTE($Z380,W$1&amp;" (5)",""))&lt;lenb($Z380),5,IF(lenb(SUBSTITUTE($Z380,W$1&amp;" (6)",""))&lt;lenb($Z380),6,IF(lenb(SUBSTITUTE($Z380,W$1&amp;" (7)",""))&lt;lenb($Z380),1,IF(lenb(SUBSTITUTE($Z380,W$1&amp;" (8)",""))&lt;lenb($Z380),8,IF(lenb(SUBSTITUTE($Z380,W$1&amp;" (9)",""))&lt;lenb($Z380),9,IF(lenb(SUBSTITUTE($Z380,W$1&amp;" (10)",""))&lt;lenb($Z380),10,IF(lenb(SUBSTITUTE($Z380,W$1,""))&lt;lenb($Z380),"ERROR",IF($Z380=$Y$1,"-",0))))))))))))</f>
        <v>-</v>
      </c>
      <c r="X380" s="105" t="str">
        <f t="shared" si="385"/>
        <v>-</v>
      </c>
      <c r="Y380" s="105">
        <f t="shared" si="4"/>
        <v>1</v>
      </c>
      <c r="Z380" s="104" t="s">
        <v>23</v>
      </c>
      <c r="AA380" s="34">
        <f t="shared" si="5"/>
        <v>0</v>
      </c>
      <c r="AB380" s="34">
        <f>COUNTIFS(Links!B:B,"FSE",Links!C:C,A380,Links!AD:AD,1)</f>
        <v>0</v>
      </c>
      <c r="AC380" s="106" t="s">
        <v>36</v>
      </c>
      <c r="AD380" s="107" t="s">
        <v>37</v>
      </c>
      <c r="AE380" s="104" t="s">
        <v>4360</v>
      </c>
      <c r="AF380" s="37" t="s">
        <v>2138</v>
      </c>
      <c r="AG380" s="37" t="s">
        <v>223</v>
      </c>
      <c r="AH380" s="37" t="s">
        <v>42</v>
      </c>
      <c r="AI380" s="105" t="str">
        <f t="shared" si="6"/>
        <v>No reason (—)
Barriers (Agreements and legal rights)</v>
      </c>
      <c r="AJ380" s="108" t="str">
        <f t="shared" si="7"/>
        <v>Paper has no link but has statement</v>
      </c>
      <c r="AK380" s="109" t="s">
        <v>3401</v>
      </c>
      <c r="AL380" s="110" t="s">
        <v>3402</v>
      </c>
      <c r="AM380" s="40" t="str">
        <f t="shared" si="8"/>
        <v>[FP0461]</v>
      </c>
    </row>
    <row r="381" ht="67.5" customHeight="1">
      <c r="A381" s="41">
        <v>462.0</v>
      </c>
      <c r="B381" s="42" t="s">
        <v>4361</v>
      </c>
      <c r="C381" s="43">
        <v>2019.0</v>
      </c>
      <c r="D381" s="111" t="s">
        <v>35</v>
      </c>
      <c r="E381" s="45" t="s">
        <v>36</v>
      </c>
      <c r="F381" s="45" t="s">
        <v>36</v>
      </c>
      <c r="G381" s="45" t="s">
        <v>36</v>
      </c>
      <c r="H381" s="45" t="s">
        <v>36</v>
      </c>
      <c r="I381" s="45" t="s">
        <v>36</v>
      </c>
      <c r="J381" s="112" t="s">
        <v>36</v>
      </c>
      <c r="K381" s="113" t="s">
        <v>37</v>
      </c>
      <c r="L381" s="114" t="s">
        <v>35</v>
      </c>
      <c r="M381" s="114" t="s">
        <v>35</v>
      </c>
      <c r="N381" s="114" t="s">
        <v>37</v>
      </c>
      <c r="O381" s="114" t="s">
        <v>35</v>
      </c>
      <c r="P381" s="114" t="s">
        <v>35</v>
      </c>
      <c r="Q381" s="114" t="s">
        <v>35</v>
      </c>
      <c r="R381" s="114" t="s">
        <v>35</v>
      </c>
      <c r="S381" s="135" t="s">
        <v>4362</v>
      </c>
      <c r="T381" s="50" t="s">
        <v>4363</v>
      </c>
      <c r="U381" s="50" t="s">
        <v>4364</v>
      </c>
      <c r="V381" s="116">
        <f t="shared" si="2"/>
        <v>1</v>
      </c>
      <c r="W381" s="116">
        <f t="shared" ref="W381:X381" si="386">IF(lenb(SUBSTITUTE($Z381,W$1&amp;" (1)",""))&lt;lenb($Z381),1,IF(lenb(SUBSTITUTE($Z381,W$1&amp;" (2)",""))&lt;lenb($Z381),2,IF(lenb(SUBSTITUTE($Z381,W$1&amp;" (3)",""))&lt;lenb($Z381),3,IF(lenb(SUBSTITUTE($Z381,W$1&amp;" (4)",""))&lt;lenb($Z381),4,IF(lenb(SUBSTITUTE($Z381,W$1&amp;" (5)",""))&lt;lenb($Z381),5,IF(lenb(SUBSTITUTE($Z381,W$1&amp;" (6)",""))&lt;lenb($Z381),6,IF(lenb(SUBSTITUTE($Z381,W$1&amp;" (7)",""))&lt;lenb($Z381),1,IF(lenb(SUBSTITUTE($Z381,W$1&amp;" (8)",""))&lt;lenb($Z381),8,IF(lenb(SUBSTITUTE($Z381,W$1&amp;" (9)",""))&lt;lenb($Z381),9,IF(lenb(SUBSTITUTE($Z381,W$1&amp;" (10)",""))&lt;lenb($Z381),10,IF(lenb(SUBSTITUTE($Z381,W$1,""))&lt;lenb($Z381),"ERROR",IF($Z381=$Y$1,"-",0))))))))))))</f>
        <v>0</v>
      </c>
      <c r="X381" s="116">
        <f t="shared" si="386"/>
        <v>0</v>
      </c>
      <c r="Y381" s="116" t="str">
        <f t="shared" si="4"/>
        <v>-</v>
      </c>
      <c r="Z381" s="115" t="s">
        <v>3400</v>
      </c>
      <c r="AA381" s="54">
        <f t="shared" si="5"/>
        <v>1</v>
      </c>
      <c r="AB381" s="54">
        <f>COUNTIFS(Links!B:B,"FSE",Links!C:C,A381,Links!AD:AD,1)</f>
        <v>0</v>
      </c>
      <c r="AC381" s="117" t="s">
        <v>35</v>
      </c>
      <c r="AD381" s="118" t="s">
        <v>35</v>
      </c>
      <c r="AE381" s="115" t="s">
        <v>36</v>
      </c>
      <c r="AF381" s="57" t="s">
        <v>42</v>
      </c>
      <c r="AG381" s="57" t="s">
        <v>42</v>
      </c>
      <c r="AH381" s="57" t="s">
        <v>42</v>
      </c>
      <c r="AI381" s="116" t="str">
        <f t="shared" si="6"/>
        <v>----</v>
      </c>
      <c r="AJ381" s="119" t="str">
        <f t="shared" si="7"/>
        <v>Paper has link but no statement</v>
      </c>
      <c r="AK381" s="120" t="s">
        <v>3401</v>
      </c>
      <c r="AL381" s="121" t="s">
        <v>3402</v>
      </c>
      <c r="AM381" s="60" t="str">
        <f t="shared" si="8"/>
        <v>[FP0462]</v>
      </c>
    </row>
    <row r="382" ht="67.5" customHeight="1">
      <c r="A382" s="61">
        <v>463.0</v>
      </c>
      <c r="B382" s="22" t="s">
        <v>4365</v>
      </c>
      <c r="C382" s="23">
        <v>2019.0</v>
      </c>
      <c r="D382" s="100" t="s">
        <v>37</v>
      </c>
      <c r="E382" s="25" t="s">
        <v>37</v>
      </c>
      <c r="F382" s="25" t="s">
        <v>35</v>
      </c>
      <c r="G382" s="25" t="s">
        <v>37</v>
      </c>
      <c r="H382" s="25" t="s">
        <v>35</v>
      </c>
      <c r="I382" s="25" t="s">
        <v>35</v>
      </c>
      <c r="J382" s="101" t="s">
        <v>36</v>
      </c>
      <c r="K382" s="102" t="s">
        <v>37</v>
      </c>
      <c r="L382" s="103" t="s">
        <v>35</v>
      </c>
      <c r="M382" s="103" t="s">
        <v>35</v>
      </c>
      <c r="N382" s="103" t="s">
        <v>35</v>
      </c>
      <c r="O382" s="103" t="s">
        <v>35</v>
      </c>
      <c r="P382" s="103" t="s">
        <v>35</v>
      </c>
      <c r="Q382" s="103" t="s">
        <v>37</v>
      </c>
      <c r="R382" s="103" t="s">
        <v>35</v>
      </c>
      <c r="S382" s="104" t="s">
        <v>4366</v>
      </c>
      <c r="T382" s="30" t="s">
        <v>4367</v>
      </c>
      <c r="U382" s="30" t="s">
        <v>4367</v>
      </c>
      <c r="V382" s="105">
        <f t="shared" si="2"/>
        <v>1</v>
      </c>
      <c r="W382" s="105">
        <f t="shared" ref="W382:X382" si="387">IF(lenb(SUBSTITUTE($Z382,W$1&amp;" (1)",""))&lt;lenb($Z382),1,IF(lenb(SUBSTITUTE($Z382,W$1&amp;" (2)",""))&lt;lenb($Z382),2,IF(lenb(SUBSTITUTE($Z382,W$1&amp;" (3)",""))&lt;lenb($Z382),3,IF(lenb(SUBSTITUTE($Z382,W$1&amp;" (4)",""))&lt;lenb($Z382),4,IF(lenb(SUBSTITUTE($Z382,W$1&amp;" (5)",""))&lt;lenb($Z382),5,IF(lenb(SUBSTITUTE($Z382,W$1&amp;" (6)",""))&lt;lenb($Z382),6,IF(lenb(SUBSTITUTE($Z382,W$1&amp;" (7)",""))&lt;lenb($Z382),1,IF(lenb(SUBSTITUTE($Z382,W$1&amp;" (8)",""))&lt;lenb($Z382),8,IF(lenb(SUBSTITUTE($Z382,W$1&amp;" (9)",""))&lt;lenb($Z382),9,IF(lenb(SUBSTITUTE($Z382,W$1&amp;" (10)",""))&lt;lenb($Z382),10,IF(lenb(SUBSTITUTE($Z382,W$1,""))&lt;lenb($Z382),"ERROR",IF($Z382=$Y$1,"-",0))))))))))))</f>
        <v>0</v>
      </c>
      <c r="X382" s="105">
        <f t="shared" si="387"/>
        <v>0</v>
      </c>
      <c r="Y382" s="105" t="str">
        <f t="shared" si="4"/>
        <v>-</v>
      </c>
      <c r="Z382" s="104" t="s">
        <v>3400</v>
      </c>
      <c r="AA382" s="34">
        <f t="shared" si="5"/>
        <v>1</v>
      </c>
      <c r="AB382" s="34">
        <f>COUNTIFS(Links!B:B,"FSE",Links!C:C,A382,Links!AD:AD,1)</f>
        <v>0</v>
      </c>
      <c r="AC382" s="106" t="s">
        <v>37</v>
      </c>
      <c r="AD382" s="107" t="s">
        <v>35</v>
      </c>
      <c r="AE382" s="104" t="s">
        <v>36</v>
      </c>
      <c r="AF382" s="37" t="s">
        <v>42</v>
      </c>
      <c r="AG382" s="37" t="s">
        <v>42</v>
      </c>
      <c r="AH382" s="37" t="s">
        <v>42</v>
      </c>
      <c r="AI382" s="105" t="str">
        <f t="shared" si="6"/>
        <v>----</v>
      </c>
      <c r="AJ382" s="108" t="str">
        <f t="shared" si="7"/>
        <v>Paper has link but no statement</v>
      </c>
      <c r="AK382" s="109" t="s">
        <v>3401</v>
      </c>
      <c r="AL382" s="110" t="s">
        <v>3402</v>
      </c>
      <c r="AM382" s="40" t="str">
        <f t="shared" si="8"/>
        <v>[FP0463]</v>
      </c>
    </row>
    <row r="383" ht="67.5" customHeight="1">
      <c r="A383" s="41">
        <v>464.0</v>
      </c>
      <c r="B383" s="42" t="s">
        <v>4368</v>
      </c>
      <c r="C383" s="43">
        <v>2019.0</v>
      </c>
      <c r="D383" s="111" t="s">
        <v>35</v>
      </c>
      <c r="E383" s="45" t="s">
        <v>36</v>
      </c>
      <c r="F383" s="45" t="s">
        <v>36</v>
      </c>
      <c r="G383" s="45" t="s">
        <v>36</v>
      </c>
      <c r="H383" s="45" t="s">
        <v>36</v>
      </c>
      <c r="I383" s="45" t="s">
        <v>36</v>
      </c>
      <c r="J383" s="112" t="s">
        <v>36</v>
      </c>
      <c r="K383" s="113" t="s">
        <v>35</v>
      </c>
      <c r="L383" s="114" t="s">
        <v>36</v>
      </c>
      <c r="M383" s="114" t="s">
        <v>36</v>
      </c>
      <c r="N383" s="114" t="s">
        <v>36</v>
      </c>
      <c r="O383" s="114" t="s">
        <v>36</v>
      </c>
      <c r="P383" s="114" t="s">
        <v>36</v>
      </c>
      <c r="Q383" s="114" t="s">
        <v>36</v>
      </c>
      <c r="R383" s="114" t="s">
        <v>36</v>
      </c>
      <c r="S383" s="115" t="s">
        <v>42</v>
      </c>
      <c r="T383" s="50" t="s">
        <v>36</v>
      </c>
      <c r="U383" s="50" t="s">
        <v>36</v>
      </c>
      <c r="V383" s="116" t="str">
        <f t="shared" si="2"/>
        <v>-</v>
      </c>
      <c r="W383" s="116" t="str">
        <f t="shared" ref="W383:X383" si="388">IF(lenb(SUBSTITUTE($Z383,W$1&amp;" (1)",""))&lt;lenb($Z383),1,IF(lenb(SUBSTITUTE($Z383,W$1&amp;" (2)",""))&lt;lenb($Z383),2,IF(lenb(SUBSTITUTE($Z383,W$1&amp;" (3)",""))&lt;lenb($Z383),3,IF(lenb(SUBSTITUTE($Z383,W$1&amp;" (4)",""))&lt;lenb($Z383),4,IF(lenb(SUBSTITUTE($Z383,W$1&amp;" (5)",""))&lt;lenb($Z383),5,IF(lenb(SUBSTITUTE($Z383,W$1&amp;" (6)",""))&lt;lenb($Z383),6,IF(lenb(SUBSTITUTE($Z383,W$1&amp;" (7)",""))&lt;lenb($Z383),1,IF(lenb(SUBSTITUTE($Z383,W$1&amp;" (8)",""))&lt;lenb($Z383),8,IF(lenb(SUBSTITUTE($Z383,W$1&amp;" (9)",""))&lt;lenb($Z383),9,IF(lenb(SUBSTITUTE($Z383,W$1&amp;" (10)",""))&lt;lenb($Z383),10,IF(lenb(SUBSTITUTE($Z383,W$1,""))&lt;lenb($Z383),"ERROR",IF($Z383=$Y$1,"-",0))))))))))))</f>
        <v>-</v>
      </c>
      <c r="X383" s="116" t="str">
        <f t="shared" si="388"/>
        <v>-</v>
      </c>
      <c r="Y383" s="116">
        <f t="shared" si="4"/>
        <v>1</v>
      </c>
      <c r="Z383" s="115" t="s">
        <v>23</v>
      </c>
      <c r="AA383" s="54">
        <f t="shared" si="5"/>
        <v>0</v>
      </c>
      <c r="AB383" s="54">
        <f>COUNTIFS(Links!B:B,"FSE",Links!C:C,A383,Links!AD:AD,1)</f>
        <v>0</v>
      </c>
      <c r="AC383" s="117" t="s">
        <v>36</v>
      </c>
      <c r="AD383" s="118" t="s">
        <v>35</v>
      </c>
      <c r="AE383" s="115" t="s">
        <v>36</v>
      </c>
      <c r="AF383" s="57" t="s">
        <v>42</v>
      </c>
      <c r="AG383" s="57" t="s">
        <v>42</v>
      </c>
      <c r="AH383" s="57" t="s">
        <v>42</v>
      </c>
      <c r="AI383" s="116" t="str">
        <f t="shared" si="6"/>
        <v>----</v>
      </c>
      <c r="AJ383" s="119" t="str">
        <f t="shared" si="7"/>
        <v>Paper has no link and no statement</v>
      </c>
      <c r="AK383" s="120" t="s">
        <v>3401</v>
      </c>
      <c r="AL383" s="121" t="s">
        <v>3402</v>
      </c>
      <c r="AM383" s="60" t="str">
        <f t="shared" si="8"/>
        <v>[FP0464]</v>
      </c>
    </row>
    <row r="384" ht="67.5" customHeight="1">
      <c r="A384" s="61">
        <v>465.0</v>
      </c>
      <c r="B384" s="22" t="s">
        <v>4369</v>
      </c>
      <c r="C384" s="23">
        <v>2019.0</v>
      </c>
      <c r="D384" s="100" t="s">
        <v>37</v>
      </c>
      <c r="E384" s="25" t="s">
        <v>37</v>
      </c>
      <c r="F384" s="25" t="s">
        <v>35</v>
      </c>
      <c r="G384" s="25" t="s">
        <v>37</v>
      </c>
      <c r="H384" s="25" t="s">
        <v>35</v>
      </c>
      <c r="I384" s="25" t="s">
        <v>35</v>
      </c>
      <c r="J384" s="101" t="s">
        <v>36</v>
      </c>
      <c r="K384" s="102" t="s">
        <v>37</v>
      </c>
      <c r="L384" s="103" t="s">
        <v>35</v>
      </c>
      <c r="M384" s="103" t="s">
        <v>35</v>
      </c>
      <c r="N384" s="103" t="s">
        <v>35</v>
      </c>
      <c r="O384" s="103" t="s">
        <v>35</v>
      </c>
      <c r="P384" s="103" t="s">
        <v>35</v>
      </c>
      <c r="Q384" s="103" t="s">
        <v>35</v>
      </c>
      <c r="R384" s="103" t="s">
        <v>37</v>
      </c>
      <c r="S384" s="104" t="s">
        <v>4370</v>
      </c>
      <c r="T384" s="30" t="s">
        <v>4371</v>
      </c>
      <c r="U384" s="30" t="s">
        <v>4371</v>
      </c>
      <c r="V384" s="105">
        <f t="shared" si="2"/>
        <v>1</v>
      </c>
      <c r="W384" s="105">
        <f t="shared" ref="W384:X384" si="389">IF(lenb(SUBSTITUTE($Z384,W$1&amp;" (1)",""))&lt;lenb($Z384),1,IF(lenb(SUBSTITUTE($Z384,W$1&amp;" (2)",""))&lt;lenb($Z384),2,IF(lenb(SUBSTITUTE($Z384,W$1&amp;" (3)",""))&lt;lenb($Z384),3,IF(lenb(SUBSTITUTE($Z384,W$1&amp;" (4)",""))&lt;lenb($Z384),4,IF(lenb(SUBSTITUTE($Z384,W$1&amp;" (5)",""))&lt;lenb($Z384),5,IF(lenb(SUBSTITUTE($Z384,W$1&amp;" (6)",""))&lt;lenb($Z384),6,IF(lenb(SUBSTITUTE($Z384,W$1&amp;" (7)",""))&lt;lenb($Z384),1,IF(lenb(SUBSTITUTE($Z384,W$1&amp;" (8)",""))&lt;lenb($Z384),8,IF(lenb(SUBSTITUTE($Z384,W$1&amp;" (9)",""))&lt;lenb($Z384),9,IF(lenb(SUBSTITUTE($Z384,W$1&amp;" (10)",""))&lt;lenb($Z384),10,IF(lenb(SUBSTITUTE($Z384,W$1,""))&lt;lenb($Z384),"ERROR",IF($Z384=$Y$1,"-",0))))))))))))</f>
        <v>0</v>
      </c>
      <c r="X384" s="105">
        <f t="shared" si="389"/>
        <v>0</v>
      </c>
      <c r="Y384" s="105" t="str">
        <f t="shared" si="4"/>
        <v>-</v>
      </c>
      <c r="Z384" s="104" t="s">
        <v>3400</v>
      </c>
      <c r="AA384" s="34">
        <f t="shared" si="5"/>
        <v>1</v>
      </c>
      <c r="AB384" s="34">
        <f>COUNTIFS(Links!B:B,"FSE",Links!C:C,A384,Links!AD:AD,1)</f>
        <v>0</v>
      </c>
      <c r="AC384" s="106" t="s">
        <v>35</v>
      </c>
      <c r="AD384" s="107" t="s">
        <v>35</v>
      </c>
      <c r="AE384" s="104" t="s">
        <v>36</v>
      </c>
      <c r="AF384" s="37" t="s">
        <v>42</v>
      </c>
      <c r="AG384" s="37" t="s">
        <v>42</v>
      </c>
      <c r="AH384" s="37" t="s">
        <v>42</v>
      </c>
      <c r="AI384" s="105" t="str">
        <f t="shared" si="6"/>
        <v>----</v>
      </c>
      <c r="AJ384" s="108" t="str">
        <f t="shared" si="7"/>
        <v>Paper has link but no statement</v>
      </c>
      <c r="AK384" s="109" t="s">
        <v>3401</v>
      </c>
      <c r="AL384" s="110" t="s">
        <v>3402</v>
      </c>
      <c r="AM384" s="40" t="str">
        <f t="shared" si="8"/>
        <v>[FP0465]</v>
      </c>
    </row>
    <row r="385" ht="67.5" customHeight="1">
      <c r="A385" s="41">
        <v>466.0</v>
      </c>
      <c r="B385" s="42" t="s">
        <v>4372</v>
      </c>
      <c r="C385" s="43">
        <v>2019.0</v>
      </c>
      <c r="D385" s="111" t="s">
        <v>35</v>
      </c>
      <c r="E385" s="45" t="s">
        <v>36</v>
      </c>
      <c r="F385" s="45" t="s">
        <v>36</v>
      </c>
      <c r="G385" s="45" t="s">
        <v>36</v>
      </c>
      <c r="H385" s="45" t="s">
        <v>36</v>
      </c>
      <c r="I385" s="45" t="s">
        <v>36</v>
      </c>
      <c r="J385" s="112" t="s">
        <v>36</v>
      </c>
      <c r="K385" s="113" t="s">
        <v>37</v>
      </c>
      <c r="L385" s="114" t="s">
        <v>35</v>
      </c>
      <c r="M385" s="114" t="s">
        <v>37</v>
      </c>
      <c r="N385" s="114" t="s">
        <v>35</v>
      </c>
      <c r="O385" s="114" t="s">
        <v>35</v>
      </c>
      <c r="P385" s="114" t="s">
        <v>35</v>
      </c>
      <c r="Q385" s="114" t="s">
        <v>35</v>
      </c>
      <c r="R385" s="114" t="s">
        <v>37</v>
      </c>
      <c r="S385" s="115" t="s">
        <v>42</v>
      </c>
      <c r="T385" s="127" t="s">
        <v>4373</v>
      </c>
      <c r="U385" s="127" t="s">
        <v>4373</v>
      </c>
      <c r="V385" s="116">
        <f t="shared" si="2"/>
        <v>1</v>
      </c>
      <c r="W385" s="116">
        <f t="shared" ref="W385:X385" si="390">IF(lenb(SUBSTITUTE($Z385,W$1&amp;" (1)",""))&lt;lenb($Z385),1,IF(lenb(SUBSTITUTE($Z385,W$1&amp;" (2)",""))&lt;lenb($Z385),2,IF(lenb(SUBSTITUTE($Z385,W$1&amp;" (3)",""))&lt;lenb($Z385),3,IF(lenb(SUBSTITUTE($Z385,W$1&amp;" (4)",""))&lt;lenb($Z385),4,IF(lenb(SUBSTITUTE($Z385,W$1&amp;" (5)",""))&lt;lenb($Z385),5,IF(lenb(SUBSTITUTE($Z385,W$1&amp;" (6)",""))&lt;lenb($Z385),6,IF(lenb(SUBSTITUTE($Z385,W$1&amp;" (7)",""))&lt;lenb($Z385),1,IF(lenb(SUBSTITUTE($Z385,W$1&amp;" (8)",""))&lt;lenb($Z385),8,IF(lenb(SUBSTITUTE($Z385,W$1&amp;" (9)",""))&lt;lenb($Z385),9,IF(lenb(SUBSTITUTE($Z385,W$1&amp;" (10)",""))&lt;lenb($Z385),10,IF(lenb(SUBSTITUTE($Z385,W$1,""))&lt;lenb($Z385),"ERROR",IF($Z385=$Y$1,"-",0))))))))))))</f>
        <v>0</v>
      </c>
      <c r="X385" s="116">
        <f t="shared" si="390"/>
        <v>0</v>
      </c>
      <c r="Y385" s="116" t="str">
        <f t="shared" si="4"/>
        <v>-</v>
      </c>
      <c r="Z385" s="115" t="s">
        <v>3400</v>
      </c>
      <c r="AA385" s="54">
        <f t="shared" si="5"/>
        <v>1</v>
      </c>
      <c r="AB385" s="54">
        <f>COUNTIFS(Links!B:B,"FSE",Links!C:C,A385,Links!AD:AD,1)</f>
        <v>0</v>
      </c>
      <c r="AC385" s="117" t="s">
        <v>35</v>
      </c>
      <c r="AD385" s="118" t="s">
        <v>35</v>
      </c>
      <c r="AE385" s="115" t="s">
        <v>36</v>
      </c>
      <c r="AF385" s="57" t="s">
        <v>42</v>
      </c>
      <c r="AG385" s="57" t="s">
        <v>42</v>
      </c>
      <c r="AH385" s="57" t="s">
        <v>42</v>
      </c>
      <c r="AI385" s="116" t="str">
        <f t="shared" si="6"/>
        <v>----</v>
      </c>
      <c r="AJ385" s="119" t="str">
        <f t="shared" si="7"/>
        <v>Paper has link but no statement</v>
      </c>
      <c r="AK385" s="120" t="s">
        <v>3401</v>
      </c>
      <c r="AL385" s="121" t="s">
        <v>3402</v>
      </c>
      <c r="AM385" s="60" t="str">
        <f t="shared" si="8"/>
        <v>[FP0466]</v>
      </c>
    </row>
    <row r="386" ht="67.5" customHeight="1">
      <c r="A386" s="61">
        <v>467.0</v>
      </c>
      <c r="B386" s="22" t="s">
        <v>4374</v>
      </c>
      <c r="C386" s="23">
        <v>2019.0</v>
      </c>
      <c r="D386" s="100" t="s">
        <v>35</v>
      </c>
      <c r="E386" s="25" t="s">
        <v>36</v>
      </c>
      <c r="F386" s="25" t="s">
        <v>36</v>
      </c>
      <c r="G386" s="25" t="s">
        <v>36</v>
      </c>
      <c r="H386" s="25" t="s">
        <v>36</v>
      </c>
      <c r="I386" s="25" t="s">
        <v>36</v>
      </c>
      <c r="J386" s="101" t="s">
        <v>36</v>
      </c>
      <c r="K386" s="102" t="s">
        <v>37</v>
      </c>
      <c r="L386" s="103" t="s">
        <v>37</v>
      </c>
      <c r="M386" s="103" t="s">
        <v>35</v>
      </c>
      <c r="N386" s="103" t="s">
        <v>37</v>
      </c>
      <c r="O386" s="103" t="s">
        <v>35</v>
      </c>
      <c r="P386" s="103" t="s">
        <v>35</v>
      </c>
      <c r="Q386" s="103" t="s">
        <v>35</v>
      </c>
      <c r="R386" s="103" t="s">
        <v>35</v>
      </c>
      <c r="S386" s="104" t="s">
        <v>944</v>
      </c>
      <c r="T386" s="30" t="s">
        <v>4375</v>
      </c>
      <c r="U386" s="30" t="s">
        <v>4375</v>
      </c>
      <c r="V386" s="105">
        <f t="shared" si="2"/>
        <v>0</v>
      </c>
      <c r="W386" s="105">
        <f t="shared" ref="W386:X386" si="391">IF(lenb(SUBSTITUTE($Z386,W$1&amp;" (1)",""))&lt;lenb($Z386),1,IF(lenb(SUBSTITUTE($Z386,W$1&amp;" (2)",""))&lt;lenb($Z386),2,IF(lenb(SUBSTITUTE($Z386,W$1&amp;" (3)",""))&lt;lenb($Z386),3,IF(lenb(SUBSTITUTE($Z386,W$1&amp;" (4)",""))&lt;lenb($Z386),4,IF(lenb(SUBSTITUTE($Z386,W$1&amp;" (5)",""))&lt;lenb($Z386),5,IF(lenb(SUBSTITUTE($Z386,W$1&amp;" (6)",""))&lt;lenb($Z386),6,IF(lenb(SUBSTITUTE($Z386,W$1&amp;" (7)",""))&lt;lenb($Z386),1,IF(lenb(SUBSTITUTE($Z386,W$1&amp;" (8)",""))&lt;lenb($Z386),8,IF(lenb(SUBSTITUTE($Z386,W$1&amp;" (9)",""))&lt;lenb($Z386),9,IF(lenb(SUBSTITUTE($Z386,W$1&amp;" (10)",""))&lt;lenb($Z386),10,IF(lenb(SUBSTITUTE($Z386,W$1,""))&lt;lenb($Z386),"ERROR",IF($Z386=$Y$1,"-",0))))))))))))</f>
        <v>1</v>
      </c>
      <c r="X386" s="105">
        <f t="shared" si="391"/>
        <v>0</v>
      </c>
      <c r="Y386" s="105" t="str">
        <f t="shared" si="4"/>
        <v>-</v>
      </c>
      <c r="Z386" s="104" t="s">
        <v>3423</v>
      </c>
      <c r="AA386" s="34">
        <f t="shared" si="5"/>
        <v>1</v>
      </c>
      <c r="AB386" s="34">
        <f>COUNTIFS(Links!B:B,"FSE",Links!C:C,A386,Links!AD:AD,1)</f>
        <v>0</v>
      </c>
      <c r="AC386" s="106" t="s">
        <v>35</v>
      </c>
      <c r="AD386" s="107" t="s">
        <v>35</v>
      </c>
      <c r="AE386" s="104" t="s">
        <v>36</v>
      </c>
      <c r="AF386" s="37" t="s">
        <v>42</v>
      </c>
      <c r="AG386" s="37" t="s">
        <v>42</v>
      </c>
      <c r="AH386" s="37" t="s">
        <v>42</v>
      </c>
      <c r="AI386" s="105" t="str">
        <f t="shared" si="6"/>
        <v>----</v>
      </c>
      <c r="AJ386" s="108" t="str">
        <f t="shared" si="7"/>
        <v>Paper has link but no statement</v>
      </c>
      <c r="AK386" s="109" t="s">
        <v>3401</v>
      </c>
      <c r="AL386" s="110" t="s">
        <v>3402</v>
      </c>
      <c r="AM386" s="40" t="str">
        <f t="shared" si="8"/>
        <v>[FP0467]</v>
      </c>
    </row>
    <row r="387" ht="67.5" customHeight="1">
      <c r="A387" s="41">
        <v>468.0</v>
      </c>
      <c r="B387" s="42" t="s">
        <v>4376</v>
      </c>
      <c r="C387" s="43">
        <v>2019.0</v>
      </c>
      <c r="D387" s="111" t="s">
        <v>35</v>
      </c>
      <c r="E387" s="45" t="s">
        <v>36</v>
      </c>
      <c r="F387" s="45" t="s">
        <v>36</v>
      </c>
      <c r="G387" s="45" t="s">
        <v>36</v>
      </c>
      <c r="H387" s="45" t="s">
        <v>36</v>
      </c>
      <c r="I387" s="45" t="s">
        <v>36</v>
      </c>
      <c r="J387" s="112" t="s">
        <v>36</v>
      </c>
      <c r="K387" s="113" t="s">
        <v>37</v>
      </c>
      <c r="L387" s="114" t="s">
        <v>35</v>
      </c>
      <c r="M387" s="114" t="s">
        <v>35</v>
      </c>
      <c r="N387" s="114" t="s">
        <v>35</v>
      </c>
      <c r="O387" s="114" t="s">
        <v>35</v>
      </c>
      <c r="P387" s="114" t="s">
        <v>35</v>
      </c>
      <c r="Q387" s="114" t="s">
        <v>35</v>
      </c>
      <c r="R387" s="114" t="s">
        <v>37</v>
      </c>
      <c r="S387" s="115" t="s">
        <v>4377</v>
      </c>
      <c r="T387" s="50" t="s">
        <v>4378</v>
      </c>
      <c r="U387" s="50" t="s">
        <v>4378</v>
      </c>
      <c r="V387" s="116">
        <f t="shared" si="2"/>
        <v>1</v>
      </c>
      <c r="W387" s="116">
        <f t="shared" ref="W387:X387" si="392">IF(lenb(SUBSTITUTE($Z387,W$1&amp;" (1)",""))&lt;lenb($Z387),1,IF(lenb(SUBSTITUTE($Z387,W$1&amp;" (2)",""))&lt;lenb($Z387),2,IF(lenb(SUBSTITUTE($Z387,W$1&amp;" (3)",""))&lt;lenb($Z387),3,IF(lenb(SUBSTITUTE($Z387,W$1&amp;" (4)",""))&lt;lenb($Z387),4,IF(lenb(SUBSTITUTE($Z387,W$1&amp;" (5)",""))&lt;lenb($Z387),5,IF(lenb(SUBSTITUTE($Z387,W$1&amp;" (6)",""))&lt;lenb($Z387),6,IF(lenb(SUBSTITUTE($Z387,W$1&amp;" (7)",""))&lt;lenb($Z387),1,IF(lenb(SUBSTITUTE($Z387,W$1&amp;" (8)",""))&lt;lenb($Z387),8,IF(lenb(SUBSTITUTE($Z387,W$1&amp;" (9)",""))&lt;lenb($Z387),9,IF(lenb(SUBSTITUTE($Z387,W$1&amp;" (10)",""))&lt;lenb($Z387),10,IF(lenb(SUBSTITUTE($Z387,W$1,""))&lt;lenb($Z387),"ERROR",IF($Z387=$Y$1,"-",0))))))))))))</f>
        <v>0</v>
      </c>
      <c r="X387" s="116">
        <f t="shared" si="392"/>
        <v>0</v>
      </c>
      <c r="Y387" s="116" t="str">
        <f t="shared" si="4"/>
        <v>-</v>
      </c>
      <c r="Z387" s="115" t="s">
        <v>3400</v>
      </c>
      <c r="AA387" s="54">
        <f t="shared" si="5"/>
        <v>1</v>
      </c>
      <c r="AB387" s="54">
        <f>COUNTIFS(Links!B:B,"FSE",Links!C:C,A387,Links!AD:AD,1)</f>
        <v>0</v>
      </c>
      <c r="AC387" s="117" t="s">
        <v>35</v>
      </c>
      <c r="AD387" s="118" t="s">
        <v>35</v>
      </c>
      <c r="AE387" s="115" t="s">
        <v>36</v>
      </c>
      <c r="AF387" s="57" t="s">
        <v>42</v>
      </c>
      <c r="AG387" s="57" t="s">
        <v>42</v>
      </c>
      <c r="AH387" s="57" t="s">
        <v>42</v>
      </c>
      <c r="AI387" s="116" t="str">
        <f t="shared" si="6"/>
        <v>----</v>
      </c>
      <c r="AJ387" s="119" t="str">
        <f t="shared" si="7"/>
        <v>Paper has link but no statement</v>
      </c>
      <c r="AK387" s="120" t="s">
        <v>3401</v>
      </c>
      <c r="AL387" s="121" t="s">
        <v>3402</v>
      </c>
      <c r="AM387" s="60" t="str">
        <f t="shared" si="8"/>
        <v>[FP0468]</v>
      </c>
    </row>
    <row r="388" ht="67.5" customHeight="1">
      <c r="A388" s="61">
        <v>469.0</v>
      </c>
      <c r="B388" s="22" t="s">
        <v>4379</v>
      </c>
      <c r="C388" s="23">
        <v>2019.0</v>
      </c>
      <c r="D388" s="100" t="s">
        <v>35</v>
      </c>
      <c r="E388" s="25" t="s">
        <v>36</v>
      </c>
      <c r="F388" s="25" t="s">
        <v>36</v>
      </c>
      <c r="G388" s="25" t="s">
        <v>36</v>
      </c>
      <c r="H388" s="25" t="s">
        <v>36</v>
      </c>
      <c r="I388" s="25" t="s">
        <v>36</v>
      </c>
      <c r="J388" s="101" t="s">
        <v>36</v>
      </c>
      <c r="K388" s="102" t="s">
        <v>35</v>
      </c>
      <c r="L388" s="103" t="s">
        <v>36</v>
      </c>
      <c r="M388" s="103" t="s">
        <v>36</v>
      </c>
      <c r="N388" s="103" t="s">
        <v>36</v>
      </c>
      <c r="O388" s="103" t="s">
        <v>36</v>
      </c>
      <c r="P388" s="103" t="s">
        <v>36</v>
      </c>
      <c r="Q388" s="103" t="s">
        <v>36</v>
      </c>
      <c r="R388" s="103" t="s">
        <v>36</v>
      </c>
      <c r="S388" s="104" t="s">
        <v>42</v>
      </c>
      <c r="T388" s="30" t="s">
        <v>36</v>
      </c>
      <c r="U388" s="30" t="s">
        <v>36</v>
      </c>
      <c r="V388" s="105" t="str">
        <f t="shared" si="2"/>
        <v>-</v>
      </c>
      <c r="W388" s="105" t="str">
        <f t="shared" ref="W388:X388" si="393">IF(lenb(SUBSTITUTE($Z388,W$1&amp;" (1)",""))&lt;lenb($Z388),1,IF(lenb(SUBSTITUTE($Z388,W$1&amp;" (2)",""))&lt;lenb($Z388),2,IF(lenb(SUBSTITUTE($Z388,W$1&amp;" (3)",""))&lt;lenb($Z388),3,IF(lenb(SUBSTITUTE($Z388,W$1&amp;" (4)",""))&lt;lenb($Z388),4,IF(lenb(SUBSTITUTE($Z388,W$1&amp;" (5)",""))&lt;lenb($Z388),5,IF(lenb(SUBSTITUTE($Z388,W$1&amp;" (6)",""))&lt;lenb($Z388),6,IF(lenb(SUBSTITUTE($Z388,W$1&amp;" (7)",""))&lt;lenb($Z388),1,IF(lenb(SUBSTITUTE($Z388,W$1&amp;" (8)",""))&lt;lenb($Z388),8,IF(lenb(SUBSTITUTE($Z388,W$1&amp;" (9)",""))&lt;lenb($Z388),9,IF(lenb(SUBSTITUTE($Z388,W$1&amp;" (10)",""))&lt;lenb($Z388),10,IF(lenb(SUBSTITUTE($Z388,W$1,""))&lt;lenb($Z388),"ERROR",IF($Z388=$Y$1,"-",0))))))))))))</f>
        <v>-</v>
      </c>
      <c r="X388" s="105" t="str">
        <f t="shared" si="393"/>
        <v>-</v>
      </c>
      <c r="Y388" s="105">
        <f t="shared" si="4"/>
        <v>1</v>
      </c>
      <c r="Z388" s="104" t="s">
        <v>23</v>
      </c>
      <c r="AA388" s="34">
        <f t="shared" si="5"/>
        <v>0</v>
      </c>
      <c r="AB388" s="34">
        <f>COUNTIFS(Links!B:B,"FSE",Links!C:C,A388,Links!AD:AD,1)</f>
        <v>0</v>
      </c>
      <c r="AC388" s="106" t="s">
        <v>36</v>
      </c>
      <c r="AD388" s="107" t="s">
        <v>35</v>
      </c>
      <c r="AE388" s="104" t="s">
        <v>36</v>
      </c>
      <c r="AF388" s="37" t="s">
        <v>42</v>
      </c>
      <c r="AG388" s="37" t="s">
        <v>42</v>
      </c>
      <c r="AH388" s="37" t="s">
        <v>42</v>
      </c>
      <c r="AI388" s="105" t="str">
        <f t="shared" si="6"/>
        <v>----</v>
      </c>
      <c r="AJ388" s="108" t="str">
        <f t="shared" si="7"/>
        <v>Paper has no link and no statement</v>
      </c>
      <c r="AK388" s="109" t="s">
        <v>3401</v>
      </c>
      <c r="AL388" s="110" t="s">
        <v>3402</v>
      </c>
      <c r="AM388" s="40" t="str">
        <f t="shared" si="8"/>
        <v>[FP0469]</v>
      </c>
    </row>
    <row r="389" ht="67.5" customHeight="1">
      <c r="A389" s="41">
        <v>470.0</v>
      </c>
      <c r="B389" s="42" t="s">
        <v>4380</v>
      </c>
      <c r="C389" s="43">
        <v>2019.0</v>
      </c>
      <c r="D389" s="111" t="s">
        <v>37</v>
      </c>
      <c r="E389" s="45" t="s">
        <v>37</v>
      </c>
      <c r="F389" s="45" t="s">
        <v>35</v>
      </c>
      <c r="G389" s="45" t="s">
        <v>35</v>
      </c>
      <c r="H389" s="45" t="s">
        <v>35</v>
      </c>
      <c r="I389" s="45" t="s">
        <v>35</v>
      </c>
      <c r="J389" s="112" t="s">
        <v>36</v>
      </c>
      <c r="K389" s="113" t="s">
        <v>37</v>
      </c>
      <c r="L389" s="114" t="s">
        <v>37</v>
      </c>
      <c r="M389" s="114" t="s">
        <v>35</v>
      </c>
      <c r="N389" s="114" t="s">
        <v>35</v>
      </c>
      <c r="O389" s="114" t="s">
        <v>35</v>
      </c>
      <c r="P389" s="114" t="s">
        <v>35</v>
      </c>
      <c r="Q389" s="114" t="s">
        <v>35</v>
      </c>
      <c r="R389" s="114" t="s">
        <v>37</v>
      </c>
      <c r="S389" s="115" t="s">
        <v>4381</v>
      </c>
      <c r="T389" s="50" t="s">
        <v>4382</v>
      </c>
      <c r="U389" s="50" t="s">
        <v>4382</v>
      </c>
      <c r="V389" s="116">
        <f t="shared" si="2"/>
        <v>2</v>
      </c>
      <c r="W389" s="116">
        <f t="shared" ref="W389:X389" si="394">IF(lenb(SUBSTITUTE($Z389,W$1&amp;" (1)",""))&lt;lenb($Z389),1,IF(lenb(SUBSTITUTE($Z389,W$1&amp;" (2)",""))&lt;lenb($Z389),2,IF(lenb(SUBSTITUTE($Z389,W$1&amp;" (3)",""))&lt;lenb($Z389),3,IF(lenb(SUBSTITUTE($Z389,W$1&amp;" (4)",""))&lt;lenb($Z389),4,IF(lenb(SUBSTITUTE($Z389,W$1&amp;" (5)",""))&lt;lenb($Z389),5,IF(lenb(SUBSTITUTE($Z389,W$1&amp;" (6)",""))&lt;lenb($Z389),6,IF(lenb(SUBSTITUTE($Z389,W$1&amp;" (7)",""))&lt;lenb($Z389),1,IF(lenb(SUBSTITUTE($Z389,W$1&amp;" (8)",""))&lt;lenb($Z389),8,IF(lenb(SUBSTITUTE($Z389,W$1&amp;" (9)",""))&lt;lenb($Z389),9,IF(lenb(SUBSTITUTE($Z389,W$1&amp;" (10)",""))&lt;lenb($Z389),10,IF(lenb(SUBSTITUTE($Z389,W$1,""))&lt;lenb($Z389),"ERROR",IF($Z389=$Y$1,"-",0))))))))))))</f>
        <v>0</v>
      </c>
      <c r="X389" s="116">
        <f t="shared" si="394"/>
        <v>0</v>
      </c>
      <c r="Y389" s="116" t="str">
        <f t="shared" si="4"/>
        <v>-</v>
      </c>
      <c r="Z389" s="115" t="s">
        <v>3452</v>
      </c>
      <c r="AA389" s="54">
        <f t="shared" si="5"/>
        <v>2</v>
      </c>
      <c r="AB389" s="54">
        <f>COUNTIFS(Links!B:B,"FSE",Links!C:C,A389,Links!AD:AD,1)</f>
        <v>0</v>
      </c>
      <c r="AC389" s="117" t="s">
        <v>35</v>
      </c>
      <c r="AD389" s="118" t="s">
        <v>35</v>
      </c>
      <c r="AE389" s="115" t="s">
        <v>36</v>
      </c>
      <c r="AF389" s="57" t="s">
        <v>42</v>
      </c>
      <c r="AG389" s="57" t="s">
        <v>42</v>
      </c>
      <c r="AH389" s="57" t="s">
        <v>42</v>
      </c>
      <c r="AI389" s="116" t="str">
        <f t="shared" si="6"/>
        <v>----</v>
      </c>
      <c r="AJ389" s="119" t="str">
        <f t="shared" si="7"/>
        <v>Paper has link but no statement</v>
      </c>
      <c r="AK389" s="120" t="s">
        <v>3401</v>
      </c>
      <c r="AL389" s="121" t="s">
        <v>3402</v>
      </c>
      <c r="AM389" s="60" t="str">
        <f t="shared" si="8"/>
        <v>[FP0470]</v>
      </c>
    </row>
    <row r="390" ht="67.5" customHeight="1">
      <c r="A390" s="61">
        <v>471.0</v>
      </c>
      <c r="B390" s="22" t="s">
        <v>4383</v>
      </c>
      <c r="C390" s="23">
        <v>2019.0</v>
      </c>
      <c r="D390" s="100" t="s">
        <v>35</v>
      </c>
      <c r="E390" s="25" t="s">
        <v>36</v>
      </c>
      <c r="F390" s="25" t="s">
        <v>36</v>
      </c>
      <c r="G390" s="25" t="s">
        <v>36</v>
      </c>
      <c r="H390" s="25" t="s">
        <v>36</v>
      </c>
      <c r="I390" s="25" t="s">
        <v>36</v>
      </c>
      <c r="J390" s="101" t="s">
        <v>36</v>
      </c>
      <c r="K390" s="102" t="s">
        <v>37</v>
      </c>
      <c r="L390" s="103" t="s">
        <v>35</v>
      </c>
      <c r="M390" s="103" t="s">
        <v>37</v>
      </c>
      <c r="N390" s="103" t="s">
        <v>35</v>
      </c>
      <c r="O390" s="103" t="s">
        <v>35</v>
      </c>
      <c r="P390" s="103" t="s">
        <v>35</v>
      </c>
      <c r="Q390" s="103" t="s">
        <v>35</v>
      </c>
      <c r="R390" s="103" t="s">
        <v>37</v>
      </c>
      <c r="S390" s="104" t="s">
        <v>4384</v>
      </c>
      <c r="T390" s="30" t="s">
        <v>4385</v>
      </c>
      <c r="U390" s="30" t="s">
        <v>4385</v>
      </c>
      <c r="V390" s="105">
        <f t="shared" si="2"/>
        <v>1</v>
      </c>
      <c r="W390" s="105">
        <f t="shared" ref="W390:X390" si="395">IF(lenb(SUBSTITUTE($Z390,W$1&amp;" (1)",""))&lt;lenb($Z390),1,IF(lenb(SUBSTITUTE($Z390,W$1&amp;" (2)",""))&lt;lenb($Z390),2,IF(lenb(SUBSTITUTE($Z390,W$1&amp;" (3)",""))&lt;lenb($Z390),3,IF(lenb(SUBSTITUTE($Z390,W$1&amp;" (4)",""))&lt;lenb($Z390),4,IF(lenb(SUBSTITUTE($Z390,W$1&amp;" (5)",""))&lt;lenb($Z390),5,IF(lenb(SUBSTITUTE($Z390,W$1&amp;" (6)",""))&lt;lenb($Z390),6,IF(lenb(SUBSTITUTE($Z390,W$1&amp;" (7)",""))&lt;lenb($Z390),1,IF(lenb(SUBSTITUTE($Z390,W$1&amp;" (8)",""))&lt;lenb($Z390),8,IF(lenb(SUBSTITUTE($Z390,W$1&amp;" (9)",""))&lt;lenb($Z390),9,IF(lenb(SUBSTITUTE($Z390,W$1&amp;" (10)",""))&lt;lenb($Z390),10,IF(lenb(SUBSTITUTE($Z390,W$1,""))&lt;lenb($Z390),"ERROR",IF($Z390=$Y$1,"-",0))))))))))))</f>
        <v>0</v>
      </c>
      <c r="X390" s="105">
        <f t="shared" si="395"/>
        <v>0</v>
      </c>
      <c r="Y390" s="105" t="str">
        <f t="shared" si="4"/>
        <v>-</v>
      </c>
      <c r="Z390" s="104" t="s">
        <v>3400</v>
      </c>
      <c r="AA390" s="34">
        <f t="shared" si="5"/>
        <v>1</v>
      </c>
      <c r="AB390" s="34">
        <f>COUNTIFS(Links!B:B,"FSE",Links!C:C,A390,Links!AD:AD,1)</f>
        <v>0</v>
      </c>
      <c r="AC390" s="106" t="s">
        <v>35</v>
      </c>
      <c r="AD390" s="107" t="s">
        <v>35</v>
      </c>
      <c r="AE390" s="104" t="s">
        <v>36</v>
      </c>
      <c r="AF390" s="37" t="s">
        <v>42</v>
      </c>
      <c r="AG390" s="37" t="s">
        <v>42</v>
      </c>
      <c r="AH390" s="37" t="s">
        <v>42</v>
      </c>
      <c r="AI390" s="105" t="str">
        <f t="shared" si="6"/>
        <v>----</v>
      </c>
      <c r="AJ390" s="108" t="str">
        <f t="shared" si="7"/>
        <v>Paper has link but no statement</v>
      </c>
      <c r="AK390" s="109" t="s">
        <v>3401</v>
      </c>
      <c r="AL390" s="110" t="s">
        <v>3402</v>
      </c>
      <c r="AM390" s="40" t="str">
        <f t="shared" si="8"/>
        <v>[FP0471]</v>
      </c>
    </row>
    <row r="391" ht="67.5" customHeight="1">
      <c r="A391" s="41">
        <v>472.0</v>
      </c>
      <c r="B391" s="42" t="s">
        <v>4386</v>
      </c>
      <c r="C391" s="43">
        <v>2019.0</v>
      </c>
      <c r="D391" s="111" t="s">
        <v>35</v>
      </c>
      <c r="E391" s="45" t="s">
        <v>36</v>
      </c>
      <c r="F391" s="45" t="s">
        <v>36</v>
      </c>
      <c r="G391" s="45" t="s">
        <v>36</v>
      </c>
      <c r="H391" s="45" t="s">
        <v>36</v>
      </c>
      <c r="I391" s="45" t="s">
        <v>36</v>
      </c>
      <c r="J391" s="112" t="s">
        <v>36</v>
      </c>
      <c r="K391" s="113" t="s">
        <v>37</v>
      </c>
      <c r="L391" s="114" t="s">
        <v>35</v>
      </c>
      <c r="M391" s="114" t="s">
        <v>37</v>
      </c>
      <c r="N391" s="114" t="s">
        <v>37</v>
      </c>
      <c r="O391" s="114" t="s">
        <v>35</v>
      </c>
      <c r="P391" s="114" t="s">
        <v>35</v>
      </c>
      <c r="Q391" s="114" t="s">
        <v>35</v>
      </c>
      <c r="R391" s="114" t="s">
        <v>37</v>
      </c>
      <c r="S391" s="115" t="s">
        <v>4387</v>
      </c>
      <c r="T391" s="50" t="s">
        <v>4388</v>
      </c>
      <c r="U391" s="50" t="s">
        <v>4388</v>
      </c>
      <c r="V391" s="116">
        <f t="shared" si="2"/>
        <v>1</v>
      </c>
      <c r="W391" s="116">
        <f t="shared" ref="W391:X391" si="396">IF(lenb(SUBSTITUTE($Z391,W$1&amp;" (1)",""))&lt;lenb($Z391),1,IF(lenb(SUBSTITUTE($Z391,W$1&amp;" (2)",""))&lt;lenb($Z391),2,IF(lenb(SUBSTITUTE($Z391,W$1&amp;" (3)",""))&lt;lenb($Z391),3,IF(lenb(SUBSTITUTE($Z391,W$1&amp;" (4)",""))&lt;lenb($Z391),4,IF(lenb(SUBSTITUTE($Z391,W$1&amp;" (5)",""))&lt;lenb($Z391),5,IF(lenb(SUBSTITUTE($Z391,W$1&amp;" (6)",""))&lt;lenb($Z391),6,IF(lenb(SUBSTITUTE($Z391,W$1&amp;" (7)",""))&lt;lenb($Z391),1,IF(lenb(SUBSTITUTE($Z391,W$1&amp;" (8)",""))&lt;lenb($Z391),8,IF(lenb(SUBSTITUTE($Z391,W$1&amp;" (9)",""))&lt;lenb($Z391),9,IF(lenb(SUBSTITUTE($Z391,W$1&amp;" (10)",""))&lt;lenb($Z391),10,IF(lenb(SUBSTITUTE($Z391,W$1,""))&lt;lenb($Z391),"ERROR",IF($Z391=$Y$1,"-",0))))))))))))</f>
        <v>0</v>
      </c>
      <c r="X391" s="116">
        <f t="shared" si="396"/>
        <v>0</v>
      </c>
      <c r="Y391" s="116" t="str">
        <f t="shared" si="4"/>
        <v>-</v>
      </c>
      <c r="Z391" s="115" t="s">
        <v>3400</v>
      </c>
      <c r="AA391" s="54">
        <f t="shared" si="5"/>
        <v>1</v>
      </c>
      <c r="AB391" s="54">
        <f>COUNTIFS(Links!B:B,"FSE",Links!C:C,A391,Links!AD:AD,1)</f>
        <v>0</v>
      </c>
      <c r="AC391" s="117" t="s">
        <v>35</v>
      </c>
      <c r="AD391" s="118" t="s">
        <v>35</v>
      </c>
      <c r="AE391" s="115" t="s">
        <v>36</v>
      </c>
      <c r="AF391" s="57" t="s">
        <v>42</v>
      </c>
      <c r="AG391" s="57" t="s">
        <v>42</v>
      </c>
      <c r="AH391" s="57" t="s">
        <v>42</v>
      </c>
      <c r="AI391" s="116" t="str">
        <f t="shared" si="6"/>
        <v>----</v>
      </c>
      <c r="AJ391" s="119" t="str">
        <f t="shared" si="7"/>
        <v>Paper has link but no statement</v>
      </c>
      <c r="AK391" s="120" t="s">
        <v>3401</v>
      </c>
      <c r="AL391" s="121" t="s">
        <v>3402</v>
      </c>
      <c r="AM391" s="60" t="str">
        <f t="shared" si="8"/>
        <v>[FP0472]</v>
      </c>
    </row>
    <row r="392" ht="67.5" customHeight="1">
      <c r="A392" s="61">
        <v>473.0</v>
      </c>
      <c r="B392" s="22" t="s">
        <v>4389</v>
      </c>
      <c r="C392" s="23">
        <v>2019.0</v>
      </c>
      <c r="D392" s="100" t="s">
        <v>37</v>
      </c>
      <c r="E392" s="25" t="s">
        <v>37</v>
      </c>
      <c r="F392" s="25" t="s">
        <v>35</v>
      </c>
      <c r="G392" s="25" t="s">
        <v>37</v>
      </c>
      <c r="H392" s="25" t="s">
        <v>35</v>
      </c>
      <c r="I392" s="25" t="s">
        <v>35</v>
      </c>
      <c r="J392" s="101" t="s">
        <v>36</v>
      </c>
      <c r="K392" s="102" t="s">
        <v>37</v>
      </c>
      <c r="L392" s="103" t="s">
        <v>37</v>
      </c>
      <c r="M392" s="103" t="s">
        <v>37</v>
      </c>
      <c r="N392" s="103" t="s">
        <v>35</v>
      </c>
      <c r="O392" s="103" t="s">
        <v>35</v>
      </c>
      <c r="P392" s="103" t="s">
        <v>35</v>
      </c>
      <c r="Q392" s="103" t="s">
        <v>37</v>
      </c>
      <c r="R392" s="103" t="s">
        <v>37</v>
      </c>
      <c r="S392" s="104" t="s">
        <v>4390</v>
      </c>
      <c r="T392" s="30" t="s">
        <v>4391</v>
      </c>
      <c r="U392" s="30" t="s">
        <v>4391</v>
      </c>
      <c r="V392" s="105">
        <f t="shared" si="2"/>
        <v>3</v>
      </c>
      <c r="W392" s="105">
        <f t="shared" ref="W392:X392" si="397">IF(lenb(SUBSTITUTE($Z392,W$1&amp;" (1)",""))&lt;lenb($Z392),1,IF(lenb(SUBSTITUTE($Z392,W$1&amp;" (2)",""))&lt;lenb($Z392),2,IF(lenb(SUBSTITUTE($Z392,W$1&amp;" (3)",""))&lt;lenb($Z392),3,IF(lenb(SUBSTITUTE($Z392,W$1&amp;" (4)",""))&lt;lenb($Z392),4,IF(lenb(SUBSTITUTE($Z392,W$1&amp;" (5)",""))&lt;lenb($Z392),5,IF(lenb(SUBSTITUTE($Z392,W$1&amp;" (6)",""))&lt;lenb($Z392),6,IF(lenb(SUBSTITUTE($Z392,W$1&amp;" (7)",""))&lt;lenb($Z392),1,IF(lenb(SUBSTITUTE($Z392,W$1&amp;" (8)",""))&lt;lenb($Z392),8,IF(lenb(SUBSTITUTE($Z392,W$1&amp;" (9)",""))&lt;lenb($Z392),9,IF(lenb(SUBSTITUTE($Z392,W$1&amp;" (10)",""))&lt;lenb($Z392),10,IF(lenb(SUBSTITUTE($Z392,W$1,""))&lt;lenb($Z392),"ERROR",IF($Z392=$Y$1,"-",0))))))))))))</f>
        <v>0</v>
      </c>
      <c r="X392" s="105">
        <f t="shared" si="397"/>
        <v>0</v>
      </c>
      <c r="Y392" s="105" t="str">
        <f t="shared" si="4"/>
        <v>-</v>
      </c>
      <c r="Z392" s="104" t="s">
        <v>3741</v>
      </c>
      <c r="AA392" s="34">
        <f t="shared" si="5"/>
        <v>3</v>
      </c>
      <c r="AB392" s="34">
        <f>COUNTIFS(Links!B:B,"FSE",Links!C:C,A392,Links!AD:AD,1)</f>
        <v>0</v>
      </c>
      <c r="AC392" s="106" t="s">
        <v>37</v>
      </c>
      <c r="AD392" s="107" t="s">
        <v>35</v>
      </c>
      <c r="AE392" s="104" t="s">
        <v>36</v>
      </c>
      <c r="AF392" s="37" t="s">
        <v>42</v>
      </c>
      <c r="AG392" s="37" t="s">
        <v>42</v>
      </c>
      <c r="AH392" s="37" t="s">
        <v>42</v>
      </c>
      <c r="AI392" s="105" t="str">
        <f t="shared" si="6"/>
        <v>----</v>
      </c>
      <c r="AJ392" s="108" t="str">
        <f t="shared" si="7"/>
        <v>Paper has link but no statement</v>
      </c>
      <c r="AK392" s="109" t="s">
        <v>3401</v>
      </c>
      <c r="AL392" s="110" t="s">
        <v>3402</v>
      </c>
      <c r="AM392" s="40" t="str">
        <f t="shared" si="8"/>
        <v>[FP0473]</v>
      </c>
    </row>
    <row r="393" ht="67.5" customHeight="1">
      <c r="A393" s="41">
        <v>474.0</v>
      </c>
      <c r="B393" s="42" t="s">
        <v>4392</v>
      </c>
      <c r="C393" s="43">
        <v>2019.0</v>
      </c>
      <c r="D393" s="111" t="s">
        <v>35</v>
      </c>
      <c r="E393" s="45" t="s">
        <v>36</v>
      </c>
      <c r="F393" s="45" t="s">
        <v>36</v>
      </c>
      <c r="G393" s="45" t="s">
        <v>36</v>
      </c>
      <c r="H393" s="45" t="s">
        <v>36</v>
      </c>
      <c r="I393" s="45" t="s">
        <v>36</v>
      </c>
      <c r="J393" s="112" t="s">
        <v>36</v>
      </c>
      <c r="K393" s="113" t="s">
        <v>37</v>
      </c>
      <c r="L393" s="114" t="s">
        <v>37</v>
      </c>
      <c r="M393" s="114" t="s">
        <v>35</v>
      </c>
      <c r="N393" s="114" t="s">
        <v>35</v>
      </c>
      <c r="O393" s="114" t="s">
        <v>35</v>
      </c>
      <c r="P393" s="114" t="s">
        <v>35</v>
      </c>
      <c r="Q393" s="114" t="s">
        <v>35</v>
      </c>
      <c r="R393" s="114" t="s">
        <v>37</v>
      </c>
      <c r="S393" s="115" t="s">
        <v>4393</v>
      </c>
      <c r="T393" s="50" t="s">
        <v>4394</v>
      </c>
      <c r="U393" s="50" t="s">
        <v>4395</v>
      </c>
      <c r="V393" s="116">
        <f t="shared" si="2"/>
        <v>2</v>
      </c>
      <c r="W393" s="116">
        <f t="shared" ref="W393:X393" si="398">IF(lenb(SUBSTITUTE($Z393,W$1&amp;" (1)",""))&lt;lenb($Z393),1,IF(lenb(SUBSTITUTE($Z393,W$1&amp;" (2)",""))&lt;lenb($Z393),2,IF(lenb(SUBSTITUTE($Z393,W$1&amp;" (3)",""))&lt;lenb($Z393),3,IF(lenb(SUBSTITUTE($Z393,W$1&amp;" (4)",""))&lt;lenb($Z393),4,IF(lenb(SUBSTITUTE($Z393,W$1&amp;" (5)",""))&lt;lenb($Z393),5,IF(lenb(SUBSTITUTE($Z393,W$1&amp;" (6)",""))&lt;lenb($Z393),6,IF(lenb(SUBSTITUTE($Z393,W$1&amp;" (7)",""))&lt;lenb($Z393),1,IF(lenb(SUBSTITUTE($Z393,W$1&amp;" (8)",""))&lt;lenb($Z393),8,IF(lenb(SUBSTITUTE($Z393,W$1&amp;" (9)",""))&lt;lenb($Z393),9,IF(lenb(SUBSTITUTE($Z393,W$1&amp;" (10)",""))&lt;lenb($Z393),10,IF(lenb(SUBSTITUTE($Z393,W$1,""))&lt;lenb($Z393),"ERROR",IF($Z393=$Y$1,"-",0))))))))))))</f>
        <v>0</v>
      </c>
      <c r="X393" s="116">
        <f t="shared" si="398"/>
        <v>0</v>
      </c>
      <c r="Y393" s="116" t="str">
        <f t="shared" si="4"/>
        <v>-</v>
      </c>
      <c r="Z393" s="115" t="s">
        <v>3452</v>
      </c>
      <c r="AA393" s="54">
        <f t="shared" si="5"/>
        <v>2</v>
      </c>
      <c r="AB393" s="54">
        <f>COUNTIFS(Links!B:B,"FSE",Links!C:C,A393,Links!AD:AD,1)</f>
        <v>0</v>
      </c>
      <c r="AC393" s="117" t="s">
        <v>35</v>
      </c>
      <c r="AD393" s="118" t="s">
        <v>35</v>
      </c>
      <c r="AE393" s="115" t="s">
        <v>36</v>
      </c>
      <c r="AF393" s="57" t="s">
        <v>42</v>
      </c>
      <c r="AG393" s="57" t="s">
        <v>42</v>
      </c>
      <c r="AH393" s="57" t="s">
        <v>42</v>
      </c>
      <c r="AI393" s="116" t="str">
        <f t="shared" si="6"/>
        <v>----</v>
      </c>
      <c r="AJ393" s="119" t="str">
        <f t="shared" si="7"/>
        <v>Paper has link but no statement</v>
      </c>
      <c r="AK393" s="120" t="s">
        <v>3401</v>
      </c>
      <c r="AL393" s="121" t="s">
        <v>3402</v>
      </c>
      <c r="AM393" s="60" t="str">
        <f t="shared" si="8"/>
        <v>[FP0474]</v>
      </c>
    </row>
    <row r="394" ht="67.5" customHeight="1">
      <c r="A394" s="61">
        <v>475.0</v>
      </c>
      <c r="B394" s="22" t="s">
        <v>4396</v>
      </c>
      <c r="C394" s="23">
        <v>2019.0</v>
      </c>
      <c r="D394" s="100" t="s">
        <v>37</v>
      </c>
      <c r="E394" s="25" t="s">
        <v>37</v>
      </c>
      <c r="F394" s="25" t="s">
        <v>35</v>
      </c>
      <c r="G394" s="25" t="s">
        <v>35</v>
      </c>
      <c r="H394" s="25" t="s">
        <v>35</v>
      </c>
      <c r="I394" s="25" t="s">
        <v>35</v>
      </c>
      <c r="J394" s="101" t="s">
        <v>36</v>
      </c>
      <c r="K394" s="102" t="s">
        <v>37</v>
      </c>
      <c r="L394" s="103" t="s">
        <v>37</v>
      </c>
      <c r="M394" s="103" t="s">
        <v>35</v>
      </c>
      <c r="N394" s="103" t="s">
        <v>37</v>
      </c>
      <c r="O394" s="103" t="s">
        <v>35</v>
      </c>
      <c r="P394" s="103" t="s">
        <v>35</v>
      </c>
      <c r="Q394" s="103" t="s">
        <v>35</v>
      </c>
      <c r="R394" s="103" t="s">
        <v>37</v>
      </c>
      <c r="S394" s="104" t="s">
        <v>4397</v>
      </c>
      <c r="T394" s="76" t="s">
        <v>4398</v>
      </c>
      <c r="U394" s="76" t="s">
        <v>4398</v>
      </c>
      <c r="V394" s="105">
        <f t="shared" si="2"/>
        <v>1</v>
      </c>
      <c r="W394" s="105">
        <f t="shared" ref="W394:X394" si="399">IF(lenb(SUBSTITUTE($Z394,W$1&amp;" (1)",""))&lt;lenb($Z394),1,IF(lenb(SUBSTITUTE($Z394,W$1&amp;" (2)",""))&lt;lenb($Z394),2,IF(lenb(SUBSTITUTE($Z394,W$1&amp;" (3)",""))&lt;lenb($Z394),3,IF(lenb(SUBSTITUTE($Z394,W$1&amp;" (4)",""))&lt;lenb($Z394),4,IF(lenb(SUBSTITUTE($Z394,W$1&amp;" (5)",""))&lt;lenb($Z394),5,IF(lenb(SUBSTITUTE($Z394,W$1&amp;" (6)",""))&lt;lenb($Z394),6,IF(lenb(SUBSTITUTE($Z394,W$1&amp;" (7)",""))&lt;lenb($Z394),1,IF(lenb(SUBSTITUTE($Z394,W$1&amp;" (8)",""))&lt;lenb($Z394),8,IF(lenb(SUBSTITUTE($Z394,W$1&amp;" (9)",""))&lt;lenb($Z394),9,IF(lenb(SUBSTITUTE($Z394,W$1&amp;" (10)",""))&lt;lenb($Z394),10,IF(lenb(SUBSTITUTE($Z394,W$1,""))&lt;lenb($Z394),"ERROR",IF($Z394=$Y$1,"-",0))))))))))))</f>
        <v>0</v>
      </c>
      <c r="X394" s="105">
        <f t="shared" si="399"/>
        <v>0</v>
      </c>
      <c r="Y394" s="105" t="str">
        <f t="shared" si="4"/>
        <v>-</v>
      </c>
      <c r="Z394" s="104" t="s">
        <v>3400</v>
      </c>
      <c r="AA394" s="34">
        <f t="shared" si="5"/>
        <v>1</v>
      </c>
      <c r="AB394" s="34">
        <f>COUNTIFS(Links!B:B,"FSE",Links!C:C,A394,Links!AD:AD,1)</f>
        <v>0</v>
      </c>
      <c r="AC394" s="106" t="s">
        <v>35</v>
      </c>
      <c r="AD394" s="107" t="s">
        <v>35</v>
      </c>
      <c r="AE394" s="104" t="s">
        <v>36</v>
      </c>
      <c r="AF394" s="37" t="s">
        <v>42</v>
      </c>
      <c r="AG394" s="37" t="s">
        <v>42</v>
      </c>
      <c r="AH394" s="37" t="s">
        <v>42</v>
      </c>
      <c r="AI394" s="105" t="str">
        <f t="shared" si="6"/>
        <v>----</v>
      </c>
      <c r="AJ394" s="108" t="str">
        <f t="shared" si="7"/>
        <v>Paper has link but no statement</v>
      </c>
      <c r="AK394" s="109" t="s">
        <v>3401</v>
      </c>
      <c r="AL394" s="110" t="s">
        <v>3402</v>
      </c>
      <c r="AM394" s="40" t="str">
        <f t="shared" si="8"/>
        <v>[FP0475]</v>
      </c>
    </row>
    <row r="395" ht="67.5" customHeight="1">
      <c r="A395" s="41">
        <v>476.0</v>
      </c>
      <c r="B395" s="42" t="s">
        <v>4399</v>
      </c>
      <c r="C395" s="43">
        <v>2019.0</v>
      </c>
      <c r="D395" s="111" t="s">
        <v>35</v>
      </c>
      <c r="E395" s="45" t="s">
        <v>36</v>
      </c>
      <c r="F395" s="45" t="s">
        <v>36</v>
      </c>
      <c r="G395" s="45" t="s">
        <v>36</v>
      </c>
      <c r="H395" s="45" t="s">
        <v>36</v>
      </c>
      <c r="I395" s="45" t="s">
        <v>36</v>
      </c>
      <c r="J395" s="112" t="s">
        <v>36</v>
      </c>
      <c r="K395" s="113" t="s">
        <v>35</v>
      </c>
      <c r="L395" s="114" t="s">
        <v>36</v>
      </c>
      <c r="M395" s="114" t="s">
        <v>36</v>
      </c>
      <c r="N395" s="114" t="s">
        <v>36</v>
      </c>
      <c r="O395" s="114" t="s">
        <v>36</v>
      </c>
      <c r="P395" s="114" t="s">
        <v>36</v>
      </c>
      <c r="Q395" s="114" t="s">
        <v>36</v>
      </c>
      <c r="R395" s="114" t="s">
        <v>36</v>
      </c>
      <c r="S395" s="115" t="s">
        <v>42</v>
      </c>
      <c r="T395" s="50" t="s">
        <v>36</v>
      </c>
      <c r="U395" s="50" t="s">
        <v>36</v>
      </c>
      <c r="V395" s="116" t="str">
        <f t="shared" si="2"/>
        <v>-</v>
      </c>
      <c r="W395" s="116" t="str">
        <f t="shared" ref="W395:X395" si="400">IF(lenb(SUBSTITUTE($Z395,W$1&amp;" (1)",""))&lt;lenb($Z395),1,IF(lenb(SUBSTITUTE($Z395,W$1&amp;" (2)",""))&lt;lenb($Z395),2,IF(lenb(SUBSTITUTE($Z395,W$1&amp;" (3)",""))&lt;lenb($Z395),3,IF(lenb(SUBSTITUTE($Z395,W$1&amp;" (4)",""))&lt;lenb($Z395),4,IF(lenb(SUBSTITUTE($Z395,W$1&amp;" (5)",""))&lt;lenb($Z395),5,IF(lenb(SUBSTITUTE($Z395,W$1&amp;" (6)",""))&lt;lenb($Z395),6,IF(lenb(SUBSTITUTE($Z395,W$1&amp;" (7)",""))&lt;lenb($Z395),1,IF(lenb(SUBSTITUTE($Z395,W$1&amp;" (8)",""))&lt;lenb($Z395),8,IF(lenb(SUBSTITUTE($Z395,W$1&amp;" (9)",""))&lt;lenb($Z395),9,IF(lenb(SUBSTITUTE($Z395,W$1&amp;" (10)",""))&lt;lenb($Z395),10,IF(lenb(SUBSTITUTE($Z395,W$1,""))&lt;lenb($Z395),"ERROR",IF($Z395=$Y$1,"-",0))))))))))))</f>
        <v>-</v>
      </c>
      <c r="X395" s="116" t="str">
        <f t="shared" si="400"/>
        <v>-</v>
      </c>
      <c r="Y395" s="116">
        <f t="shared" si="4"/>
        <v>1</v>
      </c>
      <c r="Z395" s="115" t="s">
        <v>23</v>
      </c>
      <c r="AA395" s="54">
        <f t="shared" si="5"/>
        <v>0</v>
      </c>
      <c r="AB395" s="54">
        <f>COUNTIFS(Links!B:B,"FSE",Links!C:C,A395,Links!AD:AD,1)</f>
        <v>0</v>
      </c>
      <c r="AC395" s="117" t="s">
        <v>36</v>
      </c>
      <c r="AD395" s="118" t="s">
        <v>35</v>
      </c>
      <c r="AE395" s="115" t="s">
        <v>36</v>
      </c>
      <c r="AF395" s="57" t="s">
        <v>42</v>
      </c>
      <c r="AG395" s="57" t="s">
        <v>42</v>
      </c>
      <c r="AH395" s="57" t="s">
        <v>42</v>
      </c>
      <c r="AI395" s="116" t="str">
        <f t="shared" si="6"/>
        <v>----</v>
      </c>
      <c r="AJ395" s="119" t="str">
        <f t="shared" si="7"/>
        <v>Paper has no link and no statement</v>
      </c>
      <c r="AK395" s="120" t="s">
        <v>3401</v>
      </c>
      <c r="AL395" s="121" t="s">
        <v>3402</v>
      </c>
      <c r="AM395" s="60" t="str">
        <f t="shared" si="8"/>
        <v>[FP0476]</v>
      </c>
    </row>
    <row r="396" ht="67.5" customHeight="1">
      <c r="A396" s="61">
        <v>477.0</v>
      </c>
      <c r="B396" s="22" t="s">
        <v>4400</v>
      </c>
      <c r="C396" s="23">
        <v>2019.0</v>
      </c>
      <c r="D396" s="100" t="s">
        <v>35</v>
      </c>
      <c r="E396" s="25" t="s">
        <v>36</v>
      </c>
      <c r="F396" s="25" t="s">
        <v>36</v>
      </c>
      <c r="G396" s="25" t="s">
        <v>36</v>
      </c>
      <c r="H396" s="25" t="s">
        <v>36</v>
      </c>
      <c r="I396" s="25" t="s">
        <v>36</v>
      </c>
      <c r="J396" s="101" t="s">
        <v>36</v>
      </c>
      <c r="K396" s="102" t="s">
        <v>35</v>
      </c>
      <c r="L396" s="103" t="s">
        <v>36</v>
      </c>
      <c r="M396" s="103" t="s">
        <v>36</v>
      </c>
      <c r="N396" s="103" t="s">
        <v>36</v>
      </c>
      <c r="O396" s="103" t="s">
        <v>36</v>
      </c>
      <c r="P396" s="103" t="s">
        <v>36</v>
      </c>
      <c r="Q396" s="103" t="s">
        <v>36</v>
      </c>
      <c r="R396" s="103" t="s">
        <v>36</v>
      </c>
      <c r="S396" s="104" t="s">
        <v>42</v>
      </c>
      <c r="T396" s="30" t="s">
        <v>36</v>
      </c>
      <c r="U396" s="30" t="s">
        <v>36</v>
      </c>
      <c r="V396" s="105" t="str">
        <f t="shared" si="2"/>
        <v>-</v>
      </c>
      <c r="W396" s="105" t="str">
        <f t="shared" ref="W396:X396" si="401">IF(lenb(SUBSTITUTE($Z396,W$1&amp;" (1)",""))&lt;lenb($Z396),1,IF(lenb(SUBSTITUTE($Z396,W$1&amp;" (2)",""))&lt;lenb($Z396),2,IF(lenb(SUBSTITUTE($Z396,W$1&amp;" (3)",""))&lt;lenb($Z396),3,IF(lenb(SUBSTITUTE($Z396,W$1&amp;" (4)",""))&lt;lenb($Z396),4,IF(lenb(SUBSTITUTE($Z396,W$1&amp;" (5)",""))&lt;lenb($Z396),5,IF(lenb(SUBSTITUTE($Z396,W$1&amp;" (6)",""))&lt;lenb($Z396),6,IF(lenb(SUBSTITUTE($Z396,W$1&amp;" (7)",""))&lt;lenb($Z396),1,IF(lenb(SUBSTITUTE($Z396,W$1&amp;" (8)",""))&lt;lenb($Z396),8,IF(lenb(SUBSTITUTE($Z396,W$1&amp;" (9)",""))&lt;lenb($Z396),9,IF(lenb(SUBSTITUTE($Z396,W$1&amp;" (10)",""))&lt;lenb($Z396),10,IF(lenb(SUBSTITUTE($Z396,W$1,""))&lt;lenb($Z396),"ERROR",IF($Z396=$Y$1,"-",0))))))))))))</f>
        <v>-</v>
      </c>
      <c r="X396" s="105" t="str">
        <f t="shared" si="401"/>
        <v>-</v>
      </c>
      <c r="Y396" s="105">
        <f t="shared" si="4"/>
        <v>1</v>
      </c>
      <c r="Z396" s="104" t="s">
        <v>23</v>
      </c>
      <c r="AA396" s="34">
        <f t="shared" si="5"/>
        <v>0</v>
      </c>
      <c r="AB396" s="34">
        <f>COUNTIFS(Links!B:B,"FSE",Links!C:C,A396,Links!AD:AD,1)</f>
        <v>0</v>
      </c>
      <c r="AC396" s="106" t="s">
        <v>36</v>
      </c>
      <c r="AD396" s="107" t="s">
        <v>35</v>
      </c>
      <c r="AE396" s="104" t="s">
        <v>36</v>
      </c>
      <c r="AF396" s="37" t="s">
        <v>42</v>
      </c>
      <c r="AG396" s="37" t="s">
        <v>42</v>
      </c>
      <c r="AH396" s="37" t="s">
        <v>42</v>
      </c>
      <c r="AI396" s="105" t="str">
        <f t="shared" si="6"/>
        <v>----</v>
      </c>
      <c r="AJ396" s="108" t="str">
        <f t="shared" si="7"/>
        <v>Paper has no link and no statement</v>
      </c>
      <c r="AK396" s="109" t="s">
        <v>3401</v>
      </c>
      <c r="AL396" s="110" t="s">
        <v>3402</v>
      </c>
      <c r="AM396" s="40" t="str">
        <f t="shared" si="8"/>
        <v>[FP0477]</v>
      </c>
    </row>
    <row r="397" ht="67.5" customHeight="1">
      <c r="A397" s="41">
        <v>478.0</v>
      </c>
      <c r="B397" s="42" t="s">
        <v>4401</v>
      </c>
      <c r="C397" s="43">
        <v>2019.0</v>
      </c>
      <c r="D397" s="111" t="s">
        <v>35</v>
      </c>
      <c r="E397" s="45" t="s">
        <v>36</v>
      </c>
      <c r="F397" s="45" t="s">
        <v>36</v>
      </c>
      <c r="G397" s="45" t="s">
        <v>36</v>
      </c>
      <c r="H397" s="45" t="s">
        <v>36</v>
      </c>
      <c r="I397" s="45" t="s">
        <v>36</v>
      </c>
      <c r="J397" s="112" t="s">
        <v>36</v>
      </c>
      <c r="K397" s="113" t="s">
        <v>37</v>
      </c>
      <c r="L397" s="114" t="s">
        <v>35</v>
      </c>
      <c r="M397" s="114" t="s">
        <v>35</v>
      </c>
      <c r="N397" s="114" t="s">
        <v>37</v>
      </c>
      <c r="O397" s="114" t="s">
        <v>35</v>
      </c>
      <c r="P397" s="114" t="s">
        <v>37</v>
      </c>
      <c r="Q397" s="114" t="s">
        <v>35</v>
      </c>
      <c r="R397" s="114" t="s">
        <v>35</v>
      </c>
      <c r="S397" s="115" t="s">
        <v>4402</v>
      </c>
      <c r="T397" s="50" t="s">
        <v>4403</v>
      </c>
      <c r="U397" s="50" t="s">
        <v>4403</v>
      </c>
      <c r="V397" s="116">
        <f t="shared" si="2"/>
        <v>1</v>
      </c>
      <c r="W397" s="116">
        <f t="shared" ref="W397:X397" si="402">IF(lenb(SUBSTITUTE($Z397,W$1&amp;" (1)",""))&lt;lenb($Z397),1,IF(lenb(SUBSTITUTE($Z397,W$1&amp;" (2)",""))&lt;lenb($Z397),2,IF(lenb(SUBSTITUTE($Z397,W$1&amp;" (3)",""))&lt;lenb($Z397),3,IF(lenb(SUBSTITUTE($Z397,W$1&amp;" (4)",""))&lt;lenb($Z397),4,IF(lenb(SUBSTITUTE($Z397,W$1&amp;" (5)",""))&lt;lenb($Z397),5,IF(lenb(SUBSTITUTE($Z397,W$1&amp;" (6)",""))&lt;lenb($Z397),6,IF(lenb(SUBSTITUTE($Z397,W$1&amp;" (7)",""))&lt;lenb($Z397),1,IF(lenb(SUBSTITUTE($Z397,W$1&amp;" (8)",""))&lt;lenb($Z397),8,IF(lenb(SUBSTITUTE($Z397,W$1&amp;" (9)",""))&lt;lenb($Z397),9,IF(lenb(SUBSTITUTE($Z397,W$1&amp;" (10)",""))&lt;lenb($Z397),10,IF(lenb(SUBSTITUTE($Z397,W$1,""))&lt;lenb($Z397),"ERROR",IF($Z397=$Y$1,"-",0))))))))))))</f>
        <v>0</v>
      </c>
      <c r="X397" s="116">
        <f t="shared" si="402"/>
        <v>0</v>
      </c>
      <c r="Y397" s="116" t="str">
        <f t="shared" si="4"/>
        <v>-</v>
      </c>
      <c r="Z397" s="115" t="s">
        <v>3400</v>
      </c>
      <c r="AA397" s="54">
        <f t="shared" si="5"/>
        <v>1</v>
      </c>
      <c r="AB397" s="54">
        <f>COUNTIFS(Links!B:B,"FSE",Links!C:C,A397,Links!AD:AD,1)</f>
        <v>0</v>
      </c>
      <c r="AC397" s="117" t="s">
        <v>37</v>
      </c>
      <c r="AD397" s="118" t="s">
        <v>35</v>
      </c>
      <c r="AE397" s="115" t="s">
        <v>36</v>
      </c>
      <c r="AF397" s="57" t="s">
        <v>42</v>
      </c>
      <c r="AG397" s="57" t="s">
        <v>42</v>
      </c>
      <c r="AH397" s="57" t="s">
        <v>42</v>
      </c>
      <c r="AI397" s="116" t="str">
        <f t="shared" si="6"/>
        <v>----</v>
      </c>
      <c r="AJ397" s="119" t="str">
        <f t="shared" si="7"/>
        <v>Paper has link but no statement</v>
      </c>
      <c r="AK397" s="120" t="s">
        <v>3401</v>
      </c>
      <c r="AL397" s="121" t="s">
        <v>3402</v>
      </c>
      <c r="AM397" s="60" t="str">
        <f t="shared" si="8"/>
        <v>[FP0478]</v>
      </c>
    </row>
    <row r="398" ht="67.5" customHeight="1">
      <c r="A398" s="61">
        <v>479.0</v>
      </c>
      <c r="B398" s="22" t="s">
        <v>4404</v>
      </c>
      <c r="C398" s="23">
        <v>2019.0</v>
      </c>
      <c r="D398" s="100" t="s">
        <v>35</v>
      </c>
      <c r="E398" s="25" t="s">
        <v>36</v>
      </c>
      <c r="F398" s="25" t="s">
        <v>36</v>
      </c>
      <c r="G398" s="25" t="s">
        <v>36</v>
      </c>
      <c r="H398" s="25" t="s">
        <v>36</v>
      </c>
      <c r="I398" s="25" t="s">
        <v>36</v>
      </c>
      <c r="J398" s="101" t="s">
        <v>36</v>
      </c>
      <c r="K398" s="102" t="s">
        <v>35</v>
      </c>
      <c r="L398" s="103" t="s">
        <v>36</v>
      </c>
      <c r="M398" s="103" t="s">
        <v>36</v>
      </c>
      <c r="N398" s="103" t="s">
        <v>36</v>
      </c>
      <c r="O398" s="103" t="s">
        <v>36</v>
      </c>
      <c r="P398" s="103" t="s">
        <v>36</v>
      </c>
      <c r="Q398" s="103" t="s">
        <v>36</v>
      </c>
      <c r="R398" s="103" t="s">
        <v>36</v>
      </c>
      <c r="S398" s="104" t="s">
        <v>42</v>
      </c>
      <c r="T398" s="30" t="s">
        <v>36</v>
      </c>
      <c r="U398" s="30" t="s">
        <v>36</v>
      </c>
      <c r="V398" s="105" t="str">
        <f t="shared" si="2"/>
        <v>-</v>
      </c>
      <c r="W398" s="105" t="str">
        <f t="shared" ref="W398:X398" si="403">IF(lenb(SUBSTITUTE($Z398,W$1&amp;" (1)",""))&lt;lenb($Z398),1,IF(lenb(SUBSTITUTE($Z398,W$1&amp;" (2)",""))&lt;lenb($Z398),2,IF(lenb(SUBSTITUTE($Z398,W$1&amp;" (3)",""))&lt;lenb($Z398),3,IF(lenb(SUBSTITUTE($Z398,W$1&amp;" (4)",""))&lt;lenb($Z398),4,IF(lenb(SUBSTITUTE($Z398,W$1&amp;" (5)",""))&lt;lenb($Z398),5,IF(lenb(SUBSTITUTE($Z398,W$1&amp;" (6)",""))&lt;lenb($Z398),6,IF(lenb(SUBSTITUTE($Z398,W$1&amp;" (7)",""))&lt;lenb($Z398),1,IF(lenb(SUBSTITUTE($Z398,W$1&amp;" (8)",""))&lt;lenb($Z398),8,IF(lenb(SUBSTITUTE($Z398,W$1&amp;" (9)",""))&lt;lenb($Z398),9,IF(lenb(SUBSTITUTE($Z398,W$1&amp;" (10)",""))&lt;lenb($Z398),10,IF(lenb(SUBSTITUTE($Z398,W$1,""))&lt;lenb($Z398),"ERROR",IF($Z398=$Y$1,"-",0))))))))))))</f>
        <v>-</v>
      </c>
      <c r="X398" s="105" t="str">
        <f t="shared" si="403"/>
        <v>-</v>
      </c>
      <c r="Y398" s="105">
        <f t="shared" si="4"/>
        <v>1</v>
      </c>
      <c r="Z398" s="104" t="s">
        <v>23</v>
      </c>
      <c r="AA398" s="34">
        <f t="shared" si="5"/>
        <v>0</v>
      </c>
      <c r="AB398" s="34">
        <f>COUNTIFS(Links!B:B,"FSE",Links!C:C,A398,Links!AD:AD,1)</f>
        <v>0</v>
      </c>
      <c r="AC398" s="106" t="s">
        <v>36</v>
      </c>
      <c r="AD398" s="107" t="s">
        <v>35</v>
      </c>
      <c r="AE398" s="104" t="s">
        <v>36</v>
      </c>
      <c r="AF398" s="37" t="s">
        <v>42</v>
      </c>
      <c r="AG398" s="37" t="s">
        <v>42</v>
      </c>
      <c r="AH398" s="37" t="s">
        <v>42</v>
      </c>
      <c r="AI398" s="105" t="str">
        <f t="shared" si="6"/>
        <v>----</v>
      </c>
      <c r="AJ398" s="108" t="str">
        <f t="shared" si="7"/>
        <v>Paper has no link and no statement</v>
      </c>
      <c r="AK398" s="109" t="s">
        <v>3401</v>
      </c>
      <c r="AL398" s="110" t="s">
        <v>3402</v>
      </c>
      <c r="AM398" s="40" t="str">
        <f t="shared" si="8"/>
        <v>[FP0479]</v>
      </c>
    </row>
    <row r="399" ht="67.5" customHeight="1">
      <c r="A399" s="41">
        <v>480.0</v>
      </c>
      <c r="B399" s="42" t="s">
        <v>4405</v>
      </c>
      <c r="C399" s="43">
        <v>2019.0</v>
      </c>
      <c r="D399" s="111" t="s">
        <v>35</v>
      </c>
      <c r="E399" s="45" t="s">
        <v>36</v>
      </c>
      <c r="F399" s="45" t="s">
        <v>36</v>
      </c>
      <c r="G399" s="45" t="s">
        <v>36</v>
      </c>
      <c r="H399" s="45" t="s">
        <v>36</v>
      </c>
      <c r="I399" s="45" t="s">
        <v>36</v>
      </c>
      <c r="J399" s="112" t="s">
        <v>36</v>
      </c>
      <c r="K399" s="113" t="s">
        <v>37</v>
      </c>
      <c r="L399" s="114" t="s">
        <v>35</v>
      </c>
      <c r="M399" s="114" t="s">
        <v>37</v>
      </c>
      <c r="N399" s="114" t="s">
        <v>35</v>
      </c>
      <c r="O399" s="114" t="s">
        <v>35</v>
      </c>
      <c r="P399" s="114" t="s">
        <v>35</v>
      </c>
      <c r="Q399" s="114" t="s">
        <v>35</v>
      </c>
      <c r="R399" s="114" t="s">
        <v>37</v>
      </c>
      <c r="S399" s="115" t="s">
        <v>4406</v>
      </c>
      <c r="T399" s="50" t="s">
        <v>4407</v>
      </c>
      <c r="U399" s="50" t="s">
        <v>4408</v>
      </c>
      <c r="V399" s="116">
        <f t="shared" si="2"/>
        <v>1</v>
      </c>
      <c r="W399" s="116">
        <f t="shared" ref="W399:X399" si="404">IF(lenb(SUBSTITUTE($Z399,W$1&amp;" (1)",""))&lt;lenb($Z399),1,IF(lenb(SUBSTITUTE($Z399,W$1&amp;" (2)",""))&lt;lenb($Z399),2,IF(lenb(SUBSTITUTE($Z399,W$1&amp;" (3)",""))&lt;lenb($Z399),3,IF(lenb(SUBSTITUTE($Z399,W$1&amp;" (4)",""))&lt;lenb($Z399),4,IF(lenb(SUBSTITUTE($Z399,W$1&amp;" (5)",""))&lt;lenb($Z399),5,IF(lenb(SUBSTITUTE($Z399,W$1&amp;" (6)",""))&lt;lenb($Z399),6,IF(lenb(SUBSTITUTE($Z399,W$1&amp;" (7)",""))&lt;lenb($Z399),1,IF(lenb(SUBSTITUTE($Z399,W$1&amp;" (8)",""))&lt;lenb($Z399),8,IF(lenb(SUBSTITUTE($Z399,W$1&amp;" (9)",""))&lt;lenb($Z399),9,IF(lenb(SUBSTITUTE($Z399,W$1&amp;" (10)",""))&lt;lenb($Z399),10,IF(lenb(SUBSTITUTE($Z399,W$1,""))&lt;lenb($Z399),"ERROR",IF($Z399=$Y$1,"-",0))))))))))))</f>
        <v>0</v>
      </c>
      <c r="X399" s="116">
        <f t="shared" si="404"/>
        <v>0</v>
      </c>
      <c r="Y399" s="116" t="str">
        <f t="shared" si="4"/>
        <v>-</v>
      </c>
      <c r="Z399" s="115" t="s">
        <v>3400</v>
      </c>
      <c r="AA399" s="54">
        <f t="shared" si="5"/>
        <v>1</v>
      </c>
      <c r="AB399" s="54">
        <f>COUNTIFS(Links!B:B,"FSE",Links!C:C,A399,Links!AD:AD,1)</f>
        <v>0</v>
      </c>
      <c r="AC399" s="117" t="s">
        <v>35</v>
      </c>
      <c r="AD399" s="118" t="s">
        <v>35</v>
      </c>
      <c r="AE399" s="115" t="s">
        <v>36</v>
      </c>
      <c r="AF399" s="57" t="s">
        <v>42</v>
      </c>
      <c r="AG399" s="57" t="s">
        <v>42</v>
      </c>
      <c r="AH399" s="57" t="s">
        <v>42</v>
      </c>
      <c r="AI399" s="116" t="str">
        <f t="shared" si="6"/>
        <v>----</v>
      </c>
      <c r="AJ399" s="119" t="str">
        <f t="shared" si="7"/>
        <v>Paper has link but no statement</v>
      </c>
      <c r="AK399" s="120" t="s">
        <v>3401</v>
      </c>
      <c r="AL399" s="121" t="s">
        <v>3402</v>
      </c>
      <c r="AM399" s="60" t="str">
        <f t="shared" si="8"/>
        <v>[FP0480]</v>
      </c>
    </row>
    <row r="400" ht="67.5" customHeight="1">
      <c r="A400" s="61">
        <v>481.0</v>
      </c>
      <c r="B400" s="22" t="s">
        <v>4409</v>
      </c>
      <c r="C400" s="23">
        <v>2019.0</v>
      </c>
      <c r="D400" s="100" t="s">
        <v>35</v>
      </c>
      <c r="E400" s="25" t="s">
        <v>36</v>
      </c>
      <c r="F400" s="25" t="s">
        <v>36</v>
      </c>
      <c r="G400" s="25" t="s">
        <v>36</v>
      </c>
      <c r="H400" s="25" t="s">
        <v>36</v>
      </c>
      <c r="I400" s="25" t="s">
        <v>36</v>
      </c>
      <c r="J400" s="101" t="s">
        <v>36</v>
      </c>
      <c r="K400" s="102" t="s">
        <v>37</v>
      </c>
      <c r="L400" s="103" t="s">
        <v>37</v>
      </c>
      <c r="M400" s="103" t="s">
        <v>35</v>
      </c>
      <c r="N400" s="103" t="s">
        <v>35</v>
      </c>
      <c r="O400" s="103" t="s">
        <v>35</v>
      </c>
      <c r="P400" s="103" t="s">
        <v>35</v>
      </c>
      <c r="Q400" s="103" t="s">
        <v>35</v>
      </c>
      <c r="R400" s="103" t="s">
        <v>37</v>
      </c>
      <c r="S400" s="104" t="s">
        <v>4410</v>
      </c>
      <c r="T400" s="30" t="s">
        <v>4411</v>
      </c>
      <c r="U400" s="30" t="s">
        <v>4411</v>
      </c>
      <c r="V400" s="105">
        <f t="shared" si="2"/>
        <v>1</v>
      </c>
      <c r="W400" s="105">
        <f t="shared" ref="W400:X400" si="405">IF(lenb(SUBSTITUTE($Z400,W$1&amp;" (1)",""))&lt;lenb($Z400),1,IF(lenb(SUBSTITUTE($Z400,W$1&amp;" (2)",""))&lt;lenb($Z400),2,IF(lenb(SUBSTITUTE($Z400,W$1&amp;" (3)",""))&lt;lenb($Z400),3,IF(lenb(SUBSTITUTE($Z400,W$1&amp;" (4)",""))&lt;lenb($Z400),4,IF(lenb(SUBSTITUTE($Z400,W$1&amp;" (5)",""))&lt;lenb($Z400),5,IF(lenb(SUBSTITUTE($Z400,W$1&amp;" (6)",""))&lt;lenb($Z400),6,IF(lenb(SUBSTITUTE($Z400,W$1&amp;" (7)",""))&lt;lenb($Z400),1,IF(lenb(SUBSTITUTE($Z400,W$1&amp;" (8)",""))&lt;lenb($Z400),8,IF(lenb(SUBSTITUTE($Z400,W$1&amp;" (9)",""))&lt;lenb($Z400),9,IF(lenb(SUBSTITUTE($Z400,W$1&amp;" (10)",""))&lt;lenb($Z400),10,IF(lenb(SUBSTITUTE($Z400,W$1,""))&lt;lenb($Z400),"ERROR",IF($Z400=$Y$1,"-",0))))))))))))</f>
        <v>0</v>
      </c>
      <c r="X400" s="105">
        <f t="shared" si="405"/>
        <v>0</v>
      </c>
      <c r="Y400" s="105" t="str">
        <f t="shared" si="4"/>
        <v>-</v>
      </c>
      <c r="Z400" s="104" t="s">
        <v>3400</v>
      </c>
      <c r="AA400" s="34">
        <f t="shared" si="5"/>
        <v>1</v>
      </c>
      <c r="AB400" s="34">
        <f>COUNTIFS(Links!B:B,"FSE",Links!C:C,A400,Links!AD:AD,1)</f>
        <v>0</v>
      </c>
      <c r="AC400" s="106" t="s">
        <v>37</v>
      </c>
      <c r="AD400" s="107" t="s">
        <v>35</v>
      </c>
      <c r="AE400" s="104" t="s">
        <v>36</v>
      </c>
      <c r="AF400" s="37" t="s">
        <v>42</v>
      </c>
      <c r="AG400" s="37" t="s">
        <v>42</v>
      </c>
      <c r="AH400" s="37" t="s">
        <v>42</v>
      </c>
      <c r="AI400" s="105" t="str">
        <f t="shared" si="6"/>
        <v>----</v>
      </c>
      <c r="AJ400" s="108" t="str">
        <f t="shared" si="7"/>
        <v>Paper has link but no statement</v>
      </c>
      <c r="AK400" s="109" t="s">
        <v>3401</v>
      </c>
      <c r="AL400" s="110" t="s">
        <v>3402</v>
      </c>
      <c r="AM400" s="40" t="str">
        <f t="shared" si="8"/>
        <v>[FP0481]</v>
      </c>
    </row>
    <row r="401" ht="67.5" customHeight="1">
      <c r="A401" s="41">
        <v>482.0</v>
      </c>
      <c r="B401" s="42" t="s">
        <v>4412</v>
      </c>
      <c r="C401" s="43">
        <v>2019.0</v>
      </c>
      <c r="D401" s="111" t="s">
        <v>35</v>
      </c>
      <c r="E401" s="45" t="s">
        <v>36</v>
      </c>
      <c r="F401" s="45" t="s">
        <v>36</v>
      </c>
      <c r="G401" s="45" t="s">
        <v>36</v>
      </c>
      <c r="H401" s="45" t="s">
        <v>36</v>
      </c>
      <c r="I401" s="45" t="s">
        <v>36</v>
      </c>
      <c r="J401" s="112" t="s">
        <v>36</v>
      </c>
      <c r="K401" s="113" t="s">
        <v>37</v>
      </c>
      <c r="L401" s="114" t="s">
        <v>37</v>
      </c>
      <c r="M401" s="114" t="s">
        <v>35</v>
      </c>
      <c r="N401" s="114" t="s">
        <v>35</v>
      </c>
      <c r="O401" s="114" t="s">
        <v>35</v>
      </c>
      <c r="P401" s="114" t="s">
        <v>35</v>
      </c>
      <c r="Q401" s="114" t="s">
        <v>35</v>
      </c>
      <c r="R401" s="114" t="s">
        <v>37</v>
      </c>
      <c r="S401" s="115" t="s">
        <v>4413</v>
      </c>
      <c r="T401" s="50" t="s">
        <v>4414</v>
      </c>
      <c r="U401" s="50" t="s">
        <v>4414</v>
      </c>
      <c r="V401" s="116">
        <f t="shared" si="2"/>
        <v>0</v>
      </c>
      <c r="W401" s="116">
        <f t="shared" ref="W401:X401" si="406">IF(lenb(SUBSTITUTE($Z401,W$1&amp;" (1)",""))&lt;lenb($Z401),1,IF(lenb(SUBSTITUTE($Z401,W$1&amp;" (2)",""))&lt;lenb($Z401),2,IF(lenb(SUBSTITUTE($Z401,W$1&amp;" (3)",""))&lt;lenb($Z401),3,IF(lenb(SUBSTITUTE($Z401,W$1&amp;" (4)",""))&lt;lenb($Z401),4,IF(lenb(SUBSTITUTE($Z401,W$1&amp;" (5)",""))&lt;lenb($Z401),5,IF(lenb(SUBSTITUTE($Z401,W$1&amp;" (6)",""))&lt;lenb($Z401),6,IF(lenb(SUBSTITUTE($Z401,W$1&amp;" (7)",""))&lt;lenb($Z401),1,IF(lenb(SUBSTITUTE($Z401,W$1&amp;" (8)",""))&lt;lenb($Z401),8,IF(lenb(SUBSTITUTE($Z401,W$1&amp;" (9)",""))&lt;lenb($Z401),9,IF(lenb(SUBSTITUTE($Z401,W$1&amp;" (10)",""))&lt;lenb($Z401),10,IF(lenb(SUBSTITUTE($Z401,W$1,""))&lt;lenb($Z401),"ERROR",IF($Z401=$Y$1,"-",0))))))))))))</f>
        <v>1</v>
      </c>
      <c r="X401" s="116">
        <f t="shared" si="406"/>
        <v>0</v>
      </c>
      <c r="Y401" s="116" t="str">
        <f t="shared" si="4"/>
        <v>-</v>
      </c>
      <c r="Z401" s="115" t="s">
        <v>3423</v>
      </c>
      <c r="AA401" s="54">
        <f t="shared" si="5"/>
        <v>1</v>
      </c>
      <c r="AB401" s="54">
        <f>COUNTIFS(Links!B:B,"FSE",Links!C:C,A401,Links!AD:AD,1)</f>
        <v>1</v>
      </c>
      <c r="AC401" s="117" t="s">
        <v>35</v>
      </c>
      <c r="AD401" s="118" t="s">
        <v>35</v>
      </c>
      <c r="AE401" s="115" t="s">
        <v>36</v>
      </c>
      <c r="AF401" s="57" t="s">
        <v>42</v>
      </c>
      <c r="AG401" s="57" t="s">
        <v>42</v>
      </c>
      <c r="AH401" s="57" t="s">
        <v>42</v>
      </c>
      <c r="AI401" s="116" t="str">
        <f t="shared" si="6"/>
        <v>----</v>
      </c>
      <c r="AJ401" s="119" t="str">
        <f t="shared" si="7"/>
        <v>Paper has link but no statement</v>
      </c>
      <c r="AK401" s="120" t="s">
        <v>3401</v>
      </c>
      <c r="AL401" s="121" t="s">
        <v>3402</v>
      </c>
      <c r="AM401" s="60" t="str">
        <f t="shared" si="8"/>
        <v>[FP0482]</v>
      </c>
    </row>
    <row r="402" ht="67.5" customHeight="1">
      <c r="A402" s="61">
        <v>483.0</v>
      </c>
      <c r="B402" s="22" t="s">
        <v>4415</v>
      </c>
      <c r="C402" s="23">
        <v>2019.0</v>
      </c>
      <c r="D402" s="100" t="s">
        <v>35</v>
      </c>
      <c r="E402" s="25" t="s">
        <v>36</v>
      </c>
      <c r="F402" s="25" t="s">
        <v>36</v>
      </c>
      <c r="G402" s="25" t="s">
        <v>36</v>
      </c>
      <c r="H402" s="25" t="s">
        <v>36</v>
      </c>
      <c r="I402" s="25" t="s">
        <v>36</v>
      </c>
      <c r="J402" s="101" t="s">
        <v>36</v>
      </c>
      <c r="K402" s="102" t="s">
        <v>37</v>
      </c>
      <c r="L402" s="103" t="s">
        <v>35</v>
      </c>
      <c r="M402" s="103" t="s">
        <v>35</v>
      </c>
      <c r="N402" s="103" t="s">
        <v>37</v>
      </c>
      <c r="O402" s="103" t="s">
        <v>35</v>
      </c>
      <c r="P402" s="103" t="s">
        <v>35</v>
      </c>
      <c r="Q402" s="103" t="s">
        <v>35</v>
      </c>
      <c r="R402" s="103" t="s">
        <v>35</v>
      </c>
      <c r="S402" s="104" t="s">
        <v>944</v>
      </c>
      <c r="T402" s="30" t="s">
        <v>4416</v>
      </c>
      <c r="U402" s="30" t="s">
        <v>4416</v>
      </c>
      <c r="V402" s="105">
        <f t="shared" si="2"/>
        <v>1</v>
      </c>
      <c r="W402" s="105">
        <f t="shared" ref="W402:X402" si="407">IF(lenb(SUBSTITUTE($Z402,W$1&amp;" (1)",""))&lt;lenb($Z402),1,IF(lenb(SUBSTITUTE($Z402,W$1&amp;" (2)",""))&lt;lenb($Z402),2,IF(lenb(SUBSTITUTE($Z402,W$1&amp;" (3)",""))&lt;lenb($Z402),3,IF(lenb(SUBSTITUTE($Z402,W$1&amp;" (4)",""))&lt;lenb($Z402),4,IF(lenb(SUBSTITUTE($Z402,W$1&amp;" (5)",""))&lt;lenb($Z402),5,IF(lenb(SUBSTITUTE($Z402,W$1&amp;" (6)",""))&lt;lenb($Z402),6,IF(lenb(SUBSTITUTE($Z402,W$1&amp;" (7)",""))&lt;lenb($Z402),1,IF(lenb(SUBSTITUTE($Z402,W$1&amp;" (8)",""))&lt;lenb($Z402),8,IF(lenb(SUBSTITUTE($Z402,W$1&amp;" (9)",""))&lt;lenb($Z402),9,IF(lenb(SUBSTITUTE($Z402,W$1&amp;" (10)",""))&lt;lenb($Z402),10,IF(lenb(SUBSTITUTE($Z402,W$1,""))&lt;lenb($Z402),"ERROR",IF($Z402=$Y$1,"-",0))))))))))))</f>
        <v>0</v>
      </c>
      <c r="X402" s="105">
        <f t="shared" si="407"/>
        <v>0</v>
      </c>
      <c r="Y402" s="105" t="str">
        <f t="shared" si="4"/>
        <v>-</v>
      </c>
      <c r="Z402" s="104" t="s">
        <v>3400</v>
      </c>
      <c r="AA402" s="34">
        <f t="shared" si="5"/>
        <v>1</v>
      </c>
      <c r="AB402" s="34">
        <f>COUNTIFS(Links!B:B,"FSE",Links!C:C,A402,Links!AD:AD,1)</f>
        <v>0</v>
      </c>
      <c r="AC402" s="106" t="s">
        <v>35</v>
      </c>
      <c r="AD402" s="107" t="s">
        <v>35</v>
      </c>
      <c r="AE402" s="104" t="s">
        <v>36</v>
      </c>
      <c r="AF402" s="37" t="s">
        <v>42</v>
      </c>
      <c r="AG402" s="37" t="s">
        <v>42</v>
      </c>
      <c r="AH402" s="37" t="s">
        <v>42</v>
      </c>
      <c r="AI402" s="105" t="str">
        <f t="shared" si="6"/>
        <v>----</v>
      </c>
      <c r="AJ402" s="108" t="str">
        <f t="shared" si="7"/>
        <v>Paper has link but no statement</v>
      </c>
      <c r="AK402" s="109" t="s">
        <v>3401</v>
      </c>
      <c r="AL402" s="110" t="s">
        <v>3402</v>
      </c>
      <c r="AM402" s="40" t="str">
        <f t="shared" si="8"/>
        <v>[FP0483]</v>
      </c>
    </row>
    <row r="403" ht="67.5" customHeight="1">
      <c r="A403" s="41">
        <v>484.0</v>
      </c>
      <c r="B403" s="42" t="s">
        <v>4417</v>
      </c>
      <c r="C403" s="43">
        <v>2019.0</v>
      </c>
      <c r="D403" s="111" t="s">
        <v>35</v>
      </c>
      <c r="E403" s="45" t="s">
        <v>36</v>
      </c>
      <c r="F403" s="45" t="s">
        <v>36</v>
      </c>
      <c r="G403" s="45" t="s">
        <v>36</v>
      </c>
      <c r="H403" s="45" t="s">
        <v>36</v>
      </c>
      <c r="I403" s="45" t="s">
        <v>36</v>
      </c>
      <c r="J403" s="112" t="s">
        <v>36</v>
      </c>
      <c r="K403" s="113" t="s">
        <v>37</v>
      </c>
      <c r="L403" s="114" t="s">
        <v>37</v>
      </c>
      <c r="M403" s="114" t="s">
        <v>37</v>
      </c>
      <c r="N403" s="114" t="s">
        <v>37</v>
      </c>
      <c r="O403" s="114" t="s">
        <v>35</v>
      </c>
      <c r="P403" s="114" t="s">
        <v>35</v>
      </c>
      <c r="Q403" s="114" t="s">
        <v>35</v>
      </c>
      <c r="R403" s="114" t="s">
        <v>37</v>
      </c>
      <c r="S403" s="115" t="s">
        <v>4418</v>
      </c>
      <c r="T403" s="50" t="s">
        <v>4419</v>
      </c>
      <c r="U403" s="50" t="s">
        <v>4419</v>
      </c>
      <c r="V403" s="116">
        <f t="shared" si="2"/>
        <v>1</v>
      </c>
      <c r="W403" s="116">
        <f t="shared" ref="W403:X403" si="408">IF(lenb(SUBSTITUTE($Z403,W$1&amp;" (1)",""))&lt;lenb($Z403),1,IF(lenb(SUBSTITUTE($Z403,W$1&amp;" (2)",""))&lt;lenb($Z403),2,IF(lenb(SUBSTITUTE($Z403,W$1&amp;" (3)",""))&lt;lenb($Z403),3,IF(lenb(SUBSTITUTE($Z403,W$1&amp;" (4)",""))&lt;lenb($Z403),4,IF(lenb(SUBSTITUTE($Z403,W$1&amp;" (5)",""))&lt;lenb($Z403),5,IF(lenb(SUBSTITUTE($Z403,W$1&amp;" (6)",""))&lt;lenb($Z403),6,IF(lenb(SUBSTITUTE($Z403,W$1&amp;" (7)",""))&lt;lenb($Z403),1,IF(lenb(SUBSTITUTE($Z403,W$1&amp;" (8)",""))&lt;lenb($Z403),8,IF(lenb(SUBSTITUTE($Z403,W$1&amp;" (9)",""))&lt;lenb($Z403),9,IF(lenb(SUBSTITUTE($Z403,W$1&amp;" (10)",""))&lt;lenb($Z403),10,IF(lenb(SUBSTITUTE($Z403,W$1,""))&lt;lenb($Z403),"ERROR",IF($Z403=$Y$1,"-",0))))))))))))</f>
        <v>0</v>
      </c>
      <c r="X403" s="116">
        <f t="shared" si="408"/>
        <v>0</v>
      </c>
      <c r="Y403" s="116" t="str">
        <f t="shared" si="4"/>
        <v>-</v>
      </c>
      <c r="Z403" s="115" t="s">
        <v>3400</v>
      </c>
      <c r="AA403" s="54">
        <f t="shared" si="5"/>
        <v>1</v>
      </c>
      <c r="AB403" s="54">
        <f>COUNTIFS(Links!B:B,"FSE",Links!C:C,A403,Links!AD:AD,1)</f>
        <v>0</v>
      </c>
      <c r="AC403" s="117" t="s">
        <v>35</v>
      </c>
      <c r="AD403" s="118" t="s">
        <v>35</v>
      </c>
      <c r="AE403" s="115" t="s">
        <v>36</v>
      </c>
      <c r="AF403" s="57" t="s">
        <v>42</v>
      </c>
      <c r="AG403" s="57" t="s">
        <v>42</v>
      </c>
      <c r="AH403" s="57" t="s">
        <v>42</v>
      </c>
      <c r="AI403" s="116" t="str">
        <f t="shared" si="6"/>
        <v>----</v>
      </c>
      <c r="AJ403" s="119" t="str">
        <f t="shared" si="7"/>
        <v>Paper has link but no statement</v>
      </c>
      <c r="AK403" s="120" t="s">
        <v>3401</v>
      </c>
      <c r="AL403" s="121" t="s">
        <v>3402</v>
      </c>
      <c r="AM403" s="60" t="str">
        <f t="shared" si="8"/>
        <v>[FP0484]</v>
      </c>
    </row>
    <row r="404" ht="67.5" customHeight="1">
      <c r="A404" s="61">
        <v>485.0</v>
      </c>
      <c r="B404" s="22" t="s">
        <v>4420</v>
      </c>
      <c r="C404" s="23">
        <v>2019.0</v>
      </c>
      <c r="D404" s="100" t="s">
        <v>35</v>
      </c>
      <c r="E404" s="25" t="s">
        <v>36</v>
      </c>
      <c r="F404" s="25" t="s">
        <v>36</v>
      </c>
      <c r="G404" s="25" t="s">
        <v>36</v>
      </c>
      <c r="H404" s="25" t="s">
        <v>36</v>
      </c>
      <c r="I404" s="25" t="s">
        <v>36</v>
      </c>
      <c r="J404" s="101" t="s">
        <v>36</v>
      </c>
      <c r="K404" s="102" t="s">
        <v>37</v>
      </c>
      <c r="L404" s="103" t="s">
        <v>37</v>
      </c>
      <c r="M404" s="103" t="s">
        <v>35</v>
      </c>
      <c r="N404" s="103" t="s">
        <v>35</v>
      </c>
      <c r="O404" s="103" t="s">
        <v>35</v>
      </c>
      <c r="P404" s="103" t="s">
        <v>35</v>
      </c>
      <c r="Q404" s="103" t="s">
        <v>35</v>
      </c>
      <c r="R404" s="103" t="s">
        <v>37</v>
      </c>
      <c r="S404" s="104" t="s">
        <v>4421</v>
      </c>
      <c r="T404" s="30" t="s">
        <v>4422</v>
      </c>
      <c r="U404" s="30" t="s">
        <v>4422</v>
      </c>
      <c r="V404" s="105">
        <f t="shared" si="2"/>
        <v>1</v>
      </c>
      <c r="W404" s="105">
        <f t="shared" ref="W404:X404" si="409">IF(lenb(SUBSTITUTE($Z404,W$1&amp;" (1)",""))&lt;lenb($Z404),1,IF(lenb(SUBSTITUTE($Z404,W$1&amp;" (2)",""))&lt;lenb($Z404),2,IF(lenb(SUBSTITUTE($Z404,W$1&amp;" (3)",""))&lt;lenb($Z404),3,IF(lenb(SUBSTITUTE($Z404,W$1&amp;" (4)",""))&lt;lenb($Z404),4,IF(lenb(SUBSTITUTE($Z404,W$1&amp;" (5)",""))&lt;lenb($Z404),5,IF(lenb(SUBSTITUTE($Z404,W$1&amp;" (6)",""))&lt;lenb($Z404),6,IF(lenb(SUBSTITUTE($Z404,W$1&amp;" (7)",""))&lt;lenb($Z404),1,IF(lenb(SUBSTITUTE($Z404,W$1&amp;" (8)",""))&lt;lenb($Z404),8,IF(lenb(SUBSTITUTE($Z404,W$1&amp;" (9)",""))&lt;lenb($Z404),9,IF(lenb(SUBSTITUTE($Z404,W$1&amp;" (10)",""))&lt;lenb($Z404),10,IF(lenb(SUBSTITUTE($Z404,W$1,""))&lt;lenb($Z404),"ERROR",IF($Z404=$Y$1,"-",0))))))))))))</f>
        <v>0</v>
      </c>
      <c r="X404" s="105">
        <f t="shared" si="409"/>
        <v>0</v>
      </c>
      <c r="Y404" s="105" t="str">
        <f t="shared" si="4"/>
        <v>-</v>
      </c>
      <c r="Z404" s="104" t="s">
        <v>3400</v>
      </c>
      <c r="AA404" s="34">
        <f t="shared" si="5"/>
        <v>1</v>
      </c>
      <c r="AB404" s="34">
        <f>COUNTIFS(Links!B:B,"FSE",Links!C:C,A404,Links!AD:AD,1)</f>
        <v>0</v>
      </c>
      <c r="AC404" s="106" t="s">
        <v>35</v>
      </c>
      <c r="AD404" s="107" t="s">
        <v>35</v>
      </c>
      <c r="AE404" s="104" t="s">
        <v>36</v>
      </c>
      <c r="AF404" s="37" t="s">
        <v>42</v>
      </c>
      <c r="AG404" s="37" t="s">
        <v>42</v>
      </c>
      <c r="AH404" s="37" t="s">
        <v>42</v>
      </c>
      <c r="AI404" s="105" t="str">
        <f t="shared" si="6"/>
        <v>----</v>
      </c>
      <c r="AJ404" s="108" t="str">
        <f t="shared" si="7"/>
        <v>Paper has link but no statement</v>
      </c>
      <c r="AK404" s="109" t="s">
        <v>3401</v>
      </c>
      <c r="AL404" s="110" t="s">
        <v>3402</v>
      </c>
      <c r="AM404" s="40" t="str">
        <f t="shared" si="8"/>
        <v>[FP0485]</v>
      </c>
    </row>
    <row r="405" ht="67.5" customHeight="1">
      <c r="A405" s="41">
        <v>486.0</v>
      </c>
      <c r="B405" s="42" t="s">
        <v>4423</v>
      </c>
      <c r="C405" s="43">
        <v>2019.0</v>
      </c>
      <c r="D405" s="111" t="s">
        <v>35</v>
      </c>
      <c r="E405" s="45" t="s">
        <v>36</v>
      </c>
      <c r="F405" s="45" t="s">
        <v>36</v>
      </c>
      <c r="G405" s="45" t="s">
        <v>36</v>
      </c>
      <c r="H405" s="45" t="s">
        <v>36</v>
      </c>
      <c r="I405" s="45" t="s">
        <v>36</v>
      </c>
      <c r="J405" s="112" t="s">
        <v>36</v>
      </c>
      <c r="K405" s="113" t="s">
        <v>37</v>
      </c>
      <c r="L405" s="114" t="s">
        <v>35</v>
      </c>
      <c r="M405" s="114" t="s">
        <v>35</v>
      </c>
      <c r="N405" s="114" t="s">
        <v>37</v>
      </c>
      <c r="O405" s="114" t="s">
        <v>35</v>
      </c>
      <c r="P405" s="114" t="s">
        <v>35</v>
      </c>
      <c r="Q405" s="114" t="s">
        <v>35</v>
      </c>
      <c r="R405" s="114" t="s">
        <v>35</v>
      </c>
      <c r="S405" s="115" t="s">
        <v>944</v>
      </c>
      <c r="T405" s="50" t="s">
        <v>4424</v>
      </c>
      <c r="U405" s="50" t="s">
        <v>4424</v>
      </c>
      <c r="V405" s="116">
        <f t="shared" si="2"/>
        <v>1</v>
      </c>
      <c r="W405" s="116">
        <f t="shared" ref="W405:X405" si="410">IF(lenb(SUBSTITUTE($Z405,W$1&amp;" (1)",""))&lt;lenb($Z405),1,IF(lenb(SUBSTITUTE($Z405,W$1&amp;" (2)",""))&lt;lenb($Z405),2,IF(lenb(SUBSTITUTE($Z405,W$1&amp;" (3)",""))&lt;lenb($Z405),3,IF(lenb(SUBSTITUTE($Z405,W$1&amp;" (4)",""))&lt;lenb($Z405),4,IF(lenb(SUBSTITUTE($Z405,W$1&amp;" (5)",""))&lt;lenb($Z405),5,IF(lenb(SUBSTITUTE($Z405,W$1&amp;" (6)",""))&lt;lenb($Z405),6,IF(lenb(SUBSTITUTE($Z405,W$1&amp;" (7)",""))&lt;lenb($Z405),1,IF(lenb(SUBSTITUTE($Z405,W$1&amp;" (8)",""))&lt;lenb($Z405),8,IF(lenb(SUBSTITUTE($Z405,W$1&amp;" (9)",""))&lt;lenb($Z405),9,IF(lenb(SUBSTITUTE($Z405,W$1&amp;" (10)",""))&lt;lenb($Z405),10,IF(lenb(SUBSTITUTE($Z405,W$1,""))&lt;lenb($Z405),"ERROR",IF($Z405=$Y$1,"-",0))))))))))))</f>
        <v>0</v>
      </c>
      <c r="X405" s="116">
        <f t="shared" si="410"/>
        <v>0</v>
      </c>
      <c r="Y405" s="116" t="str">
        <f t="shared" si="4"/>
        <v>-</v>
      </c>
      <c r="Z405" s="115" t="s">
        <v>3400</v>
      </c>
      <c r="AA405" s="54">
        <f t="shared" si="5"/>
        <v>1</v>
      </c>
      <c r="AB405" s="54">
        <f>COUNTIFS(Links!B:B,"FSE",Links!C:C,A405,Links!AD:AD,1)</f>
        <v>0</v>
      </c>
      <c r="AC405" s="117" t="s">
        <v>35</v>
      </c>
      <c r="AD405" s="118" t="s">
        <v>35</v>
      </c>
      <c r="AE405" s="115" t="s">
        <v>36</v>
      </c>
      <c r="AF405" s="57" t="s">
        <v>42</v>
      </c>
      <c r="AG405" s="57" t="s">
        <v>42</v>
      </c>
      <c r="AH405" s="57" t="s">
        <v>42</v>
      </c>
      <c r="AI405" s="116" t="str">
        <f t="shared" si="6"/>
        <v>----</v>
      </c>
      <c r="AJ405" s="119" t="str">
        <f t="shared" si="7"/>
        <v>Paper has link but no statement</v>
      </c>
      <c r="AK405" s="120" t="s">
        <v>3401</v>
      </c>
      <c r="AL405" s="121" t="s">
        <v>3402</v>
      </c>
      <c r="AM405" s="60" t="str">
        <f t="shared" si="8"/>
        <v>[FP0486]</v>
      </c>
    </row>
    <row r="406" ht="67.5" customHeight="1">
      <c r="A406" s="61">
        <v>487.0</v>
      </c>
      <c r="B406" s="22" t="s">
        <v>4425</v>
      </c>
      <c r="C406" s="23">
        <v>2019.0</v>
      </c>
      <c r="D406" s="100" t="s">
        <v>35</v>
      </c>
      <c r="E406" s="25" t="s">
        <v>36</v>
      </c>
      <c r="F406" s="25" t="s">
        <v>36</v>
      </c>
      <c r="G406" s="25" t="s">
        <v>36</v>
      </c>
      <c r="H406" s="25" t="s">
        <v>36</v>
      </c>
      <c r="I406" s="25" t="s">
        <v>36</v>
      </c>
      <c r="J406" s="101" t="s">
        <v>36</v>
      </c>
      <c r="K406" s="102" t="s">
        <v>35</v>
      </c>
      <c r="L406" s="103" t="s">
        <v>36</v>
      </c>
      <c r="M406" s="103" t="s">
        <v>36</v>
      </c>
      <c r="N406" s="103" t="s">
        <v>36</v>
      </c>
      <c r="O406" s="103" t="s">
        <v>36</v>
      </c>
      <c r="P406" s="103" t="s">
        <v>36</v>
      </c>
      <c r="Q406" s="103" t="s">
        <v>36</v>
      </c>
      <c r="R406" s="103" t="s">
        <v>36</v>
      </c>
      <c r="S406" s="104" t="s">
        <v>42</v>
      </c>
      <c r="T406" s="30" t="s">
        <v>36</v>
      </c>
      <c r="U406" s="30" t="s">
        <v>36</v>
      </c>
      <c r="V406" s="105" t="str">
        <f t="shared" si="2"/>
        <v>-</v>
      </c>
      <c r="W406" s="105" t="str">
        <f t="shared" ref="W406:X406" si="411">IF(lenb(SUBSTITUTE($Z406,W$1&amp;" (1)",""))&lt;lenb($Z406),1,IF(lenb(SUBSTITUTE($Z406,W$1&amp;" (2)",""))&lt;lenb($Z406),2,IF(lenb(SUBSTITUTE($Z406,W$1&amp;" (3)",""))&lt;lenb($Z406),3,IF(lenb(SUBSTITUTE($Z406,W$1&amp;" (4)",""))&lt;lenb($Z406),4,IF(lenb(SUBSTITUTE($Z406,W$1&amp;" (5)",""))&lt;lenb($Z406),5,IF(lenb(SUBSTITUTE($Z406,W$1&amp;" (6)",""))&lt;lenb($Z406),6,IF(lenb(SUBSTITUTE($Z406,W$1&amp;" (7)",""))&lt;lenb($Z406),1,IF(lenb(SUBSTITUTE($Z406,W$1&amp;" (8)",""))&lt;lenb($Z406),8,IF(lenb(SUBSTITUTE($Z406,W$1&amp;" (9)",""))&lt;lenb($Z406),9,IF(lenb(SUBSTITUTE($Z406,W$1&amp;" (10)",""))&lt;lenb($Z406),10,IF(lenb(SUBSTITUTE($Z406,W$1,""))&lt;lenb($Z406),"ERROR",IF($Z406=$Y$1,"-",0))))))))))))</f>
        <v>-</v>
      </c>
      <c r="X406" s="105" t="str">
        <f t="shared" si="411"/>
        <v>-</v>
      </c>
      <c r="Y406" s="105">
        <f t="shared" si="4"/>
        <v>1</v>
      </c>
      <c r="Z406" s="104" t="s">
        <v>23</v>
      </c>
      <c r="AA406" s="34">
        <f t="shared" si="5"/>
        <v>0</v>
      </c>
      <c r="AB406" s="34">
        <f>COUNTIFS(Links!B:B,"FSE",Links!C:C,A406,Links!AD:AD,1)</f>
        <v>0</v>
      </c>
      <c r="AC406" s="106" t="s">
        <v>36</v>
      </c>
      <c r="AD406" s="107" t="s">
        <v>35</v>
      </c>
      <c r="AE406" s="104" t="s">
        <v>36</v>
      </c>
      <c r="AF406" s="37" t="s">
        <v>42</v>
      </c>
      <c r="AG406" s="37" t="s">
        <v>42</v>
      </c>
      <c r="AH406" s="37" t="s">
        <v>42</v>
      </c>
      <c r="AI406" s="105" t="str">
        <f t="shared" si="6"/>
        <v>----</v>
      </c>
      <c r="AJ406" s="108" t="str">
        <f t="shared" si="7"/>
        <v>Paper has no link and no statement</v>
      </c>
      <c r="AK406" s="109" t="s">
        <v>3401</v>
      </c>
      <c r="AL406" s="110" t="s">
        <v>3402</v>
      </c>
      <c r="AM406" s="40" t="str">
        <f t="shared" si="8"/>
        <v>[FP0487]</v>
      </c>
    </row>
    <row r="407" ht="67.5" customHeight="1">
      <c r="A407" s="41">
        <v>488.0</v>
      </c>
      <c r="B407" s="42" t="s">
        <v>4426</v>
      </c>
      <c r="C407" s="43">
        <v>2019.0</v>
      </c>
      <c r="D407" s="111" t="s">
        <v>35</v>
      </c>
      <c r="E407" s="45" t="s">
        <v>36</v>
      </c>
      <c r="F407" s="45" t="s">
        <v>36</v>
      </c>
      <c r="G407" s="45" t="s">
        <v>36</v>
      </c>
      <c r="H407" s="45" t="s">
        <v>36</v>
      </c>
      <c r="I407" s="45" t="s">
        <v>36</v>
      </c>
      <c r="J407" s="112" t="s">
        <v>36</v>
      </c>
      <c r="K407" s="113" t="s">
        <v>37</v>
      </c>
      <c r="L407" s="114" t="s">
        <v>35</v>
      </c>
      <c r="M407" s="114" t="s">
        <v>37</v>
      </c>
      <c r="N407" s="114" t="s">
        <v>35</v>
      </c>
      <c r="O407" s="114" t="s">
        <v>35</v>
      </c>
      <c r="P407" s="114" t="s">
        <v>35</v>
      </c>
      <c r="Q407" s="114" t="s">
        <v>35</v>
      </c>
      <c r="R407" s="114" t="s">
        <v>37</v>
      </c>
      <c r="S407" s="115" t="s">
        <v>4427</v>
      </c>
      <c r="T407" s="50" t="s">
        <v>4428</v>
      </c>
      <c r="U407" s="50" t="s">
        <v>4428</v>
      </c>
      <c r="V407" s="116">
        <f t="shared" si="2"/>
        <v>0</v>
      </c>
      <c r="W407" s="116">
        <f t="shared" ref="W407:X407" si="412">IF(lenb(SUBSTITUTE($Z407,W$1&amp;" (1)",""))&lt;lenb($Z407),1,IF(lenb(SUBSTITUTE($Z407,W$1&amp;" (2)",""))&lt;lenb($Z407),2,IF(lenb(SUBSTITUTE($Z407,W$1&amp;" (3)",""))&lt;lenb($Z407),3,IF(lenb(SUBSTITUTE($Z407,W$1&amp;" (4)",""))&lt;lenb($Z407),4,IF(lenb(SUBSTITUTE($Z407,W$1&amp;" (5)",""))&lt;lenb($Z407),5,IF(lenb(SUBSTITUTE($Z407,W$1&amp;" (6)",""))&lt;lenb($Z407),6,IF(lenb(SUBSTITUTE($Z407,W$1&amp;" (7)",""))&lt;lenb($Z407),1,IF(lenb(SUBSTITUTE($Z407,W$1&amp;" (8)",""))&lt;lenb($Z407),8,IF(lenb(SUBSTITUTE($Z407,W$1&amp;" (9)",""))&lt;lenb($Z407),9,IF(lenb(SUBSTITUTE($Z407,W$1&amp;" (10)",""))&lt;lenb($Z407),10,IF(lenb(SUBSTITUTE($Z407,W$1,""))&lt;lenb($Z407),"ERROR",IF($Z407=$Y$1,"-",0))))))))))))</f>
        <v>0</v>
      </c>
      <c r="X407" s="116">
        <f t="shared" si="412"/>
        <v>1</v>
      </c>
      <c r="Y407" s="116" t="str">
        <f t="shared" si="4"/>
        <v>-</v>
      </c>
      <c r="Z407" s="115" t="s">
        <v>3563</v>
      </c>
      <c r="AA407" s="54">
        <f t="shared" si="5"/>
        <v>1</v>
      </c>
      <c r="AB407" s="54">
        <f>COUNTIFS(Links!B:B,"FSE",Links!C:C,A407,Links!AD:AD,1)</f>
        <v>0</v>
      </c>
      <c r="AC407" s="117" t="s">
        <v>35</v>
      </c>
      <c r="AD407" s="118" t="s">
        <v>35</v>
      </c>
      <c r="AE407" s="115" t="s">
        <v>36</v>
      </c>
      <c r="AF407" s="57" t="s">
        <v>42</v>
      </c>
      <c r="AG407" s="57" t="s">
        <v>42</v>
      </c>
      <c r="AH407" s="57" t="s">
        <v>42</v>
      </c>
      <c r="AI407" s="116" t="str">
        <f t="shared" si="6"/>
        <v>----</v>
      </c>
      <c r="AJ407" s="119" t="str">
        <f t="shared" si="7"/>
        <v>Paper has link but no statement</v>
      </c>
      <c r="AK407" s="120" t="s">
        <v>3401</v>
      </c>
      <c r="AL407" s="121" t="s">
        <v>3402</v>
      </c>
      <c r="AM407" s="60" t="str">
        <f t="shared" si="8"/>
        <v>[FP0488]</v>
      </c>
    </row>
    <row r="408" ht="67.5" customHeight="1">
      <c r="A408" s="61">
        <v>489.0</v>
      </c>
      <c r="B408" s="22" t="s">
        <v>4429</v>
      </c>
      <c r="C408" s="23">
        <v>2019.0</v>
      </c>
      <c r="D408" s="100" t="s">
        <v>37</v>
      </c>
      <c r="E408" s="25" t="s">
        <v>37</v>
      </c>
      <c r="F408" s="25" t="s">
        <v>35</v>
      </c>
      <c r="G408" s="25" t="s">
        <v>37</v>
      </c>
      <c r="H408" s="25" t="s">
        <v>35</v>
      </c>
      <c r="I408" s="25" t="s">
        <v>35</v>
      </c>
      <c r="J408" s="101" t="s">
        <v>36</v>
      </c>
      <c r="K408" s="102" t="s">
        <v>37</v>
      </c>
      <c r="L408" s="103" t="s">
        <v>35</v>
      </c>
      <c r="M408" s="103" t="s">
        <v>37</v>
      </c>
      <c r="N408" s="103" t="s">
        <v>35</v>
      </c>
      <c r="O408" s="103" t="s">
        <v>35</v>
      </c>
      <c r="P408" s="103" t="s">
        <v>37</v>
      </c>
      <c r="Q408" s="103" t="s">
        <v>35</v>
      </c>
      <c r="R408" s="103" t="s">
        <v>37</v>
      </c>
      <c r="S408" s="104" t="s">
        <v>4430</v>
      </c>
      <c r="T408" s="30" t="s">
        <v>4431</v>
      </c>
      <c r="U408" s="30" t="s">
        <v>4431</v>
      </c>
      <c r="V408" s="105">
        <f t="shared" si="2"/>
        <v>3</v>
      </c>
      <c r="W408" s="105">
        <f t="shared" ref="W408:X408" si="413">IF(lenb(SUBSTITUTE($Z408,W$1&amp;" (1)",""))&lt;lenb($Z408),1,IF(lenb(SUBSTITUTE($Z408,W$1&amp;" (2)",""))&lt;lenb($Z408),2,IF(lenb(SUBSTITUTE($Z408,W$1&amp;" (3)",""))&lt;lenb($Z408),3,IF(lenb(SUBSTITUTE($Z408,W$1&amp;" (4)",""))&lt;lenb($Z408),4,IF(lenb(SUBSTITUTE($Z408,W$1&amp;" (5)",""))&lt;lenb($Z408),5,IF(lenb(SUBSTITUTE($Z408,W$1&amp;" (6)",""))&lt;lenb($Z408),6,IF(lenb(SUBSTITUTE($Z408,W$1&amp;" (7)",""))&lt;lenb($Z408),1,IF(lenb(SUBSTITUTE($Z408,W$1&amp;" (8)",""))&lt;lenb($Z408),8,IF(lenb(SUBSTITUTE($Z408,W$1&amp;" (9)",""))&lt;lenb($Z408),9,IF(lenb(SUBSTITUTE($Z408,W$1&amp;" (10)",""))&lt;lenb($Z408),10,IF(lenb(SUBSTITUTE($Z408,W$1,""))&lt;lenb($Z408),"ERROR",IF($Z408=$Y$1,"-",0))))))))))))</f>
        <v>0</v>
      </c>
      <c r="X408" s="105">
        <f t="shared" si="413"/>
        <v>0</v>
      </c>
      <c r="Y408" s="105" t="str">
        <f t="shared" si="4"/>
        <v>-</v>
      </c>
      <c r="Z408" s="104" t="s">
        <v>3741</v>
      </c>
      <c r="AA408" s="34">
        <f t="shared" si="5"/>
        <v>3</v>
      </c>
      <c r="AB408" s="34">
        <f>COUNTIFS(Links!B:B,"FSE",Links!C:C,A408,Links!AD:AD,1)</f>
        <v>0</v>
      </c>
      <c r="AC408" s="106" t="s">
        <v>37</v>
      </c>
      <c r="AD408" s="107" t="s">
        <v>35</v>
      </c>
      <c r="AE408" s="104" t="s">
        <v>36</v>
      </c>
      <c r="AF408" s="37" t="s">
        <v>42</v>
      </c>
      <c r="AG408" s="37" t="s">
        <v>42</v>
      </c>
      <c r="AH408" s="37" t="s">
        <v>42</v>
      </c>
      <c r="AI408" s="105" t="str">
        <f t="shared" si="6"/>
        <v>----</v>
      </c>
      <c r="AJ408" s="108" t="str">
        <f t="shared" si="7"/>
        <v>Paper has link but no statement</v>
      </c>
      <c r="AK408" s="109" t="s">
        <v>3401</v>
      </c>
      <c r="AL408" s="110" t="s">
        <v>3402</v>
      </c>
      <c r="AM408" s="40" t="str">
        <f t="shared" si="8"/>
        <v>[FP0489]</v>
      </c>
    </row>
    <row r="409" ht="67.5" customHeight="1">
      <c r="A409" s="41">
        <v>490.0</v>
      </c>
      <c r="B409" s="42" t="s">
        <v>4432</v>
      </c>
      <c r="C409" s="43">
        <v>2019.0</v>
      </c>
      <c r="D409" s="111" t="s">
        <v>35</v>
      </c>
      <c r="E409" s="45" t="s">
        <v>36</v>
      </c>
      <c r="F409" s="45" t="s">
        <v>36</v>
      </c>
      <c r="G409" s="45" t="s">
        <v>36</v>
      </c>
      <c r="H409" s="45" t="s">
        <v>36</v>
      </c>
      <c r="I409" s="45" t="s">
        <v>36</v>
      </c>
      <c r="J409" s="112" t="s">
        <v>36</v>
      </c>
      <c r="K409" s="113" t="s">
        <v>37</v>
      </c>
      <c r="L409" s="114" t="s">
        <v>37</v>
      </c>
      <c r="M409" s="114" t="s">
        <v>35</v>
      </c>
      <c r="N409" s="114" t="s">
        <v>35</v>
      </c>
      <c r="O409" s="114" t="s">
        <v>35</v>
      </c>
      <c r="P409" s="114" t="s">
        <v>35</v>
      </c>
      <c r="Q409" s="114" t="s">
        <v>35</v>
      </c>
      <c r="R409" s="114" t="s">
        <v>37</v>
      </c>
      <c r="S409" s="115" t="s">
        <v>1188</v>
      </c>
      <c r="T409" s="50" t="s">
        <v>4433</v>
      </c>
      <c r="U409" s="50" t="s">
        <v>4433</v>
      </c>
      <c r="V409" s="116">
        <f t="shared" si="2"/>
        <v>1</v>
      </c>
      <c r="W409" s="116">
        <f t="shared" ref="W409:X409" si="414">IF(lenb(SUBSTITUTE($Z409,W$1&amp;" (1)",""))&lt;lenb($Z409),1,IF(lenb(SUBSTITUTE($Z409,W$1&amp;" (2)",""))&lt;lenb($Z409),2,IF(lenb(SUBSTITUTE($Z409,W$1&amp;" (3)",""))&lt;lenb($Z409),3,IF(lenb(SUBSTITUTE($Z409,W$1&amp;" (4)",""))&lt;lenb($Z409),4,IF(lenb(SUBSTITUTE($Z409,W$1&amp;" (5)",""))&lt;lenb($Z409),5,IF(lenb(SUBSTITUTE($Z409,W$1&amp;" (6)",""))&lt;lenb($Z409),6,IF(lenb(SUBSTITUTE($Z409,W$1&amp;" (7)",""))&lt;lenb($Z409),1,IF(lenb(SUBSTITUTE($Z409,W$1&amp;" (8)",""))&lt;lenb($Z409),8,IF(lenb(SUBSTITUTE($Z409,W$1&amp;" (9)",""))&lt;lenb($Z409),9,IF(lenb(SUBSTITUTE($Z409,W$1&amp;" (10)",""))&lt;lenb($Z409),10,IF(lenb(SUBSTITUTE($Z409,W$1,""))&lt;lenb($Z409),"ERROR",IF($Z409=$Y$1,"-",0))))))))))))</f>
        <v>0</v>
      </c>
      <c r="X409" s="116">
        <f t="shared" si="414"/>
        <v>0</v>
      </c>
      <c r="Y409" s="116" t="str">
        <f t="shared" si="4"/>
        <v>-</v>
      </c>
      <c r="Z409" s="115" t="s">
        <v>3400</v>
      </c>
      <c r="AA409" s="54">
        <f t="shared" si="5"/>
        <v>1</v>
      </c>
      <c r="AB409" s="54">
        <f>COUNTIFS(Links!B:B,"FSE",Links!C:C,A409,Links!AD:AD,1)</f>
        <v>0</v>
      </c>
      <c r="AC409" s="117" t="s">
        <v>35</v>
      </c>
      <c r="AD409" s="118" t="s">
        <v>35</v>
      </c>
      <c r="AE409" s="115" t="s">
        <v>36</v>
      </c>
      <c r="AF409" s="57" t="s">
        <v>42</v>
      </c>
      <c r="AG409" s="57" t="s">
        <v>42</v>
      </c>
      <c r="AH409" s="57" t="s">
        <v>42</v>
      </c>
      <c r="AI409" s="116" t="str">
        <f t="shared" si="6"/>
        <v>----</v>
      </c>
      <c r="AJ409" s="119" t="str">
        <f t="shared" si="7"/>
        <v>Paper has link but no statement</v>
      </c>
      <c r="AK409" s="120" t="s">
        <v>3401</v>
      </c>
      <c r="AL409" s="121" t="s">
        <v>3402</v>
      </c>
      <c r="AM409" s="60" t="str">
        <f t="shared" si="8"/>
        <v>[FP0490]</v>
      </c>
    </row>
    <row r="410" ht="67.5" customHeight="1">
      <c r="A410" s="61">
        <v>491.0</v>
      </c>
      <c r="B410" s="22" t="s">
        <v>4434</v>
      </c>
      <c r="C410" s="23">
        <v>2019.0</v>
      </c>
      <c r="D410" s="100" t="s">
        <v>35</v>
      </c>
      <c r="E410" s="25" t="s">
        <v>36</v>
      </c>
      <c r="F410" s="25" t="s">
        <v>36</v>
      </c>
      <c r="G410" s="25" t="s">
        <v>36</v>
      </c>
      <c r="H410" s="25" t="s">
        <v>36</v>
      </c>
      <c r="I410" s="25" t="s">
        <v>36</v>
      </c>
      <c r="J410" s="101" t="s">
        <v>36</v>
      </c>
      <c r="K410" s="102" t="s">
        <v>37</v>
      </c>
      <c r="L410" s="103" t="s">
        <v>35</v>
      </c>
      <c r="M410" s="103" t="s">
        <v>37</v>
      </c>
      <c r="N410" s="103" t="s">
        <v>37</v>
      </c>
      <c r="O410" s="103" t="s">
        <v>35</v>
      </c>
      <c r="P410" s="103" t="s">
        <v>35</v>
      </c>
      <c r="Q410" s="103" t="s">
        <v>35</v>
      </c>
      <c r="R410" s="103" t="s">
        <v>37</v>
      </c>
      <c r="S410" s="104" t="s">
        <v>4435</v>
      </c>
      <c r="T410" s="30" t="s">
        <v>4436</v>
      </c>
      <c r="U410" s="30" t="s">
        <v>4436</v>
      </c>
      <c r="V410" s="105">
        <f t="shared" si="2"/>
        <v>1</v>
      </c>
      <c r="W410" s="105">
        <f t="shared" ref="W410:X410" si="415">IF(lenb(SUBSTITUTE($Z410,W$1&amp;" (1)",""))&lt;lenb($Z410),1,IF(lenb(SUBSTITUTE($Z410,W$1&amp;" (2)",""))&lt;lenb($Z410),2,IF(lenb(SUBSTITUTE($Z410,W$1&amp;" (3)",""))&lt;lenb($Z410),3,IF(lenb(SUBSTITUTE($Z410,W$1&amp;" (4)",""))&lt;lenb($Z410),4,IF(lenb(SUBSTITUTE($Z410,W$1&amp;" (5)",""))&lt;lenb($Z410),5,IF(lenb(SUBSTITUTE($Z410,W$1&amp;" (6)",""))&lt;lenb($Z410),6,IF(lenb(SUBSTITUTE($Z410,W$1&amp;" (7)",""))&lt;lenb($Z410),1,IF(lenb(SUBSTITUTE($Z410,W$1&amp;" (8)",""))&lt;lenb($Z410),8,IF(lenb(SUBSTITUTE($Z410,W$1&amp;" (9)",""))&lt;lenb($Z410),9,IF(lenb(SUBSTITUTE($Z410,W$1&amp;" (10)",""))&lt;lenb($Z410),10,IF(lenb(SUBSTITUTE($Z410,W$1,""))&lt;lenb($Z410),"ERROR",IF($Z410=$Y$1,"-",0))))))))))))</f>
        <v>0</v>
      </c>
      <c r="X410" s="105">
        <f t="shared" si="415"/>
        <v>0</v>
      </c>
      <c r="Y410" s="105" t="str">
        <f t="shared" si="4"/>
        <v>-</v>
      </c>
      <c r="Z410" s="104" t="s">
        <v>3400</v>
      </c>
      <c r="AA410" s="34">
        <f t="shared" si="5"/>
        <v>1</v>
      </c>
      <c r="AB410" s="34">
        <f>COUNTIFS(Links!B:B,"FSE",Links!C:C,A410,Links!AD:AD,1)</f>
        <v>0</v>
      </c>
      <c r="AC410" s="106" t="s">
        <v>35</v>
      </c>
      <c r="AD410" s="107" t="s">
        <v>35</v>
      </c>
      <c r="AE410" s="104" t="s">
        <v>36</v>
      </c>
      <c r="AF410" s="37" t="s">
        <v>42</v>
      </c>
      <c r="AG410" s="37" t="s">
        <v>42</v>
      </c>
      <c r="AH410" s="37" t="s">
        <v>42</v>
      </c>
      <c r="AI410" s="105" t="str">
        <f t="shared" si="6"/>
        <v>----</v>
      </c>
      <c r="AJ410" s="108" t="str">
        <f t="shared" si="7"/>
        <v>Paper has link but no statement</v>
      </c>
      <c r="AK410" s="109" t="s">
        <v>3401</v>
      </c>
      <c r="AL410" s="110" t="s">
        <v>3402</v>
      </c>
      <c r="AM410" s="40" t="str">
        <f t="shared" si="8"/>
        <v>[FP0491]</v>
      </c>
    </row>
    <row r="411" ht="67.5" customHeight="1">
      <c r="A411" s="41">
        <v>492.0</v>
      </c>
      <c r="B411" s="42" t="s">
        <v>4437</v>
      </c>
      <c r="C411" s="43">
        <v>2019.0</v>
      </c>
      <c r="D411" s="111" t="s">
        <v>37</v>
      </c>
      <c r="E411" s="45" t="s">
        <v>37</v>
      </c>
      <c r="F411" s="45" t="s">
        <v>35</v>
      </c>
      <c r="G411" s="45" t="s">
        <v>37</v>
      </c>
      <c r="H411" s="45" t="s">
        <v>35</v>
      </c>
      <c r="I411" s="45" t="s">
        <v>35</v>
      </c>
      <c r="J411" s="112" t="s">
        <v>36</v>
      </c>
      <c r="K411" s="113" t="s">
        <v>35</v>
      </c>
      <c r="L411" s="114" t="s">
        <v>36</v>
      </c>
      <c r="M411" s="114" t="s">
        <v>36</v>
      </c>
      <c r="N411" s="114" t="s">
        <v>36</v>
      </c>
      <c r="O411" s="114" t="s">
        <v>36</v>
      </c>
      <c r="P411" s="114" t="s">
        <v>36</v>
      </c>
      <c r="Q411" s="114" t="s">
        <v>36</v>
      </c>
      <c r="R411" s="114" t="s">
        <v>36</v>
      </c>
      <c r="S411" s="115" t="s">
        <v>42</v>
      </c>
      <c r="T411" s="50" t="s">
        <v>36</v>
      </c>
      <c r="U411" s="50" t="s">
        <v>36</v>
      </c>
      <c r="V411" s="116" t="str">
        <f t="shared" si="2"/>
        <v>-</v>
      </c>
      <c r="W411" s="116" t="str">
        <f t="shared" ref="W411:X411" si="416">IF(lenb(SUBSTITUTE($Z411,W$1&amp;" (1)",""))&lt;lenb($Z411),1,IF(lenb(SUBSTITUTE($Z411,W$1&amp;" (2)",""))&lt;lenb($Z411),2,IF(lenb(SUBSTITUTE($Z411,W$1&amp;" (3)",""))&lt;lenb($Z411),3,IF(lenb(SUBSTITUTE($Z411,W$1&amp;" (4)",""))&lt;lenb($Z411),4,IF(lenb(SUBSTITUTE($Z411,W$1&amp;" (5)",""))&lt;lenb($Z411),5,IF(lenb(SUBSTITUTE($Z411,W$1&amp;" (6)",""))&lt;lenb($Z411),6,IF(lenb(SUBSTITUTE($Z411,W$1&amp;" (7)",""))&lt;lenb($Z411),1,IF(lenb(SUBSTITUTE($Z411,W$1&amp;" (8)",""))&lt;lenb($Z411),8,IF(lenb(SUBSTITUTE($Z411,W$1&amp;" (9)",""))&lt;lenb($Z411),9,IF(lenb(SUBSTITUTE($Z411,W$1&amp;" (10)",""))&lt;lenb($Z411),10,IF(lenb(SUBSTITUTE($Z411,W$1,""))&lt;lenb($Z411),"ERROR",IF($Z411=$Y$1,"-",0))))))))))))</f>
        <v>-</v>
      </c>
      <c r="X411" s="116" t="str">
        <f t="shared" si="416"/>
        <v>-</v>
      </c>
      <c r="Y411" s="116">
        <f t="shared" si="4"/>
        <v>1</v>
      </c>
      <c r="Z411" s="115" t="s">
        <v>23</v>
      </c>
      <c r="AA411" s="54">
        <f t="shared" si="5"/>
        <v>0</v>
      </c>
      <c r="AB411" s="54">
        <f>COUNTIFS(Links!B:B,"FSE",Links!C:C,A411,Links!AD:AD,1)</f>
        <v>0</v>
      </c>
      <c r="AC411" s="117" t="s">
        <v>36</v>
      </c>
      <c r="AD411" s="118" t="s">
        <v>35</v>
      </c>
      <c r="AE411" s="115" t="s">
        <v>36</v>
      </c>
      <c r="AF411" s="57" t="s">
        <v>42</v>
      </c>
      <c r="AG411" s="57" t="s">
        <v>42</v>
      </c>
      <c r="AH411" s="57" t="s">
        <v>42</v>
      </c>
      <c r="AI411" s="116" t="str">
        <f t="shared" si="6"/>
        <v>----</v>
      </c>
      <c r="AJ411" s="119" t="str">
        <f t="shared" si="7"/>
        <v>Paper has no link and no statement</v>
      </c>
      <c r="AK411" s="120" t="s">
        <v>3401</v>
      </c>
      <c r="AL411" s="121" t="s">
        <v>3402</v>
      </c>
      <c r="AM411" s="60" t="str">
        <f t="shared" si="8"/>
        <v>[FP0492]</v>
      </c>
    </row>
    <row r="412" ht="67.5" customHeight="1">
      <c r="A412" s="61">
        <v>493.0</v>
      </c>
      <c r="B412" s="22" t="s">
        <v>4438</v>
      </c>
      <c r="C412" s="23">
        <v>2019.0</v>
      </c>
      <c r="D412" s="100" t="s">
        <v>35</v>
      </c>
      <c r="E412" s="25" t="s">
        <v>36</v>
      </c>
      <c r="F412" s="25" t="s">
        <v>36</v>
      </c>
      <c r="G412" s="25" t="s">
        <v>36</v>
      </c>
      <c r="H412" s="25" t="s">
        <v>36</v>
      </c>
      <c r="I412" s="25" t="s">
        <v>36</v>
      </c>
      <c r="J412" s="101" t="s">
        <v>36</v>
      </c>
      <c r="K412" s="102" t="s">
        <v>37</v>
      </c>
      <c r="L412" s="103" t="s">
        <v>37</v>
      </c>
      <c r="M412" s="103" t="s">
        <v>35</v>
      </c>
      <c r="N412" s="103" t="s">
        <v>35</v>
      </c>
      <c r="O412" s="103" t="s">
        <v>35</v>
      </c>
      <c r="P412" s="103" t="s">
        <v>35</v>
      </c>
      <c r="Q412" s="103" t="s">
        <v>35</v>
      </c>
      <c r="R412" s="103" t="s">
        <v>37</v>
      </c>
      <c r="S412" s="104" t="s">
        <v>4439</v>
      </c>
      <c r="T412" s="30" t="s">
        <v>4440</v>
      </c>
      <c r="U412" s="30" t="s">
        <v>4440</v>
      </c>
      <c r="V412" s="105">
        <f t="shared" si="2"/>
        <v>1</v>
      </c>
      <c r="W412" s="105">
        <f t="shared" ref="W412:X412" si="417">IF(lenb(SUBSTITUTE($Z412,W$1&amp;" (1)",""))&lt;lenb($Z412),1,IF(lenb(SUBSTITUTE($Z412,W$1&amp;" (2)",""))&lt;lenb($Z412),2,IF(lenb(SUBSTITUTE($Z412,W$1&amp;" (3)",""))&lt;lenb($Z412),3,IF(lenb(SUBSTITUTE($Z412,W$1&amp;" (4)",""))&lt;lenb($Z412),4,IF(lenb(SUBSTITUTE($Z412,W$1&amp;" (5)",""))&lt;lenb($Z412),5,IF(lenb(SUBSTITUTE($Z412,W$1&amp;" (6)",""))&lt;lenb($Z412),6,IF(lenb(SUBSTITUTE($Z412,W$1&amp;" (7)",""))&lt;lenb($Z412),1,IF(lenb(SUBSTITUTE($Z412,W$1&amp;" (8)",""))&lt;lenb($Z412),8,IF(lenb(SUBSTITUTE($Z412,W$1&amp;" (9)",""))&lt;lenb($Z412),9,IF(lenb(SUBSTITUTE($Z412,W$1&amp;" (10)",""))&lt;lenb($Z412),10,IF(lenb(SUBSTITUTE($Z412,W$1,""))&lt;lenb($Z412),"ERROR",IF($Z412=$Y$1,"-",0))))))))))))</f>
        <v>0</v>
      </c>
      <c r="X412" s="105">
        <f t="shared" si="417"/>
        <v>0</v>
      </c>
      <c r="Y412" s="105" t="str">
        <f t="shared" si="4"/>
        <v>-</v>
      </c>
      <c r="Z412" s="104" t="s">
        <v>3400</v>
      </c>
      <c r="AA412" s="34">
        <f t="shared" si="5"/>
        <v>1</v>
      </c>
      <c r="AB412" s="34">
        <f>COUNTIFS(Links!B:B,"FSE",Links!C:C,A412,Links!AD:AD,1)</f>
        <v>0</v>
      </c>
      <c r="AC412" s="106" t="s">
        <v>37</v>
      </c>
      <c r="AD412" s="107" t="s">
        <v>35</v>
      </c>
      <c r="AE412" s="104" t="s">
        <v>36</v>
      </c>
      <c r="AF412" s="37" t="s">
        <v>42</v>
      </c>
      <c r="AG412" s="37" t="s">
        <v>42</v>
      </c>
      <c r="AH412" s="37" t="s">
        <v>42</v>
      </c>
      <c r="AI412" s="105" t="str">
        <f t="shared" si="6"/>
        <v>----</v>
      </c>
      <c r="AJ412" s="108" t="str">
        <f t="shared" si="7"/>
        <v>Paper has link but no statement</v>
      </c>
      <c r="AK412" s="109" t="s">
        <v>3401</v>
      </c>
      <c r="AL412" s="110" t="s">
        <v>3402</v>
      </c>
      <c r="AM412" s="40" t="str">
        <f t="shared" si="8"/>
        <v>[FP0493]</v>
      </c>
    </row>
    <row r="413" ht="67.5" customHeight="1">
      <c r="A413" s="41">
        <v>494.0</v>
      </c>
      <c r="B413" s="42" t="s">
        <v>4441</v>
      </c>
      <c r="C413" s="43">
        <v>2019.0</v>
      </c>
      <c r="D413" s="111" t="s">
        <v>37</v>
      </c>
      <c r="E413" s="45" t="s">
        <v>37</v>
      </c>
      <c r="F413" s="45" t="s">
        <v>35</v>
      </c>
      <c r="G413" s="45" t="s">
        <v>37</v>
      </c>
      <c r="H413" s="45" t="s">
        <v>35</v>
      </c>
      <c r="I413" s="45" t="s">
        <v>35</v>
      </c>
      <c r="J413" s="112" t="s">
        <v>36</v>
      </c>
      <c r="K413" s="113" t="s">
        <v>37</v>
      </c>
      <c r="L413" s="114" t="s">
        <v>37</v>
      </c>
      <c r="M413" s="114" t="s">
        <v>35</v>
      </c>
      <c r="N413" s="114" t="s">
        <v>35</v>
      </c>
      <c r="O413" s="114" t="s">
        <v>35</v>
      </c>
      <c r="P413" s="114" t="s">
        <v>35</v>
      </c>
      <c r="Q413" s="114" t="s">
        <v>35</v>
      </c>
      <c r="R413" s="114" t="s">
        <v>37</v>
      </c>
      <c r="S413" s="115" t="s">
        <v>4442</v>
      </c>
      <c r="T413" s="57" t="s">
        <v>4443</v>
      </c>
      <c r="U413" s="50" t="s">
        <v>4444</v>
      </c>
      <c r="V413" s="116">
        <f t="shared" si="2"/>
        <v>1</v>
      </c>
      <c r="W413" s="116">
        <f t="shared" ref="W413:X413" si="418">IF(lenb(SUBSTITUTE($Z413,W$1&amp;" (1)",""))&lt;lenb($Z413),1,IF(lenb(SUBSTITUTE($Z413,W$1&amp;" (2)",""))&lt;lenb($Z413),2,IF(lenb(SUBSTITUTE($Z413,W$1&amp;" (3)",""))&lt;lenb($Z413),3,IF(lenb(SUBSTITUTE($Z413,W$1&amp;" (4)",""))&lt;lenb($Z413),4,IF(lenb(SUBSTITUTE($Z413,W$1&amp;" (5)",""))&lt;lenb($Z413),5,IF(lenb(SUBSTITUTE($Z413,W$1&amp;" (6)",""))&lt;lenb($Z413),6,IF(lenb(SUBSTITUTE($Z413,W$1&amp;" (7)",""))&lt;lenb($Z413),1,IF(lenb(SUBSTITUTE($Z413,W$1&amp;" (8)",""))&lt;lenb($Z413),8,IF(lenb(SUBSTITUTE($Z413,W$1&amp;" (9)",""))&lt;lenb($Z413),9,IF(lenb(SUBSTITUTE($Z413,W$1&amp;" (10)",""))&lt;lenb($Z413),10,IF(lenb(SUBSTITUTE($Z413,W$1,""))&lt;lenb($Z413),"ERROR",IF($Z413=$Y$1,"-",0))))))))))))</f>
        <v>0</v>
      </c>
      <c r="X413" s="116">
        <f t="shared" si="418"/>
        <v>0</v>
      </c>
      <c r="Y413" s="116" t="str">
        <f t="shared" si="4"/>
        <v>-</v>
      </c>
      <c r="Z413" s="115" t="s">
        <v>3400</v>
      </c>
      <c r="AA413" s="54">
        <f t="shared" si="5"/>
        <v>1</v>
      </c>
      <c r="AB413" s="54">
        <f>COUNTIFS(Links!B:B,"FSE",Links!C:C,A413,Links!AD:AD,1)</f>
        <v>0</v>
      </c>
      <c r="AC413" s="117" t="s">
        <v>35</v>
      </c>
      <c r="AD413" s="118" t="s">
        <v>35</v>
      </c>
      <c r="AE413" s="115" t="s">
        <v>36</v>
      </c>
      <c r="AF413" s="57" t="s">
        <v>42</v>
      </c>
      <c r="AG413" s="57" t="s">
        <v>42</v>
      </c>
      <c r="AH413" s="57" t="s">
        <v>42</v>
      </c>
      <c r="AI413" s="116" t="str">
        <f t="shared" si="6"/>
        <v>----</v>
      </c>
      <c r="AJ413" s="119" t="str">
        <f t="shared" si="7"/>
        <v>Paper has link but no statement</v>
      </c>
      <c r="AK413" s="120" t="s">
        <v>3401</v>
      </c>
      <c r="AL413" s="121" t="s">
        <v>3402</v>
      </c>
      <c r="AM413" s="60" t="str">
        <f t="shared" si="8"/>
        <v>[FP0494]</v>
      </c>
    </row>
    <row r="414" ht="67.5" customHeight="1">
      <c r="A414" s="61">
        <v>495.0</v>
      </c>
      <c r="B414" s="22" t="s">
        <v>4445</v>
      </c>
      <c r="C414" s="23">
        <v>2019.0</v>
      </c>
      <c r="D414" s="100" t="s">
        <v>35</v>
      </c>
      <c r="E414" s="25" t="s">
        <v>36</v>
      </c>
      <c r="F414" s="25" t="s">
        <v>36</v>
      </c>
      <c r="G414" s="25" t="s">
        <v>36</v>
      </c>
      <c r="H414" s="25" t="s">
        <v>36</v>
      </c>
      <c r="I414" s="25" t="s">
        <v>36</v>
      </c>
      <c r="J414" s="101" t="s">
        <v>36</v>
      </c>
      <c r="K414" s="102" t="s">
        <v>35</v>
      </c>
      <c r="L414" s="103" t="s">
        <v>36</v>
      </c>
      <c r="M414" s="103" t="s">
        <v>36</v>
      </c>
      <c r="N414" s="103" t="s">
        <v>36</v>
      </c>
      <c r="O414" s="103" t="s">
        <v>36</v>
      </c>
      <c r="P414" s="103" t="s">
        <v>36</v>
      </c>
      <c r="Q414" s="103" t="s">
        <v>36</v>
      </c>
      <c r="R414" s="103" t="s">
        <v>36</v>
      </c>
      <c r="S414" s="104" t="s">
        <v>42</v>
      </c>
      <c r="T414" s="30" t="s">
        <v>36</v>
      </c>
      <c r="U414" s="30" t="s">
        <v>36</v>
      </c>
      <c r="V414" s="105" t="str">
        <f t="shared" si="2"/>
        <v>-</v>
      </c>
      <c r="W414" s="105" t="str">
        <f t="shared" ref="W414:X414" si="419">IF(lenb(SUBSTITUTE($Z414,W$1&amp;" (1)",""))&lt;lenb($Z414),1,IF(lenb(SUBSTITUTE($Z414,W$1&amp;" (2)",""))&lt;lenb($Z414),2,IF(lenb(SUBSTITUTE($Z414,W$1&amp;" (3)",""))&lt;lenb($Z414),3,IF(lenb(SUBSTITUTE($Z414,W$1&amp;" (4)",""))&lt;lenb($Z414),4,IF(lenb(SUBSTITUTE($Z414,W$1&amp;" (5)",""))&lt;lenb($Z414),5,IF(lenb(SUBSTITUTE($Z414,W$1&amp;" (6)",""))&lt;lenb($Z414),6,IF(lenb(SUBSTITUTE($Z414,W$1&amp;" (7)",""))&lt;lenb($Z414),1,IF(lenb(SUBSTITUTE($Z414,W$1&amp;" (8)",""))&lt;lenb($Z414),8,IF(lenb(SUBSTITUTE($Z414,W$1&amp;" (9)",""))&lt;lenb($Z414),9,IF(lenb(SUBSTITUTE($Z414,W$1&amp;" (10)",""))&lt;lenb($Z414),10,IF(lenb(SUBSTITUTE($Z414,W$1,""))&lt;lenb($Z414),"ERROR",IF($Z414=$Y$1,"-",0))))))))))))</f>
        <v>-</v>
      </c>
      <c r="X414" s="105" t="str">
        <f t="shared" si="419"/>
        <v>-</v>
      </c>
      <c r="Y414" s="105">
        <f t="shared" si="4"/>
        <v>1</v>
      </c>
      <c r="Z414" s="104" t="s">
        <v>23</v>
      </c>
      <c r="AA414" s="34">
        <f t="shared" si="5"/>
        <v>0</v>
      </c>
      <c r="AB414" s="34">
        <f>COUNTIFS(Links!B:B,"FSE",Links!C:C,A414,Links!AD:AD,1)</f>
        <v>0</v>
      </c>
      <c r="AC414" s="106" t="s">
        <v>36</v>
      </c>
      <c r="AD414" s="107" t="s">
        <v>35</v>
      </c>
      <c r="AE414" s="104" t="s">
        <v>36</v>
      </c>
      <c r="AF414" s="37" t="s">
        <v>42</v>
      </c>
      <c r="AG414" s="37" t="s">
        <v>42</v>
      </c>
      <c r="AH414" s="37" t="s">
        <v>42</v>
      </c>
      <c r="AI414" s="105" t="str">
        <f t="shared" si="6"/>
        <v>----</v>
      </c>
      <c r="AJ414" s="108" t="str">
        <f t="shared" si="7"/>
        <v>Paper has no link and no statement</v>
      </c>
      <c r="AK414" s="109" t="s">
        <v>3401</v>
      </c>
      <c r="AL414" s="110" t="s">
        <v>3402</v>
      </c>
      <c r="AM414" s="40" t="str">
        <f t="shared" si="8"/>
        <v>[FP0495]</v>
      </c>
    </row>
    <row r="415" ht="67.5" customHeight="1">
      <c r="A415" s="41">
        <v>496.0</v>
      </c>
      <c r="B415" s="42" t="s">
        <v>4446</v>
      </c>
      <c r="C415" s="43">
        <v>2019.0</v>
      </c>
      <c r="D415" s="111" t="s">
        <v>35</v>
      </c>
      <c r="E415" s="45" t="s">
        <v>36</v>
      </c>
      <c r="F415" s="45" t="s">
        <v>36</v>
      </c>
      <c r="G415" s="45" t="s">
        <v>36</v>
      </c>
      <c r="H415" s="45" t="s">
        <v>36</v>
      </c>
      <c r="I415" s="45" t="s">
        <v>36</v>
      </c>
      <c r="J415" s="112" t="s">
        <v>36</v>
      </c>
      <c r="K415" s="113" t="s">
        <v>37</v>
      </c>
      <c r="L415" s="114" t="s">
        <v>35</v>
      </c>
      <c r="M415" s="114" t="s">
        <v>37</v>
      </c>
      <c r="N415" s="114" t="s">
        <v>35</v>
      </c>
      <c r="O415" s="114" t="s">
        <v>35</v>
      </c>
      <c r="P415" s="114" t="s">
        <v>35</v>
      </c>
      <c r="Q415" s="114" t="s">
        <v>35</v>
      </c>
      <c r="R415" s="114" t="s">
        <v>37</v>
      </c>
      <c r="S415" s="115" t="s">
        <v>4447</v>
      </c>
      <c r="T415" s="57" t="s">
        <v>4448</v>
      </c>
      <c r="U415" s="57" t="s">
        <v>4448</v>
      </c>
      <c r="V415" s="116">
        <f t="shared" si="2"/>
        <v>1</v>
      </c>
      <c r="W415" s="116">
        <f t="shared" ref="W415:X415" si="420">IF(lenb(SUBSTITUTE($Z415,W$1&amp;" (1)",""))&lt;lenb($Z415),1,IF(lenb(SUBSTITUTE($Z415,W$1&amp;" (2)",""))&lt;lenb($Z415),2,IF(lenb(SUBSTITUTE($Z415,W$1&amp;" (3)",""))&lt;lenb($Z415),3,IF(lenb(SUBSTITUTE($Z415,W$1&amp;" (4)",""))&lt;lenb($Z415),4,IF(lenb(SUBSTITUTE($Z415,W$1&amp;" (5)",""))&lt;lenb($Z415),5,IF(lenb(SUBSTITUTE($Z415,W$1&amp;" (6)",""))&lt;lenb($Z415),6,IF(lenb(SUBSTITUTE($Z415,W$1&amp;" (7)",""))&lt;lenb($Z415),1,IF(lenb(SUBSTITUTE($Z415,W$1&amp;" (8)",""))&lt;lenb($Z415),8,IF(lenb(SUBSTITUTE($Z415,W$1&amp;" (9)",""))&lt;lenb($Z415),9,IF(lenb(SUBSTITUTE($Z415,W$1&amp;" (10)",""))&lt;lenb($Z415),10,IF(lenb(SUBSTITUTE($Z415,W$1,""))&lt;lenb($Z415),"ERROR",IF($Z415=$Y$1,"-",0))))))))))))</f>
        <v>0</v>
      </c>
      <c r="X415" s="116">
        <f t="shared" si="420"/>
        <v>0</v>
      </c>
      <c r="Y415" s="116" t="str">
        <f t="shared" si="4"/>
        <v>-</v>
      </c>
      <c r="Z415" s="115" t="s">
        <v>3400</v>
      </c>
      <c r="AA415" s="54">
        <f t="shared" si="5"/>
        <v>1</v>
      </c>
      <c r="AB415" s="54">
        <f>COUNTIFS(Links!B:B,"FSE",Links!C:C,A415,Links!AD:AD,1)</f>
        <v>0</v>
      </c>
      <c r="AC415" s="117" t="s">
        <v>37</v>
      </c>
      <c r="AD415" s="118" t="s">
        <v>35</v>
      </c>
      <c r="AE415" s="115" t="s">
        <v>36</v>
      </c>
      <c r="AF415" s="57" t="s">
        <v>42</v>
      </c>
      <c r="AG415" s="57" t="s">
        <v>42</v>
      </c>
      <c r="AH415" s="57" t="s">
        <v>42</v>
      </c>
      <c r="AI415" s="116" t="str">
        <f t="shared" si="6"/>
        <v>----</v>
      </c>
      <c r="AJ415" s="119" t="str">
        <f t="shared" si="7"/>
        <v>Paper has link but no statement</v>
      </c>
      <c r="AK415" s="120" t="s">
        <v>3401</v>
      </c>
      <c r="AL415" s="121" t="s">
        <v>3402</v>
      </c>
      <c r="AM415" s="60" t="str">
        <f t="shared" si="8"/>
        <v>[FP0496]</v>
      </c>
    </row>
    <row r="416" ht="67.5" customHeight="1">
      <c r="A416" s="61">
        <v>497.0</v>
      </c>
      <c r="B416" s="22" t="s">
        <v>4449</v>
      </c>
      <c r="C416" s="23">
        <v>2019.0</v>
      </c>
      <c r="D416" s="100" t="s">
        <v>35</v>
      </c>
      <c r="E416" s="25" t="s">
        <v>36</v>
      </c>
      <c r="F416" s="25" t="s">
        <v>36</v>
      </c>
      <c r="G416" s="25" t="s">
        <v>36</v>
      </c>
      <c r="H416" s="25" t="s">
        <v>36</v>
      </c>
      <c r="I416" s="25" t="s">
        <v>36</v>
      </c>
      <c r="J416" s="101" t="s">
        <v>36</v>
      </c>
      <c r="K416" s="102" t="s">
        <v>37</v>
      </c>
      <c r="L416" s="103" t="s">
        <v>35</v>
      </c>
      <c r="M416" s="103" t="s">
        <v>37</v>
      </c>
      <c r="N416" s="103" t="s">
        <v>37</v>
      </c>
      <c r="O416" s="103" t="s">
        <v>35</v>
      </c>
      <c r="P416" s="103" t="s">
        <v>35</v>
      </c>
      <c r="Q416" s="103" t="s">
        <v>35</v>
      </c>
      <c r="R416" s="103" t="s">
        <v>37</v>
      </c>
      <c r="S416" s="104" t="s">
        <v>4450</v>
      </c>
      <c r="T416" s="130" t="s">
        <v>4451</v>
      </c>
      <c r="U416" s="130" t="s">
        <v>4452</v>
      </c>
      <c r="V416" s="105">
        <f t="shared" si="2"/>
        <v>0</v>
      </c>
      <c r="W416" s="105">
        <f t="shared" ref="W416:X416" si="421">IF(lenb(SUBSTITUTE($Z416,W$1&amp;" (1)",""))&lt;lenb($Z416),1,IF(lenb(SUBSTITUTE($Z416,W$1&amp;" (2)",""))&lt;lenb($Z416),2,IF(lenb(SUBSTITUTE($Z416,W$1&amp;" (3)",""))&lt;lenb($Z416),3,IF(lenb(SUBSTITUTE($Z416,W$1&amp;" (4)",""))&lt;lenb($Z416),4,IF(lenb(SUBSTITUTE($Z416,W$1&amp;" (5)",""))&lt;lenb($Z416),5,IF(lenb(SUBSTITUTE($Z416,W$1&amp;" (6)",""))&lt;lenb($Z416),6,IF(lenb(SUBSTITUTE($Z416,W$1&amp;" (7)",""))&lt;lenb($Z416),1,IF(lenb(SUBSTITUTE($Z416,W$1&amp;" (8)",""))&lt;lenb($Z416),8,IF(lenb(SUBSTITUTE($Z416,W$1&amp;" (9)",""))&lt;lenb($Z416),9,IF(lenb(SUBSTITUTE($Z416,W$1&amp;" (10)",""))&lt;lenb($Z416),10,IF(lenb(SUBSTITUTE($Z416,W$1,""))&lt;lenb($Z416),"ERROR",IF($Z416=$Y$1,"-",0))))))))))))</f>
        <v>2</v>
      </c>
      <c r="X416" s="105">
        <f t="shared" si="421"/>
        <v>0</v>
      </c>
      <c r="Y416" s="105" t="str">
        <f t="shared" si="4"/>
        <v>-</v>
      </c>
      <c r="Z416" s="104" t="s">
        <v>3419</v>
      </c>
      <c r="AA416" s="34">
        <f t="shared" si="5"/>
        <v>2</v>
      </c>
      <c r="AB416" s="34">
        <f>COUNTIFS(Links!B:B,"FSE",Links!C:C,A416,Links!AD:AD,1)</f>
        <v>0</v>
      </c>
      <c r="AC416" s="106" t="s">
        <v>37</v>
      </c>
      <c r="AD416" s="107" t="s">
        <v>35</v>
      </c>
      <c r="AE416" s="104" t="s">
        <v>36</v>
      </c>
      <c r="AF416" s="37" t="s">
        <v>42</v>
      </c>
      <c r="AG416" s="37" t="s">
        <v>42</v>
      </c>
      <c r="AH416" s="37" t="s">
        <v>42</v>
      </c>
      <c r="AI416" s="105" t="str">
        <f t="shared" si="6"/>
        <v>----</v>
      </c>
      <c r="AJ416" s="108" t="str">
        <f t="shared" si="7"/>
        <v>Paper has link but no statement</v>
      </c>
      <c r="AK416" s="109" t="s">
        <v>3401</v>
      </c>
      <c r="AL416" s="110" t="s">
        <v>3402</v>
      </c>
      <c r="AM416" s="40" t="str">
        <f t="shared" si="8"/>
        <v>[FP0497]</v>
      </c>
    </row>
    <row r="417" ht="67.5" customHeight="1">
      <c r="A417" s="41">
        <v>498.0</v>
      </c>
      <c r="B417" s="42" t="s">
        <v>4453</v>
      </c>
      <c r="C417" s="43">
        <v>2019.0</v>
      </c>
      <c r="D417" s="111" t="s">
        <v>35</v>
      </c>
      <c r="E417" s="45" t="s">
        <v>36</v>
      </c>
      <c r="F417" s="45" t="s">
        <v>36</v>
      </c>
      <c r="G417" s="45" t="s">
        <v>36</v>
      </c>
      <c r="H417" s="45" t="s">
        <v>36</v>
      </c>
      <c r="I417" s="45" t="s">
        <v>36</v>
      </c>
      <c r="J417" s="112" t="s">
        <v>36</v>
      </c>
      <c r="K417" s="113" t="s">
        <v>37</v>
      </c>
      <c r="L417" s="114" t="s">
        <v>35</v>
      </c>
      <c r="M417" s="114" t="s">
        <v>35</v>
      </c>
      <c r="N417" s="114" t="s">
        <v>35</v>
      </c>
      <c r="O417" s="114" t="s">
        <v>37</v>
      </c>
      <c r="P417" s="114" t="s">
        <v>35</v>
      </c>
      <c r="Q417" s="114" t="s">
        <v>35</v>
      </c>
      <c r="R417" s="114" t="s">
        <v>35</v>
      </c>
      <c r="S417" s="115" t="s">
        <v>2473</v>
      </c>
      <c r="T417" s="50" t="s">
        <v>4454</v>
      </c>
      <c r="U417" s="50" t="s">
        <v>4454</v>
      </c>
      <c r="V417" s="116">
        <f t="shared" si="2"/>
        <v>1</v>
      </c>
      <c r="W417" s="116">
        <f t="shared" ref="W417:X417" si="422">IF(lenb(SUBSTITUTE($Z417,W$1&amp;" (1)",""))&lt;lenb($Z417),1,IF(lenb(SUBSTITUTE($Z417,W$1&amp;" (2)",""))&lt;lenb($Z417),2,IF(lenb(SUBSTITUTE($Z417,W$1&amp;" (3)",""))&lt;lenb($Z417),3,IF(lenb(SUBSTITUTE($Z417,W$1&amp;" (4)",""))&lt;lenb($Z417),4,IF(lenb(SUBSTITUTE($Z417,W$1&amp;" (5)",""))&lt;lenb($Z417),5,IF(lenb(SUBSTITUTE($Z417,W$1&amp;" (6)",""))&lt;lenb($Z417),6,IF(lenb(SUBSTITUTE($Z417,W$1&amp;" (7)",""))&lt;lenb($Z417),1,IF(lenb(SUBSTITUTE($Z417,W$1&amp;" (8)",""))&lt;lenb($Z417),8,IF(lenb(SUBSTITUTE($Z417,W$1&amp;" (9)",""))&lt;lenb($Z417),9,IF(lenb(SUBSTITUTE($Z417,W$1&amp;" (10)",""))&lt;lenb($Z417),10,IF(lenb(SUBSTITUTE($Z417,W$1,""))&lt;lenb($Z417),"ERROR",IF($Z417=$Y$1,"-",0))))))))))))</f>
        <v>0</v>
      </c>
      <c r="X417" s="116">
        <f t="shared" si="422"/>
        <v>0</v>
      </c>
      <c r="Y417" s="116" t="str">
        <f t="shared" si="4"/>
        <v>-</v>
      </c>
      <c r="Z417" s="115" t="s">
        <v>3400</v>
      </c>
      <c r="AA417" s="54">
        <f t="shared" si="5"/>
        <v>1</v>
      </c>
      <c r="AB417" s="54">
        <f>COUNTIFS(Links!B:B,"FSE",Links!C:C,A417,Links!AD:AD,1)</f>
        <v>0</v>
      </c>
      <c r="AC417" s="117" t="s">
        <v>35</v>
      </c>
      <c r="AD417" s="118" t="s">
        <v>35</v>
      </c>
      <c r="AE417" s="115" t="s">
        <v>36</v>
      </c>
      <c r="AF417" s="57" t="s">
        <v>42</v>
      </c>
      <c r="AG417" s="57" t="s">
        <v>42</v>
      </c>
      <c r="AH417" s="57" t="s">
        <v>42</v>
      </c>
      <c r="AI417" s="116" t="str">
        <f t="shared" si="6"/>
        <v>----</v>
      </c>
      <c r="AJ417" s="119" t="str">
        <f t="shared" si="7"/>
        <v>Paper has link but no statement</v>
      </c>
      <c r="AK417" s="120" t="s">
        <v>3401</v>
      </c>
      <c r="AL417" s="121" t="s">
        <v>3402</v>
      </c>
      <c r="AM417" s="60" t="str">
        <f t="shared" si="8"/>
        <v>[FP0498]</v>
      </c>
    </row>
    <row r="418" ht="67.5" customHeight="1">
      <c r="A418" s="61">
        <v>324.0</v>
      </c>
      <c r="B418" s="22" t="s">
        <v>4455</v>
      </c>
      <c r="C418" s="23">
        <v>2020.0</v>
      </c>
      <c r="D418" s="100" t="s">
        <v>37</v>
      </c>
      <c r="E418" s="25" t="s">
        <v>37</v>
      </c>
      <c r="F418" s="25" t="s">
        <v>37</v>
      </c>
      <c r="G418" s="25" t="s">
        <v>37</v>
      </c>
      <c r="H418" s="25" t="s">
        <v>35</v>
      </c>
      <c r="I418" s="25" t="s">
        <v>35</v>
      </c>
      <c r="J418" s="101" t="s">
        <v>36</v>
      </c>
      <c r="K418" s="102" t="s">
        <v>37</v>
      </c>
      <c r="L418" s="103" t="s">
        <v>35</v>
      </c>
      <c r="M418" s="103" t="s">
        <v>35</v>
      </c>
      <c r="N418" s="103" t="s">
        <v>35</v>
      </c>
      <c r="O418" s="103" t="s">
        <v>35</v>
      </c>
      <c r="P418" s="103" t="s">
        <v>35</v>
      </c>
      <c r="Q418" s="103" t="s">
        <v>35</v>
      </c>
      <c r="R418" s="103" t="s">
        <v>37</v>
      </c>
      <c r="S418" s="104" t="s">
        <v>4456</v>
      </c>
      <c r="T418" s="30" t="s">
        <v>4457</v>
      </c>
      <c r="U418" s="30" t="s">
        <v>4457</v>
      </c>
      <c r="V418" s="105">
        <f t="shared" si="2"/>
        <v>1</v>
      </c>
      <c r="W418" s="105">
        <f t="shared" ref="W418:X418" si="423">IF(lenb(SUBSTITUTE($Z418,W$1&amp;" (1)",""))&lt;lenb($Z418),1,IF(lenb(SUBSTITUTE($Z418,W$1&amp;" (2)",""))&lt;lenb($Z418),2,IF(lenb(SUBSTITUTE($Z418,W$1&amp;" (3)",""))&lt;lenb($Z418),3,IF(lenb(SUBSTITUTE($Z418,W$1&amp;" (4)",""))&lt;lenb($Z418),4,IF(lenb(SUBSTITUTE($Z418,W$1&amp;" (5)",""))&lt;lenb($Z418),5,IF(lenb(SUBSTITUTE($Z418,W$1&amp;" (6)",""))&lt;lenb($Z418),6,IF(lenb(SUBSTITUTE($Z418,W$1&amp;" (7)",""))&lt;lenb($Z418),1,IF(lenb(SUBSTITUTE($Z418,W$1&amp;" (8)",""))&lt;lenb($Z418),8,IF(lenb(SUBSTITUTE($Z418,W$1&amp;" (9)",""))&lt;lenb($Z418),9,IF(lenb(SUBSTITUTE($Z418,W$1&amp;" (10)",""))&lt;lenb($Z418),10,IF(lenb(SUBSTITUTE($Z418,W$1,""))&lt;lenb($Z418),"ERROR",IF($Z418=$Y$1,"-",0))))))))))))</f>
        <v>0</v>
      </c>
      <c r="X418" s="105">
        <f t="shared" si="423"/>
        <v>0</v>
      </c>
      <c r="Y418" s="105" t="str">
        <f t="shared" si="4"/>
        <v>-</v>
      </c>
      <c r="Z418" s="104" t="s">
        <v>3400</v>
      </c>
      <c r="AA418" s="34">
        <f t="shared" si="5"/>
        <v>1</v>
      </c>
      <c r="AB418" s="34">
        <f>COUNTIFS(Links!B:B,"FSE",Links!C:C,A418,Links!AD:AD,1)</f>
        <v>0</v>
      </c>
      <c r="AC418" s="106" t="s">
        <v>35</v>
      </c>
      <c r="AD418" s="107" t="s">
        <v>35</v>
      </c>
      <c r="AE418" s="104" t="s">
        <v>36</v>
      </c>
      <c r="AF418" s="37" t="s">
        <v>42</v>
      </c>
      <c r="AG418" s="37" t="s">
        <v>42</v>
      </c>
      <c r="AH418" s="37" t="s">
        <v>42</v>
      </c>
      <c r="AI418" s="105" t="str">
        <f t="shared" si="6"/>
        <v>----</v>
      </c>
      <c r="AJ418" s="108" t="str">
        <f t="shared" si="7"/>
        <v>Paper has link but no statement</v>
      </c>
      <c r="AK418" s="109" t="s">
        <v>3401</v>
      </c>
      <c r="AL418" s="110" t="s">
        <v>3402</v>
      </c>
      <c r="AM418" s="40" t="str">
        <f t="shared" si="8"/>
        <v>[FP0324]</v>
      </c>
    </row>
    <row r="419" ht="67.5" customHeight="1">
      <c r="A419" s="41">
        <v>325.0</v>
      </c>
      <c r="B419" s="42" t="s">
        <v>4458</v>
      </c>
      <c r="C419" s="43">
        <v>2020.0</v>
      </c>
      <c r="D419" s="111" t="s">
        <v>37</v>
      </c>
      <c r="E419" s="45" t="s">
        <v>37</v>
      </c>
      <c r="F419" s="45" t="s">
        <v>37</v>
      </c>
      <c r="G419" s="45" t="s">
        <v>35</v>
      </c>
      <c r="H419" s="45" t="s">
        <v>35</v>
      </c>
      <c r="I419" s="45" t="s">
        <v>35</v>
      </c>
      <c r="J419" s="112" t="s">
        <v>36</v>
      </c>
      <c r="K419" s="113" t="s">
        <v>37</v>
      </c>
      <c r="L419" s="114" t="s">
        <v>35</v>
      </c>
      <c r="M419" s="114" t="s">
        <v>37</v>
      </c>
      <c r="N419" s="114" t="s">
        <v>37</v>
      </c>
      <c r="O419" s="114" t="s">
        <v>37</v>
      </c>
      <c r="P419" s="114" t="s">
        <v>35</v>
      </c>
      <c r="Q419" s="114" t="s">
        <v>35</v>
      </c>
      <c r="R419" s="114" t="s">
        <v>37</v>
      </c>
      <c r="S419" s="115" t="s">
        <v>4459</v>
      </c>
      <c r="T419" s="50" t="s">
        <v>4460</v>
      </c>
      <c r="U419" s="50" t="s">
        <v>4460</v>
      </c>
      <c r="V419" s="116">
        <f t="shared" si="2"/>
        <v>2</v>
      </c>
      <c r="W419" s="116">
        <f t="shared" ref="W419:X419" si="424">IF(lenb(SUBSTITUTE($Z419,W$1&amp;" (1)",""))&lt;lenb($Z419),1,IF(lenb(SUBSTITUTE($Z419,W$1&amp;" (2)",""))&lt;lenb($Z419),2,IF(lenb(SUBSTITUTE($Z419,W$1&amp;" (3)",""))&lt;lenb($Z419),3,IF(lenb(SUBSTITUTE($Z419,W$1&amp;" (4)",""))&lt;lenb($Z419),4,IF(lenb(SUBSTITUTE($Z419,W$1&amp;" (5)",""))&lt;lenb($Z419),5,IF(lenb(SUBSTITUTE($Z419,W$1&amp;" (6)",""))&lt;lenb($Z419),6,IF(lenb(SUBSTITUTE($Z419,W$1&amp;" (7)",""))&lt;lenb($Z419),1,IF(lenb(SUBSTITUTE($Z419,W$1&amp;" (8)",""))&lt;lenb($Z419),8,IF(lenb(SUBSTITUTE($Z419,W$1&amp;" (9)",""))&lt;lenb($Z419),9,IF(lenb(SUBSTITUTE($Z419,W$1&amp;" (10)",""))&lt;lenb($Z419),10,IF(lenb(SUBSTITUTE($Z419,W$1,""))&lt;lenb($Z419),"ERROR",IF($Z419=$Y$1,"-",0))))))))))))</f>
        <v>0</v>
      </c>
      <c r="X419" s="116">
        <f t="shared" si="424"/>
        <v>0</v>
      </c>
      <c r="Y419" s="116" t="str">
        <f t="shared" si="4"/>
        <v>-</v>
      </c>
      <c r="Z419" s="115" t="s">
        <v>3452</v>
      </c>
      <c r="AA419" s="54">
        <f t="shared" si="5"/>
        <v>2</v>
      </c>
      <c r="AB419" s="54">
        <f>COUNTIFS(Links!B:B,"FSE",Links!C:C,A419,Links!AD:AD,1)</f>
        <v>0</v>
      </c>
      <c r="AC419" s="117" t="s">
        <v>37</v>
      </c>
      <c r="AD419" s="118" t="s">
        <v>35</v>
      </c>
      <c r="AE419" s="115" t="s">
        <v>36</v>
      </c>
      <c r="AF419" s="57" t="s">
        <v>42</v>
      </c>
      <c r="AG419" s="57" t="s">
        <v>42</v>
      </c>
      <c r="AH419" s="57" t="s">
        <v>42</v>
      </c>
      <c r="AI419" s="116" t="str">
        <f t="shared" si="6"/>
        <v>----</v>
      </c>
      <c r="AJ419" s="119" t="str">
        <f t="shared" si="7"/>
        <v>Paper has link but no statement</v>
      </c>
      <c r="AK419" s="120" t="s">
        <v>3401</v>
      </c>
      <c r="AL419" s="121" t="s">
        <v>3402</v>
      </c>
      <c r="AM419" s="60" t="str">
        <f t="shared" si="8"/>
        <v>[FP0325]</v>
      </c>
    </row>
    <row r="420" ht="67.5" customHeight="1">
      <c r="A420" s="61">
        <v>326.0</v>
      </c>
      <c r="B420" s="22" t="s">
        <v>4461</v>
      </c>
      <c r="C420" s="23">
        <v>2020.0</v>
      </c>
      <c r="D420" s="100" t="s">
        <v>35</v>
      </c>
      <c r="E420" s="25" t="s">
        <v>36</v>
      </c>
      <c r="F420" s="25" t="s">
        <v>36</v>
      </c>
      <c r="G420" s="25" t="s">
        <v>36</v>
      </c>
      <c r="H420" s="25" t="s">
        <v>36</v>
      </c>
      <c r="I420" s="25" t="s">
        <v>36</v>
      </c>
      <c r="J420" s="101" t="s">
        <v>36</v>
      </c>
      <c r="K420" s="102" t="s">
        <v>37</v>
      </c>
      <c r="L420" s="103" t="s">
        <v>35</v>
      </c>
      <c r="M420" s="103" t="s">
        <v>37</v>
      </c>
      <c r="N420" s="103" t="s">
        <v>35</v>
      </c>
      <c r="O420" s="103" t="s">
        <v>35</v>
      </c>
      <c r="P420" s="103" t="s">
        <v>35</v>
      </c>
      <c r="Q420" s="103" t="s">
        <v>35</v>
      </c>
      <c r="R420" s="103" t="s">
        <v>37</v>
      </c>
      <c r="S420" s="104" t="s">
        <v>4462</v>
      </c>
      <c r="T420" s="30" t="s">
        <v>4463</v>
      </c>
      <c r="U420" s="30" t="s">
        <v>4463</v>
      </c>
      <c r="V420" s="105">
        <f t="shared" si="2"/>
        <v>1</v>
      </c>
      <c r="W420" s="105">
        <f t="shared" ref="W420:X420" si="425">IF(lenb(SUBSTITUTE($Z420,W$1&amp;" (1)",""))&lt;lenb($Z420),1,IF(lenb(SUBSTITUTE($Z420,W$1&amp;" (2)",""))&lt;lenb($Z420),2,IF(lenb(SUBSTITUTE($Z420,W$1&amp;" (3)",""))&lt;lenb($Z420),3,IF(lenb(SUBSTITUTE($Z420,W$1&amp;" (4)",""))&lt;lenb($Z420),4,IF(lenb(SUBSTITUTE($Z420,W$1&amp;" (5)",""))&lt;lenb($Z420),5,IF(lenb(SUBSTITUTE($Z420,W$1&amp;" (6)",""))&lt;lenb($Z420),6,IF(lenb(SUBSTITUTE($Z420,W$1&amp;" (7)",""))&lt;lenb($Z420),1,IF(lenb(SUBSTITUTE($Z420,W$1&amp;" (8)",""))&lt;lenb($Z420),8,IF(lenb(SUBSTITUTE($Z420,W$1&amp;" (9)",""))&lt;lenb($Z420),9,IF(lenb(SUBSTITUTE($Z420,W$1&amp;" (10)",""))&lt;lenb($Z420),10,IF(lenb(SUBSTITUTE($Z420,W$1,""))&lt;lenb($Z420),"ERROR",IF($Z420=$Y$1,"-",0))))))))))))</f>
        <v>0</v>
      </c>
      <c r="X420" s="105">
        <f t="shared" si="425"/>
        <v>0</v>
      </c>
      <c r="Y420" s="105" t="str">
        <f t="shared" si="4"/>
        <v>-</v>
      </c>
      <c r="Z420" s="104" t="s">
        <v>3400</v>
      </c>
      <c r="AA420" s="34">
        <f t="shared" si="5"/>
        <v>1</v>
      </c>
      <c r="AB420" s="34">
        <f>COUNTIFS(Links!B:B,"FSE",Links!C:C,A420,Links!AD:AD,1)</f>
        <v>0</v>
      </c>
      <c r="AC420" s="106" t="s">
        <v>35</v>
      </c>
      <c r="AD420" s="107" t="s">
        <v>35</v>
      </c>
      <c r="AE420" s="104" t="s">
        <v>36</v>
      </c>
      <c r="AF420" s="37" t="s">
        <v>42</v>
      </c>
      <c r="AG420" s="37" t="s">
        <v>42</v>
      </c>
      <c r="AH420" s="37" t="s">
        <v>42</v>
      </c>
      <c r="AI420" s="105" t="str">
        <f t="shared" si="6"/>
        <v>----</v>
      </c>
      <c r="AJ420" s="108" t="str">
        <f t="shared" si="7"/>
        <v>Paper has link but no statement</v>
      </c>
      <c r="AK420" s="109" t="s">
        <v>3401</v>
      </c>
      <c r="AL420" s="110" t="s">
        <v>3402</v>
      </c>
      <c r="AM420" s="40" t="str">
        <f t="shared" si="8"/>
        <v>[FP0326]</v>
      </c>
    </row>
    <row r="421" ht="67.5" customHeight="1">
      <c r="A421" s="41">
        <v>327.0</v>
      </c>
      <c r="B421" s="42" t="s">
        <v>4464</v>
      </c>
      <c r="C421" s="43">
        <v>2020.0</v>
      </c>
      <c r="D421" s="111" t="s">
        <v>37</v>
      </c>
      <c r="E421" s="45" t="s">
        <v>37</v>
      </c>
      <c r="F421" s="45" t="s">
        <v>37</v>
      </c>
      <c r="G421" s="45" t="s">
        <v>35</v>
      </c>
      <c r="H421" s="45" t="s">
        <v>35</v>
      </c>
      <c r="I421" s="45" t="s">
        <v>35</v>
      </c>
      <c r="J421" s="112" t="s">
        <v>36</v>
      </c>
      <c r="K421" s="113" t="s">
        <v>37</v>
      </c>
      <c r="L421" s="114" t="s">
        <v>35</v>
      </c>
      <c r="M421" s="114" t="s">
        <v>35</v>
      </c>
      <c r="N421" s="114" t="s">
        <v>35</v>
      </c>
      <c r="O421" s="114" t="s">
        <v>35</v>
      </c>
      <c r="P421" s="114" t="s">
        <v>35</v>
      </c>
      <c r="Q421" s="114" t="s">
        <v>37</v>
      </c>
      <c r="R421" s="114" t="s">
        <v>37</v>
      </c>
      <c r="S421" s="115" t="s">
        <v>4465</v>
      </c>
      <c r="T421" s="50" t="s">
        <v>4466</v>
      </c>
      <c r="U421" s="50" t="s">
        <v>4466</v>
      </c>
      <c r="V421" s="116">
        <f t="shared" si="2"/>
        <v>2</v>
      </c>
      <c r="W421" s="116">
        <f t="shared" ref="W421:X421" si="426">IF(lenb(SUBSTITUTE($Z421,W$1&amp;" (1)",""))&lt;lenb($Z421),1,IF(lenb(SUBSTITUTE($Z421,W$1&amp;" (2)",""))&lt;lenb($Z421),2,IF(lenb(SUBSTITUTE($Z421,W$1&amp;" (3)",""))&lt;lenb($Z421),3,IF(lenb(SUBSTITUTE($Z421,W$1&amp;" (4)",""))&lt;lenb($Z421),4,IF(lenb(SUBSTITUTE($Z421,W$1&amp;" (5)",""))&lt;lenb($Z421),5,IF(lenb(SUBSTITUTE($Z421,W$1&amp;" (6)",""))&lt;lenb($Z421),6,IF(lenb(SUBSTITUTE($Z421,W$1&amp;" (7)",""))&lt;lenb($Z421),1,IF(lenb(SUBSTITUTE($Z421,W$1&amp;" (8)",""))&lt;lenb($Z421),8,IF(lenb(SUBSTITUTE($Z421,W$1&amp;" (9)",""))&lt;lenb($Z421),9,IF(lenb(SUBSTITUTE($Z421,W$1&amp;" (10)",""))&lt;lenb($Z421),10,IF(lenb(SUBSTITUTE($Z421,W$1,""))&lt;lenb($Z421),"ERROR",IF($Z421=$Y$1,"-",0))))))))))))</f>
        <v>0</v>
      </c>
      <c r="X421" s="116">
        <f t="shared" si="426"/>
        <v>0</v>
      </c>
      <c r="Y421" s="116" t="str">
        <f t="shared" si="4"/>
        <v>-</v>
      </c>
      <c r="Z421" s="115" t="s">
        <v>3452</v>
      </c>
      <c r="AA421" s="54">
        <f t="shared" si="5"/>
        <v>2</v>
      </c>
      <c r="AB421" s="54">
        <f>COUNTIFS(Links!B:B,"FSE",Links!C:C,A421,Links!AD:AD,1)</f>
        <v>0</v>
      </c>
      <c r="AC421" s="117" t="s">
        <v>37</v>
      </c>
      <c r="AD421" s="118" t="s">
        <v>37</v>
      </c>
      <c r="AE421" s="115" t="s">
        <v>4467</v>
      </c>
      <c r="AF421" s="57" t="s">
        <v>146</v>
      </c>
      <c r="AG421" s="57" t="s">
        <v>42</v>
      </c>
      <c r="AH421" s="57" t="s">
        <v>42</v>
      </c>
      <c r="AI421" s="116" t="str">
        <f t="shared" si="6"/>
        <v>Future plans (—)</v>
      </c>
      <c r="AJ421" s="119" t="str">
        <f t="shared" si="7"/>
        <v>Paper has link and statement</v>
      </c>
      <c r="AK421" s="120" t="s">
        <v>3401</v>
      </c>
      <c r="AL421" s="121" t="s">
        <v>3402</v>
      </c>
      <c r="AM421" s="60" t="str">
        <f t="shared" si="8"/>
        <v>[FP0327]</v>
      </c>
    </row>
    <row r="422" ht="67.5" customHeight="1">
      <c r="A422" s="61">
        <v>328.0</v>
      </c>
      <c r="B422" s="22" t="s">
        <v>4468</v>
      </c>
      <c r="C422" s="23">
        <v>2020.0</v>
      </c>
      <c r="D422" s="100" t="s">
        <v>37</v>
      </c>
      <c r="E422" s="25" t="s">
        <v>37</v>
      </c>
      <c r="F422" s="25" t="s">
        <v>37</v>
      </c>
      <c r="G422" s="25" t="s">
        <v>35</v>
      </c>
      <c r="H422" s="25" t="s">
        <v>35</v>
      </c>
      <c r="I422" s="25" t="s">
        <v>35</v>
      </c>
      <c r="J422" s="101" t="s">
        <v>36</v>
      </c>
      <c r="K422" s="102" t="s">
        <v>37</v>
      </c>
      <c r="L422" s="103" t="s">
        <v>35</v>
      </c>
      <c r="M422" s="103" t="s">
        <v>37</v>
      </c>
      <c r="N422" s="103" t="s">
        <v>35</v>
      </c>
      <c r="O422" s="103" t="s">
        <v>37</v>
      </c>
      <c r="P422" s="103" t="s">
        <v>37</v>
      </c>
      <c r="Q422" s="103" t="s">
        <v>35</v>
      </c>
      <c r="R422" s="103" t="s">
        <v>37</v>
      </c>
      <c r="S422" s="104" t="s">
        <v>4469</v>
      </c>
      <c r="T422" s="30" t="s">
        <v>4470</v>
      </c>
      <c r="U422" s="30" t="s">
        <v>4470</v>
      </c>
      <c r="V422" s="105">
        <f t="shared" si="2"/>
        <v>2</v>
      </c>
      <c r="W422" s="105">
        <f t="shared" ref="W422:X422" si="427">IF(lenb(SUBSTITUTE($Z422,W$1&amp;" (1)",""))&lt;lenb($Z422),1,IF(lenb(SUBSTITUTE($Z422,W$1&amp;" (2)",""))&lt;lenb($Z422),2,IF(lenb(SUBSTITUTE($Z422,W$1&amp;" (3)",""))&lt;lenb($Z422),3,IF(lenb(SUBSTITUTE($Z422,W$1&amp;" (4)",""))&lt;lenb($Z422),4,IF(lenb(SUBSTITUTE($Z422,W$1&amp;" (5)",""))&lt;lenb($Z422),5,IF(lenb(SUBSTITUTE($Z422,W$1&amp;" (6)",""))&lt;lenb($Z422),6,IF(lenb(SUBSTITUTE($Z422,W$1&amp;" (7)",""))&lt;lenb($Z422),1,IF(lenb(SUBSTITUTE($Z422,W$1&amp;" (8)",""))&lt;lenb($Z422),8,IF(lenb(SUBSTITUTE($Z422,W$1&amp;" (9)",""))&lt;lenb($Z422),9,IF(lenb(SUBSTITUTE($Z422,W$1&amp;" (10)",""))&lt;lenb($Z422),10,IF(lenb(SUBSTITUTE($Z422,W$1,""))&lt;lenb($Z422),"ERROR",IF($Z422=$Y$1,"-",0))))))))))))</f>
        <v>0</v>
      </c>
      <c r="X422" s="105">
        <f t="shared" si="427"/>
        <v>0</v>
      </c>
      <c r="Y422" s="105" t="str">
        <f t="shared" si="4"/>
        <v>-</v>
      </c>
      <c r="Z422" s="104" t="s">
        <v>3452</v>
      </c>
      <c r="AA422" s="34">
        <f t="shared" si="5"/>
        <v>2</v>
      </c>
      <c r="AB422" s="34">
        <f>COUNTIFS(Links!B:B,"FSE",Links!C:C,A422,Links!AD:AD,1)</f>
        <v>0</v>
      </c>
      <c r="AC422" s="106" t="s">
        <v>37</v>
      </c>
      <c r="AD422" s="107" t="s">
        <v>35</v>
      </c>
      <c r="AE422" s="104" t="s">
        <v>36</v>
      </c>
      <c r="AF422" s="37" t="s">
        <v>42</v>
      </c>
      <c r="AG422" s="37" t="s">
        <v>42</v>
      </c>
      <c r="AH422" s="37" t="s">
        <v>42</v>
      </c>
      <c r="AI422" s="105" t="str">
        <f t="shared" si="6"/>
        <v>----</v>
      </c>
      <c r="AJ422" s="108" t="str">
        <f t="shared" si="7"/>
        <v>Paper has link but no statement</v>
      </c>
      <c r="AK422" s="109" t="s">
        <v>3401</v>
      </c>
      <c r="AL422" s="110" t="s">
        <v>3402</v>
      </c>
      <c r="AM422" s="40" t="str">
        <f t="shared" si="8"/>
        <v>[FP0328]</v>
      </c>
    </row>
    <row r="423" ht="67.5" customHeight="1">
      <c r="A423" s="41">
        <v>329.0</v>
      </c>
      <c r="B423" s="42" t="s">
        <v>4471</v>
      </c>
      <c r="C423" s="43">
        <v>2020.0</v>
      </c>
      <c r="D423" s="111" t="s">
        <v>37</v>
      </c>
      <c r="E423" s="45" t="s">
        <v>37</v>
      </c>
      <c r="F423" s="45" t="s">
        <v>35</v>
      </c>
      <c r="G423" s="45" t="s">
        <v>35</v>
      </c>
      <c r="H423" s="45" t="s">
        <v>35</v>
      </c>
      <c r="I423" s="45" t="s">
        <v>35</v>
      </c>
      <c r="J423" s="112" t="s">
        <v>36</v>
      </c>
      <c r="K423" s="113" t="s">
        <v>37</v>
      </c>
      <c r="L423" s="114" t="s">
        <v>37</v>
      </c>
      <c r="M423" s="114" t="s">
        <v>35</v>
      </c>
      <c r="N423" s="114" t="s">
        <v>37</v>
      </c>
      <c r="O423" s="114" t="s">
        <v>35</v>
      </c>
      <c r="P423" s="114" t="s">
        <v>35</v>
      </c>
      <c r="Q423" s="114" t="s">
        <v>35</v>
      </c>
      <c r="R423" s="114" t="s">
        <v>37</v>
      </c>
      <c r="S423" s="115" t="s">
        <v>13</v>
      </c>
      <c r="T423" s="50" t="s">
        <v>4472</v>
      </c>
      <c r="U423" s="50" t="s">
        <v>4472</v>
      </c>
      <c r="V423" s="116">
        <f t="shared" si="2"/>
        <v>1</v>
      </c>
      <c r="W423" s="116">
        <f t="shared" ref="W423:X423" si="428">IF(lenb(SUBSTITUTE($Z423,W$1&amp;" (1)",""))&lt;lenb($Z423),1,IF(lenb(SUBSTITUTE($Z423,W$1&amp;" (2)",""))&lt;lenb($Z423),2,IF(lenb(SUBSTITUTE($Z423,W$1&amp;" (3)",""))&lt;lenb($Z423),3,IF(lenb(SUBSTITUTE($Z423,W$1&amp;" (4)",""))&lt;lenb($Z423),4,IF(lenb(SUBSTITUTE($Z423,W$1&amp;" (5)",""))&lt;lenb($Z423),5,IF(lenb(SUBSTITUTE($Z423,W$1&amp;" (6)",""))&lt;lenb($Z423),6,IF(lenb(SUBSTITUTE($Z423,W$1&amp;" (7)",""))&lt;lenb($Z423),1,IF(lenb(SUBSTITUTE($Z423,W$1&amp;" (8)",""))&lt;lenb($Z423),8,IF(lenb(SUBSTITUTE($Z423,W$1&amp;" (9)",""))&lt;lenb($Z423),9,IF(lenb(SUBSTITUTE($Z423,W$1&amp;" (10)",""))&lt;lenb($Z423),10,IF(lenb(SUBSTITUTE($Z423,W$1,""))&lt;lenb($Z423),"ERROR",IF($Z423=$Y$1,"-",0))))))))))))</f>
        <v>0</v>
      </c>
      <c r="X423" s="116">
        <f t="shared" si="428"/>
        <v>0</v>
      </c>
      <c r="Y423" s="116" t="str">
        <f t="shared" si="4"/>
        <v>-</v>
      </c>
      <c r="Z423" s="115" t="s">
        <v>3400</v>
      </c>
      <c r="AA423" s="54">
        <f t="shared" si="5"/>
        <v>1</v>
      </c>
      <c r="AB423" s="54">
        <f>COUNTIFS(Links!B:B,"FSE",Links!C:C,A423,Links!AD:AD,1)</f>
        <v>0</v>
      </c>
      <c r="AC423" s="117" t="s">
        <v>35</v>
      </c>
      <c r="AD423" s="118" t="s">
        <v>35</v>
      </c>
      <c r="AE423" s="115" t="s">
        <v>36</v>
      </c>
      <c r="AF423" s="57" t="s">
        <v>42</v>
      </c>
      <c r="AG423" s="57" t="s">
        <v>42</v>
      </c>
      <c r="AH423" s="57" t="s">
        <v>42</v>
      </c>
      <c r="AI423" s="116" t="str">
        <f t="shared" si="6"/>
        <v>----</v>
      </c>
      <c r="AJ423" s="119" t="str">
        <f t="shared" si="7"/>
        <v>Paper has link but no statement</v>
      </c>
      <c r="AK423" s="120" t="s">
        <v>3401</v>
      </c>
      <c r="AL423" s="121" t="s">
        <v>3402</v>
      </c>
      <c r="AM423" s="60" t="str">
        <f t="shared" si="8"/>
        <v>[FP0329]</v>
      </c>
    </row>
    <row r="424" ht="67.5" customHeight="1">
      <c r="A424" s="61">
        <v>330.0</v>
      </c>
      <c r="B424" s="22" t="s">
        <v>4473</v>
      </c>
      <c r="C424" s="23">
        <v>2020.0</v>
      </c>
      <c r="D424" s="100" t="s">
        <v>35</v>
      </c>
      <c r="E424" s="25" t="s">
        <v>36</v>
      </c>
      <c r="F424" s="25" t="s">
        <v>36</v>
      </c>
      <c r="G424" s="25" t="s">
        <v>36</v>
      </c>
      <c r="H424" s="25" t="s">
        <v>36</v>
      </c>
      <c r="I424" s="25" t="s">
        <v>36</v>
      </c>
      <c r="J424" s="101" t="s">
        <v>36</v>
      </c>
      <c r="K424" s="102" t="s">
        <v>35</v>
      </c>
      <c r="L424" s="103" t="s">
        <v>36</v>
      </c>
      <c r="M424" s="103" t="s">
        <v>36</v>
      </c>
      <c r="N424" s="103" t="s">
        <v>36</v>
      </c>
      <c r="O424" s="103" t="s">
        <v>36</v>
      </c>
      <c r="P424" s="103" t="s">
        <v>36</v>
      </c>
      <c r="Q424" s="103" t="s">
        <v>36</v>
      </c>
      <c r="R424" s="103" t="s">
        <v>36</v>
      </c>
      <c r="S424" s="104" t="s">
        <v>42</v>
      </c>
      <c r="T424" s="30" t="s">
        <v>36</v>
      </c>
      <c r="U424" s="30" t="s">
        <v>36</v>
      </c>
      <c r="V424" s="105" t="str">
        <f t="shared" si="2"/>
        <v>-</v>
      </c>
      <c r="W424" s="105" t="str">
        <f t="shared" ref="W424:X424" si="429">IF(lenb(SUBSTITUTE($Z424,W$1&amp;" (1)",""))&lt;lenb($Z424),1,IF(lenb(SUBSTITUTE($Z424,W$1&amp;" (2)",""))&lt;lenb($Z424),2,IF(lenb(SUBSTITUTE($Z424,W$1&amp;" (3)",""))&lt;lenb($Z424),3,IF(lenb(SUBSTITUTE($Z424,W$1&amp;" (4)",""))&lt;lenb($Z424),4,IF(lenb(SUBSTITUTE($Z424,W$1&amp;" (5)",""))&lt;lenb($Z424),5,IF(lenb(SUBSTITUTE($Z424,W$1&amp;" (6)",""))&lt;lenb($Z424),6,IF(lenb(SUBSTITUTE($Z424,W$1&amp;" (7)",""))&lt;lenb($Z424),1,IF(lenb(SUBSTITUTE($Z424,W$1&amp;" (8)",""))&lt;lenb($Z424),8,IF(lenb(SUBSTITUTE($Z424,W$1&amp;" (9)",""))&lt;lenb($Z424),9,IF(lenb(SUBSTITUTE($Z424,W$1&amp;" (10)",""))&lt;lenb($Z424),10,IF(lenb(SUBSTITUTE($Z424,W$1,""))&lt;lenb($Z424),"ERROR",IF($Z424=$Y$1,"-",0))))))))))))</f>
        <v>-</v>
      </c>
      <c r="X424" s="105" t="str">
        <f t="shared" si="429"/>
        <v>-</v>
      </c>
      <c r="Y424" s="105">
        <f t="shared" si="4"/>
        <v>1</v>
      </c>
      <c r="Z424" s="104" t="s">
        <v>23</v>
      </c>
      <c r="AA424" s="34">
        <f t="shared" si="5"/>
        <v>0</v>
      </c>
      <c r="AB424" s="34">
        <f>COUNTIFS(Links!B:B,"FSE",Links!C:C,A424,Links!AD:AD,1)</f>
        <v>0</v>
      </c>
      <c r="AC424" s="106" t="s">
        <v>36</v>
      </c>
      <c r="AD424" s="107" t="s">
        <v>35</v>
      </c>
      <c r="AE424" s="104" t="s">
        <v>36</v>
      </c>
      <c r="AF424" s="37" t="s">
        <v>42</v>
      </c>
      <c r="AG424" s="37" t="s">
        <v>42</v>
      </c>
      <c r="AH424" s="37" t="s">
        <v>42</v>
      </c>
      <c r="AI424" s="105" t="str">
        <f t="shared" si="6"/>
        <v>----</v>
      </c>
      <c r="AJ424" s="108" t="str">
        <f t="shared" si="7"/>
        <v>Paper has no link and no statement</v>
      </c>
      <c r="AK424" s="109" t="s">
        <v>3401</v>
      </c>
      <c r="AL424" s="110" t="s">
        <v>3402</v>
      </c>
      <c r="AM424" s="40" t="str">
        <f t="shared" si="8"/>
        <v>[FP0330]</v>
      </c>
    </row>
    <row r="425" ht="67.5" customHeight="1">
      <c r="A425" s="41">
        <v>331.0</v>
      </c>
      <c r="B425" s="42" t="s">
        <v>4474</v>
      </c>
      <c r="C425" s="43">
        <v>2020.0</v>
      </c>
      <c r="D425" s="111" t="s">
        <v>35</v>
      </c>
      <c r="E425" s="45" t="s">
        <v>36</v>
      </c>
      <c r="F425" s="45" t="s">
        <v>36</v>
      </c>
      <c r="G425" s="45" t="s">
        <v>36</v>
      </c>
      <c r="H425" s="45" t="s">
        <v>36</v>
      </c>
      <c r="I425" s="45" t="s">
        <v>36</v>
      </c>
      <c r="J425" s="112" t="s">
        <v>36</v>
      </c>
      <c r="K425" s="113" t="s">
        <v>37</v>
      </c>
      <c r="L425" s="114" t="s">
        <v>37</v>
      </c>
      <c r="M425" s="114" t="s">
        <v>35</v>
      </c>
      <c r="N425" s="114" t="s">
        <v>35</v>
      </c>
      <c r="O425" s="114" t="s">
        <v>35</v>
      </c>
      <c r="P425" s="114" t="s">
        <v>35</v>
      </c>
      <c r="Q425" s="114" t="s">
        <v>35</v>
      </c>
      <c r="R425" s="114" t="s">
        <v>37</v>
      </c>
      <c r="S425" s="115" t="s">
        <v>42</v>
      </c>
      <c r="T425" s="50" t="s">
        <v>4475</v>
      </c>
      <c r="U425" s="50" t="s">
        <v>4475</v>
      </c>
      <c r="V425" s="116">
        <f t="shared" si="2"/>
        <v>1</v>
      </c>
      <c r="W425" s="116">
        <f t="shared" ref="W425:X425" si="430">IF(lenb(SUBSTITUTE($Z425,W$1&amp;" (1)",""))&lt;lenb($Z425),1,IF(lenb(SUBSTITUTE($Z425,W$1&amp;" (2)",""))&lt;lenb($Z425),2,IF(lenb(SUBSTITUTE($Z425,W$1&amp;" (3)",""))&lt;lenb($Z425),3,IF(lenb(SUBSTITUTE($Z425,W$1&amp;" (4)",""))&lt;lenb($Z425),4,IF(lenb(SUBSTITUTE($Z425,W$1&amp;" (5)",""))&lt;lenb($Z425),5,IF(lenb(SUBSTITUTE($Z425,W$1&amp;" (6)",""))&lt;lenb($Z425),6,IF(lenb(SUBSTITUTE($Z425,W$1&amp;" (7)",""))&lt;lenb($Z425),1,IF(lenb(SUBSTITUTE($Z425,W$1&amp;" (8)",""))&lt;lenb($Z425),8,IF(lenb(SUBSTITUTE($Z425,W$1&amp;" (9)",""))&lt;lenb($Z425),9,IF(lenb(SUBSTITUTE($Z425,W$1&amp;" (10)",""))&lt;lenb($Z425),10,IF(lenb(SUBSTITUTE($Z425,W$1,""))&lt;lenb($Z425),"ERROR",IF($Z425=$Y$1,"-",0))))))))))))</f>
        <v>0</v>
      </c>
      <c r="X425" s="116">
        <f t="shared" si="430"/>
        <v>0</v>
      </c>
      <c r="Y425" s="116" t="str">
        <f t="shared" si="4"/>
        <v>-</v>
      </c>
      <c r="Z425" s="115" t="s">
        <v>3400</v>
      </c>
      <c r="AA425" s="54">
        <f t="shared" si="5"/>
        <v>1</v>
      </c>
      <c r="AB425" s="54">
        <f>COUNTIFS(Links!B:B,"FSE",Links!C:C,A425,Links!AD:AD,1)</f>
        <v>0</v>
      </c>
      <c r="AC425" s="117" t="s">
        <v>37</v>
      </c>
      <c r="AD425" s="118" t="s">
        <v>35</v>
      </c>
      <c r="AE425" s="115" t="s">
        <v>36</v>
      </c>
      <c r="AF425" s="57" t="s">
        <v>42</v>
      </c>
      <c r="AG425" s="57" t="s">
        <v>42</v>
      </c>
      <c r="AH425" s="57" t="s">
        <v>42</v>
      </c>
      <c r="AI425" s="116" t="str">
        <f t="shared" si="6"/>
        <v>----</v>
      </c>
      <c r="AJ425" s="119" t="str">
        <f t="shared" si="7"/>
        <v>Paper has link but no statement</v>
      </c>
      <c r="AK425" s="120" t="s">
        <v>3401</v>
      </c>
      <c r="AL425" s="121" t="s">
        <v>3402</v>
      </c>
      <c r="AM425" s="60" t="str">
        <f t="shared" si="8"/>
        <v>[FP0331]</v>
      </c>
    </row>
    <row r="426" ht="67.5" customHeight="1">
      <c r="A426" s="61">
        <v>332.0</v>
      </c>
      <c r="B426" s="22" t="s">
        <v>4476</v>
      </c>
      <c r="C426" s="23">
        <v>2020.0</v>
      </c>
      <c r="D426" s="100" t="s">
        <v>35</v>
      </c>
      <c r="E426" s="25" t="s">
        <v>36</v>
      </c>
      <c r="F426" s="25" t="s">
        <v>36</v>
      </c>
      <c r="G426" s="25" t="s">
        <v>36</v>
      </c>
      <c r="H426" s="25" t="s">
        <v>36</v>
      </c>
      <c r="I426" s="25" t="s">
        <v>36</v>
      </c>
      <c r="J426" s="101" t="s">
        <v>36</v>
      </c>
      <c r="K426" s="102" t="s">
        <v>37</v>
      </c>
      <c r="L426" s="103" t="s">
        <v>35</v>
      </c>
      <c r="M426" s="103" t="s">
        <v>37</v>
      </c>
      <c r="N426" s="103" t="s">
        <v>35</v>
      </c>
      <c r="O426" s="103" t="s">
        <v>35</v>
      </c>
      <c r="P426" s="103" t="s">
        <v>35</v>
      </c>
      <c r="Q426" s="103" t="s">
        <v>35</v>
      </c>
      <c r="R426" s="103" t="s">
        <v>37</v>
      </c>
      <c r="S426" s="104" t="s">
        <v>4477</v>
      </c>
      <c r="T426" s="30" t="s">
        <v>4478</v>
      </c>
      <c r="U426" s="30" t="s">
        <v>4478</v>
      </c>
      <c r="V426" s="105">
        <f t="shared" si="2"/>
        <v>1</v>
      </c>
      <c r="W426" s="105">
        <f t="shared" ref="W426:X426" si="431">IF(lenb(SUBSTITUTE($Z426,W$1&amp;" (1)",""))&lt;lenb($Z426),1,IF(lenb(SUBSTITUTE($Z426,W$1&amp;" (2)",""))&lt;lenb($Z426),2,IF(lenb(SUBSTITUTE($Z426,W$1&amp;" (3)",""))&lt;lenb($Z426),3,IF(lenb(SUBSTITUTE($Z426,W$1&amp;" (4)",""))&lt;lenb($Z426),4,IF(lenb(SUBSTITUTE($Z426,W$1&amp;" (5)",""))&lt;lenb($Z426),5,IF(lenb(SUBSTITUTE($Z426,W$1&amp;" (6)",""))&lt;lenb($Z426),6,IF(lenb(SUBSTITUTE($Z426,W$1&amp;" (7)",""))&lt;lenb($Z426),1,IF(lenb(SUBSTITUTE($Z426,W$1&amp;" (8)",""))&lt;lenb($Z426),8,IF(lenb(SUBSTITUTE($Z426,W$1&amp;" (9)",""))&lt;lenb($Z426),9,IF(lenb(SUBSTITUTE($Z426,W$1&amp;" (10)",""))&lt;lenb($Z426),10,IF(lenb(SUBSTITUTE($Z426,W$1,""))&lt;lenb($Z426),"ERROR",IF($Z426=$Y$1,"-",0))))))))))))</f>
        <v>0</v>
      </c>
      <c r="X426" s="105">
        <f t="shared" si="431"/>
        <v>0</v>
      </c>
      <c r="Y426" s="105" t="str">
        <f t="shared" si="4"/>
        <v>-</v>
      </c>
      <c r="Z426" s="104" t="s">
        <v>3400</v>
      </c>
      <c r="AA426" s="34">
        <f t="shared" si="5"/>
        <v>1</v>
      </c>
      <c r="AB426" s="34">
        <f>COUNTIFS(Links!B:B,"FSE",Links!C:C,A426,Links!AD:AD,1)</f>
        <v>1</v>
      </c>
      <c r="AC426" s="106" t="s">
        <v>35</v>
      </c>
      <c r="AD426" s="107" t="s">
        <v>35</v>
      </c>
      <c r="AE426" s="104" t="s">
        <v>36</v>
      </c>
      <c r="AF426" s="37" t="s">
        <v>42</v>
      </c>
      <c r="AG426" s="37" t="s">
        <v>42</v>
      </c>
      <c r="AH426" s="37" t="s">
        <v>42</v>
      </c>
      <c r="AI426" s="105" t="str">
        <f t="shared" si="6"/>
        <v>----</v>
      </c>
      <c r="AJ426" s="108" t="str">
        <f t="shared" si="7"/>
        <v>Paper has link but no statement</v>
      </c>
      <c r="AK426" s="109" t="s">
        <v>3401</v>
      </c>
      <c r="AL426" s="110" t="s">
        <v>3402</v>
      </c>
      <c r="AM426" s="40" t="str">
        <f t="shared" si="8"/>
        <v>[FP0332]</v>
      </c>
    </row>
    <row r="427" ht="67.5" customHeight="1">
      <c r="A427" s="41">
        <v>333.0</v>
      </c>
      <c r="B427" s="42" t="s">
        <v>4479</v>
      </c>
      <c r="C427" s="43">
        <v>2020.0</v>
      </c>
      <c r="D427" s="111" t="s">
        <v>37</v>
      </c>
      <c r="E427" s="45" t="s">
        <v>35</v>
      </c>
      <c r="F427" s="45" t="s">
        <v>37</v>
      </c>
      <c r="G427" s="45" t="s">
        <v>35</v>
      </c>
      <c r="H427" s="45" t="s">
        <v>35</v>
      </c>
      <c r="I427" s="45" t="s">
        <v>35</v>
      </c>
      <c r="J427" s="112" t="s">
        <v>36</v>
      </c>
      <c r="K427" s="113" t="s">
        <v>37</v>
      </c>
      <c r="L427" s="114" t="s">
        <v>37</v>
      </c>
      <c r="M427" s="114" t="s">
        <v>35</v>
      </c>
      <c r="N427" s="114" t="s">
        <v>35</v>
      </c>
      <c r="O427" s="114" t="s">
        <v>35</v>
      </c>
      <c r="P427" s="114" t="s">
        <v>35</v>
      </c>
      <c r="Q427" s="114" t="s">
        <v>35</v>
      </c>
      <c r="R427" s="114" t="s">
        <v>37</v>
      </c>
      <c r="S427" s="115" t="s">
        <v>4480</v>
      </c>
      <c r="T427" s="50" t="s">
        <v>4481</v>
      </c>
      <c r="U427" s="50" t="s">
        <v>4482</v>
      </c>
      <c r="V427" s="116">
        <f t="shared" si="2"/>
        <v>2</v>
      </c>
      <c r="W427" s="116">
        <f t="shared" ref="W427:X427" si="432">IF(lenb(SUBSTITUTE($Z427,W$1&amp;" (1)",""))&lt;lenb($Z427),1,IF(lenb(SUBSTITUTE($Z427,W$1&amp;" (2)",""))&lt;lenb($Z427),2,IF(lenb(SUBSTITUTE($Z427,W$1&amp;" (3)",""))&lt;lenb($Z427),3,IF(lenb(SUBSTITUTE($Z427,W$1&amp;" (4)",""))&lt;lenb($Z427),4,IF(lenb(SUBSTITUTE($Z427,W$1&amp;" (5)",""))&lt;lenb($Z427),5,IF(lenb(SUBSTITUTE($Z427,W$1&amp;" (6)",""))&lt;lenb($Z427),6,IF(lenb(SUBSTITUTE($Z427,W$1&amp;" (7)",""))&lt;lenb($Z427),1,IF(lenb(SUBSTITUTE($Z427,W$1&amp;" (8)",""))&lt;lenb($Z427),8,IF(lenb(SUBSTITUTE($Z427,W$1&amp;" (9)",""))&lt;lenb($Z427),9,IF(lenb(SUBSTITUTE($Z427,W$1&amp;" (10)",""))&lt;lenb($Z427),10,IF(lenb(SUBSTITUTE($Z427,W$1,""))&lt;lenb($Z427),"ERROR",IF($Z427=$Y$1,"-",0))))))))))))</f>
        <v>0</v>
      </c>
      <c r="X427" s="116">
        <f t="shared" si="432"/>
        <v>0</v>
      </c>
      <c r="Y427" s="116" t="str">
        <f t="shared" si="4"/>
        <v>-</v>
      </c>
      <c r="Z427" s="115" t="s">
        <v>3452</v>
      </c>
      <c r="AA427" s="54">
        <f t="shared" si="5"/>
        <v>2</v>
      </c>
      <c r="AB427" s="54">
        <f>COUNTIFS(Links!B:B,"FSE",Links!C:C,A427,Links!AD:AD,1)</f>
        <v>0</v>
      </c>
      <c r="AC427" s="117" t="s">
        <v>37</v>
      </c>
      <c r="AD427" s="118" t="s">
        <v>35</v>
      </c>
      <c r="AE427" s="115" t="s">
        <v>36</v>
      </c>
      <c r="AF427" s="57" t="s">
        <v>42</v>
      </c>
      <c r="AG427" s="57" t="s">
        <v>42</v>
      </c>
      <c r="AH427" s="57" t="s">
        <v>42</v>
      </c>
      <c r="AI427" s="116" t="str">
        <f t="shared" si="6"/>
        <v>----</v>
      </c>
      <c r="AJ427" s="119" t="str">
        <f t="shared" si="7"/>
        <v>Paper has link but no statement</v>
      </c>
      <c r="AK427" s="120" t="s">
        <v>3401</v>
      </c>
      <c r="AL427" s="121" t="s">
        <v>3402</v>
      </c>
      <c r="AM427" s="60" t="str">
        <f t="shared" si="8"/>
        <v>[FP0333]</v>
      </c>
    </row>
    <row r="428" ht="67.5" customHeight="1">
      <c r="A428" s="61">
        <v>334.0</v>
      </c>
      <c r="B428" s="22" t="s">
        <v>4483</v>
      </c>
      <c r="C428" s="23">
        <v>2020.0</v>
      </c>
      <c r="D428" s="100" t="s">
        <v>37</v>
      </c>
      <c r="E428" s="25" t="s">
        <v>35</v>
      </c>
      <c r="F428" s="25" t="s">
        <v>37</v>
      </c>
      <c r="G428" s="25" t="s">
        <v>37</v>
      </c>
      <c r="H428" s="25" t="s">
        <v>35</v>
      </c>
      <c r="I428" s="25" t="s">
        <v>35</v>
      </c>
      <c r="J428" s="101" t="s">
        <v>36</v>
      </c>
      <c r="K428" s="102" t="s">
        <v>37</v>
      </c>
      <c r="L428" s="103" t="s">
        <v>35</v>
      </c>
      <c r="M428" s="103" t="s">
        <v>37</v>
      </c>
      <c r="N428" s="103" t="s">
        <v>35</v>
      </c>
      <c r="O428" s="103" t="s">
        <v>35</v>
      </c>
      <c r="P428" s="103" t="s">
        <v>35</v>
      </c>
      <c r="Q428" s="103" t="s">
        <v>35</v>
      </c>
      <c r="R428" s="103" t="s">
        <v>37</v>
      </c>
      <c r="S428" s="104" t="s">
        <v>4484</v>
      </c>
      <c r="T428" s="30" t="s">
        <v>4485</v>
      </c>
      <c r="U428" s="30" t="s">
        <v>4485</v>
      </c>
      <c r="V428" s="105">
        <f t="shared" si="2"/>
        <v>1</v>
      </c>
      <c r="W428" s="105">
        <f t="shared" ref="W428:X428" si="433">IF(lenb(SUBSTITUTE($Z428,W$1&amp;" (1)",""))&lt;lenb($Z428),1,IF(lenb(SUBSTITUTE($Z428,W$1&amp;" (2)",""))&lt;lenb($Z428),2,IF(lenb(SUBSTITUTE($Z428,W$1&amp;" (3)",""))&lt;lenb($Z428),3,IF(lenb(SUBSTITUTE($Z428,W$1&amp;" (4)",""))&lt;lenb($Z428),4,IF(lenb(SUBSTITUTE($Z428,W$1&amp;" (5)",""))&lt;lenb($Z428),5,IF(lenb(SUBSTITUTE($Z428,W$1&amp;" (6)",""))&lt;lenb($Z428),6,IF(lenb(SUBSTITUTE($Z428,W$1&amp;" (7)",""))&lt;lenb($Z428),1,IF(lenb(SUBSTITUTE($Z428,W$1&amp;" (8)",""))&lt;lenb($Z428),8,IF(lenb(SUBSTITUTE($Z428,W$1&amp;" (9)",""))&lt;lenb($Z428),9,IF(lenb(SUBSTITUTE($Z428,W$1&amp;" (10)",""))&lt;lenb($Z428),10,IF(lenb(SUBSTITUTE($Z428,W$1,""))&lt;lenb($Z428),"ERROR",IF($Z428=$Y$1,"-",0))))))))))))</f>
        <v>0</v>
      </c>
      <c r="X428" s="105">
        <f t="shared" si="433"/>
        <v>0</v>
      </c>
      <c r="Y428" s="105" t="str">
        <f t="shared" si="4"/>
        <v>-</v>
      </c>
      <c r="Z428" s="104" t="s">
        <v>3400</v>
      </c>
      <c r="AA428" s="34">
        <f t="shared" si="5"/>
        <v>1</v>
      </c>
      <c r="AB428" s="34">
        <f>COUNTIFS(Links!B:B,"FSE",Links!C:C,A428,Links!AD:AD,1)</f>
        <v>0</v>
      </c>
      <c r="AC428" s="106" t="s">
        <v>37</v>
      </c>
      <c r="AD428" s="107" t="s">
        <v>35</v>
      </c>
      <c r="AE428" s="104" t="s">
        <v>36</v>
      </c>
      <c r="AF428" s="37" t="s">
        <v>42</v>
      </c>
      <c r="AG428" s="37" t="s">
        <v>42</v>
      </c>
      <c r="AH428" s="37" t="s">
        <v>42</v>
      </c>
      <c r="AI428" s="105" t="str">
        <f t="shared" si="6"/>
        <v>----</v>
      </c>
      <c r="AJ428" s="108" t="str">
        <f t="shared" si="7"/>
        <v>Paper has link but no statement</v>
      </c>
      <c r="AK428" s="109" t="s">
        <v>3401</v>
      </c>
      <c r="AL428" s="110" t="s">
        <v>3402</v>
      </c>
      <c r="AM428" s="40" t="str">
        <f t="shared" si="8"/>
        <v>[FP0334]</v>
      </c>
    </row>
    <row r="429" ht="67.5" customHeight="1">
      <c r="A429" s="41">
        <v>335.0</v>
      </c>
      <c r="B429" s="42" t="s">
        <v>4486</v>
      </c>
      <c r="C429" s="43">
        <v>2020.0</v>
      </c>
      <c r="D429" s="111" t="s">
        <v>37</v>
      </c>
      <c r="E429" s="45" t="s">
        <v>37</v>
      </c>
      <c r="F429" s="45" t="s">
        <v>37</v>
      </c>
      <c r="G429" s="45" t="s">
        <v>35</v>
      </c>
      <c r="H429" s="45" t="s">
        <v>35</v>
      </c>
      <c r="I429" s="45" t="s">
        <v>35</v>
      </c>
      <c r="J429" s="112" t="s">
        <v>36</v>
      </c>
      <c r="K429" s="113" t="s">
        <v>37</v>
      </c>
      <c r="L429" s="114" t="s">
        <v>35</v>
      </c>
      <c r="M429" s="114" t="s">
        <v>35</v>
      </c>
      <c r="N429" s="114" t="s">
        <v>37</v>
      </c>
      <c r="O429" s="114" t="s">
        <v>37</v>
      </c>
      <c r="P429" s="114" t="s">
        <v>35</v>
      </c>
      <c r="Q429" s="114" t="s">
        <v>35</v>
      </c>
      <c r="R429" s="114" t="s">
        <v>35</v>
      </c>
      <c r="S429" s="115" t="s">
        <v>4487</v>
      </c>
      <c r="T429" s="50" t="s">
        <v>4488</v>
      </c>
      <c r="U429" s="50" t="s">
        <v>4488</v>
      </c>
      <c r="V429" s="116">
        <f t="shared" si="2"/>
        <v>1</v>
      </c>
      <c r="W429" s="116">
        <f t="shared" ref="W429:X429" si="434">IF(lenb(SUBSTITUTE($Z429,W$1&amp;" (1)",""))&lt;lenb($Z429),1,IF(lenb(SUBSTITUTE($Z429,W$1&amp;" (2)",""))&lt;lenb($Z429),2,IF(lenb(SUBSTITUTE($Z429,W$1&amp;" (3)",""))&lt;lenb($Z429),3,IF(lenb(SUBSTITUTE($Z429,W$1&amp;" (4)",""))&lt;lenb($Z429),4,IF(lenb(SUBSTITUTE($Z429,W$1&amp;" (5)",""))&lt;lenb($Z429),5,IF(lenb(SUBSTITUTE($Z429,W$1&amp;" (6)",""))&lt;lenb($Z429),6,IF(lenb(SUBSTITUTE($Z429,W$1&amp;" (7)",""))&lt;lenb($Z429),1,IF(lenb(SUBSTITUTE($Z429,W$1&amp;" (8)",""))&lt;lenb($Z429),8,IF(lenb(SUBSTITUTE($Z429,W$1&amp;" (9)",""))&lt;lenb($Z429),9,IF(lenb(SUBSTITUTE($Z429,W$1&amp;" (10)",""))&lt;lenb($Z429),10,IF(lenb(SUBSTITUTE($Z429,W$1,""))&lt;lenb($Z429),"ERROR",IF($Z429=$Y$1,"-",0))))))))))))</f>
        <v>0</v>
      </c>
      <c r="X429" s="116">
        <f t="shared" si="434"/>
        <v>0</v>
      </c>
      <c r="Y429" s="116" t="str">
        <f t="shared" si="4"/>
        <v>-</v>
      </c>
      <c r="Z429" s="115" t="s">
        <v>3400</v>
      </c>
      <c r="AA429" s="54">
        <f t="shared" si="5"/>
        <v>1</v>
      </c>
      <c r="AB429" s="54">
        <f>COUNTIFS(Links!B:B,"FSE",Links!C:C,A429,Links!AD:AD,1)</f>
        <v>0</v>
      </c>
      <c r="AC429" s="117" t="s">
        <v>37</v>
      </c>
      <c r="AD429" s="118" t="s">
        <v>35</v>
      </c>
      <c r="AE429" s="115" t="s">
        <v>36</v>
      </c>
      <c r="AF429" s="57" t="s">
        <v>42</v>
      </c>
      <c r="AG429" s="57" t="s">
        <v>42</v>
      </c>
      <c r="AH429" s="57" t="s">
        <v>42</v>
      </c>
      <c r="AI429" s="116" t="str">
        <f t="shared" si="6"/>
        <v>----</v>
      </c>
      <c r="AJ429" s="119" t="str">
        <f t="shared" si="7"/>
        <v>Paper has link but no statement</v>
      </c>
      <c r="AK429" s="120" t="s">
        <v>3401</v>
      </c>
      <c r="AL429" s="121" t="s">
        <v>3402</v>
      </c>
      <c r="AM429" s="60" t="str">
        <f t="shared" si="8"/>
        <v>[FP0335]</v>
      </c>
    </row>
    <row r="430" ht="67.5" customHeight="1">
      <c r="A430" s="61">
        <v>336.0</v>
      </c>
      <c r="B430" s="22" t="s">
        <v>4489</v>
      </c>
      <c r="C430" s="23">
        <v>2020.0</v>
      </c>
      <c r="D430" s="100" t="s">
        <v>37</v>
      </c>
      <c r="E430" s="25" t="s">
        <v>37</v>
      </c>
      <c r="F430" s="25" t="s">
        <v>37</v>
      </c>
      <c r="G430" s="25" t="s">
        <v>37</v>
      </c>
      <c r="H430" s="25" t="s">
        <v>35</v>
      </c>
      <c r="I430" s="25" t="s">
        <v>35</v>
      </c>
      <c r="J430" s="101" t="s">
        <v>36</v>
      </c>
      <c r="K430" s="102" t="s">
        <v>37</v>
      </c>
      <c r="L430" s="103" t="s">
        <v>37</v>
      </c>
      <c r="M430" s="103" t="s">
        <v>35</v>
      </c>
      <c r="N430" s="103" t="s">
        <v>37</v>
      </c>
      <c r="O430" s="103" t="s">
        <v>35</v>
      </c>
      <c r="P430" s="103" t="s">
        <v>35</v>
      </c>
      <c r="Q430" s="103" t="s">
        <v>35</v>
      </c>
      <c r="R430" s="103" t="s">
        <v>35</v>
      </c>
      <c r="S430" s="104" t="s">
        <v>4490</v>
      </c>
      <c r="T430" s="30" t="s">
        <v>4491</v>
      </c>
      <c r="U430" s="30" t="s">
        <v>4491</v>
      </c>
      <c r="V430" s="105">
        <f t="shared" si="2"/>
        <v>1</v>
      </c>
      <c r="W430" s="105">
        <f t="shared" ref="W430:X430" si="435">IF(lenb(SUBSTITUTE($Z430,W$1&amp;" (1)",""))&lt;lenb($Z430),1,IF(lenb(SUBSTITUTE($Z430,W$1&amp;" (2)",""))&lt;lenb($Z430),2,IF(lenb(SUBSTITUTE($Z430,W$1&amp;" (3)",""))&lt;lenb($Z430),3,IF(lenb(SUBSTITUTE($Z430,W$1&amp;" (4)",""))&lt;lenb($Z430),4,IF(lenb(SUBSTITUTE($Z430,W$1&amp;" (5)",""))&lt;lenb($Z430),5,IF(lenb(SUBSTITUTE($Z430,W$1&amp;" (6)",""))&lt;lenb($Z430),6,IF(lenb(SUBSTITUTE($Z430,W$1&amp;" (7)",""))&lt;lenb($Z430),1,IF(lenb(SUBSTITUTE($Z430,W$1&amp;" (8)",""))&lt;lenb($Z430),8,IF(lenb(SUBSTITUTE($Z430,W$1&amp;" (9)",""))&lt;lenb($Z430),9,IF(lenb(SUBSTITUTE($Z430,W$1&amp;" (10)",""))&lt;lenb($Z430),10,IF(lenb(SUBSTITUTE($Z430,W$1,""))&lt;lenb($Z430),"ERROR",IF($Z430=$Y$1,"-",0))))))))))))</f>
        <v>0</v>
      </c>
      <c r="X430" s="105">
        <f t="shared" si="435"/>
        <v>0</v>
      </c>
      <c r="Y430" s="105" t="str">
        <f t="shared" si="4"/>
        <v>-</v>
      </c>
      <c r="Z430" s="104" t="s">
        <v>3400</v>
      </c>
      <c r="AA430" s="34">
        <f t="shared" si="5"/>
        <v>1</v>
      </c>
      <c r="AB430" s="34">
        <f>COUNTIFS(Links!B:B,"FSE",Links!C:C,A430,Links!AD:AD,1)</f>
        <v>0</v>
      </c>
      <c r="AC430" s="106" t="s">
        <v>35</v>
      </c>
      <c r="AD430" s="107" t="s">
        <v>35</v>
      </c>
      <c r="AE430" s="104" t="s">
        <v>36</v>
      </c>
      <c r="AF430" s="37" t="s">
        <v>42</v>
      </c>
      <c r="AG430" s="37" t="s">
        <v>42</v>
      </c>
      <c r="AH430" s="37" t="s">
        <v>42</v>
      </c>
      <c r="AI430" s="105" t="str">
        <f t="shared" si="6"/>
        <v>----</v>
      </c>
      <c r="AJ430" s="108" t="str">
        <f t="shared" si="7"/>
        <v>Paper has link but no statement</v>
      </c>
      <c r="AK430" s="109" t="s">
        <v>3401</v>
      </c>
      <c r="AL430" s="110" t="s">
        <v>3402</v>
      </c>
      <c r="AM430" s="40" t="str">
        <f t="shared" si="8"/>
        <v>[FP0336]</v>
      </c>
    </row>
    <row r="431" ht="67.5" customHeight="1">
      <c r="A431" s="41">
        <v>337.0</v>
      </c>
      <c r="B431" s="42" t="s">
        <v>4492</v>
      </c>
      <c r="C431" s="43">
        <v>2020.0</v>
      </c>
      <c r="D431" s="111" t="s">
        <v>37</v>
      </c>
      <c r="E431" s="45" t="s">
        <v>37</v>
      </c>
      <c r="F431" s="45" t="s">
        <v>37</v>
      </c>
      <c r="G431" s="45" t="s">
        <v>37</v>
      </c>
      <c r="H431" s="45" t="s">
        <v>35</v>
      </c>
      <c r="I431" s="45" t="s">
        <v>35</v>
      </c>
      <c r="J431" s="112" t="s">
        <v>36</v>
      </c>
      <c r="K431" s="113" t="s">
        <v>37</v>
      </c>
      <c r="L431" s="114" t="s">
        <v>35</v>
      </c>
      <c r="M431" s="114" t="s">
        <v>37</v>
      </c>
      <c r="N431" s="114" t="s">
        <v>35</v>
      </c>
      <c r="O431" s="114" t="s">
        <v>35</v>
      </c>
      <c r="P431" s="114" t="s">
        <v>37</v>
      </c>
      <c r="Q431" s="114" t="s">
        <v>35</v>
      </c>
      <c r="R431" s="114" t="s">
        <v>37</v>
      </c>
      <c r="S431" s="135" t="s">
        <v>4493</v>
      </c>
      <c r="T431" s="50" t="s">
        <v>4494</v>
      </c>
      <c r="U431" s="50" t="s">
        <v>4495</v>
      </c>
      <c r="V431" s="116">
        <f t="shared" si="2"/>
        <v>2</v>
      </c>
      <c r="W431" s="116">
        <f t="shared" ref="W431:X431" si="436">IF(lenb(SUBSTITUTE($Z431,W$1&amp;" (1)",""))&lt;lenb($Z431),1,IF(lenb(SUBSTITUTE($Z431,W$1&amp;" (2)",""))&lt;lenb($Z431),2,IF(lenb(SUBSTITUTE($Z431,W$1&amp;" (3)",""))&lt;lenb($Z431),3,IF(lenb(SUBSTITUTE($Z431,W$1&amp;" (4)",""))&lt;lenb($Z431),4,IF(lenb(SUBSTITUTE($Z431,W$1&amp;" (5)",""))&lt;lenb($Z431),5,IF(lenb(SUBSTITUTE($Z431,W$1&amp;" (6)",""))&lt;lenb($Z431),6,IF(lenb(SUBSTITUTE($Z431,W$1&amp;" (7)",""))&lt;lenb($Z431),1,IF(lenb(SUBSTITUTE($Z431,W$1&amp;" (8)",""))&lt;lenb($Z431),8,IF(lenb(SUBSTITUTE($Z431,W$1&amp;" (9)",""))&lt;lenb($Z431),9,IF(lenb(SUBSTITUTE($Z431,W$1&amp;" (10)",""))&lt;lenb($Z431),10,IF(lenb(SUBSTITUTE($Z431,W$1,""))&lt;lenb($Z431),"ERROR",IF($Z431=$Y$1,"-",0))))))))))))</f>
        <v>0</v>
      </c>
      <c r="X431" s="116">
        <f t="shared" si="436"/>
        <v>0</v>
      </c>
      <c r="Y431" s="116" t="str">
        <f t="shared" si="4"/>
        <v>-</v>
      </c>
      <c r="Z431" s="115" t="s">
        <v>3452</v>
      </c>
      <c r="AA431" s="54">
        <f t="shared" si="5"/>
        <v>2</v>
      </c>
      <c r="AB431" s="54">
        <f>COUNTIFS(Links!B:B,"FSE",Links!C:C,A431,Links!AD:AD,1)</f>
        <v>0</v>
      </c>
      <c r="AC431" s="117" t="s">
        <v>37</v>
      </c>
      <c r="AD431" s="118" t="s">
        <v>35</v>
      </c>
      <c r="AE431" s="115" t="s">
        <v>36</v>
      </c>
      <c r="AF431" s="57" t="s">
        <v>42</v>
      </c>
      <c r="AG431" s="57" t="s">
        <v>42</v>
      </c>
      <c r="AH431" s="57" t="s">
        <v>42</v>
      </c>
      <c r="AI431" s="116" t="str">
        <f t="shared" si="6"/>
        <v>----</v>
      </c>
      <c r="AJ431" s="119" t="str">
        <f t="shared" si="7"/>
        <v>Paper has link but no statement</v>
      </c>
      <c r="AK431" s="120" t="s">
        <v>3401</v>
      </c>
      <c r="AL431" s="121" t="s">
        <v>3402</v>
      </c>
      <c r="AM431" s="60" t="str">
        <f t="shared" si="8"/>
        <v>[FP0337]</v>
      </c>
    </row>
    <row r="432" ht="67.5" customHeight="1">
      <c r="A432" s="61">
        <v>338.0</v>
      </c>
      <c r="B432" s="22" t="s">
        <v>4496</v>
      </c>
      <c r="C432" s="23">
        <v>2020.0</v>
      </c>
      <c r="D432" s="100" t="s">
        <v>37</v>
      </c>
      <c r="E432" s="25" t="s">
        <v>37</v>
      </c>
      <c r="F432" s="25" t="s">
        <v>37</v>
      </c>
      <c r="G432" s="25" t="s">
        <v>37</v>
      </c>
      <c r="H432" s="25" t="s">
        <v>35</v>
      </c>
      <c r="I432" s="25" t="s">
        <v>35</v>
      </c>
      <c r="J432" s="101" t="s">
        <v>36</v>
      </c>
      <c r="K432" s="102" t="s">
        <v>37</v>
      </c>
      <c r="L432" s="103" t="s">
        <v>35</v>
      </c>
      <c r="M432" s="103" t="s">
        <v>35</v>
      </c>
      <c r="N432" s="103" t="s">
        <v>35</v>
      </c>
      <c r="O432" s="103" t="s">
        <v>37</v>
      </c>
      <c r="P432" s="103" t="s">
        <v>35</v>
      </c>
      <c r="Q432" s="103" t="s">
        <v>35</v>
      </c>
      <c r="R432" s="103" t="s">
        <v>35</v>
      </c>
      <c r="S432" s="136" t="s">
        <v>4497</v>
      </c>
      <c r="T432" s="30" t="s">
        <v>4498</v>
      </c>
      <c r="U432" s="30" t="s">
        <v>4498</v>
      </c>
      <c r="V432" s="105">
        <f t="shared" si="2"/>
        <v>1</v>
      </c>
      <c r="W432" s="105">
        <f t="shared" ref="W432:X432" si="437">IF(lenb(SUBSTITUTE($Z432,W$1&amp;" (1)",""))&lt;lenb($Z432),1,IF(lenb(SUBSTITUTE($Z432,W$1&amp;" (2)",""))&lt;lenb($Z432),2,IF(lenb(SUBSTITUTE($Z432,W$1&amp;" (3)",""))&lt;lenb($Z432),3,IF(lenb(SUBSTITUTE($Z432,W$1&amp;" (4)",""))&lt;lenb($Z432),4,IF(lenb(SUBSTITUTE($Z432,W$1&amp;" (5)",""))&lt;lenb($Z432),5,IF(lenb(SUBSTITUTE($Z432,W$1&amp;" (6)",""))&lt;lenb($Z432),6,IF(lenb(SUBSTITUTE($Z432,W$1&amp;" (7)",""))&lt;lenb($Z432),1,IF(lenb(SUBSTITUTE($Z432,W$1&amp;" (8)",""))&lt;lenb($Z432),8,IF(lenb(SUBSTITUTE($Z432,W$1&amp;" (9)",""))&lt;lenb($Z432),9,IF(lenb(SUBSTITUTE($Z432,W$1&amp;" (10)",""))&lt;lenb($Z432),10,IF(lenb(SUBSTITUTE($Z432,W$1,""))&lt;lenb($Z432),"ERROR",IF($Z432=$Y$1,"-",0))))))))))))</f>
        <v>0</v>
      </c>
      <c r="X432" s="105">
        <f t="shared" si="437"/>
        <v>0</v>
      </c>
      <c r="Y432" s="105" t="str">
        <f t="shared" si="4"/>
        <v>-</v>
      </c>
      <c r="Z432" s="104" t="s">
        <v>3400</v>
      </c>
      <c r="AA432" s="34">
        <f t="shared" si="5"/>
        <v>1</v>
      </c>
      <c r="AB432" s="34">
        <f>COUNTIFS(Links!B:B,"FSE",Links!C:C,A432,Links!AD:AD,1)</f>
        <v>0</v>
      </c>
      <c r="AC432" s="106" t="s">
        <v>35</v>
      </c>
      <c r="AD432" s="107" t="s">
        <v>35</v>
      </c>
      <c r="AE432" s="104" t="s">
        <v>36</v>
      </c>
      <c r="AF432" s="37" t="s">
        <v>42</v>
      </c>
      <c r="AG432" s="37" t="s">
        <v>42</v>
      </c>
      <c r="AH432" s="37" t="s">
        <v>42</v>
      </c>
      <c r="AI432" s="105" t="str">
        <f t="shared" si="6"/>
        <v>----</v>
      </c>
      <c r="AJ432" s="108" t="str">
        <f t="shared" si="7"/>
        <v>Paper has link but no statement</v>
      </c>
      <c r="AK432" s="109" t="s">
        <v>3401</v>
      </c>
      <c r="AL432" s="110" t="s">
        <v>3402</v>
      </c>
      <c r="AM432" s="40" t="str">
        <f t="shared" si="8"/>
        <v>[FP0338]</v>
      </c>
    </row>
    <row r="433" ht="67.5" customHeight="1">
      <c r="A433" s="41">
        <v>339.0</v>
      </c>
      <c r="B433" s="42" t="s">
        <v>4499</v>
      </c>
      <c r="C433" s="43">
        <v>2020.0</v>
      </c>
      <c r="D433" s="111" t="s">
        <v>37</v>
      </c>
      <c r="E433" s="45" t="s">
        <v>37</v>
      </c>
      <c r="F433" s="45" t="s">
        <v>37</v>
      </c>
      <c r="G433" s="45" t="s">
        <v>37</v>
      </c>
      <c r="H433" s="45" t="s">
        <v>35</v>
      </c>
      <c r="I433" s="45" t="s">
        <v>35</v>
      </c>
      <c r="J433" s="112" t="s">
        <v>36</v>
      </c>
      <c r="K433" s="113" t="s">
        <v>37</v>
      </c>
      <c r="L433" s="114" t="s">
        <v>37</v>
      </c>
      <c r="M433" s="114" t="s">
        <v>35</v>
      </c>
      <c r="N433" s="114" t="s">
        <v>35</v>
      </c>
      <c r="O433" s="114" t="s">
        <v>35</v>
      </c>
      <c r="P433" s="114" t="s">
        <v>35</v>
      </c>
      <c r="Q433" s="114" t="s">
        <v>35</v>
      </c>
      <c r="R433" s="114" t="s">
        <v>37</v>
      </c>
      <c r="S433" s="135" t="s">
        <v>4500</v>
      </c>
      <c r="T433" s="50" t="s">
        <v>4501</v>
      </c>
      <c r="U433" s="50" t="s">
        <v>4501</v>
      </c>
      <c r="V433" s="116">
        <f t="shared" si="2"/>
        <v>2</v>
      </c>
      <c r="W433" s="116">
        <f t="shared" ref="W433:X433" si="438">IF(lenb(SUBSTITUTE($Z433,W$1&amp;" (1)",""))&lt;lenb($Z433),1,IF(lenb(SUBSTITUTE($Z433,W$1&amp;" (2)",""))&lt;lenb($Z433),2,IF(lenb(SUBSTITUTE($Z433,W$1&amp;" (3)",""))&lt;lenb($Z433),3,IF(lenb(SUBSTITUTE($Z433,W$1&amp;" (4)",""))&lt;lenb($Z433),4,IF(lenb(SUBSTITUTE($Z433,W$1&amp;" (5)",""))&lt;lenb($Z433),5,IF(lenb(SUBSTITUTE($Z433,W$1&amp;" (6)",""))&lt;lenb($Z433),6,IF(lenb(SUBSTITUTE($Z433,W$1&amp;" (7)",""))&lt;lenb($Z433),1,IF(lenb(SUBSTITUTE($Z433,W$1&amp;" (8)",""))&lt;lenb($Z433),8,IF(lenb(SUBSTITUTE($Z433,W$1&amp;" (9)",""))&lt;lenb($Z433),9,IF(lenb(SUBSTITUTE($Z433,W$1&amp;" (10)",""))&lt;lenb($Z433),10,IF(lenb(SUBSTITUTE($Z433,W$1,""))&lt;lenb($Z433),"ERROR",IF($Z433=$Y$1,"-",0))))))))))))</f>
        <v>0</v>
      </c>
      <c r="X433" s="116">
        <f t="shared" si="438"/>
        <v>0</v>
      </c>
      <c r="Y433" s="116" t="str">
        <f t="shared" si="4"/>
        <v>-</v>
      </c>
      <c r="Z433" s="115" t="s">
        <v>3452</v>
      </c>
      <c r="AA433" s="54">
        <f t="shared" si="5"/>
        <v>2</v>
      </c>
      <c r="AB433" s="54">
        <f>COUNTIFS(Links!B:B,"FSE",Links!C:C,A433,Links!AD:AD,1)</f>
        <v>0</v>
      </c>
      <c r="AC433" s="117" t="s">
        <v>37</v>
      </c>
      <c r="AD433" s="118" t="s">
        <v>35</v>
      </c>
      <c r="AE433" s="115" t="s">
        <v>36</v>
      </c>
      <c r="AF433" s="57" t="s">
        <v>42</v>
      </c>
      <c r="AG433" s="57" t="s">
        <v>42</v>
      </c>
      <c r="AH433" s="57" t="s">
        <v>42</v>
      </c>
      <c r="AI433" s="116" t="str">
        <f t="shared" si="6"/>
        <v>----</v>
      </c>
      <c r="AJ433" s="119" t="str">
        <f t="shared" si="7"/>
        <v>Paper has link but no statement</v>
      </c>
      <c r="AK433" s="120" t="s">
        <v>3401</v>
      </c>
      <c r="AL433" s="121" t="s">
        <v>3402</v>
      </c>
      <c r="AM433" s="60" t="str">
        <f t="shared" si="8"/>
        <v>[FP0339]</v>
      </c>
    </row>
    <row r="434" ht="67.5" customHeight="1">
      <c r="A434" s="61">
        <v>340.0</v>
      </c>
      <c r="B434" s="22" t="s">
        <v>4502</v>
      </c>
      <c r="C434" s="23">
        <v>2020.0</v>
      </c>
      <c r="D434" s="100" t="s">
        <v>37</v>
      </c>
      <c r="E434" s="25" t="s">
        <v>37</v>
      </c>
      <c r="F434" s="25" t="s">
        <v>37</v>
      </c>
      <c r="G434" s="25" t="s">
        <v>37</v>
      </c>
      <c r="H434" s="25" t="s">
        <v>35</v>
      </c>
      <c r="I434" s="25" t="s">
        <v>35</v>
      </c>
      <c r="J434" s="101" t="s">
        <v>36</v>
      </c>
      <c r="K434" s="102" t="s">
        <v>37</v>
      </c>
      <c r="L434" s="103" t="s">
        <v>37</v>
      </c>
      <c r="M434" s="103" t="s">
        <v>35</v>
      </c>
      <c r="N434" s="103" t="s">
        <v>37</v>
      </c>
      <c r="O434" s="103" t="s">
        <v>35</v>
      </c>
      <c r="P434" s="103" t="s">
        <v>35</v>
      </c>
      <c r="Q434" s="103" t="s">
        <v>35</v>
      </c>
      <c r="R434" s="103" t="s">
        <v>37</v>
      </c>
      <c r="S434" s="104" t="s">
        <v>4503</v>
      </c>
      <c r="T434" s="30" t="s">
        <v>4504</v>
      </c>
      <c r="U434" s="30" t="s">
        <v>4504</v>
      </c>
      <c r="V434" s="105">
        <f t="shared" si="2"/>
        <v>2</v>
      </c>
      <c r="W434" s="105">
        <f t="shared" ref="W434:X434" si="439">IF(lenb(SUBSTITUTE($Z434,W$1&amp;" (1)",""))&lt;lenb($Z434),1,IF(lenb(SUBSTITUTE($Z434,W$1&amp;" (2)",""))&lt;lenb($Z434),2,IF(lenb(SUBSTITUTE($Z434,W$1&amp;" (3)",""))&lt;lenb($Z434),3,IF(lenb(SUBSTITUTE($Z434,W$1&amp;" (4)",""))&lt;lenb($Z434),4,IF(lenb(SUBSTITUTE($Z434,W$1&amp;" (5)",""))&lt;lenb($Z434),5,IF(lenb(SUBSTITUTE($Z434,W$1&amp;" (6)",""))&lt;lenb($Z434),6,IF(lenb(SUBSTITUTE($Z434,W$1&amp;" (7)",""))&lt;lenb($Z434),1,IF(lenb(SUBSTITUTE($Z434,W$1&amp;" (8)",""))&lt;lenb($Z434),8,IF(lenb(SUBSTITUTE($Z434,W$1&amp;" (9)",""))&lt;lenb($Z434),9,IF(lenb(SUBSTITUTE($Z434,W$1&amp;" (10)",""))&lt;lenb($Z434),10,IF(lenb(SUBSTITUTE($Z434,W$1,""))&lt;lenb($Z434),"ERROR",IF($Z434=$Y$1,"-",0))))))))))))</f>
        <v>0</v>
      </c>
      <c r="X434" s="105">
        <f t="shared" si="439"/>
        <v>0</v>
      </c>
      <c r="Y434" s="105" t="str">
        <f t="shared" si="4"/>
        <v>-</v>
      </c>
      <c r="Z434" s="104" t="s">
        <v>3452</v>
      </c>
      <c r="AA434" s="34">
        <f t="shared" si="5"/>
        <v>2</v>
      </c>
      <c r="AB434" s="34">
        <f>COUNTIFS(Links!B:B,"FSE",Links!C:C,A434,Links!AD:AD,1)</f>
        <v>1</v>
      </c>
      <c r="AC434" s="106" t="s">
        <v>37</v>
      </c>
      <c r="AD434" s="107" t="s">
        <v>35</v>
      </c>
      <c r="AE434" s="104" t="s">
        <v>36</v>
      </c>
      <c r="AF434" s="37" t="s">
        <v>42</v>
      </c>
      <c r="AG434" s="37" t="s">
        <v>42</v>
      </c>
      <c r="AH434" s="37" t="s">
        <v>42</v>
      </c>
      <c r="AI434" s="105" t="str">
        <f t="shared" si="6"/>
        <v>----</v>
      </c>
      <c r="AJ434" s="108" t="str">
        <f t="shared" si="7"/>
        <v>Paper has link but no statement</v>
      </c>
      <c r="AK434" s="109" t="s">
        <v>3401</v>
      </c>
      <c r="AL434" s="110" t="s">
        <v>3402</v>
      </c>
      <c r="AM434" s="40" t="str">
        <f t="shared" si="8"/>
        <v>[FP0340]</v>
      </c>
    </row>
    <row r="435" ht="67.5" customHeight="1">
      <c r="A435" s="41">
        <v>341.0</v>
      </c>
      <c r="B435" s="42" t="s">
        <v>4505</v>
      </c>
      <c r="C435" s="43">
        <v>2020.0</v>
      </c>
      <c r="D435" s="111" t="s">
        <v>35</v>
      </c>
      <c r="E435" s="45" t="s">
        <v>36</v>
      </c>
      <c r="F435" s="45" t="s">
        <v>36</v>
      </c>
      <c r="G435" s="45" t="s">
        <v>36</v>
      </c>
      <c r="H435" s="45" t="s">
        <v>36</v>
      </c>
      <c r="I435" s="45" t="s">
        <v>36</v>
      </c>
      <c r="J435" s="112" t="s">
        <v>36</v>
      </c>
      <c r="K435" s="113" t="s">
        <v>37</v>
      </c>
      <c r="L435" s="114" t="s">
        <v>37</v>
      </c>
      <c r="M435" s="114" t="s">
        <v>35</v>
      </c>
      <c r="N435" s="114" t="s">
        <v>35</v>
      </c>
      <c r="O435" s="114" t="s">
        <v>35</v>
      </c>
      <c r="P435" s="114" t="s">
        <v>35</v>
      </c>
      <c r="Q435" s="114" t="s">
        <v>35</v>
      </c>
      <c r="R435" s="114" t="s">
        <v>37</v>
      </c>
      <c r="S435" s="115" t="s">
        <v>36</v>
      </c>
      <c r="T435" s="50" t="s">
        <v>4506</v>
      </c>
      <c r="U435" s="50" t="s">
        <v>4506</v>
      </c>
      <c r="V435" s="116">
        <f t="shared" si="2"/>
        <v>1</v>
      </c>
      <c r="W435" s="116">
        <f t="shared" ref="W435:X435" si="440">IF(lenb(SUBSTITUTE($Z435,W$1&amp;" (1)",""))&lt;lenb($Z435),1,IF(lenb(SUBSTITUTE($Z435,W$1&amp;" (2)",""))&lt;lenb($Z435),2,IF(lenb(SUBSTITUTE($Z435,W$1&amp;" (3)",""))&lt;lenb($Z435),3,IF(lenb(SUBSTITUTE($Z435,W$1&amp;" (4)",""))&lt;lenb($Z435),4,IF(lenb(SUBSTITUTE($Z435,W$1&amp;" (5)",""))&lt;lenb($Z435),5,IF(lenb(SUBSTITUTE($Z435,W$1&amp;" (6)",""))&lt;lenb($Z435),6,IF(lenb(SUBSTITUTE($Z435,W$1&amp;" (7)",""))&lt;lenb($Z435),1,IF(lenb(SUBSTITUTE($Z435,W$1&amp;" (8)",""))&lt;lenb($Z435),8,IF(lenb(SUBSTITUTE($Z435,W$1&amp;" (9)",""))&lt;lenb($Z435),9,IF(lenb(SUBSTITUTE($Z435,W$1&amp;" (10)",""))&lt;lenb($Z435),10,IF(lenb(SUBSTITUTE($Z435,W$1,""))&lt;lenb($Z435),"ERROR",IF($Z435=$Y$1,"-",0))))))))))))</f>
        <v>0</v>
      </c>
      <c r="X435" s="116">
        <f t="shared" si="440"/>
        <v>0</v>
      </c>
      <c r="Y435" s="116" t="str">
        <f t="shared" si="4"/>
        <v>-</v>
      </c>
      <c r="Z435" s="115" t="s">
        <v>3400</v>
      </c>
      <c r="AA435" s="54">
        <f t="shared" si="5"/>
        <v>1</v>
      </c>
      <c r="AB435" s="54">
        <f>COUNTIFS(Links!B:B,"FSE",Links!C:C,A435,Links!AD:AD,1)</f>
        <v>0</v>
      </c>
      <c r="AC435" s="117" t="s">
        <v>35</v>
      </c>
      <c r="AD435" s="118" t="s">
        <v>37</v>
      </c>
      <c r="AE435" s="115" t="s">
        <v>4507</v>
      </c>
      <c r="AF435" s="57" t="s">
        <v>2138</v>
      </c>
      <c r="AG435" s="57" t="s">
        <v>146</v>
      </c>
      <c r="AH435" s="57" t="s">
        <v>42</v>
      </c>
      <c r="AI435" s="116" t="str">
        <f t="shared" si="6"/>
        <v>No reason (—)
Future plans (—)</v>
      </c>
      <c r="AJ435" s="119" t="str">
        <f t="shared" si="7"/>
        <v>Paper has link and statement</v>
      </c>
      <c r="AK435" s="120" t="s">
        <v>3401</v>
      </c>
      <c r="AL435" s="121" t="s">
        <v>3402</v>
      </c>
      <c r="AM435" s="60" t="str">
        <f t="shared" si="8"/>
        <v>[FP0341]</v>
      </c>
    </row>
    <row r="436" ht="67.5" customHeight="1">
      <c r="A436" s="61">
        <v>342.0</v>
      </c>
      <c r="B436" s="22" t="s">
        <v>4508</v>
      </c>
      <c r="C436" s="23">
        <v>2020.0</v>
      </c>
      <c r="D436" s="100" t="s">
        <v>37</v>
      </c>
      <c r="E436" s="25" t="s">
        <v>37</v>
      </c>
      <c r="F436" s="25" t="s">
        <v>37</v>
      </c>
      <c r="G436" s="25" t="s">
        <v>35</v>
      </c>
      <c r="H436" s="25" t="s">
        <v>35</v>
      </c>
      <c r="I436" s="25" t="s">
        <v>35</v>
      </c>
      <c r="J436" s="101" t="s">
        <v>36</v>
      </c>
      <c r="K436" s="102" t="s">
        <v>37</v>
      </c>
      <c r="L436" s="103" t="s">
        <v>35</v>
      </c>
      <c r="M436" s="103" t="s">
        <v>37</v>
      </c>
      <c r="N436" s="103" t="s">
        <v>37</v>
      </c>
      <c r="O436" s="103" t="s">
        <v>35</v>
      </c>
      <c r="P436" s="103" t="s">
        <v>35</v>
      </c>
      <c r="Q436" s="103" t="s">
        <v>35</v>
      </c>
      <c r="R436" s="103" t="s">
        <v>37</v>
      </c>
      <c r="S436" s="104" t="s">
        <v>4509</v>
      </c>
      <c r="T436" s="30" t="s">
        <v>4510</v>
      </c>
      <c r="U436" s="30" t="s">
        <v>4511</v>
      </c>
      <c r="V436" s="105">
        <f t="shared" si="2"/>
        <v>1</v>
      </c>
      <c r="W436" s="105">
        <f t="shared" ref="W436:X436" si="441">IF(lenb(SUBSTITUTE($Z436,W$1&amp;" (1)",""))&lt;lenb($Z436),1,IF(lenb(SUBSTITUTE($Z436,W$1&amp;" (2)",""))&lt;lenb($Z436),2,IF(lenb(SUBSTITUTE($Z436,W$1&amp;" (3)",""))&lt;lenb($Z436),3,IF(lenb(SUBSTITUTE($Z436,W$1&amp;" (4)",""))&lt;lenb($Z436),4,IF(lenb(SUBSTITUTE($Z436,W$1&amp;" (5)",""))&lt;lenb($Z436),5,IF(lenb(SUBSTITUTE($Z436,W$1&amp;" (6)",""))&lt;lenb($Z436),6,IF(lenb(SUBSTITUTE($Z436,W$1&amp;" (7)",""))&lt;lenb($Z436),1,IF(lenb(SUBSTITUTE($Z436,W$1&amp;" (8)",""))&lt;lenb($Z436),8,IF(lenb(SUBSTITUTE($Z436,W$1&amp;" (9)",""))&lt;lenb($Z436),9,IF(lenb(SUBSTITUTE($Z436,W$1&amp;" (10)",""))&lt;lenb($Z436),10,IF(lenb(SUBSTITUTE($Z436,W$1,""))&lt;lenb($Z436),"ERROR",IF($Z436=$Y$1,"-",0))))))))))))</f>
        <v>0</v>
      </c>
      <c r="X436" s="105">
        <f t="shared" si="441"/>
        <v>0</v>
      </c>
      <c r="Y436" s="105" t="str">
        <f t="shared" si="4"/>
        <v>-</v>
      </c>
      <c r="Z436" s="104" t="s">
        <v>3400</v>
      </c>
      <c r="AA436" s="34">
        <f t="shared" si="5"/>
        <v>1</v>
      </c>
      <c r="AB436" s="34">
        <f>COUNTIFS(Links!B:B,"FSE",Links!C:C,A436,Links!AD:AD,1)</f>
        <v>0</v>
      </c>
      <c r="AC436" s="106" t="s">
        <v>35</v>
      </c>
      <c r="AD436" s="107" t="s">
        <v>37</v>
      </c>
      <c r="AE436" s="104" t="s">
        <v>4512</v>
      </c>
      <c r="AF436" s="37" t="s">
        <v>146</v>
      </c>
      <c r="AG436" s="37" t="s">
        <v>42</v>
      </c>
      <c r="AH436" s="37" t="s">
        <v>42</v>
      </c>
      <c r="AI436" s="105" t="str">
        <f t="shared" si="6"/>
        <v>Future plans (—)</v>
      </c>
      <c r="AJ436" s="108" t="str">
        <f t="shared" si="7"/>
        <v>Paper has link and statement</v>
      </c>
      <c r="AK436" s="109" t="s">
        <v>3401</v>
      </c>
      <c r="AL436" s="110" t="s">
        <v>3402</v>
      </c>
      <c r="AM436" s="40" t="str">
        <f t="shared" si="8"/>
        <v>[FP0342]</v>
      </c>
    </row>
    <row r="437" ht="67.5" customHeight="1">
      <c r="A437" s="41">
        <v>343.0</v>
      </c>
      <c r="B437" s="42" t="s">
        <v>4513</v>
      </c>
      <c r="C437" s="43">
        <v>2020.0</v>
      </c>
      <c r="D437" s="111" t="s">
        <v>35</v>
      </c>
      <c r="E437" s="45" t="s">
        <v>36</v>
      </c>
      <c r="F437" s="45" t="s">
        <v>36</v>
      </c>
      <c r="G437" s="45" t="s">
        <v>36</v>
      </c>
      <c r="H437" s="45" t="s">
        <v>36</v>
      </c>
      <c r="I437" s="45" t="s">
        <v>36</v>
      </c>
      <c r="J437" s="112" t="s">
        <v>36</v>
      </c>
      <c r="K437" s="113" t="s">
        <v>37</v>
      </c>
      <c r="L437" s="114" t="s">
        <v>37</v>
      </c>
      <c r="M437" s="114" t="s">
        <v>35</v>
      </c>
      <c r="N437" s="114" t="s">
        <v>35</v>
      </c>
      <c r="O437" s="114" t="s">
        <v>35</v>
      </c>
      <c r="P437" s="114" t="s">
        <v>35</v>
      </c>
      <c r="Q437" s="114" t="s">
        <v>35</v>
      </c>
      <c r="R437" s="114" t="s">
        <v>37</v>
      </c>
      <c r="S437" s="115" t="s">
        <v>4514</v>
      </c>
      <c r="T437" s="50" t="s">
        <v>4515</v>
      </c>
      <c r="U437" s="50" t="s">
        <v>4515</v>
      </c>
      <c r="V437" s="116">
        <f t="shared" si="2"/>
        <v>1</v>
      </c>
      <c r="W437" s="116">
        <f t="shared" ref="W437:X437" si="442">IF(lenb(SUBSTITUTE($Z437,W$1&amp;" (1)",""))&lt;lenb($Z437),1,IF(lenb(SUBSTITUTE($Z437,W$1&amp;" (2)",""))&lt;lenb($Z437),2,IF(lenb(SUBSTITUTE($Z437,W$1&amp;" (3)",""))&lt;lenb($Z437),3,IF(lenb(SUBSTITUTE($Z437,W$1&amp;" (4)",""))&lt;lenb($Z437),4,IF(lenb(SUBSTITUTE($Z437,W$1&amp;" (5)",""))&lt;lenb($Z437),5,IF(lenb(SUBSTITUTE($Z437,W$1&amp;" (6)",""))&lt;lenb($Z437),6,IF(lenb(SUBSTITUTE($Z437,W$1&amp;" (7)",""))&lt;lenb($Z437),1,IF(lenb(SUBSTITUTE($Z437,W$1&amp;" (8)",""))&lt;lenb($Z437),8,IF(lenb(SUBSTITUTE($Z437,W$1&amp;" (9)",""))&lt;lenb($Z437),9,IF(lenb(SUBSTITUTE($Z437,W$1&amp;" (10)",""))&lt;lenb($Z437),10,IF(lenb(SUBSTITUTE($Z437,W$1,""))&lt;lenb($Z437),"ERROR",IF($Z437=$Y$1,"-",0))))))))))))</f>
        <v>0</v>
      </c>
      <c r="X437" s="116">
        <f t="shared" si="442"/>
        <v>0</v>
      </c>
      <c r="Y437" s="116" t="str">
        <f t="shared" si="4"/>
        <v>-</v>
      </c>
      <c r="Z437" s="115" t="s">
        <v>3400</v>
      </c>
      <c r="AA437" s="54">
        <f t="shared" si="5"/>
        <v>1</v>
      </c>
      <c r="AB437" s="54">
        <f>COUNTIFS(Links!B:B,"FSE",Links!C:C,A437,Links!AD:AD,1)</f>
        <v>0</v>
      </c>
      <c r="AC437" s="117" t="s">
        <v>35</v>
      </c>
      <c r="AD437" s="118" t="s">
        <v>35</v>
      </c>
      <c r="AE437" s="115" t="s">
        <v>36</v>
      </c>
      <c r="AF437" s="57" t="s">
        <v>42</v>
      </c>
      <c r="AG437" s="57" t="s">
        <v>42</v>
      </c>
      <c r="AH437" s="57" t="s">
        <v>42</v>
      </c>
      <c r="AI437" s="116" t="str">
        <f t="shared" si="6"/>
        <v>----</v>
      </c>
      <c r="AJ437" s="119" t="str">
        <f t="shared" si="7"/>
        <v>Paper has link but no statement</v>
      </c>
      <c r="AK437" s="120" t="s">
        <v>3401</v>
      </c>
      <c r="AL437" s="121" t="s">
        <v>3402</v>
      </c>
      <c r="AM437" s="60" t="str">
        <f t="shared" si="8"/>
        <v>[FP0343]</v>
      </c>
    </row>
    <row r="438" ht="67.5" customHeight="1">
      <c r="A438" s="61">
        <v>344.0</v>
      </c>
      <c r="B438" s="22" t="s">
        <v>4516</v>
      </c>
      <c r="C438" s="23">
        <v>2020.0</v>
      </c>
      <c r="D438" s="100" t="s">
        <v>35</v>
      </c>
      <c r="E438" s="25" t="s">
        <v>36</v>
      </c>
      <c r="F438" s="25" t="s">
        <v>36</v>
      </c>
      <c r="G438" s="25" t="s">
        <v>36</v>
      </c>
      <c r="H438" s="25" t="s">
        <v>36</v>
      </c>
      <c r="I438" s="25" t="s">
        <v>36</v>
      </c>
      <c r="J438" s="101" t="s">
        <v>36</v>
      </c>
      <c r="K438" s="102" t="s">
        <v>37</v>
      </c>
      <c r="L438" s="103" t="s">
        <v>35</v>
      </c>
      <c r="M438" s="103" t="s">
        <v>37</v>
      </c>
      <c r="N438" s="103" t="s">
        <v>35</v>
      </c>
      <c r="O438" s="103" t="s">
        <v>35</v>
      </c>
      <c r="P438" s="103" t="s">
        <v>37</v>
      </c>
      <c r="Q438" s="103" t="s">
        <v>35</v>
      </c>
      <c r="R438" s="103" t="s">
        <v>37</v>
      </c>
      <c r="S438" s="104" t="s">
        <v>4517</v>
      </c>
      <c r="T438" s="30" t="s">
        <v>4518</v>
      </c>
      <c r="U438" s="30" t="s">
        <v>4518</v>
      </c>
      <c r="V438" s="105">
        <f t="shared" si="2"/>
        <v>1</v>
      </c>
      <c r="W438" s="105">
        <f t="shared" ref="W438:X438" si="443">IF(lenb(SUBSTITUTE($Z438,W$1&amp;" (1)",""))&lt;lenb($Z438),1,IF(lenb(SUBSTITUTE($Z438,W$1&amp;" (2)",""))&lt;lenb($Z438),2,IF(lenb(SUBSTITUTE($Z438,W$1&amp;" (3)",""))&lt;lenb($Z438),3,IF(lenb(SUBSTITUTE($Z438,W$1&amp;" (4)",""))&lt;lenb($Z438),4,IF(lenb(SUBSTITUTE($Z438,W$1&amp;" (5)",""))&lt;lenb($Z438),5,IF(lenb(SUBSTITUTE($Z438,W$1&amp;" (6)",""))&lt;lenb($Z438),6,IF(lenb(SUBSTITUTE($Z438,W$1&amp;" (7)",""))&lt;lenb($Z438),1,IF(lenb(SUBSTITUTE($Z438,W$1&amp;" (8)",""))&lt;lenb($Z438),8,IF(lenb(SUBSTITUTE($Z438,W$1&amp;" (9)",""))&lt;lenb($Z438),9,IF(lenb(SUBSTITUTE($Z438,W$1&amp;" (10)",""))&lt;lenb($Z438),10,IF(lenb(SUBSTITUTE($Z438,W$1,""))&lt;lenb($Z438),"ERROR",IF($Z438=$Y$1,"-",0))))))))))))</f>
        <v>0</v>
      </c>
      <c r="X438" s="105">
        <f t="shared" si="443"/>
        <v>0</v>
      </c>
      <c r="Y438" s="105" t="str">
        <f t="shared" si="4"/>
        <v>-</v>
      </c>
      <c r="Z438" s="104" t="s">
        <v>3400</v>
      </c>
      <c r="AA438" s="34">
        <f t="shared" si="5"/>
        <v>1</v>
      </c>
      <c r="AB438" s="34">
        <f>COUNTIFS(Links!B:B,"FSE",Links!C:C,A438,Links!AD:AD,1)</f>
        <v>0</v>
      </c>
      <c r="AC438" s="106" t="s">
        <v>37</v>
      </c>
      <c r="AD438" s="107" t="s">
        <v>35</v>
      </c>
      <c r="AE438" s="104" t="s">
        <v>36</v>
      </c>
      <c r="AF438" s="37" t="s">
        <v>42</v>
      </c>
      <c r="AG438" s="37" t="s">
        <v>42</v>
      </c>
      <c r="AH438" s="37" t="s">
        <v>42</v>
      </c>
      <c r="AI438" s="105" t="str">
        <f t="shared" si="6"/>
        <v>----</v>
      </c>
      <c r="AJ438" s="108" t="str">
        <f t="shared" si="7"/>
        <v>Paper has link but no statement</v>
      </c>
      <c r="AK438" s="109" t="s">
        <v>3401</v>
      </c>
      <c r="AL438" s="110" t="s">
        <v>3402</v>
      </c>
      <c r="AM438" s="40" t="str">
        <f t="shared" si="8"/>
        <v>[FP0344]</v>
      </c>
    </row>
    <row r="439" ht="67.5" customHeight="1">
      <c r="A439" s="41">
        <v>345.0</v>
      </c>
      <c r="B439" s="42" t="s">
        <v>4519</v>
      </c>
      <c r="C439" s="43">
        <v>2020.0</v>
      </c>
      <c r="D439" s="111" t="s">
        <v>37</v>
      </c>
      <c r="E439" s="45" t="s">
        <v>37</v>
      </c>
      <c r="F439" s="45" t="s">
        <v>37</v>
      </c>
      <c r="G439" s="45" t="s">
        <v>37</v>
      </c>
      <c r="H439" s="45" t="s">
        <v>35</v>
      </c>
      <c r="I439" s="45" t="s">
        <v>35</v>
      </c>
      <c r="J439" s="112" t="s">
        <v>36</v>
      </c>
      <c r="K439" s="113" t="s">
        <v>37</v>
      </c>
      <c r="L439" s="114" t="s">
        <v>35</v>
      </c>
      <c r="M439" s="114" t="s">
        <v>37</v>
      </c>
      <c r="N439" s="114" t="s">
        <v>37</v>
      </c>
      <c r="O439" s="114" t="s">
        <v>35</v>
      </c>
      <c r="P439" s="114" t="s">
        <v>35</v>
      </c>
      <c r="Q439" s="114" t="s">
        <v>37</v>
      </c>
      <c r="R439" s="114" t="s">
        <v>37</v>
      </c>
      <c r="S439" s="115" t="s">
        <v>4520</v>
      </c>
      <c r="T439" s="50" t="s">
        <v>4521</v>
      </c>
      <c r="U439" s="50" t="s">
        <v>4522</v>
      </c>
      <c r="V439" s="116">
        <f t="shared" si="2"/>
        <v>1</v>
      </c>
      <c r="W439" s="116">
        <f t="shared" ref="W439:X439" si="444">IF(lenb(SUBSTITUTE($Z439,W$1&amp;" (1)",""))&lt;lenb($Z439),1,IF(lenb(SUBSTITUTE($Z439,W$1&amp;" (2)",""))&lt;lenb($Z439),2,IF(lenb(SUBSTITUTE($Z439,W$1&amp;" (3)",""))&lt;lenb($Z439),3,IF(lenb(SUBSTITUTE($Z439,W$1&amp;" (4)",""))&lt;lenb($Z439),4,IF(lenb(SUBSTITUTE($Z439,W$1&amp;" (5)",""))&lt;lenb($Z439),5,IF(lenb(SUBSTITUTE($Z439,W$1&amp;" (6)",""))&lt;lenb($Z439),6,IF(lenb(SUBSTITUTE($Z439,W$1&amp;" (7)",""))&lt;lenb($Z439),1,IF(lenb(SUBSTITUTE($Z439,W$1&amp;" (8)",""))&lt;lenb($Z439),8,IF(lenb(SUBSTITUTE($Z439,W$1&amp;" (9)",""))&lt;lenb($Z439),9,IF(lenb(SUBSTITUTE($Z439,W$1&amp;" (10)",""))&lt;lenb($Z439),10,IF(lenb(SUBSTITUTE($Z439,W$1,""))&lt;lenb($Z439),"ERROR",IF($Z439=$Y$1,"-",0))))))))))))</f>
        <v>0</v>
      </c>
      <c r="X439" s="116">
        <f t="shared" si="444"/>
        <v>0</v>
      </c>
      <c r="Y439" s="116" t="str">
        <f t="shared" si="4"/>
        <v>-</v>
      </c>
      <c r="Z439" s="115" t="s">
        <v>3400</v>
      </c>
      <c r="AA439" s="54">
        <f t="shared" si="5"/>
        <v>1</v>
      </c>
      <c r="AB439" s="54">
        <f>COUNTIFS(Links!B:B,"FSE",Links!C:C,A439,Links!AD:AD,1)</f>
        <v>0</v>
      </c>
      <c r="AC439" s="117" t="s">
        <v>37</v>
      </c>
      <c r="AD439" s="118" t="s">
        <v>35</v>
      </c>
      <c r="AE439" s="115" t="s">
        <v>36</v>
      </c>
      <c r="AF439" s="57" t="s">
        <v>42</v>
      </c>
      <c r="AG439" s="57" t="s">
        <v>42</v>
      </c>
      <c r="AH439" s="57" t="s">
        <v>42</v>
      </c>
      <c r="AI439" s="116" t="str">
        <f t="shared" si="6"/>
        <v>----</v>
      </c>
      <c r="AJ439" s="119" t="str">
        <f t="shared" si="7"/>
        <v>Paper has link but no statement</v>
      </c>
      <c r="AK439" s="120" t="s">
        <v>3401</v>
      </c>
      <c r="AL439" s="121" t="s">
        <v>3402</v>
      </c>
      <c r="AM439" s="60" t="str">
        <f t="shared" si="8"/>
        <v>[FP0345]</v>
      </c>
    </row>
    <row r="440" ht="67.5" customHeight="1">
      <c r="A440" s="61">
        <v>346.0</v>
      </c>
      <c r="B440" s="22" t="s">
        <v>4523</v>
      </c>
      <c r="C440" s="23">
        <v>2020.0</v>
      </c>
      <c r="D440" s="100" t="s">
        <v>35</v>
      </c>
      <c r="E440" s="25" t="s">
        <v>36</v>
      </c>
      <c r="F440" s="25" t="s">
        <v>36</v>
      </c>
      <c r="G440" s="25" t="s">
        <v>36</v>
      </c>
      <c r="H440" s="25" t="s">
        <v>36</v>
      </c>
      <c r="I440" s="25" t="s">
        <v>36</v>
      </c>
      <c r="J440" s="101" t="s">
        <v>36</v>
      </c>
      <c r="K440" s="102" t="s">
        <v>37</v>
      </c>
      <c r="L440" s="103" t="s">
        <v>37</v>
      </c>
      <c r="M440" s="103" t="s">
        <v>35</v>
      </c>
      <c r="N440" s="103" t="s">
        <v>35</v>
      </c>
      <c r="O440" s="103" t="s">
        <v>35</v>
      </c>
      <c r="P440" s="103" t="s">
        <v>35</v>
      </c>
      <c r="Q440" s="103" t="s">
        <v>35</v>
      </c>
      <c r="R440" s="103" t="s">
        <v>37</v>
      </c>
      <c r="S440" s="104" t="s">
        <v>4524</v>
      </c>
      <c r="T440" s="30" t="s">
        <v>4525</v>
      </c>
      <c r="U440" s="30" t="s">
        <v>4526</v>
      </c>
      <c r="V440" s="105">
        <f t="shared" si="2"/>
        <v>0</v>
      </c>
      <c r="W440" s="105">
        <f t="shared" ref="W440:X440" si="445">IF(lenb(SUBSTITUTE($Z440,W$1&amp;" (1)",""))&lt;lenb($Z440),1,IF(lenb(SUBSTITUTE($Z440,W$1&amp;" (2)",""))&lt;lenb($Z440),2,IF(lenb(SUBSTITUTE($Z440,W$1&amp;" (3)",""))&lt;lenb($Z440),3,IF(lenb(SUBSTITUTE($Z440,W$1&amp;" (4)",""))&lt;lenb($Z440),4,IF(lenb(SUBSTITUTE($Z440,W$1&amp;" (5)",""))&lt;lenb($Z440),5,IF(lenb(SUBSTITUTE($Z440,W$1&amp;" (6)",""))&lt;lenb($Z440),6,IF(lenb(SUBSTITUTE($Z440,W$1&amp;" (7)",""))&lt;lenb($Z440),1,IF(lenb(SUBSTITUTE($Z440,W$1&amp;" (8)",""))&lt;lenb($Z440),8,IF(lenb(SUBSTITUTE($Z440,W$1&amp;" (9)",""))&lt;lenb($Z440),9,IF(lenb(SUBSTITUTE($Z440,W$1&amp;" (10)",""))&lt;lenb($Z440),10,IF(lenb(SUBSTITUTE($Z440,W$1,""))&lt;lenb($Z440),"ERROR",IF($Z440=$Y$1,"-",0))))))))))))</f>
        <v>3</v>
      </c>
      <c r="X440" s="105">
        <f t="shared" si="445"/>
        <v>0</v>
      </c>
      <c r="Y440" s="105" t="str">
        <f t="shared" si="4"/>
        <v>-</v>
      </c>
      <c r="Z440" s="104" t="s">
        <v>4527</v>
      </c>
      <c r="AA440" s="34">
        <f t="shared" si="5"/>
        <v>3</v>
      </c>
      <c r="AB440" s="34">
        <f>COUNTIFS(Links!B:B,"FSE",Links!C:C,A440,Links!AD:AD,1)</f>
        <v>3</v>
      </c>
      <c r="AC440" s="106" t="s">
        <v>35</v>
      </c>
      <c r="AD440" s="107" t="s">
        <v>35</v>
      </c>
      <c r="AE440" s="104" t="s">
        <v>36</v>
      </c>
      <c r="AF440" s="37" t="s">
        <v>42</v>
      </c>
      <c r="AG440" s="37" t="s">
        <v>42</v>
      </c>
      <c r="AH440" s="37" t="s">
        <v>42</v>
      </c>
      <c r="AI440" s="105" t="str">
        <f t="shared" si="6"/>
        <v>----</v>
      </c>
      <c r="AJ440" s="108" t="str">
        <f t="shared" si="7"/>
        <v>Paper has link but no statement</v>
      </c>
      <c r="AK440" s="109" t="s">
        <v>3401</v>
      </c>
      <c r="AL440" s="110" t="s">
        <v>3402</v>
      </c>
      <c r="AM440" s="40" t="str">
        <f t="shared" si="8"/>
        <v>[FP0346]</v>
      </c>
    </row>
    <row r="441" ht="67.5" customHeight="1">
      <c r="A441" s="41">
        <v>347.0</v>
      </c>
      <c r="B441" s="42" t="s">
        <v>4528</v>
      </c>
      <c r="C441" s="43">
        <v>2020.0</v>
      </c>
      <c r="D441" s="111" t="s">
        <v>35</v>
      </c>
      <c r="E441" s="45" t="s">
        <v>36</v>
      </c>
      <c r="F441" s="45" t="s">
        <v>36</v>
      </c>
      <c r="G441" s="45" t="s">
        <v>36</v>
      </c>
      <c r="H441" s="45" t="s">
        <v>36</v>
      </c>
      <c r="I441" s="45" t="s">
        <v>36</v>
      </c>
      <c r="J441" s="112" t="s">
        <v>36</v>
      </c>
      <c r="K441" s="113" t="s">
        <v>35</v>
      </c>
      <c r="L441" s="114" t="s">
        <v>36</v>
      </c>
      <c r="M441" s="114" t="s">
        <v>36</v>
      </c>
      <c r="N441" s="114" t="s">
        <v>36</v>
      </c>
      <c r="O441" s="114" t="s">
        <v>36</v>
      </c>
      <c r="P441" s="114" t="s">
        <v>36</v>
      </c>
      <c r="Q441" s="114" t="s">
        <v>36</v>
      </c>
      <c r="R441" s="114" t="s">
        <v>36</v>
      </c>
      <c r="S441" s="115" t="s">
        <v>42</v>
      </c>
      <c r="T441" s="50" t="s">
        <v>36</v>
      </c>
      <c r="U441" s="50" t="s">
        <v>36</v>
      </c>
      <c r="V441" s="116" t="str">
        <f t="shared" si="2"/>
        <v>-</v>
      </c>
      <c r="W441" s="116" t="str">
        <f t="shared" ref="W441:X441" si="446">IF(lenb(SUBSTITUTE($Z441,W$1&amp;" (1)",""))&lt;lenb($Z441),1,IF(lenb(SUBSTITUTE($Z441,W$1&amp;" (2)",""))&lt;lenb($Z441),2,IF(lenb(SUBSTITUTE($Z441,W$1&amp;" (3)",""))&lt;lenb($Z441),3,IF(lenb(SUBSTITUTE($Z441,W$1&amp;" (4)",""))&lt;lenb($Z441),4,IF(lenb(SUBSTITUTE($Z441,W$1&amp;" (5)",""))&lt;lenb($Z441),5,IF(lenb(SUBSTITUTE($Z441,W$1&amp;" (6)",""))&lt;lenb($Z441),6,IF(lenb(SUBSTITUTE($Z441,W$1&amp;" (7)",""))&lt;lenb($Z441),1,IF(lenb(SUBSTITUTE($Z441,W$1&amp;" (8)",""))&lt;lenb($Z441),8,IF(lenb(SUBSTITUTE($Z441,W$1&amp;" (9)",""))&lt;lenb($Z441),9,IF(lenb(SUBSTITUTE($Z441,W$1&amp;" (10)",""))&lt;lenb($Z441),10,IF(lenb(SUBSTITUTE($Z441,W$1,""))&lt;lenb($Z441),"ERROR",IF($Z441=$Y$1,"-",0))))))))))))</f>
        <v>-</v>
      </c>
      <c r="X441" s="116" t="str">
        <f t="shared" si="446"/>
        <v>-</v>
      </c>
      <c r="Y441" s="116">
        <f t="shared" si="4"/>
        <v>1</v>
      </c>
      <c r="Z441" s="115" t="s">
        <v>23</v>
      </c>
      <c r="AA441" s="54">
        <f t="shared" si="5"/>
        <v>0</v>
      </c>
      <c r="AB441" s="54">
        <f>COUNTIFS(Links!B:B,"FSE",Links!C:C,A441,Links!AD:AD,1)</f>
        <v>0</v>
      </c>
      <c r="AC441" s="117" t="s">
        <v>36</v>
      </c>
      <c r="AD441" s="118" t="s">
        <v>35</v>
      </c>
      <c r="AE441" s="115" t="s">
        <v>36</v>
      </c>
      <c r="AF441" s="57" t="s">
        <v>42</v>
      </c>
      <c r="AG441" s="57" t="s">
        <v>42</v>
      </c>
      <c r="AH441" s="57" t="s">
        <v>42</v>
      </c>
      <c r="AI441" s="116" t="str">
        <f t="shared" si="6"/>
        <v>----</v>
      </c>
      <c r="AJ441" s="119" t="str">
        <f t="shared" si="7"/>
        <v>Paper has no link and no statement</v>
      </c>
      <c r="AK441" s="120" t="s">
        <v>3401</v>
      </c>
      <c r="AL441" s="121" t="s">
        <v>3402</v>
      </c>
      <c r="AM441" s="60" t="str">
        <f t="shared" si="8"/>
        <v>[FP0347]</v>
      </c>
    </row>
    <row r="442" ht="67.5" customHeight="1">
      <c r="A442" s="61">
        <v>348.0</v>
      </c>
      <c r="B442" s="22" t="s">
        <v>4529</v>
      </c>
      <c r="C442" s="23">
        <v>2020.0</v>
      </c>
      <c r="D442" s="100" t="s">
        <v>35</v>
      </c>
      <c r="E442" s="25" t="s">
        <v>36</v>
      </c>
      <c r="F442" s="25" t="s">
        <v>36</v>
      </c>
      <c r="G442" s="25" t="s">
        <v>36</v>
      </c>
      <c r="H442" s="25" t="s">
        <v>36</v>
      </c>
      <c r="I442" s="25" t="s">
        <v>36</v>
      </c>
      <c r="J442" s="101" t="s">
        <v>36</v>
      </c>
      <c r="K442" s="102" t="s">
        <v>35</v>
      </c>
      <c r="L442" s="103" t="s">
        <v>36</v>
      </c>
      <c r="M442" s="103" t="s">
        <v>36</v>
      </c>
      <c r="N442" s="103" t="s">
        <v>36</v>
      </c>
      <c r="O442" s="103" t="s">
        <v>36</v>
      </c>
      <c r="P442" s="103" t="s">
        <v>36</v>
      </c>
      <c r="Q442" s="103" t="s">
        <v>36</v>
      </c>
      <c r="R442" s="103" t="s">
        <v>36</v>
      </c>
      <c r="S442" s="104" t="s">
        <v>42</v>
      </c>
      <c r="T442" s="30" t="s">
        <v>36</v>
      </c>
      <c r="U442" s="30" t="s">
        <v>36</v>
      </c>
      <c r="V442" s="105" t="str">
        <f t="shared" si="2"/>
        <v>-</v>
      </c>
      <c r="W442" s="105" t="str">
        <f t="shared" ref="W442:X442" si="447">IF(lenb(SUBSTITUTE($Z442,W$1&amp;" (1)",""))&lt;lenb($Z442),1,IF(lenb(SUBSTITUTE($Z442,W$1&amp;" (2)",""))&lt;lenb($Z442),2,IF(lenb(SUBSTITUTE($Z442,W$1&amp;" (3)",""))&lt;lenb($Z442),3,IF(lenb(SUBSTITUTE($Z442,W$1&amp;" (4)",""))&lt;lenb($Z442),4,IF(lenb(SUBSTITUTE($Z442,W$1&amp;" (5)",""))&lt;lenb($Z442),5,IF(lenb(SUBSTITUTE($Z442,W$1&amp;" (6)",""))&lt;lenb($Z442),6,IF(lenb(SUBSTITUTE($Z442,W$1&amp;" (7)",""))&lt;lenb($Z442),1,IF(lenb(SUBSTITUTE($Z442,W$1&amp;" (8)",""))&lt;lenb($Z442),8,IF(lenb(SUBSTITUTE($Z442,W$1&amp;" (9)",""))&lt;lenb($Z442),9,IF(lenb(SUBSTITUTE($Z442,W$1&amp;" (10)",""))&lt;lenb($Z442),10,IF(lenb(SUBSTITUTE($Z442,W$1,""))&lt;lenb($Z442),"ERROR",IF($Z442=$Y$1,"-",0))))))))))))</f>
        <v>-</v>
      </c>
      <c r="X442" s="105" t="str">
        <f t="shared" si="447"/>
        <v>-</v>
      </c>
      <c r="Y442" s="105">
        <f t="shared" si="4"/>
        <v>1</v>
      </c>
      <c r="Z442" s="104" t="s">
        <v>23</v>
      </c>
      <c r="AA442" s="34">
        <f t="shared" si="5"/>
        <v>0</v>
      </c>
      <c r="AB442" s="34">
        <f>COUNTIFS(Links!B:B,"FSE",Links!C:C,A442,Links!AD:AD,1)</f>
        <v>0</v>
      </c>
      <c r="AC442" s="106" t="s">
        <v>36</v>
      </c>
      <c r="AD442" s="107" t="s">
        <v>35</v>
      </c>
      <c r="AE442" s="104" t="s">
        <v>36</v>
      </c>
      <c r="AF442" s="37" t="s">
        <v>42</v>
      </c>
      <c r="AG442" s="37" t="s">
        <v>42</v>
      </c>
      <c r="AH442" s="37" t="s">
        <v>42</v>
      </c>
      <c r="AI442" s="105" t="str">
        <f t="shared" si="6"/>
        <v>----</v>
      </c>
      <c r="AJ442" s="108" t="str">
        <f t="shared" si="7"/>
        <v>Paper has no link and no statement</v>
      </c>
      <c r="AK442" s="109" t="s">
        <v>3401</v>
      </c>
      <c r="AL442" s="110" t="s">
        <v>3402</v>
      </c>
      <c r="AM442" s="40" t="str">
        <f t="shared" si="8"/>
        <v>[FP0348]</v>
      </c>
    </row>
    <row r="443" ht="67.5" customHeight="1">
      <c r="A443" s="41">
        <v>349.0</v>
      </c>
      <c r="B443" s="42" t="s">
        <v>4530</v>
      </c>
      <c r="C443" s="43">
        <v>2020.0</v>
      </c>
      <c r="D443" s="111" t="s">
        <v>35</v>
      </c>
      <c r="E443" s="45" t="s">
        <v>36</v>
      </c>
      <c r="F443" s="45" t="s">
        <v>36</v>
      </c>
      <c r="G443" s="45" t="s">
        <v>36</v>
      </c>
      <c r="H443" s="45" t="s">
        <v>36</v>
      </c>
      <c r="I443" s="45" t="s">
        <v>36</v>
      </c>
      <c r="J443" s="112" t="s">
        <v>36</v>
      </c>
      <c r="K443" s="113" t="s">
        <v>35</v>
      </c>
      <c r="L443" s="114" t="s">
        <v>36</v>
      </c>
      <c r="M443" s="114" t="s">
        <v>36</v>
      </c>
      <c r="N443" s="114" t="s">
        <v>36</v>
      </c>
      <c r="O443" s="114" t="s">
        <v>36</v>
      </c>
      <c r="P443" s="114" t="s">
        <v>36</v>
      </c>
      <c r="Q443" s="114" t="s">
        <v>36</v>
      </c>
      <c r="R443" s="114" t="s">
        <v>36</v>
      </c>
      <c r="S443" s="115" t="s">
        <v>42</v>
      </c>
      <c r="T443" s="50" t="s">
        <v>36</v>
      </c>
      <c r="U443" s="50" t="s">
        <v>36</v>
      </c>
      <c r="V443" s="116" t="str">
        <f t="shared" si="2"/>
        <v>-</v>
      </c>
      <c r="W443" s="116" t="str">
        <f t="shared" ref="W443:X443" si="448">IF(lenb(SUBSTITUTE($Z443,W$1&amp;" (1)",""))&lt;lenb($Z443),1,IF(lenb(SUBSTITUTE($Z443,W$1&amp;" (2)",""))&lt;lenb($Z443),2,IF(lenb(SUBSTITUTE($Z443,W$1&amp;" (3)",""))&lt;lenb($Z443),3,IF(lenb(SUBSTITUTE($Z443,W$1&amp;" (4)",""))&lt;lenb($Z443),4,IF(lenb(SUBSTITUTE($Z443,W$1&amp;" (5)",""))&lt;lenb($Z443),5,IF(lenb(SUBSTITUTE($Z443,W$1&amp;" (6)",""))&lt;lenb($Z443),6,IF(lenb(SUBSTITUTE($Z443,W$1&amp;" (7)",""))&lt;lenb($Z443),1,IF(lenb(SUBSTITUTE($Z443,W$1&amp;" (8)",""))&lt;lenb($Z443),8,IF(lenb(SUBSTITUTE($Z443,W$1&amp;" (9)",""))&lt;lenb($Z443),9,IF(lenb(SUBSTITUTE($Z443,W$1&amp;" (10)",""))&lt;lenb($Z443),10,IF(lenb(SUBSTITUTE($Z443,W$1,""))&lt;lenb($Z443),"ERROR",IF($Z443=$Y$1,"-",0))))))))))))</f>
        <v>-</v>
      </c>
      <c r="X443" s="116" t="str">
        <f t="shared" si="448"/>
        <v>-</v>
      </c>
      <c r="Y443" s="116">
        <f t="shared" si="4"/>
        <v>1</v>
      </c>
      <c r="Z443" s="115" t="s">
        <v>23</v>
      </c>
      <c r="AA443" s="54">
        <f t="shared" si="5"/>
        <v>0</v>
      </c>
      <c r="AB443" s="54">
        <f>COUNTIFS(Links!B:B,"FSE",Links!C:C,A443,Links!AD:AD,1)</f>
        <v>0</v>
      </c>
      <c r="AC443" s="117" t="s">
        <v>36</v>
      </c>
      <c r="AD443" s="118" t="s">
        <v>35</v>
      </c>
      <c r="AE443" s="115" t="s">
        <v>36</v>
      </c>
      <c r="AF443" s="57" t="s">
        <v>42</v>
      </c>
      <c r="AG443" s="57" t="s">
        <v>42</v>
      </c>
      <c r="AH443" s="57" t="s">
        <v>42</v>
      </c>
      <c r="AI443" s="116" t="str">
        <f t="shared" si="6"/>
        <v>----</v>
      </c>
      <c r="AJ443" s="119" t="str">
        <f t="shared" si="7"/>
        <v>Paper has no link and no statement</v>
      </c>
      <c r="AK443" s="120" t="s">
        <v>3401</v>
      </c>
      <c r="AL443" s="121" t="s">
        <v>3402</v>
      </c>
      <c r="AM443" s="60" t="str">
        <f t="shared" si="8"/>
        <v>[FP0349]</v>
      </c>
    </row>
    <row r="444" ht="67.5" customHeight="1">
      <c r="A444" s="61">
        <v>350.0</v>
      </c>
      <c r="B444" s="22" t="s">
        <v>4531</v>
      </c>
      <c r="C444" s="23">
        <v>2020.0</v>
      </c>
      <c r="D444" s="100" t="s">
        <v>35</v>
      </c>
      <c r="E444" s="25" t="s">
        <v>36</v>
      </c>
      <c r="F444" s="25" t="s">
        <v>36</v>
      </c>
      <c r="G444" s="25" t="s">
        <v>36</v>
      </c>
      <c r="H444" s="25" t="s">
        <v>36</v>
      </c>
      <c r="I444" s="25" t="s">
        <v>36</v>
      </c>
      <c r="J444" s="101" t="s">
        <v>36</v>
      </c>
      <c r="K444" s="102" t="s">
        <v>35</v>
      </c>
      <c r="L444" s="103" t="s">
        <v>36</v>
      </c>
      <c r="M444" s="103" t="s">
        <v>36</v>
      </c>
      <c r="N444" s="103" t="s">
        <v>36</v>
      </c>
      <c r="O444" s="103" t="s">
        <v>36</v>
      </c>
      <c r="P444" s="103" t="s">
        <v>36</v>
      </c>
      <c r="Q444" s="103" t="s">
        <v>36</v>
      </c>
      <c r="R444" s="103" t="s">
        <v>36</v>
      </c>
      <c r="S444" s="104" t="s">
        <v>42</v>
      </c>
      <c r="T444" s="30" t="s">
        <v>36</v>
      </c>
      <c r="U444" s="30" t="s">
        <v>36</v>
      </c>
      <c r="V444" s="105" t="str">
        <f t="shared" si="2"/>
        <v>-</v>
      </c>
      <c r="W444" s="105" t="str">
        <f t="shared" ref="W444:X444" si="449">IF(lenb(SUBSTITUTE($Z444,W$1&amp;" (1)",""))&lt;lenb($Z444),1,IF(lenb(SUBSTITUTE($Z444,W$1&amp;" (2)",""))&lt;lenb($Z444),2,IF(lenb(SUBSTITUTE($Z444,W$1&amp;" (3)",""))&lt;lenb($Z444),3,IF(lenb(SUBSTITUTE($Z444,W$1&amp;" (4)",""))&lt;lenb($Z444),4,IF(lenb(SUBSTITUTE($Z444,W$1&amp;" (5)",""))&lt;lenb($Z444),5,IF(lenb(SUBSTITUTE($Z444,W$1&amp;" (6)",""))&lt;lenb($Z444),6,IF(lenb(SUBSTITUTE($Z444,W$1&amp;" (7)",""))&lt;lenb($Z444),1,IF(lenb(SUBSTITUTE($Z444,W$1&amp;" (8)",""))&lt;lenb($Z444),8,IF(lenb(SUBSTITUTE($Z444,W$1&amp;" (9)",""))&lt;lenb($Z444),9,IF(lenb(SUBSTITUTE($Z444,W$1&amp;" (10)",""))&lt;lenb($Z444),10,IF(lenb(SUBSTITUTE($Z444,W$1,""))&lt;lenb($Z444),"ERROR",IF($Z444=$Y$1,"-",0))))))))))))</f>
        <v>-</v>
      </c>
      <c r="X444" s="105" t="str">
        <f t="shared" si="449"/>
        <v>-</v>
      </c>
      <c r="Y444" s="105">
        <f t="shared" si="4"/>
        <v>1</v>
      </c>
      <c r="Z444" s="104" t="s">
        <v>23</v>
      </c>
      <c r="AA444" s="34">
        <f t="shared" si="5"/>
        <v>0</v>
      </c>
      <c r="AB444" s="34">
        <f>COUNTIFS(Links!B:B,"FSE",Links!C:C,A444,Links!AD:AD,1)</f>
        <v>0</v>
      </c>
      <c r="AC444" s="106" t="s">
        <v>36</v>
      </c>
      <c r="AD444" s="107" t="s">
        <v>35</v>
      </c>
      <c r="AE444" s="104" t="s">
        <v>36</v>
      </c>
      <c r="AF444" s="37" t="s">
        <v>42</v>
      </c>
      <c r="AG444" s="37" t="s">
        <v>42</v>
      </c>
      <c r="AH444" s="37" t="s">
        <v>42</v>
      </c>
      <c r="AI444" s="105" t="str">
        <f t="shared" si="6"/>
        <v>----</v>
      </c>
      <c r="AJ444" s="108" t="str">
        <f t="shared" si="7"/>
        <v>Paper has no link and no statement</v>
      </c>
      <c r="AK444" s="109" t="s">
        <v>3401</v>
      </c>
      <c r="AL444" s="110" t="s">
        <v>3402</v>
      </c>
      <c r="AM444" s="40" t="str">
        <f t="shared" si="8"/>
        <v>[FP0350]</v>
      </c>
    </row>
    <row r="445" ht="67.5" customHeight="1">
      <c r="A445" s="41">
        <v>351.0</v>
      </c>
      <c r="B445" s="42" t="s">
        <v>4532</v>
      </c>
      <c r="C445" s="43">
        <v>2020.0</v>
      </c>
      <c r="D445" s="111" t="s">
        <v>37</v>
      </c>
      <c r="E445" s="45" t="s">
        <v>37</v>
      </c>
      <c r="F445" s="45" t="s">
        <v>37</v>
      </c>
      <c r="G445" s="45" t="s">
        <v>37</v>
      </c>
      <c r="H445" s="45" t="s">
        <v>35</v>
      </c>
      <c r="I445" s="45" t="s">
        <v>35</v>
      </c>
      <c r="J445" s="112" t="s">
        <v>36</v>
      </c>
      <c r="K445" s="113" t="s">
        <v>37</v>
      </c>
      <c r="L445" s="114" t="s">
        <v>35</v>
      </c>
      <c r="M445" s="114" t="s">
        <v>37</v>
      </c>
      <c r="N445" s="114" t="s">
        <v>37</v>
      </c>
      <c r="O445" s="114" t="s">
        <v>35</v>
      </c>
      <c r="P445" s="114" t="s">
        <v>35</v>
      </c>
      <c r="Q445" s="114" t="s">
        <v>35</v>
      </c>
      <c r="R445" s="114" t="s">
        <v>37</v>
      </c>
      <c r="S445" s="115" t="s">
        <v>4533</v>
      </c>
      <c r="T445" s="50" t="s">
        <v>4534</v>
      </c>
      <c r="U445" s="50" t="s">
        <v>4534</v>
      </c>
      <c r="V445" s="116">
        <f t="shared" si="2"/>
        <v>1</v>
      </c>
      <c r="W445" s="116">
        <f t="shared" ref="W445:X445" si="450">IF(lenb(SUBSTITUTE($Z445,W$1&amp;" (1)",""))&lt;lenb($Z445),1,IF(lenb(SUBSTITUTE($Z445,W$1&amp;" (2)",""))&lt;lenb($Z445),2,IF(lenb(SUBSTITUTE($Z445,W$1&amp;" (3)",""))&lt;lenb($Z445),3,IF(lenb(SUBSTITUTE($Z445,W$1&amp;" (4)",""))&lt;lenb($Z445),4,IF(lenb(SUBSTITUTE($Z445,W$1&amp;" (5)",""))&lt;lenb($Z445),5,IF(lenb(SUBSTITUTE($Z445,W$1&amp;" (6)",""))&lt;lenb($Z445),6,IF(lenb(SUBSTITUTE($Z445,W$1&amp;" (7)",""))&lt;lenb($Z445),1,IF(lenb(SUBSTITUTE($Z445,W$1&amp;" (8)",""))&lt;lenb($Z445),8,IF(lenb(SUBSTITUTE($Z445,W$1&amp;" (9)",""))&lt;lenb($Z445),9,IF(lenb(SUBSTITUTE($Z445,W$1&amp;" (10)",""))&lt;lenb($Z445),10,IF(lenb(SUBSTITUTE($Z445,W$1,""))&lt;lenb($Z445),"ERROR",IF($Z445=$Y$1,"-",0))))))))))))</f>
        <v>0</v>
      </c>
      <c r="X445" s="116">
        <f t="shared" si="450"/>
        <v>0</v>
      </c>
      <c r="Y445" s="116" t="str">
        <f t="shared" si="4"/>
        <v>-</v>
      </c>
      <c r="Z445" s="115" t="s">
        <v>3400</v>
      </c>
      <c r="AA445" s="54">
        <f t="shared" si="5"/>
        <v>1</v>
      </c>
      <c r="AB445" s="54">
        <f>COUNTIFS(Links!B:B,"FSE",Links!C:C,A445,Links!AD:AD,1)</f>
        <v>0</v>
      </c>
      <c r="AC445" s="117" t="s">
        <v>37</v>
      </c>
      <c r="AD445" s="118" t="s">
        <v>35</v>
      </c>
      <c r="AE445" s="115" t="s">
        <v>36</v>
      </c>
      <c r="AF445" s="57" t="s">
        <v>42</v>
      </c>
      <c r="AG445" s="57" t="s">
        <v>42</v>
      </c>
      <c r="AH445" s="57" t="s">
        <v>42</v>
      </c>
      <c r="AI445" s="116" t="str">
        <f t="shared" si="6"/>
        <v>----</v>
      </c>
      <c r="AJ445" s="119" t="str">
        <f t="shared" si="7"/>
        <v>Paper has link but no statement</v>
      </c>
      <c r="AK445" s="120" t="s">
        <v>3401</v>
      </c>
      <c r="AL445" s="121" t="s">
        <v>3402</v>
      </c>
      <c r="AM445" s="60" t="str">
        <f t="shared" si="8"/>
        <v>[FP0351]</v>
      </c>
    </row>
    <row r="446" ht="67.5" customHeight="1">
      <c r="A446" s="61">
        <v>352.0</v>
      </c>
      <c r="B446" s="22" t="s">
        <v>4535</v>
      </c>
      <c r="C446" s="23">
        <v>2020.0</v>
      </c>
      <c r="D446" s="100" t="s">
        <v>35</v>
      </c>
      <c r="E446" s="25" t="s">
        <v>36</v>
      </c>
      <c r="F446" s="25" t="s">
        <v>36</v>
      </c>
      <c r="G446" s="25" t="s">
        <v>36</v>
      </c>
      <c r="H446" s="25" t="s">
        <v>36</v>
      </c>
      <c r="I446" s="25" t="s">
        <v>36</v>
      </c>
      <c r="J446" s="101" t="s">
        <v>36</v>
      </c>
      <c r="K446" s="102" t="s">
        <v>37</v>
      </c>
      <c r="L446" s="103" t="s">
        <v>37</v>
      </c>
      <c r="M446" s="103" t="s">
        <v>35</v>
      </c>
      <c r="N446" s="103" t="s">
        <v>35</v>
      </c>
      <c r="O446" s="103" t="s">
        <v>35</v>
      </c>
      <c r="P446" s="103" t="s">
        <v>35</v>
      </c>
      <c r="Q446" s="103" t="s">
        <v>35</v>
      </c>
      <c r="R446" s="103" t="s">
        <v>37</v>
      </c>
      <c r="S446" s="104" t="s">
        <v>36</v>
      </c>
      <c r="T446" s="30" t="s">
        <v>4536</v>
      </c>
      <c r="U446" s="30" t="s">
        <v>4536</v>
      </c>
      <c r="V446" s="105">
        <f t="shared" si="2"/>
        <v>1</v>
      </c>
      <c r="W446" s="105">
        <f t="shared" ref="W446:X446" si="451">IF(lenb(SUBSTITUTE($Z446,W$1&amp;" (1)",""))&lt;lenb($Z446),1,IF(lenb(SUBSTITUTE($Z446,W$1&amp;" (2)",""))&lt;lenb($Z446),2,IF(lenb(SUBSTITUTE($Z446,W$1&amp;" (3)",""))&lt;lenb($Z446),3,IF(lenb(SUBSTITUTE($Z446,W$1&amp;" (4)",""))&lt;lenb($Z446),4,IF(lenb(SUBSTITUTE($Z446,W$1&amp;" (5)",""))&lt;lenb($Z446),5,IF(lenb(SUBSTITUTE($Z446,W$1&amp;" (6)",""))&lt;lenb($Z446),6,IF(lenb(SUBSTITUTE($Z446,W$1&amp;" (7)",""))&lt;lenb($Z446),1,IF(lenb(SUBSTITUTE($Z446,W$1&amp;" (8)",""))&lt;lenb($Z446),8,IF(lenb(SUBSTITUTE($Z446,W$1&amp;" (9)",""))&lt;lenb($Z446),9,IF(lenb(SUBSTITUTE($Z446,W$1&amp;" (10)",""))&lt;lenb($Z446),10,IF(lenb(SUBSTITUTE($Z446,W$1,""))&lt;lenb($Z446),"ERROR",IF($Z446=$Y$1,"-",0))))))))))))</f>
        <v>0</v>
      </c>
      <c r="X446" s="105">
        <f t="shared" si="451"/>
        <v>0</v>
      </c>
      <c r="Y446" s="105" t="str">
        <f t="shared" si="4"/>
        <v>-</v>
      </c>
      <c r="Z446" s="104" t="s">
        <v>3400</v>
      </c>
      <c r="AA446" s="34">
        <f t="shared" si="5"/>
        <v>1</v>
      </c>
      <c r="AB446" s="34">
        <f>COUNTIFS(Links!B:B,"FSE",Links!C:C,A446,Links!AD:AD,1)</f>
        <v>0</v>
      </c>
      <c r="AC446" s="106" t="s">
        <v>35</v>
      </c>
      <c r="AD446" s="107" t="s">
        <v>35</v>
      </c>
      <c r="AE446" s="104" t="s">
        <v>36</v>
      </c>
      <c r="AF446" s="37" t="s">
        <v>42</v>
      </c>
      <c r="AG446" s="37" t="s">
        <v>42</v>
      </c>
      <c r="AH446" s="37" t="s">
        <v>42</v>
      </c>
      <c r="AI446" s="105" t="str">
        <f t="shared" si="6"/>
        <v>----</v>
      </c>
      <c r="AJ446" s="108" t="str">
        <f t="shared" si="7"/>
        <v>Paper has link but no statement</v>
      </c>
      <c r="AK446" s="109" t="s">
        <v>3401</v>
      </c>
      <c r="AL446" s="110" t="s">
        <v>3402</v>
      </c>
      <c r="AM446" s="40" t="str">
        <f t="shared" si="8"/>
        <v>[FP0352]</v>
      </c>
    </row>
    <row r="447" ht="67.5" customHeight="1">
      <c r="A447" s="41">
        <v>353.0</v>
      </c>
      <c r="B447" s="42" t="s">
        <v>4537</v>
      </c>
      <c r="C447" s="43">
        <v>2020.0</v>
      </c>
      <c r="D447" s="111" t="s">
        <v>35</v>
      </c>
      <c r="E447" s="45" t="s">
        <v>36</v>
      </c>
      <c r="F447" s="45" t="s">
        <v>36</v>
      </c>
      <c r="G447" s="45" t="s">
        <v>36</v>
      </c>
      <c r="H447" s="45" t="s">
        <v>36</v>
      </c>
      <c r="I447" s="45" t="s">
        <v>36</v>
      </c>
      <c r="J447" s="112" t="s">
        <v>36</v>
      </c>
      <c r="K447" s="113" t="s">
        <v>37</v>
      </c>
      <c r="L447" s="114" t="s">
        <v>35</v>
      </c>
      <c r="M447" s="114" t="s">
        <v>35</v>
      </c>
      <c r="N447" s="114" t="s">
        <v>35</v>
      </c>
      <c r="O447" s="114" t="s">
        <v>37</v>
      </c>
      <c r="P447" s="114" t="s">
        <v>35</v>
      </c>
      <c r="Q447" s="114" t="s">
        <v>35</v>
      </c>
      <c r="R447" s="114" t="s">
        <v>35</v>
      </c>
      <c r="S447" s="115"/>
      <c r="T447" s="50" t="s">
        <v>4538</v>
      </c>
      <c r="U447" s="50" t="s">
        <v>4538</v>
      </c>
      <c r="V447" s="116">
        <f t="shared" si="2"/>
        <v>1</v>
      </c>
      <c r="W447" s="116">
        <f t="shared" ref="W447:X447" si="452">IF(lenb(SUBSTITUTE($Z447,W$1&amp;" (1)",""))&lt;lenb($Z447),1,IF(lenb(SUBSTITUTE($Z447,W$1&amp;" (2)",""))&lt;lenb($Z447),2,IF(lenb(SUBSTITUTE($Z447,W$1&amp;" (3)",""))&lt;lenb($Z447),3,IF(lenb(SUBSTITUTE($Z447,W$1&amp;" (4)",""))&lt;lenb($Z447),4,IF(lenb(SUBSTITUTE($Z447,W$1&amp;" (5)",""))&lt;lenb($Z447),5,IF(lenb(SUBSTITUTE($Z447,W$1&amp;" (6)",""))&lt;lenb($Z447),6,IF(lenb(SUBSTITUTE($Z447,W$1&amp;" (7)",""))&lt;lenb($Z447),1,IF(lenb(SUBSTITUTE($Z447,W$1&amp;" (8)",""))&lt;lenb($Z447),8,IF(lenb(SUBSTITUTE($Z447,W$1&amp;" (9)",""))&lt;lenb($Z447),9,IF(lenb(SUBSTITUTE($Z447,W$1&amp;" (10)",""))&lt;lenb($Z447),10,IF(lenb(SUBSTITUTE($Z447,W$1,""))&lt;lenb($Z447),"ERROR",IF($Z447=$Y$1,"-",0))))))))))))</f>
        <v>0</v>
      </c>
      <c r="X447" s="116">
        <f t="shared" si="452"/>
        <v>0</v>
      </c>
      <c r="Y447" s="116" t="str">
        <f t="shared" si="4"/>
        <v>-</v>
      </c>
      <c r="Z447" s="115" t="s">
        <v>3400</v>
      </c>
      <c r="AA447" s="54">
        <f t="shared" si="5"/>
        <v>1</v>
      </c>
      <c r="AB447" s="54">
        <f>COUNTIFS(Links!B:B,"FSE",Links!C:C,A447,Links!AD:AD,1)</f>
        <v>0</v>
      </c>
      <c r="AC447" s="117" t="s">
        <v>35</v>
      </c>
      <c r="AD447" s="118" t="s">
        <v>35</v>
      </c>
      <c r="AE447" s="115" t="s">
        <v>36</v>
      </c>
      <c r="AF447" s="57" t="s">
        <v>42</v>
      </c>
      <c r="AG447" s="57" t="s">
        <v>42</v>
      </c>
      <c r="AH447" s="57" t="s">
        <v>42</v>
      </c>
      <c r="AI447" s="116" t="str">
        <f t="shared" si="6"/>
        <v>----</v>
      </c>
      <c r="AJ447" s="119" t="str">
        <f t="shared" si="7"/>
        <v>Paper has link but no statement</v>
      </c>
      <c r="AK447" s="120" t="s">
        <v>3401</v>
      </c>
      <c r="AL447" s="121" t="s">
        <v>3402</v>
      </c>
      <c r="AM447" s="60" t="str">
        <f t="shared" si="8"/>
        <v>[FP0353]</v>
      </c>
    </row>
    <row r="448" ht="67.5" customHeight="1">
      <c r="A448" s="61">
        <v>354.0</v>
      </c>
      <c r="B448" s="22" t="s">
        <v>4539</v>
      </c>
      <c r="C448" s="23">
        <v>2020.0</v>
      </c>
      <c r="D448" s="100" t="s">
        <v>37</v>
      </c>
      <c r="E448" s="25" t="s">
        <v>37</v>
      </c>
      <c r="F448" s="25" t="s">
        <v>37</v>
      </c>
      <c r="G448" s="25" t="s">
        <v>37</v>
      </c>
      <c r="H448" s="25" t="s">
        <v>35</v>
      </c>
      <c r="I448" s="25" t="s">
        <v>35</v>
      </c>
      <c r="J448" s="101" t="s">
        <v>36</v>
      </c>
      <c r="K448" s="102" t="s">
        <v>37</v>
      </c>
      <c r="L448" s="103" t="s">
        <v>35</v>
      </c>
      <c r="M448" s="103" t="s">
        <v>35</v>
      </c>
      <c r="N448" s="103" t="s">
        <v>37</v>
      </c>
      <c r="O448" s="103" t="s">
        <v>37</v>
      </c>
      <c r="P448" s="103" t="s">
        <v>35</v>
      </c>
      <c r="Q448" s="103" t="s">
        <v>35</v>
      </c>
      <c r="R448" s="103" t="s">
        <v>35</v>
      </c>
      <c r="S448" s="136" t="s">
        <v>4540</v>
      </c>
      <c r="T448" s="30" t="s">
        <v>4541</v>
      </c>
      <c r="U448" s="30" t="s">
        <v>4541</v>
      </c>
      <c r="V448" s="105">
        <f t="shared" si="2"/>
        <v>1</v>
      </c>
      <c r="W448" s="105">
        <f t="shared" ref="W448:X448" si="453">IF(lenb(SUBSTITUTE($Z448,W$1&amp;" (1)",""))&lt;lenb($Z448),1,IF(lenb(SUBSTITUTE($Z448,W$1&amp;" (2)",""))&lt;lenb($Z448),2,IF(lenb(SUBSTITUTE($Z448,W$1&amp;" (3)",""))&lt;lenb($Z448),3,IF(lenb(SUBSTITUTE($Z448,W$1&amp;" (4)",""))&lt;lenb($Z448),4,IF(lenb(SUBSTITUTE($Z448,W$1&amp;" (5)",""))&lt;lenb($Z448),5,IF(lenb(SUBSTITUTE($Z448,W$1&amp;" (6)",""))&lt;lenb($Z448),6,IF(lenb(SUBSTITUTE($Z448,W$1&amp;" (7)",""))&lt;lenb($Z448),1,IF(lenb(SUBSTITUTE($Z448,W$1&amp;" (8)",""))&lt;lenb($Z448),8,IF(lenb(SUBSTITUTE($Z448,W$1&amp;" (9)",""))&lt;lenb($Z448),9,IF(lenb(SUBSTITUTE($Z448,W$1&amp;" (10)",""))&lt;lenb($Z448),10,IF(lenb(SUBSTITUTE($Z448,W$1,""))&lt;lenb($Z448),"ERROR",IF($Z448=$Y$1,"-",0))))))))))))</f>
        <v>0</v>
      </c>
      <c r="X448" s="105">
        <f t="shared" si="453"/>
        <v>0</v>
      </c>
      <c r="Y448" s="105" t="str">
        <f t="shared" si="4"/>
        <v>-</v>
      </c>
      <c r="Z448" s="104" t="s">
        <v>3400</v>
      </c>
      <c r="AA448" s="34">
        <f t="shared" si="5"/>
        <v>1</v>
      </c>
      <c r="AB448" s="34">
        <f>COUNTIFS(Links!B:B,"FSE",Links!C:C,A448,Links!AD:AD,1)</f>
        <v>0</v>
      </c>
      <c r="AC448" s="106" t="s">
        <v>35</v>
      </c>
      <c r="AD448" s="107" t="s">
        <v>35</v>
      </c>
      <c r="AE448" s="104" t="s">
        <v>36</v>
      </c>
      <c r="AF448" s="37" t="s">
        <v>42</v>
      </c>
      <c r="AG448" s="37" t="s">
        <v>42</v>
      </c>
      <c r="AH448" s="37" t="s">
        <v>42</v>
      </c>
      <c r="AI448" s="105" t="str">
        <f t="shared" si="6"/>
        <v>----</v>
      </c>
      <c r="AJ448" s="108" t="str">
        <f t="shared" si="7"/>
        <v>Paper has link but no statement</v>
      </c>
      <c r="AK448" s="109" t="s">
        <v>3401</v>
      </c>
      <c r="AL448" s="110" t="s">
        <v>3402</v>
      </c>
      <c r="AM448" s="40" t="str">
        <f t="shared" si="8"/>
        <v>[FP0354]</v>
      </c>
    </row>
    <row r="449" ht="67.5" customHeight="1">
      <c r="A449" s="41">
        <v>355.0</v>
      </c>
      <c r="B449" s="42" t="s">
        <v>4542</v>
      </c>
      <c r="C449" s="43">
        <v>2020.0</v>
      </c>
      <c r="D449" s="111" t="s">
        <v>37</v>
      </c>
      <c r="E449" s="45" t="s">
        <v>35</v>
      </c>
      <c r="F449" s="45" t="s">
        <v>37</v>
      </c>
      <c r="G449" s="45" t="s">
        <v>35</v>
      </c>
      <c r="H449" s="45" t="s">
        <v>35</v>
      </c>
      <c r="I449" s="45" t="s">
        <v>35</v>
      </c>
      <c r="J449" s="112" t="s">
        <v>36</v>
      </c>
      <c r="K449" s="113" t="s">
        <v>37</v>
      </c>
      <c r="L449" s="114" t="s">
        <v>35</v>
      </c>
      <c r="M449" s="114" t="s">
        <v>35</v>
      </c>
      <c r="N449" s="114" t="s">
        <v>35</v>
      </c>
      <c r="O449" s="114" t="s">
        <v>35</v>
      </c>
      <c r="P449" s="114" t="s">
        <v>35</v>
      </c>
      <c r="Q449" s="114" t="s">
        <v>35</v>
      </c>
      <c r="R449" s="114" t="s">
        <v>37</v>
      </c>
      <c r="S449" s="115" t="s">
        <v>4543</v>
      </c>
      <c r="T449" s="50" t="s">
        <v>4544</v>
      </c>
      <c r="U449" s="50" t="s">
        <v>4544</v>
      </c>
      <c r="V449" s="116">
        <f t="shared" si="2"/>
        <v>1</v>
      </c>
      <c r="W449" s="116">
        <f t="shared" ref="W449:X449" si="454">IF(lenb(SUBSTITUTE($Z449,W$1&amp;" (1)",""))&lt;lenb($Z449),1,IF(lenb(SUBSTITUTE($Z449,W$1&amp;" (2)",""))&lt;lenb($Z449),2,IF(lenb(SUBSTITUTE($Z449,W$1&amp;" (3)",""))&lt;lenb($Z449),3,IF(lenb(SUBSTITUTE($Z449,W$1&amp;" (4)",""))&lt;lenb($Z449),4,IF(lenb(SUBSTITUTE($Z449,W$1&amp;" (5)",""))&lt;lenb($Z449),5,IF(lenb(SUBSTITUTE($Z449,W$1&amp;" (6)",""))&lt;lenb($Z449),6,IF(lenb(SUBSTITUTE($Z449,W$1&amp;" (7)",""))&lt;lenb($Z449),1,IF(lenb(SUBSTITUTE($Z449,W$1&amp;" (8)",""))&lt;lenb($Z449),8,IF(lenb(SUBSTITUTE($Z449,W$1&amp;" (9)",""))&lt;lenb($Z449),9,IF(lenb(SUBSTITUTE($Z449,W$1&amp;" (10)",""))&lt;lenb($Z449),10,IF(lenb(SUBSTITUTE($Z449,W$1,""))&lt;lenb($Z449),"ERROR",IF($Z449=$Y$1,"-",0))))))))))))</f>
        <v>0</v>
      </c>
      <c r="X449" s="116">
        <f t="shared" si="454"/>
        <v>0</v>
      </c>
      <c r="Y449" s="116" t="str">
        <f t="shared" si="4"/>
        <v>-</v>
      </c>
      <c r="Z449" s="115" t="s">
        <v>3400</v>
      </c>
      <c r="AA449" s="54">
        <f t="shared" si="5"/>
        <v>1</v>
      </c>
      <c r="AB449" s="54">
        <f>COUNTIFS(Links!B:B,"FSE",Links!C:C,A449,Links!AD:AD,1)</f>
        <v>0</v>
      </c>
      <c r="AC449" s="117" t="s">
        <v>35</v>
      </c>
      <c r="AD449" s="118" t="s">
        <v>35</v>
      </c>
      <c r="AE449" s="115" t="s">
        <v>36</v>
      </c>
      <c r="AF449" s="57" t="s">
        <v>42</v>
      </c>
      <c r="AG449" s="57" t="s">
        <v>42</v>
      </c>
      <c r="AH449" s="57" t="s">
        <v>42</v>
      </c>
      <c r="AI449" s="116" t="str">
        <f t="shared" si="6"/>
        <v>----</v>
      </c>
      <c r="AJ449" s="119" t="str">
        <f t="shared" si="7"/>
        <v>Paper has link but no statement</v>
      </c>
      <c r="AK449" s="120" t="s">
        <v>3401</v>
      </c>
      <c r="AL449" s="121" t="s">
        <v>3402</v>
      </c>
      <c r="AM449" s="60" t="str">
        <f t="shared" si="8"/>
        <v>[FP0355]</v>
      </c>
    </row>
    <row r="450" ht="67.5" customHeight="1">
      <c r="A450" s="61">
        <v>356.0</v>
      </c>
      <c r="B450" s="22" t="s">
        <v>4545</v>
      </c>
      <c r="C450" s="23">
        <v>2020.0</v>
      </c>
      <c r="D450" s="100" t="s">
        <v>35</v>
      </c>
      <c r="E450" s="25" t="s">
        <v>36</v>
      </c>
      <c r="F450" s="25" t="s">
        <v>36</v>
      </c>
      <c r="G450" s="25" t="s">
        <v>36</v>
      </c>
      <c r="H450" s="25" t="s">
        <v>36</v>
      </c>
      <c r="I450" s="25" t="s">
        <v>36</v>
      </c>
      <c r="J450" s="101" t="s">
        <v>36</v>
      </c>
      <c r="K450" s="102" t="s">
        <v>37</v>
      </c>
      <c r="L450" s="103" t="s">
        <v>37</v>
      </c>
      <c r="M450" s="103" t="s">
        <v>35</v>
      </c>
      <c r="N450" s="103" t="s">
        <v>35</v>
      </c>
      <c r="O450" s="103" t="s">
        <v>35</v>
      </c>
      <c r="P450" s="103" t="s">
        <v>35</v>
      </c>
      <c r="Q450" s="103" t="s">
        <v>35</v>
      </c>
      <c r="R450" s="103" t="s">
        <v>37</v>
      </c>
      <c r="S450" s="104" t="s">
        <v>4546</v>
      </c>
      <c r="T450" s="30" t="s">
        <v>4547</v>
      </c>
      <c r="U450" s="30" t="s">
        <v>4547</v>
      </c>
      <c r="V450" s="105">
        <f t="shared" si="2"/>
        <v>1</v>
      </c>
      <c r="W450" s="105">
        <f t="shared" ref="W450:X450" si="455">IF(lenb(SUBSTITUTE($Z450,W$1&amp;" (1)",""))&lt;lenb($Z450),1,IF(lenb(SUBSTITUTE($Z450,W$1&amp;" (2)",""))&lt;lenb($Z450),2,IF(lenb(SUBSTITUTE($Z450,W$1&amp;" (3)",""))&lt;lenb($Z450),3,IF(lenb(SUBSTITUTE($Z450,W$1&amp;" (4)",""))&lt;lenb($Z450),4,IF(lenb(SUBSTITUTE($Z450,W$1&amp;" (5)",""))&lt;lenb($Z450),5,IF(lenb(SUBSTITUTE($Z450,W$1&amp;" (6)",""))&lt;lenb($Z450),6,IF(lenb(SUBSTITUTE($Z450,W$1&amp;" (7)",""))&lt;lenb($Z450),1,IF(lenb(SUBSTITUTE($Z450,W$1&amp;" (8)",""))&lt;lenb($Z450),8,IF(lenb(SUBSTITUTE($Z450,W$1&amp;" (9)",""))&lt;lenb($Z450),9,IF(lenb(SUBSTITUTE($Z450,W$1&amp;" (10)",""))&lt;lenb($Z450),10,IF(lenb(SUBSTITUTE($Z450,W$1,""))&lt;lenb($Z450),"ERROR",IF($Z450=$Y$1,"-",0))))))))))))</f>
        <v>0</v>
      </c>
      <c r="X450" s="105">
        <f t="shared" si="455"/>
        <v>0</v>
      </c>
      <c r="Y450" s="105" t="str">
        <f t="shared" si="4"/>
        <v>-</v>
      </c>
      <c r="Z450" s="104" t="s">
        <v>3400</v>
      </c>
      <c r="AA450" s="34">
        <f t="shared" si="5"/>
        <v>1</v>
      </c>
      <c r="AB450" s="34">
        <f>COUNTIFS(Links!B:B,"FSE",Links!C:C,A450,Links!AD:AD,1)</f>
        <v>0</v>
      </c>
      <c r="AC450" s="106" t="s">
        <v>35</v>
      </c>
      <c r="AD450" s="107" t="s">
        <v>35</v>
      </c>
      <c r="AE450" s="104" t="s">
        <v>36</v>
      </c>
      <c r="AF450" s="37" t="s">
        <v>42</v>
      </c>
      <c r="AG450" s="37" t="s">
        <v>42</v>
      </c>
      <c r="AH450" s="37" t="s">
        <v>42</v>
      </c>
      <c r="AI450" s="105" t="str">
        <f t="shared" si="6"/>
        <v>----</v>
      </c>
      <c r="AJ450" s="108" t="str">
        <f t="shared" si="7"/>
        <v>Paper has link but no statement</v>
      </c>
      <c r="AK450" s="109" t="s">
        <v>3401</v>
      </c>
      <c r="AL450" s="110" t="s">
        <v>3402</v>
      </c>
      <c r="AM450" s="40" t="str">
        <f t="shared" si="8"/>
        <v>[FP0356]</v>
      </c>
    </row>
    <row r="451" ht="67.5" customHeight="1">
      <c r="A451" s="41">
        <v>357.0</v>
      </c>
      <c r="B451" s="42" t="s">
        <v>4548</v>
      </c>
      <c r="C451" s="43">
        <v>2020.0</v>
      </c>
      <c r="D451" s="111" t="s">
        <v>35</v>
      </c>
      <c r="E451" s="45" t="s">
        <v>36</v>
      </c>
      <c r="F451" s="45" t="s">
        <v>36</v>
      </c>
      <c r="G451" s="45" t="s">
        <v>36</v>
      </c>
      <c r="H451" s="45" t="s">
        <v>36</v>
      </c>
      <c r="I451" s="45" t="s">
        <v>36</v>
      </c>
      <c r="J451" s="112" t="s">
        <v>36</v>
      </c>
      <c r="K451" s="113" t="s">
        <v>37</v>
      </c>
      <c r="L451" s="114" t="s">
        <v>35</v>
      </c>
      <c r="M451" s="114" t="s">
        <v>35</v>
      </c>
      <c r="N451" s="114" t="s">
        <v>35</v>
      </c>
      <c r="O451" s="114" t="s">
        <v>37</v>
      </c>
      <c r="P451" s="114" t="s">
        <v>35</v>
      </c>
      <c r="Q451" s="114" t="s">
        <v>35</v>
      </c>
      <c r="R451" s="114" t="s">
        <v>35</v>
      </c>
      <c r="S451" s="135" t="s">
        <v>4549</v>
      </c>
      <c r="T451" s="50" t="s">
        <v>4550</v>
      </c>
      <c r="U451" s="50" t="s">
        <v>4550</v>
      </c>
      <c r="V451" s="116">
        <f t="shared" si="2"/>
        <v>1</v>
      </c>
      <c r="W451" s="116">
        <f t="shared" ref="W451:X451" si="456">IF(lenb(SUBSTITUTE($Z451,W$1&amp;" (1)",""))&lt;lenb($Z451),1,IF(lenb(SUBSTITUTE($Z451,W$1&amp;" (2)",""))&lt;lenb($Z451),2,IF(lenb(SUBSTITUTE($Z451,W$1&amp;" (3)",""))&lt;lenb($Z451),3,IF(lenb(SUBSTITUTE($Z451,W$1&amp;" (4)",""))&lt;lenb($Z451),4,IF(lenb(SUBSTITUTE($Z451,W$1&amp;" (5)",""))&lt;lenb($Z451),5,IF(lenb(SUBSTITUTE($Z451,W$1&amp;" (6)",""))&lt;lenb($Z451),6,IF(lenb(SUBSTITUTE($Z451,W$1&amp;" (7)",""))&lt;lenb($Z451),1,IF(lenb(SUBSTITUTE($Z451,W$1&amp;" (8)",""))&lt;lenb($Z451),8,IF(lenb(SUBSTITUTE($Z451,W$1&amp;" (9)",""))&lt;lenb($Z451),9,IF(lenb(SUBSTITUTE($Z451,W$1&amp;" (10)",""))&lt;lenb($Z451),10,IF(lenb(SUBSTITUTE($Z451,W$1,""))&lt;lenb($Z451),"ERROR",IF($Z451=$Y$1,"-",0))))))))))))</f>
        <v>0</v>
      </c>
      <c r="X451" s="116">
        <f t="shared" si="456"/>
        <v>0</v>
      </c>
      <c r="Y451" s="116" t="str">
        <f t="shared" si="4"/>
        <v>-</v>
      </c>
      <c r="Z451" s="115" t="s">
        <v>3400</v>
      </c>
      <c r="AA451" s="54">
        <f t="shared" si="5"/>
        <v>1</v>
      </c>
      <c r="AB451" s="54">
        <f>COUNTIFS(Links!B:B,"FSE",Links!C:C,A451,Links!AD:AD,1)</f>
        <v>0</v>
      </c>
      <c r="AC451" s="117" t="s">
        <v>35</v>
      </c>
      <c r="AD451" s="118" t="s">
        <v>35</v>
      </c>
      <c r="AE451" s="115" t="s">
        <v>36</v>
      </c>
      <c r="AF451" s="57" t="s">
        <v>42</v>
      </c>
      <c r="AG451" s="57" t="s">
        <v>42</v>
      </c>
      <c r="AH451" s="57" t="s">
        <v>42</v>
      </c>
      <c r="AI451" s="116" t="str">
        <f t="shared" si="6"/>
        <v>----</v>
      </c>
      <c r="AJ451" s="119" t="str">
        <f t="shared" si="7"/>
        <v>Paper has link but no statement</v>
      </c>
      <c r="AK451" s="120" t="s">
        <v>3401</v>
      </c>
      <c r="AL451" s="121" t="s">
        <v>3402</v>
      </c>
      <c r="AM451" s="60" t="str">
        <f t="shared" si="8"/>
        <v>[FP0357]</v>
      </c>
    </row>
    <row r="452" ht="67.5" customHeight="1">
      <c r="A452" s="61">
        <v>358.0</v>
      </c>
      <c r="B452" s="22" t="s">
        <v>4551</v>
      </c>
      <c r="C452" s="23">
        <v>2020.0</v>
      </c>
      <c r="D452" s="100" t="s">
        <v>37</v>
      </c>
      <c r="E452" s="25" t="s">
        <v>37</v>
      </c>
      <c r="F452" s="25" t="s">
        <v>37</v>
      </c>
      <c r="G452" s="25" t="s">
        <v>37</v>
      </c>
      <c r="H452" s="25" t="s">
        <v>35</v>
      </c>
      <c r="I452" s="25" t="s">
        <v>35</v>
      </c>
      <c r="J452" s="101" t="s">
        <v>36</v>
      </c>
      <c r="K452" s="102" t="s">
        <v>37</v>
      </c>
      <c r="L452" s="103" t="s">
        <v>35</v>
      </c>
      <c r="M452" s="103" t="s">
        <v>37</v>
      </c>
      <c r="N452" s="103" t="s">
        <v>35</v>
      </c>
      <c r="O452" s="103" t="s">
        <v>35</v>
      </c>
      <c r="P452" s="103" t="s">
        <v>35</v>
      </c>
      <c r="Q452" s="103" t="s">
        <v>35</v>
      </c>
      <c r="R452" s="103" t="s">
        <v>37</v>
      </c>
      <c r="S452" s="104" t="s">
        <v>4552</v>
      </c>
      <c r="T452" s="30" t="s">
        <v>4553</v>
      </c>
      <c r="U452" s="30" t="s">
        <v>4553</v>
      </c>
      <c r="V452" s="105">
        <f t="shared" si="2"/>
        <v>1</v>
      </c>
      <c r="W452" s="105">
        <f t="shared" ref="W452:X452" si="457">IF(lenb(SUBSTITUTE($Z452,W$1&amp;" (1)",""))&lt;lenb($Z452),1,IF(lenb(SUBSTITUTE($Z452,W$1&amp;" (2)",""))&lt;lenb($Z452),2,IF(lenb(SUBSTITUTE($Z452,W$1&amp;" (3)",""))&lt;lenb($Z452),3,IF(lenb(SUBSTITUTE($Z452,W$1&amp;" (4)",""))&lt;lenb($Z452),4,IF(lenb(SUBSTITUTE($Z452,W$1&amp;" (5)",""))&lt;lenb($Z452),5,IF(lenb(SUBSTITUTE($Z452,W$1&amp;" (6)",""))&lt;lenb($Z452),6,IF(lenb(SUBSTITUTE($Z452,W$1&amp;" (7)",""))&lt;lenb($Z452),1,IF(lenb(SUBSTITUTE($Z452,W$1&amp;" (8)",""))&lt;lenb($Z452),8,IF(lenb(SUBSTITUTE($Z452,W$1&amp;" (9)",""))&lt;lenb($Z452),9,IF(lenb(SUBSTITUTE($Z452,W$1&amp;" (10)",""))&lt;lenb($Z452),10,IF(lenb(SUBSTITUTE($Z452,W$1,""))&lt;lenb($Z452),"ERROR",IF($Z452=$Y$1,"-",0))))))))))))</f>
        <v>0</v>
      </c>
      <c r="X452" s="105">
        <f t="shared" si="457"/>
        <v>0</v>
      </c>
      <c r="Y452" s="105" t="str">
        <f t="shared" si="4"/>
        <v>-</v>
      </c>
      <c r="Z452" s="104" t="s">
        <v>3400</v>
      </c>
      <c r="AA452" s="34">
        <f t="shared" si="5"/>
        <v>1</v>
      </c>
      <c r="AB452" s="34">
        <f>COUNTIFS(Links!B:B,"FSE",Links!C:C,A452,Links!AD:AD,1)</f>
        <v>0</v>
      </c>
      <c r="AC452" s="106" t="s">
        <v>37</v>
      </c>
      <c r="AD452" s="107" t="s">
        <v>35</v>
      </c>
      <c r="AE452" s="104" t="s">
        <v>36</v>
      </c>
      <c r="AF452" s="37" t="s">
        <v>42</v>
      </c>
      <c r="AG452" s="37" t="s">
        <v>42</v>
      </c>
      <c r="AH452" s="37" t="s">
        <v>42</v>
      </c>
      <c r="AI452" s="105" t="str">
        <f t="shared" si="6"/>
        <v>----</v>
      </c>
      <c r="AJ452" s="108" t="str">
        <f t="shared" si="7"/>
        <v>Paper has link but no statement</v>
      </c>
      <c r="AK452" s="109" t="s">
        <v>3401</v>
      </c>
      <c r="AL452" s="110" t="s">
        <v>3402</v>
      </c>
      <c r="AM452" s="40" t="str">
        <f t="shared" si="8"/>
        <v>[FP0358]</v>
      </c>
    </row>
    <row r="453" ht="67.5" customHeight="1">
      <c r="A453" s="41">
        <v>359.0</v>
      </c>
      <c r="B453" s="42" t="s">
        <v>4554</v>
      </c>
      <c r="C453" s="43">
        <v>2020.0</v>
      </c>
      <c r="D453" s="111" t="s">
        <v>35</v>
      </c>
      <c r="E453" s="45" t="s">
        <v>36</v>
      </c>
      <c r="F453" s="45" t="s">
        <v>36</v>
      </c>
      <c r="G453" s="45" t="s">
        <v>36</v>
      </c>
      <c r="H453" s="45" t="s">
        <v>36</v>
      </c>
      <c r="I453" s="45" t="s">
        <v>36</v>
      </c>
      <c r="J453" s="112" t="s">
        <v>36</v>
      </c>
      <c r="K453" s="113" t="s">
        <v>37</v>
      </c>
      <c r="L453" s="114" t="s">
        <v>37</v>
      </c>
      <c r="M453" s="114" t="s">
        <v>35</v>
      </c>
      <c r="N453" s="114" t="s">
        <v>35</v>
      </c>
      <c r="O453" s="114" t="s">
        <v>35</v>
      </c>
      <c r="P453" s="114" t="s">
        <v>35</v>
      </c>
      <c r="Q453" s="114" t="s">
        <v>35</v>
      </c>
      <c r="R453" s="114" t="s">
        <v>37</v>
      </c>
      <c r="S453" s="115" t="s">
        <v>4555</v>
      </c>
      <c r="T453" s="50" t="s">
        <v>4556</v>
      </c>
      <c r="U453" s="50" t="s">
        <v>4557</v>
      </c>
      <c r="V453" s="116">
        <f t="shared" si="2"/>
        <v>2</v>
      </c>
      <c r="W453" s="116">
        <f t="shared" ref="W453:X453" si="458">IF(lenb(SUBSTITUTE($Z453,W$1&amp;" (1)",""))&lt;lenb($Z453),1,IF(lenb(SUBSTITUTE($Z453,W$1&amp;" (2)",""))&lt;lenb($Z453),2,IF(lenb(SUBSTITUTE($Z453,W$1&amp;" (3)",""))&lt;lenb($Z453),3,IF(lenb(SUBSTITUTE($Z453,W$1&amp;" (4)",""))&lt;lenb($Z453),4,IF(lenb(SUBSTITUTE($Z453,W$1&amp;" (5)",""))&lt;lenb($Z453),5,IF(lenb(SUBSTITUTE($Z453,W$1&amp;" (6)",""))&lt;lenb($Z453),6,IF(lenb(SUBSTITUTE($Z453,W$1&amp;" (7)",""))&lt;lenb($Z453),1,IF(lenb(SUBSTITUTE($Z453,W$1&amp;" (8)",""))&lt;lenb($Z453),8,IF(lenb(SUBSTITUTE($Z453,W$1&amp;" (9)",""))&lt;lenb($Z453),9,IF(lenb(SUBSTITUTE($Z453,W$1&amp;" (10)",""))&lt;lenb($Z453),10,IF(lenb(SUBSTITUTE($Z453,W$1,""))&lt;lenb($Z453),"ERROR",IF($Z453=$Y$1,"-",0))))))))))))</f>
        <v>2</v>
      </c>
      <c r="X453" s="116">
        <f t="shared" si="458"/>
        <v>0</v>
      </c>
      <c r="Y453" s="116" t="str">
        <f t="shared" si="4"/>
        <v>-</v>
      </c>
      <c r="Z453" s="115" t="s">
        <v>4558</v>
      </c>
      <c r="AA453" s="54">
        <f t="shared" si="5"/>
        <v>4</v>
      </c>
      <c r="AB453" s="54">
        <f>COUNTIFS(Links!B:B,"FSE",Links!C:C,A453,Links!AD:AD,1)</f>
        <v>0</v>
      </c>
      <c r="AC453" s="117" t="s">
        <v>37</v>
      </c>
      <c r="AD453" s="118" t="s">
        <v>35</v>
      </c>
      <c r="AE453" s="115" t="s">
        <v>36</v>
      </c>
      <c r="AF453" s="57" t="s">
        <v>42</v>
      </c>
      <c r="AG453" s="57" t="s">
        <v>42</v>
      </c>
      <c r="AH453" s="57" t="s">
        <v>42</v>
      </c>
      <c r="AI453" s="116" t="str">
        <f t="shared" si="6"/>
        <v>----</v>
      </c>
      <c r="AJ453" s="119" t="str">
        <f t="shared" si="7"/>
        <v>Paper has link but no statement</v>
      </c>
      <c r="AK453" s="120" t="s">
        <v>3401</v>
      </c>
      <c r="AL453" s="121" t="s">
        <v>3402</v>
      </c>
      <c r="AM453" s="60" t="str">
        <f t="shared" si="8"/>
        <v>[FP0359]</v>
      </c>
    </row>
    <row r="454" ht="67.5" customHeight="1">
      <c r="A454" s="61">
        <v>360.0</v>
      </c>
      <c r="B454" s="22" t="s">
        <v>4559</v>
      </c>
      <c r="C454" s="23">
        <v>2020.0</v>
      </c>
      <c r="D454" s="100" t="s">
        <v>37</v>
      </c>
      <c r="E454" s="25" t="s">
        <v>37</v>
      </c>
      <c r="F454" s="25" t="s">
        <v>35</v>
      </c>
      <c r="G454" s="25" t="s">
        <v>35</v>
      </c>
      <c r="H454" s="25" t="s">
        <v>35</v>
      </c>
      <c r="I454" s="25" t="s">
        <v>35</v>
      </c>
      <c r="J454" s="101" t="s">
        <v>36</v>
      </c>
      <c r="K454" s="102" t="s">
        <v>37</v>
      </c>
      <c r="L454" s="103" t="s">
        <v>37</v>
      </c>
      <c r="M454" s="103" t="s">
        <v>35</v>
      </c>
      <c r="N454" s="103" t="s">
        <v>37</v>
      </c>
      <c r="O454" s="103" t="s">
        <v>35</v>
      </c>
      <c r="P454" s="103" t="s">
        <v>35</v>
      </c>
      <c r="Q454" s="103" t="s">
        <v>35</v>
      </c>
      <c r="R454" s="103" t="s">
        <v>35</v>
      </c>
      <c r="S454" s="104" t="s">
        <v>4560</v>
      </c>
      <c r="T454" s="30" t="s">
        <v>4561</v>
      </c>
      <c r="U454" s="30" t="s">
        <v>4561</v>
      </c>
      <c r="V454" s="105">
        <f t="shared" si="2"/>
        <v>1</v>
      </c>
      <c r="W454" s="105">
        <f t="shared" ref="W454:X454" si="459">IF(lenb(SUBSTITUTE($Z454,W$1&amp;" (1)",""))&lt;lenb($Z454),1,IF(lenb(SUBSTITUTE($Z454,W$1&amp;" (2)",""))&lt;lenb($Z454),2,IF(lenb(SUBSTITUTE($Z454,W$1&amp;" (3)",""))&lt;lenb($Z454),3,IF(lenb(SUBSTITUTE($Z454,W$1&amp;" (4)",""))&lt;lenb($Z454),4,IF(lenb(SUBSTITUTE($Z454,W$1&amp;" (5)",""))&lt;lenb($Z454),5,IF(lenb(SUBSTITUTE($Z454,W$1&amp;" (6)",""))&lt;lenb($Z454),6,IF(lenb(SUBSTITUTE($Z454,W$1&amp;" (7)",""))&lt;lenb($Z454),1,IF(lenb(SUBSTITUTE($Z454,W$1&amp;" (8)",""))&lt;lenb($Z454),8,IF(lenb(SUBSTITUTE($Z454,W$1&amp;" (9)",""))&lt;lenb($Z454),9,IF(lenb(SUBSTITUTE($Z454,W$1&amp;" (10)",""))&lt;lenb($Z454),10,IF(lenb(SUBSTITUTE($Z454,W$1,""))&lt;lenb($Z454),"ERROR",IF($Z454=$Y$1,"-",0))))))))))))</f>
        <v>0</v>
      </c>
      <c r="X454" s="105">
        <f t="shared" si="459"/>
        <v>0</v>
      </c>
      <c r="Y454" s="105" t="str">
        <f t="shared" si="4"/>
        <v>-</v>
      </c>
      <c r="Z454" s="104" t="s">
        <v>3400</v>
      </c>
      <c r="AA454" s="34">
        <f t="shared" si="5"/>
        <v>1</v>
      </c>
      <c r="AB454" s="34">
        <f>COUNTIFS(Links!B:B,"FSE",Links!C:C,A454,Links!AD:AD,1)</f>
        <v>0</v>
      </c>
      <c r="AC454" s="106" t="s">
        <v>37</v>
      </c>
      <c r="AD454" s="107" t="s">
        <v>37</v>
      </c>
      <c r="AE454" s="104" t="s">
        <v>4562</v>
      </c>
      <c r="AF454" s="37" t="s">
        <v>281</v>
      </c>
      <c r="AG454" s="37" t="s">
        <v>42</v>
      </c>
      <c r="AH454" s="37" t="s">
        <v>42</v>
      </c>
      <c r="AI454" s="105" t="str">
        <f t="shared" si="6"/>
        <v>Barriers (Confidentiality and privacy)</v>
      </c>
      <c r="AJ454" s="108" t="str">
        <f t="shared" si="7"/>
        <v>Paper has link and statement</v>
      </c>
      <c r="AK454" s="109" t="s">
        <v>3401</v>
      </c>
      <c r="AL454" s="110" t="s">
        <v>3402</v>
      </c>
      <c r="AM454" s="40" t="str">
        <f t="shared" si="8"/>
        <v>[FP0360]</v>
      </c>
    </row>
    <row r="455" ht="67.5" customHeight="1">
      <c r="A455" s="41">
        <v>361.0</v>
      </c>
      <c r="B455" s="42" t="s">
        <v>4563</v>
      </c>
      <c r="C455" s="43">
        <v>2020.0</v>
      </c>
      <c r="D455" s="111" t="s">
        <v>37</v>
      </c>
      <c r="E455" s="45" t="s">
        <v>37</v>
      </c>
      <c r="F455" s="45" t="s">
        <v>37</v>
      </c>
      <c r="G455" s="45" t="s">
        <v>35</v>
      </c>
      <c r="H455" s="45" t="s">
        <v>35</v>
      </c>
      <c r="I455" s="45" t="s">
        <v>35</v>
      </c>
      <c r="J455" s="112" t="s">
        <v>36</v>
      </c>
      <c r="K455" s="113" t="s">
        <v>37</v>
      </c>
      <c r="L455" s="114" t="s">
        <v>35</v>
      </c>
      <c r="M455" s="114" t="s">
        <v>37</v>
      </c>
      <c r="N455" s="114" t="s">
        <v>35</v>
      </c>
      <c r="O455" s="114" t="s">
        <v>35</v>
      </c>
      <c r="P455" s="114" t="s">
        <v>35</v>
      </c>
      <c r="Q455" s="114" t="s">
        <v>35</v>
      </c>
      <c r="R455" s="114" t="s">
        <v>37</v>
      </c>
      <c r="S455" s="115" t="s">
        <v>4564</v>
      </c>
      <c r="T455" s="50" t="s">
        <v>4565</v>
      </c>
      <c r="U455" s="50" t="s">
        <v>4565</v>
      </c>
      <c r="V455" s="116">
        <f t="shared" si="2"/>
        <v>1</v>
      </c>
      <c r="W455" s="116">
        <f t="shared" ref="W455:X455" si="460">IF(lenb(SUBSTITUTE($Z455,W$1&amp;" (1)",""))&lt;lenb($Z455),1,IF(lenb(SUBSTITUTE($Z455,W$1&amp;" (2)",""))&lt;lenb($Z455),2,IF(lenb(SUBSTITUTE($Z455,W$1&amp;" (3)",""))&lt;lenb($Z455),3,IF(lenb(SUBSTITUTE($Z455,W$1&amp;" (4)",""))&lt;lenb($Z455),4,IF(lenb(SUBSTITUTE($Z455,W$1&amp;" (5)",""))&lt;lenb($Z455),5,IF(lenb(SUBSTITUTE($Z455,W$1&amp;" (6)",""))&lt;lenb($Z455),6,IF(lenb(SUBSTITUTE($Z455,W$1&amp;" (7)",""))&lt;lenb($Z455),1,IF(lenb(SUBSTITUTE($Z455,W$1&amp;" (8)",""))&lt;lenb($Z455),8,IF(lenb(SUBSTITUTE($Z455,W$1&amp;" (9)",""))&lt;lenb($Z455),9,IF(lenb(SUBSTITUTE($Z455,W$1&amp;" (10)",""))&lt;lenb($Z455),10,IF(lenb(SUBSTITUTE($Z455,W$1,""))&lt;lenb($Z455),"ERROR",IF($Z455=$Y$1,"-",0))))))))))))</f>
        <v>0</v>
      </c>
      <c r="X455" s="116">
        <f t="shared" si="460"/>
        <v>0</v>
      </c>
      <c r="Y455" s="116" t="str">
        <f t="shared" si="4"/>
        <v>-</v>
      </c>
      <c r="Z455" s="115" t="s">
        <v>3400</v>
      </c>
      <c r="AA455" s="54">
        <f t="shared" si="5"/>
        <v>1</v>
      </c>
      <c r="AB455" s="54">
        <f>COUNTIFS(Links!B:B,"FSE",Links!C:C,A455,Links!AD:AD,1)</f>
        <v>0</v>
      </c>
      <c r="AC455" s="117" t="s">
        <v>37</v>
      </c>
      <c r="AD455" s="118" t="s">
        <v>37</v>
      </c>
      <c r="AE455" s="115" t="s">
        <v>4566</v>
      </c>
      <c r="AF455" s="57" t="s">
        <v>281</v>
      </c>
      <c r="AG455" s="57" t="s">
        <v>42</v>
      </c>
      <c r="AH455" s="57" t="s">
        <v>42</v>
      </c>
      <c r="AI455" s="116" t="str">
        <f t="shared" si="6"/>
        <v>Barriers (Confidentiality and privacy)</v>
      </c>
      <c r="AJ455" s="119" t="str">
        <f t="shared" si="7"/>
        <v>Paper has link and statement</v>
      </c>
      <c r="AK455" s="120" t="s">
        <v>3401</v>
      </c>
      <c r="AL455" s="121" t="s">
        <v>3402</v>
      </c>
      <c r="AM455" s="60" t="str">
        <f t="shared" si="8"/>
        <v>[FP0361]</v>
      </c>
    </row>
    <row r="456" ht="67.5" customHeight="1">
      <c r="A456" s="61">
        <v>362.0</v>
      </c>
      <c r="B456" s="22" t="s">
        <v>4567</v>
      </c>
      <c r="C456" s="23">
        <v>2020.0</v>
      </c>
      <c r="D456" s="100" t="s">
        <v>35</v>
      </c>
      <c r="E456" s="25" t="s">
        <v>36</v>
      </c>
      <c r="F456" s="25" t="s">
        <v>36</v>
      </c>
      <c r="G456" s="25" t="s">
        <v>36</v>
      </c>
      <c r="H456" s="25" t="s">
        <v>36</v>
      </c>
      <c r="I456" s="25" t="s">
        <v>36</v>
      </c>
      <c r="J456" s="101" t="s">
        <v>36</v>
      </c>
      <c r="K456" s="102" t="s">
        <v>37</v>
      </c>
      <c r="L456" s="103" t="s">
        <v>35</v>
      </c>
      <c r="M456" s="103" t="s">
        <v>35</v>
      </c>
      <c r="N456" s="103" t="s">
        <v>35</v>
      </c>
      <c r="O456" s="103" t="s">
        <v>35</v>
      </c>
      <c r="P456" s="103" t="s">
        <v>35</v>
      </c>
      <c r="Q456" s="103" t="s">
        <v>35</v>
      </c>
      <c r="R456" s="103" t="s">
        <v>37</v>
      </c>
      <c r="S456" s="104" t="s">
        <v>4568</v>
      </c>
      <c r="T456" s="30" t="s">
        <v>1642</v>
      </c>
      <c r="U456" s="30" t="s">
        <v>1642</v>
      </c>
      <c r="V456" s="105">
        <f t="shared" si="2"/>
        <v>1</v>
      </c>
      <c r="W456" s="105">
        <f t="shared" ref="W456:X456" si="461">IF(lenb(SUBSTITUTE($Z456,W$1&amp;" (1)",""))&lt;lenb($Z456),1,IF(lenb(SUBSTITUTE($Z456,W$1&amp;" (2)",""))&lt;lenb($Z456),2,IF(lenb(SUBSTITUTE($Z456,W$1&amp;" (3)",""))&lt;lenb($Z456),3,IF(lenb(SUBSTITUTE($Z456,W$1&amp;" (4)",""))&lt;lenb($Z456),4,IF(lenb(SUBSTITUTE($Z456,W$1&amp;" (5)",""))&lt;lenb($Z456),5,IF(lenb(SUBSTITUTE($Z456,W$1&amp;" (6)",""))&lt;lenb($Z456),6,IF(lenb(SUBSTITUTE($Z456,W$1&amp;" (7)",""))&lt;lenb($Z456),1,IF(lenb(SUBSTITUTE($Z456,W$1&amp;" (8)",""))&lt;lenb($Z456),8,IF(lenb(SUBSTITUTE($Z456,W$1&amp;" (9)",""))&lt;lenb($Z456),9,IF(lenb(SUBSTITUTE($Z456,W$1&amp;" (10)",""))&lt;lenb($Z456),10,IF(lenb(SUBSTITUTE($Z456,W$1,""))&lt;lenb($Z456),"ERROR",IF($Z456=$Y$1,"-",0))))))))))))</f>
        <v>0</v>
      </c>
      <c r="X456" s="105">
        <f t="shared" si="461"/>
        <v>0</v>
      </c>
      <c r="Y456" s="105" t="str">
        <f t="shared" si="4"/>
        <v>-</v>
      </c>
      <c r="Z456" s="104" t="s">
        <v>3400</v>
      </c>
      <c r="AA456" s="34">
        <f t="shared" si="5"/>
        <v>1</v>
      </c>
      <c r="AB456" s="34">
        <f>COUNTIFS(Links!B:B,"FSE",Links!C:C,A456,Links!AD:AD,1)</f>
        <v>1</v>
      </c>
      <c r="AC456" s="106" t="s">
        <v>35</v>
      </c>
      <c r="AD456" s="107" t="s">
        <v>35</v>
      </c>
      <c r="AE456" s="104" t="s">
        <v>36</v>
      </c>
      <c r="AF456" s="37" t="s">
        <v>42</v>
      </c>
      <c r="AG456" s="37" t="s">
        <v>42</v>
      </c>
      <c r="AH456" s="37" t="s">
        <v>42</v>
      </c>
      <c r="AI456" s="105" t="str">
        <f t="shared" si="6"/>
        <v>----</v>
      </c>
      <c r="AJ456" s="108" t="str">
        <f t="shared" si="7"/>
        <v>Paper has link but no statement</v>
      </c>
      <c r="AK456" s="109" t="s">
        <v>3401</v>
      </c>
      <c r="AL456" s="110" t="s">
        <v>3402</v>
      </c>
      <c r="AM456" s="40" t="str">
        <f t="shared" si="8"/>
        <v>[FP0362]</v>
      </c>
    </row>
    <row r="457" ht="67.5" customHeight="1">
      <c r="A457" s="41">
        <v>363.0</v>
      </c>
      <c r="B457" s="42" t="s">
        <v>4569</v>
      </c>
      <c r="C457" s="43">
        <v>2020.0</v>
      </c>
      <c r="D457" s="111" t="s">
        <v>37</v>
      </c>
      <c r="E457" s="45" t="s">
        <v>37</v>
      </c>
      <c r="F457" s="45" t="s">
        <v>37</v>
      </c>
      <c r="G457" s="45" t="s">
        <v>37</v>
      </c>
      <c r="H457" s="45" t="s">
        <v>35</v>
      </c>
      <c r="I457" s="45" t="s">
        <v>35</v>
      </c>
      <c r="J457" s="112" t="s">
        <v>36</v>
      </c>
      <c r="K457" s="113" t="s">
        <v>37</v>
      </c>
      <c r="L457" s="114" t="s">
        <v>37</v>
      </c>
      <c r="M457" s="114" t="s">
        <v>37</v>
      </c>
      <c r="N457" s="114" t="s">
        <v>37</v>
      </c>
      <c r="O457" s="114" t="s">
        <v>35</v>
      </c>
      <c r="P457" s="114" t="s">
        <v>35</v>
      </c>
      <c r="Q457" s="114" t="s">
        <v>35</v>
      </c>
      <c r="R457" s="114" t="s">
        <v>37</v>
      </c>
      <c r="S457" s="115" t="s">
        <v>4570</v>
      </c>
      <c r="T457" s="50" t="s">
        <v>4571</v>
      </c>
      <c r="U457" s="50" t="s">
        <v>4572</v>
      </c>
      <c r="V457" s="116">
        <f t="shared" si="2"/>
        <v>2</v>
      </c>
      <c r="W457" s="116">
        <f t="shared" ref="W457:X457" si="462">IF(lenb(SUBSTITUTE($Z457,W$1&amp;" (1)",""))&lt;lenb($Z457),1,IF(lenb(SUBSTITUTE($Z457,W$1&amp;" (2)",""))&lt;lenb($Z457),2,IF(lenb(SUBSTITUTE($Z457,W$1&amp;" (3)",""))&lt;lenb($Z457),3,IF(lenb(SUBSTITUTE($Z457,W$1&amp;" (4)",""))&lt;lenb($Z457),4,IF(lenb(SUBSTITUTE($Z457,W$1&amp;" (5)",""))&lt;lenb($Z457),5,IF(lenb(SUBSTITUTE($Z457,W$1&amp;" (6)",""))&lt;lenb($Z457),6,IF(lenb(SUBSTITUTE($Z457,W$1&amp;" (7)",""))&lt;lenb($Z457),1,IF(lenb(SUBSTITUTE($Z457,W$1&amp;" (8)",""))&lt;lenb($Z457),8,IF(lenb(SUBSTITUTE($Z457,W$1&amp;" (9)",""))&lt;lenb($Z457),9,IF(lenb(SUBSTITUTE($Z457,W$1&amp;" (10)",""))&lt;lenb($Z457),10,IF(lenb(SUBSTITUTE($Z457,W$1,""))&lt;lenb($Z457),"ERROR",IF($Z457=$Y$1,"-",0))))))))))))</f>
        <v>0</v>
      </c>
      <c r="X457" s="116">
        <f t="shared" si="462"/>
        <v>0</v>
      </c>
      <c r="Y457" s="116" t="str">
        <f t="shared" si="4"/>
        <v>-</v>
      </c>
      <c r="Z457" s="115" t="s">
        <v>3452</v>
      </c>
      <c r="AA457" s="54">
        <f t="shared" si="5"/>
        <v>2</v>
      </c>
      <c r="AB457" s="54">
        <f>COUNTIFS(Links!B:B,"FSE",Links!C:C,A457,Links!AD:AD,1)</f>
        <v>0</v>
      </c>
      <c r="AC457" s="117" t="s">
        <v>37</v>
      </c>
      <c r="AD457" s="118" t="s">
        <v>35</v>
      </c>
      <c r="AE457" s="115" t="s">
        <v>36</v>
      </c>
      <c r="AF457" s="57" t="s">
        <v>42</v>
      </c>
      <c r="AG457" s="57" t="s">
        <v>42</v>
      </c>
      <c r="AH457" s="57" t="s">
        <v>42</v>
      </c>
      <c r="AI457" s="116" t="str">
        <f t="shared" si="6"/>
        <v>----</v>
      </c>
      <c r="AJ457" s="119" t="str">
        <f t="shared" si="7"/>
        <v>Paper has link but no statement</v>
      </c>
      <c r="AK457" s="120" t="s">
        <v>3401</v>
      </c>
      <c r="AL457" s="121" t="s">
        <v>3402</v>
      </c>
      <c r="AM457" s="60" t="str">
        <f t="shared" si="8"/>
        <v>[FP0363]</v>
      </c>
    </row>
    <row r="458" ht="67.5" customHeight="1">
      <c r="A458" s="61">
        <v>364.0</v>
      </c>
      <c r="B458" s="22" t="s">
        <v>4573</v>
      </c>
      <c r="C458" s="23">
        <v>2020.0</v>
      </c>
      <c r="D458" s="100" t="s">
        <v>35</v>
      </c>
      <c r="E458" s="25" t="s">
        <v>36</v>
      </c>
      <c r="F458" s="25" t="s">
        <v>36</v>
      </c>
      <c r="G458" s="25" t="s">
        <v>36</v>
      </c>
      <c r="H458" s="25" t="s">
        <v>36</v>
      </c>
      <c r="I458" s="25" t="s">
        <v>36</v>
      </c>
      <c r="J458" s="101" t="s">
        <v>36</v>
      </c>
      <c r="K458" s="102" t="s">
        <v>37</v>
      </c>
      <c r="L458" s="103" t="s">
        <v>37</v>
      </c>
      <c r="M458" s="103" t="s">
        <v>35</v>
      </c>
      <c r="N458" s="103" t="s">
        <v>35</v>
      </c>
      <c r="O458" s="103" t="s">
        <v>35</v>
      </c>
      <c r="P458" s="103" t="s">
        <v>35</v>
      </c>
      <c r="Q458" s="103" t="s">
        <v>35</v>
      </c>
      <c r="R458" s="103" t="s">
        <v>37</v>
      </c>
      <c r="S458" s="104" t="s">
        <v>4574</v>
      </c>
      <c r="T458" s="30" t="s">
        <v>4575</v>
      </c>
      <c r="U458" s="30" t="s">
        <v>4576</v>
      </c>
      <c r="V458" s="105">
        <f t="shared" si="2"/>
        <v>0</v>
      </c>
      <c r="W458" s="105">
        <f t="shared" ref="W458:X458" si="463">IF(lenb(SUBSTITUTE($Z458,W$1&amp;" (1)",""))&lt;lenb($Z458),1,IF(lenb(SUBSTITUTE($Z458,W$1&amp;" (2)",""))&lt;lenb($Z458),2,IF(lenb(SUBSTITUTE($Z458,W$1&amp;" (3)",""))&lt;lenb($Z458),3,IF(lenb(SUBSTITUTE($Z458,W$1&amp;" (4)",""))&lt;lenb($Z458),4,IF(lenb(SUBSTITUTE($Z458,W$1&amp;" (5)",""))&lt;lenb($Z458),5,IF(lenb(SUBSTITUTE($Z458,W$1&amp;" (6)",""))&lt;lenb($Z458),6,IF(lenb(SUBSTITUTE($Z458,W$1&amp;" (7)",""))&lt;lenb($Z458),1,IF(lenb(SUBSTITUTE($Z458,W$1&amp;" (8)",""))&lt;lenb($Z458),8,IF(lenb(SUBSTITUTE($Z458,W$1&amp;" (9)",""))&lt;lenb($Z458),9,IF(lenb(SUBSTITUTE($Z458,W$1&amp;" (10)",""))&lt;lenb($Z458),10,IF(lenb(SUBSTITUTE($Z458,W$1,""))&lt;lenb($Z458),"ERROR",IF($Z458=$Y$1,"-",0))))))))))))</f>
        <v>1</v>
      </c>
      <c r="X458" s="105">
        <f t="shared" si="463"/>
        <v>0</v>
      </c>
      <c r="Y458" s="105" t="str">
        <f t="shared" si="4"/>
        <v>-</v>
      </c>
      <c r="Z458" s="104" t="s">
        <v>3423</v>
      </c>
      <c r="AA458" s="34">
        <f t="shared" si="5"/>
        <v>1</v>
      </c>
      <c r="AB458" s="34">
        <f>COUNTIFS(Links!B:B,"FSE",Links!C:C,A458,Links!AD:AD,1)</f>
        <v>0</v>
      </c>
      <c r="AC458" s="106" t="s">
        <v>35</v>
      </c>
      <c r="AD458" s="107" t="s">
        <v>35</v>
      </c>
      <c r="AE458" s="104" t="s">
        <v>36</v>
      </c>
      <c r="AF458" s="37" t="s">
        <v>42</v>
      </c>
      <c r="AG458" s="37" t="s">
        <v>42</v>
      </c>
      <c r="AH458" s="37" t="s">
        <v>42</v>
      </c>
      <c r="AI458" s="105" t="str">
        <f t="shared" si="6"/>
        <v>----</v>
      </c>
      <c r="AJ458" s="108" t="str">
        <f t="shared" si="7"/>
        <v>Paper has link but no statement</v>
      </c>
      <c r="AK458" s="109" t="s">
        <v>3401</v>
      </c>
      <c r="AL458" s="110" t="s">
        <v>3402</v>
      </c>
      <c r="AM458" s="40" t="str">
        <f t="shared" si="8"/>
        <v>[FP0364]</v>
      </c>
    </row>
    <row r="459" ht="67.5" customHeight="1">
      <c r="A459" s="41">
        <v>365.0</v>
      </c>
      <c r="B459" s="42" t="s">
        <v>4577</v>
      </c>
      <c r="C459" s="43">
        <v>2020.0</v>
      </c>
      <c r="D459" s="111" t="s">
        <v>35</v>
      </c>
      <c r="E459" s="45" t="s">
        <v>36</v>
      </c>
      <c r="F459" s="45" t="s">
        <v>36</v>
      </c>
      <c r="G459" s="45" t="s">
        <v>36</v>
      </c>
      <c r="H459" s="45" t="s">
        <v>36</v>
      </c>
      <c r="I459" s="45" t="s">
        <v>36</v>
      </c>
      <c r="J459" s="112" t="s">
        <v>36</v>
      </c>
      <c r="K459" s="113" t="s">
        <v>35</v>
      </c>
      <c r="L459" s="114" t="s">
        <v>36</v>
      </c>
      <c r="M459" s="114" t="s">
        <v>36</v>
      </c>
      <c r="N459" s="114" t="s">
        <v>36</v>
      </c>
      <c r="O459" s="114" t="s">
        <v>36</v>
      </c>
      <c r="P459" s="114" t="s">
        <v>36</v>
      </c>
      <c r="Q459" s="114" t="s">
        <v>36</v>
      </c>
      <c r="R459" s="114" t="s">
        <v>36</v>
      </c>
      <c r="S459" s="115" t="s">
        <v>42</v>
      </c>
      <c r="T459" s="50" t="s">
        <v>36</v>
      </c>
      <c r="U459" s="50" t="s">
        <v>36</v>
      </c>
      <c r="V459" s="116" t="str">
        <f t="shared" si="2"/>
        <v>-</v>
      </c>
      <c r="W459" s="116" t="str">
        <f t="shared" ref="W459:X459" si="464">IF(lenb(SUBSTITUTE($Z459,W$1&amp;" (1)",""))&lt;lenb($Z459),1,IF(lenb(SUBSTITUTE($Z459,W$1&amp;" (2)",""))&lt;lenb($Z459),2,IF(lenb(SUBSTITUTE($Z459,W$1&amp;" (3)",""))&lt;lenb($Z459),3,IF(lenb(SUBSTITUTE($Z459,W$1&amp;" (4)",""))&lt;lenb($Z459),4,IF(lenb(SUBSTITUTE($Z459,W$1&amp;" (5)",""))&lt;lenb($Z459),5,IF(lenb(SUBSTITUTE($Z459,W$1&amp;" (6)",""))&lt;lenb($Z459),6,IF(lenb(SUBSTITUTE($Z459,W$1&amp;" (7)",""))&lt;lenb($Z459),1,IF(lenb(SUBSTITUTE($Z459,W$1&amp;" (8)",""))&lt;lenb($Z459),8,IF(lenb(SUBSTITUTE($Z459,W$1&amp;" (9)",""))&lt;lenb($Z459),9,IF(lenb(SUBSTITUTE($Z459,W$1&amp;" (10)",""))&lt;lenb($Z459),10,IF(lenb(SUBSTITUTE($Z459,W$1,""))&lt;lenb($Z459),"ERROR",IF($Z459=$Y$1,"-",0))))))))))))</f>
        <v>-</v>
      </c>
      <c r="X459" s="116" t="str">
        <f t="shared" si="464"/>
        <v>-</v>
      </c>
      <c r="Y459" s="116">
        <f t="shared" si="4"/>
        <v>1</v>
      </c>
      <c r="Z459" s="115" t="s">
        <v>23</v>
      </c>
      <c r="AA459" s="54">
        <f t="shared" si="5"/>
        <v>0</v>
      </c>
      <c r="AB459" s="54">
        <f>COUNTIFS(Links!B:B,"FSE",Links!C:C,A459,Links!AD:AD,1)</f>
        <v>0</v>
      </c>
      <c r="AC459" s="117" t="s">
        <v>36</v>
      </c>
      <c r="AD459" s="118" t="s">
        <v>35</v>
      </c>
      <c r="AE459" s="115" t="s">
        <v>36</v>
      </c>
      <c r="AF459" s="57" t="s">
        <v>42</v>
      </c>
      <c r="AG459" s="57" t="s">
        <v>42</v>
      </c>
      <c r="AH459" s="57" t="s">
        <v>42</v>
      </c>
      <c r="AI459" s="116" t="str">
        <f t="shared" si="6"/>
        <v>----</v>
      </c>
      <c r="AJ459" s="119" t="str">
        <f t="shared" si="7"/>
        <v>Paper has no link and no statement</v>
      </c>
      <c r="AK459" s="120" t="s">
        <v>3401</v>
      </c>
      <c r="AL459" s="121" t="s">
        <v>3402</v>
      </c>
      <c r="AM459" s="60" t="str">
        <f t="shared" si="8"/>
        <v>[FP0365]</v>
      </c>
    </row>
    <row r="460" ht="67.5" customHeight="1">
      <c r="A460" s="61">
        <v>366.0</v>
      </c>
      <c r="B460" s="22" t="s">
        <v>4578</v>
      </c>
      <c r="C460" s="23">
        <v>2020.0</v>
      </c>
      <c r="D460" s="100" t="s">
        <v>35</v>
      </c>
      <c r="E460" s="25" t="s">
        <v>36</v>
      </c>
      <c r="F460" s="25" t="s">
        <v>36</v>
      </c>
      <c r="G460" s="25" t="s">
        <v>36</v>
      </c>
      <c r="H460" s="25" t="s">
        <v>36</v>
      </c>
      <c r="I460" s="25" t="s">
        <v>36</v>
      </c>
      <c r="J460" s="101" t="s">
        <v>36</v>
      </c>
      <c r="K460" s="102" t="s">
        <v>37</v>
      </c>
      <c r="L460" s="103" t="s">
        <v>37</v>
      </c>
      <c r="M460" s="103" t="s">
        <v>35</v>
      </c>
      <c r="N460" s="103" t="s">
        <v>35</v>
      </c>
      <c r="O460" s="103" t="s">
        <v>35</v>
      </c>
      <c r="P460" s="103" t="s">
        <v>35</v>
      </c>
      <c r="Q460" s="103" t="s">
        <v>37</v>
      </c>
      <c r="R460" s="103" t="s">
        <v>37</v>
      </c>
      <c r="S460" s="104" t="s">
        <v>4579</v>
      </c>
      <c r="T460" s="30" t="s">
        <v>4580</v>
      </c>
      <c r="U460" s="30" t="s">
        <v>4581</v>
      </c>
      <c r="V460" s="105">
        <f t="shared" si="2"/>
        <v>1</v>
      </c>
      <c r="W460" s="105">
        <f t="shared" ref="W460:X460" si="465">IF(lenb(SUBSTITUTE($Z460,W$1&amp;" (1)",""))&lt;lenb($Z460),1,IF(lenb(SUBSTITUTE($Z460,W$1&amp;" (2)",""))&lt;lenb($Z460),2,IF(lenb(SUBSTITUTE($Z460,W$1&amp;" (3)",""))&lt;lenb($Z460),3,IF(lenb(SUBSTITUTE($Z460,W$1&amp;" (4)",""))&lt;lenb($Z460),4,IF(lenb(SUBSTITUTE($Z460,W$1&amp;" (5)",""))&lt;lenb($Z460),5,IF(lenb(SUBSTITUTE($Z460,W$1&amp;" (6)",""))&lt;lenb($Z460),6,IF(lenb(SUBSTITUTE($Z460,W$1&amp;" (7)",""))&lt;lenb($Z460),1,IF(lenb(SUBSTITUTE($Z460,W$1&amp;" (8)",""))&lt;lenb($Z460),8,IF(lenb(SUBSTITUTE($Z460,W$1&amp;" (9)",""))&lt;lenb($Z460),9,IF(lenb(SUBSTITUTE($Z460,W$1&amp;" (10)",""))&lt;lenb($Z460),10,IF(lenb(SUBSTITUTE($Z460,W$1,""))&lt;lenb($Z460),"ERROR",IF($Z460=$Y$1,"-",0))))))))))))</f>
        <v>0</v>
      </c>
      <c r="X460" s="105">
        <f t="shared" si="465"/>
        <v>0</v>
      </c>
      <c r="Y460" s="105" t="str">
        <f t="shared" si="4"/>
        <v>-</v>
      </c>
      <c r="Z460" s="104" t="s">
        <v>3400</v>
      </c>
      <c r="AA460" s="34">
        <f t="shared" si="5"/>
        <v>1</v>
      </c>
      <c r="AB460" s="34">
        <f>COUNTIFS(Links!B:B,"FSE",Links!C:C,A460,Links!AD:AD,1)</f>
        <v>0</v>
      </c>
      <c r="AC460" s="106" t="s">
        <v>35</v>
      </c>
      <c r="AD460" s="107" t="s">
        <v>35</v>
      </c>
      <c r="AE460" s="104" t="s">
        <v>36</v>
      </c>
      <c r="AF460" s="37" t="s">
        <v>42</v>
      </c>
      <c r="AG460" s="37" t="s">
        <v>42</v>
      </c>
      <c r="AH460" s="37" t="s">
        <v>42</v>
      </c>
      <c r="AI460" s="105" t="str">
        <f t="shared" si="6"/>
        <v>----</v>
      </c>
      <c r="AJ460" s="108" t="str">
        <f t="shared" si="7"/>
        <v>Paper has link but no statement</v>
      </c>
      <c r="AK460" s="109" t="s">
        <v>3401</v>
      </c>
      <c r="AL460" s="110" t="s">
        <v>3402</v>
      </c>
      <c r="AM460" s="40" t="str">
        <f t="shared" si="8"/>
        <v>[FP0366]</v>
      </c>
    </row>
    <row r="461" ht="67.5" customHeight="1">
      <c r="A461" s="41">
        <v>367.0</v>
      </c>
      <c r="B461" s="42" t="s">
        <v>4582</v>
      </c>
      <c r="C461" s="43">
        <v>2020.0</v>
      </c>
      <c r="D461" s="111" t="s">
        <v>35</v>
      </c>
      <c r="E461" s="45" t="s">
        <v>36</v>
      </c>
      <c r="F461" s="45" t="s">
        <v>36</v>
      </c>
      <c r="G461" s="45" t="s">
        <v>36</v>
      </c>
      <c r="H461" s="45" t="s">
        <v>36</v>
      </c>
      <c r="I461" s="45" t="s">
        <v>36</v>
      </c>
      <c r="J461" s="112" t="s">
        <v>36</v>
      </c>
      <c r="K461" s="113" t="s">
        <v>37</v>
      </c>
      <c r="L461" s="114" t="s">
        <v>35</v>
      </c>
      <c r="M461" s="114" t="s">
        <v>37</v>
      </c>
      <c r="N461" s="114" t="s">
        <v>35</v>
      </c>
      <c r="O461" s="114" t="s">
        <v>37</v>
      </c>
      <c r="P461" s="114" t="s">
        <v>35</v>
      </c>
      <c r="Q461" s="114" t="s">
        <v>35</v>
      </c>
      <c r="R461" s="114" t="s">
        <v>37</v>
      </c>
      <c r="S461" s="115" t="s">
        <v>4583</v>
      </c>
      <c r="T461" s="50" t="s">
        <v>4584</v>
      </c>
      <c r="U461" s="50" t="s">
        <v>4584</v>
      </c>
      <c r="V461" s="116">
        <f t="shared" si="2"/>
        <v>1</v>
      </c>
      <c r="W461" s="116">
        <f t="shared" ref="W461:X461" si="466">IF(lenb(SUBSTITUTE($Z461,W$1&amp;" (1)",""))&lt;lenb($Z461),1,IF(lenb(SUBSTITUTE($Z461,W$1&amp;" (2)",""))&lt;lenb($Z461),2,IF(lenb(SUBSTITUTE($Z461,W$1&amp;" (3)",""))&lt;lenb($Z461),3,IF(lenb(SUBSTITUTE($Z461,W$1&amp;" (4)",""))&lt;lenb($Z461),4,IF(lenb(SUBSTITUTE($Z461,W$1&amp;" (5)",""))&lt;lenb($Z461),5,IF(lenb(SUBSTITUTE($Z461,W$1&amp;" (6)",""))&lt;lenb($Z461),6,IF(lenb(SUBSTITUTE($Z461,W$1&amp;" (7)",""))&lt;lenb($Z461),1,IF(lenb(SUBSTITUTE($Z461,W$1&amp;" (8)",""))&lt;lenb($Z461),8,IF(lenb(SUBSTITUTE($Z461,W$1&amp;" (9)",""))&lt;lenb($Z461),9,IF(lenb(SUBSTITUTE($Z461,W$1&amp;" (10)",""))&lt;lenb($Z461),10,IF(lenb(SUBSTITUTE($Z461,W$1,""))&lt;lenb($Z461),"ERROR",IF($Z461=$Y$1,"-",0))))))))))))</f>
        <v>0</v>
      </c>
      <c r="X461" s="116">
        <f t="shared" si="466"/>
        <v>0</v>
      </c>
      <c r="Y461" s="116" t="str">
        <f t="shared" si="4"/>
        <v>-</v>
      </c>
      <c r="Z461" s="115" t="s">
        <v>3400</v>
      </c>
      <c r="AA461" s="54">
        <f t="shared" si="5"/>
        <v>1</v>
      </c>
      <c r="AB461" s="54">
        <f>COUNTIFS(Links!B:B,"FSE",Links!C:C,A461,Links!AD:AD,1)</f>
        <v>0</v>
      </c>
      <c r="AC461" s="117" t="s">
        <v>35</v>
      </c>
      <c r="AD461" s="118" t="s">
        <v>35</v>
      </c>
      <c r="AE461" s="115" t="s">
        <v>36</v>
      </c>
      <c r="AF461" s="57" t="s">
        <v>42</v>
      </c>
      <c r="AG461" s="57" t="s">
        <v>42</v>
      </c>
      <c r="AH461" s="57" t="s">
        <v>42</v>
      </c>
      <c r="AI461" s="116" t="str">
        <f t="shared" si="6"/>
        <v>----</v>
      </c>
      <c r="AJ461" s="119" t="str">
        <f t="shared" si="7"/>
        <v>Paper has link but no statement</v>
      </c>
      <c r="AK461" s="120" t="s">
        <v>3401</v>
      </c>
      <c r="AL461" s="121" t="s">
        <v>3402</v>
      </c>
      <c r="AM461" s="60" t="str">
        <f t="shared" si="8"/>
        <v>[FP0367]</v>
      </c>
    </row>
    <row r="462" ht="67.5" customHeight="1">
      <c r="A462" s="61">
        <v>368.0</v>
      </c>
      <c r="B462" s="22" t="s">
        <v>4585</v>
      </c>
      <c r="C462" s="23">
        <v>2020.0</v>
      </c>
      <c r="D462" s="100" t="s">
        <v>35</v>
      </c>
      <c r="E462" s="25" t="s">
        <v>36</v>
      </c>
      <c r="F462" s="25" t="s">
        <v>36</v>
      </c>
      <c r="G462" s="25" t="s">
        <v>36</v>
      </c>
      <c r="H462" s="25" t="s">
        <v>36</v>
      </c>
      <c r="I462" s="25" t="s">
        <v>36</v>
      </c>
      <c r="J462" s="101" t="s">
        <v>36</v>
      </c>
      <c r="K462" s="102" t="s">
        <v>37</v>
      </c>
      <c r="L462" s="103" t="s">
        <v>35</v>
      </c>
      <c r="M462" s="103" t="s">
        <v>35</v>
      </c>
      <c r="N462" s="103" t="s">
        <v>37</v>
      </c>
      <c r="O462" s="103" t="s">
        <v>35</v>
      </c>
      <c r="P462" s="103" t="s">
        <v>35</v>
      </c>
      <c r="Q462" s="103" t="s">
        <v>35</v>
      </c>
      <c r="R462" s="103" t="s">
        <v>35</v>
      </c>
      <c r="S462" s="104" t="s">
        <v>4586</v>
      </c>
      <c r="T462" s="30" t="s">
        <v>4587</v>
      </c>
      <c r="U462" s="30" t="s">
        <v>4588</v>
      </c>
      <c r="V462" s="105">
        <f t="shared" si="2"/>
        <v>1</v>
      </c>
      <c r="W462" s="105">
        <f t="shared" ref="W462:X462" si="467">IF(lenb(SUBSTITUTE($Z462,W$1&amp;" (1)",""))&lt;lenb($Z462),1,IF(lenb(SUBSTITUTE($Z462,W$1&amp;" (2)",""))&lt;lenb($Z462),2,IF(lenb(SUBSTITUTE($Z462,W$1&amp;" (3)",""))&lt;lenb($Z462),3,IF(lenb(SUBSTITUTE($Z462,W$1&amp;" (4)",""))&lt;lenb($Z462),4,IF(lenb(SUBSTITUTE($Z462,W$1&amp;" (5)",""))&lt;lenb($Z462),5,IF(lenb(SUBSTITUTE($Z462,W$1&amp;" (6)",""))&lt;lenb($Z462),6,IF(lenb(SUBSTITUTE($Z462,W$1&amp;" (7)",""))&lt;lenb($Z462),1,IF(lenb(SUBSTITUTE($Z462,W$1&amp;" (8)",""))&lt;lenb($Z462),8,IF(lenb(SUBSTITUTE($Z462,W$1&amp;" (9)",""))&lt;lenb($Z462),9,IF(lenb(SUBSTITUTE($Z462,W$1&amp;" (10)",""))&lt;lenb($Z462),10,IF(lenb(SUBSTITUTE($Z462,W$1,""))&lt;lenb($Z462),"ERROR",IF($Z462=$Y$1,"-",0))))))))))))</f>
        <v>0</v>
      </c>
      <c r="X462" s="105">
        <f t="shared" si="467"/>
        <v>0</v>
      </c>
      <c r="Y462" s="105" t="str">
        <f t="shared" si="4"/>
        <v>-</v>
      </c>
      <c r="Z462" s="104" t="s">
        <v>3400</v>
      </c>
      <c r="AA462" s="34">
        <f t="shared" si="5"/>
        <v>1</v>
      </c>
      <c r="AB462" s="34">
        <f>COUNTIFS(Links!B:B,"FSE",Links!C:C,A462,Links!AD:AD,1)</f>
        <v>0</v>
      </c>
      <c r="AC462" s="106" t="s">
        <v>35</v>
      </c>
      <c r="AD462" s="107" t="s">
        <v>35</v>
      </c>
      <c r="AE462" s="104" t="s">
        <v>36</v>
      </c>
      <c r="AF462" s="37" t="s">
        <v>42</v>
      </c>
      <c r="AG462" s="37" t="s">
        <v>42</v>
      </c>
      <c r="AH462" s="37" t="s">
        <v>42</v>
      </c>
      <c r="AI462" s="105" t="str">
        <f t="shared" si="6"/>
        <v>----</v>
      </c>
      <c r="AJ462" s="108" t="str">
        <f t="shared" si="7"/>
        <v>Paper has link but no statement</v>
      </c>
      <c r="AK462" s="109" t="s">
        <v>3401</v>
      </c>
      <c r="AL462" s="110" t="s">
        <v>3402</v>
      </c>
      <c r="AM462" s="40" t="str">
        <f t="shared" si="8"/>
        <v>[FP0368]</v>
      </c>
    </row>
    <row r="463" ht="67.5" customHeight="1">
      <c r="A463" s="41">
        <v>369.0</v>
      </c>
      <c r="B463" s="42" t="s">
        <v>4589</v>
      </c>
      <c r="C463" s="43">
        <v>2020.0</v>
      </c>
      <c r="D463" s="111" t="s">
        <v>35</v>
      </c>
      <c r="E463" s="45" t="s">
        <v>36</v>
      </c>
      <c r="F463" s="45" t="s">
        <v>36</v>
      </c>
      <c r="G463" s="45" t="s">
        <v>36</v>
      </c>
      <c r="H463" s="45" t="s">
        <v>36</v>
      </c>
      <c r="I463" s="45" t="s">
        <v>36</v>
      </c>
      <c r="J463" s="112" t="s">
        <v>36</v>
      </c>
      <c r="K463" s="113" t="s">
        <v>37</v>
      </c>
      <c r="L463" s="114" t="s">
        <v>35</v>
      </c>
      <c r="M463" s="114" t="s">
        <v>37</v>
      </c>
      <c r="N463" s="114" t="s">
        <v>35</v>
      </c>
      <c r="O463" s="114" t="s">
        <v>35</v>
      </c>
      <c r="P463" s="114" t="s">
        <v>35</v>
      </c>
      <c r="Q463" s="114" t="s">
        <v>35</v>
      </c>
      <c r="R463" s="114" t="s">
        <v>37</v>
      </c>
      <c r="S463" s="115" t="s">
        <v>4590</v>
      </c>
      <c r="T463" s="50" t="s">
        <v>4591</v>
      </c>
      <c r="U463" s="50" t="s">
        <v>4591</v>
      </c>
      <c r="V463" s="116">
        <f t="shared" si="2"/>
        <v>1</v>
      </c>
      <c r="W463" s="116">
        <f t="shared" ref="W463:X463" si="468">IF(lenb(SUBSTITUTE($Z463,W$1&amp;" (1)",""))&lt;lenb($Z463),1,IF(lenb(SUBSTITUTE($Z463,W$1&amp;" (2)",""))&lt;lenb($Z463),2,IF(lenb(SUBSTITUTE($Z463,W$1&amp;" (3)",""))&lt;lenb($Z463),3,IF(lenb(SUBSTITUTE($Z463,W$1&amp;" (4)",""))&lt;lenb($Z463),4,IF(lenb(SUBSTITUTE($Z463,W$1&amp;" (5)",""))&lt;lenb($Z463),5,IF(lenb(SUBSTITUTE($Z463,W$1&amp;" (6)",""))&lt;lenb($Z463),6,IF(lenb(SUBSTITUTE($Z463,W$1&amp;" (7)",""))&lt;lenb($Z463),1,IF(lenb(SUBSTITUTE($Z463,W$1&amp;" (8)",""))&lt;lenb($Z463),8,IF(lenb(SUBSTITUTE($Z463,W$1&amp;" (9)",""))&lt;lenb($Z463),9,IF(lenb(SUBSTITUTE($Z463,W$1&amp;" (10)",""))&lt;lenb($Z463),10,IF(lenb(SUBSTITUTE($Z463,W$1,""))&lt;lenb($Z463),"ERROR",IF($Z463=$Y$1,"-",0))))))))))))</f>
        <v>0</v>
      </c>
      <c r="X463" s="116">
        <f t="shared" si="468"/>
        <v>0</v>
      </c>
      <c r="Y463" s="116" t="str">
        <f t="shared" si="4"/>
        <v>-</v>
      </c>
      <c r="Z463" s="115" t="s">
        <v>3400</v>
      </c>
      <c r="AA463" s="54">
        <f t="shared" si="5"/>
        <v>1</v>
      </c>
      <c r="AB463" s="54">
        <f>COUNTIFS(Links!B:B,"FSE",Links!C:C,A463,Links!AD:AD,1)</f>
        <v>0</v>
      </c>
      <c r="AC463" s="117" t="s">
        <v>35</v>
      </c>
      <c r="AD463" s="118" t="s">
        <v>35</v>
      </c>
      <c r="AE463" s="115" t="s">
        <v>36</v>
      </c>
      <c r="AF463" s="57" t="s">
        <v>42</v>
      </c>
      <c r="AG463" s="57" t="s">
        <v>42</v>
      </c>
      <c r="AH463" s="57" t="s">
        <v>42</v>
      </c>
      <c r="AI463" s="116" t="str">
        <f t="shared" si="6"/>
        <v>----</v>
      </c>
      <c r="AJ463" s="119" t="str">
        <f t="shared" si="7"/>
        <v>Paper has link but no statement</v>
      </c>
      <c r="AK463" s="120" t="s">
        <v>3401</v>
      </c>
      <c r="AL463" s="121" t="s">
        <v>3402</v>
      </c>
      <c r="AM463" s="60" t="str">
        <f t="shared" si="8"/>
        <v>[FP0369]</v>
      </c>
    </row>
    <row r="464" ht="67.5" customHeight="1">
      <c r="A464" s="61">
        <v>370.0</v>
      </c>
      <c r="B464" s="22" t="s">
        <v>4592</v>
      </c>
      <c r="C464" s="23">
        <v>2020.0</v>
      </c>
      <c r="D464" s="100" t="s">
        <v>35</v>
      </c>
      <c r="E464" s="25" t="s">
        <v>36</v>
      </c>
      <c r="F464" s="25" t="s">
        <v>36</v>
      </c>
      <c r="G464" s="25" t="s">
        <v>36</v>
      </c>
      <c r="H464" s="25" t="s">
        <v>36</v>
      </c>
      <c r="I464" s="25" t="s">
        <v>36</v>
      </c>
      <c r="J464" s="101" t="s">
        <v>36</v>
      </c>
      <c r="K464" s="102" t="s">
        <v>37</v>
      </c>
      <c r="L464" s="103" t="s">
        <v>35</v>
      </c>
      <c r="M464" s="103" t="s">
        <v>37</v>
      </c>
      <c r="N464" s="103" t="s">
        <v>35</v>
      </c>
      <c r="O464" s="103" t="s">
        <v>37</v>
      </c>
      <c r="P464" s="103" t="s">
        <v>35</v>
      </c>
      <c r="Q464" s="103" t="s">
        <v>35</v>
      </c>
      <c r="R464" s="103" t="s">
        <v>37</v>
      </c>
      <c r="S464" s="104" t="s">
        <v>4593</v>
      </c>
      <c r="T464" s="30" t="s">
        <v>4594</v>
      </c>
      <c r="U464" s="30" t="s">
        <v>4594</v>
      </c>
      <c r="V464" s="105">
        <f t="shared" si="2"/>
        <v>1</v>
      </c>
      <c r="W464" s="105">
        <f t="shared" ref="W464:X464" si="469">IF(lenb(SUBSTITUTE($Z464,W$1&amp;" (1)",""))&lt;lenb($Z464),1,IF(lenb(SUBSTITUTE($Z464,W$1&amp;" (2)",""))&lt;lenb($Z464),2,IF(lenb(SUBSTITUTE($Z464,W$1&amp;" (3)",""))&lt;lenb($Z464),3,IF(lenb(SUBSTITUTE($Z464,W$1&amp;" (4)",""))&lt;lenb($Z464),4,IF(lenb(SUBSTITUTE($Z464,W$1&amp;" (5)",""))&lt;lenb($Z464),5,IF(lenb(SUBSTITUTE($Z464,W$1&amp;" (6)",""))&lt;lenb($Z464),6,IF(lenb(SUBSTITUTE($Z464,W$1&amp;" (7)",""))&lt;lenb($Z464),1,IF(lenb(SUBSTITUTE($Z464,W$1&amp;" (8)",""))&lt;lenb($Z464),8,IF(lenb(SUBSTITUTE($Z464,W$1&amp;" (9)",""))&lt;lenb($Z464),9,IF(lenb(SUBSTITUTE($Z464,W$1&amp;" (10)",""))&lt;lenb($Z464),10,IF(lenb(SUBSTITUTE($Z464,W$1,""))&lt;lenb($Z464),"ERROR",IF($Z464=$Y$1,"-",0))))))))))))</f>
        <v>0</v>
      </c>
      <c r="X464" s="105">
        <f t="shared" si="469"/>
        <v>0</v>
      </c>
      <c r="Y464" s="105" t="str">
        <f t="shared" si="4"/>
        <v>-</v>
      </c>
      <c r="Z464" s="104" t="s">
        <v>3400</v>
      </c>
      <c r="AA464" s="34">
        <f t="shared" si="5"/>
        <v>1</v>
      </c>
      <c r="AB464" s="34">
        <f>COUNTIFS(Links!B:B,"FSE",Links!C:C,A464,Links!AD:AD,1)</f>
        <v>0</v>
      </c>
      <c r="AC464" s="106" t="s">
        <v>37</v>
      </c>
      <c r="AD464" s="107" t="s">
        <v>35</v>
      </c>
      <c r="AE464" s="104" t="s">
        <v>36</v>
      </c>
      <c r="AF464" s="37" t="s">
        <v>42</v>
      </c>
      <c r="AG464" s="37" t="s">
        <v>42</v>
      </c>
      <c r="AH464" s="37" t="s">
        <v>42</v>
      </c>
      <c r="AI464" s="105" t="str">
        <f t="shared" si="6"/>
        <v>----</v>
      </c>
      <c r="AJ464" s="108" t="str">
        <f t="shared" si="7"/>
        <v>Paper has link but no statement</v>
      </c>
      <c r="AK464" s="109" t="s">
        <v>3401</v>
      </c>
      <c r="AL464" s="110" t="s">
        <v>3402</v>
      </c>
      <c r="AM464" s="40" t="str">
        <f t="shared" si="8"/>
        <v>[FP0370]</v>
      </c>
    </row>
    <row r="465" ht="67.5" customHeight="1">
      <c r="A465" s="41">
        <v>371.0</v>
      </c>
      <c r="B465" s="42" t="s">
        <v>4595</v>
      </c>
      <c r="C465" s="43">
        <v>2020.0</v>
      </c>
      <c r="D465" s="111" t="s">
        <v>35</v>
      </c>
      <c r="E465" s="45" t="s">
        <v>36</v>
      </c>
      <c r="F465" s="45" t="s">
        <v>36</v>
      </c>
      <c r="G465" s="45" t="s">
        <v>36</v>
      </c>
      <c r="H465" s="45" t="s">
        <v>36</v>
      </c>
      <c r="I465" s="45" t="s">
        <v>36</v>
      </c>
      <c r="J465" s="112" t="s">
        <v>36</v>
      </c>
      <c r="K465" s="113" t="s">
        <v>35</v>
      </c>
      <c r="L465" s="114" t="s">
        <v>36</v>
      </c>
      <c r="M465" s="114" t="s">
        <v>36</v>
      </c>
      <c r="N465" s="114" t="s">
        <v>36</v>
      </c>
      <c r="O465" s="114" t="s">
        <v>36</v>
      </c>
      <c r="P465" s="114" t="s">
        <v>36</v>
      </c>
      <c r="Q465" s="114" t="s">
        <v>36</v>
      </c>
      <c r="R465" s="114" t="s">
        <v>36</v>
      </c>
      <c r="S465" s="115" t="s">
        <v>36</v>
      </c>
      <c r="T465" s="50" t="s">
        <v>4596</v>
      </c>
      <c r="U465" s="50" t="s">
        <v>36</v>
      </c>
      <c r="V465" s="116" t="str">
        <f t="shared" si="2"/>
        <v>-</v>
      </c>
      <c r="W465" s="116" t="str">
        <f t="shared" ref="W465:X465" si="470">IF(lenb(SUBSTITUTE($Z465,W$1&amp;" (1)",""))&lt;lenb($Z465),1,IF(lenb(SUBSTITUTE($Z465,W$1&amp;" (2)",""))&lt;lenb($Z465),2,IF(lenb(SUBSTITUTE($Z465,W$1&amp;" (3)",""))&lt;lenb($Z465),3,IF(lenb(SUBSTITUTE($Z465,W$1&amp;" (4)",""))&lt;lenb($Z465),4,IF(lenb(SUBSTITUTE($Z465,W$1&amp;" (5)",""))&lt;lenb($Z465),5,IF(lenb(SUBSTITUTE($Z465,W$1&amp;" (6)",""))&lt;lenb($Z465),6,IF(lenb(SUBSTITUTE($Z465,W$1&amp;" (7)",""))&lt;lenb($Z465),1,IF(lenb(SUBSTITUTE($Z465,W$1&amp;" (8)",""))&lt;lenb($Z465),8,IF(lenb(SUBSTITUTE($Z465,W$1&amp;" (9)",""))&lt;lenb($Z465),9,IF(lenb(SUBSTITUTE($Z465,W$1&amp;" (10)",""))&lt;lenb($Z465),10,IF(lenb(SUBSTITUTE($Z465,W$1,""))&lt;lenb($Z465),"ERROR",IF($Z465=$Y$1,"-",0))))))))))))</f>
        <v>-</v>
      </c>
      <c r="X465" s="116" t="str">
        <f t="shared" si="470"/>
        <v>-</v>
      </c>
      <c r="Y465" s="116">
        <f t="shared" si="4"/>
        <v>1</v>
      </c>
      <c r="Z465" s="115" t="s">
        <v>23</v>
      </c>
      <c r="AA465" s="54">
        <f t="shared" si="5"/>
        <v>0</v>
      </c>
      <c r="AB465" s="54">
        <f>COUNTIFS(Links!B:B,"FSE",Links!C:C,A465,Links!AD:AD,1)</f>
        <v>0</v>
      </c>
      <c r="AC465" s="117" t="s">
        <v>36</v>
      </c>
      <c r="AD465" s="118" t="s">
        <v>35</v>
      </c>
      <c r="AE465" s="115" t="s">
        <v>36</v>
      </c>
      <c r="AF465" s="57" t="s">
        <v>42</v>
      </c>
      <c r="AG465" s="57" t="s">
        <v>42</v>
      </c>
      <c r="AH465" s="57" t="s">
        <v>42</v>
      </c>
      <c r="AI465" s="116" t="str">
        <f t="shared" si="6"/>
        <v>----</v>
      </c>
      <c r="AJ465" s="119" t="str">
        <f t="shared" si="7"/>
        <v>Paper has no link and no statement</v>
      </c>
      <c r="AK465" s="120" t="s">
        <v>3401</v>
      </c>
      <c r="AL465" s="121" t="s">
        <v>3402</v>
      </c>
      <c r="AM465" s="60" t="str">
        <f t="shared" si="8"/>
        <v>[FP0371]</v>
      </c>
    </row>
    <row r="466" ht="67.5" customHeight="1">
      <c r="A466" s="61">
        <v>372.0</v>
      </c>
      <c r="B466" s="22" t="s">
        <v>4597</v>
      </c>
      <c r="C466" s="23">
        <v>2020.0</v>
      </c>
      <c r="D466" s="100" t="s">
        <v>35</v>
      </c>
      <c r="E466" s="25" t="s">
        <v>36</v>
      </c>
      <c r="F466" s="25" t="s">
        <v>36</v>
      </c>
      <c r="G466" s="25" t="s">
        <v>36</v>
      </c>
      <c r="H466" s="25" t="s">
        <v>36</v>
      </c>
      <c r="I466" s="25" t="s">
        <v>36</v>
      </c>
      <c r="J466" s="101" t="s">
        <v>36</v>
      </c>
      <c r="K466" s="102" t="s">
        <v>37</v>
      </c>
      <c r="L466" s="103" t="s">
        <v>35</v>
      </c>
      <c r="M466" s="103" t="s">
        <v>35</v>
      </c>
      <c r="N466" s="103" t="s">
        <v>35</v>
      </c>
      <c r="O466" s="103" t="s">
        <v>35</v>
      </c>
      <c r="P466" s="103" t="s">
        <v>35</v>
      </c>
      <c r="Q466" s="103" t="s">
        <v>37</v>
      </c>
      <c r="R466" s="103" t="s">
        <v>35</v>
      </c>
      <c r="S466" s="104" t="s">
        <v>4598</v>
      </c>
      <c r="T466" s="30" t="s">
        <v>4599</v>
      </c>
      <c r="U466" s="30" t="s">
        <v>4600</v>
      </c>
      <c r="V466" s="105">
        <f t="shared" si="2"/>
        <v>1</v>
      </c>
      <c r="W466" s="105">
        <f t="shared" ref="W466:X466" si="471">IF(lenb(SUBSTITUTE($Z466,W$1&amp;" (1)",""))&lt;lenb($Z466),1,IF(lenb(SUBSTITUTE($Z466,W$1&amp;" (2)",""))&lt;lenb($Z466),2,IF(lenb(SUBSTITUTE($Z466,W$1&amp;" (3)",""))&lt;lenb($Z466),3,IF(lenb(SUBSTITUTE($Z466,W$1&amp;" (4)",""))&lt;lenb($Z466),4,IF(lenb(SUBSTITUTE($Z466,W$1&amp;" (5)",""))&lt;lenb($Z466),5,IF(lenb(SUBSTITUTE($Z466,W$1&amp;" (6)",""))&lt;lenb($Z466),6,IF(lenb(SUBSTITUTE($Z466,W$1&amp;" (7)",""))&lt;lenb($Z466),1,IF(lenb(SUBSTITUTE($Z466,W$1&amp;" (8)",""))&lt;lenb($Z466),8,IF(lenb(SUBSTITUTE($Z466,W$1&amp;" (9)",""))&lt;lenb($Z466),9,IF(lenb(SUBSTITUTE($Z466,W$1&amp;" (10)",""))&lt;lenb($Z466),10,IF(lenb(SUBSTITUTE($Z466,W$1,""))&lt;lenb($Z466),"ERROR",IF($Z466=$Y$1,"-",0))))))))))))</f>
        <v>0</v>
      </c>
      <c r="X466" s="105">
        <f t="shared" si="471"/>
        <v>0</v>
      </c>
      <c r="Y466" s="105" t="str">
        <f t="shared" si="4"/>
        <v>-</v>
      </c>
      <c r="Z466" s="104" t="s">
        <v>3400</v>
      </c>
      <c r="AA466" s="34">
        <f t="shared" si="5"/>
        <v>1</v>
      </c>
      <c r="AB466" s="34">
        <f>COUNTIFS(Links!B:B,"FSE",Links!C:C,A466,Links!AD:AD,1)</f>
        <v>0</v>
      </c>
      <c r="AC466" s="106" t="s">
        <v>35</v>
      </c>
      <c r="AD466" s="107" t="s">
        <v>35</v>
      </c>
      <c r="AE466" s="104" t="s">
        <v>36</v>
      </c>
      <c r="AF466" s="37" t="s">
        <v>42</v>
      </c>
      <c r="AG466" s="37" t="s">
        <v>42</v>
      </c>
      <c r="AH466" s="37" t="s">
        <v>42</v>
      </c>
      <c r="AI466" s="105" t="str">
        <f t="shared" si="6"/>
        <v>----</v>
      </c>
      <c r="AJ466" s="108" t="str">
        <f t="shared" si="7"/>
        <v>Paper has link but no statement</v>
      </c>
      <c r="AK466" s="109" t="s">
        <v>3401</v>
      </c>
      <c r="AL466" s="110" t="s">
        <v>3402</v>
      </c>
      <c r="AM466" s="40" t="str">
        <f t="shared" si="8"/>
        <v>[FP0372]</v>
      </c>
    </row>
    <row r="467" ht="67.5" customHeight="1">
      <c r="A467" s="41">
        <v>373.0</v>
      </c>
      <c r="B467" s="42" t="s">
        <v>4601</v>
      </c>
      <c r="C467" s="43">
        <v>2020.0</v>
      </c>
      <c r="D467" s="111" t="s">
        <v>37</v>
      </c>
      <c r="E467" s="45" t="s">
        <v>37</v>
      </c>
      <c r="F467" s="45" t="s">
        <v>37</v>
      </c>
      <c r="G467" s="45" t="s">
        <v>35</v>
      </c>
      <c r="H467" s="45" t="s">
        <v>35</v>
      </c>
      <c r="I467" s="45" t="s">
        <v>35</v>
      </c>
      <c r="J467" s="112" t="s">
        <v>36</v>
      </c>
      <c r="K467" s="113" t="s">
        <v>37</v>
      </c>
      <c r="L467" s="114" t="s">
        <v>35</v>
      </c>
      <c r="M467" s="114" t="s">
        <v>37</v>
      </c>
      <c r="N467" s="114" t="s">
        <v>37</v>
      </c>
      <c r="O467" s="114" t="s">
        <v>35</v>
      </c>
      <c r="P467" s="114" t="s">
        <v>35</v>
      </c>
      <c r="Q467" s="114" t="s">
        <v>35</v>
      </c>
      <c r="R467" s="114" t="s">
        <v>37</v>
      </c>
      <c r="S467" s="115" t="s">
        <v>4602</v>
      </c>
      <c r="T467" s="50" t="s">
        <v>4603</v>
      </c>
      <c r="U467" s="50" t="s">
        <v>4603</v>
      </c>
      <c r="V467" s="116">
        <f t="shared" si="2"/>
        <v>2</v>
      </c>
      <c r="W467" s="116">
        <f t="shared" ref="W467:X467" si="472">IF(lenb(SUBSTITUTE($Z467,W$1&amp;" (1)",""))&lt;lenb($Z467),1,IF(lenb(SUBSTITUTE($Z467,W$1&amp;" (2)",""))&lt;lenb($Z467),2,IF(lenb(SUBSTITUTE($Z467,W$1&amp;" (3)",""))&lt;lenb($Z467),3,IF(lenb(SUBSTITUTE($Z467,W$1&amp;" (4)",""))&lt;lenb($Z467),4,IF(lenb(SUBSTITUTE($Z467,W$1&amp;" (5)",""))&lt;lenb($Z467),5,IF(lenb(SUBSTITUTE($Z467,W$1&amp;" (6)",""))&lt;lenb($Z467),6,IF(lenb(SUBSTITUTE($Z467,W$1&amp;" (7)",""))&lt;lenb($Z467),1,IF(lenb(SUBSTITUTE($Z467,W$1&amp;" (8)",""))&lt;lenb($Z467),8,IF(lenb(SUBSTITUTE($Z467,W$1&amp;" (9)",""))&lt;lenb($Z467),9,IF(lenb(SUBSTITUTE($Z467,W$1&amp;" (10)",""))&lt;lenb($Z467),10,IF(lenb(SUBSTITUTE($Z467,W$1,""))&lt;lenb($Z467),"ERROR",IF($Z467=$Y$1,"-",0))))))))))))</f>
        <v>0</v>
      </c>
      <c r="X467" s="116">
        <f t="shared" si="472"/>
        <v>0</v>
      </c>
      <c r="Y467" s="116" t="str">
        <f t="shared" si="4"/>
        <v>-</v>
      </c>
      <c r="Z467" s="115" t="s">
        <v>3452</v>
      </c>
      <c r="AA467" s="54">
        <f t="shared" si="5"/>
        <v>2</v>
      </c>
      <c r="AB467" s="54">
        <f>COUNTIFS(Links!B:B,"FSE",Links!C:C,A467,Links!AD:AD,1)</f>
        <v>0</v>
      </c>
      <c r="AC467" s="117" t="s">
        <v>37</v>
      </c>
      <c r="AD467" s="118" t="s">
        <v>35</v>
      </c>
      <c r="AE467" s="115" t="s">
        <v>36</v>
      </c>
      <c r="AF467" s="57" t="s">
        <v>42</v>
      </c>
      <c r="AG467" s="57" t="s">
        <v>42</v>
      </c>
      <c r="AH467" s="57" t="s">
        <v>42</v>
      </c>
      <c r="AI467" s="116" t="str">
        <f t="shared" si="6"/>
        <v>----</v>
      </c>
      <c r="AJ467" s="119" t="str">
        <f t="shared" si="7"/>
        <v>Paper has link but no statement</v>
      </c>
      <c r="AK467" s="120" t="s">
        <v>3401</v>
      </c>
      <c r="AL467" s="121" t="s">
        <v>3402</v>
      </c>
      <c r="AM467" s="60" t="str">
        <f t="shared" si="8"/>
        <v>[FP0373]</v>
      </c>
    </row>
    <row r="468" ht="67.5" customHeight="1">
      <c r="A468" s="61">
        <v>374.0</v>
      </c>
      <c r="B468" s="22" t="s">
        <v>4604</v>
      </c>
      <c r="C468" s="23">
        <v>2020.0</v>
      </c>
      <c r="D468" s="100" t="s">
        <v>35</v>
      </c>
      <c r="E468" s="25" t="s">
        <v>36</v>
      </c>
      <c r="F468" s="25" t="s">
        <v>36</v>
      </c>
      <c r="G468" s="25" t="s">
        <v>36</v>
      </c>
      <c r="H468" s="25" t="s">
        <v>36</v>
      </c>
      <c r="I468" s="25" t="s">
        <v>36</v>
      </c>
      <c r="J468" s="101" t="s">
        <v>36</v>
      </c>
      <c r="K468" s="102" t="s">
        <v>37</v>
      </c>
      <c r="L468" s="103" t="s">
        <v>35</v>
      </c>
      <c r="M468" s="103" t="s">
        <v>35</v>
      </c>
      <c r="N468" s="103" t="s">
        <v>37</v>
      </c>
      <c r="O468" s="103" t="s">
        <v>35</v>
      </c>
      <c r="P468" s="103" t="s">
        <v>35</v>
      </c>
      <c r="Q468" s="103" t="s">
        <v>35</v>
      </c>
      <c r="R468" s="103" t="s">
        <v>35</v>
      </c>
      <c r="S468" s="104" t="s">
        <v>4605</v>
      </c>
      <c r="T468" s="30" t="s">
        <v>4606</v>
      </c>
      <c r="U468" s="30" t="s">
        <v>4606</v>
      </c>
      <c r="V468" s="105">
        <f t="shared" si="2"/>
        <v>1</v>
      </c>
      <c r="W468" s="105">
        <f t="shared" ref="W468:X468" si="473">IF(lenb(SUBSTITUTE($Z468,W$1&amp;" (1)",""))&lt;lenb($Z468),1,IF(lenb(SUBSTITUTE($Z468,W$1&amp;" (2)",""))&lt;lenb($Z468),2,IF(lenb(SUBSTITUTE($Z468,W$1&amp;" (3)",""))&lt;lenb($Z468),3,IF(lenb(SUBSTITUTE($Z468,W$1&amp;" (4)",""))&lt;lenb($Z468),4,IF(lenb(SUBSTITUTE($Z468,W$1&amp;" (5)",""))&lt;lenb($Z468),5,IF(lenb(SUBSTITUTE($Z468,W$1&amp;" (6)",""))&lt;lenb($Z468),6,IF(lenb(SUBSTITUTE($Z468,W$1&amp;" (7)",""))&lt;lenb($Z468),1,IF(lenb(SUBSTITUTE($Z468,W$1&amp;" (8)",""))&lt;lenb($Z468),8,IF(lenb(SUBSTITUTE($Z468,W$1&amp;" (9)",""))&lt;lenb($Z468),9,IF(lenb(SUBSTITUTE($Z468,W$1&amp;" (10)",""))&lt;lenb($Z468),10,IF(lenb(SUBSTITUTE($Z468,W$1,""))&lt;lenb($Z468),"ERROR",IF($Z468=$Y$1,"-",0))))))))))))</f>
        <v>0</v>
      </c>
      <c r="X468" s="105">
        <f t="shared" si="473"/>
        <v>0</v>
      </c>
      <c r="Y468" s="105" t="str">
        <f t="shared" si="4"/>
        <v>-</v>
      </c>
      <c r="Z468" s="104" t="s">
        <v>3400</v>
      </c>
      <c r="AA468" s="34">
        <f t="shared" si="5"/>
        <v>1</v>
      </c>
      <c r="AB468" s="34">
        <f>COUNTIFS(Links!B:B,"FSE",Links!C:C,A468,Links!AD:AD,1)</f>
        <v>0</v>
      </c>
      <c r="AC468" s="106" t="s">
        <v>35</v>
      </c>
      <c r="AD468" s="107" t="s">
        <v>35</v>
      </c>
      <c r="AE468" s="104" t="s">
        <v>36</v>
      </c>
      <c r="AF468" s="37" t="s">
        <v>42</v>
      </c>
      <c r="AG468" s="37" t="s">
        <v>42</v>
      </c>
      <c r="AH468" s="37" t="s">
        <v>42</v>
      </c>
      <c r="AI468" s="105" t="str">
        <f t="shared" si="6"/>
        <v>----</v>
      </c>
      <c r="AJ468" s="108" t="str">
        <f t="shared" si="7"/>
        <v>Paper has link but no statement</v>
      </c>
      <c r="AK468" s="109" t="s">
        <v>3401</v>
      </c>
      <c r="AL468" s="110" t="s">
        <v>3402</v>
      </c>
      <c r="AM468" s="40" t="str">
        <f t="shared" si="8"/>
        <v>[FP0374]</v>
      </c>
    </row>
    <row r="469" ht="67.5" customHeight="1">
      <c r="A469" s="41">
        <v>375.0</v>
      </c>
      <c r="B469" s="42" t="s">
        <v>4607</v>
      </c>
      <c r="C469" s="43">
        <v>2020.0</v>
      </c>
      <c r="D469" s="111" t="s">
        <v>35</v>
      </c>
      <c r="E469" s="45" t="s">
        <v>36</v>
      </c>
      <c r="F469" s="45" t="s">
        <v>36</v>
      </c>
      <c r="G469" s="45" t="s">
        <v>36</v>
      </c>
      <c r="H469" s="45" t="s">
        <v>36</v>
      </c>
      <c r="I469" s="45" t="s">
        <v>36</v>
      </c>
      <c r="J469" s="112" t="s">
        <v>36</v>
      </c>
      <c r="K469" s="113" t="s">
        <v>37</v>
      </c>
      <c r="L469" s="114" t="s">
        <v>37</v>
      </c>
      <c r="M469" s="114" t="s">
        <v>37</v>
      </c>
      <c r="N469" s="114" t="s">
        <v>35</v>
      </c>
      <c r="O469" s="114" t="s">
        <v>35</v>
      </c>
      <c r="P469" s="114" t="s">
        <v>35</v>
      </c>
      <c r="Q469" s="114" t="s">
        <v>35</v>
      </c>
      <c r="R469" s="114" t="s">
        <v>37</v>
      </c>
      <c r="S469" s="115" t="s">
        <v>4608</v>
      </c>
      <c r="T469" s="50" t="s">
        <v>4609</v>
      </c>
      <c r="U469" s="50" t="s">
        <v>4609</v>
      </c>
      <c r="V469" s="116">
        <f t="shared" si="2"/>
        <v>1</v>
      </c>
      <c r="W469" s="116">
        <f t="shared" ref="W469:X469" si="474">IF(lenb(SUBSTITUTE($Z469,W$1&amp;" (1)",""))&lt;lenb($Z469),1,IF(lenb(SUBSTITUTE($Z469,W$1&amp;" (2)",""))&lt;lenb($Z469),2,IF(lenb(SUBSTITUTE($Z469,W$1&amp;" (3)",""))&lt;lenb($Z469),3,IF(lenb(SUBSTITUTE($Z469,W$1&amp;" (4)",""))&lt;lenb($Z469),4,IF(lenb(SUBSTITUTE($Z469,W$1&amp;" (5)",""))&lt;lenb($Z469),5,IF(lenb(SUBSTITUTE($Z469,W$1&amp;" (6)",""))&lt;lenb($Z469),6,IF(lenb(SUBSTITUTE($Z469,W$1&amp;" (7)",""))&lt;lenb($Z469),1,IF(lenb(SUBSTITUTE($Z469,W$1&amp;" (8)",""))&lt;lenb($Z469),8,IF(lenb(SUBSTITUTE($Z469,W$1&amp;" (9)",""))&lt;lenb($Z469),9,IF(lenb(SUBSTITUTE($Z469,W$1&amp;" (10)",""))&lt;lenb($Z469),10,IF(lenb(SUBSTITUTE($Z469,W$1,""))&lt;lenb($Z469),"ERROR",IF($Z469=$Y$1,"-",0))))))))))))</f>
        <v>0</v>
      </c>
      <c r="X469" s="116">
        <f t="shared" si="474"/>
        <v>0</v>
      </c>
      <c r="Y469" s="116" t="str">
        <f t="shared" si="4"/>
        <v>-</v>
      </c>
      <c r="Z469" s="115" t="s">
        <v>3400</v>
      </c>
      <c r="AA469" s="54">
        <f t="shared" si="5"/>
        <v>1</v>
      </c>
      <c r="AB469" s="54">
        <f>COUNTIFS(Links!B:B,"FSE",Links!C:C,A469,Links!AD:AD,1)</f>
        <v>0</v>
      </c>
      <c r="AC469" s="117" t="s">
        <v>35</v>
      </c>
      <c r="AD469" s="118" t="s">
        <v>35</v>
      </c>
      <c r="AE469" s="115" t="s">
        <v>36</v>
      </c>
      <c r="AF469" s="57" t="s">
        <v>42</v>
      </c>
      <c r="AG469" s="57" t="s">
        <v>42</v>
      </c>
      <c r="AH469" s="57" t="s">
        <v>42</v>
      </c>
      <c r="AI469" s="116" t="str">
        <f t="shared" si="6"/>
        <v>----</v>
      </c>
      <c r="AJ469" s="119" t="str">
        <f t="shared" si="7"/>
        <v>Paper has link but no statement</v>
      </c>
      <c r="AK469" s="120" t="s">
        <v>3401</v>
      </c>
      <c r="AL469" s="121" t="s">
        <v>3402</v>
      </c>
      <c r="AM469" s="60" t="str">
        <f t="shared" si="8"/>
        <v>[FP0375]</v>
      </c>
    </row>
    <row r="470" ht="67.5" customHeight="1">
      <c r="A470" s="61">
        <v>376.0</v>
      </c>
      <c r="B470" s="22" t="s">
        <v>4610</v>
      </c>
      <c r="C470" s="23">
        <v>2020.0</v>
      </c>
      <c r="D470" s="100" t="s">
        <v>35</v>
      </c>
      <c r="E470" s="25" t="s">
        <v>36</v>
      </c>
      <c r="F470" s="25" t="s">
        <v>36</v>
      </c>
      <c r="G470" s="25" t="s">
        <v>36</v>
      </c>
      <c r="H470" s="25" t="s">
        <v>36</v>
      </c>
      <c r="I470" s="25" t="s">
        <v>36</v>
      </c>
      <c r="J470" s="101" t="s">
        <v>36</v>
      </c>
      <c r="K470" s="102" t="s">
        <v>37</v>
      </c>
      <c r="L470" s="103" t="s">
        <v>35</v>
      </c>
      <c r="M470" s="103" t="s">
        <v>37</v>
      </c>
      <c r="N470" s="103" t="s">
        <v>37</v>
      </c>
      <c r="O470" s="103" t="s">
        <v>35</v>
      </c>
      <c r="P470" s="103" t="s">
        <v>35</v>
      </c>
      <c r="Q470" s="103" t="s">
        <v>35</v>
      </c>
      <c r="R470" s="103" t="s">
        <v>37</v>
      </c>
      <c r="S470" s="104" t="s">
        <v>4611</v>
      </c>
      <c r="T470" s="30" t="s">
        <v>4612</v>
      </c>
      <c r="U470" s="30" t="s">
        <v>4613</v>
      </c>
      <c r="V470" s="105">
        <f t="shared" si="2"/>
        <v>3</v>
      </c>
      <c r="W470" s="105">
        <f t="shared" ref="W470:X470" si="475">IF(lenb(SUBSTITUTE($Z470,W$1&amp;" (1)",""))&lt;lenb($Z470),1,IF(lenb(SUBSTITUTE($Z470,W$1&amp;" (2)",""))&lt;lenb($Z470),2,IF(lenb(SUBSTITUTE($Z470,W$1&amp;" (3)",""))&lt;lenb($Z470),3,IF(lenb(SUBSTITUTE($Z470,W$1&amp;" (4)",""))&lt;lenb($Z470),4,IF(lenb(SUBSTITUTE($Z470,W$1&amp;" (5)",""))&lt;lenb($Z470),5,IF(lenb(SUBSTITUTE($Z470,W$1&amp;" (6)",""))&lt;lenb($Z470),6,IF(lenb(SUBSTITUTE($Z470,W$1&amp;" (7)",""))&lt;lenb($Z470),1,IF(lenb(SUBSTITUTE($Z470,W$1&amp;" (8)",""))&lt;lenb($Z470),8,IF(lenb(SUBSTITUTE($Z470,W$1&amp;" (9)",""))&lt;lenb($Z470),9,IF(lenb(SUBSTITUTE($Z470,W$1&amp;" (10)",""))&lt;lenb($Z470),10,IF(lenb(SUBSTITUTE($Z470,W$1,""))&lt;lenb($Z470),"ERROR",IF($Z470=$Y$1,"-",0))))))))))))</f>
        <v>0</v>
      </c>
      <c r="X470" s="105">
        <f t="shared" si="475"/>
        <v>0</v>
      </c>
      <c r="Y470" s="105" t="str">
        <f t="shared" si="4"/>
        <v>-</v>
      </c>
      <c r="Z470" s="104" t="s">
        <v>3741</v>
      </c>
      <c r="AA470" s="34">
        <f t="shared" si="5"/>
        <v>3</v>
      </c>
      <c r="AB470" s="34">
        <f>COUNTIFS(Links!B:B,"FSE",Links!C:C,A470,Links!AD:AD,1)</f>
        <v>0</v>
      </c>
      <c r="AC470" s="106" t="s">
        <v>37</v>
      </c>
      <c r="AD470" s="107" t="s">
        <v>35</v>
      </c>
      <c r="AE470" s="104" t="s">
        <v>36</v>
      </c>
      <c r="AF470" s="37" t="s">
        <v>42</v>
      </c>
      <c r="AG470" s="37" t="s">
        <v>42</v>
      </c>
      <c r="AH470" s="37" t="s">
        <v>42</v>
      </c>
      <c r="AI470" s="105" t="str">
        <f t="shared" si="6"/>
        <v>----</v>
      </c>
      <c r="AJ470" s="108" t="str">
        <f t="shared" si="7"/>
        <v>Paper has link but no statement</v>
      </c>
      <c r="AK470" s="109" t="s">
        <v>3401</v>
      </c>
      <c r="AL470" s="110" t="s">
        <v>3402</v>
      </c>
      <c r="AM470" s="40" t="str">
        <f t="shared" si="8"/>
        <v>[FP0376]</v>
      </c>
    </row>
    <row r="471" ht="67.5" customHeight="1">
      <c r="A471" s="41">
        <v>377.0</v>
      </c>
      <c r="B471" s="42" t="s">
        <v>4614</v>
      </c>
      <c r="C471" s="43">
        <v>2020.0</v>
      </c>
      <c r="D471" s="111" t="s">
        <v>37</v>
      </c>
      <c r="E471" s="45" t="s">
        <v>37</v>
      </c>
      <c r="F471" s="45" t="s">
        <v>37</v>
      </c>
      <c r="G471" s="45" t="s">
        <v>37</v>
      </c>
      <c r="H471" s="45" t="s">
        <v>35</v>
      </c>
      <c r="I471" s="45" t="s">
        <v>35</v>
      </c>
      <c r="J471" s="112" t="s">
        <v>36</v>
      </c>
      <c r="K471" s="113" t="s">
        <v>37</v>
      </c>
      <c r="L471" s="114" t="s">
        <v>35</v>
      </c>
      <c r="M471" s="114" t="s">
        <v>37</v>
      </c>
      <c r="N471" s="114" t="s">
        <v>35</v>
      </c>
      <c r="O471" s="114" t="s">
        <v>35</v>
      </c>
      <c r="P471" s="114" t="s">
        <v>35</v>
      </c>
      <c r="Q471" s="114" t="s">
        <v>35</v>
      </c>
      <c r="R471" s="114" t="s">
        <v>37</v>
      </c>
      <c r="S471" s="115" t="s">
        <v>4615</v>
      </c>
      <c r="T471" s="50" t="s">
        <v>4616</v>
      </c>
      <c r="U471" s="50" t="s">
        <v>4616</v>
      </c>
      <c r="V471" s="116">
        <f t="shared" si="2"/>
        <v>1</v>
      </c>
      <c r="W471" s="116">
        <f t="shared" ref="W471:X471" si="476">IF(lenb(SUBSTITUTE($Z471,W$1&amp;" (1)",""))&lt;lenb($Z471),1,IF(lenb(SUBSTITUTE($Z471,W$1&amp;" (2)",""))&lt;lenb($Z471),2,IF(lenb(SUBSTITUTE($Z471,W$1&amp;" (3)",""))&lt;lenb($Z471),3,IF(lenb(SUBSTITUTE($Z471,W$1&amp;" (4)",""))&lt;lenb($Z471),4,IF(lenb(SUBSTITUTE($Z471,W$1&amp;" (5)",""))&lt;lenb($Z471),5,IF(lenb(SUBSTITUTE($Z471,W$1&amp;" (6)",""))&lt;lenb($Z471),6,IF(lenb(SUBSTITUTE($Z471,W$1&amp;" (7)",""))&lt;lenb($Z471),1,IF(lenb(SUBSTITUTE($Z471,W$1&amp;" (8)",""))&lt;lenb($Z471),8,IF(lenb(SUBSTITUTE($Z471,W$1&amp;" (9)",""))&lt;lenb($Z471),9,IF(lenb(SUBSTITUTE($Z471,W$1&amp;" (10)",""))&lt;lenb($Z471),10,IF(lenb(SUBSTITUTE($Z471,W$1,""))&lt;lenb($Z471),"ERROR",IF($Z471=$Y$1,"-",0))))))))))))</f>
        <v>0</v>
      </c>
      <c r="X471" s="116">
        <f t="shared" si="476"/>
        <v>0</v>
      </c>
      <c r="Y471" s="116" t="str">
        <f t="shared" si="4"/>
        <v>-</v>
      </c>
      <c r="Z471" s="115" t="s">
        <v>3400</v>
      </c>
      <c r="AA471" s="54">
        <f t="shared" si="5"/>
        <v>1</v>
      </c>
      <c r="AB471" s="54">
        <f>COUNTIFS(Links!B:B,"FSE",Links!C:C,A471,Links!AD:AD,1)</f>
        <v>0</v>
      </c>
      <c r="AC471" s="117" t="s">
        <v>37</v>
      </c>
      <c r="AD471" s="118" t="s">
        <v>35</v>
      </c>
      <c r="AE471" s="115" t="s">
        <v>36</v>
      </c>
      <c r="AF471" s="57" t="s">
        <v>42</v>
      </c>
      <c r="AG471" s="57" t="s">
        <v>42</v>
      </c>
      <c r="AH471" s="57" t="s">
        <v>42</v>
      </c>
      <c r="AI471" s="116" t="str">
        <f t="shared" si="6"/>
        <v>----</v>
      </c>
      <c r="AJ471" s="119" t="str">
        <f t="shared" si="7"/>
        <v>Paper has link but no statement</v>
      </c>
      <c r="AK471" s="120" t="s">
        <v>3401</v>
      </c>
      <c r="AL471" s="121" t="s">
        <v>3402</v>
      </c>
      <c r="AM471" s="60" t="str">
        <f t="shared" si="8"/>
        <v>[FP0377]</v>
      </c>
    </row>
    <row r="472" ht="67.5" customHeight="1">
      <c r="A472" s="61">
        <v>378.0</v>
      </c>
      <c r="B472" s="22" t="s">
        <v>4617</v>
      </c>
      <c r="C472" s="23">
        <v>2020.0</v>
      </c>
      <c r="D472" s="100" t="s">
        <v>37</v>
      </c>
      <c r="E472" s="25" t="s">
        <v>37</v>
      </c>
      <c r="F472" s="25" t="s">
        <v>35</v>
      </c>
      <c r="G472" s="25" t="s">
        <v>35</v>
      </c>
      <c r="H472" s="25" t="s">
        <v>35</v>
      </c>
      <c r="I472" s="25" t="s">
        <v>35</v>
      </c>
      <c r="J472" s="101" t="s">
        <v>36</v>
      </c>
      <c r="K472" s="102" t="s">
        <v>37</v>
      </c>
      <c r="L472" s="103" t="s">
        <v>37</v>
      </c>
      <c r="M472" s="103" t="s">
        <v>37</v>
      </c>
      <c r="N472" s="103" t="s">
        <v>37</v>
      </c>
      <c r="O472" s="103" t="s">
        <v>35</v>
      </c>
      <c r="P472" s="103" t="s">
        <v>35</v>
      </c>
      <c r="Q472" s="103" t="s">
        <v>35</v>
      </c>
      <c r="R472" s="103" t="s">
        <v>35</v>
      </c>
      <c r="S472" s="104" t="s">
        <v>4618</v>
      </c>
      <c r="T472" s="30" t="s">
        <v>4619</v>
      </c>
      <c r="U472" s="30" t="s">
        <v>4619</v>
      </c>
      <c r="V472" s="105">
        <f t="shared" si="2"/>
        <v>2</v>
      </c>
      <c r="W472" s="105">
        <f t="shared" ref="W472:X472" si="477">IF(lenb(SUBSTITUTE($Z472,W$1&amp;" (1)",""))&lt;lenb($Z472),1,IF(lenb(SUBSTITUTE($Z472,W$1&amp;" (2)",""))&lt;lenb($Z472),2,IF(lenb(SUBSTITUTE($Z472,W$1&amp;" (3)",""))&lt;lenb($Z472),3,IF(lenb(SUBSTITUTE($Z472,W$1&amp;" (4)",""))&lt;lenb($Z472),4,IF(lenb(SUBSTITUTE($Z472,W$1&amp;" (5)",""))&lt;lenb($Z472),5,IF(lenb(SUBSTITUTE($Z472,W$1&amp;" (6)",""))&lt;lenb($Z472),6,IF(lenb(SUBSTITUTE($Z472,W$1&amp;" (7)",""))&lt;lenb($Z472),1,IF(lenb(SUBSTITUTE($Z472,W$1&amp;" (8)",""))&lt;lenb($Z472),8,IF(lenb(SUBSTITUTE($Z472,W$1&amp;" (9)",""))&lt;lenb($Z472),9,IF(lenb(SUBSTITUTE($Z472,W$1&amp;" (10)",""))&lt;lenb($Z472),10,IF(lenb(SUBSTITUTE($Z472,W$1,""))&lt;lenb($Z472),"ERROR",IF($Z472=$Y$1,"-",0))))))))))))</f>
        <v>0</v>
      </c>
      <c r="X472" s="105">
        <f t="shared" si="477"/>
        <v>0</v>
      </c>
      <c r="Y472" s="105" t="str">
        <f t="shared" si="4"/>
        <v>-</v>
      </c>
      <c r="Z472" s="104" t="s">
        <v>3452</v>
      </c>
      <c r="AA472" s="34">
        <f t="shared" si="5"/>
        <v>2</v>
      </c>
      <c r="AB472" s="34">
        <f>COUNTIFS(Links!B:B,"FSE",Links!C:C,A472,Links!AD:AD,1)</f>
        <v>0</v>
      </c>
      <c r="AC472" s="106" t="s">
        <v>37</v>
      </c>
      <c r="AD472" s="107" t="s">
        <v>35</v>
      </c>
      <c r="AE472" s="104" t="s">
        <v>36</v>
      </c>
      <c r="AF472" s="37" t="s">
        <v>42</v>
      </c>
      <c r="AG472" s="37" t="s">
        <v>42</v>
      </c>
      <c r="AH472" s="37" t="s">
        <v>42</v>
      </c>
      <c r="AI472" s="105" t="str">
        <f t="shared" si="6"/>
        <v>----</v>
      </c>
      <c r="AJ472" s="108" t="str">
        <f t="shared" si="7"/>
        <v>Paper has link but no statement</v>
      </c>
      <c r="AK472" s="109" t="s">
        <v>3401</v>
      </c>
      <c r="AL472" s="110" t="s">
        <v>3402</v>
      </c>
      <c r="AM472" s="40" t="str">
        <f t="shared" si="8"/>
        <v>[FP0378]</v>
      </c>
    </row>
    <row r="473" ht="67.5" customHeight="1">
      <c r="A473" s="41">
        <v>379.0</v>
      </c>
      <c r="B473" s="42" t="s">
        <v>4620</v>
      </c>
      <c r="C473" s="43">
        <v>2020.0</v>
      </c>
      <c r="D473" s="111" t="s">
        <v>37</v>
      </c>
      <c r="E473" s="45" t="s">
        <v>37</v>
      </c>
      <c r="F473" s="45" t="s">
        <v>37</v>
      </c>
      <c r="G473" s="45" t="s">
        <v>35</v>
      </c>
      <c r="H473" s="45" t="s">
        <v>35</v>
      </c>
      <c r="I473" s="45" t="s">
        <v>35</v>
      </c>
      <c r="J473" s="112" t="s">
        <v>36</v>
      </c>
      <c r="K473" s="113" t="s">
        <v>37</v>
      </c>
      <c r="L473" s="114" t="s">
        <v>35</v>
      </c>
      <c r="M473" s="114" t="s">
        <v>35</v>
      </c>
      <c r="N473" s="114" t="s">
        <v>37</v>
      </c>
      <c r="O473" s="114" t="s">
        <v>35</v>
      </c>
      <c r="P473" s="114" t="s">
        <v>35</v>
      </c>
      <c r="Q473" s="114" t="s">
        <v>37</v>
      </c>
      <c r="R473" s="114" t="s">
        <v>37</v>
      </c>
      <c r="S473" s="115" t="s">
        <v>4621</v>
      </c>
      <c r="T473" s="50" t="s">
        <v>4622</v>
      </c>
      <c r="U473" s="50" t="s">
        <v>4623</v>
      </c>
      <c r="V473" s="116">
        <f t="shared" si="2"/>
        <v>1</v>
      </c>
      <c r="W473" s="116">
        <f t="shared" ref="W473:X473" si="478">IF(lenb(SUBSTITUTE($Z473,W$1&amp;" (1)",""))&lt;lenb($Z473),1,IF(lenb(SUBSTITUTE($Z473,W$1&amp;" (2)",""))&lt;lenb($Z473),2,IF(lenb(SUBSTITUTE($Z473,W$1&amp;" (3)",""))&lt;lenb($Z473),3,IF(lenb(SUBSTITUTE($Z473,W$1&amp;" (4)",""))&lt;lenb($Z473),4,IF(lenb(SUBSTITUTE($Z473,W$1&amp;" (5)",""))&lt;lenb($Z473),5,IF(lenb(SUBSTITUTE($Z473,W$1&amp;" (6)",""))&lt;lenb($Z473),6,IF(lenb(SUBSTITUTE($Z473,W$1&amp;" (7)",""))&lt;lenb($Z473),1,IF(lenb(SUBSTITUTE($Z473,W$1&amp;" (8)",""))&lt;lenb($Z473),8,IF(lenb(SUBSTITUTE($Z473,W$1&amp;" (9)",""))&lt;lenb($Z473),9,IF(lenb(SUBSTITUTE($Z473,W$1&amp;" (10)",""))&lt;lenb($Z473),10,IF(lenb(SUBSTITUTE($Z473,W$1,""))&lt;lenb($Z473),"ERROR",IF($Z473=$Y$1,"-",0))))))))))))</f>
        <v>0</v>
      </c>
      <c r="X473" s="116">
        <f t="shared" si="478"/>
        <v>0</v>
      </c>
      <c r="Y473" s="116" t="str">
        <f t="shared" si="4"/>
        <v>-</v>
      </c>
      <c r="Z473" s="115" t="s">
        <v>3400</v>
      </c>
      <c r="AA473" s="54">
        <f t="shared" si="5"/>
        <v>1</v>
      </c>
      <c r="AB473" s="54">
        <f>COUNTIFS(Links!B:B,"FSE",Links!C:C,A473,Links!AD:AD,1)</f>
        <v>1</v>
      </c>
      <c r="AC473" s="117" t="s">
        <v>37</v>
      </c>
      <c r="AD473" s="118" t="s">
        <v>35</v>
      </c>
      <c r="AE473" s="115" t="s">
        <v>36</v>
      </c>
      <c r="AF473" s="57" t="s">
        <v>42</v>
      </c>
      <c r="AG473" s="57" t="s">
        <v>42</v>
      </c>
      <c r="AH473" s="57" t="s">
        <v>42</v>
      </c>
      <c r="AI473" s="116" t="str">
        <f t="shared" si="6"/>
        <v>----</v>
      </c>
      <c r="AJ473" s="119" t="str">
        <f t="shared" si="7"/>
        <v>Paper has link but no statement</v>
      </c>
      <c r="AK473" s="120" t="s">
        <v>3401</v>
      </c>
      <c r="AL473" s="121" t="s">
        <v>3402</v>
      </c>
      <c r="AM473" s="60" t="str">
        <f t="shared" si="8"/>
        <v>[FP0379]</v>
      </c>
    </row>
    <row r="474" ht="67.5" customHeight="1">
      <c r="A474" s="61">
        <v>380.0</v>
      </c>
      <c r="B474" s="22" t="s">
        <v>4624</v>
      </c>
      <c r="C474" s="23">
        <v>2020.0</v>
      </c>
      <c r="D474" s="100" t="s">
        <v>37</v>
      </c>
      <c r="E474" s="25" t="s">
        <v>37</v>
      </c>
      <c r="F474" s="25" t="s">
        <v>37</v>
      </c>
      <c r="G474" s="25" t="s">
        <v>37</v>
      </c>
      <c r="H474" s="25" t="s">
        <v>35</v>
      </c>
      <c r="I474" s="25" t="s">
        <v>35</v>
      </c>
      <c r="J474" s="101" t="s">
        <v>36</v>
      </c>
      <c r="K474" s="102" t="s">
        <v>37</v>
      </c>
      <c r="L474" s="103" t="s">
        <v>35</v>
      </c>
      <c r="M474" s="103" t="s">
        <v>35</v>
      </c>
      <c r="N474" s="103" t="s">
        <v>37</v>
      </c>
      <c r="O474" s="103" t="s">
        <v>37</v>
      </c>
      <c r="P474" s="103" t="s">
        <v>35</v>
      </c>
      <c r="Q474" s="103" t="s">
        <v>35</v>
      </c>
      <c r="R474" s="103" t="s">
        <v>35</v>
      </c>
      <c r="S474" s="136" t="s">
        <v>4625</v>
      </c>
      <c r="T474" s="30" t="s">
        <v>4626</v>
      </c>
      <c r="U474" s="30" t="s">
        <v>4627</v>
      </c>
      <c r="V474" s="105">
        <f t="shared" si="2"/>
        <v>2</v>
      </c>
      <c r="W474" s="105">
        <f t="shared" ref="W474:X474" si="479">IF(lenb(SUBSTITUTE($Z474,W$1&amp;" (1)",""))&lt;lenb($Z474),1,IF(lenb(SUBSTITUTE($Z474,W$1&amp;" (2)",""))&lt;lenb($Z474),2,IF(lenb(SUBSTITUTE($Z474,W$1&amp;" (3)",""))&lt;lenb($Z474),3,IF(lenb(SUBSTITUTE($Z474,W$1&amp;" (4)",""))&lt;lenb($Z474),4,IF(lenb(SUBSTITUTE($Z474,W$1&amp;" (5)",""))&lt;lenb($Z474),5,IF(lenb(SUBSTITUTE($Z474,W$1&amp;" (6)",""))&lt;lenb($Z474),6,IF(lenb(SUBSTITUTE($Z474,W$1&amp;" (7)",""))&lt;lenb($Z474),1,IF(lenb(SUBSTITUTE($Z474,W$1&amp;" (8)",""))&lt;lenb($Z474),8,IF(lenb(SUBSTITUTE($Z474,W$1&amp;" (9)",""))&lt;lenb($Z474),9,IF(lenb(SUBSTITUTE($Z474,W$1&amp;" (10)",""))&lt;lenb($Z474),10,IF(lenb(SUBSTITUTE($Z474,W$1,""))&lt;lenb($Z474),"ERROR",IF($Z474=$Y$1,"-",0))))))))))))</f>
        <v>1</v>
      </c>
      <c r="X474" s="105">
        <f t="shared" si="479"/>
        <v>0</v>
      </c>
      <c r="Y474" s="105" t="str">
        <f t="shared" si="4"/>
        <v>-</v>
      </c>
      <c r="Z474" s="104" t="s">
        <v>4628</v>
      </c>
      <c r="AA474" s="34">
        <f t="shared" si="5"/>
        <v>3</v>
      </c>
      <c r="AB474" s="34">
        <f>COUNTIFS(Links!B:B,"FSE",Links!C:C,A474,Links!AD:AD,1)</f>
        <v>0</v>
      </c>
      <c r="AC474" s="106" t="s">
        <v>37</v>
      </c>
      <c r="AD474" s="107" t="s">
        <v>35</v>
      </c>
      <c r="AE474" s="104" t="s">
        <v>36</v>
      </c>
      <c r="AF474" s="37" t="s">
        <v>42</v>
      </c>
      <c r="AG474" s="37" t="s">
        <v>42</v>
      </c>
      <c r="AH474" s="37" t="s">
        <v>42</v>
      </c>
      <c r="AI474" s="105" t="str">
        <f t="shared" si="6"/>
        <v>----</v>
      </c>
      <c r="AJ474" s="108" t="str">
        <f t="shared" si="7"/>
        <v>Paper has link but no statement</v>
      </c>
      <c r="AK474" s="109" t="s">
        <v>3401</v>
      </c>
      <c r="AL474" s="110" t="s">
        <v>3402</v>
      </c>
      <c r="AM474" s="40" t="str">
        <f t="shared" si="8"/>
        <v>[FP0380]</v>
      </c>
    </row>
    <row r="475" ht="67.5" customHeight="1">
      <c r="A475" s="41">
        <v>381.0</v>
      </c>
      <c r="B475" s="42" t="s">
        <v>4629</v>
      </c>
      <c r="C475" s="43">
        <v>2020.0</v>
      </c>
      <c r="D475" s="111" t="s">
        <v>35</v>
      </c>
      <c r="E475" s="45" t="s">
        <v>36</v>
      </c>
      <c r="F475" s="45" t="s">
        <v>36</v>
      </c>
      <c r="G475" s="45" t="s">
        <v>36</v>
      </c>
      <c r="H475" s="45" t="s">
        <v>36</v>
      </c>
      <c r="I475" s="45" t="s">
        <v>36</v>
      </c>
      <c r="J475" s="112" t="s">
        <v>36</v>
      </c>
      <c r="K475" s="113" t="s">
        <v>35</v>
      </c>
      <c r="L475" s="114" t="s">
        <v>36</v>
      </c>
      <c r="M475" s="114" t="s">
        <v>36</v>
      </c>
      <c r="N475" s="114" t="s">
        <v>36</v>
      </c>
      <c r="O475" s="114" t="s">
        <v>36</v>
      </c>
      <c r="P475" s="114" t="s">
        <v>36</v>
      </c>
      <c r="Q475" s="114" t="s">
        <v>36</v>
      </c>
      <c r="R475" s="114" t="s">
        <v>36</v>
      </c>
      <c r="S475" s="115" t="s">
        <v>42</v>
      </c>
      <c r="T475" s="50" t="s">
        <v>36</v>
      </c>
      <c r="U475" s="50" t="s">
        <v>36</v>
      </c>
      <c r="V475" s="116" t="str">
        <f t="shared" si="2"/>
        <v>-</v>
      </c>
      <c r="W475" s="116" t="str">
        <f t="shared" ref="W475:X475" si="480">IF(lenb(SUBSTITUTE($Z475,W$1&amp;" (1)",""))&lt;lenb($Z475),1,IF(lenb(SUBSTITUTE($Z475,W$1&amp;" (2)",""))&lt;lenb($Z475),2,IF(lenb(SUBSTITUTE($Z475,W$1&amp;" (3)",""))&lt;lenb($Z475),3,IF(lenb(SUBSTITUTE($Z475,W$1&amp;" (4)",""))&lt;lenb($Z475),4,IF(lenb(SUBSTITUTE($Z475,W$1&amp;" (5)",""))&lt;lenb($Z475),5,IF(lenb(SUBSTITUTE($Z475,W$1&amp;" (6)",""))&lt;lenb($Z475),6,IF(lenb(SUBSTITUTE($Z475,W$1&amp;" (7)",""))&lt;lenb($Z475),1,IF(lenb(SUBSTITUTE($Z475,W$1&amp;" (8)",""))&lt;lenb($Z475),8,IF(lenb(SUBSTITUTE($Z475,W$1&amp;" (9)",""))&lt;lenb($Z475),9,IF(lenb(SUBSTITUTE($Z475,W$1&amp;" (10)",""))&lt;lenb($Z475),10,IF(lenb(SUBSTITUTE($Z475,W$1,""))&lt;lenb($Z475),"ERROR",IF($Z475=$Y$1,"-",0))))))))))))</f>
        <v>-</v>
      </c>
      <c r="X475" s="116" t="str">
        <f t="shared" si="480"/>
        <v>-</v>
      </c>
      <c r="Y475" s="116">
        <f t="shared" si="4"/>
        <v>1</v>
      </c>
      <c r="Z475" s="115" t="s">
        <v>23</v>
      </c>
      <c r="AA475" s="54">
        <f t="shared" si="5"/>
        <v>0</v>
      </c>
      <c r="AB475" s="54">
        <f>COUNTIFS(Links!B:B,"FSE",Links!C:C,A475,Links!AD:AD,1)</f>
        <v>0</v>
      </c>
      <c r="AC475" s="117" t="s">
        <v>36</v>
      </c>
      <c r="AD475" s="118" t="s">
        <v>35</v>
      </c>
      <c r="AE475" s="115" t="s">
        <v>36</v>
      </c>
      <c r="AF475" s="57" t="s">
        <v>42</v>
      </c>
      <c r="AG475" s="57" t="s">
        <v>42</v>
      </c>
      <c r="AH475" s="57" t="s">
        <v>42</v>
      </c>
      <c r="AI475" s="116" t="str">
        <f t="shared" si="6"/>
        <v>----</v>
      </c>
      <c r="AJ475" s="119" t="str">
        <f t="shared" si="7"/>
        <v>Paper has no link and no statement</v>
      </c>
      <c r="AK475" s="120" t="s">
        <v>3401</v>
      </c>
      <c r="AL475" s="121" t="s">
        <v>3402</v>
      </c>
      <c r="AM475" s="60" t="str">
        <f t="shared" si="8"/>
        <v>[FP0381]</v>
      </c>
    </row>
    <row r="476" ht="67.5" customHeight="1">
      <c r="A476" s="61">
        <v>382.0</v>
      </c>
      <c r="B476" s="22" t="s">
        <v>4630</v>
      </c>
      <c r="C476" s="23">
        <v>2020.0</v>
      </c>
      <c r="D476" s="100" t="s">
        <v>35</v>
      </c>
      <c r="E476" s="25" t="s">
        <v>36</v>
      </c>
      <c r="F476" s="25" t="s">
        <v>36</v>
      </c>
      <c r="G476" s="25" t="s">
        <v>36</v>
      </c>
      <c r="H476" s="25" t="s">
        <v>36</v>
      </c>
      <c r="I476" s="25" t="s">
        <v>36</v>
      </c>
      <c r="J476" s="101" t="s">
        <v>36</v>
      </c>
      <c r="K476" s="102" t="s">
        <v>37</v>
      </c>
      <c r="L476" s="103" t="s">
        <v>37</v>
      </c>
      <c r="M476" s="103" t="s">
        <v>35</v>
      </c>
      <c r="N476" s="103" t="s">
        <v>37</v>
      </c>
      <c r="O476" s="103" t="s">
        <v>35</v>
      </c>
      <c r="P476" s="103" t="s">
        <v>35</v>
      </c>
      <c r="Q476" s="103" t="s">
        <v>35</v>
      </c>
      <c r="R476" s="103" t="s">
        <v>37</v>
      </c>
      <c r="S476" s="104" t="s">
        <v>4631</v>
      </c>
      <c r="T476" s="30" t="s">
        <v>4632</v>
      </c>
      <c r="U476" s="30" t="s">
        <v>4632</v>
      </c>
      <c r="V476" s="105">
        <f t="shared" si="2"/>
        <v>1</v>
      </c>
      <c r="W476" s="105">
        <f t="shared" ref="W476:X476" si="481">IF(lenb(SUBSTITUTE($Z476,W$1&amp;" (1)",""))&lt;lenb($Z476),1,IF(lenb(SUBSTITUTE($Z476,W$1&amp;" (2)",""))&lt;lenb($Z476),2,IF(lenb(SUBSTITUTE($Z476,W$1&amp;" (3)",""))&lt;lenb($Z476),3,IF(lenb(SUBSTITUTE($Z476,W$1&amp;" (4)",""))&lt;lenb($Z476),4,IF(lenb(SUBSTITUTE($Z476,W$1&amp;" (5)",""))&lt;lenb($Z476),5,IF(lenb(SUBSTITUTE($Z476,W$1&amp;" (6)",""))&lt;lenb($Z476),6,IF(lenb(SUBSTITUTE($Z476,W$1&amp;" (7)",""))&lt;lenb($Z476),1,IF(lenb(SUBSTITUTE($Z476,W$1&amp;" (8)",""))&lt;lenb($Z476),8,IF(lenb(SUBSTITUTE($Z476,W$1&amp;" (9)",""))&lt;lenb($Z476),9,IF(lenb(SUBSTITUTE($Z476,W$1&amp;" (10)",""))&lt;lenb($Z476),10,IF(lenb(SUBSTITUTE($Z476,W$1,""))&lt;lenb($Z476),"ERROR",IF($Z476=$Y$1,"-",0))))))))))))</f>
        <v>0</v>
      </c>
      <c r="X476" s="105">
        <f t="shared" si="481"/>
        <v>0</v>
      </c>
      <c r="Y476" s="105" t="str">
        <f t="shared" si="4"/>
        <v>-</v>
      </c>
      <c r="Z476" s="104" t="s">
        <v>3400</v>
      </c>
      <c r="AA476" s="34">
        <f t="shared" si="5"/>
        <v>1</v>
      </c>
      <c r="AB476" s="34">
        <f>COUNTIFS(Links!B:B,"FSE",Links!C:C,A476,Links!AD:AD,1)</f>
        <v>0</v>
      </c>
      <c r="AC476" s="106" t="s">
        <v>35</v>
      </c>
      <c r="AD476" s="107" t="s">
        <v>35</v>
      </c>
      <c r="AE476" s="104" t="s">
        <v>36</v>
      </c>
      <c r="AF476" s="37" t="s">
        <v>42</v>
      </c>
      <c r="AG476" s="37" t="s">
        <v>42</v>
      </c>
      <c r="AH476" s="37" t="s">
        <v>42</v>
      </c>
      <c r="AI476" s="105" t="str">
        <f t="shared" si="6"/>
        <v>----</v>
      </c>
      <c r="AJ476" s="108" t="str">
        <f t="shared" si="7"/>
        <v>Paper has link but no statement</v>
      </c>
      <c r="AK476" s="109" t="s">
        <v>3401</v>
      </c>
      <c r="AL476" s="110" t="s">
        <v>3402</v>
      </c>
      <c r="AM476" s="40" t="str">
        <f t="shared" si="8"/>
        <v>[FP0382]</v>
      </c>
    </row>
    <row r="477" ht="67.5" customHeight="1">
      <c r="A477" s="41">
        <v>383.0</v>
      </c>
      <c r="B477" s="42" t="s">
        <v>4633</v>
      </c>
      <c r="C477" s="43">
        <v>2020.0</v>
      </c>
      <c r="D477" s="111" t="s">
        <v>37</v>
      </c>
      <c r="E477" s="45" t="s">
        <v>37</v>
      </c>
      <c r="F477" s="45" t="s">
        <v>35</v>
      </c>
      <c r="G477" s="45" t="s">
        <v>35</v>
      </c>
      <c r="H477" s="45" t="s">
        <v>35</v>
      </c>
      <c r="I477" s="45" t="s">
        <v>35</v>
      </c>
      <c r="J477" s="112" t="s">
        <v>36</v>
      </c>
      <c r="K477" s="113" t="s">
        <v>37</v>
      </c>
      <c r="L477" s="114" t="s">
        <v>35</v>
      </c>
      <c r="M477" s="114" t="s">
        <v>35</v>
      </c>
      <c r="N477" s="114" t="s">
        <v>35</v>
      </c>
      <c r="O477" s="114" t="s">
        <v>35</v>
      </c>
      <c r="P477" s="114" t="s">
        <v>35</v>
      </c>
      <c r="Q477" s="114" t="s">
        <v>35</v>
      </c>
      <c r="R477" s="114" t="s">
        <v>37</v>
      </c>
      <c r="S477" s="135" t="s">
        <v>4634</v>
      </c>
      <c r="T477" s="50" t="s">
        <v>4635</v>
      </c>
      <c r="U477" s="50" t="s">
        <v>4636</v>
      </c>
      <c r="V477" s="116">
        <f t="shared" si="2"/>
        <v>2</v>
      </c>
      <c r="W477" s="116">
        <f t="shared" ref="W477:X477" si="482">IF(lenb(SUBSTITUTE($Z477,W$1&amp;" (1)",""))&lt;lenb($Z477),1,IF(lenb(SUBSTITUTE($Z477,W$1&amp;" (2)",""))&lt;lenb($Z477),2,IF(lenb(SUBSTITUTE($Z477,W$1&amp;" (3)",""))&lt;lenb($Z477),3,IF(lenb(SUBSTITUTE($Z477,W$1&amp;" (4)",""))&lt;lenb($Z477),4,IF(lenb(SUBSTITUTE($Z477,W$1&amp;" (5)",""))&lt;lenb($Z477),5,IF(lenb(SUBSTITUTE($Z477,W$1&amp;" (6)",""))&lt;lenb($Z477),6,IF(lenb(SUBSTITUTE($Z477,W$1&amp;" (7)",""))&lt;lenb($Z477),1,IF(lenb(SUBSTITUTE($Z477,W$1&amp;" (8)",""))&lt;lenb($Z477),8,IF(lenb(SUBSTITUTE($Z477,W$1&amp;" (9)",""))&lt;lenb($Z477),9,IF(lenb(SUBSTITUTE($Z477,W$1&amp;" (10)",""))&lt;lenb($Z477),10,IF(lenb(SUBSTITUTE($Z477,W$1,""))&lt;lenb($Z477),"ERROR",IF($Z477=$Y$1,"-",0))))))))))))</f>
        <v>0</v>
      </c>
      <c r="X477" s="116">
        <f t="shared" si="482"/>
        <v>0</v>
      </c>
      <c r="Y477" s="116" t="str">
        <f t="shared" si="4"/>
        <v>-</v>
      </c>
      <c r="Z477" s="115" t="s">
        <v>3452</v>
      </c>
      <c r="AA477" s="54">
        <f t="shared" si="5"/>
        <v>2</v>
      </c>
      <c r="AB477" s="54">
        <f>COUNTIFS(Links!B:B,"FSE",Links!C:C,A477,Links!AD:AD,1)</f>
        <v>0</v>
      </c>
      <c r="AC477" s="117" t="s">
        <v>37</v>
      </c>
      <c r="AD477" s="118" t="s">
        <v>35</v>
      </c>
      <c r="AE477" s="115" t="s">
        <v>36</v>
      </c>
      <c r="AF477" s="57" t="s">
        <v>42</v>
      </c>
      <c r="AG477" s="57" t="s">
        <v>42</v>
      </c>
      <c r="AH477" s="57" t="s">
        <v>42</v>
      </c>
      <c r="AI477" s="116" t="str">
        <f t="shared" si="6"/>
        <v>----</v>
      </c>
      <c r="AJ477" s="119" t="str">
        <f t="shared" si="7"/>
        <v>Paper has link but no statement</v>
      </c>
      <c r="AK477" s="120" t="s">
        <v>3401</v>
      </c>
      <c r="AL477" s="121" t="s">
        <v>3402</v>
      </c>
      <c r="AM477" s="60" t="str">
        <f t="shared" si="8"/>
        <v>[FP0383]</v>
      </c>
    </row>
    <row r="478" ht="67.5" customHeight="1">
      <c r="A478" s="61">
        <v>384.0</v>
      </c>
      <c r="B478" s="22" t="s">
        <v>4637</v>
      </c>
      <c r="C478" s="23">
        <v>2020.0</v>
      </c>
      <c r="D478" s="100" t="s">
        <v>35</v>
      </c>
      <c r="E478" s="25" t="s">
        <v>36</v>
      </c>
      <c r="F478" s="25" t="s">
        <v>36</v>
      </c>
      <c r="G478" s="25" t="s">
        <v>36</v>
      </c>
      <c r="H478" s="25" t="s">
        <v>36</v>
      </c>
      <c r="I478" s="25" t="s">
        <v>36</v>
      </c>
      <c r="J478" s="101" t="s">
        <v>36</v>
      </c>
      <c r="K478" s="102" t="s">
        <v>35</v>
      </c>
      <c r="L478" s="103" t="s">
        <v>36</v>
      </c>
      <c r="M478" s="103" t="s">
        <v>36</v>
      </c>
      <c r="N478" s="103" t="s">
        <v>36</v>
      </c>
      <c r="O478" s="103" t="s">
        <v>36</v>
      </c>
      <c r="P478" s="103" t="s">
        <v>36</v>
      </c>
      <c r="Q478" s="103" t="s">
        <v>36</v>
      </c>
      <c r="R478" s="103" t="s">
        <v>36</v>
      </c>
      <c r="S478" s="104" t="s">
        <v>42</v>
      </c>
      <c r="T478" s="30" t="s">
        <v>36</v>
      </c>
      <c r="U478" s="30" t="s">
        <v>36</v>
      </c>
      <c r="V478" s="105" t="str">
        <f t="shared" si="2"/>
        <v>-</v>
      </c>
      <c r="W478" s="105" t="str">
        <f t="shared" ref="W478:X478" si="483">IF(lenb(SUBSTITUTE($Z478,W$1&amp;" (1)",""))&lt;lenb($Z478),1,IF(lenb(SUBSTITUTE($Z478,W$1&amp;" (2)",""))&lt;lenb($Z478),2,IF(lenb(SUBSTITUTE($Z478,W$1&amp;" (3)",""))&lt;lenb($Z478),3,IF(lenb(SUBSTITUTE($Z478,W$1&amp;" (4)",""))&lt;lenb($Z478),4,IF(lenb(SUBSTITUTE($Z478,W$1&amp;" (5)",""))&lt;lenb($Z478),5,IF(lenb(SUBSTITUTE($Z478,W$1&amp;" (6)",""))&lt;lenb($Z478),6,IF(lenb(SUBSTITUTE($Z478,W$1&amp;" (7)",""))&lt;lenb($Z478),1,IF(lenb(SUBSTITUTE($Z478,W$1&amp;" (8)",""))&lt;lenb($Z478),8,IF(lenb(SUBSTITUTE($Z478,W$1&amp;" (9)",""))&lt;lenb($Z478),9,IF(lenb(SUBSTITUTE($Z478,W$1&amp;" (10)",""))&lt;lenb($Z478),10,IF(lenb(SUBSTITUTE($Z478,W$1,""))&lt;lenb($Z478),"ERROR",IF($Z478=$Y$1,"-",0))))))))))))</f>
        <v>-</v>
      </c>
      <c r="X478" s="105" t="str">
        <f t="shared" si="483"/>
        <v>-</v>
      </c>
      <c r="Y478" s="105">
        <f t="shared" si="4"/>
        <v>1</v>
      </c>
      <c r="Z478" s="104" t="s">
        <v>23</v>
      </c>
      <c r="AA478" s="34">
        <f t="shared" si="5"/>
        <v>0</v>
      </c>
      <c r="AB478" s="34">
        <f>COUNTIFS(Links!B:B,"FSE",Links!C:C,A478,Links!AD:AD,1)</f>
        <v>0</v>
      </c>
      <c r="AC478" s="106" t="s">
        <v>36</v>
      </c>
      <c r="AD478" s="107" t="s">
        <v>35</v>
      </c>
      <c r="AE478" s="104" t="s">
        <v>36</v>
      </c>
      <c r="AF478" s="37" t="s">
        <v>42</v>
      </c>
      <c r="AG478" s="37" t="s">
        <v>42</v>
      </c>
      <c r="AH478" s="37" t="s">
        <v>42</v>
      </c>
      <c r="AI478" s="105" t="str">
        <f t="shared" si="6"/>
        <v>----</v>
      </c>
      <c r="AJ478" s="108" t="str">
        <f t="shared" si="7"/>
        <v>Paper has no link and no statement</v>
      </c>
      <c r="AK478" s="109" t="s">
        <v>3401</v>
      </c>
      <c r="AL478" s="110" t="s">
        <v>3402</v>
      </c>
      <c r="AM478" s="40" t="str">
        <f t="shared" si="8"/>
        <v>[FP0384]</v>
      </c>
    </row>
    <row r="479" ht="67.5" customHeight="1">
      <c r="A479" s="41">
        <v>385.0</v>
      </c>
      <c r="B479" s="42" t="s">
        <v>4638</v>
      </c>
      <c r="C479" s="43">
        <v>2020.0</v>
      </c>
      <c r="D479" s="111" t="s">
        <v>37</v>
      </c>
      <c r="E479" s="45" t="s">
        <v>37</v>
      </c>
      <c r="F479" s="45" t="s">
        <v>37</v>
      </c>
      <c r="G479" s="45" t="s">
        <v>37</v>
      </c>
      <c r="H479" s="45" t="s">
        <v>35</v>
      </c>
      <c r="I479" s="45" t="s">
        <v>35</v>
      </c>
      <c r="J479" s="112" t="s">
        <v>36</v>
      </c>
      <c r="K479" s="113" t="s">
        <v>37</v>
      </c>
      <c r="L479" s="114" t="s">
        <v>35</v>
      </c>
      <c r="M479" s="114" t="s">
        <v>35</v>
      </c>
      <c r="N479" s="114" t="s">
        <v>37</v>
      </c>
      <c r="O479" s="114" t="s">
        <v>35</v>
      </c>
      <c r="P479" s="114" t="s">
        <v>35</v>
      </c>
      <c r="Q479" s="114" t="s">
        <v>35</v>
      </c>
      <c r="R479" s="114" t="s">
        <v>35</v>
      </c>
      <c r="S479" s="115" t="s">
        <v>4639</v>
      </c>
      <c r="T479" s="50" t="s">
        <v>4640</v>
      </c>
      <c r="U479" s="50" t="s">
        <v>4640</v>
      </c>
      <c r="V479" s="116">
        <f t="shared" si="2"/>
        <v>2</v>
      </c>
      <c r="W479" s="116">
        <f t="shared" ref="W479:X479" si="484">IF(lenb(SUBSTITUTE($Z479,W$1&amp;" (1)",""))&lt;lenb($Z479),1,IF(lenb(SUBSTITUTE($Z479,W$1&amp;" (2)",""))&lt;lenb($Z479),2,IF(lenb(SUBSTITUTE($Z479,W$1&amp;" (3)",""))&lt;lenb($Z479),3,IF(lenb(SUBSTITUTE($Z479,W$1&amp;" (4)",""))&lt;lenb($Z479),4,IF(lenb(SUBSTITUTE($Z479,W$1&amp;" (5)",""))&lt;lenb($Z479),5,IF(lenb(SUBSTITUTE($Z479,W$1&amp;" (6)",""))&lt;lenb($Z479),6,IF(lenb(SUBSTITUTE($Z479,W$1&amp;" (7)",""))&lt;lenb($Z479),1,IF(lenb(SUBSTITUTE($Z479,W$1&amp;" (8)",""))&lt;lenb($Z479),8,IF(lenb(SUBSTITUTE($Z479,W$1&amp;" (9)",""))&lt;lenb($Z479),9,IF(lenb(SUBSTITUTE($Z479,W$1&amp;" (10)",""))&lt;lenb($Z479),10,IF(lenb(SUBSTITUTE($Z479,W$1,""))&lt;lenb($Z479),"ERROR",IF($Z479=$Y$1,"-",0))))))))))))</f>
        <v>0</v>
      </c>
      <c r="X479" s="116">
        <f t="shared" si="484"/>
        <v>0</v>
      </c>
      <c r="Y479" s="116" t="str">
        <f t="shared" si="4"/>
        <v>-</v>
      </c>
      <c r="Z479" s="115" t="s">
        <v>3452</v>
      </c>
      <c r="AA479" s="54">
        <f t="shared" si="5"/>
        <v>2</v>
      </c>
      <c r="AB479" s="54">
        <f>COUNTIFS(Links!B:B,"FSE",Links!C:C,A479,Links!AD:AD,1)</f>
        <v>0</v>
      </c>
      <c r="AC479" s="117" t="s">
        <v>37</v>
      </c>
      <c r="AD479" s="118" t="s">
        <v>35</v>
      </c>
      <c r="AE479" s="115" t="s">
        <v>36</v>
      </c>
      <c r="AF479" s="57" t="s">
        <v>42</v>
      </c>
      <c r="AG479" s="57" t="s">
        <v>42</v>
      </c>
      <c r="AH479" s="57" t="s">
        <v>42</v>
      </c>
      <c r="AI479" s="116" t="str">
        <f t="shared" si="6"/>
        <v>----</v>
      </c>
      <c r="AJ479" s="119" t="str">
        <f t="shared" si="7"/>
        <v>Paper has link but no statement</v>
      </c>
      <c r="AK479" s="120" t="s">
        <v>3401</v>
      </c>
      <c r="AL479" s="121" t="s">
        <v>3402</v>
      </c>
      <c r="AM479" s="60" t="str">
        <f t="shared" si="8"/>
        <v>[FP0385]</v>
      </c>
    </row>
    <row r="480" ht="67.5" customHeight="1">
      <c r="A480" s="61">
        <v>386.0</v>
      </c>
      <c r="B480" s="22" t="s">
        <v>4641</v>
      </c>
      <c r="C480" s="23">
        <v>2020.0</v>
      </c>
      <c r="D480" s="100" t="s">
        <v>35</v>
      </c>
      <c r="E480" s="25" t="s">
        <v>36</v>
      </c>
      <c r="F480" s="25" t="s">
        <v>36</v>
      </c>
      <c r="G480" s="25" t="s">
        <v>36</v>
      </c>
      <c r="H480" s="25" t="s">
        <v>36</v>
      </c>
      <c r="I480" s="25" t="s">
        <v>36</v>
      </c>
      <c r="J480" s="101" t="s">
        <v>36</v>
      </c>
      <c r="K480" s="102" t="s">
        <v>37</v>
      </c>
      <c r="L480" s="103" t="s">
        <v>35</v>
      </c>
      <c r="M480" s="103" t="s">
        <v>37</v>
      </c>
      <c r="N480" s="103" t="s">
        <v>37</v>
      </c>
      <c r="O480" s="103" t="s">
        <v>35</v>
      </c>
      <c r="P480" s="103" t="s">
        <v>35</v>
      </c>
      <c r="Q480" s="103" t="s">
        <v>35</v>
      </c>
      <c r="R480" s="103" t="s">
        <v>35</v>
      </c>
      <c r="S480" s="104" t="s">
        <v>4642</v>
      </c>
      <c r="T480" s="30" t="s">
        <v>4643</v>
      </c>
      <c r="U480" s="30" t="s">
        <v>4643</v>
      </c>
      <c r="V480" s="105">
        <f t="shared" si="2"/>
        <v>1</v>
      </c>
      <c r="W480" s="105">
        <f t="shared" ref="W480:X480" si="485">IF(lenb(SUBSTITUTE($Z480,W$1&amp;" (1)",""))&lt;lenb($Z480),1,IF(lenb(SUBSTITUTE($Z480,W$1&amp;" (2)",""))&lt;lenb($Z480),2,IF(lenb(SUBSTITUTE($Z480,W$1&amp;" (3)",""))&lt;lenb($Z480),3,IF(lenb(SUBSTITUTE($Z480,W$1&amp;" (4)",""))&lt;lenb($Z480),4,IF(lenb(SUBSTITUTE($Z480,W$1&amp;" (5)",""))&lt;lenb($Z480),5,IF(lenb(SUBSTITUTE($Z480,W$1&amp;" (6)",""))&lt;lenb($Z480),6,IF(lenb(SUBSTITUTE($Z480,W$1&amp;" (7)",""))&lt;lenb($Z480),1,IF(lenb(SUBSTITUTE($Z480,W$1&amp;" (8)",""))&lt;lenb($Z480),8,IF(lenb(SUBSTITUTE($Z480,W$1&amp;" (9)",""))&lt;lenb($Z480),9,IF(lenb(SUBSTITUTE($Z480,W$1&amp;" (10)",""))&lt;lenb($Z480),10,IF(lenb(SUBSTITUTE($Z480,W$1,""))&lt;lenb($Z480),"ERROR",IF($Z480=$Y$1,"-",0))))))))))))</f>
        <v>0</v>
      </c>
      <c r="X480" s="105">
        <f t="shared" si="485"/>
        <v>0</v>
      </c>
      <c r="Y480" s="105" t="str">
        <f t="shared" si="4"/>
        <v>-</v>
      </c>
      <c r="Z480" s="104" t="s">
        <v>3400</v>
      </c>
      <c r="AA480" s="34">
        <f t="shared" si="5"/>
        <v>1</v>
      </c>
      <c r="AB480" s="34">
        <f>COUNTIFS(Links!B:B,"FSE",Links!C:C,A480,Links!AD:AD,1)</f>
        <v>0</v>
      </c>
      <c r="AC480" s="106" t="s">
        <v>35</v>
      </c>
      <c r="AD480" s="107" t="s">
        <v>35</v>
      </c>
      <c r="AE480" s="104" t="s">
        <v>36</v>
      </c>
      <c r="AF480" s="37" t="s">
        <v>42</v>
      </c>
      <c r="AG480" s="37" t="s">
        <v>42</v>
      </c>
      <c r="AH480" s="37" t="s">
        <v>42</v>
      </c>
      <c r="AI480" s="105" t="str">
        <f t="shared" si="6"/>
        <v>----</v>
      </c>
      <c r="AJ480" s="108" t="str">
        <f t="shared" si="7"/>
        <v>Paper has link but no statement</v>
      </c>
      <c r="AK480" s="109" t="s">
        <v>3401</v>
      </c>
      <c r="AL480" s="110" t="s">
        <v>3402</v>
      </c>
      <c r="AM480" s="40" t="str">
        <f t="shared" si="8"/>
        <v>[FP0386]</v>
      </c>
    </row>
    <row r="481" ht="67.5" customHeight="1">
      <c r="A481" s="41">
        <v>387.0</v>
      </c>
      <c r="B481" s="42" t="s">
        <v>4644</v>
      </c>
      <c r="C481" s="43">
        <v>2020.0</v>
      </c>
      <c r="D481" s="111" t="s">
        <v>37</v>
      </c>
      <c r="E481" s="45" t="s">
        <v>37</v>
      </c>
      <c r="F481" s="45" t="s">
        <v>37</v>
      </c>
      <c r="G481" s="45" t="s">
        <v>37</v>
      </c>
      <c r="H481" s="45" t="s">
        <v>35</v>
      </c>
      <c r="I481" s="45" t="s">
        <v>35</v>
      </c>
      <c r="J481" s="112" t="s">
        <v>36</v>
      </c>
      <c r="K481" s="113" t="s">
        <v>37</v>
      </c>
      <c r="L481" s="114" t="s">
        <v>37</v>
      </c>
      <c r="M481" s="114" t="s">
        <v>35</v>
      </c>
      <c r="N481" s="114" t="s">
        <v>37</v>
      </c>
      <c r="O481" s="114" t="s">
        <v>35</v>
      </c>
      <c r="P481" s="114" t="s">
        <v>35</v>
      </c>
      <c r="Q481" s="114" t="s">
        <v>35</v>
      </c>
      <c r="R481" s="114" t="s">
        <v>35</v>
      </c>
      <c r="S481" s="115" t="s">
        <v>4645</v>
      </c>
      <c r="T481" s="50" t="s">
        <v>4646</v>
      </c>
      <c r="U481" s="50" t="s">
        <v>4646</v>
      </c>
      <c r="V481" s="116">
        <f t="shared" si="2"/>
        <v>1</v>
      </c>
      <c r="W481" s="116">
        <f t="shared" ref="W481:X481" si="486">IF(lenb(SUBSTITUTE($Z481,W$1&amp;" (1)",""))&lt;lenb($Z481),1,IF(lenb(SUBSTITUTE($Z481,W$1&amp;" (2)",""))&lt;lenb($Z481),2,IF(lenb(SUBSTITUTE($Z481,W$1&amp;" (3)",""))&lt;lenb($Z481),3,IF(lenb(SUBSTITUTE($Z481,W$1&amp;" (4)",""))&lt;lenb($Z481),4,IF(lenb(SUBSTITUTE($Z481,W$1&amp;" (5)",""))&lt;lenb($Z481),5,IF(lenb(SUBSTITUTE($Z481,W$1&amp;" (6)",""))&lt;lenb($Z481),6,IF(lenb(SUBSTITUTE($Z481,W$1&amp;" (7)",""))&lt;lenb($Z481),1,IF(lenb(SUBSTITUTE($Z481,W$1&amp;" (8)",""))&lt;lenb($Z481),8,IF(lenb(SUBSTITUTE($Z481,W$1&amp;" (9)",""))&lt;lenb($Z481),9,IF(lenb(SUBSTITUTE($Z481,W$1&amp;" (10)",""))&lt;lenb($Z481),10,IF(lenb(SUBSTITUTE($Z481,W$1,""))&lt;lenb($Z481),"ERROR",IF($Z481=$Y$1,"-",0))))))))))))</f>
        <v>0</v>
      </c>
      <c r="X481" s="116">
        <f t="shared" si="486"/>
        <v>0</v>
      </c>
      <c r="Y481" s="116" t="str">
        <f t="shared" si="4"/>
        <v>-</v>
      </c>
      <c r="Z481" s="115" t="s">
        <v>3400</v>
      </c>
      <c r="AA481" s="54">
        <f t="shared" si="5"/>
        <v>1</v>
      </c>
      <c r="AB481" s="54">
        <f>COUNTIFS(Links!B:B,"FSE",Links!C:C,A481,Links!AD:AD,1)</f>
        <v>0</v>
      </c>
      <c r="AC481" s="117" t="s">
        <v>35</v>
      </c>
      <c r="AD481" s="118" t="s">
        <v>35</v>
      </c>
      <c r="AE481" s="115" t="s">
        <v>36</v>
      </c>
      <c r="AF481" s="57" t="s">
        <v>42</v>
      </c>
      <c r="AG481" s="57" t="s">
        <v>42</v>
      </c>
      <c r="AH481" s="57" t="s">
        <v>42</v>
      </c>
      <c r="AI481" s="116" t="str">
        <f t="shared" si="6"/>
        <v>----</v>
      </c>
      <c r="AJ481" s="119" t="str">
        <f t="shared" si="7"/>
        <v>Paper has link but no statement</v>
      </c>
      <c r="AK481" s="120" t="s">
        <v>3401</v>
      </c>
      <c r="AL481" s="121" t="s">
        <v>3402</v>
      </c>
      <c r="AM481" s="60" t="str">
        <f t="shared" si="8"/>
        <v>[FP0387]</v>
      </c>
    </row>
    <row r="482" ht="67.5" customHeight="1">
      <c r="A482" s="61">
        <v>388.0</v>
      </c>
      <c r="B482" s="22" t="s">
        <v>4647</v>
      </c>
      <c r="C482" s="23">
        <v>2020.0</v>
      </c>
      <c r="D482" s="100" t="s">
        <v>37</v>
      </c>
      <c r="E482" s="25" t="s">
        <v>37</v>
      </c>
      <c r="F482" s="25" t="s">
        <v>37</v>
      </c>
      <c r="G482" s="25" t="s">
        <v>37</v>
      </c>
      <c r="H482" s="25" t="s">
        <v>35</v>
      </c>
      <c r="I482" s="25" t="s">
        <v>35</v>
      </c>
      <c r="J482" s="101" t="s">
        <v>36</v>
      </c>
      <c r="K482" s="102" t="s">
        <v>37</v>
      </c>
      <c r="L482" s="103" t="s">
        <v>35</v>
      </c>
      <c r="M482" s="103" t="s">
        <v>37</v>
      </c>
      <c r="N482" s="103" t="s">
        <v>35</v>
      </c>
      <c r="O482" s="103" t="s">
        <v>35</v>
      </c>
      <c r="P482" s="103" t="s">
        <v>35</v>
      </c>
      <c r="Q482" s="103" t="s">
        <v>35</v>
      </c>
      <c r="R482" s="103" t="s">
        <v>37</v>
      </c>
      <c r="S482" s="104" t="s">
        <v>4648</v>
      </c>
      <c r="T482" s="30" t="s">
        <v>4649</v>
      </c>
      <c r="U482" s="30" t="s">
        <v>4649</v>
      </c>
      <c r="V482" s="105">
        <f t="shared" si="2"/>
        <v>2</v>
      </c>
      <c r="W482" s="105">
        <f t="shared" ref="W482:X482" si="487">IF(lenb(SUBSTITUTE($Z482,W$1&amp;" (1)",""))&lt;lenb($Z482),1,IF(lenb(SUBSTITUTE($Z482,W$1&amp;" (2)",""))&lt;lenb($Z482),2,IF(lenb(SUBSTITUTE($Z482,W$1&amp;" (3)",""))&lt;lenb($Z482),3,IF(lenb(SUBSTITUTE($Z482,W$1&amp;" (4)",""))&lt;lenb($Z482),4,IF(lenb(SUBSTITUTE($Z482,W$1&amp;" (5)",""))&lt;lenb($Z482),5,IF(lenb(SUBSTITUTE($Z482,W$1&amp;" (6)",""))&lt;lenb($Z482),6,IF(lenb(SUBSTITUTE($Z482,W$1&amp;" (7)",""))&lt;lenb($Z482),1,IF(lenb(SUBSTITUTE($Z482,W$1&amp;" (8)",""))&lt;lenb($Z482),8,IF(lenb(SUBSTITUTE($Z482,W$1&amp;" (9)",""))&lt;lenb($Z482),9,IF(lenb(SUBSTITUTE($Z482,W$1&amp;" (10)",""))&lt;lenb($Z482),10,IF(lenb(SUBSTITUTE($Z482,W$1,""))&lt;lenb($Z482),"ERROR",IF($Z482=$Y$1,"-",0))))))))))))</f>
        <v>0</v>
      </c>
      <c r="X482" s="105">
        <f t="shared" si="487"/>
        <v>0</v>
      </c>
      <c r="Y482" s="105" t="str">
        <f t="shared" si="4"/>
        <v>-</v>
      </c>
      <c r="Z482" s="104" t="s">
        <v>3452</v>
      </c>
      <c r="AA482" s="34">
        <f t="shared" si="5"/>
        <v>2</v>
      </c>
      <c r="AB482" s="34">
        <f>COUNTIFS(Links!B:B,"FSE",Links!C:C,A482,Links!AD:AD,1)</f>
        <v>0</v>
      </c>
      <c r="AC482" s="106" t="s">
        <v>35</v>
      </c>
      <c r="AD482" s="107" t="s">
        <v>35</v>
      </c>
      <c r="AE482" s="104" t="s">
        <v>36</v>
      </c>
      <c r="AF482" s="37" t="s">
        <v>42</v>
      </c>
      <c r="AG482" s="37" t="s">
        <v>42</v>
      </c>
      <c r="AH482" s="37" t="s">
        <v>42</v>
      </c>
      <c r="AI482" s="105" t="str">
        <f t="shared" si="6"/>
        <v>----</v>
      </c>
      <c r="AJ482" s="108" t="str">
        <f t="shared" si="7"/>
        <v>Paper has link but no statement</v>
      </c>
      <c r="AK482" s="109" t="s">
        <v>3401</v>
      </c>
      <c r="AL482" s="110" t="s">
        <v>3402</v>
      </c>
      <c r="AM482" s="40" t="str">
        <f t="shared" si="8"/>
        <v>[FP0388]</v>
      </c>
    </row>
    <row r="483" ht="67.5" customHeight="1">
      <c r="A483" s="41">
        <v>389.0</v>
      </c>
      <c r="B483" s="42" t="s">
        <v>4650</v>
      </c>
      <c r="C483" s="43">
        <v>2020.0</v>
      </c>
      <c r="D483" s="111" t="s">
        <v>37</v>
      </c>
      <c r="E483" s="45" t="s">
        <v>37</v>
      </c>
      <c r="F483" s="45" t="s">
        <v>37</v>
      </c>
      <c r="G483" s="45" t="s">
        <v>37</v>
      </c>
      <c r="H483" s="45" t="s">
        <v>35</v>
      </c>
      <c r="I483" s="45" t="s">
        <v>35</v>
      </c>
      <c r="J483" s="112" t="s">
        <v>36</v>
      </c>
      <c r="K483" s="113" t="s">
        <v>37</v>
      </c>
      <c r="L483" s="114" t="s">
        <v>35</v>
      </c>
      <c r="M483" s="114" t="s">
        <v>37</v>
      </c>
      <c r="N483" s="114" t="s">
        <v>35</v>
      </c>
      <c r="O483" s="114" t="s">
        <v>35</v>
      </c>
      <c r="P483" s="114" t="s">
        <v>35</v>
      </c>
      <c r="Q483" s="114" t="s">
        <v>37</v>
      </c>
      <c r="R483" s="114" t="s">
        <v>35</v>
      </c>
      <c r="S483" s="115" t="s">
        <v>4651</v>
      </c>
      <c r="T483" s="50" t="s">
        <v>4652</v>
      </c>
      <c r="U483" s="50" t="s">
        <v>4652</v>
      </c>
      <c r="V483" s="116">
        <f t="shared" si="2"/>
        <v>1</v>
      </c>
      <c r="W483" s="116">
        <f t="shared" ref="W483:X483" si="488">IF(lenb(SUBSTITUTE($Z483,W$1&amp;" (1)",""))&lt;lenb($Z483),1,IF(lenb(SUBSTITUTE($Z483,W$1&amp;" (2)",""))&lt;lenb($Z483),2,IF(lenb(SUBSTITUTE($Z483,W$1&amp;" (3)",""))&lt;lenb($Z483),3,IF(lenb(SUBSTITUTE($Z483,W$1&amp;" (4)",""))&lt;lenb($Z483),4,IF(lenb(SUBSTITUTE($Z483,W$1&amp;" (5)",""))&lt;lenb($Z483),5,IF(lenb(SUBSTITUTE($Z483,W$1&amp;" (6)",""))&lt;lenb($Z483),6,IF(lenb(SUBSTITUTE($Z483,W$1&amp;" (7)",""))&lt;lenb($Z483),1,IF(lenb(SUBSTITUTE($Z483,W$1&amp;" (8)",""))&lt;lenb($Z483),8,IF(lenb(SUBSTITUTE($Z483,W$1&amp;" (9)",""))&lt;lenb($Z483),9,IF(lenb(SUBSTITUTE($Z483,W$1&amp;" (10)",""))&lt;lenb($Z483),10,IF(lenb(SUBSTITUTE($Z483,W$1,""))&lt;lenb($Z483),"ERROR",IF($Z483=$Y$1,"-",0))))))))))))</f>
        <v>0</v>
      </c>
      <c r="X483" s="116">
        <f t="shared" si="488"/>
        <v>0</v>
      </c>
      <c r="Y483" s="116" t="str">
        <f t="shared" si="4"/>
        <v>-</v>
      </c>
      <c r="Z483" s="115" t="s">
        <v>3400</v>
      </c>
      <c r="AA483" s="54">
        <f t="shared" si="5"/>
        <v>1</v>
      </c>
      <c r="AB483" s="54">
        <f>COUNTIFS(Links!B:B,"FSE",Links!C:C,A483,Links!AD:AD,1)</f>
        <v>0</v>
      </c>
      <c r="AC483" s="117" t="s">
        <v>35</v>
      </c>
      <c r="AD483" s="118" t="s">
        <v>35</v>
      </c>
      <c r="AE483" s="115" t="s">
        <v>36</v>
      </c>
      <c r="AF483" s="57" t="s">
        <v>42</v>
      </c>
      <c r="AG483" s="57" t="s">
        <v>42</v>
      </c>
      <c r="AH483" s="57" t="s">
        <v>42</v>
      </c>
      <c r="AI483" s="116" t="str">
        <f t="shared" si="6"/>
        <v>----</v>
      </c>
      <c r="AJ483" s="119" t="str">
        <f t="shared" si="7"/>
        <v>Paper has link but no statement</v>
      </c>
      <c r="AK483" s="120" t="s">
        <v>3401</v>
      </c>
      <c r="AL483" s="121" t="s">
        <v>3402</v>
      </c>
      <c r="AM483" s="60" t="str">
        <f t="shared" si="8"/>
        <v>[FP0389]</v>
      </c>
    </row>
    <row r="484" ht="67.5" customHeight="1">
      <c r="A484" s="61">
        <v>390.0</v>
      </c>
      <c r="B484" s="22" t="s">
        <v>4653</v>
      </c>
      <c r="C484" s="23">
        <v>2020.0</v>
      </c>
      <c r="D484" s="100" t="s">
        <v>35</v>
      </c>
      <c r="E484" s="25" t="s">
        <v>36</v>
      </c>
      <c r="F484" s="25" t="s">
        <v>36</v>
      </c>
      <c r="G484" s="25" t="s">
        <v>36</v>
      </c>
      <c r="H484" s="25" t="s">
        <v>36</v>
      </c>
      <c r="I484" s="25" t="s">
        <v>36</v>
      </c>
      <c r="J484" s="101" t="s">
        <v>36</v>
      </c>
      <c r="K484" s="102" t="s">
        <v>37</v>
      </c>
      <c r="L484" s="103" t="s">
        <v>37</v>
      </c>
      <c r="M484" s="103" t="s">
        <v>37</v>
      </c>
      <c r="N484" s="103" t="s">
        <v>35</v>
      </c>
      <c r="O484" s="103" t="s">
        <v>35</v>
      </c>
      <c r="P484" s="103" t="s">
        <v>35</v>
      </c>
      <c r="Q484" s="103" t="s">
        <v>35</v>
      </c>
      <c r="R484" s="103" t="s">
        <v>37</v>
      </c>
      <c r="S484" s="104" t="s">
        <v>4654</v>
      </c>
      <c r="T484" s="30" t="s">
        <v>4655</v>
      </c>
      <c r="U484" s="30" t="s">
        <v>4655</v>
      </c>
      <c r="V484" s="105">
        <f t="shared" si="2"/>
        <v>2</v>
      </c>
      <c r="W484" s="105">
        <f t="shared" ref="W484:X484" si="489">IF(lenb(SUBSTITUTE($Z484,W$1&amp;" (1)",""))&lt;lenb($Z484),1,IF(lenb(SUBSTITUTE($Z484,W$1&amp;" (2)",""))&lt;lenb($Z484),2,IF(lenb(SUBSTITUTE($Z484,W$1&amp;" (3)",""))&lt;lenb($Z484),3,IF(lenb(SUBSTITUTE($Z484,W$1&amp;" (4)",""))&lt;lenb($Z484),4,IF(lenb(SUBSTITUTE($Z484,W$1&amp;" (5)",""))&lt;lenb($Z484),5,IF(lenb(SUBSTITUTE($Z484,W$1&amp;" (6)",""))&lt;lenb($Z484),6,IF(lenb(SUBSTITUTE($Z484,W$1&amp;" (7)",""))&lt;lenb($Z484),1,IF(lenb(SUBSTITUTE($Z484,W$1&amp;" (8)",""))&lt;lenb($Z484),8,IF(lenb(SUBSTITUTE($Z484,W$1&amp;" (9)",""))&lt;lenb($Z484),9,IF(lenb(SUBSTITUTE($Z484,W$1&amp;" (10)",""))&lt;lenb($Z484),10,IF(lenb(SUBSTITUTE($Z484,W$1,""))&lt;lenb($Z484),"ERROR",IF($Z484=$Y$1,"-",0))))))))))))</f>
        <v>0</v>
      </c>
      <c r="X484" s="105">
        <f t="shared" si="489"/>
        <v>0</v>
      </c>
      <c r="Y484" s="105" t="str">
        <f t="shared" si="4"/>
        <v>-</v>
      </c>
      <c r="Z484" s="104" t="s">
        <v>3452</v>
      </c>
      <c r="AA484" s="34">
        <f t="shared" si="5"/>
        <v>2</v>
      </c>
      <c r="AB484" s="34">
        <f>COUNTIFS(Links!B:B,"FSE",Links!C:C,A484,Links!AD:AD,1)</f>
        <v>0</v>
      </c>
      <c r="AC484" s="106" t="s">
        <v>37</v>
      </c>
      <c r="AD484" s="107" t="s">
        <v>35</v>
      </c>
      <c r="AE484" s="104" t="s">
        <v>36</v>
      </c>
      <c r="AF484" s="37" t="s">
        <v>42</v>
      </c>
      <c r="AG484" s="37" t="s">
        <v>42</v>
      </c>
      <c r="AH484" s="37" t="s">
        <v>42</v>
      </c>
      <c r="AI484" s="105" t="str">
        <f t="shared" si="6"/>
        <v>----</v>
      </c>
      <c r="AJ484" s="108" t="str">
        <f t="shared" si="7"/>
        <v>Paper has link but no statement</v>
      </c>
      <c r="AK484" s="109" t="s">
        <v>3401</v>
      </c>
      <c r="AL484" s="110" t="s">
        <v>3402</v>
      </c>
      <c r="AM484" s="40" t="str">
        <f t="shared" si="8"/>
        <v>[FP0390]</v>
      </c>
    </row>
    <row r="485" ht="67.5" customHeight="1">
      <c r="A485" s="41">
        <v>391.0</v>
      </c>
      <c r="B485" s="42" t="s">
        <v>4656</v>
      </c>
      <c r="C485" s="43">
        <v>2020.0</v>
      </c>
      <c r="D485" s="111" t="s">
        <v>35</v>
      </c>
      <c r="E485" s="45" t="s">
        <v>36</v>
      </c>
      <c r="F485" s="45" t="s">
        <v>36</v>
      </c>
      <c r="G485" s="45" t="s">
        <v>36</v>
      </c>
      <c r="H485" s="45" t="s">
        <v>36</v>
      </c>
      <c r="I485" s="45" t="s">
        <v>36</v>
      </c>
      <c r="J485" s="112" t="s">
        <v>36</v>
      </c>
      <c r="K485" s="113" t="s">
        <v>37</v>
      </c>
      <c r="L485" s="114" t="s">
        <v>37</v>
      </c>
      <c r="M485" s="114" t="s">
        <v>37</v>
      </c>
      <c r="N485" s="114" t="s">
        <v>37</v>
      </c>
      <c r="O485" s="114" t="s">
        <v>35</v>
      </c>
      <c r="P485" s="114" t="s">
        <v>35</v>
      </c>
      <c r="Q485" s="114" t="s">
        <v>35</v>
      </c>
      <c r="R485" s="114" t="s">
        <v>35</v>
      </c>
      <c r="S485" s="115" t="s">
        <v>4657</v>
      </c>
      <c r="T485" s="50" t="s">
        <v>4658</v>
      </c>
      <c r="U485" s="50" t="s">
        <v>4658</v>
      </c>
      <c r="V485" s="116">
        <f t="shared" si="2"/>
        <v>1</v>
      </c>
      <c r="W485" s="116">
        <f t="shared" ref="W485:X485" si="490">IF(lenb(SUBSTITUTE($Z485,W$1&amp;" (1)",""))&lt;lenb($Z485),1,IF(lenb(SUBSTITUTE($Z485,W$1&amp;" (2)",""))&lt;lenb($Z485),2,IF(lenb(SUBSTITUTE($Z485,W$1&amp;" (3)",""))&lt;lenb($Z485),3,IF(lenb(SUBSTITUTE($Z485,W$1&amp;" (4)",""))&lt;lenb($Z485),4,IF(lenb(SUBSTITUTE($Z485,W$1&amp;" (5)",""))&lt;lenb($Z485),5,IF(lenb(SUBSTITUTE($Z485,W$1&amp;" (6)",""))&lt;lenb($Z485),6,IF(lenb(SUBSTITUTE($Z485,W$1&amp;" (7)",""))&lt;lenb($Z485),1,IF(lenb(SUBSTITUTE($Z485,W$1&amp;" (8)",""))&lt;lenb($Z485),8,IF(lenb(SUBSTITUTE($Z485,W$1&amp;" (9)",""))&lt;lenb($Z485),9,IF(lenb(SUBSTITUTE($Z485,W$1&amp;" (10)",""))&lt;lenb($Z485),10,IF(lenb(SUBSTITUTE($Z485,W$1,""))&lt;lenb($Z485),"ERROR",IF($Z485=$Y$1,"-",0))))))))))))</f>
        <v>0</v>
      </c>
      <c r="X485" s="116">
        <f t="shared" si="490"/>
        <v>0</v>
      </c>
      <c r="Y485" s="116" t="str">
        <f t="shared" si="4"/>
        <v>-</v>
      </c>
      <c r="Z485" s="115" t="s">
        <v>3400</v>
      </c>
      <c r="AA485" s="54">
        <f t="shared" si="5"/>
        <v>1</v>
      </c>
      <c r="AB485" s="54">
        <f>COUNTIFS(Links!B:B,"FSE",Links!C:C,A485,Links!AD:AD,1)</f>
        <v>0</v>
      </c>
      <c r="AC485" s="117" t="s">
        <v>35</v>
      </c>
      <c r="AD485" s="118" t="s">
        <v>35</v>
      </c>
      <c r="AE485" s="115" t="s">
        <v>36</v>
      </c>
      <c r="AF485" s="57" t="s">
        <v>42</v>
      </c>
      <c r="AG485" s="57" t="s">
        <v>42</v>
      </c>
      <c r="AH485" s="57" t="s">
        <v>42</v>
      </c>
      <c r="AI485" s="116" t="str">
        <f t="shared" si="6"/>
        <v>----</v>
      </c>
      <c r="AJ485" s="119" t="str">
        <f t="shared" si="7"/>
        <v>Paper has link but no statement</v>
      </c>
      <c r="AK485" s="120" t="s">
        <v>3401</v>
      </c>
      <c r="AL485" s="121" t="s">
        <v>3402</v>
      </c>
      <c r="AM485" s="60" t="str">
        <f t="shared" si="8"/>
        <v>[FP0391]</v>
      </c>
    </row>
    <row r="486" ht="67.5" customHeight="1">
      <c r="A486" s="61">
        <v>392.0</v>
      </c>
      <c r="B486" s="22" t="s">
        <v>4659</v>
      </c>
      <c r="C486" s="23">
        <v>2020.0</v>
      </c>
      <c r="D486" s="100" t="s">
        <v>37</v>
      </c>
      <c r="E486" s="25" t="s">
        <v>37</v>
      </c>
      <c r="F486" s="25" t="s">
        <v>37</v>
      </c>
      <c r="G486" s="25" t="s">
        <v>37</v>
      </c>
      <c r="H486" s="25" t="s">
        <v>35</v>
      </c>
      <c r="I486" s="25" t="s">
        <v>35</v>
      </c>
      <c r="J486" s="101" t="s">
        <v>36</v>
      </c>
      <c r="K486" s="102" t="s">
        <v>37</v>
      </c>
      <c r="L486" s="103" t="s">
        <v>37</v>
      </c>
      <c r="M486" s="103" t="s">
        <v>35</v>
      </c>
      <c r="N486" s="103" t="s">
        <v>37</v>
      </c>
      <c r="O486" s="103" t="s">
        <v>35</v>
      </c>
      <c r="P486" s="103" t="s">
        <v>35</v>
      </c>
      <c r="Q486" s="103" t="s">
        <v>35</v>
      </c>
      <c r="R486" s="103" t="s">
        <v>37</v>
      </c>
      <c r="S486" s="104" t="s">
        <v>4660</v>
      </c>
      <c r="T486" s="30" t="s">
        <v>4661</v>
      </c>
      <c r="U486" s="30" t="s">
        <v>4661</v>
      </c>
      <c r="V486" s="105">
        <f t="shared" si="2"/>
        <v>2</v>
      </c>
      <c r="W486" s="105">
        <f t="shared" ref="W486:X486" si="491">IF(lenb(SUBSTITUTE($Z486,W$1&amp;" (1)",""))&lt;lenb($Z486),1,IF(lenb(SUBSTITUTE($Z486,W$1&amp;" (2)",""))&lt;lenb($Z486),2,IF(lenb(SUBSTITUTE($Z486,W$1&amp;" (3)",""))&lt;lenb($Z486),3,IF(lenb(SUBSTITUTE($Z486,W$1&amp;" (4)",""))&lt;lenb($Z486),4,IF(lenb(SUBSTITUTE($Z486,W$1&amp;" (5)",""))&lt;lenb($Z486),5,IF(lenb(SUBSTITUTE($Z486,W$1&amp;" (6)",""))&lt;lenb($Z486),6,IF(lenb(SUBSTITUTE($Z486,W$1&amp;" (7)",""))&lt;lenb($Z486),1,IF(lenb(SUBSTITUTE($Z486,W$1&amp;" (8)",""))&lt;lenb($Z486),8,IF(lenb(SUBSTITUTE($Z486,W$1&amp;" (9)",""))&lt;lenb($Z486),9,IF(lenb(SUBSTITUTE($Z486,W$1&amp;" (10)",""))&lt;lenb($Z486),10,IF(lenb(SUBSTITUTE($Z486,W$1,""))&lt;lenb($Z486),"ERROR",IF($Z486=$Y$1,"-",0))))))))))))</f>
        <v>0</v>
      </c>
      <c r="X486" s="105">
        <f t="shared" si="491"/>
        <v>0</v>
      </c>
      <c r="Y486" s="105" t="str">
        <f t="shared" si="4"/>
        <v>-</v>
      </c>
      <c r="Z486" s="104" t="s">
        <v>3452</v>
      </c>
      <c r="AA486" s="34">
        <f t="shared" si="5"/>
        <v>2</v>
      </c>
      <c r="AB486" s="34">
        <f>COUNTIFS(Links!B:B,"FSE",Links!C:C,A486,Links!AD:AD,1)</f>
        <v>0</v>
      </c>
      <c r="AC486" s="106" t="s">
        <v>37</v>
      </c>
      <c r="AD486" s="107" t="s">
        <v>35</v>
      </c>
      <c r="AE486" s="104" t="s">
        <v>36</v>
      </c>
      <c r="AF486" s="37" t="s">
        <v>42</v>
      </c>
      <c r="AG486" s="37" t="s">
        <v>42</v>
      </c>
      <c r="AH486" s="37" t="s">
        <v>42</v>
      </c>
      <c r="AI486" s="105" t="str">
        <f t="shared" si="6"/>
        <v>----</v>
      </c>
      <c r="AJ486" s="108" t="str">
        <f t="shared" si="7"/>
        <v>Paper has link but no statement</v>
      </c>
      <c r="AK486" s="109" t="s">
        <v>3401</v>
      </c>
      <c r="AL486" s="110" t="s">
        <v>3402</v>
      </c>
      <c r="AM486" s="40" t="str">
        <f t="shared" si="8"/>
        <v>[FP0392]</v>
      </c>
    </row>
    <row r="487" ht="67.5" customHeight="1">
      <c r="A487" s="41">
        <v>393.0</v>
      </c>
      <c r="B487" s="42" t="s">
        <v>4662</v>
      </c>
      <c r="C487" s="43">
        <v>2020.0</v>
      </c>
      <c r="D487" s="111" t="s">
        <v>37</v>
      </c>
      <c r="E487" s="45" t="s">
        <v>37</v>
      </c>
      <c r="F487" s="45" t="s">
        <v>35</v>
      </c>
      <c r="G487" s="45" t="s">
        <v>35</v>
      </c>
      <c r="H487" s="45" t="s">
        <v>35</v>
      </c>
      <c r="I487" s="45" t="s">
        <v>35</v>
      </c>
      <c r="J487" s="112" t="s">
        <v>36</v>
      </c>
      <c r="K487" s="113" t="s">
        <v>35</v>
      </c>
      <c r="L487" s="114" t="s">
        <v>36</v>
      </c>
      <c r="M487" s="114" t="s">
        <v>36</v>
      </c>
      <c r="N487" s="114" t="s">
        <v>36</v>
      </c>
      <c r="O487" s="114" t="s">
        <v>36</v>
      </c>
      <c r="P487" s="114" t="s">
        <v>36</v>
      </c>
      <c r="Q487" s="114" t="s">
        <v>36</v>
      </c>
      <c r="R487" s="114" t="s">
        <v>36</v>
      </c>
      <c r="S487" s="115" t="s">
        <v>42</v>
      </c>
      <c r="T487" s="50" t="s">
        <v>36</v>
      </c>
      <c r="U487" s="50" t="s">
        <v>36</v>
      </c>
      <c r="V487" s="116" t="str">
        <f t="shared" si="2"/>
        <v>-</v>
      </c>
      <c r="W487" s="116" t="str">
        <f t="shared" ref="W487:X487" si="492">IF(lenb(SUBSTITUTE($Z487,W$1&amp;" (1)",""))&lt;lenb($Z487),1,IF(lenb(SUBSTITUTE($Z487,W$1&amp;" (2)",""))&lt;lenb($Z487),2,IF(lenb(SUBSTITUTE($Z487,W$1&amp;" (3)",""))&lt;lenb($Z487),3,IF(lenb(SUBSTITUTE($Z487,W$1&amp;" (4)",""))&lt;lenb($Z487),4,IF(lenb(SUBSTITUTE($Z487,W$1&amp;" (5)",""))&lt;lenb($Z487),5,IF(lenb(SUBSTITUTE($Z487,W$1&amp;" (6)",""))&lt;lenb($Z487),6,IF(lenb(SUBSTITUTE($Z487,W$1&amp;" (7)",""))&lt;lenb($Z487),1,IF(lenb(SUBSTITUTE($Z487,W$1&amp;" (8)",""))&lt;lenb($Z487),8,IF(lenb(SUBSTITUTE($Z487,W$1&amp;" (9)",""))&lt;lenb($Z487),9,IF(lenb(SUBSTITUTE($Z487,W$1&amp;" (10)",""))&lt;lenb($Z487),10,IF(lenb(SUBSTITUTE($Z487,W$1,""))&lt;lenb($Z487),"ERROR",IF($Z487=$Y$1,"-",0))))))))))))</f>
        <v>-</v>
      </c>
      <c r="X487" s="116" t="str">
        <f t="shared" si="492"/>
        <v>-</v>
      </c>
      <c r="Y487" s="116">
        <f t="shared" si="4"/>
        <v>1</v>
      </c>
      <c r="Z487" s="115" t="s">
        <v>23</v>
      </c>
      <c r="AA487" s="54">
        <f t="shared" si="5"/>
        <v>0</v>
      </c>
      <c r="AB487" s="54">
        <f>COUNTIFS(Links!B:B,"FSE",Links!C:C,A487,Links!AD:AD,1)</f>
        <v>0</v>
      </c>
      <c r="AC487" s="117" t="s">
        <v>36</v>
      </c>
      <c r="AD487" s="118" t="s">
        <v>37</v>
      </c>
      <c r="AE487" s="129" t="s">
        <v>4663</v>
      </c>
      <c r="AF487" s="115" t="s">
        <v>146</v>
      </c>
      <c r="AG487" s="57" t="s">
        <v>42</v>
      </c>
      <c r="AH487" s="57" t="s">
        <v>42</v>
      </c>
      <c r="AI487" s="116" t="str">
        <f t="shared" si="6"/>
        <v>Future plans (—)</v>
      </c>
      <c r="AJ487" s="119" t="str">
        <f t="shared" si="7"/>
        <v>Paper has no link but has statement</v>
      </c>
      <c r="AK487" s="120" t="s">
        <v>3401</v>
      </c>
      <c r="AL487" s="121" t="s">
        <v>3402</v>
      </c>
      <c r="AM487" s="60" t="str">
        <f t="shared" si="8"/>
        <v>[FP0393]</v>
      </c>
    </row>
    <row r="488" ht="67.5" customHeight="1">
      <c r="A488" s="61">
        <v>394.0</v>
      </c>
      <c r="B488" s="22" t="s">
        <v>4664</v>
      </c>
      <c r="C488" s="23">
        <v>2020.0</v>
      </c>
      <c r="D488" s="100" t="s">
        <v>37</v>
      </c>
      <c r="E488" s="25" t="s">
        <v>37</v>
      </c>
      <c r="F488" s="25" t="s">
        <v>37</v>
      </c>
      <c r="G488" s="25" t="s">
        <v>37</v>
      </c>
      <c r="H488" s="25" t="s">
        <v>35</v>
      </c>
      <c r="I488" s="25" t="s">
        <v>35</v>
      </c>
      <c r="J488" s="101" t="s">
        <v>36</v>
      </c>
      <c r="K488" s="102" t="s">
        <v>37</v>
      </c>
      <c r="L488" s="103" t="s">
        <v>35</v>
      </c>
      <c r="M488" s="103" t="s">
        <v>35</v>
      </c>
      <c r="N488" s="103" t="s">
        <v>37</v>
      </c>
      <c r="O488" s="103" t="s">
        <v>37</v>
      </c>
      <c r="P488" s="103" t="s">
        <v>35</v>
      </c>
      <c r="Q488" s="103" t="s">
        <v>35</v>
      </c>
      <c r="R488" s="103" t="s">
        <v>35</v>
      </c>
      <c r="S488" s="136" t="s">
        <v>4665</v>
      </c>
      <c r="T488" s="30" t="s">
        <v>4666</v>
      </c>
      <c r="U488" s="30" t="s">
        <v>4666</v>
      </c>
      <c r="V488" s="105">
        <f t="shared" si="2"/>
        <v>1</v>
      </c>
      <c r="W488" s="105">
        <f t="shared" ref="W488:X488" si="493">IF(lenb(SUBSTITUTE($Z488,W$1&amp;" (1)",""))&lt;lenb($Z488),1,IF(lenb(SUBSTITUTE($Z488,W$1&amp;" (2)",""))&lt;lenb($Z488),2,IF(lenb(SUBSTITUTE($Z488,W$1&amp;" (3)",""))&lt;lenb($Z488),3,IF(lenb(SUBSTITUTE($Z488,W$1&amp;" (4)",""))&lt;lenb($Z488),4,IF(lenb(SUBSTITUTE($Z488,W$1&amp;" (5)",""))&lt;lenb($Z488),5,IF(lenb(SUBSTITUTE($Z488,W$1&amp;" (6)",""))&lt;lenb($Z488),6,IF(lenb(SUBSTITUTE($Z488,W$1&amp;" (7)",""))&lt;lenb($Z488),1,IF(lenb(SUBSTITUTE($Z488,W$1&amp;" (8)",""))&lt;lenb($Z488),8,IF(lenb(SUBSTITUTE($Z488,W$1&amp;" (9)",""))&lt;lenb($Z488),9,IF(lenb(SUBSTITUTE($Z488,W$1&amp;" (10)",""))&lt;lenb($Z488),10,IF(lenb(SUBSTITUTE($Z488,W$1,""))&lt;lenb($Z488),"ERROR",IF($Z488=$Y$1,"-",0))))))))))))</f>
        <v>0</v>
      </c>
      <c r="X488" s="105">
        <f t="shared" si="493"/>
        <v>0</v>
      </c>
      <c r="Y488" s="105" t="str">
        <f t="shared" si="4"/>
        <v>-</v>
      </c>
      <c r="Z488" s="104" t="s">
        <v>3400</v>
      </c>
      <c r="AA488" s="34">
        <f t="shared" si="5"/>
        <v>1</v>
      </c>
      <c r="AB488" s="34">
        <f>COUNTIFS(Links!B:B,"FSE",Links!C:C,A488,Links!AD:AD,1)</f>
        <v>0</v>
      </c>
      <c r="AC488" s="106" t="s">
        <v>37</v>
      </c>
      <c r="AD488" s="107" t="s">
        <v>35</v>
      </c>
      <c r="AE488" s="104" t="s">
        <v>36</v>
      </c>
      <c r="AF488" s="37" t="s">
        <v>42</v>
      </c>
      <c r="AG488" s="37" t="s">
        <v>42</v>
      </c>
      <c r="AH488" s="37" t="s">
        <v>42</v>
      </c>
      <c r="AI488" s="105" t="str">
        <f t="shared" si="6"/>
        <v>----</v>
      </c>
      <c r="AJ488" s="108" t="str">
        <f t="shared" si="7"/>
        <v>Paper has link but no statement</v>
      </c>
      <c r="AK488" s="109" t="s">
        <v>3401</v>
      </c>
      <c r="AL488" s="110" t="s">
        <v>3402</v>
      </c>
      <c r="AM488" s="40" t="str">
        <f t="shared" si="8"/>
        <v>[FP0394]</v>
      </c>
    </row>
    <row r="489" ht="67.5" customHeight="1">
      <c r="A489" s="41">
        <v>395.0</v>
      </c>
      <c r="B489" s="42" t="s">
        <v>4667</v>
      </c>
      <c r="C489" s="43">
        <v>2020.0</v>
      </c>
      <c r="D489" s="111" t="s">
        <v>35</v>
      </c>
      <c r="E489" s="45" t="s">
        <v>36</v>
      </c>
      <c r="F489" s="45" t="s">
        <v>36</v>
      </c>
      <c r="G489" s="45" t="s">
        <v>36</v>
      </c>
      <c r="H489" s="45" t="s">
        <v>36</v>
      </c>
      <c r="I489" s="45" t="s">
        <v>36</v>
      </c>
      <c r="J489" s="112" t="s">
        <v>36</v>
      </c>
      <c r="K489" s="113" t="s">
        <v>37</v>
      </c>
      <c r="L489" s="114" t="s">
        <v>35</v>
      </c>
      <c r="M489" s="114" t="s">
        <v>37</v>
      </c>
      <c r="N489" s="114" t="s">
        <v>37</v>
      </c>
      <c r="O489" s="114" t="s">
        <v>35</v>
      </c>
      <c r="P489" s="114" t="s">
        <v>35</v>
      </c>
      <c r="Q489" s="114" t="s">
        <v>35</v>
      </c>
      <c r="R489" s="114" t="s">
        <v>37</v>
      </c>
      <c r="S489" s="115" t="s">
        <v>4668</v>
      </c>
      <c r="T489" s="50" t="s">
        <v>4669</v>
      </c>
      <c r="U489" s="50" t="s">
        <v>4669</v>
      </c>
      <c r="V489" s="116">
        <f t="shared" si="2"/>
        <v>1</v>
      </c>
      <c r="W489" s="116">
        <f t="shared" ref="W489:X489" si="494">IF(lenb(SUBSTITUTE($Z489,W$1&amp;" (1)",""))&lt;lenb($Z489),1,IF(lenb(SUBSTITUTE($Z489,W$1&amp;" (2)",""))&lt;lenb($Z489),2,IF(lenb(SUBSTITUTE($Z489,W$1&amp;" (3)",""))&lt;lenb($Z489),3,IF(lenb(SUBSTITUTE($Z489,W$1&amp;" (4)",""))&lt;lenb($Z489),4,IF(lenb(SUBSTITUTE($Z489,W$1&amp;" (5)",""))&lt;lenb($Z489),5,IF(lenb(SUBSTITUTE($Z489,W$1&amp;" (6)",""))&lt;lenb($Z489),6,IF(lenb(SUBSTITUTE($Z489,W$1&amp;" (7)",""))&lt;lenb($Z489),1,IF(lenb(SUBSTITUTE($Z489,W$1&amp;" (8)",""))&lt;lenb($Z489),8,IF(lenb(SUBSTITUTE($Z489,W$1&amp;" (9)",""))&lt;lenb($Z489),9,IF(lenb(SUBSTITUTE($Z489,W$1&amp;" (10)",""))&lt;lenb($Z489),10,IF(lenb(SUBSTITUTE($Z489,W$1,""))&lt;lenb($Z489),"ERROR",IF($Z489=$Y$1,"-",0))))))))))))</f>
        <v>0</v>
      </c>
      <c r="X489" s="116">
        <f t="shared" si="494"/>
        <v>0</v>
      </c>
      <c r="Y489" s="116" t="str">
        <f t="shared" si="4"/>
        <v>-</v>
      </c>
      <c r="Z489" s="115" t="s">
        <v>3400</v>
      </c>
      <c r="AA489" s="54">
        <f t="shared" si="5"/>
        <v>1</v>
      </c>
      <c r="AB489" s="54">
        <f>COUNTIFS(Links!B:B,"FSE",Links!C:C,A489,Links!AD:AD,1)</f>
        <v>0</v>
      </c>
      <c r="AC489" s="117" t="s">
        <v>35</v>
      </c>
      <c r="AD489" s="118" t="s">
        <v>35</v>
      </c>
      <c r="AE489" s="115" t="s">
        <v>36</v>
      </c>
      <c r="AF489" s="57" t="s">
        <v>42</v>
      </c>
      <c r="AG489" s="57" t="s">
        <v>42</v>
      </c>
      <c r="AH489" s="57" t="s">
        <v>42</v>
      </c>
      <c r="AI489" s="116" t="str">
        <f t="shared" si="6"/>
        <v>----</v>
      </c>
      <c r="AJ489" s="119" t="str">
        <f t="shared" si="7"/>
        <v>Paper has link but no statement</v>
      </c>
      <c r="AK489" s="120" t="s">
        <v>3401</v>
      </c>
      <c r="AL489" s="121" t="s">
        <v>3402</v>
      </c>
      <c r="AM489" s="60" t="str">
        <f t="shared" si="8"/>
        <v>[FP0395]</v>
      </c>
    </row>
    <row r="490" ht="67.5" customHeight="1">
      <c r="A490" s="61">
        <v>396.0</v>
      </c>
      <c r="B490" s="22" t="s">
        <v>4670</v>
      </c>
      <c r="C490" s="23">
        <v>2020.0</v>
      </c>
      <c r="D490" s="100" t="s">
        <v>37</v>
      </c>
      <c r="E490" s="25" t="s">
        <v>37</v>
      </c>
      <c r="F490" s="25" t="s">
        <v>37</v>
      </c>
      <c r="G490" s="25" t="s">
        <v>35</v>
      </c>
      <c r="H490" s="25" t="s">
        <v>35</v>
      </c>
      <c r="I490" s="25" t="s">
        <v>35</v>
      </c>
      <c r="J490" s="101" t="s">
        <v>36</v>
      </c>
      <c r="K490" s="102" t="s">
        <v>37</v>
      </c>
      <c r="L490" s="103" t="s">
        <v>35</v>
      </c>
      <c r="M490" s="103" t="s">
        <v>37</v>
      </c>
      <c r="N490" s="103" t="s">
        <v>35</v>
      </c>
      <c r="O490" s="103" t="s">
        <v>35</v>
      </c>
      <c r="P490" s="103" t="s">
        <v>37</v>
      </c>
      <c r="Q490" s="103" t="s">
        <v>35</v>
      </c>
      <c r="R490" s="103" t="s">
        <v>37</v>
      </c>
      <c r="S490" s="104" t="s">
        <v>4671</v>
      </c>
      <c r="T490" s="30" t="s">
        <v>4672</v>
      </c>
      <c r="U490" s="30" t="s">
        <v>4672</v>
      </c>
      <c r="V490" s="105">
        <f t="shared" si="2"/>
        <v>1</v>
      </c>
      <c r="W490" s="105">
        <f t="shared" ref="W490:X490" si="495">IF(lenb(SUBSTITUTE($Z490,W$1&amp;" (1)",""))&lt;lenb($Z490),1,IF(lenb(SUBSTITUTE($Z490,W$1&amp;" (2)",""))&lt;lenb($Z490),2,IF(lenb(SUBSTITUTE($Z490,W$1&amp;" (3)",""))&lt;lenb($Z490),3,IF(lenb(SUBSTITUTE($Z490,W$1&amp;" (4)",""))&lt;lenb($Z490),4,IF(lenb(SUBSTITUTE($Z490,W$1&amp;" (5)",""))&lt;lenb($Z490),5,IF(lenb(SUBSTITUTE($Z490,W$1&amp;" (6)",""))&lt;lenb($Z490),6,IF(lenb(SUBSTITUTE($Z490,W$1&amp;" (7)",""))&lt;lenb($Z490),1,IF(lenb(SUBSTITUTE($Z490,W$1&amp;" (8)",""))&lt;lenb($Z490),8,IF(lenb(SUBSTITUTE($Z490,W$1&amp;" (9)",""))&lt;lenb($Z490),9,IF(lenb(SUBSTITUTE($Z490,W$1&amp;" (10)",""))&lt;lenb($Z490),10,IF(lenb(SUBSTITUTE($Z490,W$1,""))&lt;lenb($Z490),"ERROR",IF($Z490=$Y$1,"-",0))))))))))))</f>
        <v>0</v>
      </c>
      <c r="X490" s="105">
        <f t="shared" si="495"/>
        <v>0</v>
      </c>
      <c r="Y490" s="105" t="str">
        <f t="shared" si="4"/>
        <v>-</v>
      </c>
      <c r="Z490" s="104" t="s">
        <v>3400</v>
      </c>
      <c r="AA490" s="34">
        <f t="shared" si="5"/>
        <v>1</v>
      </c>
      <c r="AB490" s="34">
        <f>COUNTIFS(Links!B:B,"FSE",Links!C:C,A490,Links!AD:AD,1)</f>
        <v>0</v>
      </c>
      <c r="AC490" s="106" t="s">
        <v>35</v>
      </c>
      <c r="AD490" s="107" t="s">
        <v>35</v>
      </c>
      <c r="AE490" s="104" t="s">
        <v>36</v>
      </c>
      <c r="AF490" s="37" t="s">
        <v>42</v>
      </c>
      <c r="AG490" s="37" t="s">
        <v>42</v>
      </c>
      <c r="AH490" s="37" t="s">
        <v>42</v>
      </c>
      <c r="AI490" s="105" t="str">
        <f t="shared" si="6"/>
        <v>----</v>
      </c>
      <c r="AJ490" s="108" t="str">
        <f t="shared" si="7"/>
        <v>Paper has link but no statement</v>
      </c>
      <c r="AK490" s="109" t="s">
        <v>3401</v>
      </c>
      <c r="AL490" s="110" t="s">
        <v>3402</v>
      </c>
      <c r="AM490" s="40" t="str">
        <f t="shared" si="8"/>
        <v>[FP0396]</v>
      </c>
    </row>
    <row r="491" ht="67.5" customHeight="1">
      <c r="A491" s="41">
        <v>397.0</v>
      </c>
      <c r="B491" s="42" t="s">
        <v>4673</v>
      </c>
      <c r="C491" s="43">
        <v>2020.0</v>
      </c>
      <c r="D491" s="111" t="s">
        <v>37</v>
      </c>
      <c r="E491" s="45" t="s">
        <v>37</v>
      </c>
      <c r="F491" s="45" t="s">
        <v>37</v>
      </c>
      <c r="G491" s="45" t="s">
        <v>35</v>
      </c>
      <c r="H491" s="45" t="s">
        <v>35</v>
      </c>
      <c r="I491" s="45" t="s">
        <v>35</v>
      </c>
      <c r="J491" s="112" t="s">
        <v>36</v>
      </c>
      <c r="K491" s="113" t="s">
        <v>37</v>
      </c>
      <c r="L491" s="114" t="s">
        <v>35</v>
      </c>
      <c r="M491" s="114" t="s">
        <v>37</v>
      </c>
      <c r="N491" s="114" t="s">
        <v>37</v>
      </c>
      <c r="O491" s="114" t="s">
        <v>35</v>
      </c>
      <c r="P491" s="114" t="s">
        <v>35</v>
      </c>
      <c r="Q491" s="114" t="s">
        <v>35</v>
      </c>
      <c r="R491" s="114" t="s">
        <v>35</v>
      </c>
      <c r="S491" s="115" t="s">
        <v>4674</v>
      </c>
      <c r="T491" s="50" t="s">
        <v>4675</v>
      </c>
      <c r="U491" s="50" t="s">
        <v>4675</v>
      </c>
      <c r="V491" s="116">
        <f t="shared" si="2"/>
        <v>1</v>
      </c>
      <c r="W491" s="116">
        <f t="shared" ref="W491:X491" si="496">IF(lenb(SUBSTITUTE($Z491,W$1&amp;" (1)",""))&lt;lenb($Z491),1,IF(lenb(SUBSTITUTE($Z491,W$1&amp;" (2)",""))&lt;lenb($Z491),2,IF(lenb(SUBSTITUTE($Z491,W$1&amp;" (3)",""))&lt;lenb($Z491),3,IF(lenb(SUBSTITUTE($Z491,W$1&amp;" (4)",""))&lt;lenb($Z491),4,IF(lenb(SUBSTITUTE($Z491,W$1&amp;" (5)",""))&lt;lenb($Z491),5,IF(lenb(SUBSTITUTE($Z491,W$1&amp;" (6)",""))&lt;lenb($Z491),6,IF(lenb(SUBSTITUTE($Z491,W$1&amp;" (7)",""))&lt;lenb($Z491),1,IF(lenb(SUBSTITUTE($Z491,W$1&amp;" (8)",""))&lt;lenb($Z491),8,IF(lenb(SUBSTITUTE($Z491,W$1&amp;" (9)",""))&lt;lenb($Z491),9,IF(lenb(SUBSTITUTE($Z491,W$1&amp;" (10)",""))&lt;lenb($Z491),10,IF(lenb(SUBSTITUTE($Z491,W$1,""))&lt;lenb($Z491),"ERROR",IF($Z491=$Y$1,"-",0))))))))))))</f>
        <v>0</v>
      </c>
      <c r="X491" s="116">
        <f t="shared" si="496"/>
        <v>0</v>
      </c>
      <c r="Y491" s="116" t="str">
        <f t="shared" si="4"/>
        <v>-</v>
      </c>
      <c r="Z491" s="115" t="s">
        <v>3400</v>
      </c>
      <c r="AA491" s="54">
        <f t="shared" si="5"/>
        <v>1</v>
      </c>
      <c r="AB491" s="54">
        <f>COUNTIFS(Links!B:B,"FSE",Links!C:C,A491,Links!AD:AD,1)</f>
        <v>0</v>
      </c>
      <c r="AC491" s="117" t="s">
        <v>37</v>
      </c>
      <c r="AD491" s="118" t="s">
        <v>35</v>
      </c>
      <c r="AE491" s="115" t="s">
        <v>36</v>
      </c>
      <c r="AF491" s="57" t="s">
        <v>42</v>
      </c>
      <c r="AG491" s="57" t="s">
        <v>42</v>
      </c>
      <c r="AH491" s="57" t="s">
        <v>42</v>
      </c>
      <c r="AI491" s="116" t="str">
        <f t="shared" si="6"/>
        <v>----</v>
      </c>
      <c r="AJ491" s="119" t="str">
        <f t="shared" si="7"/>
        <v>Paper has link but no statement</v>
      </c>
      <c r="AK491" s="120" t="s">
        <v>3401</v>
      </c>
      <c r="AL491" s="121" t="s">
        <v>3402</v>
      </c>
      <c r="AM491" s="60" t="str">
        <f t="shared" si="8"/>
        <v>[FP0397]</v>
      </c>
    </row>
    <row r="492" ht="67.5" customHeight="1">
      <c r="A492" s="61">
        <v>398.0</v>
      </c>
      <c r="B492" s="22" t="s">
        <v>4676</v>
      </c>
      <c r="C492" s="23">
        <v>2020.0</v>
      </c>
      <c r="D492" s="100" t="s">
        <v>35</v>
      </c>
      <c r="E492" s="25" t="s">
        <v>36</v>
      </c>
      <c r="F492" s="25" t="s">
        <v>36</v>
      </c>
      <c r="G492" s="25" t="s">
        <v>36</v>
      </c>
      <c r="H492" s="25" t="s">
        <v>36</v>
      </c>
      <c r="I492" s="25" t="s">
        <v>36</v>
      </c>
      <c r="J492" s="101" t="s">
        <v>36</v>
      </c>
      <c r="K492" s="102" t="s">
        <v>37</v>
      </c>
      <c r="L492" s="103" t="s">
        <v>35</v>
      </c>
      <c r="M492" s="103" t="s">
        <v>35</v>
      </c>
      <c r="N492" s="103" t="s">
        <v>35</v>
      </c>
      <c r="O492" s="103" t="s">
        <v>35</v>
      </c>
      <c r="P492" s="103" t="s">
        <v>35</v>
      </c>
      <c r="Q492" s="103" t="s">
        <v>35</v>
      </c>
      <c r="R492" s="103" t="s">
        <v>37</v>
      </c>
      <c r="S492" s="136" t="s">
        <v>4677</v>
      </c>
      <c r="T492" s="30" t="s">
        <v>4678</v>
      </c>
      <c r="U492" s="30" t="s">
        <v>4678</v>
      </c>
      <c r="V492" s="105">
        <f t="shared" si="2"/>
        <v>1</v>
      </c>
      <c r="W492" s="105">
        <f t="shared" ref="W492:X492" si="497">IF(lenb(SUBSTITUTE($Z492,W$1&amp;" (1)",""))&lt;lenb($Z492),1,IF(lenb(SUBSTITUTE($Z492,W$1&amp;" (2)",""))&lt;lenb($Z492),2,IF(lenb(SUBSTITUTE($Z492,W$1&amp;" (3)",""))&lt;lenb($Z492),3,IF(lenb(SUBSTITUTE($Z492,W$1&amp;" (4)",""))&lt;lenb($Z492),4,IF(lenb(SUBSTITUTE($Z492,W$1&amp;" (5)",""))&lt;lenb($Z492),5,IF(lenb(SUBSTITUTE($Z492,W$1&amp;" (6)",""))&lt;lenb($Z492),6,IF(lenb(SUBSTITUTE($Z492,W$1&amp;" (7)",""))&lt;lenb($Z492),1,IF(lenb(SUBSTITUTE($Z492,W$1&amp;" (8)",""))&lt;lenb($Z492),8,IF(lenb(SUBSTITUTE($Z492,W$1&amp;" (9)",""))&lt;lenb($Z492),9,IF(lenb(SUBSTITUTE($Z492,W$1&amp;" (10)",""))&lt;lenb($Z492),10,IF(lenb(SUBSTITUTE($Z492,W$1,""))&lt;lenb($Z492),"ERROR",IF($Z492=$Y$1,"-",0))))))))))))</f>
        <v>0</v>
      </c>
      <c r="X492" s="105">
        <f t="shared" si="497"/>
        <v>0</v>
      </c>
      <c r="Y492" s="105" t="str">
        <f t="shared" si="4"/>
        <v>-</v>
      </c>
      <c r="Z492" s="104" t="s">
        <v>3400</v>
      </c>
      <c r="AA492" s="34">
        <f t="shared" si="5"/>
        <v>1</v>
      </c>
      <c r="AB492" s="34">
        <f>COUNTIFS(Links!B:B,"FSE",Links!C:C,A492,Links!AD:AD,1)</f>
        <v>0</v>
      </c>
      <c r="AC492" s="106" t="s">
        <v>35</v>
      </c>
      <c r="AD492" s="107" t="s">
        <v>35</v>
      </c>
      <c r="AE492" s="104" t="s">
        <v>36</v>
      </c>
      <c r="AF492" s="37" t="s">
        <v>42</v>
      </c>
      <c r="AG492" s="37" t="s">
        <v>42</v>
      </c>
      <c r="AH492" s="37" t="s">
        <v>42</v>
      </c>
      <c r="AI492" s="105" t="str">
        <f t="shared" si="6"/>
        <v>----</v>
      </c>
      <c r="AJ492" s="108" t="str">
        <f t="shared" si="7"/>
        <v>Paper has link but no statement</v>
      </c>
      <c r="AK492" s="109" t="s">
        <v>3401</v>
      </c>
      <c r="AL492" s="110" t="s">
        <v>3402</v>
      </c>
      <c r="AM492" s="40" t="str">
        <f t="shared" si="8"/>
        <v>[FP0398]</v>
      </c>
    </row>
    <row r="493" ht="67.5" customHeight="1">
      <c r="A493" s="41">
        <v>399.0</v>
      </c>
      <c r="B493" s="42" t="s">
        <v>4679</v>
      </c>
      <c r="C493" s="43">
        <v>2020.0</v>
      </c>
      <c r="D493" s="111" t="s">
        <v>35</v>
      </c>
      <c r="E493" s="45" t="s">
        <v>36</v>
      </c>
      <c r="F493" s="45" t="s">
        <v>36</v>
      </c>
      <c r="G493" s="45" t="s">
        <v>36</v>
      </c>
      <c r="H493" s="45" t="s">
        <v>36</v>
      </c>
      <c r="I493" s="45" t="s">
        <v>36</v>
      </c>
      <c r="J493" s="112" t="s">
        <v>36</v>
      </c>
      <c r="K493" s="113" t="s">
        <v>37</v>
      </c>
      <c r="L493" s="114" t="s">
        <v>35</v>
      </c>
      <c r="M493" s="114" t="s">
        <v>35</v>
      </c>
      <c r="N493" s="114" t="s">
        <v>37</v>
      </c>
      <c r="O493" s="114" t="s">
        <v>35</v>
      </c>
      <c r="P493" s="114" t="s">
        <v>35</v>
      </c>
      <c r="Q493" s="114" t="s">
        <v>35</v>
      </c>
      <c r="R493" s="114" t="s">
        <v>35</v>
      </c>
      <c r="S493" s="115" t="s">
        <v>4680</v>
      </c>
      <c r="T493" s="50" t="s">
        <v>4681</v>
      </c>
      <c r="U493" s="50" t="s">
        <v>4682</v>
      </c>
      <c r="V493" s="116">
        <f t="shared" si="2"/>
        <v>1</v>
      </c>
      <c r="W493" s="116">
        <f t="shared" ref="W493:X493" si="498">IF(lenb(SUBSTITUTE($Z493,W$1&amp;" (1)",""))&lt;lenb($Z493),1,IF(lenb(SUBSTITUTE($Z493,W$1&amp;" (2)",""))&lt;lenb($Z493),2,IF(lenb(SUBSTITUTE($Z493,W$1&amp;" (3)",""))&lt;lenb($Z493),3,IF(lenb(SUBSTITUTE($Z493,W$1&amp;" (4)",""))&lt;lenb($Z493),4,IF(lenb(SUBSTITUTE($Z493,W$1&amp;" (5)",""))&lt;lenb($Z493),5,IF(lenb(SUBSTITUTE($Z493,W$1&amp;" (6)",""))&lt;lenb($Z493),6,IF(lenb(SUBSTITUTE($Z493,W$1&amp;" (7)",""))&lt;lenb($Z493),1,IF(lenb(SUBSTITUTE($Z493,W$1&amp;" (8)",""))&lt;lenb($Z493),8,IF(lenb(SUBSTITUTE($Z493,W$1&amp;" (9)",""))&lt;lenb($Z493),9,IF(lenb(SUBSTITUTE($Z493,W$1&amp;" (10)",""))&lt;lenb($Z493),10,IF(lenb(SUBSTITUTE($Z493,W$1,""))&lt;lenb($Z493),"ERROR",IF($Z493=$Y$1,"-",0))))))))))))</f>
        <v>0</v>
      </c>
      <c r="X493" s="116">
        <f t="shared" si="498"/>
        <v>0</v>
      </c>
      <c r="Y493" s="116" t="str">
        <f t="shared" si="4"/>
        <v>-</v>
      </c>
      <c r="Z493" s="115" t="s">
        <v>3400</v>
      </c>
      <c r="AA493" s="54">
        <f t="shared" si="5"/>
        <v>1</v>
      </c>
      <c r="AB493" s="54">
        <f>COUNTIFS(Links!B:B,"FSE",Links!C:C,A493,Links!AD:AD,1)</f>
        <v>0</v>
      </c>
      <c r="AC493" s="117" t="s">
        <v>35</v>
      </c>
      <c r="AD493" s="118" t="s">
        <v>35</v>
      </c>
      <c r="AE493" s="115" t="s">
        <v>36</v>
      </c>
      <c r="AF493" s="57" t="s">
        <v>42</v>
      </c>
      <c r="AG493" s="57" t="s">
        <v>42</v>
      </c>
      <c r="AH493" s="57" t="s">
        <v>42</v>
      </c>
      <c r="AI493" s="116" t="str">
        <f t="shared" si="6"/>
        <v>----</v>
      </c>
      <c r="AJ493" s="119" t="str">
        <f t="shared" si="7"/>
        <v>Paper has link but no statement</v>
      </c>
      <c r="AK493" s="120" t="s">
        <v>3401</v>
      </c>
      <c r="AL493" s="121" t="s">
        <v>3402</v>
      </c>
      <c r="AM493" s="60" t="str">
        <f t="shared" si="8"/>
        <v>[FP0399]</v>
      </c>
    </row>
    <row r="494" ht="67.5" customHeight="1">
      <c r="A494" s="61">
        <v>400.0</v>
      </c>
      <c r="B494" s="22" t="s">
        <v>4683</v>
      </c>
      <c r="C494" s="23">
        <v>2020.0</v>
      </c>
      <c r="D494" s="100" t="s">
        <v>35</v>
      </c>
      <c r="E494" s="25" t="s">
        <v>36</v>
      </c>
      <c r="F494" s="25" t="s">
        <v>36</v>
      </c>
      <c r="G494" s="25" t="s">
        <v>36</v>
      </c>
      <c r="H494" s="25" t="s">
        <v>36</v>
      </c>
      <c r="I494" s="25" t="s">
        <v>36</v>
      </c>
      <c r="J494" s="101" t="s">
        <v>36</v>
      </c>
      <c r="K494" s="102" t="s">
        <v>37</v>
      </c>
      <c r="L494" s="103" t="s">
        <v>35</v>
      </c>
      <c r="M494" s="103" t="s">
        <v>37</v>
      </c>
      <c r="N494" s="103" t="s">
        <v>37</v>
      </c>
      <c r="O494" s="103" t="s">
        <v>35</v>
      </c>
      <c r="P494" s="103" t="s">
        <v>35</v>
      </c>
      <c r="Q494" s="103" t="s">
        <v>35</v>
      </c>
      <c r="R494" s="103" t="s">
        <v>37</v>
      </c>
      <c r="S494" s="104" t="s">
        <v>4684</v>
      </c>
      <c r="T494" s="30" t="s">
        <v>4685</v>
      </c>
      <c r="U494" s="30" t="s">
        <v>4685</v>
      </c>
      <c r="V494" s="105">
        <f t="shared" si="2"/>
        <v>1</v>
      </c>
      <c r="W494" s="105">
        <f t="shared" ref="W494:X494" si="499">IF(lenb(SUBSTITUTE($Z494,W$1&amp;" (1)",""))&lt;lenb($Z494),1,IF(lenb(SUBSTITUTE($Z494,W$1&amp;" (2)",""))&lt;lenb($Z494),2,IF(lenb(SUBSTITUTE($Z494,W$1&amp;" (3)",""))&lt;lenb($Z494),3,IF(lenb(SUBSTITUTE($Z494,W$1&amp;" (4)",""))&lt;lenb($Z494),4,IF(lenb(SUBSTITUTE($Z494,W$1&amp;" (5)",""))&lt;lenb($Z494),5,IF(lenb(SUBSTITUTE($Z494,W$1&amp;" (6)",""))&lt;lenb($Z494),6,IF(lenb(SUBSTITUTE($Z494,W$1&amp;" (7)",""))&lt;lenb($Z494),1,IF(lenb(SUBSTITUTE($Z494,W$1&amp;" (8)",""))&lt;lenb($Z494),8,IF(lenb(SUBSTITUTE($Z494,W$1&amp;" (9)",""))&lt;lenb($Z494),9,IF(lenb(SUBSTITUTE($Z494,W$1&amp;" (10)",""))&lt;lenb($Z494),10,IF(lenb(SUBSTITUTE($Z494,W$1,""))&lt;lenb($Z494),"ERROR",IF($Z494=$Y$1,"-",0))))))))))))</f>
        <v>0</v>
      </c>
      <c r="X494" s="105">
        <f t="shared" si="499"/>
        <v>0</v>
      </c>
      <c r="Y494" s="105" t="str">
        <f t="shared" si="4"/>
        <v>-</v>
      </c>
      <c r="Z494" s="104" t="s">
        <v>3400</v>
      </c>
      <c r="AA494" s="34">
        <f t="shared" si="5"/>
        <v>1</v>
      </c>
      <c r="AB494" s="34">
        <f>COUNTIFS(Links!B:B,"FSE",Links!C:C,A494,Links!AD:AD,1)</f>
        <v>1</v>
      </c>
      <c r="AC494" s="106" t="s">
        <v>35</v>
      </c>
      <c r="AD494" s="107" t="s">
        <v>35</v>
      </c>
      <c r="AE494" s="104" t="s">
        <v>36</v>
      </c>
      <c r="AF494" s="37" t="s">
        <v>42</v>
      </c>
      <c r="AG494" s="37" t="s">
        <v>42</v>
      </c>
      <c r="AH494" s="37" t="s">
        <v>42</v>
      </c>
      <c r="AI494" s="105" t="str">
        <f t="shared" si="6"/>
        <v>----</v>
      </c>
      <c r="AJ494" s="108" t="str">
        <f t="shared" si="7"/>
        <v>Paper has link but no statement</v>
      </c>
      <c r="AK494" s="109" t="s">
        <v>3401</v>
      </c>
      <c r="AL494" s="110" t="s">
        <v>3402</v>
      </c>
      <c r="AM494" s="40" t="str">
        <f t="shared" si="8"/>
        <v>[FP0400]</v>
      </c>
    </row>
    <row r="495" ht="67.5" customHeight="1">
      <c r="A495" s="41">
        <v>401.0</v>
      </c>
      <c r="B495" s="42" t="s">
        <v>4686</v>
      </c>
      <c r="C495" s="43">
        <v>2020.0</v>
      </c>
      <c r="D495" s="111" t="s">
        <v>37</v>
      </c>
      <c r="E495" s="45" t="s">
        <v>37</v>
      </c>
      <c r="F495" s="45" t="s">
        <v>35</v>
      </c>
      <c r="G495" s="45" t="s">
        <v>35</v>
      </c>
      <c r="H495" s="45" t="s">
        <v>35</v>
      </c>
      <c r="I495" s="45" t="s">
        <v>35</v>
      </c>
      <c r="J495" s="112" t="s">
        <v>36</v>
      </c>
      <c r="K495" s="113" t="s">
        <v>37</v>
      </c>
      <c r="L495" s="114" t="s">
        <v>35</v>
      </c>
      <c r="M495" s="114" t="s">
        <v>35</v>
      </c>
      <c r="N495" s="114" t="s">
        <v>35</v>
      </c>
      <c r="O495" s="114" t="s">
        <v>35</v>
      </c>
      <c r="P495" s="114" t="s">
        <v>37</v>
      </c>
      <c r="Q495" s="114" t="s">
        <v>35</v>
      </c>
      <c r="R495" s="114" t="s">
        <v>37</v>
      </c>
      <c r="S495" s="115" t="s">
        <v>4687</v>
      </c>
      <c r="T495" s="50" t="s">
        <v>4688</v>
      </c>
      <c r="U495" s="50" t="s">
        <v>4689</v>
      </c>
      <c r="V495" s="116">
        <f t="shared" si="2"/>
        <v>1</v>
      </c>
      <c r="W495" s="116">
        <f t="shared" ref="W495:X495" si="500">IF(lenb(SUBSTITUTE($Z495,W$1&amp;" (1)",""))&lt;lenb($Z495),1,IF(lenb(SUBSTITUTE($Z495,W$1&amp;" (2)",""))&lt;lenb($Z495),2,IF(lenb(SUBSTITUTE($Z495,W$1&amp;" (3)",""))&lt;lenb($Z495),3,IF(lenb(SUBSTITUTE($Z495,W$1&amp;" (4)",""))&lt;lenb($Z495),4,IF(lenb(SUBSTITUTE($Z495,W$1&amp;" (5)",""))&lt;lenb($Z495),5,IF(lenb(SUBSTITUTE($Z495,W$1&amp;" (6)",""))&lt;lenb($Z495),6,IF(lenb(SUBSTITUTE($Z495,W$1&amp;" (7)",""))&lt;lenb($Z495),1,IF(lenb(SUBSTITUTE($Z495,W$1&amp;" (8)",""))&lt;lenb($Z495),8,IF(lenb(SUBSTITUTE($Z495,W$1&amp;" (9)",""))&lt;lenb($Z495),9,IF(lenb(SUBSTITUTE($Z495,W$1&amp;" (10)",""))&lt;lenb($Z495),10,IF(lenb(SUBSTITUTE($Z495,W$1,""))&lt;lenb($Z495),"ERROR",IF($Z495=$Y$1,"-",0))))))))))))</f>
        <v>0</v>
      </c>
      <c r="X495" s="116">
        <f t="shared" si="500"/>
        <v>0</v>
      </c>
      <c r="Y495" s="116" t="str">
        <f t="shared" si="4"/>
        <v>-</v>
      </c>
      <c r="Z495" s="115" t="s">
        <v>3400</v>
      </c>
      <c r="AA495" s="54">
        <f t="shared" si="5"/>
        <v>1</v>
      </c>
      <c r="AB495" s="54">
        <f>COUNTIFS(Links!B:B,"FSE",Links!C:C,A495,Links!AD:AD,1)</f>
        <v>0</v>
      </c>
      <c r="AC495" s="117" t="s">
        <v>35</v>
      </c>
      <c r="AD495" s="118" t="s">
        <v>35</v>
      </c>
      <c r="AE495" s="115" t="s">
        <v>36</v>
      </c>
      <c r="AF495" s="57" t="s">
        <v>42</v>
      </c>
      <c r="AG495" s="57" t="s">
        <v>42</v>
      </c>
      <c r="AH495" s="57" t="s">
        <v>42</v>
      </c>
      <c r="AI495" s="116" t="str">
        <f t="shared" si="6"/>
        <v>----</v>
      </c>
      <c r="AJ495" s="119" t="str">
        <f t="shared" si="7"/>
        <v>Paper has link but no statement</v>
      </c>
      <c r="AK495" s="120" t="s">
        <v>3401</v>
      </c>
      <c r="AL495" s="121" t="s">
        <v>3402</v>
      </c>
      <c r="AM495" s="60" t="str">
        <f t="shared" si="8"/>
        <v>[FP0401]</v>
      </c>
    </row>
    <row r="496" ht="67.5" customHeight="1">
      <c r="A496" s="61">
        <v>402.0</v>
      </c>
      <c r="B496" s="22" t="s">
        <v>4690</v>
      </c>
      <c r="C496" s="23">
        <v>2020.0</v>
      </c>
      <c r="D496" s="100" t="s">
        <v>35</v>
      </c>
      <c r="E496" s="25" t="s">
        <v>36</v>
      </c>
      <c r="F496" s="25" t="s">
        <v>36</v>
      </c>
      <c r="G496" s="25" t="s">
        <v>36</v>
      </c>
      <c r="H496" s="25" t="s">
        <v>36</v>
      </c>
      <c r="I496" s="25" t="s">
        <v>36</v>
      </c>
      <c r="J496" s="101" t="s">
        <v>36</v>
      </c>
      <c r="K496" s="102" t="s">
        <v>37</v>
      </c>
      <c r="L496" s="103" t="s">
        <v>35</v>
      </c>
      <c r="M496" s="103" t="s">
        <v>35</v>
      </c>
      <c r="N496" s="103" t="s">
        <v>37</v>
      </c>
      <c r="O496" s="103" t="s">
        <v>35</v>
      </c>
      <c r="P496" s="103" t="s">
        <v>35</v>
      </c>
      <c r="Q496" s="103" t="s">
        <v>35</v>
      </c>
      <c r="R496" s="103" t="s">
        <v>37</v>
      </c>
      <c r="S496" s="104" t="s">
        <v>4691</v>
      </c>
      <c r="T496" s="30" t="s">
        <v>4692</v>
      </c>
      <c r="U496" s="30" t="s">
        <v>4692</v>
      </c>
      <c r="V496" s="105">
        <f t="shared" si="2"/>
        <v>1</v>
      </c>
      <c r="W496" s="105">
        <f t="shared" ref="W496:X496" si="501">IF(lenb(SUBSTITUTE($Z496,W$1&amp;" (1)",""))&lt;lenb($Z496),1,IF(lenb(SUBSTITUTE($Z496,W$1&amp;" (2)",""))&lt;lenb($Z496),2,IF(lenb(SUBSTITUTE($Z496,W$1&amp;" (3)",""))&lt;lenb($Z496),3,IF(lenb(SUBSTITUTE($Z496,W$1&amp;" (4)",""))&lt;lenb($Z496),4,IF(lenb(SUBSTITUTE($Z496,W$1&amp;" (5)",""))&lt;lenb($Z496),5,IF(lenb(SUBSTITUTE($Z496,W$1&amp;" (6)",""))&lt;lenb($Z496),6,IF(lenb(SUBSTITUTE($Z496,W$1&amp;" (7)",""))&lt;lenb($Z496),1,IF(lenb(SUBSTITUTE($Z496,W$1&amp;" (8)",""))&lt;lenb($Z496),8,IF(lenb(SUBSTITUTE($Z496,W$1&amp;" (9)",""))&lt;lenb($Z496),9,IF(lenb(SUBSTITUTE($Z496,W$1&amp;" (10)",""))&lt;lenb($Z496),10,IF(lenb(SUBSTITUTE($Z496,W$1,""))&lt;lenb($Z496),"ERROR",IF($Z496=$Y$1,"-",0))))))))))))</f>
        <v>0</v>
      </c>
      <c r="X496" s="105">
        <f t="shared" si="501"/>
        <v>0</v>
      </c>
      <c r="Y496" s="105" t="str">
        <f t="shared" si="4"/>
        <v>-</v>
      </c>
      <c r="Z496" s="104" t="s">
        <v>3400</v>
      </c>
      <c r="AA496" s="34">
        <f t="shared" si="5"/>
        <v>1</v>
      </c>
      <c r="AB496" s="34">
        <f>COUNTIFS(Links!B:B,"FSE",Links!C:C,A496,Links!AD:AD,1)</f>
        <v>0</v>
      </c>
      <c r="AC496" s="106" t="s">
        <v>35</v>
      </c>
      <c r="AD496" s="107" t="s">
        <v>35</v>
      </c>
      <c r="AE496" s="104" t="s">
        <v>36</v>
      </c>
      <c r="AF496" s="37" t="s">
        <v>42</v>
      </c>
      <c r="AG496" s="37" t="s">
        <v>42</v>
      </c>
      <c r="AH496" s="37" t="s">
        <v>42</v>
      </c>
      <c r="AI496" s="105" t="str">
        <f t="shared" si="6"/>
        <v>----</v>
      </c>
      <c r="AJ496" s="108" t="str">
        <f t="shared" si="7"/>
        <v>Paper has link but no statement</v>
      </c>
      <c r="AK496" s="109" t="s">
        <v>3401</v>
      </c>
      <c r="AL496" s="110" t="s">
        <v>3402</v>
      </c>
      <c r="AM496" s="40" t="str">
        <f t="shared" si="8"/>
        <v>[FP0402]</v>
      </c>
    </row>
    <row r="497" ht="67.5" customHeight="1">
      <c r="A497" s="41">
        <v>403.0</v>
      </c>
      <c r="B497" s="42" t="s">
        <v>4693</v>
      </c>
      <c r="C497" s="43">
        <v>2020.0</v>
      </c>
      <c r="D497" s="111" t="s">
        <v>35</v>
      </c>
      <c r="E497" s="45" t="s">
        <v>36</v>
      </c>
      <c r="F497" s="45" t="s">
        <v>36</v>
      </c>
      <c r="G497" s="45" t="s">
        <v>36</v>
      </c>
      <c r="H497" s="45" t="s">
        <v>36</v>
      </c>
      <c r="I497" s="45" t="s">
        <v>36</v>
      </c>
      <c r="J497" s="112" t="s">
        <v>36</v>
      </c>
      <c r="K497" s="113" t="s">
        <v>37</v>
      </c>
      <c r="L497" s="114" t="s">
        <v>37</v>
      </c>
      <c r="M497" s="114" t="s">
        <v>35</v>
      </c>
      <c r="N497" s="114" t="s">
        <v>35</v>
      </c>
      <c r="O497" s="114" t="s">
        <v>35</v>
      </c>
      <c r="P497" s="114" t="s">
        <v>35</v>
      </c>
      <c r="Q497" s="114" t="s">
        <v>35</v>
      </c>
      <c r="R497" s="114" t="s">
        <v>37</v>
      </c>
      <c r="S497" s="115" t="s">
        <v>4694</v>
      </c>
      <c r="T497" s="50" t="s">
        <v>4695</v>
      </c>
      <c r="U497" s="50" t="s">
        <v>4695</v>
      </c>
      <c r="V497" s="116">
        <f t="shared" si="2"/>
        <v>1</v>
      </c>
      <c r="W497" s="116">
        <f t="shared" ref="W497:X497" si="502">IF(lenb(SUBSTITUTE($Z497,W$1&amp;" (1)",""))&lt;lenb($Z497),1,IF(lenb(SUBSTITUTE($Z497,W$1&amp;" (2)",""))&lt;lenb($Z497),2,IF(lenb(SUBSTITUTE($Z497,W$1&amp;" (3)",""))&lt;lenb($Z497),3,IF(lenb(SUBSTITUTE($Z497,W$1&amp;" (4)",""))&lt;lenb($Z497),4,IF(lenb(SUBSTITUTE($Z497,W$1&amp;" (5)",""))&lt;lenb($Z497),5,IF(lenb(SUBSTITUTE($Z497,W$1&amp;" (6)",""))&lt;lenb($Z497),6,IF(lenb(SUBSTITUTE($Z497,W$1&amp;" (7)",""))&lt;lenb($Z497),1,IF(lenb(SUBSTITUTE($Z497,W$1&amp;" (8)",""))&lt;lenb($Z497),8,IF(lenb(SUBSTITUTE($Z497,W$1&amp;" (9)",""))&lt;lenb($Z497),9,IF(lenb(SUBSTITUTE($Z497,W$1&amp;" (10)",""))&lt;lenb($Z497),10,IF(lenb(SUBSTITUTE($Z497,W$1,""))&lt;lenb($Z497),"ERROR",IF($Z497=$Y$1,"-",0))))))))))))</f>
        <v>0</v>
      </c>
      <c r="X497" s="116">
        <f t="shared" si="502"/>
        <v>0</v>
      </c>
      <c r="Y497" s="116" t="str">
        <f t="shared" si="4"/>
        <v>-</v>
      </c>
      <c r="Z497" s="115" t="s">
        <v>3400</v>
      </c>
      <c r="AA497" s="54">
        <f t="shared" si="5"/>
        <v>1</v>
      </c>
      <c r="AB497" s="54">
        <f>COUNTIFS(Links!B:B,"FSE",Links!C:C,A497,Links!AD:AD,1)</f>
        <v>0</v>
      </c>
      <c r="AC497" s="117" t="s">
        <v>35</v>
      </c>
      <c r="AD497" s="118" t="s">
        <v>35</v>
      </c>
      <c r="AE497" s="115" t="s">
        <v>36</v>
      </c>
      <c r="AF497" s="57" t="s">
        <v>42</v>
      </c>
      <c r="AG497" s="57" t="s">
        <v>42</v>
      </c>
      <c r="AH497" s="57" t="s">
        <v>42</v>
      </c>
      <c r="AI497" s="116" t="str">
        <f t="shared" si="6"/>
        <v>----</v>
      </c>
      <c r="AJ497" s="119" t="str">
        <f t="shared" si="7"/>
        <v>Paper has link but no statement</v>
      </c>
      <c r="AK497" s="120" t="s">
        <v>3401</v>
      </c>
      <c r="AL497" s="121" t="s">
        <v>3402</v>
      </c>
      <c r="AM497" s="60" t="str">
        <f t="shared" si="8"/>
        <v>[FP0403]</v>
      </c>
    </row>
    <row r="498" ht="67.5" customHeight="1">
      <c r="A498" s="61">
        <v>404.0</v>
      </c>
      <c r="B498" s="22" t="s">
        <v>4696</v>
      </c>
      <c r="C498" s="23">
        <v>2020.0</v>
      </c>
      <c r="D498" s="100" t="s">
        <v>37</v>
      </c>
      <c r="E498" s="25" t="s">
        <v>37</v>
      </c>
      <c r="F498" s="25" t="s">
        <v>37</v>
      </c>
      <c r="G498" s="25" t="s">
        <v>37</v>
      </c>
      <c r="H498" s="25" t="s">
        <v>35</v>
      </c>
      <c r="I498" s="25" t="s">
        <v>35</v>
      </c>
      <c r="J498" s="101" t="s">
        <v>36</v>
      </c>
      <c r="K498" s="102" t="s">
        <v>37</v>
      </c>
      <c r="L498" s="103" t="s">
        <v>35</v>
      </c>
      <c r="M498" s="103" t="s">
        <v>35</v>
      </c>
      <c r="N498" s="103" t="s">
        <v>37</v>
      </c>
      <c r="O498" s="103" t="s">
        <v>35</v>
      </c>
      <c r="P498" s="103" t="s">
        <v>35</v>
      </c>
      <c r="Q498" s="103" t="s">
        <v>35</v>
      </c>
      <c r="R498" s="103" t="s">
        <v>35</v>
      </c>
      <c r="S498" s="104" t="s">
        <v>4697</v>
      </c>
      <c r="T498" s="30" t="s">
        <v>4698</v>
      </c>
      <c r="U498" s="30" t="s">
        <v>4698</v>
      </c>
      <c r="V498" s="105">
        <f t="shared" si="2"/>
        <v>1</v>
      </c>
      <c r="W498" s="105">
        <f t="shared" ref="W498:X498" si="503">IF(lenb(SUBSTITUTE($Z498,W$1&amp;" (1)",""))&lt;lenb($Z498),1,IF(lenb(SUBSTITUTE($Z498,W$1&amp;" (2)",""))&lt;lenb($Z498),2,IF(lenb(SUBSTITUTE($Z498,W$1&amp;" (3)",""))&lt;lenb($Z498),3,IF(lenb(SUBSTITUTE($Z498,W$1&amp;" (4)",""))&lt;lenb($Z498),4,IF(lenb(SUBSTITUTE($Z498,W$1&amp;" (5)",""))&lt;lenb($Z498),5,IF(lenb(SUBSTITUTE($Z498,W$1&amp;" (6)",""))&lt;lenb($Z498),6,IF(lenb(SUBSTITUTE($Z498,W$1&amp;" (7)",""))&lt;lenb($Z498),1,IF(lenb(SUBSTITUTE($Z498,W$1&amp;" (8)",""))&lt;lenb($Z498),8,IF(lenb(SUBSTITUTE($Z498,W$1&amp;" (9)",""))&lt;lenb($Z498),9,IF(lenb(SUBSTITUTE($Z498,W$1&amp;" (10)",""))&lt;lenb($Z498),10,IF(lenb(SUBSTITUTE($Z498,W$1,""))&lt;lenb($Z498),"ERROR",IF($Z498=$Y$1,"-",0))))))))))))</f>
        <v>0</v>
      </c>
      <c r="X498" s="105">
        <f t="shared" si="503"/>
        <v>0</v>
      </c>
      <c r="Y498" s="105" t="str">
        <f t="shared" si="4"/>
        <v>-</v>
      </c>
      <c r="Z498" s="104" t="s">
        <v>3400</v>
      </c>
      <c r="AA498" s="34">
        <f t="shared" si="5"/>
        <v>1</v>
      </c>
      <c r="AB498" s="34">
        <f>COUNTIFS(Links!B:B,"FSE",Links!C:C,A498,Links!AD:AD,1)</f>
        <v>0</v>
      </c>
      <c r="AC498" s="106" t="s">
        <v>35</v>
      </c>
      <c r="AD498" s="107" t="s">
        <v>35</v>
      </c>
      <c r="AE498" s="104" t="s">
        <v>36</v>
      </c>
      <c r="AF498" s="37" t="s">
        <v>42</v>
      </c>
      <c r="AG498" s="37" t="s">
        <v>42</v>
      </c>
      <c r="AH498" s="37" t="s">
        <v>42</v>
      </c>
      <c r="AI498" s="105" t="str">
        <f t="shared" si="6"/>
        <v>----</v>
      </c>
      <c r="AJ498" s="108" t="str">
        <f t="shared" si="7"/>
        <v>Paper has link but no statement</v>
      </c>
      <c r="AK498" s="109" t="s">
        <v>3401</v>
      </c>
      <c r="AL498" s="110" t="s">
        <v>3402</v>
      </c>
      <c r="AM498" s="40" t="str">
        <f t="shared" si="8"/>
        <v>[FP0404]</v>
      </c>
    </row>
    <row r="499" ht="67.5" customHeight="1">
      <c r="A499" s="41">
        <v>405.0</v>
      </c>
      <c r="B499" s="42" t="s">
        <v>4699</v>
      </c>
      <c r="C499" s="43">
        <v>2020.0</v>
      </c>
      <c r="D499" s="111" t="s">
        <v>37</v>
      </c>
      <c r="E499" s="45" t="s">
        <v>37</v>
      </c>
      <c r="F499" s="45" t="s">
        <v>35</v>
      </c>
      <c r="G499" s="45" t="s">
        <v>35</v>
      </c>
      <c r="H499" s="45" t="s">
        <v>35</v>
      </c>
      <c r="I499" s="45" t="s">
        <v>35</v>
      </c>
      <c r="J499" s="112" t="s">
        <v>36</v>
      </c>
      <c r="K499" s="113" t="s">
        <v>37</v>
      </c>
      <c r="L499" s="114" t="s">
        <v>35</v>
      </c>
      <c r="M499" s="114" t="s">
        <v>37</v>
      </c>
      <c r="N499" s="114" t="s">
        <v>37</v>
      </c>
      <c r="O499" s="114" t="s">
        <v>35</v>
      </c>
      <c r="P499" s="114" t="s">
        <v>35</v>
      </c>
      <c r="Q499" s="114" t="s">
        <v>35</v>
      </c>
      <c r="R499" s="114" t="s">
        <v>37</v>
      </c>
      <c r="S499" s="115" t="s">
        <v>4700</v>
      </c>
      <c r="T499" s="50" t="s">
        <v>4701</v>
      </c>
      <c r="U499" s="50" t="s">
        <v>4701</v>
      </c>
      <c r="V499" s="116">
        <f t="shared" si="2"/>
        <v>2</v>
      </c>
      <c r="W499" s="116">
        <f t="shared" ref="W499:X499" si="504">IF(lenb(SUBSTITUTE($Z499,W$1&amp;" (1)",""))&lt;lenb($Z499),1,IF(lenb(SUBSTITUTE($Z499,W$1&amp;" (2)",""))&lt;lenb($Z499),2,IF(lenb(SUBSTITUTE($Z499,W$1&amp;" (3)",""))&lt;lenb($Z499),3,IF(lenb(SUBSTITUTE($Z499,W$1&amp;" (4)",""))&lt;lenb($Z499),4,IF(lenb(SUBSTITUTE($Z499,W$1&amp;" (5)",""))&lt;lenb($Z499),5,IF(lenb(SUBSTITUTE($Z499,W$1&amp;" (6)",""))&lt;lenb($Z499),6,IF(lenb(SUBSTITUTE($Z499,W$1&amp;" (7)",""))&lt;lenb($Z499),1,IF(lenb(SUBSTITUTE($Z499,W$1&amp;" (8)",""))&lt;lenb($Z499),8,IF(lenb(SUBSTITUTE($Z499,W$1&amp;" (9)",""))&lt;lenb($Z499),9,IF(lenb(SUBSTITUTE($Z499,W$1&amp;" (10)",""))&lt;lenb($Z499),10,IF(lenb(SUBSTITUTE($Z499,W$1,""))&lt;lenb($Z499),"ERROR",IF($Z499=$Y$1,"-",0))))))))))))</f>
        <v>0</v>
      </c>
      <c r="X499" s="116">
        <f t="shared" si="504"/>
        <v>0</v>
      </c>
      <c r="Y499" s="116" t="str">
        <f t="shared" si="4"/>
        <v>-</v>
      </c>
      <c r="Z499" s="115" t="s">
        <v>3452</v>
      </c>
      <c r="AA499" s="54">
        <f t="shared" si="5"/>
        <v>2</v>
      </c>
      <c r="AB499" s="54">
        <f>COUNTIFS(Links!B:B,"FSE",Links!C:C,A499,Links!AD:AD,1)</f>
        <v>0</v>
      </c>
      <c r="AC499" s="117" t="s">
        <v>37</v>
      </c>
      <c r="AD499" s="118" t="s">
        <v>35</v>
      </c>
      <c r="AE499" s="115" t="s">
        <v>36</v>
      </c>
      <c r="AF499" s="57" t="s">
        <v>42</v>
      </c>
      <c r="AG499" s="57" t="s">
        <v>42</v>
      </c>
      <c r="AH499" s="57" t="s">
        <v>42</v>
      </c>
      <c r="AI499" s="116" t="str">
        <f t="shared" si="6"/>
        <v>----</v>
      </c>
      <c r="AJ499" s="119" t="str">
        <f t="shared" si="7"/>
        <v>Paper has link but no statement</v>
      </c>
      <c r="AK499" s="120" t="s">
        <v>3401</v>
      </c>
      <c r="AL499" s="121" t="s">
        <v>3402</v>
      </c>
      <c r="AM499" s="60" t="str">
        <f t="shared" si="8"/>
        <v>[FP0405]</v>
      </c>
    </row>
    <row r="500" ht="67.5" customHeight="1">
      <c r="A500" s="61">
        <v>406.0</v>
      </c>
      <c r="B500" s="22" t="s">
        <v>4702</v>
      </c>
      <c r="C500" s="23">
        <v>2020.0</v>
      </c>
      <c r="D500" s="100" t="s">
        <v>37</v>
      </c>
      <c r="E500" s="25" t="s">
        <v>37</v>
      </c>
      <c r="F500" s="25" t="s">
        <v>37</v>
      </c>
      <c r="G500" s="25" t="s">
        <v>37</v>
      </c>
      <c r="H500" s="25" t="s">
        <v>35</v>
      </c>
      <c r="I500" s="25" t="s">
        <v>35</v>
      </c>
      <c r="J500" s="101" t="s">
        <v>36</v>
      </c>
      <c r="K500" s="102" t="s">
        <v>37</v>
      </c>
      <c r="L500" s="103" t="s">
        <v>37</v>
      </c>
      <c r="M500" s="103" t="s">
        <v>37</v>
      </c>
      <c r="N500" s="103" t="s">
        <v>37</v>
      </c>
      <c r="O500" s="103" t="s">
        <v>35</v>
      </c>
      <c r="P500" s="103" t="s">
        <v>35</v>
      </c>
      <c r="Q500" s="103" t="s">
        <v>35</v>
      </c>
      <c r="R500" s="103" t="s">
        <v>35</v>
      </c>
      <c r="S500" s="104" t="s">
        <v>4703</v>
      </c>
      <c r="T500" s="30" t="s">
        <v>4704</v>
      </c>
      <c r="U500" s="30" t="s">
        <v>4704</v>
      </c>
      <c r="V500" s="105">
        <f t="shared" si="2"/>
        <v>2</v>
      </c>
      <c r="W500" s="105">
        <f t="shared" ref="W500:X500" si="505">IF(lenb(SUBSTITUTE($Z500,W$1&amp;" (1)",""))&lt;lenb($Z500),1,IF(lenb(SUBSTITUTE($Z500,W$1&amp;" (2)",""))&lt;lenb($Z500),2,IF(lenb(SUBSTITUTE($Z500,W$1&amp;" (3)",""))&lt;lenb($Z500),3,IF(lenb(SUBSTITUTE($Z500,W$1&amp;" (4)",""))&lt;lenb($Z500),4,IF(lenb(SUBSTITUTE($Z500,W$1&amp;" (5)",""))&lt;lenb($Z500),5,IF(lenb(SUBSTITUTE($Z500,W$1&amp;" (6)",""))&lt;lenb($Z500),6,IF(lenb(SUBSTITUTE($Z500,W$1&amp;" (7)",""))&lt;lenb($Z500),1,IF(lenb(SUBSTITUTE($Z500,W$1&amp;" (8)",""))&lt;lenb($Z500),8,IF(lenb(SUBSTITUTE($Z500,W$1&amp;" (9)",""))&lt;lenb($Z500),9,IF(lenb(SUBSTITUTE($Z500,W$1&amp;" (10)",""))&lt;lenb($Z500),10,IF(lenb(SUBSTITUTE($Z500,W$1,""))&lt;lenb($Z500),"ERROR",IF($Z500=$Y$1,"-",0))))))))))))</f>
        <v>0</v>
      </c>
      <c r="X500" s="105">
        <f t="shared" si="505"/>
        <v>0</v>
      </c>
      <c r="Y500" s="105" t="str">
        <f t="shared" si="4"/>
        <v>-</v>
      </c>
      <c r="Z500" s="104" t="s">
        <v>3452</v>
      </c>
      <c r="AA500" s="34">
        <f t="shared" si="5"/>
        <v>2</v>
      </c>
      <c r="AB500" s="34">
        <f>COUNTIFS(Links!B:B,"FSE",Links!C:C,A500,Links!AD:AD,1)</f>
        <v>0</v>
      </c>
      <c r="AC500" s="106" t="s">
        <v>37</v>
      </c>
      <c r="AD500" s="107" t="s">
        <v>35</v>
      </c>
      <c r="AE500" s="104" t="s">
        <v>36</v>
      </c>
      <c r="AF500" s="37" t="s">
        <v>42</v>
      </c>
      <c r="AG500" s="37" t="s">
        <v>42</v>
      </c>
      <c r="AH500" s="37" t="s">
        <v>42</v>
      </c>
      <c r="AI500" s="105" t="str">
        <f t="shared" si="6"/>
        <v>----</v>
      </c>
      <c r="AJ500" s="108" t="str">
        <f t="shared" si="7"/>
        <v>Paper has link but no statement</v>
      </c>
      <c r="AK500" s="109" t="s">
        <v>3401</v>
      </c>
      <c r="AL500" s="110" t="s">
        <v>3402</v>
      </c>
      <c r="AM500" s="40" t="str">
        <f t="shared" si="8"/>
        <v>[FP0406]</v>
      </c>
    </row>
    <row r="501" ht="67.5" customHeight="1">
      <c r="A501" s="41">
        <v>407.0</v>
      </c>
      <c r="B501" s="42" t="s">
        <v>4705</v>
      </c>
      <c r="C501" s="43">
        <v>2020.0</v>
      </c>
      <c r="D501" s="111" t="s">
        <v>35</v>
      </c>
      <c r="E501" s="45" t="s">
        <v>36</v>
      </c>
      <c r="F501" s="45" t="s">
        <v>36</v>
      </c>
      <c r="G501" s="45" t="s">
        <v>36</v>
      </c>
      <c r="H501" s="45" t="s">
        <v>36</v>
      </c>
      <c r="I501" s="45" t="s">
        <v>36</v>
      </c>
      <c r="J501" s="112" t="s">
        <v>36</v>
      </c>
      <c r="K501" s="113" t="s">
        <v>37</v>
      </c>
      <c r="L501" s="114" t="s">
        <v>35</v>
      </c>
      <c r="M501" s="114" t="s">
        <v>37</v>
      </c>
      <c r="N501" s="114" t="s">
        <v>37</v>
      </c>
      <c r="O501" s="114" t="s">
        <v>35</v>
      </c>
      <c r="P501" s="114" t="s">
        <v>35</v>
      </c>
      <c r="Q501" s="114" t="s">
        <v>35</v>
      </c>
      <c r="R501" s="114" t="s">
        <v>37</v>
      </c>
      <c r="S501" s="115" t="s">
        <v>4706</v>
      </c>
      <c r="T501" s="50" t="s">
        <v>4707</v>
      </c>
      <c r="U501" s="50" t="s">
        <v>4707</v>
      </c>
      <c r="V501" s="116">
        <f t="shared" si="2"/>
        <v>2</v>
      </c>
      <c r="W501" s="116">
        <f t="shared" ref="W501:X501" si="506">IF(lenb(SUBSTITUTE($Z501,W$1&amp;" (1)",""))&lt;lenb($Z501),1,IF(lenb(SUBSTITUTE($Z501,W$1&amp;" (2)",""))&lt;lenb($Z501),2,IF(lenb(SUBSTITUTE($Z501,W$1&amp;" (3)",""))&lt;lenb($Z501),3,IF(lenb(SUBSTITUTE($Z501,W$1&amp;" (4)",""))&lt;lenb($Z501),4,IF(lenb(SUBSTITUTE($Z501,W$1&amp;" (5)",""))&lt;lenb($Z501),5,IF(lenb(SUBSTITUTE($Z501,W$1&amp;" (6)",""))&lt;lenb($Z501),6,IF(lenb(SUBSTITUTE($Z501,W$1&amp;" (7)",""))&lt;lenb($Z501),1,IF(lenb(SUBSTITUTE($Z501,W$1&amp;" (8)",""))&lt;lenb($Z501),8,IF(lenb(SUBSTITUTE($Z501,W$1&amp;" (9)",""))&lt;lenb($Z501),9,IF(lenb(SUBSTITUTE($Z501,W$1&amp;" (10)",""))&lt;lenb($Z501),10,IF(lenb(SUBSTITUTE($Z501,W$1,""))&lt;lenb($Z501),"ERROR",IF($Z501=$Y$1,"-",0))))))))))))</f>
        <v>0</v>
      </c>
      <c r="X501" s="116">
        <f t="shared" si="506"/>
        <v>0</v>
      </c>
      <c r="Y501" s="116" t="str">
        <f t="shared" si="4"/>
        <v>-</v>
      </c>
      <c r="Z501" s="115" t="s">
        <v>3452</v>
      </c>
      <c r="AA501" s="54">
        <f t="shared" si="5"/>
        <v>2</v>
      </c>
      <c r="AB501" s="54">
        <f>COUNTIFS(Links!B:B,"FSE",Links!C:C,A501,Links!AD:AD,1)</f>
        <v>0</v>
      </c>
      <c r="AC501" s="117" t="s">
        <v>35</v>
      </c>
      <c r="AD501" s="118" t="s">
        <v>37</v>
      </c>
      <c r="AE501" s="115" t="s">
        <v>4708</v>
      </c>
      <c r="AF501" s="57" t="s">
        <v>146</v>
      </c>
      <c r="AG501" s="57" t="s">
        <v>42</v>
      </c>
      <c r="AH501" s="57" t="s">
        <v>42</v>
      </c>
      <c r="AI501" s="116" t="str">
        <f t="shared" si="6"/>
        <v>Future plans (—)</v>
      </c>
      <c r="AJ501" s="119" t="str">
        <f t="shared" si="7"/>
        <v>Paper has link and statement</v>
      </c>
      <c r="AK501" s="120" t="s">
        <v>3401</v>
      </c>
      <c r="AL501" s="121" t="s">
        <v>3402</v>
      </c>
      <c r="AM501" s="60" t="str">
        <f t="shared" si="8"/>
        <v>[FP0407]</v>
      </c>
    </row>
    <row r="502" ht="67.5" customHeight="1">
      <c r="A502" s="61">
        <v>408.0</v>
      </c>
      <c r="B502" s="22" t="s">
        <v>4709</v>
      </c>
      <c r="C502" s="23">
        <v>2020.0</v>
      </c>
      <c r="D502" s="100" t="s">
        <v>37</v>
      </c>
      <c r="E502" s="25" t="s">
        <v>37</v>
      </c>
      <c r="F502" s="25" t="s">
        <v>35</v>
      </c>
      <c r="G502" s="25" t="s">
        <v>35</v>
      </c>
      <c r="H502" s="25" t="s">
        <v>35</v>
      </c>
      <c r="I502" s="25" t="s">
        <v>35</v>
      </c>
      <c r="J502" s="101" t="s">
        <v>36</v>
      </c>
      <c r="K502" s="102" t="s">
        <v>37</v>
      </c>
      <c r="L502" s="103" t="s">
        <v>35</v>
      </c>
      <c r="M502" s="103" t="s">
        <v>35</v>
      </c>
      <c r="N502" s="103" t="s">
        <v>35</v>
      </c>
      <c r="O502" s="103" t="s">
        <v>35</v>
      </c>
      <c r="P502" s="103" t="s">
        <v>35</v>
      </c>
      <c r="Q502" s="103" t="s">
        <v>35</v>
      </c>
      <c r="R502" s="103" t="s">
        <v>37</v>
      </c>
      <c r="S502" s="136" t="s">
        <v>4710</v>
      </c>
      <c r="T502" s="30" t="s">
        <v>4711</v>
      </c>
      <c r="U502" s="30" t="s">
        <v>4712</v>
      </c>
      <c r="V502" s="105">
        <f t="shared" si="2"/>
        <v>2</v>
      </c>
      <c r="W502" s="105">
        <f t="shared" ref="W502:X502" si="507">IF(lenb(SUBSTITUTE($Z502,W$1&amp;" (1)",""))&lt;lenb($Z502),1,IF(lenb(SUBSTITUTE($Z502,W$1&amp;" (2)",""))&lt;lenb($Z502),2,IF(lenb(SUBSTITUTE($Z502,W$1&amp;" (3)",""))&lt;lenb($Z502),3,IF(lenb(SUBSTITUTE($Z502,W$1&amp;" (4)",""))&lt;lenb($Z502),4,IF(lenb(SUBSTITUTE($Z502,W$1&amp;" (5)",""))&lt;lenb($Z502),5,IF(lenb(SUBSTITUTE($Z502,W$1&amp;" (6)",""))&lt;lenb($Z502),6,IF(lenb(SUBSTITUTE($Z502,W$1&amp;" (7)",""))&lt;lenb($Z502),1,IF(lenb(SUBSTITUTE($Z502,W$1&amp;" (8)",""))&lt;lenb($Z502),8,IF(lenb(SUBSTITUTE($Z502,W$1&amp;" (9)",""))&lt;lenb($Z502),9,IF(lenb(SUBSTITUTE($Z502,W$1&amp;" (10)",""))&lt;lenb($Z502),10,IF(lenb(SUBSTITUTE($Z502,W$1,""))&lt;lenb($Z502),"ERROR",IF($Z502=$Y$1,"-",0))))))))))))</f>
        <v>0</v>
      </c>
      <c r="X502" s="105">
        <f t="shared" si="507"/>
        <v>0</v>
      </c>
      <c r="Y502" s="105" t="str">
        <f t="shared" si="4"/>
        <v>-</v>
      </c>
      <c r="Z502" s="104" t="s">
        <v>3452</v>
      </c>
      <c r="AA502" s="34">
        <f t="shared" si="5"/>
        <v>2</v>
      </c>
      <c r="AB502" s="34">
        <f>COUNTIFS(Links!B:B,"FSE",Links!C:C,A502,Links!AD:AD,1)</f>
        <v>0</v>
      </c>
      <c r="AC502" s="106" t="s">
        <v>35</v>
      </c>
      <c r="AD502" s="107" t="s">
        <v>35</v>
      </c>
      <c r="AE502" s="104" t="s">
        <v>36</v>
      </c>
      <c r="AF502" s="37" t="s">
        <v>42</v>
      </c>
      <c r="AG502" s="37" t="s">
        <v>42</v>
      </c>
      <c r="AH502" s="37" t="s">
        <v>42</v>
      </c>
      <c r="AI502" s="105" t="str">
        <f t="shared" si="6"/>
        <v>----</v>
      </c>
      <c r="AJ502" s="108" t="str">
        <f t="shared" si="7"/>
        <v>Paper has link but no statement</v>
      </c>
      <c r="AK502" s="109" t="s">
        <v>3401</v>
      </c>
      <c r="AL502" s="110" t="s">
        <v>3402</v>
      </c>
      <c r="AM502" s="40" t="str">
        <f t="shared" si="8"/>
        <v>[FP0408]</v>
      </c>
    </row>
    <row r="503" ht="67.5" customHeight="1">
      <c r="A503" s="41">
        <v>409.0</v>
      </c>
      <c r="B503" s="42" t="s">
        <v>4713</v>
      </c>
      <c r="C503" s="43">
        <v>2020.0</v>
      </c>
      <c r="D503" s="111" t="s">
        <v>37</v>
      </c>
      <c r="E503" s="45" t="s">
        <v>37</v>
      </c>
      <c r="F503" s="45" t="s">
        <v>35</v>
      </c>
      <c r="G503" s="45" t="s">
        <v>35</v>
      </c>
      <c r="H503" s="45" t="s">
        <v>35</v>
      </c>
      <c r="I503" s="45" t="s">
        <v>35</v>
      </c>
      <c r="J503" s="112" t="s">
        <v>36</v>
      </c>
      <c r="K503" s="113" t="s">
        <v>37</v>
      </c>
      <c r="L503" s="114" t="s">
        <v>35</v>
      </c>
      <c r="M503" s="114" t="s">
        <v>37</v>
      </c>
      <c r="N503" s="114" t="s">
        <v>37</v>
      </c>
      <c r="O503" s="114" t="s">
        <v>35</v>
      </c>
      <c r="P503" s="114" t="s">
        <v>35</v>
      </c>
      <c r="Q503" s="114" t="s">
        <v>35</v>
      </c>
      <c r="R503" s="114" t="s">
        <v>37</v>
      </c>
      <c r="S503" s="115" t="s">
        <v>4714</v>
      </c>
      <c r="T503" s="50" t="s">
        <v>4715</v>
      </c>
      <c r="U503" s="50" t="s">
        <v>4715</v>
      </c>
      <c r="V503" s="116">
        <f t="shared" si="2"/>
        <v>1</v>
      </c>
      <c r="W503" s="116">
        <f t="shared" ref="W503:X503" si="508">IF(lenb(SUBSTITUTE($Z503,W$1&amp;" (1)",""))&lt;lenb($Z503),1,IF(lenb(SUBSTITUTE($Z503,W$1&amp;" (2)",""))&lt;lenb($Z503),2,IF(lenb(SUBSTITUTE($Z503,W$1&amp;" (3)",""))&lt;lenb($Z503),3,IF(lenb(SUBSTITUTE($Z503,W$1&amp;" (4)",""))&lt;lenb($Z503),4,IF(lenb(SUBSTITUTE($Z503,W$1&amp;" (5)",""))&lt;lenb($Z503),5,IF(lenb(SUBSTITUTE($Z503,W$1&amp;" (6)",""))&lt;lenb($Z503),6,IF(lenb(SUBSTITUTE($Z503,W$1&amp;" (7)",""))&lt;lenb($Z503),1,IF(lenb(SUBSTITUTE($Z503,W$1&amp;" (8)",""))&lt;lenb($Z503),8,IF(lenb(SUBSTITUTE($Z503,W$1&amp;" (9)",""))&lt;lenb($Z503),9,IF(lenb(SUBSTITUTE($Z503,W$1&amp;" (10)",""))&lt;lenb($Z503),10,IF(lenb(SUBSTITUTE($Z503,W$1,""))&lt;lenb($Z503),"ERROR",IF($Z503=$Y$1,"-",0))))))))))))</f>
        <v>0</v>
      </c>
      <c r="X503" s="116">
        <f t="shared" si="508"/>
        <v>0</v>
      </c>
      <c r="Y503" s="116" t="str">
        <f t="shared" si="4"/>
        <v>-</v>
      </c>
      <c r="Z503" s="115" t="s">
        <v>3400</v>
      </c>
      <c r="AA503" s="54">
        <f t="shared" si="5"/>
        <v>1</v>
      </c>
      <c r="AB503" s="54">
        <f>COUNTIFS(Links!B:B,"FSE",Links!C:C,A503,Links!AD:AD,1)</f>
        <v>0</v>
      </c>
      <c r="AC503" s="117" t="s">
        <v>37</v>
      </c>
      <c r="AD503" s="118" t="s">
        <v>35</v>
      </c>
      <c r="AE503" s="115" t="s">
        <v>36</v>
      </c>
      <c r="AF503" s="57" t="s">
        <v>42</v>
      </c>
      <c r="AG503" s="57" t="s">
        <v>42</v>
      </c>
      <c r="AH503" s="57" t="s">
        <v>42</v>
      </c>
      <c r="AI503" s="116" t="str">
        <f t="shared" si="6"/>
        <v>----</v>
      </c>
      <c r="AJ503" s="119" t="str">
        <f t="shared" si="7"/>
        <v>Paper has link but no statement</v>
      </c>
      <c r="AK503" s="120" t="s">
        <v>3401</v>
      </c>
      <c r="AL503" s="121" t="s">
        <v>3402</v>
      </c>
      <c r="AM503" s="60" t="str">
        <f t="shared" si="8"/>
        <v>[FP0409]</v>
      </c>
    </row>
    <row r="504" ht="67.5" customHeight="1">
      <c r="A504" s="61">
        <v>410.0</v>
      </c>
      <c r="B504" s="22" t="s">
        <v>4716</v>
      </c>
      <c r="C504" s="23">
        <v>2020.0</v>
      </c>
      <c r="D504" s="100" t="s">
        <v>37</v>
      </c>
      <c r="E504" s="25" t="s">
        <v>37</v>
      </c>
      <c r="F504" s="25" t="s">
        <v>37</v>
      </c>
      <c r="G504" s="25" t="s">
        <v>35</v>
      </c>
      <c r="H504" s="25" t="s">
        <v>35</v>
      </c>
      <c r="I504" s="25" t="s">
        <v>35</v>
      </c>
      <c r="J504" s="101" t="s">
        <v>36</v>
      </c>
      <c r="K504" s="102" t="s">
        <v>37</v>
      </c>
      <c r="L504" s="103" t="s">
        <v>35</v>
      </c>
      <c r="M504" s="103" t="s">
        <v>37</v>
      </c>
      <c r="N504" s="103" t="s">
        <v>35</v>
      </c>
      <c r="O504" s="103" t="s">
        <v>35</v>
      </c>
      <c r="P504" s="103" t="s">
        <v>35</v>
      </c>
      <c r="Q504" s="103" t="s">
        <v>35</v>
      </c>
      <c r="R504" s="103" t="s">
        <v>37</v>
      </c>
      <c r="S504" s="104" t="s">
        <v>4717</v>
      </c>
      <c r="T504" s="30" t="s">
        <v>4718</v>
      </c>
      <c r="U504" s="30" t="s">
        <v>4718</v>
      </c>
      <c r="V504" s="105">
        <f t="shared" si="2"/>
        <v>1</v>
      </c>
      <c r="W504" s="105">
        <f t="shared" ref="W504:X504" si="509">IF(lenb(SUBSTITUTE($Z504,W$1&amp;" (1)",""))&lt;lenb($Z504),1,IF(lenb(SUBSTITUTE($Z504,W$1&amp;" (2)",""))&lt;lenb($Z504),2,IF(lenb(SUBSTITUTE($Z504,W$1&amp;" (3)",""))&lt;lenb($Z504),3,IF(lenb(SUBSTITUTE($Z504,W$1&amp;" (4)",""))&lt;lenb($Z504),4,IF(lenb(SUBSTITUTE($Z504,W$1&amp;" (5)",""))&lt;lenb($Z504),5,IF(lenb(SUBSTITUTE($Z504,W$1&amp;" (6)",""))&lt;lenb($Z504),6,IF(lenb(SUBSTITUTE($Z504,W$1&amp;" (7)",""))&lt;lenb($Z504),1,IF(lenb(SUBSTITUTE($Z504,W$1&amp;" (8)",""))&lt;lenb($Z504),8,IF(lenb(SUBSTITUTE($Z504,W$1&amp;" (9)",""))&lt;lenb($Z504),9,IF(lenb(SUBSTITUTE($Z504,W$1&amp;" (10)",""))&lt;lenb($Z504),10,IF(lenb(SUBSTITUTE($Z504,W$1,""))&lt;lenb($Z504),"ERROR",IF($Z504=$Y$1,"-",0))))))))))))</f>
        <v>0</v>
      </c>
      <c r="X504" s="105">
        <f t="shared" si="509"/>
        <v>0</v>
      </c>
      <c r="Y504" s="105" t="str">
        <f t="shared" si="4"/>
        <v>-</v>
      </c>
      <c r="Z504" s="104" t="s">
        <v>3400</v>
      </c>
      <c r="AA504" s="34">
        <f t="shared" si="5"/>
        <v>1</v>
      </c>
      <c r="AB504" s="34">
        <f>COUNTIFS(Links!B:B,"FSE",Links!C:C,A504,Links!AD:AD,1)</f>
        <v>0</v>
      </c>
      <c r="AC504" s="106" t="s">
        <v>37</v>
      </c>
      <c r="AD504" s="107" t="s">
        <v>35</v>
      </c>
      <c r="AE504" s="104" t="s">
        <v>36</v>
      </c>
      <c r="AF504" s="37" t="s">
        <v>42</v>
      </c>
      <c r="AG504" s="37" t="s">
        <v>42</v>
      </c>
      <c r="AH504" s="37" t="s">
        <v>42</v>
      </c>
      <c r="AI504" s="105" t="str">
        <f t="shared" si="6"/>
        <v>----</v>
      </c>
      <c r="AJ504" s="108" t="str">
        <f t="shared" si="7"/>
        <v>Paper has link but no statement</v>
      </c>
      <c r="AK504" s="109" t="s">
        <v>3401</v>
      </c>
      <c r="AL504" s="110" t="s">
        <v>3402</v>
      </c>
      <c r="AM504" s="40" t="str">
        <f t="shared" si="8"/>
        <v>[FP0410]</v>
      </c>
    </row>
    <row r="505" ht="67.5" customHeight="1">
      <c r="A505" s="41">
        <v>411.0</v>
      </c>
      <c r="B505" s="42" t="s">
        <v>4719</v>
      </c>
      <c r="C505" s="43">
        <v>2020.0</v>
      </c>
      <c r="D505" s="111" t="s">
        <v>35</v>
      </c>
      <c r="E505" s="45" t="s">
        <v>36</v>
      </c>
      <c r="F505" s="45" t="s">
        <v>36</v>
      </c>
      <c r="G505" s="45" t="s">
        <v>36</v>
      </c>
      <c r="H505" s="45" t="s">
        <v>36</v>
      </c>
      <c r="I505" s="45" t="s">
        <v>36</v>
      </c>
      <c r="J505" s="112" t="s">
        <v>36</v>
      </c>
      <c r="K505" s="113" t="s">
        <v>37</v>
      </c>
      <c r="L505" s="114" t="s">
        <v>37</v>
      </c>
      <c r="M505" s="114" t="s">
        <v>35</v>
      </c>
      <c r="N505" s="114" t="s">
        <v>35</v>
      </c>
      <c r="O505" s="114" t="s">
        <v>35</v>
      </c>
      <c r="P505" s="114" t="s">
        <v>35</v>
      </c>
      <c r="Q505" s="114" t="s">
        <v>35</v>
      </c>
      <c r="R505" s="114" t="s">
        <v>37</v>
      </c>
      <c r="S505" s="115" t="s">
        <v>4720</v>
      </c>
      <c r="T505" s="50" t="s">
        <v>4721</v>
      </c>
      <c r="U505" s="50" t="s">
        <v>4721</v>
      </c>
      <c r="V505" s="116">
        <f t="shared" si="2"/>
        <v>1</v>
      </c>
      <c r="W505" s="116">
        <f t="shared" ref="W505:X505" si="510">IF(lenb(SUBSTITUTE($Z505,W$1&amp;" (1)",""))&lt;lenb($Z505),1,IF(lenb(SUBSTITUTE($Z505,W$1&amp;" (2)",""))&lt;lenb($Z505),2,IF(lenb(SUBSTITUTE($Z505,W$1&amp;" (3)",""))&lt;lenb($Z505),3,IF(lenb(SUBSTITUTE($Z505,W$1&amp;" (4)",""))&lt;lenb($Z505),4,IF(lenb(SUBSTITUTE($Z505,W$1&amp;" (5)",""))&lt;lenb($Z505),5,IF(lenb(SUBSTITUTE($Z505,W$1&amp;" (6)",""))&lt;lenb($Z505),6,IF(lenb(SUBSTITUTE($Z505,W$1&amp;" (7)",""))&lt;lenb($Z505),1,IF(lenb(SUBSTITUTE($Z505,W$1&amp;" (8)",""))&lt;lenb($Z505),8,IF(lenb(SUBSTITUTE($Z505,W$1&amp;" (9)",""))&lt;lenb($Z505),9,IF(lenb(SUBSTITUTE($Z505,W$1&amp;" (10)",""))&lt;lenb($Z505),10,IF(lenb(SUBSTITUTE($Z505,W$1,""))&lt;lenb($Z505),"ERROR",IF($Z505=$Y$1,"-",0))))))))))))</f>
        <v>0</v>
      </c>
      <c r="X505" s="116">
        <f t="shared" si="510"/>
        <v>0</v>
      </c>
      <c r="Y505" s="116" t="str">
        <f t="shared" si="4"/>
        <v>-</v>
      </c>
      <c r="Z505" s="115" t="s">
        <v>3400</v>
      </c>
      <c r="AA505" s="54">
        <f t="shared" si="5"/>
        <v>1</v>
      </c>
      <c r="AB505" s="54">
        <f>COUNTIFS(Links!B:B,"FSE",Links!C:C,A505,Links!AD:AD,1)</f>
        <v>0</v>
      </c>
      <c r="AC505" s="117" t="s">
        <v>35</v>
      </c>
      <c r="AD505" s="118" t="s">
        <v>35</v>
      </c>
      <c r="AE505" s="115" t="s">
        <v>36</v>
      </c>
      <c r="AF505" s="57" t="s">
        <v>42</v>
      </c>
      <c r="AG505" s="57" t="s">
        <v>42</v>
      </c>
      <c r="AH505" s="57" t="s">
        <v>42</v>
      </c>
      <c r="AI505" s="116" t="str">
        <f t="shared" si="6"/>
        <v>----</v>
      </c>
      <c r="AJ505" s="119" t="str">
        <f t="shared" si="7"/>
        <v>Paper has link but no statement</v>
      </c>
      <c r="AK505" s="120" t="s">
        <v>3401</v>
      </c>
      <c r="AL505" s="121" t="s">
        <v>3402</v>
      </c>
      <c r="AM505" s="60" t="str">
        <f t="shared" si="8"/>
        <v>[FP0411]</v>
      </c>
    </row>
    <row r="506" ht="67.5" customHeight="1">
      <c r="A506" s="61">
        <v>412.0</v>
      </c>
      <c r="B506" s="22" t="s">
        <v>4722</v>
      </c>
      <c r="C506" s="23">
        <v>2020.0</v>
      </c>
      <c r="D506" s="100" t="s">
        <v>37</v>
      </c>
      <c r="E506" s="25" t="s">
        <v>37</v>
      </c>
      <c r="F506" s="25" t="s">
        <v>37</v>
      </c>
      <c r="G506" s="25" t="s">
        <v>37</v>
      </c>
      <c r="H506" s="25" t="s">
        <v>35</v>
      </c>
      <c r="I506" s="25" t="s">
        <v>35</v>
      </c>
      <c r="J506" s="101" t="s">
        <v>36</v>
      </c>
      <c r="K506" s="102" t="s">
        <v>37</v>
      </c>
      <c r="L506" s="103" t="s">
        <v>35</v>
      </c>
      <c r="M506" s="103" t="s">
        <v>35</v>
      </c>
      <c r="N506" s="103" t="s">
        <v>35</v>
      </c>
      <c r="O506" s="103" t="s">
        <v>35</v>
      </c>
      <c r="P506" s="103" t="s">
        <v>35</v>
      </c>
      <c r="Q506" s="103" t="s">
        <v>35</v>
      </c>
      <c r="R506" s="103" t="s">
        <v>37</v>
      </c>
      <c r="S506" s="104" t="s">
        <v>4723</v>
      </c>
      <c r="T506" s="30" t="s">
        <v>4724</v>
      </c>
      <c r="U506" s="30" t="s">
        <v>4724</v>
      </c>
      <c r="V506" s="105">
        <f t="shared" si="2"/>
        <v>1</v>
      </c>
      <c r="W506" s="105">
        <f t="shared" ref="W506:X506" si="511">IF(lenb(SUBSTITUTE($Z506,W$1&amp;" (1)",""))&lt;lenb($Z506),1,IF(lenb(SUBSTITUTE($Z506,W$1&amp;" (2)",""))&lt;lenb($Z506),2,IF(lenb(SUBSTITUTE($Z506,W$1&amp;" (3)",""))&lt;lenb($Z506),3,IF(lenb(SUBSTITUTE($Z506,W$1&amp;" (4)",""))&lt;lenb($Z506),4,IF(lenb(SUBSTITUTE($Z506,W$1&amp;" (5)",""))&lt;lenb($Z506),5,IF(lenb(SUBSTITUTE($Z506,W$1&amp;" (6)",""))&lt;lenb($Z506),6,IF(lenb(SUBSTITUTE($Z506,W$1&amp;" (7)",""))&lt;lenb($Z506),1,IF(lenb(SUBSTITUTE($Z506,W$1&amp;" (8)",""))&lt;lenb($Z506),8,IF(lenb(SUBSTITUTE($Z506,W$1&amp;" (9)",""))&lt;lenb($Z506),9,IF(lenb(SUBSTITUTE($Z506,W$1&amp;" (10)",""))&lt;lenb($Z506),10,IF(lenb(SUBSTITUTE($Z506,W$1,""))&lt;lenb($Z506),"ERROR",IF($Z506=$Y$1,"-",0))))))))))))</f>
        <v>0</v>
      </c>
      <c r="X506" s="105">
        <f t="shared" si="511"/>
        <v>0</v>
      </c>
      <c r="Y506" s="105" t="str">
        <f t="shared" si="4"/>
        <v>-</v>
      </c>
      <c r="Z506" s="104" t="s">
        <v>3400</v>
      </c>
      <c r="AA506" s="34">
        <f t="shared" si="5"/>
        <v>1</v>
      </c>
      <c r="AB506" s="34">
        <f>COUNTIFS(Links!B:B,"FSE",Links!C:C,A506,Links!AD:AD,1)</f>
        <v>0</v>
      </c>
      <c r="AC506" s="106" t="s">
        <v>37</v>
      </c>
      <c r="AD506" s="107" t="s">
        <v>35</v>
      </c>
      <c r="AE506" s="104" t="s">
        <v>36</v>
      </c>
      <c r="AF506" s="37" t="s">
        <v>42</v>
      </c>
      <c r="AG506" s="37" t="s">
        <v>42</v>
      </c>
      <c r="AH506" s="37" t="s">
        <v>42</v>
      </c>
      <c r="AI506" s="105" t="str">
        <f t="shared" si="6"/>
        <v>----</v>
      </c>
      <c r="AJ506" s="108" t="str">
        <f t="shared" si="7"/>
        <v>Paper has link but no statement</v>
      </c>
      <c r="AK506" s="109" t="s">
        <v>3401</v>
      </c>
      <c r="AL506" s="110" t="s">
        <v>3402</v>
      </c>
      <c r="AM506" s="40" t="str">
        <f t="shared" si="8"/>
        <v>[FP0412]</v>
      </c>
    </row>
    <row r="507" ht="67.5" customHeight="1">
      <c r="A507" s="41">
        <v>413.0</v>
      </c>
      <c r="B507" s="42" t="s">
        <v>4725</v>
      </c>
      <c r="C507" s="43">
        <v>2020.0</v>
      </c>
      <c r="D507" s="111" t="s">
        <v>37</v>
      </c>
      <c r="E507" s="45" t="s">
        <v>37</v>
      </c>
      <c r="F507" s="45" t="s">
        <v>37</v>
      </c>
      <c r="G507" s="45" t="s">
        <v>35</v>
      </c>
      <c r="H507" s="45" t="s">
        <v>35</v>
      </c>
      <c r="I507" s="45" t="s">
        <v>35</v>
      </c>
      <c r="J507" s="112" t="s">
        <v>36</v>
      </c>
      <c r="K507" s="113" t="s">
        <v>37</v>
      </c>
      <c r="L507" s="114" t="s">
        <v>37</v>
      </c>
      <c r="M507" s="114" t="s">
        <v>35</v>
      </c>
      <c r="N507" s="114" t="s">
        <v>35</v>
      </c>
      <c r="O507" s="114" t="s">
        <v>35</v>
      </c>
      <c r="P507" s="114" t="s">
        <v>35</v>
      </c>
      <c r="Q507" s="114" t="s">
        <v>37</v>
      </c>
      <c r="R507" s="114" t="s">
        <v>37</v>
      </c>
      <c r="S507" s="115" t="s">
        <v>4726</v>
      </c>
      <c r="T507" s="50" t="s">
        <v>4727</v>
      </c>
      <c r="U507" s="50" t="s">
        <v>4727</v>
      </c>
      <c r="V507" s="116">
        <f t="shared" si="2"/>
        <v>1</v>
      </c>
      <c r="W507" s="116">
        <f t="shared" ref="W507:X507" si="512">IF(lenb(SUBSTITUTE($Z507,W$1&amp;" (1)",""))&lt;lenb($Z507),1,IF(lenb(SUBSTITUTE($Z507,W$1&amp;" (2)",""))&lt;lenb($Z507),2,IF(lenb(SUBSTITUTE($Z507,W$1&amp;" (3)",""))&lt;lenb($Z507),3,IF(lenb(SUBSTITUTE($Z507,W$1&amp;" (4)",""))&lt;lenb($Z507),4,IF(lenb(SUBSTITUTE($Z507,W$1&amp;" (5)",""))&lt;lenb($Z507),5,IF(lenb(SUBSTITUTE($Z507,W$1&amp;" (6)",""))&lt;lenb($Z507),6,IF(lenb(SUBSTITUTE($Z507,W$1&amp;" (7)",""))&lt;lenb($Z507),1,IF(lenb(SUBSTITUTE($Z507,W$1&amp;" (8)",""))&lt;lenb($Z507),8,IF(lenb(SUBSTITUTE($Z507,W$1&amp;" (9)",""))&lt;lenb($Z507),9,IF(lenb(SUBSTITUTE($Z507,W$1&amp;" (10)",""))&lt;lenb($Z507),10,IF(lenb(SUBSTITUTE($Z507,W$1,""))&lt;lenb($Z507),"ERROR",IF($Z507=$Y$1,"-",0))))))))))))</f>
        <v>1</v>
      </c>
      <c r="X507" s="116">
        <f t="shared" si="512"/>
        <v>0</v>
      </c>
      <c r="Y507" s="116" t="str">
        <f t="shared" si="4"/>
        <v>-</v>
      </c>
      <c r="Z507" s="115" t="s">
        <v>3441</v>
      </c>
      <c r="AA507" s="54">
        <f t="shared" si="5"/>
        <v>2</v>
      </c>
      <c r="AB507" s="54">
        <f>COUNTIFS(Links!B:B,"FSE",Links!C:C,A507,Links!AD:AD,1)</f>
        <v>0</v>
      </c>
      <c r="AC507" s="117" t="s">
        <v>35</v>
      </c>
      <c r="AD507" s="118" t="s">
        <v>37</v>
      </c>
      <c r="AE507" s="115" t="s">
        <v>4728</v>
      </c>
      <c r="AF507" s="57" t="s">
        <v>2138</v>
      </c>
      <c r="AG507" s="57" t="s">
        <v>42</v>
      </c>
      <c r="AH507" s="57" t="s">
        <v>42</v>
      </c>
      <c r="AI507" s="116" t="str">
        <f t="shared" si="6"/>
        <v>No reason (—)</v>
      </c>
      <c r="AJ507" s="119" t="str">
        <f t="shared" si="7"/>
        <v>Paper has link and statement</v>
      </c>
      <c r="AK507" s="120" t="s">
        <v>3401</v>
      </c>
      <c r="AL507" s="121" t="s">
        <v>3402</v>
      </c>
      <c r="AM507" s="60" t="str">
        <f t="shared" si="8"/>
        <v>[FP0413]</v>
      </c>
    </row>
    <row r="508" ht="67.5" customHeight="1">
      <c r="A508" s="61">
        <v>414.0</v>
      </c>
      <c r="B508" s="22" t="s">
        <v>4729</v>
      </c>
      <c r="C508" s="23">
        <v>2020.0</v>
      </c>
      <c r="D508" s="100" t="s">
        <v>35</v>
      </c>
      <c r="E508" s="25" t="s">
        <v>36</v>
      </c>
      <c r="F508" s="25" t="s">
        <v>36</v>
      </c>
      <c r="G508" s="25" t="s">
        <v>36</v>
      </c>
      <c r="H508" s="25" t="s">
        <v>36</v>
      </c>
      <c r="I508" s="25" t="s">
        <v>36</v>
      </c>
      <c r="J508" s="101" t="s">
        <v>36</v>
      </c>
      <c r="K508" s="102" t="s">
        <v>37</v>
      </c>
      <c r="L508" s="103" t="s">
        <v>37</v>
      </c>
      <c r="M508" s="103" t="s">
        <v>35</v>
      </c>
      <c r="N508" s="103" t="s">
        <v>37</v>
      </c>
      <c r="O508" s="103" t="s">
        <v>35</v>
      </c>
      <c r="P508" s="103" t="s">
        <v>35</v>
      </c>
      <c r="Q508" s="103" t="s">
        <v>35</v>
      </c>
      <c r="R508" s="103" t="s">
        <v>37</v>
      </c>
      <c r="S508" s="104" t="s">
        <v>4730</v>
      </c>
      <c r="T508" s="30" t="s">
        <v>4731</v>
      </c>
      <c r="U508" s="30" t="s">
        <v>4731</v>
      </c>
      <c r="V508" s="105">
        <f t="shared" si="2"/>
        <v>2</v>
      </c>
      <c r="W508" s="105">
        <f t="shared" ref="W508:X508" si="513">IF(lenb(SUBSTITUTE($Z508,W$1&amp;" (1)",""))&lt;lenb($Z508),1,IF(lenb(SUBSTITUTE($Z508,W$1&amp;" (2)",""))&lt;lenb($Z508),2,IF(lenb(SUBSTITUTE($Z508,W$1&amp;" (3)",""))&lt;lenb($Z508),3,IF(lenb(SUBSTITUTE($Z508,W$1&amp;" (4)",""))&lt;lenb($Z508),4,IF(lenb(SUBSTITUTE($Z508,W$1&amp;" (5)",""))&lt;lenb($Z508),5,IF(lenb(SUBSTITUTE($Z508,W$1&amp;" (6)",""))&lt;lenb($Z508),6,IF(lenb(SUBSTITUTE($Z508,W$1&amp;" (7)",""))&lt;lenb($Z508),1,IF(lenb(SUBSTITUTE($Z508,W$1&amp;" (8)",""))&lt;lenb($Z508),8,IF(lenb(SUBSTITUTE($Z508,W$1&amp;" (9)",""))&lt;lenb($Z508),9,IF(lenb(SUBSTITUTE($Z508,W$1&amp;" (10)",""))&lt;lenb($Z508),10,IF(lenb(SUBSTITUTE($Z508,W$1,""))&lt;lenb($Z508),"ERROR",IF($Z508=$Y$1,"-",0))))))))))))</f>
        <v>0</v>
      </c>
      <c r="X508" s="105">
        <f t="shared" si="513"/>
        <v>0</v>
      </c>
      <c r="Y508" s="105" t="str">
        <f t="shared" si="4"/>
        <v>-</v>
      </c>
      <c r="Z508" s="104" t="s">
        <v>3452</v>
      </c>
      <c r="AA508" s="34">
        <f t="shared" si="5"/>
        <v>2</v>
      </c>
      <c r="AB508" s="34">
        <f>COUNTIFS(Links!B:B,"FSE",Links!C:C,A508,Links!AD:AD,1)</f>
        <v>0</v>
      </c>
      <c r="AC508" s="106" t="s">
        <v>35</v>
      </c>
      <c r="AD508" s="107" t="s">
        <v>35</v>
      </c>
      <c r="AE508" s="104" t="s">
        <v>36</v>
      </c>
      <c r="AF508" s="37" t="s">
        <v>42</v>
      </c>
      <c r="AG508" s="37" t="s">
        <v>42</v>
      </c>
      <c r="AH508" s="37" t="s">
        <v>42</v>
      </c>
      <c r="AI508" s="105" t="str">
        <f t="shared" si="6"/>
        <v>----</v>
      </c>
      <c r="AJ508" s="108" t="str">
        <f t="shared" si="7"/>
        <v>Paper has link but no statement</v>
      </c>
      <c r="AK508" s="109" t="s">
        <v>3401</v>
      </c>
      <c r="AL508" s="110" t="s">
        <v>3402</v>
      </c>
      <c r="AM508" s="40" t="str">
        <f t="shared" si="8"/>
        <v>[FP0414]</v>
      </c>
    </row>
    <row r="509" ht="67.5" customHeight="1">
      <c r="A509" s="41">
        <v>415.0</v>
      </c>
      <c r="B509" s="42" t="s">
        <v>4732</v>
      </c>
      <c r="C509" s="43">
        <v>2020.0</v>
      </c>
      <c r="D509" s="111" t="s">
        <v>37</v>
      </c>
      <c r="E509" s="45" t="s">
        <v>37</v>
      </c>
      <c r="F509" s="45" t="s">
        <v>37</v>
      </c>
      <c r="G509" s="45" t="s">
        <v>37</v>
      </c>
      <c r="H509" s="45" t="s">
        <v>35</v>
      </c>
      <c r="I509" s="45" t="s">
        <v>35</v>
      </c>
      <c r="J509" s="112" t="s">
        <v>36</v>
      </c>
      <c r="K509" s="113" t="s">
        <v>37</v>
      </c>
      <c r="L509" s="114" t="s">
        <v>37</v>
      </c>
      <c r="M509" s="114" t="s">
        <v>35</v>
      </c>
      <c r="N509" s="114" t="s">
        <v>37</v>
      </c>
      <c r="O509" s="114" t="s">
        <v>35</v>
      </c>
      <c r="P509" s="114" t="s">
        <v>35</v>
      </c>
      <c r="Q509" s="114" t="s">
        <v>35</v>
      </c>
      <c r="R509" s="114" t="s">
        <v>37</v>
      </c>
      <c r="S509" s="115" t="s">
        <v>4733</v>
      </c>
      <c r="T509" s="50" t="s">
        <v>4734</v>
      </c>
      <c r="U509" s="50" t="s">
        <v>4734</v>
      </c>
      <c r="V509" s="116">
        <f t="shared" si="2"/>
        <v>3</v>
      </c>
      <c r="W509" s="116">
        <f t="shared" ref="W509:X509" si="514">IF(lenb(SUBSTITUTE($Z509,W$1&amp;" (1)",""))&lt;lenb($Z509),1,IF(lenb(SUBSTITUTE($Z509,W$1&amp;" (2)",""))&lt;lenb($Z509),2,IF(lenb(SUBSTITUTE($Z509,W$1&amp;" (3)",""))&lt;lenb($Z509),3,IF(lenb(SUBSTITUTE($Z509,W$1&amp;" (4)",""))&lt;lenb($Z509),4,IF(lenb(SUBSTITUTE($Z509,W$1&amp;" (5)",""))&lt;lenb($Z509),5,IF(lenb(SUBSTITUTE($Z509,W$1&amp;" (6)",""))&lt;lenb($Z509),6,IF(lenb(SUBSTITUTE($Z509,W$1&amp;" (7)",""))&lt;lenb($Z509),1,IF(lenb(SUBSTITUTE($Z509,W$1&amp;" (8)",""))&lt;lenb($Z509),8,IF(lenb(SUBSTITUTE($Z509,W$1&amp;" (9)",""))&lt;lenb($Z509),9,IF(lenb(SUBSTITUTE($Z509,W$1&amp;" (10)",""))&lt;lenb($Z509),10,IF(lenb(SUBSTITUTE($Z509,W$1,""))&lt;lenb($Z509),"ERROR",IF($Z509=$Y$1,"-",0))))))))))))</f>
        <v>0</v>
      </c>
      <c r="X509" s="116">
        <f t="shared" si="514"/>
        <v>0</v>
      </c>
      <c r="Y509" s="116" t="str">
        <f t="shared" si="4"/>
        <v>-</v>
      </c>
      <c r="Z509" s="115" t="s">
        <v>3741</v>
      </c>
      <c r="AA509" s="54">
        <f t="shared" si="5"/>
        <v>3</v>
      </c>
      <c r="AB509" s="54">
        <f>COUNTIFS(Links!B:B,"FSE",Links!C:C,A509,Links!AD:AD,1)</f>
        <v>0</v>
      </c>
      <c r="AC509" s="117" t="s">
        <v>37</v>
      </c>
      <c r="AD509" s="118" t="s">
        <v>35</v>
      </c>
      <c r="AE509" s="115" t="s">
        <v>36</v>
      </c>
      <c r="AF509" s="57" t="s">
        <v>42</v>
      </c>
      <c r="AG509" s="57" t="s">
        <v>42</v>
      </c>
      <c r="AH509" s="57" t="s">
        <v>42</v>
      </c>
      <c r="AI509" s="116" t="str">
        <f t="shared" si="6"/>
        <v>----</v>
      </c>
      <c r="AJ509" s="119" t="str">
        <f t="shared" si="7"/>
        <v>Paper has link but no statement</v>
      </c>
      <c r="AK509" s="120" t="s">
        <v>3401</v>
      </c>
      <c r="AL509" s="121" t="s">
        <v>3402</v>
      </c>
      <c r="AM509" s="60" t="str">
        <f t="shared" si="8"/>
        <v>[FP0415]</v>
      </c>
    </row>
    <row r="510" ht="67.5" customHeight="1">
      <c r="A510" s="61">
        <v>416.0</v>
      </c>
      <c r="B510" s="22" t="s">
        <v>4735</v>
      </c>
      <c r="C510" s="23">
        <v>2020.0</v>
      </c>
      <c r="D510" s="100" t="s">
        <v>37</v>
      </c>
      <c r="E510" s="25" t="s">
        <v>37</v>
      </c>
      <c r="F510" s="25" t="s">
        <v>37</v>
      </c>
      <c r="G510" s="25" t="s">
        <v>37</v>
      </c>
      <c r="H510" s="25" t="s">
        <v>35</v>
      </c>
      <c r="I510" s="25" t="s">
        <v>35</v>
      </c>
      <c r="J510" s="101" t="s">
        <v>36</v>
      </c>
      <c r="K510" s="102" t="s">
        <v>37</v>
      </c>
      <c r="L510" s="103" t="s">
        <v>37</v>
      </c>
      <c r="M510" s="103" t="s">
        <v>35</v>
      </c>
      <c r="N510" s="103" t="s">
        <v>35</v>
      </c>
      <c r="O510" s="103" t="s">
        <v>35</v>
      </c>
      <c r="P510" s="103" t="s">
        <v>35</v>
      </c>
      <c r="Q510" s="103" t="s">
        <v>35</v>
      </c>
      <c r="R510" s="103" t="s">
        <v>37</v>
      </c>
      <c r="S510" s="104" t="s">
        <v>4736</v>
      </c>
      <c r="T510" s="30" t="s">
        <v>4737</v>
      </c>
      <c r="U510" s="30" t="s">
        <v>4738</v>
      </c>
      <c r="V510" s="105">
        <f t="shared" si="2"/>
        <v>1</v>
      </c>
      <c r="W510" s="105">
        <f t="shared" ref="W510:X510" si="515">IF(lenb(SUBSTITUTE($Z510,W$1&amp;" (1)",""))&lt;lenb($Z510),1,IF(lenb(SUBSTITUTE($Z510,W$1&amp;" (2)",""))&lt;lenb($Z510),2,IF(lenb(SUBSTITUTE($Z510,W$1&amp;" (3)",""))&lt;lenb($Z510),3,IF(lenb(SUBSTITUTE($Z510,W$1&amp;" (4)",""))&lt;lenb($Z510),4,IF(lenb(SUBSTITUTE($Z510,W$1&amp;" (5)",""))&lt;lenb($Z510),5,IF(lenb(SUBSTITUTE($Z510,W$1&amp;" (6)",""))&lt;lenb($Z510),6,IF(lenb(SUBSTITUTE($Z510,W$1&amp;" (7)",""))&lt;lenb($Z510),1,IF(lenb(SUBSTITUTE($Z510,W$1&amp;" (8)",""))&lt;lenb($Z510),8,IF(lenb(SUBSTITUTE($Z510,W$1&amp;" (9)",""))&lt;lenb($Z510),9,IF(lenb(SUBSTITUTE($Z510,W$1&amp;" (10)",""))&lt;lenb($Z510),10,IF(lenb(SUBSTITUTE($Z510,W$1,""))&lt;lenb($Z510),"ERROR",IF($Z510=$Y$1,"-",0))))))))))))</f>
        <v>0</v>
      </c>
      <c r="X510" s="105">
        <f t="shared" si="515"/>
        <v>0</v>
      </c>
      <c r="Y510" s="105" t="str">
        <f t="shared" si="4"/>
        <v>-</v>
      </c>
      <c r="Z510" s="104" t="s">
        <v>3400</v>
      </c>
      <c r="AA510" s="34">
        <f t="shared" si="5"/>
        <v>1</v>
      </c>
      <c r="AB510" s="34">
        <f>COUNTIFS(Links!B:B,"FSE",Links!C:C,A510,Links!AD:AD,1)</f>
        <v>1</v>
      </c>
      <c r="AC510" s="106" t="s">
        <v>37</v>
      </c>
      <c r="AD510" s="107" t="s">
        <v>35</v>
      </c>
      <c r="AE510" s="104" t="s">
        <v>36</v>
      </c>
      <c r="AF510" s="37" t="s">
        <v>42</v>
      </c>
      <c r="AG510" s="37" t="s">
        <v>42</v>
      </c>
      <c r="AH510" s="37" t="s">
        <v>42</v>
      </c>
      <c r="AI510" s="105" t="str">
        <f t="shared" si="6"/>
        <v>----</v>
      </c>
      <c r="AJ510" s="108" t="str">
        <f t="shared" si="7"/>
        <v>Paper has link but no statement</v>
      </c>
      <c r="AK510" s="109" t="s">
        <v>3401</v>
      </c>
      <c r="AL510" s="110" t="s">
        <v>3402</v>
      </c>
      <c r="AM510" s="40" t="str">
        <f t="shared" si="8"/>
        <v>[FP0416]</v>
      </c>
    </row>
    <row r="511" ht="67.5" customHeight="1">
      <c r="A511" s="41">
        <v>417.0</v>
      </c>
      <c r="B511" s="42" t="s">
        <v>4739</v>
      </c>
      <c r="C511" s="43">
        <v>2020.0</v>
      </c>
      <c r="D511" s="111" t="s">
        <v>37</v>
      </c>
      <c r="E511" s="45" t="s">
        <v>37</v>
      </c>
      <c r="F511" s="45" t="s">
        <v>37</v>
      </c>
      <c r="G511" s="45" t="s">
        <v>37</v>
      </c>
      <c r="H511" s="45" t="s">
        <v>35</v>
      </c>
      <c r="I511" s="45" t="s">
        <v>35</v>
      </c>
      <c r="J511" s="112" t="s">
        <v>36</v>
      </c>
      <c r="K511" s="113" t="s">
        <v>37</v>
      </c>
      <c r="L511" s="114" t="s">
        <v>37</v>
      </c>
      <c r="M511" s="114" t="s">
        <v>37</v>
      </c>
      <c r="N511" s="114" t="s">
        <v>37</v>
      </c>
      <c r="O511" s="114" t="s">
        <v>35</v>
      </c>
      <c r="P511" s="114" t="s">
        <v>35</v>
      </c>
      <c r="Q511" s="114" t="s">
        <v>35</v>
      </c>
      <c r="R511" s="114" t="s">
        <v>35</v>
      </c>
      <c r="S511" s="115" t="s">
        <v>4740</v>
      </c>
      <c r="T511" s="50" t="s">
        <v>4741</v>
      </c>
      <c r="U511" s="50" t="s">
        <v>4742</v>
      </c>
      <c r="V511" s="116">
        <f t="shared" si="2"/>
        <v>2</v>
      </c>
      <c r="W511" s="116">
        <f t="shared" ref="W511:X511" si="516">IF(lenb(SUBSTITUTE($Z511,W$1&amp;" (1)",""))&lt;lenb($Z511),1,IF(lenb(SUBSTITUTE($Z511,W$1&amp;" (2)",""))&lt;lenb($Z511),2,IF(lenb(SUBSTITUTE($Z511,W$1&amp;" (3)",""))&lt;lenb($Z511),3,IF(lenb(SUBSTITUTE($Z511,W$1&amp;" (4)",""))&lt;lenb($Z511),4,IF(lenb(SUBSTITUTE($Z511,W$1&amp;" (5)",""))&lt;lenb($Z511),5,IF(lenb(SUBSTITUTE($Z511,W$1&amp;" (6)",""))&lt;lenb($Z511),6,IF(lenb(SUBSTITUTE($Z511,W$1&amp;" (7)",""))&lt;lenb($Z511),1,IF(lenb(SUBSTITUTE($Z511,W$1&amp;" (8)",""))&lt;lenb($Z511),8,IF(lenb(SUBSTITUTE($Z511,W$1&amp;" (9)",""))&lt;lenb($Z511),9,IF(lenb(SUBSTITUTE($Z511,W$1&amp;" (10)",""))&lt;lenb($Z511),10,IF(lenb(SUBSTITUTE($Z511,W$1,""))&lt;lenb($Z511),"ERROR",IF($Z511=$Y$1,"-",0))))))))))))</f>
        <v>0</v>
      </c>
      <c r="X511" s="116">
        <f t="shared" si="516"/>
        <v>0</v>
      </c>
      <c r="Y511" s="116" t="str">
        <f t="shared" si="4"/>
        <v>-</v>
      </c>
      <c r="Z511" s="115" t="s">
        <v>3452</v>
      </c>
      <c r="AA511" s="54">
        <f t="shared" si="5"/>
        <v>2</v>
      </c>
      <c r="AB511" s="54">
        <f>COUNTIFS(Links!B:B,"FSE",Links!C:C,A511,Links!AD:AD,1)</f>
        <v>0</v>
      </c>
      <c r="AC511" s="117" t="s">
        <v>37</v>
      </c>
      <c r="AD511" s="118" t="s">
        <v>35</v>
      </c>
      <c r="AE511" s="115" t="s">
        <v>36</v>
      </c>
      <c r="AF511" s="57" t="s">
        <v>42</v>
      </c>
      <c r="AG511" s="57" t="s">
        <v>42</v>
      </c>
      <c r="AH511" s="57" t="s">
        <v>42</v>
      </c>
      <c r="AI511" s="116" t="str">
        <f t="shared" si="6"/>
        <v>----</v>
      </c>
      <c r="AJ511" s="119" t="str">
        <f t="shared" si="7"/>
        <v>Paper has link but no statement</v>
      </c>
      <c r="AK511" s="120" t="s">
        <v>3401</v>
      </c>
      <c r="AL511" s="121" t="s">
        <v>3402</v>
      </c>
      <c r="AM511" s="60" t="str">
        <f t="shared" si="8"/>
        <v>[FP0417]</v>
      </c>
    </row>
    <row r="512" ht="67.5" customHeight="1">
      <c r="A512" s="61">
        <v>418.0</v>
      </c>
      <c r="B512" s="22" t="s">
        <v>4743</v>
      </c>
      <c r="C512" s="23">
        <v>2020.0</v>
      </c>
      <c r="D512" s="100" t="s">
        <v>37</v>
      </c>
      <c r="E512" s="25" t="s">
        <v>37</v>
      </c>
      <c r="F512" s="25" t="s">
        <v>37</v>
      </c>
      <c r="G512" s="25" t="s">
        <v>37</v>
      </c>
      <c r="H512" s="25" t="s">
        <v>35</v>
      </c>
      <c r="I512" s="25" t="s">
        <v>35</v>
      </c>
      <c r="J512" s="101" t="s">
        <v>36</v>
      </c>
      <c r="K512" s="102" t="s">
        <v>37</v>
      </c>
      <c r="L512" s="103" t="s">
        <v>35</v>
      </c>
      <c r="M512" s="103" t="s">
        <v>35</v>
      </c>
      <c r="N512" s="103" t="s">
        <v>37</v>
      </c>
      <c r="O512" s="103" t="s">
        <v>35</v>
      </c>
      <c r="P512" s="103" t="s">
        <v>35</v>
      </c>
      <c r="Q512" s="103" t="s">
        <v>35</v>
      </c>
      <c r="R512" s="103" t="s">
        <v>35</v>
      </c>
      <c r="S512" s="104" t="s">
        <v>4744</v>
      </c>
      <c r="T512" s="30" t="s">
        <v>4745</v>
      </c>
      <c r="U512" s="30" t="s">
        <v>4745</v>
      </c>
      <c r="V512" s="105">
        <f t="shared" si="2"/>
        <v>1</v>
      </c>
      <c r="W512" s="105">
        <f t="shared" ref="W512:X512" si="517">IF(lenb(SUBSTITUTE($Z512,W$1&amp;" (1)",""))&lt;lenb($Z512),1,IF(lenb(SUBSTITUTE($Z512,W$1&amp;" (2)",""))&lt;lenb($Z512),2,IF(lenb(SUBSTITUTE($Z512,W$1&amp;" (3)",""))&lt;lenb($Z512),3,IF(lenb(SUBSTITUTE($Z512,W$1&amp;" (4)",""))&lt;lenb($Z512),4,IF(lenb(SUBSTITUTE($Z512,W$1&amp;" (5)",""))&lt;lenb($Z512),5,IF(lenb(SUBSTITUTE($Z512,W$1&amp;" (6)",""))&lt;lenb($Z512),6,IF(lenb(SUBSTITUTE($Z512,W$1&amp;" (7)",""))&lt;lenb($Z512),1,IF(lenb(SUBSTITUTE($Z512,W$1&amp;" (8)",""))&lt;lenb($Z512),8,IF(lenb(SUBSTITUTE($Z512,W$1&amp;" (9)",""))&lt;lenb($Z512),9,IF(lenb(SUBSTITUTE($Z512,W$1&amp;" (10)",""))&lt;lenb($Z512),10,IF(lenb(SUBSTITUTE($Z512,W$1,""))&lt;lenb($Z512),"ERROR",IF($Z512=$Y$1,"-",0))))))))))))</f>
        <v>0</v>
      </c>
      <c r="X512" s="105">
        <f t="shared" si="517"/>
        <v>0</v>
      </c>
      <c r="Y512" s="105" t="str">
        <f t="shared" si="4"/>
        <v>-</v>
      </c>
      <c r="Z512" s="104" t="s">
        <v>3400</v>
      </c>
      <c r="AA512" s="34">
        <f t="shared" si="5"/>
        <v>1</v>
      </c>
      <c r="AB512" s="34">
        <f>COUNTIFS(Links!B:B,"FSE",Links!C:C,A512,Links!AD:AD,1)</f>
        <v>0</v>
      </c>
      <c r="AC512" s="106" t="s">
        <v>37</v>
      </c>
      <c r="AD512" s="107" t="s">
        <v>35</v>
      </c>
      <c r="AE512" s="104" t="s">
        <v>36</v>
      </c>
      <c r="AF512" s="37" t="s">
        <v>42</v>
      </c>
      <c r="AG512" s="37" t="s">
        <v>42</v>
      </c>
      <c r="AH512" s="37" t="s">
        <v>42</v>
      </c>
      <c r="AI512" s="105" t="str">
        <f t="shared" si="6"/>
        <v>----</v>
      </c>
      <c r="AJ512" s="108" t="str">
        <f t="shared" si="7"/>
        <v>Paper has link but no statement</v>
      </c>
      <c r="AK512" s="109" t="s">
        <v>3401</v>
      </c>
      <c r="AL512" s="110" t="s">
        <v>3402</v>
      </c>
      <c r="AM512" s="40" t="str">
        <f t="shared" si="8"/>
        <v>[FP0418]</v>
      </c>
    </row>
    <row r="513" ht="67.5" customHeight="1">
      <c r="A513" s="41">
        <v>419.0</v>
      </c>
      <c r="B513" s="42" t="s">
        <v>4746</v>
      </c>
      <c r="C513" s="43">
        <v>2020.0</v>
      </c>
      <c r="D513" s="111" t="s">
        <v>35</v>
      </c>
      <c r="E513" s="45" t="s">
        <v>36</v>
      </c>
      <c r="F513" s="45" t="s">
        <v>36</v>
      </c>
      <c r="G513" s="45" t="s">
        <v>36</v>
      </c>
      <c r="H513" s="45" t="s">
        <v>36</v>
      </c>
      <c r="I513" s="45" t="s">
        <v>36</v>
      </c>
      <c r="J513" s="112" t="s">
        <v>36</v>
      </c>
      <c r="K513" s="113" t="s">
        <v>37</v>
      </c>
      <c r="L513" s="114" t="s">
        <v>35</v>
      </c>
      <c r="M513" s="114" t="s">
        <v>35</v>
      </c>
      <c r="N513" s="114" t="s">
        <v>35</v>
      </c>
      <c r="O513" s="114" t="s">
        <v>35</v>
      </c>
      <c r="P513" s="114" t="s">
        <v>35</v>
      </c>
      <c r="Q513" s="114" t="s">
        <v>35</v>
      </c>
      <c r="R513" s="114" t="s">
        <v>37</v>
      </c>
      <c r="S513" s="115" t="s">
        <v>4747</v>
      </c>
      <c r="T513" s="50" t="s">
        <v>4748</v>
      </c>
      <c r="U513" s="50" t="s">
        <v>4748</v>
      </c>
      <c r="V513" s="116">
        <f t="shared" si="2"/>
        <v>1</v>
      </c>
      <c r="W513" s="116">
        <f t="shared" ref="W513:X513" si="518">IF(lenb(SUBSTITUTE($Z513,W$1&amp;" (1)",""))&lt;lenb($Z513),1,IF(lenb(SUBSTITUTE($Z513,W$1&amp;" (2)",""))&lt;lenb($Z513),2,IF(lenb(SUBSTITUTE($Z513,W$1&amp;" (3)",""))&lt;lenb($Z513),3,IF(lenb(SUBSTITUTE($Z513,W$1&amp;" (4)",""))&lt;lenb($Z513),4,IF(lenb(SUBSTITUTE($Z513,W$1&amp;" (5)",""))&lt;lenb($Z513),5,IF(lenb(SUBSTITUTE($Z513,W$1&amp;" (6)",""))&lt;lenb($Z513),6,IF(lenb(SUBSTITUTE($Z513,W$1&amp;" (7)",""))&lt;lenb($Z513),1,IF(lenb(SUBSTITUTE($Z513,W$1&amp;" (8)",""))&lt;lenb($Z513),8,IF(lenb(SUBSTITUTE($Z513,W$1&amp;" (9)",""))&lt;lenb($Z513),9,IF(lenb(SUBSTITUTE($Z513,W$1&amp;" (10)",""))&lt;lenb($Z513),10,IF(lenb(SUBSTITUTE($Z513,W$1,""))&lt;lenb($Z513),"ERROR",IF($Z513=$Y$1,"-",0))))))))))))</f>
        <v>0</v>
      </c>
      <c r="X513" s="116">
        <f t="shared" si="518"/>
        <v>0</v>
      </c>
      <c r="Y513" s="116" t="str">
        <f t="shared" si="4"/>
        <v>-</v>
      </c>
      <c r="Z513" s="115" t="s">
        <v>3400</v>
      </c>
      <c r="AA513" s="54">
        <f t="shared" si="5"/>
        <v>1</v>
      </c>
      <c r="AB513" s="54">
        <f>COUNTIFS(Links!B:B,"FSE",Links!C:C,A513,Links!AD:AD,1)</f>
        <v>0</v>
      </c>
      <c r="AC513" s="117" t="s">
        <v>35</v>
      </c>
      <c r="AD513" s="118" t="s">
        <v>35</v>
      </c>
      <c r="AE513" s="115" t="s">
        <v>36</v>
      </c>
      <c r="AF513" s="57" t="s">
        <v>42</v>
      </c>
      <c r="AG513" s="57" t="s">
        <v>42</v>
      </c>
      <c r="AH513" s="57" t="s">
        <v>42</v>
      </c>
      <c r="AI513" s="116" t="str">
        <f t="shared" si="6"/>
        <v>----</v>
      </c>
      <c r="AJ513" s="119" t="str">
        <f t="shared" si="7"/>
        <v>Paper has link but no statement</v>
      </c>
      <c r="AK513" s="120" t="s">
        <v>3401</v>
      </c>
      <c r="AL513" s="121" t="s">
        <v>3402</v>
      </c>
      <c r="AM513" s="60" t="str">
        <f t="shared" si="8"/>
        <v>[FP0419]</v>
      </c>
    </row>
    <row r="514" ht="67.5" customHeight="1">
      <c r="A514" s="61">
        <v>420.0</v>
      </c>
      <c r="B514" s="22" t="s">
        <v>4749</v>
      </c>
      <c r="C514" s="23">
        <v>2020.0</v>
      </c>
      <c r="D514" s="100" t="s">
        <v>37</v>
      </c>
      <c r="E514" s="25" t="s">
        <v>37</v>
      </c>
      <c r="F514" s="25" t="s">
        <v>37</v>
      </c>
      <c r="G514" s="25" t="s">
        <v>37</v>
      </c>
      <c r="H514" s="25" t="s">
        <v>35</v>
      </c>
      <c r="I514" s="25" t="s">
        <v>35</v>
      </c>
      <c r="J514" s="101" t="s">
        <v>36</v>
      </c>
      <c r="K514" s="102" t="s">
        <v>37</v>
      </c>
      <c r="L514" s="103" t="s">
        <v>35</v>
      </c>
      <c r="M514" s="103" t="s">
        <v>35</v>
      </c>
      <c r="N514" s="103" t="s">
        <v>37</v>
      </c>
      <c r="O514" s="103" t="s">
        <v>35</v>
      </c>
      <c r="P514" s="103" t="s">
        <v>35</v>
      </c>
      <c r="Q514" s="103" t="s">
        <v>35</v>
      </c>
      <c r="R514" s="103" t="s">
        <v>35</v>
      </c>
      <c r="S514" s="104" t="s">
        <v>4750</v>
      </c>
      <c r="T514" s="30" t="s">
        <v>4751</v>
      </c>
      <c r="U514" s="30" t="s">
        <v>4752</v>
      </c>
      <c r="V514" s="105">
        <f t="shared" si="2"/>
        <v>2</v>
      </c>
      <c r="W514" s="105">
        <f t="shared" ref="W514:X514" si="519">IF(lenb(SUBSTITUTE($Z514,W$1&amp;" (1)",""))&lt;lenb($Z514),1,IF(lenb(SUBSTITUTE($Z514,W$1&amp;" (2)",""))&lt;lenb($Z514),2,IF(lenb(SUBSTITUTE($Z514,W$1&amp;" (3)",""))&lt;lenb($Z514),3,IF(lenb(SUBSTITUTE($Z514,W$1&amp;" (4)",""))&lt;lenb($Z514),4,IF(lenb(SUBSTITUTE($Z514,W$1&amp;" (5)",""))&lt;lenb($Z514),5,IF(lenb(SUBSTITUTE($Z514,W$1&amp;" (6)",""))&lt;lenb($Z514),6,IF(lenb(SUBSTITUTE($Z514,W$1&amp;" (7)",""))&lt;lenb($Z514),1,IF(lenb(SUBSTITUTE($Z514,W$1&amp;" (8)",""))&lt;lenb($Z514),8,IF(lenb(SUBSTITUTE($Z514,W$1&amp;" (9)",""))&lt;lenb($Z514),9,IF(lenb(SUBSTITUTE($Z514,W$1&amp;" (10)",""))&lt;lenb($Z514),10,IF(lenb(SUBSTITUTE($Z514,W$1,""))&lt;lenb($Z514),"ERROR",IF($Z514=$Y$1,"-",0))))))))))))</f>
        <v>0</v>
      </c>
      <c r="X514" s="105">
        <f t="shared" si="519"/>
        <v>0</v>
      </c>
      <c r="Y514" s="105" t="str">
        <f t="shared" si="4"/>
        <v>-</v>
      </c>
      <c r="Z514" s="104" t="s">
        <v>3452</v>
      </c>
      <c r="AA514" s="34">
        <f t="shared" si="5"/>
        <v>2</v>
      </c>
      <c r="AB514" s="34">
        <f>COUNTIFS(Links!B:B,"FSE",Links!C:C,A514,Links!AD:AD,1)</f>
        <v>0</v>
      </c>
      <c r="AC514" s="106" t="s">
        <v>37</v>
      </c>
      <c r="AD514" s="107" t="s">
        <v>35</v>
      </c>
      <c r="AE514" s="104" t="s">
        <v>36</v>
      </c>
      <c r="AF514" s="37" t="s">
        <v>42</v>
      </c>
      <c r="AG514" s="37" t="s">
        <v>42</v>
      </c>
      <c r="AH514" s="37" t="s">
        <v>42</v>
      </c>
      <c r="AI514" s="105" t="str">
        <f t="shared" si="6"/>
        <v>----</v>
      </c>
      <c r="AJ514" s="108" t="str">
        <f t="shared" si="7"/>
        <v>Paper has link but no statement</v>
      </c>
      <c r="AK514" s="109" t="s">
        <v>3401</v>
      </c>
      <c r="AL514" s="110" t="s">
        <v>3402</v>
      </c>
      <c r="AM514" s="40" t="str">
        <f t="shared" si="8"/>
        <v>[FP0420]</v>
      </c>
    </row>
    <row r="515" ht="67.5" customHeight="1">
      <c r="A515" s="41">
        <v>421.0</v>
      </c>
      <c r="B515" s="42" t="s">
        <v>4753</v>
      </c>
      <c r="C515" s="43">
        <v>2020.0</v>
      </c>
      <c r="D515" s="111" t="s">
        <v>37</v>
      </c>
      <c r="E515" s="45" t="s">
        <v>37</v>
      </c>
      <c r="F515" s="45" t="s">
        <v>37</v>
      </c>
      <c r="G515" s="45" t="s">
        <v>37</v>
      </c>
      <c r="H515" s="45" t="s">
        <v>35</v>
      </c>
      <c r="I515" s="45" t="s">
        <v>35</v>
      </c>
      <c r="J515" s="112" t="s">
        <v>36</v>
      </c>
      <c r="K515" s="113" t="s">
        <v>37</v>
      </c>
      <c r="L515" s="114" t="s">
        <v>35</v>
      </c>
      <c r="M515" s="114" t="s">
        <v>37</v>
      </c>
      <c r="N515" s="114" t="s">
        <v>37</v>
      </c>
      <c r="O515" s="114" t="s">
        <v>35</v>
      </c>
      <c r="P515" s="114" t="s">
        <v>35</v>
      </c>
      <c r="Q515" s="114" t="s">
        <v>35</v>
      </c>
      <c r="R515" s="114" t="s">
        <v>37</v>
      </c>
      <c r="S515" s="115" t="s">
        <v>4754</v>
      </c>
      <c r="T515" s="50" t="s">
        <v>4755</v>
      </c>
      <c r="U515" s="50" t="s">
        <v>4755</v>
      </c>
      <c r="V515" s="116">
        <f t="shared" si="2"/>
        <v>1</v>
      </c>
      <c r="W515" s="116">
        <f t="shared" ref="W515:X515" si="520">IF(lenb(SUBSTITUTE($Z515,W$1&amp;" (1)",""))&lt;lenb($Z515),1,IF(lenb(SUBSTITUTE($Z515,W$1&amp;" (2)",""))&lt;lenb($Z515),2,IF(lenb(SUBSTITUTE($Z515,W$1&amp;" (3)",""))&lt;lenb($Z515),3,IF(lenb(SUBSTITUTE($Z515,W$1&amp;" (4)",""))&lt;lenb($Z515),4,IF(lenb(SUBSTITUTE($Z515,W$1&amp;" (5)",""))&lt;lenb($Z515),5,IF(lenb(SUBSTITUTE($Z515,W$1&amp;" (6)",""))&lt;lenb($Z515),6,IF(lenb(SUBSTITUTE($Z515,W$1&amp;" (7)",""))&lt;lenb($Z515),1,IF(lenb(SUBSTITUTE($Z515,W$1&amp;" (8)",""))&lt;lenb($Z515),8,IF(lenb(SUBSTITUTE($Z515,W$1&amp;" (9)",""))&lt;lenb($Z515),9,IF(lenb(SUBSTITUTE($Z515,W$1&amp;" (10)",""))&lt;lenb($Z515),10,IF(lenb(SUBSTITUTE($Z515,W$1,""))&lt;lenb($Z515),"ERROR",IF($Z515=$Y$1,"-",0))))))))))))</f>
        <v>0</v>
      </c>
      <c r="X515" s="116">
        <f t="shared" si="520"/>
        <v>0</v>
      </c>
      <c r="Y515" s="116" t="str">
        <f t="shared" si="4"/>
        <v>-</v>
      </c>
      <c r="Z515" s="115" t="s">
        <v>3400</v>
      </c>
      <c r="AA515" s="54">
        <f t="shared" si="5"/>
        <v>1</v>
      </c>
      <c r="AB515" s="54">
        <f>COUNTIFS(Links!B:B,"FSE",Links!C:C,A515,Links!AD:AD,1)</f>
        <v>0</v>
      </c>
      <c r="AC515" s="117" t="s">
        <v>35</v>
      </c>
      <c r="AD515" s="118" t="s">
        <v>35</v>
      </c>
      <c r="AE515" s="115" t="s">
        <v>36</v>
      </c>
      <c r="AF515" s="57" t="s">
        <v>42</v>
      </c>
      <c r="AG515" s="57" t="s">
        <v>42</v>
      </c>
      <c r="AH515" s="57" t="s">
        <v>42</v>
      </c>
      <c r="AI515" s="116" t="str">
        <f t="shared" si="6"/>
        <v>----</v>
      </c>
      <c r="AJ515" s="119" t="str">
        <f t="shared" si="7"/>
        <v>Paper has link but no statement</v>
      </c>
      <c r="AK515" s="120" t="s">
        <v>3401</v>
      </c>
      <c r="AL515" s="121" t="s">
        <v>3402</v>
      </c>
      <c r="AM515" s="60" t="str">
        <f t="shared" si="8"/>
        <v>[FP0421]</v>
      </c>
    </row>
    <row r="516" ht="67.5" customHeight="1">
      <c r="A516" s="61">
        <v>422.0</v>
      </c>
      <c r="B516" s="22" t="s">
        <v>4756</v>
      </c>
      <c r="C516" s="23">
        <v>2020.0</v>
      </c>
      <c r="D516" s="100" t="s">
        <v>35</v>
      </c>
      <c r="E516" s="25" t="s">
        <v>36</v>
      </c>
      <c r="F516" s="25" t="s">
        <v>36</v>
      </c>
      <c r="G516" s="25" t="s">
        <v>36</v>
      </c>
      <c r="H516" s="25" t="s">
        <v>36</v>
      </c>
      <c r="I516" s="25" t="s">
        <v>36</v>
      </c>
      <c r="J516" s="101" t="s">
        <v>36</v>
      </c>
      <c r="K516" s="102" t="s">
        <v>37</v>
      </c>
      <c r="L516" s="103" t="s">
        <v>37</v>
      </c>
      <c r="M516" s="103" t="s">
        <v>35</v>
      </c>
      <c r="N516" s="103" t="s">
        <v>35</v>
      </c>
      <c r="O516" s="103" t="s">
        <v>35</v>
      </c>
      <c r="P516" s="103" t="s">
        <v>35</v>
      </c>
      <c r="Q516" s="103" t="s">
        <v>35</v>
      </c>
      <c r="R516" s="103" t="s">
        <v>37</v>
      </c>
      <c r="S516" s="104" t="s">
        <v>4757</v>
      </c>
      <c r="T516" s="30" t="s">
        <v>4758</v>
      </c>
      <c r="U516" s="30" t="s">
        <v>4758</v>
      </c>
      <c r="V516" s="105">
        <f t="shared" si="2"/>
        <v>1</v>
      </c>
      <c r="W516" s="105">
        <f t="shared" ref="W516:X516" si="521">IF(lenb(SUBSTITUTE($Z516,W$1&amp;" (1)",""))&lt;lenb($Z516),1,IF(lenb(SUBSTITUTE($Z516,W$1&amp;" (2)",""))&lt;lenb($Z516),2,IF(lenb(SUBSTITUTE($Z516,W$1&amp;" (3)",""))&lt;lenb($Z516),3,IF(lenb(SUBSTITUTE($Z516,W$1&amp;" (4)",""))&lt;lenb($Z516),4,IF(lenb(SUBSTITUTE($Z516,W$1&amp;" (5)",""))&lt;lenb($Z516),5,IF(lenb(SUBSTITUTE($Z516,W$1&amp;" (6)",""))&lt;lenb($Z516),6,IF(lenb(SUBSTITUTE($Z516,W$1&amp;" (7)",""))&lt;lenb($Z516),1,IF(lenb(SUBSTITUTE($Z516,W$1&amp;" (8)",""))&lt;lenb($Z516),8,IF(lenb(SUBSTITUTE($Z516,W$1&amp;" (9)",""))&lt;lenb($Z516),9,IF(lenb(SUBSTITUTE($Z516,W$1&amp;" (10)",""))&lt;lenb($Z516),10,IF(lenb(SUBSTITUTE($Z516,W$1,""))&lt;lenb($Z516),"ERROR",IF($Z516=$Y$1,"-",0))))))))))))</f>
        <v>0</v>
      </c>
      <c r="X516" s="105">
        <f t="shared" si="521"/>
        <v>0</v>
      </c>
      <c r="Y516" s="105" t="str">
        <f t="shared" si="4"/>
        <v>-</v>
      </c>
      <c r="Z516" s="104" t="s">
        <v>3400</v>
      </c>
      <c r="AA516" s="34">
        <f t="shared" si="5"/>
        <v>1</v>
      </c>
      <c r="AB516" s="34">
        <f>COUNTIFS(Links!B:B,"FSE",Links!C:C,A516,Links!AD:AD,1)</f>
        <v>0</v>
      </c>
      <c r="AC516" s="106" t="s">
        <v>35</v>
      </c>
      <c r="AD516" s="107" t="s">
        <v>35</v>
      </c>
      <c r="AE516" s="104" t="s">
        <v>36</v>
      </c>
      <c r="AF516" s="37" t="s">
        <v>42</v>
      </c>
      <c r="AG516" s="37" t="s">
        <v>42</v>
      </c>
      <c r="AH516" s="37" t="s">
        <v>42</v>
      </c>
      <c r="AI516" s="105" t="str">
        <f t="shared" si="6"/>
        <v>----</v>
      </c>
      <c r="AJ516" s="108" t="str">
        <f t="shared" si="7"/>
        <v>Paper has link but no statement</v>
      </c>
      <c r="AK516" s="109" t="s">
        <v>3401</v>
      </c>
      <c r="AL516" s="110" t="s">
        <v>3402</v>
      </c>
      <c r="AM516" s="40" t="str">
        <f t="shared" si="8"/>
        <v>[FP0422]</v>
      </c>
    </row>
    <row r="517" ht="67.5" customHeight="1">
      <c r="A517" s="41">
        <v>423.0</v>
      </c>
      <c r="B517" s="42" t="s">
        <v>4759</v>
      </c>
      <c r="C517" s="43">
        <v>2020.0</v>
      </c>
      <c r="D517" s="111" t="s">
        <v>37</v>
      </c>
      <c r="E517" s="45" t="s">
        <v>37</v>
      </c>
      <c r="F517" s="45" t="s">
        <v>37</v>
      </c>
      <c r="G517" s="45" t="s">
        <v>37</v>
      </c>
      <c r="H517" s="45" t="s">
        <v>35</v>
      </c>
      <c r="I517" s="45" t="s">
        <v>35</v>
      </c>
      <c r="J517" s="112" t="s">
        <v>36</v>
      </c>
      <c r="K517" s="113" t="s">
        <v>37</v>
      </c>
      <c r="L517" s="114" t="s">
        <v>35</v>
      </c>
      <c r="M517" s="114" t="s">
        <v>37</v>
      </c>
      <c r="N517" s="114" t="s">
        <v>37</v>
      </c>
      <c r="O517" s="114" t="s">
        <v>35</v>
      </c>
      <c r="P517" s="114" t="s">
        <v>35</v>
      </c>
      <c r="Q517" s="114" t="s">
        <v>35</v>
      </c>
      <c r="R517" s="114" t="s">
        <v>37</v>
      </c>
      <c r="S517" s="115" t="s">
        <v>4760</v>
      </c>
      <c r="T517" s="50" t="s">
        <v>4761</v>
      </c>
      <c r="U517" s="50" t="s">
        <v>4762</v>
      </c>
      <c r="V517" s="116">
        <f t="shared" si="2"/>
        <v>4</v>
      </c>
      <c r="W517" s="116">
        <f t="shared" ref="W517:X517" si="522">IF(lenb(SUBSTITUTE($Z517,W$1&amp;" (1)",""))&lt;lenb($Z517),1,IF(lenb(SUBSTITUTE($Z517,W$1&amp;" (2)",""))&lt;lenb($Z517),2,IF(lenb(SUBSTITUTE($Z517,W$1&amp;" (3)",""))&lt;lenb($Z517),3,IF(lenb(SUBSTITUTE($Z517,W$1&amp;" (4)",""))&lt;lenb($Z517),4,IF(lenb(SUBSTITUTE($Z517,W$1&amp;" (5)",""))&lt;lenb($Z517),5,IF(lenb(SUBSTITUTE($Z517,W$1&amp;" (6)",""))&lt;lenb($Z517),6,IF(lenb(SUBSTITUTE($Z517,W$1&amp;" (7)",""))&lt;lenb($Z517),1,IF(lenb(SUBSTITUTE($Z517,W$1&amp;" (8)",""))&lt;lenb($Z517),8,IF(lenb(SUBSTITUTE($Z517,W$1&amp;" (9)",""))&lt;lenb($Z517),9,IF(lenb(SUBSTITUTE($Z517,W$1&amp;" (10)",""))&lt;lenb($Z517),10,IF(lenb(SUBSTITUTE($Z517,W$1,""))&lt;lenb($Z517),"ERROR",IF($Z517=$Y$1,"-",0))))))))))))</f>
        <v>0</v>
      </c>
      <c r="X517" s="116">
        <f t="shared" si="522"/>
        <v>0</v>
      </c>
      <c r="Y517" s="116" t="str">
        <f t="shared" si="4"/>
        <v>-</v>
      </c>
      <c r="Z517" s="115" t="s">
        <v>4135</v>
      </c>
      <c r="AA517" s="54">
        <f t="shared" si="5"/>
        <v>4</v>
      </c>
      <c r="AB517" s="54">
        <f>COUNTIFS(Links!B:B,"FSE",Links!C:C,A517,Links!AD:AD,1)</f>
        <v>1</v>
      </c>
      <c r="AC517" s="117" t="s">
        <v>37</v>
      </c>
      <c r="AD517" s="118" t="s">
        <v>35</v>
      </c>
      <c r="AE517" s="115" t="s">
        <v>36</v>
      </c>
      <c r="AF517" s="57" t="s">
        <v>42</v>
      </c>
      <c r="AG517" s="57" t="s">
        <v>42</v>
      </c>
      <c r="AH517" s="57" t="s">
        <v>42</v>
      </c>
      <c r="AI517" s="116" t="str">
        <f t="shared" si="6"/>
        <v>----</v>
      </c>
      <c r="AJ517" s="119" t="str">
        <f t="shared" si="7"/>
        <v>Paper has link but no statement</v>
      </c>
      <c r="AK517" s="120" t="s">
        <v>3401</v>
      </c>
      <c r="AL517" s="121" t="s">
        <v>3402</v>
      </c>
      <c r="AM517" s="60" t="str">
        <f t="shared" si="8"/>
        <v>[FP0423]</v>
      </c>
    </row>
    <row r="518" ht="67.5" customHeight="1">
      <c r="A518" s="61">
        <v>424.0</v>
      </c>
      <c r="B518" s="22" t="s">
        <v>4763</v>
      </c>
      <c r="C518" s="23">
        <v>2020.0</v>
      </c>
      <c r="D518" s="100" t="s">
        <v>37</v>
      </c>
      <c r="E518" s="25" t="s">
        <v>37</v>
      </c>
      <c r="F518" s="25" t="s">
        <v>35</v>
      </c>
      <c r="G518" s="25" t="s">
        <v>35</v>
      </c>
      <c r="H518" s="25" t="s">
        <v>35</v>
      </c>
      <c r="I518" s="25" t="s">
        <v>35</v>
      </c>
      <c r="J518" s="101" t="s">
        <v>36</v>
      </c>
      <c r="K518" s="102" t="s">
        <v>37</v>
      </c>
      <c r="L518" s="103" t="s">
        <v>35</v>
      </c>
      <c r="M518" s="103" t="s">
        <v>37</v>
      </c>
      <c r="N518" s="103" t="s">
        <v>35</v>
      </c>
      <c r="O518" s="103" t="s">
        <v>37</v>
      </c>
      <c r="P518" s="103" t="s">
        <v>35</v>
      </c>
      <c r="Q518" s="103" t="s">
        <v>35</v>
      </c>
      <c r="R518" s="103" t="s">
        <v>35</v>
      </c>
      <c r="S518" s="136" t="s">
        <v>4764</v>
      </c>
      <c r="T518" s="30" t="s">
        <v>4765</v>
      </c>
      <c r="U518" s="30" t="s">
        <v>4765</v>
      </c>
      <c r="V518" s="105">
        <f t="shared" si="2"/>
        <v>1</v>
      </c>
      <c r="W518" s="105">
        <f t="shared" ref="W518:X518" si="523">IF(lenb(SUBSTITUTE($Z518,W$1&amp;" (1)",""))&lt;lenb($Z518),1,IF(lenb(SUBSTITUTE($Z518,W$1&amp;" (2)",""))&lt;lenb($Z518),2,IF(lenb(SUBSTITUTE($Z518,W$1&amp;" (3)",""))&lt;lenb($Z518),3,IF(lenb(SUBSTITUTE($Z518,W$1&amp;" (4)",""))&lt;lenb($Z518),4,IF(lenb(SUBSTITUTE($Z518,W$1&amp;" (5)",""))&lt;lenb($Z518),5,IF(lenb(SUBSTITUTE($Z518,W$1&amp;" (6)",""))&lt;lenb($Z518),6,IF(lenb(SUBSTITUTE($Z518,W$1&amp;" (7)",""))&lt;lenb($Z518),1,IF(lenb(SUBSTITUTE($Z518,W$1&amp;" (8)",""))&lt;lenb($Z518),8,IF(lenb(SUBSTITUTE($Z518,W$1&amp;" (9)",""))&lt;lenb($Z518),9,IF(lenb(SUBSTITUTE($Z518,W$1&amp;" (10)",""))&lt;lenb($Z518),10,IF(lenb(SUBSTITUTE($Z518,W$1,""))&lt;lenb($Z518),"ERROR",IF($Z518=$Y$1,"-",0))))))))))))</f>
        <v>0</v>
      </c>
      <c r="X518" s="105">
        <f t="shared" si="523"/>
        <v>0</v>
      </c>
      <c r="Y518" s="105" t="str">
        <f t="shared" si="4"/>
        <v>-</v>
      </c>
      <c r="Z518" s="104" t="s">
        <v>3400</v>
      </c>
      <c r="AA518" s="34">
        <f t="shared" si="5"/>
        <v>1</v>
      </c>
      <c r="AB518" s="34">
        <f>COUNTIFS(Links!B:B,"FSE",Links!C:C,A518,Links!AD:AD,1)</f>
        <v>0</v>
      </c>
      <c r="AC518" s="106" t="s">
        <v>37</v>
      </c>
      <c r="AD518" s="107" t="s">
        <v>35</v>
      </c>
      <c r="AE518" s="104" t="s">
        <v>36</v>
      </c>
      <c r="AF518" s="37" t="s">
        <v>42</v>
      </c>
      <c r="AG518" s="37" t="s">
        <v>42</v>
      </c>
      <c r="AH518" s="37" t="s">
        <v>42</v>
      </c>
      <c r="AI518" s="105" t="str">
        <f t="shared" si="6"/>
        <v>----</v>
      </c>
      <c r="AJ518" s="108" t="str">
        <f t="shared" si="7"/>
        <v>Paper has link but no statement</v>
      </c>
      <c r="AK518" s="109" t="s">
        <v>3401</v>
      </c>
      <c r="AL518" s="110" t="s">
        <v>3402</v>
      </c>
      <c r="AM518" s="40" t="str">
        <f t="shared" si="8"/>
        <v>[FP0424]</v>
      </c>
    </row>
    <row r="519" ht="67.5" customHeight="1">
      <c r="A519" s="41">
        <v>227.0</v>
      </c>
      <c r="B519" s="42" t="s">
        <v>4766</v>
      </c>
      <c r="C519" s="43">
        <v>2021.0</v>
      </c>
      <c r="D519" s="111" t="s">
        <v>37</v>
      </c>
      <c r="E519" s="45" t="s">
        <v>37</v>
      </c>
      <c r="F519" s="45" t="s">
        <v>35</v>
      </c>
      <c r="G519" s="45" t="s">
        <v>35</v>
      </c>
      <c r="H519" s="45" t="s">
        <v>35</v>
      </c>
      <c r="I519" s="45" t="s">
        <v>35</v>
      </c>
      <c r="J519" s="112" t="s">
        <v>36</v>
      </c>
      <c r="K519" s="113" t="s">
        <v>37</v>
      </c>
      <c r="L519" s="114" t="s">
        <v>37</v>
      </c>
      <c r="M519" s="114" t="s">
        <v>35</v>
      </c>
      <c r="N519" s="114" t="s">
        <v>35</v>
      </c>
      <c r="O519" s="114" t="s">
        <v>35</v>
      </c>
      <c r="P519" s="114" t="s">
        <v>35</v>
      </c>
      <c r="Q519" s="114" t="s">
        <v>35</v>
      </c>
      <c r="R519" s="114" t="s">
        <v>37</v>
      </c>
      <c r="S519" s="115" t="s">
        <v>4767</v>
      </c>
      <c r="T519" s="50" t="s">
        <v>4768</v>
      </c>
      <c r="U519" s="50" t="s">
        <v>4768</v>
      </c>
      <c r="V519" s="116">
        <f t="shared" si="2"/>
        <v>1</v>
      </c>
      <c r="W519" s="116">
        <f t="shared" ref="W519:X519" si="524">IF(lenb(SUBSTITUTE($Z519,W$1&amp;" (1)",""))&lt;lenb($Z519),1,IF(lenb(SUBSTITUTE($Z519,W$1&amp;" (2)",""))&lt;lenb($Z519),2,IF(lenb(SUBSTITUTE($Z519,W$1&amp;" (3)",""))&lt;lenb($Z519),3,IF(lenb(SUBSTITUTE($Z519,W$1&amp;" (4)",""))&lt;lenb($Z519),4,IF(lenb(SUBSTITUTE($Z519,W$1&amp;" (5)",""))&lt;lenb($Z519),5,IF(lenb(SUBSTITUTE($Z519,W$1&amp;" (6)",""))&lt;lenb($Z519),6,IF(lenb(SUBSTITUTE($Z519,W$1&amp;" (7)",""))&lt;lenb($Z519),1,IF(lenb(SUBSTITUTE($Z519,W$1&amp;" (8)",""))&lt;lenb($Z519),8,IF(lenb(SUBSTITUTE($Z519,W$1&amp;" (9)",""))&lt;lenb($Z519),9,IF(lenb(SUBSTITUTE($Z519,W$1&amp;" (10)",""))&lt;lenb($Z519),10,IF(lenb(SUBSTITUTE($Z519,W$1,""))&lt;lenb($Z519),"ERROR",IF($Z519=$Y$1,"-",0))))))))))))</f>
        <v>0</v>
      </c>
      <c r="X519" s="116">
        <f t="shared" si="524"/>
        <v>0</v>
      </c>
      <c r="Y519" s="116" t="str">
        <f t="shared" si="4"/>
        <v>-</v>
      </c>
      <c r="Z519" s="115" t="s">
        <v>3400</v>
      </c>
      <c r="AA519" s="54">
        <f t="shared" si="5"/>
        <v>1</v>
      </c>
      <c r="AB519" s="54">
        <f>COUNTIFS(Links!B:B,"FSE",Links!C:C,A519,Links!AD:AD,1)</f>
        <v>0</v>
      </c>
      <c r="AC519" s="117" t="s">
        <v>35</v>
      </c>
      <c r="AD519" s="118" t="s">
        <v>35</v>
      </c>
      <c r="AE519" s="115" t="s">
        <v>36</v>
      </c>
      <c r="AF519" s="57" t="s">
        <v>42</v>
      </c>
      <c r="AG519" s="57" t="s">
        <v>42</v>
      </c>
      <c r="AH519" s="57" t="s">
        <v>42</v>
      </c>
      <c r="AI519" s="116" t="str">
        <f t="shared" si="6"/>
        <v>----</v>
      </c>
      <c r="AJ519" s="119" t="str">
        <f t="shared" si="7"/>
        <v>Paper has link but no statement</v>
      </c>
      <c r="AK519" s="120" t="s">
        <v>3401</v>
      </c>
      <c r="AL519" s="121" t="s">
        <v>3402</v>
      </c>
      <c r="AM519" s="60" t="str">
        <f t="shared" si="8"/>
        <v>[FP0227]</v>
      </c>
    </row>
    <row r="520" ht="67.5" customHeight="1">
      <c r="A520" s="61">
        <v>228.0</v>
      </c>
      <c r="B520" s="22" t="s">
        <v>4769</v>
      </c>
      <c r="C520" s="23">
        <v>2021.0</v>
      </c>
      <c r="D520" s="100" t="s">
        <v>37</v>
      </c>
      <c r="E520" s="25" t="s">
        <v>37</v>
      </c>
      <c r="F520" s="25" t="s">
        <v>35</v>
      </c>
      <c r="G520" s="25" t="s">
        <v>35</v>
      </c>
      <c r="H520" s="25" t="s">
        <v>35</v>
      </c>
      <c r="I520" s="25" t="s">
        <v>35</v>
      </c>
      <c r="J520" s="101" t="s">
        <v>36</v>
      </c>
      <c r="K520" s="102" t="s">
        <v>37</v>
      </c>
      <c r="L520" s="103" t="s">
        <v>35</v>
      </c>
      <c r="M520" s="103" t="s">
        <v>35</v>
      </c>
      <c r="N520" s="133" t="s">
        <v>37</v>
      </c>
      <c r="O520" s="103" t="s">
        <v>35</v>
      </c>
      <c r="P520" s="103" t="s">
        <v>35</v>
      </c>
      <c r="Q520" s="103" t="s">
        <v>35</v>
      </c>
      <c r="R520" s="103" t="s">
        <v>35</v>
      </c>
      <c r="S520" s="104" t="s">
        <v>4770</v>
      </c>
      <c r="T520" s="30" t="s">
        <v>4771</v>
      </c>
      <c r="U520" s="30" t="s">
        <v>4771</v>
      </c>
      <c r="V520" s="105">
        <f t="shared" si="2"/>
        <v>1</v>
      </c>
      <c r="W520" s="105">
        <f t="shared" ref="W520:X520" si="525">IF(lenb(SUBSTITUTE($Z520,W$1&amp;" (1)",""))&lt;lenb($Z520),1,IF(lenb(SUBSTITUTE($Z520,W$1&amp;" (2)",""))&lt;lenb($Z520),2,IF(lenb(SUBSTITUTE($Z520,W$1&amp;" (3)",""))&lt;lenb($Z520),3,IF(lenb(SUBSTITUTE($Z520,W$1&amp;" (4)",""))&lt;lenb($Z520),4,IF(lenb(SUBSTITUTE($Z520,W$1&amp;" (5)",""))&lt;lenb($Z520),5,IF(lenb(SUBSTITUTE($Z520,W$1&amp;" (6)",""))&lt;lenb($Z520),6,IF(lenb(SUBSTITUTE($Z520,W$1&amp;" (7)",""))&lt;lenb($Z520),1,IF(lenb(SUBSTITUTE($Z520,W$1&amp;" (8)",""))&lt;lenb($Z520),8,IF(lenb(SUBSTITUTE($Z520,W$1&amp;" (9)",""))&lt;lenb($Z520),9,IF(lenb(SUBSTITUTE($Z520,W$1&amp;" (10)",""))&lt;lenb($Z520),10,IF(lenb(SUBSTITUTE($Z520,W$1,""))&lt;lenb($Z520),"ERROR",IF($Z520=$Y$1,"-",0))))))))))))</f>
        <v>0</v>
      </c>
      <c r="X520" s="105">
        <f t="shared" si="525"/>
        <v>0</v>
      </c>
      <c r="Y520" s="105" t="str">
        <f t="shared" si="4"/>
        <v>-</v>
      </c>
      <c r="Z520" s="104" t="s">
        <v>3400</v>
      </c>
      <c r="AA520" s="34">
        <f t="shared" si="5"/>
        <v>1</v>
      </c>
      <c r="AB520" s="34">
        <f>COUNTIFS(Links!B:B,"FSE",Links!C:C,A520,Links!AD:AD,1)</f>
        <v>0</v>
      </c>
      <c r="AC520" s="106" t="s">
        <v>37</v>
      </c>
      <c r="AD520" s="107" t="s">
        <v>35</v>
      </c>
      <c r="AE520" s="104" t="s">
        <v>36</v>
      </c>
      <c r="AF520" s="37" t="s">
        <v>42</v>
      </c>
      <c r="AG520" s="37" t="s">
        <v>42</v>
      </c>
      <c r="AH520" s="37" t="s">
        <v>42</v>
      </c>
      <c r="AI520" s="105" t="str">
        <f t="shared" si="6"/>
        <v>----</v>
      </c>
      <c r="AJ520" s="108" t="str">
        <f t="shared" si="7"/>
        <v>Paper has link but no statement</v>
      </c>
      <c r="AK520" s="109" t="s">
        <v>3401</v>
      </c>
      <c r="AL520" s="110" t="s">
        <v>3402</v>
      </c>
      <c r="AM520" s="40" t="str">
        <f t="shared" si="8"/>
        <v>[FP0228]</v>
      </c>
    </row>
    <row r="521" ht="67.5" customHeight="1">
      <c r="A521" s="41">
        <v>229.0</v>
      </c>
      <c r="B521" s="42" t="s">
        <v>4772</v>
      </c>
      <c r="C521" s="43">
        <v>2021.0</v>
      </c>
      <c r="D521" s="111" t="s">
        <v>35</v>
      </c>
      <c r="E521" s="45" t="s">
        <v>36</v>
      </c>
      <c r="F521" s="45" t="s">
        <v>36</v>
      </c>
      <c r="G521" s="45" t="s">
        <v>36</v>
      </c>
      <c r="H521" s="45" t="s">
        <v>36</v>
      </c>
      <c r="I521" s="45" t="s">
        <v>36</v>
      </c>
      <c r="J521" s="112" t="s">
        <v>36</v>
      </c>
      <c r="K521" s="113" t="s">
        <v>37</v>
      </c>
      <c r="L521" s="114" t="s">
        <v>35</v>
      </c>
      <c r="M521" s="114" t="s">
        <v>37</v>
      </c>
      <c r="N521" s="114" t="s">
        <v>35</v>
      </c>
      <c r="O521" s="114" t="s">
        <v>35</v>
      </c>
      <c r="P521" s="114" t="s">
        <v>35</v>
      </c>
      <c r="Q521" s="114" t="s">
        <v>35</v>
      </c>
      <c r="R521" s="114" t="s">
        <v>37</v>
      </c>
      <c r="S521" s="115" t="s">
        <v>4773</v>
      </c>
      <c r="T521" s="50" t="s">
        <v>4774</v>
      </c>
      <c r="U521" s="50" t="s">
        <v>4774</v>
      </c>
      <c r="V521" s="116">
        <f t="shared" si="2"/>
        <v>1</v>
      </c>
      <c r="W521" s="116">
        <f t="shared" ref="W521:X521" si="526">IF(lenb(SUBSTITUTE($Z521,W$1&amp;" (1)",""))&lt;lenb($Z521),1,IF(lenb(SUBSTITUTE($Z521,W$1&amp;" (2)",""))&lt;lenb($Z521),2,IF(lenb(SUBSTITUTE($Z521,W$1&amp;" (3)",""))&lt;lenb($Z521),3,IF(lenb(SUBSTITUTE($Z521,W$1&amp;" (4)",""))&lt;lenb($Z521),4,IF(lenb(SUBSTITUTE($Z521,W$1&amp;" (5)",""))&lt;lenb($Z521),5,IF(lenb(SUBSTITUTE($Z521,W$1&amp;" (6)",""))&lt;lenb($Z521),6,IF(lenb(SUBSTITUTE($Z521,W$1&amp;" (7)",""))&lt;lenb($Z521),1,IF(lenb(SUBSTITUTE($Z521,W$1&amp;" (8)",""))&lt;lenb($Z521),8,IF(lenb(SUBSTITUTE($Z521,W$1&amp;" (9)",""))&lt;lenb($Z521),9,IF(lenb(SUBSTITUTE($Z521,W$1&amp;" (10)",""))&lt;lenb($Z521),10,IF(lenb(SUBSTITUTE($Z521,W$1,""))&lt;lenb($Z521),"ERROR",IF($Z521=$Y$1,"-",0))))))))))))</f>
        <v>0</v>
      </c>
      <c r="X521" s="116">
        <f t="shared" si="526"/>
        <v>0</v>
      </c>
      <c r="Y521" s="116" t="str">
        <f t="shared" si="4"/>
        <v>-</v>
      </c>
      <c r="Z521" s="115" t="s">
        <v>3400</v>
      </c>
      <c r="AA521" s="54">
        <f t="shared" si="5"/>
        <v>1</v>
      </c>
      <c r="AB521" s="54">
        <f>COUNTIFS(Links!B:B,"FSE",Links!C:C,A521,Links!AD:AD,1)</f>
        <v>0</v>
      </c>
      <c r="AC521" s="117" t="s">
        <v>35</v>
      </c>
      <c r="AD521" s="118" t="s">
        <v>35</v>
      </c>
      <c r="AE521" s="115" t="s">
        <v>36</v>
      </c>
      <c r="AF521" s="57" t="s">
        <v>42</v>
      </c>
      <c r="AG521" s="57" t="s">
        <v>42</v>
      </c>
      <c r="AH521" s="57" t="s">
        <v>42</v>
      </c>
      <c r="AI521" s="116" t="str">
        <f t="shared" si="6"/>
        <v>----</v>
      </c>
      <c r="AJ521" s="119" t="str">
        <f t="shared" si="7"/>
        <v>Paper has link but no statement</v>
      </c>
      <c r="AK521" s="120" t="s">
        <v>3401</v>
      </c>
      <c r="AL521" s="121" t="s">
        <v>3402</v>
      </c>
      <c r="AM521" s="60" t="str">
        <f t="shared" si="8"/>
        <v>[FP0229]</v>
      </c>
    </row>
    <row r="522" ht="67.5" customHeight="1">
      <c r="A522" s="61">
        <v>230.0</v>
      </c>
      <c r="B522" s="22" t="s">
        <v>4775</v>
      </c>
      <c r="C522" s="23">
        <v>2021.0</v>
      </c>
      <c r="D522" s="100" t="s">
        <v>37</v>
      </c>
      <c r="E522" s="25" t="s">
        <v>37</v>
      </c>
      <c r="F522" s="25" t="s">
        <v>35</v>
      </c>
      <c r="G522" s="25" t="s">
        <v>35</v>
      </c>
      <c r="H522" s="25" t="s">
        <v>35</v>
      </c>
      <c r="I522" s="25" t="s">
        <v>35</v>
      </c>
      <c r="J522" s="101" t="s">
        <v>36</v>
      </c>
      <c r="K522" s="102" t="s">
        <v>37</v>
      </c>
      <c r="L522" s="103" t="s">
        <v>37</v>
      </c>
      <c r="M522" s="103" t="s">
        <v>37</v>
      </c>
      <c r="N522" s="103" t="s">
        <v>35</v>
      </c>
      <c r="O522" s="103" t="s">
        <v>35</v>
      </c>
      <c r="P522" s="103" t="s">
        <v>37</v>
      </c>
      <c r="Q522" s="103" t="s">
        <v>35</v>
      </c>
      <c r="R522" s="103" t="s">
        <v>37</v>
      </c>
      <c r="S522" s="104" t="s">
        <v>4776</v>
      </c>
      <c r="T522" s="30" t="s">
        <v>4777</v>
      </c>
      <c r="U522" s="30" t="s">
        <v>4777</v>
      </c>
      <c r="V522" s="105">
        <f t="shared" si="2"/>
        <v>2</v>
      </c>
      <c r="W522" s="105">
        <f t="shared" ref="W522:X522" si="527">IF(lenb(SUBSTITUTE($Z522,W$1&amp;" (1)",""))&lt;lenb($Z522),1,IF(lenb(SUBSTITUTE($Z522,W$1&amp;" (2)",""))&lt;lenb($Z522),2,IF(lenb(SUBSTITUTE($Z522,W$1&amp;" (3)",""))&lt;lenb($Z522),3,IF(lenb(SUBSTITUTE($Z522,W$1&amp;" (4)",""))&lt;lenb($Z522),4,IF(lenb(SUBSTITUTE($Z522,W$1&amp;" (5)",""))&lt;lenb($Z522),5,IF(lenb(SUBSTITUTE($Z522,W$1&amp;" (6)",""))&lt;lenb($Z522),6,IF(lenb(SUBSTITUTE($Z522,W$1&amp;" (7)",""))&lt;lenb($Z522),1,IF(lenb(SUBSTITUTE($Z522,W$1&amp;" (8)",""))&lt;lenb($Z522),8,IF(lenb(SUBSTITUTE($Z522,W$1&amp;" (9)",""))&lt;lenb($Z522),9,IF(lenb(SUBSTITUTE($Z522,W$1&amp;" (10)",""))&lt;lenb($Z522),10,IF(lenb(SUBSTITUTE($Z522,W$1,""))&lt;lenb($Z522),"ERROR",IF($Z522=$Y$1,"-",0))))))))))))</f>
        <v>0</v>
      </c>
      <c r="X522" s="105">
        <f t="shared" si="527"/>
        <v>0</v>
      </c>
      <c r="Y522" s="105" t="str">
        <f t="shared" si="4"/>
        <v>-</v>
      </c>
      <c r="Z522" s="104" t="s">
        <v>3452</v>
      </c>
      <c r="AA522" s="34">
        <f t="shared" si="5"/>
        <v>2</v>
      </c>
      <c r="AB522" s="34">
        <f>COUNTIFS(Links!B:B,"FSE",Links!C:C,A522,Links!AD:AD,1)</f>
        <v>0</v>
      </c>
      <c r="AC522" s="106" t="s">
        <v>37</v>
      </c>
      <c r="AD522" s="107" t="s">
        <v>35</v>
      </c>
      <c r="AE522" s="104" t="s">
        <v>36</v>
      </c>
      <c r="AF522" s="37" t="s">
        <v>42</v>
      </c>
      <c r="AG522" s="37" t="s">
        <v>42</v>
      </c>
      <c r="AH522" s="37" t="s">
        <v>42</v>
      </c>
      <c r="AI522" s="105" t="str">
        <f t="shared" si="6"/>
        <v>----</v>
      </c>
      <c r="AJ522" s="108" t="str">
        <f t="shared" si="7"/>
        <v>Paper has link but no statement</v>
      </c>
      <c r="AK522" s="109" t="s">
        <v>3401</v>
      </c>
      <c r="AL522" s="110" t="s">
        <v>3402</v>
      </c>
      <c r="AM522" s="40" t="str">
        <f t="shared" si="8"/>
        <v>[FP0230]</v>
      </c>
    </row>
    <row r="523" ht="67.5" customHeight="1">
      <c r="A523" s="41">
        <v>231.0</v>
      </c>
      <c r="B523" s="42" t="s">
        <v>4778</v>
      </c>
      <c r="C523" s="43">
        <v>2021.0</v>
      </c>
      <c r="D523" s="111" t="s">
        <v>37</v>
      </c>
      <c r="E523" s="45" t="s">
        <v>37</v>
      </c>
      <c r="F523" s="45" t="s">
        <v>35</v>
      </c>
      <c r="G523" s="45" t="s">
        <v>37</v>
      </c>
      <c r="H523" s="45" t="s">
        <v>35</v>
      </c>
      <c r="I523" s="45" t="s">
        <v>35</v>
      </c>
      <c r="J523" s="112" t="s">
        <v>36</v>
      </c>
      <c r="K523" s="113" t="s">
        <v>37</v>
      </c>
      <c r="L523" s="114" t="s">
        <v>35</v>
      </c>
      <c r="M523" s="114" t="s">
        <v>37</v>
      </c>
      <c r="N523" s="114" t="s">
        <v>35</v>
      </c>
      <c r="O523" s="114" t="s">
        <v>35</v>
      </c>
      <c r="P523" s="114" t="s">
        <v>35</v>
      </c>
      <c r="Q523" s="114" t="s">
        <v>35</v>
      </c>
      <c r="R523" s="114" t="s">
        <v>37</v>
      </c>
      <c r="S523" s="115" t="s">
        <v>4779</v>
      </c>
      <c r="T523" s="50" t="s">
        <v>4780</v>
      </c>
      <c r="U523" s="50" t="s">
        <v>4780</v>
      </c>
      <c r="V523" s="116">
        <f t="shared" si="2"/>
        <v>4</v>
      </c>
      <c r="W523" s="116">
        <f t="shared" ref="W523:X523" si="528">IF(lenb(SUBSTITUTE($Z523,W$1&amp;" (1)",""))&lt;lenb($Z523),1,IF(lenb(SUBSTITUTE($Z523,W$1&amp;" (2)",""))&lt;lenb($Z523),2,IF(lenb(SUBSTITUTE($Z523,W$1&amp;" (3)",""))&lt;lenb($Z523),3,IF(lenb(SUBSTITUTE($Z523,W$1&amp;" (4)",""))&lt;lenb($Z523),4,IF(lenb(SUBSTITUTE($Z523,W$1&amp;" (5)",""))&lt;lenb($Z523),5,IF(lenb(SUBSTITUTE($Z523,W$1&amp;" (6)",""))&lt;lenb($Z523),6,IF(lenb(SUBSTITUTE($Z523,W$1&amp;" (7)",""))&lt;lenb($Z523),1,IF(lenb(SUBSTITUTE($Z523,W$1&amp;" (8)",""))&lt;lenb($Z523),8,IF(lenb(SUBSTITUTE($Z523,W$1&amp;" (9)",""))&lt;lenb($Z523),9,IF(lenb(SUBSTITUTE($Z523,W$1&amp;" (10)",""))&lt;lenb($Z523),10,IF(lenb(SUBSTITUTE($Z523,W$1,""))&lt;lenb($Z523),"ERROR",IF($Z523=$Y$1,"-",0))))))))))))</f>
        <v>0</v>
      </c>
      <c r="X523" s="116">
        <f t="shared" si="528"/>
        <v>0</v>
      </c>
      <c r="Y523" s="116" t="str">
        <f t="shared" si="4"/>
        <v>-</v>
      </c>
      <c r="Z523" s="115" t="s">
        <v>4135</v>
      </c>
      <c r="AA523" s="54">
        <f t="shared" si="5"/>
        <v>4</v>
      </c>
      <c r="AB523" s="54">
        <f>COUNTIFS(Links!B:B,"FSE",Links!C:C,A523,Links!AD:AD,1)</f>
        <v>0</v>
      </c>
      <c r="AC523" s="117" t="s">
        <v>37</v>
      </c>
      <c r="AD523" s="118" t="s">
        <v>35</v>
      </c>
      <c r="AE523" s="115" t="s">
        <v>36</v>
      </c>
      <c r="AF523" s="57" t="s">
        <v>42</v>
      </c>
      <c r="AG523" s="57" t="s">
        <v>42</v>
      </c>
      <c r="AH523" s="57" t="s">
        <v>42</v>
      </c>
      <c r="AI523" s="116" t="str">
        <f t="shared" si="6"/>
        <v>----</v>
      </c>
      <c r="AJ523" s="119" t="str">
        <f t="shared" si="7"/>
        <v>Paper has link but no statement</v>
      </c>
      <c r="AK523" s="120" t="s">
        <v>3401</v>
      </c>
      <c r="AL523" s="121" t="s">
        <v>3402</v>
      </c>
      <c r="AM523" s="60" t="str">
        <f t="shared" si="8"/>
        <v>[FP0231]</v>
      </c>
    </row>
    <row r="524" ht="67.5" customHeight="1">
      <c r="A524" s="61">
        <v>232.0</v>
      </c>
      <c r="B524" s="22" t="s">
        <v>4781</v>
      </c>
      <c r="C524" s="23">
        <v>2021.0</v>
      </c>
      <c r="D524" s="100" t="s">
        <v>37</v>
      </c>
      <c r="E524" s="25" t="s">
        <v>37</v>
      </c>
      <c r="F524" s="25" t="s">
        <v>37</v>
      </c>
      <c r="G524" s="25" t="s">
        <v>35</v>
      </c>
      <c r="H524" s="25" t="s">
        <v>35</v>
      </c>
      <c r="I524" s="25" t="s">
        <v>35</v>
      </c>
      <c r="J524" s="101" t="s">
        <v>36</v>
      </c>
      <c r="K524" s="102" t="s">
        <v>37</v>
      </c>
      <c r="L524" s="103" t="s">
        <v>37</v>
      </c>
      <c r="M524" s="103" t="s">
        <v>35</v>
      </c>
      <c r="N524" s="103" t="s">
        <v>37</v>
      </c>
      <c r="O524" s="103" t="s">
        <v>35</v>
      </c>
      <c r="P524" s="103" t="s">
        <v>35</v>
      </c>
      <c r="Q524" s="103" t="s">
        <v>35</v>
      </c>
      <c r="R524" s="103" t="s">
        <v>35</v>
      </c>
      <c r="S524" s="104" t="s">
        <v>4782</v>
      </c>
      <c r="T524" s="30" t="s">
        <v>4783</v>
      </c>
      <c r="U524" s="30" t="s">
        <v>4783</v>
      </c>
      <c r="V524" s="105">
        <f t="shared" si="2"/>
        <v>1</v>
      </c>
      <c r="W524" s="105">
        <f t="shared" ref="W524:X524" si="529">IF(lenb(SUBSTITUTE($Z524,W$1&amp;" (1)",""))&lt;lenb($Z524),1,IF(lenb(SUBSTITUTE($Z524,W$1&amp;" (2)",""))&lt;lenb($Z524),2,IF(lenb(SUBSTITUTE($Z524,W$1&amp;" (3)",""))&lt;lenb($Z524),3,IF(lenb(SUBSTITUTE($Z524,W$1&amp;" (4)",""))&lt;lenb($Z524),4,IF(lenb(SUBSTITUTE($Z524,W$1&amp;" (5)",""))&lt;lenb($Z524),5,IF(lenb(SUBSTITUTE($Z524,W$1&amp;" (6)",""))&lt;lenb($Z524),6,IF(lenb(SUBSTITUTE($Z524,W$1&amp;" (7)",""))&lt;lenb($Z524),1,IF(lenb(SUBSTITUTE($Z524,W$1&amp;" (8)",""))&lt;lenb($Z524),8,IF(lenb(SUBSTITUTE($Z524,W$1&amp;" (9)",""))&lt;lenb($Z524),9,IF(lenb(SUBSTITUTE($Z524,W$1&amp;" (10)",""))&lt;lenb($Z524),10,IF(lenb(SUBSTITUTE($Z524,W$1,""))&lt;lenb($Z524),"ERROR",IF($Z524=$Y$1,"-",0))))))))))))</f>
        <v>0</v>
      </c>
      <c r="X524" s="105">
        <f t="shared" si="529"/>
        <v>0</v>
      </c>
      <c r="Y524" s="105" t="str">
        <f t="shared" si="4"/>
        <v>-</v>
      </c>
      <c r="Z524" s="104" t="s">
        <v>3400</v>
      </c>
      <c r="AA524" s="34">
        <f t="shared" si="5"/>
        <v>1</v>
      </c>
      <c r="AB524" s="34">
        <f>COUNTIFS(Links!B:B,"FSE",Links!C:C,A524,Links!AD:AD,1)</f>
        <v>0</v>
      </c>
      <c r="AC524" s="106" t="s">
        <v>35</v>
      </c>
      <c r="AD524" s="107" t="s">
        <v>35</v>
      </c>
      <c r="AE524" s="104" t="s">
        <v>36</v>
      </c>
      <c r="AF524" s="37" t="s">
        <v>42</v>
      </c>
      <c r="AG524" s="37" t="s">
        <v>42</v>
      </c>
      <c r="AH524" s="37" t="s">
        <v>42</v>
      </c>
      <c r="AI524" s="105" t="str">
        <f t="shared" si="6"/>
        <v>----</v>
      </c>
      <c r="AJ524" s="108" t="str">
        <f t="shared" si="7"/>
        <v>Paper has link but no statement</v>
      </c>
      <c r="AK524" s="109" t="s">
        <v>3401</v>
      </c>
      <c r="AL524" s="110" t="s">
        <v>3402</v>
      </c>
      <c r="AM524" s="40" t="str">
        <f t="shared" si="8"/>
        <v>[FP0232]</v>
      </c>
    </row>
    <row r="525" ht="67.5" customHeight="1">
      <c r="A525" s="41">
        <v>233.0</v>
      </c>
      <c r="B525" s="42" t="s">
        <v>4784</v>
      </c>
      <c r="C525" s="43">
        <v>2021.0</v>
      </c>
      <c r="D525" s="111" t="s">
        <v>35</v>
      </c>
      <c r="E525" s="45" t="s">
        <v>36</v>
      </c>
      <c r="F525" s="45" t="s">
        <v>36</v>
      </c>
      <c r="G525" s="45" t="s">
        <v>36</v>
      </c>
      <c r="H525" s="45" t="s">
        <v>36</v>
      </c>
      <c r="I525" s="45" t="s">
        <v>36</v>
      </c>
      <c r="J525" s="112" t="s">
        <v>36</v>
      </c>
      <c r="K525" s="113" t="s">
        <v>37</v>
      </c>
      <c r="L525" s="114" t="s">
        <v>35</v>
      </c>
      <c r="M525" s="114" t="s">
        <v>37</v>
      </c>
      <c r="N525" s="114" t="s">
        <v>37</v>
      </c>
      <c r="O525" s="114" t="s">
        <v>35</v>
      </c>
      <c r="P525" s="114" t="s">
        <v>35</v>
      </c>
      <c r="Q525" s="114" t="s">
        <v>35</v>
      </c>
      <c r="R525" s="114" t="s">
        <v>37</v>
      </c>
      <c r="S525" s="115" t="s">
        <v>4785</v>
      </c>
      <c r="T525" s="50" t="s">
        <v>4786</v>
      </c>
      <c r="U525" s="50" t="s">
        <v>4786</v>
      </c>
      <c r="V525" s="116">
        <f t="shared" si="2"/>
        <v>1</v>
      </c>
      <c r="W525" s="116">
        <f t="shared" ref="W525:X525" si="530">IF(lenb(SUBSTITUTE($Z525,W$1&amp;" (1)",""))&lt;lenb($Z525),1,IF(lenb(SUBSTITUTE($Z525,W$1&amp;" (2)",""))&lt;lenb($Z525),2,IF(lenb(SUBSTITUTE($Z525,W$1&amp;" (3)",""))&lt;lenb($Z525),3,IF(lenb(SUBSTITUTE($Z525,W$1&amp;" (4)",""))&lt;lenb($Z525),4,IF(lenb(SUBSTITUTE($Z525,W$1&amp;" (5)",""))&lt;lenb($Z525),5,IF(lenb(SUBSTITUTE($Z525,W$1&amp;" (6)",""))&lt;lenb($Z525),6,IF(lenb(SUBSTITUTE($Z525,W$1&amp;" (7)",""))&lt;lenb($Z525),1,IF(lenb(SUBSTITUTE($Z525,W$1&amp;" (8)",""))&lt;lenb($Z525),8,IF(lenb(SUBSTITUTE($Z525,W$1&amp;" (9)",""))&lt;lenb($Z525),9,IF(lenb(SUBSTITUTE($Z525,W$1&amp;" (10)",""))&lt;lenb($Z525),10,IF(lenb(SUBSTITUTE($Z525,W$1,""))&lt;lenb($Z525),"ERROR",IF($Z525=$Y$1,"-",0))))))))))))</f>
        <v>0</v>
      </c>
      <c r="X525" s="116">
        <f t="shared" si="530"/>
        <v>0</v>
      </c>
      <c r="Y525" s="116" t="str">
        <f t="shared" si="4"/>
        <v>-</v>
      </c>
      <c r="Z525" s="115" t="s">
        <v>3400</v>
      </c>
      <c r="AA525" s="54">
        <f t="shared" si="5"/>
        <v>1</v>
      </c>
      <c r="AB525" s="54">
        <f>COUNTIFS(Links!B:B,"FSE",Links!C:C,A525,Links!AD:AD,1)</f>
        <v>0</v>
      </c>
      <c r="AC525" s="117" t="s">
        <v>35</v>
      </c>
      <c r="AD525" s="118" t="s">
        <v>35</v>
      </c>
      <c r="AE525" s="115" t="s">
        <v>36</v>
      </c>
      <c r="AF525" s="57" t="s">
        <v>42</v>
      </c>
      <c r="AG525" s="57" t="s">
        <v>42</v>
      </c>
      <c r="AH525" s="57" t="s">
        <v>42</v>
      </c>
      <c r="AI525" s="116" t="str">
        <f t="shared" si="6"/>
        <v>----</v>
      </c>
      <c r="AJ525" s="119" t="str">
        <f t="shared" si="7"/>
        <v>Paper has link but no statement</v>
      </c>
      <c r="AK525" s="120" t="s">
        <v>3401</v>
      </c>
      <c r="AL525" s="121" t="s">
        <v>3402</v>
      </c>
      <c r="AM525" s="60" t="str">
        <f t="shared" si="8"/>
        <v>[FP0233]</v>
      </c>
    </row>
    <row r="526" ht="67.5" customHeight="1">
      <c r="A526" s="61">
        <v>234.0</v>
      </c>
      <c r="B526" s="22" t="s">
        <v>4787</v>
      </c>
      <c r="C526" s="23">
        <v>2021.0</v>
      </c>
      <c r="D526" s="100" t="s">
        <v>35</v>
      </c>
      <c r="E526" s="25" t="s">
        <v>36</v>
      </c>
      <c r="F526" s="25" t="s">
        <v>36</v>
      </c>
      <c r="G526" s="25" t="s">
        <v>36</v>
      </c>
      <c r="H526" s="25" t="s">
        <v>36</v>
      </c>
      <c r="I526" s="25" t="s">
        <v>36</v>
      </c>
      <c r="J526" s="101" t="s">
        <v>36</v>
      </c>
      <c r="K526" s="102" t="s">
        <v>35</v>
      </c>
      <c r="L526" s="103" t="s">
        <v>36</v>
      </c>
      <c r="M526" s="103" t="s">
        <v>36</v>
      </c>
      <c r="N526" s="103" t="s">
        <v>36</v>
      </c>
      <c r="O526" s="103" t="s">
        <v>36</v>
      </c>
      <c r="P526" s="103" t="s">
        <v>36</v>
      </c>
      <c r="Q526" s="103" t="s">
        <v>36</v>
      </c>
      <c r="R526" s="103" t="s">
        <v>36</v>
      </c>
      <c r="S526" s="104" t="s">
        <v>42</v>
      </c>
      <c r="T526" s="30" t="s">
        <v>36</v>
      </c>
      <c r="U526" s="30" t="s">
        <v>36</v>
      </c>
      <c r="V526" s="105" t="str">
        <f t="shared" si="2"/>
        <v>-</v>
      </c>
      <c r="W526" s="105" t="str">
        <f t="shared" ref="W526:X526" si="531">IF(lenb(SUBSTITUTE($Z526,W$1&amp;" (1)",""))&lt;lenb($Z526),1,IF(lenb(SUBSTITUTE($Z526,W$1&amp;" (2)",""))&lt;lenb($Z526),2,IF(lenb(SUBSTITUTE($Z526,W$1&amp;" (3)",""))&lt;lenb($Z526),3,IF(lenb(SUBSTITUTE($Z526,W$1&amp;" (4)",""))&lt;lenb($Z526),4,IF(lenb(SUBSTITUTE($Z526,W$1&amp;" (5)",""))&lt;lenb($Z526),5,IF(lenb(SUBSTITUTE($Z526,W$1&amp;" (6)",""))&lt;lenb($Z526),6,IF(lenb(SUBSTITUTE($Z526,W$1&amp;" (7)",""))&lt;lenb($Z526),1,IF(lenb(SUBSTITUTE($Z526,W$1&amp;" (8)",""))&lt;lenb($Z526),8,IF(lenb(SUBSTITUTE($Z526,W$1&amp;" (9)",""))&lt;lenb($Z526),9,IF(lenb(SUBSTITUTE($Z526,W$1&amp;" (10)",""))&lt;lenb($Z526),10,IF(lenb(SUBSTITUTE($Z526,W$1,""))&lt;lenb($Z526),"ERROR",IF($Z526=$Y$1,"-",0))))))))))))</f>
        <v>-</v>
      </c>
      <c r="X526" s="105" t="str">
        <f t="shared" si="531"/>
        <v>-</v>
      </c>
      <c r="Y526" s="105">
        <f t="shared" si="4"/>
        <v>1</v>
      </c>
      <c r="Z526" s="104" t="s">
        <v>23</v>
      </c>
      <c r="AA526" s="34">
        <f t="shared" si="5"/>
        <v>0</v>
      </c>
      <c r="AB526" s="34">
        <f>COUNTIFS(Links!B:B,"FSE",Links!C:C,A526,Links!AD:AD,1)</f>
        <v>0</v>
      </c>
      <c r="AC526" s="106" t="s">
        <v>36</v>
      </c>
      <c r="AD526" s="107" t="s">
        <v>37</v>
      </c>
      <c r="AE526" s="128" t="s">
        <v>4788</v>
      </c>
      <c r="AF526" s="37" t="s">
        <v>146</v>
      </c>
      <c r="AG526" s="37" t="s">
        <v>42</v>
      </c>
      <c r="AH526" s="37" t="s">
        <v>42</v>
      </c>
      <c r="AI526" s="105" t="str">
        <f t="shared" si="6"/>
        <v>Future plans (—)</v>
      </c>
      <c r="AJ526" s="108" t="str">
        <f t="shared" si="7"/>
        <v>Paper has no link but has statement</v>
      </c>
      <c r="AK526" s="109" t="s">
        <v>3401</v>
      </c>
      <c r="AL526" s="110" t="s">
        <v>3402</v>
      </c>
      <c r="AM526" s="40" t="str">
        <f t="shared" si="8"/>
        <v>[FP0234]</v>
      </c>
    </row>
    <row r="527" ht="67.5" customHeight="1">
      <c r="A527" s="41">
        <v>235.0</v>
      </c>
      <c r="B527" s="42" t="s">
        <v>4789</v>
      </c>
      <c r="C527" s="43">
        <v>2021.0</v>
      </c>
      <c r="D527" s="111" t="s">
        <v>35</v>
      </c>
      <c r="E527" s="45" t="s">
        <v>36</v>
      </c>
      <c r="F527" s="45" t="s">
        <v>36</v>
      </c>
      <c r="G527" s="45" t="s">
        <v>36</v>
      </c>
      <c r="H527" s="45" t="s">
        <v>36</v>
      </c>
      <c r="I527" s="45" t="s">
        <v>36</v>
      </c>
      <c r="J527" s="112" t="s">
        <v>36</v>
      </c>
      <c r="K527" s="113" t="s">
        <v>37</v>
      </c>
      <c r="L527" s="114" t="s">
        <v>35</v>
      </c>
      <c r="M527" s="114" t="s">
        <v>37</v>
      </c>
      <c r="N527" s="114" t="s">
        <v>37</v>
      </c>
      <c r="O527" s="114" t="s">
        <v>37</v>
      </c>
      <c r="P527" s="114" t="s">
        <v>35</v>
      </c>
      <c r="Q527" s="114" t="s">
        <v>35</v>
      </c>
      <c r="R527" s="114" t="s">
        <v>37</v>
      </c>
      <c r="S527" s="115" t="s">
        <v>4790</v>
      </c>
      <c r="T527" s="50" t="s">
        <v>4791</v>
      </c>
      <c r="U527" s="50" t="s">
        <v>4791</v>
      </c>
      <c r="V527" s="116">
        <f t="shared" si="2"/>
        <v>1</v>
      </c>
      <c r="W527" s="116">
        <f t="shared" ref="W527:X527" si="532">IF(lenb(SUBSTITUTE($Z527,W$1&amp;" (1)",""))&lt;lenb($Z527),1,IF(lenb(SUBSTITUTE($Z527,W$1&amp;" (2)",""))&lt;lenb($Z527),2,IF(lenb(SUBSTITUTE($Z527,W$1&amp;" (3)",""))&lt;lenb($Z527),3,IF(lenb(SUBSTITUTE($Z527,W$1&amp;" (4)",""))&lt;lenb($Z527),4,IF(lenb(SUBSTITUTE($Z527,W$1&amp;" (5)",""))&lt;lenb($Z527),5,IF(lenb(SUBSTITUTE($Z527,W$1&amp;" (6)",""))&lt;lenb($Z527),6,IF(lenb(SUBSTITUTE($Z527,W$1&amp;" (7)",""))&lt;lenb($Z527),1,IF(lenb(SUBSTITUTE($Z527,W$1&amp;" (8)",""))&lt;lenb($Z527),8,IF(lenb(SUBSTITUTE($Z527,W$1&amp;" (9)",""))&lt;lenb($Z527),9,IF(lenb(SUBSTITUTE($Z527,W$1&amp;" (10)",""))&lt;lenb($Z527),10,IF(lenb(SUBSTITUTE($Z527,W$1,""))&lt;lenb($Z527),"ERROR",IF($Z527=$Y$1,"-",0))))))))))))</f>
        <v>0</v>
      </c>
      <c r="X527" s="116">
        <f t="shared" si="532"/>
        <v>0</v>
      </c>
      <c r="Y527" s="116" t="str">
        <f t="shared" si="4"/>
        <v>-</v>
      </c>
      <c r="Z527" s="115" t="s">
        <v>3400</v>
      </c>
      <c r="AA527" s="54">
        <f t="shared" si="5"/>
        <v>1</v>
      </c>
      <c r="AB527" s="54">
        <f>COUNTIFS(Links!B:B,"FSE",Links!C:C,A527,Links!AD:AD,1)</f>
        <v>0</v>
      </c>
      <c r="AC527" s="117" t="s">
        <v>35</v>
      </c>
      <c r="AD527" s="118" t="s">
        <v>35</v>
      </c>
      <c r="AE527" s="115" t="s">
        <v>36</v>
      </c>
      <c r="AF527" s="57" t="s">
        <v>42</v>
      </c>
      <c r="AG527" s="57" t="s">
        <v>42</v>
      </c>
      <c r="AH527" s="57" t="s">
        <v>42</v>
      </c>
      <c r="AI527" s="116" t="str">
        <f t="shared" si="6"/>
        <v>----</v>
      </c>
      <c r="AJ527" s="119" t="str">
        <f t="shared" si="7"/>
        <v>Paper has link but no statement</v>
      </c>
      <c r="AK527" s="120" t="s">
        <v>3401</v>
      </c>
      <c r="AL527" s="121" t="s">
        <v>3402</v>
      </c>
      <c r="AM527" s="60" t="str">
        <f t="shared" si="8"/>
        <v>[FP0235]</v>
      </c>
    </row>
    <row r="528" ht="67.5" customHeight="1">
      <c r="A528" s="61">
        <v>236.0</v>
      </c>
      <c r="B528" s="22" t="s">
        <v>4792</v>
      </c>
      <c r="C528" s="23">
        <v>2021.0</v>
      </c>
      <c r="D528" s="100" t="s">
        <v>37</v>
      </c>
      <c r="E528" s="25" t="s">
        <v>37</v>
      </c>
      <c r="F528" s="25" t="s">
        <v>35</v>
      </c>
      <c r="G528" s="25" t="s">
        <v>37</v>
      </c>
      <c r="H528" s="25" t="s">
        <v>35</v>
      </c>
      <c r="I528" s="25" t="s">
        <v>35</v>
      </c>
      <c r="J528" s="101" t="s">
        <v>36</v>
      </c>
      <c r="K528" s="102" t="s">
        <v>37</v>
      </c>
      <c r="L528" s="103" t="s">
        <v>35</v>
      </c>
      <c r="M528" s="103" t="s">
        <v>35</v>
      </c>
      <c r="N528" s="103" t="s">
        <v>35</v>
      </c>
      <c r="O528" s="103" t="s">
        <v>35</v>
      </c>
      <c r="P528" s="103" t="s">
        <v>35</v>
      </c>
      <c r="Q528" s="103" t="s">
        <v>35</v>
      </c>
      <c r="R528" s="103" t="s">
        <v>37</v>
      </c>
      <c r="S528" s="104" t="s">
        <v>4793</v>
      </c>
      <c r="T528" s="30" t="s">
        <v>4794</v>
      </c>
      <c r="U528" s="30" t="s">
        <v>4794</v>
      </c>
      <c r="V528" s="105">
        <f t="shared" si="2"/>
        <v>1</v>
      </c>
      <c r="W528" s="105">
        <f t="shared" ref="W528:X528" si="533">IF(lenb(SUBSTITUTE($Z528,W$1&amp;" (1)",""))&lt;lenb($Z528),1,IF(lenb(SUBSTITUTE($Z528,W$1&amp;" (2)",""))&lt;lenb($Z528),2,IF(lenb(SUBSTITUTE($Z528,W$1&amp;" (3)",""))&lt;lenb($Z528),3,IF(lenb(SUBSTITUTE($Z528,W$1&amp;" (4)",""))&lt;lenb($Z528),4,IF(lenb(SUBSTITUTE($Z528,W$1&amp;" (5)",""))&lt;lenb($Z528),5,IF(lenb(SUBSTITUTE($Z528,W$1&amp;" (6)",""))&lt;lenb($Z528),6,IF(lenb(SUBSTITUTE($Z528,W$1&amp;" (7)",""))&lt;lenb($Z528),1,IF(lenb(SUBSTITUTE($Z528,W$1&amp;" (8)",""))&lt;lenb($Z528),8,IF(lenb(SUBSTITUTE($Z528,W$1&amp;" (9)",""))&lt;lenb($Z528),9,IF(lenb(SUBSTITUTE($Z528,W$1&amp;" (10)",""))&lt;lenb($Z528),10,IF(lenb(SUBSTITUTE($Z528,W$1,""))&lt;lenb($Z528),"ERROR",IF($Z528=$Y$1,"-",0))))))))))))</f>
        <v>0</v>
      </c>
      <c r="X528" s="105">
        <f t="shared" si="533"/>
        <v>0</v>
      </c>
      <c r="Y528" s="105" t="str">
        <f t="shared" si="4"/>
        <v>-</v>
      </c>
      <c r="Z528" s="104" t="s">
        <v>3400</v>
      </c>
      <c r="AA528" s="34">
        <f t="shared" si="5"/>
        <v>1</v>
      </c>
      <c r="AB528" s="34">
        <f>COUNTIFS(Links!B:B,"FSE",Links!C:C,A528,Links!AD:AD,1)</f>
        <v>0</v>
      </c>
      <c r="AC528" s="106" t="s">
        <v>35</v>
      </c>
      <c r="AD528" s="107" t="s">
        <v>35</v>
      </c>
      <c r="AE528" s="104" t="s">
        <v>36</v>
      </c>
      <c r="AF528" s="37" t="s">
        <v>42</v>
      </c>
      <c r="AG528" s="37" t="s">
        <v>42</v>
      </c>
      <c r="AH528" s="37" t="s">
        <v>42</v>
      </c>
      <c r="AI528" s="105" t="str">
        <f t="shared" si="6"/>
        <v>----</v>
      </c>
      <c r="AJ528" s="108" t="str">
        <f t="shared" si="7"/>
        <v>Paper has link but no statement</v>
      </c>
      <c r="AK528" s="109" t="s">
        <v>3401</v>
      </c>
      <c r="AL528" s="110" t="s">
        <v>3402</v>
      </c>
      <c r="AM528" s="40" t="str">
        <f t="shared" si="8"/>
        <v>[FP0236]</v>
      </c>
    </row>
    <row r="529" ht="67.5" customHeight="1">
      <c r="A529" s="41">
        <v>237.0</v>
      </c>
      <c r="B529" s="42" t="s">
        <v>4795</v>
      </c>
      <c r="C529" s="43">
        <v>2021.0</v>
      </c>
      <c r="D529" s="111" t="s">
        <v>37</v>
      </c>
      <c r="E529" s="45" t="s">
        <v>37</v>
      </c>
      <c r="F529" s="45" t="s">
        <v>35</v>
      </c>
      <c r="G529" s="45" t="s">
        <v>37</v>
      </c>
      <c r="H529" s="45" t="s">
        <v>35</v>
      </c>
      <c r="I529" s="45" t="s">
        <v>35</v>
      </c>
      <c r="J529" s="112" t="s">
        <v>36</v>
      </c>
      <c r="K529" s="113" t="s">
        <v>37</v>
      </c>
      <c r="L529" s="114" t="s">
        <v>35</v>
      </c>
      <c r="M529" s="114" t="s">
        <v>37</v>
      </c>
      <c r="N529" s="114" t="s">
        <v>35</v>
      </c>
      <c r="O529" s="114" t="s">
        <v>35</v>
      </c>
      <c r="P529" s="114" t="s">
        <v>35</v>
      </c>
      <c r="Q529" s="114" t="s">
        <v>35</v>
      </c>
      <c r="R529" s="114" t="s">
        <v>37</v>
      </c>
      <c r="S529" s="115" t="s">
        <v>4796</v>
      </c>
      <c r="T529" s="50" t="s">
        <v>4797</v>
      </c>
      <c r="U529" s="50" t="s">
        <v>4797</v>
      </c>
      <c r="V529" s="116">
        <f t="shared" si="2"/>
        <v>1</v>
      </c>
      <c r="W529" s="116">
        <f t="shared" ref="W529:X529" si="534">IF(lenb(SUBSTITUTE($Z529,W$1&amp;" (1)",""))&lt;lenb($Z529),1,IF(lenb(SUBSTITUTE($Z529,W$1&amp;" (2)",""))&lt;lenb($Z529),2,IF(lenb(SUBSTITUTE($Z529,W$1&amp;" (3)",""))&lt;lenb($Z529),3,IF(lenb(SUBSTITUTE($Z529,W$1&amp;" (4)",""))&lt;lenb($Z529),4,IF(lenb(SUBSTITUTE($Z529,W$1&amp;" (5)",""))&lt;lenb($Z529),5,IF(lenb(SUBSTITUTE($Z529,W$1&amp;" (6)",""))&lt;lenb($Z529),6,IF(lenb(SUBSTITUTE($Z529,W$1&amp;" (7)",""))&lt;lenb($Z529),1,IF(lenb(SUBSTITUTE($Z529,W$1&amp;" (8)",""))&lt;lenb($Z529),8,IF(lenb(SUBSTITUTE($Z529,W$1&amp;" (9)",""))&lt;lenb($Z529),9,IF(lenb(SUBSTITUTE($Z529,W$1&amp;" (10)",""))&lt;lenb($Z529),10,IF(lenb(SUBSTITUTE($Z529,W$1,""))&lt;lenb($Z529),"ERROR",IF($Z529=$Y$1,"-",0))))))))))))</f>
        <v>0</v>
      </c>
      <c r="X529" s="116">
        <f t="shared" si="534"/>
        <v>0</v>
      </c>
      <c r="Y529" s="116" t="str">
        <f t="shared" si="4"/>
        <v>-</v>
      </c>
      <c r="Z529" s="115" t="s">
        <v>3400</v>
      </c>
      <c r="AA529" s="54">
        <f t="shared" si="5"/>
        <v>1</v>
      </c>
      <c r="AB529" s="54">
        <f>COUNTIFS(Links!B:B,"FSE",Links!C:C,A529,Links!AD:AD,1)</f>
        <v>0</v>
      </c>
      <c r="AC529" s="117" t="s">
        <v>35</v>
      </c>
      <c r="AD529" s="118" t="s">
        <v>35</v>
      </c>
      <c r="AE529" s="115" t="s">
        <v>36</v>
      </c>
      <c r="AF529" s="57" t="s">
        <v>42</v>
      </c>
      <c r="AG529" s="57" t="s">
        <v>42</v>
      </c>
      <c r="AH529" s="57" t="s">
        <v>42</v>
      </c>
      <c r="AI529" s="116" t="str">
        <f t="shared" si="6"/>
        <v>----</v>
      </c>
      <c r="AJ529" s="119" t="str">
        <f t="shared" si="7"/>
        <v>Paper has link but no statement</v>
      </c>
      <c r="AK529" s="120" t="s">
        <v>3401</v>
      </c>
      <c r="AL529" s="121" t="s">
        <v>3402</v>
      </c>
      <c r="AM529" s="60" t="str">
        <f t="shared" si="8"/>
        <v>[FP0237]</v>
      </c>
    </row>
    <row r="530" ht="67.5" customHeight="1">
      <c r="A530" s="61">
        <v>238.0</v>
      </c>
      <c r="B530" s="22" t="s">
        <v>4798</v>
      </c>
      <c r="C530" s="23">
        <v>2021.0</v>
      </c>
      <c r="D530" s="100" t="s">
        <v>35</v>
      </c>
      <c r="E530" s="25" t="s">
        <v>36</v>
      </c>
      <c r="F530" s="25" t="s">
        <v>36</v>
      </c>
      <c r="G530" s="25" t="s">
        <v>36</v>
      </c>
      <c r="H530" s="25" t="s">
        <v>36</v>
      </c>
      <c r="I530" s="25" t="s">
        <v>36</v>
      </c>
      <c r="J530" s="101" t="s">
        <v>36</v>
      </c>
      <c r="K530" s="102" t="s">
        <v>35</v>
      </c>
      <c r="L530" s="103" t="s">
        <v>36</v>
      </c>
      <c r="M530" s="103" t="s">
        <v>36</v>
      </c>
      <c r="N530" s="103" t="s">
        <v>36</v>
      </c>
      <c r="O530" s="103" t="s">
        <v>36</v>
      </c>
      <c r="P530" s="103" t="s">
        <v>36</v>
      </c>
      <c r="Q530" s="103" t="s">
        <v>36</v>
      </c>
      <c r="R530" s="103" t="s">
        <v>36</v>
      </c>
      <c r="S530" s="104" t="s">
        <v>42</v>
      </c>
      <c r="T530" s="30" t="s">
        <v>36</v>
      </c>
      <c r="U530" s="30" t="s">
        <v>36</v>
      </c>
      <c r="V530" s="105" t="str">
        <f t="shared" si="2"/>
        <v>-</v>
      </c>
      <c r="W530" s="105" t="str">
        <f t="shared" ref="W530:X530" si="535">IF(lenb(SUBSTITUTE($Z530,W$1&amp;" (1)",""))&lt;lenb($Z530),1,IF(lenb(SUBSTITUTE($Z530,W$1&amp;" (2)",""))&lt;lenb($Z530),2,IF(lenb(SUBSTITUTE($Z530,W$1&amp;" (3)",""))&lt;lenb($Z530),3,IF(lenb(SUBSTITUTE($Z530,W$1&amp;" (4)",""))&lt;lenb($Z530),4,IF(lenb(SUBSTITUTE($Z530,W$1&amp;" (5)",""))&lt;lenb($Z530),5,IF(lenb(SUBSTITUTE($Z530,W$1&amp;" (6)",""))&lt;lenb($Z530),6,IF(lenb(SUBSTITUTE($Z530,W$1&amp;" (7)",""))&lt;lenb($Z530),1,IF(lenb(SUBSTITUTE($Z530,W$1&amp;" (8)",""))&lt;lenb($Z530),8,IF(lenb(SUBSTITUTE($Z530,W$1&amp;" (9)",""))&lt;lenb($Z530),9,IF(lenb(SUBSTITUTE($Z530,W$1&amp;" (10)",""))&lt;lenb($Z530),10,IF(lenb(SUBSTITUTE($Z530,W$1,""))&lt;lenb($Z530),"ERROR",IF($Z530=$Y$1,"-",0))))))))))))</f>
        <v>-</v>
      </c>
      <c r="X530" s="105" t="str">
        <f t="shared" si="535"/>
        <v>-</v>
      </c>
      <c r="Y530" s="105">
        <f t="shared" si="4"/>
        <v>1</v>
      </c>
      <c r="Z530" s="104" t="s">
        <v>23</v>
      </c>
      <c r="AA530" s="34">
        <f t="shared" si="5"/>
        <v>0</v>
      </c>
      <c r="AB530" s="34">
        <f>COUNTIFS(Links!B:B,"FSE",Links!C:C,A530,Links!AD:AD,1)</f>
        <v>0</v>
      </c>
      <c r="AC530" s="106" t="s">
        <v>36</v>
      </c>
      <c r="AD530" s="107" t="s">
        <v>35</v>
      </c>
      <c r="AE530" s="104" t="s">
        <v>36</v>
      </c>
      <c r="AF530" s="37" t="s">
        <v>42</v>
      </c>
      <c r="AG530" s="37" t="s">
        <v>42</v>
      </c>
      <c r="AH530" s="37" t="s">
        <v>42</v>
      </c>
      <c r="AI530" s="105" t="str">
        <f t="shared" si="6"/>
        <v>----</v>
      </c>
      <c r="AJ530" s="108" t="str">
        <f t="shared" si="7"/>
        <v>Paper has no link and no statement</v>
      </c>
      <c r="AK530" s="109" t="s">
        <v>3401</v>
      </c>
      <c r="AL530" s="110" t="s">
        <v>3402</v>
      </c>
      <c r="AM530" s="40" t="str">
        <f t="shared" si="8"/>
        <v>[FP0238]</v>
      </c>
    </row>
    <row r="531" ht="67.5" customHeight="1">
      <c r="A531" s="41">
        <v>239.0</v>
      </c>
      <c r="B531" s="42" t="s">
        <v>4799</v>
      </c>
      <c r="C531" s="43">
        <v>2021.0</v>
      </c>
      <c r="D531" s="111" t="s">
        <v>37</v>
      </c>
      <c r="E531" s="45" t="s">
        <v>37</v>
      </c>
      <c r="F531" s="45" t="s">
        <v>35</v>
      </c>
      <c r="G531" s="45" t="s">
        <v>37</v>
      </c>
      <c r="H531" s="45" t="s">
        <v>35</v>
      </c>
      <c r="I531" s="45" t="s">
        <v>35</v>
      </c>
      <c r="J531" s="112" t="s">
        <v>36</v>
      </c>
      <c r="K531" s="113" t="s">
        <v>37</v>
      </c>
      <c r="L531" s="114" t="s">
        <v>37</v>
      </c>
      <c r="M531" s="114" t="s">
        <v>35</v>
      </c>
      <c r="N531" s="114" t="s">
        <v>35</v>
      </c>
      <c r="O531" s="114" t="s">
        <v>35</v>
      </c>
      <c r="P531" s="114" t="s">
        <v>35</v>
      </c>
      <c r="Q531" s="114" t="s">
        <v>35</v>
      </c>
      <c r="R531" s="114" t="s">
        <v>37</v>
      </c>
      <c r="S531" s="115" t="s">
        <v>4800</v>
      </c>
      <c r="T531" s="50" t="s">
        <v>4801</v>
      </c>
      <c r="U531" s="50" t="s">
        <v>4801</v>
      </c>
      <c r="V531" s="116">
        <f t="shared" si="2"/>
        <v>1</v>
      </c>
      <c r="W531" s="116">
        <f t="shared" ref="W531:X531" si="536">IF(lenb(SUBSTITUTE($Z531,W$1&amp;" (1)",""))&lt;lenb($Z531),1,IF(lenb(SUBSTITUTE($Z531,W$1&amp;" (2)",""))&lt;lenb($Z531),2,IF(lenb(SUBSTITUTE($Z531,W$1&amp;" (3)",""))&lt;lenb($Z531),3,IF(lenb(SUBSTITUTE($Z531,W$1&amp;" (4)",""))&lt;lenb($Z531),4,IF(lenb(SUBSTITUTE($Z531,W$1&amp;" (5)",""))&lt;lenb($Z531),5,IF(lenb(SUBSTITUTE($Z531,W$1&amp;" (6)",""))&lt;lenb($Z531),6,IF(lenb(SUBSTITUTE($Z531,W$1&amp;" (7)",""))&lt;lenb($Z531),1,IF(lenb(SUBSTITUTE($Z531,W$1&amp;" (8)",""))&lt;lenb($Z531),8,IF(lenb(SUBSTITUTE($Z531,W$1&amp;" (9)",""))&lt;lenb($Z531),9,IF(lenb(SUBSTITUTE($Z531,W$1&amp;" (10)",""))&lt;lenb($Z531),10,IF(lenb(SUBSTITUTE($Z531,W$1,""))&lt;lenb($Z531),"ERROR",IF($Z531=$Y$1,"-",0))))))))))))</f>
        <v>0</v>
      </c>
      <c r="X531" s="116">
        <f t="shared" si="536"/>
        <v>0</v>
      </c>
      <c r="Y531" s="116" t="str">
        <f t="shared" si="4"/>
        <v>-</v>
      </c>
      <c r="Z531" s="115" t="s">
        <v>3400</v>
      </c>
      <c r="AA531" s="54">
        <f t="shared" si="5"/>
        <v>1</v>
      </c>
      <c r="AB531" s="54">
        <f>COUNTIFS(Links!B:B,"FSE",Links!C:C,A531,Links!AD:AD,1)</f>
        <v>0</v>
      </c>
      <c r="AC531" s="117" t="s">
        <v>35</v>
      </c>
      <c r="AD531" s="118" t="s">
        <v>35</v>
      </c>
      <c r="AE531" s="115" t="s">
        <v>36</v>
      </c>
      <c r="AF531" s="57" t="s">
        <v>42</v>
      </c>
      <c r="AG531" s="57" t="s">
        <v>42</v>
      </c>
      <c r="AH531" s="57" t="s">
        <v>42</v>
      </c>
      <c r="AI531" s="116" t="str">
        <f t="shared" si="6"/>
        <v>----</v>
      </c>
      <c r="AJ531" s="119" t="str">
        <f t="shared" si="7"/>
        <v>Paper has link but no statement</v>
      </c>
      <c r="AK531" s="120" t="s">
        <v>3401</v>
      </c>
      <c r="AL531" s="121" t="s">
        <v>3402</v>
      </c>
      <c r="AM531" s="60" t="str">
        <f t="shared" si="8"/>
        <v>[FP0239]</v>
      </c>
    </row>
    <row r="532" ht="67.5" customHeight="1">
      <c r="A532" s="61">
        <v>240.0</v>
      </c>
      <c r="B532" s="22" t="s">
        <v>4802</v>
      </c>
      <c r="C532" s="23">
        <v>2021.0</v>
      </c>
      <c r="D532" s="100" t="s">
        <v>37</v>
      </c>
      <c r="E532" s="25" t="s">
        <v>37</v>
      </c>
      <c r="F532" s="25" t="s">
        <v>35</v>
      </c>
      <c r="G532" s="25" t="s">
        <v>35</v>
      </c>
      <c r="H532" s="25" t="s">
        <v>35</v>
      </c>
      <c r="I532" s="25" t="s">
        <v>35</v>
      </c>
      <c r="J532" s="101" t="s">
        <v>36</v>
      </c>
      <c r="K532" s="102" t="s">
        <v>37</v>
      </c>
      <c r="L532" s="103" t="s">
        <v>37</v>
      </c>
      <c r="M532" s="103" t="s">
        <v>35</v>
      </c>
      <c r="N532" s="103" t="s">
        <v>35</v>
      </c>
      <c r="O532" s="103" t="s">
        <v>35</v>
      </c>
      <c r="P532" s="103" t="s">
        <v>35</v>
      </c>
      <c r="Q532" s="103" t="s">
        <v>35</v>
      </c>
      <c r="R532" s="103" t="s">
        <v>37</v>
      </c>
      <c r="S532" s="104" t="s">
        <v>4803</v>
      </c>
      <c r="T532" s="30" t="s">
        <v>4804</v>
      </c>
      <c r="U532" s="30" t="s">
        <v>4804</v>
      </c>
      <c r="V532" s="105">
        <f t="shared" si="2"/>
        <v>1</v>
      </c>
      <c r="W532" s="105">
        <f t="shared" ref="W532:X532" si="537">IF(lenb(SUBSTITUTE($Z532,W$1&amp;" (1)",""))&lt;lenb($Z532),1,IF(lenb(SUBSTITUTE($Z532,W$1&amp;" (2)",""))&lt;lenb($Z532),2,IF(lenb(SUBSTITUTE($Z532,W$1&amp;" (3)",""))&lt;lenb($Z532),3,IF(lenb(SUBSTITUTE($Z532,W$1&amp;" (4)",""))&lt;lenb($Z532),4,IF(lenb(SUBSTITUTE($Z532,W$1&amp;" (5)",""))&lt;lenb($Z532),5,IF(lenb(SUBSTITUTE($Z532,W$1&amp;" (6)",""))&lt;lenb($Z532),6,IF(lenb(SUBSTITUTE($Z532,W$1&amp;" (7)",""))&lt;lenb($Z532),1,IF(lenb(SUBSTITUTE($Z532,W$1&amp;" (8)",""))&lt;lenb($Z532),8,IF(lenb(SUBSTITUTE($Z532,W$1&amp;" (9)",""))&lt;lenb($Z532),9,IF(lenb(SUBSTITUTE($Z532,W$1&amp;" (10)",""))&lt;lenb($Z532),10,IF(lenb(SUBSTITUTE($Z532,W$1,""))&lt;lenb($Z532),"ERROR",IF($Z532=$Y$1,"-",0))))))))))))</f>
        <v>0</v>
      </c>
      <c r="X532" s="105">
        <f t="shared" si="537"/>
        <v>0</v>
      </c>
      <c r="Y532" s="105" t="str">
        <f t="shared" si="4"/>
        <v>-</v>
      </c>
      <c r="Z532" s="104" t="s">
        <v>3400</v>
      </c>
      <c r="AA532" s="34">
        <f t="shared" si="5"/>
        <v>1</v>
      </c>
      <c r="AB532" s="34">
        <f>COUNTIFS(Links!B:B,"FSE",Links!C:C,A532,Links!AD:AD,1)</f>
        <v>0</v>
      </c>
      <c r="AC532" s="106" t="s">
        <v>35</v>
      </c>
      <c r="AD532" s="107" t="s">
        <v>35</v>
      </c>
      <c r="AE532" s="104" t="s">
        <v>36</v>
      </c>
      <c r="AF532" s="37" t="s">
        <v>42</v>
      </c>
      <c r="AG532" s="37" t="s">
        <v>42</v>
      </c>
      <c r="AH532" s="37" t="s">
        <v>42</v>
      </c>
      <c r="AI532" s="105" t="str">
        <f t="shared" si="6"/>
        <v>----</v>
      </c>
      <c r="AJ532" s="108" t="str">
        <f t="shared" si="7"/>
        <v>Paper has link but no statement</v>
      </c>
      <c r="AK532" s="109" t="s">
        <v>3401</v>
      </c>
      <c r="AL532" s="110" t="s">
        <v>3402</v>
      </c>
      <c r="AM532" s="40" t="str">
        <f t="shared" si="8"/>
        <v>[FP0240]</v>
      </c>
    </row>
    <row r="533" ht="67.5" customHeight="1">
      <c r="A533" s="41">
        <v>241.0</v>
      </c>
      <c r="B533" s="42" t="s">
        <v>4805</v>
      </c>
      <c r="C533" s="43">
        <v>2021.0</v>
      </c>
      <c r="D533" s="111" t="s">
        <v>37</v>
      </c>
      <c r="E533" s="45" t="s">
        <v>37</v>
      </c>
      <c r="F533" s="45" t="s">
        <v>37</v>
      </c>
      <c r="G533" s="45" t="s">
        <v>35</v>
      </c>
      <c r="H533" s="45" t="s">
        <v>35</v>
      </c>
      <c r="I533" s="45" t="s">
        <v>35</v>
      </c>
      <c r="J533" s="112" t="s">
        <v>36</v>
      </c>
      <c r="K533" s="113" t="s">
        <v>37</v>
      </c>
      <c r="L533" s="114" t="s">
        <v>35</v>
      </c>
      <c r="M533" s="114" t="s">
        <v>35</v>
      </c>
      <c r="N533" s="114" t="s">
        <v>35</v>
      </c>
      <c r="O533" s="114" t="s">
        <v>35</v>
      </c>
      <c r="P533" s="114" t="s">
        <v>35</v>
      </c>
      <c r="Q533" s="114" t="s">
        <v>35</v>
      </c>
      <c r="R533" s="114" t="s">
        <v>37</v>
      </c>
      <c r="S533" s="115" t="s">
        <v>4800</v>
      </c>
      <c r="T533" s="50" t="s">
        <v>4806</v>
      </c>
      <c r="U533" s="50" t="s">
        <v>4806</v>
      </c>
      <c r="V533" s="116">
        <f t="shared" si="2"/>
        <v>1</v>
      </c>
      <c r="W533" s="116">
        <f t="shared" ref="W533:X533" si="538">IF(lenb(SUBSTITUTE($Z533,W$1&amp;" (1)",""))&lt;lenb($Z533),1,IF(lenb(SUBSTITUTE($Z533,W$1&amp;" (2)",""))&lt;lenb($Z533),2,IF(lenb(SUBSTITUTE($Z533,W$1&amp;" (3)",""))&lt;lenb($Z533),3,IF(lenb(SUBSTITUTE($Z533,W$1&amp;" (4)",""))&lt;lenb($Z533),4,IF(lenb(SUBSTITUTE($Z533,W$1&amp;" (5)",""))&lt;lenb($Z533),5,IF(lenb(SUBSTITUTE($Z533,W$1&amp;" (6)",""))&lt;lenb($Z533),6,IF(lenb(SUBSTITUTE($Z533,W$1&amp;" (7)",""))&lt;lenb($Z533),1,IF(lenb(SUBSTITUTE($Z533,W$1&amp;" (8)",""))&lt;lenb($Z533),8,IF(lenb(SUBSTITUTE($Z533,W$1&amp;" (9)",""))&lt;lenb($Z533),9,IF(lenb(SUBSTITUTE($Z533,W$1&amp;" (10)",""))&lt;lenb($Z533),10,IF(lenb(SUBSTITUTE($Z533,W$1,""))&lt;lenb($Z533),"ERROR",IF($Z533=$Y$1,"-",0))))))))))))</f>
        <v>0</v>
      </c>
      <c r="X533" s="116">
        <f t="shared" si="538"/>
        <v>0</v>
      </c>
      <c r="Y533" s="116" t="str">
        <f t="shared" si="4"/>
        <v>-</v>
      </c>
      <c r="Z533" s="115" t="s">
        <v>3400</v>
      </c>
      <c r="AA533" s="54">
        <f t="shared" si="5"/>
        <v>1</v>
      </c>
      <c r="AB533" s="54">
        <f>COUNTIFS(Links!B:B,"FSE",Links!C:C,A533,Links!AD:AD,1)</f>
        <v>0</v>
      </c>
      <c r="AC533" s="117" t="s">
        <v>37</v>
      </c>
      <c r="AD533" s="118" t="s">
        <v>35</v>
      </c>
      <c r="AE533" s="115" t="s">
        <v>36</v>
      </c>
      <c r="AF533" s="57" t="s">
        <v>42</v>
      </c>
      <c r="AG533" s="57" t="s">
        <v>42</v>
      </c>
      <c r="AH533" s="57" t="s">
        <v>42</v>
      </c>
      <c r="AI533" s="116" t="str">
        <f t="shared" si="6"/>
        <v>----</v>
      </c>
      <c r="AJ533" s="119" t="str">
        <f t="shared" si="7"/>
        <v>Paper has link but no statement</v>
      </c>
      <c r="AK533" s="120" t="s">
        <v>3401</v>
      </c>
      <c r="AL533" s="121" t="s">
        <v>3402</v>
      </c>
      <c r="AM533" s="60" t="str">
        <f t="shared" si="8"/>
        <v>[FP0241]</v>
      </c>
    </row>
    <row r="534" ht="67.5" customHeight="1">
      <c r="A534" s="61">
        <v>242.0</v>
      </c>
      <c r="B534" s="22" t="s">
        <v>4807</v>
      </c>
      <c r="C534" s="23">
        <v>2021.0</v>
      </c>
      <c r="D534" s="100" t="s">
        <v>37</v>
      </c>
      <c r="E534" s="25" t="s">
        <v>37</v>
      </c>
      <c r="F534" s="25" t="s">
        <v>35</v>
      </c>
      <c r="G534" s="25" t="s">
        <v>35</v>
      </c>
      <c r="H534" s="25" t="s">
        <v>35</v>
      </c>
      <c r="I534" s="25" t="s">
        <v>35</v>
      </c>
      <c r="J534" s="101" t="s">
        <v>36</v>
      </c>
      <c r="K534" s="102" t="s">
        <v>37</v>
      </c>
      <c r="L534" s="103" t="s">
        <v>35</v>
      </c>
      <c r="M534" s="103" t="s">
        <v>35</v>
      </c>
      <c r="N534" s="103" t="s">
        <v>35</v>
      </c>
      <c r="O534" s="103" t="s">
        <v>35</v>
      </c>
      <c r="P534" s="103" t="s">
        <v>35</v>
      </c>
      <c r="Q534" s="103" t="s">
        <v>35</v>
      </c>
      <c r="R534" s="103" t="s">
        <v>37</v>
      </c>
      <c r="S534" s="104" t="s">
        <v>4800</v>
      </c>
      <c r="T534" s="30" t="s">
        <v>4808</v>
      </c>
      <c r="U534" s="30" t="s">
        <v>4808</v>
      </c>
      <c r="V534" s="105">
        <f t="shared" si="2"/>
        <v>1</v>
      </c>
      <c r="W534" s="105">
        <f t="shared" ref="W534:X534" si="539">IF(lenb(SUBSTITUTE($Z534,W$1&amp;" (1)",""))&lt;lenb($Z534),1,IF(lenb(SUBSTITUTE($Z534,W$1&amp;" (2)",""))&lt;lenb($Z534),2,IF(lenb(SUBSTITUTE($Z534,W$1&amp;" (3)",""))&lt;lenb($Z534),3,IF(lenb(SUBSTITUTE($Z534,W$1&amp;" (4)",""))&lt;lenb($Z534),4,IF(lenb(SUBSTITUTE($Z534,W$1&amp;" (5)",""))&lt;lenb($Z534),5,IF(lenb(SUBSTITUTE($Z534,W$1&amp;" (6)",""))&lt;lenb($Z534),6,IF(lenb(SUBSTITUTE($Z534,W$1&amp;" (7)",""))&lt;lenb($Z534),1,IF(lenb(SUBSTITUTE($Z534,W$1&amp;" (8)",""))&lt;lenb($Z534),8,IF(lenb(SUBSTITUTE($Z534,W$1&amp;" (9)",""))&lt;lenb($Z534),9,IF(lenb(SUBSTITUTE($Z534,W$1&amp;" (10)",""))&lt;lenb($Z534),10,IF(lenb(SUBSTITUTE($Z534,W$1,""))&lt;lenb($Z534),"ERROR",IF($Z534=$Y$1,"-",0))))))))))))</f>
        <v>0</v>
      </c>
      <c r="X534" s="105">
        <f t="shared" si="539"/>
        <v>0</v>
      </c>
      <c r="Y534" s="105" t="str">
        <f t="shared" si="4"/>
        <v>-</v>
      </c>
      <c r="Z534" s="104" t="s">
        <v>3400</v>
      </c>
      <c r="AA534" s="34">
        <f t="shared" si="5"/>
        <v>1</v>
      </c>
      <c r="AB534" s="34">
        <f>COUNTIFS(Links!B:B,"FSE",Links!C:C,A534,Links!AD:AD,1)</f>
        <v>0</v>
      </c>
      <c r="AC534" s="106" t="s">
        <v>37</v>
      </c>
      <c r="AD534" s="107" t="s">
        <v>37</v>
      </c>
      <c r="AE534" s="104" t="s">
        <v>4809</v>
      </c>
      <c r="AF534" s="37" t="s">
        <v>146</v>
      </c>
      <c r="AG534" s="37" t="s">
        <v>42</v>
      </c>
      <c r="AH534" s="37" t="s">
        <v>42</v>
      </c>
      <c r="AI534" s="105" t="str">
        <f t="shared" si="6"/>
        <v>Future plans (—)</v>
      </c>
      <c r="AJ534" s="108" t="str">
        <f t="shared" si="7"/>
        <v>Paper has link and statement</v>
      </c>
      <c r="AK534" s="109" t="s">
        <v>3401</v>
      </c>
      <c r="AL534" s="110" t="s">
        <v>3402</v>
      </c>
      <c r="AM534" s="40" t="str">
        <f t="shared" si="8"/>
        <v>[FP0242]</v>
      </c>
    </row>
    <row r="535" ht="67.5" customHeight="1">
      <c r="A535" s="41">
        <v>243.0</v>
      </c>
      <c r="B535" s="42" t="s">
        <v>4810</v>
      </c>
      <c r="C535" s="43">
        <v>2021.0</v>
      </c>
      <c r="D535" s="111" t="s">
        <v>37</v>
      </c>
      <c r="E535" s="45" t="s">
        <v>37</v>
      </c>
      <c r="F535" s="45" t="s">
        <v>35</v>
      </c>
      <c r="G535" s="45" t="s">
        <v>35</v>
      </c>
      <c r="H535" s="45" t="s">
        <v>35</v>
      </c>
      <c r="I535" s="45" t="s">
        <v>35</v>
      </c>
      <c r="J535" s="112" t="s">
        <v>36</v>
      </c>
      <c r="K535" s="113" t="s">
        <v>37</v>
      </c>
      <c r="L535" s="131" t="s">
        <v>37</v>
      </c>
      <c r="M535" s="131" t="s">
        <v>37</v>
      </c>
      <c r="N535" s="131" t="s">
        <v>37</v>
      </c>
      <c r="O535" s="114" t="s">
        <v>35</v>
      </c>
      <c r="P535" s="114" t="s">
        <v>35</v>
      </c>
      <c r="Q535" s="114" t="s">
        <v>35</v>
      </c>
      <c r="R535" s="131" t="s">
        <v>37</v>
      </c>
      <c r="S535" s="115" t="s">
        <v>4811</v>
      </c>
      <c r="T535" s="50" t="s">
        <v>4812</v>
      </c>
      <c r="U535" s="50" t="s">
        <v>4812</v>
      </c>
      <c r="V535" s="116">
        <f t="shared" si="2"/>
        <v>1</v>
      </c>
      <c r="W535" s="116">
        <f t="shared" ref="W535:X535" si="540">IF(lenb(SUBSTITUTE($Z535,W$1&amp;" (1)",""))&lt;lenb($Z535),1,IF(lenb(SUBSTITUTE($Z535,W$1&amp;" (2)",""))&lt;lenb($Z535),2,IF(lenb(SUBSTITUTE($Z535,W$1&amp;" (3)",""))&lt;lenb($Z535),3,IF(lenb(SUBSTITUTE($Z535,W$1&amp;" (4)",""))&lt;lenb($Z535),4,IF(lenb(SUBSTITUTE($Z535,W$1&amp;" (5)",""))&lt;lenb($Z535),5,IF(lenb(SUBSTITUTE($Z535,W$1&amp;" (6)",""))&lt;lenb($Z535),6,IF(lenb(SUBSTITUTE($Z535,W$1&amp;" (7)",""))&lt;lenb($Z535),1,IF(lenb(SUBSTITUTE($Z535,W$1&amp;" (8)",""))&lt;lenb($Z535),8,IF(lenb(SUBSTITUTE($Z535,W$1&amp;" (9)",""))&lt;lenb($Z535),9,IF(lenb(SUBSTITUTE($Z535,W$1&amp;" (10)",""))&lt;lenb($Z535),10,IF(lenb(SUBSTITUTE($Z535,W$1,""))&lt;lenb($Z535),"ERROR",IF($Z535=$Y$1,"-",0))))))))))))</f>
        <v>0</v>
      </c>
      <c r="X535" s="116">
        <f t="shared" si="540"/>
        <v>0</v>
      </c>
      <c r="Y535" s="116" t="str">
        <f t="shared" si="4"/>
        <v>-</v>
      </c>
      <c r="Z535" s="115" t="s">
        <v>3400</v>
      </c>
      <c r="AA535" s="54">
        <f t="shared" si="5"/>
        <v>1</v>
      </c>
      <c r="AB535" s="54">
        <f>COUNTIFS(Links!B:B,"FSE",Links!C:C,A535,Links!AD:AD,1)</f>
        <v>0</v>
      </c>
      <c r="AC535" s="117" t="s">
        <v>37</v>
      </c>
      <c r="AD535" s="118" t="s">
        <v>35</v>
      </c>
      <c r="AE535" s="115" t="s">
        <v>36</v>
      </c>
      <c r="AF535" s="57" t="s">
        <v>42</v>
      </c>
      <c r="AG535" s="57" t="s">
        <v>42</v>
      </c>
      <c r="AH535" s="57" t="s">
        <v>42</v>
      </c>
      <c r="AI535" s="116" t="str">
        <f t="shared" si="6"/>
        <v>----</v>
      </c>
      <c r="AJ535" s="119" t="str">
        <f t="shared" si="7"/>
        <v>Paper has link but no statement</v>
      </c>
      <c r="AK535" s="120" t="s">
        <v>3401</v>
      </c>
      <c r="AL535" s="121" t="s">
        <v>3402</v>
      </c>
      <c r="AM535" s="60" t="str">
        <f t="shared" si="8"/>
        <v>[FP0243]</v>
      </c>
    </row>
    <row r="536" ht="67.5" customHeight="1">
      <c r="A536" s="61">
        <v>244.0</v>
      </c>
      <c r="B536" s="22" t="s">
        <v>4813</v>
      </c>
      <c r="C536" s="23">
        <v>2021.0</v>
      </c>
      <c r="D536" s="100" t="s">
        <v>35</v>
      </c>
      <c r="E536" s="25" t="s">
        <v>36</v>
      </c>
      <c r="F536" s="25" t="s">
        <v>36</v>
      </c>
      <c r="G536" s="25" t="s">
        <v>36</v>
      </c>
      <c r="H536" s="25" t="s">
        <v>36</v>
      </c>
      <c r="I536" s="25" t="s">
        <v>36</v>
      </c>
      <c r="J536" s="101" t="s">
        <v>36</v>
      </c>
      <c r="K536" s="102" t="s">
        <v>37</v>
      </c>
      <c r="L536" s="103" t="s">
        <v>35</v>
      </c>
      <c r="M536" s="103" t="s">
        <v>37</v>
      </c>
      <c r="N536" s="103" t="s">
        <v>37</v>
      </c>
      <c r="O536" s="103" t="s">
        <v>35</v>
      </c>
      <c r="P536" s="103" t="s">
        <v>35</v>
      </c>
      <c r="Q536" s="103" t="s">
        <v>35</v>
      </c>
      <c r="R536" s="103" t="s">
        <v>35</v>
      </c>
      <c r="S536" s="104" t="s">
        <v>13</v>
      </c>
      <c r="T536" s="30" t="s">
        <v>4814</v>
      </c>
      <c r="U536" s="30" t="s">
        <v>4814</v>
      </c>
      <c r="V536" s="105">
        <f t="shared" si="2"/>
        <v>1</v>
      </c>
      <c r="W536" s="105">
        <f t="shared" ref="W536:X536" si="541">IF(lenb(SUBSTITUTE($Z536,W$1&amp;" (1)",""))&lt;lenb($Z536),1,IF(lenb(SUBSTITUTE($Z536,W$1&amp;" (2)",""))&lt;lenb($Z536),2,IF(lenb(SUBSTITUTE($Z536,W$1&amp;" (3)",""))&lt;lenb($Z536),3,IF(lenb(SUBSTITUTE($Z536,W$1&amp;" (4)",""))&lt;lenb($Z536),4,IF(lenb(SUBSTITUTE($Z536,W$1&amp;" (5)",""))&lt;lenb($Z536),5,IF(lenb(SUBSTITUTE($Z536,W$1&amp;" (6)",""))&lt;lenb($Z536),6,IF(lenb(SUBSTITUTE($Z536,W$1&amp;" (7)",""))&lt;lenb($Z536),1,IF(lenb(SUBSTITUTE($Z536,W$1&amp;" (8)",""))&lt;lenb($Z536),8,IF(lenb(SUBSTITUTE($Z536,W$1&amp;" (9)",""))&lt;lenb($Z536),9,IF(lenb(SUBSTITUTE($Z536,W$1&amp;" (10)",""))&lt;lenb($Z536),10,IF(lenb(SUBSTITUTE($Z536,W$1,""))&lt;lenb($Z536),"ERROR",IF($Z536=$Y$1,"-",0))))))))))))</f>
        <v>0</v>
      </c>
      <c r="X536" s="105">
        <f t="shared" si="541"/>
        <v>0</v>
      </c>
      <c r="Y536" s="105" t="str">
        <f t="shared" si="4"/>
        <v>-</v>
      </c>
      <c r="Z536" s="104" t="s">
        <v>3400</v>
      </c>
      <c r="AA536" s="34">
        <f t="shared" si="5"/>
        <v>1</v>
      </c>
      <c r="AB536" s="34">
        <f>COUNTIFS(Links!B:B,"FSE",Links!C:C,A536,Links!AD:AD,1)</f>
        <v>0</v>
      </c>
      <c r="AC536" s="106" t="s">
        <v>35</v>
      </c>
      <c r="AD536" s="107" t="s">
        <v>35</v>
      </c>
      <c r="AE536" s="104" t="s">
        <v>36</v>
      </c>
      <c r="AF536" s="37" t="s">
        <v>42</v>
      </c>
      <c r="AG536" s="37" t="s">
        <v>42</v>
      </c>
      <c r="AH536" s="37" t="s">
        <v>42</v>
      </c>
      <c r="AI536" s="105" t="str">
        <f t="shared" si="6"/>
        <v>----</v>
      </c>
      <c r="AJ536" s="108" t="str">
        <f t="shared" si="7"/>
        <v>Paper has link but no statement</v>
      </c>
      <c r="AK536" s="109" t="s">
        <v>3401</v>
      </c>
      <c r="AL536" s="110" t="s">
        <v>3402</v>
      </c>
      <c r="AM536" s="40" t="str">
        <f t="shared" si="8"/>
        <v>[FP0244]</v>
      </c>
    </row>
    <row r="537" ht="67.5" customHeight="1">
      <c r="A537" s="41">
        <v>245.0</v>
      </c>
      <c r="B537" s="42" t="s">
        <v>4815</v>
      </c>
      <c r="C537" s="43">
        <v>2021.0</v>
      </c>
      <c r="D537" s="111" t="s">
        <v>37</v>
      </c>
      <c r="E537" s="45" t="s">
        <v>37</v>
      </c>
      <c r="F537" s="45" t="s">
        <v>35</v>
      </c>
      <c r="G537" s="45" t="s">
        <v>37</v>
      </c>
      <c r="H537" s="45" t="s">
        <v>35</v>
      </c>
      <c r="I537" s="45" t="s">
        <v>35</v>
      </c>
      <c r="J537" s="112" t="s">
        <v>36</v>
      </c>
      <c r="K537" s="113" t="s">
        <v>37</v>
      </c>
      <c r="L537" s="114" t="s">
        <v>35</v>
      </c>
      <c r="M537" s="114" t="s">
        <v>35</v>
      </c>
      <c r="N537" s="114" t="s">
        <v>37</v>
      </c>
      <c r="O537" s="114" t="s">
        <v>35</v>
      </c>
      <c r="P537" s="114" t="s">
        <v>35</v>
      </c>
      <c r="Q537" s="114" t="s">
        <v>37</v>
      </c>
      <c r="R537" s="114" t="s">
        <v>35</v>
      </c>
      <c r="S537" s="115" t="s">
        <v>4770</v>
      </c>
      <c r="T537" s="50" t="s">
        <v>4816</v>
      </c>
      <c r="U537" s="50" t="s">
        <v>4816</v>
      </c>
      <c r="V537" s="116">
        <f t="shared" si="2"/>
        <v>2</v>
      </c>
      <c r="W537" s="116">
        <f t="shared" ref="W537:X537" si="542">IF(lenb(SUBSTITUTE($Z537,W$1&amp;" (1)",""))&lt;lenb($Z537),1,IF(lenb(SUBSTITUTE($Z537,W$1&amp;" (2)",""))&lt;lenb($Z537),2,IF(lenb(SUBSTITUTE($Z537,W$1&amp;" (3)",""))&lt;lenb($Z537),3,IF(lenb(SUBSTITUTE($Z537,W$1&amp;" (4)",""))&lt;lenb($Z537),4,IF(lenb(SUBSTITUTE($Z537,W$1&amp;" (5)",""))&lt;lenb($Z537),5,IF(lenb(SUBSTITUTE($Z537,W$1&amp;" (6)",""))&lt;lenb($Z537),6,IF(lenb(SUBSTITUTE($Z537,W$1&amp;" (7)",""))&lt;lenb($Z537),1,IF(lenb(SUBSTITUTE($Z537,W$1&amp;" (8)",""))&lt;lenb($Z537),8,IF(lenb(SUBSTITUTE($Z537,W$1&amp;" (9)",""))&lt;lenb($Z537),9,IF(lenb(SUBSTITUTE($Z537,W$1&amp;" (10)",""))&lt;lenb($Z537),10,IF(lenb(SUBSTITUTE($Z537,W$1,""))&lt;lenb($Z537),"ERROR",IF($Z537=$Y$1,"-",0))))))))))))</f>
        <v>0</v>
      </c>
      <c r="X537" s="116">
        <f t="shared" si="542"/>
        <v>0</v>
      </c>
      <c r="Y537" s="116" t="str">
        <f t="shared" si="4"/>
        <v>-</v>
      </c>
      <c r="Z537" s="115" t="s">
        <v>3452</v>
      </c>
      <c r="AA537" s="54">
        <f t="shared" si="5"/>
        <v>2</v>
      </c>
      <c r="AB537" s="54">
        <f>COUNTIFS(Links!B:B,"FSE",Links!C:C,A537,Links!AD:AD,1)</f>
        <v>0</v>
      </c>
      <c r="AC537" s="117" t="s">
        <v>35</v>
      </c>
      <c r="AD537" s="118" t="s">
        <v>35</v>
      </c>
      <c r="AE537" s="115" t="s">
        <v>36</v>
      </c>
      <c r="AF537" s="57" t="s">
        <v>42</v>
      </c>
      <c r="AG537" s="57" t="s">
        <v>42</v>
      </c>
      <c r="AH537" s="57" t="s">
        <v>42</v>
      </c>
      <c r="AI537" s="116" t="str">
        <f t="shared" si="6"/>
        <v>----</v>
      </c>
      <c r="AJ537" s="119" t="str">
        <f t="shared" si="7"/>
        <v>Paper has link but no statement</v>
      </c>
      <c r="AK537" s="120" t="s">
        <v>3401</v>
      </c>
      <c r="AL537" s="121" t="s">
        <v>3402</v>
      </c>
      <c r="AM537" s="60" t="str">
        <f t="shared" si="8"/>
        <v>[FP0245]</v>
      </c>
    </row>
    <row r="538" ht="67.5" customHeight="1">
      <c r="A538" s="61">
        <v>246.0</v>
      </c>
      <c r="B538" s="22" t="s">
        <v>4817</v>
      </c>
      <c r="C538" s="23">
        <v>2021.0</v>
      </c>
      <c r="D538" s="100" t="s">
        <v>35</v>
      </c>
      <c r="E538" s="25" t="s">
        <v>36</v>
      </c>
      <c r="F538" s="25" t="s">
        <v>36</v>
      </c>
      <c r="G538" s="25" t="s">
        <v>36</v>
      </c>
      <c r="H538" s="25" t="s">
        <v>36</v>
      </c>
      <c r="I538" s="25" t="s">
        <v>36</v>
      </c>
      <c r="J538" s="101" t="s">
        <v>36</v>
      </c>
      <c r="K538" s="102" t="s">
        <v>35</v>
      </c>
      <c r="L538" s="103" t="s">
        <v>36</v>
      </c>
      <c r="M538" s="103" t="s">
        <v>36</v>
      </c>
      <c r="N538" s="103" t="s">
        <v>36</v>
      </c>
      <c r="O538" s="103" t="s">
        <v>36</v>
      </c>
      <c r="P538" s="103" t="s">
        <v>36</v>
      </c>
      <c r="Q538" s="103" t="s">
        <v>36</v>
      </c>
      <c r="R538" s="103" t="s">
        <v>36</v>
      </c>
      <c r="S538" s="104" t="s">
        <v>42</v>
      </c>
      <c r="T538" s="30" t="s">
        <v>36</v>
      </c>
      <c r="U538" s="30" t="s">
        <v>36</v>
      </c>
      <c r="V538" s="105" t="str">
        <f t="shared" si="2"/>
        <v>-</v>
      </c>
      <c r="W538" s="105" t="str">
        <f t="shared" ref="W538:X538" si="543">IF(lenb(SUBSTITUTE($Z538,W$1&amp;" (1)",""))&lt;lenb($Z538),1,IF(lenb(SUBSTITUTE($Z538,W$1&amp;" (2)",""))&lt;lenb($Z538),2,IF(lenb(SUBSTITUTE($Z538,W$1&amp;" (3)",""))&lt;lenb($Z538),3,IF(lenb(SUBSTITUTE($Z538,W$1&amp;" (4)",""))&lt;lenb($Z538),4,IF(lenb(SUBSTITUTE($Z538,W$1&amp;" (5)",""))&lt;lenb($Z538),5,IF(lenb(SUBSTITUTE($Z538,W$1&amp;" (6)",""))&lt;lenb($Z538),6,IF(lenb(SUBSTITUTE($Z538,W$1&amp;" (7)",""))&lt;lenb($Z538),1,IF(lenb(SUBSTITUTE($Z538,W$1&amp;" (8)",""))&lt;lenb($Z538),8,IF(lenb(SUBSTITUTE($Z538,W$1&amp;" (9)",""))&lt;lenb($Z538),9,IF(lenb(SUBSTITUTE($Z538,W$1&amp;" (10)",""))&lt;lenb($Z538),10,IF(lenb(SUBSTITUTE($Z538,W$1,""))&lt;lenb($Z538),"ERROR",IF($Z538=$Y$1,"-",0))))))))))))</f>
        <v>-</v>
      </c>
      <c r="X538" s="105" t="str">
        <f t="shared" si="543"/>
        <v>-</v>
      </c>
      <c r="Y538" s="105">
        <f t="shared" si="4"/>
        <v>1</v>
      </c>
      <c r="Z538" s="104" t="s">
        <v>23</v>
      </c>
      <c r="AA538" s="34">
        <f t="shared" si="5"/>
        <v>0</v>
      </c>
      <c r="AB538" s="34">
        <f>COUNTIFS(Links!B:B,"FSE",Links!C:C,A538,Links!AD:AD,1)</f>
        <v>0</v>
      </c>
      <c r="AC538" s="106" t="s">
        <v>36</v>
      </c>
      <c r="AD538" s="107" t="s">
        <v>35</v>
      </c>
      <c r="AE538" s="104" t="s">
        <v>36</v>
      </c>
      <c r="AF538" s="37" t="s">
        <v>42</v>
      </c>
      <c r="AG538" s="37" t="s">
        <v>42</v>
      </c>
      <c r="AH538" s="37" t="s">
        <v>42</v>
      </c>
      <c r="AI538" s="105" t="str">
        <f t="shared" si="6"/>
        <v>----</v>
      </c>
      <c r="AJ538" s="108" t="str">
        <f t="shared" si="7"/>
        <v>Paper has no link and no statement</v>
      </c>
      <c r="AK538" s="109" t="s">
        <v>3401</v>
      </c>
      <c r="AL538" s="110" t="s">
        <v>3402</v>
      </c>
      <c r="AM538" s="40" t="str">
        <f t="shared" si="8"/>
        <v>[FP0246]</v>
      </c>
    </row>
    <row r="539" ht="67.5" customHeight="1">
      <c r="A539" s="41">
        <v>247.0</v>
      </c>
      <c r="B539" s="42" t="s">
        <v>4818</v>
      </c>
      <c r="C539" s="43">
        <v>2021.0</v>
      </c>
      <c r="D539" s="111" t="s">
        <v>37</v>
      </c>
      <c r="E539" s="45" t="s">
        <v>35</v>
      </c>
      <c r="F539" s="45" t="s">
        <v>35</v>
      </c>
      <c r="G539" s="45" t="s">
        <v>37</v>
      </c>
      <c r="H539" s="45" t="s">
        <v>35</v>
      </c>
      <c r="I539" s="45" t="s">
        <v>35</v>
      </c>
      <c r="J539" s="112" t="s">
        <v>36</v>
      </c>
      <c r="K539" s="113" t="s">
        <v>35</v>
      </c>
      <c r="L539" s="114" t="s">
        <v>36</v>
      </c>
      <c r="M539" s="114" t="s">
        <v>36</v>
      </c>
      <c r="N539" s="114" t="s">
        <v>36</v>
      </c>
      <c r="O539" s="114" t="s">
        <v>36</v>
      </c>
      <c r="P539" s="114" t="s">
        <v>36</v>
      </c>
      <c r="Q539" s="114" t="s">
        <v>36</v>
      </c>
      <c r="R539" s="114" t="s">
        <v>36</v>
      </c>
      <c r="S539" s="115" t="s">
        <v>42</v>
      </c>
      <c r="T539" s="50" t="s">
        <v>36</v>
      </c>
      <c r="U539" s="50" t="s">
        <v>36</v>
      </c>
      <c r="V539" s="116" t="str">
        <f t="shared" si="2"/>
        <v>-</v>
      </c>
      <c r="W539" s="116" t="str">
        <f t="shared" ref="W539:X539" si="544">IF(lenb(SUBSTITUTE($Z539,W$1&amp;" (1)",""))&lt;lenb($Z539),1,IF(lenb(SUBSTITUTE($Z539,W$1&amp;" (2)",""))&lt;lenb($Z539),2,IF(lenb(SUBSTITUTE($Z539,W$1&amp;" (3)",""))&lt;lenb($Z539),3,IF(lenb(SUBSTITUTE($Z539,W$1&amp;" (4)",""))&lt;lenb($Z539),4,IF(lenb(SUBSTITUTE($Z539,W$1&amp;" (5)",""))&lt;lenb($Z539),5,IF(lenb(SUBSTITUTE($Z539,W$1&amp;" (6)",""))&lt;lenb($Z539),6,IF(lenb(SUBSTITUTE($Z539,W$1&amp;" (7)",""))&lt;lenb($Z539),1,IF(lenb(SUBSTITUTE($Z539,W$1&amp;" (8)",""))&lt;lenb($Z539),8,IF(lenb(SUBSTITUTE($Z539,W$1&amp;" (9)",""))&lt;lenb($Z539),9,IF(lenb(SUBSTITUTE($Z539,W$1&amp;" (10)",""))&lt;lenb($Z539),10,IF(lenb(SUBSTITUTE($Z539,W$1,""))&lt;lenb($Z539),"ERROR",IF($Z539=$Y$1,"-",0))))))))))))</f>
        <v>-</v>
      </c>
      <c r="X539" s="116" t="str">
        <f t="shared" si="544"/>
        <v>-</v>
      </c>
      <c r="Y539" s="116">
        <f t="shared" si="4"/>
        <v>1</v>
      </c>
      <c r="Z539" s="115" t="s">
        <v>23</v>
      </c>
      <c r="AA539" s="54">
        <f t="shared" si="5"/>
        <v>0</v>
      </c>
      <c r="AB539" s="54">
        <f>COUNTIFS(Links!B:B,"FSE",Links!C:C,A539,Links!AD:AD,1)</f>
        <v>0</v>
      </c>
      <c r="AC539" s="117" t="s">
        <v>36</v>
      </c>
      <c r="AD539" s="118" t="s">
        <v>35</v>
      </c>
      <c r="AE539" s="115" t="s">
        <v>36</v>
      </c>
      <c r="AF539" s="57" t="s">
        <v>42</v>
      </c>
      <c r="AG539" s="57" t="s">
        <v>42</v>
      </c>
      <c r="AH539" s="57" t="s">
        <v>42</v>
      </c>
      <c r="AI539" s="116" t="str">
        <f t="shared" si="6"/>
        <v>----</v>
      </c>
      <c r="AJ539" s="119" t="str">
        <f t="shared" si="7"/>
        <v>Paper has no link and no statement</v>
      </c>
      <c r="AK539" s="120" t="s">
        <v>3401</v>
      </c>
      <c r="AL539" s="121" t="s">
        <v>3402</v>
      </c>
      <c r="AM539" s="60" t="str">
        <f t="shared" si="8"/>
        <v>[FP0247]</v>
      </c>
    </row>
    <row r="540" ht="67.5" customHeight="1">
      <c r="A540" s="61">
        <v>248.0</v>
      </c>
      <c r="B540" s="22" t="s">
        <v>4819</v>
      </c>
      <c r="C540" s="23">
        <v>2021.0</v>
      </c>
      <c r="D540" s="100" t="s">
        <v>37</v>
      </c>
      <c r="E540" s="25" t="s">
        <v>37</v>
      </c>
      <c r="F540" s="25" t="s">
        <v>35</v>
      </c>
      <c r="G540" s="25" t="s">
        <v>35</v>
      </c>
      <c r="H540" s="25" t="s">
        <v>35</v>
      </c>
      <c r="I540" s="25" t="s">
        <v>35</v>
      </c>
      <c r="J540" s="101" t="s">
        <v>36</v>
      </c>
      <c r="K540" s="102" t="s">
        <v>37</v>
      </c>
      <c r="L540" s="103" t="s">
        <v>35</v>
      </c>
      <c r="M540" s="103" t="s">
        <v>35</v>
      </c>
      <c r="N540" s="103" t="s">
        <v>37</v>
      </c>
      <c r="O540" s="103" t="s">
        <v>35</v>
      </c>
      <c r="P540" s="103" t="s">
        <v>35</v>
      </c>
      <c r="Q540" s="103" t="s">
        <v>35</v>
      </c>
      <c r="R540" s="103" t="s">
        <v>37</v>
      </c>
      <c r="S540" s="104" t="s">
        <v>4820</v>
      </c>
      <c r="T540" s="30" t="s">
        <v>4821</v>
      </c>
      <c r="U540" s="30" t="s">
        <v>4821</v>
      </c>
      <c r="V540" s="105">
        <f t="shared" si="2"/>
        <v>1</v>
      </c>
      <c r="W540" s="105">
        <f t="shared" ref="W540:X540" si="545">IF(lenb(SUBSTITUTE($Z540,W$1&amp;" (1)",""))&lt;lenb($Z540),1,IF(lenb(SUBSTITUTE($Z540,W$1&amp;" (2)",""))&lt;lenb($Z540),2,IF(lenb(SUBSTITUTE($Z540,W$1&amp;" (3)",""))&lt;lenb($Z540),3,IF(lenb(SUBSTITUTE($Z540,W$1&amp;" (4)",""))&lt;lenb($Z540),4,IF(lenb(SUBSTITUTE($Z540,W$1&amp;" (5)",""))&lt;lenb($Z540),5,IF(lenb(SUBSTITUTE($Z540,W$1&amp;" (6)",""))&lt;lenb($Z540),6,IF(lenb(SUBSTITUTE($Z540,W$1&amp;" (7)",""))&lt;lenb($Z540),1,IF(lenb(SUBSTITUTE($Z540,W$1&amp;" (8)",""))&lt;lenb($Z540),8,IF(lenb(SUBSTITUTE($Z540,W$1&amp;" (9)",""))&lt;lenb($Z540),9,IF(lenb(SUBSTITUTE($Z540,W$1&amp;" (10)",""))&lt;lenb($Z540),10,IF(lenb(SUBSTITUTE($Z540,W$1,""))&lt;lenb($Z540),"ERROR",IF($Z540=$Y$1,"-",0))))))))))))</f>
        <v>0</v>
      </c>
      <c r="X540" s="105">
        <f t="shared" si="545"/>
        <v>0</v>
      </c>
      <c r="Y540" s="105" t="str">
        <f t="shared" si="4"/>
        <v>-</v>
      </c>
      <c r="Z540" s="104" t="s">
        <v>3400</v>
      </c>
      <c r="AA540" s="34">
        <f t="shared" si="5"/>
        <v>1</v>
      </c>
      <c r="AB540" s="34">
        <f>COUNTIFS(Links!B:B,"FSE",Links!C:C,A540,Links!AD:AD,1)</f>
        <v>0</v>
      </c>
      <c r="AC540" s="106" t="s">
        <v>35</v>
      </c>
      <c r="AD540" s="107" t="s">
        <v>35</v>
      </c>
      <c r="AE540" s="104" t="s">
        <v>36</v>
      </c>
      <c r="AF540" s="37" t="s">
        <v>42</v>
      </c>
      <c r="AG540" s="37" t="s">
        <v>42</v>
      </c>
      <c r="AH540" s="37" t="s">
        <v>42</v>
      </c>
      <c r="AI540" s="105" t="str">
        <f t="shared" si="6"/>
        <v>----</v>
      </c>
      <c r="AJ540" s="108" t="str">
        <f t="shared" si="7"/>
        <v>Paper has link but no statement</v>
      </c>
      <c r="AK540" s="109" t="s">
        <v>3401</v>
      </c>
      <c r="AL540" s="110" t="s">
        <v>3402</v>
      </c>
      <c r="AM540" s="40" t="str">
        <f t="shared" si="8"/>
        <v>[FP0248]</v>
      </c>
    </row>
    <row r="541" ht="67.5" customHeight="1">
      <c r="A541" s="41">
        <v>249.0</v>
      </c>
      <c r="B541" s="42" t="s">
        <v>4822</v>
      </c>
      <c r="C541" s="43">
        <v>2021.0</v>
      </c>
      <c r="D541" s="111" t="s">
        <v>35</v>
      </c>
      <c r="E541" s="45" t="s">
        <v>36</v>
      </c>
      <c r="F541" s="45" t="s">
        <v>36</v>
      </c>
      <c r="G541" s="45" t="s">
        <v>36</v>
      </c>
      <c r="H541" s="45" t="s">
        <v>36</v>
      </c>
      <c r="I541" s="45" t="s">
        <v>36</v>
      </c>
      <c r="J541" s="112" t="s">
        <v>36</v>
      </c>
      <c r="K541" s="113" t="s">
        <v>35</v>
      </c>
      <c r="L541" s="114" t="s">
        <v>36</v>
      </c>
      <c r="M541" s="114" t="s">
        <v>36</v>
      </c>
      <c r="N541" s="114" t="s">
        <v>36</v>
      </c>
      <c r="O541" s="114" t="s">
        <v>36</v>
      </c>
      <c r="P541" s="114" t="s">
        <v>36</v>
      </c>
      <c r="Q541" s="114" t="s">
        <v>36</v>
      </c>
      <c r="R541" s="114" t="s">
        <v>36</v>
      </c>
      <c r="S541" s="115" t="s">
        <v>42</v>
      </c>
      <c r="T541" s="50" t="s">
        <v>36</v>
      </c>
      <c r="U541" s="50" t="s">
        <v>36</v>
      </c>
      <c r="V541" s="116" t="str">
        <f t="shared" si="2"/>
        <v>-</v>
      </c>
      <c r="W541" s="116" t="str">
        <f t="shared" ref="W541:X541" si="546">IF(lenb(SUBSTITUTE($Z541,W$1&amp;" (1)",""))&lt;lenb($Z541),1,IF(lenb(SUBSTITUTE($Z541,W$1&amp;" (2)",""))&lt;lenb($Z541),2,IF(lenb(SUBSTITUTE($Z541,W$1&amp;" (3)",""))&lt;lenb($Z541),3,IF(lenb(SUBSTITUTE($Z541,W$1&amp;" (4)",""))&lt;lenb($Z541),4,IF(lenb(SUBSTITUTE($Z541,W$1&amp;" (5)",""))&lt;lenb($Z541),5,IF(lenb(SUBSTITUTE($Z541,W$1&amp;" (6)",""))&lt;lenb($Z541),6,IF(lenb(SUBSTITUTE($Z541,W$1&amp;" (7)",""))&lt;lenb($Z541),1,IF(lenb(SUBSTITUTE($Z541,W$1&amp;" (8)",""))&lt;lenb($Z541),8,IF(lenb(SUBSTITUTE($Z541,W$1&amp;" (9)",""))&lt;lenb($Z541),9,IF(lenb(SUBSTITUTE($Z541,W$1&amp;" (10)",""))&lt;lenb($Z541),10,IF(lenb(SUBSTITUTE($Z541,W$1,""))&lt;lenb($Z541),"ERROR",IF($Z541=$Y$1,"-",0))))))))))))</f>
        <v>-</v>
      </c>
      <c r="X541" s="116" t="str">
        <f t="shared" si="546"/>
        <v>-</v>
      </c>
      <c r="Y541" s="116">
        <f t="shared" si="4"/>
        <v>1</v>
      </c>
      <c r="Z541" s="115" t="s">
        <v>23</v>
      </c>
      <c r="AA541" s="54">
        <f t="shared" si="5"/>
        <v>0</v>
      </c>
      <c r="AB541" s="54">
        <f>COUNTIFS(Links!B:B,"FSE",Links!C:C,A541,Links!AD:AD,1)</f>
        <v>0</v>
      </c>
      <c r="AC541" s="117" t="s">
        <v>36</v>
      </c>
      <c r="AD541" s="118" t="s">
        <v>35</v>
      </c>
      <c r="AE541" s="115" t="s">
        <v>36</v>
      </c>
      <c r="AF541" s="57" t="s">
        <v>42</v>
      </c>
      <c r="AG541" s="57" t="s">
        <v>42</v>
      </c>
      <c r="AH541" s="57" t="s">
        <v>42</v>
      </c>
      <c r="AI541" s="116" t="str">
        <f t="shared" si="6"/>
        <v>----</v>
      </c>
      <c r="AJ541" s="119" t="str">
        <f t="shared" si="7"/>
        <v>Paper has no link and no statement</v>
      </c>
      <c r="AK541" s="120" t="s">
        <v>3401</v>
      </c>
      <c r="AL541" s="121" t="s">
        <v>3402</v>
      </c>
      <c r="AM541" s="60" t="str">
        <f t="shared" si="8"/>
        <v>[FP0249]</v>
      </c>
    </row>
    <row r="542" ht="67.5" customHeight="1">
      <c r="A542" s="61">
        <v>250.0</v>
      </c>
      <c r="B542" s="22" t="s">
        <v>4823</v>
      </c>
      <c r="C542" s="23">
        <v>2021.0</v>
      </c>
      <c r="D542" s="100" t="s">
        <v>35</v>
      </c>
      <c r="E542" s="25" t="s">
        <v>36</v>
      </c>
      <c r="F542" s="25" t="s">
        <v>36</v>
      </c>
      <c r="G542" s="25" t="s">
        <v>36</v>
      </c>
      <c r="H542" s="25" t="s">
        <v>36</v>
      </c>
      <c r="I542" s="25" t="s">
        <v>36</v>
      </c>
      <c r="J542" s="101" t="s">
        <v>36</v>
      </c>
      <c r="K542" s="102" t="s">
        <v>37</v>
      </c>
      <c r="L542" s="103" t="s">
        <v>35</v>
      </c>
      <c r="M542" s="103" t="s">
        <v>37</v>
      </c>
      <c r="N542" s="103" t="s">
        <v>37</v>
      </c>
      <c r="O542" s="103" t="s">
        <v>35</v>
      </c>
      <c r="P542" s="103" t="s">
        <v>35</v>
      </c>
      <c r="Q542" s="103" t="s">
        <v>35</v>
      </c>
      <c r="R542" s="103" t="s">
        <v>35</v>
      </c>
      <c r="S542" s="104" t="s">
        <v>4820</v>
      </c>
      <c r="T542" s="30" t="s">
        <v>4824</v>
      </c>
      <c r="U542" s="30" t="s">
        <v>4824</v>
      </c>
      <c r="V542" s="105">
        <f t="shared" si="2"/>
        <v>1</v>
      </c>
      <c r="W542" s="105">
        <f t="shared" ref="W542:X542" si="547">IF(lenb(SUBSTITUTE($Z542,W$1&amp;" (1)",""))&lt;lenb($Z542),1,IF(lenb(SUBSTITUTE($Z542,W$1&amp;" (2)",""))&lt;lenb($Z542),2,IF(lenb(SUBSTITUTE($Z542,W$1&amp;" (3)",""))&lt;lenb($Z542),3,IF(lenb(SUBSTITUTE($Z542,W$1&amp;" (4)",""))&lt;lenb($Z542),4,IF(lenb(SUBSTITUTE($Z542,W$1&amp;" (5)",""))&lt;lenb($Z542),5,IF(lenb(SUBSTITUTE($Z542,W$1&amp;" (6)",""))&lt;lenb($Z542),6,IF(lenb(SUBSTITUTE($Z542,W$1&amp;" (7)",""))&lt;lenb($Z542),1,IF(lenb(SUBSTITUTE($Z542,W$1&amp;" (8)",""))&lt;lenb($Z542),8,IF(lenb(SUBSTITUTE($Z542,W$1&amp;" (9)",""))&lt;lenb($Z542),9,IF(lenb(SUBSTITUTE($Z542,W$1&amp;" (10)",""))&lt;lenb($Z542),10,IF(lenb(SUBSTITUTE($Z542,W$1,""))&lt;lenb($Z542),"ERROR",IF($Z542=$Y$1,"-",0))))))))))))</f>
        <v>0</v>
      </c>
      <c r="X542" s="105">
        <f t="shared" si="547"/>
        <v>0</v>
      </c>
      <c r="Y542" s="105" t="str">
        <f t="shared" si="4"/>
        <v>-</v>
      </c>
      <c r="Z542" s="104" t="s">
        <v>3400</v>
      </c>
      <c r="AA542" s="34">
        <f t="shared" si="5"/>
        <v>1</v>
      </c>
      <c r="AB542" s="34">
        <f>COUNTIFS(Links!B:B,"FSE",Links!C:C,A542,Links!AD:AD,1)</f>
        <v>0</v>
      </c>
      <c r="AC542" s="106" t="s">
        <v>35</v>
      </c>
      <c r="AD542" s="107" t="s">
        <v>35</v>
      </c>
      <c r="AE542" s="104" t="s">
        <v>36</v>
      </c>
      <c r="AF542" s="37" t="s">
        <v>42</v>
      </c>
      <c r="AG542" s="37" t="s">
        <v>42</v>
      </c>
      <c r="AH542" s="37" t="s">
        <v>42</v>
      </c>
      <c r="AI542" s="105" t="str">
        <f t="shared" si="6"/>
        <v>----</v>
      </c>
      <c r="AJ542" s="108" t="str">
        <f t="shared" si="7"/>
        <v>Paper has link but no statement</v>
      </c>
      <c r="AK542" s="109" t="s">
        <v>3401</v>
      </c>
      <c r="AL542" s="110" t="s">
        <v>3402</v>
      </c>
      <c r="AM542" s="40" t="str">
        <f t="shared" si="8"/>
        <v>[FP0250]</v>
      </c>
    </row>
    <row r="543" ht="67.5" customHeight="1">
      <c r="A543" s="41">
        <v>251.0</v>
      </c>
      <c r="B543" s="42" t="s">
        <v>4825</v>
      </c>
      <c r="C543" s="43">
        <v>2021.0</v>
      </c>
      <c r="D543" s="111" t="s">
        <v>35</v>
      </c>
      <c r="E543" s="45" t="s">
        <v>36</v>
      </c>
      <c r="F543" s="45" t="s">
        <v>36</v>
      </c>
      <c r="G543" s="45" t="s">
        <v>36</v>
      </c>
      <c r="H543" s="45" t="s">
        <v>36</v>
      </c>
      <c r="I543" s="45" t="s">
        <v>36</v>
      </c>
      <c r="J543" s="112" t="s">
        <v>36</v>
      </c>
      <c r="K543" s="113" t="s">
        <v>37</v>
      </c>
      <c r="L543" s="114" t="s">
        <v>35</v>
      </c>
      <c r="M543" s="114" t="s">
        <v>37</v>
      </c>
      <c r="N543" s="114" t="s">
        <v>35</v>
      </c>
      <c r="O543" s="114" t="s">
        <v>35</v>
      </c>
      <c r="P543" s="114" t="s">
        <v>35</v>
      </c>
      <c r="Q543" s="114" t="s">
        <v>35</v>
      </c>
      <c r="R543" s="114" t="s">
        <v>37</v>
      </c>
      <c r="S543" s="115" t="s">
        <v>4826</v>
      </c>
      <c r="T543" s="50" t="s">
        <v>4827</v>
      </c>
      <c r="U543" s="50" t="s">
        <v>4827</v>
      </c>
      <c r="V543" s="116">
        <f t="shared" si="2"/>
        <v>1</v>
      </c>
      <c r="W543" s="116">
        <f t="shared" ref="W543:X543" si="548">IF(lenb(SUBSTITUTE($Z543,W$1&amp;" (1)",""))&lt;lenb($Z543),1,IF(lenb(SUBSTITUTE($Z543,W$1&amp;" (2)",""))&lt;lenb($Z543),2,IF(lenb(SUBSTITUTE($Z543,W$1&amp;" (3)",""))&lt;lenb($Z543),3,IF(lenb(SUBSTITUTE($Z543,W$1&amp;" (4)",""))&lt;lenb($Z543),4,IF(lenb(SUBSTITUTE($Z543,W$1&amp;" (5)",""))&lt;lenb($Z543),5,IF(lenb(SUBSTITUTE($Z543,W$1&amp;" (6)",""))&lt;lenb($Z543),6,IF(lenb(SUBSTITUTE($Z543,W$1&amp;" (7)",""))&lt;lenb($Z543),1,IF(lenb(SUBSTITUTE($Z543,W$1&amp;" (8)",""))&lt;lenb($Z543),8,IF(lenb(SUBSTITUTE($Z543,W$1&amp;" (9)",""))&lt;lenb($Z543),9,IF(lenb(SUBSTITUTE($Z543,W$1&amp;" (10)",""))&lt;lenb($Z543),10,IF(lenb(SUBSTITUTE($Z543,W$1,""))&lt;lenb($Z543),"ERROR",IF($Z543=$Y$1,"-",0))))))))))))</f>
        <v>0</v>
      </c>
      <c r="X543" s="116">
        <f t="shared" si="548"/>
        <v>0</v>
      </c>
      <c r="Y543" s="116" t="str">
        <f t="shared" si="4"/>
        <v>-</v>
      </c>
      <c r="Z543" s="115" t="s">
        <v>3400</v>
      </c>
      <c r="AA543" s="54">
        <f t="shared" si="5"/>
        <v>1</v>
      </c>
      <c r="AB543" s="54">
        <f>COUNTIFS(Links!B:B,"FSE",Links!C:C,A543,Links!AD:AD,1)</f>
        <v>0</v>
      </c>
      <c r="AC543" s="117" t="s">
        <v>35</v>
      </c>
      <c r="AD543" s="118" t="s">
        <v>35</v>
      </c>
      <c r="AE543" s="115" t="s">
        <v>36</v>
      </c>
      <c r="AF543" s="57" t="s">
        <v>42</v>
      </c>
      <c r="AG543" s="57" t="s">
        <v>42</v>
      </c>
      <c r="AH543" s="57" t="s">
        <v>42</v>
      </c>
      <c r="AI543" s="116" t="str">
        <f t="shared" si="6"/>
        <v>----</v>
      </c>
      <c r="AJ543" s="119" t="str">
        <f t="shared" si="7"/>
        <v>Paper has link but no statement</v>
      </c>
      <c r="AK543" s="120" t="s">
        <v>3401</v>
      </c>
      <c r="AL543" s="121" t="s">
        <v>3402</v>
      </c>
      <c r="AM543" s="60" t="str">
        <f t="shared" si="8"/>
        <v>[FP0251]</v>
      </c>
    </row>
    <row r="544" ht="67.5" customHeight="1">
      <c r="A544" s="61">
        <v>252.0</v>
      </c>
      <c r="B544" s="22" t="s">
        <v>4828</v>
      </c>
      <c r="C544" s="23">
        <v>2021.0</v>
      </c>
      <c r="D544" s="100" t="s">
        <v>37</v>
      </c>
      <c r="E544" s="25" t="s">
        <v>37</v>
      </c>
      <c r="F544" s="25" t="s">
        <v>35</v>
      </c>
      <c r="G544" s="25" t="s">
        <v>37</v>
      </c>
      <c r="H544" s="25" t="s">
        <v>35</v>
      </c>
      <c r="I544" s="25" t="s">
        <v>35</v>
      </c>
      <c r="J544" s="101" t="s">
        <v>36</v>
      </c>
      <c r="K544" s="102" t="s">
        <v>37</v>
      </c>
      <c r="L544" s="103" t="s">
        <v>35</v>
      </c>
      <c r="M544" s="103" t="s">
        <v>35</v>
      </c>
      <c r="N544" s="103" t="s">
        <v>37</v>
      </c>
      <c r="O544" s="103" t="s">
        <v>35</v>
      </c>
      <c r="P544" s="103" t="s">
        <v>35</v>
      </c>
      <c r="Q544" s="103" t="s">
        <v>35</v>
      </c>
      <c r="R544" s="103" t="s">
        <v>35</v>
      </c>
      <c r="S544" s="104" t="s">
        <v>13</v>
      </c>
      <c r="T544" s="30" t="s">
        <v>4829</v>
      </c>
      <c r="U544" s="30" t="s">
        <v>4829</v>
      </c>
      <c r="V544" s="105">
        <f t="shared" si="2"/>
        <v>1</v>
      </c>
      <c r="W544" s="105">
        <f t="shared" ref="W544:X544" si="549">IF(lenb(SUBSTITUTE($Z544,W$1&amp;" (1)",""))&lt;lenb($Z544),1,IF(lenb(SUBSTITUTE($Z544,W$1&amp;" (2)",""))&lt;lenb($Z544),2,IF(lenb(SUBSTITUTE($Z544,W$1&amp;" (3)",""))&lt;lenb($Z544),3,IF(lenb(SUBSTITUTE($Z544,W$1&amp;" (4)",""))&lt;lenb($Z544),4,IF(lenb(SUBSTITUTE($Z544,W$1&amp;" (5)",""))&lt;lenb($Z544),5,IF(lenb(SUBSTITUTE($Z544,W$1&amp;" (6)",""))&lt;lenb($Z544),6,IF(lenb(SUBSTITUTE($Z544,W$1&amp;" (7)",""))&lt;lenb($Z544),1,IF(lenb(SUBSTITUTE($Z544,W$1&amp;" (8)",""))&lt;lenb($Z544),8,IF(lenb(SUBSTITUTE($Z544,W$1&amp;" (9)",""))&lt;lenb($Z544),9,IF(lenb(SUBSTITUTE($Z544,W$1&amp;" (10)",""))&lt;lenb($Z544),10,IF(lenb(SUBSTITUTE($Z544,W$1,""))&lt;lenb($Z544),"ERROR",IF($Z544=$Y$1,"-",0))))))))))))</f>
        <v>0</v>
      </c>
      <c r="X544" s="105">
        <f t="shared" si="549"/>
        <v>0</v>
      </c>
      <c r="Y544" s="105" t="str">
        <f t="shared" si="4"/>
        <v>-</v>
      </c>
      <c r="Z544" s="104" t="s">
        <v>3400</v>
      </c>
      <c r="AA544" s="34">
        <f t="shared" si="5"/>
        <v>1</v>
      </c>
      <c r="AB544" s="34">
        <f>COUNTIFS(Links!B:B,"FSE",Links!C:C,A544,Links!AD:AD,1)</f>
        <v>0</v>
      </c>
      <c r="AC544" s="106" t="s">
        <v>35</v>
      </c>
      <c r="AD544" s="107" t="s">
        <v>35</v>
      </c>
      <c r="AE544" s="104" t="s">
        <v>36</v>
      </c>
      <c r="AF544" s="37" t="s">
        <v>42</v>
      </c>
      <c r="AG544" s="37" t="s">
        <v>42</v>
      </c>
      <c r="AH544" s="37" t="s">
        <v>42</v>
      </c>
      <c r="AI544" s="105" t="str">
        <f t="shared" si="6"/>
        <v>----</v>
      </c>
      <c r="AJ544" s="108" t="str">
        <f t="shared" si="7"/>
        <v>Paper has link but no statement</v>
      </c>
      <c r="AK544" s="109" t="s">
        <v>3401</v>
      </c>
      <c r="AL544" s="110" t="s">
        <v>3402</v>
      </c>
      <c r="AM544" s="40" t="str">
        <f t="shared" si="8"/>
        <v>[FP0252]</v>
      </c>
    </row>
    <row r="545" ht="67.5" customHeight="1">
      <c r="A545" s="41">
        <v>253.0</v>
      </c>
      <c r="B545" s="42" t="s">
        <v>4830</v>
      </c>
      <c r="C545" s="43">
        <v>2021.0</v>
      </c>
      <c r="D545" s="111" t="s">
        <v>37</v>
      </c>
      <c r="E545" s="45" t="s">
        <v>37</v>
      </c>
      <c r="F545" s="45" t="s">
        <v>35</v>
      </c>
      <c r="G545" s="45" t="s">
        <v>37</v>
      </c>
      <c r="H545" s="45" t="s">
        <v>35</v>
      </c>
      <c r="I545" s="45" t="s">
        <v>35</v>
      </c>
      <c r="J545" s="112" t="s">
        <v>36</v>
      </c>
      <c r="K545" s="113" t="s">
        <v>37</v>
      </c>
      <c r="L545" s="114" t="s">
        <v>37</v>
      </c>
      <c r="M545" s="114" t="s">
        <v>35</v>
      </c>
      <c r="N545" s="114" t="s">
        <v>37</v>
      </c>
      <c r="O545" s="114" t="s">
        <v>35</v>
      </c>
      <c r="P545" s="114" t="s">
        <v>35</v>
      </c>
      <c r="Q545" s="114" t="s">
        <v>35</v>
      </c>
      <c r="R545" s="114" t="s">
        <v>35</v>
      </c>
      <c r="S545" s="115" t="s">
        <v>4820</v>
      </c>
      <c r="T545" s="50" t="s">
        <v>4831</v>
      </c>
      <c r="U545" s="50" t="s">
        <v>4831</v>
      </c>
      <c r="V545" s="116">
        <f t="shared" si="2"/>
        <v>1</v>
      </c>
      <c r="W545" s="116">
        <f t="shared" ref="W545:X545" si="550">IF(lenb(SUBSTITUTE($Z545,W$1&amp;" (1)",""))&lt;lenb($Z545),1,IF(lenb(SUBSTITUTE($Z545,W$1&amp;" (2)",""))&lt;lenb($Z545),2,IF(lenb(SUBSTITUTE($Z545,W$1&amp;" (3)",""))&lt;lenb($Z545),3,IF(lenb(SUBSTITUTE($Z545,W$1&amp;" (4)",""))&lt;lenb($Z545),4,IF(lenb(SUBSTITUTE($Z545,W$1&amp;" (5)",""))&lt;lenb($Z545),5,IF(lenb(SUBSTITUTE($Z545,W$1&amp;" (6)",""))&lt;lenb($Z545),6,IF(lenb(SUBSTITUTE($Z545,W$1&amp;" (7)",""))&lt;lenb($Z545),1,IF(lenb(SUBSTITUTE($Z545,W$1&amp;" (8)",""))&lt;lenb($Z545),8,IF(lenb(SUBSTITUTE($Z545,W$1&amp;" (9)",""))&lt;lenb($Z545),9,IF(lenb(SUBSTITUTE($Z545,W$1&amp;" (10)",""))&lt;lenb($Z545),10,IF(lenb(SUBSTITUTE($Z545,W$1,""))&lt;lenb($Z545),"ERROR",IF($Z545=$Y$1,"-",0))))))))))))</f>
        <v>0</v>
      </c>
      <c r="X545" s="116">
        <f t="shared" si="550"/>
        <v>0</v>
      </c>
      <c r="Y545" s="116" t="str">
        <f t="shared" si="4"/>
        <v>-</v>
      </c>
      <c r="Z545" s="115" t="s">
        <v>3400</v>
      </c>
      <c r="AA545" s="54">
        <f t="shared" si="5"/>
        <v>1</v>
      </c>
      <c r="AB545" s="54">
        <f>COUNTIFS(Links!B:B,"FSE",Links!C:C,A545,Links!AD:AD,1)</f>
        <v>0</v>
      </c>
      <c r="AC545" s="117" t="s">
        <v>35</v>
      </c>
      <c r="AD545" s="118" t="s">
        <v>35</v>
      </c>
      <c r="AE545" s="115" t="s">
        <v>36</v>
      </c>
      <c r="AF545" s="57" t="s">
        <v>42</v>
      </c>
      <c r="AG545" s="57" t="s">
        <v>42</v>
      </c>
      <c r="AH545" s="57" t="s">
        <v>42</v>
      </c>
      <c r="AI545" s="116" t="str">
        <f t="shared" si="6"/>
        <v>----</v>
      </c>
      <c r="AJ545" s="119" t="str">
        <f t="shared" si="7"/>
        <v>Paper has link but no statement</v>
      </c>
      <c r="AK545" s="120" t="s">
        <v>3401</v>
      </c>
      <c r="AL545" s="121" t="s">
        <v>3402</v>
      </c>
      <c r="AM545" s="60" t="str">
        <f t="shared" si="8"/>
        <v>[FP0253]</v>
      </c>
    </row>
    <row r="546" ht="67.5" customHeight="1">
      <c r="A546" s="61">
        <v>254.0</v>
      </c>
      <c r="B546" s="22" t="s">
        <v>4832</v>
      </c>
      <c r="C546" s="23">
        <v>2021.0</v>
      </c>
      <c r="D546" s="100" t="s">
        <v>37</v>
      </c>
      <c r="E546" s="25" t="s">
        <v>37</v>
      </c>
      <c r="F546" s="25" t="s">
        <v>35</v>
      </c>
      <c r="G546" s="25" t="s">
        <v>35</v>
      </c>
      <c r="H546" s="25" t="s">
        <v>35</v>
      </c>
      <c r="I546" s="25" t="s">
        <v>35</v>
      </c>
      <c r="J546" s="101" t="s">
        <v>36</v>
      </c>
      <c r="K546" s="102" t="s">
        <v>37</v>
      </c>
      <c r="L546" s="103" t="s">
        <v>37</v>
      </c>
      <c r="M546" s="103" t="s">
        <v>35</v>
      </c>
      <c r="N546" s="103" t="s">
        <v>35</v>
      </c>
      <c r="O546" s="103" t="s">
        <v>35</v>
      </c>
      <c r="P546" s="103" t="s">
        <v>35</v>
      </c>
      <c r="Q546" s="103" t="s">
        <v>35</v>
      </c>
      <c r="R546" s="103" t="s">
        <v>37</v>
      </c>
      <c r="S546" s="104" t="s">
        <v>4833</v>
      </c>
      <c r="T546" s="30" t="s">
        <v>4834</v>
      </c>
      <c r="U546" s="30" t="s">
        <v>4834</v>
      </c>
      <c r="V546" s="105">
        <f t="shared" si="2"/>
        <v>1</v>
      </c>
      <c r="W546" s="105">
        <f t="shared" ref="W546:X546" si="551">IF(lenb(SUBSTITUTE($Z546,W$1&amp;" (1)",""))&lt;lenb($Z546),1,IF(lenb(SUBSTITUTE($Z546,W$1&amp;" (2)",""))&lt;lenb($Z546),2,IF(lenb(SUBSTITUTE($Z546,W$1&amp;" (3)",""))&lt;lenb($Z546),3,IF(lenb(SUBSTITUTE($Z546,W$1&amp;" (4)",""))&lt;lenb($Z546),4,IF(lenb(SUBSTITUTE($Z546,W$1&amp;" (5)",""))&lt;lenb($Z546),5,IF(lenb(SUBSTITUTE($Z546,W$1&amp;" (6)",""))&lt;lenb($Z546),6,IF(lenb(SUBSTITUTE($Z546,W$1&amp;" (7)",""))&lt;lenb($Z546),1,IF(lenb(SUBSTITUTE($Z546,W$1&amp;" (8)",""))&lt;lenb($Z546),8,IF(lenb(SUBSTITUTE($Z546,W$1&amp;" (9)",""))&lt;lenb($Z546),9,IF(lenb(SUBSTITUTE($Z546,W$1&amp;" (10)",""))&lt;lenb($Z546),10,IF(lenb(SUBSTITUTE($Z546,W$1,""))&lt;lenb($Z546),"ERROR",IF($Z546=$Y$1,"-",0))))))))))))</f>
        <v>0</v>
      </c>
      <c r="X546" s="105">
        <f t="shared" si="551"/>
        <v>0</v>
      </c>
      <c r="Y546" s="105" t="str">
        <f t="shared" si="4"/>
        <v>-</v>
      </c>
      <c r="Z546" s="104" t="s">
        <v>3400</v>
      </c>
      <c r="AA546" s="34">
        <f t="shared" si="5"/>
        <v>1</v>
      </c>
      <c r="AB546" s="34">
        <f>COUNTIFS(Links!B:B,"FSE",Links!C:C,A546,Links!AD:AD,1)</f>
        <v>0</v>
      </c>
      <c r="AC546" s="106" t="s">
        <v>35</v>
      </c>
      <c r="AD546" s="107" t="s">
        <v>35</v>
      </c>
      <c r="AE546" s="104" t="s">
        <v>36</v>
      </c>
      <c r="AF546" s="37" t="s">
        <v>42</v>
      </c>
      <c r="AG546" s="37" t="s">
        <v>42</v>
      </c>
      <c r="AH546" s="37" t="s">
        <v>42</v>
      </c>
      <c r="AI546" s="105" t="str">
        <f t="shared" si="6"/>
        <v>----</v>
      </c>
      <c r="AJ546" s="108" t="str">
        <f t="shared" si="7"/>
        <v>Paper has link but no statement</v>
      </c>
      <c r="AK546" s="109" t="s">
        <v>3401</v>
      </c>
      <c r="AL546" s="110" t="s">
        <v>3402</v>
      </c>
      <c r="AM546" s="40" t="str">
        <f t="shared" si="8"/>
        <v>[FP0254]</v>
      </c>
    </row>
    <row r="547" ht="67.5" customHeight="1">
      <c r="A547" s="41">
        <v>255.0</v>
      </c>
      <c r="B547" s="42" t="s">
        <v>4835</v>
      </c>
      <c r="C547" s="43">
        <v>2021.0</v>
      </c>
      <c r="D547" s="111" t="s">
        <v>35</v>
      </c>
      <c r="E547" s="45" t="s">
        <v>36</v>
      </c>
      <c r="F547" s="45" t="s">
        <v>36</v>
      </c>
      <c r="G547" s="45" t="s">
        <v>36</v>
      </c>
      <c r="H547" s="45" t="s">
        <v>36</v>
      </c>
      <c r="I547" s="45" t="s">
        <v>36</v>
      </c>
      <c r="J547" s="112" t="s">
        <v>36</v>
      </c>
      <c r="K547" s="113" t="s">
        <v>37</v>
      </c>
      <c r="L547" s="114" t="s">
        <v>35</v>
      </c>
      <c r="M547" s="114" t="s">
        <v>35</v>
      </c>
      <c r="N547" s="114" t="s">
        <v>35</v>
      </c>
      <c r="O547" s="114" t="s">
        <v>35</v>
      </c>
      <c r="P547" s="114" t="s">
        <v>35</v>
      </c>
      <c r="Q547" s="114" t="s">
        <v>37</v>
      </c>
      <c r="R547" s="114" t="s">
        <v>35</v>
      </c>
      <c r="S547" s="115" t="s">
        <v>4836</v>
      </c>
      <c r="T547" s="50" t="s">
        <v>4837</v>
      </c>
      <c r="U547" s="50" t="s">
        <v>4837</v>
      </c>
      <c r="V547" s="116">
        <f t="shared" si="2"/>
        <v>1</v>
      </c>
      <c r="W547" s="116">
        <f t="shared" ref="W547:X547" si="552">IF(lenb(SUBSTITUTE($Z547,W$1&amp;" (1)",""))&lt;lenb($Z547),1,IF(lenb(SUBSTITUTE($Z547,W$1&amp;" (2)",""))&lt;lenb($Z547),2,IF(lenb(SUBSTITUTE($Z547,W$1&amp;" (3)",""))&lt;lenb($Z547),3,IF(lenb(SUBSTITUTE($Z547,W$1&amp;" (4)",""))&lt;lenb($Z547),4,IF(lenb(SUBSTITUTE($Z547,W$1&amp;" (5)",""))&lt;lenb($Z547),5,IF(lenb(SUBSTITUTE($Z547,W$1&amp;" (6)",""))&lt;lenb($Z547),6,IF(lenb(SUBSTITUTE($Z547,W$1&amp;" (7)",""))&lt;lenb($Z547),1,IF(lenb(SUBSTITUTE($Z547,W$1&amp;" (8)",""))&lt;lenb($Z547),8,IF(lenb(SUBSTITUTE($Z547,W$1&amp;" (9)",""))&lt;lenb($Z547),9,IF(lenb(SUBSTITUTE($Z547,W$1&amp;" (10)",""))&lt;lenb($Z547),10,IF(lenb(SUBSTITUTE($Z547,W$1,""))&lt;lenb($Z547),"ERROR",IF($Z547=$Y$1,"-",0))))))))))))</f>
        <v>0</v>
      </c>
      <c r="X547" s="116">
        <f t="shared" si="552"/>
        <v>0</v>
      </c>
      <c r="Y547" s="116" t="str">
        <f t="shared" si="4"/>
        <v>-</v>
      </c>
      <c r="Z547" s="115" t="s">
        <v>3400</v>
      </c>
      <c r="AA547" s="54">
        <f t="shared" si="5"/>
        <v>1</v>
      </c>
      <c r="AB547" s="54">
        <f>COUNTIFS(Links!B:B,"FSE",Links!C:C,A547,Links!AD:AD,1)</f>
        <v>0</v>
      </c>
      <c r="AC547" s="117" t="s">
        <v>35</v>
      </c>
      <c r="AD547" s="118" t="s">
        <v>35</v>
      </c>
      <c r="AE547" s="115" t="s">
        <v>36</v>
      </c>
      <c r="AF547" s="57" t="s">
        <v>42</v>
      </c>
      <c r="AG547" s="57" t="s">
        <v>42</v>
      </c>
      <c r="AH547" s="57" t="s">
        <v>42</v>
      </c>
      <c r="AI547" s="116" t="str">
        <f t="shared" si="6"/>
        <v>----</v>
      </c>
      <c r="AJ547" s="119" t="str">
        <f t="shared" si="7"/>
        <v>Paper has link but no statement</v>
      </c>
      <c r="AK547" s="120" t="s">
        <v>3401</v>
      </c>
      <c r="AL547" s="121" t="s">
        <v>3402</v>
      </c>
      <c r="AM547" s="60" t="str">
        <f t="shared" si="8"/>
        <v>[FP0255]</v>
      </c>
    </row>
    <row r="548" ht="67.5" customHeight="1">
      <c r="A548" s="61">
        <v>256.0</v>
      </c>
      <c r="B548" s="22" t="s">
        <v>4838</v>
      </c>
      <c r="C548" s="23">
        <v>2021.0</v>
      </c>
      <c r="D548" s="100" t="s">
        <v>35</v>
      </c>
      <c r="E548" s="25" t="s">
        <v>36</v>
      </c>
      <c r="F548" s="25" t="s">
        <v>36</v>
      </c>
      <c r="G548" s="25" t="s">
        <v>36</v>
      </c>
      <c r="H548" s="25" t="s">
        <v>36</v>
      </c>
      <c r="I548" s="25" t="s">
        <v>36</v>
      </c>
      <c r="J548" s="101" t="s">
        <v>36</v>
      </c>
      <c r="K548" s="102" t="s">
        <v>37</v>
      </c>
      <c r="L548" s="103" t="s">
        <v>35</v>
      </c>
      <c r="M548" s="103" t="s">
        <v>35</v>
      </c>
      <c r="N548" s="133" t="s">
        <v>37</v>
      </c>
      <c r="O548" s="103" t="s">
        <v>35</v>
      </c>
      <c r="P548" s="103" t="s">
        <v>35</v>
      </c>
      <c r="Q548" s="133" t="s">
        <v>37</v>
      </c>
      <c r="R548" s="133" t="s">
        <v>37</v>
      </c>
      <c r="S548" s="104" t="s">
        <v>4839</v>
      </c>
      <c r="T548" s="30" t="s">
        <v>4840</v>
      </c>
      <c r="U548" s="30" t="s">
        <v>4840</v>
      </c>
      <c r="V548" s="105">
        <f t="shared" si="2"/>
        <v>1</v>
      </c>
      <c r="W548" s="105">
        <f t="shared" ref="W548:X548" si="553">IF(lenb(SUBSTITUTE($Z548,W$1&amp;" (1)",""))&lt;lenb($Z548),1,IF(lenb(SUBSTITUTE($Z548,W$1&amp;" (2)",""))&lt;lenb($Z548),2,IF(lenb(SUBSTITUTE($Z548,W$1&amp;" (3)",""))&lt;lenb($Z548),3,IF(lenb(SUBSTITUTE($Z548,W$1&amp;" (4)",""))&lt;lenb($Z548),4,IF(lenb(SUBSTITUTE($Z548,W$1&amp;" (5)",""))&lt;lenb($Z548),5,IF(lenb(SUBSTITUTE($Z548,W$1&amp;" (6)",""))&lt;lenb($Z548),6,IF(lenb(SUBSTITUTE($Z548,W$1&amp;" (7)",""))&lt;lenb($Z548),1,IF(lenb(SUBSTITUTE($Z548,W$1&amp;" (8)",""))&lt;lenb($Z548),8,IF(lenb(SUBSTITUTE($Z548,W$1&amp;" (9)",""))&lt;lenb($Z548),9,IF(lenb(SUBSTITUTE($Z548,W$1&amp;" (10)",""))&lt;lenb($Z548),10,IF(lenb(SUBSTITUTE($Z548,W$1,""))&lt;lenb($Z548),"ERROR",IF($Z548=$Y$1,"-",0))))))))))))</f>
        <v>0</v>
      </c>
      <c r="X548" s="105">
        <f t="shared" si="553"/>
        <v>0</v>
      </c>
      <c r="Y548" s="105" t="str">
        <f t="shared" si="4"/>
        <v>-</v>
      </c>
      <c r="Z548" s="104" t="s">
        <v>3400</v>
      </c>
      <c r="AA548" s="34">
        <f t="shared" si="5"/>
        <v>1</v>
      </c>
      <c r="AB548" s="34">
        <f>COUNTIFS(Links!B:B,"FSE",Links!C:C,A548,Links!AD:AD,1)</f>
        <v>0</v>
      </c>
      <c r="AC548" s="106" t="s">
        <v>35</v>
      </c>
      <c r="AD548" s="107" t="s">
        <v>35</v>
      </c>
      <c r="AE548" s="104" t="s">
        <v>36</v>
      </c>
      <c r="AF548" s="37" t="s">
        <v>42</v>
      </c>
      <c r="AG548" s="37" t="s">
        <v>42</v>
      </c>
      <c r="AH548" s="37" t="s">
        <v>42</v>
      </c>
      <c r="AI548" s="105" t="str">
        <f t="shared" si="6"/>
        <v>----</v>
      </c>
      <c r="AJ548" s="108" t="str">
        <f t="shared" si="7"/>
        <v>Paper has link but no statement</v>
      </c>
      <c r="AK548" s="109" t="s">
        <v>3401</v>
      </c>
      <c r="AL548" s="110" t="s">
        <v>3402</v>
      </c>
      <c r="AM548" s="40" t="str">
        <f t="shared" si="8"/>
        <v>[FP0256]</v>
      </c>
    </row>
    <row r="549" ht="67.5" customHeight="1">
      <c r="A549" s="41">
        <v>257.0</v>
      </c>
      <c r="B549" s="42" t="s">
        <v>4841</v>
      </c>
      <c r="C549" s="43">
        <v>2021.0</v>
      </c>
      <c r="D549" s="111" t="s">
        <v>37</v>
      </c>
      <c r="E549" s="45" t="s">
        <v>37</v>
      </c>
      <c r="F549" s="45" t="s">
        <v>35</v>
      </c>
      <c r="G549" s="45" t="s">
        <v>37</v>
      </c>
      <c r="H549" s="45" t="s">
        <v>35</v>
      </c>
      <c r="I549" s="45" t="s">
        <v>35</v>
      </c>
      <c r="J549" s="112" t="s">
        <v>36</v>
      </c>
      <c r="K549" s="113" t="s">
        <v>37</v>
      </c>
      <c r="L549" s="114" t="s">
        <v>37</v>
      </c>
      <c r="M549" s="114" t="s">
        <v>37</v>
      </c>
      <c r="N549" s="114" t="s">
        <v>35</v>
      </c>
      <c r="O549" s="114" t="s">
        <v>35</v>
      </c>
      <c r="P549" s="114" t="s">
        <v>35</v>
      </c>
      <c r="Q549" s="114" t="s">
        <v>35</v>
      </c>
      <c r="R549" s="114" t="s">
        <v>37</v>
      </c>
      <c r="S549" s="115" t="s">
        <v>4842</v>
      </c>
      <c r="T549" s="50" t="s">
        <v>4843</v>
      </c>
      <c r="U549" s="50" t="s">
        <v>4843</v>
      </c>
      <c r="V549" s="116">
        <f t="shared" si="2"/>
        <v>2</v>
      </c>
      <c r="W549" s="116">
        <f t="shared" ref="W549:X549" si="554">IF(lenb(SUBSTITUTE($Z549,W$1&amp;" (1)",""))&lt;lenb($Z549),1,IF(lenb(SUBSTITUTE($Z549,W$1&amp;" (2)",""))&lt;lenb($Z549),2,IF(lenb(SUBSTITUTE($Z549,W$1&amp;" (3)",""))&lt;lenb($Z549),3,IF(lenb(SUBSTITUTE($Z549,W$1&amp;" (4)",""))&lt;lenb($Z549),4,IF(lenb(SUBSTITUTE($Z549,W$1&amp;" (5)",""))&lt;lenb($Z549),5,IF(lenb(SUBSTITUTE($Z549,W$1&amp;" (6)",""))&lt;lenb($Z549),6,IF(lenb(SUBSTITUTE($Z549,W$1&amp;" (7)",""))&lt;lenb($Z549),1,IF(lenb(SUBSTITUTE($Z549,W$1&amp;" (8)",""))&lt;lenb($Z549),8,IF(lenb(SUBSTITUTE($Z549,W$1&amp;" (9)",""))&lt;lenb($Z549),9,IF(lenb(SUBSTITUTE($Z549,W$1&amp;" (10)",""))&lt;lenb($Z549),10,IF(lenb(SUBSTITUTE($Z549,W$1,""))&lt;lenb($Z549),"ERROR",IF($Z549=$Y$1,"-",0))))))))))))</f>
        <v>0</v>
      </c>
      <c r="X549" s="116">
        <f t="shared" si="554"/>
        <v>0</v>
      </c>
      <c r="Y549" s="116" t="str">
        <f t="shared" si="4"/>
        <v>-</v>
      </c>
      <c r="Z549" s="115" t="s">
        <v>3452</v>
      </c>
      <c r="AA549" s="54">
        <f t="shared" si="5"/>
        <v>2</v>
      </c>
      <c r="AB549" s="54">
        <f>COUNTIFS(Links!B:B,"FSE",Links!C:C,A549,Links!AD:AD,1)</f>
        <v>0</v>
      </c>
      <c r="AC549" s="117" t="s">
        <v>35</v>
      </c>
      <c r="AD549" s="118" t="s">
        <v>35</v>
      </c>
      <c r="AE549" s="115" t="s">
        <v>36</v>
      </c>
      <c r="AF549" s="57" t="s">
        <v>42</v>
      </c>
      <c r="AG549" s="57" t="s">
        <v>42</v>
      </c>
      <c r="AH549" s="57" t="s">
        <v>42</v>
      </c>
      <c r="AI549" s="116" t="str">
        <f t="shared" si="6"/>
        <v>----</v>
      </c>
      <c r="AJ549" s="119" t="str">
        <f t="shared" si="7"/>
        <v>Paper has link but no statement</v>
      </c>
      <c r="AK549" s="120" t="s">
        <v>3401</v>
      </c>
      <c r="AL549" s="121" t="s">
        <v>3402</v>
      </c>
      <c r="AM549" s="60" t="str">
        <f t="shared" si="8"/>
        <v>[FP0257]</v>
      </c>
    </row>
    <row r="550" ht="67.5" customHeight="1">
      <c r="A550" s="61">
        <v>258.0</v>
      </c>
      <c r="B550" s="22" t="s">
        <v>4844</v>
      </c>
      <c r="C550" s="23">
        <v>2021.0</v>
      </c>
      <c r="D550" s="100" t="s">
        <v>37</v>
      </c>
      <c r="E550" s="25" t="s">
        <v>37</v>
      </c>
      <c r="F550" s="25" t="s">
        <v>35</v>
      </c>
      <c r="G550" s="25" t="s">
        <v>35</v>
      </c>
      <c r="H550" s="25" t="s">
        <v>35</v>
      </c>
      <c r="I550" s="25" t="s">
        <v>35</v>
      </c>
      <c r="J550" s="101" t="s">
        <v>36</v>
      </c>
      <c r="K550" s="102" t="s">
        <v>37</v>
      </c>
      <c r="L550" s="133" t="s">
        <v>37</v>
      </c>
      <c r="M550" s="103" t="s">
        <v>35</v>
      </c>
      <c r="N550" s="133" t="s">
        <v>37</v>
      </c>
      <c r="O550" s="133" t="s">
        <v>37</v>
      </c>
      <c r="P550" s="103" t="s">
        <v>35</v>
      </c>
      <c r="Q550" s="103" t="s">
        <v>35</v>
      </c>
      <c r="R550" s="133" t="s">
        <v>37</v>
      </c>
      <c r="S550" s="104" t="s">
        <v>4845</v>
      </c>
      <c r="T550" s="30" t="s">
        <v>4846</v>
      </c>
      <c r="U550" s="30" t="s">
        <v>4847</v>
      </c>
      <c r="V550" s="105">
        <f t="shared" si="2"/>
        <v>1</v>
      </c>
      <c r="W550" s="105">
        <f t="shared" ref="W550:X550" si="555">IF(lenb(SUBSTITUTE($Z550,W$1&amp;" (1)",""))&lt;lenb($Z550),1,IF(lenb(SUBSTITUTE($Z550,W$1&amp;" (2)",""))&lt;lenb($Z550),2,IF(lenb(SUBSTITUTE($Z550,W$1&amp;" (3)",""))&lt;lenb($Z550),3,IF(lenb(SUBSTITUTE($Z550,W$1&amp;" (4)",""))&lt;lenb($Z550),4,IF(lenb(SUBSTITUTE($Z550,W$1&amp;" (5)",""))&lt;lenb($Z550),5,IF(lenb(SUBSTITUTE($Z550,W$1&amp;" (6)",""))&lt;lenb($Z550),6,IF(lenb(SUBSTITUTE($Z550,W$1&amp;" (7)",""))&lt;lenb($Z550),1,IF(lenb(SUBSTITUTE($Z550,W$1&amp;" (8)",""))&lt;lenb($Z550),8,IF(lenb(SUBSTITUTE($Z550,W$1&amp;" (9)",""))&lt;lenb($Z550),9,IF(lenb(SUBSTITUTE($Z550,W$1&amp;" (10)",""))&lt;lenb($Z550),10,IF(lenb(SUBSTITUTE($Z550,W$1,""))&lt;lenb($Z550),"ERROR",IF($Z550=$Y$1,"-",0))))))))))))</f>
        <v>0</v>
      </c>
      <c r="X550" s="105">
        <f t="shared" si="555"/>
        <v>0</v>
      </c>
      <c r="Y550" s="105" t="str">
        <f t="shared" si="4"/>
        <v>-</v>
      </c>
      <c r="Z550" s="104" t="s">
        <v>3400</v>
      </c>
      <c r="AA550" s="34">
        <f t="shared" si="5"/>
        <v>1</v>
      </c>
      <c r="AB550" s="34">
        <f>COUNTIFS(Links!B:B,"FSE",Links!C:C,A550,Links!AD:AD,1)</f>
        <v>0</v>
      </c>
      <c r="AC550" s="106" t="s">
        <v>35</v>
      </c>
      <c r="AD550" s="107" t="s">
        <v>35</v>
      </c>
      <c r="AE550" s="104" t="s">
        <v>36</v>
      </c>
      <c r="AF550" s="37" t="s">
        <v>42</v>
      </c>
      <c r="AG550" s="37" t="s">
        <v>42</v>
      </c>
      <c r="AH550" s="37" t="s">
        <v>42</v>
      </c>
      <c r="AI550" s="105" t="str">
        <f t="shared" si="6"/>
        <v>----</v>
      </c>
      <c r="AJ550" s="108" t="str">
        <f t="shared" si="7"/>
        <v>Paper has link but no statement</v>
      </c>
      <c r="AK550" s="109" t="s">
        <v>3401</v>
      </c>
      <c r="AL550" s="110" t="s">
        <v>3402</v>
      </c>
      <c r="AM550" s="40" t="str">
        <f t="shared" si="8"/>
        <v>[FP0258]</v>
      </c>
    </row>
    <row r="551" ht="67.5" customHeight="1">
      <c r="A551" s="41">
        <v>259.0</v>
      </c>
      <c r="B551" s="42" t="s">
        <v>4848</v>
      </c>
      <c r="C551" s="43">
        <v>2021.0</v>
      </c>
      <c r="D551" s="111" t="s">
        <v>35</v>
      </c>
      <c r="E551" s="45" t="s">
        <v>36</v>
      </c>
      <c r="F551" s="45" t="s">
        <v>36</v>
      </c>
      <c r="G551" s="45" t="s">
        <v>36</v>
      </c>
      <c r="H551" s="45" t="s">
        <v>36</v>
      </c>
      <c r="I551" s="45" t="s">
        <v>36</v>
      </c>
      <c r="J551" s="112" t="s">
        <v>36</v>
      </c>
      <c r="K551" s="113" t="s">
        <v>37</v>
      </c>
      <c r="L551" s="131" t="s">
        <v>37</v>
      </c>
      <c r="M551" s="131" t="s">
        <v>37</v>
      </c>
      <c r="N551" s="114" t="s">
        <v>35</v>
      </c>
      <c r="O551" s="114" t="s">
        <v>35</v>
      </c>
      <c r="P551" s="114" t="s">
        <v>35</v>
      </c>
      <c r="Q551" s="114" t="s">
        <v>35</v>
      </c>
      <c r="R551" s="131" t="s">
        <v>37</v>
      </c>
      <c r="S551" s="115" t="s">
        <v>4849</v>
      </c>
      <c r="T551" s="50" t="s">
        <v>4850</v>
      </c>
      <c r="U551" s="50" t="s">
        <v>4850</v>
      </c>
      <c r="V551" s="116">
        <f t="shared" si="2"/>
        <v>1</v>
      </c>
      <c r="W551" s="116">
        <f t="shared" ref="W551:X551" si="556">IF(lenb(SUBSTITUTE($Z551,W$1&amp;" (1)",""))&lt;lenb($Z551),1,IF(lenb(SUBSTITUTE($Z551,W$1&amp;" (2)",""))&lt;lenb($Z551),2,IF(lenb(SUBSTITUTE($Z551,W$1&amp;" (3)",""))&lt;lenb($Z551),3,IF(lenb(SUBSTITUTE($Z551,W$1&amp;" (4)",""))&lt;lenb($Z551),4,IF(lenb(SUBSTITUTE($Z551,W$1&amp;" (5)",""))&lt;lenb($Z551),5,IF(lenb(SUBSTITUTE($Z551,W$1&amp;" (6)",""))&lt;lenb($Z551),6,IF(lenb(SUBSTITUTE($Z551,W$1&amp;" (7)",""))&lt;lenb($Z551),1,IF(lenb(SUBSTITUTE($Z551,W$1&amp;" (8)",""))&lt;lenb($Z551),8,IF(lenb(SUBSTITUTE($Z551,W$1&amp;" (9)",""))&lt;lenb($Z551),9,IF(lenb(SUBSTITUTE($Z551,W$1&amp;" (10)",""))&lt;lenb($Z551),10,IF(lenb(SUBSTITUTE($Z551,W$1,""))&lt;lenb($Z551),"ERROR",IF($Z551=$Y$1,"-",0))))))))))))</f>
        <v>0</v>
      </c>
      <c r="X551" s="116">
        <f t="shared" si="556"/>
        <v>0</v>
      </c>
      <c r="Y551" s="116" t="str">
        <f t="shared" si="4"/>
        <v>-</v>
      </c>
      <c r="Z551" s="115" t="s">
        <v>3400</v>
      </c>
      <c r="AA551" s="54">
        <f t="shared" si="5"/>
        <v>1</v>
      </c>
      <c r="AB551" s="54">
        <f>COUNTIFS(Links!B:B,"FSE",Links!C:C,A551,Links!AD:AD,1)</f>
        <v>0</v>
      </c>
      <c r="AC551" s="117" t="s">
        <v>37</v>
      </c>
      <c r="AD551" s="118" t="s">
        <v>35</v>
      </c>
      <c r="AE551" s="115" t="s">
        <v>36</v>
      </c>
      <c r="AF551" s="57" t="s">
        <v>42</v>
      </c>
      <c r="AG551" s="57" t="s">
        <v>42</v>
      </c>
      <c r="AH551" s="57" t="s">
        <v>42</v>
      </c>
      <c r="AI551" s="116" t="str">
        <f t="shared" si="6"/>
        <v>----</v>
      </c>
      <c r="AJ551" s="119" t="str">
        <f t="shared" si="7"/>
        <v>Paper has link but no statement</v>
      </c>
      <c r="AK551" s="120" t="s">
        <v>3401</v>
      </c>
      <c r="AL551" s="121" t="s">
        <v>3402</v>
      </c>
      <c r="AM551" s="60" t="str">
        <f t="shared" si="8"/>
        <v>[FP0259]</v>
      </c>
    </row>
    <row r="552" ht="67.5" customHeight="1">
      <c r="A552" s="61">
        <v>260.0</v>
      </c>
      <c r="B552" s="22" t="s">
        <v>4851</v>
      </c>
      <c r="C552" s="23">
        <v>2021.0</v>
      </c>
      <c r="D552" s="100" t="s">
        <v>35</v>
      </c>
      <c r="E552" s="25" t="s">
        <v>36</v>
      </c>
      <c r="F552" s="25" t="s">
        <v>36</v>
      </c>
      <c r="G552" s="25" t="s">
        <v>36</v>
      </c>
      <c r="H552" s="25" t="s">
        <v>36</v>
      </c>
      <c r="I552" s="25" t="s">
        <v>36</v>
      </c>
      <c r="J552" s="101" t="s">
        <v>36</v>
      </c>
      <c r="K552" s="102" t="s">
        <v>37</v>
      </c>
      <c r="L552" s="103" t="s">
        <v>37</v>
      </c>
      <c r="M552" s="103" t="s">
        <v>35</v>
      </c>
      <c r="N552" s="103" t="s">
        <v>37</v>
      </c>
      <c r="O552" s="103" t="s">
        <v>35</v>
      </c>
      <c r="P552" s="103" t="s">
        <v>35</v>
      </c>
      <c r="Q552" s="103" t="s">
        <v>35</v>
      </c>
      <c r="R552" s="103" t="s">
        <v>35</v>
      </c>
      <c r="S552" s="104" t="s">
        <v>13</v>
      </c>
      <c r="T552" s="30" t="s">
        <v>4852</v>
      </c>
      <c r="U552" s="30" t="s">
        <v>4852</v>
      </c>
      <c r="V552" s="105">
        <f t="shared" si="2"/>
        <v>1</v>
      </c>
      <c r="W552" s="105">
        <f t="shared" ref="W552:X552" si="557">IF(lenb(SUBSTITUTE($Z552,W$1&amp;" (1)",""))&lt;lenb($Z552),1,IF(lenb(SUBSTITUTE($Z552,W$1&amp;" (2)",""))&lt;lenb($Z552),2,IF(lenb(SUBSTITUTE($Z552,W$1&amp;" (3)",""))&lt;lenb($Z552),3,IF(lenb(SUBSTITUTE($Z552,W$1&amp;" (4)",""))&lt;lenb($Z552),4,IF(lenb(SUBSTITUTE($Z552,W$1&amp;" (5)",""))&lt;lenb($Z552),5,IF(lenb(SUBSTITUTE($Z552,W$1&amp;" (6)",""))&lt;lenb($Z552),6,IF(lenb(SUBSTITUTE($Z552,W$1&amp;" (7)",""))&lt;lenb($Z552),1,IF(lenb(SUBSTITUTE($Z552,W$1&amp;" (8)",""))&lt;lenb($Z552),8,IF(lenb(SUBSTITUTE($Z552,W$1&amp;" (9)",""))&lt;lenb($Z552),9,IF(lenb(SUBSTITUTE($Z552,W$1&amp;" (10)",""))&lt;lenb($Z552),10,IF(lenb(SUBSTITUTE($Z552,W$1,""))&lt;lenb($Z552),"ERROR",IF($Z552=$Y$1,"-",0))))))))))))</f>
        <v>0</v>
      </c>
      <c r="X552" s="105">
        <f t="shared" si="557"/>
        <v>0</v>
      </c>
      <c r="Y552" s="105" t="str">
        <f t="shared" si="4"/>
        <v>-</v>
      </c>
      <c r="Z552" s="104" t="s">
        <v>3400</v>
      </c>
      <c r="AA552" s="34">
        <f t="shared" si="5"/>
        <v>1</v>
      </c>
      <c r="AB552" s="34">
        <f>COUNTIFS(Links!B:B,"FSE",Links!C:C,A552,Links!AD:AD,1)</f>
        <v>0</v>
      </c>
      <c r="AC552" s="106" t="s">
        <v>35</v>
      </c>
      <c r="AD552" s="107" t="s">
        <v>35</v>
      </c>
      <c r="AE552" s="104" t="s">
        <v>36</v>
      </c>
      <c r="AF552" s="37" t="s">
        <v>42</v>
      </c>
      <c r="AG552" s="37" t="s">
        <v>42</v>
      </c>
      <c r="AH552" s="37" t="s">
        <v>42</v>
      </c>
      <c r="AI552" s="105" t="str">
        <f t="shared" si="6"/>
        <v>----</v>
      </c>
      <c r="AJ552" s="108" t="str">
        <f t="shared" si="7"/>
        <v>Paper has link but no statement</v>
      </c>
      <c r="AK552" s="109" t="s">
        <v>3401</v>
      </c>
      <c r="AL552" s="110" t="s">
        <v>3402</v>
      </c>
      <c r="AM552" s="40" t="str">
        <f t="shared" si="8"/>
        <v>[FP0260]</v>
      </c>
    </row>
    <row r="553" ht="67.5" customHeight="1">
      <c r="A553" s="41">
        <v>261.0</v>
      </c>
      <c r="B553" s="42" t="s">
        <v>4853</v>
      </c>
      <c r="C553" s="43">
        <v>2021.0</v>
      </c>
      <c r="D553" s="111" t="s">
        <v>35</v>
      </c>
      <c r="E553" s="45" t="s">
        <v>36</v>
      </c>
      <c r="F553" s="45" t="s">
        <v>36</v>
      </c>
      <c r="G553" s="45" t="s">
        <v>36</v>
      </c>
      <c r="H553" s="45" t="s">
        <v>36</v>
      </c>
      <c r="I553" s="45" t="s">
        <v>36</v>
      </c>
      <c r="J553" s="112" t="s">
        <v>36</v>
      </c>
      <c r="K553" s="113" t="s">
        <v>37</v>
      </c>
      <c r="L553" s="131" t="s">
        <v>37</v>
      </c>
      <c r="M553" s="114" t="s">
        <v>35</v>
      </c>
      <c r="N553" s="131" t="s">
        <v>37</v>
      </c>
      <c r="O553" s="114" t="s">
        <v>35</v>
      </c>
      <c r="P553" s="114" t="s">
        <v>35</v>
      </c>
      <c r="Q553" s="114" t="s">
        <v>35</v>
      </c>
      <c r="R553" s="114" t="s">
        <v>35</v>
      </c>
      <c r="S553" s="115" t="s">
        <v>13</v>
      </c>
      <c r="T553" s="50" t="s">
        <v>4854</v>
      </c>
      <c r="U553" s="50" t="s">
        <v>4854</v>
      </c>
      <c r="V553" s="116">
        <f t="shared" si="2"/>
        <v>1</v>
      </c>
      <c r="W553" s="116">
        <f t="shared" ref="W553:X553" si="558">IF(lenb(SUBSTITUTE($Z553,W$1&amp;" (1)",""))&lt;lenb($Z553),1,IF(lenb(SUBSTITUTE($Z553,W$1&amp;" (2)",""))&lt;lenb($Z553),2,IF(lenb(SUBSTITUTE($Z553,W$1&amp;" (3)",""))&lt;lenb($Z553),3,IF(lenb(SUBSTITUTE($Z553,W$1&amp;" (4)",""))&lt;lenb($Z553),4,IF(lenb(SUBSTITUTE($Z553,W$1&amp;" (5)",""))&lt;lenb($Z553),5,IF(lenb(SUBSTITUTE($Z553,W$1&amp;" (6)",""))&lt;lenb($Z553),6,IF(lenb(SUBSTITUTE($Z553,W$1&amp;" (7)",""))&lt;lenb($Z553),1,IF(lenb(SUBSTITUTE($Z553,W$1&amp;" (8)",""))&lt;lenb($Z553),8,IF(lenb(SUBSTITUTE($Z553,W$1&amp;" (9)",""))&lt;lenb($Z553),9,IF(lenb(SUBSTITUTE($Z553,W$1&amp;" (10)",""))&lt;lenb($Z553),10,IF(lenb(SUBSTITUTE($Z553,W$1,""))&lt;lenb($Z553),"ERROR",IF($Z553=$Y$1,"-",0))))))))))))</f>
        <v>0</v>
      </c>
      <c r="X553" s="116">
        <f t="shared" si="558"/>
        <v>0</v>
      </c>
      <c r="Y553" s="116" t="str">
        <f t="shared" si="4"/>
        <v>-</v>
      </c>
      <c r="Z553" s="115" t="s">
        <v>3400</v>
      </c>
      <c r="AA553" s="54">
        <f t="shared" si="5"/>
        <v>1</v>
      </c>
      <c r="AB553" s="54">
        <f>COUNTIFS(Links!B:B,"FSE",Links!C:C,A553,Links!AD:AD,1)</f>
        <v>0</v>
      </c>
      <c r="AC553" s="117" t="s">
        <v>35</v>
      </c>
      <c r="AD553" s="118" t="s">
        <v>35</v>
      </c>
      <c r="AE553" s="115" t="s">
        <v>36</v>
      </c>
      <c r="AF553" s="57" t="s">
        <v>42</v>
      </c>
      <c r="AG553" s="57" t="s">
        <v>42</v>
      </c>
      <c r="AH553" s="57" t="s">
        <v>42</v>
      </c>
      <c r="AI553" s="116" t="str">
        <f t="shared" si="6"/>
        <v>----</v>
      </c>
      <c r="AJ553" s="119" t="str">
        <f t="shared" si="7"/>
        <v>Paper has link but no statement</v>
      </c>
      <c r="AK553" s="120" t="s">
        <v>3401</v>
      </c>
      <c r="AL553" s="121" t="s">
        <v>3402</v>
      </c>
      <c r="AM553" s="60" t="str">
        <f t="shared" si="8"/>
        <v>[FP0261]</v>
      </c>
    </row>
    <row r="554" ht="67.5" customHeight="1">
      <c r="A554" s="61">
        <v>262.0</v>
      </c>
      <c r="B554" s="22" t="s">
        <v>4855</v>
      </c>
      <c r="C554" s="23">
        <v>2021.0</v>
      </c>
      <c r="D554" s="100" t="s">
        <v>37</v>
      </c>
      <c r="E554" s="25" t="s">
        <v>37</v>
      </c>
      <c r="F554" s="25" t="s">
        <v>35</v>
      </c>
      <c r="G554" s="25" t="s">
        <v>35</v>
      </c>
      <c r="H554" s="25" t="s">
        <v>35</v>
      </c>
      <c r="I554" s="25" t="s">
        <v>35</v>
      </c>
      <c r="J554" s="101" t="s">
        <v>36</v>
      </c>
      <c r="K554" s="102" t="s">
        <v>37</v>
      </c>
      <c r="L554" s="103" t="s">
        <v>35</v>
      </c>
      <c r="M554" s="103" t="s">
        <v>35</v>
      </c>
      <c r="N554" s="103" t="s">
        <v>35</v>
      </c>
      <c r="O554" s="103" t="s">
        <v>35</v>
      </c>
      <c r="P554" s="133" t="s">
        <v>37</v>
      </c>
      <c r="Q554" s="103" t="s">
        <v>35</v>
      </c>
      <c r="R554" s="133" t="s">
        <v>37</v>
      </c>
      <c r="S554" s="104" t="s">
        <v>4856</v>
      </c>
      <c r="T554" s="30" t="s">
        <v>4857</v>
      </c>
      <c r="U554" s="30" t="s">
        <v>4857</v>
      </c>
      <c r="V554" s="105">
        <f t="shared" si="2"/>
        <v>1</v>
      </c>
      <c r="W554" s="105">
        <f t="shared" ref="W554:X554" si="559">IF(lenb(SUBSTITUTE($Z554,W$1&amp;" (1)",""))&lt;lenb($Z554),1,IF(lenb(SUBSTITUTE($Z554,W$1&amp;" (2)",""))&lt;lenb($Z554),2,IF(lenb(SUBSTITUTE($Z554,W$1&amp;" (3)",""))&lt;lenb($Z554),3,IF(lenb(SUBSTITUTE($Z554,W$1&amp;" (4)",""))&lt;lenb($Z554),4,IF(lenb(SUBSTITUTE($Z554,W$1&amp;" (5)",""))&lt;lenb($Z554),5,IF(lenb(SUBSTITUTE($Z554,W$1&amp;" (6)",""))&lt;lenb($Z554),6,IF(lenb(SUBSTITUTE($Z554,W$1&amp;" (7)",""))&lt;lenb($Z554),1,IF(lenb(SUBSTITUTE($Z554,W$1&amp;" (8)",""))&lt;lenb($Z554),8,IF(lenb(SUBSTITUTE($Z554,W$1&amp;" (9)",""))&lt;lenb($Z554),9,IF(lenb(SUBSTITUTE($Z554,W$1&amp;" (10)",""))&lt;lenb($Z554),10,IF(lenb(SUBSTITUTE($Z554,W$1,""))&lt;lenb($Z554),"ERROR",IF($Z554=$Y$1,"-",0))))))))))))</f>
        <v>0</v>
      </c>
      <c r="X554" s="105">
        <f t="shared" si="559"/>
        <v>0</v>
      </c>
      <c r="Y554" s="105" t="str">
        <f t="shared" si="4"/>
        <v>-</v>
      </c>
      <c r="Z554" s="104" t="s">
        <v>3400</v>
      </c>
      <c r="AA554" s="34">
        <f t="shared" si="5"/>
        <v>1</v>
      </c>
      <c r="AB554" s="34">
        <f>COUNTIFS(Links!B:B,"FSE",Links!C:C,A554,Links!AD:AD,1)</f>
        <v>0</v>
      </c>
      <c r="AC554" s="106" t="s">
        <v>35</v>
      </c>
      <c r="AD554" s="107" t="s">
        <v>35</v>
      </c>
      <c r="AE554" s="104" t="s">
        <v>36</v>
      </c>
      <c r="AF554" s="37" t="s">
        <v>42</v>
      </c>
      <c r="AG554" s="37" t="s">
        <v>42</v>
      </c>
      <c r="AH554" s="37" t="s">
        <v>42</v>
      </c>
      <c r="AI554" s="105" t="str">
        <f t="shared" si="6"/>
        <v>----</v>
      </c>
      <c r="AJ554" s="108" t="str">
        <f t="shared" si="7"/>
        <v>Paper has link but no statement</v>
      </c>
      <c r="AK554" s="109" t="s">
        <v>3401</v>
      </c>
      <c r="AL554" s="110" t="s">
        <v>3402</v>
      </c>
      <c r="AM554" s="40" t="str">
        <f t="shared" si="8"/>
        <v>[FP0262]</v>
      </c>
    </row>
    <row r="555" ht="67.5" customHeight="1">
      <c r="A555" s="41">
        <v>263.0</v>
      </c>
      <c r="B555" s="42" t="s">
        <v>4858</v>
      </c>
      <c r="C555" s="43">
        <v>2021.0</v>
      </c>
      <c r="D555" s="111" t="s">
        <v>37</v>
      </c>
      <c r="E555" s="45" t="s">
        <v>37</v>
      </c>
      <c r="F555" s="45" t="s">
        <v>35</v>
      </c>
      <c r="G555" s="45" t="s">
        <v>35</v>
      </c>
      <c r="H555" s="45" t="s">
        <v>35</v>
      </c>
      <c r="I555" s="45" t="s">
        <v>35</v>
      </c>
      <c r="J555" s="112" t="s">
        <v>36</v>
      </c>
      <c r="K555" s="113" t="s">
        <v>37</v>
      </c>
      <c r="L555" s="114" t="s">
        <v>35</v>
      </c>
      <c r="M555" s="114" t="s">
        <v>35</v>
      </c>
      <c r="N555" s="114" t="s">
        <v>37</v>
      </c>
      <c r="O555" s="114" t="s">
        <v>35</v>
      </c>
      <c r="P555" s="114" t="s">
        <v>35</v>
      </c>
      <c r="Q555" s="114" t="s">
        <v>35</v>
      </c>
      <c r="R555" s="114" t="s">
        <v>37</v>
      </c>
      <c r="S555" s="115" t="s">
        <v>13</v>
      </c>
      <c r="T555" s="50" t="s">
        <v>4859</v>
      </c>
      <c r="U555" s="50" t="s">
        <v>4859</v>
      </c>
      <c r="V555" s="116">
        <f t="shared" si="2"/>
        <v>1</v>
      </c>
      <c r="W555" s="116">
        <f t="shared" ref="W555:X555" si="560">IF(lenb(SUBSTITUTE($Z555,W$1&amp;" (1)",""))&lt;lenb($Z555),1,IF(lenb(SUBSTITUTE($Z555,W$1&amp;" (2)",""))&lt;lenb($Z555),2,IF(lenb(SUBSTITUTE($Z555,W$1&amp;" (3)",""))&lt;lenb($Z555),3,IF(lenb(SUBSTITUTE($Z555,W$1&amp;" (4)",""))&lt;lenb($Z555),4,IF(lenb(SUBSTITUTE($Z555,W$1&amp;" (5)",""))&lt;lenb($Z555),5,IF(lenb(SUBSTITUTE($Z555,W$1&amp;" (6)",""))&lt;lenb($Z555),6,IF(lenb(SUBSTITUTE($Z555,W$1&amp;" (7)",""))&lt;lenb($Z555),1,IF(lenb(SUBSTITUTE($Z555,W$1&amp;" (8)",""))&lt;lenb($Z555),8,IF(lenb(SUBSTITUTE($Z555,W$1&amp;" (9)",""))&lt;lenb($Z555),9,IF(lenb(SUBSTITUTE($Z555,W$1&amp;" (10)",""))&lt;lenb($Z555),10,IF(lenb(SUBSTITUTE($Z555,W$1,""))&lt;lenb($Z555),"ERROR",IF($Z555=$Y$1,"-",0))))))))))))</f>
        <v>0</v>
      </c>
      <c r="X555" s="116">
        <f t="shared" si="560"/>
        <v>0</v>
      </c>
      <c r="Y555" s="116" t="str">
        <f t="shared" si="4"/>
        <v>-</v>
      </c>
      <c r="Z555" s="115" t="s">
        <v>3400</v>
      </c>
      <c r="AA555" s="54">
        <f t="shared" si="5"/>
        <v>1</v>
      </c>
      <c r="AB555" s="54">
        <f>COUNTIFS(Links!B:B,"FSE",Links!C:C,A555,Links!AD:AD,1)</f>
        <v>0</v>
      </c>
      <c r="AC555" s="117" t="s">
        <v>35</v>
      </c>
      <c r="AD555" s="118" t="s">
        <v>35</v>
      </c>
      <c r="AE555" s="115" t="s">
        <v>36</v>
      </c>
      <c r="AF555" s="57" t="s">
        <v>42</v>
      </c>
      <c r="AG555" s="57" t="s">
        <v>42</v>
      </c>
      <c r="AH555" s="57" t="s">
        <v>42</v>
      </c>
      <c r="AI555" s="116" t="str">
        <f t="shared" si="6"/>
        <v>----</v>
      </c>
      <c r="AJ555" s="119" t="str">
        <f t="shared" si="7"/>
        <v>Paper has link but no statement</v>
      </c>
      <c r="AK555" s="120" t="s">
        <v>3401</v>
      </c>
      <c r="AL555" s="121" t="s">
        <v>3402</v>
      </c>
      <c r="AM555" s="60" t="str">
        <f t="shared" si="8"/>
        <v>[FP0263]</v>
      </c>
    </row>
    <row r="556" ht="67.5" customHeight="1">
      <c r="A556" s="61">
        <v>264.0</v>
      </c>
      <c r="B556" s="22" t="s">
        <v>4860</v>
      </c>
      <c r="C556" s="23">
        <v>2021.0</v>
      </c>
      <c r="D556" s="100" t="s">
        <v>35</v>
      </c>
      <c r="E556" s="25" t="s">
        <v>36</v>
      </c>
      <c r="F556" s="25" t="s">
        <v>36</v>
      </c>
      <c r="G556" s="25" t="s">
        <v>36</v>
      </c>
      <c r="H556" s="25" t="s">
        <v>36</v>
      </c>
      <c r="I556" s="25" t="s">
        <v>36</v>
      </c>
      <c r="J556" s="101" t="s">
        <v>36</v>
      </c>
      <c r="K556" s="102" t="s">
        <v>37</v>
      </c>
      <c r="L556" s="103" t="s">
        <v>37</v>
      </c>
      <c r="M556" s="103" t="s">
        <v>35</v>
      </c>
      <c r="N556" s="103" t="s">
        <v>37</v>
      </c>
      <c r="O556" s="103" t="s">
        <v>35</v>
      </c>
      <c r="P556" s="103" t="s">
        <v>35</v>
      </c>
      <c r="Q556" s="103" t="s">
        <v>35</v>
      </c>
      <c r="R556" s="103" t="s">
        <v>35</v>
      </c>
      <c r="S556" s="104" t="s">
        <v>13</v>
      </c>
      <c r="T556" s="30" t="s">
        <v>4861</v>
      </c>
      <c r="U556" s="30" t="s">
        <v>4861</v>
      </c>
      <c r="V556" s="105">
        <f t="shared" si="2"/>
        <v>1</v>
      </c>
      <c r="W556" s="105">
        <f t="shared" ref="W556:X556" si="561">IF(lenb(SUBSTITUTE($Z556,W$1&amp;" (1)",""))&lt;lenb($Z556),1,IF(lenb(SUBSTITUTE($Z556,W$1&amp;" (2)",""))&lt;lenb($Z556),2,IF(lenb(SUBSTITUTE($Z556,W$1&amp;" (3)",""))&lt;lenb($Z556),3,IF(lenb(SUBSTITUTE($Z556,W$1&amp;" (4)",""))&lt;lenb($Z556),4,IF(lenb(SUBSTITUTE($Z556,W$1&amp;" (5)",""))&lt;lenb($Z556),5,IF(lenb(SUBSTITUTE($Z556,W$1&amp;" (6)",""))&lt;lenb($Z556),6,IF(lenb(SUBSTITUTE($Z556,W$1&amp;" (7)",""))&lt;lenb($Z556),1,IF(lenb(SUBSTITUTE($Z556,W$1&amp;" (8)",""))&lt;lenb($Z556),8,IF(lenb(SUBSTITUTE($Z556,W$1&amp;" (9)",""))&lt;lenb($Z556),9,IF(lenb(SUBSTITUTE($Z556,W$1&amp;" (10)",""))&lt;lenb($Z556),10,IF(lenb(SUBSTITUTE($Z556,W$1,""))&lt;lenb($Z556),"ERROR",IF($Z556=$Y$1,"-",0))))))))))))</f>
        <v>0</v>
      </c>
      <c r="X556" s="105">
        <f t="shared" si="561"/>
        <v>0</v>
      </c>
      <c r="Y556" s="105" t="str">
        <f t="shared" si="4"/>
        <v>-</v>
      </c>
      <c r="Z556" s="104" t="s">
        <v>3400</v>
      </c>
      <c r="AA556" s="34">
        <f t="shared" si="5"/>
        <v>1</v>
      </c>
      <c r="AB556" s="34">
        <f>COUNTIFS(Links!B:B,"FSE",Links!C:C,A556,Links!AD:AD,1)</f>
        <v>0</v>
      </c>
      <c r="AC556" s="106" t="s">
        <v>35</v>
      </c>
      <c r="AD556" s="107" t="s">
        <v>35</v>
      </c>
      <c r="AE556" s="104" t="s">
        <v>36</v>
      </c>
      <c r="AF556" s="37" t="s">
        <v>42</v>
      </c>
      <c r="AG556" s="37" t="s">
        <v>42</v>
      </c>
      <c r="AH556" s="37" t="s">
        <v>42</v>
      </c>
      <c r="AI556" s="105" t="str">
        <f t="shared" si="6"/>
        <v>----</v>
      </c>
      <c r="AJ556" s="108" t="str">
        <f t="shared" si="7"/>
        <v>Paper has link but no statement</v>
      </c>
      <c r="AK556" s="109" t="s">
        <v>3401</v>
      </c>
      <c r="AL556" s="110" t="s">
        <v>3402</v>
      </c>
      <c r="AM556" s="40" t="str">
        <f t="shared" si="8"/>
        <v>[FP0264]</v>
      </c>
    </row>
    <row r="557" ht="67.5" customHeight="1">
      <c r="A557" s="41">
        <v>265.0</v>
      </c>
      <c r="B557" s="42" t="s">
        <v>4862</v>
      </c>
      <c r="C557" s="43">
        <v>2021.0</v>
      </c>
      <c r="D557" s="111" t="s">
        <v>37</v>
      </c>
      <c r="E557" s="45" t="s">
        <v>37</v>
      </c>
      <c r="F557" s="45" t="s">
        <v>35</v>
      </c>
      <c r="G557" s="45" t="s">
        <v>37</v>
      </c>
      <c r="H557" s="45" t="s">
        <v>35</v>
      </c>
      <c r="I557" s="45" t="s">
        <v>35</v>
      </c>
      <c r="J557" s="112" t="s">
        <v>36</v>
      </c>
      <c r="K557" s="113" t="s">
        <v>37</v>
      </c>
      <c r="L557" s="131" t="s">
        <v>37</v>
      </c>
      <c r="M557" s="114" t="s">
        <v>35</v>
      </c>
      <c r="N557" s="131" t="s">
        <v>37</v>
      </c>
      <c r="O557" s="114" t="s">
        <v>35</v>
      </c>
      <c r="P557" s="114" t="s">
        <v>35</v>
      </c>
      <c r="Q557" s="114" t="s">
        <v>35</v>
      </c>
      <c r="R557" s="131" t="s">
        <v>37</v>
      </c>
      <c r="S557" s="115" t="s">
        <v>13</v>
      </c>
      <c r="T557" s="50" t="s">
        <v>4863</v>
      </c>
      <c r="U557" s="50" t="s">
        <v>4863</v>
      </c>
      <c r="V557" s="116">
        <f t="shared" si="2"/>
        <v>2</v>
      </c>
      <c r="W557" s="116">
        <f t="shared" ref="W557:X557" si="562">IF(lenb(SUBSTITUTE($Z557,W$1&amp;" (1)",""))&lt;lenb($Z557),1,IF(lenb(SUBSTITUTE($Z557,W$1&amp;" (2)",""))&lt;lenb($Z557),2,IF(lenb(SUBSTITUTE($Z557,W$1&amp;" (3)",""))&lt;lenb($Z557),3,IF(lenb(SUBSTITUTE($Z557,W$1&amp;" (4)",""))&lt;lenb($Z557),4,IF(lenb(SUBSTITUTE($Z557,W$1&amp;" (5)",""))&lt;lenb($Z557),5,IF(lenb(SUBSTITUTE($Z557,W$1&amp;" (6)",""))&lt;lenb($Z557),6,IF(lenb(SUBSTITUTE($Z557,W$1&amp;" (7)",""))&lt;lenb($Z557),1,IF(lenb(SUBSTITUTE($Z557,W$1&amp;" (8)",""))&lt;lenb($Z557),8,IF(lenb(SUBSTITUTE($Z557,W$1&amp;" (9)",""))&lt;lenb($Z557),9,IF(lenb(SUBSTITUTE($Z557,W$1&amp;" (10)",""))&lt;lenb($Z557),10,IF(lenb(SUBSTITUTE($Z557,W$1,""))&lt;lenb($Z557),"ERROR",IF($Z557=$Y$1,"-",0))))))))))))</f>
        <v>0</v>
      </c>
      <c r="X557" s="116">
        <f t="shared" si="562"/>
        <v>0</v>
      </c>
      <c r="Y557" s="116" t="str">
        <f t="shared" si="4"/>
        <v>-</v>
      </c>
      <c r="Z557" s="115" t="s">
        <v>3452</v>
      </c>
      <c r="AA557" s="54">
        <f t="shared" si="5"/>
        <v>2</v>
      </c>
      <c r="AB557" s="54">
        <f>COUNTIFS(Links!B:B,"FSE",Links!C:C,A557,Links!AD:AD,1)</f>
        <v>0</v>
      </c>
      <c r="AC557" s="117" t="s">
        <v>37</v>
      </c>
      <c r="AD557" s="118" t="s">
        <v>35</v>
      </c>
      <c r="AE557" s="115" t="s">
        <v>36</v>
      </c>
      <c r="AF557" s="57" t="s">
        <v>42</v>
      </c>
      <c r="AG557" s="57" t="s">
        <v>42</v>
      </c>
      <c r="AH557" s="57" t="s">
        <v>42</v>
      </c>
      <c r="AI557" s="116" t="str">
        <f t="shared" si="6"/>
        <v>----</v>
      </c>
      <c r="AJ557" s="119" t="str">
        <f t="shared" si="7"/>
        <v>Paper has link but no statement</v>
      </c>
      <c r="AK557" s="120" t="s">
        <v>3401</v>
      </c>
      <c r="AL557" s="121" t="s">
        <v>3402</v>
      </c>
      <c r="AM557" s="60" t="str">
        <f t="shared" si="8"/>
        <v>[FP0265]</v>
      </c>
    </row>
    <row r="558" ht="67.5" customHeight="1">
      <c r="A558" s="61">
        <v>266.0</v>
      </c>
      <c r="B558" s="22" t="s">
        <v>4864</v>
      </c>
      <c r="C558" s="23">
        <v>2021.0</v>
      </c>
      <c r="D558" s="100" t="s">
        <v>35</v>
      </c>
      <c r="E558" s="25" t="s">
        <v>36</v>
      </c>
      <c r="F558" s="25" t="s">
        <v>36</v>
      </c>
      <c r="G558" s="25" t="s">
        <v>36</v>
      </c>
      <c r="H558" s="25" t="s">
        <v>36</v>
      </c>
      <c r="I558" s="25" t="s">
        <v>36</v>
      </c>
      <c r="J558" s="101" t="s">
        <v>36</v>
      </c>
      <c r="K558" s="102" t="s">
        <v>37</v>
      </c>
      <c r="L558" s="133" t="s">
        <v>37</v>
      </c>
      <c r="M558" s="133" t="s">
        <v>37</v>
      </c>
      <c r="N558" s="103" t="s">
        <v>35</v>
      </c>
      <c r="O558" s="103" t="s">
        <v>35</v>
      </c>
      <c r="P558" s="103" t="s">
        <v>35</v>
      </c>
      <c r="Q558" s="133" t="s">
        <v>37</v>
      </c>
      <c r="R558" s="133" t="s">
        <v>37</v>
      </c>
      <c r="S558" s="104" t="s">
        <v>4865</v>
      </c>
      <c r="T558" s="30" t="s">
        <v>4866</v>
      </c>
      <c r="U558" s="30" t="s">
        <v>4867</v>
      </c>
      <c r="V558" s="105">
        <f t="shared" si="2"/>
        <v>1</v>
      </c>
      <c r="W558" s="105">
        <f t="shared" ref="W558:X558" si="563">IF(lenb(SUBSTITUTE($Z558,W$1&amp;" (1)",""))&lt;lenb($Z558),1,IF(lenb(SUBSTITUTE($Z558,W$1&amp;" (2)",""))&lt;lenb($Z558),2,IF(lenb(SUBSTITUTE($Z558,W$1&amp;" (3)",""))&lt;lenb($Z558),3,IF(lenb(SUBSTITUTE($Z558,W$1&amp;" (4)",""))&lt;lenb($Z558),4,IF(lenb(SUBSTITUTE($Z558,W$1&amp;" (5)",""))&lt;lenb($Z558),5,IF(lenb(SUBSTITUTE($Z558,W$1&amp;" (6)",""))&lt;lenb($Z558),6,IF(lenb(SUBSTITUTE($Z558,W$1&amp;" (7)",""))&lt;lenb($Z558),1,IF(lenb(SUBSTITUTE($Z558,W$1&amp;" (8)",""))&lt;lenb($Z558),8,IF(lenb(SUBSTITUTE($Z558,W$1&amp;" (9)",""))&lt;lenb($Z558),9,IF(lenb(SUBSTITUTE($Z558,W$1&amp;" (10)",""))&lt;lenb($Z558),10,IF(lenb(SUBSTITUTE($Z558,W$1,""))&lt;lenb($Z558),"ERROR",IF($Z558=$Y$1,"-",0))))))))))))</f>
        <v>0</v>
      </c>
      <c r="X558" s="105">
        <f t="shared" si="563"/>
        <v>0</v>
      </c>
      <c r="Y558" s="105" t="str">
        <f t="shared" si="4"/>
        <v>-</v>
      </c>
      <c r="Z558" s="104" t="s">
        <v>3400</v>
      </c>
      <c r="AA558" s="34">
        <f t="shared" si="5"/>
        <v>1</v>
      </c>
      <c r="AB558" s="34">
        <f>COUNTIFS(Links!B:B,"FSE",Links!C:C,A558,Links!AD:AD,1)</f>
        <v>0</v>
      </c>
      <c r="AC558" s="106" t="s">
        <v>35</v>
      </c>
      <c r="AD558" s="107" t="s">
        <v>35</v>
      </c>
      <c r="AE558" s="104" t="s">
        <v>36</v>
      </c>
      <c r="AF558" s="37" t="s">
        <v>42</v>
      </c>
      <c r="AG558" s="37" t="s">
        <v>42</v>
      </c>
      <c r="AH558" s="37" t="s">
        <v>42</v>
      </c>
      <c r="AI558" s="105" t="str">
        <f t="shared" si="6"/>
        <v>----</v>
      </c>
      <c r="AJ558" s="108" t="str">
        <f t="shared" si="7"/>
        <v>Paper has link but no statement</v>
      </c>
      <c r="AK558" s="109" t="s">
        <v>3401</v>
      </c>
      <c r="AL558" s="110" t="s">
        <v>3402</v>
      </c>
      <c r="AM558" s="40" t="str">
        <f t="shared" si="8"/>
        <v>[FP0266]</v>
      </c>
    </row>
    <row r="559" ht="67.5" customHeight="1">
      <c r="A559" s="41">
        <v>267.0</v>
      </c>
      <c r="B559" s="42" t="s">
        <v>4868</v>
      </c>
      <c r="C559" s="43">
        <v>2021.0</v>
      </c>
      <c r="D559" s="111" t="s">
        <v>37</v>
      </c>
      <c r="E559" s="45" t="s">
        <v>37</v>
      </c>
      <c r="F559" s="45" t="s">
        <v>35</v>
      </c>
      <c r="G559" s="45" t="s">
        <v>37</v>
      </c>
      <c r="H559" s="45" t="s">
        <v>35</v>
      </c>
      <c r="I559" s="45" t="s">
        <v>35</v>
      </c>
      <c r="J559" s="112" t="s">
        <v>36</v>
      </c>
      <c r="K559" s="113" t="s">
        <v>37</v>
      </c>
      <c r="L559" s="114" t="s">
        <v>35</v>
      </c>
      <c r="M559" s="114" t="s">
        <v>35</v>
      </c>
      <c r="N559" s="114" t="s">
        <v>37</v>
      </c>
      <c r="O559" s="114" t="s">
        <v>35</v>
      </c>
      <c r="P559" s="114" t="s">
        <v>35</v>
      </c>
      <c r="Q559" s="114" t="s">
        <v>35</v>
      </c>
      <c r="R559" s="114" t="s">
        <v>37</v>
      </c>
      <c r="S559" s="115" t="s">
        <v>4800</v>
      </c>
      <c r="T559" s="50" t="s">
        <v>4869</v>
      </c>
      <c r="U559" s="50" t="s">
        <v>4869</v>
      </c>
      <c r="V559" s="116">
        <f t="shared" si="2"/>
        <v>0</v>
      </c>
      <c r="W559" s="116">
        <f t="shared" ref="W559:X559" si="564">IF(lenb(SUBSTITUTE($Z559,W$1&amp;" (1)",""))&lt;lenb($Z559),1,IF(lenb(SUBSTITUTE($Z559,W$1&amp;" (2)",""))&lt;lenb($Z559),2,IF(lenb(SUBSTITUTE($Z559,W$1&amp;" (3)",""))&lt;lenb($Z559),3,IF(lenb(SUBSTITUTE($Z559,W$1&amp;" (4)",""))&lt;lenb($Z559),4,IF(lenb(SUBSTITUTE($Z559,W$1&amp;" (5)",""))&lt;lenb($Z559),5,IF(lenb(SUBSTITUTE($Z559,W$1&amp;" (6)",""))&lt;lenb($Z559),6,IF(lenb(SUBSTITUTE($Z559,W$1&amp;" (7)",""))&lt;lenb($Z559),1,IF(lenb(SUBSTITUTE($Z559,W$1&amp;" (8)",""))&lt;lenb($Z559),8,IF(lenb(SUBSTITUTE($Z559,W$1&amp;" (9)",""))&lt;lenb($Z559),9,IF(lenb(SUBSTITUTE($Z559,W$1&amp;" (10)",""))&lt;lenb($Z559),10,IF(lenb(SUBSTITUTE($Z559,W$1,""))&lt;lenb($Z559),"ERROR",IF($Z559=$Y$1,"-",0))))))))))))</f>
        <v>1</v>
      </c>
      <c r="X559" s="116">
        <f t="shared" si="564"/>
        <v>0</v>
      </c>
      <c r="Y559" s="116" t="str">
        <f t="shared" si="4"/>
        <v>-</v>
      </c>
      <c r="Z559" s="115" t="s">
        <v>3423</v>
      </c>
      <c r="AA559" s="54">
        <f t="shared" si="5"/>
        <v>1</v>
      </c>
      <c r="AB559" s="54">
        <f>COUNTIFS(Links!B:B,"FSE",Links!C:C,A559,Links!AD:AD,1)</f>
        <v>0</v>
      </c>
      <c r="AC559" s="117" t="s">
        <v>35</v>
      </c>
      <c r="AD559" s="118" t="s">
        <v>35</v>
      </c>
      <c r="AE559" s="115" t="s">
        <v>36</v>
      </c>
      <c r="AF559" s="57" t="s">
        <v>42</v>
      </c>
      <c r="AG559" s="57" t="s">
        <v>42</v>
      </c>
      <c r="AH559" s="57" t="s">
        <v>42</v>
      </c>
      <c r="AI559" s="116" t="str">
        <f t="shared" si="6"/>
        <v>----</v>
      </c>
      <c r="AJ559" s="119" t="str">
        <f t="shared" si="7"/>
        <v>Paper has link but no statement</v>
      </c>
      <c r="AK559" s="120" t="s">
        <v>3401</v>
      </c>
      <c r="AL559" s="121" t="s">
        <v>3402</v>
      </c>
      <c r="AM559" s="60" t="str">
        <f t="shared" si="8"/>
        <v>[FP0267]</v>
      </c>
    </row>
    <row r="560" ht="67.5" customHeight="1">
      <c r="A560" s="61">
        <v>268.0</v>
      </c>
      <c r="B560" s="22" t="s">
        <v>4870</v>
      </c>
      <c r="C560" s="23">
        <v>2021.0</v>
      </c>
      <c r="D560" s="100" t="s">
        <v>35</v>
      </c>
      <c r="E560" s="25" t="s">
        <v>36</v>
      </c>
      <c r="F560" s="25" t="s">
        <v>36</v>
      </c>
      <c r="G560" s="25" t="s">
        <v>36</v>
      </c>
      <c r="H560" s="25" t="s">
        <v>36</v>
      </c>
      <c r="I560" s="25" t="s">
        <v>36</v>
      </c>
      <c r="J560" s="101" t="s">
        <v>36</v>
      </c>
      <c r="K560" s="102" t="s">
        <v>37</v>
      </c>
      <c r="L560" s="103" t="s">
        <v>35</v>
      </c>
      <c r="M560" s="103" t="s">
        <v>37</v>
      </c>
      <c r="N560" s="133" t="s">
        <v>37</v>
      </c>
      <c r="O560" s="103" t="s">
        <v>35</v>
      </c>
      <c r="P560" s="103" t="s">
        <v>35</v>
      </c>
      <c r="Q560" s="103" t="s">
        <v>35</v>
      </c>
      <c r="R560" s="103" t="s">
        <v>37</v>
      </c>
      <c r="S560" s="104" t="s">
        <v>4871</v>
      </c>
      <c r="T560" s="30" t="s">
        <v>4872</v>
      </c>
      <c r="U560" s="30" t="s">
        <v>4872</v>
      </c>
      <c r="V560" s="105">
        <f t="shared" si="2"/>
        <v>1</v>
      </c>
      <c r="W560" s="105">
        <f t="shared" ref="W560:X560" si="565">IF(lenb(SUBSTITUTE($Z560,W$1&amp;" (1)",""))&lt;lenb($Z560),1,IF(lenb(SUBSTITUTE($Z560,W$1&amp;" (2)",""))&lt;lenb($Z560),2,IF(lenb(SUBSTITUTE($Z560,W$1&amp;" (3)",""))&lt;lenb($Z560),3,IF(lenb(SUBSTITUTE($Z560,W$1&amp;" (4)",""))&lt;lenb($Z560),4,IF(lenb(SUBSTITUTE($Z560,W$1&amp;" (5)",""))&lt;lenb($Z560),5,IF(lenb(SUBSTITUTE($Z560,W$1&amp;" (6)",""))&lt;lenb($Z560),6,IF(lenb(SUBSTITUTE($Z560,W$1&amp;" (7)",""))&lt;lenb($Z560),1,IF(lenb(SUBSTITUTE($Z560,W$1&amp;" (8)",""))&lt;lenb($Z560),8,IF(lenb(SUBSTITUTE($Z560,W$1&amp;" (9)",""))&lt;lenb($Z560),9,IF(lenb(SUBSTITUTE($Z560,W$1&amp;" (10)",""))&lt;lenb($Z560),10,IF(lenb(SUBSTITUTE($Z560,W$1,""))&lt;lenb($Z560),"ERROR",IF($Z560=$Y$1,"-",0))))))))))))</f>
        <v>0</v>
      </c>
      <c r="X560" s="105">
        <f t="shared" si="565"/>
        <v>0</v>
      </c>
      <c r="Y560" s="105" t="str">
        <f t="shared" si="4"/>
        <v>-</v>
      </c>
      <c r="Z560" s="104" t="s">
        <v>3400</v>
      </c>
      <c r="AA560" s="34">
        <f t="shared" si="5"/>
        <v>1</v>
      </c>
      <c r="AB560" s="34">
        <f>COUNTIFS(Links!B:B,"FSE",Links!C:C,A560,Links!AD:AD,1)</f>
        <v>0</v>
      </c>
      <c r="AC560" s="106" t="s">
        <v>35</v>
      </c>
      <c r="AD560" s="107" t="s">
        <v>35</v>
      </c>
      <c r="AE560" s="104" t="s">
        <v>36</v>
      </c>
      <c r="AF560" s="37" t="s">
        <v>42</v>
      </c>
      <c r="AG560" s="37" t="s">
        <v>42</v>
      </c>
      <c r="AH560" s="37" t="s">
        <v>42</v>
      </c>
      <c r="AI560" s="105" t="str">
        <f t="shared" si="6"/>
        <v>----</v>
      </c>
      <c r="AJ560" s="108" t="str">
        <f t="shared" si="7"/>
        <v>Paper has link but no statement</v>
      </c>
      <c r="AK560" s="109" t="s">
        <v>3401</v>
      </c>
      <c r="AL560" s="110" t="s">
        <v>3402</v>
      </c>
      <c r="AM560" s="40" t="str">
        <f t="shared" si="8"/>
        <v>[FP0268]</v>
      </c>
    </row>
    <row r="561" ht="67.5" customHeight="1">
      <c r="A561" s="41">
        <v>269.0</v>
      </c>
      <c r="B561" s="42" t="s">
        <v>4873</v>
      </c>
      <c r="C561" s="43">
        <v>2021.0</v>
      </c>
      <c r="D561" s="111" t="s">
        <v>35</v>
      </c>
      <c r="E561" s="45" t="s">
        <v>36</v>
      </c>
      <c r="F561" s="45" t="s">
        <v>36</v>
      </c>
      <c r="G561" s="45" t="s">
        <v>36</v>
      </c>
      <c r="H561" s="45" t="s">
        <v>36</v>
      </c>
      <c r="I561" s="45" t="s">
        <v>36</v>
      </c>
      <c r="J561" s="112" t="s">
        <v>36</v>
      </c>
      <c r="K561" s="113" t="s">
        <v>37</v>
      </c>
      <c r="L561" s="114" t="s">
        <v>35</v>
      </c>
      <c r="M561" s="114" t="s">
        <v>37</v>
      </c>
      <c r="N561" s="114" t="s">
        <v>37</v>
      </c>
      <c r="O561" s="114" t="s">
        <v>35</v>
      </c>
      <c r="P561" s="114" t="s">
        <v>35</v>
      </c>
      <c r="Q561" s="114" t="s">
        <v>35</v>
      </c>
      <c r="R561" s="114" t="s">
        <v>37</v>
      </c>
      <c r="S561" s="115" t="s">
        <v>4874</v>
      </c>
      <c r="T561" s="50" t="s">
        <v>4875</v>
      </c>
      <c r="U561" s="50" t="s">
        <v>4875</v>
      </c>
      <c r="V561" s="116">
        <f t="shared" si="2"/>
        <v>1</v>
      </c>
      <c r="W561" s="116">
        <f t="shared" ref="W561:X561" si="566">IF(lenb(SUBSTITUTE($Z561,W$1&amp;" (1)",""))&lt;lenb($Z561),1,IF(lenb(SUBSTITUTE($Z561,W$1&amp;" (2)",""))&lt;lenb($Z561),2,IF(lenb(SUBSTITUTE($Z561,W$1&amp;" (3)",""))&lt;lenb($Z561),3,IF(lenb(SUBSTITUTE($Z561,W$1&amp;" (4)",""))&lt;lenb($Z561),4,IF(lenb(SUBSTITUTE($Z561,W$1&amp;" (5)",""))&lt;lenb($Z561),5,IF(lenb(SUBSTITUTE($Z561,W$1&amp;" (6)",""))&lt;lenb($Z561),6,IF(lenb(SUBSTITUTE($Z561,W$1&amp;" (7)",""))&lt;lenb($Z561),1,IF(lenb(SUBSTITUTE($Z561,W$1&amp;" (8)",""))&lt;lenb($Z561),8,IF(lenb(SUBSTITUTE($Z561,W$1&amp;" (9)",""))&lt;lenb($Z561),9,IF(lenb(SUBSTITUTE($Z561,W$1&amp;" (10)",""))&lt;lenb($Z561),10,IF(lenb(SUBSTITUTE($Z561,W$1,""))&lt;lenb($Z561),"ERROR",IF($Z561=$Y$1,"-",0))))))))))))</f>
        <v>0</v>
      </c>
      <c r="X561" s="116">
        <f t="shared" si="566"/>
        <v>0</v>
      </c>
      <c r="Y561" s="116" t="str">
        <f t="shared" si="4"/>
        <v>-</v>
      </c>
      <c r="Z561" s="115" t="s">
        <v>3400</v>
      </c>
      <c r="AA561" s="54">
        <f t="shared" si="5"/>
        <v>1</v>
      </c>
      <c r="AB561" s="54">
        <f>COUNTIFS(Links!B:B,"FSE",Links!C:C,A561,Links!AD:AD,1)</f>
        <v>0</v>
      </c>
      <c r="AC561" s="117" t="s">
        <v>35</v>
      </c>
      <c r="AD561" s="118" t="s">
        <v>35</v>
      </c>
      <c r="AE561" s="115" t="s">
        <v>36</v>
      </c>
      <c r="AF561" s="57" t="s">
        <v>42</v>
      </c>
      <c r="AG561" s="57" t="s">
        <v>42</v>
      </c>
      <c r="AH561" s="57" t="s">
        <v>42</v>
      </c>
      <c r="AI561" s="116" t="str">
        <f t="shared" si="6"/>
        <v>----</v>
      </c>
      <c r="AJ561" s="119" t="str">
        <f t="shared" si="7"/>
        <v>Paper has link but no statement</v>
      </c>
      <c r="AK561" s="120" t="s">
        <v>3401</v>
      </c>
      <c r="AL561" s="121" t="s">
        <v>3402</v>
      </c>
      <c r="AM561" s="60" t="str">
        <f t="shared" si="8"/>
        <v>[FP0269]</v>
      </c>
    </row>
    <row r="562" ht="67.5" customHeight="1">
      <c r="A562" s="61">
        <v>270.0</v>
      </c>
      <c r="B562" s="22" t="s">
        <v>4876</v>
      </c>
      <c r="C562" s="23">
        <v>2021.0</v>
      </c>
      <c r="D562" s="100" t="s">
        <v>37</v>
      </c>
      <c r="E562" s="25" t="s">
        <v>37</v>
      </c>
      <c r="F562" s="25" t="s">
        <v>37</v>
      </c>
      <c r="G562" s="25" t="s">
        <v>35</v>
      </c>
      <c r="H562" s="25" t="s">
        <v>35</v>
      </c>
      <c r="I562" s="25" t="s">
        <v>35</v>
      </c>
      <c r="J562" s="101" t="s">
        <v>36</v>
      </c>
      <c r="K562" s="102" t="s">
        <v>37</v>
      </c>
      <c r="L562" s="103" t="s">
        <v>37</v>
      </c>
      <c r="M562" s="103" t="s">
        <v>37</v>
      </c>
      <c r="N562" s="103" t="s">
        <v>35</v>
      </c>
      <c r="O562" s="103" t="s">
        <v>37</v>
      </c>
      <c r="P562" s="103" t="s">
        <v>35</v>
      </c>
      <c r="Q562" s="103" t="s">
        <v>35</v>
      </c>
      <c r="R562" s="103" t="s">
        <v>37</v>
      </c>
      <c r="S562" s="104" t="s">
        <v>4877</v>
      </c>
      <c r="T562" s="30" t="s">
        <v>4878</v>
      </c>
      <c r="U562" s="30" t="s">
        <v>4879</v>
      </c>
      <c r="V562" s="105">
        <f t="shared" si="2"/>
        <v>3</v>
      </c>
      <c r="W562" s="105">
        <f t="shared" ref="W562:X562" si="567">IF(lenb(SUBSTITUTE($Z562,W$1&amp;" (1)",""))&lt;lenb($Z562),1,IF(lenb(SUBSTITUTE($Z562,W$1&amp;" (2)",""))&lt;lenb($Z562),2,IF(lenb(SUBSTITUTE($Z562,W$1&amp;" (3)",""))&lt;lenb($Z562),3,IF(lenb(SUBSTITUTE($Z562,W$1&amp;" (4)",""))&lt;lenb($Z562),4,IF(lenb(SUBSTITUTE($Z562,W$1&amp;" (5)",""))&lt;lenb($Z562),5,IF(lenb(SUBSTITUTE($Z562,W$1&amp;" (6)",""))&lt;lenb($Z562),6,IF(lenb(SUBSTITUTE($Z562,W$1&amp;" (7)",""))&lt;lenb($Z562),1,IF(lenb(SUBSTITUTE($Z562,W$1&amp;" (8)",""))&lt;lenb($Z562),8,IF(lenb(SUBSTITUTE($Z562,W$1&amp;" (9)",""))&lt;lenb($Z562),9,IF(lenb(SUBSTITUTE($Z562,W$1&amp;" (10)",""))&lt;lenb($Z562),10,IF(lenb(SUBSTITUTE($Z562,W$1,""))&lt;lenb($Z562),"ERROR",IF($Z562=$Y$1,"-",0))))))))))))</f>
        <v>0</v>
      </c>
      <c r="X562" s="105">
        <f t="shared" si="567"/>
        <v>0</v>
      </c>
      <c r="Y562" s="105" t="str">
        <f t="shared" si="4"/>
        <v>-</v>
      </c>
      <c r="Z562" s="104" t="s">
        <v>3741</v>
      </c>
      <c r="AA562" s="34">
        <f t="shared" si="5"/>
        <v>3</v>
      </c>
      <c r="AB562" s="34">
        <f>COUNTIFS(Links!B:B,"FSE",Links!C:C,A562,Links!AD:AD,1)</f>
        <v>0</v>
      </c>
      <c r="AC562" s="106" t="s">
        <v>37</v>
      </c>
      <c r="AD562" s="107" t="s">
        <v>35</v>
      </c>
      <c r="AE562" s="104" t="s">
        <v>36</v>
      </c>
      <c r="AF562" s="37" t="s">
        <v>42</v>
      </c>
      <c r="AG562" s="37" t="s">
        <v>42</v>
      </c>
      <c r="AH562" s="37" t="s">
        <v>42</v>
      </c>
      <c r="AI562" s="105" t="str">
        <f t="shared" si="6"/>
        <v>----</v>
      </c>
      <c r="AJ562" s="108" t="str">
        <f t="shared" si="7"/>
        <v>Paper has link but no statement</v>
      </c>
      <c r="AK562" s="109" t="s">
        <v>3401</v>
      </c>
      <c r="AL562" s="110" t="s">
        <v>3402</v>
      </c>
      <c r="AM562" s="40" t="str">
        <f t="shared" si="8"/>
        <v>[FP0270]</v>
      </c>
    </row>
    <row r="563" ht="67.5" customHeight="1">
      <c r="A563" s="41">
        <v>271.0</v>
      </c>
      <c r="B563" s="42" t="s">
        <v>4880</v>
      </c>
      <c r="C563" s="43">
        <v>2021.0</v>
      </c>
      <c r="D563" s="111" t="s">
        <v>37</v>
      </c>
      <c r="E563" s="45" t="s">
        <v>37</v>
      </c>
      <c r="F563" s="45" t="s">
        <v>37</v>
      </c>
      <c r="G563" s="45" t="s">
        <v>35</v>
      </c>
      <c r="H563" s="45" t="s">
        <v>35</v>
      </c>
      <c r="I563" s="45" t="s">
        <v>35</v>
      </c>
      <c r="J563" s="112" t="s">
        <v>36</v>
      </c>
      <c r="K563" s="113" t="s">
        <v>37</v>
      </c>
      <c r="L563" s="114" t="s">
        <v>37</v>
      </c>
      <c r="M563" s="114" t="s">
        <v>35</v>
      </c>
      <c r="N563" s="114" t="s">
        <v>37</v>
      </c>
      <c r="O563" s="114" t="s">
        <v>35</v>
      </c>
      <c r="P563" s="114" t="s">
        <v>35</v>
      </c>
      <c r="Q563" s="114" t="s">
        <v>35</v>
      </c>
      <c r="R563" s="114" t="s">
        <v>37</v>
      </c>
      <c r="S563" s="115" t="s">
        <v>13</v>
      </c>
      <c r="T563" s="50" t="s">
        <v>4881</v>
      </c>
      <c r="U563" s="50" t="s">
        <v>4881</v>
      </c>
      <c r="V563" s="116">
        <f t="shared" si="2"/>
        <v>1</v>
      </c>
      <c r="W563" s="116">
        <f t="shared" ref="W563:X563" si="568">IF(lenb(SUBSTITUTE($Z563,W$1&amp;" (1)",""))&lt;lenb($Z563),1,IF(lenb(SUBSTITUTE($Z563,W$1&amp;" (2)",""))&lt;lenb($Z563),2,IF(lenb(SUBSTITUTE($Z563,W$1&amp;" (3)",""))&lt;lenb($Z563),3,IF(lenb(SUBSTITUTE($Z563,W$1&amp;" (4)",""))&lt;lenb($Z563),4,IF(lenb(SUBSTITUTE($Z563,W$1&amp;" (5)",""))&lt;lenb($Z563),5,IF(lenb(SUBSTITUTE($Z563,W$1&amp;" (6)",""))&lt;lenb($Z563),6,IF(lenb(SUBSTITUTE($Z563,W$1&amp;" (7)",""))&lt;lenb($Z563),1,IF(lenb(SUBSTITUTE($Z563,W$1&amp;" (8)",""))&lt;lenb($Z563),8,IF(lenb(SUBSTITUTE($Z563,W$1&amp;" (9)",""))&lt;lenb($Z563),9,IF(lenb(SUBSTITUTE($Z563,W$1&amp;" (10)",""))&lt;lenb($Z563),10,IF(lenb(SUBSTITUTE($Z563,W$1,""))&lt;lenb($Z563),"ERROR",IF($Z563=$Y$1,"-",0))))))))))))</f>
        <v>0</v>
      </c>
      <c r="X563" s="116">
        <f t="shared" si="568"/>
        <v>0</v>
      </c>
      <c r="Y563" s="116" t="str">
        <f t="shared" si="4"/>
        <v>-</v>
      </c>
      <c r="Z563" s="115" t="s">
        <v>3400</v>
      </c>
      <c r="AA563" s="54">
        <f t="shared" si="5"/>
        <v>1</v>
      </c>
      <c r="AB563" s="54">
        <f>COUNTIFS(Links!B:B,"FSE",Links!C:C,A563,Links!AD:AD,1)</f>
        <v>0</v>
      </c>
      <c r="AC563" s="117" t="s">
        <v>35</v>
      </c>
      <c r="AD563" s="118" t="s">
        <v>35</v>
      </c>
      <c r="AE563" s="115" t="s">
        <v>36</v>
      </c>
      <c r="AF563" s="57" t="s">
        <v>42</v>
      </c>
      <c r="AG563" s="57" t="s">
        <v>42</v>
      </c>
      <c r="AH563" s="57" t="s">
        <v>42</v>
      </c>
      <c r="AI563" s="116" t="str">
        <f t="shared" si="6"/>
        <v>----</v>
      </c>
      <c r="AJ563" s="119" t="str">
        <f t="shared" si="7"/>
        <v>Paper has link but no statement</v>
      </c>
      <c r="AK563" s="120" t="s">
        <v>3401</v>
      </c>
      <c r="AL563" s="121" t="s">
        <v>3402</v>
      </c>
      <c r="AM563" s="60" t="str">
        <f t="shared" si="8"/>
        <v>[FP0271]</v>
      </c>
    </row>
    <row r="564" ht="67.5" customHeight="1">
      <c r="A564" s="61">
        <v>272.0</v>
      </c>
      <c r="B564" s="22" t="s">
        <v>4882</v>
      </c>
      <c r="C564" s="23">
        <v>2021.0</v>
      </c>
      <c r="D564" s="100" t="s">
        <v>35</v>
      </c>
      <c r="E564" s="25" t="s">
        <v>36</v>
      </c>
      <c r="F564" s="25" t="s">
        <v>36</v>
      </c>
      <c r="G564" s="25" t="s">
        <v>36</v>
      </c>
      <c r="H564" s="25" t="s">
        <v>36</v>
      </c>
      <c r="I564" s="25" t="s">
        <v>36</v>
      </c>
      <c r="J564" s="101" t="s">
        <v>36</v>
      </c>
      <c r="K564" s="102" t="s">
        <v>37</v>
      </c>
      <c r="L564" s="103" t="s">
        <v>35</v>
      </c>
      <c r="M564" s="103" t="s">
        <v>37</v>
      </c>
      <c r="N564" s="103" t="s">
        <v>37</v>
      </c>
      <c r="O564" s="103" t="s">
        <v>35</v>
      </c>
      <c r="P564" s="103" t="s">
        <v>35</v>
      </c>
      <c r="Q564" s="103" t="s">
        <v>35</v>
      </c>
      <c r="R564" s="103" t="s">
        <v>37</v>
      </c>
      <c r="S564" s="104" t="s">
        <v>4883</v>
      </c>
      <c r="T564" s="30" t="s">
        <v>4884</v>
      </c>
      <c r="U564" s="30" t="s">
        <v>4885</v>
      </c>
      <c r="V564" s="105">
        <f t="shared" si="2"/>
        <v>1</v>
      </c>
      <c r="W564" s="105">
        <f t="shared" ref="W564:X564" si="569">IF(lenb(SUBSTITUTE($Z564,W$1&amp;" (1)",""))&lt;lenb($Z564),1,IF(lenb(SUBSTITUTE($Z564,W$1&amp;" (2)",""))&lt;lenb($Z564),2,IF(lenb(SUBSTITUTE($Z564,W$1&amp;" (3)",""))&lt;lenb($Z564),3,IF(lenb(SUBSTITUTE($Z564,W$1&amp;" (4)",""))&lt;lenb($Z564),4,IF(lenb(SUBSTITUTE($Z564,W$1&amp;" (5)",""))&lt;lenb($Z564),5,IF(lenb(SUBSTITUTE($Z564,W$1&amp;" (6)",""))&lt;lenb($Z564),6,IF(lenb(SUBSTITUTE($Z564,W$1&amp;" (7)",""))&lt;lenb($Z564),1,IF(lenb(SUBSTITUTE($Z564,W$1&amp;" (8)",""))&lt;lenb($Z564),8,IF(lenb(SUBSTITUTE($Z564,W$1&amp;" (9)",""))&lt;lenb($Z564),9,IF(lenb(SUBSTITUTE($Z564,W$1&amp;" (10)",""))&lt;lenb($Z564),10,IF(lenb(SUBSTITUTE($Z564,W$1,""))&lt;lenb($Z564),"ERROR",IF($Z564=$Y$1,"-",0))))))))))))</f>
        <v>0</v>
      </c>
      <c r="X564" s="105">
        <f t="shared" si="569"/>
        <v>0</v>
      </c>
      <c r="Y564" s="105" t="str">
        <f t="shared" si="4"/>
        <v>-</v>
      </c>
      <c r="Z564" s="104" t="s">
        <v>3400</v>
      </c>
      <c r="AA564" s="34">
        <f t="shared" si="5"/>
        <v>1</v>
      </c>
      <c r="AB564" s="34">
        <f>COUNTIFS(Links!B:B,"FSE",Links!C:C,A564,Links!AD:AD,1)</f>
        <v>0</v>
      </c>
      <c r="AC564" s="106" t="s">
        <v>37</v>
      </c>
      <c r="AD564" s="107" t="s">
        <v>35</v>
      </c>
      <c r="AE564" s="104" t="s">
        <v>36</v>
      </c>
      <c r="AF564" s="37" t="s">
        <v>42</v>
      </c>
      <c r="AG564" s="37" t="s">
        <v>42</v>
      </c>
      <c r="AH564" s="37" t="s">
        <v>42</v>
      </c>
      <c r="AI564" s="105" t="str">
        <f t="shared" si="6"/>
        <v>----</v>
      </c>
      <c r="AJ564" s="108" t="str">
        <f t="shared" si="7"/>
        <v>Paper has link but no statement</v>
      </c>
      <c r="AK564" s="109" t="s">
        <v>3401</v>
      </c>
      <c r="AL564" s="110" t="s">
        <v>3402</v>
      </c>
      <c r="AM564" s="40" t="str">
        <f t="shared" si="8"/>
        <v>[FP0272]</v>
      </c>
    </row>
    <row r="565" ht="67.5" customHeight="1">
      <c r="A565" s="41">
        <v>273.0</v>
      </c>
      <c r="B565" s="42" t="s">
        <v>4886</v>
      </c>
      <c r="C565" s="43">
        <v>2021.0</v>
      </c>
      <c r="D565" s="111" t="s">
        <v>37</v>
      </c>
      <c r="E565" s="45" t="s">
        <v>37</v>
      </c>
      <c r="F565" s="45" t="s">
        <v>35</v>
      </c>
      <c r="G565" s="45" t="s">
        <v>35</v>
      </c>
      <c r="H565" s="45" t="s">
        <v>35</v>
      </c>
      <c r="I565" s="45" t="s">
        <v>35</v>
      </c>
      <c r="J565" s="112" t="s">
        <v>36</v>
      </c>
      <c r="K565" s="113" t="s">
        <v>37</v>
      </c>
      <c r="L565" s="114" t="s">
        <v>35</v>
      </c>
      <c r="M565" s="114" t="s">
        <v>37</v>
      </c>
      <c r="N565" s="114" t="s">
        <v>35</v>
      </c>
      <c r="O565" s="114" t="s">
        <v>35</v>
      </c>
      <c r="P565" s="114" t="s">
        <v>35</v>
      </c>
      <c r="Q565" s="114" t="s">
        <v>35</v>
      </c>
      <c r="R565" s="114" t="s">
        <v>37</v>
      </c>
      <c r="S565" s="115" t="s">
        <v>4887</v>
      </c>
      <c r="T565" s="50" t="s">
        <v>4888</v>
      </c>
      <c r="U565" s="50" t="s">
        <v>4888</v>
      </c>
      <c r="V565" s="116">
        <f t="shared" si="2"/>
        <v>1</v>
      </c>
      <c r="W565" s="116">
        <f t="shared" ref="W565:X565" si="570">IF(lenb(SUBSTITUTE($Z565,W$1&amp;" (1)",""))&lt;lenb($Z565),1,IF(lenb(SUBSTITUTE($Z565,W$1&amp;" (2)",""))&lt;lenb($Z565),2,IF(lenb(SUBSTITUTE($Z565,W$1&amp;" (3)",""))&lt;lenb($Z565),3,IF(lenb(SUBSTITUTE($Z565,W$1&amp;" (4)",""))&lt;lenb($Z565),4,IF(lenb(SUBSTITUTE($Z565,W$1&amp;" (5)",""))&lt;lenb($Z565),5,IF(lenb(SUBSTITUTE($Z565,W$1&amp;" (6)",""))&lt;lenb($Z565),6,IF(lenb(SUBSTITUTE($Z565,W$1&amp;" (7)",""))&lt;lenb($Z565),1,IF(lenb(SUBSTITUTE($Z565,W$1&amp;" (8)",""))&lt;lenb($Z565),8,IF(lenb(SUBSTITUTE($Z565,W$1&amp;" (9)",""))&lt;lenb($Z565),9,IF(lenb(SUBSTITUTE($Z565,W$1&amp;" (10)",""))&lt;lenb($Z565),10,IF(lenb(SUBSTITUTE($Z565,W$1,""))&lt;lenb($Z565),"ERROR",IF($Z565=$Y$1,"-",0))))))))))))</f>
        <v>0</v>
      </c>
      <c r="X565" s="116">
        <f t="shared" si="570"/>
        <v>0</v>
      </c>
      <c r="Y565" s="116" t="str">
        <f t="shared" si="4"/>
        <v>-</v>
      </c>
      <c r="Z565" s="115" t="s">
        <v>3400</v>
      </c>
      <c r="AA565" s="54">
        <f t="shared" si="5"/>
        <v>1</v>
      </c>
      <c r="AB565" s="54">
        <f>COUNTIFS(Links!B:B,"FSE",Links!C:C,A565,Links!AD:AD,1)</f>
        <v>0</v>
      </c>
      <c r="AC565" s="117" t="s">
        <v>35</v>
      </c>
      <c r="AD565" s="118" t="s">
        <v>35</v>
      </c>
      <c r="AE565" s="115" t="s">
        <v>36</v>
      </c>
      <c r="AF565" s="57" t="s">
        <v>42</v>
      </c>
      <c r="AG565" s="57" t="s">
        <v>42</v>
      </c>
      <c r="AH565" s="57" t="s">
        <v>42</v>
      </c>
      <c r="AI565" s="116" t="str">
        <f t="shared" si="6"/>
        <v>----</v>
      </c>
      <c r="AJ565" s="119" t="str">
        <f t="shared" si="7"/>
        <v>Paper has link but no statement</v>
      </c>
      <c r="AK565" s="120" t="s">
        <v>3401</v>
      </c>
      <c r="AL565" s="121" t="s">
        <v>3402</v>
      </c>
      <c r="AM565" s="60" t="str">
        <f t="shared" si="8"/>
        <v>[FP0273]</v>
      </c>
    </row>
    <row r="566" ht="67.5" customHeight="1">
      <c r="A566" s="61">
        <v>274.0</v>
      </c>
      <c r="B566" s="22" t="s">
        <v>4889</v>
      </c>
      <c r="C566" s="23">
        <v>2021.0</v>
      </c>
      <c r="D566" s="100" t="s">
        <v>35</v>
      </c>
      <c r="E566" s="25" t="s">
        <v>36</v>
      </c>
      <c r="F566" s="25" t="s">
        <v>36</v>
      </c>
      <c r="G566" s="25" t="s">
        <v>36</v>
      </c>
      <c r="H566" s="25" t="s">
        <v>36</v>
      </c>
      <c r="I566" s="25" t="s">
        <v>36</v>
      </c>
      <c r="J566" s="101" t="s">
        <v>36</v>
      </c>
      <c r="K566" s="102" t="s">
        <v>37</v>
      </c>
      <c r="L566" s="103" t="s">
        <v>35</v>
      </c>
      <c r="M566" s="133" t="s">
        <v>37</v>
      </c>
      <c r="N566" s="133" t="s">
        <v>37</v>
      </c>
      <c r="O566" s="103" t="s">
        <v>35</v>
      </c>
      <c r="P566" s="103" t="s">
        <v>35</v>
      </c>
      <c r="Q566" s="103" t="s">
        <v>35</v>
      </c>
      <c r="R566" s="133" t="s">
        <v>37</v>
      </c>
      <c r="S566" s="104" t="s">
        <v>4890</v>
      </c>
      <c r="T566" s="30" t="s">
        <v>4891</v>
      </c>
      <c r="U566" s="30" t="s">
        <v>4891</v>
      </c>
      <c r="V566" s="105">
        <f t="shared" si="2"/>
        <v>1</v>
      </c>
      <c r="W566" s="105">
        <f t="shared" ref="W566:X566" si="571">IF(lenb(SUBSTITUTE($Z566,W$1&amp;" (1)",""))&lt;lenb($Z566),1,IF(lenb(SUBSTITUTE($Z566,W$1&amp;" (2)",""))&lt;lenb($Z566),2,IF(lenb(SUBSTITUTE($Z566,W$1&amp;" (3)",""))&lt;lenb($Z566),3,IF(lenb(SUBSTITUTE($Z566,W$1&amp;" (4)",""))&lt;lenb($Z566),4,IF(lenb(SUBSTITUTE($Z566,W$1&amp;" (5)",""))&lt;lenb($Z566),5,IF(lenb(SUBSTITUTE($Z566,W$1&amp;" (6)",""))&lt;lenb($Z566),6,IF(lenb(SUBSTITUTE($Z566,W$1&amp;" (7)",""))&lt;lenb($Z566),1,IF(lenb(SUBSTITUTE($Z566,W$1&amp;" (8)",""))&lt;lenb($Z566),8,IF(lenb(SUBSTITUTE($Z566,W$1&amp;" (9)",""))&lt;lenb($Z566),9,IF(lenb(SUBSTITUTE($Z566,W$1&amp;" (10)",""))&lt;lenb($Z566),10,IF(lenb(SUBSTITUTE($Z566,W$1,""))&lt;lenb($Z566),"ERROR",IF($Z566=$Y$1,"-",0))))))))))))</f>
        <v>0</v>
      </c>
      <c r="X566" s="105">
        <f t="shared" si="571"/>
        <v>0</v>
      </c>
      <c r="Y566" s="105" t="str">
        <f t="shared" si="4"/>
        <v>-</v>
      </c>
      <c r="Z566" s="104" t="s">
        <v>3400</v>
      </c>
      <c r="AA566" s="34">
        <f t="shared" si="5"/>
        <v>1</v>
      </c>
      <c r="AB566" s="34">
        <f>COUNTIFS(Links!B:B,"FSE",Links!C:C,A566,Links!AD:AD,1)</f>
        <v>0</v>
      </c>
      <c r="AC566" s="106" t="s">
        <v>35</v>
      </c>
      <c r="AD566" s="107" t="s">
        <v>35</v>
      </c>
      <c r="AE566" s="104" t="s">
        <v>36</v>
      </c>
      <c r="AF566" s="37" t="s">
        <v>42</v>
      </c>
      <c r="AG566" s="37" t="s">
        <v>42</v>
      </c>
      <c r="AH566" s="37" t="s">
        <v>42</v>
      </c>
      <c r="AI566" s="105" t="str">
        <f t="shared" si="6"/>
        <v>----</v>
      </c>
      <c r="AJ566" s="108" t="str">
        <f t="shared" si="7"/>
        <v>Paper has link but no statement</v>
      </c>
      <c r="AK566" s="109" t="s">
        <v>3401</v>
      </c>
      <c r="AL566" s="110" t="s">
        <v>3402</v>
      </c>
      <c r="AM566" s="40" t="str">
        <f t="shared" si="8"/>
        <v>[FP0274]</v>
      </c>
    </row>
    <row r="567" ht="67.5" customHeight="1">
      <c r="A567" s="41">
        <v>275.0</v>
      </c>
      <c r="B567" s="42" t="s">
        <v>4892</v>
      </c>
      <c r="C567" s="43">
        <v>2021.0</v>
      </c>
      <c r="D567" s="111" t="s">
        <v>35</v>
      </c>
      <c r="E567" s="45" t="s">
        <v>36</v>
      </c>
      <c r="F567" s="45" t="s">
        <v>36</v>
      </c>
      <c r="G567" s="45" t="s">
        <v>36</v>
      </c>
      <c r="H567" s="45" t="s">
        <v>36</v>
      </c>
      <c r="I567" s="45" t="s">
        <v>36</v>
      </c>
      <c r="J567" s="112" t="s">
        <v>36</v>
      </c>
      <c r="K567" s="113" t="s">
        <v>37</v>
      </c>
      <c r="L567" s="114" t="s">
        <v>35</v>
      </c>
      <c r="M567" s="114" t="s">
        <v>35</v>
      </c>
      <c r="N567" s="114" t="s">
        <v>37</v>
      </c>
      <c r="O567" s="114" t="s">
        <v>35</v>
      </c>
      <c r="P567" s="114" t="s">
        <v>35</v>
      </c>
      <c r="Q567" s="114" t="s">
        <v>35</v>
      </c>
      <c r="R567" s="114" t="s">
        <v>35</v>
      </c>
      <c r="S567" s="115" t="s">
        <v>13</v>
      </c>
      <c r="T567" s="50" t="s">
        <v>4893</v>
      </c>
      <c r="U567" s="50" t="s">
        <v>4893</v>
      </c>
      <c r="V567" s="116">
        <f t="shared" si="2"/>
        <v>0</v>
      </c>
      <c r="W567" s="116">
        <f t="shared" ref="W567:X567" si="572">IF(lenb(SUBSTITUTE($Z567,W$1&amp;" (1)",""))&lt;lenb($Z567),1,IF(lenb(SUBSTITUTE($Z567,W$1&amp;" (2)",""))&lt;lenb($Z567),2,IF(lenb(SUBSTITUTE($Z567,W$1&amp;" (3)",""))&lt;lenb($Z567),3,IF(lenb(SUBSTITUTE($Z567,W$1&amp;" (4)",""))&lt;lenb($Z567),4,IF(lenb(SUBSTITUTE($Z567,W$1&amp;" (5)",""))&lt;lenb($Z567),5,IF(lenb(SUBSTITUTE($Z567,W$1&amp;" (6)",""))&lt;lenb($Z567),6,IF(lenb(SUBSTITUTE($Z567,W$1&amp;" (7)",""))&lt;lenb($Z567),1,IF(lenb(SUBSTITUTE($Z567,W$1&amp;" (8)",""))&lt;lenb($Z567),8,IF(lenb(SUBSTITUTE($Z567,W$1&amp;" (9)",""))&lt;lenb($Z567),9,IF(lenb(SUBSTITUTE($Z567,W$1&amp;" (10)",""))&lt;lenb($Z567),10,IF(lenb(SUBSTITUTE($Z567,W$1,""))&lt;lenb($Z567),"ERROR",IF($Z567=$Y$1,"-",0))))))))))))</f>
        <v>1</v>
      </c>
      <c r="X567" s="116">
        <f t="shared" si="572"/>
        <v>0</v>
      </c>
      <c r="Y567" s="116" t="str">
        <f t="shared" si="4"/>
        <v>-</v>
      </c>
      <c r="Z567" s="115" t="s">
        <v>3423</v>
      </c>
      <c r="AA567" s="54">
        <f t="shared" si="5"/>
        <v>1</v>
      </c>
      <c r="AB567" s="54">
        <f>COUNTIFS(Links!B:B,"FSE",Links!C:C,A567,Links!AD:AD,1)</f>
        <v>0</v>
      </c>
      <c r="AC567" s="117" t="s">
        <v>35</v>
      </c>
      <c r="AD567" s="118" t="s">
        <v>35</v>
      </c>
      <c r="AE567" s="115" t="s">
        <v>36</v>
      </c>
      <c r="AF567" s="57" t="s">
        <v>42</v>
      </c>
      <c r="AG567" s="57" t="s">
        <v>42</v>
      </c>
      <c r="AH567" s="57" t="s">
        <v>42</v>
      </c>
      <c r="AI567" s="116" t="str">
        <f t="shared" si="6"/>
        <v>----</v>
      </c>
      <c r="AJ567" s="119" t="str">
        <f t="shared" si="7"/>
        <v>Paper has link but no statement</v>
      </c>
      <c r="AK567" s="120" t="s">
        <v>3401</v>
      </c>
      <c r="AL567" s="121" t="s">
        <v>3402</v>
      </c>
      <c r="AM567" s="60" t="str">
        <f t="shared" si="8"/>
        <v>[FP0275]</v>
      </c>
    </row>
    <row r="568" ht="67.5" customHeight="1">
      <c r="A568" s="61">
        <v>276.0</v>
      </c>
      <c r="B568" s="22" t="s">
        <v>4894</v>
      </c>
      <c r="C568" s="23">
        <v>2021.0</v>
      </c>
      <c r="D568" s="100" t="s">
        <v>37</v>
      </c>
      <c r="E568" s="25" t="s">
        <v>37</v>
      </c>
      <c r="F568" s="25" t="s">
        <v>37</v>
      </c>
      <c r="G568" s="25" t="s">
        <v>35</v>
      </c>
      <c r="H568" s="25" t="s">
        <v>35</v>
      </c>
      <c r="I568" s="25" t="s">
        <v>35</v>
      </c>
      <c r="J568" s="101" t="s">
        <v>36</v>
      </c>
      <c r="K568" s="102" t="s">
        <v>37</v>
      </c>
      <c r="L568" s="103" t="s">
        <v>35</v>
      </c>
      <c r="M568" s="103" t="s">
        <v>37</v>
      </c>
      <c r="N568" s="103" t="s">
        <v>37</v>
      </c>
      <c r="O568" s="103" t="s">
        <v>35</v>
      </c>
      <c r="P568" s="103" t="s">
        <v>35</v>
      </c>
      <c r="Q568" s="103" t="s">
        <v>35</v>
      </c>
      <c r="R568" s="103" t="s">
        <v>37</v>
      </c>
      <c r="S568" s="104" t="s">
        <v>4895</v>
      </c>
      <c r="T568" s="30" t="s">
        <v>4891</v>
      </c>
      <c r="U568" s="30" t="s">
        <v>4891</v>
      </c>
      <c r="V568" s="105">
        <f t="shared" si="2"/>
        <v>1</v>
      </c>
      <c r="W568" s="105">
        <f t="shared" ref="W568:X568" si="573">IF(lenb(SUBSTITUTE($Z568,W$1&amp;" (1)",""))&lt;lenb($Z568),1,IF(lenb(SUBSTITUTE($Z568,W$1&amp;" (2)",""))&lt;lenb($Z568),2,IF(lenb(SUBSTITUTE($Z568,W$1&amp;" (3)",""))&lt;lenb($Z568),3,IF(lenb(SUBSTITUTE($Z568,W$1&amp;" (4)",""))&lt;lenb($Z568),4,IF(lenb(SUBSTITUTE($Z568,W$1&amp;" (5)",""))&lt;lenb($Z568),5,IF(lenb(SUBSTITUTE($Z568,W$1&amp;" (6)",""))&lt;lenb($Z568),6,IF(lenb(SUBSTITUTE($Z568,W$1&amp;" (7)",""))&lt;lenb($Z568),1,IF(lenb(SUBSTITUTE($Z568,W$1&amp;" (8)",""))&lt;lenb($Z568),8,IF(lenb(SUBSTITUTE($Z568,W$1&amp;" (9)",""))&lt;lenb($Z568),9,IF(lenb(SUBSTITUTE($Z568,W$1&amp;" (10)",""))&lt;lenb($Z568),10,IF(lenb(SUBSTITUTE($Z568,W$1,""))&lt;lenb($Z568),"ERROR",IF($Z568=$Y$1,"-",0))))))))))))</f>
        <v>0</v>
      </c>
      <c r="X568" s="105">
        <f t="shared" si="573"/>
        <v>0</v>
      </c>
      <c r="Y568" s="105" t="str">
        <f t="shared" si="4"/>
        <v>-</v>
      </c>
      <c r="Z568" s="104" t="s">
        <v>3400</v>
      </c>
      <c r="AA568" s="34">
        <f t="shared" si="5"/>
        <v>1</v>
      </c>
      <c r="AB568" s="34">
        <f>COUNTIFS(Links!B:B,"FSE",Links!C:C,A568,Links!AD:AD,1)</f>
        <v>0</v>
      </c>
      <c r="AC568" s="106" t="s">
        <v>35</v>
      </c>
      <c r="AD568" s="107" t="s">
        <v>35</v>
      </c>
      <c r="AE568" s="104" t="s">
        <v>36</v>
      </c>
      <c r="AF568" s="37" t="s">
        <v>42</v>
      </c>
      <c r="AG568" s="37" t="s">
        <v>42</v>
      </c>
      <c r="AH568" s="37" t="s">
        <v>42</v>
      </c>
      <c r="AI568" s="105" t="str">
        <f t="shared" si="6"/>
        <v>----</v>
      </c>
      <c r="AJ568" s="108" t="str">
        <f t="shared" si="7"/>
        <v>Paper has link but no statement</v>
      </c>
      <c r="AK568" s="109" t="s">
        <v>3401</v>
      </c>
      <c r="AL568" s="110" t="s">
        <v>3402</v>
      </c>
      <c r="AM568" s="40" t="str">
        <f t="shared" si="8"/>
        <v>[FP0276]</v>
      </c>
    </row>
    <row r="569" ht="67.5" customHeight="1">
      <c r="A569" s="41">
        <v>277.0</v>
      </c>
      <c r="B569" s="42" t="s">
        <v>4896</v>
      </c>
      <c r="C569" s="43">
        <v>2021.0</v>
      </c>
      <c r="D569" s="111" t="s">
        <v>35</v>
      </c>
      <c r="E569" s="45" t="s">
        <v>36</v>
      </c>
      <c r="F569" s="45" t="s">
        <v>36</v>
      </c>
      <c r="G569" s="45" t="s">
        <v>36</v>
      </c>
      <c r="H569" s="45" t="s">
        <v>36</v>
      </c>
      <c r="I569" s="45" t="s">
        <v>36</v>
      </c>
      <c r="J569" s="112" t="s">
        <v>36</v>
      </c>
      <c r="K569" s="113" t="s">
        <v>37</v>
      </c>
      <c r="L569" s="114" t="s">
        <v>37</v>
      </c>
      <c r="M569" s="114" t="s">
        <v>35</v>
      </c>
      <c r="N569" s="114" t="s">
        <v>37</v>
      </c>
      <c r="O569" s="114" t="s">
        <v>35</v>
      </c>
      <c r="P569" s="114" t="s">
        <v>35</v>
      </c>
      <c r="Q569" s="114" t="s">
        <v>35</v>
      </c>
      <c r="R569" s="114" t="s">
        <v>37</v>
      </c>
      <c r="S569" s="115" t="s">
        <v>13</v>
      </c>
      <c r="T569" s="50" t="s">
        <v>4897</v>
      </c>
      <c r="U569" s="50" t="s">
        <v>4897</v>
      </c>
      <c r="V569" s="116">
        <f t="shared" si="2"/>
        <v>1</v>
      </c>
      <c r="W569" s="116">
        <f t="shared" ref="W569:X569" si="574">IF(lenb(SUBSTITUTE($Z569,W$1&amp;" (1)",""))&lt;lenb($Z569),1,IF(lenb(SUBSTITUTE($Z569,W$1&amp;" (2)",""))&lt;lenb($Z569),2,IF(lenb(SUBSTITUTE($Z569,W$1&amp;" (3)",""))&lt;lenb($Z569),3,IF(lenb(SUBSTITUTE($Z569,W$1&amp;" (4)",""))&lt;lenb($Z569),4,IF(lenb(SUBSTITUTE($Z569,W$1&amp;" (5)",""))&lt;lenb($Z569),5,IF(lenb(SUBSTITUTE($Z569,W$1&amp;" (6)",""))&lt;lenb($Z569),6,IF(lenb(SUBSTITUTE($Z569,W$1&amp;" (7)",""))&lt;lenb($Z569),1,IF(lenb(SUBSTITUTE($Z569,W$1&amp;" (8)",""))&lt;lenb($Z569),8,IF(lenb(SUBSTITUTE($Z569,W$1&amp;" (9)",""))&lt;lenb($Z569),9,IF(lenb(SUBSTITUTE($Z569,W$1&amp;" (10)",""))&lt;lenb($Z569),10,IF(lenb(SUBSTITUTE($Z569,W$1,""))&lt;lenb($Z569),"ERROR",IF($Z569=$Y$1,"-",0))))))))))))</f>
        <v>0</v>
      </c>
      <c r="X569" s="116">
        <f t="shared" si="574"/>
        <v>0</v>
      </c>
      <c r="Y569" s="116" t="str">
        <f t="shared" si="4"/>
        <v>-</v>
      </c>
      <c r="Z569" s="115" t="s">
        <v>3400</v>
      </c>
      <c r="AA569" s="54">
        <f t="shared" si="5"/>
        <v>1</v>
      </c>
      <c r="AB569" s="54">
        <f>COUNTIFS(Links!B:B,"FSE",Links!C:C,A569,Links!AD:AD,1)</f>
        <v>0</v>
      </c>
      <c r="AC569" s="117" t="s">
        <v>35</v>
      </c>
      <c r="AD569" s="118" t="s">
        <v>35</v>
      </c>
      <c r="AE569" s="115" t="s">
        <v>36</v>
      </c>
      <c r="AF569" s="57" t="s">
        <v>42</v>
      </c>
      <c r="AG569" s="57" t="s">
        <v>42</v>
      </c>
      <c r="AH569" s="57" t="s">
        <v>42</v>
      </c>
      <c r="AI569" s="116" t="str">
        <f t="shared" si="6"/>
        <v>----</v>
      </c>
      <c r="AJ569" s="119" t="str">
        <f t="shared" si="7"/>
        <v>Paper has link but no statement</v>
      </c>
      <c r="AK569" s="120" t="s">
        <v>3401</v>
      </c>
      <c r="AL569" s="121" t="s">
        <v>3402</v>
      </c>
      <c r="AM569" s="60" t="str">
        <f t="shared" si="8"/>
        <v>[FP0277]</v>
      </c>
    </row>
    <row r="570" ht="67.5" customHeight="1">
      <c r="A570" s="61">
        <v>278.0</v>
      </c>
      <c r="B570" s="22" t="s">
        <v>4898</v>
      </c>
      <c r="C570" s="23">
        <v>2021.0</v>
      </c>
      <c r="D570" s="100" t="s">
        <v>35</v>
      </c>
      <c r="E570" s="25" t="s">
        <v>36</v>
      </c>
      <c r="F570" s="25" t="s">
        <v>36</v>
      </c>
      <c r="G570" s="25" t="s">
        <v>36</v>
      </c>
      <c r="H570" s="25" t="s">
        <v>36</v>
      </c>
      <c r="I570" s="25" t="s">
        <v>36</v>
      </c>
      <c r="J570" s="101" t="s">
        <v>36</v>
      </c>
      <c r="K570" s="102" t="s">
        <v>37</v>
      </c>
      <c r="L570" s="103" t="s">
        <v>37</v>
      </c>
      <c r="M570" s="103" t="s">
        <v>35</v>
      </c>
      <c r="N570" s="103" t="s">
        <v>37</v>
      </c>
      <c r="O570" s="103" t="s">
        <v>35</v>
      </c>
      <c r="P570" s="103" t="s">
        <v>35</v>
      </c>
      <c r="Q570" s="103" t="s">
        <v>35</v>
      </c>
      <c r="R570" s="103" t="s">
        <v>37</v>
      </c>
      <c r="S570" s="104" t="s">
        <v>4899</v>
      </c>
      <c r="T570" s="30" t="s">
        <v>4900</v>
      </c>
      <c r="U570" s="30" t="s">
        <v>4900</v>
      </c>
      <c r="V570" s="105">
        <f t="shared" si="2"/>
        <v>1</v>
      </c>
      <c r="W570" s="105">
        <f t="shared" ref="W570:X570" si="575">IF(lenb(SUBSTITUTE($Z570,W$1&amp;" (1)",""))&lt;lenb($Z570),1,IF(lenb(SUBSTITUTE($Z570,W$1&amp;" (2)",""))&lt;lenb($Z570),2,IF(lenb(SUBSTITUTE($Z570,W$1&amp;" (3)",""))&lt;lenb($Z570),3,IF(lenb(SUBSTITUTE($Z570,W$1&amp;" (4)",""))&lt;lenb($Z570),4,IF(lenb(SUBSTITUTE($Z570,W$1&amp;" (5)",""))&lt;lenb($Z570),5,IF(lenb(SUBSTITUTE($Z570,W$1&amp;" (6)",""))&lt;lenb($Z570),6,IF(lenb(SUBSTITUTE($Z570,W$1&amp;" (7)",""))&lt;lenb($Z570),1,IF(lenb(SUBSTITUTE($Z570,W$1&amp;" (8)",""))&lt;lenb($Z570),8,IF(lenb(SUBSTITUTE($Z570,W$1&amp;" (9)",""))&lt;lenb($Z570),9,IF(lenb(SUBSTITUTE($Z570,W$1&amp;" (10)",""))&lt;lenb($Z570),10,IF(lenb(SUBSTITUTE($Z570,W$1,""))&lt;lenb($Z570),"ERROR",IF($Z570=$Y$1,"-",0))))))))))))</f>
        <v>0</v>
      </c>
      <c r="X570" s="105">
        <f t="shared" si="575"/>
        <v>0</v>
      </c>
      <c r="Y570" s="105" t="str">
        <f t="shared" si="4"/>
        <v>-</v>
      </c>
      <c r="Z570" s="104" t="s">
        <v>3400</v>
      </c>
      <c r="AA570" s="34">
        <f t="shared" si="5"/>
        <v>1</v>
      </c>
      <c r="AB570" s="34">
        <f>COUNTIFS(Links!B:B,"FSE",Links!C:C,A570,Links!AD:AD,1)</f>
        <v>0</v>
      </c>
      <c r="AC570" s="106" t="s">
        <v>35</v>
      </c>
      <c r="AD570" s="107" t="s">
        <v>35</v>
      </c>
      <c r="AE570" s="104" t="s">
        <v>36</v>
      </c>
      <c r="AF570" s="37" t="s">
        <v>42</v>
      </c>
      <c r="AG570" s="37" t="s">
        <v>42</v>
      </c>
      <c r="AH570" s="37" t="s">
        <v>42</v>
      </c>
      <c r="AI570" s="105" t="str">
        <f t="shared" si="6"/>
        <v>----</v>
      </c>
      <c r="AJ570" s="108" t="str">
        <f t="shared" si="7"/>
        <v>Paper has link but no statement</v>
      </c>
      <c r="AK570" s="109" t="s">
        <v>3401</v>
      </c>
      <c r="AL570" s="110" t="s">
        <v>3402</v>
      </c>
      <c r="AM570" s="40" t="str">
        <f t="shared" si="8"/>
        <v>[FP0278]</v>
      </c>
    </row>
    <row r="571" ht="67.5" customHeight="1">
      <c r="A571" s="41">
        <v>279.0</v>
      </c>
      <c r="B571" s="42" t="s">
        <v>4901</v>
      </c>
      <c r="C571" s="43">
        <v>2021.0</v>
      </c>
      <c r="D571" s="111" t="s">
        <v>37</v>
      </c>
      <c r="E571" s="45" t="s">
        <v>37</v>
      </c>
      <c r="F571" s="45" t="s">
        <v>35</v>
      </c>
      <c r="G571" s="45" t="s">
        <v>37</v>
      </c>
      <c r="H571" s="45" t="s">
        <v>35</v>
      </c>
      <c r="I571" s="45" t="s">
        <v>35</v>
      </c>
      <c r="J571" s="112" t="s">
        <v>36</v>
      </c>
      <c r="K571" s="113" t="s">
        <v>37</v>
      </c>
      <c r="L571" s="114" t="s">
        <v>37</v>
      </c>
      <c r="M571" s="114" t="s">
        <v>35</v>
      </c>
      <c r="N571" s="114" t="s">
        <v>35</v>
      </c>
      <c r="O571" s="114" t="s">
        <v>35</v>
      </c>
      <c r="P571" s="114" t="s">
        <v>35</v>
      </c>
      <c r="Q571" s="114" t="s">
        <v>35</v>
      </c>
      <c r="R571" s="114" t="s">
        <v>37</v>
      </c>
      <c r="S571" s="115" t="s">
        <v>4902</v>
      </c>
      <c r="T571" s="50" t="s">
        <v>4903</v>
      </c>
      <c r="U571" s="50" t="s">
        <v>4903</v>
      </c>
      <c r="V571" s="116">
        <f t="shared" si="2"/>
        <v>4</v>
      </c>
      <c r="W571" s="116">
        <f t="shared" ref="W571:X571" si="576">IF(lenb(SUBSTITUTE($Z571,W$1&amp;" (1)",""))&lt;lenb($Z571),1,IF(lenb(SUBSTITUTE($Z571,W$1&amp;" (2)",""))&lt;lenb($Z571),2,IF(lenb(SUBSTITUTE($Z571,W$1&amp;" (3)",""))&lt;lenb($Z571),3,IF(lenb(SUBSTITUTE($Z571,W$1&amp;" (4)",""))&lt;lenb($Z571),4,IF(lenb(SUBSTITUTE($Z571,W$1&amp;" (5)",""))&lt;lenb($Z571),5,IF(lenb(SUBSTITUTE($Z571,W$1&amp;" (6)",""))&lt;lenb($Z571),6,IF(lenb(SUBSTITUTE($Z571,W$1&amp;" (7)",""))&lt;lenb($Z571),1,IF(lenb(SUBSTITUTE($Z571,W$1&amp;" (8)",""))&lt;lenb($Z571),8,IF(lenb(SUBSTITUTE($Z571,W$1&amp;" (9)",""))&lt;lenb($Z571),9,IF(lenb(SUBSTITUTE($Z571,W$1&amp;" (10)",""))&lt;lenb($Z571),10,IF(lenb(SUBSTITUTE($Z571,W$1,""))&lt;lenb($Z571),"ERROR",IF($Z571=$Y$1,"-",0))))))))))))</f>
        <v>0</v>
      </c>
      <c r="X571" s="116">
        <f t="shared" si="576"/>
        <v>0</v>
      </c>
      <c r="Y571" s="116" t="str">
        <f t="shared" si="4"/>
        <v>-</v>
      </c>
      <c r="Z571" s="115" t="s">
        <v>4135</v>
      </c>
      <c r="AA571" s="54">
        <f t="shared" si="5"/>
        <v>4</v>
      </c>
      <c r="AB571" s="54">
        <f>COUNTIFS(Links!B:B,"FSE",Links!C:C,A571,Links!AD:AD,1)</f>
        <v>0</v>
      </c>
      <c r="AC571" s="117" t="s">
        <v>35</v>
      </c>
      <c r="AD571" s="118" t="s">
        <v>35</v>
      </c>
      <c r="AE571" s="115" t="s">
        <v>36</v>
      </c>
      <c r="AF571" s="57" t="s">
        <v>42</v>
      </c>
      <c r="AG571" s="57" t="s">
        <v>42</v>
      </c>
      <c r="AH571" s="57" t="s">
        <v>42</v>
      </c>
      <c r="AI571" s="116" t="str">
        <f t="shared" si="6"/>
        <v>----</v>
      </c>
      <c r="AJ571" s="119" t="str">
        <f t="shared" si="7"/>
        <v>Paper has link but no statement</v>
      </c>
      <c r="AK571" s="120" t="s">
        <v>3401</v>
      </c>
      <c r="AL571" s="121" t="s">
        <v>3402</v>
      </c>
      <c r="AM571" s="60" t="str">
        <f t="shared" si="8"/>
        <v>[FP0279]</v>
      </c>
    </row>
    <row r="572" ht="67.5" customHeight="1">
      <c r="A572" s="61">
        <v>280.0</v>
      </c>
      <c r="B572" s="22" t="s">
        <v>4904</v>
      </c>
      <c r="C572" s="23">
        <v>2021.0</v>
      </c>
      <c r="D572" s="100" t="s">
        <v>35</v>
      </c>
      <c r="E572" s="25" t="s">
        <v>36</v>
      </c>
      <c r="F572" s="25" t="s">
        <v>36</v>
      </c>
      <c r="G572" s="25" t="s">
        <v>36</v>
      </c>
      <c r="H572" s="25" t="s">
        <v>36</v>
      </c>
      <c r="I572" s="25" t="s">
        <v>36</v>
      </c>
      <c r="J572" s="101" t="s">
        <v>36</v>
      </c>
      <c r="K572" s="102" t="s">
        <v>37</v>
      </c>
      <c r="L572" s="103" t="s">
        <v>35</v>
      </c>
      <c r="M572" s="103" t="s">
        <v>37</v>
      </c>
      <c r="N572" s="103" t="s">
        <v>37</v>
      </c>
      <c r="O572" s="103" t="s">
        <v>35</v>
      </c>
      <c r="P572" s="103" t="s">
        <v>35</v>
      </c>
      <c r="Q572" s="103" t="s">
        <v>35</v>
      </c>
      <c r="R572" s="103" t="s">
        <v>37</v>
      </c>
      <c r="S572" s="104" t="s">
        <v>4905</v>
      </c>
      <c r="T572" s="30" t="s">
        <v>4906</v>
      </c>
      <c r="U572" s="30" t="s">
        <v>4906</v>
      </c>
      <c r="V572" s="105">
        <f t="shared" si="2"/>
        <v>1</v>
      </c>
      <c r="W572" s="105">
        <f t="shared" ref="W572:X572" si="577">IF(lenb(SUBSTITUTE($Z572,W$1&amp;" (1)",""))&lt;lenb($Z572),1,IF(lenb(SUBSTITUTE($Z572,W$1&amp;" (2)",""))&lt;lenb($Z572),2,IF(lenb(SUBSTITUTE($Z572,W$1&amp;" (3)",""))&lt;lenb($Z572),3,IF(lenb(SUBSTITUTE($Z572,W$1&amp;" (4)",""))&lt;lenb($Z572),4,IF(lenb(SUBSTITUTE($Z572,W$1&amp;" (5)",""))&lt;lenb($Z572),5,IF(lenb(SUBSTITUTE($Z572,W$1&amp;" (6)",""))&lt;lenb($Z572),6,IF(lenb(SUBSTITUTE($Z572,W$1&amp;" (7)",""))&lt;lenb($Z572),1,IF(lenb(SUBSTITUTE($Z572,W$1&amp;" (8)",""))&lt;lenb($Z572),8,IF(lenb(SUBSTITUTE($Z572,W$1&amp;" (9)",""))&lt;lenb($Z572),9,IF(lenb(SUBSTITUTE($Z572,W$1&amp;" (10)",""))&lt;lenb($Z572),10,IF(lenb(SUBSTITUTE($Z572,W$1,""))&lt;lenb($Z572),"ERROR",IF($Z572=$Y$1,"-",0))))))))))))</f>
        <v>0</v>
      </c>
      <c r="X572" s="105">
        <f t="shared" si="577"/>
        <v>0</v>
      </c>
      <c r="Y572" s="105" t="str">
        <f t="shared" si="4"/>
        <v>-</v>
      </c>
      <c r="Z572" s="104" t="s">
        <v>3400</v>
      </c>
      <c r="AA572" s="34">
        <f t="shared" si="5"/>
        <v>1</v>
      </c>
      <c r="AB572" s="34">
        <f>COUNTIFS(Links!B:B,"FSE",Links!C:C,A572,Links!AD:AD,1)</f>
        <v>0</v>
      </c>
      <c r="AC572" s="106" t="s">
        <v>35</v>
      </c>
      <c r="AD572" s="107" t="s">
        <v>35</v>
      </c>
      <c r="AE572" s="104" t="s">
        <v>36</v>
      </c>
      <c r="AF572" s="37" t="s">
        <v>42</v>
      </c>
      <c r="AG572" s="37" t="s">
        <v>42</v>
      </c>
      <c r="AH572" s="37" t="s">
        <v>42</v>
      </c>
      <c r="AI572" s="105" t="str">
        <f t="shared" si="6"/>
        <v>----</v>
      </c>
      <c r="AJ572" s="108" t="str">
        <f t="shared" si="7"/>
        <v>Paper has link but no statement</v>
      </c>
      <c r="AK572" s="109" t="s">
        <v>3401</v>
      </c>
      <c r="AL572" s="110" t="s">
        <v>3402</v>
      </c>
      <c r="AM572" s="40" t="str">
        <f t="shared" si="8"/>
        <v>[FP0280]</v>
      </c>
    </row>
    <row r="573" ht="67.5" customHeight="1">
      <c r="A573" s="41">
        <v>281.0</v>
      </c>
      <c r="B573" s="42" t="s">
        <v>4907</v>
      </c>
      <c r="C573" s="43">
        <v>2021.0</v>
      </c>
      <c r="D573" s="111" t="s">
        <v>37</v>
      </c>
      <c r="E573" s="45" t="s">
        <v>37</v>
      </c>
      <c r="F573" s="45" t="s">
        <v>35</v>
      </c>
      <c r="G573" s="45" t="s">
        <v>37</v>
      </c>
      <c r="H573" s="45" t="s">
        <v>35</v>
      </c>
      <c r="I573" s="45" t="s">
        <v>35</v>
      </c>
      <c r="J573" s="112" t="s">
        <v>36</v>
      </c>
      <c r="K573" s="113" t="s">
        <v>37</v>
      </c>
      <c r="L573" s="114" t="s">
        <v>37</v>
      </c>
      <c r="M573" s="114" t="s">
        <v>37</v>
      </c>
      <c r="N573" s="114" t="s">
        <v>37</v>
      </c>
      <c r="O573" s="114" t="s">
        <v>35</v>
      </c>
      <c r="P573" s="114" t="s">
        <v>35</v>
      </c>
      <c r="Q573" s="114" t="s">
        <v>35</v>
      </c>
      <c r="R573" s="114" t="s">
        <v>37</v>
      </c>
      <c r="S573" s="115" t="s">
        <v>4908</v>
      </c>
      <c r="T573" s="50" t="s">
        <v>4909</v>
      </c>
      <c r="U573" s="50" t="s">
        <v>4909</v>
      </c>
      <c r="V573" s="116">
        <f t="shared" si="2"/>
        <v>2</v>
      </c>
      <c r="W573" s="116">
        <f t="shared" ref="W573:X573" si="578">IF(lenb(SUBSTITUTE($Z573,W$1&amp;" (1)",""))&lt;lenb($Z573),1,IF(lenb(SUBSTITUTE($Z573,W$1&amp;" (2)",""))&lt;lenb($Z573),2,IF(lenb(SUBSTITUTE($Z573,W$1&amp;" (3)",""))&lt;lenb($Z573),3,IF(lenb(SUBSTITUTE($Z573,W$1&amp;" (4)",""))&lt;lenb($Z573),4,IF(lenb(SUBSTITUTE($Z573,W$1&amp;" (5)",""))&lt;lenb($Z573),5,IF(lenb(SUBSTITUTE($Z573,W$1&amp;" (6)",""))&lt;lenb($Z573),6,IF(lenb(SUBSTITUTE($Z573,W$1&amp;" (7)",""))&lt;lenb($Z573),1,IF(lenb(SUBSTITUTE($Z573,W$1&amp;" (8)",""))&lt;lenb($Z573),8,IF(lenb(SUBSTITUTE($Z573,W$1&amp;" (9)",""))&lt;lenb($Z573),9,IF(lenb(SUBSTITUTE($Z573,W$1&amp;" (10)",""))&lt;lenb($Z573),10,IF(lenb(SUBSTITUTE($Z573,W$1,""))&lt;lenb($Z573),"ERROR",IF($Z573=$Y$1,"-",0))))))))))))</f>
        <v>0</v>
      </c>
      <c r="X573" s="116">
        <f t="shared" si="578"/>
        <v>0</v>
      </c>
      <c r="Y573" s="116" t="str">
        <f t="shared" si="4"/>
        <v>-</v>
      </c>
      <c r="Z573" s="115" t="s">
        <v>3452</v>
      </c>
      <c r="AA573" s="54">
        <f t="shared" si="5"/>
        <v>2</v>
      </c>
      <c r="AB573" s="54">
        <f>COUNTIFS(Links!B:B,"FSE",Links!C:C,A573,Links!AD:AD,1)</f>
        <v>0</v>
      </c>
      <c r="AC573" s="117" t="s">
        <v>37</v>
      </c>
      <c r="AD573" s="118" t="s">
        <v>35</v>
      </c>
      <c r="AE573" s="115" t="s">
        <v>36</v>
      </c>
      <c r="AF573" s="57" t="s">
        <v>42</v>
      </c>
      <c r="AG573" s="57" t="s">
        <v>42</v>
      </c>
      <c r="AH573" s="57" t="s">
        <v>42</v>
      </c>
      <c r="AI573" s="116" t="str">
        <f t="shared" si="6"/>
        <v>----</v>
      </c>
      <c r="AJ573" s="119" t="str">
        <f t="shared" si="7"/>
        <v>Paper has link but no statement</v>
      </c>
      <c r="AK573" s="120" t="s">
        <v>3401</v>
      </c>
      <c r="AL573" s="121" t="s">
        <v>3402</v>
      </c>
      <c r="AM573" s="60" t="str">
        <f t="shared" si="8"/>
        <v>[FP0281]</v>
      </c>
    </row>
    <row r="574" ht="67.5" customHeight="1">
      <c r="A574" s="61">
        <v>282.0</v>
      </c>
      <c r="B574" s="22" t="s">
        <v>4910</v>
      </c>
      <c r="C574" s="23">
        <v>2021.0</v>
      </c>
      <c r="D574" s="100" t="s">
        <v>37</v>
      </c>
      <c r="E574" s="25" t="s">
        <v>37</v>
      </c>
      <c r="F574" s="25" t="s">
        <v>35</v>
      </c>
      <c r="G574" s="25" t="s">
        <v>37</v>
      </c>
      <c r="H574" s="25" t="s">
        <v>35</v>
      </c>
      <c r="I574" s="25" t="s">
        <v>35</v>
      </c>
      <c r="J574" s="101" t="s">
        <v>36</v>
      </c>
      <c r="K574" s="102" t="s">
        <v>37</v>
      </c>
      <c r="L574" s="103" t="s">
        <v>35</v>
      </c>
      <c r="M574" s="103" t="s">
        <v>35</v>
      </c>
      <c r="N574" s="103" t="s">
        <v>37</v>
      </c>
      <c r="O574" s="103" t="s">
        <v>35</v>
      </c>
      <c r="P574" s="103" t="s">
        <v>35</v>
      </c>
      <c r="Q574" s="103" t="s">
        <v>35</v>
      </c>
      <c r="R574" s="103" t="s">
        <v>35</v>
      </c>
      <c r="S574" s="104" t="s">
        <v>42</v>
      </c>
      <c r="T574" s="30" t="s">
        <v>4911</v>
      </c>
      <c r="U574" s="30" t="s">
        <v>4911</v>
      </c>
      <c r="V574" s="105">
        <f t="shared" si="2"/>
        <v>1</v>
      </c>
      <c r="W574" s="105">
        <f t="shared" ref="W574:X574" si="579">IF(lenb(SUBSTITUTE($Z574,W$1&amp;" (1)",""))&lt;lenb($Z574),1,IF(lenb(SUBSTITUTE($Z574,W$1&amp;" (2)",""))&lt;lenb($Z574),2,IF(lenb(SUBSTITUTE($Z574,W$1&amp;" (3)",""))&lt;lenb($Z574),3,IF(lenb(SUBSTITUTE($Z574,W$1&amp;" (4)",""))&lt;lenb($Z574),4,IF(lenb(SUBSTITUTE($Z574,W$1&amp;" (5)",""))&lt;lenb($Z574),5,IF(lenb(SUBSTITUTE($Z574,W$1&amp;" (6)",""))&lt;lenb($Z574),6,IF(lenb(SUBSTITUTE($Z574,W$1&amp;" (7)",""))&lt;lenb($Z574),1,IF(lenb(SUBSTITUTE($Z574,W$1&amp;" (8)",""))&lt;lenb($Z574),8,IF(lenb(SUBSTITUTE($Z574,W$1&amp;" (9)",""))&lt;lenb($Z574),9,IF(lenb(SUBSTITUTE($Z574,W$1&amp;" (10)",""))&lt;lenb($Z574),10,IF(lenb(SUBSTITUTE($Z574,W$1,""))&lt;lenb($Z574),"ERROR",IF($Z574=$Y$1,"-",0))))))))))))</f>
        <v>0</v>
      </c>
      <c r="X574" s="105">
        <f t="shared" si="579"/>
        <v>0</v>
      </c>
      <c r="Y574" s="105" t="str">
        <f t="shared" si="4"/>
        <v>-</v>
      </c>
      <c r="Z574" s="104" t="s">
        <v>3400</v>
      </c>
      <c r="AA574" s="34">
        <f t="shared" si="5"/>
        <v>1</v>
      </c>
      <c r="AB574" s="34">
        <f>COUNTIFS(Links!B:B,"FSE",Links!C:C,A574,Links!AD:AD,1)</f>
        <v>0</v>
      </c>
      <c r="AC574" s="106" t="s">
        <v>35</v>
      </c>
      <c r="AD574" s="107" t="s">
        <v>35</v>
      </c>
      <c r="AE574" s="104" t="s">
        <v>36</v>
      </c>
      <c r="AF574" s="37" t="s">
        <v>42</v>
      </c>
      <c r="AG574" s="37" t="s">
        <v>42</v>
      </c>
      <c r="AH574" s="37" t="s">
        <v>42</v>
      </c>
      <c r="AI574" s="105" t="str">
        <f t="shared" si="6"/>
        <v>----</v>
      </c>
      <c r="AJ574" s="108" t="str">
        <f t="shared" si="7"/>
        <v>Paper has link but no statement</v>
      </c>
      <c r="AK574" s="109" t="s">
        <v>3401</v>
      </c>
      <c r="AL574" s="110" t="s">
        <v>3402</v>
      </c>
      <c r="AM574" s="40" t="str">
        <f t="shared" si="8"/>
        <v>[FP0282]</v>
      </c>
    </row>
    <row r="575" ht="67.5" customHeight="1">
      <c r="A575" s="41">
        <v>283.0</v>
      </c>
      <c r="B575" s="42" t="s">
        <v>4912</v>
      </c>
      <c r="C575" s="43">
        <v>2021.0</v>
      </c>
      <c r="D575" s="111" t="s">
        <v>35</v>
      </c>
      <c r="E575" s="45" t="s">
        <v>36</v>
      </c>
      <c r="F575" s="45" t="s">
        <v>36</v>
      </c>
      <c r="G575" s="45" t="s">
        <v>36</v>
      </c>
      <c r="H575" s="45" t="s">
        <v>36</v>
      </c>
      <c r="I575" s="45" t="s">
        <v>36</v>
      </c>
      <c r="J575" s="112" t="s">
        <v>36</v>
      </c>
      <c r="K575" s="113" t="s">
        <v>37</v>
      </c>
      <c r="L575" s="114" t="s">
        <v>35</v>
      </c>
      <c r="M575" s="114" t="s">
        <v>35</v>
      </c>
      <c r="N575" s="114" t="s">
        <v>37</v>
      </c>
      <c r="O575" s="114" t="s">
        <v>35</v>
      </c>
      <c r="P575" s="114" t="s">
        <v>35</v>
      </c>
      <c r="Q575" s="114" t="s">
        <v>35</v>
      </c>
      <c r="R575" s="114" t="s">
        <v>35</v>
      </c>
      <c r="S575" s="115" t="s">
        <v>42</v>
      </c>
      <c r="T575" s="50" t="s">
        <v>4913</v>
      </c>
      <c r="U575" s="50" t="s">
        <v>4913</v>
      </c>
      <c r="V575" s="116">
        <f t="shared" si="2"/>
        <v>1</v>
      </c>
      <c r="W575" s="116">
        <f t="shared" ref="W575:X575" si="580">IF(lenb(SUBSTITUTE($Z575,W$1&amp;" (1)",""))&lt;lenb($Z575),1,IF(lenb(SUBSTITUTE($Z575,W$1&amp;" (2)",""))&lt;lenb($Z575),2,IF(lenb(SUBSTITUTE($Z575,W$1&amp;" (3)",""))&lt;lenb($Z575),3,IF(lenb(SUBSTITUTE($Z575,W$1&amp;" (4)",""))&lt;lenb($Z575),4,IF(lenb(SUBSTITUTE($Z575,W$1&amp;" (5)",""))&lt;lenb($Z575),5,IF(lenb(SUBSTITUTE($Z575,W$1&amp;" (6)",""))&lt;lenb($Z575),6,IF(lenb(SUBSTITUTE($Z575,W$1&amp;" (7)",""))&lt;lenb($Z575),1,IF(lenb(SUBSTITUTE($Z575,W$1&amp;" (8)",""))&lt;lenb($Z575),8,IF(lenb(SUBSTITUTE($Z575,W$1&amp;" (9)",""))&lt;lenb($Z575),9,IF(lenb(SUBSTITUTE($Z575,W$1&amp;" (10)",""))&lt;lenb($Z575),10,IF(lenb(SUBSTITUTE($Z575,W$1,""))&lt;lenb($Z575),"ERROR",IF($Z575=$Y$1,"-",0))))))))))))</f>
        <v>0</v>
      </c>
      <c r="X575" s="116">
        <f t="shared" si="580"/>
        <v>0</v>
      </c>
      <c r="Y575" s="116" t="str">
        <f t="shared" si="4"/>
        <v>-</v>
      </c>
      <c r="Z575" s="115" t="s">
        <v>3400</v>
      </c>
      <c r="AA575" s="54">
        <f t="shared" si="5"/>
        <v>1</v>
      </c>
      <c r="AB575" s="54">
        <f>COUNTIFS(Links!B:B,"FSE",Links!C:C,A575,Links!AD:AD,1)</f>
        <v>0</v>
      </c>
      <c r="AC575" s="117" t="s">
        <v>35</v>
      </c>
      <c r="AD575" s="118" t="s">
        <v>35</v>
      </c>
      <c r="AE575" s="115" t="s">
        <v>36</v>
      </c>
      <c r="AF575" s="57" t="s">
        <v>42</v>
      </c>
      <c r="AG575" s="57" t="s">
        <v>42</v>
      </c>
      <c r="AH575" s="57" t="s">
        <v>42</v>
      </c>
      <c r="AI575" s="116" t="str">
        <f t="shared" si="6"/>
        <v>----</v>
      </c>
      <c r="AJ575" s="119" t="str">
        <f t="shared" si="7"/>
        <v>Paper has link but no statement</v>
      </c>
      <c r="AK575" s="120" t="s">
        <v>3401</v>
      </c>
      <c r="AL575" s="121" t="s">
        <v>3402</v>
      </c>
      <c r="AM575" s="60" t="str">
        <f t="shared" si="8"/>
        <v>[FP0283]</v>
      </c>
    </row>
    <row r="576" ht="67.5" customHeight="1">
      <c r="A576" s="61">
        <v>284.0</v>
      </c>
      <c r="B576" s="22" t="s">
        <v>4914</v>
      </c>
      <c r="C576" s="23">
        <v>2021.0</v>
      </c>
      <c r="D576" s="100" t="s">
        <v>35</v>
      </c>
      <c r="E576" s="25" t="s">
        <v>36</v>
      </c>
      <c r="F576" s="25" t="s">
        <v>36</v>
      </c>
      <c r="G576" s="25" t="s">
        <v>36</v>
      </c>
      <c r="H576" s="25" t="s">
        <v>36</v>
      </c>
      <c r="I576" s="25" t="s">
        <v>36</v>
      </c>
      <c r="J576" s="101" t="s">
        <v>36</v>
      </c>
      <c r="K576" s="102" t="s">
        <v>37</v>
      </c>
      <c r="L576" s="103" t="s">
        <v>35</v>
      </c>
      <c r="M576" s="103" t="s">
        <v>35</v>
      </c>
      <c r="N576" s="103" t="s">
        <v>35</v>
      </c>
      <c r="O576" s="103" t="s">
        <v>35</v>
      </c>
      <c r="P576" s="103" t="s">
        <v>35</v>
      </c>
      <c r="Q576" s="103" t="s">
        <v>35</v>
      </c>
      <c r="R576" s="103" t="s">
        <v>37</v>
      </c>
      <c r="S576" s="104" t="s">
        <v>4915</v>
      </c>
      <c r="T576" s="30" t="s">
        <v>4916</v>
      </c>
      <c r="U576" s="30" t="s">
        <v>4916</v>
      </c>
      <c r="V576" s="105">
        <f t="shared" si="2"/>
        <v>1</v>
      </c>
      <c r="W576" s="105">
        <f t="shared" ref="W576:X576" si="581">IF(lenb(SUBSTITUTE($Z576,W$1&amp;" (1)",""))&lt;lenb($Z576),1,IF(lenb(SUBSTITUTE($Z576,W$1&amp;" (2)",""))&lt;lenb($Z576),2,IF(lenb(SUBSTITUTE($Z576,W$1&amp;" (3)",""))&lt;lenb($Z576),3,IF(lenb(SUBSTITUTE($Z576,W$1&amp;" (4)",""))&lt;lenb($Z576),4,IF(lenb(SUBSTITUTE($Z576,W$1&amp;" (5)",""))&lt;lenb($Z576),5,IF(lenb(SUBSTITUTE($Z576,W$1&amp;" (6)",""))&lt;lenb($Z576),6,IF(lenb(SUBSTITUTE($Z576,W$1&amp;" (7)",""))&lt;lenb($Z576),1,IF(lenb(SUBSTITUTE($Z576,W$1&amp;" (8)",""))&lt;lenb($Z576),8,IF(lenb(SUBSTITUTE($Z576,W$1&amp;" (9)",""))&lt;lenb($Z576),9,IF(lenb(SUBSTITUTE($Z576,W$1&amp;" (10)",""))&lt;lenb($Z576),10,IF(lenb(SUBSTITUTE($Z576,W$1,""))&lt;lenb($Z576),"ERROR",IF($Z576=$Y$1,"-",0))))))))))))</f>
        <v>0</v>
      </c>
      <c r="X576" s="105">
        <f t="shared" si="581"/>
        <v>0</v>
      </c>
      <c r="Y576" s="105" t="str">
        <f t="shared" si="4"/>
        <v>-</v>
      </c>
      <c r="Z576" s="104" t="s">
        <v>3400</v>
      </c>
      <c r="AA576" s="34">
        <f t="shared" si="5"/>
        <v>1</v>
      </c>
      <c r="AB576" s="34">
        <f>COUNTIFS(Links!B:B,"FSE",Links!C:C,A576,Links!AD:AD,1)</f>
        <v>0</v>
      </c>
      <c r="AC576" s="106" t="s">
        <v>35</v>
      </c>
      <c r="AD576" s="107" t="s">
        <v>35</v>
      </c>
      <c r="AE576" s="104" t="s">
        <v>36</v>
      </c>
      <c r="AF576" s="37" t="s">
        <v>42</v>
      </c>
      <c r="AG576" s="37" t="s">
        <v>42</v>
      </c>
      <c r="AH576" s="37" t="s">
        <v>42</v>
      </c>
      <c r="AI576" s="105" t="str">
        <f t="shared" si="6"/>
        <v>----</v>
      </c>
      <c r="AJ576" s="108" t="str">
        <f t="shared" si="7"/>
        <v>Paper has link but no statement</v>
      </c>
      <c r="AK576" s="109" t="s">
        <v>3401</v>
      </c>
      <c r="AL576" s="110" t="s">
        <v>3402</v>
      </c>
      <c r="AM576" s="40" t="str">
        <f t="shared" si="8"/>
        <v>[FP0284]</v>
      </c>
    </row>
    <row r="577" ht="67.5" customHeight="1">
      <c r="A577" s="41">
        <v>285.0</v>
      </c>
      <c r="B577" s="42" t="s">
        <v>4917</v>
      </c>
      <c r="C577" s="43">
        <v>2021.0</v>
      </c>
      <c r="D577" s="111" t="s">
        <v>35</v>
      </c>
      <c r="E577" s="45" t="s">
        <v>36</v>
      </c>
      <c r="F577" s="45" t="s">
        <v>36</v>
      </c>
      <c r="G577" s="45" t="s">
        <v>36</v>
      </c>
      <c r="H577" s="45" t="s">
        <v>36</v>
      </c>
      <c r="I577" s="45" t="s">
        <v>36</v>
      </c>
      <c r="J577" s="112" t="s">
        <v>36</v>
      </c>
      <c r="K577" s="113" t="s">
        <v>37</v>
      </c>
      <c r="L577" s="114" t="s">
        <v>35</v>
      </c>
      <c r="M577" s="114" t="s">
        <v>35</v>
      </c>
      <c r="N577" s="114" t="s">
        <v>37</v>
      </c>
      <c r="O577" s="114" t="s">
        <v>35</v>
      </c>
      <c r="P577" s="114" t="s">
        <v>35</v>
      </c>
      <c r="Q577" s="114" t="s">
        <v>35</v>
      </c>
      <c r="R577" s="114" t="s">
        <v>35</v>
      </c>
      <c r="S577" s="115" t="s">
        <v>13</v>
      </c>
      <c r="T577" s="50" t="s">
        <v>4918</v>
      </c>
      <c r="U577" s="50" t="s">
        <v>4918</v>
      </c>
      <c r="V577" s="116">
        <f t="shared" si="2"/>
        <v>1</v>
      </c>
      <c r="W577" s="116">
        <f t="shared" ref="W577:X577" si="582">IF(lenb(SUBSTITUTE($Z577,W$1&amp;" (1)",""))&lt;lenb($Z577),1,IF(lenb(SUBSTITUTE($Z577,W$1&amp;" (2)",""))&lt;lenb($Z577),2,IF(lenb(SUBSTITUTE($Z577,W$1&amp;" (3)",""))&lt;lenb($Z577),3,IF(lenb(SUBSTITUTE($Z577,W$1&amp;" (4)",""))&lt;lenb($Z577),4,IF(lenb(SUBSTITUTE($Z577,W$1&amp;" (5)",""))&lt;lenb($Z577),5,IF(lenb(SUBSTITUTE($Z577,W$1&amp;" (6)",""))&lt;lenb($Z577),6,IF(lenb(SUBSTITUTE($Z577,W$1&amp;" (7)",""))&lt;lenb($Z577),1,IF(lenb(SUBSTITUTE($Z577,W$1&amp;" (8)",""))&lt;lenb($Z577),8,IF(lenb(SUBSTITUTE($Z577,W$1&amp;" (9)",""))&lt;lenb($Z577),9,IF(lenb(SUBSTITUTE($Z577,W$1&amp;" (10)",""))&lt;lenb($Z577),10,IF(lenb(SUBSTITUTE($Z577,W$1,""))&lt;lenb($Z577),"ERROR",IF($Z577=$Y$1,"-",0))))))))))))</f>
        <v>0</v>
      </c>
      <c r="X577" s="116">
        <f t="shared" si="582"/>
        <v>0</v>
      </c>
      <c r="Y577" s="116" t="str">
        <f t="shared" si="4"/>
        <v>-</v>
      </c>
      <c r="Z577" s="115" t="s">
        <v>3400</v>
      </c>
      <c r="AA577" s="54">
        <f t="shared" si="5"/>
        <v>1</v>
      </c>
      <c r="AB577" s="54">
        <f>COUNTIFS(Links!B:B,"FSE",Links!C:C,A577,Links!AD:AD,1)</f>
        <v>0</v>
      </c>
      <c r="AC577" s="117" t="s">
        <v>35</v>
      </c>
      <c r="AD577" s="118" t="s">
        <v>35</v>
      </c>
      <c r="AE577" s="115" t="s">
        <v>36</v>
      </c>
      <c r="AF577" s="57" t="s">
        <v>42</v>
      </c>
      <c r="AG577" s="57" t="s">
        <v>42</v>
      </c>
      <c r="AH577" s="57" t="s">
        <v>42</v>
      </c>
      <c r="AI577" s="116" t="str">
        <f t="shared" si="6"/>
        <v>----</v>
      </c>
      <c r="AJ577" s="119" t="str">
        <f t="shared" si="7"/>
        <v>Paper has link but no statement</v>
      </c>
      <c r="AK577" s="120" t="s">
        <v>3401</v>
      </c>
      <c r="AL577" s="121" t="s">
        <v>3402</v>
      </c>
      <c r="AM577" s="60" t="str">
        <f t="shared" si="8"/>
        <v>[FP0285]</v>
      </c>
    </row>
    <row r="578" ht="67.5" customHeight="1">
      <c r="A578" s="61">
        <v>286.0</v>
      </c>
      <c r="B578" s="22" t="s">
        <v>4919</v>
      </c>
      <c r="C578" s="23">
        <v>2021.0</v>
      </c>
      <c r="D578" s="100" t="s">
        <v>37</v>
      </c>
      <c r="E578" s="25" t="s">
        <v>37</v>
      </c>
      <c r="F578" s="25" t="s">
        <v>35</v>
      </c>
      <c r="G578" s="25" t="s">
        <v>35</v>
      </c>
      <c r="H578" s="25" t="s">
        <v>35</v>
      </c>
      <c r="I578" s="25" t="s">
        <v>35</v>
      </c>
      <c r="J578" s="101" t="s">
        <v>36</v>
      </c>
      <c r="K578" s="102" t="s">
        <v>37</v>
      </c>
      <c r="L578" s="103" t="s">
        <v>35</v>
      </c>
      <c r="M578" s="103" t="s">
        <v>35</v>
      </c>
      <c r="N578" s="103" t="s">
        <v>35</v>
      </c>
      <c r="O578" s="103" t="s">
        <v>37</v>
      </c>
      <c r="P578" s="103" t="s">
        <v>37</v>
      </c>
      <c r="Q578" s="103" t="s">
        <v>35</v>
      </c>
      <c r="R578" s="103" t="s">
        <v>35</v>
      </c>
      <c r="S578" s="104" t="s">
        <v>14</v>
      </c>
      <c r="T578" s="30" t="s">
        <v>4920</v>
      </c>
      <c r="U578" s="30" t="s">
        <v>4920</v>
      </c>
      <c r="V578" s="105">
        <f t="shared" si="2"/>
        <v>1</v>
      </c>
      <c r="W578" s="105">
        <f t="shared" ref="W578:X578" si="583">IF(lenb(SUBSTITUTE($Z578,W$1&amp;" (1)",""))&lt;lenb($Z578),1,IF(lenb(SUBSTITUTE($Z578,W$1&amp;" (2)",""))&lt;lenb($Z578),2,IF(lenb(SUBSTITUTE($Z578,W$1&amp;" (3)",""))&lt;lenb($Z578),3,IF(lenb(SUBSTITUTE($Z578,W$1&amp;" (4)",""))&lt;lenb($Z578),4,IF(lenb(SUBSTITUTE($Z578,W$1&amp;" (5)",""))&lt;lenb($Z578),5,IF(lenb(SUBSTITUTE($Z578,W$1&amp;" (6)",""))&lt;lenb($Z578),6,IF(lenb(SUBSTITUTE($Z578,W$1&amp;" (7)",""))&lt;lenb($Z578),1,IF(lenb(SUBSTITUTE($Z578,W$1&amp;" (8)",""))&lt;lenb($Z578),8,IF(lenb(SUBSTITUTE($Z578,W$1&amp;" (9)",""))&lt;lenb($Z578),9,IF(lenb(SUBSTITUTE($Z578,W$1&amp;" (10)",""))&lt;lenb($Z578),10,IF(lenb(SUBSTITUTE($Z578,W$1,""))&lt;lenb($Z578),"ERROR",IF($Z578=$Y$1,"-",0))))))))))))</f>
        <v>0</v>
      </c>
      <c r="X578" s="105">
        <f t="shared" si="583"/>
        <v>0</v>
      </c>
      <c r="Y578" s="105" t="str">
        <f t="shared" si="4"/>
        <v>-</v>
      </c>
      <c r="Z578" s="104" t="s">
        <v>3400</v>
      </c>
      <c r="AA578" s="34">
        <f t="shared" si="5"/>
        <v>1</v>
      </c>
      <c r="AB578" s="34">
        <f>COUNTIFS(Links!B:B,"FSE",Links!C:C,A578,Links!AD:AD,1)</f>
        <v>0</v>
      </c>
      <c r="AC578" s="106" t="s">
        <v>35</v>
      </c>
      <c r="AD578" s="107" t="s">
        <v>35</v>
      </c>
      <c r="AE578" s="104" t="s">
        <v>36</v>
      </c>
      <c r="AF578" s="37" t="s">
        <v>42</v>
      </c>
      <c r="AG578" s="37" t="s">
        <v>42</v>
      </c>
      <c r="AH578" s="37" t="s">
        <v>42</v>
      </c>
      <c r="AI578" s="105" t="str">
        <f t="shared" si="6"/>
        <v>----</v>
      </c>
      <c r="AJ578" s="108" t="str">
        <f t="shared" si="7"/>
        <v>Paper has link but no statement</v>
      </c>
      <c r="AK578" s="109" t="s">
        <v>3401</v>
      </c>
      <c r="AL578" s="110" t="s">
        <v>3402</v>
      </c>
      <c r="AM578" s="40" t="str">
        <f t="shared" si="8"/>
        <v>[FP0286]</v>
      </c>
    </row>
    <row r="579" ht="67.5" customHeight="1">
      <c r="A579" s="41">
        <v>287.0</v>
      </c>
      <c r="B579" s="42" t="s">
        <v>4921</v>
      </c>
      <c r="C579" s="43">
        <v>2021.0</v>
      </c>
      <c r="D579" s="111" t="s">
        <v>35</v>
      </c>
      <c r="E579" s="45" t="s">
        <v>36</v>
      </c>
      <c r="F579" s="45" t="s">
        <v>36</v>
      </c>
      <c r="G579" s="45" t="s">
        <v>36</v>
      </c>
      <c r="H579" s="45" t="s">
        <v>36</v>
      </c>
      <c r="I579" s="45" t="s">
        <v>36</v>
      </c>
      <c r="J579" s="112" t="s">
        <v>36</v>
      </c>
      <c r="K579" s="113" t="s">
        <v>37</v>
      </c>
      <c r="L579" s="114" t="s">
        <v>37</v>
      </c>
      <c r="M579" s="114" t="s">
        <v>35</v>
      </c>
      <c r="N579" s="114" t="s">
        <v>35</v>
      </c>
      <c r="O579" s="114" t="s">
        <v>35</v>
      </c>
      <c r="P579" s="114" t="s">
        <v>35</v>
      </c>
      <c r="Q579" s="114" t="s">
        <v>35</v>
      </c>
      <c r="R579" s="114" t="s">
        <v>37</v>
      </c>
      <c r="S579" s="115" t="s">
        <v>4922</v>
      </c>
      <c r="T579" s="50" t="s">
        <v>4923</v>
      </c>
      <c r="U579" s="50" t="s">
        <v>4923</v>
      </c>
      <c r="V579" s="116">
        <f t="shared" si="2"/>
        <v>1</v>
      </c>
      <c r="W579" s="116">
        <f t="shared" ref="W579:X579" si="584">IF(lenb(SUBSTITUTE($Z579,W$1&amp;" (1)",""))&lt;lenb($Z579),1,IF(lenb(SUBSTITUTE($Z579,W$1&amp;" (2)",""))&lt;lenb($Z579),2,IF(lenb(SUBSTITUTE($Z579,W$1&amp;" (3)",""))&lt;lenb($Z579),3,IF(lenb(SUBSTITUTE($Z579,W$1&amp;" (4)",""))&lt;lenb($Z579),4,IF(lenb(SUBSTITUTE($Z579,W$1&amp;" (5)",""))&lt;lenb($Z579),5,IF(lenb(SUBSTITUTE($Z579,W$1&amp;" (6)",""))&lt;lenb($Z579),6,IF(lenb(SUBSTITUTE($Z579,W$1&amp;" (7)",""))&lt;lenb($Z579),1,IF(lenb(SUBSTITUTE($Z579,W$1&amp;" (8)",""))&lt;lenb($Z579),8,IF(lenb(SUBSTITUTE($Z579,W$1&amp;" (9)",""))&lt;lenb($Z579),9,IF(lenb(SUBSTITUTE($Z579,W$1&amp;" (10)",""))&lt;lenb($Z579),10,IF(lenb(SUBSTITUTE($Z579,W$1,""))&lt;lenb($Z579),"ERROR",IF($Z579=$Y$1,"-",0))))))))))))</f>
        <v>0</v>
      </c>
      <c r="X579" s="116">
        <f t="shared" si="584"/>
        <v>0</v>
      </c>
      <c r="Y579" s="116" t="str">
        <f t="shared" si="4"/>
        <v>-</v>
      </c>
      <c r="Z579" s="115" t="s">
        <v>3400</v>
      </c>
      <c r="AA579" s="54">
        <f t="shared" si="5"/>
        <v>1</v>
      </c>
      <c r="AB579" s="54">
        <f>COUNTIFS(Links!B:B,"FSE",Links!C:C,A579,Links!AD:AD,1)</f>
        <v>0</v>
      </c>
      <c r="AC579" s="117" t="s">
        <v>35</v>
      </c>
      <c r="AD579" s="118" t="s">
        <v>35</v>
      </c>
      <c r="AE579" s="115" t="s">
        <v>36</v>
      </c>
      <c r="AF579" s="57" t="s">
        <v>42</v>
      </c>
      <c r="AG579" s="57" t="s">
        <v>42</v>
      </c>
      <c r="AH579" s="57" t="s">
        <v>42</v>
      </c>
      <c r="AI579" s="116" t="str">
        <f t="shared" si="6"/>
        <v>----</v>
      </c>
      <c r="AJ579" s="119" t="str">
        <f t="shared" si="7"/>
        <v>Paper has link but no statement</v>
      </c>
      <c r="AK579" s="120" t="s">
        <v>3401</v>
      </c>
      <c r="AL579" s="121" t="s">
        <v>3402</v>
      </c>
      <c r="AM579" s="60" t="str">
        <f t="shared" si="8"/>
        <v>[FP0287]</v>
      </c>
    </row>
    <row r="580" ht="67.5" customHeight="1">
      <c r="A580" s="61">
        <v>288.0</v>
      </c>
      <c r="B580" s="22" t="s">
        <v>4924</v>
      </c>
      <c r="C580" s="23">
        <v>2021.0</v>
      </c>
      <c r="D580" s="100" t="s">
        <v>35</v>
      </c>
      <c r="E580" s="25" t="s">
        <v>36</v>
      </c>
      <c r="F580" s="25" t="s">
        <v>36</v>
      </c>
      <c r="G580" s="25" t="s">
        <v>36</v>
      </c>
      <c r="H580" s="25" t="s">
        <v>36</v>
      </c>
      <c r="I580" s="25" t="s">
        <v>36</v>
      </c>
      <c r="J580" s="101" t="s">
        <v>36</v>
      </c>
      <c r="K580" s="102" t="s">
        <v>35</v>
      </c>
      <c r="L580" s="103" t="s">
        <v>36</v>
      </c>
      <c r="M580" s="103" t="s">
        <v>36</v>
      </c>
      <c r="N580" s="103" t="s">
        <v>36</v>
      </c>
      <c r="O580" s="103" t="s">
        <v>36</v>
      </c>
      <c r="P580" s="103" t="s">
        <v>36</v>
      </c>
      <c r="Q580" s="103" t="s">
        <v>36</v>
      </c>
      <c r="R580" s="103" t="s">
        <v>36</v>
      </c>
      <c r="S580" s="104" t="s">
        <v>42</v>
      </c>
      <c r="T580" s="30" t="s">
        <v>36</v>
      </c>
      <c r="U580" s="30" t="s">
        <v>36</v>
      </c>
      <c r="V580" s="105" t="str">
        <f t="shared" si="2"/>
        <v>-</v>
      </c>
      <c r="W580" s="105" t="str">
        <f t="shared" ref="W580:X580" si="585">IF(lenb(SUBSTITUTE($Z580,W$1&amp;" (1)",""))&lt;lenb($Z580),1,IF(lenb(SUBSTITUTE($Z580,W$1&amp;" (2)",""))&lt;lenb($Z580),2,IF(lenb(SUBSTITUTE($Z580,W$1&amp;" (3)",""))&lt;lenb($Z580),3,IF(lenb(SUBSTITUTE($Z580,W$1&amp;" (4)",""))&lt;lenb($Z580),4,IF(lenb(SUBSTITUTE($Z580,W$1&amp;" (5)",""))&lt;lenb($Z580),5,IF(lenb(SUBSTITUTE($Z580,W$1&amp;" (6)",""))&lt;lenb($Z580),6,IF(lenb(SUBSTITUTE($Z580,W$1&amp;" (7)",""))&lt;lenb($Z580),1,IF(lenb(SUBSTITUTE($Z580,W$1&amp;" (8)",""))&lt;lenb($Z580),8,IF(lenb(SUBSTITUTE($Z580,W$1&amp;" (9)",""))&lt;lenb($Z580),9,IF(lenb(SUBSTITUTE($Z580,W$1&amp;" (10)",""))&lt;lenb($Z580),10,IF(lenb(SUBSTITUTE($Z580,W$1,""))&lt;lenb($Z580),"ERROR",IF($Z580=$Y$1,"-",0))))))))))))</f>
        <v>-</v>
      </c>
      <c r="X580" s="105" t="str">
        <f t="shared" si="585"/>
        <v>-</v>
      </c>
      <c r="Y580" s="105">
        <f t="shared" si="4"/>
        <v>1</v>
      </c>
      <c r="Z580" s="104" t="s">
        <v>23</v>
      </c>
      <c r="AA580" s="34">
        <f t="shared" si="5"/>
        <v>0</v>
      </c>
      <c r="AB580" s="34">
        <f>COUNTIFS(Links!B:B,"FSE",Links!C:C,A580,Links!AD:AD,1)</f>
        <v>0</v>
      </c>
      <c r="AC580" s="106" t="s">
        <v>36</v>
      </c>
      <c r="AD580" s="107" t="s">
        <v>35</v>
      </c>
      <c r="AE580" s="104" t="s">
        <v>36</v>
      </c>
      <c r="AF580" s="37" t="s">
        <v>42</v>
      </c>
      <c r="AG580" s="37" t="s">
        <v>42</v>
      </c>
      <c r="AH580" s="37" t="s">
        <v>42</v>
      </c>
      <c r="AI580" s="105" t="str">
        <f t="shared" si="6"/>
        <v>----</v>
      </c>
      <c r="AJ580" s="108" t="str">
        <f t="shared" si="7"/>
        <v>Paper has no link and no statement</v>
      </c>
      <c r="AK580" s="109" t="s">
        <v>3401</v>
      </c>
      <c r="AL580" s="110" t="s">
        <v>3402</v>
      </c>
      <c r="AM580" s="40" t="str">
        <f t="shared" si="8"/>
        <v>[FP0288]</v>
      </c>
    </row>
    <row r="581" ht="67.5" customHeight="1">
      <c r="A581" s="41">
        <v>289.0</v>
      </c>
      <c r="B581" s="42" t="s">
        <v>4925</v>
      </c>
      <c r="C581" s="43">
        <v>2021.0</v>
      </c>
      <c r="D581" s="111" t="s">
        <v>37</v>
      </c>
      <c r="E581" s="45" t="s">
        <v>37</v>
      </c>
      <c r="F581" s="45" t="s">
        <v>35</v>
      </c>
      <c r="G581" s="45" t="s">
        <v>35</v>
      </c>
      <c r="H581" s="45" t="s">
        <v>35</v>
      </c>
      <c r="I581" s="45" t="s">
        <v>35</v>
      </c>
      <c r="J581" s="112" t="s">
        <v>36</v>
      </c>
      <c r="K581" s="113" t="s">
        <v>37</v>
      </c>
      <c r="L581" s="114" t="s">
        <v>35</v>
      </c>
      <c r="M581" s="114" t="s">
        <v>37</v>
      </c>
      <c r="N581" s="114" t="s">
        <v>35</v>
      </c>
      <c r="O581" s="114" t="s">
        <v>37</v>
      </c>
      <c r="P581" s="114" t="s">
        <v>35</v>
      </c>
      <c r="Q581" s="114" t="s">
        <v>35</v>
      </c>
      <c r="R581" s="114" t="s">
        <v>37</v>
      </c>
      <c r="S581" s="115" t="s">
        <v>4926</v>
      </c>
      <c r="T581" s="50" t="s">
        <v>4927</v>
      </c>
      <c r="U581" s="50" t="s">
        <v>4927</v>
      </c>
      <c r="V581" s="116">
        <f t="shared" si="2"/>
        <v>1</v>
      </c>
      <c r="W581" s="116">
        <f t="shared" ref="W581:X581" si="586">IF(lenb(SUBSTITUTE($Z581,W$1&amp;" (1)",""))&lt;lenb($Z581),1,IF(lenb(SUBSTITUTE($Z581,W$1&amp;" (2)",""))&lt;lenb($Z581),2,IF(lenb(SUBSTITUTE($Z581,W$1&amp;" (3)",""))&lt;lenb($Z581),3,IF(lenb(SUBSTITUTE($Z581,W$1&amp;" (4)",""))&lt;lenb($Z581),4,IF(lenb(SUBSTITUTE($Z581,W$1&amp;" (5)",""))&lt;lenb($Z581),5,IF(lenb(SUBSTITUTE($Z581,W$1&amp;" (6)",""))&lt;lenb($Z581),6,IF(lenb(SUBSTITUTE($Z581,W$1&amp;" (7)",""))&lt;lenb($Z581),1,IF(lenb(SUBSTITUTE($Z581,W$1&amp;" (8)",""))&lt;lenb($Z581),8,IF(lenb(SUBSTITUTE($Z581,W$1&amp;" (9)",""))&lt;lenb($Z581),9,IF(lenb(SUBSTITUTE($Z581,W$1&amp;" (10)",""))&lt;lenb($Z581),10,IF(lenb(SUBSTITUTE($Z581,W$1,""))&lt;lenb($Z581),"ERROR",IF($Z581=$Y$1,"-",0))))))))))))</f>
        <v>0</v>
      </c>
      <c r="X581" s="116">
        <f t="shared" si="586"/>
        <v>0</v>
      </c>
      <c r="Y581" s="116" t="str">
        <f t="shared" si="4"/>
        <v>-</v>
      </c>
      <c r="Z581" s="115" t="s">
        <v>3400</v>
      </c>
      <c r="AA581" s="54">
        <f t="shared" si="5"/>
        <v>1</v>
      </c>
      <c r="AB581" s="54">
        <f>COUNTIFS(Links!B:B,"FSE",Links!C:C,A581,Links!AD:AD,1)</f>
        <v>0</v>
      </c>
      <c r="AC581" s="117" t="s">
        <v>37</v>
      </c>
      <c r="AD581" s="118" t="s">
        <v>35</v>
      </c>
      <c r="AE581" s="115" t="s">
        <v>36</v>
      </c>
      <c r="AF581" s="57" t="s">
        <v>42</v>
      </c>
      <c r="AG581" s="57" t="s">
        <v>42</v>
      </c>
      <c r="AH581" s="57" t="s">
        <v>42</v>
      </c>
      <c r="AI581" s="116" t="str">
        <f t="shared" si="6"/>
        <v>----</v>
      </c>
      <c r="AJ581" s="119" t="str">
        <f t="shared" si="7"/>
        <v>Paper has link but no statement</v>
      </c>
      <c r="AK581" s="120" t="s">
        <v>3401</v>
      </c>
      <c r="AL581" s="121" t="s">
        <v>3402</v>
      </c>
      <c r="AM581" s="60" t="str">
        <f t="shared" si="8"/>
        <v>[FP0289]</v>
      </c>
    </row>
    <row r="582" ht="67.5" customHeight="1">
      <c r="A582" s="61">
        <v>290.0</v>
      </c>
      <c r="B582" s="22" t="s">
        <v>4928</v>
      </c>
      <c r="C582" s="23">
        <v>2021.0</v>
      </c>
      <c r="D582" s="100" t="s">
        <v>35</v>
      </c>
      <c r="E582" s="25" t="s">
        <v>36</v>
      </c>
      <c r="F582" s="25" t="s">
        <v>36</v>
      </c>
      <c r="G582" s="25" t="s">
        <v>36</v>
      </c>
      <c r="H582" s="25" t="s">
        <v>36</v>
      </c>
      <c r="I582" s="25" t="s">
        <v>36</v>
      </c>
      <c r="J582" s="101" t="s">
        <v>36</v>
      </c>
      <c r="K582" s="102" t="s">
        <v>35</v>
      </c>
      <c r="L582" s="103" t="s">
        <v>36</v>
      </c>
      <c r="M582" s="103" t="s">
        <v>36</v>
      </c>
      <c r="N582" s="103" t="s">
        <v>36</v>
      </c>
      <c r="O582" s="103" t="s">
        <v>36</v>
      </c>
      <c r="P582" s="103" t="s">
        <v>36</v>
      </c>
      <c r="Q582" s="103" t="s">
        <v>36</v>
      </c>
      <c r="R582" s="103" t="s">
        <v>36</v>
      </c>
      <c r="S582" s="104" t="s">
        <v>42</v>
      </c>
      <c r="T582" s="30" t="s">
        <v>36</v>
      </c>
      <c r="U582" s="30" t="s">
        <v>36</v>
      </c>
      <c r="V582" s="105" t="str">
        <f t="shared" si="2"/>
        <v>-</v>
      </c>
      <c r="W582" s="105" t="str">
        <f t="shared" ref="W582:X582" si="587">IF(lenb(SUBSTITUTE($Z582,W$1&amp;" (1)",""))&lt;lenb($Z582),1,IF(lenb(SUBSTITUTE($Z582,W$1&amp;" (2)",""))&lt;lenb($Z582),2,IF(lenb(SUBSTITUTE($Z582,W$1&amp;" (3)",""))&lt;lenb($Z582),3,IF(lenb(SUBSTITUTE($Z582,W$1&amp;" (4)",""))&lt;lenb($Z582),4,IF(lenb(SUBSTITUTE($Z582,W$1&amp;" (5)",""))&lt;lenb($Z582),5,IF(lenb(SUBSTITUTE($Z582,W$1&amp;" (6)",""))&lt;lenb($Z582),6,IF(lenb(SUBSTITUTE($Z582,W$1&amp;" (7)",""))&lt;lenb($Z582),1,IF(lenb(SUBSTITUTE($Z582,W$1&amp;" (8)",""))&lt;lenb($Z582),8,IF(lenb(SUBSTITUTE($Z582,W$1&amp;" (9)",""))&lt;lenb($Z582),9,IF(lenb(SUBSTITUTE($Z582,W$1&amp;" (10)",""))&lt;lenb($Z582),10,IF(lenb(SUBSTITUTE($Z582,W$1,""))&lt;lenb($Z582),"ERROR",IF($Z582=$Y$1,"-",0))))))))))))</f>
        <v>-</v>
      </c>
      <c r="X582" s="105" t="str">
        <f t="shared" si="587"/>
        <v>-</v>
      </c>
      <c r="Y582" s="105">
        <f t="shared" si="4"/>
        <v>1</v>
      </c>
      <c r="Z582" s="104" t="s">
        <v>23</v>
      </c>
      <c r="AA582" s="34">
        <f t="shared" si="5"/>
        <v>0</v>
      </c>
      <c r="AB582" s="34">
        <f>COUNTIFS(Links!B:B,"FSE",Links!C:C,A582,Links!AD:AD,1)</f>
        <v>0</v>
      </c>
      <c r="AC582" s="106" t="s">
        <v>36</v>
      </c>
      <c r="AD582" s="107" t="s">
        <v>35</v>
      </c>
      <c r="AE582" s="104" t="s">
        <v>36</v>
      </c>
      <c r="AF582" s="37" t="s">
        <v>42</v>
      </c>
      <c r="AG582" s="37" t="s">
        <v>42</v>
      </c>
      <c r="AH582" s="37" t="s">
        <v>42</v>
      </c>
      <c r="AI582" s="105" t="str">
        <f t="shared" si="6"/>
        <v>----</v>
      </c>
      <c r="AJ582" s="108" t="str">
        <f t="shared" si="7"/>
        <v>Paper has no link and no statement</v>
      </c>
      <c r="AK582" s="109" t="s">
        <v>3401</v>
      </c>
      <c r="AL582" s="110" t="s">
        <v>3402</v>
      </c>
      <c r="AM582" s="40" t="str">
        <f t="shared" si="8"/>
        <v>[FP0290]</v>
      </c>
    </row>
    <row r="583" ht="67.5" customHeight="1">
      <c r="A583" s="41">
        <v>291.0</v>
      </c>
      <c r="B583" s="42" t="s">
        <v>4929</v>
      </c>
      <c r="C583" s="43">
        <v>2021.0</v>
      </c>
      <c r="D583" s="111" t="s">
        <v>35</v>
      </c>
      <c r="E583" s="45" t="s">
        <v>36</v>
      </c>
      <c r="F583" s="45" t="s">
        <v>36</v>
      </c>
      <c r="G583" s="45" t="s">
        <v>36</v>
      </c>
      <c r="H583" s="45" t="s">
        <v>36</v>
      </c>
      <c r="I583" s="45" t="s">
        <v>36</v>
      </c>
      <c r="J583" s="112" t="s">
        <v>36</v>
      </c>
      <c r="K583" s="113" t="s">
        <v>37</v>
      </c>
      <c r="L583" s="114" t="s">
        <v>37</v>
      </c>
      <c r="M583" s="114" t="s">
        <v>35</v>
      </c>
      <c r="N583" s="114" t="s">
        <v>37</v>
      </c>
      <c r="O583" s="114" t="s">
        <v>35</v>
      </c>
      <c r="P583" s="114" t="s">
        <v>35</v>
      </c>
      <c r="Q583" s="114" t="s">
        <v>35</v>
      </c>
      <c r="R583" s="114" t="s">
        <v>35</v>
      </c>
      <c r="S583" s="115" t="s">
        <v>4930</v>
      </c>
      <c r="T583" s="50" t="s">
        <v>4931</v>
      </c>
      <c r="U583" s="50" t="s">
        <v>4931</v>
      </c>
      <c r="V583" s="116">
        <f t="shared" si="2"/>
        <v>1</v>
      </c>
      <c r="W583" s="116">
        <f t="shared" ref="W583:X583" si="588">IF(lenb(SUBSTITUTE($Z583,W$1&amp;" (1)",""))&lt;lenb($Z583),1,IF(lenb(SUBSTITUTE($Z583,W$1&amp;" (2)",""))&lt;lenb($Z583),2,IF(lenb(SUBSTITUTE($Z583,W$1&amp;" (3)",""))&lt;lenb($Z583),3,IF(lenb(SUBSTITUTE($Z583,W$1&amp;" (4)",""))&lt;lenb($Z583),4,IF(lenb(SUBSTITUTE($Z583,W$1&amp;" (5)",""))&lt;lenb($Z583),5,IF(lenb(SUBSTITUTE($Z583,W$1&amp;" (6)",""))&lt;lenb($Z583),6,IF(lenb(SUBSTITUTE($Z583,W$1&amp;" (7)",""))&lt;lenb($Z583),1,IF(lenb(SUBSTITUTE($Z583,W$1&amp;" (8)",""))&lt;lenb($Z583),8,IF(lenb(SUBSTITUTE($Z583,W$1&amp;" (9)",""))&lt;lenb($Z583),9,IF(lenb(SUBSTITUTE($Z583,W$1&amp;" (10)",""))&lt;lenb($Z583),10,IF(lenb(SUBSTITUTE($Z583,W$1,""))&lt;lenb($Z583),"ERROR",IF($Z583=$Y$1,"-",0))))))))))))</f>
        <v>0</v>
      </c>
      <c r="X583" s="116">
        <f t="shared" si="588"/>
        <v>0</v>
      </c>
      <c r="Y583" s="116" t="str">
        <f t="shared" si="4"/>
        <v>-</v>
      </c>
      <c r="Z583" s="115" t="s">
        <v>3400</v>
      </c>
      <c r="AA583" s="54">
        <f t="shared" si="5"/>
        <v>1</v>
      </c>
      <c r="AB583" s="54">
        <f>COUNTIFS(Links!B:B,"FSE",Links!C:C,A583,Links!AD:AD,1)</f>
        <v>0</v>
      </c>
      <c r="AC583" s="117" t="s">
        <v>35</v>
      </c>
      <c r="AD583" s="118" t="s">
        <v>35</v>
      </c>
      <c r="AE583" s="115" t="s">
        <v>36</v>
      </c>
      <c r="AF583" s="57" t="s">
        <v>42</v>
      </c>
      <c r="AG583" s="57" t="s">
        <v>42</v>
      </c>
      <c r="AH583" s="57" t="s">
        <v>42</v>
      </c>
      <c r="AI583" s="116" t="str">
        <f t="shared" si="6"/>
        <v>----</v>
      </c>
      <c r="AJ583" s="119" t="str">
        <f t="shared" si="7"/>
        <v>Paper has link but no statement</v>
      </c>
      <c r="AK583" s="120" t="s">
        <v>3401</v>
      </c>
      <c r="AL583" s="121" t="s">
        <v>3402</v>
      </c>
      <c r="AM583" s="60" t="str">
        <f t="shared" si="8"/>
        <v>[FP0291]</v>
      </c>
    </row>
    <row r="584" ht="67.5" customHeight="1">
      <c r="A584" s="61">
        <v>292.0</v>
      </c>
      <c r="B584" s="22" t="s">
        <v>4932</v>
      </c>
      <c r="C584" s="23">
        <v>2021.0</v>
      </c>
      <c r="D584" s="100" t="s">
        <v>35</v>
      </c>
      <c r="E584" s="25" t="s">
        <v>36</v>
      </c>
      <c r="F584" s="25" t="s">
        <v>36</v>
      </c>
      <c r="G584" s="25" t="s">
        <v>36</v>
      </c>
      <c r="H584" s="25" t="s">
        <v>36</v>
      </c>
      <c r="I584" s="25" t="s">
        <v>36</v>
      </c>
      <c r="J584" s="101" t="s">
        <v>36</v>
      </c>
      <c r="K584" s="102" t="s">
        <v>37</v>
      </c>
      <c r="L584" s="103" t="s">
        <v>35</v>
      </c>
      <c r="M584" s="103" t="s">
        <v>37</v>
      </c>
      <c r="N584" s="103" t="s">
        <v>37</v>
      </c>
      <c r="O584" s="103" t="s">
        <v>35</v>
      </c>
      <c r="P584" s="103" t="s">
        <v>35</v>
      </c>
      <c r="Q584" s="103" t="s">
        <v>35</v>
      </c>
      <c r="R584" s="103" t="s">
        <v>37</v>
      </c>
      <c r="S584" s="104" t="s">
        <v>4933</v>
      </c>
      <c r="T584" s="30" t="s">
        <v>4934</v>
      </c>
      <c r="U584" s="30" t="s">
        <v>4934</v>
      </c>
      <c r="V584" s="105">
        <f t="shared" si="2"/>
        <v>1</v>
      </c>
      <c r="W584" s="105">
        <f t="shared" ref="W584:X584" si="589">IF(lenb(SUBSTITUTE($Z584,W$1&amp;" (1)",""))&lt;lenb($Z584),1,IF(lenb(SUBSTITUTE($Z584,W$1&amp;" (2)",""))&lt;lenb($Z584),2,IF(lenb(SUBSTITUTE($Z584,W$1&amp;" (3)",""))&lt;lenb($Z584),3,IF(lenb(SUBSTITUTE($Z584,W$1&amp;" (4)",""))&lt;lenb($Z584),4,IF(lenb(SUBSTITUTE($Z584,W$1&amp;" (5)",""))&lt;lenb($Z584),5,IF(lenb(SUBSTITUTE($Z584,W$1&amp;" (6)",""))&lt;lenb($Z584),6,IF(lenb(SUBSTITUTE($Z584,W$1&amp;" (7)",""))&lt;lenb($Z584),1,IF(lenb(SUBSTITUTE($Z584,W$1&amp;" (8)",""))&lt;lenb($Z584),8,IF(lenb(SUBSTITUTE($Z584,W$1&amp;" (9)",""))&lt;lenb($Z584),9,IF(lenb(SUBSTITUTE($Z584,W$1&amp;" (10)",""))&lt;lenb($Z584),10,IF(lenb(SUBSTITUTE($Z584,W$1,""))&lt;lenb($Z584),"ERROR",IF($Z584=$Y$1,"-",0))))))))))))</f>
        <v>0</v>
      </c>
      <c r="X584" s="105">
        <f t="shared" si="589"/>
        <v>0</v>
      </c>
      <c r="Y584" s="105" t="str">
        <f t="shared" si="4"/>
        <v>-</v>
      </c>
      <c r="Z584" s="104" t="s">
        <v>3400</v>
      </c>
      <c r="AA584" s="34">
        <f t="shared" si="5"/>
        <v>1</v>
      </c>
      <c r="AB584" s="34">
        <f>COUNTIFS(Links!B:B,"FSE",Links!C:C,A584,Links!AD:AD,1)</f>
        <v>0</v>
      </c>
      <c r="AC584" s="106" t="s">
        <v>37</v>
      </c>
      <c r="AD584" s="107" t="s">
        <v>35</v>
      </c>
      <c r="AE584" s="104" t="s">
        <v>36</v>
      </c>
      <c r="AF584" s="37" t="s">
        <v>42</v>
      </c>
      <c r="AG584" s="37" t="s">
        <v>42</v>
      </c>
      <c r="AH584" s="37" t="s">
        <v>42</v>
      </c>
      <c r="AI584" s="105" t="str">
        <f t="shared" si="6"/>
        <v>----</v>
      </c>
      <c r="AJ584" s="108" t="str">
        <f t="shared" si="7"/>
        <v>Paper has link but no statement</v>
      </c>
      <c r="AK584" s="109" t="s">
        <v>3401</v>
      </c>
      <c r="AL584" s="110" t="s">
        <v>3402</v>
      </c>
      <c r="AM584" s="40" t="str">
        <f t="shared" si="8"/>
        <v>[FP0292]</v>
      </c>
    </row>
    <row r="585" ht="67.5" customHeight="1">
      <c r="A585" s="41">
        <v>293.0</v>
      </c>
      <c r="B585" s="42" t="s">
        <v>4935</v>
      </c>
      <c r="C585" s="43">
        <v>2021.0</v>
      </c>
      <c r="D585" s="111" t="s">
        <v>35</v>
      </c>
      <c r="E585" s="45" t="s">
        <v>36</v>
      </c>
      <c r="F585" s="45" t="s">
        <v>36</v>
      </c>
      <c r="G585" s="45" t="s">
        <v>36</v>
      </c>
      <c r="H585" s="45" t="s">
        <v>36</v>
      </c>
      <c r="I585" s="45" t="s">
        <v>36</v>
      </c>
      <c r="J585" s="112" t="s">
        <v>36</v>
      </c>
      <c r="K585" s="113" t="s">
        <v>37</v>
      </c>
      <c r="L585" s="114" t="s">
        <v>37</v>
      </c>
      <c r="M585" s="114" t="s">
        <v>35</v>
      </c>
      <c r="N585" s="114" t="s">
        <v>37</v>
      </c>
      <c r="O585" s="114" t="s">
        <v>35</v>
      </c>
      <c r="P585" s="114" t="s">
        <v>35</v>
      </c>
      <c r="Q585" s="114" t="s">
        <v>35</v>
      </c>
      <c r="R585" s="114" t="s">
        <v>37</v>
      </c>
      <c r="S585" s="115" t="s">
        <v>4936</v>
      </c>
      <c r="T585" s="50" t="s">
        <v>4937</v>
      </c>
      <c r="U585" s="50" t="s">
        <v>4938</v>
      </c>
      <c r="V585" s="116">
        <f t="shared" si="2"/>
        <v>6</v>
      </c>
      <c r="W585" s="116">
        <f t="shared" ref="W585:X585" si="590">IF(lenb(SUBSTITUTE($Z585,W$1&amp;" (1)",""))&lt;lenb($Z585),1,IF(lenb(SUBSTITUTE($Z585,W$1&amp;" (2)",""))&lt;lenb($Z585),2,IF(lenb(SUBSTITUTE($Z585,W$1&amp;" (3)",""))&lt;lenb($Z585),3,IF(lenb(SUBSTITUTE($Z585,W$1&amp;" (4)",""))&lt;lenb($Z585),4,IF(lenb(SUBSTITUTE($Z585,W$1&amp;" (5)",""))&lt;lenb($Z585),5,IF(lenb(SUBSTITUTE($Z585,W$1&amp;" (6)",""))&lt;lenb($Z585),6,IF(lenb(SUBSTITUTE($Z585,W$1&amp;" (7)",""))&lt;lenb($Z585),1,IF(lenb(SUBSTITUTE($Z585,W$1&amp;" (8)",""))&lt;lenb($Z585),8,IF(lenb(SUBSTITUTE($Z585,W$1&amp;" (9)",""))&lt;lenb($Z585),9,IF(lenb(SUBSTITUTE($Z585,W$1&amp;" (10)",""))&lt;lenb($Z585),10,IF(lenb(SUBSTITUTE($Z585,W$1,""))&lt;lenb($Z585),"ERROR",IF($Z585=$Y$1,"-",0))))))))))))</f>
        <v>0</v>
      </c>
      <c r="X585" s="116">
        <f t="shared" si="590"/>
        <v>0</v>
      </c>
      <c r="Y585" s="116" t="str">
        <f t="shared" si="4"/>
        <v>-</v>
      </c>
      <c r="Z585" s="115" t="s">
        <v>4939</v>
      </c>
      <c r="AA585" s="54">
        <f t="shared" si="5"/>
        <v>6</v>
      </c>
      <c r="AB585" s="54">
        <f>COUNTIFS(Links!B:B,"FSE",Links!C:C,A585,Links!AD:AD,1)</f>
        <v>0</v>
      </c>
      <c r="AC585" s="117" t="s">
        <v>37</v>
      </c>
      <c r="AD585" s="118" t="s">
        <v>35</v>
      </c>
      <c r="AE585" s="115" t="s">
        <v>36</v>
      </c>
      <c r="AF585" s="57" t="s">
        <v>42</v>
      </c>
      <c r="AG585" s="57" t="s">
        <v>42</v>
      </c>
      <c r="AH585" s="57" t="s">
        <v>42</v>
      </c>
      <c r="AI585" s="116" t="str">
        <f t="shared" si="6"/>
        <v>----</v>
      </c>
      <c r="AJ585" s="119" t="str">
        <f t="shared" si="7"/>
        <v>Paper has link but no statement</v>
      </c>
      <c r="AK585" s="120" t="s">
        <v>3401</v>
      </c>
      <c r="AL585" s="121" t="s">
        <v>3402</v>
      </c>
      <c r="AM585" s="60" t="str">
        <f t="shared" si="8"/>
        <v>[FP0293]</v>
      </c>
    </row>
    <row r="586" ht="67.5" customHeight="1">
      <c r="A586" s="61">
        <v>294.0</v>
      </c>
      <c r="B586" s="22" t="s">
        <v>4940</v>
      </c>
      <c r="C586" s="23">
        <v>2021.0</v>
      </c>
      <c r="D586" s="100" t="s">
        <v>37</v>
      </c>
      <c r="E586" s="25" t="s">
        <v>37</v>
      </c>
      <c r="F586" s="25" t="s">
        <v>35</v>
      </c>
      <c r="G586" s="25" t="s">
        <v>35</v>
      </c>
      <c r="H586" s="25" t="s">
        <v>35</v>
      </c>
      <c r="I586" s="25" t="s">
        <v>35</v>
      </c>
      <c r="J586" s="101" t="s">
        <v>36</v>
      </c>
      <c r="K586" s="102" t="s">
        <v>35</v>
      </c>
      <c r="L586" s="103" t="s">
        <v>36</v>
      </c>
      <c r="M586" s="103" t="s">
        <v>36</v>
      </c>
      <c r="N586" s="103" t="s">
        <v>36</v>
      </c>
      <c r="O586" s="103" t="s">
        <v>36</v>
      </c>
      <c r="P586" s="103" t="s">
        <v>36</v>
      </c>
      <c r="Q586" s="103" t="s">
        <v>36</v>
      </c>
      <c r="R586" s="103" t="s">
        <v>36</v>
      </c>
      <c r="S586" s="104" t="s">
        <v>42</v>
      </c>
      <c r="T586" s="30" t="s">
        <v>36</v>
      </c>
      <c r="U586" s="30" t="s">
        <v>36</v>
      </c>
      <c r="V586" s="105" t="str">
        <f t="shared" si="2"/>
        <v>-</v>
      </c>
      <c r="W586" s="105" t="str">
        <f t="shared" ref="W586:X586" si="591">IF(lenb(SUBSTITUTE($Z586,W$1&amp;" (1)",""))&lt;lenb($Z586),1,IF(lenb(SUBSTITUTE($Z586,W$1&amp;" (2)",""))&lt;lenb($Z586),2,IF(lenb(SUBSTITUTE($Z586,W$1&amp;" (3)",""))&lt;lenb($Z586),3,IF(lenb(SUBSTITUTE($Z586,W$1&amp;" (4)",""))&lt;lenb($Z586),4,IF(lenb(SUBSTITUTE($Z586,W$1&amp;" (5)",""))&lt;lenb($Z586),5,IF(lenb(SUBSTITUTE($Z586,W$1&amp;" (6)",""))&lt;lenb($Z586),6,IF(lenb(SUBSTITUTE($Z586,W$1&amp;" (7)",""))&lt;lenb($Z586),1,IF(lenb(SUBSTITUTE($Z586,W$1&amp;" (8)",""))&lt;lenb($Z586),8,IF(lenb(SUBSTITUTE($Z586,W$1&amp;" (9)",""))&lt;lenb($Z586),9,IF(lenb(SUBSTITUTE($Z586,W$1&amp;" (10)",""))&lt;lenb($Z586),10,IF(lenb(SUBSTITUTE($Z586,W$1,""))&lt;lenb($Z586),"ERROR",IF($Z586=$Y$1,"-",0))))))))))))</f>
        <v>-</v>
      </c>
      <c r="X586" s="105" t="str">
        <f t="shared" si="591"/>
        <v>-</v>
      </c>
      <c r="Y586" s="105">
        <f t="shared" si="4"/>
        <v>1</v>
      </c>
      <c r="Z586" s="104" t="s">
        <v>23</v>
      </c>
      <c r="AA586" s="34">
        <f t="shared" si="5"/>
        <v>0</v>
      </c>
      <c r="AB586" s="34">
        <f>COUNTIFS(Links!B:B,"FSE",Links!C:C,A586,Links!AD:AD,1)</f>
        <v>0</v>
      </c>
      <c r="AC586" s="106" t="s">
        <v>36</v>
      </c>
      <c r="AD586" s="107" t="s">
        <v>35</v>
      </c>
      <c r="AE586" s="104" t="s">
        <v>36</v>
      </c>
      <c r="AF586" s="37" t="s">
        <v>42</v>
      </c>
      <c r="AG586" s="37" t="s">
        <v>42</v>
      </c>
      <c r="AH586" s="37" t="s">
        <v>42</v>
      </c>
      <c r="AI586" s="105" t="str">
        <f t="shared" si="6"/>
        <v>----</v>
      </c>
      <c r="AJ586" s="108" t="str">
        <f t="shared" si="7"/>
        <v>Paper has no link and no statement</v>
      </c>
      <c r="AK586" s="109" t="s">
        <v>3401</v>
      </c>
      <c r="AL586" s="110" t="s">
        <v>3402</v>
      </c>
      <c r="AM586" s="40" t="str">
        <f t="shared" si="8"/>
        <v>[FP0294]</v>
      </c>
    </row>
    <row r="587" ht="67.5" customHeight="1">
      <c r="A587" s="41">
        <v>295.0</v>
      </c>
      <c r="B587" s="42" t="s">
        <v>4941</v>
      </c>
      <c r="C587" s="43">
        <v>2021.0</v>
      </c>
      <c r="D587" s="111" t="s">
        <v>37</v>
      </c>
      <c r="E587" s="45" t="s">
        <v>35</v>
      </c>
      <c r="F587" s="45" t="s">
        <v>35</v>
      </c>
      <c r="G587" s="45" t="s">
        <v>37</v>
      </c>
      <c r="H587" s="45" t="s">
        <v>35</v>
      </c>
      <c r="I587" s="45" t="s">
        <v>35</v>
      </c>
      <c r="J587" s="112" t="s">
        <v>36</v>
      </c>
      <c r="K587" s="113" t="s">
        <v>37</v>
      </c>
      <c r="L587" s="114" t="s">
        <v>35</v>
      </c>
      <c r="M587" s="114" t="s">
        <v>37</v>
      </c>
      <c r="N587" s="114" t="s">
        <v>35</v>
      </c>
      <c r="O587" s="114" t="s">
        <v>35</v>
      </c>
      <c r="P587" s="114" t="s">
        <v>35</v>
      </c>
      <c r="Q587" s="114" t="s">
        <v>35</v>
      </c>
      <c r="R587" s="114" t="s">
        <v>37</v>
      </c>
      <c r="S587" s="115" t="s">
        <v>4942</v>
      </c>
      <c r="T587" s="50" t="s">
        <v>4943</v>
      </c>
      <c r="U587" s="50" t="s">
        <v>4943</v>
      </c>
      <c r="V587" s="116">
        <f t="shared" si="2"/>
        <v>1</v>
      </c>
      <c r="W587" s="116">
        <f t="shared" ref="W587:X587" si="592">IF(lenb(SUBSTITUTE($Z587,W$1&amp;" (1)",""))&lt;lenb($Z587),1,IF(lenb(SUBSTITUTE($Z587,W$1&amp;" (2)",""))&lt;lenb($Z587),2,IF(lenb(SUBSTITUTE($Z587,W$1&amp;" (3)",""))&lt;lenb($Z587),3,IF(lenb(SUBSTITUTE($Z587,W$1&amp;" (4)",""))&lt;lenb($Z587),4,IF(lenb(SUBSTITUTE($Z587,W$1&amp;" (5)",""))&lt;lenb($Z587),5,IF(lenb(SUBSTITUTE($Z587,W$1&amp;" (6)",""))&lt;lenb($Z587),6,IF(lenb(SUBSTITUTE($Z587,W$1&amp;" (7)",""))&lt;lenb($Z587),1,IF(lenb(SUBSTITUTE($Z587,W$1&amp;" (8)",""))&lt;lenb($Z587),8,IF(lenb(SUBSTITUTE($Z587,W$1&amp;" (9)",""))&lt;lenb($Z587),9,IF(lenb(SUBSTITUTE($Z587,W$1&amp;" (10)",""))&lt;lenb($Z587),10,IF(lenb(SUBSTITUTE($Z587,W$1,""))&lt;lenb($Z587),"ERROR",IF($Z587=$Y$1,"-",0))))))))))))</f>
        <v>0</v>
      </c>
      <c r="X587" s="116">
        <f t="shared" si="592"/>
        <v>0</v>
      </c>
      <c r="Y587" s="116" t="str">
        <f t="shared" si="4"/>
        <v>-</v>
      </c>
      <c r="Z587" s="115" t="s">
        <v>3400</v>
      </c>
      <c r="AA587" s="54">
        <f t="shared" si="5"/>
        <v>1</v>
      </c>
      <c r="AB587" s="54">
        <f>COUNTIFS(Links!B:B,"FSE",Links!C:C,A587,Links!AD:AD,1)</f>
        <v>0</v>
      </c>
      <c r="AC587" s="117" t="s">
        <v>35</v>
      </c>
      <c r="AD587" s="118" t="s">
        <v>35</v>
      </c>
      <c r="AE587" s="115" t="s">
        <v>36</v>
      </c>
      <c r="AF587" s="57" t="s">
        <v>42</v>
      </c>
      <c r="AG587" s="57" t="s">
        <v>42</v>
      </c>
      <c r="AH587" s="57" t="s">
        <v>42</v>
      </c>
      <c r="AI587" s="116" t="str">
        <f t="shared" si="6"/>
        <v>----</v>
      </c>
      <c r="AJ587" s="119" t="str">
        <f t="shared" si="7"/>
        <v>Paper has link but no statement</v>
      </c>
      <c r="AK587" s="120" t="s">
        <v>3401</v>
      </c>
      <c r="AL587" s="121" t="s">
        <v>3402</v>
      </c>
      <c r="AM587" s="60" t="str">
        <f t="shared" si="8"/>
        <v>[FP0295]</v>
      </c>
    </row>
    <row r="588" ht="67.5" customHeight="1">
      <c r="A588" s="61">
        <v>296.0</v>
      </c>
      <c r="B588" s="22" t="s">
        <v>4944</v>
      </c>
      <c r="C588" s="23">
        <v>2021.0</v>
      </c>
      <c r="D588" s="100" t="s">
        <v>35</v>
      </c>
      <c r="E588" s="25" t="s">
        <v>36</v>
      </c>
      <c r="F588" s="25" t="s">
        <v>36</v>
      </c>
      <c r="G588" s="25" t="s">
        <v>36</v>
      </c>
      <c r="H588" s="25" t="s">
        <v>36</v>
      </c>
      <c r="I588" s="25" t="s">
        <v>36</v>
      </c>
      <c r="J588" s="101" t="s">
        <v>36</v>
      </c>
      <c r="K588" s="102" t="s">
        <v>37</v>
      </c>
      <c r="L588" s="103" t="s">
        <v>37</v>
      </c>
      <c r="M588" s="103" t="s">
        <v>37</v>
      </c>
      <c r="N588" s="103" t="s">
        <v>37</v>
      </c>
      <c r="O588" s="103" t="s">
        <v>35</v>
      </c>
      <c r="P588" s="103" t="s">
        <v>35</v>
      </c>
      <c r="Q588" s="103" t="s">
        <v>35</v>
      </c>
      <c r="R588" s="103" t="s">
        <v>37</v>
      </c>
      <c r="S588" s="104" t="s">
        <v>4945</v>
      </c>
      <c r="T588" s="30" t="s">
        <v>4946</v>
      </c>
      <c r="U588" s="30" t="s">
        <v>4947</v>
      </c>
      <c r="V588" s="105">
        <f t="shared" si="2"/>
        <v>1</v>
      </c>
      <c r="W588" s="105">
        <f t="shared" ref="W588:X588" si="593">IF(lenb(SUBSTITUTE($Z588,W$1&amp;" (1)",""))&lt;lenb($Z588),1,IF(lenb(SUBSTITUTE($Z588,W$1&amp;" (2)",""))&lt;lenb($Z588),2,IF(lenb(SUBSTITUTE($Z588,W$1&amp;" (3)",""))&lt;lenb($Z588),3,IF(lenb(SUBSTITUTE($Z588,W$1&amp;" (4)",""))&lt;lenb($Z588),4,IF(lenb(SUBSTITUTE($Z588,W$1&amp;" (5)",""))&lt;lenb($Z588),5,IF(lenb(SUBSTITUTE($Z588,W$1&amp;" (6)",""))&lt;lenb($Z588),6,IF(lenb(SUBSTITUTE($Z588,W$1&amp;" (7)",""))&lt;lenb($Z588),1,IF(lenb(SUBSTITUTE($Z588,W$1&amp;" (8)",""))&lt;lenb($Z588),8,IF(lenb(SUBSTITUTE($Z588,W$1&amp;" (9)",""))&lt;lenb($Z588),9,IF(lenb(SUBSTITUTE($Z588,W$1&amp;" (10)",""))&lt;lenb($Z588),10,IF(lenb(SUBSTITUTE($Z588,W$1,""))&lt;lenb($Z588),"ERROR",IF($Z588=$Y$1,"-",0))))))))))))</f>
        <v>0</v>
      </c>
      <c r="X588" s="105">
        <f t="shared" si="593"/>
        <v>0</v>
      </c>
      <c r="Y588" s="105" t="str">
        <f t="shared" si="4"/>
        <v>-</v>
      </c>
      <c r="Z588" s="104" t="s">
        <v>3400</v>
      </c>
      <c r="AA588" s="34">
        <f t="shared" si="5"/>
        <v>1</v>
      </c>
      <c r="AB588" s="34">
        <f>COUNTIFS(Links!B:B,"FSE",Links!C:C,A588,Links!AD:AD,1)</f>
        <v>0</v>
      </c>
      <c r="AC588" s="106" t="s">
        <v>35</v>
      </c>
      <c r="AD588" s="107" t="s">
        <v>35</v>
      </c>
      <c r="AE588" s="104" t="s">
        <v>36</v>
      </c>
      <c r="AF588" s="37" t="s">
        <v>42</v>
      </c>
      <c r="AG588" s="37" t="s">
        <v>42</v>
      </c>
      <c r="AH588" s="37" t="s">
        <v>42</v>
      </c>
      <c r="AI588" s="105" t="str">
        <f t="shared" si="6"/>
        <v>----</v>
      </c>
      <c r="AJ588" s="108" t="str">
        <f t="shared" si="7"/>
        <v>Paper has link but no statement</v>
      </c>
      <c r="AK588" s="109" t="s">
        <v>3401</v>
      </c>
      <c r="AL588" s="110" t="s">
        <v>3402</v>
      </c>
      <c r="AM588" s="40" t="str">
        <f t="shared" si="8"/>
        <v>[FP0296]</v>
      </c>
    </row>
    <row r="589" ht="67.5" customHeight="1">
      <c r="A589" s="41">
        <v>297.0</v>
      </c>
      <c r="B589" s="42" t="s">
        <v>4948</v>
      </c>
      <c r="C589" s="43">
        <v>2021.0</v>
      </c>
      <c r="D589" s="111" t="s">
        <v>37</v>
      </c>
      <c r="E589" s="45" t="s">
        <v>37</v>
      </c>
      <c r="F589" s="45" t="s">
        <v>35</v>
      </c>
      <c r="G589" s="45" t="s">
        <v>35</v>
      </c>
      <c r="H589" s="45" t="s">
        <v>35</v>
      </c>
      <c r="I589" s="45" t="s">
        <v>35</v>
      </c>
      <c r="J589" s="112" t="s">
        <v>36</v>
      </c>
      <c r="K589" s="113" t="s">
        <v>37</v>
      </c>
      <c r="L589" s="114" t="s">
        <v>35</v>
      </c>
      <c r="M589" s="114" t="s">
        <v>35</v>
      </c>
      <c r="N589" s="114" t="s">
        <v>35</v>
      </c>
      <c r="O589" s="114" t="s">
        <v>37</v>
      </c>
      <c r="P589" s="114" t="s">
        <v>35</v>
      </c>
      <c r="Q589" s="114" t="s">
        <v>35</v>
      </c>
      <c r="R589" s="114" t="s">
        <v>35</v>
      </c>
      <c r="S589" s="115" t="s">
        <v>14</v>
      </c>
      <c r="T589" s="50" t="s">
        <v>4949</v>
      </c>
      <c r="U589" s="50" t="s">
        <v>4949</v>
      </c>
      <c r="V589" s="116">
        <f t="shared" si="2"/>
        <v>1</v>
      </c>
      <c r="W589" s="116">
        <f t="shared" ref="W589:X589" si="594">IF(lenb(SUBSTITUTE($Z589,W$1&amp;" (1)",""))&lt;lenb($Z589),1,IF(lenb(SUBSTITUTE($Z589,W$1&amp;" (2)",""))&lt;lenb($Z589),2,IF(lenb(SUBSTITUTE($Z589,W$1&amp;" (3)",""))&lt;lenb($Z589),3,IF(lenb(SUBSTITUTE($Z589,W$1&amp;" (4)",""))&lt;lenb($Z589),4,IF(lenb(SUBSTITUTE($Z589,W$1&amp;" (5)",""))&lt;lenb($Z589),5,IF(lenb(SUBSTITUTE($Z589,W$1&amp;" (6)",""))&lt;lenb($Z589),6,IF(lenb(SUBSTITUTE($Z589,W$1&amp;" (7)",""))&lt;lenb($Z589),1,IF(lenb(SUBSTITUTE($Z589,W$1&amp;" (8)",""))&lt;lenb($Z589),8,IF(lenb(SUBSTITUTE($Z589,W$1&amp;" (9)",""))&lt;lenb($Z589),9,IF(lenb(SUBSTITUTE($Z589,W$1&amp;" (10)",""))&lt;lenb($Z589),10,IF(lenb(SUBSTITUTE($Z589,W$1,""))&lt;lenb($Z589),"ERROR",IF($Z589=$Y$1,"-",0))))))))))))</f>
        <v>0</v>
      </c>
      <c r="X589" s="116">
        <f t="shared" si="594"/>
        <v>0</v>
      </c>
      <c r="Y589" s="116" t="str">
        <f t="shared" si="4"/>
        <v>-</v>
      </c>
      <c r="Z589" s="115" t="s">
        <v>3400</v>
      </c>
      <c r="AA589" s="54">
        <f t="shared" si="5"/>
        <v>1</v>
      </c>
      <c r="AB589" s="54">
        <f>COUNTIFS(Links!B:B,"FSE",Links!C:C,A589,Links!AD:AD,1)</f>
        <v>0</v>
      </c>
      <c r="AC589" s="117" t="s">
        <v>35</v>
      </c>
      <c r="AD589" s="118" t="s">
        <v>35</v>
      </c>
      <c r="AE589" s="115" t="s">
        <v>36</v>
      </c>
      <c r="AF589" s="57" t="s">
        <v>42</v>
      </c>
      <c r="AG589" s="57" t="s">
        <v>42</v>
      </c>
      <c r="AH589" s="57" t="s">
        <v>42</v>
      </c>
      <c r="AI589" s="116" t="str">
        <f t="shared" si="6"/>
        <v>----</v>
      </c>
      <c r="AJ589" s="119" t="str">
        <f t="shared" si="7"/>
        <v>Paper has link but no statement</v>
      </c>
      <c r="AK589" s="120" t="s">
        <v>3401</v>
      </c>
      <c r="AL589" s="121" t="s">
        <v>3402</v>
      </c>
      <c r="AM589" s="60" t="str">
        <f t="shared" si="8"/>
        <v>[FP0297]</v>
      </c>
    </row>
    <row r="590" ht="67.5" customHeight="1">
      <c r="A590" s="61">
        <v>298.0</v>
      </c>
      <c r="B590" s="22" t="s">
        <v>4950</v>
      </c>
      <c r="C590" s="23">
        <v>2021.0</v>
      </c>
      <c r="D590" s="100" t="s">
        <v>37</v>
      </c>
      <c r="E590" s="25" t="s">
        <v>37</v>
      </c>
      <c r="F590" s="25" t="s">
        <v>37</v>
      </c>
      <c r="G590" s="25" t="s">
        <v>35</v>
      </c>
      <c r="H590" s="25" t="s">
        <v>35</v>
      </c>
      <c r="I590" s="25" t="s">
        <v>35</v>
      </c>
      <c r="J590" s="101" t="s">
        <v>36</v>
      </c>
      <c r="K590" s="102" t="s">
        <v>37</v>
      </c>
      <c r="L590" s="133" t="s">
        <v>37</v>
      </c>
      <c r="M590" s="133" t="s">
        <v>37</v>
      </c>
      <c r="N590" s="103" t="s">
        <v>35</v>
      </c>
      <c r="O590" s="103" t="s">
        <v>35</v>
      </c>
      <c r="P590" s="103" t="s">
        <v>35</v>
      </c>
      <c r="Q590" s="133" t="s">
        <v>37</v>
      </c>
      <c r="R590" s="133" t="s">
        <v>37</v>
      </c>
      <c r="S590" s="104" t="s">
        <v>4951</v>
      </c>
      <c r="T590" s="30" t="s">
        <v>4952</v>
      </c>
      <c r="U590" s="30" t="s">
        <v>4953</v>
      </c>
      <c r="V590" s="105">
        <f t="shared" si="2"/>
        <v>4</v>
      </c>
      <c r="W590" s="105">
        <f t="shared" ref="W590:X590" si="595">IF(lenb(SUBSTITUTE($Z590,W$1&amp;" (1)",""))&lt;lenb($Z590),1,IF(lenb(SUBSTITUTE($Z590,W$1&amp;" (2)",""))&lt;lenb($Z590),2,IF(lenb(SUBSTITUTE($Z590,W$1&amp;" (3)",""))&lt;lenb($Z590),3,IF(lenb(SUBSTITUTE($Z590,W$1&amp;" (4)",""))&lt;lenb($Z590),4,IF(lenb(SUBSTITUTE($Z590,W$1&amp;" (5)",""))&lt;lenb($Z590),5,IF(lenb(SUBSTITUTE($Z590,W$1&amp;" (6)",""))&lt;lenb($Z590),6,IF(lenb(SUBSTITUTE($Z590,W$1&amp;" (7)",""))&lt;lenb($Z590),1,IF(lenb(SUBSTITUTE($Z590,W$1&amp;" (8)",""))&lt;lenb($Z590),8,IF(lenb(SUBSTITUTE($Z590,W$1&amp;" (9)",""))&lt;lenb($Z590),9,IF(lenb(SUBSTITUTE($Z590,W$1&amp;" (10)",""))&lt;lenb($Z590),10,IF(lenb(SUBSTITUTE($Z590,W$1,""))&lt;lenb($Z590),"ERROR",IF($Z590=$Y$1,"-",0))))))))))))</f>
        <v>0</v>
      </c>
      <c r="X590" s="105">
        <f t="shared" si="595"/>
        <v>0</v>
      </c>
      <c r="Y590" s="105" t="str">
        <f t="shared" si="4"/>
        <v>-</v>
      </c>
      <c r="Z590" s="104" t="s">
        <v>4135</v>
      </c>
      <c r="AA590" s="34">
        <f t="shared" si="5"/>
        <v>4</v>
      </c>
      <c r="AB590" s="34">
        <f>COUNTIFS(Links!B:B,"FSE",Links!C:C,A590,Links!AD:AD,1)</f>
        <v>0</v>
      </c>
      <c r="AC590" s="106" t="s">
        <v>37</v>
      </c>
      <c r="AD590" s="107" t="s">
        <v>35</v>
      </c>
      <c r="AE590" s="104" t="s">
        <v>36</v>
      </c>
      <c r="AF590" s="37" t="s">
        <v>42</v>
      </c>
      <c r="AG590" s="37" t="s">
        <v>42</v>
      </c>
      <c r="AH590" s="37" t="s">
        <v>42</v>
      </c>
      <c r="AI590" s="105" t="str">
        <f t="shared" si="6"/>
        <v>----</v>
      </c>
      <c r="AJ590" s="108" t="str">
        <f t="shared" si="7"/>
        <v>Paper has link but no statement</v>
      </c>
      <c r="AK590" s="109" t="s">
        <v>3401</v>
      </c>
      <c r="AL590" s="110" t="s">
        <v>3402</v>
      </c>
      <c r="AM590" s="40" t="str">
        <f t="shared" si="8"/>
        <v>[FP0298]</v>
      </c>
    </row>
    <row r="591" ht="67.5" customHeight="1">
      <c r="A591" s="41">
        <v>299.0</v>
      </c>
      <c r="B591" s="42" t="s">
        <v>4954</v>
      </c>
      <c r="C591" s="43">
        <v>2021.0</v>
      </c>
      <c r="D591" s="111" t="s">
        <v>37</v>
      </c>
      <c r="E591" s="45" t="s">
        <v>37</v>
      </c>
      <c r="F591" s="45" t="s">
        <v>37</v>
      </c>
      <c r="G591" s="45" t="s">
        <v>35</v>
      </c>
      <c r="H591" s="45" t="s">
        <v>35</v>
      </c>
      <c r="I591" s="45" t="s">
        <v>35</v>
      </c>
      <c r="J591" s="112" t="s">
        <v>36</v>
      </c>
      <c r="K591" s="113" t="s">
        <v>37</v>
      </c>
      <c r="L591" s="114" t="s">
        <v>35</v>
      </c>
      <c r="M591" s="114" t="s">
        <v>35</v>
      </c>
      <c r="N591" s="114" t="s">
        <v>37</v>
      </c>
      <c r="O591" s="114" t="s">
        <v>35</v>
      </c>
      <c r="P591" s="114" t="s">
        <v>35</v>
      </c>
      <c r="Q591" s="114" t="s">
        <v>35</v>
      </c>
      <c r="R591" s="114" t="s">
        <v>35</v>
      </c>
      <c r="S591" s="115" t="s">
        <v>13</v>
      </c>
      <c r="T591" s="50" t="s">
        <v>4955</v>
      </c>
      <c r="U591" s="50" t="s">
        <v>4955</v>
      </c>
      <c r="V591" s="116">
        <f t="shared" si="2"/>
        <v>1</v>
      </c>
      <c r="W591" s="116">
        <f t="shared" ref="W591:X591" si="596">IF(lenb(SUBSTITUTE($Z591,W$1&amp;" (1)",""))&lt;lenb($Z591),1,IF(lenb(SUBSTITUTE($Z591,W$1&amp;" (2)",""))&lt;lenb($Z591),2,IF(lenb(SUBSTITUTE($Z591,W$1&amp;" (3)",""))&lt;lenb($Z591),3,IF(lenb(SUBSTITUTE($Z591,W$1&amp;" (4)",""))&lt;lenb($Z591),4,IF(lenb(SUBSTITUTE($Z591,W$1&amp;" (5)",""))&lt;lenb($Z591),5,IF(lenb(SUBSTITUTE($Z591,W$1&amp;" (6)",""))&lt;lenb($Z591),6,IF(lenb(SUBSTITUTE($Z591,W$1&amp;" (7)",""))&lt;lenb($Z591),1,IF(lenb(SUBSTITUTE($Z591,W$1&amp;" (8)",""))&lt;lenb($Z591),8,IF(lenb(SUBSTITUTE($Z591,W$1&amp;" (9)",""))&lt;lenb($Z591),9,IF(lenb(SUBSTITUTE($Z591,W$1&amp;" (10)",""))&lt;lenb($Z591),10,IF(lenb(SUBSTITUTE($Z591,W$1,""))&lt;lenb($Z591),"ERROR",IF($Z591=$Y$1,"-",0))))))))))))</f>
        <v>0</v>
      </c>
      <c r="X591" s="116">
        <f t="shared" si="596"/>
        <v>0</v>
      </c>
      <c r="Y591" s="116" t="str">
        <f t="shared" si="4"/>
        <v>-</v>
      </c>
      <c r="Z591" s="115" t="s">
        <v>3400</v>
      </c>
      <c r="AA591" s="54">
        <f t="shared" si="5"/>
        <v>1</v>
      </c>
      <c r="AB591" s="54">
        <f>COUNTIFS(Links!B:B,"FSE",Links!C:C,A591,Links!AD:AD,1)</f>
        <v>0</v>
      </c>
      <c r="AC591" s="117" t="s">
        <v>35</v>
      </c>
      <c r="AD591" s="118" t="s">
        <v>35</v>
      </c>
      <c r="AE591" s="115" t="s">
        <v>36</v>
      </c>
      <c r="AF591" s="57" t="s">
        <v>42</v>
      </c>
      <c r="AG591" s="57" t="s">
        <v>42</v>
      </c>
      <c r="AH591" s="57" t="s">
        <v>42</v>
      </c>
      <c r="AI591" s="116" t="str">
        <f t="shared" si="6"/>
        <v>----</v>
      </c>
      <c r="AJ591" s="119" t="str">
        <f t="shared" si="7"/>
        <v>Paper has link but no statement</v>
      </c>
      <c r="AK591" s="120" t="s">
        <v>3401</v>
      </c>
      <c r="AL591" s="121" t="s">
        <v>3402</v>
      </c>
      <c r="AM591" s="60" t="str">
        <f t="shared" si="8"/>
        <v>[FP0299]</v>
      </c>
    </row>
    <row r="592" ht="67.5" customHeight="1">
      <c r="A592" s="61">
        <v>300.0</v>
      </c>
      <c r="B592" s="22" t="s">
        <v>4956</v>
      </c>
      <c r="C592" s="23">
        <v>2021.0</v>
      </c>
      <c r="D592" s="100" t="s">
        <v>35</v>
      </c>
      <c r="E592" s="25" t="s">
        <v>36</v>
      </c>
      <c r="F592" s="25" t="s">
        <v>36</v>
      </c>
      <c r="G592" s="25" t="s">
        <v>36</v>
      </c>
      <c r="H592" s="25" t="s">
        <v>36</v>
      </c>
      <c r="I592" s="25" t="s">
        <v>36</v>
      </c>
      <c r="J592" s="101" t="s">
        <v>36</v>
      </c>
      <c r="K592" s="102" t="s">
        <v>37</v>
      </c>
      <c r="L592" s="103" t="s">
        <v>37</v>
      </c>
      <c r="M592" s="103" t="s">
        <v>35</v>
      </c>
      <c r="N592" s="103" t="s">
        <v>35</v>
      </c>
      <c r="O592" s="103" t="s">
        <v>35</v>
      </c>
      <c r="P592" s="103" t="s">
        <v>35</v>
      </c>
      <c r="Q592" s="103" t="s">
        <v>35</v>
      </c>
      <c r="R592" s="103" t="s">
        <v>37</v>
      </c>
      <c r="S592" s="104" t="s">
        <v>4957</v>
      </c>
      <c r="T592" s="30" t="s">
        <v>4958</v>
      </c>
      <c r="U592" s="30" t="s">
        <v>4958</v>
      </c>
      <c r="V592" s="105">
        <f t="shared" si="2"/>
        <v>1</v>
      </c>
      <c r="W592" s="105">
        <f t="shared" ref="W592:X592" si="597">IF(lenb(SUBSTITUTE($Z592,W$1&amp;" (1)",""))&lt;lenb($Z592),1,IF(lenb(SUBSTITUTE($Z592,W$1&amp;" (2)",""))&lt;lenb($Z592),2,IF(lenb(SUBSTITUTE($Z592,W$1&amp;" (3)",""))&lt;lenb($Z592),3,IF(lenb(SUBSTITUTE($Z592,W$1&amp;" (4)",""))&lt;lenb($Z592),4,IF(lenb(SUBSTITUTE($Z592,W$1&amp;" (5)",""))&lt;lenb($Z592),5,IF(lenb(SUBSTITUTE($Z592,W$1&amp;" (6)",""))&lt;lenb($Z592),6,IF(lenb(SUBSTITUTE($Z592,W$1&amp;" (7)",""))&lt;lenb($Z592),1,IF(lenb(SUBSTITUTE($Z592,W$1&amp;" (8)",""))&lt;lenb($Z592),8,IF(lenb(SUBSTITUTE($Z592,W$1&amp;" (9)",""))&lt;lenb($Z592),9,IF(lenb(SUBSTITUTE($Z592,W$1&amp;" (10)",""))&lt;lenb($Z592),10,IF(lenb(SUBSTITUTE($Z592,W$1,""))&lt;lenb($Z592),"ERROR",IF($Z592=$Y$1,"-",0))))))))))))</f>
        <v>0</v>
      </c>
      <c r="X592" s="105">
        <f t="shared" si="597"/>
        <v>0</v>
      </c>
      <c r="Y592" s="105" t="str">
        <f t="shared" si="4"/>
        <v>-</v>
      </c>
      <c r="Z592" s="104" t="s">
        <v>3400</v>
      </c>
      <c r="AA592" s="34">
        <f t="shared" si="5"/>
        <v>1</v>
      </c>
      <c r="AB592" s="34">
        <f>COUNTIFS(Links!B:B,"FSE",Links!C:C,A592,Links!AD:AD,1)</f>
        <v>0</v>
      </c>
      <c r="AC592" s="106" t="s">
        <v>37</v>
      </c>
      <c r="AD592" s="107" t="s">
        <v>35</v>
      </c>
      <c r="AE592" s="104" t="s">
        <v>36</v>
      </c>
      <c r="AF592" s="37" t="s">
        <v>42</v>
      </c>
      <c r="AG592" s="37" t="s">
        <v>42</v>
      </c>
      <c r="AH592" s="37" t="s">
        <v>42</v>
      </c>
      <c r="AI592" s="105" t="str">
        <f t="shared" si="6"/>
        <v>----</v>
      </c>
      <c r="AJ592" s="108" t="str">
        <f t="shared" si="7"/>
        <v>Paper has link but no statement</v>
      </c>
      <c r="AK592" s="109" t="s">
        <v>3401</v>
      </c>
      <c r="AL592" s="110" t="s">
        <v>3402</v>
      </c>
      <c r="AM592" s="40" t="str">
        <f t="shared" si="8"/>
        <v>[FP0300]</v>
      </c>
    </row>
    <row r="593" ht="67.5" customHeight="1">
      <c r="A593" s="41">
        <v>301.0</v>
      </c>
      <c r="B593" s="42" t="s">
        <v>4959</v>
      </c>
      <c r="C593" s="43">
        <v>2021.0</v>
      </c>
      <c r="D593" s="111" t="s">
        <v>35</v>
      </c>
      <c r="E593" s="45" t="s">
        <v>36</v>
      </c>
      <c r="F593" s="45" t="s">
        <v>36</v>
      </c>
      <c r="G593" s="45" t="s">
        <v>36</v>
      </c>
      <c r="H593" s="45" t="s">
        <v>36</v>
      </c>
      <c r="I593" s="45" t="s">
        <v>36</v>
      </c>
      <c r="J593" s="112" t="s">
        <v>36</v>
      </c>
      <c r="K593" s="113" t="s">
        <v>37</v>
      </c>
      <c r="L593" s="114" t="s">
        <v>35</v>
      </c>
      <c r="M593" s="114" t="s">
        <v>37</v>
      </c>
      <c r="N593" s="114" t="s">
        <v>37</v>
      </c>
      <c r="O593" s="114" t="s">
        <v>37</v>
      </c>
      <c r="P593" s="114" t="s">
        <v>35</v>
      </c>
      <c r="Q593" s="114" t="s">
        <v>35</v>
      </c>
      <c r="R593" s="114" t="s">
        <v>35</v>
      </c>
      <c r="S593" s="115" t="s">
        <v>4960</v>
      </c>
      <c r="T593" s="50" t="s">
        <v>4961</v>
      </c>
      <c r="U593" s="50" t="s">
        <v>4961</v>
      </c>
      <c r="V593" s="116">
        <f t="shared" si="2"/>
        <v>1</v>
      </c>
      <c r="W593" s="116">
        <f t="shared" ref="W593:X593" si="598">IF(lenb(SUBSTITUTE($Z593,W$1&amp;" (1)",""))&lt;lenb($Z593),1,IF(lenb(SUBSTITUTE($Z593,W$1&amp;" (2)",""))&lt;lenb($Z593),2,IF(lenb(SUBSTITUTE($Z593,W$1&amp;" (3)",""))&lt;lenb($Z593),3,IF(lenb(SUBSTITUTE($Z593,W$1&amp;" (4)",""))&lt;lenb($Z593),4,IF(lenb(SUBSTITUTE($Z593,W$1&amp;" (5)",""))&lt;lenb($Z593),5,IF(lenb(SUBSTITUTE($Z593,W$1&amp;" (6)",""))&lt;lenb($Z593),6,IF(lenb(SUBSTITUTE($Z593,W$1&amp;" (7)",""))&lt;lenb($Z593),1,IF(lenb(SUBSTITUTE($Z593,W$1&amp;" (8)",""))&lt;lenb($Z593),8,IF(lenb(SUBSTITUTE($Z593,W$1&amp;" (9)",""))&lt;lenb($Z593),9,IF(lenb(SUBSTITUTE($Z593,W$1&amp;" (10)",""))&lt;lenb($Z593),10,IF(lenb(SUBSTITUTE($Z593,W$1,""))&lt;lenb($Z593),"ERROR",IF($Z593=$Y$1,"-",0))))))))))))</f>
        <v>0</v>
      </c>
      <c r="X593" s="116">
        <f t="shared" si="598"/>
        <v>0</v>
      </c>
      <c r="Y593" s="116" t="str">
        <f t="shared" si="4"/>
        <v>-</v>
      </c>
      <c r="Z593" s="115" t="s">
        <v>3400</v>
      </c>
      <c r="AA593" s="54">
        <f t="shared" si="5"/>
        <v>1</v>
      </c>
      <c r="AB593" s="54">
        <f>COUNTIFS(Links!B:B,"FSE",Links!C:C,A593,Links!AD:AD,1)</f>
        <v>0</v>
      </c>
      <c r="AC593" s="117" t="s">
        <v>35</v>
      </c>
      <c r="AD593" s="118" t="s">
        <v>35</v>
      </c>
      <c r="AE593" s="115" t="s">
        <v>36</v>
      </c>
      <c r="AF593" s="57" t="s">
        <v>42</v>
      </c>
      <c r="AG593" s="57" t="s">
        <v>42</v>
      </c>
      <c r="AH593" s="57" t="s">
        <v>42</v>
      </c>
      <c r="AI593" s="116" t="str">
        <f t="shared" si="6"/>
        <v>----</v>
      </c>
      <c r="AJ593" s="119" t="str">
        <f t="shared" si="7"/>
        <v>Paper has link but no statement</v>
      </c>
      <c r="AK593" s="120" t="s">
        <v>3401</v>
      </c>
      <c r="AL593" s="121" t="s">
        <v>3402</v>
      </c>
      <c r="AM593" s="60" t="str">
        <f t="shared" si="8"/>
        <v>[FP0301]</v>
      </c>
    </row>
    <row r="594" ht="67.5" customHeight="1">
      <c r="A594" s="61">
        <v>302.0</v>
      </c>
      <c r="B594" s="22" t="s">
        <v>4962</v>
      </c>
      <c r="C594" s="23">
        <v>2021.0</v>
      </c>
      <c r="D594" s="100" t="s">
        <v>35</v>
      </c>
      <c r="E594" s="25" t="s">
        <v>36</v>
      </c>
      <c r="F594" s="25" t="s">
        <v>36</v>
      </c>
      <c r="G594" s="25" t="s">
        <v>36</v>
      </c>
      <c r="H594" s="25" t="s">
        <v>36</v>
      </c>
      <c r="I594" s="25" t="s">
        <v>36</v>
      </c>
      <c r="J594" s="101" t="s">
        <v>36</v>
      </c>
      <c r="K594" s="102" t="s">
        <v>35</v>
      </c>
      <c r="L594" s="103" t="s">
        <v>36</v>
      </c>
      <c r="M594" s="103" t="s">
        <v>36</v>
      </c>
      <c r="N594" s="103" t="s">
        <v>36</v>
      </c>
      <c r="O594" s="103" t="s">
        <v>36</v>
      </c>
      <c r="P594" s="103" t="s">
        <v>36</v>
      </c>
      <c r="Q594" s="103" t="s">
        <v>36</v>
      </c>
      <c r="R594" s="103" t="s">
        <v>36</v>
      </c>
      <c r="S594" s="104" t="s">
        <v>42</v>
      </c>
      <c r="T594" s="30" t="s">
        <v>36</v>
      </c>
      <c r="U594" s="30" t="s">
        <v>36</v>
      </c>
      <c r="V594" s="105" t="str">
        <f t="shared" si="2"/>
        <v>-</v>
      </c>
      <c r="W594" s="105" t="str">
        <f t="shared" ref="W594:X594" si="599">IF(lenb(SUBSTITUTE($Z594,W$1&amp;" (1)",""))&lt;lenb($Z594),1,IF(lenb(SUBSTITUTE($Z594,W$1&amp;" (2)",""))&lt;lenb($Z594),2,IF(lenb(SUBSTITUTE($Z594,W$1&amp;" (3)",""))&lt;lenb($Z594),3,IF(lenb(SUBSTITUTE($Z594,W$1&amp;" (4)",""))&lt;lenb($Z594),4,IF(lenb(SUBSTITUTE($Z594,W$1&amp;" (5)",""))&lt;lenb($Z594),5,IF(lenb(SUBSTITUTE($Z594,W$1&amp;" (6)",""))&lt;lenb($Z594),6,IF(lenb(SUBSTITUTE($Z594,W$1&amp;" (7)",""))&lt;lenb($Z594),1,IF(lenb(SUBSTITUTE($Z594,W$1&amp;" (8)",""))&lt;lenb($Z594),8,IF(lenb(SUBSTITUTE($Z594,W$1&amp;" (9)",""))&lt;lenb($Z594),9,IF(lenb(SUBSTITUTE($Z594,W$1&amp;" (10)",""))&lt;lenb($Z594),10,IF(lenb(SUBSTITUTE($Z594,W$1,""))&lt;lenb($Z594),"ERROR",IF($Z594=$Y$1,"-",0))))))))))))</f>
        <v>-</v>
      </c>
      <c r="X594" s="105" t="str">
        <f t="shared" si="599"/>
        <v>-</v>
      </c>
      <c r="Y594" s="105">
        <f t="shared" si="4"/>
        <v>1</v>
      </c>
      <c r="Z594" s="104" t="s">
        <v>23</v>
      </c>
      <c r="AA594" s="34">
        <f t="shared" si="5"/>
        <v>0</v>
      </c>
      <c r="AB594" s="34">
        <f>COUNTIFS(Links!B:B,"FSE",Links!C:C,A594,Links!AD:AD,1)</f>
        <v>0</v>
      </c>
      <c r="AC594" s="106" t="s">
        <v>36</v>
      </c>
      <c r="AD594" s="107" t="s">
        <v>35</v>
      </c>
      <c r="AE594" s="104" t="s">
        <v>36</v>
      </c>
      <c r="AF594" s="37" t="s">
        <v>42</v>
      </c>
      <c r="AG594" s="37" t="s">
        <v>42</v>
      </c>
      <c r="AH594" s="37" t="s">
        <v>42</v>
      </c>
      <c r="AI594" s="105" t="str">
        <f t="shared" si="6"/>
        <v>----</v>
      </c>
      <c r="AJ594" s="108" t="str">
        <f t="shared" si="7"/>
        <v>Paper has no link and no statement</v>
      </c>
      <c r="AK594" s="109" t="s">
        <v>3401</v>
      </c>
      <c r="AL594" s="110" t="s">
        <v>3402</v>
      </c>
      <c r="AM594" s="40" t="str">
        <f t="shared" si="8"/>
        <v>[FP0302]</v>
      </c>
    </row>
    <row r="595" ht="67.5" customHeight="1">
      <c r="A595" s="41">
        <v>303.0</v>
      </c>
      <c r="B595" s="42" t="s">
        <v>4963</v>
      </c>
      <c r="C595" s="43">
        <v>2021.0</v>
      </c>
      <c r="D595" s="111" t="s">
        <v>35</v>
      </c>
      <c r="E595" s="45" t="s">
        <v>36</v>
      </c>
      <c r="F595" s="45" t="s">
        <v>36</v>
      </c>
      <c r="G595" s="45" t="s">
        <v>36</v>
      </c>
      <c r="H595" s="45" t="s">
        <v>36</v>
      </c>
      <c r="I595" s="45" t="s">
        <v>36</v>
      </c>
      <c r="J595" s="112" t="s">
        <v>36</v>
      </c>
      <c r="K595" s="113" t="s">
        <v>37</v>
      </c>
      <c r="L595" s="114" t="s">
        <v>35</v>
      </c>
      <c r="M595" s="114" t="s">
        <v>35</v>
      </c>
      <c r="N595" s="114" t="s">
        <v>37</v>
      </c>
      <c r="O595" s="114" t="s">
        <v>35</v>
      </c>
      <c r="P595" s="114" t="s">
        <v>35</v>
      </c>
      <c r="Q595" s="114" t="s">
        <v>35</v>
      </c>
      <c r="R595" s="114" t="s">
        <v>35</v>
      </c>
      <c r="S595" s="115" t="s">
        <v>13</v>
      </c>
      <c r="T595" s="50" t="s">
        <v>4964</v>
      </c>
      <c r="U595" s="50" t="s">
        <v>4964</v>
      </c>
      <c r="V595" s="116">
        <f t="shared" si="2"/>
        <v>1</v>
      </c>
      <c r="W595" s="116">
        <f t="shared" ref="W595:X595" si="600">IF(lenb(SUBSTITUTE($Z595,W$1&amp;" (1)",""))&lt;lenb($Z595),1,IF(lenb(SUBSTITUTE($Z595,W$1&amp;" (2)",""))&lt;lenb($Z595),2,IF(lenb(SUBSTITUTE($Z595,W$1&amp;" (3)",""))&lt;lenb($Z595),3,IF(lenb(SUBSTITUTE($Z595,W$1&amp;" (4)",""))&lt;lenb($Z595),4,IF(lenb(SUBSTITUTE($Z595,W$1&amp;" (5)",""))&lt;lenb($Z595),5,IF(lenb(SUBSTITUTE($Z595,W$1&amp;" (6)",""))&lt;lenb($Z595),6,IF(lenb(SUBSTITUTE($Z595,W$1&amp;" (7)",""))&lt;lenb($Z595),1,IF(lenb(SUBSTITUTE($Z595,W$1&amp;" (8)",""))&lt;lenb($Z595),8,IF(lenb(SUBSTITUTE($Z595,W$1&amp;" (9)",""))&lt;lenb($Z595),9,IF(lenb(SUBSTITUTE($Z595,W$1&amp;" (10)",""))&lt;lenb($Z595),10,IF(lenb(SUBSTITUTE($Z595,W$1,""))&lt;lenb($Z595),"ERROR",IF($Z595=$Y$1,"-",0))))))))))))</f>
        <v>0</v>
      </c>
      <c r="X595" s="116">
        <f t="shared" si="600"/>
        <v>0</v>
      </c>
      <c r="Y595" s="116" t="str">
        <f t="shared" si="4"/>
        <v>-</v>
      </c>
      <c r="Z595" s="115" t="s">
        <v>3400</v>
      </c>
      <c r="AA595" s="54">
        <f t="shared" si="5"/>
        <v>1</v>
      </c>
      <c r="AB595" s="54">
        <f>COUNTIFS(Links!B:B,"FSE",Links!C:C,A595,Links!AD:AD,1)</f>
        <v>0</v>
      </c>
      <c r="AC595" s="117" t="s">
        <v>35</v>
      </c>
      <c r="AD595" s="118" t="s">
        <v>35</v>
      </c>
      <c r="AE595" s="115" t="s">
        <v>36</v>
      </c>
      <c r="AF595" s="57" t="s">
        <v>42</v>
      </c>
      <c r="AG595" s="57" t="s">
        <v>42</v>
      </c>
      <c r="AH595" s="57" t="s">
        <v>42</v>
      </c>
      <c r="AI595" s="116" t="str">
        <f t="shared" si="6"/>
        <v>----</v>
      </c>
      <c r="AJ595" s="119" t="str">
        <f t="shared" si="7"/>
        <v>Paper has link but no statement</v>
      </c>
      <c r="AK595" s="120" t="s">
        <v>3401</v>
      </c>
      <c r="AL595" s="121" t="s">
        <v>3402</v>
      </c>
      <c r="AM595" s="60" t="str">
        <f t="shared" si="8"/>
        <v>[FP0303]</v>
      </c>
    </row>
    <row r="596" ht="67.5" customHeight="1">
      <c r="A596" s="61">
        <v>304.0</v>
      </c>
      <c r="B596" s="22" t="s">
        <v>4965</v>
      </c>
      <c r="C596" s="23">
        <v>2021.0</v>
      </c>
      <c r="D596" s="100" t="s">
        <v>37</v>
      </c>
      <c r="E596" s="25" t="s">
        <v>37</v>
      </c>
      <c r="F596" s="25" t="s">
        <v>35</v>
      </c>
      <c r="G596" s="25" t="s">
        <v>35</v>
      </c>
      <c r="H596" s="25" t="s">
        <v>35</v>
      </c>
      <c r="I596" s="25" t="s">
        <v>35</v>
      </c>
      <c r="J596" s="101" t="s">
        <v>36</v>
      </c>
      <c r="K596" s="102" t="s">
        <v>37</v>
      </c>
      <c r="L596" s="103" t="s">
        <v>37</v>
      </c>
      <c r="M596" s="103" t="s">
        <v>35</v>
      </c>
      <c r="N596" s="103" t="s">
        <v>35</v>
      </c>
      <c r="O596" s="103" t="s">
        <v>35</v>
      </c>
      <c r="P596" s="103" t="s">
        <v>35</v>
      </c>
      <c r="Q596" s="103" t="s">
        <v>35</v>
      </c>
      <c r="R596" s="103" t="s">
        <v>37</v>
      </c>
      <c r="S596" s="104" t="s">
        <v>4966</v>
      </c>
      <c r="T596" s="30" t="s">
        <v>4967</v>
      </c>
      <c r="U596" s="30" t="s">
        <v>4967</v>
      </c>
      <c r="V596" s="105">
        <f t="shared" si="2"/>
        <v>1</v>
      </c>
      <c r="W596" s="105">
        <f t="shared" ref="W596:X596" si="601">IF(lenb(SUBSTITUTE($Z596,W$1&amp;" (1)",""))&lt;lenb($Z596),1,IF(lenb(SUBSTITUTE($Z596,W$1&amp;" (2)",""))&lt;lenb($Z596),2,IF(lenb(SUBSTITUTE($Z596,W$1&amp;" (3)",""))&lt;lenb($Z596),3,IF(lenb(SUBSTITUTE($Z596,W$1&amp;" (4)",""))&lt;lenb($Z596),4,IF(lenb(SUBSTITUTE($Z596,W$1&amp;" (5)",""))&lt;lenb($Z596),5,IF(lenb(SUBSTITUTE($Z596,W$1&amp;" (6)",""))&lt;lenb($Z596),6,IF(lenb(SUBSTITUTE($Z596,W$1&amp;" (7)",""))&lt;lenb($Z596),1,IF(lenb(SUBSTITUTE($Z596,W$1&amp;" (8)",""))&lt;lenb($Z596),8,IF(lenb(SUBSTITUTE($Z596,W$1&amp;" (9)",""))&lt;lenb($Z596),9,IF(lenb(SUBSTITUTE($Z596,W$1&amp;" (10)",""))&lt;lenb($Z596),10,IF(lenb(SUBSTITUTE($Z596,W$1,""))&lt;lenb($Z596),"ERROR",IF($Z596=$Y$1,"-",0))))))))))))</f>
        <v>0</v>
      </c>
      <c r="X596" s="105">
        <f t="shared" si="601"/>
        <v>0</v>
      </c>
      <c r="Y596" s="105" t="str">
        <f t="shared" si="4"/>
        <v>-</v>
      </c>
      <c r="Z596" s="104" t="s">
        <v>3400</v>
      </c>
      <c r="AA596" s="34">
        <f t="shared" si="5"/>
        <v>1</v>
      </c>
      <c r="AB596" s="34">
        <f>COUNTIFS(Links!B:B,"FSE",Links!C:C,A596,Links!AD:AD,1)</f>
        <v>0</v>
      </c>
      <c r="AC596" s="106" t="s">
        <v>35</v>
      </c>
      <c r="AD596" s="107" t="s">
        <v>35</v>
      </c>
      <c r="AE596" s="104" t="s">
        <v>36</v>
      </c>
      <c r="AF596" s="37" t="s">
        <v>42</v>
      </c>
      <c r="AG596" s="37" t="s">
        <v>42</v>
      </c>
      <c r="AH596" s="37" t="s">
        <v>42</v>
      </c>
      <c r="AI596" s="105" t="str">
        <f t="shared" si="6"/>
        <v>----</v>
      </c>
      <c r="AJ596" s="108" t="str">
        <f t="shared" si="7"/>
        <v>Paper has link but no statement</v>
      </c>
      <c r="AK596" s="109" t="s">
        <v>3401</v>
      </c>
      <c r="AL596" s="110" t="s">
        <v>3402</v>
      </c>
      <c r="AM596" s="40" t="str">
        <f t="shared" si="8"/>
        <v>[FP0304]</v>
      </c>
    </row>
    <row r="597" ht="67.5" customHeight="1">
      <c r="A597" s="41">
        <v>305.0</v>
      </c>
      <c r="B597" s="42" t="s">
        <v>4968</v>
      </c>
      <c r="C597" s="43">
        <v>2021.0</v>
      </c>
      <c r="D597" s="111" t="s">
        <v>37</v>
      </c>
      <c r="E597" s="45" t="s">
        <v>37</v>
      </c>
      <c r="F597" s="45" t="s">
        <v>37</v>
      </c>
      <c r="G597" s="45" t="s">
        <v>35</v>
      </c>
      <c r="H597" s="45" t="s">
        <v>35</v>
      </c>
      <c r="I597" s="45" t="s">
        <v>35</v>
      </c>
      <c r="J597" s="112" t="s">
        <v>36</v>
      </c>
      <c r="K597" s="113" t="s">
        <v>37</v>
      </c>
      <c r="L597" s="131" t="s">
        <v>37</v>
      </c>
      <c r="M597" s="131" t="s">
        <v>37</v>
      </c>
      <c r="N597" s="131" t="s">
        <v>37</v>
      </c>
      <c r="O597" s="114" t="s">
        <v>35</v>
      </c>
      <c r="P597" s="114" t="s">
        <v>35</v>
      </c>
      <c r="Q597" s="114" t="s">
        <v>35</v>
      </c>
      <c r="R597" s="131" t="s">
        <v>37</v>
      </c>
      <c r="S597" s="115" t="s">
        <v>4969</v>
      </c>
      <c r="T597" s="50" t="s">
        <v>4970</v>
      </c>
      <c r="U597" s="50" t="s">
        <v>4970</v>
      </c>
      <c r="V597" s="116">
        <f t="shared" si="2"/>
        <v>1</v>
      </c>
      <c r="W597" s="116">
        <f t="shared" ref="W597:X597" si="602">IF(lenb(SUBSTITUTE($Z597,W$1&amp;" (1)",""))&lt;lenb($Z597),1,IF(lenb(SUBSTITUTE($Z597,W$1&amp;" (2)",""))&lt;lenb($Z597),2,IF(lenb(SUBSTITUTE($Z597,W$1&amp;" (3)",""))&lt;lenb($Z597),3,IF(lenb(SUBSTITUTE($Z597,W$1&amp;" (4)",""))&lt;lenb($Z597),4,IF(lenb(SUBSTITUTE($Z597,W$1&amp;" (5)",""))&lt;lenb($Z597),5,IF(lenb(SUBSTITUTE($Z597,W$1&amp;" (6)",""))&lt;lenb($Z597),6,IF(lenb(SUBSTITUTE($Z597,W$1&amp;" (7)",""))&lt;lenb($Z597),1,IF(lenb(SUBSTITUTE($Z597,W$1&amp;" (8)",""))&lt;lenb($Z597),8,IF(lenb(SUBSTITUTE($Z597,W$1&amp;" (9)",""))&lt;lenb($Z597),9,IF(lenb(SUBSTITUTE($Z597,W$1&amp;" (10)",""))&lt;lenb($Z597),10,IF(lenb(SUBSTITUTE($Z597,W$1,""))&lt;lenb($Z597),"ERROR",IF($Z597=$Y$1,"-",0))))))))))))</f>
        <v>0</v>
      </c>
      <c r="X597" s="116">
        <f t="shared" si="602"/>
        <v>0</v>
      </c>
      <c r="Y597" s="116" t="str">
        <f t="shared" si="4"/>
        <v>-</v>
      </c>
      <c r="Z597" s="115" t="s">
        <v>3400</v>
      </c>
      <c r="AA597" s="54">
        <f t="shared" si="5"/>
        <v>1</v>
      </c>
      <c r="AB597" s="54">
        <f>COUNTIFS(Links!B:B,"FSE",Links!C:C,A597,Links!AD:AD,1)</f>
        <v>0</v>
      </c>
      <c r="AC597" s="117" t="s">
        <v>35</v>
      </c>
      <c r="AD597" s="118" t="s">
        <v>35</v>
      </c>
      <c r="AE597" s="115" t="s">
        <v>36</v>
      </c>
      <c r="AF597" s="57" t="s">
        <v>42</v>
      </c>
      <c r="AG597" s="57" t="s">
        <v>42</v>
      </c>
      <c r="AH597" s="57" t="s">
        <v>42</v>
      </c>
      <c r="AI597" s="116" t="str">
        <f t="shared" si="6"/>
        <v>----</v>
      </c>
      <c r="AJ597" s="119" t="str">
        <f t="shared" si="7"/>
        <v>Paper has link but no statement</v>
      </c>
      <c r="AK597" s="120" t="s">
        <v>3401</v>
      </c>
      <c r="AL597" s="121" t="s">
        <v>3402</v>
      </c>
      <c r="AM597" s="60" t="str">
        <f t="shared" si="8"/>
        <v>[FP0305]</v>
      </c>
    </row>
    <row r="598" ht="67.5" customHeight="1">
      <c r="A598" s="61">
        <v>306.0</v>
      </c>
      <c r="B598" s="22" t="s">
        <v>4971</v>
      </c>
      <c r="C598" s="23">
        <v>2021.0</v>
      </c>
      <c r="D598" s="100" t="s">
        <v>37</v>
      </c>
      <c r="E598" s="25" t="s">
        <v>37</v>
      </c>
      <c r="F598" s="25" t="s">
        <v>37</v>
      </c>
      <c r="G598" s="25" t="s">
        <v>35</v>
      </c>
      <c r="H598" s="25" t="s">
        <v>35</v>
      </c>
      <c r="I598" s="25" t="s">
        <v>35</v>
      </c>
      <c r="J598" s="101" t="s">
        <v>36</v>
      </c>
      <c r="K598" s="102" t="s">
        <v>37</v>
      </c>
      <c r="L598" s="103" t="s">
        <v>35</v>
      </c>
      <c r="M598" s="103" t="s">
        <v>37</v>
      </c>
      <c r="N598" s="103" t="s">
        <v>37</v>
      </c>
      <c r="O598" s="103" t="s">
        <v>35</v>
      </c>
      <c r="P598" s="103" t="s">
        <v>35</v>
      </c>
      <c r="Q598" s="103" t="s">
        <v>35</v>
      </c>
      <c r="R598" s="103" t="s">
        <v>37</v>
      </c>
      <c r="S598" s="104" t="s">
        <v>4972</v>
      </c>
      <c r="T598" s="30" t="s">
        <v>4973</v>
      </c>
      <c r="U598" s="30" t="s">
        <v>4973</v>
      </c>
      <c r="V598" s="105">
        <f t="shared" si="2"/>
        <v>1</v>
      </c>
      <c r="W598" s="105">
        <f t="shared" ref="W598:X598" si="603">IF(lenb(SUBSTITUTE($Z598,W$1&amp;" (1)",""))&lt;lenb($Z598),1,IF(lenb(SUBSTITUTE($Z598,W$1&amp;" (2)",""))&lt;lenb($Z598),2,IF(lenb(SUBSTITUTE($Z598,W$1&amp;" (3)",""))&lt;lenb($Z598),3,IF(lenb(SUBSTITUTE($Z598,W$1&amp;" (4)",""))&lt;lenb($Z598),4,IF(lenb(SUBSTITUTE($Z598,W$1&amp;" (5)",""))&lt;lenb($Z598),5,IF(lenb(SUBSTITUTE($Z598,W$1&amp;" (6)",""))&lt;lenb($Z598),6,IF(lenb(SUBSTITUTE($Z598,W$1&amp;" (7)",""))&lt;lenb($Z598),1,IF(lenb(SUBSTITUTE($Z598,W$1&amp;" (8)",""))&lt;lenb($Z598),8,IF(lenb(SUBSTITUTE($Z598,W$1&amp;" (9)",""))&lt;lenb($Z598),9,IF(lenb(SUBSTITUTE($Z598,W$1&amp;" (10)",""))&lt;lenb($Z598),10,IF(lenb(SUBSTITUTE($Z598,W$1,""))&lt;lenb($Z598),"ERROR",IF($Z598=$Y$1,"-",0))))))))))))</f>
        <v>0</v>
      </c>
      <c r="X598" s="105">
        <f t="shared" si="603"/>
        <v>0</v>
      </c>
      <c r="Y598" s="105" t="str">
        <f t="shared" si="4"/>
        <v>-</v>
      </c>
      <c r="Z598" s="104" t="s">
        <v>3400</v>
      </c>
      <c r="AA598" s="34">
        <f t="shared" si="5"/>
        <v>1</v>
      </c>
      <c r="AB598" s="34">
        <f>COUNTIFS(Links!B:B,"FSE",Links!C:C,A598,Links!AD:AD,1)</f>
        <v>0</v>
      </c>
      <c r="AC598" s="106" t="s">
        <v>35</v>
      </c>
      <c r="AD598" s="107" t="s">
        <v>35</v>
      </c>
      <c r="AE598" s="104" t="s">
        <v>36</v>
      </c>
      <c r="AF598" s="37" t="s">
        <v>42</v>
      </c>
      <c r="AG598" s="37" t="s">
        <v>42</v>
      </c>
      <c r="AH598" s="37" t="s">
        <v>42</v>
      </c>
      <c r="AI598" s="105" t="str">
        <f t="shared" si="6"/>
        <v>----</v>
      </c>
      <c r="AJ598" s="108" t="str">
        <f t="shared" si="7"/>
        <v>Paper has link but no statement</v>
      </c>
      <c r="AK598" s="109" t="s">
        <v>3401</v>
      </c>
      <c r="AL598" s="110" t="s">
        <v>3402</v>
      </c>
      <c r="AM598" s="40" t="str">
        <f t="shared" si="8"/>
        <v>[FP0306]</v>
      </c>
    </row>
    <row r="599" ht="67.5" customHeight="1">
      <c r="A599" s="41">
        <v>307.0</v>
      </c>
      <c r="B599" s="42" t="s">
        <v>4974</v>
      </c>
      <c r="C599" s="43">
        <v>2021.0</v>
      </c>
      <c r="D599" s="111" t="s">
        <v>37</v>
      </c>
      <c r="E599" s="45" t="s">
        <v>37</v>
      </c>
      <c r="F599" s="45" t="s">
        <v>35</v>
      </c>
      <c r="G599" s="45" t="s">
        <v>37</v>
      </c>
      <c r="H599" s="45" t="s">
        <v>35</v>
      </c>
      <c r="I599" s="45" t="s">
        <v>35</v>
      </c>
      <c r="J599" s="112" t="s">
        <v>36</v>
      </c>
      <c r="K599" s="113" t="s">
        <v>37</v>
      </c>
      <c r="L599" s="114" t="s">
        <v>37</v>
      </c>
      <c r="M599" s="114" t="s">
        <v>35</v>
      </c>
      <c r="N599" s="114" t="s">
        <v>35</v>
      </c>
      <c r="O599" s="114" t="s">
        <v>35</v>
      </c>
      <c r="P599" s="114" t="s">
        <v>35</v>
      </c>
      <c r="Q599" s="114" t="s">
        <v>35</v>
      </c>
      <c r="R599" s="114" t="s">
        <v>37</v>
      </c>
      <c r="S599" s="115" t="s">
        <v>4800</v>
      </c>
      <c r="T599" s="50" t="s">
        <v>4975</v>
      </c>
      <c r="U599" s="50" t="s">
        <v>4975</v>
      </c>
      <c r="V599" s="116">
        <f t="shared" si="2"/>
        <v>2</v>
      </c>
      <c r="W599" s="116">
        <f t="shared" ref="W599:X599" si="604">IF(lenb(SUBSTITUTE($Z599,W$1&amp;" (1)",""))&lt;lenb($Z599),1,IF(lenb(SUBSTITUTE($Z599,W$1&amp;" (2)",""))&lt;lenb($Z599),2,IF(lenb(SUBSTITUTE($Z599,W$1&amp;" (3)",""))&lt;lenb($Z599),3,IF(lenb(SUBSTITUTE($Z599,W$1&amp;" (4)",""))&lt;lenb($Z599),4,IF(lenb(SUBSTITUTE($Z599,W$1&amp;" (5)",""))&lt;lenb($Z599),5,IF(lenb(SUBSTITUTE($Z599,W$1&amp;" (6)",""))&lt;lenb($Z599),6,IF(lenb(SUBSTITUTE($Z599,W$1&amp;" (7)",""))&lt;lenb($Z599),1,IF(lenb(SUBSTITUTE($Z599,W$1&amp;" (8)",""))&lt;lenb($Z599),8,IF(lenb(SUBSTITUTE($Z599,W$1&amp;" (9)",""))&lt;lenb($Z599),9,IF(lenb(SUBSTITUTE($Z599,W$1&amp;" (10)",""))&lt;lenb($Z599),10,IF(lenb(SUBSTITUTE($Z599,W$1,""))&lt;lenb($Z599),"ERROR",IF($Z599=$Y$1,"-",0))))))))))))</f>
        <v>0</v>
      </c>
      <c r="X599" s="116">
        <f t="shared" si="604"/>
        <v>0</v>
      </c>
      <c r="Y599" s="116" t="str">
        <f t="shared" si="4"/>
        <v>-</v>
      </c>
      <c r="Z599" s="115" t="s">
        <v>3452</v>
      </c>
      <c r="AA599" s="54">
        <f t="shared" si="5"/>
        <v>2</v>
      </c>
      <c r="AB599" s="54">
        <f>COUNTIFS(Links!B:B,"FSE",Links!C:C,A599,Links!AD:AD,1)</f>
        <v>0</v>
      </c>
      <c r="AC599" s="117" t="s">
        <v>37</v>
      </c>
      <c r="AD599" s="118" t="s">
        <v>35</v>
      </c>
      <c r="AE599" s="115" t="s">
        <v>36</v>
      </c>
      <c r="AF599" s="57" t="s">
        <v>42</v>
      </c>
      <c r="AG599" s="57" t="s">
        <v>42</v>
      </c>
      <c r="AH599" s="57" t="s">
        <v>42</v>
      </c>
      <c r="AI599" s="116" t="str">
        <f t="shared" si="6"/>
        <v>----</v>
      </c>
      <c r="AJ599" s="119" t="str">
        <f t="shared" si="7"/>
        <v>Paper has link but no statement</v>
      </c>
      <c r="AK599" s="120" t="s">
        <v>3401</v>
      </c>
      <c r="AL599" s="121" t="s">
        <v>3402</v>
      </c>
      <c r="AM599" s="60" t="str">
        <f t="shared" si="8"/>
        <v>[FP0307]</v>
      </c>
    </row>
    <row r="600" ht="67.5" customHeight="1">
      <c r="A600" s="61">
        <v>308.0</v>
      </c>
      <c r="B600" s="22" t="s">
        <v>4976</v>
      </c>
      <c r="C600" s="23">
        <v>2021.0</v>
      </c>
      <c r="D600" s="100" t="s">
        <v>37</v>
      </c>
      <c r="E600" s="25" t="s">
        <v>37</v>
      </c>
      <c r="F600" s="25" t="s">
        <v>35</v>
      </c>
      <c r="G600" s="25" t="s">
        <v>35</v>
      </c>
      <c r="H600" s="25" t="s">
        <v>35</v>
      </c>
      <c r="I600" s="25" t="s">
        <v>35</v>
      </c>
      <c r="J600" s="101" t="s">
        <v>36</v>
      </c>
      <c r="K600" s="102" t="s">
        <v>37</v>
      </c>
      <c r="L600" s="103" t="s">
        <v>37</v>
      </c>
      <c r="M600" s="103" t="s">
        <v>35</v>
      </c>
      <c r="N600" s="103" t="s">
        <v>35</v>
      </c>
      <c r="O600" s="103" t="s">
        <v>35</v>
      </c>
      <c r="P600" s="103" t="s">
        <v>35</v>
      </c>
      <c r="Q600" s="103" t="s">
        <v>35</v>
      </c>
      <c r="R600" s="103" t="s">
        <v>37</v>
      </c>
      <c r="S600" s="104" t="s">
        <v>4977</v>
      </c>
      <c r="T600" s="30" t="s">
        <v>4978</v>
      </c>
      <c r="U600" s="30" t="s">
        <v>4978</v>
      </c>
      <c r="V600" s="105">
        <f t="shared" si="2"/>
        <v>1</v>
      </c>
      <c r="W600" s="105">
        <f t="shared" ref="W600:X600" si="605">IF(lenb(SUBSTITUTE($Z600,W$1&amp;" (1)",""))&lt;lenb($Z600),1,IF(lenb(SUBSTITUTE($Z600,W$1&amp;" (2)",""))&lt;lenb($Z600),2,IF(lenb(SUBSTITUTE($Z600,W$1&amp;" (3)",""))&lt;lenb($Z600),3,IF(lenb(SUBSTITUTE($Z600,W$1&amp;" (4)",""))&lt;lenb($Z600),4,IF(lenb(SUBSTITUTE($Z600,W$1&amp;" (5)",""))&lt;lenb($Z600),5,IF(lenb(SUBSTITUTE($Z600,W$1&amp;" (6)",""))&lt;lenb($Z600),6,IF(lenb(SUBSTITUTE($Z600,W$1&amp;" (7)",""))&lt;lenb($Z600),1,IF(lenb(SUBSTITUTE($Z600,W$1&amp;" (8)",""))&lt;lenb($Z600),8,IF(lenb(SUBSTITUTE($Z600,W$1&amp;" (9)",""))&lt;lenb($Z600),9,IF(lenb(SUBSTITUTE($Z600,W$1&amp;" (10)",""))&lt;lenb($Z600),10,IF(lenb(SUBSTITUTE($Z600,W$1,""))&lt;lenb($Z600),"ERROR",IF($Z600=$Y$1,"-",0))))))))))))</f>
        <v>0</v>
      </c>
      <c r="X600" s="105">
        <f t="shared" si="605"/>
        <v>0</v>
      </c>
      <c r="Y600" s="105" t="str">
        <f t="shared" si="4"/>
        <v>-</v>
      </c>
      <c r="Z600" s="104" t="s">
        <v>3400</v>
      </c>
      <c r="AA600" s="34">
        <f t="shared" si="5"/>
        <v>1</v>
      </c>
      <c r="AB600" s="34">
        <f>COUNTIFS(Links!B:B,"FSE",Links!C:C,A600,Links!AD:AD,1)</f>
        <v>0</v>
      </c>
      <c r="AC600" s="106" t="s">
        <v>35</v>
      </c>
      <c r="AD600" s="107" t="s">
        <v>35</v>
      </c>
      <c r="AE600" s="104" t="s">
        <v>36</v>
      </c>
      <c r="AF600" s="37" t="s">
        <v>42</v>
      </c>
      <c r="AG600" s="37" t="s">
        <v>42</v>
      </c>
      <c r="AH600" s="37" t="s">
        <v>42</v>
      </c>
      <c r="AI600" s="105" t="str">
        <f t="shared" si="6"/>
        <v>----</v>
      </c>
      <c r="AJ600" s="108" t="str">
        <f t="shared" si="7"/>
        <v>Paper has link but no statement</v>
      </c>
      <c r="AK600" s="109" t="s">
        <v>3401</v>
      </c>
      <c r="AL600" s="110" t="s">
        <v>3402</v>
      </c>
      <c r="AM600" s="40" t="str">
        <f t="shared" si="8"/>
        <v>[FP0308]</v>
      </c>
    </row>
    <row r="601" ht="67.5" customHeight="1">
      <c r="A601" s="41">
        <v>309.0</v>
      </c>
      <c r="B601" s="42" t="s">
        <v>4979</v>
      </c>
      <c r="C601" s="43">
        <v>2021.0</v>
      </c>
      <c r="D601" s="111" t="s">
        <v>37</v>
      </c>
      <c r="E601" s="45" t="s">
        <v>37</v>
      </c>
      <c r="F601" s="45" t="s">
        <v>35</v>
      </c>
      <c r="G601" s="45" t="s">
        <v>37</v>
      </c>
      <c r="H601" s="45" t="s">
        <v>35</v>
      </c>
      <c r="I601" s="45" t="s">
        <v>35</v>
      </c>
      <c r="J601" s="112" t="s">
        <v>36</v>
      </c>
      <c r="K601" s="113" t="s">
        <v>37</v>
      </c>
      <c r="L601" s="114" t="s">
        <v>37</v>
      </c>
      <c r="M601" s="114" t="s">
        <v>35</v>
      </c>
      <c r="N601" s="114" t="s">
        <v>35</v>
      </c>
      <c r="O601" s="114" t="s">
        <v>35</v>
      </c>
      <c r="P601" s="114" t="s">
        <v>35</v>
      </c>
      <c r="Q601" s="114" t="s">
        <v>35</v>
      </c>
      <c r="R601" s="114" t="s">
        <v>37</v>
      </c>
      <c r="S601" s="115" t="s">
        <v>4980</v>
      </c>
      <c r="T601" s="50" t="s">
        <v>4981</v>
      </c>
      <c r="U601" s="50" t="s">
        <v>4981</v>
      </c>
      <c r="V601" s="116">
        <f t="shared" si="2"/>
        <v>1</v>
      </c>
      <c r="W601" s="116">
        <f t="shared" ref="W601:X601" si="606">IF(lenb(SUBSTITUTE($Z601,W$1&amp;" (1)",""))&lt;lenb($Z601),1,IF(lenb(SUBSTITUTE($Z601,W$1&amp;" (2)",""))&lt;lenb($Z601),2,IF(lenb(SUBSTITUTE($Z601,W$1&amp;" (3)",""))&lt;lenb($Z601),3,IF(lenb(SUBSTITUTE($Z601,W$1&amp;" (4)",""))&lt;lenb($Z601),4,IF(lenb(SUBSTITUTE($Z601,W$1&amp;" (5)",""))&lt;lenb($Z601),5,IF(lenb(SUBSTITUTE($Z601,W$1&amp;" (6)",""))&lt;lenb($Z601),6,IF(lenb(SUBSTITUTE($Z601,W$1&amp;" (7)",""))&lt;lenb($Z601),1,IF(lenb(SUBSTITUTE($Z601,W$1&amp;" (8)",""))&lt;lenb($Z601),8,IF(lenb(SUBSTITUTE($Z601,W$1&amp;" (9)",""))&lt;lenb($Z601),9,IF(lenb(SUBSTITUTE($Z601,W$1&amp;" (10)",""))&lt;lenb($Z601),10,IF(lenb(SUBSTITUTE($Z601,W$1,""))&lt;lenb($Z601),"ERROR",IF($Z601=$Y$1,"-",0))))))))))))</f>
        <v>0</v>
      </c>
      <c r="X601" s="116">
        <f t="shared" si="606"/>
        <v>0</v>
      </c>
      <c r="Y601" s="116" t="str">
        <f t="shared" si="4"/>
        <v>-</v>
      </c>
      <c r="Z601" s="115" t="s">
        <v>3400</v>
      </c>
      <c r="AA601" s="54">
        <f t="shared" si="5"/>
        <v>1</v>
      </c>
      <c r="AB601" s="54">
        <f>COUNTIFS(Links!B:B,"FSE",Links!C:C,A601,Links!AD:AD,1)</f>
        <v>0</v>
      </c>
      <c r="AC601" s="117" t="s">
        <v>37</v>
      </c>
      <c r="AD601" s="118" t="s">
        <v>35</v>
      </c>
      <c r="AE601" s="115" t="s">
        <v>36</v>
      </c>
      <c r="AF601" s="57" t="s">
        <v>42</v>
      </c>
      <c r="AG601" s="57" t="s">
        <v>42</v>
      </c>
      <c r="AH601" s="57" t="s">
        <v>42</v>
      </c>
      <c r="AI601" s="116" t="str">
        <f t="shared" si="6"/>
        <v>----</v>
      </c>
      <c r="AJ601" s="119" t="str">
        <f t="shared" si="7"/>
        <v>Paper has link but no statement</v>
      </c>
      <c r="AK601" s="120" t="s">
        <v>3401</v>
      </c>
      <c r="AL601" s="121" t="s">
        <v>3402</v>
      </c>
      <c r="AM601" s="60" t="str">
        <f t="shared" si="8"/>
        <v>[FP0309]</v>
      </c>
    </row>
    <row r="602" ht="67.5" customHeight="1">
      <c r="A602" s="61">
        <v>310.0</v>
      </c>
      <c r="B602" s="22" t="s">
        <v>4982</v>
      </c>
      <c r="C602" s="23">
        <v>2021.0</v>
      </c>
      <c r="D602" s="100" t="s">
        <v>35</v>
      </c>
      <c r="E602" s="25" t="s">
        <v>36</v>
      </c>
      <c r="F602" s="25" t="s">
        <v>36</v>
      </c>
      <c r="G602" s="25" t="s">
        <v>36</v>
      </c>
      <c r="H602" s="25" t="s">
        <v>36</v>
      </c>
      <c r="I602" s="25" t="s">
        <v>36</v>
      </c>
      <c r="J602" s="101" t="s">
        <v>36</v>
      </c>
      <c r="K602" s="102" t="s">
        <v>37</v>
      </c>
      <c r="L602" s="103" t="s">
        <v>37</v>
      </c>
      <c r="M602" s="103" t="s">
        <v>35</v>
      </c>
      <c r="N602" s="103" t="s">
        <v>35</v>
      </c>
      <c r="O602" s="103" t="s">
        <v>35</v>
      </c>
      <c r="P602" s="103" t="s">
        <v>35</v>
      </c>
      <c r="Q602" s="103" t="s">
        <v>35</v>
      </c>
      <c r="R602" s="103" t="s">
        <v>37</v>
      </c>
      <c r="S602" s="104" t="s">
        <v>4983</v>
      </c>
      <c r="T602" s="30" t="s">
        <v>4984</v>
      </c>
      <c r="U602" s="30" t="s">
        <v>4984</v>
      </c>
      <c r="V602" s="105">
        <f t="shared" si="2"/>
        <v>1</v>
      </c>
      <c r="W602" s="105">
        <f t="shared" ref="W602:X602" si="607">IF(lenb(SUBSTITUTE($Z602,W$1&amp;" (1)",""))&lt;lenb($Z602),1,IF(lenb(SUBSTITUTE($Z602,W$1&amp;" (2)",""))&lt;lenb($Z602),2,IF(lenb(SUBSTITUTE($Z602,W$1&amp;" (3)",""))&lt;lenb($Z602),3,IF(lenb(SUBSTITUTE($Z602,W$1&amp;" (4)",""))&lt;lenb($Z602),4,IF(lenb(SUBSTITUTE($Z602,W$1&amp;" (5)",""))&lt;lenb($Z602),5,IF(lenb(SUBSTITUTE($Z602,W$1&amp;" (6)",""))&lt;lenb($Z602),6,IF(lenb(SUBSTITUTE($Z602,W$1&amp;" (7)",""))&lt;lenb($Z602),1,IF(lenb(SUBSTITUTE($Z602,W$1&amp;" (8)",""))&lt;lenb($Z602),8,IF(lenb(SUBSTITUTE($Z602,W$1&amp;" (9)",""))&lt;lenb($Z602),9,IF(lenb(SUBSTITUTE($Z602,W$1&amp;" (10)",""))&lt;lenb($Z602),10,IF(lenb(SUBSTITUTE($Z602,W$1,""))&lt;lenb($Z602),"ERROR",IF($Z602=$Y$1,"-",0))))))))))))</f>
        <v>0</v>
      </c>
      <c r="X602" s="105">
        <f t="shared" si="607"/>
        <v>0</v>
      </c>
      <c r="Y602" s="105" t="str">
        <f t="shared" si="4"/>
        <v>-</v>
      </c>
      <c r="Z602" s="104" t="s">
        <v>3400</v>
      </c>
      <c r="AA602" s="34">
        <f t="shared" si="5"/>
        <v>1</v>
      </c>
      <c r="AB602" s="34">
        <f>COUNTIFS(Links!B:B,"FSE",Links!C:C,A602,Links!AD:AD,1)</f>
        <v>0</v>
      </c>
      <c r="AC602" s="106" t="s">
        <v>35</v>
      </c>
      <c r="AD602" s="107" t="s">
        <v>35</v>
      </c>
      <c r="AE602" s="104" t="s">
        <v>36</v>
      </c>
      <c r="AF602" s="37" t="s">
        <v>42</v>
      </c>
      <c r="AG602" s="37" t="s">
        <v>42</v>
      </c>
      <c r="AH602" s="37" t="s">
        <v>42</v>
      </c>
      <c r="AI602" s="105" t="str">
        <f t="shared" si="6"/>
        <v>----</v>
      </c>
      <c r="AJ602" s="108" t="str">
        <f t="shared" si="7"/>
        <v>Paper has link but no statement</v>
      </c>
      <c r="AK602" s="109" t="s">
        <v>3401</v>
      </c>
      <c r="AL602" s="110" t="s">
        <v>3402</v>
      </c>
      <c r="AM602" s="40" t="str">
        <f t="shared" si="8"/>
        <v>[FP0310]</v>
      </c>
    </row>
    <row r="603" ht="67.5" customHeight="1">
      <c r="A603" s="41">
        <v>311.0</v>
      </c>
      <c r="B603" s="42" t="s">
        <v>4985</v>
      </c>
      <c r="C603" s="43">
        <v>2021.0</v>
      </c>
      <c r="D603" s="111" t="s">
        <v>35</v>
      </c>
      <c r="E603" s="45" t="s">
        <v>36</v>
      </c>
      <c r="F603" s="45" t="s">
        <v>36</v>
      </c>
      <c r="G603" s="45" t="s">
        <v>36</v>
      </c>
      <c r="H603" s="45" t="s">
        <v>36</v>
      </c>
      <c r="I603" s="45" t="s">
        <v>36</v>
      </c>
      <c r="J603" s="112" t="s">
        <v>36</v>
      </c>
      <c r="K603" s="113" t="s">
        <v>37</v>
      </c>
      <c r="L603" s="114" t="s">
        <v>37</v>
      </c>
      <c r="M603" s="114" t="s">
        <v>35</v>
      </c>
      <c r="N603" s="114" t="s">
        <v>35</v>
      </c>
      <c r="O603" s="114" t="s">
        <v>35</v>
      </c>
      <c r="P603" s="114" t="s">
        <v>35</v>
      </c>
      <c r="Q603" s="114" t="s">
        <v>37</v>
      </c>
      <c r="R603" s="114" t="s">
        <v>35</v>
      </c>
      <c r="S603" s="115" t="s">
        <v>4986</v>
      </c>
      <c r="T603" s="50" t="s">
        <v>4987</v>
      </c>
      <c r="U603" s="50" t="s">
        <v>4987</v>
      </c>
      <c r="V603" s="116">
        <f t="shared" si="2"/>
        <v>1</v>
      </c>
      <c r="W603" s="116">
        <f t="shared" ref="W603:X603" si="608">IF(lenb(SUBSTITUTE($Z603,W$1&amp;" (1)",""))&lt;lenb($Z603),1,IF(lenb(SUBSTITUTE($Z603,W$1&amp;" (2)",""))&lt;lenb($Z603),2,IF(lenb(SUBSTITUTE($Z603,W$1&amp;" (3)",""))&lt;lenb($Z603),3,IF(lenb(SUBSTITUTE($Z603,W$1&amp;" (4)",""))&lt;lenb($Z603),4,IF(lenb(SUBSTITUTE($Z603,W$1&amp;" (5)",""))&lt;lenb($Z603),5,IF(lenb(SUBSTITUTE($Z603,W$1&amp;" (6)",""))&lt;lenb($Z603),6,IF(lenb(SUBSTITUTE($Z603,W$1&amp;" (7)",""))&lt;lenb($Z603),1,IF(lenb(SUBSTITUTE($Z603,W$1&amp;" (8)",""))&lt;lenb($Z603),8,IF(lenb(SUBSTITUTE($Z603,W$1&amp;" (9)",""))&lt;lenb($Z603),9,IF(lenb(SUBSTITUTE($Z603,W$1&amp;" (10)",""))&lt;lenb($Z603),10,IF(lenb(SUBSTITUTE($Z603,W$1,""))&lt;lenb($Z603),"ERROR",IF($Z603=$Y$1,"-",0))))))))))))</f>
        <v>0</v>
      </c>
      <c r="X603" s="116">
        <f t="shared" si="608"/>
        <v>0</v>
      </c>
      <c r="Y603" s="116" t="str">
        <f t="shared" si="4"/>
        <v>-</v>
      </c>
      <c r="Z603" s="115" t="s">
        <v>3400</v>
      </c>
      <c r="AA603" s="54">
        <f t="shared" si="5"/>
        <v>1</v>
      </c>
      <c r="AB603" s="54">
        <f>COUNTIFS(Links!B:B,"FSE",Links!C:C,A603,Links!AD:AD,1)</f>
        <v>0</v>
      </c>
      <c r="AC603" s="117" t="s">
        <v>37</v>
      </c>
      <c r="AD603" s="118" t="s">
        <v>35</v>
      </c>
      <c r="AE603" s="115" t="s">
        <v>36</v>
      </c>
      <c r="AF603" s="57" t="s">
        <v>42</v>
      </c>
      <c r="AG603" s="57" t="s">
        <v>42</v>
      </c>
      <c r="AH603" s="57" t="s">
        <v>42</v>
      </c>
      <c r="AI603" s="116" t="str">
        <f t="shared" si="6"/>
        <v>----</v>
      </c>
      <c r="AJ603" s="119" t="str">
        <f t="shared" si="7"/>
        <v>Paper has link but no statement</v>
      </c>
      <c r="AK603" s="120" t="s">
        <v>3401</v>
      </c>
      <c r="AL603" s="121" t="s">
        <v>3402</v>
      </c>
      <c r="AM603" s="60" t="str">
        <f t="shared" si="8"/>
        <v>[FP0311]</v>
      </c>
    </row>
    <row r="604" ht="67.5" customHeight="1">
      <c r="A604" s="61">
        <v>312.0</v>
      </c>
      <c r="B604" s="22" t="s">
        <v>4988</v>
      </c>
      <c r="C604" s="23">
        <v>2021.0</v>
      </c>
      <c r="D604" s="100" t="s">
        <v>35</v>
      </c>
      <c r="E604" s="25" t="s">
        <v>36</v>
      </c>
      <c r="F604" s="25" t="s">
        <v>36</v>
      </c>
      <c r="G604" s="25" t="s">
        <v>36</v>
      </c>
      <c r="H604" s="25" t="s">
        <v>36</v>
      </c>
      <c r="I604" s="25" t="s">
        <v>36</v>
      </c>
      <c r="J604" s="101" t="s">
        <v>36</v>
      </c>
      <c r="K604" s="102" t="s">
        <v>37</v>
      </c>
      <c r="L604" s="103" t="s">
        <v>35</v>
      </c>
      <c r="M604" s="103" t="s">
        <v>37</v>
      </c>
      <c r="N604" s="103" t="s">
        <v>37</v>
      </c>
      <c r="O604" s="103" t="s">
        <v>35</v>
      </c>
      <c r="P604" s="103" t="s">
        <v>35</v>
      </c>
      <c r="Q604" s="103" t="s">
        <v>35</v>
      </c>
      <c r="R604" s="103" t="s">
        <v>37</v>
      </c>
      <c r="S604" s="104" t="s">
        <v>4989</v>
      </c>
      <c r="T604" s="30" t="s">
        <v>4990</v>
      </c>
      <c r="U604" s="30" t="s">
        <v>4990</v>
      </c>
      <c r="V604" s="105">
        <f t="shared" si="2"/>
        <v>1</v>
      </c>
      <c r="W604" s="105">
        <f t="shared" ref="W604:X604" si="609">IF(lenb(SUBSTITUTE($Z604,W$1&amp;" (1)",""))&lt;lenb($Z604),1,IF(lenb(SUBSTITUTE($Z604,W$1&amp;" (2)",""))&lt;lenb($Z604),2,IF(lenb(SUBSTITUTE($Z604,W$1&amp;" (3)",""))&lt;lenb($Z604),3,IF(lenb(SUBSTITUTE($Z604,W$1&amp;" (4)",""))&lt;lenb($Z604),4,IF(lenb(SUBSTITUTE($Z604,W$1&amp;" (5)",""))&lt;lenb($Z604),5,IF(lenb(SUBSTITUTE($Z604,W$1&amp;" (6)",""))&lt;lenb($Z604),6,IF(lenb(SUBSTITUTE($Z604,W$1&amp;" (7)",""))&lt;lenb($Z604),1,IF(lenb(SUBSTITUTE($Z604,W$1&amp;" (8)",""))&lt;lenb($Z604),8,IF(lenb(SUBSTITUTE($Z604,W$1&amp;" (9)",""))&lt;lenb($Z604),9,IF(lenb(SUBSTITUTE($Z604,W$1&amp;" (10)",""))&lt;lenb($Z604),10,IF(lenb(SUBSTITUTE($Z604,W$1,""))&lt;lenb($Z604),"ERROR",IF($Z604=$Y$1,"-",0))))))))))))</f>
        <v>0</v>
      </c>
      <c r="X604" s="105">
        <f t="shared" si="609"/>
        <v>0</v>
      </c>
      <c r="Y604" s="105" t="str">
        <f t="shared" si="4"/>
        <v>-</v>
      </c>
      <c r="Z604" s="104" t="s">
        <v>3400</v>
      </c>
      <c r="AA604" s="34">
        <f t="shared" si="5"/>
        <v>1</v>
      </c>
      <c r="AB604" s="34">
        <f>COUNTIFS(Links!B:B,"FSE",Links!C:C,A604,Links!AD:AD,1)</f>
        <v>0</v>
      </c>
      <c r="AC604" s="106" t="s">
        <v>35</v>
      </c>
      <c r="AD604" s="107" t="s">
        <v>35</v>
      </c>
      <c r="AE604" s="104" t="s">
        <v>36</v>
      </c>
      <c r="AF604" s="37" t="s">
        <v>42</v>
      </c>
      <c r="AG604" s="37" t="s">
        <v>42</v>
      </c>
      <c r="AH604" s="37" t="s">
        <v>42</v>
      </c>
      <c r="AI604" s="105" t="str">
        <f t="shared" si="6"/>
        <v>----</v>
      </c>
      <c r="AJ604" s="108" t="str">
        <f t="shared" si="7"/>
        <v>Paper has link but no statement</v>
      </c>
      <c r="AK604" s="109" t="s">
        <v>3401</v>
      </c>
      <c r="AL604" s="110" t="s">
        <v>3402</v>
      </c>
      <c r="AM604" s="40" t="str">
        <f t="shared" si="8"/>
        <v>[FP0312]</v>
      </c>
    </row>
    <row r="605" ht="67.5" customHeight="1">
      <c r="A605" s="41">
        <v>313.0</v>
      </c>
      <c r="B605" s="42" t="s">
        <v>4991</v>
      </c>
      <c r="C605" s="43">
        <v>2021.0</v>
      </c>
      <c r="D605" s="111" t="s">
        <v>35</v>
      </c>
      <c r="E605" s="45" t="s">
        <v>36</v>
      </c>
      <c r="F605" s="45" t="s">
        <v>36</v>
      </c>
      <c r="G605" s="45" t="s">
        <v>36</v>
      </c>
      <c r="H605" s="45" t="s">
        <v>36</v>
      </c>
      <c r="I605" s="45" t="s">
        <v>36</v>
      </c>
      <c r="J605" s="112" t="s">
        <v>36</v>
      </c>
      <c r="K605" s="113" t="s">
        <v>37</v>
      </c>
      <c r="L605" s="114" t="s">
        <v>37</v>
      </c>
      <c r="M605" s="114" t="s">
        <v>35</v>
      </c>
      <c r="N605" s="114" t="s">
        <v>35</v>
      </c>
      <c r="O605" s="114" t="s">
        <v>37</v>
      </c>
      <c r="P605" s="114" t="s">
        <v>35</v>
      </c>
      <c r="Q605" s="114" t="s">
        <v>35</v>
      </c>
      <c r="R605" s="114" t="s">
        <v>37</v>
      </c>
      <c r="S605" s="115" t="s">
        <v>4992</v>
      </c>
      <c r="T605" s="50" t="s">
        <v>4993</v>
      </c>
      <c r="U605" s="50" t="s">
        <v>4993</v>
      </c>
      <c r="V605" s="116">
        <f t="shared" si="2"/>
        <v>1</v>
      </c>
      <c r="W605" s="116">
        <f t="shared" ref="W605:X605" si="610">IF(lenb(SUBSTITUTE($Z605,W$1&amp;" (1)",""))&lt;lenb($Z605),1,IF(lenb(SUBSTITUTE($Z605,W$1&amp;" (2)",""))&lt;lenb($Z605),2,IF(lenb(SUBSTITUTE($Z605,W$1&amp;" (3)",""))&lt;lenb($Z605),3,IF(lenb(SUBSTITUTE($Z605,W$1&amp;" (4)",""))&lt;lenb($Z605),4,IF(lenb(SUBSTITUTE($Z605,W$1&amp;" (5)",""))&lt;lenb($Z605),5,IF(lenb(SUBSTITUTE($Z605,W$1&amp;" (6)",""))&lt;lenb($Z605),6,IF(lenb(SUBSTITUTE($Z605,W$1&amp;" (7)",""))&lt;lenb($Z605),1,IF(lenb(SUBSTITUTE($Z605,W$1&amp;" (8)",""))&lt;lenb($Z605),8,IF(lenb(SUBSTITUTE($Z605,W$1&amp;" (9)",""))&lt;lenb($Z605),9,IF(lenb(SUBSTITUTE($Z605,W$1&amp;" (10)",""))&lt;lenb($Z605),10,IF(lenb(SUBSTITUTE($Z605,W$1,""))&lt;lenb($Z605),"ERROR",IF($Z605=$Y$1,"-",0))))))))))))</f>
        <v>0</v>
      </c>
      <c r="X605" s="116">
        <f t="shared" si="610"/>
        <v>0</v>
      </c>
      <c r="Y605" s="116" t="str">
        <f t="shared" si="4"/>
        <v>-</v>
      </c>
      <c r="Z605" s="115" t="s">
        <v>3400</v>
      </c>
      <c r="AA605" s="54">
        <f t="shared" si="5"/>
        <v>1</v>
      </c>
      <c r="AB605" s="54">
        <f>COUNTIFS(Links!B:B,"FSE",Links!C:C,A605,Links!AD:AD,1)</f>
        <v>0</v>
      </c>
      <c r="AC605" s="117" t="s">
        <v>35</v>
      </c>
      <c r="AD605" s="118" t="s">
        <v>35</v>
      </c>
      <c r="AE605" s="115" t="s">
        <v>36</v>
      </c>
      <c r="AF605" s="57" t="s">
        <v>42</v>
      </c>
      <c r="AG605" s="57" t="s">
        <v>42</v>
      </c>
      <c r="AH605" s="57" t="s">
        <v>42</v>
      </c>
      <c r="AI605" s="116" t="str">
        <f t="shared" si="6"/>
        <v>----</v>
      </c>
      <c r="AJ605" s="119" t="str">
        <f t="shared" si="7"/>
        <v>Paper has link but no statement</v>
      </c>
      <c r="AK605" s="120" t="s">
        <v>3401</v>
      </c>
      <c r="AL605" s="121" t="s">
        <v>3402</v>
      </c>
      <c r="AM605" s="60" t="str">
        <f t="shared" si="8"/>
        <v>[FP0313]</v>
      </c>
    </row>
    <row r="606" ht="67.5" customHeight="1">
      <c r="A606" s="61">
        <v>314.0</v>
      </c>
      <c r="B606" s="22" t="s">
        <v>4994</v>
      </c>
      <c r="C606" s="23">
        <v>2021.0</v>
      </c>
      <c r="D606" s="100" t="s">
        <v>37</v>
      </c>
      <c r="E606" s="25" t="s">
        <v>37</v>
      </c>
      <c r="F606" s="25" t="s">
        <v>35</v>
      </c>
      <c r="G606" s="25" t="s">
        <v>35</v>
      </c>
      <c r="H606" s="25" t="s">
        <v>35</v>
      </c>
      <c r="I606" s="25" t="s">
        <v>35</v>
      </c>
      <c r="J606" s="101" t="s">
        <v>36</v>
      </c>
      <c r="K606" s="102" t="s">
        <v>37</v>
      </c>
      <c r="L606" s="103" t="s">
        <v>37</v>
      </c>
      <c r="M606" s="103" t="s">
        <v>37</v>
      </c>
      <c r="N606" s="103" t="s">
        <v>37</v>
      </c>
      <c r="O606" s="103" t="s">
        <v>35</v>
      </c>
      <c r="P606" s="103" t="s">
        <v>35</v>
      </c>
      <c r="Q606" s="103" t="s">
        <v>35</v>
      </c>
      <c r="R606" s="103" t="s">
        <v>35</v>
      </c>
      <c r="S606" s="104" t="s">
        <v>4995</v>
      </c>
      <c r="T606" s="30" t="s">
        <v>4996</v>
      </c>
      <c r="U606" s="30" t="s">
        <v>4996</v>
      </c>
      <c r="V606" s="105">
        <f t="shared" si="2"/>
        <v>3</v>
      </c>
      <c r="W606" s="105">
        <f t="shared" ref="W606:X606" si="611">IF(lenb(SUBSTITUTE($Z606,W$1&amp;" (1)",""))&lt;lenb($Z606),1,IF(lenb(SUBSTITUTE($Z606,W$1&amp;" (2)",""))&lt;lenb($Z606),2,IF(lenb(SUBSTITUTE($Z606,W$1&amp;" (3)",""))&lt;lenb($Z606),3,IF(lenb(SUBSTITUTE($Z606,W$1&amp;" (4)",""))&lt;lenb($Z606),4,IF(lenb(SUBSTITUTE($Z606,W$1&amp;" (5)",""))&lt;lenb($Z606),5,IF(lenb(SUBSTITUTE($Z606,W$1&amp;" (6)",""))&lt;lenb($Z606),6,IF(lenb(SUBSTITUTE($Z606,W$1&amp;" (7)",""))&lt;lenb($Z606),1,IF(lenb(SUBSTITUTE($Z606,W$1&amp;" (8)",""))&lt;lenb($Z606),8,IF(lenb(SUBSTITUTE($Z606,W$1&amp;" (9)",""))&lt;lenb($Z606),9,IF(lenb(SUBSTITUTE($Z606,W$1&amp;" (10)",""))&lt;lenb($Z606),10,IF(lenb(SUBSTITUTE($Z606,W$1,""))&lt;lenb($Z606),"ERROR",IF($Z606=$Y$1,"-",0))))))))))))</f>
        <v>0</v>
      </c>
      <c r="X606" s="105">
        <f t="shared" si="611"/>
        <v>0</v>
      </c>
      <c r="Y606" s="105" t="str">
        <f t="shared" si="4"/>
        <v>-</v>
      </c>
      <c r="Z606" s="104" t="s">
        <v>3741</v>
      </c>
      <c r="AA606" s="34">
        <f t="shared" si="5"/>
        <v>3</v>
      </c>
      <c r="AB606" s="34">
        <f>COUNTIFS(Links!B:B,"FSE",Links!C:C,A606,Links!AD:AD,1)</f>
        <v>0</v>
      </c>
      <c r="AC606" s="106" t="s">
        <v>37</v>
      </c>
      <c r="AD606" s="107" t="s">
        <v>35</v>
      </c>
      <c r="AE606" s="104" t="s">
        <v>36</v>
      </c>
      <c r="AF606" s="37" t="s">
        <v>42</v>
      </c>
      <c r="AG606" s="37" t="s">
        <v>42</v>
      </c>
      <c r="AH606" s="37" t="s">
        <v>42</v>
      </c>
      <c r="AI606" s="105" t="str">
        <f t="shared" si="6"/>
        <v>----</v>
      </c>
      <c r="AJ606" s="108" t="str">
        <f t="shared" si="7"/>
        <v>Paper has link but no statement</v>
      </c>
      <c r="AK606" s="109" t="s">
        <v>3401</v>
      </c>
      <c r="AL606" s="110" t="s">
        <v>3402</v>
      </c>
      <c r="AM606" s="40" t="str">
        <f t="shared" si="8"/>
        <v>[FP0314]</v>
      </c>
    </row>
    <row r="607" ht="67.5" customHeight="1">
      <c r="A607" s="41">
        <v>315.0</v>
      </c>
      <c r="B607" s="42" t="s">
        <v>4997</v>
      </c>
      <c r="C607" s="43">
        <v>2021.0</v>
      </c>
      <c r="D607" s="111" t="s">
        <v>35</v>
      </c>
      <c r="E607" s="45" t="s">
        <v>36</v>
      </c>
      <c r="F607" s="45" t="s">
        <v>36</v>
      </c>
      <c r="G607" s="45" t="s">
        <v>36</v>
      </c>
      <c r="H607" s="45" t="s">
        <v>36</v>
      </c>
      <c r="I607" s="45" t="s">
        <v>36</v>
      </c>
      <c r="J607" s="112" t="s">
        <v>36</v>
      </c>
      <c r="K607" s="113" t="s">
        <v>37</v>
      </c>
      <c r="L607" s="114" t="s">
        <v>35</v>
      </c>
      <c r="M607" s="114" t="s">
        <v>37</v>
      </c>
      <c r="N607" s="114" t="s">
        <v>37</v>
      </c>
      <c r="O607" s="114" t="s">
        <v>35</v>
      </c>
      <c r="P607" s="114" t="s">
        <v>35</v>
      </c>
      <c r="Q607" s="114" t="s">
        <v>35</v>
      </c>
      <c r="R607" s="114" t="s">
        <v>35</v>
      </c>
      <c r="S607" s="115" t="s">
        <v>4998</v>
      </c>
      <c r="T607" s="50" t="s">
        <v>4999</v>
      </c>
      <c r="U607" s="50" t="s">
        <v>4999</v>
      </c>
      <c r="V607" s="116">
        <f t="shared" si="2"/>
        <v>1</v>
      </c>
      <c r="W607" s="116">
        <f t="shared" ref="W607:X607" si="612">IF(lenb(SUBSTITUTE($Z607,W$1&amp;" (1)",""))&lt;lenb($Z607),1,IF(lenb(SUBSTITUTE($Z607,W$1&amp;" (2)",""))&lt;lenb($Z607),2,IF(lenb(SUBSTITUTE($Z607,W$1&amp;" (3)",""))&lt;lenb($Z607),3,IF(lenb(SUBSTITUTE($Z607,W$1&amp;" (4)",""))&lt;lenb($Z607),4,IF(lenb(SUBSTITUTE($Z607,W$1&amp;" (5)",""))&lt;lenb($Z607),5,IF(lenb(SUBSTITUTE($Z607,W$1&amp;" (6)",""))&lt;lenb($Z607),6,IF(lenb(SUBSTITUTE($Z607,W$1&amp;" (7)",""))&lt;lenb($Z607),1,IF(lenb(SUBSTITUTE($Z607,W$1&amp;" (8)",""))&lt;lenb($Z607),8,IF(lenb(SUBSTITUTE($Z607,W$1&amp;" (9)",""))&lt;lenb($Z607),9,IF(lenb(SUBSTITUTE($Z607,W$1&amp;" (10)",""))&lt;lenb($Z607),10,IF(lenb(SUBSTITUTE($Z607,W$1,""))&lt;lenb($Z607),"ERROR",IF($Z607=$Y$1,"-",0))))))))))))</f>
        <v>0</v>
      </c>
      <c r="X607" s="116">
        <f t="shared" si="612"/>
        <v>0</v>
      </c>
      <c r="Y607" s="116" t="str">
        <f t="shared" si="4"/>
        <v>-</v>
      </c>
      <c r="Z607" s="115" t="s">
        <v>3400</v>
      </c>
      <c r="AA607" s="54">
        <f t="shared" si="5"/>
        <v>1</v>
      </c>
      <c r="AB607" s="54">
        <f>COUNTIFS(Links!B:B,"FSE",Links!C:C,A607,Links!AD:AD,1)</f>
        <v>0</v>
      </c>
      <c r="AC607" s="117" t="s">
        <v>35</v>
      </c>
      <c r="AD607" s="118" t="s">
        <v>35</v>
      </c>
      <c r="AE607" s="115" t="s">
        <v>36</v>
      </c>
      <c r="AF607" s="57" t="s">
        <v>42</v>
      </c>
      <c r="AG607" s="57" t="s">
        <v>42</v>
      </c>
      <c r="AH607" s="57" t="s">
        <v>42</v>
      </c>
      <c r="AI607" s="116" t="str">
        <f t="shared" si="6"/>
        <v>----</v>
      </c>
      <c r="AJ607" s="119" t="str">
        <f t="shared" si="7"/>
        <v>Paper has link but no statement</v>
      </c>
      <c r="AK607" s="120" t="s">
        <v>3401</v>
      </c>
      <c r="AL607" s="121" t="s">
        <v>3402</v>
      </c>
      <c r="AM607" s="60" t="str">
        <f t="shared" si="8"/>
        <v>[FP0315]</v>
      </c>
    </row>
    <row r="608" ht="67.5" customHeight="1">
      <c r="A608" s="61">
        <v>316.0</v>
      </c>
      <c r="B608" s="22" t="s">
        <v>5000</v>
      </c>
      <c r="C608" s="23">
        <v>2021.0</v>
      </c>
      <c r="D608" s="100" t="s">
        <v>35</v>
      </c>
      <c r="E608" s="25" t="s">
        <v>36</v>
      </c>
      <c r="F608" s="25" t="s">
        <v>36</v>
      </c>
      <c r="G608" s="25" t="s">
        <v>36</v>
      </c>
      <c r="H608" s="25" t="s">
        <v>36</v>
      </c>
      <c r="I608" s="25" t="s">
        <v>36</v>
      </c>
      <c r="J608" s="101" t="s">
        <v>36</v>
      </c>
      <c r="K608" s="102" t="s">
        <v>35</v>
      </c>
      <c r="L608" s="103" t="s">
        <v>36</v>
      </c>
      <c r="M608" s="103" t="s">
        <v>36</v>
      </c>
      <c r="N608" s="103" t="s">
        <v>36</v>
      </c>
      <c r="O608" s="103" t="s">
        <v>36</v>
      </c>
      <c r="P608" s="103" t="s">
        <v>36</v>
      </c>
      <c r="Q608" s="103" t="s">
        <v>36</v>
      </c>
      <c r="R608" s="103" t="s">
        <v>36</v>
      </c>
      <c r="S608" s="104" t="s">
        <v>42</v>
      </c>
      <c r="T608" s="30" t="s">
        <v>36</v>
      </c>
      <c r="U608" s="30" t="s">
        <v>36</v>
      </c>
      <c r="V608" s="105" t="str">
        <f t="shared" si="2"/>
        <v>-</v>
      </c>
      <c r="W608" s="105" t="str">
        <f t="shared" ref="W608:X608" si="613">IF(lenb(SUBSTITUTE($Z608,W$1&amp;" (1)",""))&lt;lenb($Z608),1,IF(lenb(SUBSTITUTE($Z608,W$1&amp;" (2)",""))&lt;lenb($Z608),2,IF(lenb(SUBSTITUTE($Z608,W$1&amp;" (3)",""))&lt;lenb($Z608),3,IF(lenb(SUBSTITUTE($Z608,W$1&amp;" (4)",""))&lt;lenb($Z608),4,IF(lenb(SUBSTITUTE($Z608,W$1&amp;" (5)",""))&lt;lenb($Z608),5,IF(lenb(SUBSTITUTE($Z608,W$1&amp;" (6)",""))&lt;lenb($Z608),6,IF(lenb(SUBSTITUTE($Z608,W$1&amp;" (7)",""))&lt;lenb($Z608),1,IF(lenb(SUBSTITUTE($Z608,W$1&amp;" (8)",""))&lt;lenb($Z608),8,IF(lenb(SUBSTITUTE($Z608,W$1&amp;" (9)",""))&lt;lenb($Z608),9,IF(lenb(SUBSTITUTE($Z608,W$1&amp;" (10)",""))&lt;lenb($Z608),10,IF(lenb(SUBSTITUTE($Z608,W$1,""))&lt;lenb($Z608),"ERROR",IF($Z608=$Y$1,"-",0))))))))))))</f>
        <v>-</v>
      </c>
      <c r="X608" s="105" t="str">
        <f t="shared" si="613"/>
        <v>-</v>
      </c>
      <c r="Y608" s="105">
        <f t="shared" si="4"/>
        <v>1</v>
      </c>
      <c r="Z608" s="104" t="s">
        <v>23</v>
      </c>
      <c r="AA608" s="34">
        <f t="shared" si="5"/>
        <v>0</v>
      </c>
      <c r="AB608" s="34">
        <f>COUNTIFS(Links!B:B,"FSE",Links!C:C,A608,Links!AD:AD,1)</f>
        <v>0</v>
      </c>
      <c r="AC608" s="106" t="s">
        <v>36</v>
      </c>
      <c r="AD608" s="107" t="s">
        <v>35</v>
      </c>
      <c r="AE608" s="104" t="s">
        <v>36</v>
      </c>
      <c r="AF608" s="37" t="s">
        <v>42</v>
      </c>
      <c r="AG608" s="37" t="s">
        <v>42</v>
      </c>
      <c r="AH608" s="37" t="s">
        <v>42</v>
      </c>
      <c r="AI608" s="105" t="str">
        <f t="shared" si="6"/>
        <v>----</v>
      </c>
      <c r="AJ608" s="108" t="str">
        <f t="shared" si="7"/>
        <v>Paper has no link and no statement</v>
      </c>
      <c r="AK608" s="109" t="s">
        <v>3401</v>
      </c>
      <c r="AL608" s="110" t="s">
        <v>3402</v>
      </c>
      <c r="AM608" s="40" t="str">
        <f t="shared" si="8"/>
        <v>[FP0316]</v>
      </c>
    </row>
    <row r="609" ht="67.5" customHeight="1">
      <c r="A609" s="41">
        <v>317.0</v>
      </c>
      <c r="B609" s="42" t="s">
        <v>5001</v>
      </c>
      <c r="C609" s="43">
        <v>2021.0</v>
      </c>
      <c r="D609" s="111" t="s">
        <v>37</v>
      </c>
      <c r="E609" s="45" t="s">
        <v>37</v>
      </c>
      <c r="F609" s="45" t="s">
        <v>35</v>
      </c>
      <c r="G609" s="45" t="s">
        <v>37</v>
      </c>
      <c r="H609" s="45" t="s">
        <v>35</v>
      </c>
      <c r="I609" s="45" t="s">
        <v>35</v>
      </c>
      <c r="J609" s="112" t="s">
        <v>36</v>
      </c>
      <c r="K609" s="113" t="s">
        <v>37</v>
      </c>
      <c r="L609" s="114" t="s">
        <v>37</v>
      </c>
      <c r="M609" s="114" t="s">
        <v>37</v>
      </c>
      <c r="N609" s="114" t="s">
        <v>35</v>
      </c>
      <c r="O609" s="114" t="s">
        <v>35</v>
      </c>
      <c r="P609" s="114" t="s">
        <v>35</v>
      </c>
      <c r="Q609" s="114" t="s">
        <v>35</v>
      </c>
      <c r="R609" s="114" t="s">
        <v>37</v>
      </c>
      <c r="S609" s="115" t="s">
        <v>5002</v>
      </c>
      <c r="T609" s="50" t="s">
        <v>5003</v>
      </c>
      <c r="U609" s="50" t="s">
        <v>5003</v>
      </c>
      <c r="V609" s="116">
        <f t="shared" si="2"/>
        <v>2</v>
      </c>
      <c r="W609" s="116">
        <f t="shared" ref="W609:X609" si="614">IF(lenb(SUBSTITUTE($Z609,W$1&amp;" (1)",""))&lt;lenb($Z609),1,IF(lenb(SUBSTITUTE($Z609,W$1&amp;" (2)",""))&lt;lenb($Z609),2,IF(lenb(SUBSTITUTE($Z609,W$1&amp;" (3)",""))&lt;lenb($Z609),3,IF(lenb(SUBSTITUTE($Z609,W$1&amp;" (4)",""))&lt;lenb($Z609),4,IF(lenb(SUBSTITUTE($Z609,W$1&amp;" (5)",""))&lt;lenb($Z609),5,IF(lenb(SUBSTITUTE($Z609,W$1&amp;" (6)",""))&lt;lenb($Z609),6,IF(lenb(SUBSTITUTE($Z609,W$1&amp;" (7)",""))&lt;lenb($Z609),1,IF(lenb(SUBSTITUTE($Z609,W$1&amp;" (8)",""))&lt;lenb($Z609),8,IF(lenb(SUBSTITUTE($Z609,W$1&amp;" (9)",""))&lt;lenb($Z609),9,IF(lenb(SUBSTITUTE($Z609,W$1&amp;" (10)",""))&lt;lenb($Z609),10,IF(lenb(SUBSTITUTE($Z609,W$1,""))&lt;lenb($Z609),"ERROR",IF($Z609=$Y$1,"-",0))))))))))))</f>
        <v>0</v>
      </c>
      <c r="X609" s="116">
        <f t="shared" si="614"/>
        <v>0</v>
      </c>
      <c r="Y609" s="116" t="str">
        <f t="shared" si="4"/>
        <v>-</v>
      </c>
      <c r="Z609" s="115" t="s">
        <v>3452</v>
      </c>
      <c r="AA609" s="54">
        <f t="shared" si="5"/>
        <v>2</v>
      </c>
      <c r="AB609" s="54">
        <f>COUNTIFS(Links!B:B,"FSE",Links!C:C,A609,Links!AD:AD,1)</f>
        <v>0</v>
      </c>
      <c r="AC609" s="117" t="s">
        <v>37</v>
      </c>
      <c r="AD609" s="118" t="s">
        <v>35</v>
      </c>
      <c r="AE609" s="115" t="s">
        <v>36</v>
      </c>
      <c r="AF609" s="57" t="s">
        <v>42</v>
      </c>
      <c r="AG609" s="57" t="s">
        <v>42</v>
      </c>
      <c r="AH609" s="57" t="s">
        <v>42</v>
      </c>
      <c r="AI609" s="116" t="str">
        <f t="shared" si="6"/>
        <v>----</v>
      </c>
      <c r="AJ609" s="119" t="str">
        <f t="shared" si="7"/>
        <v>Paper has link but no statement</v>
      </c>
      <c r="AK609" s="120" t="s">
        <v>3401</v>
      </c>
      <c r="AL609" s="121" t="s">
        <v>3402</v>
      </c>
      <c r="AM609" s="60" t="str">
        <f t="shared" si="8"/>
        <v>[FP0317]</v>
      </c>
    </row>
    <row r="610" ht="67.5" customHeight="1">
      <c r="A610" s="61">
        <v>318.0</v>
      </c>
      <c r="B610" s="22" t="s">
        <v>5004</v>
      </c>
      <c r="C610" s="23">
        <v>2021.0</v>
      </c>
      <c r="D610" s="100" t="s">
        <v>35</v>
      </c>
      <c r="E610" s="25" t="s">
        <v>36</v>
      </c>
      <c r="F610" s="25" t="s">
        <v>36</v>
      </c>
      <c r="G610" s="25" t="s">
        <v>36</v>
      </c>
      <c r="H610" s="25" t="s">
        <v>36</v>
      </c>
      <c r="I610" s="25" t="s">
        <v>36</v>
      </c>
      <c r="J610" s="101" t="s">
        <v>36</v>
      </c>
      <c r="K610" s="102" t="s">
        <v>35</v>
      </c>
      <c r="L610" s="103" t="s">
        <v>36</v>
      </c>
      <c r="M610" s="103" t="s">
        <v>36</v>
      </c>
      <c r="N610" s="103" t="s">
        <v>36</v>
      </c>
      <c r="O610" s="103" t="s">
        <v>36</v>
      </c>
      <c r="P610" s="103" t="s">
        <v>36</v>
      </c>
      <c r="Q610" s="103" t="s">
        <v>36</v>
      </c>
      <c r="R610" s="103" t="s">
        <v>36</v>
      </c>
      <c r="S610" s="104" t="s">
        <v>42</v>
      </c>
      <c r="T610" s="30" t="s">
        <v>36</v>
      </c>
      <c r="U610" s="30" t="s">
        <v>36</v>
      </c>
      <c r="V610" s="105" t="str">
        <f t="shared" si="2"/>
        <v>-</v>
      </c>
      <c r="W610" s="105" t="str">
        <f t="shared" ref="W610:X610" si="615">IF(lenb(SUBSTITUTE($Z610,W$1&amp;" (1)",""))&lt;lenb($Z610),1,IF(lenb(SUBSTITUTE($Z610,W$1&amp;" (2)",""))&lt;lenb($Z610),2,IF(lenb(SUBSTITUTE($Z610,W$1&amp;" (3)",""))&lt;lenb($Z610),3,IF(lenb(SUBSTITUTE($Z610,W$1&amp;" (4)",""))&lt;lenb($Z610),4,IF(lenb(SUBSTITUTE($Z610,W$1&amp;" (5)",""))&lt;lenb($Z610),5,IF(lenb(SUBSTITUTE($Z610,W$1&amp;" (6)",""))&lt;lenb($Z610),6,IF(lenb(SUBSTITUTE($Z610,W$1&amp;" (7)",""))&lt;lenb($Z610),1,IF(lenb(SUBSTITUTE($Z610,W$1&amp;" (8)",""))&lt;lenb($Z610),8,IF(lenb(SUBSTITUTE($Z610,W$1&amp;" (9)",""))&lt;lenb($Z610),9,IF(lenb(SUBSTITUTE($Z610,W$1&amp;" (10)",""))&lt;lenb($Z610),10,IF(lenb(SUBSTITUTE($Z610,W$1,""))&lt;lenb($Z610),"ERROR",IF($Z610=$Y$1,"-",0))))))))))))</f>
        <v>-</v>
      </c>
      <c r="X610" s="105" t="str">
        <f t="shared" si="615"/>
        <v>-</v>
      </c>
      <c r="Y610" s="105">
        <f t="shared" si="4"/>
        <v>1</v>
      </c>
      <c r="Z610" s="104" t="s">
        <v>23</v>
      </c>
      <c r="AA610" s="34">
        <f t="shared" si="5"/>
        <v>0</v>
      </c>
      <c r="AB610" s="34">
        <f>COUNTIFS(Links!B:B,"FSE",Links!C:C,A610,Links!AD:AD,1)</f>
        <v>0</v>
      </c>
      <c r="AC610" s="106" t="s">
        <v>36</v>
      </c>
      <c r="AD610" s="107" t="s">
        <v>35</v>
      </c>
      <c r="AE610" s="104" t="s">
        <v>36</v>
      </c>
      <c r="AF610" s="37" t="s">
        <v>42</v>
      </c>
      <c r="AG610" s="37" t="s">
        <v>42</v>
      </c>
      <c r="AH610" s="37" t="s">
        <v>42</v>
      </c>
      <c r="AI610" s="105" t="str">
        <f t="shared" si="6"/>
        <v>----</v>
      </c>
      <c r="AJ610" s="108" t="str">
        <f t="shared" si="7"/>
        <v>Paper has no link and no statement</v>
      </c>
      <c r="AK610" s="109" t="s">
        <v>3401</v>
      </c>
      <c r="AL610" s="110" t="s">
        <v>3402</v>
      </c>
      <c r="AM610" s="40" t="str">
        <f t="shared" si="8"/>
        <v>[FP0318]</v>
      </c>
    </row>
    <row r="611" ht="67.5" customHeight="1">
      <c r="A611" s="41">
        <v>319.0</v>
      </c>
      <c r="B611" s="42" t="s">
        <v>5005</v>
      </c>
      <c r="C611" s="43">
        <v>2021.0</v>
      </c>
      <c r="D611" s="111" t="s">
        <v>37</v>
      </c>
      <c r="E611" s="45" t="s">
        <v>37</v>
      </c>
      <c r="F611" s="45" t="s">
        <v>37</v>
      </c>
      <c r="G611" s="45" t="s">
        <v>35</v>
      </c>
      <c r="H611" s="45" t="s">
        <v>35</v>
      </c>
      <c r="I611" s="45" t="s">
        <v>35</v>
      </c>
      <c r="J611" s="112" t="s">
        <v>36</v>
      </c>
      <c r="K611" s="113" t="s">
        <v>35</v>
      </c>
      <c r="L611" s="114" t="s">
        <v>36</v>
      </c>
      <c r="M611" s="114" t="s">
        <v>36</v>
      </c>
      <c r="N611" s="114" t="s">
        <v>36</v>
      </c>
      <c r="O611" s="114" t="s">
        <v>36</v>
      </c>
      <c r="P611" s="114" t="s">
        <v>36</v>
      </c>
      <c r="Q611" s="114" t="s">
        <v>36</v>
      </c>
      <c r="R611" s="114" t="s">
        <v>36</v>
      </c>
      <c r="S611" s="115" t="s">
        <v>42</v>
      </c>
      <c r="T611" s="50" t="s">
        <v>36</v>
      </c>
      <c r="U611" s="50" t="s">
        <v>36</v>
      </c>
      <c r="V611" s="116" t="str">
        <f t="shared" si="2"/>
        <v>-</v>
      </c>
      <c r="W611" s="116" t="str">
        <f t="shared" ref="W611:X611" si="616">IF(lenb(SUBSTITUTE($Z611,W$1&amp;" (1)",""))&lt;lenb($Z611),1,IF(lenb(SUBSTITUTE($Z611,W$1&amp;" (2)",""))&lt;lenb($Z611),2,IF(lenb(SUBSTITUTE($Z611,W$1&amp;" (3)",""))&lt;lenb($Z611),3,IF(lenb(SUBSTITUTE($Z611,W$1&amp;" (4)",""))&lt;lenb($Z611),4,IF(lenb(SUBSTITUTE($Z611,W$1&amp;" (5)",""))&lt;lenb($Z611),5,IF(lenb(SUBSTITUTE($Z611,W$1&amp;" (6)",""))&lt;lenb($Z611),6,IF(lenb(SUBSTITUTE($Z611,W$1&amp;" (7)",""))&lt;lenb($Z611),1,IF(lenb(SUBSTITUTE($Z611,W$1&amp;" (8)",""))&lt;lenb($Z611),8,IF(lenb(SUBSTITUTE($Z611,W$1&amp;" (9)",""))&lt;lenb($Z611),9,IF(lenb(SUBSTITUTE($Z611,W$1&amp;" (10)",""))&lt;lenb($Z611),10,IF(lenb(SUBSTITUTE($Z611,W$1,""))&lt;lenb($Z611),"ERROR",IF($Z611=$Y$1,"-",0))))))))))))</f>
        <v>-</v>
      </c>
      <c r="X611" s="116" t="str">
        <f t="shared" si="616"/>
        <v>-</v>
      </c>
      <c r="Y611" s="116">
        <f t="shared" si="4"/>
        <v>1</v>
      </c>
      <c r="Z611" s="115" t="s">
        <v>23</v>
      </c>
      <c r="AA611" s="54">
        <f t="shared" si="5"/>
        <v>0</v>
      </c>
      <c r="AB611" s="54">
        <f>COUNTIFS(Links!B:B,"FSE",Links!C:C,A611,Links!AD:AD,1)</f>
        <v>0</v>
      </c>
      <c r="AC611" s="117" t="s">
        <v>36</v>
      </c>
      <c r="AD611" s="118" t="s">
        <v>37</v>
      </c>
      <c r="AE611" s="129" t="s">
        <v>5006</v>
      </c>
      <c r="AF611" s="57" t="s">
        <v>146</v>
      </c>
      <c r="AG611" s="57" t="s">
        <v>42</v>
      </c>
      <c r="AH611" s="57" t="s">
        <v>42</v>
      </c>
      <c r="AI611" s="116" t="str">
        <f t="shared" si="6"/>
        <v>Future plans (—)</v>
      </c>
      <c r="AJ611" s="119" t="str">
        <f t="shared" si="7"/>
        <v>Paper has no link but has statement</v>
      </c>
      <c r="AK611" s="120" t="s">
        <v>3401</v>
      </c>
      <c r="AL611" s="121" t="s">
        <v>3402</v>
      </c>
      <c r="AM611" s="60" t="str">
        <f t="shared" si="8"/>
        <v>[FP0319]</v>
      </c>
    </row>
    <row r="612" ht="67.5" customHeight="1">
      <c r="A612" s="61">
        <v>320.0</v>
      </c>
      <c r="B612" s="22" t="s">
        <v>5007</v>
      </c>
      <c r="C612" s="23">
        <v>2021.0</v>
      </c>
      <c r="D612" s="100" t="s">
        <v>37</v>
      </c>
      <c r="E612" s="25" t="s">
        <v>37</v>
      </c>
      <c r="F612" s="25" t="s">
        <v>35</v>
      </c>
      <c r="G612" s="25" t="s">
        <v>37</v>
      </c>
      <c r="H612" s="25" t="s">
        <v>35</v>
      </c>
      <c r="I612" s="25" t="s">
        <v>35</v>
      </c>
      <c r="J612" s="101" t="s">
        <v>36</v>
      </c>
      <c r="K612" s="102" t="s">
        <v>37</v>
      </c>
      <c r="L612" s="103" t="s">
        <v>37</v>
      </c>
      <c r="M612" s="103" t="s">
        <v>37</v>
      </c>
      <c r="N612" s="103" t="s">
        <v>35</v>
      </c>
      <c r="O612" s="103" t="s">
        <v>35</v>
      </c>
      <c r="P612" s="103" t="s">
        <v>35</v>
      </c>
      <c r="Q612" s="103" t="s">
        <v>35</v>
      </c>
      <c r="R612" s="103" t="s">
        <v>37</v>
      </c>
      <c r="S612" s="104" t="s">
        <v>5008</v>
      </c>
      <c r="T612" s="30" t="s">
        <v>5009</v>
      </c>
      <c r="U612" s="30" t="s">
        <v>5009</v>
      </c>
      <c r="V612" s="105">
        <f t="shared" si="2"/>
        <v>3</v>
      </c>
      <c r="W612" s="105">
        <f t="shared" ref="W612:X612" si="617">IF(lenb(SUBSTITUTE($Z612,W$1&amp;" (1)",""))&lt;lenb($Z612),1,IF(lenb(SUBSTITUTE($Z612,W$1&amp;" (2)",""))&lt;lenb($Z612),2,IF(lenb(SUBSTITUTE($Z612,W$1&amp;" (3)",""))&lt;lenb($Z612),3,IF(lenb(SUBSTITUTE($Z612,W$1&amp;" (4)",""))&lt;lenb($Z612),4,IF(lenb(SUBSTITUTE($Z612,W$1&amp;" (5)",""))&lt;lenb($Z612),5,IF(lenb(SUBSTITUTE($Z612,W$1&amp;" (6)",""))&lt;lenb($Z612),6,IF(lenb(SUBSTITUTE($Z612,W$1&amp;" (7)",""))&lt;lenb($Z612),1,IF(lenb(SUBSTITUTE($Z612,W$1&amp;" (8)",""))&lt;lenb($Z612),8,IF(lenb(SUBSTITUTE($Z612,W$1&amp;" (9)",""))&lt;lenb($Z612),9,IF(lenb(SUBSTITUTE($Z612,W$1&amp;" (10)",""))&lt;lenb($Z612),10,IF(lenb(SUBSTITUTE($Z612,W$1,""))&lt;lenb($Z612),"ERROR",IF($Z612=$Y$1,"-",0))))))))))))</f>
        <v>0</v>
      </c>
      <c r="X612" s="105">
        <f t="shared" si="617"/>
        <v>0</v>
      </c>
      <c r="Y612" s="105" t="str">
        <f t="shared" si="4"/>
        <v>-</v>
      </c>
      <c r="Z612" s="104" t="s">
        <v>3741</v>
      </c>
      <c r="AA612" s="34">
        <f t="shared" si="5"/>
        <v>3</v>
      </c>
      <c r="AB612" s="34">
        <f>COUNTIFS(Links!B:B,"FSE",Links!C:C,A612,Links!AD:AD,1)</f>
        <v>0</v>
      </c>
      <c r="AC612" s="106" t="s">
        <v>37</v>
      </c>
      <c r="AD612" s="107" t="s">
        <v>35</v>
      </c>
      <c r="AE612" s="104" t="s">
        <v>36</v>
      </c>
      <c r="AF612" s="37" t="s">
        <v>42</v>
      </c>
      <c r="AG612" s="37" t="s">
        <v>42</v>
      </c>
      <c r="AH612" s="37" t="s">
        <v>42</v>
      </c>
      <c r="AI612" s="105" t="str">
        <f t="shared" si="6"/>
        <v>----</v>
      </c>
      <c r="AJ612" s="108" t="str">
        <f t="shared" si="7"/>
        <v>Paper has link but no statement</v>
      </c>
      <c r="AK612" s="109" t="s">
        <v>3401</v>
      </c>
      <c r="AL612" s="110" t="s">
        <v>3402</v>
      </c>
      <c r="AM612" s="40" t="str">
        <f t="shared" si="8"/>
        <v>[FP0320]</v>
      </c>
    </row>
    <row r="613" ht="67.5" customHeight="1">
      <c r="A613" s="41">
        <v>321.0</v>
      </c>
      <c r="B613" s="42" t="s">
        <v>5010</v>
      </c>
      <c r="C613" s="43">
        <v>2021.0</v>
      </c>
      <c r="D613" s="111" t="s">
        <v>35</v>
      </c>
      <c r="E613" s="45" t="s">
        <v>36</v>
      </c>
      <c r="F613" s="45" t="s">
        <v>36</v>
      </c>
      <c r="G613" s="45" t="s">
        <v>36</v>
      </c>
      <c r="H613" s="45" t="s">
        <v>36</v>
      </c>
      <c r="I613" s="45" t="s">
        <v>36</v>
      </c>
      <c r="J613" s="112" t="s">
        <v>36</v>
      </c>
      <c r="K613" s="113" t="s">
        <v>37</v>
      </c>
      <c r="L613" s="114" t="s">
        <v>35</v>
      </c>
      <c r="M613" s="114" t="s">
        <v>37</v>
      </c>
      <c r="N613" s="114" t="s">
        <v>35</v>
      </c>
      <c r="O613" s="114" t="s">
        <v>35</v>
      </c>
      <c r="P613" s="114" t="s">
        <v>35</v>
      </c>
      <c r="Q613" s="114" t="s">
        <v>35</v>
      </c>
      <c r="R613" s="114" t="s">
        <v>37</v>
      </c>
      <c r="S613" s="115" t="s">
        <v>5011</v>
      </c>
      <c r="T613" s="50" t="s">
        <v>5012</v>
      </c>
      <c r="U613" s="50" t="s">
        <v>5013</v>
      </c>
      <c r="V613" s="116">
        <f t="shared" si="2"/>
        <v>1</v>
      </c>
      <c r="W613" s="116">
        <f t="shared" ref="W613:X613" si="618">IF(lenb(SUBSTITUTE($Z613,W$1&amp;" (1)",""))&lt;lenb($Z613),1,IF(lenb(SUBSTITUTE($Z613,W$1&amp;" (2)",""))&lt;lenb($Z613),2,IF(lenb(SUBSTITUTE($Z613,W$1&amp;" (3)",""))&lt;lenb($Z613),3,IF(lenb(SUBSTITUTE($Z613,W$1&amp;" (4)",""))&lt;lenb($Z613),4,IF(lenb(SUBSTITUTE($Z613,W$1&amp;" (5)",""))&lt;lenb($Z613),5,IF(lenb(SUBSTITUTE($Z613,W$1&amp;" (6)",""))&lt;lenb($Z613),6,IF(lenb(SUBSTITUTE($Z613,W$1&amp;" (7)",""))&lt;lenb($Z613),1,IF(lenb(SUBSTITUTE($Z613,W$1&amp;" (8)",""))&lt;lenb($Z613),8,IF(lenb(SUBSTITUTE($Z613,W$1&amp;" (9)",""))&lt;lenb($Z613),9,IF(lenb(SUBSTITUTE($Z613,W$1&amp;" (10)",""))&lt;lenb($Z613),10,IF(lenb(SUBSTITUTE($Z613,W$1,""))&lt;lenb($Z613),"ERROR",IF($Z613=$Y$1,"-",0))))))))))))</f>
        <v>0</v>
      </c>
      <c r="X613" s="116">
        <f t="shared" si="618"/>
        <v>0</v>
      </c>
      <c r="Y613" s="116" t="str">
        <f t="shared" si="4"/>
        <v>-</v>
      </c>
      <c r="Z613" s="115" t="s">
        <v>3400</v>
      </c>
      <c r="AA613" s="54">
        <f t="shared" si="5"/>
        <v>1</v>
      </c>
      <c r="AB613" s="54">
        <f>COUNTIFS(Links!B:B,"FSE",Links!C:C,A613,Links!AD:AD,1)</f>
        <v>0</v>
      </c>
      <c r="AC613" s="117" t="s">
        <v>35</v>
      </c>
      <c r="AD613" s="118" t="s">
        <v>35</v>
      </c>
      <c r="AE613" s="115" t="s">
        <v>36</v>
      </c>
      <c r="AF613" s="57" t="s">
        <v>42</v>
      </c>
      <c r="AG613" s="57" t="s">
        <v>42</v>
      </c>
      <c r="AH613" s="57" t="s">
        <v>42</v>
      </c>
      <c r="AI613" s="116" t="str">
        <f t="shared" si="6"/>
        <v>----</v>
      </c>
      <c r="AJ613" s="119" t="str">
        <f t="shared" si="7"/>
        <v>Paper has link but no statement</v>
      </c>
      <c r="AK613" s="120" t="s">
        <v>3401</v>
      </c>
      <c r="AL613" s="121" t="s">
        <v>3402</v>
      </c>
      <c r="AM613" s="60" t="str">
        <f t="shared" si="8"/>
        <v>[FP0321]</v>
      </c>
    </row>
    <row r="614" ht="67.5" customHeight="1">
      <c r="A614" s="61">
        <v>322.0</v>
      </c>
      <c r="B614" s="22" t="s">
        <v>5014</v>
      </c>
      <c r="C614" s="23">
        <v>2021.0</v>
      </c>
      <c r="D614" s="100" t="s">
        <v>37</v>
      </c>
      <c r="E614" s="25" t="s">
        <v>37</v>
      </c>
      <c r="F614" s="25" t="s">
        <v>35</v>
      </c>
      <c r="G614" s="25" t="s">
        <v>37</v>
      </c>
      <c r="H614" s="25" t="s">
        <v>35</v>
      </c>
      <c r="I614" s="25" t="s">
        <v>35</v>
      </c>
      <c r="J614" s="101" t="s">
        <v>36</v>
      </c>
      <c r="K614" s="102" t="s">
        <v>37</v>
      </c>
      <c r="L614" s="103" t="s">
        <v>37</v>
      </c>
      <c r="M614" s="103" t="s">
        <v>35</v>
      </c>
      <c r="N614" s="103" t="s">
        <v>35</v>
      </c>
      <c r="O614" s="103" t="s">
        <v>35</v>
      </c>
      <c r="P614" s="103" t="s">
        <v>35</v>
      </c>
      <c r="Q614" s="103" t="s">
        <v>35</v>
      </c>
      <c r="R614" s="103" t="s">
        <v>37</v>
      </c>
      <c r="S614" s="104" t="s">
        <v>4800</v>
      </c>
      <c r="T614" s="30" t="s">
        <v>5015</v>
      </c>
      <c r="U614" s="30" t="s">
        <v>5015</v>
      </c>
      <c r="V614" s="105">
        <f t="shared" si="2"/>
        <v>2</v>
      </c>
      <c r="W614" s="105">
        <f t="shared" ref="W614:X614" si="619">IF(lenb(SUBSTITUTE($Z614,W$1&amp;" (1)",""))&lt;lenb($Z614),1,IF(lenb(SUBSTITUTE($Z614,W$1&amp;" (2)",""))&lt;lenb($Z614),2,IF(lenb(SUBSTITUTE($Z614,W$1&amp;" (3)",""))&lt;lenb($Z614),3,IF(lenb(SUBSTITUTE($Z614,W$1&amp;" (4)",""))&lt;lenb($Z614),4,IF(lenb(SUBSTITUTE($Z614,W$1&amp;" (5)",""))&lt;lenb($Z614),5,IF(lenb(SUBSTITUTE($Z614,W$1&amp;" (6)",""))&lt;lenb($Z614),6,IF(lenb(SUBSTITUTE($Z614,W$1&amp;" (7)",""))&lt;lenb($Z614),1,IF(lenb(SUBSTITUTE($Z614,W$1&amp;" (8)",""))&lt;lenb($Z614),8,IF(lenb(SUBSTITUTE($Z614,W$1&amp;" (9)",""))&lt;lenb($Z614),9,IF(lenb(SUBSTITUTE($Z614,W$1&amp;" (10)",""))&lt;lenb($Z614),10,IF(lenb(SUBSTITUTE($Z614,W$1,""))&lt;lenb($Z614),"ERROR",IF($Z614=$Y$1,"-",0))))))))))))</f>
        <v>0</v>
      </c>
      <c r="X614" s="105">
        <f t="shared" si="619"/>
        <v>0</v>
      </c>
      <c r="Y614" s="105" t="str">
        <f t="shared" si="4"/>
        <v>-</v>
      </c>
      <c r="Z614" s="104" t="s">
        <v>3452</v>
      </c>
      <c r="AA614" s="34">
        <f t="shared" si="5"/>
        <v>2</v>
      </c>
      <c r="AB614" s="34">
        <f>COUNTIFS(Links!B:B,"FSE",Links!C:C,A614,Links!AD:AD,1)</f>
        <v>0</v>
      </c>
      <c r="AC614" s="106" t="s">
        <v>37</v>
      </c>
      <c r="AD614" s="107" t="s">
        <v>35</v>
      </c>
      <c r="AE614" s="104" t="s">
        <v>36</v>
      </c>
      <c r="AF614" s="37" t="s">
        <v>42</v>
      </c>
      <c r="AG614" s="37" t="s">
        <v>42</v>
      </c>
      <c r="AH614" s="37" t="s">
        <v>42</v>
      </c>
      <c r="AI614" s="105" t="str">
        <f t="shared" si="6"/>
        <v>----</v>
      </c>
      <c r="AJ614" s="108" t="str">
        <f t="shared" si="7"/>
        <v>Paper has link but no statement</v>
      </c>
      <c r="AK614" s="109" t="s">
        <v>3401</v>
      </c>
      <c r="AL614" s="110" t="s">
        <v>3402</v>
      </c>
      <c r="AM614" s="40" t="str">
        <f t="shared" si="8"/>
        <v>[FP0322]</v>
      </c>
    </row>
    <row r="615" ht="67.5" customHeight="1">
      <c r="A615" s="41">
        <v>323.0</v>
      </c>
      <c r="B615" s="42" t="s">
        <v>5016</v>
      </c>
      <c r="C615" s="43">
        <v>2021.0</v>
      </c>
      <c r="D615" s="111" t="s">
        <v>37</v>
      </c>
      <c r="E615" s="45" t="s">
        <v>37</v>
      </c>
      <c r="F615" s="45" t="s">
        <v>37</v>
      </c>
      <c r="G615" s="45" t="s">
        <v>35</v>
      </c>
      <c r="H615" s="45" t="s">
        <v>35</v>
      </c>
      <c r="I615" s="45" t="s">
        <v>35</v>
      </c>
      <c r="J615" s="112" t="s">
        <v>36</v>
      </c>
      <c r="K615" s="113" t="s">
        <v>37</v>
      </c>
      <c r="L615" s="114" t="s">
        <v>35</v>
      </c>
      <c r="M615" s="114" t="s">
        <v>35</v>
      </c>
      <c r="N615" s="114" t="s">
        <v>37</v>
      </c>
      <c r="O615" s="114" t="s">
        <v>37</v>
      </c>
      <c r="P615" s="114" t="s">
        <v>35</v>
      </c>
      <c r="Q615" s="114" t="s">
        <v>35</v>
      </c>
      <c r="R615" s="114" t="s">
        <v>35</v>
      </c>
      <c r="S615" s="115" t="s">
        <v>4877</v>
      </c>
      <c r="T615" s="50" t="s">
        <v>5017</v>
      </c>
      <c r="U615" s="50" t="s">
        <v>5017</v>
      </c>
      <c r="V615" s="116">
        <f t="shared" si="2"/>
        <v>1</v>
      </c>
      <c r="W615" s="116">
        <f t="shared" ref="W615:X615" si="620">IF(lenb(SUBSTITUTE($Z615,W$1&amp;" (1)",""))&lt;lenb($Z615),1,IF(lenb(SUBSTITUTE($Z615,W$1&amp;" (2)",""))&lt;lenb($Z615),2,IF(lenb(SUBSTITUTE($Z615,W$1&amp;" (3)",""))&lt;lenb($Z615),3,IF(lenb(SUBSTITUTE($Z615,W$1&amp;" (4)",""))&lt;lenb($Z615),4,IF(lenb(SUBSTITUTE($Z615,W$1&amp;" (5)",""))&lt;lenb($Z615),5,IF(lenb(SUBSTITUTE($Z615,W$1&amp;" (6)",""))&lt;lenb($Z615),6,IF(lenb(SUBSTITUTE($Z615,W$1&amp;" (7)",""))&lt;lenb($Z615),1,IF(lenb(SUBSTITUTE($Z615,W$1&amp;" (8)",""))&lt;lenb($Z615),8,IF(lenb(SUBSTITUTE($Z615,W$1&amp;" (9)",""))&lt;lenb($Z615),9,IF(lenb(SUBSTITUTE($Z615,W$1&amp;" (10)",""))&lt;lenb($Z615),10,IF(lenb(SUBSTITUTE($Z615,W$1,""))&lt;lenb($Z615),"ERROR",IF($Z615=$Y$1,"-",0))))))))))))</f>
        <v>0</v>
      </c>
      <c r="X615" s="116">
        <f t="shared" si="620"/>
        <v>0</v>
      </c>
      <c r="Y615" s="116" t="str">
        <f t="shared" si="4"/>
        <v>-</v>
      </c>
      <c r="Z615" s="115" t="s">
        <v>3400</v>
      </c>
      <c r="AA615" s="54">
        <f t="shared" si="5"/>
        <v>1</v>
      </c>
      <c r="AB615" s="54">
        <f>COUNTIFS(Links!B:B,"FSE",Links!C:C,A615,Links!AD:AD,1)</f>
        <v>0</v>
      </c>
      <c r="AC615" s="117" t="s">
        <v>35</v>
      </c>
      <c r="AD615" s="118" t="s">
        <v>35</v>
      </c>
      <c r="AE615" s="115" t="s">
        <v>36</v>
      </c>
      <c r="AF615" s="57" t="s">
        <v>42</v>
      </c>
      <c r="AG615" s="57" t="s">
        <v>42</v>
      </c>
      <c r="AH615" s="57" t="s">
        <v>42</v>
      </c>
      <c r="AI615" s="116" t="str">
        <f t="shared" si="6"/>
        <v>----</v>
      </c>
      <c r="AJ615" s="119" t="str">
        <f t="shared" si="7"/>
        <v>Paper has link but no statement</v>
      </c>
      <c r="AK615" s="120" t="s">
        <v>3401</v>
      </c>
      <c r="AL615" s="121" t="s">
        <v>3402</v>
      </c>
      <c r="AM615" s="60" t="str">
        <f t="shared" si="8"/>
        <v>[FP0323]</v>
      </c>
    </row>
    <row r="616" ht="67.5" customHeight="1">
      <c r="A616" s="61">
        <v>128.0</v>
      </c>
      <c r="B616" s="22" t="s">
        <v>5018</v>
      </c>
      <c r="C616" s="23">
        <v>2022.0</v>
      </c>
      <c r="D616" s="100" t="s">
        <v>35</v>
      </c>
      <c r="E616" s="25" t="s">
        <v>36</v>
      </c>
      <c r="F616" s="25" t="s">
        <v>36</v>
      </c>
      <c r="G616" s="25" t="s">
        <v>36</v>
      </c>
      <c r="H616" s="25" t="s">
        <v>36</v>
      </c>
      <c r="I616" s="25" t="s">
        <v>36</v>
      </c>
      <c r="J616" s="101" t="s">
        <v>36</v>
      </c>
      <c r="K616" s="102" t="s">
        <v>35</v>
      </c>
      <c r="L616" s="103" t="s">
        <v>36</v>
      </c>
      <c r="M616" s="103" t="s">
        <v>36</v>
      </c>
      <c r="N616" s="103" t="s">
        <v>36</v>
      </c>
      <c r="O616" s="103" t="s">
        <v>36</v>
      </c>
      <c r="P616" s="103" t="s">
        <v>36</v>
      </c>
      <c r="Q616" s="103" t="s">
        <v>36</v>
      </c>
      <c r="R616" s="103" t="s">
        <v>36</v>
      </c>
      <c r="S616" s="104" t="s">
        <v>42</v>
      </c>
      <c r="T616" s="30" t="s">
        <v>36</v>
      </c>
      <c r="U616" s="30" t="s">
        <v>36</v>
      </c>
      <c r="V616" s="105" t="str">
        <f t="shared" si="2"/>
        <v>-</v>
      </c>
      <c r="W616" s="105" t="str">
        <f t="shared" ref="W616:X616" si="621">IF(lenb(SUBSTITUTE($Z616,W$1&amp;" (1)",""))&lt;lenb($Z616),1,IF(lenb(SUBSTITUTE($Z616,W$1&amp;" (2)",""))&lt;lenb($Z616),2,IF(lenb(SUBSTITUTE($Z616,W$1&amp;" (3)",""))&lt;lenb($Z616),3,IF(lenb(SUBSTITUTE($Z616,W$1&amp;" (4)",""))&lt;lenb($Z616),4,IF(lenb(SUBSTITUTE($Z616,W$1&amp;" (5)",""))&lt;lenb($Z616),5,IF(lenb(SUBSTITUTE($Z616,W$1&amp;" (6)",""))&lt;lenb($Z616),6,IF(lenb(SUBSTITUTE($Z616,W$1&amp;" (7)",""))&lt;lenb($Z616),1,IF(lenb(SUBSTITUTE($Z616,W$1&amp;" (8)",""))&lt;lenb($Z616),8,IF(lenb(SUBSTITUTE($Z616,W$1&amp;" (9)",""))&lt;lenb($Z616),9,IF(lenb(SUBSTITUTE($Z616,W$1&amp;" (10)",""))&lt;lenb($Z616),10,IF(lenb(SUBSTITUTE($Z616,W$1,""))&lt;lenb($Z616),"ERROR",IF($Z616=$Y$1,"-",0))))))))))))</f>
        <v>-</v>
      </c>
      <c r="X616" s="105" t="str">
        <f t="shared" si="621"/>
        <v>-</v>
      </c>
      <c r="Y616" s="105">
        <f t="shared" si="4"/>
        <v>1</v>
      </c>
      <c r="Z616" s="104" t="s">
        <v>23</v>
      </c>
      <c r="AA616" s="34">
        <f t="shared" si="5"/>
        <v>0</v>
      </c>
      <c r="AB616" s="34">
        <f>COUNTIFS(Links!B:B,"FSE",Links!C:C,A616,Links!AD:AD,1)</f>
        <v>0</v>
      </c>
      <c r="AC616" s="106" t="s">
        <v>36</v>
      </c>
      <c r="AD616" s="107" t="s">
        <v>35</v>
      </c>
      <c r="AE616" s="104" t="s">
        <v>36</v>
      </c>
      <c r="AF616" s="37" t="s">
        <v>42</v>
      </c>
      <c r="AG616" s="37" t="s">
        <v>42</v>
      </c>
      <c r="AH616" s="37" t="s">
        <v>42</v>
      </c>
      <c r="AI616" s="105" t="str">
        <f t="shared" si="6"/>
        <v>----</v>
      </c>
      <c r="AJ616" s="108" t="str">
        <f t="shared" si="7"/>
        <v>Paper has no link and no statement</v>
      </c>
      <c r="AK616" s="109" t="s">
        <v>3401</v>
      </c>
      <c r="AL616" s="110" t="s">
        <v>3402</v>
      </c>
      <c r="AM616" s="40" t="str">
        <f t="shared" si="8"/>
        <v>[FP0128]</v>
      </c>
    </row>
    <row r="617" ht="67.5" customHeight="1">
      <c r="A617" s="41">
        <v>129.0</v>
      </c>
      <c r="B617" s="42" t="s">
        <v>5019</v>
      </c>
      <c r="C617" s="43">
        <v>2022.0</v>
      </c>
      <c r="D617" s="111" t="s">
        <v>37</v>
      </c>
      <c r="E617" s="45" t="s">
        <v>37</v>
      </c>
      <c r="F617" s="45" t="s">
        <v>35</v>
      </c>
      <c r="G617" s="45" t="s">
        <v>35</v>
      </c>
      <c r="H617" s="45" t="s">
        <v>35</v>
      </c>
      <c r="I617" s="45" t="s">
        <v>35</v>
      </c>
      <c r="J617" s="112" t="s">
        <v>36</v>
      </c>
      <c r="K617" s="113" t="s">
        <v>37</v>
      </c>
      <c r="L617" s="114" t="s">
        <v>35</v>
      </c>
      <c r="M617" s="114" t="s">
        <v>37</v>
      </c>
      <c r="N617" s="114" t="s">
        <v>37</v>
      </c>
      <c r="O617" s="114" t="s">
        <v>35</v>
      </c>
      <c r="P617" s="114" t="s">
        <v>35</v>
      </c>
      <c r="Q617" s="114" t="s">
        <v>37</v>
      </c>
      <c r="R617" s="114" t="s">
        <v>35</v>
      </c>
      <c r="S617" s="115" t="s">
        <v>5020</v>
      </c>
      <c r="T617" s="50" t="s">
        <v>5021</v>
      </c>
      <c r="U617" s="50" t="s">
        <v>5022</v>
      </c>
      <c r="V617" s="116">
        <f t="shared" si="2"/>
        <v>5</v>
      </c>
      <c r="W617" s="116">
        <f t="shared" ref="W617:X617" si="622">IF(lenb(SUBSTITUTE($Z617,W$1&amp;" (1)",""))&lt;lenb($Z617),1,IF(lenb(SUBSTITUTE($Z617,W$1&amp;" (2)",""))&lt;lenb($Z617),2,IF(lenb(SUBSTITUTE($Z617,W$1&amp;" (3)",""))&lt;lenb($Z617),3,IF(lenb(SUBSTITUTE($Z617,W$1&amp;" (4)",""))&lt;lenb($Z617),4,IF(lenb(SUBSTITUTE($Z617,W$1&amp;" (5)",""))&lt;lenb($Z617),5,IF(lenb(SUBSTITUTE($Z617,W$1&amp;" (6)",""))&lt;lenb($Z617),6,IF(lenb(SUBSTITUTE($Z617,W$1&amp;" (7)",""))&lt;lenb($Z617),1,IF(lenb(SUBSTITUTE($Z617,W$1&amp;" (8)",""))&lt;lenb($Z617),8,IF(lenb(SUBSTITUTE($Z617,W$1&amp;" (9)",""))&lt;lenb($Z617),9,IF(lenb(SUBSTITUTE($Z617,W$1&amp;" (10)",""))&lt;lenb($Z617),10,IF(lenb(SUBSTITUTE($Z617,W$1,""))&lt;lenb($Z617),"ERROR",IF($Z617=$Y$1,"-",0))))))))))))</f>
        <v>0</v>
      </c>
      <c r="X617" s="116">
        <f t="shared" si="622"/>
        <v>0</v>
      </c>
      <c r="Y617" s="116" t="str">
        <f t="shared" si="4"/>
        <v>-</v>
      </c>
      <c r="Z617" s="115" t="s">
        <v>5023</v>
      </c>
      <c r="AA617" s="54">
        <f t="shared" si="5"/>
        <v>5</v>
      </c>
      <c r="AB617" s="54">
        <f>COUNTIFS(Links!B:B,"FSE",Links!C:C,A617,Links!AD:AD,1)</f>
        <v>0</v>
      </c>
      <c r="AC617" s="117" t="s">
        <v>37</v>
      </c>
      <c r="AD617" s="118" t="s">
        <v>35</v>
      </c>
      <c r="AE617" s="115" t="s">
        <v>36</v>
      </c>
      <c r="AF617" s="57" t="s">
        <v>42</v>
      </c>
      <c r="AG617" s="57" t="s">
        <v>42</v>
      </c>
      <c r="AH617" s="57" t="s">
        <v>42</v>
      </c>
      <c r="AI617" s="116" t="str">
        <f t="shared" si="6"/>
        <v>----</v>
      </c>
      <c r="AJ617" s="119" t="str">
        <f t="shared" si="7"/>
        <v>Paper has link but no statement</v>
      </c>
      <c r="AK617" s="120" t="s">
        <v>3401</v>
      </c>
      <c r="AL617" s="121" t="s">
        <v>3402</v>
      </c>
      <c r="AM617" s="60" t="str">
        <f t="shared" si="8"/>
        <v>[FP0129]</v>
      </c>
    </row>
    <row r="618" ht="67.5" customHeight="1">
      <c r="A618" s="61">
        <v>130.0</v>
      </c>
      <c r="B618" s="22" t="s">
        <v>5024</v>
      </c>
      <c r="C618" s="23">
        <v>2022.0</v>
      </c>
      <c r="D618" s="100" t="s">
        <v>35</v>
      </c>
      <c r="E618" s="25" t="s">
        <v>36</v>
      </c>
      <c r="F618" s="25" t="s">
        <v>36</v>
      </c>
      <c r="G618" s="25" t="s">
        <v>36</v>
      </c>
      <c r="H618" s="25" t="s">
        <v>36</v>
      </c>
      <c r="I618" s="25" t="s">
        <v>36</v>
      </c>
      <c r="J618" s="101" t="s">
        <v>36</v>
      </c>
      <c r="K618" s="102" t="s">
        <v>37</v>
      </c>
      <c r="L618" s="103" t="s">
        <v>37</v>
      </c>
      <c r="M618" s="103" t="s">
        <v>35</v>
      </c>
      <c r="N618" s="103" t="s">
        <v>35</v>
      </c>
      <c r="O618" s="103" t="s">
        <v>35</v>
      </c>
      <c r="P618" s="103" t="s">
        <v>35</v>
      </c>
      <c r="Q618" s="103" t="s">
        <v>35</v>
      </c>
      <c r="R618" s="103" t="s">
        <v>37</v>
      </c>
      <c r="S618" s="104" t="s">
        <v>5025</v>
      </c>
      <c r="T618" s="30" t="s">
        <v>5026</v>
      </c>
      <c r="U618" s="30" t="s">
        <v>5027</v>
      </c>
      <c r="V618" s="105">
        <f t="shared" si="2"/>
        <v>4</v>
      </c>
      <c r="W618" s="105">
        <f t="shared" ref="W618:X618" si="623">IF(lenb(SUBSTITUTE($Z618,W$1&amp;" (1)",""))&lt;lenb($Z618),1,IF(lenb(SUBSTITUTE($Z618,W$1&amp;" (2)",""))&lt;lenb($Z618),2,IF(lenb(SUBSTITUTE($Z618,W$1&amp;" (3)",""))&lt;lenb($Z618),3,IF(lenb(SUBSTITUTE($Z618,W$1&amp;" (4)",""))&lt;lenb($Z618),4,IF(lenb(SUBSTITUTE($Z618,W$1&amp;" (5)",""))&lt;lenb($Z618),5,IF(lenb(SUBSTITUTE($Z618,W$1&amp;" (6)",""))&lt;lenb($Z618),6,IF(lenb(SUBSTITUTE($Z618,W$1&amp;" (7)",""))&lt;lenb($Z618),1,IF(lenb(SUBSTITUTE($Z618,W$1&amp;" (8)",""))&lt;lenb($Z618),8,IF(lenb(SUBSTITUTE($Z618,W$1&amp;" (9)",""))&lt;lenb($Z618),9,IF(lenb(SUBSTITUTE($Z618,W$1&amp;" (10)",""))&lt;lenb($Z618),10,IF(lenb(SUBSTITUTE($Z618,W$1,""))&lt;lenb($Z618),"ERROR",IF($Z618=$Y$1,"-",0))))))))))))</f>
        <v>0</v>
      </c>
      <c r="X618" s="105">
        <f t="shared" si="623"/>
        <v>0</v>
      </c>
      <c r="Y618" s="105" t="str">
        <f t="shared" si="4"/>
        <v>-</v>
      </c>
      <c r="Z618" s="28" t="s">
        <v>4135</v>
      </c>
      <c r="AA618" s="34">
        <f t="shared" si="5"/>
        <v>4</v>
      </c>
      <c r="AB618" s="34">
        <f>COUNTIFS(Links!B:B,"FSE",Links!C:C,A618,Links!AD:AD,1)</f>
        <v>0</v>
      </c>
      <c r="AC618" s="106" t="s">
        <v>35</v>
      </c>
      <c r="AD618" s="107" t="s">
        <v>35</v>
      </c>
      <c r="AE618" s="104" t="s">
        <v>36</v>
      </c>
      <c r="AF618" s="37" t="s">
        <v>42</v>
      </c>
      <c r="AG618" s="37" t="s">
        <v>42</v>
      </c>
      <c r="AH618" s="37" t="s">
        <v>42</v>
      </c>
      <c r="AI618" s="105" t="str">
        <f t="shared" si="6"/>
        <v>----</v>
      </c>
      <c r="AJ618" s="108" t="str">
        <f t="shared" si="7"/>
        <v>Paper has link but no statement</v>
      </c>
      <c r="AK618" s="109" t="s">
        <v>3401</v>
      </c>
      <c r="AL618" s="110" t="s">
        <v>3402</v>
      </c>
      <c r="AM618" s="40" t="str">
        <f t="shared" si="8"/>
        <v>[FP0130]</v>
      </c>
    </row>
    <row r="619" ht="67.5" customHeight="1">
      <c r="A619" s="41">
        <v>131.0</v>
      </c>
      <c r="B619" s="42" t="s">
        <v>5028</v>
      </c>
      <c r="C619" s="43">
        <v>2022.0</v>
      </c>
      <c r="D619" s="111" t="s">
        <v>35</v>
      </c>
      <c r="E619" s="45" t="s">
        <v>36</v>
      </c>
      <c r="F619" s="45" t="s">
        <v>36</v>
      </c>
      <c r="G619" s="45" t="s">
        <v>36</v>
      </c>
      <c r="H619" s="45" t="s">
        <v>36</v>
      </c>
      <c r="I619" s="45" t="s">
        <v>36</v>
      </c>
      <c r="J619" s="112" t="s">
        <v>36</v>
      </c>
      <c r="K619" s="113" t="s">
        <v>37</v>
      </c>
      <c r="L619" s="114" t="s">
        <v>35</v>
      </c>
      <c r="M619" s="114" t="s">
        <v>37</v>
      </c>
      <c r="N619" s="114" t="s">
        <v>35</v>
      </c>
      <c r="O619" s="114" t="s">
        <v>35</v>
      </c>
      <c r="P619" s="114" t="s">
        <v>35</v>
      </c>
      <c r="Q619" s="114" t="s">
        <v>35</v>
      </c>
      <c r="R619" s="114" t="s">
        <v>37</v>
      </c>
      <c r="S619" s="115" t="s">
        <v>5029</v>
      </c>
      <c r="T619" s="50" t="s">
        <v>5030</v>
      </c>
      <c r="U619" s="50" t="s">
        <v>5030</v>
      </c>
      <c r="V619" s="116">
        <f t="shared" si="2"/>
        <v>1</v>
      </c>
      <c r="W619" s="116">
        <f t="shared" ref="W619:X619" si="624">IF(lenb(SUBSTITUTE($Z619,W$1&amp;" (1)",""))&lt;lenb($Z619),1,IF(lenb(SUBSTITUTE($Z619,W$1&amp;" (2)",""))&lt;lenb($Z619),2,IF(lenb(SUBSTITUTE($Z619,W$1&amp;" (3)",""))&lt;lenb($Z619),3,IF(lenb(SUBSTITUTE($Z619,W$1&amp;" (4)",""))&lt;lenb($Z619),4,IF(lenb(SUBSTITUTE($Z619,W$1&amp;" (5)",""))&lt;lenb($Z619),5,IF(lenb(SUBSTITUTE($Z619,W$1&amp;" (6)",""))&lt;lenb($Z619),6,IF(lenb(SUBSTITUTE($Z619,W$1&amp;" (7)",""))&lt;lenb($Z619),1,IF(lenb(SUBSTITUTE($Z619,W$1&amp;" (8)",""))&lt;lenb($Z619),8,IF(lenb(SUBSTITUTE($Z619,W$1&amp;" (9)",""))&lt;lenb($Z619),9,IF(lenb(SUBSTITUTE($Z619,W$1&amp;" (10)",""))&lt;lenb($Z619),10,IF(lenb(SUBSTITUTE($Z619,W$1,""))&lt;lenb($Z619),"ERROR",IF($Z619=$Y$1,"-",0))))))))))))</f>
        <v>0</v>
      </c>
      <c r="X619" s="116">
        <f t="shared" si="624"/>
        <v>0</v>
      </c>
      <c r="Y619" s="116" t="str">
        <f t="shared" si="4"/>
        <v>-</v>
      </c>
      <c r="Z619" s="48" t="s">
        <v>3400</v>
      </c>
      <c r="AA619" s="54">
        <f t="shared" si="5"/>
        <v>1</v>
      </c>
      <c r="AB619" s="54">
        <f>COUNTIFS(Links!B:B,"FSE",Links!C:C,A619,Links!AD:AD,1)</f>
        <v>0</v>
      </c>
      <c r="AC619" s="117" t="s">
        <v>35</v>
      </c>
      <c r="AD619" s="118" t="s">
        <v>35</v>
      </c>
      <c r="AE619" s="115" t="s">
        <v>36</v>
      </c>
      <c r="AF619" s="57" t="s">
        <v>42</v>
      </c>
      <c r="AG619" s="57" t="s">
        <v>42</v>
      </c>
      <c r="AH619" s="57" t="s">
        <v>42</v>
      </c>
      <c r="AI619" s="116" t="str">
        <f t="shared" si="6"/>
        <v>----</v>
      </c>
      <c r="AJ619" s="119" t="str">
        <f t="shared" si="7"/>
        <v>Paper has link but no statement</v>
      </c>
      <c r="AK619" s="120" t="s">
        <v>3401</v>
      </c>
      <c r="AL619" s="121" t="s">
        <v>3402</v>
      </c>
      <c r="AM619" s="60" t="str">
        <f t="shared" si="8"/>
        <v>[FP0131]</v>
      </c>
    </row>
    <row r="620" ht="67.5" customHeight="1">
      <c r="A620" s="61">
        <v>132.0</v>
      </c>
      <c r="B620" s="22" t="s">
        <v>5031</v>
      </c>
      <c r="C620" s="23">
        <v>2022.0</v>
      </c>
      <c r="D620" s="100" t="s">
        <v>35</v>
      </c>
      <c r="E620" s="25" t="s">
        <v>36</v>
      </c>
      <c r="F620" s="25" t="s">
        <v>36</v>
      </c>
      <c r="G620" s="25" t="s">
        <v>36</v>
      </c>
      <c r="H620" s="25" t="s">
        <v>36</v>
      </c>
      <c r="I620" s="25" t="s">
        <v>36</v>
      </c>
      <c r="J620" s="101" t="s">
        <v>36</v>
      </c>
      <c r="K620" s="102" t="s">
        <v>37</v>
      </c>
      <c r="L620" s="103" t="s">
        <v>35</v>
      </c>
      <c r="M620" s="103" t="s">
        <v>37</v>
      </c>
      <c r="N620" s="103" t="s">
        <v>35</v>
      </c>
      <c r="O620" s="103" t="s">
        <v>35</v>
      </c>
      <c r="P620" s="103" t="s">
        <v>35</v>
      </c>
      <c r="Q620" s="103" t="s">
        <v>35</v>
      </c>
      <c r="R620" s="103" t="s">
        <v>37</v>
      </c>
      <c r="S620" s="104" t="s">
        <v>5032</v>
      </c>
      <c r="T620" s="30" t="s">
        <v>5033</v>
      </c>
      <c r="U620" s="30" t="s">
        <v>5034</v>
      </c>
      <c r="V620" s="105">
        <f t="shared" si="2"/>
        <v>1</v>
      </c>
      <c r="W620" s="105">
        <f t="shared" ref="W620:X620" si="625">IF(lenb(SUBSTITUTE($Z620,W$1&amp;" (1)",""))&lt;lenb($Z620),1,IF(lenb(SUBSTITUTE($Z620,W$1&amp;" (2)",""))&lt;lenb($Z620),2,IF(lenb(SUBSTITUTE($Z620,W$1&amp;" (3)",""))&lt;lenb($Z620),3,IF(lenb(SUBSTITUTE($Z620,W$1&amp;" (4)",""))&lt;lenb($Z620),4,IF(lenb(SUBSTITUTE($Z620,W$1&amp;" (5)",""))&lt;lenb($Z620),5,IF(lenb(SUBSTITUTE($Z620,W$1&amp;" (6)",""))&lt;lenb($Z620),6,IF(lenb(SUBSTITUTE($Z620,W$1&amp;" (7)",""))&lt;lenb($Z620),1,IF(lenb(SUBSTITUTE($Z620,W$1&amp;" (8)",""))&lt;lenb($Z620),8,IF(lenb(SUBSTITUTE($Z620,W$1&amp;" (9)",""))&lt;lenb($Z620),9,IF(lenb(SUBSTITUTE($Z620,W$1&amp;" (10)",""))&lt;lenb($Z620),10,IF(lenb(SUBSTITUTE($Z620,W$1,""))&lt;lenb($Z620),"ERROR",IF($Z620=$Y$1,"-",0))))))))))))</f>
        <v>0</v>
      </c>
      <c r="X620" s="105">
        <f t="shared" si="625"/>
        <v>0</v>
      </c>
      <c r="Y620" s="105" t="str">
        <f t="shared" si="4"/>
        <v>-</v>
      </c>
      <c r="Z620" s="104" t="s">
        <v>3400</v>
      </c>
      <c r="AA620" s="34">
        <f t="shared" si="5"/>
        <v>1</v>
      </c>
      <c r="AB620" s="34">
        <f>COUNTIFS(Links!B:B,"FSE",Links!C:C,A620,Links!AD:AD,1)</f>
        <v>0</v>
      </c>
      <c r="AC620" s="106" t="s">
        <v>37</v>
      </c>
      <c r="AD620" s="107" t="s">
        <v>35</v>
      </c>
      <c r="AE620" s="104" t="s">
        <v>36</v>
      </c>
      <c r="AF620" s="37" t="s">
        <v>42</v>
      </c>
      <c r="AG620" s="37" t="s">
        <v>42</v>
      </c>
      <c r="AH620" s="37" t="s">
        <v>42</v>
      </c>
      <c r="AI620" s="105" t="str">
        <f t="shared" si="6"/>
        <v>----</v>
      </c>
      <c r="AJ620" s="108" t="str">
        <f t="shared" si="7"/>
        <v>Paper has link but no statement</v>
      </c>
      <c r="AK620" s="109" t="s">
        <v>3401</v>
      </c>
      <c r="AL620" s="110" t="s">
        <v>3402</v>
      </c>
      <c r="AM620" s="40" t="str">
        <f t="shared" si="8"/>
        <v>[FP0132]</v>
      </c>
    </row>
    <row r="621" ht="67.5" customHeight="1">
      <c r="A621" s="41">
        <v>133.0</v>
      </c>
      <c r="B621" s="42" t="s">
        <v>5035</v>
      </c>
      <c r="C621" s="43">
        <v>2022.0</v>
      </c>
      <c r="D621" s="111" t="s">
        <v>37</v>
      </c>
      <c r="E621" s="45" t="s">
        <v>37</v>
      </c>
      <c r="F621" s="45" t="s">
        <v>37</v>
      </c>
      <c r="G621" s="45" t="s">
        <v>35</v>
      </c>
      <c r="H621" s="45" t="s">
        <v>35</v>
      </c>
      <c r="I621" s="45" t="s">
        <v>35</v>
      </c>
      <c r="J621" s="112" t="s">
        <v>36</v>
      </c>
      <c r="K621" s="113" t="s">
        <v>37</v>
      </c>
      <c r="L621" s="114" t="s">
        <v>35</v>
      </c>
      <c r="M621" s="114" t="s">
        <v>37</v>
      </c>
      <c r="N621" s="114" t="s">
        <v>37</v>
      </c>
      <c r="O621" s="114" t="s">
        <v>35</v>
      </c>
      <c r="P621" s="114" t="s">
        <v>35</v>
      </c>
      <c r="Q621" s="114" t="s">
        <v>35</v>
      </c>
      <c r="R621" s="114" t="s">
        <v>37</v>
      </c>
      <c r="S621" s="115" t="s">
        <v>5036</v>
      </c>
      <c r="T621" s="50" t="s">
        <v>5037</v>
      </c>
      <c r="U621" s="50" t="s">
        <v>5037</v>
      </c>
      <c r="V621" s="116">
        <f t="shared" si="2"/>
        <v>1</v>
      </c>
      <c r="W621" s="116">
        <f t="shared" ref="W621:X621" si="626">IF(lenb(SUBSTITUTE($Z621,W$1&amp;" (1)",""))&lt;lenb($Z621),1,IF(lenb(SUBSTITUTE($Z621,W$1&amp;" (2)",""))&lt;lenb($Z621),2,IF(lenb(SUBSTITUTE($Z621,W$1&amp;" (3)",""))&lt;lenb($Z621),3,IF(lenb(SUBSTITUTE($Z621,W$1&amp;" (4)",""))&lt;lenb($Z621),4,IF(lenb(SUBSTITUTE($Z621,W$1&amp;" (5)",""))&lt;lenb($Z621),5,IF(lenb(SUBSTITUTE($Z621,W$1&amp;" (6)",""))&lt;lenb($Z621),6,IF(lenb(SUBSTITUTE($Z621,W$1&amp;" (7)",""))&lt;lenb($Z621),1,IF(lenb(SUBSTITUTE($Z621,W$1&amp;" (8)",""))&lt;lenb($Z621),8,IF(lenb(SUBSTITUTE($Z621,W$1&amp;" (9)",""))&lt;lenb($Z621),9,IF(lenb(SUBSTITUTE($Z621,W$1&amp;" (10)",""))&lt;lenb($Z621),10,IF(lenb(SUBSTITUTE($Z621,W$1,""))&lt;lenb($Z621),"ERROR",IF($Z621=$Y$1,"-",0))))))))))))</f>
        <v>0</v>
      </c>
      <c r="X621" s="116">
        <f t="shared" si="626"/>
        <v>0</v>
      </c>
      <c r="Y621" s="116" t="str">
        <f t="shared" si="4"/>
        <v>-</v>
      </c>
      <c r="Z621" s="48" t="s">
        <v>3400</v>
      </c>
      <c r="AA621" s="54">
        <f t="shared" si="5"/>
        <v>1</v>
      </c>
      <c r="AB621" s="54">
        <f>COUNTIFS(Links!B:B,"FSE",Links!C:C,A621,Links!AD:AD,1)</f>
        <v>0</v>
      </c>
      <c r="AC621" s="117" t="s">
        <v>35</v>
      </c>
      <c r="AD621" s="118" t="s">
        <v>35</v>
      </c>
      <c r="AE621" s="115" t="s">
        <v>36</v>
      </c>
      <c r="AF621" s="57" t="s">
        <v>42</v>
      </c>
      <c r="AG621" s="57" t="s">
        <v>42</v>
      </c>
      <c r="AH621" s="57" t="s">
        <v>42</v>
      </c>
      <c r="AI621" s="116" t="str">
        <f t="shared" si="6"/>
        <v>----</v>
      </c>
      <c r="AJ621" s="119" t="str">
        <f t="shared" si="7"/>
        <v>Paper has link but no statement</v>
      </c>
      <c r="AK621" s="120" t="s">
        <v>3401</v>
      </c>
      <c r="AL621" s="121" t="s">
        <v>3402</v>
      </c>
      <c r="AM621" s="60" t="str">
        <f t="shared" si="8"/>
        <v>[FP0133]</v>
      </c>
    </row>
    <row r="622" ht="67.5" customHeight="1">
      <c r="A622" s="61">
        <v>134.0</v>
      </c>
      <c r="B622" s="22" t="s">
        <v>5038</v>
      </c>
      <c r="C622" s="23">
        <v>2022.0</v>
      </c>
      <c r="D622" s="100" t="s">
        <v>35</v>
      </c>
      <c r="E622" s="25" t="s">
        <v>36</v>
      </c>
      <c r="F622" s="25" t="s">
        <v>36</v>
      </c>
      <c r="G622" s="25" t="s">
        <v>36</v>
      </c>
      <c r="H622" s="25" t="s">
        <v>36</v>
      </c>
      <c r="I622" s="25" t="s">
        <v>36</v>
      </c>
      <c r="J622" s="101" t="s">
        <v>36</v>
      </c>
      <c r="K622" s="102" t="s">
        <v>37</v>
      </c>
      <c r="L622" s="103" t="s">
        <v>37</v>
      </c>
      <c r="M622" s="103" t="s">
        <v>35</v>
      </c>
      <c r="N622" s="103" t="s">
        <v>37</v>
      </c>
      <c r="O622" s="103" t="s">
        <v>35</v>
      </c>
      <c r="P622" s="103" t="s">
        <v>35</v>
      </c>
      <c r="Q622" s="103" t="s">
        <v>35</v>
      </c>
      <c r="R622" s="103" t="s">
        <v>35</v>
      </c>
      <c r="S622" s="104" t="s">
        <v>5039</v>
      </c>
      <c r="T622" s="30" t="s">
        <v>5040</v>
      </c>
      <c r="U622" s="30" t="s">
        <v>5040</v>
      </c>
      <c r="V622" s="105">
        <f t="shared" si="2"/>
        <v>1</v>
      </c>
      <c r="W622" s="105">
        <f t="shared" ref="W622:X622" si="627">IF(lenb(SUBSTITUTE($Z622,W$1&amp;" (1)",""))&lt;lenb($Z622),1,IF(lenb(SUBSTITUTE($Z622,W$1&amp;" (2)",""))&lt;lenb($Z622),2,IF(lenb(SUBSTITUTE($Z622,W$1&amp;" (3)",""))&lt;lenb($Z622),3,IF(lenb(SUBSTITUTE($Z622,W$1&amp;" (4)",""))&lt;lenb($Z622),4,IF(lenb(SUBSTITUTE($Z622,W$1&amp;" (5)",""))&lt;lenb($Z622),5,IF(lenb(SUBSTITUTE($Z622,W$1&amp;" (6)",""))&lt;lenb($Z622),6,IF(lenb(SUBSTITUTE($Z622,W$1&amp;" (7)",""))&lt;lenb($Z622),1,IF(lenb(SUBSTITUTE($Z622,W$1&amp;" (8)",""))&lt;lenb($Z622),8,IF(lenb(SUBSTITUTE($Z622,W$1&amp;" (9)",""))&lt;lenb($Z622),9,IF(lenb(SUBSTITUTE($Z622,W$1&amp;" (10)",""))&lt;lenb($Z622),10,IF(lenb(SUBSTITUTE($Z622,W$1,""))&lt;lenb($Z622),"ERROR",IF($Z622=$Y$1,"-",0))))))))))))</f>
        <v>0</v>
      </c>
      <c r="X622" s="105">
        <f t="shared" si="627"/>
        <v>0</v>
      </c>
      <c r="Y622" s="105" t="str">
        <f t="shared" si="4"/>
        <v>-</v>
      </c>
      <c r="Z622" s="28" t="s">
        <v>3400</v>
      </c>
      <c r="AA622" s="34">
        <f t="shared" si="5"/>
        <v>1</v>
      </c>
      <c r="AB622" s="34">
        <f>COUNTIFS(Links!B:B,"FSE",Links!C:C,A622,Links!AD:AD,1)</f>
        <v>0</v>
      </c>
      <c r="AC622" s="106" t="s">
        <v>35</v>
      </c>
      <c r="AD622" s="107" t="s">
        <v>35</v>
      </c>
      <c r="AE622" s="104" t="s">
        <v>36</v>
      </c>
      <c r="AF622" s="37" t="s">
        <v>42</v>
      </c>
      <c r="AG622" s="37" t="s">
        <v>42</v>
      </c>
      <c r="AH622" s="37" t="s">
        <v>42</v>
      </c>
      <c r="AI622" s="105" t="str">
        <f t="shared" si="6"/>
        <v>----</v>
      </c>
      <c r="AJ622" s="108" t="str">
        <f t="shared" si="7"/>
        <v>Paper has link but no statement</v>
      </c>
      <c r="AK622" s="109" t="s">
        <v>3401</v>
      </c>
      <c r="AL622" s="110" t="s">
        <v>3402</v>
      </c>
      <c r="AM622" s="40" t="str">
        <f t="shared" si="8"/>
        <v>[FP0134]</v>
      </c>
    </row>
    <row r="623" ht="67.5" customHeight="1">
      <c r="A623" s="41">
        <v>135.0</v>
      </c>
      <c r="B623" s="42" t="s">
        <v>5041</v>
      </c>
      <c r="C623" s="43">
        <v>2022.0</v>
      </c>
      <c r="D623" s="111" t="s">
        <v>35</v>
      </c>
      <c r="E623" s="45" t="s">
        <v>36</v>
      </c>
      <c r="F623" s="45" t="s">
        <v>36</v>
      </c>
      <c r="G623" s="45" t="s">
        <v>36</v>
      </c>
      <c r="H623" s="45" t="s">
        <v>36</v>
      </c>
      <c r="I623" s="45" t="s">
        <v>36</v>
      </c>
      <c r="J623" s="112" t="s">
        <v>36</v>
      </c>
      <c r="K623" s="113" t="s">
        <v>35</v>
      </c>
      <c r="L623" s="114" t="s">
        <v>36</v>
      </c>
      <c r="M623" s="114" t="s">
        <v>36</v>
      </c>
      <c r="N623" s="114" t="s">
        <v>36</v>
      </c>
      <c r="O623" s="114" t="s">
        <v>36</v>
      </c>
      <c r="P623" s="114" t="s">
        <v>36</v>
      </c>
      <c r="Q623" s="114" t="s">
        <v>36</v>
      </c>
      <c r="R623" s="114" t="s">
        <v>36</v>
      </c>
      <c r="S623" s="115" t="s">
        <v>42</v>
      </c>
      <c r="T623" s="50" t="s">
        <v>36</v>
      </c>
      <c r="U623" s="50" t="s">
        <v>36</v>
      </c>
      <c r="V623" s="116" t="str">
        <f t="shared" si="2"/>
        <v>-</v>
      </c>
      <c r="W623" s="116" t="str">
        <f t="shared" ref="W623:X623" si="628">IF(lenb(SUBSTITUTE($Z623,W$1&amp;" (1)",""))&lt;lenb($Z623),1,IF(lenb(SUBSTITUTE($Z623,W$1&amp;" (2)",""))&lt;lenb($Z623),2,IF(lenb(SUBSTITUTE($Z623,W$1&amp;" (3)",""))&lt;lenb($Z623),3,IF(lenb(SUBSTITUTE($Z623,W$1&amp;" (4)",""))&lt;lenb($Z623),4,IF(lenb(SUBSTITUTE($Z623,W$1&amp;" (5)",""))&lt;lenb($Z623),5,IF(lenb(SUBSTITUTE($Z623,W$1&amp;" (6)",""))&lt;lenb($Z623),6,IF(lenb(SUBSTITUTE($Z623,W$1&amp;" (7)",""))&lt;lenb($Z623),1,IF(lenb(SUBSTITUTE($Z623,W$1&amp;" (8)",""))&lt;lenb($Z623),8,IF(lenb(SUBSTITUTE($Z623,W$1&amp;" (9)",""))&lt;lenb($Z623),9,IF(lenb(SUBSTITUTE($Z623,W$1&amp;" (10)",""))&lt;lenb($Z623),10,IF(lenb(SUBSTITUTE($Z623,W$1,""))&lt;lenb($Z623),"ERROR",IF($Z623=$Y$1,"-",0))))))))))))</f>
        <v>-</v>
      </c>
      <c r="X623" s="116" t="str">
        <f t="shared" si="628"/>
        <v>-</v>
      </c>
      <c r="Y623" s="116">
        <f t="shared" si="4"/>
        <v>1</v>
      </c>
      <c r="Z623" s="48" t="s">
        <v>23</v>
      </c>
      <c r="AA623" s="54">
        <f t="shared" si="5"/>
        <v>0</v>
      </c>
      <c r="AB623" s="54">
        <f>COUNTIFS(Links!B:B,"FSE",Links!C:C,A623,Links!AD:AD,1)</f>
        <v>0</v>
      </c>
      <c r="AC623" s="117" t="s">
        <v>36</v>
      </c>
      <c r="AD623" s="118" t="s">
        <v>35</v>
      </c>
      <c r="AE623" s="115" t="s">
        <v>36</v>
      </c>
      <c r="AF623" s="57" t="s">
        <v>42</v>
      </c>
      <c r="AG623" s="57" t="s">
        <v>42</v>
      </c>
      <c r="AH623" s="57" t="s">
        <v>42</v>
      </c>
      <c r="AI623" s="116" t="str">
        <f t="shared" si="6"/>
        <v>----</v>
      </c>
      <c r="AJ623" s="119" t="str">
        <f t="shared" si="7"/>
        <v>Paper has no link and no statement</v>
      </c>
      <c r="AK623" s="120" t="s">
        <v>3401</v>
      </c>
      <c r="AL623" s="121" t="s">
        <v>3402</v>
      </c>
      <c r="AM623" s="60" t="str">
        <f t="shared" si="8"/>
        <v>[FP0135]</v>
      </c>
    </row>
    <row r="624" ht="67.5" customHeight="1">
      <c r="A624" s="61">
        <v>136.0</v>
      </c>
      <c r="B624" s="22" t="s">
        <v>5042</v>
      </c>
      <c r="C624" s="23">
        <v>2022.0</v>
      </c>
      <c r="D624" s="100" t="s">
        <v>35</v>
      </c>
      <c r="E624" s="25" t="s">
        <v>36</v>
      </c>
      <c r="F624" s="25" t="s">
        <v>36</v>
      </c>
      <c r="G624" s="25" t="s">
        <v>36</v>
      </c>
      <c r="H624" s="25" t="s">
        <v>36</v>
      </c>
      <c r="I624" s="25" t="s">
        <v>36</v>
      </c>
      <c r="J624" s="101" t="s">
        <v>36</v>
      </c>
      <c r="K624" s="102" t="s">
        <v>37</v>
      </c>
      <c r="L624" s="103" t="s">
        <v>35</v>
      </c>
      <c r="M624" s="103" t="s">
        <v>37</v>
      </c>
      <c r="N624" s="103" t="s">
        <v>37</v>
      </c>
      <c r="O624" s="103" t="s">
        <v>35</v>
      </c>
      <c r="P624" s="103" t="s">
        <v>35</v>
      </c>
      <c r="Q624" s="103" t="s">
        <v>35</v>
      </c>
      <c r="R624" s="103" t="s">
        <v>37</v>
      </c>
      <c r="S624" s="104" t="s">
        <v>5043</v>
      </c>
      <c r="T624" s="30" t="s">
        <v>5044</v>
      </c>
      <c r="U624" s="30" t="s">
        <v>5045</v>
      </c>
      <c r="V624" s="105">
        <f t="shared" si="2"/>
        <v>2</v>
      </c>
      <c r="W624" s="105">
        <f t="shared" ref="W624:X624" si="629">IF(lenb(SUBSTITUTE($Z624,W$1&amp;" (1)",""))&lt;lenb($Z624),1,IF(lenb(SUBSTITUTE($Z624,W$1&amp;" (2)",""))&lt;lenb($Z624),2,IF(lenb(SUBSTITUTE($Z624,W$1&amp;" (3)",""))&lt;lenb($Z624),3,IF(lenb(SUBSTITUTE($Z624,W$1&amp;" (4)",""))&lt;lenb($Z624),4,IF(lenb(SUBSTITUTE($Z624,W$1&amp;" (5)",""))&lt;lenb($Z624),5,IF(lenb(SUBSTITUTE($Z624,W$1&amp;" (6)",""))&lt;lenb($Z624),6,IF(lenb(SUBSTITUTE($Z624,W$1&amp;" (7)",""))&lt;lenb($Z624),1,IF(lenb(SUBSTITUTE($Z624,W$1&amp;" (8)",""))&lt;lenb($Z624),8,IF(lenb(SUBSTITUTE($Z624,W$1&amp;" (9)",""))&lt;lenb($Z624),9,IF(lenb(SUBSTITUTE($Z624,W$1&amp;" (10)",""))&lt;lenb($Z624),10,IF(lenb(SUBSTITUTE($Z624,W$1,""))&lt;lenb($Z624),"ERROR",IF($Z624=$Y$1,"-",0))))))))))))</f>
        <v>0</v>
      </c>
      <c r="X624" s="105">
        <f t="shared" si="629"/>
        <v>0</v>
      </c>
      <c r="Y624" s="105" t="str">
        <f t="shared" si="4"/>
        <v>-</v>
      </c>
      <c r="Z624" s="104" t="s">
        <v>3452</v>
      </c>
      <c r="AA624" s="34">
        <f t="shared" si="5"/>
        <v>2</v>
      </c>
      <c r="AB624" s="34">
        <f>COUNTIFS(Links!B:B,"FSE",Links!C:C,A624,Links!AD:AD,1)</f>
        <v>0</v>
      </c>
      <c r="AC624" s="106" t="s">
        <v>35</v>
      </c>
      <c r="AD624" s="107" t="s">
        <v>35</v>
      </c>
      <c r="AE624" s="104" t="s">
        <v>36</v>
      </c>
      <c r="AF624" s="37" t="s">
        <v>42</v>
      </c>
      <c r="AG624" s="37" t="s">
        <v>42</v>
      </c>
      <c r="AH624" s="37" t="s">
        <v>42</v>
      </c>
      <c r="AI624" s="105" t="str">
        <f t="shared" si="6"/>
        <v>----</v>
      </c>
      <c r="AJ624" s="108" t="str">
        <f t="shared" si="7"/>
        <v>Paper has link but no statement</v>
      </c>
      <c r="AK624" s="109" t="s">
        <v>3401</v>
      </c>
      <c r="AL624" s="110" t="s">
        <v>3402</v>
      </c>
      <c r="AM624" s="40" t="str">
        <f t="shared" si="8"/>
        <v>[FP0136]</v>
      </c>
    </row>
    <row r="625" ht="67.5" customHeight="1">
      <c r="A625" s="41">
        <v>137.0</v>
      </c>
      <c r="B625" s="42" t="s">
        <v>5046</v>
      </c>
      <c r="C625" s="43">
        <v>2022.0</v>
      </c>
      <c r="D625" s="111" t="s">
        <v>35</v>
      </c>
      <c r="E625" s="45" t="s">
        <v>36</v>
      </c>
      <c r="F625" s="45" t="s">
        <v>36</v>
      </c>
      <c r="G625" s="45" t="s">
        <v>36</v>
      </c>
      <c r="H625" s="45" t="s">
        <v>36</v>
      </c>
      <c r="I625" s="45" t="s">
        <v>36</v>
      </c>
      <c r="J625" s="112" t="s">
        <v>36</v>
      </c>
      <c r="K625" s="113" t="s">
        <v>37</v>
      </c>
      <c r="L625" s="114" t="s">
        <v>37</v>
      </c>
      <c r="M625" s="114" t="s">
        <v>35</v>
      </c>
      <c r="N625" s="114" t="s">
        <v>35</v>
      </c>
      <c r="O625" s="114" t="s">
        <v>35</v>
      </c>
      <c r="P625" s="114" t="s">
        <v>35</v>
      </c>
      <c r="Q625" s="114" t="s">
        <v>35</v>
      </c>
      <c r="R625" s="114" t="s">
        <v>37</v>
      </c>
      <c r="S625" s="115" t="s">
        <v>5047</v>
      </c>
      <c r="T625" s="50" t="s">
        <v>5048</v>
      </c>
      <c r="U625" s="50" t="s">
        <v>5048</v>
      </c>
      <c r="V625" s="116">
        <f t="shared" si="2"/>
        <v>1</v>
      </c>
      <c r="W625" s="116">
        <f t="shared" ref="W625:X625" si="630">IF(lenb(SUBSTITUTE($Z625,W$1&amp;" (1)",""))&lt;lenb($Z625),1,IF(lenb(SUBSTITUTE($Z625,W$1&amp;" (2)",""))&lt;lenb($Z625),2,IF(lenb(SUBSTITUTE($Z625,W$1&amp;" (3)",""))&lt;lenb($Z625),3,IF(lenb(SUBSTITUTE($Z625,W$1&amp;" (4)",""))&lt;lenb($Z625),4,IF(lenb(SUBSTITUTE($Z625,W$1&amp;" (5)",""))&lt;lenb($Z625),5,IF(lenb(SUBSTITUTE($Z625,W$1&amp;" (6)",""))&lt;lenb($Z625),6,IF(lenb(SUBSTITUTE($Z625,W$1&amp;" (7)",""))&lt;lenb($Z625),1,IF(lenb(SUBSTITUTE($Z625,W$1&amp;" (8)",""))&lt;lenb($Z625),8,IF(lenb(SUBSTITUTE($Z625,W$1&amp;" (9)",""))&lt;lenb($Z625),9,IF(lenb(SUBSTITUTE($Z625,W$1&amp;" (10)",""))&lt;lenb($Z625),10,IF(lenb(SUBSTITUTE($Z625,W$1,""))&lt;lenb($Z625),"ERROR",IF($Z625=$Y$1,"-",0))))))))))))</f>
        <v>0</v>
      </c>
      <c r="X625" s="116">
        <f t="shared" si="630"/>
        <v>0</v>
      </c>
      <c r="Y625" s="116" t="str">
        <f t="shared" si="4"/>
        <v>-</v>
      </c>
      <c r="Z625" s="48" t="s">
        <v>3400</v>
      </c>
      <c r="AA625" s="54">
        <f t="shared" si="5"/>
        <v>1</v>
      </c>
      <c r="AB625" s="54">
        <f>COUNTIFS(Links!B:B,"FSE",Links!C:C,A625,Links!AD:AD,1)</f>
        <v>0</v>
      </c>
      <c r="AC625" s="117" t="s">
        <v>35</v>
      </c>
      <c r="AD625" s="118" t="s">
        <v>35</v>
      </c>
      <c r="AE625" s="115" t="s">
        <v>36</v>
      </c>
      <c r="AF625" s="57" t="s">
        <v>42</v>
      </c>
      <c r="AG625" s="57" t="s">
        <v>42</v>
      </c>
      <c r="AH625" s="57" t="s">
        <v>42</v>
      </c>
      <c r="AI625" s="116" t="str">
        <f t="shared" si="6"/>
        <v>----</v>
      </c>
      <c r="AJ625" s="119" t="str">
        <f t="shared" si="7"/>
        <v>Paper has link but no statement</v>
      </c>
      <c r="AK625" s="120" t="s">
        <v>3401</v>
      </c>
      <c r="AL625" s="121" t="s">
        <v>3402</v>
      </c>
      <c r="AM625" s="60" t="str">
        <f t="shared" si="8"/>
        <v>[FP0137]</v>
      </c>
    </row>
    <row r="626" ht="67.5" customHeight="1">
      <c r="A626" s="61">
        <v>138.0</v>
      </c>
      <c r="B626" s="22" t="s">
        <v>5049</v>
      </c>
      <c r="C626" s="23">
        <v>2022.0</v>
      </c>
      <c r="D626" s="100" t="s">
        <v>35</v>
      </c>
      <c r="E626" s="25" t="s">
        <v>36</v>
      </c>
      <c r="F626" s="25" t="s">
        <v>36</v>
      </c>
      <c r="G626" s="25" t="s">
        <v>36</v>
      </c>
      <c r="H626" s="25" t="s">
        <v>36</v>
      </c>
      <c r="I626" s="25" t="s">
        <v>36</v>
      </c>
      <c r="J626" s="101" t="s">
        <v>36</v>
      </c>
      <c r="K626" s="102" t="s">
        <v>37</v>
      </c>
      <c r="L626" s="103" t="s">
        <v>37</v>
      </c>
      <c r="M626" s="103" t="s">
        <v>35</v>
      </c>
      <c r="N626" s="103" t="s">
        <v>37</v>
      </c>
      <c r="O626" s="103" t="s">
        <v>35</v>
      </c>
      <c r="P626" s="103" t="s">
        <v>35</v>
      </c>
      <c r="Q626" s="103" t="s">
        <v>35</v>
      </c>
      <c r="R626" s="103" t="s">
        <v>37</v>
      </c>
      <c r="S626" s="104" t="s">
        <v>5050</v>
      </c>
      <c r="T626" s="30" t="s">
        <v>5051</v>
      </c>
      <c r="U626" s="30" t="s">
        <v>5051</v>
      </c>
      <c r="V626" s="105">
        <f t="shared" si="2"/>
        <v>1</v>
      </c>
      <c r="W626" s="105">
        <f t="shared" ref="W626:X626" si="631">IF(lenb(SUBSTITUTE($Z626,W$1&amp;" (1)",""))&lt;lenb($Z626),1,IF(lenb(SUBSTITUTE($Z626,W$1&amp;" (2)",""))&lt;lenb($Z626),2,IF(lenb(SUBSTITUTE($Z626,W$1&amp;" (3)",""))&lt;lenb($Z626),3,IF(lenb(SUBSTITUTE($Z626,W$1&amp;" (4)",""))&lt;lenb($Z626),4,IF(lenb(SUBSTITUTE($Z626,W$1&amp;" (5)",""))&lt;lenb($Z626),5,IF(lenb(SUBSTITUTE($Z626,W$1&amp;" (6)",""))&lt;lenb($Z626),6,IF(lenb(SUBSTITUTE($Z626,W$1&amp;" (7)",""))&lt;lenb($Z626),1,IF(lenb(SUBSTITUTE($Z626,W$1&amp;" (8)",""))&lt;lenb($Z626),8,IF(lenb(SUBSTITUTE($Z626,W$1&amp;" (9)",""))&lt;lenb($Z626),9,IF(lenb(SUBSTITUTE($Z626,W$1&amp;" (10)",""))&lt;lenb($Z626),10,IF(lenb(SUBSTITUTE($Z626,W$1,""))&lt;lenb($Z626),"ERROR",IF($Z626=$Y$1,"-",0))))))))))))</f>
        <v>0</v>
      </c>
      <c r="X626" s="105">
        <f t="shared" si="631"/>
        <v>0</v>
      </c>
      <c r="Y626" s="105" t="str">
        <f t="shared" si="4"/>
        <v>-</v>
      </c>
      <c r="Z626" s="28" t="s">
        <v>3400</v>
      </c>
      <c r="AA626" s="34">
        <f t="shared" si="5"/>
        <v>1</v>
      </c>
      <c r="AB626" s="34">
        <f>COUNTIFS(Links!B:B,"FSE",Links!C:C,A626,Links!AD:AD,1)</f>
        <v>0</v>
      </c>
      <c r="AC626" s="106" t="s">
        <v>37</v>
      </c>
      <c r="AD626" s="107" t="s">
        <v>35</v>
      </c>
      <c r="AE626" s="104" t="s">
        <v>36</v>
      </c>
      <c r="AF626" s="37" t="s">
        <v>42</v>
      </c>
      <c r="AG626" s="37" t="s">
        <v>42</v>
      </c>
      <c r="AH626" s="37" t="s">
        <v>42</v>
      </c>
      <c r="AI626" s="105" t="str">
        <f t="shared" si="6"/>
        <v>----</v>
      </c>
      <c r="AJ626" s="108" t="str">
        <f t="shared" si="7"/>
        <v>Paper has link but no statement</v>
      </c>
      <c r="AK626" s="109" t="s">
        <v>3401</v>
      </c>
      <c r="AL626" s="110" t="s">
        <v>3402</v>
      </c>
      <c r="AM626" s="40" t="str">
        <f t="shared" si="8"/>
        <v>[FP0138]</v>
      </c>
    </row>
    <row r="627" ht="67.5" customHeight="1">
      <c r="A627" s="41">
        <v>139.0</v>
      </c>
      <c r="B627" s="42" t="s">
        <v>5052</v>
      </c>
      <c r="C627" s="43">
        <v>2022.0</v>
      </c>
      <c r="D627" s="111" t="s">
        <v>37</v>
      </c>
      <c r="E627" s="45" t="s">
        <v>37</v>
      </c>
      <c r="F627" s="45" t="s">
        <v>35</v>
      </c>
      <c r="G627" s="45" t="s">
        <v>37</v>
      </c>
      <c r="H627" s="45" t="s">
        <v>35</v>
      </c>
      <c r="I627" s="45" t="s">
        <v>35</v>
      </c>
      <c r="J627" s="112" t="s">
        <v>36</v>
      </c>
      <c r="K627" s="113" t="s">
        <v>37</v>
      </c>
      <c r="L627" s="114" t="s">
        <v>35</v>
      </c>
      <c r="M627" s="114" t="s">
        <v>37</v>
      </c>
      <c r="N627" s="114" t="s">
        <v>35</v>
      </c>
      <c r="O627" s="114" t="s">
        <v>35</v>
      </c>
      <c r="P627" s="114" t="s">
        <v>37</v>
      </c>
      <c r="Q627" s="114" t="s">
        <v>35</v>
      </c>
      <c r="R627" s="114" t="s">
        <v>37</v>
      </c>
      <c r="S627" s="115" t="s">
        <v>5053</v>
      </c>
      <c r="T627" s="50" t="s">
        <v>5054</v>
      </c>
      <c r="U627" s="50" t="s">
        <v>5054</v>
      </c>
      <c r="V627" s="116">
        <f t="shared" si="2"/>
        <v>1</v>
      </c>
      <c r="W627" s="116">
        <f t="shared" ref="W627:X627" si="632">IF(lenb(SUBSTITUTE($Z627,W$1&amp;" (1)",""))&lt;lenb($Z627),1,IF(lenb(SUBSTITUTE($Z627,W$1&amp;" (2)",""))&lt;lenb($Z627),2,IF(lenb(SUBSTITUTE($Z627,W$1&amp;" (3)",""))&lt;lenb($Z627),3,IF(lenb(SUBSTITUTE($Z627,W$1&amp;" (4)",""))&lt;lenb($Z627),4,IF(lenb(SUBSTITUTE($Z627,W$1&amp;" (5)",""))&lt;lenb($Z627),5,IF(lenb(SUBSTITUTE($Z627,W$1&amp;" (6)",""))&lt;lenb($Z627),6,IF(lenb(SUBSTITUTE($Z627,W$1&amp;" (7)",""))&lt;lenb($Z627),1,IF(lenb(SUBSTITUTE($Z627,W$1&amp;" (8)",""))&lt;lenb($Z627),8,IF(lenb(SUBSTITUTE($Z627,W$1&amp;" (9)",""))&lt;lenb($Z627),9,IF(lenb(SUBSTITUTE($Z627,W$1&amp;" (10)",""))&lt;lenb($Z627),10,IF(lenb(SUBSTITUTE($Z627,W$1,""))&lt;lenb($Z627),"ERROR",IF($Z627=$Y$1,"-",0))))))))))))</f>
        <v>0</v>
      </c>
      <c r="X627" s="116">
        <f t="shared" si="632"/>
        <v>0</v>
      </c>
      <c r="Y627" s="116" t="str">
        <f t="shared" si="4"/>
        <v>-</v>
      </c>
      <c r="Z627" s="48" t="s">
        <v>3400</v>
      </c>
      <c r="AA627" s="54">
        <f t="shared" si="5"/>
        <v>1</v>
      </c>
      <c r="AB627" s="54">
        <f>COUNTIFS(Links!B:B,"FSE",Links!C:C,A627,Links!AD:AD,1)</f>
        <v>0</v>
      </c>
      <c r="AC627" s="117" t="s">
        <v>37</v>
      </c>
      <c r="AD627" s="118" t="s">
        <v>35</v>
      </c>
      <c r="AE627" s="115" t="s">
        <v>36</v>
      </c>
      <c r="AF627" s="57" t="s">
        <v>42</v>
      </c>
      <c r="AG627" s="57" t="s">
        <v>42</v>
      </c>
      <c r="AH627" s="57" t="s">
        <v>42</v>
      </c>
      <c r="AI627" s="116" t="str">
        <f t="shared" si="6"/>
        <v>----</v>
      </c>
      <c r="AJ627" s="119" t="str">
        <f t="shared" si="7"/>
        <v>Paper has link but no statement</v>
      </c>
      <c r="AK627" s="120" t="s">
        <v>3401</v>
      </c>
      <c r="AL627" s="121" t="s">
        <v>3402</v>
      </c>
      <c r="AM627" s="60" t="str">
        <f t="shared" si="8"/>
        <v>[FP0139]</v>
      </c>
    </row>
    <row r="628" ht="67.5" customHeight="1">
      <c r="A628" s="61">
        <v>140.0</v>
      </c>
      <c r="B628" s="22" t="s">
        <v>5055</v>
      </c>
      <c r="C628" s="23">
        <v>2022.0</v>
      </c>
      <c r="D628" s="100" t="s">
        <v>35</v>
      </c>
      <c r="E628" s="25" t="s">
        <v>36</v>
      </c>
      <c r="F628" s="25" t="s">
        <v>36</v>
      </c>
      <c r="G628" s="25" t="s">
        <v>36</v>
      </c>
      <c r="H628" s="25" t="s">
        <v>36</v>
      </c>
      <c r="I628" s="25" t="s">
        <v>36</v>
      </c>
      <c r="J628" s="101" t="s">
        <v>36</v>
      </c>
      <c r="K628" s="102" t="s">
        <v>37</v>
      </c>
      <c r="L628" s="103" t="s">
        <v>37</v>
      </c>
      <c r="M628" s="103" t="s">
        <v>35</v>
      </c>
      <c r="N628" s="103" t="s">
        <v>35</v>
      </c>
      <c r="O628" s="103" t="s">
        <v>35</v>
      </c>
      <c r="P628" s="103" t="s">
        <v>35</v>
      </c>
      <c r="Q628" s="103" t="s">
        <v>35</v>
      </c>
      <c r="R628" s="103" t="s">
        <v>37</v>
      </c>
      <c r="S628" s="104" t="s">
        <v>5056</v>
      </c>
      <c r="T628" s="30" t="s">
        <v>5057</v>
      </c>
      <c r="U628" s="30" t="s">
        <v>5057</v>
      </c>
      <c r="V628" s="105">
        <f t="shared" si="2"/>
        <v>1</v>
      </c>
      <c r="W628" s="105">
        <f t="shared" ref="W628:X628" si="633">IF(lenb(SUBSTITUTE($Z628,W$1&amp;" (1)",""))&lt;lenb($Z628),1,IF(lenb(SUBSTITUTE($Z628,W$1&amp;" (2)",""))&lt;lenb($Z628),2,IF(lenb(SUBSTITUTE($Z628,W$1&amp;" (3)",""))&lt;lenb($Z628),3,IF(lenb(SUBSTITUTE($Z628,W$1&amp;" (4)",""))&lt;lenb($Z628),4,IF(lenb(SUBSTITUTE($Z628,W$1&amp;" (5)",""))&lt;lenb($Z628),5,IF(lenb(SUBSTITUTE($Z628,W$1&amp;" (6)",""))&lt;lenb($Z628),6,IF(lenb(SUBSTITUTE($Z628,W$1&amp;" (7)",""))&lt;lenb($Z628),1,IF(lenb(SUBSTITUTE($Z628,W$1&amp;" (8)",""))&lt;lenb($Z628),8,IF(lenb(SUBSTITUTE($Z628,W$1&amp;" (9)",""))&lt;lenb($Z628),9,IF(lenb(SUBSTITUTE($Z628,W$1&amp;" (10)",""))&lt;lenb($Z628),10,IF(lenb(SUBSTITUTE($Z628,W$1,""))&lt;lenb($Z628),"ERROR",IF($Z628=$Y$1,"-",0))))))))))))</f>
        <v>0</v>
      </c>
      <c r="X628" s="105">
        <f t="shared" si="633"/>
        <v>0</v>
      </c>
      <c r="Y628" s="105" t="str">
        <f t="shared" si="4"/>
        <v>-</v>
      </c>
      <c r="Z628" s="28" t="s">
        <v>3400</v>
      </c>
      <c r="AA628" s="34">
        <f t="shared" si="5"/>
        <v>1</v>
      </c>
      <c r="AB628" s="34">
        <f>COUNTIFS(Links!B:B,"FSE",Links!C:C,A628,Links!AD:AD,1)</f>
        <v>0</v>
      </c>
      <c r="AC628" s="106" t="s">
        <v>35</v>
      </c>
      <c r="AD628" s="107" t="s">
        <v>35</v>
      </c>
      <c r="AE628" s="104" t="s">
        <v>36</v>
      </c>
      <c r="AF628" s="37" t="s">
        <v>42</v>
      </c>
      <c r="AG628" s="37" t="s">
        <v>42</v>
      </c>
      <c r="AH628" s="37" t="s">
        <v>42</v>
      </c>
      <c r="AI628" s="105" t="str">
        <f t="shared" si="6"/>
        <v>----</v>
      </c>
      <c r="AJ628" s="108" t="str">
        <f t="shared" si="7"/>
        <v>Paper has link but no statement</v>
      </c>
      <c r="AK628" s="109" t="s">
        <v>3401</v>
      </c>
      <c r="AL628" s="110" t="s">
        <v>3402</v>
      </c>
      <c r="AM628" s="40" t="str">
        <f t="shared" si="8"/>
        <v>[FP0140]</v>
      </c>
    </row>
    <row r="629" ht="67.5" customHeight="1">
      <c r="A629" s="41">
        <v>141.0</v>
      </c>
      <c r="B629" s="42" t="s">
        <v>5058</v>
      </c>
      <c r="C629" s="43">
        <v>2022.0</v>
      </c>
      <c r="D629" s="111" t="s">
        <v>35</v>
      </c>
      <c r="E629" s="45" t="s">
        <v>36</v>
      </c>
      <c r="F629" s="45" t="s">
        <v>36</v>
      </c>
      <c r="G629" s="45" t="s">
        <v>36</v>
      </c>
      <c r="H629" s="45" t="s">
        <v>36</v>
      </c>
      <c r="I629" s="45" t="s">
        <v>36</v>
      </c>
      <c r="J629" s="112" t="s">
        <v>36</v>
      </c>
      <c r="K629" s="113" t="s">
        <v>37</v>
      </c>
      <c r="L629" s="114" t="s">
        <v>35</v>
      </c>
      <c r="M629" s="114" t="s">
        <v>37</v>
      </c>
      <c r="N629" s="114" t="s">
        <v>35</v>
      </c>
      <c r="O629" s="114" t="s">
        <v>37</v>
      </c>
      <c r="P629" s="114" t="s">
        <v>35</v>
      </c>
      <c r="Q629" s="114" t="s">
        <v>35</v>
      </c>
      <c r="R629" s="114" t="s">
        <v>37</v>
      </c>
      <c r="S629" s="115" t="s">
        <v>5059</v>
      </c>
      <c r="T629" s="50" t="s">
        <v>5060</v>
      </c>
      <c r="U629" s="50" t="s">
        <v>5060</v>
      </c>
      <c r="V629" s="116">
        <f t="shared" si="2"/>
        <v>1</v>
      </c>
      <c r="W629" s="116">
        <f t="shared" ref="W629:X629" si="634">IF(lenb(SUBSTITUTE($Z629,W$1&amp;" (1)",""))&lt;lenb($Z629),1,IF(lenb(SUBSTITUTE($Z629,W$1&amp;" (2)",""))&lt;lenb($Z629),2,IF(lenb(SUBSTITUTE($Z629,W$1&amp;" (3)",""))&lt;lenb($Z629),3,IF(lenb(SUBSTITUTE($Z629,W$1&amp;" (4)",""))&lt;lenb($Z629),4,IF(lenb(SUBSTITUTE($Z629,W$1&amp;" (5)",""))&lt;lenb($Z629),5,IF(lenb(SUBSTITUTE($Z629,W$1&amp;" (6)",""))&lt;lenb($Z629),6,IF(lenb(SUBSTITUTE($Z629,W$1&amp;" (7)",""))&lt;lenb($Z629),1,IF(lenb(SUBSTITUTE($Z629,W$1&amp;" (8)",""))&lt;lenb($Z629),8,IF(lenb(SUBSTITUTE($Z629,W$1&amp;" (9)",""))&lt;lenb($Z629),9,IF(lenb(SUBSTITUTE($Z629,W$1&amp;" (10)",""))&lt;lenb($Z629),10,IF(lenb(SUBSTITUTE($Z629,W$1,""))&lt;lenb($Z629),"ERROR",IF($Z629=$Y$1,"-",0))))))))))))</f>
        <v>0</v>
      </c>
      <c r="X629" s="116">
        <f t="shared" si="634"/>
        <v>0</v>
      </c>
      <c r="Y629" s="116" t="str">
        <f t="shared" si="4"/>
        <v>-</v>
      </c>
      <c r="Z629" s="48" t="s">
        <v>3400</v>
      </c>
      <c r="AA629" s="54">
        <f t="shared" si="5"/>
        <v>1</v>
      </c>
      <c r="AB629" s="54">
        <f>COUNTIFS(Links!B:B,"FSE",Links!C:C,A629,Links!AD:AD,1)</f>
        <v>0</v>
      </c>
      <c r="AC629" s="117" t="s">
        <v>37</v>
      </c>
      <c r="AD629" s="118" t="s">
        <v>35</v>
      </c>
      <c r="AE629" s="115" t="s">
        <v>36</v>
      </c>
      <c r="AF629" s="57" t="s">
        <v>42</v>
      </c>
      <c r="AG629" s="57" t="s">
        <v>42</v>
      </c>
      <c r="AH629" s="57" t="s">
        <v>42</v>
      </c>
      <c r="AI629" s="116" t="str">
        <f t="shared" si="6"/>
        <v>----</v>
      </c>
      <c r="AJ629" s="119" t="str">
        <f t="shared" si="7"/>
        <v>Paper has link but no statement</v>
      </c>
      <c r="AK629" s="120" t="s">
        <v>3401</v>
      </c>
      <c r="AL629" s="121" t="s">
        <v>3402</v>
      </c>
      <c r="AM629" s="60" t="str">
        <f t="shared" si="8"/>
        <v>[FP0141]</v>
      </c>
    </row>
    <row r="630" ht="67.5" customHeight="1">
      <c r="A630" s="61">
        <v>142.0</v>
      </c>
      <c r="B630" s="22" t="s">
        <v>5061</v>
      </c>
      <c r="C630" s="23">
        <v>2022.0</v>
      </c>
      <c r="D630" s="100" t="s">
        <v>37</v>
      </c>
      <c r="E630" s="25" t="s">
        <v>37</v>
      </c>
      <c r="F630" s="25" t="s">
        <v>37</v>
      </c>
      <c r="G630" s="25" t="s">
        <v>35</v>
      </c>
      <c r="H630" s="25" t="s">
        <v>35</v>
      </c>
      <c r="I630" s="25" t="s">
        <v>35</v>
      </c>
      <c r="J630" s="101" t="s">
        <v>36</v>
      </c>
      <c r="K630" s="102" t="s">
        <v>37</v>
      </c>
      <c r="L630" s="103" t="s">
        <v>35</v>
      </c>
      <c r="M630" s="103" t="s">
        <v>37</v>
      </c>
      <c r="N630" s="103" t="s">
        <v>35</v>
      </c>
      <c r="O630" s="103" t="s">
        <v>35</v>
      </c>
      <c r="P630" s="103" t="s">
        <v>35</v>
      </c>
      <c r="Q630" s="103" t="s">
        <v>37</v>
      </c>
      <c r="R630" s="103" t="s">
        <v>35</v>
      </c>
      <c r="S630" s="104" t="s">
        <v>5062</v>
      </c>
      <c r="T630" s="30" t="s">
        <v>5063</v>
      </c>
      <c r="U630" s="30" t="s">
        <v>5063</v>
      </c>
      <c r="V630" s="105">
        <f t="shared" si="2"/>
        <v>2</v>
      </c>
      <c r="W630" s="105">
        <f t="shared" ref="W630:X630" si="635">IF(lenb(SUBSTITUTE($Z630,W$1&amp;" (1)",""))&lt;lenb($Z630),1,IF(lenb(SUBSTITUTE($Z630,W$1&amp;" (2)",""))&lt;lenb($Z630),2,IF(lenb(SUBSTITUTE($Z630,W$1&amp;" (3)",""))&lt;lenb($Z630),3,IF(lenb(SUBSTITUTE($Z630,W$1&amp;" (4)",""))&lt;lenb($Z630),4,IF(lenb(SUBSTITUTE($Z630,W$1&amp;" (5)",""))&lt;lenb($Z630),5,IF(lenb(SUBSTITUTE($Z630,W$1&amp;" (6)",""))&lt;lenb($Z630),6,IF(lenb(SUBSTITUTE($Z630,W$1&amp;" (7)",""))&lt;lenb($Z630),1,IF(lenb(SUBSTITUTE($Z630,W$1&amp;" (8)",""))&lt;lenb($Z630),8,IF(lenb(SUBSTITUTE($Z630,W$1&amp;" (9)",""))&lt;lenb($Z630),9,IF(lenb(SUBSTITUTE($Z630,W$1&amp;" (10)",""))&lt;lenb($Z630),10,IF(lenb(SUBSTITUTE($Z630,W$1,""))&lt;lenb($Z630),"ERROR",IF($Z630=$Y$1,"-",0))))))))))))</f>
        <v>0</v>
      </c>
      <c r="X630" s="105">
        <f t="shared" si="635"/>
        <v>0</v>
      </c>
      <c r="Y630" s="105" t="str">
        <f t="shared" si="4"/>
        <v>-</v>
      </c>
      <c r="Z630" s="104" t="s">
        <v>3452</v>
      </c>
      <c r="AA630" s="34">
        <f t="shared" si="5"/>
        <v>2</v>
      </c>
      <c r="AB630" s="34">
        <f>COUNTIFS(Links!B:B,"FSE",Links!C:C,A630,Links!AD:AD,1)</f>
        <v>0</v>
      </c>
      <c r="AC630" s="106" t="s">
        <v>37</v>
      </c>
      <c r="AD630" s="107" t="s">
        <v>35</v>
      </c>
      <c r="AE630" s="104" t="s">
        <v>36</v>
      </c>
      <c r="AF630" s="37" t="s">
        <v>42</v>
      </c>
      <c r="AG630" s="37" t="s">
        <v>42</v>
      </c>
      <c r="AH630" s="37" t="s">
        <v>42</v>
      </c>
      <c r="AI630" s="105" t="str">
        <f t="shared" si="6"/>
        <v>----</v>
      </c>
      <c r="AJ630" s="108" t="str">
        <f t="shared" si="7"/>
        <v>Paper has link but no statement</v>
      </c>
      <c r="AK630" s="109" t="s">
        <v>3401</v>
      </c>
      <c r="AL630" s="110" t="s">
        <v>3402</v>
      </c>
      <c r="AM630" s="40" t="str">
        <f t="shared" si="8"/>
        <v>[FP0142]</v>
      </c>
    </row>
    <row r="631" ht="67.5" customHeight="1">
      <c r="A631" s="41">
        <v>143.0</v>
      </c>
      <c r="B631" s="42" t="s">
        <v>5064</v>
      </c>
      <c r="C631" s="43">
        <v>2022.0</v>
      </c>
      <c r="D631" s="111" t="s">
        <v>37</v>
      </c>
      <c r="E631" s="45" t="s">
        <v>37</v>
      </c>
      <c r="F631" s="45" t="s">
        <v>35</v>
      </c>
      <c r="G631" s="45" t="s">
        <v>37</v>
      </c>
      <c r="H631" s="45" t="s">
        <v>35</v>
      </c>
      <c r="I631" s="45" t="s">
        <v>35</v>
      </c>
      <c r="J631" s="112" t="s">
        <v>36</v>
      </c>
      <c r="K631" s="113" t="s">
        <v>37</v>
      </c>
      <c r="L631" s="114" t="s">
        <v>37</v>
      </c>
      <c r="M631" s="114" t="s">
        <v>35</v>
      </c>
      <c r="N631" s="114" t="s">
        <v>35</v>
      </c>
      <c r="O631" s="114" t="s">
        <v>35</v>
      </c>
      <c r="P631" s="114" t="s">
        <v>35</v>
      </c>
      <c r="Q631" s="114" t="s">
        <v>35</v>
      </c>
      <c r="R631" s="114" t="s">
        <v>37</v>
      </c>
      <c r="S631" s="115" t="s">
        <v>5065</v>
      </c>
      <c r="T631" s="134" t="s">
        <v>5066</v>
      </c>
      <c r="U631" s="50" t="s">
        <v>5067</v>
      </c>
      <c r="V631" s="116">
        <f t="shared" si="2"/>
        <v>2</v>
      </c>
      <c r="W631" s="116">
        <f t="shared" ref="W631:X631" si="636">IF(lenb(SUBSTITUTE($Z631,W$1&amp;" (1)",""))&lt;lenb($Z631),1,IF(lenb(SUBSTITUTE($Z631,W$1&amp;" (2)",""))&lt;lenb($Z631),2,IF(lenb(SUBSTITUTE($Z631,W$1&amp;" (3)",""))&lt;lenb($Z631),3,IF(lenb(SUBSTITUTE($Z631,W$1&amp;" (4)",""))&lt;lenb($Z631),4,IF(lenb(SUBSTITUTE($Z631,W$1&amp;" (5)",""))&lt;lenb($Z631),5,IF(lenb(SUBSTITUTE($Z631,W$1&amp;" (6)",""))&lt;lenb($Z631),6,IF(lenb(SUBSTITUTE($Z631,W$1&amp;" (7)",""))&lt;lenb($Z631),1,IF(lenb(SUBSTITUTE($Z631,W$1&amp;" (8)",""))&lt;lenb($Z631),8,IF(lenb(SUBSTITUTE($Z631,W$1&amp;" (9)",""))&lt;lenb($Z631),9,IF(lenb(SUBSTITUTE($Z631,W$1&amp;" (10)",""))&lt;lenb($Z631),10,IF(lenb(SUBSTITUTE($Z631,W$1,""))&lt;lenb($Z631),"ERROR",IF($Z631=$Y$1,"-",0))))))))))))</f>
        <v>0</v>
      </c>
      <c r="X631" s="116">
        <f t="shared" si="636"/>
        <v>0</v>
      </c>
      <c r="Y631" s="116" t="str">
        <f t="shared" si="4"/>
        <v>-</v>
      </c>
      <c r="Z631" s="115" t="s">
        <v>3452</v>
      </c>
      <c r="AA631" s="54">
        <f t="shared" si="5"/>
        <v>2</v>
      </c>
      <c r="AB631" s="54">
        <f>COUNTIFS(Links!B:B,"FSE",Links!C:C,A631,Links!AD:AD,1)</f>
        <v>0</v>
      </c>
      <c r="AC631" s="117" t="s">
        <v>37</v>
      </c>
      <c r="AD631" s="118" t="s">
        <v>35</v>
      </c>
      <c r="AE631" s="115" t="s">
        <v>36</v>
      </c>
      <c r="AF631" s="57" t="s">
        <v>42</v>
      </c>
      <c r="AG631" s="57" t="s">
        <v>42</v>
      </c>
      <c r="AH631" s="57" t="s">
        <v>42</v>
      </c>
      <c r="AI631" s="116" t="str">
        <f t="shared" si="6"/>
        <v>----</v>
      </c>
      <c r="AJ631" s="119" t="str">
        <f t="shared" si="7"/>
        <v>Paper has link but no statement</v>
      </c>
      <c r="AK631" s="120" t="s">
        <v>3401</v>
      </c>
      <c r="AL631" s="121" t="s">
        <v>3402</v>
      </c>
      <c r="AM631" s="60" t="str">
        <f t="shared" si="8"/>
        <v>[FP0143]</v>
      </c>
    </row>
    <row r="632" ht="67.5" customHeight="1">
      <c r="A632" s="61">
        <v>144.0</v>
      </c>
      <c r="B632" s="22" t="s">
        <v>5068</v>
      </c>
      <c r="C632" s="23">
        <v>2022.0</v>
      </c>
      <c r="D632" s="100" t="s">
        <v>37</v>
      </c>
      <c r="E632" s="25" t="s">
        <v>37</v>
      </c>
      <c r="F632" s="25" t="s">
        <v>35</v>
      </c>
      <c r="G632" s="25" t="s">
        <v>37</v>
      </c>
      <c r="H632" s="25" t="s">
        <v>35</v>
      </c>
      <c r="I632" s="25" t="s">
        <v>35</v>
      </c>
      <c r="J632" s="101" t="s">
        <v>36</v>
      </c>
      <c r="K632" s="102" t="s">
        <v>37</v>
      </c>
      <c r="L632" s="103" t="s">
        <v>37</v>
      </c>
      <c r="M632" s="103" t="s">
        <v>35</v>
      </c>
      <c r="N632" s="103" t="s">
        <v>37</v>
      </c>
      <c r="O632" s="103" t="s">
        <v>35</v>
      </c>
      <c r="P632" s="103" t="s">
        <v>35</v>
      </c>
      <c r="Q632" s="103" t="s">
        <v>35</v>
      </c>
      <c r="R632" s="103" t="s">
        <v>35</v>
      </c>
      <c r="S632" s="104" t="s">
        <v>42</v>
      </c>
      <c r="T632" s="30" t="s">
        <v>5069</v>
      </c>
      <c r="U632" s="30" t="s">
        <v>5069</v>
      </c>
      <c r="V632" s="105">
        <f t="shared" si="2"/>
        <v>1</v>
      </c>
      <c r="W632" s="105">
        <f t="shared" ref="W632:X632" si="637">IF(lenb(SUBSTITUTE($Z632,W$1&amp;" (1)",""))&lt;lenb($Z632),1,IF(lenb(SUBSTITUTE($Z632,W$1&amp;" (2)",""))&lt;lenb($Z632),2,IF(lenb(SUBSTITUTE($Z632,W$1&amp;" (3)",""))&lt;lenb($Z632),3,IF(lenb(SUBSTITUTE($Z632,W$1&amp;" (4)",""))&lt;lenb($Z632),4,IF(lenb(SUBSTITUTE($Z632,W$1&amp;" (5)",""))&lt;lenb($Z632),5,IF(lenb(SUBSTITUTE($Z632,W$1&amp;" (6)",""))&lt;lenb($Z632),6,IF(lenb(SUBSTITUTE($Z632,W$1&amp;" (7)",""))&lt;lenb($Z632),1,IF(lenb(SUBSTITUTE($Z632,W$1&amp;" (8)",""))&lt;lenb($Z632),8,IF(lenb(SUBSTITUTE($Z632,W$1&amp;" (9)",""))&lt;lenb($Z632),9,IF(lenb(SUBSTITUTE($Z632,W$1&amp;" (10)",""))&lt;lenb($Z632),10,IF(lenb(SUBSTITUTE($Z632,W$1,""))&lt;lenb($Z632),"ERROR",IF($Z632=$Y$1,"-",0))))))))))))</f>
        <v>0</v>
      </c>
      <c r="X632" s="105">
        <f t="shared" si="637"/>
        <v>0</v>
      </c>
      <c r="Y632" s="105" t="str">
        <f t="shared" si="4"/>
        <v>-</v>
      </c>
      <c r="Z632" s="28" t="s">
        <v>3400</v>
      </c>
      <c r="AA632" s="34">
        <f t="shared" si="5"/>
        <v>1</v>
      </c>
      <c r="AB632" s="34">
        <f>COUNTIFS(Links!B:B,"FSE",Links!C:C,A632,Links!AD:AD,1)</f>
        <v>0</v>
      </c>
      <c r="AC632" s="106" t="s">
        <v>35</v>
      </c>
      <c r="AD632" s="107" t="s">
        <v>35</v>
      </c>
      <c r="AE632" s="104" t="s">
        <v>36</v>
      </c>
      <c r="AF632" s="37" t="s">
        <v>42</v>
      </c>
      <c r="AG632" s="37" t="s">
        <v>42</v>
      </c>
      <c r="AH632" s="37" t="s">
        <v>42</v>
      </c>
      <c r="AI632" s="105" t="str">
        <f t="shared" si="6"/>
        <v>----</v>
      </c>
      <c r="AJ632" s="108" t="str">
        <f t="shared" si="7"/>
        <v>Paper has link but no statement</v>
      </c>
      <c r="AK632" s="109" t="s">
        <v>3401</v>
      </c>
      <c r="AL632" s="110" t="s">
        <v>3402</v>
      </c>
      <c r="AM632" s="40" t="str">
        <f t="shared" si="8"/>
        <v>[FP0144]</v>
      </c>
    </row>
    <row r="633" ht="67.5" customHeight="1">
      <c r="A633" s="41">
        <v>145.0</v>
      </c>
      <c r="B633" s="42" t="s">
        <v>5070</v>
      </c>
      <c r="C633" s="43">
        <v>2022.0</v>
      </c>
      <c r="D633" s="111" t="s">
        <v>35</v>
      </c>
      <c r="E633" s="45" t="s">
        <v>36</v>
      </c>
      <c r="F633" s="45" t="s">
        <v>36</v>
      </c>
      <c r="G633" s="45" t="s">
        <v>36</v>
      </c>
      <c r="H633" s="45" t="s">
        <v>36</v>
      </c>
      <c r="I633" s="45" t="s">
        <v>36</v>
      </c>
      <c r="J633" s="112" t="s">
        <v>36</v>
      </c>
      <c r="K633" s="113" t="s">
        <v>37</v>
      </c>
      <c r="L633" s="114" t="s">
        <v>35</v>
      </c>
      <c r="M633" s="114" t="s">
        <v>37</v>
      </c>
      <c r="N633" s="114" t="s">
        <v>37</v>
      </c>
      <c r="O633" s="114" t="s">
        <v>35</v>
      </c>
      <c r="P633" s="114" t="s">
        <v>35</v>
      </c>
      <c r="Q633" s="114" t="s">
        <v>35</v>
      </c>
      <c r="R633" s="114" t="s">
        <v>35</v>
      </c>
      <c r="S633" s="115" t="s">
        <v>5071</v>
      </c>
      <c r="T633" s="50" t="s">
        <v>5072</v>
      </c>
      <c r="U633" s="50" t="s">
        <v>5072</v>
      </c>
      <c r="V633" s="116">
        <f t="shared" si="2"/>
        <v>1</v>
      </c>
      <c r="W633" s="116">
        <f t="shared" ref="W633:X633" si="638">IF(lenb(SUBSTITUTE($Z633,W$1&amp;" (1)",""))&lt;lenb($Z633),1,IF(lenb(SUBSTITUTE($Z633,W$1&amp;" (2)",""))&lt;lenb($Z633),2,IF(lenb(SUBSTITUTE($Z633,W$1&amp;" (3)",""))&lt;lenb($Z633),3,IF(lenb(SUBSTITUTE($Z633,W$1&amp;" (4)",""))&lt;lenb($Z633),4,IF(lenb(SUBSTITUTE($Z633,W$1&amp;" (5)",""))&lt;lenb($Z633),5,IF(lenb(SUBSTITUTE($Z633,W$1&amp;" (6)",""))&lt;lenb($Z633),6,IF(lenb(SUBSTITUTE($Z633,W$1&amp;" (7)",""))&lt;lenb($Z633),1,IF(lenb(SUBSTITUTE($Z633,W$1&amp;" (8)",""))&lt;lenb($Z633),8,IF(lenb(SUBSTITUTE($Z633,W$1&amp;" (9)",""))&lt;lenb($Z633),9,IF(lenb(SUBSTITUTE($Z633,W$1&amp;" (10)",""))&lt;lenb($Z633),10,IF(lenb(SUBSTITUTE($Z633,W$1,""))&lt;lenb($Z633),"ERROR",IF($Z633=$Y$1,"-",0))))))))))))</f>
        <v>0</v>
      </c>
      <c r="X633" s="116">
        <f t="shared" si="638"/>
        <v>0</v>
      </c>
      <c r="Y633" s="116" t="str">
        <f t="shared" si="4"/>
        <v>-</v>
      </c>
      <c r="Z633" s="48" t="s">
        <v>3400</v>
      </c>
      <c r="AA633" s="54">
        <f t="shared" si="5"/>
        <v>1</v>
      </c>
      <c r="AB633" s="54">
        <f>COUNTIFS(Links!B:B,"FSE",Links!C:C,A633,Links!AD:AD,1)</f>
        <v>0</v>
      </c>
      <c r="AC633" s="117" t="s">
        <v>35</v>
      </c>
      <c r="AD633" s="118" t="s">
        <v>35</v>
      </c>
      <c r="AE633" s="115" t="s">
        <v>36</v>
      </c>
      <c r="AF633" s="57" t="s">
        <v>42</v>
      </c>
      <c r="AG633" s="57" t="s">
        <v>42</v>
      </c>
      <c r="AH633" s="57" t="s">
        <v>42</v>
      </c>
      <c r="AI633" s="116" t="str">
        <f t="shared" si="6"/>
        <v>----</v>
      </c>
      <c r="AJ633" s="119" t="str">
        <f t="shared" si="7"/>
        <v>Paper has link but no statement</v>
      </c>
      <c r="AK633" s="120" t="s">
        <v>3401</v>
      </c>
      <c r="AL633" s="121" t="s">
        <v>3402</v>
      </c>
      <c r="AM633" s="60" t="str">
        <f t="shared" si="8"/>
        <v>[FP0145]</v>
      </c>
    </row>
    <row r="634" ht="67.5" customHeight="1">
      <c r="A634" s="61">
        <v>146.0</v>
      </c>
      <c r="B634" s="22" t="s">
        <v>5073</v>
      </c>
      <c r="C634" s="23">
        <v>2022.0</v>
      </c>
      <c r="D634" s="100" t="s">
        <v>37</v>
      </c>
      <c r="E634" s="25" t="s">
        <v>37</v>
      </c>
      <c r="F634" s="25" t="s">
        <v>37</v>
      </c>
      <c r="G634" s="25" t="s">
        <v>35</v>
      </c>
      <c r="H634" s="25" t="s">
        <v>35</v>
      </c>
      <c r="I634" s="25" t="s">
        <v>35</v>
      </c>
      <c r="J634" s="101" t="s">
        <v>36</v>
      </c>
      <c r="K634" s="102" t="s">
        <v>37</v>
      </c>
      <c r="L634" s="103" t="s">
        <v>35</v>
      </c>
      <c r="M634" s="103" t="s">
        <v>37</v>
      </c>
      <c r="N634" s="103" t="s">
        <v>35</v>
      </c>
      <c r="O634" s="103" t="s">
        <v>35</v>
      </c>
      <c r="P634" s="103" t="s">
        <v>35</v>
      </c>
      <c r="Q634" s="103" t="s">
        <v>37</v>
      </c>
      <c r="R634" s="103" t="s">
        <v>37</v>
      </c>
      <c r="S634" s="104" t="s">
        <v>5074</v>
      </c>
      <c r="T634" s="30" t="s">
        <v>5075</v>
      </c>
      <c r="U634" s="30" t="s">
        <v>5075</v>
      </c>
      <c r="V634" s="105">
        <f t="shared" si="2"/>
        <v>2</v>
      </c>
      <c r="W634" s="105">
        <f t="shared" ref="W634:X634" si="639">IF(lenb(SUBSTITUTE($Z634,W$1&amp;" (1)",""))&lt;lenb($Z634),1,IF(lenb(SUBSTITUTE($Z634,W$1&amp;" (2)",""))&lt;lenb($Z634),2,IF(lenb(SUBSTITUTE($Z634,W$1&amp;" (3)",""))&lt;lenb($Z634),3,IF(lenb(SUBSTITUTE($Z634,W$1&amp;" (4)",""))&lt;lenb($Z634),4,IF(lenb(SUBSTITUTE($Z634,W$1&amp;" (5)",""))&lt;lenb($Z634),5,IF(lenb(SUBSTITUTE($Z634,W$1&amp;" (6)",""))&lt;lenb($Z634),6,IF(lenb(SUBSTITUTE($Z634,W$1&amp;" (7)",""))&lt;lenb($Z634),1,IF(lenb(SUBSTITUTE($Z634,W$1&amp;" (8)",""))&lt;lenb($Z634),8,IF(lenb(SUBSTITUTE($Z634,W$1&amp;" (9)",""))&lt;lenb($Z634),9,IF(lenb(SUBSTITUTE($Z634,W$1&amp;" (10)",""))&lt;lenb($Z634),10,IF(lenb(SUBSTITUTE($Z634,W$1,""))&lt;lenb($Z634),"ERROR",IF($Z634=$Y$1,"-",0))))))))))))</f>
        <v>0</v>
      </c>
      <c r="X634" s="105">
        <f t="shared" si="639"/>
        <v>0</v>
      </c>
      <c r="Y634" s="105" t="str">
        <f t="shared" si="4"/>
        <v>-</v>
      </c>
      <c r="Z634" s="28" t="s">
        <v>3452</v>
      </c>
      <c r="AA634" s="34">
        <f t="shared" si="5"/>
        <v>2</v>
      </c>
      <c r="AB634" s="34">
        <f>COUNTIFS(Links!B:B,"FSE",Links!C:C,A634,Links!AD:AD,1)</f>
        <v>1</v>
      </c>
      <c r="AC634" s="106" t="s">
        <v>37</v>
      </c>
      <c r="AD634" s="107" t="s">
        <v>35</v>
      </c>
      <c r="AE634" s="104" t="s">
        <v>36</v>
      </c>
      <c r="AF634" s="37" t="s">
        <v>42</v>
      </c>
      <c r="AG634" s="37" t="s">
        <v>42</v>
      </c>
      <c r="AH634" s="37" t="s">
        <v>42</v>
      </c>
      <c r="AI634" s="105" t="str">
        <f t="shared" si="6"/>
        <v>----</v>
      </c>
      <c r="AJ634" s="108" t="str">
        <f t="shared" si="7"/>
        <v>Paper has link but no statement</v>
      </c>
      <c r="AK634" s="109" t="s">
        <v>3401</v>
      </c>
      <c r="AL634" s="110" t="s">
        <v>3402</v>
      </c>
      <c r="AM634" s="40" t="str">
        <f t="shared" si="8"/>
        <v>[FP0146]</v>
      </c>
    </row>
    <row r="635" ht="67.5" customHeight="1">
      <c r="A635" s="41">
        <v>147.0</v>
      </c>
      <c r="B635" s="42" t="s">
        <v>5076</v>
      </c>
      <c r="C635" s="43">
        <v>2022.0</v>
      </c>
      <c r="D635" s="111" t="s">
        <v>35</v>
      </c>
      <c r="E635" s="45" t="s">
        <v>36</v>
      </c>
      <c r="F635" s="45" t="s">
        <v>36</v>
      </c>
      <c r="G635" s="45" t="s">
        <v>36</v>
      </c>
      <c r="H635" s="45" t="s">
        <v>36</v>
      </c>
      <c r="I635" s="45" t="s">
        <v>36</v>
      </c>
      <c r="J635" s="112" t="s">
        <v>36</v>
      </c>
      <c r="K635" s="113" t="s">
        <v>37</v>
      </c>
      <c r="L635" s="114" t="s">
        <v>37</v>
      </c>
      <c r="M635" s="114" t="s">
        <v>35</v>
      </c>
      <c r="N635" s="114" t="s">
        <v>37</v>
      </c>
      <c r="O635" s="114" t="s">
        <v>35</v>
      </c>
      <c r="P635" s="114" t="s">
        <v>35</v>
      </c>
      <c r="Q635" s="114" t="s">
        <v>35</v>
      </c>
      <c r="R635" s="114" t="s">
        <v>35</v>
      </c>
      <c r="S635" s="115" t="s">
        <v>42</v>
      </c>
      <c r="T635" s="50" t="s">
        <v>5077</v>
      </c>
      <c r="U635" s="50" t="s">
        <v>5077</v>
      </c>
      <c r="V635" s="116">
        <f t="shared" si="2"/>
        <v>1</v>
      </c>
      <c r="W635" s="116">
        <f t="shared" ref="W635:X635" si="640">IF(lenb(SUBSTITUTE($Z635,W$1&amp;" (1)",""))&lt;lenb($Z635),1,IF(lenb(SUBSTITUTE($Z635,W$1&amp;" (2)",""))&lt;lenb($Z635),2,IF(lenb(SUBSTITUTE($Z635,W$1&amp;" (3)",""))&lt;lenb($Z635),3,IF(lenb(SUBSTITUTE($Z635,W$1&amp;" (4)",""))&lt;lenb($Z635),4,IF(lenb(SUBSTITUTE($Z635,W$1&amp;" (5)",""))&lt;lenb($Z635),5,IF(lenb(SUBSTITUTE($Z635,W$1&amp;" (6)",""))&lt;lenb($Z635),6,IF(lenb(SUBSTITUTE($Z635,W$1&amp;" (7)",""))&lt;lenb($Z635),1,IF(lenb(SUBSTITUTE($Z635,W$1&amp;" (8)",""))&lt;lenb($Z635),8,IF(lenb(SUBSTITUTE($Z635,W$1&amp;" (9)",""))&lt;lenb($Z635),9,IF(lenb(SUBSTITUTE($Z635,W$1&amp;" (10)",""))&lt;lenb($Z635),10,IF(lenb(SUBSTITUTE($Z635,W$1,""))&lt;lenb($Z635),"ERROR",IF($Z635=$Y$1,"-",0))))))))))))</f>
        <v>0</v>
      </c>
      <c r="X635" s="116">
        <f t="shared" si="640"/>
        <v>0</v>
      </c>
      <c r="Y635" s="116" t="str">
        <f t="shared" si="4"/>
        <v>-</v>
      </c>
      <c r="Z635" s="48" t="s">
        <v>3400</v>
      </c>
      <c r="AA635" s="54">
        <f t="shared" si="5"/>
        <v>1</v>
      </c>
      <c r="AB635" s="54">
        <f>COUNTIFS(Links!B:B,"FSE",Links!C:C,A635,Links!AD:AD,1)</f>
        <v>0</v>
      </c>
      <c r="AC635" s="117" t="s">
        <v>35</v>
      </c>
      <c r="AD635" s="118" t="s">
        <v>35</v>
      </c>
      <c r="AE635" s="115" t="s">
        <v>36</v>
      </c>
      <c r="AF635" s="57" t="s">
        <v>42</v>
      </c>
      <c r="AG635" s="57" t="s">
        <v>42</v>
      </c>
      <c r="AH635" s="57" t="s">
        <v>42</v>
      </c>
      <c r="AI635" s="116" t="str">
        <f t="shared" si="6"/>
        <v>----</v>
      </c>
      <c r="AJ635" s="119" t="str">
        <f t="shared" si="7"/>
        <v>Paper has link but no statement</v>
      </c>
      <c r="AK635" s="120" t="s">
        <v>3401</v>
      </c>
      <c r="AL635" s="121" t="s">
        <v>3402</v>
      </c>
      <c r="AM635" s="60" t="str">
        <f t="shared" si="8"/>
        <v>[FP0147]</v>
      </c>
    </row>
    <row r="636" ht="67.5" customHeight="1">
      <c r="A636" s="61">
        <v>148.0</v>
      </c>
      <c r="B636" s="22" t="s">
        <v>5078</v>
      </c>
      <c r="C636" s="23">
        <v>2022.0</v>
      </c>
      <c r="D636" s="100" t="s">
        <v>37</v>
      </c>
      <c r="E636" s="25" t="s">
        <v>37</v>
      </c>
      <c r="F636" s="25" t="s">
        <v>35</v>
      </c>
      <c r="G636" s="25" t="s">
        <v>35</v>
      </c>
      <c r="H636" s="25" t="s">
        <v>35</v>
      </c>
      <c r="I636" s="25" t="s">
        <v>35</v>
      </c>
      <c r="J636" s="101" t="s">
        <v>36</v>
      </c>
      <c r="K636" s="102" t="s">
        <v>37</v>
      </c>
      <c r="L636" s="103" t="s">
        <v>37</v>
      </c>
      <c r="M636" s="103" t="s">
        <v>37</v>
      </c>
      <c r="N636" s="103" t="s">
        <v>35</v>
      </c>
      <c r="O636" s="103" t="s">
        <v>35</v>
      </c>
      <c r="P636" s="103" t="s">
        <v>35</v>
      </c>
      <c r="Q636" s="103" t="s">
        <v>37</v>
      </c>
      <c r="R636" s="103" t="s">
        <v>37</v>
      </c>
      <c r="S636" s="104" t="s">
        <v>5079</v>
      </c>
      <c r="T636" s="30" t="s">
        <v>5080</v>
      </c>
      <c r="U636" s="30" t="s">
        <v>5081</v>
      </c>
      <c r="V636" s="105">
        <f t="shared" si="2"/>
        <v>3</v>
      </c>
      <c r="W636" s="105">
        <f t="shared" ref="W636:X636" si="641">IF(lenb(SUBSTITUTE($Z636,W$1&amp;" (1)",""))&lt;lenb($Z636),1,IF(lenb(SUBSTITUTE($Z636,W$1&amp;" (2)",""))&lt;lenb($Z636),2,IF(lenb(SUBSTITUTE($Z636,W$1&amp;" (3)",""))&lt;lenb($Z636),3,IF(lenb(SUBSTITUTE($Z636,W$1&amp;" (4)",""))&lt;lenb($Z636),4,IF(lenb(SUBSTITUTE($Z636,W$1&amp;" (5)",""))&lt;lenb($Z636),5,IF(lenb(SUBSTITUTE($Z636,W$1&amp;" (6)",""))&lt;lenb($Z636),6,IF(lenb(SUBSTITUTE($Z636,W$1&amp;" (7)",""))&lt;lenb($Z636),1,IF(lenb(SUBSTITUTE($Z636,W$1&amp;" (8)",""))&lt;lenb($Z636),8,IF(lenb(SUBSTITUTE($Z636,W$1&amp;" (9)",""))&lt;lenb($Z636),9,IF(lenb(SUBSTITUTE($Z636,W$1&amp;" (10)",""))&lt;lenb($Z636),10,IF(lenb(SUBSTITUTE($Z636,W$1,""))&lt;lenb($Z636),"ERROR",IF($Z636=$Y$1,"-",0))))))))))))</f>
        <v>0</v>
      </c>
      <c r="X636" s="105">
        <f t="shared" si="641"/>
        <v>0</v>
      </c>
      <c r="Y636" s="105" t="str">
        <f t="shared" si="4"/>
        <v>-</v>
      </c>
      <c r="Z636" s="104" t="s">
        <v>3741</v>
      </c>
      <c r="AA636" s="34">
        <f t="shared" si="5"/>
        <v>3</v>
      </c>
      <c r="AB636" s="34">
        <f>COUNTIFS(Links!B:B,"FSE",Links!C:C,A636,Links!AD:AD,1)</f>
        <v>0</v>
      </c>
      <c r="AC636" s="106" t="s">
        <v>37</v>
      </c>
      <c r="AD636" s="107" t="s">
        <v>35</v>
      </c>
      <c r="AE636" s="104" t="s">
        <v>36</v>
      </c>
      <c r="AF636" s="37" t="s">
        <v>42</v>
      </c>
      <c r="AG636" s="37" t="s">
        <v>42</v>
      </c>
      <c r="AH636" s="37" t="s">
        <v>42</v>
      </c>
      <c r="AI636" s="105" t="str">
        <f t="shared" si="6"/>
        <v>----</v>
      </c>
      <c r="AJ636" s="108" t="str">
        <f t="shared" si="7"/>
        <v>Paper has link but no statement</v>
      </c>
      <c r="AK636" s="109" t="s">
        <v>3401</v>
      </c>
      <c r="AL636" s="110" t="s">
        <v>3402</v>
      </c>
      <c r="AM636" s="40" t="str">
        <f t="shared" si="8"/>
        <v>[FP0148]</v>
      </c>
    </row>
    <row r="637" ht="67.5" customHeight="1">
      <c r="A637" s="41">
        <v>149.0</v>
      </c>
      <c r="B637" s="42" t="s">
        <v>5082</v>
      </c>
      <c r="C637" s="43">
        <v>2022.0</v>
      </c>
      <c r="D637" s="111" t="s">
        <v>37</v>
      </c>
      <c r="E637" s="45" t="s">
        <v>37</v>
      </c>
      <c r="F637" s="45" t="s">
        <v>35</v>
      </c>
      <c r="G637" s="45" t="s">
        <v>35</v>
      </c>
      <c r="H637" s="45" t="s">
        <v>35</v>
      </c>
      <c r="I637" s="45" t="s">
        <v>35</v>
      </c>
      <c r="J637" s="112" t="s">
        <v>36</v>
      </c>
      <c r="K637" s="113" t="s">
        <v>37</v>
      </c>
      <c r="L637" s="114" t="s">
        <v>35</v>
      </c>
      <c r="M637" s="114" t="s">
        <v>37</v>
      </c>
      <c r="N637" s="114" t="s">
        <v>37</v>
      </c>
      <c r="O637" s="114" t="s">
        <v>35</v>
      </c>
      <c r="P637" s="114" t="s">
        <v>35</v>
      </c>
      <c r="Q637" s="114" t="s">
        <v>35</v>
      </c>
      <c r="R637" s="114" t="s">
        <v>37</v>
      </c>
      <c r="S637" s="115" t="s">
        <v>42</v>
      </c>
      <c r="T637" s="50" t="s">
        <v>5083</v>
      </c>
      <c r="U637" s="50" t="s">
        <v>5083</v>
      </c>
      <c r="V637" s="116">
        <f t="shared" si="2"/>
        <v>2</v>
      </c>
      <c r="W637" s="116">
        <f t="shared" ref="W637:X637" si="642">IF(lenb(SUBSTITUTE($Z637,W$1&amp;" (1)",""))&lt;lenb($Z637),1,IF(lenb(SUBSTITUTE($Z637,W$1&amp;" (2)",""))&lt;lenb($Z637),2,IF(lenb(SUBSTITUTE($Z637,W$1&amp;" (3)",""))&lt;lenb($Z637),3,IF(lenb(SUBSTITUTE($Z637,W$1&amp;" (4)",""))&lt;lenb($Z637),4,IF(lenb(SUBSTITUTE($Z637,W$1&amp;" (5)",""))&lt;lenb($Z637),5,IF(lenb(SUBSTITUTE($Z637,W$1&amp;" (6)",""))&lt;lenb($Z637),6,IF(lenb(SUBSTITUTE($Z637,W$1&amp;" (7)",""))&lt;lenb($Z637),1,IF(lenb(SUBSTITUTE($Z637,W$1&amp;" (8)",""))&lt;lenb($Z637),8,IF(lenb(SUBSTITUTE($Z637,W$1&amp;" (9)",""))&lt;lenb($Z637),9,IF(lenb(SUBSTITUTE($Z637,W$1&amp;" (10)",""))&lt;lenb($Z637),10,IF(lenb(SUBSTITUTE($Z637,W$1,""))&lt;lenb($Z637),"ERROR",IF($Z637=$Y$1,"-",0))))))))))))</f>
        <v>0</v>
      </c>
      <c r="X637" s="116">
        <f t="shared" si="642"/>
        <v>0</v>
      </c>
      <c r="Y637" s="116" t="str">
        <f t="shared" si="4"/>
        <v>-</v>
      </c>
      <c r="Z637" s="115" t="s">
        <v>3452</v>
      </c>
      <c r="AA637" s="54">
        <f t="shared" si="5"/>
        <v>2</v>
      </c>
      <c r="AB637" s="54">
        <f>COUNTIFS(Links!B:B,"FSE",Links!C:C,A637,Links!AD:AD,1)</f>
        <v>0</v>
      </c>
      <c r="AC637" s="117" t="s">
        <v>37</v>
      </c>
      <c r="AD637" s="118" t="s">
        <v>35</v>
      </c>
      <c r="AE637" s="115" t="s">
        <v>36</v>
      </c>
      <c r="AF637" s="57" t="s">
        <v>42</v>
      </c>
      <c r="AG637" s="57" t="s">
        <v>42</v>
      </c>
      <c r="AH637" s="57" t="s">
        <v>42</v>
      </c>
      <c r="AI637" s="116" t="str">
        <f t="shared" si="6"/>
        <v>----</v>
      </c>
      <c r="AJ637" s="119" t="str">
        <f t="shared" si="7"/>
        <v>Paper has link but no statement</v>
      </c>
      <c r="AK637" s="120" t="s">
        <v>3401</v>
      </c>
      <c r="AL637" s="121" t="s">
        <v>3402</v>
      </c>
      <c r="AM637" s="60" t="str">
        <f t="shared" si="8"/>
        <v>[FP0149]</v>
      </c>
    </row>
    <row r="638" ht="67.5" customHeight="1">
      <c r="A638" s="61">
        <v>150.0</v>
      </c>
      <c r="B638" s="22" t="s">
        <v>5084</v>
      </c>
      <c r="C638" s="23">
        <v>2022.0</v>
      </c>
      <c r="D638" s="100" t="s">
        <v>37</v>
      </c>
      <c r="E638" s="25" t="s">
        <v>37</v>
      </c>
      <c r="F638" s="25" t="s">
        <v>37</v>
      </c>
      <c r="G638" s="25" t="s">
        <v>35</v>
      </c>
      <c r="H638" s="25" t="s">
        <v>35</v>
      </c>
      <c r="I638" s="25" t="s">
        <v>35</v>
      </c>
      <c r="J638" s="101" t="s">
        <v>36</v>
      </c>
      <c r="K638" s="102" t="s">
        <v>37</v>
      </c>
      <c r="L638" s="103" t="s">
        <v>35</v>
      </c>
      <c r="M638" s="103" t="s">
        <v>37</v>
      </c>
      <c r="N638" s="103" t="s">
        <v>35</v>
      </c>
      <c r="O638" s="103" t="s">
        <v>35</v>
      </c>
      <c r="P638" s="103" t="s">
        <v>35</v>
      </c>
      <c r="Q638" s="103" t="s">
        <v>37</v>
      </c>
      <c r="R638" s="103" t="s">
        <v>37</v>
      </c>
      <c r="S638" s="104" t="s">
        <v>5085</v>
      </c>
      <c r="T638" s="30" t="s">
        <v>5086</v>
      </c>
      <c r="U638" s="30" t="s">
        <v>5087</v>
      </c>
      <c r="V638" s="105">
        <f t="shared" si="2"/>
        <v>2</v>
      </c>
      <c r="W638" s="105">
        <f t="shared" ref="W638:X638" si="643">IF(lenb(SUBSTITUTE($Z638,W$1&amp;" (1)",""))&lt;lenb($Z638),1,IF(lenb(SUBSTITUTE($Z638,W$1&amp;" (2)",""))&lt;lenb($Z638),2,IF(lenb(SUBSTITUTE($Z638,W$1&amp;" (3)",""))&lt;lenb($Z638),3,IF(lenb(SUBSTITUTE($Z638,W$1&amp;" (4)",""))&lt;lenb($Z638),4,IF(lenb(SUBSTITUTE($Z638,W$1&amp;" (5)",""))&lt;lenb($Z638),5,IF(lenb(SUBSTITUTE($Z638,W$1&amp;" (6)",""))&lt;lenb($Z638),6,IF(lenb(SUBSTITUTE($Z638,W$1&amp;" (7)",""))&lt;lenb($Z638),1,IF(lenb(SUBSTITUTE($Z638,W$1&amp;" (8)",""))&lt;lenb($Z638),8,IF(lenb(SUBSTITUTE($Z638,W$1&amp;" (9)",""))&lt;lenb($Z638),9,IF(lenb(SUBSTITUTE($Z638,W$1&amp;" (10)",""))&lt;lenb($Z638),10,IF(lenb(SUBSTITUTE($Z638,W$1,""))&lt;lenb($Z638),"ERROR",IF($Z638=$Y$1,"-",0))))))))))))</f>
        <v>0</v>
      </c>
      <c r="X638" s="105">
        <f t="shared" si="643"/>
        <v>0</v>
      </c>
      <c r="Y638" s="105" t="str">
        <f t="shared" si="4"/>
        <v>-</v>
      </c>
      <c r="Z638" s="28" t="s">
        <v>3452</v>
      </c>
      <c r="AA638" s="34">
        <f t="shared" si="5"/>
        <v>2</v>
      </c>
      <c r="AB638" s="34">
        <f>COUNTIFS(Links!B:B,"FSE",Links!C:C,A638,Links!AD:AD,1)</f>
        <v>0</v>
      </c>
      <c r="AC638" s="106" t="s">
        <v>37</v>
      </c>
      <c r="AD638" s="107" t="s">
        <v>35</v>
      </c>
      <c r="AE638" s="104" t="s">
        <v>36</v>
      </c>
      <c r="AF638" s="37" t="s">
        <v>42</v>
      </c>
      <c r="AG638" s="37" t="s">
        <v>42</v>
      </c>
      <c r="AH638" s="37" t="s">
        <v>42</v>
      </c>
      <c r="AI638" s="105" t="str">
        <f t="shared" si="6"/>
        <v>----</v>
      </c>
      <c r="AJ638" s="108" t="str">
        <f t="shared" si="7"/>
        <v>Paper has link but no statement</v>
      </c>
      <c r="AK638" s="109" t="s">
        <v>3401</v>
      </c>
      <c r="AL638" s="110" t="s">
        <v>3402</v>
      </c>
      <c r="AM638" s="40" t="str">
        <f t="shared" si="8"/>
        <v>[FP0150]</v>
      </c>
    </row>
    <row r="639" ht="67.5" customHeight="1">
      <c r="A639" s="41">
        <v>151.0</v>
      </c>
      <c r="B639" s="42" t="s">
        <v>5088</v>
      </c>
      <c r="C639" s="43">
        <v>2022.0</v>
      </c>
      <c r="D639" s="111" t="s">
        <v>35</v>
      </c>
      <c r="E639" s="45" t="s">
        <v>36</v>
      </c>
      <c r="F639" s="45" t="s">
        <v>36</v>
      </c>
      <c r="G639" s="45" t="s">
        <v>36</v>
      </c>
      <c r="H639" s="45" t="s">
        <v>36</v>
      </c>
      <c r="I639" s="45" t="s">
        <v>36</v>
      </c>
      <c r="J639" s="112" t="s">
        <v>36</v>
      </c>
      <c r="K639" s="113" t="s">
        <v>37</v>
      </c>
      <c r="L639" s="114" t="s">
        <v>37</v>
      </c>
      <c r="M639" s="114" t="s">
        <v>35</v>
      </c>
      <c r="N639" s="114" t="s">
        <v>35</v>
      </c>
      <c r="O639" s="114" t="s">
        <v>35</v>
      </c>
      <c r="P639" s="114" t="s">
        <v>35</v>
      </c>
      <c r="Q639" s="114" t="s">
        <v>35</v>
      </c>
      <c r="R639" s="114" t="s">
        <v>37</v>
      </c>
      <c r="S639" s="115" t="s">
        <v>42</v>
      </c>
      <c r="T639" s="50" t="s">
        <v>5089</v>
      </c>
      <c r="U639" s="50" t="s">
        <v>5089</v>
      </c>
      <c r="V639" s="116">
        <f t="shared" si="2"/>
        <v>0</v>
      </c>
      <c r="W639" s="116">
        <f t="shared" ref="W639:X639" si="644">IF(lenb(SUBSTITUTE($Z639,W$1&amp;" (1)",""))&lt;lenb($Z639),1,IF(lenb(SUBSTITUTE($Z639,W$1&amp;" (2)",""))&lt;lenb($Z639),2,IF(lenb(SUBSTITUTE($Z639,W$1&amp;" (3)",""))&lt;lenb($Z639),3,IF(lenb(SUBSTITUTE($Z639,W$1&amp;" (4)",""))&lt;lenb($Z639),4,IF(lenb(SUBSTITUTE($Z639,W$1&amp;" (5)",""))&lt;lenb($Z639),5,IF(lenb(SUBSTITUTE($Z639,W$1&amp;" (6)",""))&lt;lenb($Z639),6,IF(lenb(SUBSTITUTE($Z639,W$1&amp;" (7)",""))&lt;lenb($Z639),1,IF(lenb(SUBSTITUTE($Z639,W$1&amp;" (8)",""))&lt;lenb($Z639),8,IF(lenb(SUBSTITUTE($Z639,W$1&amp;" (9)",""))&lt;lenb($Z639),9,IF(lenb(SUBSTITUTE($Z639,W$1&amp;" (10)",""))&lt;lenb($Z639),10,IF(lenb(SUBSTITUTE($Z639,W$1,""))&lt;lenb($Z639),"ERROR",IF($Z639=$Y$1,"-",0))))))))))))</f>
        <v>1</v>
      </c>
      <c r="X639" s="116">
        <f t="shared" si="644"/>
        <v>0</v>
      </c>
      <c r="Y639" s="116" t="str">
        <f t="shared" si="4"/>
        <v>-</v>
      </c>
      <c r="Z639" s="115" t="s">
        <v>3423</v>
      </c>
      <c r="AA639" s="54">
        <f t="shared" si="5"/>
        <v>1</v>
      </c>
      <c r="AB639" s="54">
        <f>COUNTIFS(Links!B:B,"FSE",Links!C:C,A639,Links!AD:AD,1)</f>
        <v>0</v>
      </c>
      <c r="AC639" s="117" t="s">
        <v>35</v>
      </c>
      <c r="AD639" s="118" t="s">
        <v>35</v>
      </c>
      <c r="AE639" s="115" t="s">
        <v>36</v>
      </c>
      <c r="AF639" s="57" t="s">
        <v>42</v>
      </c>
      <c r="AG639" s="57" t="s">
        <v>42</v>
      </c>
      <c r="AH639" s="57" t="s">
        <v>42</v>
      </c>
      <c r="AI639" s="116" t="str">
        <f t="shared" si="6"/>
        <v>----</v>
      </c>
      <c r="AJ639" s="119" t="str">
        <f t="shared" si="7"/>
        <v>Paper has link but no statement</v>
      </c>
      <c r="AK639" s="120" t="s">
        <v>3401</v>
      </c>
      <c r="AL639" s="121" t="s">
        <v>3402</v>
      </c>
      <c r="AM639" s="60" t="str">
        <f t="shared" si="8"/>
        <v>[FP0151]</v>
      </c>
    </row>
    <row r="640" ht="67.5" customHeight="1">
      <c r="A640" s="61">
        <v>152.0</v>
      </c>
      <c r="B640" s="22" t="s">
        <v>5090</v>
      </c>
      <c r="C640" s="23">
        <v>2022.0</v>
      </c>
      <c r="D640" s="100" t="s">
        <v>35</v>
      </c>
      <c r="E640" s="25" t="s">
        <v>36</v>
      </c>
      <c r="F640" s="25" t="s">
        <v>36</v>
      </c>
      <c r="G640" s="25" t="s">
        <v>36</v>
      </c>
      <c r="H640" s="25" t="s">
        <v>36</v>
      </c>
      <c r="I640" s="25" t="s">
        <v>36</v>
      </c>
      <c r="J640" s="101" t="s">
        <v>36</v>
      </c>
      <c r="K640" s="102" t="s">
        <v>37</v>
      </c>
      <c r="L640" s="103" t="s">
        <v>35</v>
      </c>
      <c r="M640" s="103" t="s">
        <v>37</v>
      </c>
      <c r="N640" s="103" t="s">
        <v>35</v>
      </c>
      <c r="O640" s="103" t="s">
        <v>35</v>
      </c>
      <c r="P640" s="103" t="s">
        <v>35</v>
      </c>
      <c r="Q640" s="103" t="s">
        <v>35</v>
      </c>
      <c r="R640" s="103" t="s">
        <v>37</v>
      </c>
      <c r="S640" s="104" t="s">
        <v>5091</v>
      </c>
      <c r="T640" s="30" t="s">
        <v>5092</v>
      </c>
      <c r="U640" s="30" t="s">
        <v>5093</v>
      </c>
      <c r="V640" s="105">
        <f t="shared" si="2"/>
        <v>1</v>
      </c>
      <c r="W640" s="105">
        <f t="shared" ref="W640:X640" si="645">IF(lenb(SUBSTITUTE($Z640,W$1&amp;" (1)",""))&lt;lenb($Z640),1,IF(lenb(SUBSTITUTE($Z640,W$1&amp;" (2)",""))&lt;lenb($Z640),2,IF(lenb(SUBSTITUTE($Z640,W$1&amp;" (3)",""))&lt;lenb($Z640),3,IF(lenb(SUBSTITUTE($Z640,W$1&amp;" (4)",""))&lt;lenb($Z640),4,IF(lenb(SUBSTITUTE($Z640,W$1&amp;" (5)",""))&lt;lenb($Z640),5,IF(lenb(SUBSTITUTE($Z640,W$1&amp;" (6)",""))&lt;lenb($Z640),6,IF(lenb(SUBSTITUTE($Z640,W$1&amp;" (7)",""))&lt;lenb($Z640),1,IF(lenb(SUBSTITUTE($Z640,W$1&amp;" (8)",""))&lt;lenb($Z640),8,IF(lenb(SUBSTITUTE($Z640,W$1&amp;" (9)",""))&lt;lenb($Z640),9,IF(lenb(SUBSTITUTE($Z640,W$1&amp;" (10)",""))&lt;lenb($Z640),10,IF(lenb(SUBSTITUTE($Z640,W$1,""))&lt;lenb($Z640),"ERROR",IF($Z640=$Y$1,"-",0))))))))))))</f>
        <v>0</v>
      </c>
      <c r="X640" s="105">
        <f t="shared" si="645"/>
        <v>0</v>
      </c>
      <c r="Y640" s="105" t="str">
        <f t="shared" si="4"/>
        <v>-</v>
      </c>
      <c r="Z640" s="104" t="s">
        <v>3400</v>
      </c>
      <c r="AA640" s="34">
        <f t="shared" si="5"/>
        <v>1</v>
      </c>
      <c r="AB640" s="34">
        <f>COUNTIFS(Links!B:B,"FSE",Links!C:C,A640,Links!AD:AD,1)</f>
        <v>0</v>
      </c>
      <c r="AC640" s="106" t="s">
        <v>35</v>
      </c>
      <c r="AD640" s="107" t="s">
        <v>35</v>
      </c>
      <c r="AE640" s="104" t="s">
        <v>36</v>
      </c>
      <c r="AF640" s="37" t="s">
        <v>42</v>
      </c>
      <c r="AG640" s="37" t="s">
        <v>42</v>
      </c>
      <c r="AH640" s="37" t="s">
        <v>42</v>
      </c>
      <c r="AI640" s="105" t="str">
        <f t="shared" si="6"/>
        <v>----</v>
      </c>
      <c r="AJ640" s="108" t="str">
        <f t="shared" si="7"/>
        <v>Paper has link but no statement</v>
      </c>
      <c r="AK640" s="109" t="s">
        <v>3401</v>
      </c>
      <c r="AL640" s="110" t="s">
        <v>3402</v>
      </c>
      <c r="AM640" s="40" t="str">
        <f t="shared" si="8"/>
        <v>[FP0152]</v>
      </c>
    </row>
    <row r="641" ht="67.5" customHeight="1">
      <c r="A641" s="41">
        <v>153.0</v>
      </c>
      <c r="B641" s="42" t="s">
        <v>5094</v>
      </c>
      <c r="C641" s="43">
        <v>2022.0</v>
      </c>
      <c r="D641" s="111" t="s">
        <v>35</v>
      </c>
      <c r="E641" s="45" t="s">
        <v>36</v>
      </c>
      <c r="F641" s="45" t="s">
        <v>36</v>
      </c>
      <c r="G641" s="45" t="s">
        <v>36</v>
      </c>
      <c r="H641" s="45" t="s">
        <v>36</v>
      </c>
      <c r="I641" s="45" t="s">
        <v>36</v>
      </c>
      <c r="J641" s="112" t="s">
        <v>36</v>
      </c>
      <c r="K641" s="113" t="s">
        <v>37</v>
      </c>
      <c r="L641" s="114" t="s">
        <v>35</v>
      </c>
      <c r="M641" s="114" t="s">
        <v>37</v>
      </c>
      <c r="N641" s="114" t="s">
        <v>35</v>
      </c>
      <c r="O641" s="114" t="s">
        <v>37</v>
      </c>
      <c r="P641" s="114" t="s">
        <v>35</v>
      </c>
      <c r="Q641" s="114" t="s">
        <v>35</v>
      </c>
      <c r="R641" s="114" t="s">
        <v>37</v>
      </c>
      <c r="S641" s="115" t="s">
        <v>5095</v>
      </c>
      <c r="T641" s="50" t="s">
        <v>5096</v>
      </c>
      <c r="U641" s="50" t="s">
        <v>5096</v>
      </c>
      <c r="V641" s="116">
        <f t="shared" si="2"/>
        <v>1</v>
      </c>
      <c r="W641" s="116">
        <f t="shared" ref="W641:X641" si="646">IF(lenb(SUBSTITUTE($Z641,W$1&amp;" (1)",""))&lt;lenb($Z641),1,IF(lenb(SUBSTITUTE($Z641,W$1&amp;" (2)",""))&lt;lenb($Z641),2,IF(lenb(SUBSTITUTE($Z641,W$1&amp;" (3)",""))&lt;lenb($Z641),3,IF(lenb(SUBSTITUTE($Z641,W$1&amp;" (4)",""))&lt;lenb($Z641),4,IF(lenb(SUBSTITUTE($Z641,W$1&amp;" (5)",""))&lt;lenb($Z641),5,IF(lenb(SUBSTITUTE($Z641,W$1&amp;" (6)",""))&lt;lenb($Z641),6,IF(lenb(SUBSTITUTE($Z641,W$1&amp;" (7)",""))&lt;lenb($Z641),1,IF(lenb(SUBSTITUTE($Z641,W$1&amp;" (8)",""))&lt;lenb($Z641),8,IF(lenb(SUBSTITUTE($Z641,W$1&amp;" (9)",""))&lt;lenb($Z641),9,IF(lenb(SUBSTITUTE($Z641,W$1&amp;" (10)",""))&lt;lenb($Z641),10,IF(lenb(SUBSTITUTE($Z641,W$1,""))&lt;lenb($Z641),"ERROR",IF($Z641=$Y$1,"-",0))))))))))))</f>
        <v>0</v>
      </c>
      <c r="X641" s="116">
        <f t="shared" si="646"/>
        <v>0</v>
      </c>
      <c r="Y641" s="116" t="str">
        <f t="shared" si="4"/>
        <v>-</v>
      </c>
      <c r="Z641" s="48" t="s">
        <v>3400</v>
      </c>
      <c r="AA641" s="54">
        <f t="shared" si="5"/>
        <v>1</v>
      </c>
      <c r="AB641" s="54">
        <f>COUNTIFS(Links!B:B,"FSE",Links!C:C,A641,Links!AD:AD,1)</f>
        <v>0</v>
      </c>
      <c r="AC641" s="117" t="s">
        <v>35</v>
      </c>
      <c r="AD641" s="118" t="s">
        <v>35</v>
      </c>
      <c r="AE641" s="115" t="s">
        <v>36</v>
      </c>
      <c r="AF641" s="57" t="s">
        <v>42</v>
      </c>
      <c r="AG641" s="57" t="s">
        <v>42</v>
      </c>
      <c r="AH641" s="57" t="s">
        <v>42</v>
      </c>
      <c r="AI641" s="116" t="str">
        <f t="shared" si="6"/>
        <v>----</v>
      </c>
      <c r="AJ641" s="119" t="str">
        <f t="shared" si="7"/>
        <v>Paper has link but no statement</v>
      </c>
      <c r="AK641" s="120" t="s">
        <v>3401</v>
      </c>
      <c r="AL641" s="121" t="s">
        <v>3402</v>
      </c>
      <c r="AM641" s="60" t="str">
        <f t="shared" si="8"/>
        <v>[FP0153]</v>
      </c>
    </row>
    <row r="642" ht="67.5" customHeight="1">
      <c r="A642" s="61">
        <v>154.0</v>
      </c>
      <c r="B642" s="22" t="s">
        <v>5097</v>
      </c>
      <c r="C642" s="23">
        <v>2022.0</v>
      </c>
      <c r="D642" s="100" t="s">
        <v>35</v>
      </c>
      <c r="E642" s="25" t="s">
        <v>36</v>
      </c>
      <c r="F642" s="25" t="s">
        <v>36</v>
      </c>
      <c r="G642" s="25" t="s">
        <v>36</v>
      </c>
      <c r="H642" s="25" t="s">
        <v>36</v>
      </c>
      <c r="I642" s="25" t="s">
        <v>36</v>
      </c>
      <c r="J642" s="101" t="s">
        <v>36</v>
      </c>
      <c r="K642" s="102" t="s">
        <v>37</v>
      </c>
      <c r="L642" s="103" t="s">
        <v>37</v>
      </c>
      <c r="M642" s="103" t="s">
        <v>35</v>
      </c>
      <c r="N642" s="103" t="s">
        <v>37</v>
      </c>
      <c r="O642" s="103" t="s">
        <v>35</v>
      </c>
      <c r="P642" s="103" t="s">
        <v>35</v>
      </c>
      <c r="Q642" s="103" t="s">
        <v>35</v>
      </c>
      <c r="R642" s="103" t="s">
        <v>35</v>
      </c>
      <c r="S642" s="104" t="s">
        <v>42</v>
      </c>
      <c r="T642" s="30" t="s">
        <v>5098</v>
      </c>
      <c r="U642" s="30" t="s">
        <v>5098</v>
      </c>
      <c r="V642" s="105">
        <f t="shared" si="2"/>
        <v>1</v>
      </c>
      <c r="W642" s="105">
        <f t="shared" ref="W642:X642" si="647">IF(lenb(SUBSTITUTE($Z642,W$1&amp;" (1)",""))&lt;lenb($Z642),1,IF(lenb(SUBSTITUTE($Z642,W$1&amp;" (2)",""))&lt;lenb($Z642),2,IF(lenb(SUBSTITUTE($Z642,W$1&amp;" (3)",""))&lt;lenb($Z642),3,IF(lenb(SUBSTITUTE($Z642,W$1&amp;" (4)",""))&lt;lenb($Z642),4,IF(lenb(SUBSTITUTE($Z642,W$1&amp;" (5)",""))&lt;lenb($Z642),5,IF(lenb(SUBSTITUTE($Z642,W$1&amp;" (6)",""))&lt;lenb($Z642),6,IF(lenb(SUBSTITUTE($Z642,W$1&amp;" (7)",""))&lt;lenb($Z642),1,IF(lenb(SUBSTITUTE($Z642,W$1&amp;" (8)",""))&lt;lenb($Z642),8,IF(lenb(SUBSTITUTE($Z642,W$1&amp;" (9)",""))&lt;lenb($Z642),9,IF(lenb(SUBSTITUTE($Z642,W$1&amp;" (10)",""))&lt;lenb($Z642),10,IF(lenb(SUBSTITUTE($Z642,W$1,""))&lt;lenb($Z642),"ERROR",IF($Z642=$Y$1,"-",0))))))))))))</f>
        <v>0</v>
      </c>
      <c r="X642" s="105">
        <f t="shared" si="647"/>
        <v>0</v>
      </c>
      <c r="Y642" s="105" t="str">
        <f t="shared" si="4"/>
        <v>-</v>
      </c>
      <c r="Z642" s="28" t="s">
        <v>3400</v>
      </c>
      <c r="AA642" s="34">
        <f t="shared" si="5"/>
        <v>1</v>
      </c>
      <c r="AB642" s="34">
        <f>COUNTIFS(Links!B:B,"FSE",Links!C:C,A642,Links!AD:AD,1)</f>
        <v>0</v>
      </c>
      <c r="AC642" s="106" t="s">
        <v>35</v>
      </c>
      <c r="AD642" s="107" t="s">
        <v>35</v>
      </c>
      <c r="AE642" s="104" t="s">
        <v>36</v>
      </c>
      <c r="AF642" s="37" t="s">
        <v>42</v>
      </c>
      <c r="AG642" s="37" t="s">
        <v>42</v>
      </c>
      <c r="AH642" s="37" t="s">
        <v>42</v>
      </c>
      <c r="AI642" s="105" t="str">
        <f t="shared" si="6"/>
        <v>----</v>
      </c>
      <c r="AJ642" s="108" t="str">
        <f t="shared" si="7"/>
        <v>Paper has link but no statement</v>
      </c>
      <c r="AK642" s="109" t="s">
        <v>3401</v>
      </c>
      <c r="AL642" s="110" t="s">
        <v>3402</v>
      </c>
      <c r="AM642" s="40" t="str">
        <f t="shared" si="8"/>
        <v>[FP0154]</v>
      </c>
    </row>
    <row r="643" ht="67.5" customHeight="1">
      <c r="A643" s="41">
        <v>155.0</v>
      </c>
      <c r="B643" s="42" t="s">
        <v>5099</v>
      </c>
      <c r="C643" s="43">
        <v>2022.0</v>
      </c>
      <c r="D643" s="111" t="s">
        <v>37</v>
      </c>
      <c r="E643" s="45" t="s">
        <v>37</v>
      </c>
      <c r="F643" s="45" t="s">
        <v>35</v>
      </c>
      <c r="G643" s="45" t="s">
        <v>37</v>
      </c>
      <c r="H643" s="45" t="s">
        <v>35</v>
      </c>
      <c r="I643" s="45" t="s">
        <v>35</v>
      </c>
      <c r="J643" s="112" t="s">
        <v>36</v>
      </c>
      <c r="K643" s="113" t="s">
        <v>37</v>
      </c>
      <c r="L643" s="114" t="s">
        <v>35</v>
      </c>
      <c r="M643" s="114" t="s">
        <v>37</v>
      </c>
      <c r="N643" s="114" t="s">
        <v>35</v>
      </c>
      <c r="O643" s="114" t="s">
        <v>35</v>
      </c>
      <c r="P643" s="114" t="s">
        <v>35</v>
      </c>
      <c r="Q643" s="114" t="s">
        <v>37</v>
      </c>
      <c r="R643" s="114" t="s">
        <v>37</v>
      </c>
      <c r="S643" s="138" t="s">
        <v>5100</v>
      </c>
      <c r="T643" s="50" t="s">
        <v>5101</v>
      </c>
      <c r="U643" s="50" t="s">
        <v>5101</v>
      </c>
      <c r="V643" s="116">
        <f t="shared" si="2"/>
        <v>1</v>
      </c>
      <c r="W643" s="116">
        <f t="shared" ref="W643:X643" si="648">IF(lenb(SUBSTITUTE($Z643,W$1&amp;" (1)",""))&lt;lenb($Z643),1,IF(lenb(SUBSTITUTE($Z643,W$1&amp;" (2)",""))&lt;lenb($Z643),2,IF(lenb(SUBSTITUTE($Z643,W$1&amp;" (3)",""))&lt;lenb($Z643),3,IF(lenb(SUBSTITUTE($Z643,W$1&amp;" (4)",""))&lt;lenb($Z643),4,IF(lenb(SUBSTITUTE($Z643,W$1&amp;" (5)",""))&lt;lenb($Z643),5,IF(lenb(SUBSTITUTE($Z643,W$1&amp;" (6)",""))&lt;lenb($Z643),6,IF(lenb(SUBSTITUTE($Z643,W$1&amp;" (7)",""))&lt;lenb($Z643),1,IF(lenb(SUBSTITUTE($Z643,W$1&amp;" (8)",""))&lt;lenb($Z643),8,IF(lenb(SUBSTITUTE($Z643,W$1&amp;" (9)",""))&lt;lenb($Z643),9,IF(lenb(SUBSTITUTE($Z643,W$1&amp;" (10)",""))&lt;lenb($Z643),10,IF(lenb(SUBSTITUTE($Z643,W$1,""))&lt;lenb($Z643),"ERROR",IF($Z643=$Y$1,"-",0))))))))))))</f>
        <v>0</v>
      </c>
      <c r="X643" s="116">
        <f t="shared" si="648"/>
        <v>0</v>
      </c>
      <c r="Y643" s="116" t="str">
        <f t="shared" si="4"/>
        <v>-</v>
      </c>
      <c r="Z643" s="48" t="s">
        <v>3400</v>
      </c>
      <c r="AA643" s="54">
        <f t="shared" si="5"/>
        <v>1</v>
      </c>
      <c r="AB643" s="54">
        <f>COUNTIFS(Links!B:B,"FSE",Links!C:C,A643,Links!AD:AD,1)</f>
        <v>0</v>
      </c>
      <c r="AC643" s="117" t="s">
        <v>37</v>
      </c>
      <c r="AD643" s="118" t="s">
        <v>35</v>
      </c>
      <c r="AE643" s="115" t="s">
        <v>36</v>
      </c>
      <c r="AF643" s="57" t="s">
        <v>42</v>
      </c>
      <c r="AG643" s="57" t="s">
        <v>42</v>
      </c>
      <c r="AH643" s="57" t="s">
        <v>42</v>
      </c>
      <c r="AI643" s="116" t="str">
        <f t="shared" si="6"/>
        <v>----</v>
      </c>
      <c r="AJ643" s="119" t="str">
        <f t="shared" si="7"/>
        <v>Paper has link but no statement</v>
      </c>
      <c r="AK643" s="120" t="s">
        <v>3401</v>
      </c>
      <c r="AL643" s="121" t="s">
        <v>3402</v>
      </c>
      <c r="AM643" s="60" t="str">
        <f t="shared" si="8"/>
        <v>[FP0155]</v>
      </c>
    </row>
    <row r="644" ht="67.5" customHeight="1">
      <c r="A644" s="61">
        <v>156.0</v>
      </c>
      <c r="B644" s="22" t="s">
        <v>5102</v>
      </c>
      <c r="C644" s="23">
        <v>2022.0</v>
      </c>
      <c r="D644" s="100" t="s">
        <v>37</v>
      </c>
      <c r="E644" s="25" t="s">
        <v>37</v>
      </c>
      <c r="F644" s="25" t="s">
        <v>35</v>
      </c>
      <c r="G644" s="25" t="s">
        <v>37</v>
      </c>
      <c r="H644" s="25" t="s">
        <v>35</v>
      </c>
      <c r="I644" s="25" t="s">
        <v>35</v>
      </c>
      <c r="J644" s="101" t="s">
        <v>36</v>
      </c>
      <c r="K644" s="102" t="s">
        <v>37</v>
      </c>
      <c r="L644" s="103" t="s">
        <v>35</v>
      </c>
      <c r="M644" s="103" t="s">
        <v>37</v>
      </c>
      <c r="N644" s="103" t="s">
        <v>35</v>
      </c>
      <c r="O644" s="103" t="s">
        <v>35</v>
      </c>
      <c r="P644" s="103" t="s">
        <v>35</v>
      </c>
      <c r="Q644" s="103" t="s">
        <v>37</v>
      </c>
      <c r="R644" s="103" t="s">
        <v>35</v>
      </c>
      <c r="S644" s="104" t="s">
        <v>5103</v>
      </c>
      <c r="T644" s="30" t="s">
        <v>5104</v>
      </c>
      <c r="U644" s="30" t="s">
        <v>5104</v>
      </c>
      <c r="V644" s="105">
        <f t="shared" si="2"/>
        <v>1</v>
      </c>
      <c r="W644" s="105">
        <f t="shared" ref="W644:X644" si="649">IF(lenb(SUBSTITUTE($Z644,W$1&amp;" (1)",""))&lt;lenb($Z644),1,IF(lenb(SUBSTITUTE($Z644,W$1&amp;" (2)",""))&lt;lenb($Z644),2,IF(lenb(SUBSTITUTE($Z644,W$1&amp;" (3)",""))&lt;lenb($Z644),3,IF(lenb(SUBSTITUTE($Z644,W$1&amp;" (4)",""))&lt;lenb($Z644),4,IF(lenb(SUBSTITUTE($Z644,W$1&amp;" (5)",""))&lt;lenb($Z644),5,IF(lenb(SUBSTITUTE($Z644,W$1&amp;" (6)",""))&lt;lenb($Z644),6,IF(lenb(SUBSTITUTE($Z644,W$1&amp;" (7)",""))&lt;lenb($Z644),1,IF(lenb(SUBSTITUTE($Z644,W$1&amp;" (8)",""))&lt;lenb($Z644),8,IF(lenb(SUBSTITUTE($Z644,W$1&amp;" (9)",""))&lt;lenb($Z644),9,IF(lenb(SUBSTITUTE($Z644,W$1&amp;" (10)",""))&lt;lenb($Z644),10,IF(lenb(SUBSTITUTE($Z644,W$1,""))&lt;lenb($Z644),"ERROR",IF($Z644=$Y$1,"-",0))))))))))))</f>
        <v>0</v>
      </c>
      <c r="X644" s="105">
        <f t="shared" si="649"/>
        <v>0</v>
      </c>
      <c r="Y644" s="105" t="str">
        <f t="shared" si="4"/>
        <v>-</v>
      </c>
      <c r="Z644" s="28" t="s">
        <v>3400</v>
      </c>
      <c r="AA644" s="34">
        <f t="shared" si="5"/>
        <v>1</v>
      </c>
      <c r="AB644" s="34">
        <f>COUNTIFS(Links!B:B,"FSE",Links!C:C,A644,Links!AD:AD,1)</f>
        <v>0</v>
      </c>
      <c r="AC644" s="106" t="s">
        <v>37</v>
      </c>
      <c r="AD644" s="107" t="s">
        <v>35</v>
      </c>
      <c r="AE644" s="104" t="s">
        <v>36</v>
      </c>
      <c r="AF644" s="37" t="s">
        <v>42</v>
      </c>
      <c r="AG644" s="37" t="s">
        <v>42</v>
      </c>
      <c r="AH644" s="37" t="s">
        <v>42</v>
      </c>
      <c r="AI644" s="105" t="str">
        <f t="shared" si="6"/>
        <v>----</v>
      </c>
      <c r="AJ644" s="108" t="str">
        <f t="shared" si="7"/>
        <v>Paper has link but no statement</v>
      </c>
      <c r="AK644" s="109" t="s">
        <v>3401</v>
      </c>
      <c r="AL644" s="110" t="s">
        <v>3402</v>
      </c>
      <c r="AM644" s="40" t="str">
        <f t="shared" si="8"/>
        <v>[FP0156]</v>
      </c>
    </row>
    <row r="645" ht="67.5" customHeight="1">
      <c r="A645" s="41">
        <v>157.0</v>
      </c>
      <c r="B645" s="42" t="s">
        <v>5105</v>
      </c>
      <c r="C645" s="43">
        <v>2022.0</v>
      </c>
      <c r="D645" s="111" t="s">
        <v>35</v>
      </c>
      <c r="E645" s="45" t="s">
        <v>36</v>
      </c>
      <c r="F645" s="45" t="s">
        <v>36</v>
      </c>
      <c r="G645" s="45" t="s">
        <v>36</v>
      </c>
      <c r="H645" s="45" t="s">
        <v>36</v>
      </c>
      <c r="I645" s="45" t="s">
        <v>36</v>
      </c>
      <c r="J645" s="112" t="s">
        <v>36</v>
      </c>
      <c r="K645" s="113" t="s">
        <v>37</v>
      </c>
      <c r="L645" s="114" t="s">
        <v>37</v>
      </c>
      <c r="M645" s="114" t="s">
        <v>35</v>
      </c>
      <c r="N645" s="114" t="s">
        <v>37</v>
      </c>
      <c r="O645" s="114" t="s">
        <v>35</v>
      </c>
      <c r="P645" s="114" t="s">
        <v>35</v>
      </c>
      <c r="Q645" s="114" t="s">
        <v>35</v>
      </c>
      <c r="R645" s="114" t="s">
        <v>35</v>
      </c>
      <c r="S645" s="115" t="s">
        <v>42</v>
      </c>
      <c r="T645" s="50" t="s">
        <v>5106</v>
      </c>
      <c r="U645" s="50" t="s">
        <v>5106</v>
      </c>
      <c r="V645" s="116">
        <f t="shared" si="2"/>
        <v>1</v>
      </c>
      <c r="W645" s="116">
        <f t="shared" ref="W645:X645" si="650">IF(lenb(SUBSTITUTE($Z645,W$1&amp;" (1)",""))&lt;lenb($Z645),1,IF(lenb(SUBSTITUTE($Z645,W$1&amp;" (2)",""))&lt;lenb($Z645),2,IF(lenb(SUBSTITUTE($Z645,W$1&amp;" (3)",""))&lt;lenb($Z645),3,IF(lenb(SUBSTITUTE($Z645,W$1&amp;" (4)",""))&lt;lenb($Z645),4,IF(lenb(SUBSTITUTE($Z645,W$1&amp;" (5)",""))&lt;lenb($Z645),5,IF(lenb(SUBSTITUTE($Z645,W$1&amp;" (6)",""))&lt;lenb($Z645),6,IF(lenb(SUBSTITUTE($Z645,W$1&amp;" (7)",""))&lt;lenb($Z645),1,IF(lenb(SUBSTITUTE($Z645,W$1&amp;" (8)",""))&lt;lenb($Z645),8,IF(lenb(SUBSTITUTE($Z645,W$1&amp;" (9)",""))&lt;lenb($Z645),9,IF(lenb(SUBSTITUTE($Z645,W$1&amp;" (10)",""))&lt;lenb($Z645),10,IF(lenb(SUBSTITUTE($Z645,W$1,""))&lt;lenb($Z645),"ERROR",IF($Z645=$Y$1,"-",0))))))))))))</f>
        <v>0</v>
      </c>
      <c r="X645" s="116">
        <f t="shared" si="650"/>
        <v>0</v>
      </c>
      <c r="Y645" s="116" t="str">
        <f t="shared" si="4"/>
        <v>-</v>
      </c>
      <c r="Z645" s="48" t="s">
        <v>3400</v>
      </c>
      <c r="AA645" s="54">
        <f t="shared" si="5"/>
        <v>1</v>
      </c>
      <c r="AB645" s="54">
        <f>COUNTIFS(Links!B:B,"FSE",Links!C:C,A645,Links!AD:AD,1)</f>
        <v>0</v>
      </c>
      <c r="AC645" s="117" t="s">
        <v>37</v>
      </c>
      <c r="AD645" s="118" t="s">
        <v>35</v>
      </c>
      <c r="AE645" s="115" t="s">
        <v>36</v>
      </c>
      <c r="AF645" s="57" t="s">
        <v>42</v>
      </c>
      <c r="AG645" s="57" t="s">
        <v>42</v>
      </c>
      <c r="AH645" s="57" t="s">
        <v>42</v>
      </c>
      <c r="AI645" s="116" t="str">
        <f t="shared" si="6"/>
        <v>----</v>
      </c>
      <c r="AJ645" s="119" t="str">
        <f t="shared" si="7"/>
        <v>Paper has link but no statement</v>
      </c>
      <c r="AK645" s="120" t="s">
        <v>3401</v>
      </c>
      <c r="AL645" s="121" t="s">
        <v>3402</v>
      </c>
      <c r="AM645" s="60" t="str">
        <f t="shared" si="8"/>
        <v>[FP0157]</v>
      </c>
    </row>
    <row r="646" ht="67.5" customHeight="1">
      <c r="A646" s="61">
        <v>158.0</v>
      </c>
      <c r="B646" s="22" t="s">
        <v>5107</v>
      </c>
      <c r="C646" s="23">
        <v>2022.0</v>
      </c>
      <c r="D646" s="100" t="s">
        <v>35</v>
      </c>
      <c r="E646" s="25" t="s">
        <v>36</v>
      </c>
      <c r="F646" s="25" t="s">
        <v>36</v>
      </c>
      <c r="G646" s="25" t="s">
        <v>36</v>
      </c>
      <c r="H646" s="25" t="s">
        <v>36</v>
      </c>
      <c r="I646" s="25" t="s">
        <v>36</v>
      </c>
      <c r="J646" s="101" t="s">
        <v>36</v>
      </c>
      <c r="K646" s="102" t="s">
        <v>37</v>
      </c>
      <c r="L646" s="103" t="s">
        <v>37</v>
      </c>
      <c r="M646" s="103" t="s">
        <v>35</v>
      </c>
      <c r="N646" s="103" t="s">
        <v>35</v>
      </c>
      <c r="O646" s="103" t="s">
        <v>37</v>
      </c>
      <c r="P646" s="103" t="s">
        <v>35</v>
      </c>
      <c r="Q646" s="103" t="s">
        <v>35</v>
      </c>
      <c r="R646" s="103" t="s">
        <v>37</v>
      </c>
      <c r="S646" s="104" t="s">
        <v>42</v>
      </c>
      <c r="T646" s="30" t="s">
        <v>5108</v>
      </c>
      <c r="U646" s="30" t="s">
        <v>5108</v>
      </c>
      <c r="V646" s="105">
        <f t="shared" si="2"/>
        <v>1</v>
      </c>
      <c r="W646" s="105">
        <f t="shared" ref="W646:X646" si="651">IF(lenb(SUBSTITUTE($Z646,W$1&amp;" (1)",""))&lt;lenb($Z646),1,IF(lenb(SUBSTITUTE($Z646,W$1&amp;" (2)",""))&lt;lenb($Z646),2,IF(lenb(SUBSTITUTE($Z646,W$1&amp;" (3)",""))&lt;lenb($Z646),3,IF(lenb(SUBSTITUTE($Z646,W$1&amp;" (4)",""))&lt;lenb($Z646),4,IF(lenb(SUBSTITUTE($Z646,W$1&amp;" (5)",""))&lt;lenb($Z646),5,IF(lenb(SUBSTITUTE($Z646,W$1&amp;" (6)",""))&lt;lenb($Z646),6,IF(lenb(SUBSTITUTE($Z646,W$1&amp;" (7)",""))&lt;lenb($Z646),1,IF(lenb(SUBSTITUTE($Z646,W$1&amp;" (8)",""))&lt;lenb($Z646),8,IF(lenb(SUBSTITUTE($Z646,W$1&amp;" (9)",""))&lt;lenb($Z646),9,IF(lenb(SUBSTITUTE($Z646,W$1&amp;" (10)",""))&lt;lenb($Z646),10,IF(lenb(SUBSTITUTE($Z646,W$1,""))&lt;lenb($Z646),"ERROR",IF($Z646=$Y$1,"-",0))))))))))))</f>
        <v>0</v>
      </c>
      <c r="X646" s="105">
        <f t="shared" si="651"/>
        <v>0</v>
      </c>
      <c r="Y646" s="105" t="str">
        <f t="shared" si="4"/>
        <v>-</v>
      </c>
      <c r="Z646" s="28" t="s">
        <v>3400</v>
      </c>
      <c r="AA646" s="34">
        <f t="shared" si="5"/>
        <v>1</v>
      </c>
      <c r="AB646" s="34">
        <f>COUNTIFS(Links!B:B,"FSE",Links!C:C,A646,Links!AD:AD,1)</f>
        <v>0</v>
      </c>
      <c r="AC646" s="106" t="s">
        <v>35</v>
      </c>
      <c r="AD646" s="107" t="s">
        <v>35</v>
      </c>
      <c r="AE646" s="104" t="s">
        <v>36</v>
      </c>
      <c r="AF646" s="37" t="s">
        <v>42</v>
      </c>
      <c r="AG646" s="37" t="s">
        <v>42</v>
      </c>
      <c r="AH646" s="37" t="s">
        <v>42</v>
      </c>
      <c r="AI646" s="105" t="str">
        <f t="shared" si="6"/>
        <v>----</v>
      </c>
      <c r="AJ646" s="108" t="str">
        <f t="shared" si="7"/>
        <v>Paper has link but no statement</v>
      </c>
      <c r="AK646" s="109" t="s">
        <v>3401</v>
      </c>
      <c r="AL646" s="110" t="s">
        <v>3402</v>
      </c>
      <c r="AM646" s="40" t="str">
        <f t="shared" si="8"/>
        <v>[FP0158]</v>
      </c>
    </row>
    <row r="647" ht="67.5" customHeight="1">
      <c r="A647" s="41">
        <v>159.0</v>
      </c>
      <c r="B647" s="42" t="s">
        <v>5109</v>
      </c>
      <c r="C647" s="43">
        <v>2022.0</v>
      </c>
      <c r="D647" s="111" t="s">
        <v>35</v>
      </c>
      <c r="E647" s="45" t="s">
        <v>36</v>
      </c>
      <c r="F647" s="45" t="s">
        <v>36</v>
      </c>
      <c r="G647" s="45" t="s">
        <v>36</v>
      </c>
      <c r="H647" s="45" t="s">
        <v>36</v>
      </c>
      <c r="I647" s="45" t="s">
        <v>36</v>
      </c>
      <c r="J647" s="112" t="s">
        <v>36</v>
      </c>
      <c r="K647" s="113" t="s">
        <v>37</v>
      </c>
      <c r="L647" s="114" t="s">
        <v>35</v>
      </c>
      <c r="M647" s="114" t="s">
        <v>35</v>
      </c>
      <c r="N647" s="114" t="s">
        <v>37</v>
      </c>
      <c r="O647" s="114" t="s">
        <v>35</v>
      </c>
      <c r="P647" s="114" t="s">
        <v>35</v>
      </c>
      <c r="Q647" s="114" t="s">
        <v>35</v>
      </c>
      <c r="R647" s="114" t="s">
        <v>35</v>
      </c>
      <c r="S647" s="115" t="s">
        <v>42</v>
      </c>
      <c r="T647" s="50" t="s">
        <v>5110</v>
      </c>
      <c r="U647" s="50" t="s">
        <v>5110</v>
      </c>
      <c r="V647" s="116">
        <f t="shared" si="2"/>
        <v>1</v>
      </c>
      <c r="W647" s="116">
        <f t="shared" ref="W647:X647" si="652">IF(lenb(SUBSTITUTE($Z647,W$1&amp;" (1)",""))&lt;lenb($Z647),1,IF(lenb(SUBSTITUTE($Z647,W$1&amp;" (2)",""))&lt;lenb($Z647),2,IF(lenb(SUBSTITUTE($Z647,W$1&amp;" (3)",""))&lt;lenb($Z647),3,IF(lenb(SUBSTITUTE($Z647,W$1&amp;" (4)",""))&lt;lenb($Z647),4,IF(lenb(SUBSTITUTE($Z647,W$1&amp;" (5)",""))&lt;lenb($Z647),5,IF(lenb(SUBSTITUTE($Z647,W$1&amp;" (6)",""))&lt;lenb($Z647),6,IF(lenb(SUBSTITUTE($Z647,W$1&amp;" (7)",""))&lt;lenb($Z647),1,IF(lenb(SUBSTITUTE($Z647,W$1&amp;" (8)",""))&lt;lenb($Z647),8,IF(lenb(SUBSTITUTE($Z647,W$1&amp;" (9)",""))&lt;lenb($Z647),9,IF(lenb(SUBSTITUTE($Z647,W$1&amp;" (10)",""))&lt;lenb($Z647),10,IF(lenb(SUBSTITUTE($Z647,W$1,""))&lt;lenb($Z647),"ERROR",IF($Z647=$Y$1,"-",0))))))))))))</f>
        <v>0</v>
      </c>
      <c r="X647" s="116">
        <f t="shared" si="652"/>
        <v>0</v>
      </c>
      <c r="Y647" s="116" t="str">
        <f t="shared" si="4"/>
        <v>-</v>
      </c>
      <c r="Z647" s="48" t="s">
        <v>3400</v>
      </c>
      <c r="AA647" s="54">
        <f t="shared" si="5"/>
        <v>1</v>
      </c>
      <c r="AB647" s="54">
        <f>COUNTIFS(Links!B:B,"FSE",Links!C:C,A647,Links!AD:AD,1)</f>
        <v>0</v>
      </c>
      <c r="AC647" s="117" t="s">
        <v>35</v>
      </c>
      <c r="AD647" s="118" t="s">
        <v>35</v>
      </c>
      <c r="AE647" s="115" t="s">
        <v>36</v>
      </c>
      <c r="AF647" s="57" t="s">
        <v>42</v>
      </c>
      <c r="AG647" s="57" t="s">
        <v>42</v>
      </c>
      <c r="AH647" s="57" t="s">
        <v>42</v>
      </c>
      <c r="AI647" s="116" t="str">
        <f t="shared" si="6"/>
        <v>----</v>
      </c>
      <c r="AJ647" s="119" t="str">
        <f t="shared" si="7"/>
        <v>Paper has link but no statement</v>
      </c>
      <c r="AK647" s="120" t="s">
        <v>3401</v>
      </c>
      <c r="AL647" s="121" t="s">
        <v>3402</v>
      </c>
      <c r="AM647" s="60" t="str">
        <f t="shared" si="8"/>
        <v>[FP0159]</v>
      </c>
    </row>
    <row r="648" ht="67.5" customHeight="1">
      <c r="A648" s="61">
        <v>160.0</v>
      </c>
      <c r="B648" s="22" t="s">
        <v>5111</v>
      </c>
      <c r="C648" s="23">
        <v>2022.0</v>
      </c>
      <c r="D648" s="100" t="s">
        <v>37</v>
      </c>
      <c r="E648" s="25" t="s">
        <v>37</v>
      </c>
      <c r="F648" s="25" t="s">
        <v>35</v>
      </c>
      <c r="G648" s="25" t="s">
        <v>37</v>
      </c>
      <c r="H648" s="25" t="s">
        <v>35</v>
      </c>
      <c r="I648" s="25" t="s">
        <v>35</v>
      </c>
      <c r="J648" s="101" t="s">
        <v>36</v>
      </c>
      <c r="K648" s="102" t="s">
        <v>37</v>
      </c>
      <c r="L648" s="103" t="s">
        <v>35</v>
      </c>
      <c r="M648" s="103" t="s">
        <v>37</v>
      </c>
      <c r="N648" s="103" t="s">
        <v>37</v>
      </c>
      <c r="O648" s="103" t="s">
        <v>35</v>
      </c>
      <c r="P648" s="103" t="s">
        <v>35</v>
      </c>
      <c r="Q648" s="103" t="s">
        <v>37</v>
      </c>
      <c r="R648" s="103" t="s">
        <v>37</v>
      </c>
      <c r="S648" s="70" t="s">
        <v>37</v>
      </c>
      <c r="T648" s="30" t="s">
        <v>5112</v>
      </c>
      <c r="U648" s="30" t="s">
        <v>5112</v>
      </c>
      <c r="V648" s="105">
        <f t="shared" si="2"/>
        <v>1</v>
      </c>
      <c r="W648" s="105">
        <f t="shared" ref="W648:X648" si="653">IF(lenb(SUBSTITUTE($Z648,W$1&amp;" (1)",""))&lt;lenb($Z648),1,IF(lenb(SUBSTITUTE($Z648,W$1&amp;" (2)",""))&lt;lenb($Z648),2,IF(lenb(SUBSTITUTE($Z648,W$1&amp;" (3)",""))&lt;lenb($Z648),3,IF(lenb(SUBSTITUTE($Z648,W$1&amp;" (4)",""))&lt;lenb($Z648),4,IF(lenb(SUBSTITUTE($Z648,W$1&amp;" (5)",""))&lt;lenb($Z648),5,IF(lenb(SUBSTITUTE($Z648,W$1&amp;" (6)",""))&lt;lenb($Z648),6,IF(lenb(SUBSTITUTE($Z648,W$1&amp;" (7)",""))&lt;lenb($Z648),1,IF(lenb(SUBSTITUTE($Z648,W$1&amp;" (8)",""))&lt;lenb($Z648),8,IF(lenb(SUBSTITUTE($Z648,W$1&amp;" (9)",""))&lt;lenb($Z648),9,IF(lenb(SUBSTITUTE($Z648,W$1&amp;" (10)",""))&lt;lenb($Z648),10,IF(lenb(SUBSTITUTE($Z648,W$1,""))&lt;lenb($Z648),"ERROR",IF($Z648=$Y$1,"-",0))))))))))))</f>
        <v>0</v>
      </c>
      <c r="X648" s="105">
        <f t="shared" si="653"/>
        <v>0</v>
      </c>
      <c r="Y648" s="105" t="str">
        <f t="shared" si="4"/>
        <v>-</v>
      </c>
      <c r="Z648" s="28" t="s">
        <v>3400</v>
      </c>
      <c r="AA648" s="34">
        <f t="shared" si="5"/>
        <v>1</v>
      </c>
      <c r="AB648" s="34">
        <f>COUNTIFS(Links!B:B,"FSE",Links!C:C,A648,Links!AD:AD,1)</f>
        <v>0</v>
      </c>
      <c r="AC648" s="106" t="s">
        <v>37</v>
      </c>
      <c r="AD648" s="107" t="s">
        <v>35</v>
      </c>
      <c r="AE648" s="104" t="s">
        <v>36</v>
      </c>
      <c r="AF648" s="37" t="s">
        <v>42</v>
      </c>
      <c r="AG648" s="37" t="s">
        <v>42</v>
      </c>
      <c r="AH648" s="37" t="s">
        <v>42</v>
      </c>
      <c r="AI648" s="105" t="str">
        <f t="shared" si="6"/>
        <v>----</v>
      </c>
      <c r="AJ648" s="108" t="str">
        <f t="shared" si="7"/>
        <v>Paper has link but no statement</v>
      </c>
      <c r="AK648" s="109" t="s">
        <v>3401</v>
      </c>
      <c r="AL648" s="110" t="s">
        <v>3402</v>
      </c>
      <c r="AM648" s="40" t="str">
        <f t="shared" si="8"/>
        <v>[FP0160]</v>
      </c>
    </row>
    <row r="649" ht="67.5" customHeight="1">
      <c r="A649" s="41">
        <v>161.0</v>
      </c>
      <c r="B649" s="42" t="s">
        <v>5113</v>
      </c>
      <c r="C649" s="43">
        <v>2022.0</v>
      </c>
      <c r="D649" s="111" t="s">
        <v>37</v>
      </c>
      <c r="E649" s="45" t="s">
        <v>37</v>
      </c>
      <c r="F649" s="45" t="s">
        <v>37</v>
      </c>
      <c r="G649" s="45" t="s">
        <v>35</v>
      </c>
      <c r="H649" s="45" t="s">
        <v>35</v>
      </c>
      <c r="I649" s="45" t="s">
        <v>35</v>
      </c>
      <c r="J649" s="112" t="s">
        <v>36</v>
      </c>
      <c r="K649" s="113" t="s">
        <v>37</v>
      </c>
      <c r="L649" s="114" t="s">
        <v>35</v>
      </c>
      <c r="M649" s="114" t="s">
        <v>37</v>
      </c>
      <c r="N649" s="114" t="s">
        <v>37</v>
      </c>
      <c r="O649" s="114" t="s">
        <v>35</v>
      </c>
      <c r="P649" s="114" t="s">
        <v>35</v>
      </c>
      <c r="Q649" s="114" t="s">
        <v>35</v>
      </c>
      <c r="R649" s="114" t="s">
        <v>37</v>
      </c>
      <c r="S649" s="115" t="s">
        <v>4137</v>
      </c>
      <c r="T649" s="50" t="s">
        <v>5114</v>
      </c>
      <c r="U649" s="50" t="s">
        <v>5114</v>
      </c>
      <c r="V649" s="116">
        <f t="shared" si="2"/>
        <v>1</v>
      </c>
      <c r="W649" s="116">
        <f t="shared" ref="W649:X649" si="654">IF(lenb(SUBSTITUTE($Z649,W$1&amp;" (1)",""))&lt;lenb($Z649),1,IF(lenb(SUBSTITUTE($Z649,W$1&amp;" (2)",""))&lt;lenb($Z649),2,IF(lenb(SUBSTITUTE($Z649,W$1&amp;" (3)",""))&lt;lenb($Z649),3,IF(lenb(SUBSTITUTE($Z649,W$1&amp;" (4)",""))&lt;lenb($Z649),4,IF(lenb(SUBSTITUTE($Z649,W$1&amp;" (5)",""))&lt;lenb($Z649),5,IF(lenb(SUBSTITUTE($Z649,W$1&amp;" (6)",""))&lt;lenb($Z649),6,IF(lenb(SUBSTITUTE($Z649,W$1&amp;" (7)",""))&lt;lenb($Z649),1,IF(lenb(SUBSTITUTE($Z649,W$1&amp;" (8)",""))&lt;lenb($Z649),8,IF(lenb(SUBSTITUTE($Z649,W$1&amp;" (9)",""))&lt;lenb($Z649),9,IF(lenb(SUBSTITUTE($Z649,W$1&amp;" (10)",""))&lt;lenb($Z649),10,IF(lenb(SUBSTITUTE($Z649,W$1,""))&lt;lenb($Z649),"ERROR",IF($Z649=$Y$1,"-",0))))))))))))</f>
        <v>0</v>
      </c>
      <c r="X649" s="116">
        <f t="shared" si="654"/>
        <v>0</v>
      </c>
      <c r="Y649" s="116" t="str">
        <f t="shared" si="4"/>
        <v>-</v>
      </c>
      <c r="Z649" s="48" t="s">
        <v>3400</v>
      </c>
      <c r="AA649" s="54">
        <f t="shared" si="5"/>
        <v>1</v>
      </c>
      <c r="AB649" s="54">
        <f>COUNTIFS(Links!B:B,"FSE",Links!C:C,A649,Links!AD:AD,1)</f>
        <v>0</v>
      </c>
      <c r="AC649" s="117" t="s">
        <v>37</v>
      </c>
      <c r="AD649" s="118" t="s">
        <v>35</v>
      </c>
      <c r="AE649" s="115" t="s">
        <v>36</v>
      </c>
      <c r="AF649" s="57" t="s">
        <v>42</v>
      </c>
      <c r="AG649" s="57" t="s">
        <v>42</v>
      </c>
      <c r="AH649" s="57" t="s">
        <v>42</v>
      </c>
      <c r="AI649" s="116" t="str">
        <f t="shared" si="6"/>
        <v>----</v>
      </c>
      <c r="AJ649" s="119" t="str">
        <f t="shared" si="7"/>
        <v>Paper has link but no statement</v>
      </c>
      <c r="AK649" s="120" t="s">
        <v>3401</v>
      </c>
      <c r="AL649" s="121" t="s">
        <v>3402</v>
      </c>
      <c r="AM649" s="60" t="str">
        <f t="shared" si="8"/>
        <v>[FP0161]</v>
      </c>
    </row>
    <row r="650" ht="67.5" customHeight="1">
      <c r="A650" s="61">
        <v>162.0</v>
      </c>
      <c r="B650" s="22" t="s">
        <v>5115</v>
      </c>
      <c r="C650" s="23">
        <v>2022.0</v>
      </c>
      <c r="D650" s="100" t="s">
        <v>37</v>
      </c>
      <c r="E650" s="25" t="s">
        <v>37</v>
      </c>
      <c r="F650" s="25" t="s">
        <v>35</v>
      </c>
      <c r="G650" s="25" t="s">
        <v>35</v>
      </c>
      <c r="H650" s="25" t="s">
        <v>35</v>
      </c>
      <c r="I650" s="25" t="s">
        <v>35</v>
      </c>
      <c r="J650" s="101" t="s">
        <v>36</v>
      </c>
      <c r="K650" s="102" t="s">
        <v>37</v>
      </c>
      <c r="L650" s="103" t="s">
        <v>37</v>
      </c>
      <c r="M650" s="103" t="s">
        <v>35</v>
      </c>
      <c r="N650" s="103" t="s">
        <v>37</v>
      </c>
      <c r="O650" s="103" t="s">
        <v>35</v>
      </c>
      <c r="P650" s="103" t="s">
        <v>35</v>
      </c>
      <c r="Q650" s="103" t="s">
        <v>35</v>
      </c>
      <c r="R650" s="103" t="s">
        <v>35</v>
      </c>
      <c r="S650" s="104" t="s">
        <v>42</v>
      </c>
      <c r="T650" s="30" t="s">
        <v>5116</v>
      </c>
      <c r="U650" s="30" t="s">
        <v>5116</v>
      </c>
      <c r="V650" s="105">
        <f t="shared" si="2"/>
        <v>1</v>
      </c>
      <c r="W650" s="105">
        <f t="shared" ref="W650:X650" si="655">IF(lenb(SUBSTITUTE($Z650,W$1&amp;" (1)",""))&lt;lenb($Z650),1,IF(lenb(SUBSTITUTE($Z650,W$1&amp;" (2)",""))&lt;lenb($Z650),2,IF(lenb(SUBSTITUTE($Z650,W$1&amp;" (3)",""))&lt;lenb($Z650),3,IF(lenb(SUBSTITUTE($Z650,W$1&amp;" (4)",""))&lt;lenb($Z650),4,IF(lenb(SUBSTITUTE($Z650,W$1&amp;" (5)",""))&lt;lenb($Z650),5,IF(lenb(SUBSTITUTE($Z650,W$1&amp;" (6)",""))&lt;lenb($Z650),6,IF(lenb(SUBSTITUTE($Z650,W$1&amp;" (7)",""))&lt;lenb($Z650),1,IF(lenb(SUBSTITUTE($Z650,W$1&amp;" (8)",""))&lt;lenb($Z650),8,IF(lenb(SUBSTITUTE($Z650,W$1&amp;" (9)",""))&lt;lenb($Z650),9,IF(lenb(SUBSTITUTE($Z650,W$1&amp;" (10)",""))&lt;lenb($Z650),10,IF(lenb(SUBSTITUTE($Z650,W$1,""))&lt;lenb($Z650),"ERROR",IF($Z650=$Y$1,"-",0))))))))))))</f>
        <v>0</v>
      </c>
      <c r="X650" s="105">
        <f t="shared" si="655"/>
        <v>0</v>
      </c>
      <c r="Y650" s="105" t="str">
        <f t="shared" si="4"/>
        <v>-</v>
      </c>
      <c r="Z650" s="28" t="s">
        <v>3400</v>
      </c>
      <c r="AA650" s="34">
        <f t="shared" si="5"/>
        <v>1</v>
      </c>
      <c r="AB650" s="34">
        <f>COUNTIFS(Links!B:B,"FSE",Links!C:C,A650,Links!AD:AD,1)</f>
        <v>0</v>
      </c>
      <c r="AC650" s="106" t="s">
        <v>35</v>
      </c>
      <c r="AD650" s="107" t="s">
        <v>35</v>
      </c>
      <c r="AE650" s="104" t="s">
        <v>36</v>
      </c>
      <c r="AF650" s="37" t="s">
        <v>42</v>
      </c>
      <c r="AG650" s="37" t="s">
        <v>42</v>
      </c>
      <c r="AH650" s="37" t="s">
        <v>42</v>
      </c>
      <c r="AI650" s="105" t="str">
        <f t="shared" si="6"/>
        <v>----</v>
      </c>
      <c r="AJ650" s="108" t="str">
        <f t="shared" si="7"/>
        <v>Paper has link but no statement</v>
      </c>
      <c r="AK650" s="109" t="s">
        <v>3401</v>
      </c>
      <c r="AL650" s="110" t="s">
        <v>3402</v>
      </c>
      <c r="AM650" s="40" t="str">
        <f t="shared" si="8"/>
        <v>[FP0162]</v>
      </c>
    </row>
    <row r="651" ht="67.5" customHeight="1">
      <c r="A651" s="41">
        <v>163.0</v>
      </c>
      <c r="B651" s="42" t="s">
        <v>5117</v>
      </c>
      <c r="C651" s="43">
        <v>2022.0</v>
      </c>
      <c r="D651" s="111" t="s">
        <v>37</v>
      </c>
      <c r="E651" s="45" t="s">
        <v>37</v>
      </c>
      <c r="F651" s="45" t="s">
        <v>35</v>
      </c>
      <c r="G651" s="45" t="s">
        <v>37</v>
      </c>
      <c r="H651" s="45" t="s">
        <v>35</v>
      </c>
      <c r="I651" s="45" t="s">
        <v>35</v>
      </c>
      <c r="J651" s="112" t="s">
        <v>36</v>
      </c>
      <c r="K651" s="113" t="s">
        <v>37</v>
      </c>
      <c r="L651" s="114" t="s">
        <v>35</v>
      </c>
      <c r="M651" s="114" t="s">
        <v>35</v>
      </c>
      <c r="N651" s="114" t="s">
        <v>37</v>
      </c>
      <c r="O651" s="114" t="s">
        <v>35</v>
      </c>
      <c r="P651" s="114" t="s">
        <v>35</v>
      </c>
      <c r="Q651" s="114" t="s">
        <v>35</v>
      </c>
      <c r="R651" s="114" t="s">
        <v>35</v>
      </c>
      <c r="S651" s="115" t="s">
        <v>42</v>
      </c>
      <c r="T651" s="50" t="s">
        <v>5118</v>
      </c>
      <c r="U651" s="50" t="s">
        <v>5118</v>
      </c>
      <c r="V651" s="116">
        <f t="shared" si="2"/>
        <v>1</v>
      </c>
      <c r="W651" s="116">
        <f t="shared" ref="W651:X651" si="656">IF(lenb(SUBSTITUTE($Z651,W$1&amp;" (1)",""))&lt;lenb($Z651),1,IF(lenb(SUBSTITUTE($Z651,W$1&amp;" (2)",""))&lt;lenb($Z651),2,IF(lenb(SUBSTITUTE($Z651,W$1&amp;" (3)",""))&lt;lenb($Z651),3,IF(lenb(SUBSTITUTE($Z651,W$1&amp;" (4)",""))&lt;lenb($Z651),4,IF(lenb(SUBSTITUTE($Z651,W$1&amp;" (5)",""))&lt;lenb($Z651),5,IF(lenb(SUBSTITUTE($Z651,W$1&amp;" (6)",""))&lt;lenb($Z651),6,IF(lenb(SUBSTITUTE($Z651,W$1&amp;" (7)",""))&lt;lenb($Z651),1,IF(lenb(SUBSTITUTE($Z651,W$1&amp;" (8)",""))&lt;lenb($Z651),8,IF(lenb(SUBSTITUTE($Z651,W$1&amp;" (9)",""))&lt;lenb($Z651),9,IF(lenb(SUBSTITUTE($Z651,W$1&amp;" (10)",""))&lt;lenb($Z651),10,IF(lenb(SUBSTITUTE($Z651,W$1,""))&lt;lenb($Z651),"ERROR",IF($Z651=$Y$1,"-",0))))))))))))</f>
        <v>0</v>
      </c>
      <c r="X651" s="116">
        <f t="shared" si="656"/>
        <v>0</v>
      </c>
      <c r="Y651" s="116" t="str">
        <f t="shared" si="4"/>
        <v>-</v>
      </c>
      <c r="Z651" s="48" t="s">
        <v>3400</v>
      </c>
      <c r="AA651" s="54">
        <f t="shared" si="5"/>
        <v>1</v>
      </c>
      <c r="AB651" s="54">
        <f>COUNTIFS(Links!B:B,"FSE",Links!C:C,A651,Links!AD:AD,1)</f>
        <v>0</v>
      </c>
      <c r="AC651" s="117" t="s">
        <v>35</v>
      </c>
      <c r="AD651" s="118" t="s">
        <v>35</v>
      </c>
      <c r="AE651" s="115" t="s">
        <v>36</v>
      </c>
      <c r="AF651" s="57" t="s">
        <v>42</v>
      </c>
      <c r="AG651" s="57" t="s">
        <v>42</v>
      </c>
      <c r="AH651" s="57" t="s">
        <v>42</v>
      </c>
      <c r="AI651" s="116" t="str">
        <f t="shared" si="6"/>
        <v>----</v>
      </c>
      <c r="AJ651" s="119" t="str">
        <f t="shared" si="7"/>
        <v>Paper has link but no statement</v>
      </c>
      <c r="AK651" s="120" t="s">
        <v>3401</v>
      </c>
      <c r="AL651" s="121" t="s">
        <v>3402</v>
      </c>
      <c r="AM651" s="60" t="str">
        <f t="shared" si="8"/>
        <v>[FP0163]</v>
      </c>
    </row>
    <row r="652" ht="67.5" customHeight="1">
      <c r="A652" s="61">
        <v>164.0</v>
      </c>
      <c r="B652" s="22" t="s">
        <v>5119</v>
      </c>
      <c r="C652" s="23">
        <v>2022.0</v>
      </c>
      <c r="D652" s="100" t="s">
        <v>35</v>
      </c>
      <c r="E652" s="25" t="s">
        <v>36</v>
      </c>
      <c r="F652" s="25" t="s">
        <v>36</v>
      </c>
      <c r="G652" s="25" t="s">
        <v>36</v>
      </c>
      <c r="H652" s="25" t="s">
        <v>36</v>
      </c>
      <c r="I652" s="25" t="s">
        <v>36</v>
      </c>
      <c r="J652" s="101" t="s">
        <v>36</v>
      </c>
      <c r="K652" s="102" t="s">
        <v>35</v>
      </c>
      <c r="L652" s="103" t="s">
        <v>36</v>
      </c>
      <c r="M652" s="103" t="s">
        <v>36</v>
      </c>
      <c r="N652" s="103" t="s">
        <v>36</v>
      </c>
      <c r="O652" s="103" t="s">
        <v>36</v>
      </c>
      <c r="P652" s="103" t="s">
        <v>36</v>
      </c>
      <c r="Q652" s="103" t="s">
        <v>36</v>
      </c>
      <c r="R652" s="103" t="s">
        <v>36</v>
      </c>
      <c r="S652" s="104" t="s">
        <v>42</v>
      </c>
      <c r="T652" s="30" t="s">
        <v>36</v>
      </c>
      <c r="U652" s="30" t="s">
        <v>36</v>
      </c>
      <c r="V652" s="105" t="str">
        <f t="shared" si="2"/>
        <v>-</v>
      </c>
      <c r="W652" s="105" t="str">
        <f t="shared" ref="W652:X652" si="657">IF(lenb(SUBSTITUTE($Z652,W$1&amp;" (1)",""))&lt;lenb($Z652),1,IF(lenb(SUBSTITUTE($Z652,W$1&amp;" (2)",""))&lt;lenb($Z652),2,IF(lenb(SUBSTITUTE($Z652,W$1&amp;" (3)",""))&lt;lenb($Z652),3,IF(lenb(SUBSTITUTE($Z652,W$1&amp;" (4)",""))&lt;lenb($Z652),4,IF(lenb(SUBSTITUTE($Z652,W$1&amp;" (5)",""))&lt;lenb($Z652),5,IF(lenb(SUBSTITUTE($Z652,W$1&amp;" (6)",""))&lt;lenb($Z652),6,IF(lenb(SUBSTITUTE($Z652,W$1&amp;" (7)",""))&lt;lenb($Z652),1,IF(lenb(SUBSTITUTE($Z652,W$1&amp;" (8)",""))&lt;lenb($Z652),8,IF(lenb(SUBSTITUTE($Z652,W$1&amp;" (9)",""))&lt;lenb($Z652),9,IF(lenb(SUBSTITUTE($Z652,W$1&amp;" (10)",""))&lt;lenb($Z652),10,IF(lenb(SUBSTITUTE($Z652,W$1,""))&lt;lenb($Z652),"ERROR",IF($Z652=$Y$1,"-",0))))))))))))</f>
        <v>-</v>
      </c>
      <c r="X652" s="105" t="str">
        <f t="shared" si="657"/>
        <v>-</v>
      </c>
      <c r="Y652" s="105">
        <f t="shared" si="4"/>
        <v>1</v>
      </c>
      <c r="Z652" s="104" t="s">
        <v>23</v>
      </c>
      <c r="AA652" s="34">
        <f t="shared" si="5"/>
        <v>0</v>
      </c>
      <c r="AB652" s="34">
        <f>COUNTIFS(Links!B:B,"FSE",Links!C:C,A652,Links!AD:AD,1)</f>
        <v>0</v>
      </c>
      <c r="AC652" s="106" t="s">
        <v>36</v>
      </c>
      <c r="AD652" s="107" t="s">
        <v>35</v>
      </c>
      <c r="AE652" s="104" t="s">
        <v>36</v>
      </c>
      <c r="AF652" s="37" t="s">
        <v>42</v>
      </c>
      <c r="AG652" s="37" t="s">
        <v>42</v>
      </c>
      <c r="AH652" s="37" t="s">
        <v>42</v>
      </c>
      <c r="AI652" s="105" t="str">
        <f t="shared" si="6"/>
        <v>----</v>
      </c>
      <c r="AJ652" s="108" t="str">
        <f t="shared" si="7"/>
        <v>Paper has no link and no statement</v>
      </c>
      <c r="AK652" s="109" t="s">
        <v>3401</v>
      </c>
      <c r="AL652" s="110" t="s">
        <v>3402</v>
      </c>
      <c r="AM652" s="40" t="str">
        <f t="shared" si="8"/>
        <v>[FP0164]</v>
      </c>
    </row>
    <row r="653" ht="67.5" customHeight="1">
      <c r="A653" s="41">
        <v>165.0</v>
      </c>
      <c r="B653" s="42" t="s">
        <v>5120</v>
      </c>
      <c r="C653" s="43">
        <v>2022.0</v>
      </c>
      <c r="D653" s="111" t="s">
        <v>35</v>
      </c>
      <c r="E653" s="45" t="s">
        <v>36</v>
      </c>
      <c r="F653" s="45" t="s">
        <v>36</v>
      </c>
      <c r="G653" s="45" t="s">
        <v>36</v>
      </c>
      <c r="H653" s="45" t="s">
        <v>36</v>
      </c>
      <c r="I653" s="45" t="s">
        <v>36</v>
      </c>
      <c r="J653" s="112" t="s">
        <v>36</v>
      </c>
      <c r="K653" s="113" t="s">
        <v>35</v>
      </c>
      <c r="L653" s="114" t="s">
        <v>36</v>
      </c>
      <c r="M653" s="114" t="s">
        <v>36</v>
      </c>
      <c r="N653" s="114" t="s">
        <v>36</v>
      </c>
      <c r="O653" s="114" t="s">
        <v>36</v>
      </c>
      <c r="P653" s="114" t="s">
        <v>36</v>
      </c>
      <c r="Q653" s="114" t="s">
        <v>36</v>
      </c>
      <c r="R653" s="114" t="s">
        <v>36</v>
      </c>
      <c r="S653" s="115" t="s">
        <v>42</v>
      </c>
      <c r="T653" s="50" t="s">
        <v>36</v>
      </c>
      <c r="U653" s="50" t="s">
        <v>36</v>
      </c>
      <c r="V653" s="116" t="str">
        <f t="shared" si="2"/>
        <v>-</v>
      </c>
      <c r="W653" s="116" t="str">
        <f t="shared" ref="W653:X653" si="658">IF(lenb(SUBSTITUTE($Z653,W$1&amp;" (1)",""))&lt;lenb($Z653),1,IF(lenb(SUBSTITUTE($Z653,W$1&amp;" (2)",""))&lt;lenb($Z653),2,IF(lenb(SUBSTITUTE($Z653,W$1&amp;" (3)",""))&lt;lenb($Z653),3,IF(lenb(SUBSTITUTE($Z653,W$1&amp;" (4)",""))&lt;lenb($Z653),4,IF(lenb(SUBSTITUTE($Z653,W$1&amp;" (5)",""))&lt;lenb($Z653),5,IF(lenb(SUBSTITUTE($Z653,W$1&amp;" (6)",""))&lt;lenb($Z653),6,IF(lenb(SUBSTITUTE($Z653,W$1&amp;" (7)",""))&lt;lenb($Z653),1,IF(lenb(SUBSTITUTE($Z653,W$1&amp;" (8)",""))&lt;lenb($Z653),8,IF(lenb(SUBSTITUTE($Z653,W$1&amp;" (9)",""))&lt;lenb($Z653),9,IF(lenb(SUBSTITUTE($Z653,W$1&amp;" (10)",""))&lt;lenb($Z653),10,IF(lenb(SUBSTITUTE($Z653,W$1,""))&lt;lenb($Z653),"ERROR",IF($Z653=$Y$1,"-",0))))))))))))</f>
        <v>-</v>
      </c>
      <c r="X653" s="116" t="str">
        <f t="shared" si="658"/>
        <v>-</v>
      </c>
      <c r="Y653" s="116">
        <f t="shared" si="4"/>
        <v>1</v>
      </c>
      <c r="Z653" s="115" t="s">
        <v>23</v>
      </c>
      <c r="AA653" s="54">
        <f t="shared" si="5"/>
        <v>0</v>
      </c>
      <c r="AB653" s="54">
        <f>COUNTIFS(Links!B:B,"FSE",Links!C:C,A653,Links!AD:AD,1)</f>
        <v>0</v>
      </c>
      <c r="AC653" s="117" t="s">
        <v>36</v>
      </c>
      <c r="AD653" s="118" t="s">
        <v>35</v>
      </c>
      <c r="AE653" s="115" t="s">
        <v>36</v>
      </c>
      <c r="AF653" s="57" t="s">
        <v>42</v>
      </c>
      <c r="AG653" s="57" t="s">
        <v>42</v>
      </c>
      <c r="AH653" s="57" t="s">
        <v>42</v>
      </c>
      <c r="AI653" s="116" t="str">
        <f t="shared" si="6"/>
        <v>----</v>
      </c>
      <c r="AJ653" s="119" t="str">
        <f t="shared" si="7"/>
        <v>Paper has no link and no statement</v>
      </c>
      <c r="AK653" s="120" t="s">
        <v>3401</v>
      </c>
      <c r="AL653" s="121" t="s">
        <v>3402</v>
      </c>
      <c r="AM653" s="60" t="str">
        <f t="shared" si="8"/>
        <v>[FP0165]</v>
      </c>
    </row>
    <row r="654" ht="67.5" customHeight="1">
      <c r="A654" s="61">
        <v>166.0</v>
      </c>
      <c r="B654" s="22" t="s">
        <v>5121</v>
      </c>
      <c r="C654" s="23">
        <v>2022.0</v>
      </c>
      <c r="D654" s="100" t="s">
        <v>37</v>
      </c>
      <c r="E654" s="25" t="s">
        <v>37</v>
      </c>
      <c r="F654" s="25" t="s">
        <v>35</v>
      </c>
      <c r="G654" s="25" t="s">
        <v>37</v>
      </c>
      <c r="H654" s="25" t="s">
        <v>35</v>
      </c>
      <c r="I654" s="25" t="s">
        <v>35</v>
      </c>
      <c r="J654" s="101" t="s">
        <v>36</v>
      </c>
      <c r="K654" s="102" t="s">
        <v>37</v>
      </c>
      <c r="L654" s="103" t="s">
        <v>35</v>
      </c>
      <c r="M654" s="103" t="s">
        <v>37</v>
      </c>
      <c r="N654" s="103" t="s">
        <v>35</v>
      </c>
      <c r="O654" s="103" t="s">
        <v>35</v>
      </c>
      <c r="P654" s="103" t="s">
        <v>35</v>
      </c>
      <c r="Q654" s="103" t="s">
        <v>37</v>
      </c>
      <c r="R654" s="103" t="s">
        <v>37</v>
      </c>
      <c r="S654" s="104" t="s">
        <v>5103</v>
      </c>
      <c r="T654" s="30" t="s">
        <v>5122</v>
      </c>
      <c r="U654" s="30" t="s">
        <v>5123</v>
      </c>
      <c r="V654" s="105">
        <f t="shared" si="2"/>
        <v>2</v>
      </c>
      <c r="W654" s="105">
        <f t="shared" ref="W654:X654" si="659">IF(lenb(SUBSTITUTE($Z654,W$1&amp;" (1)",""))&lt;lenb($Z654),1,IF(lenb(SUBSTITUTE($Z654,W$1&amp;" (2)",""))&lt;lenb($Z654),2,IF(lenb(SUBSTITUTE($Z654,W$1&amp;" (3)",""))&lt;lenb($Z654),3,IF(lenb(SUBSTITUTE($Z654,W$1&amp;" (4)",""))&lt;lenb($Z654),4,IF(lenb(SUBSTITUTE($Z654,W$1&amp;" (5)",""))&lt;lenb($Z654),5,IF(lenb(SUBSTITUTE($Z654,W$1&amp;" (6)",""))&lt;lenb($Z654),6,IF(lenb(SUBSTITUTE($Z654,W$1&amp;" (7)",""))&lt;lenb($Z654),1,IF(lenb(SUBSTITUTE($Z654,W$1&amp;" (8)",""))&lt;lenb($Z654),8,IF(lenb(SUBSTITUTE($Z654,W$1&amp;" (9)",""))&lt;lenb($Z654),9,IF(lenb(SUBSTITUTE($Z654,W$1&amp;" (10)",""))&lt;lenb($Z654),10,IF(lenb(SUBSTITUTE($Z654,W$1,""))&lt;lenb($Z654),"ERROR",IF($Z654=$Y$1,"-",0))))))))))))</f>
        <v>0</v>
      </c>
      <c r="X654" s="105">
        <f t="shared" si="659"/>
        <v>0</v>
      </c>
      <c r="Y654" s="105" t="str">
        <f t="shared" si="4"/>
        <v>-</v>
      </c>
      <c r="Z654" s="104" t="s">
        <v>3452</v>
      </c>
      <c r="AA654" s="34">
        <f t="shared" si="5"/>
        <v>2</v>
      </c>
      <c r="AB654" s="34">
        <f>COUNTIFS(Links!B:B,"FSE",Links!C:C,A654,Links!AD:AD,1)</f>
        <v>0</v>
      </c>
      <c r="AC654" s="106" t="s">
        <v>37</v>
      </c>
      <c r="AD654" s="107" t="s">
        <v>35</v>
      </c>
      <c r="AE654" s="104" t="s">
        <v>36</v>
      </c>
      <c r="AF654" s="37" t="s">
        <v>42</v>
      </c>
      <c r="AG654" s="37" t="s">
        <v>42</v>
      </c>
      <c r="AH654" s="37" t="s">
        <v>42</v>
      </c>
      <c r="AI654" s="105" t="str">
        <f t="shared" si="6"/>
        <v>----</v>
      </c>
      <c r="AJ654" s="108" t="str">
        <f t="shared" si="7"/>
        <v>Paper has link but no statement</v>
      </c>
      <c r="AK654" s="109" t="s">
        <v>3401</v>
      </c>
      <c r="AL654" s="110" t="s">
        <v>3402</v>
      </c>
      <c r="AM654" s="40" t="str">
        <f t="shared" si="8"/>
        <v>[FP0166]</v>
      </c>
    </row>
    <row r="655" ht="67.5" customHeight="1">
      <c r="A655" s="41">
        <v>167.0</v>
      </c>
      <c r="B655" s="42" t="s">
        <v>5124</v>
      </c>
      <c r="C655" s="43">
        <v>2022.0</v>
      </c>
      <c r="D655" s="111" t="s">
        <v>35</v>
      </c>
      <c r="E655" s="45" t="s">
        <v>36</v>
      </c>
      <c r="F655" s="45" t="s">
        <v>36</v>
      </c>
      <c r="G655" s="45" t="s">
        <v>36</v>
      </c>
      <c r="H655" s="45" t="s">
        <v>36</v>
      </c>
      <c r="I655" s="45" t="s">
        <v>36</v>
      </c>
      <c r="J655" s="112" t="s">
        <v>36</v>
      </c>
      <c r="K655" s="113" t="s">
        <v>37</v>
      </c>
      <c r="L655" s="114" t="s">
        <v>37</v>
      </c>
      <c r="M655" s="114" t="s">
        <v>35</v>
      </c>
      <c r="N655" s="114" t="s">
        <v>37</v>
      </c>
      <c r="O655" s="114" t="s">
        <v>35</v>
      </c>
      <c r="P655" s="114" t="s">
        <v>35</v>
      </c>
      <c r="Q655" s="114" t="s">
        <v>35</v>
      </c>
      <c r="R655" s="114" t="s">
        <v>37</v>
      </c>
      <c r="S655" s="115" t="s">
        <v>42</v>
      </c>
      <c r="T655" s="50" t="s">
        <v>5125</v>
      </c>
      <c r="U655" s="50" t="s">
        <v>5125</v>
      </c>
      <c r="V655" s="116">
        <f t="shared" si="2"/>
        <v>1</v>
      </c>
      <c r="W655" s="116">
        <f t="shared" ref="W655:X655" si="660">IF(lenb(SUBSTITUTE($Z655,W$1&amp;" (1)",""))&lt;lenb($Z655),1,IF(lenb(SUBSTITUTE($Z655,W$1&amp;" (2)",""))&lt;lenb($Z655),2,IF(lenb(SUBSTITUTE($Z655,W$1&amp;" (3)",""))&lt;lenb($Z655),3,IF(lenb(SUBSTITUTE($Z655,W$1&amp;" (4)",""))&lt;lenb($Z655),4,IF(lenb(SUBSTITUTE($Z655,W$1&amp;" (5)",""))&lt;lenb($Z655),5,IF(lenb(SUBSTITUTE($Z655,W$1&amp;" (6)",""))&lt;lenb($Z655),6,IF(lenb(SUBSTITUTE($Z655,W$1&amp;" (7)",""))&lt;lenb($Z655),1,IF(lenb(SUBSTITUTE($Z655,W$1&amp;" (8)",""))&lt;lenb($Z655),8,IF(lenb(SUBSTITUTE($Z655,W$1&amp;" (9)",""))&lt;lenb($Z655),9,IF(lenb(SUBSTITUTE($Z655,W$1&amp;" (10)",""))&lt;lenb($Z655),10,IF(lenb(SUBSTITUTE($Z655,W$1,""))&lt;lenb($Z655),"ERROR",IF($Z655=$Y$1,"-",0))))))))))))</f>
        <v>0</v>
      </c>
      <c r="X655" s="116">
        <f t="shared" si="660"/>
        <v>0</v>
      </c>
      <c r="Y655" s="116" t="str">
        <f t="shared" si="4"/>
        <v>-</v>
      </c>
      <c r="Z655" s="48" t="s">
        <v>3400</v>
      </c>
      <c r="AA655" s="54">
        <f t="shared" si="5"/>
        <v>1</v>
      </c>
      <c r="AB655" s="54">
        <f>COUNTIFS(Links!B:B,"FSE",Links!C:C,A655,Links!AD:AD,1)</f>
        <v>0</v>
      </c>
      <c r="AC655" s="117" t="s">
        <v>37</v>
      </c>
      <c r="AD655" s="118" t="s">
        <v>35</v>
      </c>
      <c r="AE655" s="115" t="s">
        <v>36</v>
      </c>
      <c r="AF655" s="57" t="s">
        <v>42</v>
      </c>
      <c r="AG655" s="57" t="s">
        <v>42</v>
      </c>
      <c r="AH655" s="57" t="s">
        <v>42</v>
      </c>
      <c r="AI655" s="116" t="str">
        <f t="shared" si="6"/>
        <v>----</v>
      </c>
      <c r="AJ655" s="119" t="str">
        <f t="shared" si="7"/>
        <v>Paper has link but no statement</v>
      </c>
      <c r="AK655" s="120" t="s">
        <v>3401</v>
      </c>
      <c r="AL655" s="121" t="s">
        <v>3402</v>
      </c>
      <c r="AM655" s="60" t="str">
        <f t="shared" si="8"/>
        <v>[FP0167]</v>
      </c>
    </row>
    <row r="656" ht="67.5" customHeight="1">
      <c r="A656" s="61">
        <v>168.0</v>
      </c>
      <c r="B656" s="22" t="s">
        <v>5126</v>
      </c>
      <c r="C656" s="23">
        <v>2022.0</v>
      </c>
      <c r="D656" s="100" t="s">
        <v>35</v>
      </c>
      <c r="E656" s="25" t="s">
        <v>36</v>
      </c>
      <c r="F656" s="25" t="s">
        <v>36</v>
      </c>
      <c r="G656" s="25" t="s">
        <v>36</v>
      </c>
      <c r="H656" s="25" t="s">
        <v>36</v>
      </c>
      <c r="I656" s="25" t="s">
        <v>36</v>
      </c>
      <c r="J656" s="101" t="s">
        <v>36</v>
      </c>
      <c r="K656" s="102" t="s">
        <v>37</v>
      </c>
      <c r="L656" s="103" t="s">
        <v>35</v>
      </c>
      <c r="M656" s="103" t="s">
        <v>35</v>
      </c>
      <c r="N656" s="103" t="s">
        <v>37</v>
      </c>
      <c r="O656" s="103" t="s">
        <v>35</v>
      </c>
      <c r="P656" s="103" t="s">
        <v>37</v>
      </c>
      <c r="Q656" s="103" t="s">
        <v>35</v>
      </c>
      <c r="R656" s="103" t="s">
        <v>35</v>
      </c>
      <c r="S656" s="104" t="s">
        <v>5127</v>
      </c>
      <c r="T656" s="30" t="s">
        <v>5128</v>
      </c>
      <c r="U656" s="30" t="s">
        <v>5128</v>
      </c>
      <c r="V656" s="105">
        <f t="shared" si="2"/>
        <v>1</v>
      </c>
      <c r="W656" s="105">
        <f t="shared" ref="W656:X656" si="661">IF(lenb(SUBSTITUTE($Z656,W$1&amp;" (1)",""))&lt;lenb($Z656),1,IF(lenb(SUBSTITUTE($Z656,W$1&amp;" (2)",""))&lt;lenb($Z656),2,IF(lenb(SUBSTITUTE($Z656,W$1&amp;" (3)",""))&lt;lenb($Z656),3,IF(lenb(SUBSTITUTE($Z656,W$1&amp;" (4)",""))&lt;lenb($Z656),4,IF(lenb(SUBSTITUTE($Z656,W$1&amp;" (5)",""))&lt;lenb($Z656),5,IF(lenb(SUBSTITUTE($Z656,W$1&amp;" (6)",""))&lt;lenb($Z656),6,IF(lenb(SUBSTITUTE($Z656,W$1&amp;" (7)",""))&lt;lenb($Z656),1,IF(lenb(SUBSTITUTE($Z656,W$1&amp;" (8)",""))&lt;lenb($Z656),8,IF(lenb(SUBSTITUTE($Z656,W$1&amp;" (9)",""))&lt;lenb($Z656),9,IF(lenb(SUBSTITUTE($Z656,W$1&amp;" (10)",""))&lt;lenb($Z656),10,IF(lenb(SUBSTITUTE($Z656,W$1,""))&lt;lenb($Z656),"ERROR",IF($Z656=$Y$1,"-",0))))))))))))</f>
        <v>0</v>
      </c>
      <c r="X656" s="105">
        <f t="shared" si="661"/>
        <v>0</v>
      </c>
      <c r="Y656" s="105" t="str">
        <f t="shared" si="4"/>
        <v>-</v>
      </c>
      <c r="Z656" s="28" t="s">
        <v>3400</v>
      </c>
      <c r="AA656" s="34">
        <f t="shared" si="5"/>
        <v>1</v>
      </c>
      <c r="AB656" s="34">
        <f>COUNTIFS(Links!B:B,"FSE",Links!C:C,A656,Links!AD:AD,1)</f>
        <v>0</v>
      </c>
      <c r="AC656" s="106" t="s">
        <v>35</v>
      </c>
      <c r="AD656" s="107" t="s">
        <v>35</v>
      </c>
      <c r="AE656" s="104" t="s">
        <v>36</v>
      </c>
      <c r="AF656" s="37" t="s">
        <v>42</v>
      </c>
      <c r="AG656" s="37" t="s">
        <v>42</v>
      </c>
      <c r="AH656" s="37" t="s">
        <v>42</v>
      </c>
      <c r="AI656" s="105" t="str">
        <f t="shared" si="6"/>
        <v>----</v>
      </c>
      <c r="AJ656" s="108" t="str">
        <f t="shared" si="7"/>
        <v>Paper has link but no statement</v>
      </c>
      <c r="AK656" s="109" t="s">
        <v>3401</v>
      </c>
      <c r="AL656" s="110" t="s">
        <v>3402</v>
      </c>
      <c r="AM656" s="40" t="str">
        <f t="shared" si="8"/>
        <v>[FP0168]</v>
      </c>
    </row>
    <row r="657" ht="67.5" customHeight="1">
      <c r="A657" s="41">
        <v>169.0</v>
      </c>
      <c r="B657" s="42" t="s">
        <v>5129</v>
      </c>
      <c r="C657" s="43">
        <v>2022.0</v>
      </c>
      <c r="D657" s="111" t="s">
        <v>37</v>
      </c>
      <c r="E657" s="45" t="s">
        <v>37</v>
      </c>
      <c r="F657" s="45" t="s">
        <v>37</v>
      </c>
      <c r="G657" s="45" t="s">
        <v>35</v>
      </c>
      <c r="H657" s="45" t="s">
        <v>35</v>
      </c>
      <c r="I657" s="45" t="s">
        <v>35</v>
      </c>
      <c r="J657" s="112" t="s">
        <v>36</v>
      </c>
      <c r="K657" s="113" t="s">
        <v>37</v>
      </c>
      <c r="L657" s="114" t="s">
        <v>35</v>
      </c>
      <c r="M657" s="114" t="s">
        <v>37</v>
      </c>
      <c r="N657" s="114" t="s">
        <v>35</v>
      </c>
      <c r="O657" s="114" t="s">
        <v>37</v>
      </c>
      <c r="P657" s="114" t="s">
        <v>37</v>
      </c>
      <c r="Q657" s="114" t="s">
        <v>35</v>
      </c>
      <c r="R657" s="114" t="s">
        <v>35</v>
      </c>
      <c r="S657" s="115" t="s">
        <v>5130</v>
      </c>
      <c r="T657" s="50" t="s">
        <v>5131</v>
      </c>
      <c r="U657" s="50" t="s">
        <v>5132</v>
      </c>
      <c r="V657" s="116">
        <f t="shared" si="2"/>
        <v>2</v>
      </c>
      <c r="W657" s="116">
        <f t="shared" ref="W657:X657" si="662">IF(lenb(SUBSTITUTE($Z657,W$1&amp;" (1)",""))&lt;lenb($Z657),1,IF(lenb(SUBSTITUTE($Z657,W$1&amp;" (2)",""))&lt;lenb($Z657),2,IF(lenb(SUBSTITUTE($Z657,W$1&amp;" (3)",""))&lt;lenb($Z657),3,IF(lenb(SUBSTITUTE($Z657,W$1&amp;" (4)",""))&lt;lenb($Z657),4,IF(lenb(SUBSTITUTE($Z657,W$1&amp;" (5)",""))&lt;lenb($Z657),5,IF(lenb(SUBSTITUTE($Z657,W$1&amp;" (6)",""))&lt;lenb($Z657),6,IF(lenb(SUBSTITUTE($Z657,W$1&amp;" (7)",""))&lt;lenb($Z657),1,IF(lenb(SUBSTITUTE($Z657,W$1&amp;" (8)",""))&lt;lenb($Z657),8,IF(lenb(SUBSTITUTE($Z657,W$1&amp;" (9)",""))&lt;lenb($Z657),9,IF(lenb(SUBSTITUTE($Z657,W$1&amp;" (10)",""))&lt;lenb($Z657),10,IF(lenb(SUBSTITUTE($Z657,W$1,""))&lt;lenb($Z657),"ERROR",IF($Z657=$Y$1,"-",0))))))))))))</f>
        <v>0</v>
      </c>
      <c r="X657" s="116">
        <f t="shared" si="662"/>
        <v>0</v>
      </c>
      <c r="Y657" s="116" t="str">
        <f t="shared" si="4"/>
        <v>-</v>
      </c>
      <c r="Z657" s="48" t="s">
        <v>3452</v>
      </c>
      <c r="AA657" s="54">
        <f t="shared" si="5"/>
        <v>2</v>
      </c>
      <c r="AB657" s="54">
        <f>COUNTIFS(Links!B:B,"FSE",Links!C:C,A657,Links!AD:AD,1)</f>
        <v>0</v>
      </c>
      <c r="AC657" s="117" t="s">
        <v>37</v>
      </c>
      <c r="AD657" s="118" t="s">
        <v>35</v>
      </c>
      <c r="AE657" s="115" t="s">
        <v>36</v>
      </c>
      <c r="AF657" s="57" t="s">
        <v>42</v>
      </c>
      <c r="AG657" s="57" t="s">
        <v>42</v>
      </c>
      <c r="AH657" s="57" t="s">
        <v>42</v>
      </c>
      <c r="AI657" s="116" t="str">
        <f t="shared" si="6"/>
        <v>----</v>
      </c>
      <c r="AJ657" s="119" t="str">
        <f t="shared" si="7"/>
        <v>Paper has link but no statement</v>
      </c>
      <c r="AK657" s="120" t="s">
        <v>3401</v>
      </c>
      <c r="AL657" s="121" t="s">
        <v>3402</v>
      </c>
      <c r="AM657" s="60" t="str">
        <f t="shared" si="8"/>
        <v>[FP0169]</v>
      </c>
    </row>
    <row r="658" ht="67.5" customHeight="1">
      <c r="A658" s="61">
        <v>170.0</v>
      </c>
      <c r="B658" s="22" t="s">
        <v>5133</v>
      </c>
      <c r="C658" s="23">
        <v>2022.0</v>
      </c>
      <c r="D658" s="100" t="s">
        <v>35</v>
      </c>
      <c r="E658" s="25" t="s">
        <v>36</v>
      </c>
      <c r="F658" s="25" t="s">
        <v>36</v>
      </c>
      <c r="G658" s="25" t="s">
        <v>36</v>
      </c>
      <c r="H658" s="25" t="s">
        <v>36</v>
      </c>
      <c r="I658" s="25" t="s">
        <v>36</v>
      </c>
      <c r="J658" s="101" t="s">
        <v>36</v>
      </c>
      <c r="K658" s="102" t="s">
        <v>37</v>
      </c>
      <c r="L658" s="133" t="s">
        <v>37</v>
      </c>
      <c r="M658" s="103" t="s">
        <v>35</v>
      </c>
      <c r="N658" s="133" t="s">
        <v>37</v>
      </c>
      <c r="O658" s="103" t="s">
        <v>35</v>
      </c>
      <c r="P658" s="103" t="s">
        <v>35</v>
      </c>
      <c r="Q658" s="103" t="s">
        <v>35</v>
      </c>
      <c r="R658" s="103" t="s">
        <v>35</v>
      </c>
      <c r="S658" s="104" t="s">
        <v>5134</v>
      </c>
      <c r="T658" s="30" t="s">
        <v>5135</v>
      </c>
      <c r="U658" s="30" t="s">
        <v>5135</v>
      </c>
      <c r="V658" s="105">
        <f t="shared" si="2"/>
        <v>1</v>
      </c>
      <c r="W658" s="105">
        <f t="shared" ref="W658:X658" si="663">IF(lenb(SUBSTITUTE($Z658,W$1&amp;" (1)",""))&lt;lenb($Z658),1,IF(lenb(SUBSTITUTE($Z658,W$1&amp;" (2)",""))&lt;lenb($Z658),2,IF(lenb(SUBSTITUTE($Z658,W$1&amp;" (3)",""))&lt;lenb($Z658),3,IF(lenb(SUBSTITUTE($Z658,W$1&amp;" (4)",""))&lt;lenb($Z658),4,IF(lenb(SUBSTITUTE($Z658,W$1&amp;" (5)",""))&lt;lenb($Z658),5,IF(lenb(SUBSTITUTE($Z658,W$1&amp;" (6)",""))&lt;lenb($Z658),6,IF(lenb(SUBSTITUTE($Z658,W$1&amp;" (7)",""))&lt;lenb($Z658),1,IF(lenb(SUBSTITUTE($Z658,W$1&amp;" (8)",""))&lt;lenb($Z658),8,IF(lenb(SUBSTITUTE($Z658,W$1&amp;" (9)",""))&lt;lenb($Z658),9,IF(lenb(SUBSTITUTE($Z658,W$1&amp;" (10)",""))&lt;lenb($Z658),10,IF(lenb(SUBSTITUTE($Z658,W$1,""))&lt;lenb($Z658),"ERROR",IF($Z658=$Y$1,"-",0))))))))))))</f>
        <v>0</v>
      </c>
      <c r="X658" s="105">
        <f t="shared" si="663"/>
        <v>0</v>
      </c>
      <c r="Y658" s="105" t="str">
        <f t="shared" si="4"/>
        <v>-</v>
      </c>
      <c r="Z658" s="28" t="s">
        <v>3400</v>
      </c>
      <c r="AA658" s="34">
        <f t="shared" si="5"/>
        <v>1</v>
      </c>
      <c r="AB658" s="34">
        <f>COUNTIFS(Links!B:B,"FSE",Links!C:C,A658,Links!AD:AD,1)</f>
        <v>0</v>
      </c>
      <c r="AC658" s="106" t="s">
        <v>35</v>
      </c>
      <c r="AD658" s="107" t="s">
        <v>35</v>
      </c>
      <c r="AE658" s="104" t="s">
        <v>36</v>
      </c>
      <c r="AF658" s="37" t="s">
        <v>42</v>
      </c>
      <c r="AG658" s="37" t="s">
        <v>42</v>
      </c>
      <c r="AH658" s="37" t="s">
        <v>42</v>
      </c>
      <c r="AI658" s="105" t="str">
        <f t="shared" si="6"/>
        <v>----</v>
      </c>
      <c r="AJ658" s="108" t="str">
        <f t="shared" si="7"/>
        <v>Paper has link but no statement</v>
      </c>
      <c r="AK658" s="109" t="s">
        <v>3401</v>
      </c>
      <c r="AL658" s="110" t="s">
        <v>3402</v>
      </c>
      <c r="AM658" s="40" t="str">
        <f t="shared" si="8"/>
        <v>[FP0170]</v>
      </c>
    </row>
    <row r="659" ht="67.5" customHeight="1">
      <c r="A659" s="41">
        <v>171.0</v>
      </c>
      <c r="B659" s="42" t="s">
        <v>5136</v>
      </c>
      <c r="C659" s="43">
        <v>2022.0</v>
      </c>
      <c r="D659" s="111" t="s">
        <v>37</v>
      </c>
      <c r="E659" s="45" t="s">
        <v>37</v>
      </c>
      <c r="F659" s="45" t="s">
        <v>35</v>
      </c>
      <c r="G659" s="45" t="s">
        <v>35</v>
      </c>
      <c r="H659" s="45" t="s">
        <v>35</v>
      </c>
      <c r="I659" s="45" t="s">
        <v>35</v>
      </c>
      <c r="J659" s="112" t="s">
        <v>36</v>
      </c>
      <c r="K659" s="113" t="s">
        <v>37</v>
      </c>
      <c r="L659" s="131" t="s">
        <v>37</v>
      </c>
      <c r="M659" s="131" t="s">
        <v>37</v>
      </c>
      <c r="N659" s="114" t="s">
        <v>35</v>
      </c>
      <c r="O659" s="114" t="s">
        <v>35</v>
      </c>
      <c r="P659" s="114" t="s">
        <v>35</v>
      </c>
      <c r="Q659" s="131" t="s">
        <v>37</v>
      </c>
      <c r="R659" s="131" t="s">
        <v>37</v>
      </c>
      <c r="S659" s="115" t="s">
        <v>5137</v>
      </c>
      <c r="T659" s="50" t="s">
        <v>5138</v>
      </c>
      <c r="U659" s="50" t="s">
        <v>5138</v>
      </c>
      <c r="V659" s="116">
        <f t="shared" si="2"/>
        <v>1</v>
      </c>
      <c r="W659" s="116">
        <f t="shared" ref="W659:X659" si="664">IF(lenb(SUBSTITUTE($Z659,W$1&amp;" (1)",""))&lt;lenb($Z659),1,IF(lenb(SUBSTITUTE($Z659,W$1&amp;" (2)",""))&lt;lenb($Z659),2,IF(lenb(SUBSTITUTE($Z659,W$1&amp;" (3)",""))&lt;lenb($Z659),3,IF(lenb(SUBSTITUTE($Z659,W$1&amp;" (4)",""))&lt;lenb($Z659),4,IF(lenb(SUBSTITUTE($Z659,W$1&amp;" (5)",""))&lt;lenb($Z659),5,IF(lenb(SUBSTITUTE($Z659,W$1&amp;" (6)",""))&lt;lenb($Z659),6,IF(lenb(SUBSTITUTE($Z659,W$1&amp;" (7)",""))&lt;lenb($Z659),1,IF(lenb(SUBSTITUTE($Z659,W$1&amp;" (8)",""))&lt;lenb($Z659),8,IF(lenb(SUBSTITUTE($Z659,W$1&amp;" (9)",""))&lt;lenb($Z659),9,IF(lenb(SUBSTITUTE($Z659,W$1&amp;" (10)",""))&lt;lenb($Z659),10,IF(lenb(SUBSTITUTE($Z659,W$1,""))&lt;lenb($Z659),"ERROR",IF($Z659=$Y$1,"-",0))))))))))))</f>
        <v>0</v>
      </c>
      <c r="X659" s="116">
        <f t="shared" si="664"/>
        <v>0</v>
      </c>
      <c r="Y659" s="116" t="str">
        <f t="shared" si="4"/>
        <v>-</v>
      </c>
      <c r="Z659" s="48" t="s">
        <v>3400</v>
      </c>
      <c r="AA659" s="54">
        <f t="shared" si="5"/>
        <v>1</v>
      </c>
      <c r="AB659" s="54">
        <f>COUNTIFS(Links!B:B,"FSE",Links!C:C,A659,Links!AD:AD,1)</f>
        <v>0</v>
      </c>
      <c r="AC659" s="117" t="s">
        <v>37</v>
      </c>
      <c r="AD659" s="118" t="s">
        <v>35</v>
      </c>
      <c r="AE659" s="115" t="s">
        <v>36</v>
      </c>
      <c r="AF659" s="57" t="s">
        <v>42</v>
      </c>
      <c r="AG659" s="57" t="s">
        <v>42</v>
      </c>
      <c r="AH659" s="57" t="s">
        <v>42</v>
      </c>
      <c r="AI659" s="116" t="str">
        <f t="shared" si="6"/>
        <v>----</v>
      </c>
      <c r="AJ659" s="119" t="str">
        <f t="shared" si="7"/>
        <v>Paper has link but no statement</v>
      </c>
      <c r="AK659" s="120" t="s">
        <v>3401</v>
      </c>
      <c r="AL659" s="121" t="s">
        <v>3402</v>
      </c>
      <c r="AM659" s="60" t="str">
        <f t="shared" si="8"/>
        <v>[FP0171]</v>
      </c>
    </row>
    <row r="660" ht="67.5" customHeight="1">
      <c r="A660" s="61">
        <v>172.0</v>
      </c>
      <c r="B660" s="22" t="s">
        <v>5139</v>
      </c>
      <c r="C660" s="23">
        <v>2022.0</v>
      </c>
      <c r="D660" s="100" t="s">
        <v>35</v>
      </c>
      <c r="E660" s="25" t="s">
        <v>36</v>
      </c>
      <c r="F660" s="25" t="s">
        <v>36</v>
      </c>
      <c r="G660" s="25" t="s">
        <v>36</v>
      </c>
      <c r="H660" s="25" t="s">
        <v>36</v>
      </c>
      <c r="I660" s="25" t="s">
        <v>36</v>
      </c>
      <c r="J660" s="101" t="s">
        <v>36</v>
      </c>
      <c r="K660" s="102" t="s">
        <v>37</v>
      </c>
      <c r="L660" s="103" t="s">
        <v>37</v>
      </c>
      <c r="M660" s="103" t="s">
        <v>35</v>
      </c>
      <c r="N660" s="103" t="s">
        <v>35</v>
      </c>
      <c r="O660" s="103" t="s">
        <v>35</v>
      </c>
      <c r="P660" s="103" t="s">
        <v>35</v>
      </c>
      <c r="Q660" s="103" t="s">
        <v>35</v>
      </c>
      <c r="R660" s="103" t="s">
        <v>37</v>
      </c>
      <c r="S660" s="104" t="s">
        <v>5140</v>
      </c>
      <c r="T660" s="30" t="s">
        <v>5141</v>
      </c>
      <c r="U660" s="30" t="s">
        <v>5142</v>
      </c>
      <c r="V660" s="105">
        <f t="shared" si="2"/>
        <v>1</v>
      </c>
      <c r="W660" s="105">
        <f t="shared" ref="W660:X660" si="665">IF(lenb(SUBSTITUTE($Z660,W$1&amp;" (1)",""))&lt;lenb($Z660),1,IF(lenb(SUBSTITUTE($Z660,W$1&amp;" (2)",""))&lt;lenb($Z660),2,IF(lenb(SUBSTITUTE($Z660,W$1&amp;" (3)",""))&lt;lenb($Z660),3,IF(lenb(SUBSTITUTE($Z660,W$1&amp;" (4)",""))&lt;lenb($Z660),4,IF(lenb(SUBSTITUTE($Z660,W$1&amp;" (5)",""))&lt;lenb($Z660),5,IF(lenb(SUBSTITUTE($Z660,W$1&amp;" (6)",""))&lt;lenb($Z660),6,IF(lenb(SUBSTITUTE($Z660,W$1&amp;" (7)",""))&lt;lenb($Z660),1,IF(lenb(SUBSTITUTE($Z660,W$1&amp;" (8)",""))&lt;lenb($Z660),8,IF(lenb(SUBSTITUTE($Z660,W$1&amp;" (9)",""))&lt;lenb($Z660),9,IF(lenb(SUBSTITUTE($Z660,W$1&amp;" (10)",""))&lt;lenb($Z660),10,IF(lenb(SUBSTITUTE($Z660,W$1,""))&lt;lenb($Z660),"ERROR",IF($Z660=$Y$1,"-",0))))))))))))</f>
        <v>0</v>
      </c>
      <c r="X660" s="105">
        <f t="shared" si="665"/>
        <v>0</v>
      </c>
      <c r="Y660" s="105" t="str">
        <f t="shared" si="4"/>
        <v>-</v>
      </c>
      <c r="Z660" s="28" t="s">
        <v>3400</v>
      </c>
      <c r="AA660" s="34">
        <f t="shared" si="5"/>
        <v>1</v>
      </c>
      <c r="AB660" s="34">
        <f>COUNTIFS(Links!B:B,"FSE",Links!C:C,A660,Links!AD:AD,1)</f>
        <v>0</v>
      </c>
      <c r="AC660" s="106" t="s">
        <v>35</v>
      </c>
      <c r="AD660" s="107" t="s">
        <v>35</v>
      </c>
      <c r="AE660" s="104" t="s">
        <v>36</v>
      </c>
      <c r="AF660" s="37" t="s">
        <v>42</v>
      </c>
      <c r="AG660" s="37" t="s">
        <v>42</v>
      </c>
      <c r="AH660" s="37" t="s">
        <v>42</v>
      </c>
      <c r="AI660" s="105" t="str">
        <f t="shared" si="6"/>
        <v>----</v>
      </c>
      <c r="AJ660" s="108" t="str">
        <f t="shared" si="7"/>
        <v>Paper has link but no statement</v>
      </c>
      <c r="AK660" s="109" t="s">
        <v>3401</v>
      </c>
      <c r="AL660" s="110" t="s">
        <v>3402</v>
      </c>
      <c r="AM660" s="40" t="str">
        <f t="shared" si="8"/>
        <v>[FP0172]</v>
      </c>
    </row>
    <row r="661" ht="67.5" customHeight="1">
      <c r="A661" s="41">
        <v>173.0</v>
      </c>
      <c r="B661" s="42" t="s">
        <v>5143</v>
      </c>
      <c r="C661" s="43">
        <v>2022.0</v>
      </c>
      <c r="D661" s="111" t="s">
        <v>37</v>
      </c>
      <c r="E661" s="45" t="s">
        <v>37</v>
      </c>
      <c r="F661" s="45" t="s">
        <v>35</v>
      </c>
      <c r="G661" s="45" t="s">
        <v>35</v>
      </c>
      <c r="H661" s="45" t="s">
        <v>35</v>
      </c>
      <c r="I661" s="45" t="s">
        <v>35</v>
      </c>
      <c r="J661" s="112" t="s">
        <v>36</v>
      </c>
      <c r="K661" s="113" t="s">
        <v>37</v>
      </c>
      <c r="L661" s="114" t="s">
        <v>35</v>
      </c>
      <c r="M661" s="131" t="s">
        <v>37</v>
      </c>
      <c r="N661" s="114" t="s">
        <v>35</v>
      </c>
      <c r="O661" s="114" t="s">
        <v>35</v>
      </c>
      <c r="P661" s="114" t="s">
        <v>35</v>
      </c>
      <c r="Q661" s="131" t="s">
        <v>37</v>
      </c>
      <c r="R661" s="131" t="s">
        <v>37</v>
      </c>
      <c r="S661" s="115" t="s">
        <v>5144</v>
      </c>
      <c r="T661" s="50" t="s">
        <v>5145</v>
      </c>
      <c r="U661" s="50" t="s">
        <v>5145</v>
      </c>
      <c r="V661" s="116">
        <f t="shared" si="2"/>
        <v>1</v>
      </c>
      <c r="W661" s="116">
        <f t="shared" ref="W661:X661" si="666">IF(lenb(SUBSTITUTE($Z661,W$1&amp;" (1)",""))&lt;lenb($Z661),1,IF(lenb(SUBSTITUTE($Z661,W$1&amp;" (2)",""))&lt;lenb($Z661),2,IF(lenb(SUBSTITUTE($Z661,W$1&amp;" (3)",""))&lt;lenb($Z661),3,IF(lenb(SUBSTITUTE($Z661,W$1&amp;" (4)",""))&lt;lenb($Z661),4,IF(lenb(SUBSTITUTE($Z661,W$1&amp;" (5)",""))&lt;lenb($Z661),5,IF(lenb(SUBSTITUTE($Z661,W$1&amp;" (6)",""))&lt;lenb($Z661),6,IF(lenb(SUBSTITUTE($Z661,W$1&amp;" (7)",""))&lt;lenb($Z661),1,IF(lenb(SUBSTITUTE($Z661,W$1&amp;" (8)",""))&lt;lenb($Z661),8,IF(lenb(SUBSTITUTE($Z661,W$1&amp;" (9)",""))&lt;lenb($Z661),9,IF(lenb(SUBSTITUTE($Z661,W$1&amp;" (10)",""))&lt;lenb($Z661),10,IF(lenb(SUBSTITUTE($Z661,W$1,""))&lt;lenb($Z661),"ERROR",IF($Z661=$Y$1,"-",0))))))))))))</f>
        <v>0</v>
      </c>
      <c r="X661" s="116">
        <f t="shared" si="666"/>
        <v>0</v>
      </c>
      <c r="Y661" s="116" t="str">
        <f t="shared" si="4"/>
        <v>-</v>
      </c>
      <c r="Z661" s="48" t="s">
        <v>3400</v>
      </c>
      <c r="AA661" s="54">
        <f t="shared" si="5"/>
        <v>1</v>
      </c>
      <c r="AB661" s="54">
        <f>COUNTIFS(Links!B:B,"FSE",Links!C:C,A661,Links!AD:AD,1)</f>
        <v>0</v>
      </c>
      <c r="AC661" s="117" t="s">
        <v>37</v>
      </c>
      <c r="AD661" s="118" t="s">
        <v>35</v>
      </c>
      <c r="AE661" s="115" t="s">
        <v>36</v>
      </c>
      <c r="AF661" s="57" t="s">
        <v>42</v>
      </c>
      <c r="AG661" s="57" t="s">
        <v>42</v>
      </c>
      <c r="AH661" s="57" t="s">
        <v>42</v>
      </c>
      <c r="AI661" s="116" t="str">
        <f t="shared" si="6"/>
        <v>----</v>
      </c>
      <c r="AJ661" s="119" t="str">
        <f t="shared" si="7"/>
        <v>Paper has link but no statement</v>
      </c>
      <c r="AK661" s="120" t="s">
        <v>3401</v>
      </c>
      <c r="AL661" s="121" t="s">
        <v>3402</v>
      </c>
      <c r="AM661" s="60" t="str">
        <f t="shared" si="8"/>
        <v>[FP0173]</v>
      </c>
    </row>
    <row r="662" ht="67.5" customHeight="1">
      <c r="A662" s="61">
        <v>174.0</v>
      </c>
      <c r="B662" s="22" t="s">
        <v>5146</v>
      </c>
      <c r="C662" s="23">
        <v>2022.0</v>
      </c>
      <c r="D662" s="100" t="s">
        <v>37</v>
      </c>
      <c r="E662" s="25" t="s">
        <v>37</v>
      </c>
      <c r="F662" s="25" t="s">
        <v>35</v>
      </c>
      <c r="G662" s="25" t="s">
        <v>37</v>
      </c>
      <c r="H662" s="25" t="s">
        <v>35</v>
      </c>
      <c r="I662" s="25" t="s">
        <v>35</v>
      </c>
      <c r="J662" s="101" t="s">
        <v>36</v>
      </c>
      <c r="K662" s="102" t="s">
        <v>37</v>
      </c>
      <c r="L662" s="133" t="s">
        <v>37</v>
      </c>
      <c r="M662" s="133" t="s">
        <v>37</v>
      </c>
      <c r="N662" s="103" t="s">
        <v>35</v>
      </c>
      <c r="O662" s="103" t="s">
        <v>35</v>
      </c>
      <c r="P662" s="103" t="s">
        <v>35</v>
      </c>
      <c r="Q662" s="133" t="s">
        <v>37</v>
      </c>
      <c r="R662" s="133" t="s">
        <v>37</v>
      </c>
      <c r="S662" s="104" t="s">
        <v>5147</v>
      </c>
      <c r="T662" s="30" t="s">
        <v>5148</v>
      </c>
      <c r="U662" s="30" t="s">
        <v>5149</v>
      </c>
      <c r="V662" s="105">
        <f t="shared" si="2"/>
        <v>6</v>
      </c>
      <c r="W662" s="105">
        <f t="shared" ref="W662:X662" si="667">IF(lenb(SUBSTITUTE($Z662,W$1&amp;" (1)",""))&lt;lenb($Z662),1,IF(lenb(SUBSTITUTE($Z662,W$1&amp;" (2)",""))&lt;lenb($Z662),2,IF(lenb(SUBSTITUTE($Z662,W$1&amp;" (3)",""))&lt;lenb($Z662),3,IF(lenb(SUBSTITUTE($Z662,W$1&amp;" (4)",""))&lt;lenb($Z662),4,IF(lenb(SUBSTITUTE($Z662,W$1&amp;" (5)",""))&lt;lenb($Z662),5,IF(lenb(SUBSTITUTE($Z662,W$1&amp;" (6)",""))&lt;lenb($Z662),6,IF(lenb(SUBSTITUTE($Z662,W$1&amp;" (7)",""))&lt;lenb($Z662),1,IF(lenb(SUBSTITUTE($Z662,W$1&amp;" (8)",""))&lt;lenb($Z662),8,IF(lenb(SUBSTITUTE($Z662,W$1&amp;" (9)",""))&lt;lenb($Z662),9,IF(lenb(SUBSTITUTE($Z662,W$1&amp;" (10)",""))&lt;lenb($Z662),10,IF(lenb(SUBSTITUTE($Z662,W$1,""))&lt;lenb($Z662),"ERROR",IF($Z662=$Y$1,"-",0))))))))))))</f>
        <v>0</v>
      </c>
      <c r="X662" s="105">
        <f t="shared" si="667"/>
        <v>0</v>
      </c>
      <c r="Y662" s="105" t="str">
        <f t="shared" si="4"/>
        <v>-</v>
      </c>
      <c r="Z662" s="104" t="s">
        <v>4939</v>
      </c>
      <c r="AA662" s="34">
        <f t="shared" si="5"/>
        <v>6</v>
      </c>
      <c r="AB662" s="34">
        <f>COUNTIFS(Links!B:B,"FSE",Links!C:C,A662,Links!AD:AD,1)</f>
        <v>0</v>
      </c>
      <c r="AC662" s="106" t="s">
        <v>37</v>
      </c>
      <c r="AD662" s="107" t="s">
        <v>35</v>
      </c>
      <c r="AE662" s="104" t="s">
        <v>36</v>
      </c>
      <c r="AF662" s="37" t="s">
        <v>42</v>
      </c>
      <c r="AG662" s="37" t="s">
        <v>42</v>
      </c>
      <c r="AH662" s="37" t="s">
        <v>42</v>
      </c>
      <c r="AI662" s="105" t="str">
        <f t="shared" si="6"/>
        <v>----</v>
      </c>
      <c r="AJ662" s="108" t="str">
        <f t="shared" si="7"/>
        <v>Paper has link but no statement</v>
      </c>
      <c r="AK662" s="109" t="s">
        <v>3401</v>
      </c>
      <c r="AL662" s="110" t="s">
        <v>3402</v>
      </c>
      <c r="AM662" s="40" t="str">
        <f t="shared" si="8"/>
        <v>[FP0174]</v>
      </c>
    </row>
    <row r="663" ht="67.5" customHeight="1">
      <c r="A663" s="41">
        <v>175.0</v>
      </c>
      <c r="B663" s="42" t="s">
        <v>5150</v>
      </c>
      <c r="C663" s="43">
        <v>2022.0</v>
      </c>
      <c r="D663" s="111" t="s">
        <v>37</v>
      </c>
      <c r="E663" s="45" t="s">
        <v>37</v>
      </c>
      <c r="F663" s="45" t="s">
        <v>35</v>
      </c>
      <c r="G663" s="45" t="s">
        <v>37</v>
      </c>
      <c r="H663" s="45" t="s">
        <v>35</v>
      </c>
      <c r="I663" s="45" t="s">
        <v>35</v>
      </c>
      <c r="J663" s="112" t="s">
        <v>36</v>
      </c>
      <c r="K663" s="113" t="s">
        <v>37</v>
      </c>
      <c r="L663" s="131" t="s">
        <v>37</v>
      </c>
      <c r="M663" s="131" t="s">
        <v>37</v>
      </c>
      <c r="N663" s="131" t="s">
        <v>37</v>
      </c>
      <c r="O663" s="114" t="s">
        <v>35</v>
      </c>
      <c r="P663" s="114" t="s">
        <v>35</v>
      </c>
      <c r="Q663" s="131" t="s">
        <v>37</v>
      </c>
      <c r="R663" s="131" t="s">
        <v>37</v>
      </c>
      <c r="S663" s="115" t="s">
        <v>5151</v>
      </c>
      <c r="T663" s="50" t="s">
        <v>5152</v>
      </c>
      <c r="U663" s="50" t="s">
        <v>5152</v>
      </c>
      <c r="V663" s="116">
        <f t="shared" si="2"/>
        <v>2</v>
      </c>
      <c r="W663" s="116">
        <f t="shared" ref="W663:X663" si="668">IF(lenb(SUBSTITUTE($Z663,W$1&amp;" (1)",""))&lt;lenb($Z663),1,IF(lenb(SUBSTITUTE($Z663,W$1&amp;" (2)",""))&lt;lenb($Z663),2,IF(lenb(SUBSTITUTE($Z663,W$1&amp;" (3)",""))&lt;lenb($Z663),3,IF(lenb(SUBSTITUTE($Z663,W$1&amp;" (4)",""))&lt;lenb($Z663),4,IF(lenb(SUBSTITUTE($Z663,W$1&amp;" (5)",""))&lt;lenb($Z663),5,IF(lenb(SUBSTITUTE($Z663,W$1&amp;" (6)",""))&lt;lenb($Z663),6,IF(lenb(SUBSTITUTE($Z663,W$1&amp;" (7)",""))&lt;lenb($Z663),1,IF(lenb(SUBSTITUTE($Z663,W$1&amp;" (8)",""))&lt;lenb($Z663),8,IF(lenb(SUBSTITUTE($Z663,W$1&amp;" (9)",""))&lt;lenb($Z663),9,IF(lenb(SUBSTITUTE($Z663,W$1&amp;" (10)",""))&lt;lenb($Z663),10,IF(lenb(SUBSTITUTE($Z663,W$1,""))&lt;lenb($Z663),"ERROR",IF($Z663=$Y$1,"-",0))))))))))))</f>
        <v>0</v>
      </c>
      <c r="X663" s="116">
        <f t="shared" si="668"/>
        <v>0</v>
      </c>
      <c r="Y663" s="116" t="str">
        <f t="shared" si="4"/>
        <v>-</v>
      </c>
      <c r="Z663" s="48" t="s">
        <v>3452</v>
      </c>
      <c r="AA663" s="54">
        <f t="shared" si="5"/>
        <v>2</v>
      </c>
      <c r="AB663" s="54">
        <f>COUNTIFS(Links!B:B,"FSE",Links!C:C,A663,Links!AD:AD,1)</f>
        <v>0</v>
      </c>
      <c r="AC663" s="117" t="s">
        <v>37</v>
      </c>
      <c r="AD663" s="118" t="s">
        <v>35</v>
      </c>
      <c r="AE663" s="115" t="s">
        <v>36</v>
      </c>
      <c r="AF663" s="57" t="s">
        <v>42</v>
      </c>
      <c r="AG663" s="57" t="s">
        <v>42</v>
      </c>
      <c r="AH663" s="57" t="s">
        <v>42</v>
      </c>
      <c r="AI663" s="116" t="str">
        <f t="shared" si="6"/>
        <v>----</v>
      </c>
      <c r="AJ663" s="119" t="str">
        <f t="shared" si="7"/>
        <v>Paper has link but no statement</v>
      </c>
      <c r="AK663" s="120" t="s">
        <v>3401</v>
      </c>
      <c r="AL663" s="121" t="s">
        <v>3402</v>
      </c>
      <c r="AM663" s="60" t="str">
        <f t="shared" si="8"/>
        <v>[FP0175]</v>
      </c>
    </row>
    <row r="664" ht="67.5" customHeight="1">
      <c r="A664" s="61">
        <v>176.0</v>
      </c>
      <c r="B664" s="22" t="s">
        <v>5153</v>
      </c>
      <c r="C664" s="23">
        <v>2022.0</v>
      </c>
      <c r="D664" s="100" t="s">
        <v>37</v>
      </c>
      <c r="E664" s="25" t="s">
        <v>37</v>
      </c>
      <c r="F664" s="25" t="s">
        <v>37</v>
      </c>
      <c r="G664" s="25" t="s">
        <v>35</v>
      </c>
      <c r="H664" s="25" t="s">
        <v>35</v>
      </c>
      <c r="I664" s="25" t="s">
        <v>35</v>
      </c>
      <c r="J664" s="101" t="s">
        <v>36</v>
      </c>
      <c r="K664" s="102" t="s">
        <v>37</v>
      </c>
      <c r="L664" s="103" t="s">
        <v>35</v>
      </c>
      <c r="M664" s="103" t="s">
        <v>37</v>
      </c>
      <c r="N664" s="103" t="s">
        <v>35</v>
      </c>
      <c r="O664" s="103" t="s">
        <v>37</v>
      </c>
      <c r="P664" s="103" t="s">
        <v>37</v>
      </c>
      <c r="Q664" s="103" t="s">
        <v>35</v>
      </c>
      <c r="R664" s="103" t="s">
        <v>35</v>
      </c>
      <c r="S664" s="104" t="s">
        <v>5154</v>
      </c>
      <c r="T664" s="30" t="s">
        <v>5155</v>
      </c>
      <c r="U664" s="30" t="s">
        <v>5155</v>
      </c>
      <c r="V664" s="105">
        <f t="shared" si="2"/>
        <v>1</v>
      </c>
      <c r="W664" s="105">
        <f t="shared" ref="W664:X664" si="669">IF(lenb(SUBSTITUTE($Z664,W$1&amp;" (1)",""))&lt;lenb($Z664),1,IF(lenb(SUBSTITUTE($Z664,W$1&amp;" (2)",""))&lt;lenb($Z664),2,IF(lenb(SUBSTITUTE($Z664,W$1&amp;" (3)",""))&lt;lenb($Z664),3,IF(lenb(SUBSTITUTE($Z664,W$1&amp;" (4)",""))&lt;lenb($Z664),4,IF(lenb(SUBSTITUTE($Z664,W$1&amp;" (5)",""))&lt;lenb($Z664),5,IF(lenb(SUBSTITUTE($Z664,W$1&amp;" (6)",""))&lt;lenb($Z664),6,IF(lenb(SUBSTITUTE($Z664,W$1&amp;" (7)",""))&lt;lenb($Z664),1,IF(lenb(SUBSTITUTE($Z664,W$1&amp;" (8)",""))&lt;lenb($Z664),8,IF(lenb(SUBSTITUTE($Z664,W$1&amp;" (9)",""))&lt;lenb($Z664),9,IF(lenb(SUBSTITUTE($Z664,W$1&amp;" (10)",""))&lt;lenb($Z664),10,IF(lenb(SUBSTITUTE($Z664,W$1,""))&lt;lenb($Z664),"ERROR",IF($Z664=$Y$1,"-",0))))))))))))</f>
        <v>0</v>
      </c>
      <c r="X664" s="105">
        <f t="shared" si="669"/>
        <v>0</v>
      </c>
      <c r="Y664" s="105" t="str">
        <f t="shared" si="4"/>
        <v>-</v>
      </c>
      <c r="Z664" s="28" t="s">
        <v>3400</v>
      </c>
      <c r="AA664" s="34">
        <f t="shared" si="5"/>
        <v>1</v>
      </c>
      <c r="AB664" s="34">
        <f>COUNTIFS(Links!B:B,"FSE",Links!C:C,A664,Links!AD:AD,1)</f>
        <v>0</v>
      </c>
      <c r="AC664" s="106" t="s">
        <v>37</v>
      </c>
      <c r="AD664" s="107" t="s">
        <v>35</v>
      </c>
      <c r="AE664" s="104" t="s">
        <v>36</v>
      </c>
      <c r="AF664" s="37" t="s">
        <v>42</v>
      </c>
      <c r="AG664" s="37" t="s">
        <v>42</v>
      </c>
      <c r="AH664" s="37" t="s">
        <v>42</v>
      </c>
      <c r="AI664" s="105" t="str">
        <f t="shared" si="6"/>
        <v>----</v>
      </c>
      <c r="AJ664" s="108" t="str">
        <f t="shared" si="7"/>
        <v>Paper has link but no statement</v>
      </c>
      <c r="AK664" s="109" t="s">
        <v>3401</v>
      </c>
      <c r="AL664" s="110" t="s">
        <v>3402</v>
      </c>
      <c r="AM664" s="40" t="str">
        <f t="shared" si="8"/>
        <v>[FP0176]</v>
      </c>
    </row>
    <row r="665" ht="67.5" customHeight="1">
      <c r="A665" s="41">
        <v>177.0</v>
      </c>
      <c r="B665" s="42" t="s">
        <v>5156</v>
      </c>
      <c r="C665" s="43">
        <v>2022.0</v>
      </c>
      <c r="D665" s="111" t="s">
        <v>35</v>
      </c>
      <c r="E665" s="45" t="s">
        <v>36</v>
      </c>
      <c r="F665" s="45" t="s">
        <v>36</v>
      </c>
      <c r="G665" s="45" t="s">
        <v>36</v>
      </c>
      <c r="H665" s="45" t="s">
        <v>36</v>
      </c>
      <c r="I665" s="45" t="s">
        <v>36</v>
      </c>
      <c r="J665" s="112" t="s">
        <v>36</v>
      </c>
      <c r="K665" s="113" t="s">
        <v>37</v>
      </c>
      <c r="L665" s="114" t="s">
        <v>37</v>
      </c>
      <c r="M665" s="114" t="s">
        <v>37</v>
      </c>
      <c r="N665" s="114" t="s">
        <v>37</v>
      </c>
      <c r="O665" s="114" t="s">
        <v>35</v>
      </c>
      <c r="P665" s="114" t="s">
        <v>35</v>
      </c>
      <c r="Q665" s="114" t="s">
        <v>35</v>
      </c>
      <c r="R665" s="114" t="s">
        <v>37</v>
      </c>
      <c r="S665" s="115" t="s">
        <v>5157</v>
      </c>
      <c r="T665" s="50" t="s">
        <v>5158</v>
      </c>
      <c r="U665" s="50" t="s">
        <v>5158</v>
      </c>
      <c r="V665" s="116">
        <f t="shared" si="2"/>
        <v>1</v>
      </c>
      <c r="W665" s="116">
        <f t="shared" ref="W665:X665" si="670">IF(lenb(SUBSTITUTE($Z665,W$1&amp;" (1)",""))&lt;lenb($Z665),1,IF(lenb(SUBSTITUTE($Z665,W$1&amp;" (2)",""))&lt;lenb($Z665),2,IF(lenb(SUBSTITUTE($Z665,W$1&amp;" (3)",""))&lt;lenb($Z665),3,IF(lenb(SUBSTITUTE($Z665,W$1&amp;" (4)",""))&lt;lenb($Z665),4,IF(lenb(SUBSTITUTE($Z665,W$1&amp;" (5)",""))&lt;lenb($Z665),5,IF(lenb(SUBSTITUTE($Z665,W$1&amp;" (6)",""))&lt;lenb($Z665),6,IF(lenb(SUBSTITUTE($Z665,W$1&amp;" (7)",""))&lt;lenb($Z665),1,IF(lenb(SUBSTITUTE($Z665,W$1&amp;" (8)",""))&lt;lenb($Z665),8,IF(lenb(SUBSTITUTE($Z665,W$1&amp;" (9)",""))&lt;lenb($Z665),9,IF(lenb(SUBSTITUTE($Z665,W$1&amp;" (10)",""))&lt;lenb($Z665),10,IF(lenb(SUBSTITUTE($Z665,W$1,""))&lt;lenb($Z665),"ERROR",IF($Z665=$Y$1,"-",0))))))))))))</f>
        <v>0</v>
      </c>
      <c r="X665" s="116">
        <f t="shared" si="670"/>
        <v>0</v>
      </c>
      <c r="Y665" s="116" t="str">
        <f t="shared" si="4"/>
        <v>-</v>
      </c>
      <c r="Z665" s="48" t="s">
        <v>3400</v>
      </c>
      <c r="AA665" s="54">
        <f t="shared" si="5"/>
        <v>1</v>
      </c>
      <c r="AB665" s="54">
        <f>COUNTIFS(Links!B:B,"FSE",Links!C:C,A665,Links!AD:AD,1)</f>
        <v>0</v>
      </c>
      <c r="AC665" s="117" t="s">
        <v>35</v>
      </c>
      <c r="AD665" s="118" t="s">
        <v>35</v>
      </c>
      <c r="AE665" s="115" t="s">
        <v>36</v>
      </c>
      <c r="AF665" s="57" t="s">
        <v>42</v>
      </c>
      <c r="AG665" s="57" t="s">
        <v>42</v>
      </c>
      <c r="AH665" s="57" t="s">
        <v>42</v>
      </c>
      <c r="AI665" s="116" t="str">
        <f t="shared" si="6"/>
        <v>----</v>
      </c>
      <c r="AJ665" s="119" t="str">
        <f t="shared" si="7"/>
        <v>Paper has link but no statement</v>
      </c>
      <c r="AK665" s="120" t="s">
        <v>3401</v>
      </c>
      <c r="AL665" s="121" t="s">
        <v>3402</v>
      </c>
      <c r="AM665" s="60" t="str">
        <f t="shared" si="8"/>
        <v>[FP0177]</v>
      </c>
    </row>
    <row r="666" ht="67.5" customHeight="1">
      <c r="A666" s="61">
        <v>178.0</v>
      </c>
      <c r="B666" s="22" t="s">
        <v>5159</v>
      </c>
      <c r="C666" s="23">
        <v>2022.0</v>
      </c>
      <c r="D666" s="100" t="s">
        <v>37</v>
      </c>
      <c r="E666" s="25" t="s">
        <v>37</v>
      </c>
      <c r="F666" s="25" t="s">
        <v>35</v>
      </c>
      <c r="G666" s="25" t="s">
        <v>35</v>
      </c>
      <c r="H666" s="25" t="s">
        <v>35</v>
      </c>
      <c r="I666" s="25" t="s">
        <v>35</v>
      </c>
      <c r="J666" s="101" t="s">
        <v>36</v>
      </c>
      <c r="K666" s="102" t="s">
        <v>37</v>
      </c>
      <c r="L666" s="103" t="s">
        <v>35</v>
      </c>
      <c r="M666" s="103" t="s">
        <v>37</v>
      </c>
      <c r="N666" s="103" t="s">
        <v>35</v>
      </c>
      <c r="O666" s="103" t="s">
        <v>35</v>
      </c>
      <c r="P666" s="103" t="s">
        <v>35</v>
      </c>
      <c r="Q666" s="103" t="s">
        <v>37</v>
      </c>
      <c r="R666" s="103" t="s">
        <v>35</v>
      </c>
      <c r="S666" s="104" t="s">
        <v>5160</v>
      </c>
      <c r="T666" s="30" t="s">
        <v>5161</v>
      </c>
      <c r="U666" s="30" t="s">
        <v>5161</v>
      </c>
      <c r="V666" s="105">
        <f t="shared" si="2"/>
        <v>1</v>
      </c>
      <c r="W666" s="105">
        <f t="shared" ref="W666:X666" si="671">IF(lenb(SUBSTITUTE($Z666,W$1&amp;" (1)",""))&lt;lenb($Z666),1,IF(lenb(SUBSTITUTE($Z666,W$1&amp;" (2)",""))&lt;lenb($Z666),2,IF(lenb(SUBSTITUTE($Z666,W$1&amp;" (3)",""))&lt;lenb($Z666),3,IF(lenb(SUBSTITUTE($Z666,W$1&amp;" (4)",""))&lt;lenb($Z666),4,IF(lenb(SUBSTITUTE($Z666,W$1&amp;" (5)",""))&lt;lenb($Z666),5,IF(lenb(SUBSTITUTE($Z666,W$1&amp;" (6)",""))&lt;lenb($Z666),6,IF(lenb(SUBSTITUTE($Z666,W$1&amp;" (7)",""))&lt;lenb($Z666),1,IF(lenb(SUBSTITUTE($Z666,W$1&amp;" (8)",""))&lt;lenb($Z666),8,IF(lenb(SUBSTITUTE($Z666,W$1&amp;" (9)",""))&lt;lenb($Z666),9,IF(lenb(SUBSTITUTE($Z666,W$1&amp;" (10)",""))&lt;lenb($Z666),10,IF(lenb(SUBSTITUTE($Z666,W$1,""))&lt;lenb($Z666),"ERROR",IF($Z666=$Y$1,"-",0))))))))))))</f>
        <v>0</v>
      </c>
      <c r="X666" s="105">
        <f t="shared" si="671"/>
        <v>0</v>
      </c>
      <c r="Y666" s="105" t="str">
        <f t="shared" si="4"/>
        <v>-</v>
      </c>
      <c r="Z666" s="28" t="s">
        <v>3400</v>
      </c>
      <c r="AA666" s="34">
        <f t="shared" si="5"/>
        <v>1</v>
      </c>
      <c r="AB666" s="34">
        <f>COUNTIFS(Links!B:B,"FSE",Links!C:C,A666,Links!AD:AD,1)</f>
        <v>0</v>
      </c>
      <c r="AC666" s="106" t="s">
        <v>37</v>
      </c>
      <c r="AD666" s="107" t="s">
        <v>35</v>
      </c>
      <c r="AE666" s="104" t="s">
        <v>36</v>
      </c>
      <c r="AF666" s="37" t="s">
        <v>42</v>
      </c>
      <c r="AG666" s="37" t="s">
        <v>42</v>
      </c>
      <c r="AH666" s="37" t="s">
        <v>42</v>
      </c>
      <c r="AI666" s="105" t="str">
        <f t="shared" si="6"/>
        <v>----</v>
      </c>
      <c r="AJ666" s="108" t="str">
        <f t="shared" si="7"/>
        <v>Paper has link but no statement</v>
      </c>
      <c r="AK666" s="109" t="s">
        <v>3401</v>
      </c>
      <c r="AL666" s="110" t="s">
        <v>3402</v>
      </c>
      <c r="AM666" s="40" t="str">
        <f t="shared" si="8"/>
        <v>[FP0178]</v>
      </c>
    </row>
    <row r="667" ht="67.5" customHeight="1">
      <c r="A667" s="41">
        <v>179.0</v>
      </c>
      <c r="B667" s="42" t="s">
        <v>5162</v>
      </c>
      <c r="C667" s="43">
        <v>2022.0</v>
      </c>
      <c r="D667" s="111" t="s">
        <v>35</v>
      </c>
      <c r="E667" s="45" t="s">
        <v>36</v>
      </c>
      <c r="F667" s="45" t="s">
        <v>36</v>
      </c>
      <c r="G667" s="45" t="s">
        <v>36</v>
      </c>
      <c r="H667" s="45" t="s">
        <v>36</v>
      </c>
      <c r="I667" s="45" t="s">
        <v>36</v>
      </c>
      <c r="J667" s="112" t="s">
        <v>36</v>
      </c>
      <c r="K667" s="113" t="s">
        <v>37</v>
      </c>
      <c r="L667" s="114" t="s">
        <v>35</v>
      </c>
      <c r="M667" s="114" t="s">
        <v>37</v>
      </c>
      <c r="N667" s="114" t="s">
        <v>37</v>
      </c>
      <c r="O667" s="114" t="s">
        <v>35</v>
      </c>
      <c r="P667" s="114" t="s">
        <v>35</v>
      </c>
      <c r="Q667" s="114" t="s">
        <v>35</v>
      </c>
      <c r="R667" s="114" t="s">
        <v>37</v>
      </c>
      <c r="S667" s="115" t="s">
        <v>5163</v>
      </c>
      <c r="T667" s="50" t="s">
        <v>5164</v>
      </c>
      <c r="U667" s="50" t="s">
        <v>5164</v>
      </c>
      <c r="V667" s="116">
        <f t="shared" si="2"/>
        <v>2</v>
      </c>
      <c r="W667" s="116">
        <f t="shared" ref="W667:X667" si="672">IF(lenb(SUBSTITUTE($Z667,W$1&amp;" (1)",""))&lt;lenb($Z667),1,IF(lenb(SUBSTITUTE($Z667,W$1&amp;" (2)",""))&lt;lenb($Z667),2,IF(lenb(SUBSTITUTE($Z667,W$1&amp;" (3)",""))&lt;lenb($Z667),3,IF(lenb(SUBSTITUTE($Z667,W$1&amp;" (4)",""))&lt;lenb($Z667),4,IF(lenb(SUBSTITUTE($Z667,W$1&amp;" (5)",""))&lt;lenb($Z667),5,IF(lenb(SUBSTITUTE($Z667,W$1&amp;" (6)",""))&lt;lenb($Z667),6,IF(lenb(SUBSTITUTE($Z667,W$1&amp;" (7)",""))&lt;lenb($Z667),1,IF(lenb(SUBSTITUTE($Z667,W$1&amp;" (8)",""))&lt;lenb($Z667),8,IF(lenb(SUBSTITUTE($Z667,W$1&amp;" (9)",""))&lt;lenb($Z667),9,IF(lenb(SUBSTITUTE($Z667,W$1&amp;" (10)",""))&lt;lenb($Z667),10,IF(lenb(SUBSTITUTE($Z667,W$1,""))&lt;lenb($Z667),"ERROR",IF($Z667=$Y$1,"-",0))))))))))))</f>
        <v>0</v>
      </c>
      <c r="X667" s="116">
        <f t="shared" si="672"/>
        <v>0</v>
      </c>
      <c r="Y667" s="116" t="str">
        <f t="shared" si="4"/>
        <v>-</v>
      </c>
      <c r="Z667" s="48" t="s">
        <v>3452</v>
      </c>
      <c r="AA667" s="54">
        <f t="shared" si="5"/>
        <v>2</v>
      </c>
      <c r="AB667" s="54">
        <f>COUNTIFS(Links!B:B,"FSE",Links!C:C,A667,Links!AD:AD,1)</f>
        <v>0</v>
      </c>
      <c r="AC667" s="117" t="s">
        <v>37</v>
      </c>
      <c r="AD667" s="118" t="s">
        <v>35</v>
      </c>
      <c r="AE667" s="115" t="s">
        <v>36</v>
      </c>
      <c r="AF667" s="57" t="s">
        <v>42</v>
      </c>
      <c r="AG667" s="57" t="s">
        <v>42</v>
      </c>
      <c r="AH667" s="57" t="s">
        <v>42</v>
      </c>
      <c r="AI667" s="116" t="str">
        <f t="shared" si="6"/>
        <v>----</v>
      </c>
      <c r="AJ667" s="119" t="str">
        <f t="shared" si="7"/>
        <v>Paper has link but no statement</v>
      </c>
      <c r="AK667" s="120" t="s">
        <v>3401</v>
      </c>
      <c r="AL667" s="121" t="s">
        <v>3402</v>
      </c>
      <c r="AM667" s="60" t="str">
        <f t="shared" si="8"/>
        <v>[FP0179]</v>
      </c>
    </row>
    <row r="668" ht="67.5" customHeight="1">
      <c r="A668" s="61">
        <v>180.0</v>
      </c>
      <c r="B668" s="22" t="s">
        <v>5165</v>
      </c>
      <c r="C668" s="23">
        <v>2022.0</v>
      </c>
      <c r="D668" s="100" t="s">
        <v>35</v>
      </c>
      <c r="E668" s="25" t="s">
        <v>36</v>
      </c>
      <c r="F668" s="25" t="s">
        <v>36</v>
      </c>
      <c r="G668" s="25" t="s">
        <v>36</v>
      </c>
      <c r="H668" s="25" t="s">
        <v>36</v>
      </c>
      <c r="I668" s="25" t="s">
        <v>36</v>
      </c>
      <c r="J668" s="101" t="s">
        <v>36</v>
      </c>
      <c r="K668" s="102" t="s">
        <v>37</v>
      </c>
      <c r="L668" s="103" t="s">
        <v>35</v>
      </c>
      <c r="M668" s="103" t="s">
        <v>37</v>
      </c>
      <c r="N668" s="103" t="s">
        <v>37</v>
      </c>
      <c r="O668" s="103" t="s">
        <v>35</v>
      </c>
      <c r="P668" s="103" t="s">
        <v>35</v>
      </c>
      <c r="Q668" s="103" t="s">
        <v>35</v>
      </c>
      <c r="R668" s="103" t="s">
        <v>35</v>
      </c>
      <c r="S668" s="104" t="s">
        <v>5166</v>
      </c>
      <c r="T668" s="30" t="s">
        <v>5167</v>
      </c>
      <c r="U668" s="30" t="s">
        <v>5167</v>
      </c>
      <c r="V668" s="105">
        <f t="shared" si="2"/>
        <v>1</v>
      </c>
      <c r="W668" s="105">
        <f t="shared" ref="W668:X668" si="673">IF(lenb(SUBSTITUTE($Z668,W$1&amp;" (1)",""))&lt;lenb($Z668),1,IF(lenb(SUBSTITUTE($Z668,W$1&amp;" (2)",""))&lt;lenb($Z668),2,IF(lenb(SUBSTITUTE($Z668,W$1&amp;" (3)",""))&lt;lenb($Z668),3,IF(lenb(SUBSTITUTE($Z668,W$1&amp;" (4)",""))&lt;lenb($Z668),4,IF(lenb(SUBSTITUTE($Z668,W$1&amp;" (5)",""))&lt;lenb($Z668),5,IF(lenb(SUBSTITUTE($Z668,W$1&amp;" (6)",""))&lt;lenb($Z668),6,IF(lenb(SUBSTITUTE($Z668,W$1&amp;" (7)",""))&lt;lenb($Z668),1,IF(lenb(SUBSTITUTE($Z668,W$1&amp;" (8)",""))&lt;lenb($Z668),8,IF(lenb(SUBSTITUTE($Z668,W$1&amp;" (9)",""))&lt;lenb($Z668),9,IF(lenb(SUBSTITUTE($Z668,W$1&amp;" (10)",""))&lt;lenb($Z668),10,IF(lenb(SUBSTITUTE($Z668,W$1,""))&lt;lenb($Z668),"ERROR",IF($Z668=$Y$1,"-",0))))))))))))</f>
        <v>0</v>
      </c>
      <c r="X668" s="105">
        <f t="shared" si="673"/>
        <v>0</v>
      </c>
      <c r="Y668" s="105" t="str">
        <f t="shared" si="4"/>
        <v>-</v>
      </c>
      <c r="Z668" s="28" t="s">
        <v>3400</v>
      </c>
      <c r="AA668" s="34">
        <f t="shared" si="5"/>
        <v>1</v>
      </c>
      <c r="AB668" s="34">
        <f>COUNTIFS(Links!B:B,"FSE",Links!C:C,A668,Links!AD:AD,1)</f>
        <v>0</v>
      </c>
      <c r="AC668" s="106" t="s">
        <v>35</v>
      </c>
      <c r="AD668" s="107" t="s">
        <v>35</v>
      </c>
      <c r="AE668" s="104" t="s">
        <v>36</v>
      </c>
      <c r="AF668" s="37" t="s">
        <v>42</v>
      </c>
      <c r="AG668" s="37" t="s">
        <v>42</v>
      </c>
      <c r="AH668" s="37" t="s">
        <v>42</v>
      </c>
      <c r="AI668" s="105" t="str">
        <f t="shared" si="6"/>
        <v>----</v>
      </c>
      <c r="AJ668" s="108" t="str">
        <f t="shared" si="7"/>
        <v>Paper has link but no statement</v>
      </c>
      <c r="AK668" s="109" t="s">
        <v>3401</v>
      </c>
      <c r="AL668" s="110" t="s">
        <v>3402</v>
      </c>
      <c r="AM668" s="40" t="str">
        <f t="shared" si="8"/>
        <v>[FP0180]</v>
      </c>
    </row>
    <row r="669" ht="67.5" customHeight="1">
      <c r="A669" s="41">
        <v>181.0</v>
      </c>
      <c r="B669" s="42" t="s">
        <v>5168</v>
      </c>
      <c r="C669" s="43">
        <v>2022.0</v>
      </c>
      <c r="D669" s="111" t="s">
        <v>35</v>
      </c>
      <c r="E669" s="45" t="s">
        <v>36</v>
      </c>
      <c r="F669" s="45" t="s">
        <v>36</v>
      </c>
      <c r="G669" s="45" t="s">
        <v>36</v>
      </c>
      <c r="H669" s="45" t="s">
        <v>36</v>
      </c>
      <c r="I669" s="45" t="s">
        <v>36</v>
      </c>
      <c r="J669" s="112" t="s">
        <v>36</v>
      </c>
      <c r="K669" s="113" t="s">
        <v>37</v>
      </c>
      <c r="L669" s="114" t="s">
        <v>37</v>
      </c>
      <c r="M669" s="114" t="s">
        <v>35</v>
      </c>
      <c r="N669" s="114" t="s">
        <v>37</v>
      </c>
      <c r="O669" s="114" t="s">
        <v>35</v>
      </c>
      <c r="P669" s="114" t="s">
        <v>35</v>
      </c>
      <c r="Q669" s="114" t="s">
        <v>35</v>
      </c>
      <c r="R669" s="114" t="s">
        <v>35</v>
      </c>
      <c r="S669" s="115" t="s">
        <v>5166</v>
      </c>
      <c r="T669" s="50" t="s">
        <v>5169</v>
      </c>
      <c r="U669" s="50" t="s">
        <v>5169</v>
      </c>
      <c r="V669" s="116">
        <f t="shared" si="2"/>
        <v>1</v>
      </c>
      <c r="W669" s="116">
        <f t="shared" ref="W669:X669" si="674">IF(lenb(SUBSTITUTE($Z669,W$1&amp;" (1)",""))&lt;lenb($Z669),1,IF(lenb(SUBSTITUTE($Z669,W$1&amp;" (2)",""))&lt;lenb($Z669),2,IF(lenb(SUBSTITUTE($Z669,W$1&amp;" (3)",""))&lt;lenb($Z669),3,IF(lenb(SUBSTITUTE($Z669,W$1&amp;" (4)",""))&lt;lenb($Z669),4,IF(lenb(SUBSTITUTE($Z669,W$1&amp;" (5)",""))&lt;lenb($Z669),5,IF(lenb(SUBSTITUTE($Z669,W$1&amp;" (6)",""))&lt;lenb($Z669),6,IF(lenb(SUBSTITUTE($Z669,W$1&amp;" (7)",""))&lt;lenb($Z669),1,IF(lenb(SUBSTITUTE($Z669,W$1&amp;" (8)",""))&lt;lenb($Z669),8,IF(lenb(SUBSTITUTE($Z669,W$1&amp;" (9)",""))&lt;lenb($Z669),9,IF(lenb(SUBSTITUTE($Z669,W$1&amp;" (10)",""))&lt;lenb($Z669),10,IF(lenb(SUBSTITUTE($Z669,W$1,""))&lt;lenb($Z669),"ERROR",IF($Z669=$Y$1,"-",0))))))))))))</f>
        <v>0</v>
      </c>
      <c r="X669" s="116">
        <f t="shared" si="674"/>
        <v>0</v>
      </c>
      <c r="Y669" s="116" t="str">
        <f t="shared" si="4"/>
        <v>-</v>
      </c>
      <c r="Z669" s="48" t="s">
        <v>3400</v>
      </c>
      <c r="AA669" s="54">
        <f t="shared" si="5"/>
        <v>1</v>
      </c>
      <c r="AB669" s="54">
        <f>COUNTIFS(Links!B:B,"FSE",Links!C:C,A669,Links!AD:AD,1)</f>
        <v>0</v>
      </c>
      <c r="AC669" s="117" t="s">
        <v>35</v>
      </c>
      <c r="AD669" s="118" t="s">
        <v>35</v>
      </c>
      <c r="AE669" s="115" t="s">
        <v>36</v>
      </c>
      <c r="AF669" s="57" t="s">
        <v>42</v>
      </c>
      <c r="AG669" s="57" t="s">
        <v>42</v>
      </c>
      <c r="AH669" s="57" t="s">
        <v>42</v>
      </c>
      <c r="AI669" s="116" t="str">
        <f t="shared" si="6"/>
        <v>----</v>
      </c>
      <c r="AJ669" s="119" t="str">
        <f t="shared" si="7"/>
        <v>Paper has link but no statement</v>
      </c>
      <c r="AK669" s="120" t="s">
        <v>3401</v>
      </c>
      <c r="AL669" s="121" t="s">
        <v>3402</v>
      </c>
      <c r="AM669" s="60" t="str">
        <f t="shared" si="8"/>
        <v>[FP0181]</v>
      </c>
    </row>
    <row r="670" ht="67.5" customHeight="1">
      <c r="A670" s="61">
        <v>182.0</v>
      </c>
      <c r="B670" s="22" t="s">
        <v>5170</v>
      </c>
      <c r="C670" s="23">
        <v>2022.0</v>
      </c>
      <c r="D670" s="100" t="s">
        <v>37</v>
      </c>
      <c r="E670" s="25" t="s">
        <v>37</v>
      </c>
      <c r="F670" s="25" t="s">
        <v>35</v>
      </c>
      <c r="G670" s="25" t="s">
        <v>37</v>
      </c>
      <c r="H670" s="25" t="s">
        <v>35</v>
      </c>
      <c r="I670" s="25" t="s">
        <v>35</v>
      </c>
      <c r="J670" s="101" t="s">
        <v>36</v>
      </c>
      <c r="K670" s="102" t="s">
        <v>37</v>
      </c>
      <c r="L670" s="103" t="s">
        <v>35</v>
      </c>
      <c r="M670" s="103" t="s">
        <v>37</v>
      </c>
      <c r="N670" s="103" t="s">
        <v>35</v>
      </c>
      <c r="O670" s="103" t="s">
        <v>35</v>
      </c>
      <c r="P670" s="103" t="s">
        <v>35</v>
      </c>
      <c r="Q670" s="103" t="s">
        <v>37</v>
      </c>
      <c r="R670" s="103" t="s">
        <v>37</v>
      </c>
      <c r="S670" s="104" t="s">
        <v>42</v>
      </c>
      <c r="T670" s="30" t="s">
        <v>5171</v>
      </c>
      <c r="U670" s="30" t="s">
        <v>5171</v>
      </c>
      <c r="V670" s="105">
        <f t="shared" si="2"/>
        <v>1</v>
      </c>
      <c r="W670" s="105">
        <f t="shared" ref="W670:X670" si="675">IF(lenb(SUBSTITUTE($Z670,W$1&amp;" (1)",""))&lt;lenb($Z670),1,IF(lenb(SUBSTITUTE($Z670,W$1&amp;" (2)",""))&lt;lenb($Z670),2,IF(lenb(SUBSTITUTE($Z670,W$1&amp;" (3)",""))&lt;lenb($Z670),3,IF(lenb(SUBSTITUTE($Z670,W$1&amp;" (4)",""))&lt;lenb($Z670),4,IF(lenb(SUBSTITUTE($Z670,W$1&amp;" (5)",""))&lt;lenb($Z670),5,IF(lenb(SUBSTITUTE($Z670,W$1&amp;" (6)",""))&lt;lenb($Z670),6,IF(lenb(SUBSTITUTE($Z670,W$1&amp;" (7)",""))&lt;lenb($Z670),1,IF(lenb(SUBSTITUTE($Z670,W$1&amp;" (8)",""))&lt;lenb($Z670),8,IF(lenb(SUBSTITUTE($Z670,W$1&amp;" (9)",""))&lt;lenb($Z670),9,IF(lenb(SUBSTITUTE($Z670,W$1&amp;" (10)",""))&lt;lenb($Z670),10,IF(lenb(SUBSTITUTE($Z670,W$1,""))&lt;lenb($Z670),"ERROR",IF($Z670=$Y$1,"-",0))))))))))))</f>
        <v>0</v>
      </c>
      <c r="X670" s="105">
        <f t="shared" si="675"/>
        <v>0</v>
      </c>
      <c r="Y670" s="105" t="str">
        <f t="shared" si="4"/>
        <v>-</v>
      </c>
      <c r="Z670" s="28" t="s">
        <v>3400</v>
      </c>
      <c r="AA670" s="34">
        <f t="shared" si="5"/>
        <v>1</v>
      </c>
      <c r="AB670" s="34">
        <f>COUNTIFS(Links!B:B,"FSE",Links!C:C,A670,Links!AD:AD,1)</f>
        <v>0</v>
      </c>
      <c r="AC670" s="106" t="s">
        <v>37</v>
      </c>
      <c r="AD670" s="107" t="s">
        <v>35</v>
      </c>
      <c r="AE670" s="104" t="s">
        <v>36</v>
      </c>
      <c r="AF670" s="37" t="s">
        <v>42</v>
      </c>
      <c r="AG670" s="37" t="s">
        <v>42</v>
      </c>
      <c r="AH670" s="37" t="s">
        <v>42</v>
      </c>
      <c r="AI670" s="105" t="str">
        <f t="shared" si="6"/>
        <v>----</v>
      </c>
      <c r="AJ670" s="108" t="str">
        <f t="shared" si="7"/>
        <v>Paper has link but no statement</v>
      </c>
      <c r="AK670" s="109" t="s">
        <v>3401</v>
      </c>
      <c r="AL670" s="110" t="s">
        <v>3402</v>
      </c>
      <c r="AM670" s="40" t="str">
        <f t="shared" si="8"/>
        <v>[FP0182]</v>
      </c>
    </row>
    <row r="671" ht="67.5" customHeight="1">
      <c r="A671" s="41">
        <v>183.0</v>
      </c>
      <c r="B671" s="42" t="s">
        <v>5172</v>
      </c>
      <c r="C671" s="43">
        <v>2022.0</v>
      </c>
      <c r="D671" s="111" t="s">
        <v>35</v>
      </c>
      <c r="E671" s="45" t="s">
        <v>36</v>
      </c>
      <c r="F671" s="45" t="s">
        <v>36</v>
      </c>
      <c r="G671" s="45" t="s">
        <v>36</v>
      </c>
      <c r="H671" s="45" t="s">
        <v>36</v>
      </c>
      <c r="I671" s="45" t="s">
        <v>36</v>
      </c>
      <c r="J671" s="112" t="s">
        <v>36</v>
      </c>
      <c r="K671" s="113" t="s">
        <v>37</v>
      </c>
      <c r="L671" s="114" t="s">
        <v>37</v>
      </c>
      <c r="M671" s="114" t="s">
        <v>35</v>
      </c>
      <c r="N671" s="114" t="s">
        <v>35</v>
      </c>
      <c r="O671" s="114" t="s">
        <v>35</v>
      </c>
      <c r="P671" s="114" t="s">
        <v>35</v>
      </c>
      <c r="Q671" s="114" t="s">
        <v>35</v>
      </c>
      <c r="R671" s="114" t="s">
        <v>37</v>
      </c>
      <c r="S671" s="115" t="s">
        <v>5173</v>
      </c>
      <c r="T671" s="50" t="s">
        <v>5174</v>
      </c>
      <c r="U671" s="50" t="s">
        <v>5174</v>
      </c>
      <c r="V671" s="116">
        <f t="shared" si="2"/>
        <v>1</v>
      </c>
      <c r="W671" s="116">
        <f t="shared" ref="W671:X671" si="676">IF(lenb(SUBSTITUTE($Z671,W$1&amp;" (1)",""))&lt;lenb($Z671),1,IF(lenb(SUBSTITUTE($Z671,W$1&amp;" (2)",""))&lt;lenb($Z671),2,IF(lenb(SUBSTITUTE($Z671,W$1&amp;" (3)",""))&lt;lenb($Z671),3,IF(lenb(SUBSTITUTE($Z671,W$1&amp;" (4)",""))&lt;lenb($Z671),4,IF(lenb(SUBSTITUTE($Z671,W$1&amp;" (5)",""))&lt;lenb($Z671),5,IF(lenb(SUBSTITUTE($Z671,W$1&amp;" (6)",""))&lt;lenb($Z671),6,IF(lenb(SUBSTITUTE($Z671,W$1&amp;" (7)",""))&lt;lenb($Z671),1,IF(lenb(SUBSTITUTE($Z671,W$1&amp;" (8)",""))&lt;lenb($Z671),8,IF(lenb(SUBSTITUTE($Z671,W$1&amp;" (9)",""))&lt;lenb($Z671),9,IF(lenb(SUBSTITUTE($Z671,W$1&amp;" (10)",""))&lt;lenb($Z671),10,IF(lenb(SUBSTITUTE($Z671,W$1,""))&lt;lenb($Z671),"ERROR",IF($Z671=$Y$1,"-",0))))))))))))</f>
        <v>0</v>
      </c>
      <c r="X671" s="116">
        <f t="shared" si="676"/>
        <v>0</v>
      </c>
      <c r="Y671" s="116" t="str">
        <f t="shared" si="4"/>
        <v>-</v>
      </c>
      <c r="Z671" s="115" t="s">
        <v>3400</v>
      </c>
      <c r="AA671" s="54">
        <f t="shared" si="5"/>
        <v>1</v>
      </c>
      <c r="AB671" s="54">
        <f>COUNTIFS(Links!B:B,"FSE",Links!C:C,A671,Links!AD:AD,1)</f>
        <v>0</v>
      </c>
      <c r="AC671" s="117" t="s">
        <v>35</v>
      </c>
      <c r="AD671" s="118" t="s">
        <v>35</v>
      </c>
      <c r="AE671" s="115" t="s">
        <v>36</v>
      </c>
      <c r="AF671" s="57" t="s">
        <v>42</v>
      </c>
      <c r="AG671" s="57" t="s">
        <v>42</v>
      </c>
      <c r="AH671" s="57" t="s">
        <v>42</v>
      </c>
      <c r="AI671" s="116" t="str">
        <f t="shared" si="6"/>
        <v>----</v>
      </c>
      <c r="AJ671" s="119" t="str">
        <f t="shared" si="7"/>
        <v>Paper has link but no statement</v>
      </c>
      <c r="AK671" s="120" t="s">
        <v>3401</v>
      </c>
      <c r="AL671" s="121" t="s">
        <v>3402</v>
      </c>
      <c r="AM671" s="60" t="str">
        <f t="shared" si="8"/>
        <v>[FP0183]</v>
      </c>
    </row>
    <row r="672" ht="67.5" customHeight="1">
      <c r="A672" s="61">
        <v>184.0</v>
      </c>
      <c r="B672" s="22" t="s">
        <v>5175</v>
      </c>
      <c r="C672" s="23">
        <v>2022.0</v>
      </c>
      <c r="D672" s="100" t="s">
        <v>35</v>
      </c>
      <c r="E672" s="25" t="s">
        <v>36</v>
      </c>
      <c r="F672" s="25" t="s">
        <v>36</v>
      </c>
      <c r="G672" s="25" t="s">
        <v>36</v>
      </c>
      <c r="H672" s="25" t="s">
        <v>36</v>
      </c>
      <c r="I672" s="25" t="s">
        <v>36</v>
      </c>
      <c r="J672" s="101" t="s">
        <v>36</v>
      </c>
      <c r="K672" s="102" t="s">
        <v>37</v>
      </c>
      <c r="L672" s="103" t="s">
        <v>35</v>
      </c>
      <c r="M672" s="103" t="s">
        <v>35</v>
      </c>
      <c r="N672" s="103" t="s">
        <v>37</v>
      </c>
      <c r="O672" s="103" t="s">
        <v>35</v>
      </c>
      <c r="P672" s="103" t="s">
        <v>35</v>
      </c>
      <c r="Q672" s="103" t="s">
        <v>35</v>
      </c>
      <c r="R672" s="103" t="s">
        <v>37</v>
      </c>
      <c r="S672" s="104" t="s">
        <v>5176</v>
      </c>
      <c r="T672" s="30" t="s">
        <v>5177</v>
      </c>
      <c r="U672" s="30" t="s">
        <v>5178</v>
      </c>
      <c r="V672" s="105">
        <f t="shared" si="2"/>
        <v>2</v>
      </c>
      <c r="W672" s="105">
        <f t="shared" ref="W672:X672" si="677">IF(lenb(SUBSTITUTE($Z672,W$1&amp;" (1)",""))&lt;lenb($Z672),1,IF(lenb(SUBSTITUTE($Z672,W$1&amp;" (2)",""))&lt;lenb($Z672),2,IF(lenb(SUBSTITUTE($Z672,W$1&amp;" (3)",""))&lt;lenb($Z672),3,IF(lenb(SUBSTITUTE($Z672,W$1&amp;" (4)",""))&lt;lenb($Z672),4,IF(lenb(SUBSTITUTE($Z672,W$1&amp;" (5)",""))&lt;lenb($Z672),5,IF(lenb(SUBSTITUTE($Z672,W$1&amp;" (6)",""))&lt;lenb($Z672),6,IF(lenb(SUBSTITUTE($Z672,W$1&amp;" (7)",""))&lt;lenb($Z672),1,IF(lenb(SUBSTITUTE($Z672,W$1&amp;" (8)",""))&lt;lenb($Z672),8,IF(lenb(SUBSTITUTE($Z672,W$1&amp;" (9)",""))&lt;lenb($Z672),9,IF(lenb(SUBSTITUTE($Z672,W$1&amp;" (10)",""))&lt;lenb($Z672),10,IF(lenb(SUBSTITUTE($Z672,W$1,""))&lt;lenb($Z672),"ERROR",IF($Z672=$Y$1,"-",0))))))))))))</f>
        <v>0</v>
      </c>
      <c r="X672" s="105">
        <f t="shared" si="677"/>
        <v>0</v>
      </c>
      <c r="Y672" s="105" t="str">
        <f t="shared" si="4"/>
        <v>-</v>
      </c>
      <c r="Z672" s="104" t="s">
        <v>3452</v>
      </c>
      <c r="AA672" s="34">
        <f t="shared" si="5"/>
        <v>2</v>
      </c>
      <c r="AB672" s="34">
        <f>COUNTIFS(Links!B:B,"FSE",Links!C:C,A672,Links!AD:AD,1)</f>
        <v>0</v>
      </c>
      <c r="AC672" s="106" t="s">
        <v>35</v>
      </c>
      <c r="AD672" s="107" t="s">
        <v>35</v>
      </c>
      <c r="AE672" s="104" t="s">
        <v>36</v>
      </c>
      <c r="AF672" s="37" t="s">
        <v>42</v>
      </c>
      <c r="AG672" s="37" t="s">
        <v>42</v>
      </c>
      <c r="AH672" s="37" t="s">
        <v>42</v>
      </c>
      <c r="AI672" s="105" t="str">
        <f t="shared" si="6"/>
        <v>----</v>
      </c>
      <c r="AJ672" s="108" t="str">
        <f t="shared" si="7"/>
        <v>Paper has link but no statement</v>
      </c>
      <c r="AK672" s="109" t="s">
        <v>3401</v>
      </c>
      <c r="AL672" s="110" t="s">
        <v>3402</v>
      </c>
      <c r="AM672" s="40" t="str">
        <f t="shared" si="8"/>
        <v>[FP0184]</v>
      </c>
    </row>
    <row r="673" ht="67.5" customHeight="1">
      <c r="A673" s="41">
        <v>185.0</v>
      </c>
      <c r="B673" s="42" t="s">
        <v>5179</v>
      </c>
      <c r="C673" s="43">
        <v>2022.0</v>
      </c>
      <c r="D673" s="111" t="s">
        <v>35</v>
      </c>
      <c r="E673" s="45" t="s">
        <v>36</v>
      </c>
      <c r="F673" s="45" t="s">
        <v>36</v>
      </c>
      <c r="G673" s="45" t="s">
        <v>36</v>
      </c>
      <c r="H673" s="45" t="s">
        <v>36</v>
      </c>
      <c r="I673" s="45" t="s">
        <v>36</v>
      </c>
      <c r="J673" s="112" t="s">
        <v>36</v>
      </c>
      <c r="K673" s="113" t="s">
        <v>37</v>
      </c>
      <c r="L673" s="114" t="s">
        <v>37</v>
      </c>
      <c r="M673" s="114" t="s">
        <v>35</v>
      </c>
      <c r="N673" s="114" t="s">
        <v>37</v>
      </c>
      <c r="O673" s="114" t="s">
        <v>35</v>
      </c>
      <c r="P673" s="114" t="s">
        <v>35</v>
      </c>
      <c r="Q673" s="114" t="s">
        <v>35</v>
      </c>
      <c r="R673" s="114" t="s">
        <v>35</v>
      </c>
      <c r="S673" s="115" t="s">
        <v>5180</v>
      </c>
      <c r="T673" s="50" t="s">
        <v>5181</v>
      </c>
      <c r="U673" s="50" t="s">
        <v>5181</v>
      </c>
      <c r="V673" s="116">
        <f t="shared" si="2"/>
        <v>1</v>
      </c>
      <c r="W673" s="116">
        <f t="shared" ref="W673:X673" si="678">IF(lenb(SUBSTITUTE($Z673,W$1&amp;" (1)",""))&lt;lenb($Z673),1,IF(lenb(SUBSTITUTE($Z673,W$1&amp;" (2)",""))&lt;lenb($Z673),2,IF(lenb(SUBSTITUTE($Z673,W$1&amp;" (3)",""))&lt;lenb($Z673),3,IF(lenb(SUBSTITUTE($Z673,W$1&amp;" (4)",""))&lt;lenb($Z673),4,IF(lenb(SUBSTITUTE($Z673,W$1&amp;" (5)",""))&lt;lenb($Z673),5,IF(lenb(SUBSTITUTE($Z673,W$1&amp;" (6)",""))&lt;lenb($Z673),6,IF(lenb(SUBSTITUTE($Z673,W$1&amp;" (7)",""))&lt;lenb($Z673),1,IF(lenb(SUBSTITUTE($Z673,W$1&amp;" (8)",""))&lt;lenb($Z673),8,IF(lenb(SUBSTITUTE($Z673,W$1&amp;" (9)",""))&lt;lenb($Z673),9,IF(lenb(SUBSTITUTE($Z673,W$1&amp;" (10)",""))&lt;lenb($Z673),10,IF(lenb(SUBSTITUTE($Z673,W$1,""))&lt;lenb($Z673),"ERROR",IF($Z673=$Y$1,"-",0))))))))))))</f>
        <v>0</v>
      </c>
      <c r="X673" s="116">
        <f t="shared" si="678"/>
        <v>0</v>
      </c>
      <c r="Y673" s="116" t="str">
        <f t="shared" si="4"/>
        <v>-</v>
      </c>
      <c r="Z673" s="115" t="s">
        <v>3400</v>
      </c>
      <c r="AA673" s="54">
        <f t="shared" si="5"/>
        <v>1</v>
      </c>
      <c r="AB673" s="54">
        <f>COUNTIFS(Links!B:B,"FSE",Links!C:C,A673,Links!AD:AD,1)</f>
        <v>0</v>
      </c>
      <c r="AC673" s="117" t="s">
        <v>35</v>
      </c>
      <c r="AD673" s="118" t="s">
        <v>35</v>
      </c>
      <c r="AE673" s="115" t="s">
        <v>36</v>
      </c>
      <c r="AF673" s="57" t="s">
        <v>42</v>
      </c>
      <c r="AG673" s="57" t="s">
        <v>42</v>
      </c>
      <c r="AH673" s="57" t="s">
        <v>42</v>
      </c>
      <c r="AI673" s="116" t="str">
        <f t="shared" si="6"/>
        <v>----</v>
      </c>
      <c r="AJ673" s="119" t="str">
        <f t="shared" si="7"/>
        <v>Paper has link but no statement</v>
      </c>
      <c r="AK673" s="120" t="s">
        <v>3401</v>
      </c>
      <c r="AL673" s="121" t="s">
        <v>3402</v>
      </c>
      <c r="AM673" s="60" t="str">
        <f t="shared" si="8"/>
        <v>[FP0185]</v>
      </c>
    </row>
    <row r="674" ht="67.5" customHeight="1">
      <c r="A674" s="61">
        <v>186.0</v>
      </c>
      <c r="B674" s="22" t="s">
        <v>5182</v>
      </c>
      <c r="C674" s="23">
        <v>2022.0</v>
      </c>
      <c r="D674" s="100" t="s">
        <v>37</v>
      </c>
      <c r="E674" s="25" t="s">
        <v>37</v>
      </c>
      <c r="F674" s="25" t="s">
        <v>37</v>
      </c>
      <c r="G674" s="25" t="s">
        <v>35</v>
      </c>
      <c r="H674" s="25" t="s">
        <v>35</v>
      </c>
      <c r="I674" s="25" t="s">
        <v>35</v>
      </c>
      <c r="J674" s="101" t="s">
        <v>36</v>
      </c>
      <c r="K674" s="102" t="s">
        <v>37</v>
      </c>
      <c r="L674" s="103" t="s">
        <v>37</v>
      </c>
      <c r="M674" s="103" t="s">
        <v>35</v>
      </c>
      <c r="N674" s="103" t="s">
        <v>37</v>
      </c>
      <c r="O674" s="103" t="s">
        <v>35</v>
      </c>
      <c r="P674" s="103" t="s">
        <v>35</v>
      </c>
      <c r="Q674" s="103" t="s">
        <v>35</v>
      </c>
      <c r="R674" s="103" t="s">
        <v>35</v>
      </c>
      <c r="S674" s="104" t="s">
        <v>5183</v>
      </c>
      <c r="T674" s="30" t="s">
        <v>5184</v>
      </c>
      <c r="U674" s="30" t="s">
        <v>5184</v>
      </c>
      <c r="V674" s="105">
        <f t="shared" si="2"/>
        <v>1</v>
      </c>
      <c r="W674" s="105">
        <f t="shared" ref="W674:X674" si="679">IF(lenb(SUBSTITUTE($Z674,W$1&amp;" (1)",""))&lt;lenb($Z674),1,IF(lenb(SUBSTITUTE($Z674,W$1&amp;" (2)",""))&lt;lenb($Z674),2,IF(lenb(SUBSTITUTE($Z674,W$1&amp;" (3)",""))&lt;lenb($Z674),3,IF(lenb(SUBSTITUTE($Z674,W$1&amp;" (4)",""))&lt;lenb($Z674),4,IF(lenb(SUBSTITUTE($Z674,W$1&amp;" (5)",""))&lt;lenb($Z674),5,IF(lenb(SUBSTITUTE($Z674,W$1&amp;" (6)",""))&lt;lenb($Z674),6,IF(lenb(SUBSTITUTE($Z674,W$1&amp;" (7)",""))&lt;lenb($Z674),1,IF(lenb(SUBSTITUTE($Z674,W$1&amp;" (8)",""))&lt;lenb($Z674),8,IF(lenb(SUBSTITUTE($Z674,W$1&amp;" (9)",""))&lt;lenb($Z674),9,IF(lenb(SUBSTITUTE($Z674,W$1&amp;" (10)",""))&lt;lenb($Z674),10,IF(lenb(SUBSTITUTE($Z674,W$1,""))&lt;lenb($Z674),"ERROR",IF($Z674=$Y$1,"-",0))))))))))))</f>
        <v>0</v>
      </c>
      <c r="X674" s="105">
        <f t="shared" si="679"/>
        <v>0</v>
      </c>
      <c r="Y674" s="105" t="str">
        <f t="shared" si="4"/>
        <v>-</v>
      </c>
      <c r="Z674" s="104" t="s">
        <v>3400</v>
      </c>
      <c r="AA674" s="34">
        <f t="shared" si="5"/>
        <v>1</v>
      </c>
      <c r="AB674" s="34">
        <f>COUNTIFS(Links!B:B,"FSE",Links!C:C,A674,Links!AD:AD,1)</f>
        <v>0</v>
      </c>
      <c r="AC674" s="106" t="s">
        <v>35</v>
      </c>
      <c r="AD674" s="107" t="s">
        <v>35</v>
      </c>
      <c r="AE674" s="104" t="s">
        <v>36</v>
      </c>
      <c r="AF674" s="37" t="s">
        <v>42</v>
      </c>
      <c r="AG674" s="37" t="s">
        <v>42</v>
      </c>
      <c r="AH674" s="37" t="s">
        <v>42</v>
      </c>
      <c r="AI674" s="105" t="str">
        <f t="shared" si="6"/>
        <v>----</v>
      </c>
      <c r="AJ674" s="108" t="str">
        <f t="shared" si="7"/>
        <v>Paper has link but no statement</v>
      </c>
      <c r="AK674" s="109" t="s">
        <v>3401</v>
      </c>
      <c r="AL674" s="110" t="s">
        <v>3402</v>
      </c>
      <c r="AM674" s="40" t="str">
        <f t="shared" si="8"/>
        <v>[FP0186]</v>
      </c>
    </row>
    <row r="675" ht="67.5" customHeight="1">
      <c r="A675" s="41">
        <v>187.0</v>
      </c>
      <c r="B675" s="42" t="s">
        <v>5185</v>
      </c>
      <c r="C675" s="43">
        <v>2022.0</v>
      </c>
      <c r="D675" s="111" t="s">
        <v>35</v>
      </c>
      <c r="E675" s="45" t="s">
        <v>36</v>
      </c>
      <c r="F675" s="45" t="s">
        <v>36</v>
      </c>
      <c r="G675" s="45" t="s">
        <v>36</v>
      </c>
      <c r="H675" s="45" t="s">
        <v>36</v>
      </c>
      <c r="I675" s="45" t="s">
        <v>36</v>
      </c>
      <c r="J675" s="112" t="s">
        <v>36</v>
      </c>
      <c r="K675" s="113" t="s">
        <v>35</v>
      </c>
      <c r="L675" s="114" t="s">
        <v>36</v>
      </c>
      <c r="M675" s="114" t="s">
        <v>36</v>
      </c>
      <c r="N675" s="114" t="s">
        <v>36</v>
      </c>
      <c r="O675" s="114" t="s">
        <v>36</v>
      </c>
      <c r="P675" s="114" t="s">
        <v>36</v>
      </c>
      <c r="Q675" s="114" t="s">
        <v>36</v>
      </c>
      <c r="R675" s="114" t="s">
        <v>36</v>
      </c>
      <c r="S675" s="115" t="s">
        <v>42</v>
      </c>
      <c r="T675" s="50" t="s">
        <v>36</v>
      </c>
      <c r="U675" s="50" t="s">
        <v>36</v>
      </c>
      <c r="V675" s="116" t="str">
        <f t="shared" si="2"/>
        <v>-</v>
      </c>
      <c r="W675" s="116" t="str">
        <f t="shared" ref="W675:X675" si="680">IF(lenb(SUBSTITUTE($Z675,W$1&amp;" (1)",""))&lt;lenb($Z675),1,IF(lenb(SUBSTITUTE($Z675,W$1&amp;" (2)",""))&lt;lenb($Z675),2,IF(lenb(SUBSTITUTE($Z675,W$1&amp;" (3)",""))&lt;lenb($Z675),3,IF(lenb(SUBSTITUTE($Z675,W$1&amp;" (4)",""))&lt;lenb($Z675),4,IF(lenb(SUBSTITUTE($Z675,W$1&amp;" (5)",""))&lt;lenb($Z675),5,IF(lenb(SUBSTITUTE($Z675,W$1&amp;" (6)",""))&lt;lenb($Z675),6,IF(lenb(SUBSTITUTE($Z675,W$1&amp;" (7)",""))&lt;lenb($Z675),1,IF(lenb(SUBSTITUTE($Z675,W$1&amp;" (8)",""))&lt;lenb($Z675),8,IF(lenb(SUBSTITUTE($Z675,W$1&amp;" (9)",""))&lt;lenb($Z675),9,IF(lenb(SUBSTITUTE($Z675,W$1&amp;" (10)",""))&lt;lenb($Z675),10,IF(lenb(SUBSTITUTE($Z675,W$1,""))&lt;lenb($Z675),"ERROR",IF($Z675=$Y$1,"-",0))))))))))))</f>
        <v>-</v>
      </c>
      <c r="X675" s="116" t="str">
        <f t="shared" si="680"/>
        <v>-</v>
      </c>
      <c r="Y675" s="116">
        <f t="shared" si="4"/>
        <v>1</v>
      </c>
      <c r="Z675" s="115" t="s">
        <v>23</v>
      </c>
      <c r="AA675" s="54">
        <f t="shared" si="5"/>
        <v>0</v>
      </c>
      <c r="AB675" s="54">
        <f>COUNTIFS(Links!B:B,"FSE",Links!C:C,A675,Links!AD:AD,1)</f>
        <v>0</v>
      </c>
      <c r="AC675" s="117" t="s">
        <v>36</v>
      </c>
      <c r="AD675" s="118" t="s">
        <v>35</v>
      </c>
      <c r="AE675" s="115" t="s">
        <v>36</v>
      </c>
      <c r="AF675" s="57" t="s">
        <v>42</v>
      </c>
      <c r="AG675" s="57" t="s">
        <v>42</v>
      </c>
      <c r="AH675" s="57" t="s">
        <v>42</v>
      </c>
      <c r="AI675" s="116" t="str">
        <f t="shared" si="6"/>
        <v>----</v>
      </c>
      <c r="AJ675" s="119" t="str">
        <f t="shared" si="7"/>
        <v>Paper has no link and no statement</v>
      </c>
      <c r="AK675" s="120" t="s">
        <v>3401</v>
      </c>
      <c r="AL675" s="121" t="s">
        <v>3402</v>
      </c>
      <c r="AM675" s="60" t="str">
        <f t="shared" si="8"/>
        <v>[FP0187]</v>
      </c>
    </row>
    <row r="676" ht="67.5" customHeight="1">
      <c r="A676" s="61">
        <v>188.0</v>
      </c>
      <c r="B676" s="22" t="s">
        <v>5186</v>
      </c>
      <c r="C676" s="23">
        <v>2022.0</v>
      </c>
      <c r="D676" s="100" t="s">
        <v>37</v>
      </c>
      <c r="E676" s="25" t="s">
        <v>37</v>
      </c>
      <c r="F676" s="25" t="s">
        <v>37</v>
      </c>
      <c r="G676" s="25" t="s">
        <v>35</v>
      </c>
      <c r="H676" s="25" t="s">
        <v>35</v>
      </c>
      <c r="I676" s="25" t="s">
        <v>35</v>
      </c>
      <c r="J676" s="101" t="s">
        <v>36</v>
      </c>
      <c r="K676" s="102" t="s">
        <v>37</v>
      </c>
      <c r="L676" s="103" t="s">
        <v>37</v>
      </c>
      <c r="M676" s="103" t="s">
        <v>37</v>
      </c>
      <c r="N676" s="103" t="s">
        <v>35</v>
      </c>
      <c r="O676" s="103" t="s">
        <v>37</v>
      </c>
      <c r="P676" s="103" t="s">
        <v>37</v>
      </c>
      <c r="Q676" s="103" t="s">
        <v>35</v>
      </c>
      <c r="R676" s="103" t="s">
        <v>35</v>
      </c>
      <c r="S676" s="104" t="s">
        <v>5187</v>
      </c>
      <c r="T676" s="30" t="s">
        <v>5188</v>
      </c>
      <c r="U676" s="30" t="s">
        <v>5189</v>
      </c>
      <c r="V676" s="105">
        <f t="shared" si="2"/>
        <v>3</v>
      </c>
      <c r="W676" s="105">
        <f t="shared" ref="W676:X676" si="681">IF(lenb(SUBSTITUTE($Z676,W$1&amp;" (1)",""))&lt;lenb($Z676),1,IF(lenb(SUBSTITUTE($Z676,W$1&amp;" (2)",""))&lt;lenb($Z676),2,IF(lenb(SUBSTITUTE($Z676,W$1&amp;" (3)",""))&lt;lenb($Z676),3,IF(lenb(SUBSTITUTE($Z676,W$1&amp;" (4)",""))&lt;lenb($Z676),4,IF(lenb(SUBSTITUTE($Z676,W$1&amp;" (5)",""))&lt;lenb($Z676),5,IF(lenb(SUBSTITUTE($Z676,W$1&amp;" (6)",""))&lt;lenb($Z676),6,IF(lenb(SUBSTITUTE($Z676,W$1&amp;" (7)",""))&lt;lenb($Z676),1,IF(lenb(SUBSTITUTE($Z676,W$1&amp;" (8)",""))&lt;lenb($Z676),8,IF(lenb(SUBSTITUTE($Z676,W$1&amp;" (9)",""))&lt;lenb($Z676),9,IF(lenb(SUBSTITUTE($Z676,W$1&amp;" (10)",""))&lt;lenb($Z676),10,IF(lenb(SUBSTITUTE($Z676,W$1,""))&lt;lenb($Z676),"ERROR",IF($Z676=$Y$1,"-",0))))))))))))</f>
        <v>0</v>
      </c>
      <c r="X676" s="105">
        <f t="shared" si="681"/>
        <v>0</v>
      </c>
      <c r="Y676" s="105" t="str">
        <f t="shared" si="4"/>
        <v>-</v>
      </c>
      <c r="Z676" s="104" t="s">
        <v>3741</v>
      </c>
      <c r="AA676" s="34">
        <f t="shared" si="5"/>
        <v>3</v>
      </c>
      <c r="AB676" s="34">
        <f>COUNTIFS(Links!B:B,"FSE",Links!C:C,A676,Links!AD:AD,1)</f>
        <v>0</v>
      </c>
      <c r="AC676" s="106" t="s">
        <v>37</v>
      </c>
      <c r="AD676" s="107" t="s">
        <v>35</v>
      </c>
      <c r="AE676" s="104" t="s">
        <v>36</v>
      </c>
      <c r="AF676" s="37" t="s">
        <v>42</v>
      </c>
      <c r="AG676" s="37" t="s">
        <v>42</v>
      </c>
      <c r="AH676" s="37" t="s">
        <v>42</v>
      </c>
      <c r="AI676" s="105" t="str">
        <f t="shared" si="6"/>
        <v>----</v>
      </c>
      <c r="AJ676" s="108" t="str">
        <f t="shared" si="7"/>
        <v>Paper has link but no statement</v>
      </c>
      <c r="AK676" s="109" t="s">
        <v>3401</v>
      </c>
      <c r="AL676" s="110" t="s">
        <v>3402</v>
      </c>
      <c r="AM676" s="40" t="str">
        <f t="shared" si="8"/>
        <v>[FP0188]</v>
      </c>
    </row>
    <row r="677" ht="67.5" customHeight="1">
      <c r="A677" s="41">
        <v>189.0</v>
      </c>
      <c r="B677" s="42" t="s">
        <v>5190</v>
      </c>
      <c r="C677" s="43">
        <v>2022.0</v>
      </c>
      <c r="D677" s="111" t="s">
        <v>35</v>
      </c>
      <c r="E677" s="45" t="s">
        <v>36</v>
      </c>
      <c r="F677" s="45" t="s">
        <v>36</v>
      </c>
      <c r="G677" s="45" t="s">
        <v>36</v>
      </c>
      <c r="H677" s="45" t="s">
        <v>36</v>
      </c>
      <c r="I677" s="45" t="s">
        <v>36</v>
      </c>
      <c r="J677" s="112" t="s">
        <v>36</v>
      </c>
      <c r="K677" s="113" t="s">
        <v>37</v>
      </c>
      <c r="L677" s="114" t="s">
        <v>37</v>
      </c>
      <c r="M677" s="114" t="s">
        <v>35</v>
      </c>
      <c r="N677" s="114" t="s">
        <v>37</v>
      </c>
      <c r="O677" s="114" t="s">
        <v>35</v>
      </c>
      <c r="P677" s="114" t="s">
        <v>35</v>
      </c>
      <c r="Q677" s="114" t="s">
        <v>35</v>
      </c>
      <c r="R677" s="114" t="s">
        <v>35</v>
      </c>
      <c r="S677" s="115" t="s">
        <v>5191</v>
      </c>
      <c r="T677" s="50" t="s">
        <v>5192</v>
      </c>
      <c r="U677" s="50" t="s">
        <v>5192</v>
      </c>
      <c r="V677" s="116">
        <f t="shared" si="2"/>
        <v>1</v>
      </c>
      <c r="W677" s="116">
        <f t="shared" ref="W677:X677" si="682">IF(lenb(SUBSTITUTE($Z677,W$1&amp;" (1)",""))&lt;lenb($Z677),1,IF(lenb(SUBSTITUTE($Z677,W$1&amp;" (2)",""))&lt;lenb($Z677),2,IF(lenb(SUBSTITUTE($Z677,W$1&amp;" (3)",""))&lt;lenb($Z677),3,IF(lenb(SUBSTITUTE($Z677,W$1&amp;" (4)",""))&lt;lenb($Z677),4,IF(lenb(SUBSTITUTE($Z677,W$1&amp;" (5)",""))&lt;lenb($Z677),5,IF(lenb(SUBSTITUTE($Z677,W$1&amp;" (6)",""))&lt;lenb($Z677),6,IF(lenb(SUBSTITUTE($Z677,W$1&amp;" (7)",""))&lt;lenb($Z677),1,IF(lenb(SUBSTITUTE($Z677,W$1&amp;" (8)",""))&lt;lenb($Z677),8,IF(lenb(SUBSTITUTE($Z677,W$1&amp;" (9)",""))&lt;lenb($Z677),9,IF(lenb(SUBSTITUTE($Z677,W$1&amp;" (10)",""))&lt;lenb($Z677),10,IF(lenb(SUBSTITUTE($Z677,W$1,""))&lt;lenb($Z677),"ERROR",IF($Z677=$Y$1,"-",0))))))))))))</f>
        <v>0</v>
      </c>
      <c r="X677" s="116">
        <f t="shared" si="682"/>
        <v>0</v>
      </c>
      <c r="Y677" s="116" t="str">
        <f t="shared" si="4"/>
        <v>-</v>
      </c>
      <c r="Z677" s="115" t="s">
        <v>3400</v>
      </c>
      <c r="AA677" s="54">
        <f t="shared" si="5"/>
        <v>1</v>
      </c>
      <c r="AB677" s="54">
        <f>COUNTIFS(Links!B:B,"FSE",Links!C:C,A677,Links!AD:AD,1)</f>
        <v>0</v>
      </c>
      <c r="AC677" s="117" t="s">
        <v>35</v>
      </c>
      <c r="AD677" s="118" t="s">
        <v>35</v>
      </c>
      <c r="AE677" s="115" t="s">
        <v>36</v>
      </c>
      <c r="AF677" s="57" t="s">
        <v>42</v>
      </c>
      <c r="AG677" s="57" t="s">
        <v>42</v>
      </c>
      <c r="AH677" s="57" t="s">
        <v>42</v>
      </c>
      <c r="AI677" s="116" t="str">
        <f t="shared" si="6"/>
        <v>----</v>
      </c>
      <c r="AJ677" s="119" t="str">
        <f t="shared" si="7"/>
        <v>Paper has link but no statement</v>
      </c>
      <c r="AK677" s="120" t="s">
        <v>3401</v>
      </c>
      <c r="AL677" s="121" t="s">
        <v>3402</v>
      </c>
      <c r="AM677" s="60" t="str">
        <f t="shared" si="8"/>
        <v>[FP0189]</v>
      </c>
    </row>
    <row r="678" ht="67.5" customHeight="1">
      <c r="A678" s="61">
        <v>190.0</v>
      </c>
      <c r="B678" s="22" t="s">
        <v>5193</v>
      </c>
      <c r="C678" s="23">
        <v>2022.0</v>
      </c>
      <c r="D678" s="100" t="s">
        <v>35</v>
      </c>
      <c r="E678" s="25" t="s">
        <v>36</v>
      </c>
      <c r="F678" s="25" t="s">
        <v>36</v>
      </c>
      <c r="G678" s="25" t="s">
        <v>36</v>
      </c>
      <c r="H678" s="25" t="s">
        <v>36</v>
      </c>
      <c r="I678" s="25" t="s">
        <v>36</v>
      </c>
      <c r="J678" s="101" t="s">
        <v>36</v>
      </c>
      <c r="K678" s="102" t="s">
        <v>35</v>
      </c>
      <c r="L678" s="103" t="s">
        <v>36</v>
      </c>
      <c r="M678" s="103" t="s">
        <v>36</v>
      </c>
      <c r="N678" s="103" t="s">
        <v>36</v>
      </c>
      <c r="O678" s="103" t="s">
        <v>36</v>
      </c>
      <c r="P678" s="103" t="s">
        <v>36</v>
      </c>
      <c r="Q678" s="103" t="s">
        <v>36</v>
      </c>
      <c r="R678" s="103" t="s">
        <v>36</v>
      </c>
      <c r="S678" s="104" t="s">
        <v>42</v>
      </c>
      <c r="T678" s="30" t="s">
        <v>36</v>
      </c>
      <c r="U678" s="30" t="s">
        <v>36</v>
      </c>
      <c r="V678" s="105" t="str">
        <f t="shared" si="2"/>
        <v>-</v>
      </c>
      <c r="W678" s="105" t="str">
        <f t="shared" ref="W678:X678" si="683">IF(lenb(SUBSTITUTE($Z678,W$1&amp;" (1)",""))&lt;lenb($Z678),1,IF(lenb(SUBSTITUTE($Z678,W$1&amp;" (2)",""))&lt;lenb($Z678),2,IF(lenb(SUBSTITUTE($Z678,W$1&amp;" (3)",""))&lt;lenb($Z678),3,IF(lenb(SUBSTITUTE($Z678,W$1&amp;" (4)",""))&lt;lenb($Z678),4,IF(lenb(SUBSTITUTE($Z678,W$1&amp;" (5)",""))&lt;lenb($Z678),5,IF(lenb(SUBSTITUTE($Z678,W$1&amp;" (6)",""))&lt;lenb($Z678),6,IF(lenb(SUBSTITUTE($Z678,W$1&amp;" (7)",""))&lt;lenb($Z678),1,IF(lenb(SUBSTITUTE($Z678,W$1&amp;" (8)",""))&lt;lenb($Z678),8,IF(lenb(SUBSTITUTE($Z678,W$1&amp;" (9)",""))&lt;lenb($Z678),9,IF(lenb(SUBSTITUTE($Z678,W$1&amp;" (10)",""))&lt;lenb($Z678),10,IF(lenb(SUBSTITUTE($Z678,W$1,""))&lt;lenb($Z678),"ERROR",IF($Z678=$Y$1,"-",0))))))))))))</f>
        <v>-</v>
      </c>
      <c r="X678" s="105" t="str">
        <f t="shared" si="683"/>
        <v>-</v>
      </c>
      <c r="Y678" s="105">
        <f t="shared" si="4"/>
        <v>1</v>
      </c>
      <c r="Z678" s="104" t="s">
        <v>23</v>
      </c>
      <c r="AA678" s="34">
        <f t="shared" si="5"/>
        <v>0</v>
      </c>
      <c r="AB678" s="34">
        <f>COUNTIFS(Links!B:B,"FSE",Links!C:C,A678,Links!AD:AD,1)</f>
        <v>0</v>
      </c>
      <c r="AC678" s="106" t="s">
        <v>36</v>
      </c>
      <c r="AD678" s="107" t="s">
        <v>35</v>
      </c>
      <c r="AE678" s="104" t="s">
        <v>36</v>
      </c>
      <c r="AF678" s="37" t="s">
        <v>42</v>
      </c>
      <c r="AG678" s="37" t="s">
        <v>42</v>
      </c>
      <c r="AH678" s="37" t="s">
        <v>42</v>
      </c>
      <c r="AI678" s="105" t="str">
        <f t="shared" si="6"/>
        <v>----</v>
      </c>
      <c r="AJ678" s="108" t="str">
        <f t="shared" si="7"/>
        <v>Paper has no link and no statement</v>
      </c>
      <c r="AK678" s="109" t="s">
        <v>3401</v>
      </c>
      <c r="AL678" s="110" t="s">
        <v>3402</v>
      </c>
      <c r="AM678" s="40" t="str">
        <f t="shared" si="8"/>
        <v>[FP0190]</v>
      </c>
    </row>
    <row r="679" ht="67.5" customHeight="1">
      <c r="A679" s="41">
        <v>191.0</v>
      </c>
      <c r="B679" s="42" t="s">
        <v>5194</v>
      </c>
      <c r="C679" s="43">
        <v>2022.0</v>
      </c>
      <c r="D679" s="111" t="s">
        <v>35</v>
      </c>
      <c r="E679" s="45" t="s">
        <v>36</v>
      </c>
      <c r="F679" s="45" t="s">
        <v>36</v>
      </c>
      <c r="G679" s="45" t="s">
        <v>36</v>
      </c>
      <c r="H679" s="45" t="s">
        <v>36</v>
      </c>
      <c r="I679" s="45" t="s">
        <v>36</v>
      </c>
      <c r="J679" s="112" t="s">
        <v>36</v>
      </c>
      <c r="K679" s="113" t="s">
        <v>37</v>
      </c>
      <c r="L679" s="114" t="s">
        <v>35</v>
      </c>
      <c r="M679" s="114" t="s">
        <v>37</v>
      </c>
      <c r="N679" s="114" t="s">
        <v>35</v>
      </c>
      <c r="O679" s="114" t="s">
        <v>37</v>
      </c>
      <c r="P679" s="114" t="s">
        <v>35</v>
      </c>
      <c r="Q679" s="114" t="s">
        <v>35</v>
      </c>
      <c r="R679" s="114" t="s">
        <v>37</v>
      </c>
      <c r="S679" s="115" t="s">
        <v>5195</v>
      </c>
      <c r="T679" s="50" t="s">
        <v>5196</v>
      </c>
      <c r="U679" s="50" t="s">
        <v>5196</v>
      </c>
      <c r="V679" s="116">
        <f t="shared" si="2"/>
        <v>1</v>
      </c>
      <c r="W679" s="116">
        <f t="shared" ref="W679:X679" si="684">IF(lenb(SUBSTITUTE($Z679,W$1&amp;" (1)",""))&lt;lenb($Z679),1,IF(lenb(SUBSTITUTE($Z679,W$1&amp;" (2)",""))&lt;lenb($Z679),2,IF(lenb(SUBSTITUTE($Z679,W$1&amp;" (3)",""))&lt;lenb($Z679),3,IF(lenb(SUBSTITUTE($Z679,W$1&amp;" (4)",""))&lt;lenb($Z679),4,IF(lenb(SUBSTITUTE($Z679,W$1&amp;" (5)",""))&lt;lenb($Z679),5,IF(lenb(SUBSTITUTE($Z679,W$1&amp;" (6)",""))&lt;lenb($Z679),6,IF(lenb(SUBSTITUTE($Z679,W$1&amp;" (7)",""))&lt;lenb($Z679),1,IF(lenb(SUBSTITUTE($Z679,W$1&amp;" (8)",""))&lt;lenb($Z679),8,IF(lenb(SUBSTITUTE($Z679,W$1&amp;" (9)",""))&lt;lenb($Z679),9,IF(lenb(SUBSTITUTE($Z679,W$1&amp;" (10)",""))&lt;lenb($Z679),10,IF(lenb(SUBSTITUTE($Z679,W$1,""))&lt;lenb($Z679),"ERROR",IF($Z679=$Y$1,"-",0))))))))))))</f>
        <v>0</v>
      </c>
      <c r="X679" s="116">
        <f t="shared" si="684"/>
        <v>0</v>
      </c>
      <c r="Y679" s="116" t="str">
        <f t="shared" si="4"/>
        <v>-</v>
      </c>
      <c r="Z679" s="115" t="s">
        <v>3400</v>
      </c>
      <c r="AA679" s="54">
        <f t="shared" si="5"/>
        <v>1</v>
      </c>
      <c r="AB679" s="54">
        <f>COUNTIFS(Links!B:B,"FSE",Links!C:C,A679,Links!AD:AD,1)</f>
        <v>0</v>
      </c>
      <c r="AC679" s="117" t="s">
        <v>37</v>
      </c>
      <c r="AD679" s="118" t="s">
        <v>35</v>
      </c>
      <c r="AE679" s="115" t="s">
        <v>36</v>
      </c>
      <c r="AF679" s="57" t="s">
        <v>42</v>
      </c>
      <c r="AG679" s="57" t="s">
        <v>42</v>
      </c>
      <c r="AH679" s="57" t="s">
        <v>42</v>
      </c>
      <c r="AI679" s="116" t="str">
        <f t="shared" si="6"/>
        <v>----</v>
      </c>
      <c r="AJ679" s="119" t="str">
        <f t="shared" si="7"/>
        <v>Paper has link but no statement</v>
      </c>
      <c r="AK679" s="120" t="s">
        <v>3401</v>
      </c>
      <c r="AL679" s="121" t="s">
        <v>3402</v>
      </c>
      <c r="AM679" s="60" t="str">
        <f t="shared" si="8"/>
        <v>[FP0191]</v>
      </c>
    </row>
    <row r="680" ht="67.5" customHeight="1">
      <c r="A680" s="61">
        <v>192.0</v>
      </c>
      <c r="B680" s="22" t="s">
        <v>5197</v>
      </c>
      <c r="C680" s="23">
        <v>2022.0</v>
      </c>
      <c r="D680" s="100" t="s">
        <v>37</v>
      </c>
      <c r="E680" s="25" t="s">
        <v>37</v>
      </c>
      <c r="F680" s="25" t="s">
        <v>35</v>
      </c>
      <c r="G680" s="25" t="s">
        <v>35</v>
      </c>
      <c r="H680" s="25" t="s">
        <v>35</v>
      </c>
      <c r="I680" s="25" t="s">
        <v>35</v>
      </c>
      <c r="J680" s="101" t="s">
        <v>36</v>
      </c>
      <c r="K680" s="102" t="s">
        <v>37</v>
      </c>
      <c r="L680" s="103" t="s">
        <v>35</v>
      </c>
      <c r="M680" s="103" t="s">
        <v>37</v>
      </c>
      <c r="N680" s="103" t="s">
        <v>35</v>
      </c>
      <c r="O680" s="103" t="s">
        <v>35</v>
      </c>
      <c r="P680" s="103" t="s">
        <v>35</v>
      </c>
      <c r="Q680" s="103" t="s">
        <v>35</v>
      </c>
      <c r="R680" s="103" t="s">
        <v>37</v>
      </c>
      <c r="S680" s="104" t="s">
        <v>5198</v>
      </c>
      <c r="T680" s="30" t="s">
        <v>5199</v>
      </c>
      <c r="U680" s="30" t="s">
        <v>5199</v>
      </c>
      <c r="V680" s="105">
        <f t="shared" si="2"/>
        <v>1</v>
      </c>
      <c r="W680" s="105">
        <f t="shared" ref="W680:X680" si="685">IF(lenb(SUBSTITUTE($Z680,W$1&amp;" (1)",""))&lt;lenb($Z680),1,IF(lenb(SUBSTITUTE($Z680,W$1&amp;" (2)",""))&lt;lenb($Z680),2,IF(lenb(SUBSTITUTE($Z680,W$1&amp;" (3)",""))&lt;lenb($Z680),3,IF(lenb(SUBSTITUTE($Z680,W$1&amp;" (4)",""))&lt;lenb($Z680),4,IF(lenb(SUBSTITUTE($Z680,W$1&amp;" (5)",""))&lt;lenb($Z680),5,IF(lenb(SUBSTITUTE($Z680,W$1&amp;" (6)",""))&lt;lenb($Z680),6,IF(lenb(SUBSTITUTE($Z680,W$1&amp;" (7)",""))&lt;lenb($Z680),1,IF(lenb(SUBSTITUTE($Z680,W$1&amp;" (8)",""))&lt;lenb($Z680),8,IF(lenb(SUBSTITUTE($Z680,W$1&amp;" (9)",""))&lt;lenb($Z680),9,IF(lenb(SUBSTITUTE($Z680,W$1&amp;" (10)",""))&lt;lenb($Z680),10,IF(lenb(SUBSTITUTE($Z680,W$1,""))&lt;lenb($Z680),"ERROR",IF($Z680=$Y$1,"-",0))))))))))))</f>
        <v>0</v>
      </c>
      <c r="X680" s="105">
        <f t="shared" si="685"/>
        <v>0</v>
      </c>
      <c r="Y680" s="105" t="str">
        <f t="shared" si="4"/>
        <v>-</v>
      </c>
      <c r="Z680" s="104" t="s">
        <v>3400</v>
      </c>
      <c r="AA680" s="34">
        <f t="shared" si="5"/>
        <v>1</v>
      </c>
      <c r="AB680" s="34">
        <f>COUNTIFS(Links!B:B,"FSE",Links!C:C,A680,Links!AD:AD,1)</f>
        <v>0</v>
      </c>
      <c r="AC680" s="106" t="s">
        <v>37</v>
      </c>
      <c r="AD680" s="107" t="s">
        <v>35</v>
      </c>
      <c r="AE680" s="104" t="s">
        <v>36</v>
      </c>
      <c r="AF680" s="37" t="s">
        <v>42</v>
      </c>
      <c r="AG680" s="37" t="s">
        <v>42</v>
      </c>
      <c r="AH680" s="37" t="s">
        <v>42</v>
      </c>
      <c r="AI680" s="105" t="str">
        <f t="shared" si="6"/>
        <v>----</v>
      </c>
      <c r="AJ680" s="108" t="str">
        <f t="shared" si="7"/>
        <v>Paper has link but no statement</v>
      </c>
      <c r="AK680" s="109" t="s">
        <v>3401</v>
      </c>
      <c r="AL680" s="110" t="s">
        <v>3402</v>
      </c>
      <c r="AM680" s="40" t="str">
        <f t="shared" si="8"/>
        <v>[FP0192]</v>
      </c>
    </row>
    <row r="681" ht="67.5" customHeight="1">
      <c r="A681" s="41">
        <v>193.0</v>
      </c>
      <c r="B681" s="42" t="s">
        <v>5200</v>
      </c>
      <c r="C681" s="43">
        <v>2022.0</v>
      </c>
      <c r="D681" s="111" t="s">
        <v>35</v>
      </c>
      <c r="E681" s="45" t="s">
        <v>36</v>
      </c>
      <c r="F681" s="45" t="s">
        <v>36</v>
      </c>
      <c r="G681" s="45" t="s">
        <v>36</v>
      </c>
      <c r="H681" s="45" t="s">
        <v>36</v>
      </c>
      <c r="I681" s="45" t="s">
        <v>36</v>
      </c>
      <c r="J681" s="112" t="s">
        <v>36</v>
      </c>
      <c r="K681" s="113" t="s">
        <v>37</v>
      </c>
      <c r="L681" s="114" t="s">
        <v>35</v>
      </c>
      <c r="M681" s="114" t="s">
        <v>37</v>
      </c>
      <c r="N681" s="114" t="s">
        <v>37</v>
      </c>
      <c r="O681" s="114" t="s">
        <v>35</v>
      </c>
      <c r="P681" s="114" t="s">
        <v>35</v>
      </c>
      <c r="Q681" s="114" t="s">
        <v>35</v>
      </c>
      <c r="R681" s="114" t="s">
        <v>37</v>
      </c>
      <c r="S681" s="115" t="s">
        <v>5201</v>
      </c>
      <c r="T681" s="50" t="s">
        <v>5202</v>
      </c>
      <c r="U681" s="50" t="s">
        <v>5202</v>
      </c>
      <c r="V681" s="116">
        <f t="shared" si="2"/>
        <v>2</v>
      </c>
      <c r="W681" s="116">
        <f t="shared" ref="W681:X681" si="686">IF(lenb(SUBSTITUTE($Z681,W$1&amp;" (1)",""))&lt;lenb($Z681),1,IF(lenb(SUBSTITUTE($Z681,W$1&amp;" (2)",""))&lt;lenb($Z681),2,IF(lenb(SUBSTITUTE($Z681,W$1&amp;" (3)",""))&lt;lenb($Z681),3,IF(lenb(SUBSTITUTE($Z681,W$1&amp;" (4)",""))&lt;lenb($Z681),4,IF(lenb(SUBSTITUTE($Z681,W$1&amp;" (5)",""))&lt;lenb($Z681),5,IF(lenb(SUBSTITUTE($Z681,W$1&amp;" (6)",""))&lt;lenb($Z681),6,IF(lenb(SUBSTITUTE($Z681,W$1&amp;" (7)",""))&lt;lenb($Z681),1,IF(lenb(SUBSTITUTE($Z681,W$1&amp;" (8)",""))&lt;lenb($Z681),8,IF(lenb(SUBSTITUTE($Z681,W$1&amp;" (9)",""))&lt;lenb($Z681),9,IF(lenb(SUBSTITUTE($Z681,W$1&amp;" (10)",""))&lt;lenb($Z681),10,IF(lenb(SUBSTITUTE($Z681,W$1,""))&lt;lenb($Z681),"ERROR",IF($Z681=$Y$1,"-",0))))))))))))</f>
        <v>0</v>
      </c>
      <c r="X681" s="116">
        <f t="shared" si="686"/>
        <v>0</v>
      </c>
      <c r="Y681" s="116" t="str">
        <f t="shared" si="4"/>
        <v>-</v>
      </c>
      <c r="Z681" s="115" t="s">
        <v>3452</v>
      </c>
      <c r="AA681" s="54">
        <f t="shared" si="5"/>
        <v>2</v>
      </c>
      <c r="AB681" s="54">
        <f>COUNTIFS(Links!B:B,"FSE",Links!C:C,A681,Links!AD:AD,1)</f>
        <v>0</v>
      </c>
      <c r="AC681" s="117" t="s">
        <v>37</v>
      </c>
      <c r="AD681" s="118" t="s">
        <v>35</v>
      </c>
      <c r="AE681" s="115" t="s">
        <v>36</v>
      </c>
      <c r="AF681" s="57" t="s">
        <v>42</v>
      </c>
      <c r="AG681" s="57" t="s">
        <v>42</v>
      </c>
      <c r="AH681" s="57" t="s">
        <v>42</v>
      </c>
      <c r="AI681" s="116" t="str">
        <f t="shared" si="6"/>
        <v>----</v>
      </c>
      <c r="AJ681" s="119" t="str">
        <f t="shared" si="7"/>
        <v>Paper has link but no statement</v>
      </c>
      <c r="AK681" s="120" t="s">
        <v>3401</v>
      </c>
      <c r="AL681" s="121" t="s">
        <v>3402</v>
      </c>
      <c r="AM681" s="60" t="str">
        <f t="shared" si="8"/>
        <v>[FP0193]</v>
      </c>
    </row>
    <row r="682" ht="67.5" customHeight="1">
      <c r="A682" s="61">
        <v>194.0</v>
      </c>
      <c r="B682" s="22" t="s">
        <v>5203</v>
      </c>
      <c r="C682" s="23">
        <v>2022.0</v>
      </c>
      <c r="D682" s="100" t="s">
        <v>35</v>
      </c>
      <c r="E682" s="25" t="s">
        <v>36</v>
      </c>
      <c r="F682" s="25" t="s">
        <v>36</v>
      </c>
      <c r="G682" s="25" t="s">
        <v>36</v>
      </c>
      <c r="H682" s="25" t="s">
        <v>36</v>
      </c>
      <c r="I682" s="25" t="s">
        <v>36</v>
      </c>
      <c r="J682" s="101" t="s">
        <v>36</v>
      </c>
      <c r="K682" s="102" t="s">
        <v>37</v>
      </c>
      <c r="L682" s="103" t="s">
        <v>35</v>
      </c>
      <c r="M682" s="103" t="s">
        <v>37</v>
      </c>
      <c r="N682" s="103" t="s">
        <v>37</v>
      </c>
      <c r="O682" s="103" t="s">
        <v>35</v>
      </c>
      <c r="P682" s="103" t="s">
        <v>35</v>
      </c>
      <c r="Q682" s="103" t="s">
        <v>35</v>
      </c>
      <c r="R682" s="103" t="s">
        <v>35</v>
      </c>
      <c r="S682" s="104" t="s">
        <v>5204</v>
      </c>
      <c r="T682" s="30" t="s">
        <v>5205</v>
      </c>
      <c r="U682" s="30" t="s">
        <v>5205</v>
      </c>
      <c r="V682" s="105">
        <f t="shared" si="2"/>
        <v>1</v>
      </c>
      <c r="W682" s="105">
        <f t="shared" ref="W682:X682" si="687">IF(lenb(SUBSTITUTE($Z682,W$1&amp;" (1)",""))&lt;lenb($Z682),1,IF(lenb(SUBSTITUTE($Z682,W$1&amp;" (2)",""))&lt;lenb($Z682),2,IF(lenb(SUBSTITUTE($Z682,W$1&amp;" (3)",""))&lt;lenb($Z682),3,IF(lenb(SUBSTITUTE($Z682,W$1&amp;" (4)",""))&lt;lenb($Z682),4,IF(lenb(SUBSTITUTE($Z682,W$1&amp;" (5)",""))&lt;lenb($Z682),5,IF(lenb(SUBSTITUTE($Z682,W$1&amp;" (6)",""))&lt;lenb($Z682),6,IF(lenb(SUBSTITUTE($Z682,W$1&amp;" (7)",""))&lt;lenb($Z682),1,IF(lenb(SUBSTITUTE($Z682,W$1&amp;" (8)",""))&lt;lenb($Z682),8,IF(lenb(SUBSTITUTE($Z682,W$1&amp;" (9)",""))&lt;lenb($Z682),9,IF(lenb(SUBSTITUTE($Z682,W$1&amp;" (10)",""))&lt;lenb($Z682),10,IF(lenb(SUBSTITUTE($Z682,W$1,""))&lt;lenb($Z682),"ERROR",IF($Z682=$Y$1,"-",0))))))))))))</f>
        <v>0</v>
      </c>
      <c r="X682" s="105">
        <f t="shared" si="687"/>
        <v>0</v>
      </c>
      <c r="Y682" s="105" t="str">
        <f t="shared" si="4"/>
        <v>-</v>
      </c>
      <c r="Z682" s="104" t="s">
        <v>3400</v>
      </c>
      <c r="AA682" s="34">
        <f t="shared" si="5"/>
        <v>1</v>
      </c>
      <c r="AB682" s="34">
        <f>COUNTIFS(Links!B:B,"FSE",Links!C:C,A682,Links!AD:AD,1)</f>
        <v>0</v>
      </c>
      <c r="AC682" s="106" t="s">
        <v>35</v>
      </c>
      <c r="AD682" s="107" t="s">
        <v>35</v>
      </c>
      <c r="AE682" s="104" t="s">
        <v>36</v>
      </c>
      <c r="AF682" s="37" t="s">
        <v>42</v>
      </c>
      <c r="AG682" s="37" t="s">
        <v>42</v>
      </c>
      <c r="AH682" s="37" t="s">
        <v>42</v>
      </c>
      <c r="AI682" s="105" t="str">
        <f t="shared" si="6"/>
        <v>----</v>
      </c>
      <c r="AJ682" s="108" t="str">
        <f t="shared" si="7"/>
        <v>Paper has link but no statement</v>
      </c>
      <c r="AK682" s="109" t="s">
        <v>3401</v>
      </c>
      <c r="AL682" s="110" t="s">
        <v>3402</v>
      </c>
      <c r="AM682" s="40" t="str">
        <f t="shared" si="8"/>
        <v>[FP0194]</v>
      </c>
    </row>
    <row r="683" ht="67.5" customHeight="1">
      <c r="A683" s="41">
        <v>195.0</v>
      </c>
      <c r="B683" s="42" t="s">
        <v>5206</v>
      </c>
      <c r="C683" s="43">
        <v>2022.0</v>
      </c>
      <c r="D683" s="111" t="s">
        <v>37</v>
      </c>
      <c r="E683" s="45" t="s">
        <v>37</v>
      </c>
      <c r="F683" s="45" t="s">
        <v>35</v>
      </c>
      <c r="G683" s="45" t="s">
        <v>37</v>
      </c>
      <c r="H683" s="45" t="s">
        <v>35</v>
      </c>
      <c r="I683" s="45" t="s">
        <v>35</v>
      </c>
      <c r="J683" s="112" t="s">
        <v>36</v>
      </c>
      <c r="K683" s="113" t="s">
        <v>37</v>
      </c>
      <c r="L683" s="114" t="s">
        <v>35</v>
      </c>
      <c r="M683" s="131" t="s">
        <v>37</v>
      </c>
      <c r="N683" s="131" t="s">
        <v>37</v>
      </c>
      <c r="O683" s="114" t="s">
        <v>35</v>
      </c>
      <c r="P683" s="131" t="s">
        <v>37</v>
      </c>
      <c r="Q683" s="114" t="s">
        <v>35</v>
      </c>
      <c r="R683" s="114" t="s">
        <v>35</v>
      </c>
      <c r="S683" s="115" t="s">
        <v>13</v>
      </c>
      <c r="T683" s="50" t="s">
        <v>5207</v>
      </c>
      <c r="U683" s="50" t="s">
        <v>5208</v>
      </c>
      <c r="V683" s="116">
        <f t="shared" si="2"/>
        <v>1</v>
      </c>
      <c r="W683" s="116">
        <f t="shared" ref="W683:X683" si="688">IF(lenb(SUBSTITUTE($Z683,W$1&amp;" (1)",""))&lt;lenb($Z683),1,IF(lenb(SUBSTITUTE($Z683,W$1&amp;" (2)",""))&lt;lenb($Z683),2,IF(lenb(SUBSTITUTE($Z683,W$1&amp;" (3)",""))&lt;lenb($Z683),3,IF(lenb(SUBSTITUTE($Z683,W$1&amp;" (4)",""))&lt;lenb($Z683),4,IF(lenb(SUBSTITUTE($Z683,W$1&amp;" (5)",""))&lt;lenb($Z683),5,IF(lenb(SUBSTITUTE($Z683,W$1&amp;" (6)",""))&lt;lenb($Z683),6,IF(lenb(SUBSTITUTE($Z683,W$1&amp;" (7)",""))&lt;lenb($Z683),1,IF(lenb(SUBSTITUTE($Z683,W$1&amp;" (8)",""))&lt;lenb($Z683),8,IF(lenb(SUBSTITUTE($Z683,W$1&amp;" (9)",""))&lt;lenb($Z683),9,IF(lenb(SUBSTITUTE($Z683,W$1&amp;" (10)",""))&lt;lenb($Z683),10,IF(lenb(SUBSTITUTE($Z683,W$1,""))&lt;lenb($Z683),"ERROR",IF($Z683=$Y$1,"-",0))))))))))))</f>
        <v>0</v>
      </c>
      <c r="X683" s="116">
        <f t="shared" si="688"/>
        <v>0</v>
      </c>
      <c r="Y683" s="116" t="str">
        <f t="shared" si="4"/>
        <v>-</v>
      </c>
      <c r="Z683" s="115" t="s">
        <v>3400</v>
      </c>
      <c r="AA683" s="54">
        <f t="shared" si="5"/>
        <v>1</v>
      </c>
      <c r="AB683" s="54">
        <f>COUNTIFS(Links!B:B,"FSE",Links!C:C,A683,Links!AD:AD,1)</f>
        <v>0</v>
      </c>
      <c r="AC683" s="117" t="s">
        <v>37</v>
      </c>
      <c r="AD683" s="118" t="s">
        <v>35</v>
      </c>
      <c r="AE683" s="115" t="s">
        <v>36</v>
      </c>
      <c r="AF683" s="57" t="s">
        <v>42</v>
      </c>
      <c r="AG683" s="57" t="s">
        <v>42</v>
      </c>
      <c r="AH683" s="57" t="s">
        <v>42</v>
      </c>
      <c r="AI683" s="116" t="str">
        <f t="shared" si="6"/>
        <v>----</v>
      </c>
      <c r="AJ683" s="119" t="str">
        <f t="shared" si="7"/>
        <v>Paper has link but no statement</v>
      </c>
      <c r="AK683" s="120" t="s">
        <v>3401</v>
      </c>
      <c r="AL683" s="121" t="s">
        <v>3402</v>
      </c>
      <c r="AM683" s="60" t="str">
        <f t="shared" si="8"/>
        <v>[FP0195]</v>
      </c>
    </row>
    <row r="684" ht="67.5" customHeight="1">
      <c r="A684" s="61">
        <v>196.0</v>
      </c>
      <c r="B684" s="22" t="s">
        <v>5209</v>
      </c>
      <c r="C684" s="23">
        <v>2022.0</v>
      </c>
      <c r="D684" s="100" t="s">
        <v>35</v>
      </c>
      <c r="E684" s="25" t="s">
        <v>36</v>
      </c>
      <c r="F684" s="25" t="s">
        <v>36</v>
      </c>
      <c r="G684" s="25" t="s">
        <v>36</v>
      </c>
      <c r="H684" s="25" t="s">
        <v>36</v>
      </c>
      <c r="I684" s="25" t="s">
        <v>36</v>
      </c>
      <c r="J684" s="101" t="s">
        <v>36</v>
      </c>
      <c r="K684" s="102" t="s">
        <v>37</v>
      </c>
      <c r="L684" s="103" t="s">
        <v>35</v>
      </c>
      <c r="M684" s="103" t="s">
        <v>35</v>
      </c>
      <c r="N684" s="103" t="s">
        <v>35</v>
      </c>
      <c r="O684" s="103" t="s">
        <v>37</v>
      </c>
      <c r="P684" s="103" t="s">
        <v>35</v>
      </c>
      <c r="Q684" s="103" t="s">
        <v>35</v>
      </c>
      <c r="R684" s="103" t="s">
        <v>35</v>
      </c>
      <c r="S684" s="104" t="s">
        <v>14</v>
      </c>
      <c r="T684" s="30" t="s">
        <v>5210</v>
      </c>
      <c r="U684" s="30" t="s">
        <v>5210</v>
      </c>
      <c r="V684" s="105">
        <f t="shared" si="2"/>
        <v>1</v>
      </c>
      <c r="W684" s="105">
        <f t="shared" ref="W684:X684" si="689">IF(lenb(SUBSTITUTE($Z684,W$1&amp;" (1)",""))&lt;lenb($Z684),1,IF(lenb(SUBSTITUTE($Z684,W$1&amp;" (2)",""))&lt;lenb($Z684),2,IF(lenb(SUBSTITUTE($Z684,W$1&amp;" (3)",""))&lt;lenb($Z684),3,IF(lenb(SUBSTITUTE($Z684,W$1&amp;" (4)",""))&lt;lenb($Z684),4,IF(lenb(SUBSTITUTE($Z684,W$1&amp;" (5)",""))&lt;lenb($Z684),5,IF(lenb(SUBSTITUTE($Z684,W$1&amp;" (6)",""))&lt;lenb($Z684),6,IF(lenb(SUBSTITUTE($Z684,W$1&amp;" (7)",""))&lt;lenb($Z684),1,IF(lenb(SUBSTITUTE($Z684,W$1&amp;" (8)",""))&lt;lenb($Z684),8,IF(lenb(SUBSTITUTE($Z684,W$1&amp;" (9)",""))&lt;lenb($Z684),9,IF(lenb(SUBSTITUTE($Z684,W$1&amp;" (10)",""))&lt;lenb($Z684),10,IF(lenb(SUBSTITUTE($Z684,W$1,""))&lt;lenb($Z684),"ERROR",IF($Z684=$Y$1,"-",0))))))))))))</f>
        <v>0</v>
      </c>
      <c r="X684" s="105">
        <f t="shared" si="689"/>
        <v>0</v>
      </c>
      <c r="Y684" s="105" t="str">
        <f t="shared" si="4"/>
        <v>-</v>
      </c>
      <c r="Z684" s="104" t="s">
        <v>3400</v>
      </c>
      <c r="AA684" s="34">
        <f t="shared" si="5"/>
        <v>1</v>
      </c>
      <c r="AB684" s="34">
        <f>COUNTIFS(Links!B:B,"FSE",Links!C:C,A684,Links!AD:AD,1)</f>
        <v>0</v>
      </c>
      <c r="AC684" s="106" t="s">
        <v>35</v>
      </c>
      <c r="AD684" s="107" t="s">
        <v>37</v>
      </c>
      <c r="AE684" s="104" t="s">
        <v>5211</v>
      </c>
      <c r="AF684" s="37" t="s">
        <v>281</v>
      </c>
      <c r="AG684" s="37" t="s">
        <v>223</v>
      </c>
      <c r="AH684" s="37" t="s">
        <v>42</v>
      </c>
      <c r="AI684" s="105" t="str">
        <f t="shared" si="6"/>
        <v>Barriers (Confidentiality and privacy)
Barriers (Agreements and legal rights)</v>
      </c>
      <c r="AJ684" s="108" t="str">
        <f t="shared" si="7"/>
        <v>Paper has link and statement</v>
      </c>
      <c r="AK684" s="109" t="s">
        <v>3401</v>
      </c>
      <c r="AL684" s="110" t="s">
        <v>3402</v>
      </c>
      <c r="AM684" s="40" t="str">
        <f t="shared" si="8"/>
        <v>[FP0196]</v>
      </c>
    </row>
    <row r="685" ht="67.5" customHeight="1">
      <c r="A685" s="41">
        <v>197.0</v>
      </c>
      <c r="B685" s="42" t="s">
        <v>5212</v>
      </c>
      <c r="C685" s="43">
        <v>2022.0</v>
      </c>
      <c r="D685" s="111" t="s">
        <v>37</v>
      </c>
      <c r="E685" s="45" t="s">
        <v>37</v>
      </c>
      <c r="F685" s="45" t="s">
        <v>35</v>
      </c>
      <c r="G685" s="45" t="s">
        <v>37</v>
      </c>
      <c r="H685" s="45" t="s">
        <v>35</v>
      </c>
      <c r="I685" s="45" t="s">
        <v>35</v>
      </c>
      <c r="J685" s="112" t="s">
        <v>36</v>
      </c>
      <c r="K685" s="113" t="s">
        <v>37</v>
      </c>
      <c r="L685" s="114" t="s">
        <v>35</v>
      </c>
      <c r="M685" s="114" t="s">
        <v>37</v>
      </c>
      <c r="N685" s="114" t="s">
        <v>35</v>
      </c>
      <c r="O685" s="114" t="s">
        <v>35</v>
      </c>
      <c r="P685" s="114" t="s">
        <v>35</v>
      </c>
      <c r="Q685" s="114" t="s">
        <v>37</v>
      </c>
      <c r="R685" s="114" t="s">
        <v>35</v>
      </c>
      <c r="S685" s="115" t="s">
        <v>5213</v>
      </c>
      <c r="T685" s="50" t="s">
        <v>5214</v>
      </c>
      <c r="U685" s="50" t="s">
        <v>5214</v>
      </c>
      <c r="V685" s="116">
        <f t="shared" si="2"/>
        <v>1</v>
      </c>
      <c r="W685" s="116">
        <f t="shared" ref="W685:X685" si="690">IF(lenb(SUBSTITUTE($Z685,W$1&amp;" (1)",""))&lt;lenb($Z685),1,IF(lenb(SUBSTITUTE($Z685,W$1&amp;" (2)",""))&lt;lenb($Z685),2,IF(lenb(SUBSTITUTE($Z685,W$1&amp;" (3)",""))&lt;lenb($Z685),3,IF(lenb(SUBSTITUTE($Z685,W$1&amp;" (4)",""))&lt;lenb($Z685),4,IF(lenb(SUBSTITUTE($Z685,W$1&amp;" (5)",""))&lt;lenb($Z685),5,IF(lenb(SUBSTITUTE($Z685,W$1&amp;" (6)",""))&lt;lenb($Z685),6,IF(lenb(SUBSTITUTE($Z685,W$1&amp;" (7)",""))&lt;lenb($Z685),1,IF(lenb(SUBSTITUTE($Z685,W$1&amp;" (8)",""))&lt;lenb($Z685),8,IF(lenb(SUBSTITUTE($Z685,W$1&amp;" (9)",""))&lt;lenb($Z685),9,IF(lenb(SUBSTITUTE($Z685,W$1&amp;" (10)",""))&lt;lenb($Z685),10,IF(lenb(SUBSTITUTE($Z685,W$1,""))&lt;lenb($Z685),"ERROR",IF($Z685=$Y$1,"-",0))))))))))))</f>
        <v>0</v>
      </c>
      <c r="X685" s="116">
        <f t="shared" si="690"/>
        <v>0</v>
      </c>
      <c r="Y685" s="116" t="str">
        <f t="shared" si="4"/>
        <v>-</v>
      </c>
      <c r="Z685" s="115" t="s">
        <v>3400</v>
      </c>
      <c r="AA685" s="54">
        <f t="shared" si="5"/>
        <v>1</v>
      </c>
      <c r="AB685" s="54">
        <f>COUNTIFS(Links!B:B,"FSE",Links!C:C,A685,Links!AD:AD,1)</f>
        <v>0</v>
      </c>
      <c r="AC685" s="117" t="s">
        <v>37</v>
      </c>
      <c r="AD685" s="118" t="s">
        <v>35</v>
      </c>
      <c r="AE685" s="115" t="s">
        <v>36</v>
      </c>
      <c r="AF685" s="57" t="s">
        <v>42</v>
      </c>
      <c r="AG685" s="57" t="s">
        <v>42</v>
      </c>
      <c r="AH685" s="57" t="s">
        <v>42</v>
      </c>
      <c r="AI685" s="116" t="str">
        <f t="shared" si="6"/>
        <v>----</v>
      </c>
      <c r="AJ685" s="119" t="str">
        <f t="shared" si="7"/>
        <v>Paper has link but no statement</v>
      </c>
      <c r="AK685" s="120" t="s">
        <v>3401</v>
      </c>
      <c r="AL685" s="121" t="s">
        <v>3402</v>
      </c>
      <c r="AM685" s="60" t="str">
        <f t="shared" si="8"/>
        <v>[FP0197]</v>
      </c>
    </row>
    <row r="686" ht="67.5" customHeight="1">
      <c r="A686" s="61">
        <v>198.0</v>
      </c>
      <c r="B686" s="22" t="s">
        <v>5215</v>
      </c>
      <c r="C686" s="23">
        <v>2022.0</v>
      </c>
      <c r="D686" s="100" t="s">
        <v>37</v>
      </c>
      <c r="E686" s="25" t="s">
        <v>37</v>
      </c>
      <c r="F686" s="25" t="s">
        <v>37</v>
      </c>
      <c r="G686" s="25" t="s">
        <v>35</v>
      </c>
      <c r="H686" s="25" t="s">
        <v>35</v>
      </c>
      <c r="I686" s="25" t="s">
        <v>35</v>
      </c>
      <c r="J686" s="101" t="s">
        <v>36</v>
      </c>
      <c r="K686" s="102" t="s">
        <v>37</v>
      </c>
      <c r="L686" s="103" t="s">
        <v>37</v>
      </c>
      <c r="M686" s="103" t="s">
        <v>35</v>
      </c>
      <c r="N686" s="103" t="s">
        <v>35</v>
      </c>
      <c r="O686" s="103" t="s">
        <v>35</v>
      </c>
      <c r="P686" s="103" t="s">
        <v>35</v>
      </c>
      <c r="Q686" s="103" t="s">
        <v>35</v>
      </c>
      <c r="R686" s="103" t="s">
        <v>37</v>
      </c>
      <c r="S686" s="104" t="s">
        <v>5216</v>
      </c>
      <c r="T686" s="30" t="s">
        <v>5217</v>
      </c>
      <c r="U686" s="30" t="s">
        <v>5218</v>
      </c>
      <c r="V686" s="105">
        <f t="shared" si="2"/>
        <v>1</v>
      </c>
      <c r="W686" s="105">
        <f t="shared" ref="W686:X686" si="691">IF(lenb(SUBSTITUTE($Z686,W$1&amp;" (1)",""))&lt;lenb($Z686),1,IF(lenb(SUBSTITUTE($Z686,W$1&amp;" (2)",""))&lt;lenb($Z686),2,IF(lenb(SUBSTITUTE($Z686,W$1&amp;" (3)",""))&lt;lenb($Z686),3,IF(lenb(SUBSTITUTE($Z686,W$1&amp;" (4)",""))&lt;lenb($Z686),4,IF(lenb(SUBSTITUTE($Z686,W$1&amp;" (5)",""))&lt;lenb($Z686),5,IF(lenb(SUBSTITUTE($Z686,W$1&amp;" (6)",""))&lt;lenb($Z686),6,IF(lenb(SUBSTITUTE($Z686,W$1&amp;" (7)",""))&lt;lenb($Z686),1,IF(lenb(SUBSTITUTE($Z686,W$1&amp;" (8)",""))&lt;lenb($Z686),8,IF(lenb(SUBSTITUTE($Z686,W$1&amp;" (9)",""))&lt;lenb($Z686),9,IF(lenb(SUBSTITUTE($Z686,W$1&amp;" (10)",""))&lt;lenb($Z686),10,IF(lenb(SUBSTITUTE($Z686,W$1,""))&lt;lenb($Z686),"ERROR",IF($Z686=$Y$1,"-",0))))))))))))</f>
        <v>0</v>
      </c>
      <c r="X686" s="105">
        <f t="shared" si="691"/>
        <v>0</v>
      </c>
      <c r="Y686" s="105" t="str">
        <f t="shared" si="4"/>
        <v>-</v>
      </c>
      <c r="Z686" s="104" t="s">
        <v>3400</v>
      </c>
      <c r="AA686" s="34">
        <f t="shared" si="5"/>
        <v>1</v>
      </c>
      <c r="AB686" s="34">
        <f>COUNTIFS(Links!B:B,"FSE",Links!C:C,A686,Links!AD:AD,1)</f>
        <v>0</v>
      </c>
      <c r="AC686" s="106" t="s">
        <v>35</v>
      </c>
      <c r="AD686" s="107" t="s">
        <v>35</v>
      </c>
      <c r="AE686" s="104" t="s">
        <v>36</v>
      </c>
      <c r="AF686" s="37" t="s">
        <v>42</v>
      </c>
      <c r="AG686" s="37" t="s">
        <v>42</v>
      </c>
      <c r="AH686" s="37" t="s">
        <v>42</v>
      </c>
      <c r="AI686" s="105" t="str">
        <f t="shared" si="6"/>
        <v>----</v>
      </c>
      <c r="AJ686" s="108" t="str">
        <f t="shared" si="7"/>
        <v>Paper has link but no statement</v>
      </c>
      <c r="AK686" s="109" t="s">
        <v>3401</v>
      </c>
      <c r="AL686" s="110" t="s">
        <v>3402</v>
      </c>
      <c r="AM686" s="40" t="str">
        <f t="shared" si="8"/>
        <v>[FP0198]</v>
      </c>
    </row>
    <row r="687" ht="67.5" customHeight="1">
      <c r="A687" s="41">
        <v>199.0</v>
      </c>
      <c r="B687" s="42" t="s">
        <v>5219</v>
      </c>
      <c r="C687" s="43">
        <v>2022.0</v>
      </c>
      <c r="D687" s="111" t="s">
        <v>35</v>
      </c>
      <c r="E687" s="45" t="s">
        <v>36</v>
      </c>
      <c r="F687" s="45" t="s">
        <v>36</v>
      </c>
      <c r="G687" s="45" t="s">
        <v>36</v>
      </c>
      <c r="H687" s="45" t="s">
        <v>36</v>
      </c>
      <c r="I687" s="45" t="s">
        <v>36</v>
      </c>
      <c r="J687" s="112" t="s">
        <v>36</v>
      </c>
      <c r="K687" s="113" t="s">
        <v>37</v>
      </c>
      <c r="L687" s="114" t="s">
        <v>35</v>
      </c>
      <c r="M687" s="114" t="s">
        <v>35</v>
      </c>
      <c r="N687" s="114" t="s">
        <v>37</v>
      </c>
      <c r="O687" s="114" t="s">
        <v>35</v>
      </c>
      <c r="P687" s="114" t="s">
        <v>35</v>
      </c>
      <c r="Q687" s="114" t="s">
        <v>35</v>
      </c>
      <c r="R687" s="114" t="s">
        <v>35</v>
      </c>
      <c r="S687" s="115" t="s">
        <v>13</v>
      </c>
      <c r="T687" s="50" t="s">
        <v>5220</v>
      </c>
      <c r="U687" s="50" t="s">
        <v>5220</v>
      </c>
      <c r="V687" s="116">
        <f t="shared" si="2"/>
        <v>1</v>
      </c>
      <c r="W687" s="116">
        <f t="shared" ref="W687:X687" si="692">IF(lenb(SUBSTITUTE($Z687,W$1&amp;" (1)",""))&lt;lenb($Z687),1,IF(lenb(SUBSTITUTE($Z687,W$1&amp;" (2)",""))&lt;lenb($Z687),2,IF(lenb(SUBSTITUTE($Z687,W$1&amp;" (3)",""))&lt;lenb($Z687),3,IF(lenb(SUBSTITUTE($Z687,W$1&amp;" (4)",""))&lt;lenb($Z687),4,IF(lenb(SUBSTITUTE($Z687,W$1&amp;" (5)",""))&lt;lenb($Z687),5,IF(lenb(SUBSTITUTE($Z687,W$1&amp;" (6)",""))&lt;lenb($Z687),6,IF(lenb(SUBSTITUTE($Z687,W$1&amp;" (7)",""))&lt;lenb($Z687),1,IF(lenb(SUBSTITUTE($Z687,W$1&amp;" (8)",""))&lt;lenb($Z687),8,IF(lenb(SUBSTITUTE($Z687,W$1&amp;" (9)",""))&lt;lenb($Z687),9,IF(lenb(SUBSTITUTE($Z687,W$1&amp;" (10)",""))&lt;lenb($Z687),10,IF(lenb(SUBSTITUTE($Z687,W$1,""))&lt;lenb($Z687),"ERROR",IF($Z687=$Y$1,"-",0))))))))))))</f>
        <v>0</v>
      </c>
      <c r="X687" s="116">
        <f t="shared" si="692"/>
        <v>0</v>
      </c>
      <c r="Y687" s="116" t="str">
        <f t="shared" si="4"/>
        <v>-</v>
      </c>
      <c r="Z687" s="115" t="s">
        <v>3400</v>
      </c>
      <c r="AA687" s="54">
        <f t="shared" si="5"/>
        <v>1</v>
      </c>
      <c r="AB687" s="54">
        <f>COUNTIFS(Links!B:B,"FSE",Links!C:C,A687,Links!AD:AD,1)</f>
        <v>0</v>
      </c>
      <c r="AC687" s="117" t="s">
        <v>35</v>
      </c>
      <c r="AD687" s="118" t="s">
        <v>37</v>
      </c>
      <c r="AE687" s="115" t="s">
        <v>5221</v>
      </c>
      <c r="AF687" s="57" t="s">
        <v>1787</v>
      </c>
      <c r="AG687" s="57" t="s">
        <v>42</v>
      </c>
      <c r="AH687" s="57" t="s">
        <v>42</v>
      </c>
      <c r="AI687" s="116" t="str">
        <f t="shared" si="6"/>
        <v>Barriers (Security issues)</v>
      </c>
      <c r="AJ687" s="119" t="str">
        <f t="shared" si="7"/>
        <v>Paper has link and statement</v>
      </c>
      <c r="AK687" s="120" t="s">
        <v>3401</v>
      </c>
      <c r="AL687" s="121" t="s">
        <v>3402</v>
      </c>
      <c r="AM687" s="60" t="str">
        <f t="shared" si="8"/>
        <v>[FP0199]</v>
      </c>
    </row>
    <row r="688" ht="67.5" customHeight="1">
      <c r="A688" s="61">
        <v>200.0</v>
      </c>
      <c r="B688" s="22" t="s">
        <v>5222</v>
      </c>
      <c r="C688" s="23">
        <v>2022.0</v>
      </c>
      <c r="D688" s="100" t="s">
        <v>37</v>
      </c>
      <c r="E688" s="25" t="s">
        <v>37</v>
      </c>
      <c r="F688" s="25" t="s">
        <v>37</v>
      </c>
      <c r="G688" s="25" t="s">
        <v>35</v>
      </c>
      <c r="H688" s="25" t="s">
        <v>35</v>
      </c>
      <c r="I688" s="25" t="s">
        <v>35</v>
      </c>
      <c r="J688" s="101" t="s">
        <v>36</v>
      </c>
      <c r="K688" s="102" t="s">
        <v>37</v>
      </c>
      <c r="L688" s="103" t="s">
        <v>35</v>
      </c>
      <c r="M688" s="103" t="s">
        <v>37</v>
      </c>
      <c r="N688" s="103" t="s">
        <v>35</v>
      </c>
      <c r="O688" s="103" t="s">
        <v>35</v>
      </c>
      <c r="P688" s="103" t="s">
        <v>35</v>
      </c>
      <c r="Q688" s="103" t="s">
        <v>37</v>
      </c>
      <c r="R688" s="103" t="s">
        <v>35</v>
      </c>
      <c r="S688" s="104" t="s">
        <v>5223</v>
      </c>
      <c r="T688" s="30" t="s">
        <v>5224</v>
      </c>
      <c r="U688" s="30" t="s">
        <v>5224</v>
      </c>
      <c r="V688" s="105">
        <f t="shared" si="2"/>
        <v>1</v>
      </c>
      <c r="W688" s="105">
        <f t="shared" ref="W688:X688" si="693">IF(lenb(SUBSTITUTE($Z688,W$1&amp;" (1)",""))&lt;lenb($Z688),1,IF(lenb(SUBSTITUTE($Z688,W$1&amp;" (2)",""))&lt;lenb($Z688),2,IF(lenb(SUBSTITUTE($Z688,W$1&amp;" (3)",""))&lt;lenb($Z688),3,IF(lenb(SUBSTITUTE($Z688,W$1&amp;" (4)",""))&lt;lenb($Z688),4,IF(lenb(SUBSTITUTE($Z688,W$1&amp;" (5)",""))&lt;lenb($Z688),5,IF(lenb(SUBSTITUTE($Z688,W$1&amp;" (6)",""))&lt;lenb($Z688),6,IF(lenb(SUBSTITUTE($Z688,W$1&amp;" (7)",""))&lt;lenb($Z688),1,IF(lenb(SUBSTITUTE($Z688,W$1&amp;" (8)",""))&lt;lenb($Z688),8,IF(lenb(SUBSTITUTE($Z688,W$1&amp;" (9)",""))&lt;lenb($Z688),9,IF(lenb(SUBSTITUTE($Z688,W$1&amp;" (10)",""))&lt;lenb($Z688),10,IF(lenb(SUBSTITUTE($Z688,W$1,""))&lt;lenb($Z688),"ERROR",IF($Z688=$Y$1,"-",0))))))))))))</f>
        <v>0</v>
      </c>
      <c r="X688" s="105">
        <f t="shared" si="693"/>
        <v>0</v>
      </c>
      <c r="Y688" s="105" t="str">
        <f t="shared" si="4"/>
        <v>-</v>
      </c>
      <c r="Z688" s="104" t="s">
        <v>3400</v>
      </c>
      <c r="AA688" s="34">
        <f t="shared" si="5"/>
        <v>1</v>
      </c>
      <c r="AB688" s="34">
        <f>COUNTIFS(Links!B:B,"FSE",Links!C:C,A688,Links!AD:AD,1)</f>
        <v>0</v>
      </c>
      <c r="AC688" s="106" t="s">
        <v>37</v>
      </c>
      <c r="AD688" s="107" t="s">
        <v>35</v>
      </c>
      <c r="AE688" s="104" t="s">
        <v>36</v>
      </c>
      <c r="AF688" s="37" t="s">
        <v>42</v>
      </c>
      <c r="AG688" s="37" t="s">
        <v>42</v>
      </c>
      <c r="AH688" s="37" t="s">
        <v>42</v>
      </c>
      <c r="AI688" s="105" t="str">
        <f t="shared" si="6"/>
        <v>----</v>
      </c>
      <c r="AJ688" s="108" t="str">
        <f t="shared" si="7"/>
        <v>Paper has link but no statement</v>
      </c>
      <c r="AK688" s="109" t="s">
        <v>3401</v>
      </c>
      <c r="AL688" s="110" t="s">
        <v>3402</v>
      </c>
      <c r="AM688" s="40" t="str">
        <f t="shared" si="8"/>
        <v>[FP0200]</v>
      </c>
    </row>
    <row r="689" ht="67.5" customHeight="1">
      <c r="A689" s="41">
        <v>201.0</v>
      </c>
      <c r="B689" s="42" t="s">
        <v>5225</v>
      </c>
      <c r="C689" s="43">
        <v>2022.0</v>
      </c>
      <c r="D689" s="111" t="s">
        <v>37</v>
      </c>
      <c r="E689" s="45" t="s">
        <v>37</v>
      </c>
      <c r="F689" s="45" t="s">
        <v>35</v>
      </c>
      <c r="G689" s="45" t="s">
        <v>37</v>
      </c>
      <c r="H689" s="45" t="s">
        <v>35</v>
      </c>
      <c r="I689" s="45" t="s">
        <v>35</v>
      </c>
      <c r="J689" s="112" t="s">
        <v>36</v>
      </c>
      <c r="K689" s="113" t="s">
        <v>37</v>
      </c>
      <c r="L689" s="131" t="s">
        <v>37</v>
      </c>
      <c r="M689" s="131" t="s">
        <v>37</v>
      </c>
      <c r="N689" s="131" t="s">
        <v>37</v>
      </c>
      <c r="O689" s="131" t="s">
        <v>37</v>
      </c>
      <c r="P689" s="131" t="s">
        <v>37</v>
      </c>
      <c r="Q689" s="114" t="s">
        <v>35</v>
      </c>
      <c r="R689" s="114" t="s">
        <v>35</v>
      </c>
      <c r="S689" s="115" t="s">
        <v>5226</v>
      </c>
      <c r="T689" s="50" t="s">
        <v>5227</v>
      </c>
      <c r="U689" s="50" t="s">
        <v>5228</v>
      </c>
      <c r="V689" s="116">
        <f t="shared" si="2"/>
        <v>2</v>
      </c>
      <c r="W689" s="116">
        <f t="shared" ref="W689:X689" si="694">IF(lenb(SUBSTITUTE($Z689,W$1&amp;" (1)",""))&lt;lenb($Z689),1,IF(lenb(SUBSTITUTE($Z689,W$1&amp;" (2)",""))&lt;lenb($Z689),2,IF(lenb(SUBSTITUTE($Z689,W$1&amp;" (3)",""))&lt;lenb($Z689),3,IF(lenb(SUBSTITUTE($Z689,W$1&amp;" (4)",""))&lt;lenb($Z689),4,IF(lenb(SUBSTITUTE($Z689,W$1&amp;" (5)",""))&lt;lenb($Z689),5,IF(lenb(SUBSTITUTE($Z689,W$1&amp;" (6)",""))&lt;lenb($Z689),6,IF(lenb(SUBSTITUTE($Z689,W$1&amp;" (7)",""))&lt;lenb($Z689),1,IF(lenb(SUBSTITUTE($Z689,W$1&amp;" (8)",""))&lt;lenb($Z689),8,IF(lenb(SUBSTITUTE($Z689,W$1&amp;" (9)",""))&lt;lenb($Z689),9,IF(lenb(SUBSTITUTE($Z689,W$1&amp;" (10)",""))&lt;lenb($Z689),10,IF(lenb(SUBSTITUTE($Z689,W$1,""))&lt;lenb($Z689),"ERROR",IF($Z689=$Y$1,"-",0))))))))))))</f>
        <v>0</v>
      </c>
      <c r="X689" s="116">
        <f t="shared" si="694"/>
        <v>0</v>
      </c>
      <c r="Y689" s="116" t="str">
        <f t="shared" si="4"/>
        <v>-</v>
      </c>
      <c r="Z689" s="115" t="s">
        <v>3452</v>
      </c>
      <c r="AA689" s="54">
        <f t="shared" si="5"/>
        <v>2</v>
      </c>
      <c r="AB689" s="54">
        <f>COUNTIFS(Links!B:B,"FSE",Links!C:C,A689,Links!AD:AD,1)</f>
        <v>0</v>
      </c>
      <c r="AC689" s="117" t="s">
        <v>37</v>
      </c>
      <c r="AD689" s="118" t="s">
        <v>35</v>
      </c>
      <c r="AE689" s="115" t="s">
        <v>36</v>
      </c>
      <c r="AF689" s="57" t="s">
        <v>42</v>
      </c>
      <c r="AG689" s="57" t="s">
        <v>42</v>
      </c>
      <c r="AH689" s="57" t="s">
        <v>42</v>
      </c>
      <c r="AI689" s="116" t="str">
        <f t="shared" si="6"/>
        <v>----</v>
      </c>
      <c r="AJ689" s="119" t="str">
        <f t="shared" si="7"/>
        <v>Paper has link but no statement</v>
      </c>
      <c r="AK689" s="120" t="s">
        <v>3401</v>
      </c>
      <c r="AL689" s="121" t="s">
        <v>3402</v>
      </c>
      <c r="AM689" s="60" t="str">
        <f t="shared" si="8"/>
        <v>[FP0201]</v>
      </c>
    </row>
    <row r="690" ht="67.5" customHeight="1">
      <c r="A690" s="61">
        <v>202.0</v>
      </c>
      <c r="B690" s="22" t="s">
        <v>5229</v>
      </c>
      <c r="C690" s="23">
        <v>2022.0</v>
      </c>
      <c r="D690" s="100" t="s">
        <v>37</v>
      </c>
      <c r="E690" s="25" t="s">
        <v>37</v>
      </c>
      <c r="F690" s="25" t="s">
        <v>35</v>
      </c>
      <c r="G690" s="25" t="s">
        <v>37</v>
      </c>
      <c r="H690" s="25" t="s">
        <v>35</v>
      </c>
      <c r="I690" s="25" t="s">
        <v>35</v>
      </c>
      <c r="J690" s="101" t="s">
        <v>36</v>
      </c>
      <c r="K690" s="102" t="s">
        <v>37</v>
      </c>
      <c r="L690" s="103" t="s">
        <v>35</v>
      </c>
      <c r="M690" s="103" t="s">
        <v>37</v>
      </c>
      <c r="N690" s="103" t="s">
        <v>35</v>
      </c>
      <c r="O690" s="103" t="s">
        <v>35</v>
      </c>
      <c r="P690" s="103" t="s">
        <v>35</v>
      </c>
      <c r="Q690" s="103" t="s">
        <v>37</v>
      </c>
      <c r="R690" s="103" t="s">
        <v>35</v>
      </c>
      <c r="S690" s="104" t="s">
        <v>5230</v>
      </c>
      <c r="T690" s="30" t="s">
        <v>5231</v>
      </c>
      <c r="U690" s="30" t="s">
        <v>5231</v>
      </c>
      <c r="V690" s="105">
        <f t="shared" si="2"/>
        <v>2</v>
      </c>
      <c r="W690" s="105">
        <f t="shared" ref="W690:X690" si="695">IF(lenb(SUBSTITUTE($Z690,W$1&amp;" (1)",""))&lt;lenb($Z690),1,IF(lenb(SUBSTITUTE($Z690,W$1&amp;" (2)",""))&lt;lenb($Z690),2,IF(lenb(SUBSTITUTE($Z690,W$1&amp;" (3)",""))&lt;lenb($Z690),3,IF(lenb(SUBSTITUTE($Z690,W$1&amp;" (4)",""))&lt;lenb($Z690),4,IF(lenb(SUBSTITUTE($Z690,W$1&amp;" (5)",""))&lt;lenb($Z690),5,IF(lenb(SUBSTITUTE($Z690,W$1&amp;" (6)",""))&lt;lenb($Z690),6,IF(lenb(SUBSTITUTE($Z690,W$1&amp;" (7)",""))&lt;lenb($Z690),1,IF(lenb(SUBSTITUTE($Z690,W$1&amp;" (8)",""))&lt;lenb($Z690),8,IF(lenb(SUBSTITUTE($Z690,W$1&amp;" (9)",""))&lt;lenb($Z690),9,IF(lenb(SUBSTITUTE($Z690,W$1&amp;" (10)",""))&lt;lenb($Z690),10,IF(lenb(SUBSTITUTE($Z690,W$1,""))&lt;lenb($Z690),"ERROR",IF($Z690=$Y$1,"-",0))))))))))))</f>
        <v>0</v>
      </c>
      <c r="X690" s="105">
        <f t="shared" si="695"/>
        <v>0</v>
      </c>
      <c r="Y690" s="105" t="str">
        <f t="shared" si="4"/>
        <v>-</v>
      </c>
      <c r="Z690" s="104" t="s">
        <v>3452</v>
      </c>
      <c r="AA690" s="34">
        <f t="shared" si="5"/>
        <v>2</v>
      </c>
      <c r="AB690" s="34">
        <f>COUNTIFS(Links!B:B,"FSE",Links!C:C,A690,Links!AD:AD,1)</f>
        <v>0</v>
      </c>
      <c r="AC690" s="106" t="s">
        <v>37</v>
      </c>
      <c r="AD690" s="107" t="s">
        <v>35</v>
      </c>
      <c r="AE690" s="104" t="s">
        <v>36</v>
      </c>
      <c r="AF690" s="37" t="s">
        <v>42</v>
      </c>
      <c r="AG690" s="37" t="s">
        <v>42</v>
      </c>
      <c r="AH690" s="37" t="s">
        <v>42</v>
      </c>
      <c r="AI690" s="105" t="str">
        <f t="shared" si="6"/>
        <v>----</v>
      </c>
      <c r="AJ690" s="108" t="str">
        <f t="shared" si="7"/>
        <v>Paper has link but no statement</v>
      </c>
      <c r="AK690" s="109" t="s">
        <v>3401</v>
      </c>
      <c r="AL690" s="110" t="s">
        <v>3402</v>
      </c>
      <c r="AM690" s="40" t="str">
        <f t="shared" si="8"/>
        <v>[FP0202]</v>
      </c>
    </row>
    <row r="691" ht="67.5" customHeight="1">
      <c r="A691" s="41">
        <v>203.0</v>
      </c>
      <c r="B691" s="42" t="s">
        <v>5232</v>
      </c>
      <c r="C691" s="43">
        <v>2022.0</v>
      </c>
      <c r="D691" s="111" t="s">
        <v>35</v>
      </c>
      <c r="E691" s="45" t="s">
        <v>36</v>
      </c>
      <c r="F691" s="45" t="s">
        <v>36</v>
      </c>
      <c r="G691" s="45" t="s">
        <v>36</v>
      </c>
      <c r="H691" s="45" t="s">
        <v>36</v>
      </c>
      <c r="I691" s="45" t="s">
        <v>36</v>
      </c>
      <c r="J691" s="112" t="s">
        <v>36</v>
      </c>
      <c r="K691" s="113" t="s">
        <v>37</v>
      </c>
      <c r="L691" s="114" t="s">
        <v>37</v>
      </c>
      <c r="M691" s="114" t="s">
        <v>35</v>
      </c>
      <c r="N691" s="114" t="s">
        <v>35</v>
      </c>
      <c r="O691" s="114" t="s">
        <v>35</v>
      </c>
      <c r="P691" s="114" t="s">
        <v>35</v>
      </c>
      <c r="Q691" s="114" t="s">
        <v>35</v>
      </c>
      <c r="R691" s="114" t="s">
        <v>37</v>
      </c>
      <c r="S691" s="115" t="s">
        <v>42</v>
      </c>
      <c r="T691" s="50" t="s">
        <v>5233</v>
      </c>
      <c r="U691" s="50" t="s">
        <v>5233</v>
      </c>
      <c r="V691" s="116">
        <f t="shared" si="2"/>
        <v>1</v>
      </c>
      <c r="W691" s="116">
        <f t="shared" ref="W691:X691" si="696">IF(lenb(SUBSTITUTE($Z691,W$1&amp;" (1)",""))&lt;lenb($Z691),1,IF(lenb(SUBSTITUTE($Z691,W$1&amp;" (2)",""))&lt;lenb($Z691),2,IF(lenb(SUBSTITUTE($Z691,W$1&amp;" (3)",""))&lt;lenb($Z691),3,IF(lenb(SUBSTITUTE($Z691,W$1&amp;" (4)",""))&lt;lenb($Z691),4,IF(lenb(SUBSTITUTE($Z691,W$1&amp;" (5)",""))&lt;lenb($Z691),5,IF(lenb(SUBSTITUTE($Z691,W$1&amp;" (6)",""))&lt;lenb($Z691),6,IF(lenb(SUBSTITUTE($Z691,W$1&amp;" (7)",""))&lt;lenb($Z691),1,IF(lenb(SUBSTITUTE($Z691,W$1&amp;" (8)",""))&lt;lenb($Z691),8,IF(lenb(SUBSTITUTE($Z691,W$1&amp;" (9)",""))&lt;lenb($Z691),9,IF(lenb(SUBSTITUTE($Z691,W$1&amp;" (10)",""))&lt;lenb($Z691),10,IF(lenb(SUBSTITUTE($Z691,W$1,""))&lt;lenb($Z691),"ERROR",IF($Z691=$Y$1,"-",0))))))))))))</f>
        <v>0</v>
      </c>
      <c r="X691" s="116">
        <f t="shared" si="696"/>
        <v>0</v>
      </c>
      <c r="Y691" s="116" t="str">
        <f t="shared" si="4"/>
        <v>-</v>
      </c>
      <c r="Z691" s="115" t="s">
        <v>3400</v>
      </c>
      <c r="AA691" s="54">
        <f t="shared" si="5"/>
        <v>1</v>
      </c>
      <c r="AB691" s="54">
        <f>COUNTIFS(Links!B:B,"FSE",Links!C:C,A691,Links!AD:AD,1)</f>
        <v>0</v>
      </c>
      <c r="AC691" s="117" t="s">
        <v>35</v>
      </c>
      <c r="AD691" s="118" t="s">
        <v>35</v>
      </c>
      <c r="AE691" s="115" t="s">
        <v>36</v>
      </c>
      <c r="AF691" s="57" t="s">
        <v>42</v>
      </c>
      <c r="AG691" s="57" t="s">
        <v>42</v>
      </c>
      <c r="AH691" s="57" t="s">
        <v>42</v>
      </c>
      <c r="AI691" s="116" t="str">
        <f t="shared" si="6"/>
        <v>----</v>
      </c>
      <c r="AJ691" s="119" t="str">
        <f t="shared" si="7"/>
        <v>Paper has link but no statement</v>
      </c>
      <c r="AK691" s="120" t="s">
        <v>3401</v>
      </c>
      <c r="AL691" s="121" t="s">
        <v>3402</v>
      </c>
      <c r="AM691" s="60" t="str">
        <f t="shared" si="8"/>
        <v>[FP0203]</v>
      </c>
    </row>
    <row r="692" ht="67.5" customHeight="1">
      <c r="A692" s="61">
        <v>204.0</v>
      </c>
      <c r="B692" s="22" t="s">
        <v>5234</v>
      </c>
      <c r="C692" s="23">
        <v>2022.0</v>
      </c>
      <c r="D692" s="100" t="s">
        <v>35</v>
      </c>
      <c r="E692" s="25" t="s">
        <v>36</v>
      </c>
      <c r="F692" s="25" t="s">
        <v>36</v>
      </c>
      <c r="G692" s="25" t="s">
        <v>36</v>
      </c>
      <c r="H692" s="25" t="s">
        <v>36</v>
      </c>
      <c r="I692" s="25" t="s">
        <v>36</v>
      </c>
      <c r="J692" s="101" t="s">
        <v>36</v>
      </c>
      <c r="K692" s="102" t="s">
        <v>37</v>
      </c>
      <c r="L692" s="103" t="s">
        <v>35</v>
      </c>
      <c r="M692" s="103" t="s">
        <v>37</v>
      </c>
      <c r="N692" s="103" t="s">
        <v>35</v>
      </c>
      <c r="O692" s="103" t="s">
        <v>35</v>
      </c>
      <c r="P692" s="103" t="s">
        <v>35</v>
      </c>
      <c r="Q692" s="103" t="s">
        <v>35</v>
      </c>
      <c r="R692" s="103" t="s">
        <v>37</v>
      </c>
      <c r="S692" s="104" t="s">
        <v>5235</v>
      </c>
      <c r="T692" s="30" t="s">
        <v>5236</v>
      </c>
      <c r="U692" s="30" t="s">
        <v>5236</v>
      </c>
      <c r="V692" s="105">
        <f t="shared" si="2"/>
        <v>1</v>
      </c>
      <c r="W692" s="105">
        <f t="shared" ref="W692:X692" si="697">IF(lenb(SUBSTITUTE($Z692,W$1&amp;" (1)",""))&lt;lenb($Z692),1,IF(lenb(SUBSTITUTE($Z692,W$1&amp;" (2)",""))&lt;lenb($Z692),2,IF(lenb(SUBSTITUTE($Z692,W$1&amp;" (3)",""))&lt;lenb($Z692),3,IF(lenb(SUBSTITUTE($Z692,W$1&amp;" (4)",""))&lt;lenb($Z692),4,IF(lenb(SUBSTITUTE($Z692,W$1&amp;" (5)",""))&lt;lenb($Z692),5,IF(lenb(SUBSTITUTE($Z692,W$1&amp;" (6)",""))&lt;lenb($Z692),6,IF(lenb(SUBSTITUTE($Z692,W$1&amp;" (7)",""))&lt;lenb($Z692),1,IF(lenb(SUBSTITUTE($Z692,W$1&amp;" (8)",""))&lt;lenb($Z692),8,IF(lenb(SUBSTITUTE($Z692,W$1&amp;" (9)",""))&lt;lenb($Z692),9,IF(lenb(SUBSTITUTE($Z692,W$1&amp;" (10)",""))&lt;lenb($Z692),10,IF(lenb(SUBSTITUTE($Z692,W$1,""))&lt;lenb($Z692),"ERROR",IF($Z692=$Y$1,"-",0))))))))))))</f>
        <v>0</v>
      </c>
      <c r="X692" s="105">
        <f t="shared" si="697"/>
        <v>0</v>
      </c>
      <c r="Y692" s="105" t="str">
        <f t="shared" si="4"/>
        <v>-</v>
      </c>
      <c r="Z692" s="104" t="s">
        <v>3400</v>
      </c>
      <c r="AA692" s="34">
        <f t="shared" si="5"/>
        <v>1</v>
      </c>
      <c r="AB692" s="34">
        <f>COUNTIFS(Links!B:B,"FSE",Links!C:C,A692,Links!AD:AD,1)</f>
        <v>0</v>
      </c>
      <c r="AC692" s="106" t="s">
        <v>37</v>
      </c>
      <c r="AD692" s="107" t="s">
        <v>35</v>
      </c>
      <c r="AE692" s="104" t="s">
        <v>36</v>
      </c>
      <c r="AF692" s="37" t="s">
        <v>42</v>
      </c>
      <c r="AG692" s="37" t="s">
        <v>42</v>
      </c>
      <c r="AH692" s="37" t="s">
        <v>42</v>
      </c>
      <c r="AI692" s="105" t="str">
        <f t="shared" si="6"/>
        <v>----</v>
      </c>
      <c r="AJ692" s="108" t="str">
        <f t="shared" si="7"/>
        <v>Paper has link but no statement</v>
      </c>
      <c r="AK692" s="109" t="s">
        <v>3401</v>
      </c>
      <c r="AL692" s="110" t="s">
        <v>3402</v>
      </c>
      <c r="AM692" s="40" t="str">
        <f t="shared" si="8"/>
        <v>[FP0204]</v>
      </c>
    </row>
    <row r="693" ht="67.5" customHeight="1">
      <c r="A693" s="41">
        <v>205.0</v>
      </c>
      <c r="B693" s="42" t="s">
        <v>5237</v>
      </c>
      <c r="C693" s="43">
        <v>2022.0</v>
      </c>
      <c r="D693" s="111" t="s">
        <v>35</v>
      </c>
      <c r="E693" s="45" t="s">
        <v>36</v>
      </c>
      <c r="F693" s="45" t="s">
        <v>36</v>
      </c>
      <c r="G693" s="45" t="s">
        <v>36</v>
      </c>
      <c r="H693" s="45" t="s">
        <v>36</v>
      </c>
      <c r="I693" s="45" t="s">
        <v>36</v>
      </c>
      <c r="J693" s="112" t="s">
        <v>36</v>
      </c>
      <c r="K693" s="113" t="s">
        <v>35</v>
      </c>
      <c r="L693" s="114" t="s">
        <v>36</v>
      </c>
      <c r="M693" s="114" t="s">
        <v>36</v>
      </c>
      <c r="N693" s="114" t="s">
        <v>36</v>
      </c>
      <c r="O693" s="114" t="s">
        <v>36</v>
      </c>
      <c r="P693" s="114" t="s">
        <v>36</v>
      </c>
      <c r="Q693" s="114" t="s">
        <v>36</v>
      </c>
      <c r="R693" s="114" t="s">
        <v>36</v>
      </c>
      <c r="S693" s="115" t="s">
        <v>42</v>
      </c>
      <c r="T693" s="50" t="s">
        <v>36</v>
      </c>
      <c r="U693" s="50" t="s">
        <v>36</v>
      </c>
      <c r="V693" s="116" t="str">
        <f t="shared" si="2"/>
        <v>-</v>
      </c>
      <c r="W693" s="116" t="str">
        <f t="shared" ref="W693:X693" si="698">IF(lenb(SUBSTITUTE($Z693,W$1&amp;" (1)",""))&lt;lenb($Z693),1,IF(lenb(SUBSTITUTE($Z693,W$1&amp;" (2)",""))&lt;lenb($Z693),2,IF(lenb(SUBSTITUTE($Z693,W$1&amp;" (3)",""))&lt;lenb($Z693),3,IF(lenb(SUBSTITUTE($Z693,W$1&amp;" (4)",""))&lt;lenb($Z693),4,IF(lenb(SUBSTITUTE($Z693,W$1&amp;" (5)",""))&lt;lenb($Z693),5,IF(lenb(SUBSTITUTE($Z693,W$1&amp;" (6)",""))&lt;lenb($Z693),6,IF(lenb(SUBSTITUTE($Z693,W$1&amp;" (7)",""))&lt;lenb($Z693),1,IF(lenb(SUBSTITUTE($Z693,W$1&amp;" (8)",""))&lt;lenb($Z693),8,IF(lenb(SUBSTITUTE($Z693,W$1&amp;" (9)",""))&lt;lenb($Z693),9,IF(lenb(SUBSTITUTE($Z693,W$1&amp;" (10)",""))&lt;lenb($Z693),10,IF(lenb(SUBSTITUTE($Z693,W$1,""))&lt;lenb($Z693),"ERROR",IF($Z693=$Y$1,"-",0))))))))))))</f>
        <v>-</v>
      </c>
      <c r="X693" s="116" t="str">
        <f t="shared" si="698"/>
        <v>-</v>
      </c>
      <c r="Y693" s="116">
        <f t="shared" si="4"/>
        <v>1</v>
      </c>
      <c r="Z693" s="115" t="s">
        <v>23</v>
      </c>
      <c r="AA693" s="54">
        <f t="shared" si="5"/>
        <v>0</v>
      </c>
      <c r="AB693" s="54">
        <f>COUNTIFS(Links!B:B,"FSE",Links!C:C,A693,Links!AD:AD,1)</f>
        <v>0</v>
      </c>
      <c r="AC693" s="117" t="s">
        <v>36</v>
      </c>
      <c r="AD693" s="118" t="s">
        <v>35</v>
      </c>
      <c r="AE693" s="115" t="s">
        <v>36</v>
      </c>
      <c r="AF693" s="57" t="s">
        <v>42</v>
      </c>
      <c r="AG693" s="57" t="s">
        <v>42</v>
      </c>
      <c r="AH693" s="57" t="s">
        <v>42</v>
      </c>
      <c r="AI693" s="116" t="str">
        <f t="shared" si="6"/>
        <v>----</v>
      </c>
      <c r="AJ693" s="119" t="str">
        <f t="shared" si="7"/>
        <v>Paper has no link and no statement</v>
      </c>
      <c r="AK693" s="120" t="s">
        <v>3401</v>
      </c>
      <c r="AL693" s="121" t="s">
        <v>3402</v>
      </c>
      <c r="AM693" s="60" t="str">
        <f t="shared" si="8"/>
        <v>[FP0205]</v>
      </c>
    </row>
    <row r="694" ht="67.5" customHeight="1">
      <c r="A694" s="61">
        <v>206.0</v>
      </c>
      <c r="B694" s="22" t="s">
        <v>5238</v>
      </c>
      <c r="C694" s="23">
        <v>2022.0</v>
      </c>
      <c r="D694" s="100" t="s">
        <v>35</v>
      </c>
      <c r="E694" s="25" t="s">
        <v>36</v>
      </c>
      <c r="F694" s="25" t="s">
        <v>36</v>
      </c>
      <c r="G694" s="25" t="s">
        <v>36</v>
      </c>
      <c r="H694" s="25" t="s">
        <v>36</v>
      </c>
      <c r="I694" s="25" t="s">
        <v>36</v>
      </c>
      <c r="J694" s="101" t="s">
        <v>36</v>
      </c>
      <c r="K694" s="102" t="s">
        <v>37</v>
      </c>
      <c r="L694" s="103" t="s">
        <v>35</v>
      </c>
      <c r="M694" s="103" t="s">
        <v>37</v>
      </c>
      <c r="N694" s="103" t="s">
        <v>35</v>
      </c>
      <c r="O694" s="103" t="s">
        <v>37</v>
      </c>
      <c r="P694" s="103" t="s">
        <v>35</v>
      </c>
      <c r="Q694" s="103" t="s">
        <v>35</v>
      </c>
      <c r="R694" s="103" t="s">
        <v>35</v>
      </c>
      <c r="S694" s="104" t="s">
        <v>5239</v>
      </c>
      <c r="T694" s="30" t="s">
        <v>5240</v>
      </c>
      <c r="U694" s="30" t="s">
        <v>5240</v>
      </c>
      <c r="V694" s="105">
        <f t="shared" si="2"/>
        <v>1</v>
      </c>
      <c r="W694" s="105">
        <f t="shared" ref="W694:X694" si="699">IF(lenb(SUBSTITUTE($Z694,W$1&amp;" (1)",""))&lt;lenb($Z694),1,IF(lenb(SUBSTITUTE($Z694,W$1&amp;" (2)",""))&lt;lenb($Z694),2,IF(lenb(SUBSTITUTE($Z694,W$1&amp;" (3)",""))&lt;lenb($Z694),3,IF(lenb(SUBSTITUTE($Z694,W$1&amp;" (4)",""))&lt;lenb($Z694),4,IF(lenb(SUBSTITUTE($Z694,W$1&amp;" (5)",""))&lt;lenb($Z694),5,IF(lenb(SUBSTITUTE($Z694,W$1&amp;" (6)",""))&lt;lenb($Z694),6,IF(lenb(SUBSTITUTE($Z694,W$1&amp;" (7)",""))&lt;lenb($Z694),1,IF(lenb(SUBSTITUTE($Z694,W$1&amp;" (8)",""))&lt;lenb($Z694),8,IF(lenb(SUBSTITUTE($Z694,W$1&amp;" (9)",""))&lt;lenb($Z694),9,IF(lenb(SUBSTITUTE($Z694,W$1&amp;" (10)",""))&lt;lenb($Z694),10,IF(lenb(SUBSTITUTE($Z694,W$1,""))&lt;lenb($Z694),"ERROR",IF($Z694=$Y$1,"-",0))))))))))))</f>
        <v>0</v>
      </c>
      <c r="X694" s="105">
        <f t="shared" si="699"/>
        <v>0</v>
      </c>
      <c r="Y694" s="105" t="str">
        <f t="shared" si="4"/>
        <v>-</v>
      </c>
      <c r="Z694" s="104" t="s">
        <v>3400</v>
      </c>
      <c r="AA694" s="34">
        <f t="shared" si="5"/>
        <v>1</v>
      </c>
      <c r="AB694" s="34">
        <f>COUNTIFS(Links!B:B,"FSE",Links!C:C,A694,Links!AD:AD,1)</f>
        <v>0</v>
      </c>
      <c r="AC694" s="106" t="s">
        <v>35</v>
      </c>
      <c r="AD694" s="107" t="s">
        <v>35</v>
      </c>
      <c r="AE694" s="104" t="s">
        <v>36</v>
      </c>
      <c r="AF694" s="37" t="s">
        <v>42</v>
      </c>
      <c r="AG694" s="37" t="s">
        <v>42</v>
      </c>
      <c r="AH694" s="37" t="s">
        <v>42</v>
      </c>
      <c r="AI694" s="105" t="str">
        <f t="shared" si="6"/>
        <v>----</v>
      </c>
      <c r="AJ694" s="108" t="str">
        <f t="shared" si="7"/>
        <v>Paper has link but no statement</v>
      </c>
      <c r="AK694" s="109" t="s">
        <v>3401</v>
      </c>
      <c r="AL694" s="110" t="s">
        <v>3402</v>
      </c>
      <c r="AM694" s="40" t="str">
        <f t="shared" si="8"/>
        <v>[FP0206]</v>
      </c>
    </row>
    <row r="695" ht="67.5" customHeight="1">
      <c r="A695" s="41">
        <v>207.0</v>
      </c>
      <c r="B695" s="42" t="s">
        <v>5241</v>
      </c>
      <c r="C695" s="43">
        <v>2022.0</v>
      </c>
      <c r="D695" s="111" t="s">
        <v>37</v>
      </c>
      <c r="E695" s="45" t="s">
        <v>37</v>
      </c>
      <c r="F695" s="45" t="s">
        <v>35</v>
      </c>
      <c r="G695" s="45" t="s">
        <v>35</v>
      </c>
      <c r="H695" s="45" t="s">
        <v>35</v>
      </c>
      <c r="I695" s="45" t="s">
        <v>35</v>
      </c>
      <c r="J695" s="112" t="s">
        <v>36</v>
      </c>
      <c r="K695" s="113" t="s">
        <v>37</v>
      </c>
      <c r="L695" s="131" t="s">
        <v>37</v>
      </c>
      <c r="M695" s="131" t="s">
        <v>37</v>
      </c>
      <c r="N695" s="131" t="s">
        <v>37</v>
      </c>
      <c r="O695" s="114" t="s">
        <v>35</v>
      </c>
      <c r="P695" s="114" t="s">
        <v>35</v>
      </c>
      <c r="Q695" s="114" t="s">
        <v>35</v>
      </c>
      <c r="R695" s="131" t="s">
        <v>37</v>
      </c>
      <c r="S695" s="115" t="s">
        <v>5242</v>
      </c>
      <c r="T695" s="50" t="s">
        <v>5243</v>
      </c>
      <c r="U695" s="50" t="s">
        <v>5243</v>
      </c>
      <c r="V695" s="116">
        <f t="shared" si="2"/>
        <v>1</v>
      </c>
      <c r="W695" s="116">
        <f t="shared" ref="W695:X695" si="700">IF(lenb(SUBSTITUTE($Z695,W$1&amp;" (1)",""))&lt;lenb($Z695),1,IF(lenb(SUBSTITUTE($Z695,W$1&amp;" (2)",""))&lt;lenb($Z695),2,IF(lenb(SUBSTITUTE($Z695,W$1&amp;" (3)",""))&lt;lenb($Z695),3,IF(lenb(SUBSTITUTE($Z695,W$1&amp;" (4)",""))&lt;lenb($Z695),4,IF(lenb(SUBSTITUTE($Z695,W$1&amp;" (5)",""))&lt;lenb($Z695),5,IF(lenb(SUBSTITUTE($Z695,W$1&amp;" (6)",""))&lt;lenb($Z695),6,IF(lenb(SUBSTITUTE($Z695,W$1&amp;" (7)",""))&lt;lenb($Z695),1,IF(lenb(SUBSTITUTE($Z695,W$1&amp;" (8)",""))&lt;lenb($Z695),8,IF(lenb(SUBSTITUTE($Z695,W$1&amp;" (9)",""))&lt;lenb($Z695),9,IF(lenb(SUBSTITUTE($Z695,W$1&amp;" (10)",""))&lt;lenb($Z695),10,IF(lenb(SUBSTITUTE($Z695,W$1,""))&lt;lenb($Z695),"ERROR",IF($Z695=$Y$1,"-",0))))))))))))</f>
        <v>0</v>
      </c>
      <c r="X695" s="116">
        <f t="shared" si="700"/>
        <v>0</v>
      </c>
      <c r="Y695" s="116" t="str">
        <f t="shared" si="4"/>
        <v>-</v>
      </c>
      <c r="Z695" s="115" t="s">
        <v>3400</v>
      </c>
      <c r="AA695" s="54">
        <f t="shared" si="5"/>
        <v>1</v>
      </c>
      <c r="AB695" s="54">
        <f>COUNTIFS(Links!B:B,"FSE",Links!C:C,A695,Links!AD:AD,1)</f>
        <v>0</v>
      </c>
      <c r="AC695" s="117" t="s">
        <v>35</v>
      </c>
      <c r="AD695" s="118" t="s">
        <v>35</v>
      </c>
      <c r="AE695" s="115" t="s">
        <v>36</v>
      </c>
      <c r="AF695" s="57" t="s">
        <v>42</v>
      </c>
      <c r="AG695" s="57" t="s">
        <v>42</v>
      </c>
      <c r="AH695" s="57" t="s">
        <v>42</v>
      </c>
      <c r="AI695" s="116" t="str">
        <f t="shared" si="6"/>
        <v>----</v>
      </c>
      <c r="AJ695" s="119" t="str">
        <f t="shared" si="7"/>
        <v>Paper has link but no statement</v>
      </c>
      <c r="AK695" s="120" t="s">
        <v>3401</v>
      </c>
      <c r="AL695" s="121" t="s">
        <v>3402</v>
      </c>
      <c r="AM695" s="60" t="str">
        <f t="shared" si="8"/>
        <v>[FP0207]</v>
      </c>
    </row>
    <row r="696" ht="67.5" customHeight="1">
      <c r="A696" s="61">
        <v>208.0</v>
      </c>
      <c r="B696" s="22" t="s">
        <v>5244</v>
      </c>
      <c r="C696" s="23">
        <v>2022.0</v>
      </c>
      <c r="D696" s="100" t="s">
        <v>35</v>
      </c>
      <c r="E696" s="25" t="s">
        <v>36</v>
      </c>
      <c r="F696" s="25" t="s">
        <v>36</v>
      </c>
      <c r="G696" s="25" t="s">
        <v>36</v>
      </c>
      <c r="H696" s="25" t="s">
        <v>36</v>
      </c>
      <c r="I696" s="25" t="s">
        <v>36</v>
      </c>
      <c r="J696" s="101" t="s">
        <v>36</v>
      </c>
      <c r="K696" s="102" t="s">
        <v>37</v>
      </c>
      <c r="L696" s="133" t="s">
        <v>37</v>
      </c>
      <c r="M696" s="103" t="s">
        <v>35</v>
      </c>
      <c r="N696" s="133" t="s">
        <v>37</v>
      </c>
      <c r="O696" s="103" t="s">
        <v>35</v>
      </c>
      <c r="P696" s="103" t="s">
        <v>35</v>
      </c>
      <c r="Q696" s="103" t="s">
        <v>35</v>
      </c>
      <c r="R696" s="103" t="s">
        <v>35</v>
      </c>
      <c r="S696" s="104" t="s">
        <v>5245</v>
      </c>
      <c r="T696" s="30" t="s">
        <v>5246</v>
      </c>
      <c r="U696" s="30" t="s">
        <v>5246</v>
      </c>
      <c r="V696" s="105">
        <f t="shared" si="2"/>
        <v>1</v>
      </c>
      <c r="W696" s="105">
        <f t="shared" ref="W696:X696" si="701">IF(lenb(SUBSTITUTE($Z696,W$1&amp;" (1)",""))&lt;lenb($Z696),1,IF(lenb(SUBSTITUTE($Z696,W$1&amp;" (2)",""))&lt;lenb($Z696),2,IF(lenb(SUBSTITUTE($Z696,W$1&amp;" (3)",""))&lt;lenb($Z696),3,IF(lenb(SUBSTITUTE($Z696,W$1&amp;" (4)",""))&lt;lenb($Z696),4,IF(lenb(SUBSTITUTE($Z696,W$1&amp;" (5)",""))&lt;lenb($Z696),5,IF(lenb(SUBSTITUTE($Z696,W$1&amp;" (6)",""))&lt;lenb($Z696),6,IF(lenb(SUBSTITUTE($Z696,W$1&amp;" (7)",""))&lt;lenb($Z696),1,IF(lenb(SUBSTITUTE($Z696,W$1&amp;" (8)",""))&lt;lenb($Z696),8,IF(lenb(SUBSTITUTE($Z696,W$1&amp;" (9)",""))&lt;lenb($Z696),9,IF(lenb(SUBSTITUTE($Z696,W$1&amp;" (10)",""))&lt;lenb($Z696),10,IF(lenb(SUBSTITUTE($Z696,W$1,""))&lt;lenb($Z696),"ERROR",IF($Z696=$Y$1,"-",0))))))))))))</f>
        <v>0</v>
      </c>
      <c r="X696" s="105">
        <f t="shared" si="701"/>
        <v>0</v>
      </c>
      <c r="Y696" s="105" t="str">
        <f t="shared" si="4"/>
        <v>-</v>
      </c>
      <c r="Z696" s="104" t="s">
        <v>3400</v>
      </c>
      <c r="AA696" s="34">
        <f t="shared" si="5"/>
        <v>1</v>
      </c>
      <c r="AB696" s="34">
        <f>COUNTIFS(Links!B:B,"FSE",Links!C:C,A696,Links!AD:AD,1)</f>
        <v>0</v>
      </c>
      <c r="AC696" s="106" t="s">
        <v>35</v>
      </c>
      <c r="AD696" s="107" t="s">
        <v>35</v>
      </c>
      <c r="AE696" s="104" t="s">
        <v>36</v>
      </c>
      <c r="AF696" s="37" t="s">
        <v>42</v>
      </c>
      <c r="AG696" s="37" t="s">
        <v>42</v>
      </c>
      <c r="AH696" s="37" t="s">
        <v>42</v>
      </c>
      <c r="AI696" s="105" t="str">
        <f t="shared" si="6"/>
        <v>----</v>
      </c>
      <c r="AJ696" s="108" t="str">
        <f t="shared" si="7"/>
        <v>Paper has link but no statement</v>
      </c>
      <c r="AK696" s="109" t="s">
        <v>3401</v>
      </c>
      <c r="AL696" s="110" t="s">
        <v>3402</v>
      </c>
      <c r="AM696" s="40" t="str">
        <f t="shared" si="8"/>
        <v>[FP0208]</v>
      </c>
    </row>
    <row r="697" ht="67.5" customHeight="1">
      <c r="A697" s="41">
        <v>209.0</v>
      </c>
      <c r="B697" s="42" t="s">
        <v>5247</v>
      </c>
      <c r="C697" s="43">
        <v>2022.0</v>
      </c>
      <c r="D697" s="111" t="s">
        <v>37</v>
      </c>
      <c r="E697" s="45" t="s">
        <v>37</v>
      </c>
      <c r="F697" s="45" t="s">
        <v>35</v>
      </c>
      <c r="G697" s="45" t="s">
        <v>37</v>
      </c>
      <c r="H697" s="45" t="s">
        <v>35</v>
      </c>
      <c r="I697" s="45" t="s">
        <v>35</v>
      </c>
      <c r="J697" s="112" t="s">
        <v>36</v>
      </c>
      <c r="K697" s="113" t="s">
        <v>37</v>
      </c>
      <c r="L697" s="131" t="s">
        <v>37</v>
      </c>
      <c r="M697" s="131" t="s">
        <v>37</v>
      </c>
      <c r="N697" s="114" t="s">
        <v>35</v>
      </c>
      <c r="O697" s="114" t="s">
        <v>35</v>
      </c>
      <c r="P697" s="114" t="s">
        <v>35</v>
      </c>
      <c r="Q697" s="114" t="s">
        <v>37</v>
      </c>
      <c r="R697" s="131" t="s">
        <v>37</v>
      </c>
      <c r="S697" s="115" t="s">
        <v>5248</v>
      </c>
      <c r="T697" s="50" t="s">
        <v>5249</v>
      </c>
      <c r="U697" s="50" t="s">
        <v>5249</v>
      </c>
      <c r="V697" s="116">
        <f t="shared" si="2"/>
        <v>3</v>
      </c>
      <c r="W697" s="116">
        <f t="shared" ref="W697:X697" si="702">IF(lenb(SUBSTITUTE($Z697,W$1&amp;" (1)",""))&lt;lenb($Z697),1,IF(lenb(SUBSTITUTE($Z697,W$1&amp;" (2)",""))&lt;lenb($Z697),2,IF(lenb(SUBSTITUTE($Z697,W$1&amp;" (3)",""))&lt;lenb($Z697),3,IF(lenb(SUBSTITUTE($Z697,W$1&amp;" (4)",""))&lt;lenb($Z697),4,IF(lenb(SUBSTITUTE($Z697,W$1&amp;" (5)",""))&lt;lenb($Z697),5,IF(lenb(SUBSTITUTE($Z697,W$1&amp;" (6)",""))&lt;lenb($Z697),6,IF(lenb(SUBSTITUTE($Z697,W$1&amp;" (7)",""))&lt;lenb($Z697),1,IF(lenb(SUBSTITUTE($Z697,W$1&amp;" (8)",""))&lt;lenb($Z697),8,IF(lenb(SUBSTITUTE($Z697,W$1&amp;" (9)",""))&lt;lenb($Z697),9,IF(lenb(SUBSTITUTE($Z697,W$1&amp;" (10)",""))&lt;lenb($Z697),10,IF(lenb(SUBSTITUTE($Z697,W$1,""))&lt;lenb($Z697),"ERROR",IF($Z697=$Y$1,"-",0))))))))))))</f>
        <v>0</v>
      </c>
      <c r="X697" s="116">
        <f t="shared" si="702"/>
        <v>0</v>
      </c>
      <c r="Y697" s="116" t="str">
        <f t="shared" si="4"/>
        <v>-</v>
      </c>
      <c r="Z697" s="115" t="s">
        <v>3741</v>
      </c>
      <c r="AA697" s="54">
        <f t="shared" si="5"/>
        <v>3</v>
      </c>
      <c r="AB697" s="54">
        <f>COUNTIFS(Links!B:B,"FSE",Links!C:C,A697,Links!AD:AD,1)</f>
        <v>0</v>
      </c>
      <c r="AC697" s="117" t="s">
        <v>37</v>
      </c>
      <c r="AD697" s="118" t="s">
        <v>35</v>
      </c>
      <c r="AE697" s="115" t="s">
        <v>36</v>
      </c>
      <c r="AF697" s="57" t="s">
        <v>42</v>
      </c>
      <c r="AG697" s="57" t="s">
        <v>42</v>
      </c>
      <c r="AH697" s="57" t="s">
        <v>42</v>
      </c>
      <c r="AI697" s="116" t="str">
        <f t="shared" si="6"/>
        <v>----</v>
      </c>
      <c r="AJ697" s="119" t="str">
        <f t="shared" si="7"/>
        <v>Paper has link but no statement</v>
      </c>
      <c r="AK697" s="120" t="s">
        <v>3401</v>
      </c>
      <c r="AL697" s="121" t="s">
        <v>3402</v>
      </c>
      <c r="AM697" s="60" t="str">
        <f t="shared" si="8"/>
        <v>[FP0209]</v>
      </c>
    </row>
    <row r="698" ht="67.5" customHeight="1">
      <c r="A698" s="61">
        <v>210.0</v>
      </c>
      <c r="B698" s="22" t="s">
        <v>5250</v>
      </c>
      <c r="C698" s="23">
        <v>2022.0</v>
      </c>
      <c r="D698" s="100" t="s">
        <v>35</v>
      </c>
      <c r="E698" s="25" t="s">
        <v>36</v>
      </c>
      <c r="F698" s="25" t="s">
        <v>36</v>
      </c>
      <c r="G698" s="25" t="s">
        <v>36</v>
      </c>
      <c r="H698" s="25" t="s">
        <v>36</v>
      </c>
      <c r="I698" s="25" t="s">
        <v>36</v>
      </c>
      <c r="J698" s="101" t="s">
        <v>36</v>
      </c>
      <c r="K698" s="102" t="s">
        <v>37</v>
      </c>
      <c r="L698" s="103" t="s">
        <v>37</v>
      </c>
      <c r="M698" s="103" t="s">
        <v>35</v>
      </c>
      <c r="N698" s="103" t="s">
        <v>37</v>
      </c>
      <c r="O698" s="103" t="s">
        <v>35</v>
      </c>
      <c r="P698" s="103" t="s">
        <v>35</v>
      </c>
      <c r="Q698" s="103" t="s">
        <v>35</v>
      </c>
      <c r="R698" s="103" t="s">
        <v>35</v>
      </c>
      <c r="S698" s="104" t="s">
        <v>42</v>
      </c>
      <c r="T698" s="30" t="s">
        <v>5251</v>
      </c>
      <c r="U698" s="30" t="s">
        <v>5251</v>
      </c>
      <c r="V698" s="105">
        <f t="shared" si="2"/>
        <v>1</v>
      </c>
      <c r="W698" s="105">
        <f t="shared" ref="W698:X698" si="703">IF(lenb(SUBSTITUTE($Z698,W$1&amp;" (1)",""))&lt;lenb($Z698),1,IF(lenb(SUBSTITUTE($Z698,W$1&amp;" (2)",""))&lt;lenb($Z698),2,IF(lenb(SUBSTITUTE($Z698,W$1&amp;" (3)",""))&lt;lenb($Z698),3,IF(lenb(SUBSTITUTE($Z698,W$1&amp;" (4)",""))&lt;lenb($Z698),4,IF(lenb(SUBSTITUTE($Z698,W$1&amp;" (5)",""))&lt;lenb($Z698),5,IF(lenb(SUBSTITUTE($Z698,W$1&amp;" (6)",""))&lt;lenb($Z698),6,IF(lenb(SUBSTITUTE($Z698,W$1&amp;" (7)",""))&lt;lenb($Z698),1,IF(lenb(SUBSTITUTE($Z698,W$1&amp;" (8)",""))&lt;lenb($Z698),8,IF(lenb(SUBSTITUTE($Z698,W$1&amp;" (9)",""))&lt;lenb($Z698),9,IF(lenb(SUBSTITUTE($Z698,W$1&amp;" (10)",""))&lt;lenb($Z698),10,IF(lenb(SUBSTITUTE($Z698,W$1,""))&lt;lenb($Z698),"ERROR",IF($Z698=$Y$1,"-",0))))))))))))</f>
        <v>0</v>
      </c>
      <c r="X698" s="105">
        <f t="shared" si="703"/>
        <v>0</v>
      </c>
      <c r="Y698" s="105" t="str">
        <f t="shared" si="4"/>
        <v>-</v>
      </c>
      <c r="Z698" s="104" t="s">
        <v>3400</v>
      </c>
      <c r="AA698" s="34">
        <f t="shared" si="5"/>
        <v>1</v>
      </c>
      <c r="AB698" s="34">
        <f>COUNTIFS(Links!B:B,"FSE",Links!C:C,A698,Links!AD:AD,1)</f>
        <v>0</v>
      </c>
      <c r="AC698" s="106" t="s">
        <v>35</v>
      </c>
      <c r="AD698" s="107" t="s">
        <v>35</v>
      </c>
      <c r="AE698" s="104" t="s">
        <v>36</v>
      </c>
      <c r="AF698" s="37" t="s">
        <v>42</v>
      </c>
      <c r="AG698" s="37" t="s">
        <v>42</v>
      </c>
      <c r="AH698" s="37" t="s">
        <v>42</v>
      </c>
      <c r="AI698" s="105" t="str">
        <f t="shared" si="6"/>
        <v>----</v>
      </c>
      <c r="AJ698" s="108" t="str">
        <f t="shared" si="7"/>
        <v>Paper has link but no statement</v>
      </c>
      <c r="AK698" s="109" t="s">
        <v>3401</v>
      </c>
      <c r="AL698" s="110" t="s">
        <v>3402</v>
      </c>
      <c r="AM698" s="40" t="str">
        <f t="shared" si="8"/>
        <v>[FP0210]</v>
      </c>
    </row>
    <row r="699" ht="67.5" customHeight="1">
      <c r="A699" s="41">
        <v>211.0</v>
      </c>
      <c r="B699" s="42" t="s">
        <v>5252</v>
      </c>
      <c r="C699" s="43">
        <v>2022.0</v>
      </c>
      <c r="D699" s="111" t="s">
        <v>35</v>
      </c>
      <c r="E699" s="45" t="s">
        <v>36</v>
      </c>
      <c r="F699" s="45" t="s">
        <v>36</v>
      </c>
      <c r="G699" s="45" t="s">
        <v>36</v>
      </c>
      <c r="H699" s="45" t="s">
        <v>36</v>
      </c>
      <c r="I699" s="45" t="s">
        <v>36</v>
      </c>
      <c r="J699" s="112" t="s">
        <v>36</v>
      </c>
      <c r="K699" s="113" t="s">
        <v>37</v>
      </c>
      <c r="L699" s="114" t="s">
        <v>35</v>
      </c>
      <c r="M699" s="114" t="s">
        <v>37</v>
      </c>
      <c r="N699" s="114" t="s">
        <v>35</v>
      </c>
      <c r="O699" s="114" t="s">
        <v>35</v>
      </c>
      <c r="P699" s="114" t="s">
        <v>35</v>
      </c>
      <c r="Q699" s="114" t="s">
        <v>35</v>
      </c>
      <c r="R699" s="114" t="s">
        <v>37</v>
      </c>
      <c r="S699" s="115" t="s">
        <v>5253</v>
      </c>
      <c r="T699" s="50" t="s">
        <v>5254</v>
      </c>
      <c r="U699" s="50" t="s">
        <v>5255</v>
      </c>
      <c r="V699" s="116">
        <f t="shared" si="2"/>
        <v>1</v>
      </c>
      <c r="W699" s="116">
        <f t="shared" ref="W699:X699" si="704">IF(lenb(SUBSTITUTE($Z699,W$1&amp;" (1)",""))&lt;lenb($Z699),1,IF(lenb(SUBSTITUTE($Z699,W$1&amp;" (2)",""))&lt;lenb($Z699),2,IF(lenb(SUBSTITUTE($Z699,W$1&amp;" (3)",""))&lt;lenb($Z699),3,IF(lenb(SUBSTITUTE($Z699,W$1&amp;" (4)",""))&lt;lenb($Z699),4,IF(lenb(SUBSTITUTE($Z699,W$1&amp;" (5)",""))&lt;lenb($Z699),5,IF(lenb(SUBSTITUTE($Z699,W$1&amp;" (6)",""))&lt;lenb($Z699),6,IF(lenb(SUBSTITUTE($Z699,W$1&amp;" (7)",""))&lt;lenb($Z699),1,IF(lenb(SUBSTITUTE($Z699,W$1&amp;" (8)",""))&lt;lenb($Z699),8,IF(lenb(SUBSTITUTE($Z699,W$1&amp;" (9)",""))&lt;lenb($Z699),9,IF(lenb(SUBSTITUTE($Z699,W$1&amp;" (10)",""))&lt;lenb($Z699),10,IF(lenb(SUBSTITUTE($Z699,W$1,""))&lt;lenb($Z699),"ERROR",IF($Z699=$Y$1,"-",0))))))))))))</f>
        <v>0</v>
      </c>
      <c r="X699" s="116">
        <f t="shared" si="704"/>
        <v>0</v>
      </c>
      <c r="Y699" s="116" t="str">
        <f t="shared" si="4"/>
        <v>-</v>
      </c>
      <c r="Z699" s="115" t="s">
        <v>3400</v>
      </c>
      <c r="AA699" s="54">
        <f t="shared" si="5"/>
        <v>1</v>
      </c>
      <c r="AB699" s="54">
        <f>COUNTIFS(Links!B:B,"FSE",Links!C:C,A699,Links!AD:AD,1)</f>
        <v>0</v>
      </c>
      <c r="AC699" s="117" t="s">
        <v>37</v>
      </c>
      <c r="AD699" s="118" t="s">
        <v>35</v>
      </c>
      <c r="AE699" s="115" t="s">
        <v>36</v>
      </c>
      <c r="AF699" s="57" t="s">
        <v>42</v>
      </c>
      <c r="AG699" s="57" t="s">
        <v>42</v>
      </c>
      <c r="AH699" s="57" t="s">
        <v>42</v>
      </c>
      <c r="AI699" s="116" t="str">
        <f t="shared" si="6"/>
        <v>----</v>
      </c>
      <c r="AJ699" s="119" t="str">
        <f t="shared" si="7"/>
        <v>Paper has link but no statement</v>
      </c>
      <c r="AK699" s="120" t="s">
        <v>3401</v>
      </c>
      <c r="AL699" s="121" t="s">
        <v>3402</v>
      </c>
      <c r="AM699" s="60" t="str">
        <f t="shared" si="8"/>
        <v>[FP0211]</v>
      </c>
    </row>
    <row r="700" ht="67.5" customHeight="1">
      <c r="A700" s="61">
        <v>212.0</v>
      </c>
      <c r="B700" s="22" t="s">
        <v>5256</v>
      </c>
      <c r="C700" s="23">
        <v>2022.0</v>
      </c>
      <c r="D700" s="100" t="s">
        <v>35</v>
      </c>
      <c r="E700" s="25" t="s">
        <v>36</v>
      </c>
      <c r="F700" s="25" t="s">
        <v>36</v>
      </c>
      <c r="G700" s="25" t="s">
        <v>36</v>
      </c>
      <c r="H700" s="25" t="s">
        <v>36</v>
      </c>
      <c r="I700" s="25" t="s">
        <v>36</v>
      </c>
      <c r="J700" s="101" t="s">
        <v>36</v>
      </c>
      <c r="K700" s="102" t="s">
        <v>37</v>
      </c>
      <c r="L700" s="103" t="s">
        <v>35</v>
      </c>
      <c r="M700" s="103" t="s">
        <v>37</v>
      </c>
      <c r="N700" s="103" t="s">
        <v>37</v>
      </c>
      <c r="O700" s="103" t="s">
        <v>35</v>
      </c>
      <c r="P700" s="103" t="s">
        <v>35</v>
      </c>
      <c r="Q700" s="103" t="s">
        <v>35</v>
      </c>
      <c r="R700" s="103" t="s">
        <v>37</v>
      </c>
      <c r="S700" s="104" t="s">
        <v>5257</v>
      </c>
      <c r="T700" s="30" t="s">
        <v>5258</v>
      </c>
      <c r="U700" s="30" t="s">
        <v>5258</v>
      </c>
      <c r="V700" s="105">
        <f t="shared" si="2"/>
        <v>1</v>
      </c>
      <c r="W700" s="105">
        <f t="shared" ref="W700:X700" si="705">IF(lenb(SUBSTITUTE($Z700,W$1&amp;" (1)",""))&lt;lenb($Z700),1,IF(lenb(SUBSTITUTE($Z700,W$1&amp;" (2)",""))&lt;lenb($Z700),2,IF(lenb(SUBSTITUTE($Z700,W$1&amp;" (3)",""))&lt;lenb($Z700),3,IF(lenb(SUBSTITUTE($Z700,W$1&amp;" (4)",""))&lt;lenb($Z700),4,IF(lenb(SUBSTITUTE($Z700,W$1&amp;" (5)",""))&lt;lenb($Z700),5,IF(lenb(SUBSTITUTE($Z700,W$1&amp;" (6)",""))&lt;lenb($Z700),6,IF(lenb(SUBSTITUTE($Z700,W$1&amp;" (7)",""))&lt;lenb($Z700),1,IF(lenb(SUBSTITUTE($Z700,W$1&amp;" (8)",""))&lt;lenb($Z700),8,IF(lenb(SUBSTITUTE($Z700,W$1&amp;" (9)",""))&lt;lenb($Z700),9,IF(lenb(SUBSTITUTE($Z700,W$1&amp;" (10)",""))&lt;lenb($Z700),10,IF(lenb(SUBSTITUTE($Z700,W$1,""))&lt;lenb($Z700),"ERROR",IF($Z700=$Y$1,"-",0))))))))))))</f>
        <v>0</v>
      </c>
      <c r="X700" s="105">
        <f t="shared" si="705"/>
        <v>0</v>
      </c>
      <c r="Y700" s="105" t="str">
        <f t="shared" si="4"/>
        <v>-</v>
      </c>
      <c r="Z700" s="104" t="s">
        <v>3400</v>
      </c>
      <c r="AA700" s="34">
        <f t="shared" si="5"/>
        <v>1</v>
      </c>
      <c r="AB700" s="34">
        <f>COUNTIFS(Links!B:B,"FSE",Links!C:C,A700,Links!AD:AD,1)</f>
        <v>0</v>
      </c>
      <c r="AC700" s="106" t="s">
        <v>35</v>
      </c>
      <c r="AD700" s="107" t="s">
        <v>35</v>
      </c>
      <c r="AE700" s="104" t="s">
        <v>36</v>
      </c>
      <c r="AF700" s="37" t="s">
        <v>42</v>
      </c>
      <c r="AG700" s="37" t="s">
        <v>42</v>
      </c>
      <c r="AH700" s="37" t="s">
        <v>42</v>
      </c>
      <c r="AI700" s="105" t="str">
        <f t="shared" si="6"/>
        <v>----</v>
      </c>
      <c r="AJ700" s="108" t="str">
        <f t="shared" si="7"/>
        <v>Paper has link but no statement</v>
      </c>
      <c r="AK700" s="109" t="s">
        <v>3401</v>
      </c>
      <c r="AL700" s="110" t="s">
        <v>3402</v>
      </c>
      <c r="AM700" s="40" t="str">
        <f t="shared" si="8"/>
        <v>[FP0212]</v>
      </c>
    </row>
    <row r="701" ht="67.5" customHeight="1">
      <c r="A701" s="41">
        <v>213.0</v>
      </c>
      <c r="B701" s="42" t="s">
        <v>5259</v>
      </c>
      <c r="C701" s="43">
        <v>2022.0</v>
      </c>
      <c r="D701" s="111" t="s">
        <v>35</v>
      </c>
      <c r="E701" s="45" t="s">
        <v>36</v>
      </c>
      <c r="F701" s="45" t="s">
        <v>36</v>
      </c>
      <c r="G701" s="45" t="s">
        <v>36</v>
      </c>
      <c r="H701" s="45" t="s">
        <v>36</v>
      </c>
      <c r="I701" s="45" t="s">
        <v>36</v>
      </c>
      <c r="J701" s="112" t="s">
        <v>36</v>
      </c>
      <c r="K701" s="113" t="s">
        <v>37</v>
      </c>
      <c r="L701" s="114" t="s">
        <v>35</v>
      </c>
      <c r="M701" s="114" t="s">
        <v>35</v>
      </c>
      <c r="N701" s="114" t="s">
        <v>35</v>
      </c>
      <c r="O701" s="114" t="s">
        <v>37</v>
      </c>
      <c r="P701" s="114" t="s">
        <v>35</v>
      </c>
      <c r="Q701" s="114" t="s">
        <v>35</v>
      </c>
      <c r="R701" s="114" t="s">
        <v>35</v>
      </c>
      <c r="S701" s="115" t="s">
        <v>14</v>
      </c>
      <c r="T701" s="50" t="s">
        <v>5260</v>
      </c>
      <c r="U701" s="50" t="s">
        <v>5260</v>
      </c>
      <c r="V701" s="116">
        <f t="shared" si="2"/>
        <v>1</v>
      </c>
      <c r="W701" s="116">
        <f t="shared" ref="W701:X701" si="706">IF(lenb(SUBSTITUTE($Z701,W$1&amp;" (1)",""))&lt;lenb($Z701),1,IF(lenb(SUBSTITUTE($Z701,W$1&amp;" (2)",""))&lt;lenb($Z701),2,IF(lenb(SUBSTITUTE($Z701,W$1&amp;" (3)",""))&lt;lenb($Z701),3,IF(lenb(SUBSTITUTE($Z701,W$1&amp;" (4)",""))&lt;lenb($Z701),4,IF(lenb(SUBSTITUTE($Z701,W$1&amp;" (5)",""))&lt;lenb($Z701),5,IF(lenb(SUBSTITUTE($Z701,W$1&amp;" (6)",""))&lt;lenb($Z701),6,IF(lenb(SUBSTITUTE($Z701,W$1&amp;" (7)",""))&lt;lenb($Z701),1,IF(lenb(SUBSTITUTE($Z701,W$1&amp;" (8)",""))&lt;lenb($Z701),8,IF(lenb(SUBSTITUTE($Z701,W$1&amp;" (9)",""))&lt;lenb($Z701),9,IF(lenb(SUBSTITUTE($Z701,W$1&amp;" (10)",""))&lt;lenb($Z701),10,IF(lenb(SUBSTITUTE($Z701,W$1,""))&lt;lenb($Z701),"ERROR",IF($Z701=$Y$1,"-",0))))))))))))</f>
        <v>0</v>
      </c>
      <c r="X701" s="116">
        <f t="shared" si="706"/>
        <v>0</v>
      </c>
      <c r="Y701" s="116" t="str">
        <f t="shared" si="4"/>
        <v>-</v>
      </c>
      <c r="Z701" s="115" t="s">
        <v>3400</v>
      </c>
      <c r="AA701" s="54">
        <f t="shared" si="5"/>
        <v>1</v>
      </c>
      <c r="AB701" s="54">
        <f>COUNTIFS(Links!B:B,"FSE",Links!C:C,A701,Links!AD:AD,1)</f>
        <v>0</v>
      </c>
      <c r="AC701" s="117" t="s">
        <v>35</v>
      </c>
      <c r="AD701" s="118" t="s">
        <v>35</v>
      </c>
      <c r="AE701" s="115" t="s">
        <v>36</v>
      </c>
      <c r="AF701" s="57" t="s">
        <v>42</v>
      </c>
      <c r="AG701" s="57" t="s">
        <v>42</v>
      </c>
      <c r="AH701" s="57" t="s">
        <v>42</v>
      </c>
      <c r="AI701" s="116" t="str">
        <f t="shared" si="6"/>
        <v>----</v>
      </c>
      <c r="AJ701" s="119" t="str">
        <f t="shared" si="7"/>
        <v>Paper has link but no statement</v>
      </c>
      <c r="AK701" s="120" t="s">
        <v>3401</v>
      </c>
      <c r="AL701" s="121" t="s">
        <v>3402</v>
      </c>
      <c r="AM701" s="60" t="str">
        <f t="shared" si="8"/>
        <v>[FP0213]</v>
      </c>
    </row>
    <row r="702" ht="67.5" customHeight="1">
      <c r="A702" s="61">
        <v>214.0</v>
      </c>
      <c r="B702" s="22" t="s">
        <v>5261</v>
      </c>
      <c r="C702" s="23">
        <v>2022.0</v>
      </c>
      <c r="D702" s="100" t="s">
        <v>35</v>
      </c>
      <c r="E702" s="25" t="s">
        <v>36</v>
      </c>
      <c r="F702" s="25" t="s">
        <v>36</v>
      </c>
      <c r="G702" s="25" t="s">
        <v>36</v>
      </c>
      <c r="H702" s="25" t="s">
        <v>36</v>
      </c>
      <c r="I702" s="25" t="s">
        <v>36</v>
      </c>
      <c r="J702" s="101" t="s">
        <v>36</v>
      </c>
      <c r="K702" s="102" t="s">
        <v>37</v>
      </c>
      <c r="L702" s="103" t="s">
        <v>35</v>
      </c>
      <c r="M702" s="103" t="s">
        <v>37</v>
      </c>
      <c r="N702" s="103" t="s">
        <v>37</v>
      </c>
      <c r="O702" s="103" t="s">
        <v>35</v>
      </c>
      <c r="P702" s="103" t="s">
        <v>35</v>
      </c>
      <c r="Q702" s="103" t="s">
        <v>35</v>
      </c>
      <c r="R702" s="103" t="s">
        <v>37</v>
      </c>
      <c r="S702" s="104" t="s">
        <v>5262</v>
      </c>
      <c r="T702" s="30" t="s">
        <v>5263</v>
      </c>
      <c r="U702" s="30" t="s">
        <v>5263</v>
      </c>
      <c r="V702" s="105">
        <f t="shared" si="2"/>
        <v>1</v>
      </c>
      <c r="W702" s="105">
        <f t="shared" ref="W702:X702" si="707">IF(lenb(SUBSTITUTE($Z702,W$1&amp;" (1)",""))&lt;lenb($Z702),1,IF(lenb(SUBSTITUTE($Z702,W$1&amp;" (2)",""))&lt;lenb($Z702),2,IF(lenb(SUBSTITUTE($Z702,W$1&amp;" (3)",""))&lt;lenb($Z702),3,IF(lenb(SUBSTITUTE($Z702,W$1&amp;" (4)",""))&lt;lenb($Z702),4,IF(lenb(SUBSTITUTE($Z702,W$1&amp;" (5)",""))&lt;lenb($Z702),5,IF(lenb(SUBSTITUTE($Z702,W$1&amp;" (6)",""))&lt;lenb($Z702),6,IF(lenb(SUBSTITUTE($Z702,W$1&amp;" (7)",""))&lt;lenb($Z702),1,IF(lenb(SUBSTITUTE($Z702,W$1&amp;" (8)",""))&lt;lenb($Z702),8,IF(lenb(SUBSTITUTE($Z702,W$1&amp;" (9)",""))&lt;lenb($Z702),9,IF(lenb(SUBSTITUTE($Z702,W$1&amp;" (10)",""))&lt;lenb($Z702),10,IF(lenb(SUBSTITUTE($Z702,W$1,""))&lt;lenb($Z702),"ERROR",IF($Z702=$Y$1,"-",0))))))))))))</f>
        <v>0</v>
      </c>
      <c r="X702" s="105">
        <f t="shared" si="707"/>
        <v>0</v>
      </c>
      <c r="Y702" s="105" t="str">
        <f t="shared" si="4"/>
        <v>-</v>
      </c>
      <c r="Z702" s="104" t="s">
        <v>3400</v>
      </c>
      <c r="AA702" s="34">
        <f t="shared" si="5"/>
        <v>1</v>
      </c>
      <c r="AB702" s="34">
        <f>COUNTIFS(Links!B:B,"FSE",Links!C:C,A702,Links!AD:AD,1)</f>
        <v>0</v>
      </c>
      <c r="AC702" s="106" t="s">
        <v>35</v>
      </c>
      <c r="AD702" s="107" t="s">
        <v>35</v>
      </c>
      <c r="AE702" s="104" t="s">
        <v>36</v>
      </c>
      <c r="AF702" s="37" t="s">
        <v>42</v>
      </c>
      <c r="AG702" s="37" t="s">
        <v>42</v>
      </c>
      <c r="AH702" s="37" t="s">
        <v>42</v>
      </c>
      <c r="AI702" s="105" t="str">
        <f t="shared" si="6"/>
        <v>----</v>
      </c>
      <c r="AJ702" s="108" t="str">
        <f t="shared" si="7"/>
        <v>Paper has link but no statement</v>
      </c>
      <c r="AK702" s="109" t="s">
        <v>3401</v>
      </c>
      <c r="AL702" s="110" t="s">
        <v>3402</v>
      </c>
      <c r="AM702" s="40" t="str">
        <f t="shared" si="8"/>
        <v>[FP0214]</v>
      </c>
    </row>
    <row r="703" ht="67.5" customHeight="1">
      <c r="A703" s="41">
        <v>215.0</v>
      </c>
      <c r="B703" s="42" t="s">
        <v>5264</v>
      </c>
      <c r="C703" s="43">
        <v>2022.0</v>
      </c>
      <c r="D703" s="111" t="s">
        <v>37</v>
      </c>
      <c r="E703" s="45" t="s">
        <v>37</v>
      </c>
      <c r="F703" s="45" t="s">
        <v>37</v>
      </c>
      <c r="G703" s="45" t="s">
        <v>35</v>
      </c>
      <c r="H703" s="45" t="s">
        <v>35</v>
      </c>
      <c r="I703" s="45" t="s">
        <v>35</v>
      </c>
      <c r="J703" s="112" t="s">
        <v>36</v>
      </c>
      <c r="K703" s="113" t="s">
        <v>37</v>
      </c>
      <c r="L703" s="114" t="s">
        <v>35</v>
      </c>
      <c r="M703" s="114" t="s">
        <v>37</v>
      </c>
      <c r="N703" s="114" t="s">
        <v>35</v>
      </c>
      <c r="O703" s="114" t="s">
        <v>35</v>
      </c>
      <c r="P703" s="114" t="s">
        <v>35</v>
      </c>
      <c r="Q703" s="114" t="s">
        <v>37</v>
      </c>
      <c r="R703" s="114" t="s">
        <v>35</v>
      </c>
      <c r="S703" s="115" t="s">
        <v>5265</v>
      </c>
      <c r="T703" s="50" t="s">
        <v>5266</v>
      </c>
      <c r="U703" s="50" t="s">
        <v>5267</v>
      </c>
      <c r="V703" s="116">
        <f t="shared" si="2"/>
        <v>1</v>
      </c>
      <c r="W703" s="116">
        <f t="shared" ref="W703:X703" si="708">IF(lenb(SUBSTITUTE($Z703,W$1&amp;" (1)",""))&lt;lenb($Z703),1,IF(lenb(SUBSTITUTE($Z703,W$1&amp;" (2)",""))&lt;lenb($Z703),2,IF(lenb(SUBSTITUTE($Z703,W$1&amp;" (3)",""))&lt;lenb($Z703),3,IF(lenb(SUBSTITUTE($Z703,W$1&amp;" (4)",""))&lt;lenb($Z703),4,IF(lenb(SUBSTITUTE($Z703,W$1&amp;" (5)",""))&lt;lenb($Z703),5,IF(lenb(SUBSTITUTE($Z703,W$1&amp;" (6)",""))&lt;lenb($Z703),6,IF(lenb(SUBSTITUTE($Z703,W$1&amp;" (7)",""))&lt;lenb($Z703),1,IF(lenb(SUBSTITUTE($Z703,W$1&amp;" (8)",""))&lt;lenb($Z703),8,IF(lenb(SUBSTITUTE($Z703,W$1&amp;" (9)",""))&lt;lenb($Z703),9,IF(lenb(SUBSTITUTE($Z703,W$1&amp;" (10)",""))&lt;lenb($Z703),10,IF(lenb(SUBSTITUTE($Z703,W$1,""))&lt;lenb($Z703),"ERROR",IF($Z703=$Y$1,"-",0))))))))))))</f>
        <v>0</v>
      </c>
      <c r="X703" s="116">
        <f t="shared" si="708"/>
        <v>0</v>
      </c>
      <c r="Y703" s="116" t="str">
        <f t="shared" si="4"/>
        <v>-</v>
      </c>
      <c r="Z703" s="115" t="s">
        <v>3400</v>
      </c>
      <c r="AA703" s="54">
        <f t="shared" si="5"/>
        <v>1</v>
      </c>
      <c r="AB703" s="54">
        <f>COUNTIFS(Links!B:B,"FSE",Links!C:C,A703,Links!AD:AD,1)</f>
        <v>0</v>
      </c>
      <c r="AC703" s="117" t="s">
        <v>37</v>
      </c>
      <c r="AD703" s="118" t="s">
        <v>35</v>
      </c>
      <c r="AE703" s="115" t="s">
        <v>36</v>
      </c>
      <c r="AF703" s="57" t="s">
        <v>42</v>
      </c>
      <c r="AG703" s="57" t="s">
        <v>42</v>
      </c>
      <c r="AH703" s="57" t="s">
        <v>42</v>
      </c>
      <c r="AI703" s="116" t="str">
        <f t="shared" si="6"/>
        <v>----</v>
      </c>
      <c r="AJ703" s="119" t="str">
        <f t="shared" si="7"/>
        <v>Paper has link but no statement</v>
      </c>
      <c r="AK703" s="120" t="s">
        <v>3401</v>
      </c>
      <c r="AL703" s="121" t="s">
        <v>3402</v>
      </c>
      <c r="AM703" s="60" t="str">
        <f t="shared" si="8"/>
        <v>[FP0215]</v>
      </c>
    </row>
    <row r="704" ht="67.5" customHeight="1">
      <c r="A704" s="61">
        <v>216.0</v>
      </c>
      <c r="B704" s="22" t="s">
        <v>5268</v>
      </c>
      <c r="C704" s="23">
        <v>2022.0</v>
      </c>
      <c r="D704" s="100" t="s">
        <v>37</v>
      </c>
      <c r="E704" s="25" t="s">
        <v>37</v>
      </c>
      <c r="F704" s="25" t="s">
        <v>35</v>
      </c>
      <c r="G704" s="25" t="s">
        <v>35</v>
      </c>
      <c r="H704" s="25" t="s">
        <v>35</v>
      </c>
      <c r="I704" s="25" t="s">
        <v>35</v>
      </c>
      <c r="J704" s="101" t="s">
        <v>36</v>
      </c>
      <c r="K704" s="102" t="s">
        <v>37</v>
      </c>
      <c r="L704" s="103" t="s">
        <v>35</v>
      </c>
      <c r="M704" s="133" t="s">
        <v>37</v>
      </c>
      <c r="N704" s="103" t="s">
        <v>35</v>
      </c>
      <c r="O704" s="103" t="s">
        <v>35</v>
      </c>
      <c r="P704" s="103" t="s">
        <v>35</v>
      </c>
      <c r="Q704" s="133" t="s">
        <v>37</v>
      </c>
      <c r="R704" s="103" t="s">
        <v>35</v>
      </c>
      <c r="S704" s="104" t="s">
        <v>5269</v>
      </c>
      <c r="T704" s="30" t="s">
        <v>5270</v>
      </c>
      <c r="U704" s="30" t="s">
        <v>5271</v>
      </c>
      <c r="V704" s="105">
        <f t="shared" si="2"/>
        <v>1</v>
      </c>
      <c r="W704" s="105">
        <f t="shared" ref="W704:X704" si="709">IF(lenb(SUBSTITUTE($Z704,W$1&amp;" (1)",""))&lt;lenb($Z704),1,IF(lenb(SUBSTITUTE($Z704,W$1&amp;" (2)",""))&lt;lenb($Z704),2,IF(lenb(SUBSTITUTE($Z704,W$1&amp;" (3)",""))&lt;lenb($Z704),3,IF(lenb(SUBSTITUTE($Z704,W$1&amp;" (4)",""))&lt;lenb($Z704),4,IF(lenb(SUBSTITUTE($Z704,W$1&amp;" (5)",""))&lt;lenb($Z704),5,IF(lenb(SUBSTITUTE($Z704,W$1&amp;" (6)",""))&lt;lenb($Z704),6,IF(lenb(SUBSTITUTE($Z704,W$1&amp;" (7)",""))&lt;lenb($Z704),1,IF(lenb(SUBSTITUTE($Z704,W$1&amp;" (8)",""))&lt;lenb($Z704),8,IF(lenb(SUBSTITUTE($Z704,W$1&amp;" (9)",""))&lt;lenb($Z704),9,IF(lenb(SUBSTITUTE($Z704,W$1&amp;" (10)",""))&lt;lenb($Z704),10,IF(lenb(SUBSTITUTE($Z704,W$1,""))&lt;lenb($Z704),"ERROR",IF($Z704=$Y$1,"-",0))))))))))))</f>
        <v>0</v>
      </c>
      <c r="X704" s="105">
        <f t="shared" si="709"/>
        <v>0</v>
      </c>
      <c r="Y704" s="105" t="str">
        <f t="shared" si="4"/>
        <v>-</v>
      </c>
      <c r="Z704" s="104" t="s">
        <v>3400</v>
      </c>
      <c r="AA704" s="34">
        <f t="shared" si="5"/>
        <v>1</v>
      </c>
      <c r="AB704" s="34">
        <f>COUNTIFS(Links!B:B,"FSE",Links!C:C,A704,Links!AD:AD,1)</f>
        <v>0</v>
      </c>
      <c r="AC704" s="106" t="s">
        <v>37</v>
      </c>
      <c r="AD704" s="107" t="s">
        <v>35</v>
      </c>
      <c r="AE704" s="104" t="s">
        <v>36</v>
      </c>
      <c r="AF704" s="37" t="s">
        <v>42</v>
      </c>
      <c r="AG704" s="37" t="s">
        <v>42</v>
      </c>
      <c r="AH704" s="37" t="s">
        <v>42</v>
      </c>
      <c r="AI704" s="105" t="str">
        <f t="shared" si="6"/>
        <v>----</v>
      </c>
      <c r="AJ704" s="108" t="str">
        <f t="shared" si="7"/>
        <v>Paper has link but no statement</v>
      </c>
      <c r="AK704" s="109" t="s">
        <v>3401</v>
      </c>
      <c r="AL704" s="110" t="s">
        <v>3402</v>
      </c>
      <c r="AM704" s="40" t="str">
        <f t="shared" si="8"/>
        <v>[FP0216]</v>
      </c>
    </row>
    <row r="705" ht="67.5" customHeight="1">
      <c r="A705" s="41">
        <v>217.0</v>
      </c>
      <c r="B705" s="42" t="s">
        <v>5272</v>
      </c>
      <c r="C705" s="43">
        <v>2022.0</v>
      </c>
      <c r="D705" s="111" t="s">
        <v>37</v>
      </c>
      <c r="E705" s="45" t="s">
        <v>37</v>
      </c>
      <c r="F705" s="45" t="s">
        <v>35</v>
      </c>
      <c r="G705" s="45" t="s">
        <v>37</v>
      </c>
      <c r="H705" s="45" t="s">
        <v>35</v>
      </c>
      <c r="I705" s="45" t="s">
        <v>35</v>
      </c>
      <c r="J705" s="112" t="s">
        <v>36</v>
      </c>
      <c r="K705" s="113" t="s">
        <v>37</v>
      </c>
      <c r="L705" s="114" t="s">
        <v>37</v>
      </c>
      <c r="M705" s="131" t="s">
        <v>37</v>
      </c>
      <c r="N705" s="131" t="s">
        <v>37</v>
      </c>
      <c r="O705" s="114" t="s">
        <v>35</v>
      </c>
      <c r="P705" s="114" t="s">
        <v>35</v>
      </c>
      <c r="Q705" s="114" t="s">
        <v>35</v>
      </c>
      <c r="R705" s="114" t="s">
        <v>37</v>
      </c>
      <c r="S705" s="115" t="s">
        <v>5273</v>
      </c>
      <c r="T705" s="50" t="s">
        <v>5274</v>
      </c>
      <c r="U705" s="50" t="s">
        <v>5274</v>
      </c>
      <c r="V705" s="116">
        <f t="shared" si="2"/>
        <v>1</v>
      </c>
      <c r="W705" s="116">
        <f t="shared" ref="W705:X705" si="710">IF(lenb(SUBSTITUTE($Z705,W$1&amp;" (1)",""))&lt;lenb($Z705),1,IF(lenb(SUBSTITUTE($Z705,W$1&amp;" (2)",""))&lt;lenb($Z705),2,IF(lenb(SUBSTITUTE($Z705,W$1&amp;" (3)",""))&lt;lenb($Z705),3,IF(lenb(SUBSTITUTE($Z705,W$1&amp;" (4)",""))&lt;lenb($Z705),4,IF(lenb(SUBSTITUTE($Z705,W$1&amp;" (5)",""))&lt;lenb($Z705),5,IF(lenb(SUBSTITUTE($Z705,W$1&amp;" (6)",""))&lt;lenb($Z705),6,IF(lenb(SUBSTITUTE($Z705,W$1&amp;" (7)",""))&lt;lenb($Z705),1,IF(lenb(SUBSTITUTE($Z705,W$1&amp;" (8)",""))&lt;lenb($Z705),8,IF(lenb(SUBSTITUTE($Z705,W$1&amp;" (9)",""))&lt;lenb($Z705),9,IF(lenb(SUBSTITUTE($Z705,W$1&amp;" (10)",""))&lt;lenb($Z705),10,IF(lenb(SUBSTITUTE($Z705,W$1,""))&lt;lenb($Z705),"ERROR",IF($Z705=$Y$1,"-",0))))))))))))</f>
        <v>0</v>
      </c>
      <c r="X705" s="116">
        <f t="shared" si="710"/>
        <v>0</v>
      </c>
      <c r="Y705" s="116" t="str">
        <f t="shared" si="4"/>
        <v>-</v>
      </c>
      <c r="Z705" s="115" t="s">
        <v>3400</v>
      </c>
      <c r="AA705" s="54">
        <f t="shared" si="5"/>
        <v>1</v>
      </c>
      <c r="AB705" s="54">
        <f>COUNTIFS(Links!B:B,"FSE",Links!C:C,A705,Links!AD:AD,1)</f>
        <v>0</v>
      </c>
      <c r="AC705" s="117" t="s">
        <v>35</v>
      </c>
      <c r="AD705" s="118" t="s">
        <v>35</v>
      </c>
      <c r="AE705" s="115" t="s">
        <v>36</v>
      </c>
      <c r="AF705" s="57" t="s">
        <v>42</v>
      </c>
      <c r="AG705" s="57" t="s">
        <v>42</v>
      </c>
      <c r="AH705" s="57" t="s">
        <v>42</v>
      </c>
      <c r="AI705" s="116" t="str">
        <f t="shared" si="6"/>
        <v>----</v>
      </c>
      <c r="AJ705" s="119" t="str">
        <f t="shared" si="7"/>
        <v>Paper has link but no statement</v>
      </c>
      <c r="AK705" s="120" t="s">
        <v>3401</v>
      </c>
      <c r="AL705" s="121" t="s">
        <v>3402</v>
      </c>
      <c r="AM705" s="60" t="str">
        <f t="shared" si="8"/>
        <v>[FP0217]</v>
      </c>
    </row>
    <row r="706" ht="67.5" customHeight="1">
      <c r="A706" s="61">
        <v>218.0</v>
      </c>
      <c r="B706" s="22" t="s">
        <v>5275</v>
      </c>
      <c r="C706" s="23">
        <v>2022.0</v>
      </c>
      <c r="D706" s="100" t="s">
        <v>35</v>
      </c>
      <c r="E706" s="25" t="s">
        <v>36</v>
      </c>
      <c r="F706" s="25" t="s">
        <v>36</v>
      </c>
      <c r="G706" s="25" t="s">
        <v>36</v>
      </c>
      <c r="H706" s="25" t="s">
        <v>36</v>
      </c>
      <c r="I706" s="25" t="s">
        <v>36</v>
      </c>
      <c r="J706" s="101" t="s">
        <v>36</v>
      </c>
      <c r="K706" s="102" t="s">
        <v>37</v>
      </c>
      <c r="L706" s="103" t="s">
        <v>35</v>
      </c>
      <c r="M706" s="103" t="s">
        <v>35</v>
      </c>
      <c r="N706" s="103" t="s">
        <v>37</v>
      </c>
      <c r="O706" s="103" t="s">
        <v>35</v>
      </c>
      <c r="P706" s="103" t="s">
        <v>35</v>
      </c>
      <c r="Q706" s="103" t="s">
        <v>35</v>
      </c>
      <c r="R706" s="103" t="s">
        <v>35</v>
      </c>
      <c r="S706" s="104" t="s">
        <v>5276</v>
      </c>
      <c r="T706" s="30" t="s">
        <v>5277</v>
      </c>
      <c r="U706" s="30" t="s">
        <v>5277</v>
      </c>
      <c r="V706" s="105">
        <f t="shared" si="2"/>
        <v>1</v>
      </c>
      <c r="W706" s="105">
        <f t="shared" ref="W706:X706" si="711">IF(lenb(SUBSTITUTE($Z706,W$1&amp;" (1)",""))&lt;lenb($Z706),1,IF(lenb(SUBSTITUTE($Z706,W$1&amp;" (2)",""))&lt;lenb($Z706),2,IF(lenb(SUBSTITUTE($Z706,W$1&amp;" (3)",""))&lt;lenb($Z706),3,IF(lenb(SUBSTITUTE($Z706,W$1&amp;" (4)",""))&lt;lenb($Z706),4,IF(lenb(SUBSTITUTE($Z706,W$1&amp;" (5)",""))&lt;lenb($Z706),5,IF(lenb(SUBSTITUTE($Z706,W$1&amp;" (6)",""))&lt;lenb($Z706),6,IF(lenb(SUBSTITUTE($Z706,W$1&amp;" (7)",""))&lt;lenb($Z706),1,IF(lenb(SUBSTITUTE($Z706,W$1&amp;" (8)",""))&lt;lenb($Z706),8,IF(lenb(SUBSTITUTE($Z706,W$1&amp;" (9)",""))&lt;lenb($Z706),9,IF(lenb(SUBSTITUTE($Z706,W$1&amp;" (10)",""))&lt;lenb($Z706),10,IF(lenb(SUBSTITUTE($Z706,W$1,""))&lt;lenb($Z706),"ERROR",IF($Z706=$Y$1,"-",0))))))))))))</f>
        <v>0</v>
      </c>
      <c r="X706" s="105">
        <f t="shared" si="711"/>
        <v>0</v>
      </c>
      <c r="Y706" s="105" t="str">
        <f t="shared" si="4"/>
        <v>-</v>
      </c>
      <c r="Z706" s="104" t="s">
        <v>3400</v>
      </c>
      <c r="AA706" s="34">
        <f t="shared" si="5"/>
        <v>1</v>
      </c>
      <c r="AB706" s="34">
        <f>COUNTIFS(Links!B:B,"FSE",Links!C:C,A706,Links!AD:AD,1)</f>
        <v>0</v>
      </c>
      <c r="AC706" s="106" t="s">
        <v>35</v>
      </c>
      <c r="AD706" s="107" t="s">
        <v>35</v>
      </c>
      <c r="AE706" s="104" t="s">
        <v>36</v>
      </c>
      <c r="AF706" s="37" t="s">
        <v>42</v>
      </c>
      <c r="AG706" s="37" t="s">
        <v>42</v>
      </c>
      <c r="AH706" s="37" t="s">
        <v>42</v>
      </c>
      <c r="AI706" s="105" t="str">
        <f t="shared" si="6"/>
        <v>----</v>
      </c>
      <c r="AJ706" s="108" t="str">
        <f t="shared" si="7"/>
        <v>Paper has link but no statement</v>
      </c>
      <c r="AK706" s="109" t="s">
        <v>3401</v>
      </c>
      <c r="AL706" s="110" t="s">
        <v>3402</v>
      </c>
      <c r="AM706" s="40" t="str">
        <f t="shared" si="8"/>
        <v>[FP0218]</v>
      </c>
    </row>
    <row r="707" ht="67.5" customHeight="1">
      <c r="A707" s="41">
        <v>219.0</v>
      </c>
      <c r="B707" s="42" t="s">
        <v>5278</v>
      </c>
      <c r="C707" s="43">
        <v>2022.0</v>
      </c>
      <c r="D707" s="111" t="s">
        <v>35</v>
      </c>
      <c r="E707" s="45" t="s">
        <v>36</v>
      </c>
      <c r="F707" s="45" t="s">
        <v>36</v>
      </c>
      <c r="G707" s="45" t="s">
        <v>36</v>
      </c>
      <c r="H707" s="45" t="s">
        <v>36</v>
      </c>
      <c r="I707" s="45" t="s">
        <v>36</v>
      </c>
      <c r="J707" s="112" t="s">
        <v>36</v>
      </c>
      <c r="K707" s="113" t="s">
        <v>37</v>
      </c>
      <c r="L707" s="131" t="s">
        <v>37</v>
      </c>
      <c r="M707" s="114" t="s">
        <v>35</v>
      </c>
      <c r="N707" s="114" t="s">
        <v>35</v>
      </c>
      <c r="O707" s="114" t="s">
        <v>35</v>
      </c>
      <c r="P707" s="114" t="s">
        <v>35</v>
      </c>
      <c r="Q707" s="114" t="s">
        <v>35</v>
      </c>
      <c r="R707" s="131" t="s">
        <v>37</v>
      </c>
      <c r="S707" s="115" t="s">
        <v>5279</v>
      </c>
      <c r="T707" s="50" t="s">
        <v>5280</v>
      </c>
      <c r="U707" s="50" t="s">
        <v>5280</v>
      </c>
      <c r="V707" s="116">
        <f t="shared" si="2"/>
        <v>1</v>
      </c>
      <c r="W707" s="116">
        <f t="shared" ref="W707:X707" si="712">IF(lenb(SUBSTITUTE($Z707,W$1&amp;" (1)",""))&lt;lenb($Z707),1,IF(lenb(SUBSTITUTE($Z707,W$1&amp;" (2)",""))&lt;lenb($Z707),2,IF(lenb(SUBSTITUTE($Z707,W$1&amp;" (3)",""))&lt;lenb($Z707),3,IF(lenb(SUBSTITUTE($Z707,W$1&amp;" (4)",""))&lt;lenb($Z707),4,IF(lenb(SUBSTITUTE($Z707,W$1&amp;" (5)",""))&lt;lenb($Z707),5,IF(lenb(SUBSTITUTE($Z707,W$1&amp;" (6)",""))&lt;lenb($Z707),6,IF(lenb(SUBSTITUTE($Z707,W$1&amp;" (7)",""))&lt;lenb($Z707),1,IF(lenb(SUBSTITUTE($Z707,W$1&amp;" (8)",""))&lt;lenb($Z707),8,IF(lenb(SUBSTITUTE($Z707,W$1&amp;" (9)",""))&lt;lenb($Z707),9,IF(lenb(SUBSTITUTE($Z707,W$1&amp;" (10)",""))&lt;lenb($Z707),10,IF(lenb(SUBSTITUTE($Z707,W$1,""))&lt;lenb($Z707),"ERROR",IF($Z707=$Y$1,"-",0))))))))))))</f>
        <v>0</v>
      </c>
      <c r="X707" s="116">
        <f t="shared" si="712"/>
        <v>0</v>
      </c>
      <c r="Y707" s="116" t="str">
        <f t="shared" si="4"/>
        <v>-</v>
      </c>
      <c r="Z707" s="115" t="s">
        <v>3400</v>
      </c>
      <c r="AA707" s="54">
        <f t="shared" si="5"/>
        <v>1</v>
      </c>
      <c r="AB707" s="54">
        <f>COUNTIFS(Links!B:B,"FSE",Links!C:C,A707,Links!AD:AD,1)</f>
        <v>0</v>
      </c>
      <c r="AC707" s="117" t="s">
        <v>35</v>
      </c>
      <c r="AD707" s="118" t="s">
        <v>35</v>
      </c>
      <c r="AE707" s="115" t="s">
        <v>36</v>
      </c>
      <c r="AF707" s="57" t="s">
        <v>42</v>
      </c>
      <c r="AG707" s="57" t="s">
        <v>42</v>
      </c>
      <c r="AH707" s="57" t="s">
        <v>42</v>
      </c>
      <c r="AI707" s="116" t="str">
        <f t="shared" si="6"/>
        <v>----</v>
      </c>
      <c r="AJ707" s="119" t="str">
        <f t="shared" si="7"/>
        <v>Paper has link but no statement</v>
      </c>
      <c r="AK707" s="120" t="s">
        <v>3401</v>
      </c>
      <c r="AL707" s="121" t="s">
        <v>3402</v>
      </c>
      <c r="AM707" s="60" t="str">
        <f t="shared" si="8"/>
        <v>[FP0219]</v>
      </c>
    </row>
    <row r="708" ht="67.5" customHeight="1">
      <c r="A708" s="61">
        <v>220.0</v>
      </c>
      <c r="B708" s="22" t="s">
        <v>5281</v>
      </c>
      <c r="C708" s="23">
        <v>2022.0</v>
      </c>
      <c r="D708" s="100" t="s">
        <v>35</v>
      </c>
      <c r="E708" s="25" t="s">
        <v>36</v>
      </c>
      <c r="F708" s="25" t="s">
        <v>36</v>
      </c>
      <c r="G708" s="25" t="s">
        <v>36</v>
      </c>
      <c r="H708" s="25" t="s">
        <v>36</v>
      </c>
      <c r="I708" s="25" t="s">
        <v>36</v>
      </c>
      <c r="J708" s="101" t="s">
        <v>36</v>
      </c>
      <c r="K708" s="102" t="s">
        <v>37</v>
      </c>
      <c r="L708" s="103" t="s">
        <v>37</v>
      </c>
      <c r="M708" s="103" t="s">
        <v>35</v>
      </c>
      <c r="N708" s="103" t="s">
        <v>37</v>
      </c>
      <c r="O708" s="103" t="s">
        <v>35</v>
      </c>
      <c r="P708" s="103" t="s">
        <v>35</v>
      </c>
      <c r="Q708" s="103" t="s">
        <v>35</v>
      </c>
      <c r="R708" s="103" t="s">
        <v>35</v>
      </c>
      <c r="S708" s="104" t="s">
        <v>42</v>
      </c>
      <c r="T708" s="30" t="s">
        <v>5282</v>
      </c>
      <c r="U708" s="30" t="s">
        <v>5282</v>
      </c>
      <c r="V708" s="105">
        <f t="shared" si="2"/>
        <v>1</v>
      </c>
      <c r="W708" s="105">
        <f t="shared" ref="W708:X708" si="713">IF(lenb(SUBSTITUTE($Z708,W$1&amp;" (1)",""))&lt;lenb($Z708),1,IF(lenb(SUBSTITUTE($Z708,W$1&amp;" (2)",""))&lt;lenb($Z708),2,IF(lenb(SUBSTITUTE($Z708,W$1&amp;" (3)",""))&lt;lenb($Z708),3,IF(lenb(SUBSTITUTE($Z708,W$1&amp;" (4)",""))&lt;lenb($Z708),4,IF(lenb(SUBSTITUTE($Z708,W$1&amp;" (5)",""))&lt;lenb($Z708),5,IF(lenb(SUBSTITUTE($Z708,W$1&amp;" (6)",""))&lt;lenb($Z708),6,IF(lenb(SUBSTITUTE($Z708,W$1&amp;" (7)",""))&lt;lenb($Z708),1,IF(lenb(SUBSTITUTE($Z708,W$1&amp;" (8)",""))&lt;lenb($Z708),8,IF(lenb(SUBSTITUTE($Z708,W$1&amp;" (9)",""))&lt;lenb($Z708),9,IF(lenb(SUBSTITUTE($Z708,W$1&amp;" (10)",""))&lt;lenb($Z708),10,IF(lenb(SUBSTITUTE($Z708,W$1,""))&lt;lenb($Z708),"ERROR",IF($Z708=$Y$1,"-",0))))))))))))</f>
        <v>0</v>
      </c>
      <c r="X708" s="105">
        <f t="shared" si="713"/>
        <v>0</v>
      </c>
      <c r="Y708" s="105" t="str">
        <f t="shared" si="4"/>
        <v>-</v>
      </c>
      <c r="Z708" s="104" t="s">
        <v>3400</v>
      </c>
      <c r="AA708" s="34">
        <f t="shared" si="5"/>
        <v>1</v>
      </c>
      <c r="AB708" s="34">
        <f>COUNTIFS(Links!B:B,"FSE",Links!C:C,A708,Links!AD:AD,1)</f>
        <v>0</v>
      </c>
      <c r="AC708" s="106" t="s">
        <v>35</v>
      </c>
      <c r="AD708" s="107" t="s">
        <v>35</v>
      </c>
      <c r="AE708" s="104" t="s">
        <v>36</v>
      </c>
      <c r="AF708" s="37" t="s">
        <v>42</v>
      </c>
      <c r="AG708" s="37" t="s">
        <v>42</v>
      </c>
      <c r="AH708" s="37" t="s">
        <v>42</v>
      </c>
      <c r="AI708" s="105" t="str">
        <f t="shared" si="6"/>
        <v>----</v>
      </c>
      <c r="AJ708" s="108" t="str">
        <f t="shared" si="7"/>
        <v>Paper has link but no statement</v>
      </c>
      <c r="AK708" s="109" t="s">
        <v>3401</v>
      </c>
      <c r="AL708" s="110" t="s">
        <v>3402</v>
      </c>
      <c r="AM708" s="40" t="str">
        <f t="shared" si="8"/>
        <v>[FP0220]</v>
      </c>
    </row>
    <row r="709" ht="67.5" customHeight="1">
      <c r="A709" s="41">
        <v>221.0</v>
      </c>
      <c r="B709" s="42" t="s">
        <v>5283</v>
      </c>
      <c r="C709" s="43">
        <v>2022.0</v>
      </c>
      <c r="D709" s="111" t="s">
        <v>37</v>
      </c>
      <c r="E709" s="45" t="s">
        <v>37</v>
      </c>
      <c r="F709" s="45" t="s">
        <v>35</v>
      </c>
      <c r="G709" s="45" t="s">
        <v>35</v>
      </c>
      <c r="H709" s="45" t="s">
        <v>35</v>
      </c>
      <c r="I709" s="45" t="s">
        <v>35</v>
      </c>
      <c r="J709" s="112" t="s">
        <v>36</v>
      </c>
      <c r="K709" s="113" t="s">
        <v>37</v>
      </c>
      <c r="L709" s="114" t="s">
        <v>35</v>
      </c>
      <c r="M709" s="114" t="s">
        <v>37</v>
      </c>
      <c r="N709" s="114" t="s">
        <v>37</v>
      </c>
      <c r="O709" s="114" t="s">
        <v>35</v>
      </c>
      <c r="P709" s="114" t="s">
        <v>35</v>
      </c>
      <c r="Q709" s="114" t="s">
        <v>35</v>
      </c>
      <c r="R709" s="114" t="s">
        <v>35</v>
      </c>
      <c r="S709" s="115" t="s">
        <v>5284</v>
      </c>
      <c r="T709" s="50" t="s">
        <v>5285</v>
      </c>
      <c r="U709" s="50" t="s">
        <v>5285</v>
      </c>
      <c r="V709" s="116">
        <f t="shared" si="2"/>
        <v>1</v>
      </c>
      <c r="W709" s="116">
        <f t="shared" ref="W709:X709" si="714">IF(lenb(SUBSTITUTE($Z709,W$1&amp;" (1)",""))&lt;lenb($Z709),1,IF(lenb(SUBSTITUTE($Z709,W$1&amp;" (2)",""))&lt;lenb($Z709),2,IF(lenb(SUBSTITUTE($Z709,W$1&amp;" (3)",""))&lt;lenb($Z709),3,IF(lenb(SUBSTITUTE($Z709,W$1&amp;" (4)",""))&lt;lenb($Z709),4,IF(lenb(SUBSTITUTE($Z709,W$1&amp;" (5)",""))&lt;lenb($Z709),5,IF(lenb(SUBSTITUTE($Z709,W$1&amp;" (6)",""))&lt;lenb($Z709),6,IF(lenb(SUBSTITUTE($Z709,W$1&amp;" (7)",""))&lt;lenb($Z709),1,IF(lenb(SUBSTITUTE($Z709,W$1&amp;" (8)",""))&lt;lenb($Z709),8,IF(lenb(SUBSTITUTE($Z709,W$1&amp;" (9)",""))&lt;lenb($Z709),9,IF(lenb(SUBSTITUTE($Z709,W$1&amp;" (10)",""))&lt;lenb($Z709),10,IF(lenb(SUBSTITUTE($Z709,W$1,""))&lt;lenb($Z709),"ERROR",IF($Z709=$Y$1,"-",0))))))))))))</f>
        <v>0</v>
      </c>
      <c r="X709" s="116">
        <f t="shared" si="714"/>
        <v>0</v>
      </c>
      <c r="Y709" s="116" t="str">
        <f t="shared" si="4"/>
        <v>-</v>
      </c>
      <c r="Z709" s="115" t="s">
        <v>3400</v>
      </c>
      <c r="AA709" s="54">
        <f t="shared" si="5"/>
        <v>1</v>
      </c>
      <c r="AB709" s="54">
        <f>COUNTIFS(Links!B:B,"FSE",Links!C:C,A709,Links!AD:AD,1)</f>
        <v>0</v>
      </c>
      <c r="AC709" s="117" t="s">
        <v>35</v>
      </c>
      <c r="AD709" s="118" t="s">
        <v>35</v>
      </c>
      <c r="AE709" s="115" t="s">
        <v>36</v>
      </c>
      <c r="AF709" s="57" t="s">
        <v>42</v>
      </c>
      <c r="AG709" s="57" t="s">
        <v>42</v>
      </c>
      <c r="AH709" s="57" t="s">
        <v>42</v>
      </c>
      <c r="AI709" s="116" t="str">
        <f t="shared" si="6"/>
        <v>----</v>
      </c>
      <c r="AJ709" s="119" t="str">
        <f t="shared" si="7"/>
        <v>Paper has link but no statement</v>
      </c>
      <c r="AK709" s="120" t="s">
        <v>3401</v>
      </c>
      <c r="AL709" s="121" t="s">
        <v>3402</v>
      </c>
      <c r="AM709" s="60" t="str">
        <f t="shared" si="8"/>
        <v>[FP0221]</v>
      </c>
    </row>
    <row r="710" ht="67.5" customHeight="1">
      <c r="A710" s="61">
        <v>222.0</v>
      </c>
      <c r="B710" s="22" t="s">
        <v>5286</v>
      </c>
      <c r="C710" s="23">
        <v>2022.0</v>
      </c>
      <c r="D710" s="100" t="s">
        <v>37</v>
      </c>
      <c r="E710" s="25" t="s">
        <v>37</v>
      </c>
      <c r="F710" s="25" t="s">
        <v>35</v>
      </c>
      <c r="G710" s="25" t="s">
        <v>37</v>
      </c>
      <c r="H710" s="25" t="s">
        <v>35</v>
      </c>
      <c r="I710" s="25" t="s">
        <v>35</v>
      </c>
      <c r="J710" s="101" t="s">
        <v>36</v>
      </c>
      <c r="K710" s="102" t="s">
        <v>37</v>
      </c>
      <c r="L710" s="133" t="s">
        <v>37</v>
      </c>
      <c r="M710" s="133" t="s">
        <v>37</v>
      </c>
      <c r="N710" s="103" t="s">
        <v>35</v>
      </c>
      <c r="O710" s="103" t="s">
        <v>35</v>
      </c>
      <c r="P710" s="103" t="s">
        <v>35</v>
      </c>
      <c r="Q710" s="133" t="s">
        <v>37</v>
      </c>
      <c r="R710" s="133" t="s">
        <v>37</v>
      </c>
      <c r="S710" s="104" t="s">
        <v>5287</v>
      </c>
      <c r="T710" s="30" t="s">
        <v>5288</v>
      </c>
      <c r="U710" s="30" t="s">
        <v>5288</v>
      </c>
      <c r="V710" s="105">
        <f t="shared" si="2"/>
        <v>2</v>
      </c>
      <c r="W710" s="105">
        <f t="shared" ref="W710:X710" si="715">IF(lenb(SUBSTITUTE($Z710,W$1&amp;" (1)",""))&lt;lenb($Z710),1,IF(lenb(SUBSTITUTE($Z710,W$1&amp;" (2)",""))&lt;lenb($Z710),2,IF(lenb(SUBSTITUTE($Z710,W$1&amp;" (3)",""))&lt;lenb($Z710),3,IF(lenb(SUBSTITUTE($Z710,W$1&amp;" (4)",""))&lt;lenb($Z710),4,IF(lenb(SUBSTITUTE($Z710,W$1&amp;" (5)",""))&lt;lenb($Z710),5,IF(lenb(SUBSTITUTE($Z710,W$1&amp;" (6)",""))&lt;lenb($Z710),6,IF(lenb(SUBSTITUTE($Z710,W$1&amp;" (7)",""))&lt;lenb($Z710),1,IF(lenb(SUBSTITUTE($Z710,W$1&amp;" (8)",""))&lt;lenb($Z710),8,IF(lenb(SUBSTITUTE($Z710,W$1&amp;" (9)",""))&lt;lenb($Z710),9,IF(lenb(SUBSTITUTE($Z710,W$1&amp;" (10)",""))&lt;lenb($Z710),10,IF(lenb(SUBSTITUTE($Z710,W$1,""))&lt;lenb($Z710),"ERROR",IF($Z710=$Y$1,"-",0))))))))))))</f>
        <v>0</v>
      </c>
      <c r="X710" s="105">
        <f t="shared" si="715"/>
        <v>0</v>
      </c>
      <c r="Y710" s="105" t="str">
        <f t="shared" si="4"/>
        <v>-</v>
      </c>
      <c r="Z710" s="104" t="s">
        <v>3452</v>
      </c>
      <c r="AA710" s="34">
        <f t="shared" si="5"/>
        <v>2</v>
      </c>
      <c r="AB710" s="34">
        <f>COUNTIFS(Links!B:B,"FSE",Links!C:C,A710,Links!AD:AD,1)</f>
        <v>0</v>
      </c>
      <c r="AC710" s="106" t="s">
        <v>37</v>
      </c>
      <c r="AD710" s="107" t="s">
        <v>35</v>
      </c>
      <c r="AE710" s="104" t="s">
        <v>36</v>
      </c>
      <c r="AF710" s="37" t="s">
        <v>42</v>
      </c>
      <c r="AG710" s="37" t="s">
        <v>42</v>
      </c>
      <c r="AH710" s="37" t="s">
        <v>42</v>
      </c>
      <c r="AI710" s="105" t="str">
        <f t="shared" si="6"/>
        <v>----</v>
      </c>
      <c r="AJ710" s="108" t="str">
        <f t="shared" si="7"/>
        <v>Paper has link but no statement</v>
      </c>
      <c r="AK710" s="109" t="s">
        <v>3401</v>
      </c>
      <c r="AL710" s="110" t="s">
        <v>3402</v>
      </c>
      <c r="AM710" s="40" t="str">
        <f t="shared" si="8"/>
        <v>[FP0222]</v>
      </c>
    </row>
    <row r="711" ht="67.5" customHeight="1">
      <c r="A711" s="41">
        <v>223.0</v>
      </c>
      <c r="B711" s="42" t="s">
        <v>5289</v>
      </c>
      <c r="C711" s="43">
        <v>2022.0</v>
      </c>
      <c r="D711" s="111" t="s">
        <v>35</v>
      </c>
      <c r="E711" s="45" t="s">
        <v>36</v>
      </c>
      <c r="F711" s="45" t="s">
        <v>36</v>
      </c>
      <c r="G711" s="45" t="s">
        <v>36</v>
      </c>
      <c r="H711" s="45" t="s">
        <v>36</v>
      </c>
      <c r="I711" s="45" t="s">
        <v>36</v>
      </c>
      <c r="J711" s="112" t="s">
        <v>36</v>
      </c>
      <c r="K711" s="113" t="s">
        <v>35</v>
      </c>
      <c r="L711" s="114" t="s">
        <v>36</v>
      </c>
      <c r="M711" s="114" t="s">
        <v>36</v>
      </c>
      <c r="N711" s="114" t="s">
        <v>36</v>
      </c>
      <c r="O711" s="114" t="s">
        <v>36</v>
      </c>
      <c r="P711" s="114" t="s">
        <v>36</v>
      </c>
      <c r="Q711" s="114" t="s">
        <v>36</v>
      </c>
      <c r="R711" s="114" t="s">
        <v>36</v>
      </c>
      <c r="S711" s="115" t="s">
        <v>42</v>
      </c>
      <c r="T711" s="50" t="s">
        <v>36</v>
      </c>
      <c r="U711" s="50" t="s">
        <v>36</v>
      </c>
      <c r="V711" s="116" t="str">
        <f t="shared" si="2"/>
        <v>-</v>
      </c>
      <c r="W711" s="116" t="str">
        <f t="shared" ref="W711:X711" si="716">IF(lenb(SUBSTITUTE($Z711,W$1&amp;" (1)",""))&lt;lenb($Z711),1,IF(lenb(SUBSTITUTE($Z711,W$1&amp;" (2)",""))&lt;lenb($Z711),2,IF(lenb(SUBSTITUTE($Z711,W$1&amp;" (3)",""))&lt;lenb($Z711),3,IF(lenb(SUBSTITUTE($Z711,W$1&amp;" (4)",""))&lt;lenb($Z711),4,IF(lenb(SUBSTITUTE($Z711,W$1&amp;" (5)",""))&lt;lenb($Z711),5,IF(lenb(SUBSTITUTE($Z711,W$1&amp;" (6)",""))&lt;lenb($Z711),6,IF(lenb(SUBSTITUTE($Z711,W$1&amp;" (7)",""))&lt;lenb($Z711),1,IF(lenb(SUBSTITUTE($Z711,W$1&amp;" (8)",""))&lt;lenb($Z711),8,IF(lenb(SUBSTITUTE($Z711,W$1&amp;" (9)",""))&lt;lenb($Z711),9,IF(lenb(SUBSTITUTE($Z711,W$1&amp;" (10)",""))&lt;lenb($Z711),10,IF(lenb(SUBSTITUTE($Z711,W$1,""))&lt;lenb($Z711),"ERROR",IF($Z711=$Y$1,"-",0))))))))))))</f>
        <v>-</v>
      </c>
      <c r="X711" s="116" t="str">
        <f t="shared" si="716"/>
        <v>-</v>
      </c>
      <c r="Y711" s="116">
        <f t="shared" si="4"/>
        <v>1</v>
      </c>
      <c r="Z711" s="115" t="s">
        <v>23</v>
      </c>
      <c r="AA711" s="54">
        <f t="shared" si="5"/>
        <v>0</v>
      </c>
      <c r="AB711" s="54">
        <f>COUNTIFS(Links!B:B,"FSE",Links!C:C,A711,Links!AD:AD,1)</f>
        <v>0</v>
      </c>
      <c r="AC711" s="117" t="s">
        <v>36</v>
      </c>
      <c r="AD711" s="118" t="s">
        <v>35</v>
      </c>
      <c r="AE711" s="115" t="s">
        <v>36</v>
      </c>
      <c r="AF711" s="57" t="s">
        <v>42</v>
      </c>
      <c r="AG711" s="57" t="s">
        <v>42</v>
      </c>
      <c r="AH711" s="57" t="s">
        <v>42</v>
      </c>
      <c r="AI711" s="116" t="str">
        <f t="shared" si="6"/>
        <v>----</v>
      </c>
      <c r="AJ711" s="119" t="str">
        <f t="shared" si="7"/>
        <v>Paper has no link and no statement</v>
      </c>
      <c r="AK711" s="120" t="s">
        <v>3401</v>
      </c>
      <c r="AL711" s="121" t="s">
        <v>3402</v>
      </c>
      <c r="AM711" s="60" t="str">
        <f t="shared" si="8"/>
        <v>[FP0223]</v>
      </c>
    </row>
    <row r="712" ht="67.5" customHeight="1">
      <c r="A712" s="61">
        <v>224.0</v>
      </c>
      <c r="B712" s="22" t="s">
        <v>5290</v>
      </c>
      <c r="C712" s="23">
        <v>2022.0</v>
      </c>
      <c r="D712" s="100" t="s">
        <v>35</v>
      </c>
      <c r="E712" s="25" t="s">
        <v>36</v>
      </c>
      <c r="F712" s="25" t="s">
        <v>36</v>
      </c>
      <c r="G712" s="25" t="s">
        <v>36</v>
      </c>
      <c r="H712" s="25" t="s">
        <v>36</v>
      </c>
      <c r="I712" s="25" t="s">
        <v>36</v>
      </c>
      <c r="J712" s="101" t="s">
        <v>36</v>
      </c>
      <c r="K712" s="102" t="s">
        <v>37</v>
      </c>
      <c r="L712" s="103" t="s">
        <v>35</v>
      </c>
      <c r="M712" s="103" t="s">
        <v>35</v>
      </c>
      <c r="N712" s="103" t="s">
        <v>37</v>
      </c>
      <c r="O712" s="103" t="s">
        <v>35</v>
      </c>
      <c r="P712" s="103" t="s">
        <v>35</v>
      </c>
      <c r="Q712" s="103" t="s">
        <v>35</v>
      </c>
      <c r="R712" s="103" t="s">
        <v>35</v>
      </c>
      <c r="S712" s="104" t="s">
        <v>5291</v>
      </c>
      <c r="T712" s="30" t="s">
        <v>5292</v>
      </c>
      <c r="U712" s="30" t="s">
        <v>5292</v>
      </c>
      <c r="V712" s="105">
        <f t="shared" si="2"/>
        <v>1</v>
      </c>
      <c r="W712" s="105">
        <f t="shared" ref="W712:X712" si="717">IF(lenb(SUBSTITUTE($Z712,W$1&amp;" (1)",""))&lt;lenb($Z712),1,IF(lenb(SUBSTITUTE($Z712,W$1&amp;" (2)",""))&lt;lenb($Z712),2,IF(lenb(SUBSTITUTE($Z712,W$1&amp;" (3)",""))&lt;lenb($Z712),3,IF(lenb(SUBSTITUTE($Z712,W$1&amp;" (4)",""))&lt;lenb($Z712),4,IF(lenb(SUBSTITUTE($Z712,W$1&amp;" (5)",""))&lt;lenb($Z712),5,IF(lenb(SUBSTITUTE($Z712,W$1&amp;" (6)",""))&lt;lenb($Z712),6,IF(lenb(SUBSTITUTE($Z712,W$1&amp;" (7)",""))&lt;lenb($Z712),1,IF(lenb(SUBSTITUTE($Z712,W$1&amp;" (8)",""))&lt;lenb($Z712),8,IF(lenb(SUBSTITUTE($Z712,W$1&amp;" (9)",""))&lt;lenb($Z712),9,IF(lenb(SUBSTITUTE($Z712,W$1&amp;" (10)",""))&lt;lenb($Z712),10,IF(lenb(SUBSTITUTE($Z712,W$1,""))&lt;lenb($Z712),"ERROR",IF($Z712=$Y$1,"-",0))))))))))))</f>
        <v>0</v>
      </c>
      <c r="X712" s="105">
        <f t="shared" si="717"/>
        <v>0</v>
      </c>
      <c r="Y712" s="105" t="str">
        <f t="shared" si="4"/>
        <v>-</v>
      </c>
      <c r="Z712" s="104" t="s">
        <v>3400</v>
      </c>
      <c r="AA712" s="34">
        <f t="shared" si="5"/>
        <v>1</v>
      </c>
      <c r="AB712" s="34">
        <f>COUNTIFS(Links!B:B,"FSE",Links!C:C,A712,Links!AD:AD,1)</f>
        <v>0</v>
      </c>
      <c r="AC712" s="106" t="s">
        <v>35</v>
      </c>
      <c r="AD712" s="107" t="s">
        <v>35</v>
      </c>
      <c r="AE712" s="104" t="s">
        <v>36</v>
      </c>
      <c r="AF712" s="37" t="s">
        <v>42</v>
      </c>
      <c r="AG712" s="37" t="s">
        <v>42</v>
      </c>
      <c r="AH712" s="37" t="s">
        <v>42</v>
      </c>
      <c r="AI712" s="105" t="str">
        <f t="shared" si="6"/>
        <v>----</v>
      </c>
      <c r="AJ712" s="108" t="str">
        <f t="shared" si="7"/>
        <v>Paper has link but no statement</v>
      </c>
      <c r="AK712" s="109" t="s">
        <v>3401</v>
      </c>
      <c r="AL712" s="110" t="s">
        <v>3402</v>
      </c>
      <c r="AM712" s="40" t="str">
        <f t="shared" si="8"/>
        <v>[FP0224]</v>
      </c>
    </row>
    <row r="713" ht="67.5" customHeight="1">
      <c r="A713" s="41">
        <v>225.0</v>
      </c>
      <c r="B713" s="42" t="s">
        <v>5293</v>
      </c>
      <c r="C713" s="43">
        <v>2022.0</v>
      </c>
      <c r="D713" s="111" t="s">
        <v>35</v>
      </c>
      <c r="E713" s="45" t="s">
        <v>36</v>
      </c>
      <c r="F713" s="45" t="s">
        <v>36</v>
      </c>
      <c r="G713" s="45" t="s">
        <v>36</v>
      </c>
      <c r="H713" s="45" t="s">
        <v>36</v>
      </c>
      <c r="I713" s="45" t="s">
        <v>36</v>
      </c>
      <c r="J713" s="112" t="s">
        <v>36</v>
      </c>
      <c r="K713" s="113" t="s">
        <v>37</v>
      </c>
      <c r="L713" s="114" t="s">
        <v>35</v>
      </c>
      <c r="M713" s="131" t="s">
        <v>37</v>
      </c>
      <c r="N713" s="114" t="s">
        <v>35</v>
      </c>
      <c r="O713" s="114" t="s">
        <v>35</v>
      </c>
      <c r="P713" s="114" t="s">
        <v>35</v>
      </c>
      <c r="Q713" s="131" t="s">
        <v>37</v>
      </c>
      <c r="R713" s="131" t="s">
        <v>37</v>
      </c>
      <c r="S713" s="115" t="s">
        <v>5294</v>
      </c>
      <c r="T713" s="50" t="s">
        <v>5295</v>
      </c>
      <c r="U713" s="50" t="s">
        <v>5295</v>
      </c>
      <c r="V713" s="116">
        <f t="shared" si="2"/>
        <v>1</v>
      </c>
      <c r="W713" s="116">
        <f t="shared" ref="W713:X713" si="718">IF(lenb(SUBSTITUTE($Z713,W$1&amp;" (1)",""))&lt;lenb($Z713),1,IF(lenb(SUBSTITUTE($Z713,W$1&amp;" (2)",""))&lt;lenb($Z713),2,IF(lenb(SUBSTITUTE($Z713,W$1&amp;" (3)",""))&lt;lenb($Z713),3,IF(lenb(SUBSTITUTE($Z713,W$1&amp;" (4)",""))&lt;lenb($Z713),4,IF(lenb(SUBSTITUTE($Z713,W$1&amp;" (5)",""))&lt;lenb($Z713),5,IF(lenb(SUBSTITUTE($Z713,W$1&amp;" (6)",""))&lt;lenb($Z713),6,IF(lenb(SUBSTITUTE($Z713,W$1&amp;" (7)",""))&lt;lenb($Z713),1,IF(lenb(SUBSTITUTE($Z713,W$1&amp;" (8)",""))&lt;lenb($Z713),8,IF(lenb(SUBSTITUTE($Z713,W$1&amp;" (9)",""))&lt;lenb($Z713),9,IF(lenb(SUBSTITUTE($Z713,W$1&amp;" (10)",""))&lt;lenb($Z713),10,IF(lenb(SUBSTITUTE($Z713,W$1,""))&lt;lenb($Z713),"ERROR",IF($Z713=$Y$1,"-",0))))))))))))</f>
        <v>0</v>
      </c>
      <c r="X713" s="116">
        <f t="shared" si="718"/>
        <v>0</v>
      </c>
      <c r="Y713" s="116" t="str">
        <f t="shared" si="4"/>
        <v>-</v>
      </c>
      <c r="Z713" s="115" t="s">
        <v>3400</v>
      </c>
      <c r="AA713" s="54">
        <f t="shared" si="5"/>
        <v>1</v>
      </c>
      <c r="AB713" s="54">
        <f>COUNTIFS(Links!B:B,"FSE",Links!C:C,A713,Links!AD:AD,1)</f>
        <v>0</v>
      </c>
      <c r="AC713" s="117" t="s">
        <v>35</v>
      </c>
      <c r="AD713" s="118" t="s">
        <v>35</v>
      </c>
      <c r="AE713" s="115" t="s">
        <v>36</v>
      </c>
      <c r="AF713" s="57" t="s">
        <v>42</v>
      </c>
      <c r="AG713" s="57" t="s">
        <v>42</v>
      </c>
      <c r="AH713" s="57" t="s">
        <v>42</v>
      </c>
      <c r="AI713" s="116" t="str">
        <f t="shared" si="6"/>
        <v>----</v>
      </c>
      <c r="AJ713" s="119" t="str">
        <f t="shared" si="7"/>
        <v>Paper has link but no statement</v>
      </c>
      <c r="AK713" s="120" t="s">
        <v>3401</v>
      </c>
      <c r="AL713" s="121" t="s">
        <v>3402</v>
      </c>
      <c r="AM713" s="60" t="str">
        <f t="shared" si="8"/>
        <v>[FP0225]</v>
      </c>
    </row>
    <row r="714" ht="67.5" customHeight="1">
      <c r="A714" s="61">
        <v>226.0</v>
      </c>
      <c r="B714" s="22" t="s">
        <v>5296</v>
      </c>
      <c r="C714" s="23">
        <v>2022.0</v>
      </c>
      <c r="D714" s="100" t="s">
        <v>35</v>
      </c>
      <c r="E714" s="25" t="s">
        <v>36</v>
      </c>
      <c r="F714" s="25" t="s">
        <v>36</v>
      </c>
      <c r="G714" s="25" t="s">
        <v>36</v>
      </c>
      <c r="H714" s="25" t="s">
        <v>36</v>
      </c>
      <c r="I714" s="25" t="s">
        <v>36</v>
      </c>
      <c r="J714" s="101" t="s">
        <v>36</v>
      </c>
      <c r="K714" s="102" t="s">
        <v>37</v>
      </c>
      <c r="L714" s="103" t="s">
        <v>35</v>
      </c>
      <c r="M714" s="103" t="s">
        <v>35</v>
      </c>
      <c r="N714" s="103" t="s">
        <v>35</v>
      </c>
      <c r="O714" s="133" t="s">
        <v>37</v>
      </c>
      <c r="P714" s="133" t="s">
        <v>37</v>
      </c>
      <c r="Q714" s="103" t="s">
        <v>35</v>
      </c>
      <c r="R714" s="103" t="s">
        <v>35</v>
      </c>
      <c r="S714" s="104" t="s">
        <v>5297</v>
      </c>
      <c r="T714" s="30" t="s">
        <v>2776</v>
      </c>
      <c r="U714" s="30" t="s">
        <v>2776</v>
      </c>
      <c r="V714" s="105">
        <f t="shared" si="2"/>
        <v>1</v>
      </c>
      <c r="W714" s="105">
        <f t="shared" ref="W714:X714" si="719">IF(lenb(SUBSTITUTE($Z714,W$1&amp;" (1)",""))&lt;lenb($Z714),1,IF(lenb(SUBSTITUTE($Z714,W$1&amp;" (2)",""))&lt;lenb($Z714),2,IF(lenb(SUBSTITUTE($Z714,W$1&amp;" (3)",""))&lt;lenb($Z714),3,IF(lenb(SUBSTITUTE($Z714,W$1&amp;" (4)",""))&lt;lenb($Z714),4,IF(lenb(SUBSTITUTE($Z714,W$1&amp;" (5)",""))&lt;lenb($Z714),5,IF(lenb(SUBSTITUTE($Z714,W$1&amp;" (6)",""))&lt;lenb($Z714),6,IF(lenb(SUBSTITUTE($Z714,W$1&amp;" (7)",""))&lt;lenb($Z714),1,IF(lenb(SUBSTITUTE($Z714,W$1&amp;" (8)",""))&lt;lenb($Z714),8,IF(lenb(SUBSTITUTE($Z714,W$1&amp;" (9)",""))&lt;lenb($Z714),9,IF(lenb(SUBSTITUTE($Z714,W$1&amp;" (10)",""))&lt;lenb($Z714),10,IF(lenb(SUBSTITUTE($Z714,W$1,""))&lt;lenb($Z714),"ERROR",IF($Z714=$Y$1,"-",0))))))))))))</f>
        <v>0</v>
      </c>
      <c r="X714" s="105">
        <f t="shared" si="719"/>
        <v>0</v>
      </c>
      <c r="Y714" s="105" t="str">
        <f t="shared" si="4"/>
        <v>-</v>
      </c>
      <c r="Z714" s="104" t="s">
        <v>3400</v>
      </c>
      <c r="AA714" s="34">
        <f t="shared" si="5"/>
        <v>1</v>
      </c>
      <c r="AB714" s="34">
        <f>COUNTIFS(Links!B:B,"FSE",Links!C:C,A714,Links!AD:AD,1)</f>
        <v>0</v>
      </c>
      <c r="AC714" s="106" t="s">
        <v>35</v>
      </c>
      <c r="AD714" s="107" t="s">
        <v>35</v>
      </c>
      <c r="AE714" s="104" t="s">
        <v>36</v>
      </c>
      <c r="AF714" s="37" t="s">
        <v>42</v>
      </c>
      <c r="AG714" s="37" t="s">
        <v>42</v>
      </c>
      <c r="AH714" s="37" t="s">
        <v>42</v>
      </c>
      <c r="AI714" s="105" t="str">
        <f t="shared" si="6"/>
        <v>----</v>
      </c>
      <c r="AJ714" s="108" t="str">
        <f t="shared" si="7"/>
        <v>Paper has link but no statement</v>
      </c>
      <c r="AK714" s="109" t="s">
        <v>3401</v>
      </c>
      <c r="AL714" s="110" t="s">
        <v>3402</v>
      </c>
      <c r="AM714" s="40" t="str">
        <f t="shared" si="8"/>
        <v>[FP0226]</v>
      </c>
    </row>
    <row r="715" ht="67.5" customHeight="1">
      <c r="A715" s="41">
        <v>1.0</v>
      </c>
      <c r="B715" s="42" t="s">
        <v>5298</v>
      </c>
      <c r="C715" s="43">
        <v>2023.0</v>
      </c>
      <c r="D715" s="111" t="s">
        <v>35</v>
      </c>
      <c r="E715" s="45" t="s">
        <v>36</v>
      </c>
      <c r="F715" s="45" t="s">
        <v>36</v>
      </c>
      <c r="G715" s="45" t="s">
        <v>36</v>
      </c>
      <c r="H715" s="45" t="s">
        <v>36</v>
      </c>
      <c r="I715" s="45" t="s">
        <v>36</v>
      </c>
      <c r="J715" s="112" t="s">
        <v>36</v>
      </c>
      <c r="K715" s="113" t="s">
        <v>37</v>
      </c>
      <c r="L715" s="114" t="s">
        <v>35</v>
      </c>
      <c r="M715" s="114" t="s">
        <v>37</v>
      </c>
      <c r="N715" s="114" t="s">
        <v>35</v>
      </c>
      <c r="O715" s="114" t="s">
        <v>35</v>
      </c>
      <c r="P715" s="114" t="s">
        <v>35</v>
      </c>
      <c r="Q715" s="114" t="s">
        <v>37</v>
      </c>
      <c r="R715" s="114" t="s">
        <v>35</v>
      </c>
      <c r="S715" s="115" t="s">
        <v>5299</v>
      </c>
      <c r="T715" s="50" t="s">
        <v>5300</v>
      </c>
      <c r="U715" s="50" t="s">
        <v>5300</v>
      </c>
      <c r="V715" s="116">
        <f t="shared" si="2"/>
        <v>1</v>
      </c>
      <c r="W715" s="116">
        <f t="shared" ref="W715:X715" si="720">IF(lenb(SUBSTITUTE($Z715,W$1&amp;" (1)",""))&lt;lenb($Z715),1,IF(lenb(SUBSTITUTE($Z715,W$1&amp;" (2)",""))&lt;lenb($Z715),2,IF(lenb(SUBSTITUTE($Z715,W$1&amp;" (3)",""))&lt;lenb($Z715),3,IF(lenb(SUBSTITUTE($Z715,W$1&amp;" (4)",""))&lt;lenb($Z715),4,IF(lenb(SUBSTITUTE($Z715,W$1&amp;" (5)",""))&lt;lenb($Z715),5,IF(lenb(SUBSTITUTE($Z715,W$1&amp;" (6)",""))&lt;lenb($Z715),6,IF(lenb(SUBSTITUTE($Z715,W$1&amp;" (7)",""))&lt;lenb($Z715),1,IF(lenb(SUBSTITUTE($Z715,W$1&amp;" (8)",""))&lt;lenb($Z715),8,IF(lenb(SUBSTITUTE($Z715,W$1&amp;" (9)",""))&lt;lenb($Z715),9,IF(lenb(SUBSTITUTE($Z715,W$1&amp;" (10)",""))&lt;lenb($Z715),10,IF(lenb(SUBSTITUTE($Z715,W$1,""))&lt;lenb($Z715),"ERROR",IF($Z715=$Y$1,"-",0))))))))))))</f>
        <v>0</v>
      </c>
      <c r="X715" s="116">
        <f t="shared" si="720"/>
        <v>0</v>
      </c>
      <c r="Y715" s="116" t="str">
        <f t="shared" si="4"/>
        <v>-</v>
      </c>
      <c r="Z715" s="115" t="s">
        <v>3400</v>
      </c>
      <c r="AA715" s="54">
        <f t="shared" si="5"/>
        <v>1</v>
      </c>
      <c r="AB715" s="54">
        <f>COUNTIFS(Links!B:B,"FSE",Links!C:C,A715,Links!AD:AD,1)</f>
        <v>0</v>
      </c>
      <c r="AC715" s="117" t="s">
        <v>37</v>
      </c>
      <c r="AD715" s="118" t="s">
        <v>37</v>
      </c>
      <c r="AE715" s="129" t="s">
        <v>5301</v>
      </c>
      <c r="AF715" s="57" t="s">
        <v>281</v>
      </c>
      <c r="AG715" s="57" t="s">
        <v>822</v>
      </c>
      <c r="AH715" s="57" t="s">
        <v>42</v>
      </c>
      <c r="AI715" s="116" t="str">
        <f t="shared" si="6"/>
        <v>Barriers (Confidentiality and privacy)
Limited access (Request required)</v>
      </c>
      <c r="AJ715" s="119" t="str">
        <f t="shared" si="7"/>
        <v>Paper has link and statement</v>
      </c>
      <c r="AK715" s="120" t="s">
        <v>3401</v>
      </c>
      <c r="AL715" s="121" t="s">
        <v>3402</v>
      </c>
      <c r="AM715" s="60" t="str">
        <f t="shared" si="8"/>
        <v>[FP0001]</v>
      </c>
    </row>
    <row r="716" ht="67.5" customHeight="1">
      <c r="A716" s="61">
        <v>2.0</v>
      </c>
      <c r="B716" s="22" t="s">
        <v>5302</v>
      </c>
      <c r="C716" s="23">
        <v>2023.0</v>
      </c>
      <c r="D716" s="100" t="s">
        <v>35</v>
      </c>
      <c r="E716" s="25" t="s">
        <v>36</v>
      </c>
      <c r="F716" s="25" t="s">
        <v>36</v>
      </c>
      <c r="G716" s="25" t="s">
        <v>36</v>
      </c>
      <c r="H716" s="25" t="s">
        <v>36</v>
      </c>
      <c r="I716" s="25" t="s">
        <v>36</v>
      </c>
      <c r="J716" s="101" t="s">
        <v>36</v>
      </c>
      <c r="K716" s="102" t="s">
        <v>37</v>
      </c>
      <c r="L716" s="103" t="s">
        <v>35</v>
      </c>
      <c r="M716" s="103" t="s">
        <v>37</v>
      </c>
      <c r="N716" s="103" t="s">
        <v>37</v>
      </c>
      <c r="O716" s="103" t="s">
        <v>35</v>
      </c>
      <c r="P716" s="103" t="s">
        <v>35</v>
      </c>
      <c r="Q716" s="103" t="s">
        <v>37</v>
      </c>
      <c r="R716" s="103" t="s">
        <v>37</v>
      </c>
      <c r="S716" s="104" t="s">
        <v>5303</v>
      </c>
      <c r="T716" s="30" t="s">
        <v>5304</v>
      </c>
      <c r="U716" s="30" t="s">
        <v>5304</v>
      </c>
      <c r="V716" s="105">
        <f t="shared" si="2"/>
        <v>2</v>
      </c>
      <c r="W716" s="105">
        <f t="shared" ref="W716:X716" si="721">IF(lenb(SUBSTITUTE($Z716,W$1&amp;" (1)",""))&lt;lenb($Z716),1,IF(lenb(SUBSTITUTE($Z716,W$1&amp;" (2)",""))&lt;lenb($Z716),2,IF(lenb(SUBSTITUTE($Z716,W$1&amp;" (3)",""))&lt;lenb($Z716),3,IF(lenb(SUBSTITUTE($Z716,W$1&amp;" (4)",""))&lt;lenb($Z716),4,IF(lenb(SUBSTITUTE($Z716,W$1&amp;" (5)",""))&lt;lenb($Z716),5,IF(lenb(SUBSTITUTE($Z716,W$1&amp;" (6)",""))&lt;lenb($Z716),6,IF(lenb(SUBSTITUTE($Z716,W$1&amp;" (7)",""))&lt;lenb($Z716),1,IF(lenb(SUBSTITUTE($Z716,W$1&amp;" (8)",""))&lt;lenb($Z716),8,IF(lenb(SUBSTITUTE($Z716,W$1&amp;" (9)",""))&lt;lenb($Z716),9,IF(lenb(SUBSTITUTE($Z716,W$1&amp;" (10)",""))&lt;lenb($Z716),10,IF(lenb(SUBSTITUTE($Z716,W$1,""))&lt;lenb($Z716),"ERROR",IF($Z716=$Y$1,"-",0))))))))))))</f>
        <v>0</v>
      </c>
      <c r="X716" s="105">
        <f t="shared" si="721"/>
        <v>0</v>
      </c>
      <c r="Y716" s="105" t="str">
        <f t="shared" si="4"/>
        <v>-</v>
      </c>
      <c r="Z716" s="104" t="s">
        <v>3452</v>
      </c>
      <c r="AA716" s="34">
        <f t="shared" si="5"/>
        <v>2</v>
      </c>
      <c r="AB716" s="34">
        <f>COUNTIFS(Links!B:B,"FSE",Links!C:C,A716,Links!AD:AD,1)</f>
        <v>0</v>
      </c>
      <c r="AC716" s="106" t="s">
        <v>37</v>
      </c>
      <c r="AD716" s="107" t="s">
        <v>35</v>
      </c>
      <c r="AE716" s="104" t="s">
        <v>36</v>
      </c>
      <c r="AF716" s="37" t="s">
        <v>42</v>
      </c>
      <c r="AG716" s="37" t="s">
        <v>42</v>
      </c>
      <c r="AH716" s="37" t="s">
        <v>42</v>
      </c>
      <c r="AI716" s="105" t="str">
        <f t="shared" si="6"/>
        <v>----</v>
      </c>
      <c r="AJ716" s="108" t="str">
        <f t="shared" si="7"/>
        <v>Paper has link but no statement</v>
      </c>
      <c r="AK716" s="109" t="s">
        <v>3401</v>
      </c>
      <c r="AL716" s="110" t="s">
        <v>3402</v>
      </c>
      <c r="AM716" s="40" t="str">
        <f t="shared" si="8"/>
        <v>[FP0002]</v>
      </c>
    </row>
    <row r="717" ht="67.5" customHeight="1">
      <c r="A717" s="41">
        <v>3.0</v>
      </c>
      <c r="B717" s="42" t="s">
        <v>5305</v>
      </c>
      <c r="C717" s="43">
        <v>2023.0</v>
      </c>
      <c r="D717" s="111" t="s">
        <v>35</v>
      </c>
      <c r="E717" s="45" t="s">
        <v>36</v>
      </c>
      <c r="F717" s="45" t="s">
        <v>36</v>
      </c>
      <c r="G717" s="45" t="s">
        <v>36</v>
      </c>
      <c r="H717" s="45" t="s">
        <v>36</v>
      </c>
      <c r="I717" s="45" t="s">
        <v>36</v>
      </c>
      <c r="J717" s="112" t="s">
        <v>36</v>
      </c>
      <c r="K717" s="113" t="s">
        <v>37</v>
      </c>
      <c r="L717" s="114" t="s">
        <v>35</v>
      </c>
      <c r="M717" s="114" t="s">
        <v>35</v>
      </c>
      <c r="N717" s="114" t="s">
        <v>35</v>
      </c>
      <c r="O717" s="114" t="s">
        <v>35</v>
      </c>
      <c r="P717" s="114" t="s">
        <v>35</v>
      </c>
      <c r="Q717" s="114" t="s">
        <v>37</v>
      </c>
      <c r="R717" s="114" t="s">
        <v>35</v>
      </c>
      <c r="S717" s="115" t="s">
        <v>5020</v>
      </c>
      <c r="T717" s="50" t="s">
        <v>5306</v>
      </c>
      <c r="U717" s="50" t="s">
        <v>5306</v>
      </c>
      <c r="V717" s="116">
        <f t="shared" si="2"/>
        <v>1</v>
      </c>
      <c r="W717" s="116">
        <f t="shared" ref="W717:X717" si="722">IF(lenb(SUBSTITUTE($Z717,W$1&amp;" (1)",""))&lt;lenb($Z717),1,IF(lenb(SUBSTITUTE($Z717,W$1&amp;" (2)",""))&lt;lenb($Z717),2,IF(lenb(SUBSTITUTE($Z717,W$1&amp;" (3)",""))&lt;lenb($Z717),3,IF(lenb(SUBSTITUTE($Z717,W$1&amp;" (4)",""))&lt;lenb($Z717),4,IF(lenb(SUBSTITUTE($Z717,W$1&amp;" (5)",""))&lt;lenb($Z717),5,IF(lenb(SUBSTITUTE($Z717,W$1&amp;" (6)",""))&lt;lenb($Z717),6,IF(lenb(SUBSTITUTE($Z717,W$1&amp;" (7)",""))&lt;lenb($Z717),1,IF(lenb(SUBSTITUTE($Z717,W$1&amp;" (8)",""))&lt;lenb($Z717),8,IF(lenb(SUBSTITUTE($Z717,W$1&amp;" (9)",""))&lt;lenb($Z717),9,IF(lenb(SUBSTITUTE($Z717,W$1&amp;" (10)",""))&lt;lenb($Z717),10,IF(lenb(SUBSTITUTE($Z717,W$1,""))&lt;lenb($Z717),"ERROR",IF($Z717=$Y$1,"-",0))))))))))))</f>
        <v>0</v>
      </c>
      <c r="X717" s="116">
        <f t="shared" si="722"/>
        <v>0</v>
      </c>
      <c r="Y717" s="116" t="str">
        <f t="shared" si="4"/>
        <v>-</v>
      </c>
      <c r="Z717" s="115" t="s">
        <v>3400</v>
      </c>
      <c r="AA717" s="54">
        <f t="shared" si="5"/>
        <v>1</v>
      </c>
      <c r="AB717" s="54">
        <f>COUNTIFS(Links!B:B,"FSE",Links!C:C,A717,Links!AD:AD,1)</f>
        <v>0</v>
      </c>
      <c r="AC717" s="117" t="s">
        <v>37</v>
      </c>
      <c r="AD717" s="118" t="s">
        <v>35</v>
      </c>
      <c r="AE717" s="115" t="s">
        <v>36</v>
      </c>
      <c r="AF717" s="57" t="s">
        <v>42</v>
      </c>
      <c r="AG717" s="57" t="s">
        <v>42</v>
      </c>
      <c r="AH717" s="57" t="s">
        <v>42</v>
      </c>
      <c r="AI717" s="116" t="str">
        <f t="shared" si="6"/>
        <v>----</v>
      </c>
      <c r="AJ717" s="119" t="str">
        <f t="shared" si="7"/>
        <v>Paper has link but no statement</v>
      </c>
      <c r="AK717" s="120" t="s">
        <v>3401</v>
      </c>
      <c r="AL717" s="121" t="s">
        <v>3402</v>
      </c>
      <c r="AM717" s="60" t="str">
        <f t="shared" si="8"/>
        <v>[FP0003]</v>
      </c>
    </row>
    <row r="718" ht="67.5" customHeight="1">
      <c r="A718" s="61">
        <v>4.0</v>
      </c>
      <c r="B718" s="22" t="s">
        <v>5307</v>
      </c>
      <c r="C718" s="23">
        <v>2023.0</v>
      </c>
      <c r="D718" s="100" t="s">
        <v>35</v>
      </c>
      <c r="E718" s="25" t="s">
        <v>36</v>
      </c>
      <c r="F718" s="25" t="s">
        <v>36</v>
      </c>
      <c r="G718" s="25" t="s">
        <v>36</v>
      </c>
      <c r="H718" s="25" t="s">
        <v>36</v>
      </c>
      <c r="I718" s="25" t="s">
        <v>36</v>
      </c>
      <c r="J718" s="101" t="s">
        <v>36</v>
      </c>
      <c r="K718" s="102" t="s">
        <v>37</v>
      </c>
      <c r="L718" s="103" t="s">
        <v>35</v>
      </c>
      <c r="M718" s="103" t="s">
        <v>37</v>
      </c>
      <c r="N718" s="103" t="s">
        <v>35</v>
      </c>
      <c r="O718" s="103" t="s">
        <v>35</v>
      </c>
      <c r="P718" s="103" t="s">
        <v>35</v>
      </c>
      <c r="Q718" s="103" t="s">
        <v>37</v>
      </c>
      <c r="R718" s="103" t="s">
        <v>35</v>
      </c>
      <c r="S718" s="104" t="s">
        <v>5020</v>
      </c>
      <c r="T718" s="30" t="s">
        <v>5308</v>
      </c>
      <c r="U718" s="30" t="s">
        <v>5308</v>
      </c>
      <c r="V718" s="105">
        <f t="shared" si="2"/>
        <v>1</v>
      </c>
      <c r="W718" s="105">
        <f t="shared" ref="W718:X718" si="723">IF(lenb(SUBSTITUTE($Z718,W$1&amp;" (1)",""))&lt;lenb($Z718),1,IF(lenb(SUBSTITUTE($Z718,W$1&amp;" (2)",""))&lt;lenb($Z718),2,IF(lenb(SUBSTITUTE($Z718,W$1&amp;" (3)",""))&lt;lenb($Z718),3,IF(lenb(SUBSTITUTE($Z718,W$1&amp;" (4)",""))&lt;lenb($Z718),4,IF(lenb(SUBSTITUTE($Z718,W$1&amp;" (5)",""))&lt;lenb($Z718),5,IF(lenb(SUBSTITUTE($Z718,W$1&amp;" (6)",""))&lt;lenb($Z718),6,IF(lenb(SUBSTITUTE($Z718,W$1&amp;" (7)",""))&lt;lenb($Z718),1,IF(lenb(SUBSTITUTE($Z718,W$1&amp;" (8)",""))&lt;lenb($Z718),8,IF(lenb(SUBSTITUTE($Z718,W$1&amp;" (9)",""))&lt;lenb($Z718),9,IF(lenb(SUBSTITUTE($Z718,W$1&amp;" (10)",""))&lt;lenb($Z718),10,IF(lenb(SUBSTITUTE($Z718,W$1,""))&lt;lenb($Z718),"ERROR",IF($Z718=$Y$1,"-",0))))))))))))</f>
        <v>0</v>
      </c>
      <c r="X718" s="105">
        <f t="shared" si="723"/>
        <v>0</v>
      </c>
      <c r="Y718" s="105" t="str">
        <f t="shared" si="4"/>
        <v>-</v>
      </c>
      <c r="Z718" s="104" t="s">
        <v>3400</v>
      </c>
      <c r="AA718" s="34">
        <f t="shared" si="5"/>
        <v>1</v>
      </c>
      <c r="AB718" s="34">
        <f>COUNTIFS(Links!B:B,"FSE",Links!C:C,A718,Links!AD:AD,1)</f>
        <v>0</v>
      </c>
      <c r="AC718" s="106" t="s">
        <v>37</v>
      </c>
      <c r="AD718" s="107" t="s">
        <v>35</v>
      </c>
      <c r="AE718" s="104" t="s">
        <v>36</v>
      </c>
      <c r="AF718" s="37" t="s">
        <v>42</v>
      </c>
      <c r="AG718" s="37" t="s">
        <v>42</v>
      </c>
      <c r="AH718" s="37" t="s">
        <v>42</v>
      </c>
      <c r="AI718" s="105" t="str">
        <f t="shared" si="6"/>
        <v>----</v>
      </c>
      <c r="AJ718" s="108" t="str">
        <f t="shared" si="7"/>
        <v>Paper has link but no statement</v>
      </c>
      <c r="AK718" s="109" t="s">
        <v>3401</v>
      </c>
      <c r="AL718" s="110" t="s">
        <v>3402</v>
      </c>
      <c r="AM718" s="40" t="str">
        <f t="shared" si="8"/>
        <v>[FP0004]</v>
      </c>
    </row>
    <row r="719" ht="67.5" customHeight="1">
      <c r="A719" s="41">
        <v>5.0</v>
      </c>
      <c r="B719" s="42" t="s">
        <v>5309</v>
      </c>
      <c r="C719" s="43">
        <v>2023.0</v>
      </c>
      <c r="D719" s="111" t="s">
        <v>35</v>
      </c>
      <c r="E719" s="45" t="s">
        <v>36</v>
      </c>
      <c r="F719" s="45" t="s">
        <v>36</v>
      </c>
      <c r="G719" s="45" t="s">
        <v>36</v>
      </c>
      <c r="H719" s="45" t="s">
        <v>36</v>
      </c>
      <c r="I719" s="45" t="s">
        <v>36</v>
      </c>
      <c r="J719" s="112" t="s">
        <v>36</v>
      </c>
      <c r="K719" s="113" t="s">
        <v>37</v>
      </c>
      <c r="L719" s="114" t="s">
        <v>35</v>
      </c>
      <c r="M719" s="114" t="s">
        <v>35</v>
      </c>
      <c r="N719" s="114" t="s">
        <v>35</v>
      </c>
      <c r="O719" s="114" t="s">
        <v>35</v>
      </c>
      <c r="P719" s="114" t="s">
        <v>35</v>
      </c>
      <c r="Q719" s="114" t="s">
        <v>37</v>
      </c>
      <c r="R719" s="114" t="s">
        <v>35</v>
      </c>
      <c r="S719" s="115" t="s">
        <v>5020</v>
      </c>
      <c r="T719" s="50" t="s">
        <v>5310</v>
      </c>
      <c r="U719" s="50" t="s">
        <v>5310</v>
      </c>
      <c r="V719" s="116">
        <f t="shared" si="2"/>
        <v>1</v>
      </c>
      <c r="W719" s="116">
        <f t="shared" ref="W719:X719" si="724">IF(lenb(SUBSTITUTE($Z719,W$1&amp;" (1)",""))&lt;lenb($Z719),1,IF(lenb(SUBSTITUTE($Z719,W$1&amp;" (2)",""))&lt;lenb($Z719),2,IF(lenb(SUBSTITUTE($Z719,W$1&amp;" (3)",""))&lt;lenb($Z719),3,IF(lenb(SUBSTITUTE($Z719,W$1&amp;" (4)",""))&lt;lenb($Z719),4,IF(lenb(SUBSTITUTE($Z719,W$1&amp;" (5)",""))&lt;lenb($Z719),5,IF(lenb(SUBSTITUTE($Z719,W$1&amp;" (6)",""))&lt;lenb($Z719),6,IF(lenb(SUBSTITUTE($Z719,W$1&amp;" (7)",""))&lt;lenb($Z719),1,IF(lenb(SUBSTITUTE($Z719,W$1&amp;" (8)",""))&lt;lenb($Z719),8,IF(lenb(SUBSTITUTE($Z719,W$1&amp;" (9)",""))&lt;lenb($Z719),9,IF(lenb(SUBSTITUTE($Z719,W$1&amp;" (10)",""))&lt;lenb($Z719),10,IF(lenb(SUBSTITUTE($Z719,W$1,""))&lt;lenb($Z719),"ERROR",IF($Z719=$Y$1,"-",0))))))))))))</f>
        <v>0</v>
      </c>
      <c r="X719" s="116">
        <f t="shared" si="724"/>
        <v>0</v>
      </c>
      <c r="Y719" s="116" t="str">
        <f t="shared" si="4"/>
        <v>-</v>
      </c>
      <c r="Z719" s="115" t="s">
        <v>3400</v>
      </c>
      <c r="AA719" s="54">
        <f t="shared" si="5"/>
        <v>1</v>
      </c>
      <c r="AB719" s="54">
        <f>COUNTIFS(Links!B:B,"FSE",Links!C:C,A719,Links!AD:AD,1)</f>
        <v>0</v>
      </c>
      <c r="AC719" s="117" t="s">
        <v>35</v>
      </c>
      <c r="AD719" s="118" t="s">
        <v>37</v>
      </c>
      <c r="AE719" s="129" t="s">
        <v>5311</v>
      </c>
      <c r="AF719" s="57" t="s">
        <v>281</v>
      </c>
      <c r="AG719" s="57" t="s">
        <v>223</v>
      </c>
      <c r="AH719" s="57" t="s">
        <v>42</v>
      </c>
      <c r="AI719" s="116" t="str">
        <f t="shared" si="6"/>
        <v>Barriers (Confidentiality and privacy)
Barriers (Agreements and legal rights)</v>
      </c>
      <c r="AJ719" s="119" t="str">
        <f t="shared" si="7"/>
        <v>Paper has link and statement</v>
      </c>
      <c r="AK719" s="120" t="s">
        <v>3401</v>
      </c>
      <c r="AL719" s="121" t="s">
        <v>3402</v>
      </c>
      <c r="AM719" s="60" t="str">
        <f t="shared" si="8"/>
        <v>[FP0005]</v>
      </c>
    </row>
    <row r="720" ht="67.5" customHeight="1">
      <c r="A720" s="61">
        <v>6.0</v>
      </c>
      <c r="B720" s="22" t="s">
        <v>5312</v>
      </c>
      <c r="C720" s="23">
        <v>2023.0</v>
      </c>
      <c r="D720" s="100" t="s">
        <v>35</v>
      </c>
      <c r="E720" s="25" t="s">
        <v>36</v>
      </c>
      <c r="F720" s="25" t="s">
        <v>36</v>
      </c>
      <c r="G720" s="25" t="s">
        <v>36</v>
      </c>
      <c r="H720" s="25" t="s">
        <v>36</v>
      </c>
      <c r="I720" s="25" t="s">
        <v>36</v>
      </c>
      <c r="J720" s="101" t="s">
        <v>36</v>
      </c>
      <c r="K720" s="102" t="s">
        <v>37</v>
      </c>
      <c r="L720" s="103" t="s">
        <v>35</v>
      </c>
      <c r="M720" s="103" t="s">
        <v>37</v>
      </c>
      <c r="N720" s="103" t="s">
        <v>35</v>
      </c>
      <c r="O720" s="103" t="s">
        <v>37</v>
      </c>
      <c r="P720" s="103" t="s">
        <v>37</v>
      </c>
      <c r="Q720" s="103" t="s">
        <v>35</v>
      </c>
      <c r="R720" s="103" t="s">
        <v>37</v>
      </c>
      <c r="S720" s="104" t="s">
        <v>5313</v>
      </c>
      <c r="T720" s="30" t="s">
        <v>5314</v>
      </c>
      <c r="U720" s="30" t="s">
        <v>5314</v>
      </c>
      <c r="V720" s="105">
        <f t="shared" si="2"/>
        <v>2</v>
      </c>
      <c r="W720" s="105">
        <f t="shared" ref="W720:X720" si="725">IF(lenb(SUBSTITUTE($Z720,W$1&amp;" (1)",""))&lt;lenb($Z720),1,IF(lenb(SUBSTITUTE($Z720,W$1&amp;" (2)",""))&lt;lenb($Z720),2,IF(lenb(SUBSTITUTE($Z720,W$1&amp;" (3)",""))&lt;lenb($Z720),3,IF(lenb(SUBSTITUTE($Z720,W$1&amp;" (4)",""))&lt;lenb($Z720),4,IF(lenb(SUBSTITUTE($Z720,W$1&amp;" (5)",""))&lt;lenb($Z720),5,IF(lenb(SUBSTITUTE($Z720,W$1&amp;" (6)",""))&lt;lenb($Z720),6,IF(lenb(SUBSTITUTE($Z720,W$1&amp;" (7)",""))&lt;lenb($Z720),1,IF(lenb(SUBSTITUTE($Z720,W$1&amp;" (8)",""))&lt;lenb($Z720),8,IF(lenb(SUBSTITUTE($Z720,W$1&amp;" (9)",""))&lt;lenb($Z720),9,IF(lenb(SUBSTITUTE($Z720,W$1&amp;" (10)",""))&lt;lenb($Z720),10,IF(lenb(SUBSTITUTE($Z720,W$1,""))&lt;lenb($Z720),"ERROR",IF($Z720=$Y$1,"-",0))))))))))))</f>
        <v>0</v>
      </c>
      <c r="X720" s="105">
        <f t="shared" si="725"/>
        <v>0</v>
      </c>
      <c r="Y720" s="105" t="str">
        <f t="shared" si="4"/>
        <v>-</v>
      </c>
      <c r="Z720" s="104" t="s">
        <v>3452</v>
      </c>
      <c r="AA720" s="34">
        <f t="shared" si="5"/>
        <v>2</v>
      </c>
      <c r="AB720" s="34">
        <f>COUNTIFS(Links!B:B,"FSE",Links!C:C,A720,Links!AD:AD,1)</f>
        <v>0</v>
      </c>
      <c r="AC720" s="106" t="s">
        <v>35</v>
      </c>
      <c r="AD720" s="107" t="s">
        <v>35</v>
      </c>
      <c r="AE720" s="104" t="s">
        <v>36</v>
      </c>
      <c r="AF720" s="37" t="s">
        <v>42</v>
      </c>
      <c r="AG720" s="37" t="s">
        <v>42</v>
      </c>
      <c r="AH720" s="37" t="s">
        <v>42</v>
      </c>
      <c r="AI720" s="105" t="str">
        <f t="shared" si="6"/>
        <v>----</v>
      </c>
      <c r="AJ720" s="108" t="str">
        <f t="shared" si="7"/>
        <v>Paper has link but no statement</v>
      </c>
      <c r="AK720" s="109" t="s">
        <v>3401</v>
      </c>
      <c r="AL720" s="110" t="s">
        <v>3402</v>
      </c>
      <c r="AM720" s="40" t="str">
        <f t="shared" si="8"/>
        <v>[FP0006]</v>
      </c>
    </row>
    <row r="721" ht="67.5" customHeight="1">
      <c r="A721" s="41">
        <v>7.0</v>
      </c>
      <c r="B721" s="42" t="s">
        <v>5315</v>
      </c>
      <c r="C721" s="43">
        <v>2023.0</v>
      </c>
      <c r="D721" s="111" t="s">
        <v>37</v>
      </c>
      <c r="E721" s="45" t="s">
        <v>37</v>
      </c>
      <c r="F721" s="45" t="s">
        <v>35</v>
      </c>
      <c r="G721" s="45" t="s">
        <v>37</v>
      </c>
      <c r="H721" s="45" t="s">
        <v>35</v>
      </c>
      <c r="I721" s="45" t="s">
        <v>35</v>
      </c>
      <c r="J721" s="112" t="s">
        <v>36</v>
      </c>
      <c r="K721" s="113" t="s">
        <v>37</v>
      </c>
      <c r="L721" s="114" t="s">
        <v>37</v>
      </c>
      <c r="M721" s="114" t="s">
        <v>35</v>
      </c>
      <c r="N721" s="114" t="s">
        <v>35</v>
      </c>
      <c r="O721" s="114" t="s">
        <v>35</v>
      </c>
      <c r="P721" s="114" t="s">
        <v>35</v>
      </c>
      <c r="Q721" s="114" t="s">
        <v>37</v>
      </c>
      <c r="R721" s="114" t="s">
        <v>37</v>
      </c>
      <c r="S721" s="115" t="s">
        <v>5316</v>
      </c>
      <c r="T721" s="50" t="s">
        <v>5317</v>
      </c>
      <c r="U721" s="50" t="s">
        <v>5317</v>
      </c>
      <c r="V721" s="116">
        <f t="shared" si="2"/>
        <v>1</v>
      </c>
      <c r="W721" s="116">
        <f t="shared" ref="W721:X721" si="726">IF(lenb(SUBSTITUTE($Z721,W$1&amp;" (1)",""))&lt;lenb($Z721),1,IF(lenb(SUBSTITUTE($Z721,W$1&amp;" (2)",""))&lt;lenb($Z721),2,IF(lenb(SUBSTITUTE($Z721,W$1&amp;" (3)",""))&lt;lenb($Z721),3,IF(lenb(SUBSTITUTE($Z721,W$1&amp;" (4)",""))&lt;lenb($Z721),4,IF(lenb(SUBSTITUTE($Z721,W$1&amp;" (5)",""))&lt;lenb($Z721),5,IF(lenb(SUBSTITUTE($Z721,W$1&amp;" (6)",""))&lt;lenb($Z721),6,IF(lenb(SUBSTITUTE($Z721,W$1&amp;" (7)",""))&lt;lenb($Z721),1,IF(lenb(SUBSTITUTE($Z721,W$1&amp;" (8)",""))&lt;lenb($Z721),8,IF(lenb(SUBSTITUTE($Z721,W$1&amp;" (9)",""))&lt;lenb($Z721),9,IF(lenb(SUBSTITUTE($Z721,W$1&amp;" (10)",""))&lt;lenb($Z721),10,IF(lenb(SUBSTITUTE($Z721,W$1,""))&lt;lenb($Z721),"ERROR",IF($Z721=$Y$1,"-",0))))))))))))</f>
        <v>0</v>
      </c>
      <c r="X721" s="116">
        <f t="shared" si="726"/>
        <v>0</v>
      </c>
      <c r="Y721" s="116" t="str">
        <f t="shared" si="4"/>
        <v>-</v>
      </c>
      <c r="Z721" s="115" t="s">
        <v>3400</v>
      </c>
      <c r="AA721" s="54">
        <f t="shared" si="5"/>
        <v>1</v>
      </c>
      <c r="AB721" s="54">
        <f>COUNTIFS(Links!B:B,"FSE",Links!C:C,A721,Links!AD:AD,1)</f>
        <v>0</v>
      </c>
      <c r="AC721" s="117" t="s">
        <v>35</v>
      </c>
      <c r="AD721" s="118" t="s">
        <v>35</v>
      </c>
      <c r="AE721" s="115" t="s">
        <v>36</v>
      </c>
      <c r="AF721" s="57" t="s">
        <v>42</v>
      </c>
      <c r="AG721" s="57" t="s">
        <v>42</v>
      </c>
      <c r="AH721" s="57" t="s">
        <v>42</v>
      </c>
      <c r="AI721" s="116" t="str">
        <f t="shared" si="6"/>
        <v>----</v>
      </c>
      <c r="AJ721" s="119" t="str">
        <f t="shared" si="7"/>
        <v>Paper has link but no statement</v>
      </c>
      <c r="AK721" s="120" t="s">
        <v>3401</v>
      </c>
      <c r="AL721" s="121" t="s">
        <v>3402</v>
      </c>
      <c r="AM721" s="60" t="str">
        <f t="shared" si="8"/>
        <v>[FP0007]</v>
      </c>
    </row>
    <row r="722" ht="67.5" customHeight="1">
      <c r="A722" s="61">
        <v>8.0</v>
      </c>
      <c r="B722" s="22" t="s">
        <v>5318</v>
      </c>
      <c r="C722" s="23">
        <v>2023.0</v>
      </c>
      <c r="D722" s="100" t="s">
        <v>37</v>
      </c>
      <c r="E722" s="25" t="s">
        <v>37</v>
      </c>
      <c r="F722" s="25" t="s">
        <v>35</v>
      </c>
      <c r="G722" s="25" t="s">
        <v>37</v>
      </c>
      <c r="H722" s="25" t="s">
        <v>35</v>
      </c>
      <c r="I722" s="25" t="s">
        <v>35</v>
      </c>
      <c r="J722" s="101" t="s">
        <v>36</v>
      </c>
      <c r="K722" s="102" t="s">
        <v>37</v>
      </c>
      <c r="L722" s="103" t="s">
        <v>35</v>
      </c>
      <c r="M722" s="103" t="s">
        <v>37</v>
      </c>
      <c r="N722" s="103" t="s">
        <v>37</v>
      </c>
      <c r="O722" s="103" t="s">
        <v>35</v>
      </c>
      <c r="P722" s="103" t="s">
        <v>35</v>
      </c>
      <c r="Q722" s="103" t="s">
        <v>37</v>
      </c>
      <c r="R722" s="103" t="s">
        <v>37</v>
      </c>
      <c r="S722" s="104" t="s">
        <v>5319</v>
      </c>
      <c r="T722" s="30" t="s">
        <v>5320</v>
      </c>
      <c r="U722" s="30" t="s">
        <v>5321</v>
      </c>
      <c r="V722" s="105">
        <f t="shared" si="2"/>
        <v>2</v>
      </c>
      <c r="W722" s="105">
        <f t="shared" ref="W722:X722" si="727">IF(lenb(SUBSTITUTE($Z722,W$1&amp;" (1)",""))&lt;lenb($Z722),1,IF(lenb(SUBSTITUTE($Z722,W$1&amp;" (2)",""))&lt;lenb($Z722),2,IF(lenb(SUBSTITUTE($Z722,W$1&amp;" (3)",""))&lt;lenb($Z722),3,IF(lenb(SUBSTITUTE($Z722,W$1&amp;" (4)",""))&lt;lenb($Z722),4,IF(lenb(SUBSTITUTE($Z722,W$1&amp;" (5)",""))&lt;lenb($Z722),5,IF(lenb(SUBSTITUTE($Z722,W$1&amp;" (6)",""))&lt;lenb($Z722),6,IF(lenb(SUBSTITUTE($Z722,W$1&amp;" (7)",""))&lt;lenb($Z722),1,IF(lenb(SUBSTITUTE($Z722,W$1&amp;" (8)",""))&lt;lenb($Z722),8,IF(lenb(SUBSTITUTE($Z722,W$1&amp;" (9)",""))&lt;lenb($Z722),9,IF(lenb(SUBSTITUTE($Z722,W$1&amp;" (10)",""))&lt;lenb($Z722),10,IF(lenb(SUBSTITUTE($Z722,W$1,""))&lt;lenb($Z722),"ERROR",IF($Z722=$Y$1,"-",0))))))))))))</f>
        <v>0</v>
      </c>
      <c r="X722" s="105">
        <f t="shared" si="727"/>
        <v>0</v>
      </c>
      <c r="Y722" s="105" t="str">
        <f t="shared" si="4"/>
        <v>-</v>
      </c>
      <c r="Z722" s="104" t="s">
        <v>3452</v>
      </c>
      <c r="AA722" s="34">
        <f t="shared" si="5"/>
        <v>2</v>
      </c>
      <c r="AB722" s="34">
        <f>COUNTIFS(Links!B:B,"FSE",Links!C:C,A722,Links!AD:AD,1)</f>
        <v>0</v>
      </c>
      <c r="AC722" s="106" t="s">
        <v>37</v>
      </c>
      <c r="AD722" s="107" t="s">
        <v>35</v>
      </c>
      <c r="AE722" s="104" t="s">
        <v>36</v>
      </c>
      <c r="AF722" s="37" t="s">
        <v>42</v>
      </c>
      <c r="AG722" s="37" t="s">
        <v>42</v>
      </c>
      <c r="AH722" s="37" t="s">
        <v>42</v>
      </c>
      <c r="AI722" s="105" t="str">
        <f t="shared" si="6"/>
        <v>----</v>
      </c>
      <c r="AJ722" s="108" t="str">
        <f t="shared" si="7"/>
        <v>Paper has link but no statement</v>
      </c>
      <c r="AK722" s="109" t="s">
        <v>3401</v>
      </c>
      <c r="AL722" s="110" t="s">
        <v>3402</v>
      </c>
      <c r="AM722" s="40" t="str">
        <f t="shared" si="8"/>
        <v>[FP0008]</v>
      </c>
    </row>
    <row r="723" ht="67.5" customHeight="1">
      <c r="A723" s="41">
        <v>9.0</v>
      </c>
      <c r="B723" s="42" t="s">
        <v>5322</v>
      </c>
      <c r="C723" s="43">
        <v>2023.0</v>
      </c>
      <c r="D723" s="111" t="s">
        <v>37</v>
      </c>
      <c r="E723" s="45" t="s">
        <v>37</v>
      </c>
      <c r="F723" s="45" t="s">
        <v>35</v>
      </c>
      <c r="G723" s="45" t="s">
        <v>35</v>
      </c>
      <c r="H723" s="45" t="s">
        <v>35</v>
      </c>
      <c r="I723" s="45" t="s">
        <v>35</v>
      </c>
      <c r="J723" s="112" t="s">
        <v>36</v>
      </c>
      <c r="K723" s="113" t="s">
        <v>37</v>
      </c>
      <c r="L723" s="114" t="s">
        <v>35</v>
      </c>
      <c r="M723" s="114" t="s">
        <v>37</v>
      </c>
      <c r="N723" s="114" t="s">
        <v>35</v>
      </c>
      <c r="O723" s="114" t="s">
        <v>35</v>
      </c>
      <c r="P723" s="114" t="s">
        <v>35</v>
      </c>
      <c r="Q723" s="114" t="s">
        <v>37</v>
      </c>
      <c r="R723" s="114" t="s">
        <v>35</v>
      </c>
      <c r="S723" s="115" t="s">
        <v>5323</v>
      </c>
      <c r="T723" s="50" t="s">
        <v>5324</v>
      </c>
      <c r="U723" s="50" t="s">
        <v>5324</v>
      </c>
      <c r="V723" s="116">
        <f t="shared" si="2"/>
        <v>1</v>
      </c>
      <c r="W723" s="116">
        <f t="shared" ref="W723:X723" si="728">IF(lenb(SUBSTITUTE($Z723,W$1&amp;" (1)",""))&lt;lenb($Z723),1,IF(lenb(SUBSTITUTE($Z723,W$1&amp;" (2)",""))&lt;lenb($Z723),2,IF(lenb(SUBSTITUTE($Z723,W$1&amp;" (3)",""))&lt;lenb($Z723),3,IF(lenb(SUBSTITUTE($Z723,W$1&amp;" (4)",""))&lt;lenb($Z723),4,IF(lenb(SUBSTITUTE($Z723,W$1&amp;" (5)",""))&lt;lenb($Z723),5,IF(lenb(SUBSTITUTE($Z723,W$1&amp;" (6)",""))&lt;lenb($Z723),6,IF(lenb(SUBSTITUTE($Z723,W$1&amp;" (7)",""))&lt;lenb($Z723),1,IF(lenb(SUBSTITUTE($Z723,W$1&amp;" (8)",""))&lt;lenb($Z723),8,IF(lenb(SUBSTITUTE($Z723,W$1&amp;" (9)",""))&lt;lenb($Z723),9,IF(lenb(SUBSTITUTE($Z723,W$1&amp;" (10)",""))&lt;lenb($Z723),10,IF(lenb(SUBSTITUTE($Z723,W$1,""))&lt;lenb($Z723),"ERROR",IF($Z723=$Y$1,"-",0))))))))))))</f>
        <v>0</v>
      </c>
      <c r="X723" s="116">
        <f t="shared" si="728"/>
        <v>0</v>
      </c>
      <c r="Y723" s="116" t="str">
        <f t="shared" si="4"/>
        <v>-</v>
      </c>
      <c r="Z723" s="115" t="s">
        <v>3400</v>
      </c>
      <c r="AA723" s="54">
        <f t="shared" si="5"/>
        <v>1</v>
      </c>
      <c r="AB723" s="54">
        <f>COUNTIFS(Links!B:B,"FSE",Links!C:C,A723,Links!AD:AD,1)</f>
        <v>0</v>
      </c>
      <c r="AC723" s="117" t="s">
        <v>37</v>
      </c>
      <c r="AD723" s="118" t="s">
        <v>35</v>
      </c>
      <c r="AE723" s="115" t="s">
        <v>36</v>
      </c>
      <c r="AF723" s="57" t="s">
        <v>42</v>
      </c>
      <c r="AG723" s="57" t="s">
        <v>42</v>
      </c>
      <c r="AH723" s="57" t="s">
        <v>42</v>
      </c>
      <c r="AI723" s="116" t="str">
        <f t="shared" si="6"/>
        <v>----</v>
      </c>
      <c r="AJ723" s="119" t="str">
        <f t="shared" si="7"/>
        <v>Paper has link but no statement</v>
      </c>
      <c r="AK723" s="120" t="s">
        <v>3401</v>
      </c>
      <c r="AL723" s="121" t="s">
        <v>3402</v>
      </c>
      <c r="AM723" s="60" t="str">
        <f t="shared" si="8"/>
        <v>[FP0009]</v>
      </c>
    </row>
    <row r="724" ht="67.5" customHeight="1">
      <c r="A724" s="61">
        <v>10.0</v>
      </c>
      <c r="B724" s="22" t="s">
        <v>5325</v>
      </c>
      <c r="C724" s="23">
        <v>2023.0</v>
      </c>
      <c r="D724" s="100" t="s">
        <v>37</v>
      </c>
      <c r="E724" s="25" t="s">
        <v>37</v>
      </c>
      <c r="F724" s="25" t="s">
        <v>35</v>
      </c>
      <c r="G724" s="25" t="s">
        <v>35</v>
      </c>
      <c r="H724" s="25" t="s">
        <v>35</v>
      </c>
      <c r="I724" s="25" t="s">
        <v>35</v>
      </c>
      <c r="J724" s="101" t="s">
        <v>36</v>
      </c>
      <c r="K724" s="102" t="s">
        <v>37</v>
      </c>
      <c r="L724" s="103" t="s">
        <v>35</v>
      </c>
      <c r="M724" s="103" t="s">
        <v>37</v>
      </c>
      <c r="N724" s="103" t="s">
        <v>35</v>
      </c>
      <c r="O724" s="103" t="s">
        <v>35</v>
      </c>
      <c r="P724" s="103" t="s">
        <v>35</v>
      </c>
      <c r="Q724" s="103" t="s">
        <v>35</v>
      </c>
      <c r="R724" s="103" t="s">
        <v>37</v>
      </c>
      <c r="S724" s="104" t="s">
        <v>5326</v>
      </c>
      <c r="T724" s="30" t="s">
        <v>5327</v>
      </c>
      <c r="U724" s="30" t="s">
        <v>5327</v>
      </c>
      <c r="V724" s="105">
        <f t="shared" si="2"/>
        <v>1</v>
      </c>
      <c r="W724" s="105">
        <f t="shared" ref="W724:X724" si="729">IF(lenb(SUBSTITUTE($Z724,W$1&amp;" (1)",""))&lt;lenb($Z724),1,IF(lenb(SUBSTITUTE($Z724,W$1&amp;" (2)",""))&lt;lenb($Z724),2,IF(lenb(SUBSTITUTE($Z724,W$1&amp;" (3)",""))&lt;lenb($Z724),3,IF(lenb(SUBSTITUTE($Z724,W$1&amp;" (4)",""))&lt;lenb($Z724),4,IF(lenb(SUBSTITUTE($Z724,W$1&amp;" (5)",""))&lt;lenb($Z724),5,IF(lenb(SUBSTITUTE($Z724,W$1&amp;" (6)",""))&lt;lenb($Z724),6,IF(lenb(SUBSTITUTE($Z724,W$1&amp;" (7)",""))&lt;lenb($Z724),1,IF(lenb(SUBSTITUTE($Z724,W$1&amp;" (8)",""))&lt;lenb($Z724),8,IF(lenb(SUBSTITUTE($Z724,W$1&amp;" (9)",""))&lt;lenb($Z724),9,IF(lenb(SUBSTITUTE($Z724,W$1&amp;" (10)",""))&lt;lenb($Z724),10,IF(lenb(SUBSTITUTE($Z724,W$1,""))&lt;lenb($Z724),"ERROR",IF($Z724=$Y$1,"-",0))))))))))))</f>
        <v>0</v>
      </c>
      <c r="X724" s="105">
        <f t="shared" si="729"/>
        <v>0</v>
      </c>
      <c r="Y724" s="105" t="str">
        <f t="shared" si="4"/>
        <v>-</v>
      </c>
      <c r="Z724" s="104" t="s">
        <v>3400</v>
      </c>
      <c r="AA724" s="34">
        <f t="shared" si="5"/>
        <v>1</v>
      </c>
      <c r="AB724" s="34">
        <f>COUNTIFS(Links!B:B,"FSE",Links!C:C,A724,Links!AD:AD,1)</f>
        <v>0</v>
      </c>
      <c r="AC724" s="106" t="s">
        <v>37</v>
      </c>
      <c r="AD724" s="107" t="s">
        <v>35</v>
      </c>
      <c r="AE724" s="104" t="s">
        <v>36</v>
      </c>
      <c r="AF724" s="37" t="s">
        <v>42</v>
      </c>
      <c r="AG724" s="37" t="s">
        <v>42</v>
      </c>
      <c r="AH724" s="37" t="s">
        <v>42</v>
      </c>
      <c r="AI724" s="105" t="str">
        <f t="shared" si="6"/>
        <v>----</v>
      </c>
      <c r="AJ724" s="108" t="str">
        <f t="shared" si="7"/>
        <v>Paper has link but no statement</v>
      </c>
      <c r="AK724" s="109" t="s">
        <v>3401</v>
      </c>
      <c r="AL724" s="110" t="s">
        <v>3402</v>
      </c>
      <c r="AM724" s="40" t="str">
        <f t="shared" si="8"/>
        <v>[FP0010]</v>
      </c>
    </row>
    <row r="725" ht="67.5" customHeight="1">
      <c r="A725" s="41">
        <v>11.0</v>
      </c>
      <c r="B725" s="42" t="s">
        <v>5328</v>
      </c>
      <c r="C725" s="43">
        <v>2023.0</v>
      </c>
      <c r="D725" s="111" t="s">
        <v>37</v>
      </c>
      <c r="E725" s="45" t="s">
        <v>37</v>
      </c>
      <c r="F725" s="45" t="s">
        <v>35</v>
      </c>
      <c r="G725" s="45" t="s">
        <v>37</v>
      </c>
      <c r="H725" s="45" t="s">
        <v>35</v>
      </c>
      <c r="I725" s="45" t="s">
        <v>35</v>
      </c>
      <c r="J725" s="112" t="s">
        <v>36</v>
      </c>
      <c r="K725" s="113" t="s">
        <v>37</v>
      </c>
      <c r="L725" s="114" t="s">
        <v>35</v>
      </c>
      <c r="M725" s="114" t="s">
        <v>35</v>
      </c>
      <c r="N725" s="114" t="s">
        <v>35</v>
      </c>
      <c r="O725" s="114" t="s">
        <v>35</v>
      </c>
      <c r="P725" s="114" t="s">
        <v>35</v>
      </c>
      <c r="Q725" s="114" t="s">
        <v>37</v>
      </c>
      <c r="R725" s="114" t="s">
        <v>35</v>
      </c>
      <c r="S725" s="115" t="s">
        <v>2497</v>
      </c>
      <c r="T725" s="50" t="s">
        <v>5329</v>
      </c>
      <c r="U725" s="50" t="s">
        <v>5330</v>
      </c>
      <c r="V725" s="116">
        <f t="shared" si="2"/>
        <v>2</v>
      </c>
      <c r="W725" s="116">
        <f t="shared" ref="W725:X725" si="730">IF(lenb(SUBSTITUTE($Z725,W$1&amp;" (1)",""))&lt;lenb($Z725),1,IF(lenb(SUBSTITUTE($Z725,W$1&amp;" (2)",""))&lt;lenb($Z725),2,IF(lenb(SUBSTITUTE($Z725,W$1&amp;" (3)",""))&lt;lenb($Z725),3,IF(lenb(SUBSTITUTE($Z725,W$1&amp;" (4)",""))&lt;lenb($Z725),4,IF(lenb(SUBSTITUTE($Z725,W$1&amp;" (5)",""))&lt;lenb($Z725),5,IF(lenb(SUBSTITUTE($Z725,W$1&amp;" (6)",""))&lt;lenb($Z725),6,IF(lenb(SUBSTITUTE($Z725,W$1&amp;" (7)",""))&lt;lenb($Z725),1,IF(lenb(SUBSTITUTE($Z725,W$1&amp;" (8)",""))&lt;lenb($Z725),8,IF(lenb(SUBSTITUTE($Z725,W$1&amp;" (9)",""))&lt;lenb($Z725),9,IF(lenb(SUBSTITUTE($Z725,W$1&amp;" (10)",""))&lt;lenb($Z725),10,IF(lenb(SUBSTITUTE($Z725,W$1,""))&lt;lenb($Z725),"ERROR",IF($Z725=$Y$1,"-",0))))))))))))</f>
        <v>0</v>
      </c>
      <c r="X725" s="116">
        <f t="shared" si="730"/>
        <v>0</v>
      </c>
      <c r="Y725" s="116" t="str">
        <f t="shared" si="4"/>
        <v>-</v>
      </c>
      <c r="Z725" s="115" t="s">
        <v>3452</v>
      </c>
      <c r="AA725" s="54">
        <f t="shared" si="5"/>
        <v>2</v>
      </c>
      <c r="AB725" s="54">
        <f>COUNTIFS(Links!B:B,"FSE",Links!C:C,A725,Links!AD:AD,1)</f>
        <v>0</v>
      </c>
      <c r="AC725" s="117" t="s">
        <v>35</v>
      </c>
      <c r="AD725" s="118" t="s">
        <v>35</v>
      </c>
      <c r="AE725" s="115" t="s">
        <v>36</v>
      </c>
      <c r="AF725" s="57" t="s">
        <v>42</v>
      </c>
      <c r="AG725" s="57" t="s">
        <v>42</v>
      </c>
      <c r="AH725" s="57" t="s">
        <v>42</v>
      </c>
      <c r="AI725" s="116" t="str">
        <f t="shared" si="6"/>
        <v>----</v>
      </c>
      <c r="AJ725" s="119" t="str">
        <f t="shared" si="7"/>
        <v>Paper has link but no statement</v>
      </c>
      <c r="AK725" s="120" t="s">
        <v>3401</v>
      </c>
      <c r="AL725" s="121" t="s">
        <v>3402</v>
      </c>
      <c r="AM725" s="60" t="str">
        <f t="shared" si="8"/>
        <v>[FP0011]</v>
      </c>
    </row>
    <row r="726" ht="67.5" customHeight="1">
      <c r="A726" s="61">
        <v>12.0</v>
      </c>
      <c r="B726" s="22" t="s">
        <v>5331</v>
      </c>
      <c r="C726" s="23">
        <v>2023.0</v>
      </c>
      <c r="D726" s="100" t="s">
        <v>35</v>
      </c>
      <c r="E726" s="25" t="s">
        <v>36</v>
      </c>
      <c r="F726" s="25" t="s">
        <v>36</v>
      </c>
      <c r="G726" s="25" t="s">
        <v>36</v>
      </c>
      <c r="H726" s="25" t="s">
        <v>36</v>
      </c>
      <c r="I726" s="25" t="s">
        <v>36</v>
      </c>
      <c r="J726" s="101" t="s">
        <v>36</v>
      </c>
      <c r="K726" s="102" t="s">
        <v>37</v>
      </c>
      <c r="L726" s="103" t="s">
        <v>35</v>
      </c>
      <c r="M726" s="103" t="s">
        <v>35</v>
      </c>
      <c r="N726" s="103" t="s">
        <v>35</v>
      </c>
      <c r="O726" s="103" t="s">
        <v>35</v>
      </c>
      <c r="P726" s="103" t="s">
        <v>35</v>
      </c>
      <c r="Q726" s="103" t="s">
        <v>37</v>
      </c>
      <c r="R726" s="103" t="s">
        <v>35</v>
      </c>
      <c r="S726" s="104" t="s">
        <v>5020</v>
      </c>
      <c r="T726" s="30" t="s">
        <v>5332</v>
      </c>
      <c r="U726" s="30" t="s">
        <v>5332</v>
      </c>
      <c r="V726" s="105">
        <f t="shared" si="2"/>
        <v>1</v>
      </c>
      <c r="W726" s="105">
        <f t="shared" ref="W726:X726" si="731">IF(lenb(SUBSTITUTE($Z726,W$1&amp;" (1)",""))&lt;lenb($Z726),1,IF(lenb(SUBSTITUTE($Z726,W$1&amp;" (2)",""))&lt;lenb($Z726),2,IF(lenb(SUBSTITUTE($Z726,W$1&amp;" (3)",""))&lt;lenb($Z726),3,IF(lenb(SUBSTITUTE($Z726,W$1&amp;" (4)",""))&lt;lenb($Z726),4,IF(lenb(SUBSTITUTE($Z726,W$1&amp;" (5)",""))&lt;lenb($Z726),5,IF(lenb(SUBSTITUTE($Z726,W$1&amp;" (6)",""))&lt;lenb($Z726),6,IF(lenb(SUBSTITUTE($Z726,W$1&amp;" (7)",""))&lt;lenb($Z726),1,IF(lenb(SUBSTITUTE($Z726,W$1&amp;" (8)",""))&lt;lenb($Z726),8,IF(lenb(SUBSTITUTE($Z726,W$1&amp;" (9)",""))&lt;lenb($Z726),9,IF(lenb(SUBSTITUTE($Z726,W$1&amp;" (10)",""))&lt;lenb($Z726),10,IF(lenb(SUBSTITUTE($Z726,W$1,""))&lt;lenb($Z726),"ERROR",IF($Z726=$Y$1,"-",0))))))))))))</f>
        <v>0</v>
      </c>
      <c r="X726" s="105">
        <f t="shared" si="731"/>
        <v>0</v>
      </c>
      <c r="Y726" s="105" t="str">
        <f t="shared" si="4"/>
        <v>-</v>
      </c>
      <c r="Z726" s="104" t="s">
        <v>3400</v>
      </c>
      <c r="AA726" s="34">
        <f t="shared" si="5"/>
        <v>1</v>
      </c>
      <c r="AB726" s="34">
        <f>COUNTIFS(Links!B:B,"FSE",Links!C:C,A726,Links!AD:AD,1)</f>
        <v>0</v>
      </c>
      <c r="AC726" s="106" t="s">
        <v>37</v>
      </c>
      <c r="AD726" s="107" t="s">
        <v>35</v>
      </c>
      <c r="AE726" s="104" t="s">
        <v>36</v>
      </c>
      <c r="AF726" s="37" t="s">
        <v>42</v>
      </c>
      <c r="AG726" s="37" t="s">
        <v>42</v>
      </c>
      <c r="AH726" s="37" t="s">
        <v>42</v>
      </c>
      <c r="AI726" s="105" t="str">
        <f t="shared" si="6"/>
        <v>----</v>
      </c>
      <c r="AJ726" s="108" t="str">
        <f t="shared" si="7"/>
        <v>Paper has link but no statement</v>
      </c>
      <c r="AK726" s="109" t="s">
        <v>3401</v>
      </c>
      <c r="AL726" s="110" t="s">
        <v>3402</v>
      </c>
      <c r="AM726" s="40" t="str">
        <f t="shared" si="8"/>
        <v>[FP0012]</v>
      </c>
    </row>
    <row r="727" ht="67.5" customHeight="1">
      <c r="A727" s="41">
        <v>13.0</v>
      </c>
      <c r="B727" s="42" t="s">
        <v>5333</v>
      </c>
      <c r="C727" s="43">
        <v>2023.0</v>
      </c>
      <c r="D727" s="111" t="s">
        <v>37</v>
      </c>
      <c r="E727" s="45" t="s">
        <v>37</v>
      </c>
      <c r="F727" s="45" t="s">
        <v>37</v>
      </c>
      <c r="G727" s="45" t="s">
        <v>35</v>
      </c>
      <c r="H727" s="45" t="s">
        <v>35</v>
      </c>
      <c r="I727" s="45" t="s">
        <v>35</v>
      </c>
      <c r="J727" s="112" t="s">
        <v>36</v>
      </c>
      <c r="K727" s="113" t="s">
        <v>37</v>
      </c>
      <c r="L727" s="114" t="s">
        <v>35</v>
      </c>
      <c r="M727" s="114" t="s">
        <v>35</v>
      </c>
      <c r="N727" s="114" t="s">
        <v>35</v>
      </c>
      <c r="O727" s="114" t="s">
        <v>35</v>
      </c>
      <c r="P727" s="114" t="s">
        <v>35</v>
      </c>
      <c r="Q727" s="114" t="s">
        <v>37</v>
      </c>
      <c r="R727" s="114" t="s">
        <v>35</v>
      </c>
      <c r="S727" s="115" t="s">
        <v>5020</v>
      </c>
      <c r="T727" s="50" t="s">
        <v>5334</v>
      </c>
      <c r="U727" s="50" t="s">
        <v>5335</v>
      </c>
      <c r="V727" s="116">
        <f t="shared" si="2"/>
        <v>2</v>
      </c>
      <c r="W727" s="116">
        <f t="shared" ref="W727:X727" si="732">IF(lenb(SUBSTITUTE($Z727,W$1&amp;" (1)",""))&lt;lenb($Z727),1,IF(lenb(SUBSTITUTE($Z727,W$1&amp;" (2)",""))&lt;lenb($Z727),2,IF(lenb(SUBSTITUTE($Z727,W$1&amp;" (3)",""))&lt;lenb($Z727),3,IF(lenb(SUBSTITUTE($Z727,W$1&amp;" (4)",""))&lt;lenb($Z727),4,IF(lenb(SUBSTITUTE($Z727,W$1&amp;" (5)",""))&lt;lenb($Z727),5,IF(lenb(SUBSTITUTE($Z727,W$1&amp;" (6)",""))&lt;lenb($Z727),6,IF(lenb(SUBSTITUTE($Z727,W$1&amp;" (7)",""))&lt;lenb($Z727),1,IF(lenb(SUBSTITUTE($Z727,W$1&amp;" (8)",""))&lt;lenb($Z727),8,IF(lenb(SUBSTITUTE($Z727,W$1&amp;" (9)",""))&lt;lenb($Z727),9,IF(lenb(SUBSTITUTE($Z727,W$1&amp;" (10)",""))&lt;lenb($Z727),10,IF(lenb(SUBSTITUTE($Z727,W$1,""))&lt;lenb($Z727),"ERROR",IF($Z727=$Y$1,"-",0))))))))))))</f>
        <v>0</v>
      </c>
      <c r="X727" s="116">
        <f t="shared" si="732"/>
        <v>0</v>
      </c>
      <c r="Y727" s="116" t="str">
        <f t="shared" si="4"/>
        <v>-</v>
      </c>
      <c r="Z727" s="115" t="s">
        <v>3452</v>
      </c>
      <c r="AA727" s="54">
        <f t="shared" si="5"/>
        <v>2</v>
      </c>
      <c r="AB727" s="54">
        <f>COUNTIFS(Links!B:B,"FSE",Links!C:C,A727,Links!AD:AD,1)</f>
        <v>0</v>
      </c>
      <c r="AC727" s="117" t="s">
        <v>37</v>
      </c>
      <c r="AD727" s="118" t="s">
        <v>35</v>
      </c>
      <c r="AE727" s="115" t="s">
        <v>36</v>
      </c>
      <c r="AF727" s="57" t="s">
        <v>42</v>
      </c>
      <c r="AG727" s="57" t="s">
        <v>42</v>
      </c>
      <c r="AH727" s="57" t="s">
        <v>42</v>
      </c>
      <c r="AI727" s="116" t="str">
        <f t="shared" si="6"/>
        <v>----</v>
      </c>
      <c r="AJ727" s="119" t="str">
        <f t="shared" si="7"/>
        <v>Paper has link but no statement</v>
      </c>
      <c r="AK727" s="120" t="s">
        <v>3401</v>
      </c>
      <c r="AL727" s="121" t="s">
        <v>3402</v>
      </c>
      <c r="AM727" s="60" t="str">
        <f t="shared" si="8"/>
        <v>[FP0013]</v>
      </c>
    </row>
    <row r="728" ht="67.5" customHeight="1">
      <c r="A728" s="61">
        <v>14.0</v>
      </c>
      <c r="B728" s="22" t="s">
        <v>5336</v>
      </c>
      <c r="C728" s="23">
        <v>2023.0</v>
      </c>
      <c r="D728" s="100" t="s">
        <v>37</v>
      </c>
      <c r="E728" s="25" t="s">
        <v>37</v>
      </c>
      <c r="F728" s="25" t="s">
        <v>35</v>
      </c>
      <c r="G728" s="25" t="s">
        <v>37</v>
      </c>
      <c r="H728" s="25" t="s">
        <v>35</v>
      </c>
      <c r="I728" s="25" t="s">
        <v>35</v>
      </c>
      <c r="J728" s="101" t="s">
        <v>36</v>
      </c>
      <c r="K728" s="102" t="s">
        <v>37</v>
      </c>
      <c r="L728" s="103" t="s">
        <v>35</v>
      </c>
      <c r="M728" s="103" t="s">
        <v>37</v>
      </c>
      <c r="N728" s="103" t="s">
        <v>37</v>
      </c>
      <c r="O728" s="103" t="s">
        <v>35</v>
      </c>
      <c r="P728" s="103" t="s">
        <v>35</v>
      </c>
      <c r="Q728" s="103" t="s">
        <v>37</v>
      </c>
      <c r="R728" s="103" t="s">
        <v>37</v>
      </c>
      <c r="S728" s="104" t="s">
        <v>5337</v>
      </c>
      <c r="T728" s="30" t="s">
        <v>5338</v>
      </c>
      <c r="U728" s="30" t="s">
        <v>5339</v>
      </c>
      <c r="V728" s="105">
        <f t="shared" si="2"/>
        <v>2</v>
      </c>
      <c r="W728" s="105">
        <f t="shared" ref="W728:X728" si="733">IF(lenb(SUBSTITUTE($Z728,W$1&amp;" (1)",""))&lt;lenb($Z728),1,IF(lenb(SUBSTITUTE($Z728,W$1&amp;" (2)",""))&lt;lenb($Z728),2,IF(lenb(SUBSTITUTE($Z728,W$1&amp;" (3)",""))&lt;lenb($Z728),3,IF(lenb(SUBSTITUTE($Z728,W$1&amp;" (4)",""))&lt;lenb($Z728),4,IF(lenb(SUBSTITUTE($Z728,W$1&amp;" (5)",""))&lt;lenb($Z728),5,IF(lenb(SUBSTITUTE($Z728,W$1&amp;" (6)",""))&lt;lenb($Z728),6,IF(lenb(SUBSTITUTE($Z728,W$1&amp;" (7)",""))&lt;lenb($Z728),1,IF(lenb(SUBSTITUTE($Z728,W$1&amp;" (8)",""))&lt;lenb($Z728),8,IF(lenb(SUBSTITUTE($Z728,W$1&amp;" (9)",""))&lt;lenb($Z728),9,IF(lenb(SUBSTITUTE($Z728,W$1&amp;" (10)",""))&lt;lenb($Z728),10,IF(lenb(SUBSTITUTE($Z728,W$1,""))&lt;lenb($Z728),"ERROR",IF($Z728=$Y$1,"-",0))))))))))))</f>
        <v>0</v>
      </c>
      <c r="X728" s="105">
        <f t="shared" si="733"/>
        <v>0</v>
      </c>
      <c r="Y728" s="105" t="str">
        <f t="shared" si="4"/>
        <v>-</v>
      </c>
      <c r="Z728" s="104" t="s">
        <v>3452</v>
      </c>
      <c r="AA728" s="34">
        <f t="shared" si="5"/>
        <v>2</v>
      </c>
      <c r="AB728" s="34">
        <f>COUNTIFS(Links!B:B,"FSE",Links!C:C,A728,Links!AD:AD,1)</f>
        <v>0</v>
      </c>
      <c r="AC728" s="106" t="s">
        <v>37</v>
      </c>
      <c r="AD728" s="107" t="s">
        <v>35</v>
      </c>
      <c r="AE728" s="104" t="s">
        <v>36</v>
      </c>
      <c r="AF728" s="37" t="s">
        <v>42</v>
      </c>
      <c r="AG728" s="37" t="s">
        <v>42</v>
      </c>
      <c r="AH728" s="37" t="s">
        <v>42</v>
      </c>
      <c r="AI728" s="105" t="str">
        <f t="shared" si="6"/>
        <v>----</v>
      </c>
      <c r="AJ728" s="108" t="str">
        <f t="shared" si="7"/>
        <v>Paper has link but no statement</v>
      </c>
      <c r="AK728" s="109" t="s">
        <v>3401</v>
      </c>
      <c r="AL728" s="110" t="s">
        <v>3402</v>
      </c>
      <c r="AM728" s="40" t="str">
        <f t="shared" si="8"/>
        <v>[FP0014]</v>
      </c>
    </row>
    <row r="729" ht="67.5" customHeight="1">
      <c r="A729" s="41">
        <v>15.0</v>
      </c>
      <c r="B729" s="42" t="s">
        <v>5340</v>
      </c>
      <c r="C729" s="43">
        <v>2023.0</v>
      </c>
      <c r="D729" s="111" t="s">
        <v>37</v>
      </c>
      <c r="E729" s="45" t="s">
        <v>37</v>
      </c>
      <c r="F729" s="45" t="s">
        <v>35</v>
      </c>
      <c r="G729" s="45" t="s">
        <v>37</v>
      </c>
      <c r="H729" s="45" t="s">
        <v>35</v>
      </c>
      <c r="I729" s="45" t="s">
        <v>35</v>
      </c>
      <c r="J729" s="112" t="s">
        <v>36</v>
      </c>
      <c r="K729" s="113" t="s">
        <v>37</v>
      </c>
      <c r="L729" s="114" t="s">
        <v>35</v>
      </c>
      <c r="M729" s="114" t="s">
        <v>37</v>
      </c>
      <c r="N729" s="114" t="s">
        <v>35</v>
      </c>
      <c r="O729" s="114" t="s">
        <v>35</v>
      </c>
      <c r="P729" s="114" t="s">
        <v>35</v>
      </c>
      <c r="Q729" s="114" t="s">
        <v>37</v>
      </c>
      <c r="R729" s="114" t="s">
        <v>35</v>
      </c>
      <c r="S729" s="115" t="s">
        <v>5341</v>
      </c>
      <c r="T729" s="50" t="s">
        <v>5342</v>
      </c>
      <c r="U729" s="50" t="s">
        <v>5342</v>
      </c>
      <c r="V729" s="116">
        <f t="shared" si="2"/>
        <v>1</v>
      </c>
      <c r="W729" s="116">
        <f t="shared" ref="W729:X729" si="734">IF(lenb(SUBSTITUTE($Z729,W$1&amp;" (1)",""))&lt;lenb($Z729),1,IF(lenb(SUBSTITUTE($Z729,W$1&amp;" (2)",""))&lt;lenb($Z729),2,IF(lenb(SUBSTITUTE($Z729,W$1&amp;" (3)",""))&lt;lenb($Z729),3,IF(lenb(SUBSTITUTE($Z729,W$1&amp;" (4)",""))&lt;lenb($Z729),4,IF(lenb(SUBSTITUTE($Z729,W$1&amp;" (5)",""))&lt;lenb($Z729),5,IF(lenb(SUBSTITUTE($Z729,W$1&amp;" (6)",""))&lt;lenb($Z729),6,IF(lenb(SUBSTITUTE($Z729,W$1&amp;" (7)",""))&lt;lenb($Z729),1,IF(lenb(SUBSTITUTE($Z729,W$1&amp;" (8)",""))&lt;lenb($Z729),8,IF(lenb(SUBSTITUTE($Z729,W$1&amp;" (9)",""))&lt;lenb($Z729),9,IF(lenb(SUBSTITUTE($Z729,W$1&amp;" (10)",""))&lt;lenb($Z729),10,IF(lenb(SUBSTITUTE($Z729,W$1,""))&lt;lenb($Z729),"ERROR",IF($Z729=$Y$1,"-",0))))))))))))</f>
        <v>0</v>
      </c>
      <c r="X729" s="116">
        <f t="shared" si="734"/>
        <v>0</v>
      </c>
      <c r="Y729" s="116" t="str">
        <f t="shared" si="4"/>
        <v>-</v>
      </c>
      <c r="Z729" s="115" t="s">
        <v>3400</v>
      </c>
      <c r="AA729" s="54">
        <f t="shared" si="5"/>
        <v>1</v>
      </c>
      <c r="AB729" s="54">
        <f>COUNTIFS(Links!B:B,"FSE",Links!C:C,A729,Links!AD:AD,1)</f>
        <v>0</v>
      </c>
      <c r="AC729" s="117" t="s">
        <v>37</v>
      </c>
      <c r="AD729" s="118" t="s">
        <v>35</v>
      </c>
      <c r="AE729" s="115" t="s">
        <v>36</v>
      </c>
      <c r="AF729" s="57" t="s">
        <v>42</v>
      </c>
      <c r="AG729" s="57" t="s">
        <v>42</v>
      </c>
      <c r="AH729" s="57" t="s">
        <v>42</v>
      </c>
      <c r="AI729" s="116" t="str">
        <f t="shared" si="6"/>
        <v>----</v>
      </c>
      <c r="AJ729" s="119" t="str">
        <f t="shared" si="7"/>
        <v>Paper has link but no statement</v>
      </c>
      <c r="AK729" s="120" t="s">
        <v>3401</v>
      </c>
      <c r="AL729" s="121" t="s">
        <v>3402</v>
      </c>
      <c r="AM729" s="60" t="str">
        <f t="shared" si="8"/>
        <v>[FP0015]</v>
      </c>
    </row>
    <row r="730" ht="67.5" customHeight="1">
      <c r="A730" s="61">
        <v>16.0</v>
      </c>
      <c r="B730" s="22" t="s">
        <v>5343</v>
      </c>
      <c r="C730" s="23">
        <v>2023.0</v>
      </c>
      <c r="D730" s="100" t="s">
        <v>35</v>
      </c>
      <c r="E730" s="25" t="s">
        <v>36</v>
      </c>
      <c r="F730" s="25" t="s">
        <v>36</v>
      </c>
      <c r="G730" s="25" t="s">
        <v>36</v>
      </c>
      <c r="H730" s="25" t="s">
        <v>36</v>
      </c>
      <c r="I730" s="25" t="s">
        <v>36</v>
      </c>
      <c r="J730" s="101" t="s">
        <v>36</v>
      </c>
      <c r="K730" s="102" t="s">
        <v>37</v>
      </c>
      <c r="L730" s="103" t="s">
        <v>35</v>
      </c>
      <c r="M730" s="103" t="s">
        <v>37</v>
      </c>
      <c r="N730" s="103" t="s">
        <v>35</v>
      </c>
      <c r="O730" s="103" t="s">
        <v>35</v>
      </c>
      <c r="P730" s="103" t="s">
        <v>35</v>
      </c>
      <c r="Q730" s="103" t="s">
        <v>37</v>
      </c>
      <c r="R730" s="103" t="s">
        <v>37</v>
      </c>
      <c r="S730" s="104" t="s">
        <v>5344</v>
      </c>
      <c r="T730" s="30" t="s">
        <v>5345</v>
      </c>
      <c r="U730" s="30" t="s">
        <v>5345</v>
      </c>
      <c r="V730" s="105">
        <f t="shared" si="2"/>
        <v>1</v>
      </c>
      <c r="W730" s="105">
        <f t="shared" ref="W730:X730" si="735">IF(lenb(SUBSTITUTE($Z730,W$1&amp;" (1)",""))&lt;lenb($Z730),1,IF(lenb(SUBSTITUTE($Z730,W$1&amp;" (2)",""))&lt;lenb($Z730),2,IF(lenb(SUBSTITUTE($Z730,W$1&amp;" (3)",""))&lt;lenb($Z730),3,IF(lenb(SUBSTITUTE($Z730,W$1&amp;" (4)",""))&lt;lenb($Z730),4,IF(lenb(SUBSTITUTE($Z730,W$1&amp;" (5)",""))&lt;lenb($Z730),5,IF(lenb(SUBSTITUTE($Z730,W$1&amp;" (6)",""))&lt;lenb($Z730),6,IF(lenb(SUBSTITUTE($Z730,W$1&amp;" (7)",""))&lt;lenb($Z730),1,IF(lenb(SUBSTITUTE($Z730,W$1&amp;" (8)",""))&lt;lenb($Z730),8,IF(lenb(SUBSTITUTE($Z730,W$1&amp;" (9)",""))&lt;lenb($Z730),9,IF(lenb(SUBSTITUTE($Z730,W$1&amp;" (10)",""))&lt;lenb($Z730),10,IF(lenb(SUBSTITUTE($Z730,W$1,""))&lt;lenb($Z730),"ERROR",IF($Z730=$Y$1,"-",0))))))))))))</f>
        <v>0</v>
      </c>
      <c r="X730" s="105">
        <f t="shared" si="735"/>
        <v>0</v>
      </c>
      <c r="Y730" s="105" t="str">
        <f t="shared" si="4"/>
        <v>-</v>
      </c>
      <c r="Z730" s="104" t="s">
        <v>3400</v>
      </c>
      <c r="AA730" s="34">
        <f t="shared" si="5"/>
        <v>1</v>
      </c>
      <c r="AB730" s="34">
        <f>COUNTIFS(Links!B:B,"FSE",Links!C:C,A730,Links!AD:AD,1)</f>
        <v>0</v>
      </c>
      <c r="AC730" s="106" t="s">
        <v>35</v>
      </c>
      <c r="AD730" s="107" t="s">
        <v>35</v>
      </c>
      <c r="AE730" s="104" t="s">
        <v>36</v>
      </c>
      <c r="AF730" s="37" t="s">
        <v>42</v>
      </c>
      <c r="AG730" s="37" t="s">
        <v>42</v>
      </c>
      <c r="AH730" s="37" t="s">
        <v>42</v>
      </c>
      <c r="AI730" s="105" t="str">
        <f t="shared" si="6"/>
        <v>----</v>
      </c>
      <c r="AJ730" s="108" t="str">
        <f t="shared" si="7"/>
        <v>Paper has link but no statement</v>
      </c>
      <c r="AK730" s="109" t="s">
        <v>3401</v>
      </c>
      <c r="AL730" s="110" t="s">
        <v>3402</v>
      </c>
      <c r="AM730" s="40" t="str">
        <f t="shared" si="8"/>
        <v>[FP0016]</v>
      </c>
    </row>
    <row r="731" ht="67.5" customHeight="1">
      <c r="A731" s="41">
        <v>17.0</v>
      </c>
      <c r="B731" s="42" t="s">
        <v>5346</v>
      </c>
      <c r="C731" s="43">
        <v>2023.0</v>
      </c>
      <c r="D731" s="111" t="s">
        <v>37</v>
      </c>
      <c r="E731" s="45" t="s">
        <v>37</v>
      </c>
      <c r="F731" s="45" t="s">
        <v>35</v>
      </c>
      <c r="G731" s="45" t="s">
        <v>37</v>
      </c>
      <c r="H731" s="45" t="s">
        <v>35</v>
      </c>
      <c r="I731" s="45" t="s">
        <v>35</v>
      </c>
      <c r="J731" s="112" t="s">
        <v>36</v>
      </c>
      <c r="K731" s="113" t="s">
        <v>37</v>
      </c>
      <c r="L731" s="114" t="s">
        <v>35</v>
      </c>
      <c r="M731" s="114" t="s">
        <v>37</v>
      </c>
      <c r="N731" s="114" t="s">
        <v>37</v>
      </c>
      <c r="O731" s="114" t="s">
        <v>35</v>
      </c>
      <c r="P731" s="114" t="s">
        <v>35</v>
      </c>
      <c r="Q731" s="114" t="s">
        <v>35</v>
      </c>
      <c r="R731" s="114" t="s">
        <v>37</v>
      </c>
      <c r="S731" s="115" t="s">
        <v>5347</v>
      </c>
      <c r="T731" s="50" t="s">
        <v>5348</v>
      </c>
      <c r="U731" s="50" t="s">
        <v>5348</v>
      </c>
      <c r="V731" s="116">
        <f t="shared" si="2"/>
        <v>1</v>
      </c>
      <c r="W731" s="116">
        <f t="shared" ref="W731:X731" si="736">IF(lenb(SUBSTITUTE($Z731,W$1&amp;" (1)",""))&lt;lenb($Z731),1,IF(lenb(SUBSTITUTE($Z731,W$1&amp;" (2)",""))&lt;lenb($Z731),2,IF(lenb(SUBSTITUTE($Z731,W$1&amp;" (3)",""))&lt;lenb($Z731),3,IF(lenb(SUBSTITUTE($Z731,W$1&amp;" (4)",""))&lt;lenb($Z731),4,IF(lenb(SUBSTITUTE($Z731,W$1&amp;" (5)",""))&lt;lenb($Z731),5,IF(lenb(SUBSTITUTE($Z731,W$1&amp;" (6)",""))&lt;lenb($Z731),6,IF(lenb(SUBSTITUTE($Z731,W$1&amp;" (7)",""))&lt;lenb($Z731),1,IF(lenb(SUBSTITUTE($Z731,W$1&amp;" (8)",""))&lt;lenb($Z731),8,IF(lenb(SUBSTITUTE($Z731,W$1&amp;" (9)",""))&lt;lenb($Z731),9,IF(lenb(SUBSTITUTE($Z731,W$1&amp;" (10)",""))&lt;lenb($Z731),10,IF(lenb(SUBSTITUTE($Z731,W$1,""))&lt;lenb($Z731),"ERROR",IF($Z731=$Y$1,"-",0))))))))))))</f>
        <v>0</v>
      </c>
      <c r="X731" s="116">
        <f t="shared" si="736"/>
        <v>0</v>
      </c>
      <c r="Y731" s="116" t="str">
        <f t="shared" si="4"/>
        <v>-</v>
      </c>
      <c r="Z731" s="115" t="s">
        <v>3400</v>
      </c>
      <c r="AA731" s="54">
        <f t="shared" si="5"/>
        <v>1</v>
      </c>
      <c r="AB731" s="54">
        <f>COUNTIFS(Links!B:B,"FSE",Links!C:C,A731,Links!AD:AD,1)</f>
        <v>0</v>
      </c>
      <c r="AC731" s="117" t="s">
        <v>37</v>
      </c>
      <c r="AD731" s="118" t="s">
        <v>35</v>
      </c>
      <c r="AE731" s="115" t="s">
        <v>36</v>
      </c>
      <c r="AF731" s="57" t="s">
        <v>42</v>
      </c>
      <c r="AG731" s="57" t="s">
        <v>42</v>
      </c>
      <c r="AH731" s="57" t="s">
        <v>42</v>
      </c>
      <c r="AI731" s="116" t="str">
        <f t="shared" si="6"/>
        <v>----</v>
      </c>
      <c r="AJ731" s="119" t="str">
        <f t="shared" si="7"/>
        <v>Paper has link but no statement</v>
      </c>
      <c r="AK731" s="120" t="s">
        <v>3401</v>
      </c>
      <c r="AL731" s="121" t="s">
        <v>3402</v>
      </c>
      <c r="AM731" s="60" t="str">
        <f t="shared" si="8"/>
        <v>[FP0017]</v>
      </c>
    </row>
    <row r="732" ht="67.5" customHeight="1">
      <c r="A732" s="61">
        <v>18.0</v>
      </c>
      <c r="B732" s="22" t="s">
        <v>5349</v>
      </c>
      <c r="C732" s="23">
        <v>2023.0</v>
      </c>
      <c r="D732" s="100" t="s">
        <v>35</v>
      </c>
      <c r="E732" s="25" t="s">
        <v>36</v>
      </c>
      <c r="F732" s="25" t="s">
        <v>36</v>
      </c>
      <c r="G732" s="25" t="s">
        <v>36</v>
      </c>
      <c r="H732" s="25" t="s">
        <v>36</v>
      </c>
      <c r="I732" s="25" t="s">
        <v>36</v>
      </c>
      <c r="J732" s="101" t="s">
        <v>36</v>
      </c>
      <c r="K732" s="102" t="s">
        <v>37</v>
      </c>
      <c r="L732" s="103" t="s">
        <v>35</v>
      </c>
      <c r="M732" s="103" t="s">
        <v>35</v>
      </c>
      <c r="N732" s="103" t="s">
        <v>35</v>
      </c>
      <c r="O732" s="103" t="s">
        <v>35</v>
      </c>
      <c r="P732" s="103" t="s">
        <v>35</v>
      </c>
      <c r="Q732" s="103" t="s">
        <v>37</v>
      </c>
      <c r="R732" s="103" t="s">
        <v>35</v>
      </c>
      <c r="S732" s="104" t="s">
        <v>2049</v>
      </c>
      <c r="T732" s="30" t="s">
        <v>5350</v>
      </c>
      <c r="U732" s="30" t="s">
        <v>5350</v>
      </c>
      <c r="V732" s="105">
        <f t="shared" si="2"/>
        <v>1</v>
      </c>
      <c r="W732" s="105">
        <f t="shared" ref="W732:X732" si="737">IF(lenb(SUBSTITUTE($Z732,W$1&amp;" (1)",""))&lt;lenb($Z732),1,IF(lenb(SUBSTITUTE($Z732,W$1&amp;" (2)",""))&lt;lenb($Z732),2,IF(lenb(SUBSTITUTE($Z732,W$1&amp;" (3)",""))&lt;lenb($Z732),3,IF(lenb(SUBSTITUTE($Z732,W$1&amp;" (4)",""))&lt;lenb($Z732),4,IF(lenb(SUBSTITUTE($Z732,W$1&amp;" (5)",""))&lt;lenb($Z732),5,IF(lenb(SUBSTITUTE($Z732,W$1&amp;" (6)",""))&lt;lenb($Z732),6,IF(lenb(SUBSTITUTE($Z732,W$1&amp;" (7)",""))&lt;lenb($Z732),1,IF(lenb(SUBSTITUTE($Z732,W$1&amp;" (8)",""))&lt;lenb($Z732),8,IF(lenb(SUBSTITUTE($Z732,W$1&amp;" (9)",""))&lt;lenb($Z732),9,IF(lenb(SUBSTITUTE($Z732,W$1&amp;" (10)",""))&lt;lenb($Z732),10,IF(lenb(SUBSTITUTE($Z732,W$1,""))&lt;lenb($Z732),"ERROR",IF($Z732=$Y$1,"-",0))))))))))))</f>
        <v>0</v>
      </c>
      <c r="X732" s="105">
        <f t="shared" si="737"/>
        <v>0</v>
      </c>
      <c r="Y732" s="105" t="str">
        <f t="shared" si="4"/>
        <v>-</v>
      </c>
      <c r="Z732" s="104" t="s">
        <v>3400</v>
      </c>
      <c r="AA732" s="34">
        <f t="shared" si="5"/>
        <v>1</v>
      </c>
      <c r="AB732" s="34">
        <f>COUNTIFS(Links!B:B,"FSE",Links!C:C,A732,Links!AD:AD,1)</f>
        <v>0</v>
      </c>
      <c r="AC732" s="106" t="s">
        <v>35</v>
      </c>
      <c r="AD732" s="107" t="s">
        <v>35</v>
      </c>
      <c r="AE732" s="104" t="s">
        <v>36</v>
      </c>
      <c r="AF732" s="37" t="s">
        <v>42</v>
      </c>
      <c r="AG732" s="37" t="s">
        <v>42</v>
      </c>
      <c r="AH732" s="37" t="s">
        <v>42</v>
      </c>
      <c r="AI732" s="105" t="str">
        <f t="shared" si="6"/>
        <v>----</v>
      </c>
      <c r="AJ732" s="108" t="str">
        <f t="shared" si="7"/>
        <v>Paper has link but no statement</v>
      </c>
      <c r="AK732" s="109" t="s">
        <v>3401</v>
      </c>
      <c r="AL732" s="110" t="s">
        <v>3402</v>
      </c>
      <c r="AM732" s="40" t="str">
        <f t="shared" si="8"/>
        <v>[FP0018]</v>
      </c>
    </row>
    <row r="733" ht="67.5" customHeight="1">
      <c r="A733" s="41">
        <v>19.0</v>
      </c>
      <c r="B733" s="42" t="s">
        <v>5351</v>
      </c>
      <c r="C733" s="43">
        <v>2023.0</v>
      </c>
      <c r="D733" s="111" t="s">
        <v>35</v>
      </c>
      <c r="E733" s="45" t="s">
        <v>36</v>
      </c>
      <c r="F733" s="45" t="s">
        <v>36</v>
      </c>
      <c r="G733" s="45" t="s">
        <v>36</v>
      </c>
      <c r="H733" s="45" t="s">
        <v>36</v>
      </c>
      <c r="I733" s="45" t="s">
        <v>36</v>
      </c>
      <c r="J733" s="112" t="s">
        <v>36</v>
      </c>
      <c r="K733" s="113" t="s">
        <v>37</v>
      </c>
      <c r="L733" s="114" t="s">
        <v>35</v>
      </c>
      <c r="M733" s="114" t="s">
        <v>37</v>
      </c>
      <c r="N733" s="114" t="s">
        <v>35</v>
      </c>
      <c r="O733" s="114" t="s">
        <v>35</v>
      </c>
      <c r="P733" s="114" t="s">
        <v>35</v>
      </c>
      <c r="Q733" s="114" t="s">
        <v>37</v>
      </c>
      <c r="R733" s="114" t="s">
        <v>37</v>
      </c>
      <c r="S733" s="115" t="s">
        <v>5352</v>
      </c>
      <c r="T733" s="50" t="s">
        <v>5353</v>
      </c>
      <c r="U733" s="50" t="s">
        <v>5354</v>
      </c>
      <c r="V733" s="116">
        <f t="shared" si="2"/>
        <v>1</v>
      </c>
      <c r="W733" s="116">
        <f t="shared" ref="W733:X733" si="738">IF(lenb(SUBSTITUTE($Z733,W$1&amp;" (1)",""))&lt;lenb($Z733),1,IF(lenb(SUBSTITUTE($Z733,W$1&amp;" (2)",""))&lt;lenb($Z733),2,IF(lenb(SUBSTITUTE($Z733,W$1&amp;" (3)",""))&lt;lenb($Z733),3,IF(lenb(SUBSTITUTE($Z733,W$1&amp;" (4)",""))&lt;lenb($Z733),4,IF(lenb(SUBSTITUTE($Z733,W$1&amp;" (5)",""))&lt;lenb($Z733),5,IF(lenb(SUBSTITUTE($Z733,W$1&amp;" (6)",""))&lt;lenb($Z733),6,IF(lenb(SUBSTITUTE($Z733,W$1&amp;" (7)",""))&lt;lenb($Z733),1,IF(lenb(SUBSTITUTE($Z733,W$1&amp;" (8)",""))&lt;lenb($Z733),8,IF(lenb(SUBSTITUTE($Z733,W$1&amp;" (9)",""))&lt;lenb($Z733),9,IF(lenb(SUBSTITUTE($Z733,W$1&amp;" (10)",""))&lt;lenb($Z733),10,IF(lenb(SUBSTITUTE($Z733,W$1,""))&lt;lenb($Z733),"ERROR",IF($Z733=$Y$1,"-",0))))))))))))</f>
        <v>0</v>
      </c>
      <c r="X733" s="116">
        <f t="shared" si="738"/>
        <v>0</v>
      </c>
      <c r="Y733" s="116" t="str">
        <f t="shared" si="4"/>
        <v>-</v>
      </c>
      <c r="Z733" s="115" t="s">
        <v>3400</v>
      </c>
      <c r="AA733" s="54">
        <f t="shared" si="5"/>
        <v>1</v>
      </c>
      <c r="AB733" s="54">
        <f>COUNTIFS(Links!B:B,"FSE",Links!C:C,A733,Links!AD:AD,1)</f>
        <v>0</v>
      </c>
      <c r="AC733" s="117" t="s">
        <v>35</v>
      </c>
      <c r="AD733" s="118" t="s">
        <v>35</v>
      </c>
      <c r="AE733" s="115" t="s">
        <v>36</v>
      </c>
      <c r="AF733" s="57" t="s">
        <v>42</v>
      </c>
      <c r="AG733" s="57" t="s">
        <v>42</v>
      </c>
      <c r="AH733" s="57" t="s">
        <v>42</v>
      </c>
      <c r="AI733" s="116" t="str">
        <f t="shared" si="6"/>
        <v>----</v>
      </c>
      <c r="AJ733" s="119" t="str">
        <f t="shared" si="7"/>
        <v>Paper has link but no statement</v>
      </c>
      <c r="AK733" s="120" t="s">
        <v>3401</v>
      </c>
      <c r="AL733" s="121" t="s">
        <v>3402</v>
      </c>
      <c r="AM733" s="60" t="str">
        <f t="shared" si="8"/>
        <v>[FP0019]</v>
      </c>
    </row>
    <row r="734" ht="67.5" customHeight="1">
      <c r="A734" s="61">
        <v>20.0</v>
      </c>
      <c r="B734" s="22" t="s">
        <v>5355</v>
      </c>
      <c r="C734" s="23">
        <v>2023.0</v>
      </c>
      <c r="D734" s="100" t="s">
        <v>35</v>
      </c>
      <c r="E734" s="25" t="s">
        <v>36</v>
      </c>
      <c r="F734" s="25" t="s">
        <v>36</v>
      </c>
      <c r="G734" s="25" t="s">
        <v>36</v>
      </c>
      <c r="H734" s="25" t="s">
        <v>36</v>
      </c>
      <c r="I734" s="25" t="s">
        <v>36</v>
      </c>
      <c r="J734" s="101" t="s">
        <v>36</v>
      </c>
      <c r="K734" s="102" t="s">
        <v>37</v>
      </c>
      <c r="L734" s="103" t="s">
        <v>35</v>
      </c>
      <c r="M734" s="103" t="s">
        <v>35</v>
      </c>
      <c r="N734" s="103" t="s">
        <v>37</v>
      </c>
      <c r="O734" s="103" t="s">
        <v>35</v>
      </c>
      <c r="P734" s="103" t="s">
        <v>35</v>
      </c>
      <c r="Q734" s="103" t="s">
        <v>37</v>
      </c>
      <c r="R734" s="103" t="s">
        <v>35</v>
      </c>
      <c r="S734" s="104" t="s">
        <v>5356</v>
      </c>
      <c r="T734" s="30" t="s">
        <v>5357</v>
      </c>
      <c r="U734" s="30" t="s">
        <v>5357</v>
      </c>
      <c r="V734" s="105">
        <f t="shared" si="2"/>
        <v>1</v>
      </c>
      <c r="W734" s="105">
        <f t="shared" ref="W734:X734" si="739">IF(lenb(SUBSTITUTE($Z734,W$1&amp;" (1)",""))&lt;lenb($Z734),1,IF(lenb(SUBSTITUTE($Z734,W$1&amp;" (2)",""))&lt;lenb($Z734),2,IF(lenb(SUBSTITUTE($Z734,W$1&amp;" (3)",""))&lt;lenb($Z734),3,IF(lenb(SUBSTITUTE($Z734,W$1&amp;" (4)",""))&lt;lenb($Z734),4,IF(lenb(SUBSTITUTE($Z734,W$1&amp;" (5)",""))&lt;lenb($Z734),5,IF(lenb(SUBSTITUTE($Z734,W$1&amp;" (6)",""))&lt;lenb($Z734),6,IF(lenb(SUBSTITUTE($Z734,W$1&amp;" (7)",""))&lt;lenb($Z734),1,IF(lenb(SUBSTITUTE($Z734,W$1&amp;" (8)",""))&lt;lenb($Z734),8,IF(lenb(SUBSTITUTE($Z734,W$1&amp;" (9)",""))&lt;lenb($Z734),9,IF(lenb(SUBSTITUTE($Z734,W$1&amp;" (10)",""))&lt;lenb($Z734),10,IF(lenb(SUBSTITUTE($Z734,W$1,""))&lt;lenb($Z734),"ERROR",IF($Z734=$Y$1,"-",0))))))))))))</f>
        <v>0</v>
      </c>
      <c r="X734" s="105">
        <f t="shared" si="739"/>
        <v>0</v>
      </c>
      <c r="Y734" s="105" t="str">
        <f t="shared" si="4"/>
        <v>-</v>
      </c>
      <c r="Z734" s="104" t="s">
        <v>3400</v>
      </c>
      <c r="AA734" s="34">
        <f t="shared" si="5"/>
        <v>1</v>
      </c>
      <c r="AB734" s="34">
        <f>COUNTIFS(Links!B:B,"FSE",Links!C:C,A734,Links!AD:AD,1)</f>
        <v>0</v>
      </c>
      <c r="AC734" s="106" t="s">
        <v>37</v>
      </c>
      <c r="AD734" s="107" t="s">
        <v>35</v>
      </c>
      <c r="AE734" s="104" t="s">
        <v>36</v>
      </c>
      <c r="AF734" s="37" t="s">
        <v>42</v>
      </c>
      <c r="AG734" s="37" t="s">
        <v>42</v>
      </c>
      <c r="AH734" s="37" t="s">
        <v>42</v>
      </c>
      <c r="AI734" s="105" t="str">
        <f t="shared" si="6"/>
        <v>----</v>
      </c>
      <c r="AJ734" s="108" t="str">
        <f t="shared" si="7"/>
        <v>Paper has link but no statement</v>
      </c>
      <c r="AK734" s="109" t="s">
        <v>3401</v>
      </c>
      <c r="AL734" s="110" t="s">
        <v>3402</v>
      </c>
      <c r="AM734" s="40" t="str">
        <f t="shared" si="8"/>
        <v>[FP0020]</v>
      </c>
    </row>
    <row r="735" ht="67.5" customHeight="1">
      <c r="A735" s="41">
        <v>21.0</v>
      </c>
      <c r="B735" s="42" t="s">
        <v>5358</v>
      </c>
      <c r="C735" s="43">
        <v>2023.0</v>
      </c>
      <c r="D735" s="111" t="s">
        <v>35</v>
      </c>
      <c r="E735" s="45" t="s">
        <v>36</v>
      </c>
      <c r="F735" s="45" t="s">
        <v>36</v>
      </c>
      <c r="G735" s="45" t="s">
        <v>36</v>
      </c>
      <c r="H735" s="45" t="s">
        <v>36</v>
      </c>
      <c r="I735" s="45" t="s">
        <v>36</v>
      </c>
      <c r="J735" s="112" t="s">
        <v>36</v>
      </c>
      <c r="K735" s="113" t="s">
        <v>37</v>
      </c>
      <c r="L735" s="114" t="s">
        <v>35</v>
      </c>
      <c r="M735" s="114" t="s">
        <v>37</v>
      </c>
      <c r="N735" s="114" t="s">
        <v>35</v>
      </c>
      <c r="O735" s="114" t="s">
        <v>35</v>
      </c>
      <c r="P735" s="114" t="s">
        <v>35</v>
      </c>
      <c r="Q735" s="114" t="s">
        <v>37</v>
      </c>
      <c r="R735" s="114" t="s">
        <v>37</v>
      </c>
      <c r="S735" s="115" t="s">
        <v>5359</v>
      </c>
      <c r="T735" s="50" t="s">
        <v>5360</v>
      </c>
      <c r="U735" s="50" t="s">
        <v>5360</v>
      </c>
      <c r="V735" s="116">
        <f t="shared" si="2"/>
        <v>1</v>
      </c>
      <c r="W735" s="116">
        <f t="shared" ref="W735:X735" si="740">IF(lenb(SUBSTITUTE($Z735,W$1&amp;" (1)",""))&lt;lenb($Z735),1,IF(lenb(SUBSTITUTE($Z735,W$1&amp;" (2)",""))&lt;lenb($Z735),2,IF(lenb(SUBSTITUTE($Z735,W$1&amp;" (3)",""))&lt;lenb($Z735),3,IF(lenb(SUBSTITUTE($Z735,W$1&amp;" (4)",""))&lt;lenb($Z735),4,IF(lenb(SUBSTITUTE($Z735,W$1&amp;" (5)",""))&lt;lenb($Z735),5,IF(lenb(SUBSTITUTE($Z735,W$1&amp;" (6)",""))&lt;lenb($Z735),6,IF(lenb(SUBSTITUTE($Z735,W$1&amp;" (7)",""))&lt;lenb($Z735),1,IF(lenb(SUBSTITUTE($Z735,W$1&amp;" (8)",""))&lt;lenb($Z735),8,IF(lenb(SUBSTITUTE($Z735,W$1&amp;" (9)",""))&lt;lenb($Z735),9,IF(lenb(SUBSTITUTE($Z735,W$1&amp;" (10)",""))&lt;lenb($Z735),10,IF(lenb(SUBSTITUTE($Z735,W$1,""))&lt;lenb($Z735),"ERROR",IF($Z735=$Y$1,"-",0))))))))))))</f>
        <v>0</v>
      </c>
      <c r="X735" s="116">
        <f t="shared" si="740"/>
        <v>0</v>
      </c>
      <c r="Y735" s="116" t="str">
        <f t="shared" si="4"/>
        <v>-</v>
      </c>
      <c r="Z735" s="115" t="s">
        <v>3400</v>
      </c>
      <c r="AA735" s="54">
        <f t="shared" si="5"/>
        <v>1</v>
      </c>
      <c r="AB735" s="54">
        <f>COUNTIFS(Links!B:B,"FSE",Links!C:C,A735,Links!AD:AD,1)</f>
        <v>0</v>
      </c>
      <c r="AC735" s="117" t="s">
        <v>35</v>
      </c>
      <c r="AD735" s="118" t="s">
        <v>35</v>
      </c>
      <c r="AE735" s="115" t="s">
        <v>36</v>
      </c>
      <c r="AF735" s="57" t="s">
        <v>42</v>
      </c>
      <c r="AG735" s="57" t="s">
        <v>42</v>
      </c>
      <c r="AH735" s="57" t="s">
        <v>42</v>
      </c>
      <c r="AI735" s="116" t="str">
        <f t="shared" si="6"/>
        <v>----</v>
      </c>
      <c r="AJ735" s="119" t="str">
        <f t="shared" si="7"/>
        <v>Paper has link but no statement</v>
      </c>
      <c r="AK735" s="120" t="s">
        <v>3401</v>
      </c>
      <c r="AL735" s="121" t="s">
        <v>3402</v>
      </c>
      <c r="AM735" s="60" t="str">
        <f t="shared" si="8"/>
        <v>[FP0021]</v>
      </c>
    </row>
    <row r="736" ht="67.5" customHeight="1">
      <c r="A736" s="61">
        <v>22.0</v>
      </c>
      <c r="B736" s="22" t="s">
        <v>5361</v>
      </c>
      <c r="C736" s="23">
        <v>2023.0</v>
      </c>
      <c r="D736" s="100" t="s">
        <v>35</v>
      </c>
      <c r="E736" s="25" t="s">
        <v>36</v>
      </c>
      <c r="F736" s="25" t="s">
        <v>36</v>
      </c>
      <c r="G736" s="25" t="s">
        <v>36</v>
      </c>
      <c r="H736" s="25" t="s">
        <v>36</v>
      </c>
      <c r="I736" s="25" t="s">
        <v>36</v>
      </c>
      <c r="J736" s="101" t="s">
        <v>36</v>
      </c>
      <c r="K736" s="102" t="s">
        <v>37</v>
      </c>
      <c r="L736" s="103" t="s">
        <v>35</v>
      </c>
      <c r="M736" s="103" t="s">
        <v>37</v>
      </c>
      <c r="N736" s="103" t="s">
        <v>35</v>
      </c>
      <c r="O736" s="103" t="s">
        <v>35</v>
      </c>
      <c r="P736" s="103" t="s">
        <v>35</v>
      </c>
      <c r="Q736" s="103" t="s">
        <v>37</v>
      </c>
      <c r="R736" s="103" t="s">
        <v>37</v>
      </c>
      <c r="S736" s="104" t="s">
        <v>5362</v>
      </c>
      <c r="T736" s="30" t="s">
        <v>5363</v>
      </c>
      <c r="U736" s="30" t="s">
        <v>5363</v>
      </c>
      <c r="V736" s="105">
        <f t="shared" si="2"/>
        <v>1</v>
      </c>
      <c r="W736" s="105">
        <f t="shared" ref="W736:X736" si="741">IF(lenb(SUBSTITUTE($Z736,W$1&amp;" (1)",""))&lt;lenb($Z736),1,IF(lenb(SUBSTITUTE($Z736,W$1&amp;" (2)",""))&lt;lenb($Z736),2,IF(lenb(SUBSTITUTE($Z736,W$1&amp;" (3)",""))&lt;lenb($Z736),3,IF(lenb(SUBSTITUTE($Z736,W$1&amp;" (4)",""))&lt;lenb($Z736),4,IF(lenb(SUBSTITUTE($Z736,W$1&amp;" (5)",""))&lt;lenb($Z736),5,IF(lenb(SUBSTITUTE($Z736,W$1&amp;" (6)",""))&lt;lenb($Z736),6,IF(lenb(SUBSTITUTE($Z736,W$1&amp;" (7)",""))&lt;lenb($Z736),1,IF(lenb(SUBSTITUTE($Z736,W$1&amp;" (8)",""))&lt;lenb($Z736),8,IF(lenb(SUBSTITUTE($Z736,W$1&amp;" (9)",""))&lt;lenb($Z736),9,IF(lenb(SUBSTITUTE($Z736,W$1&amp;" (10)",""))&lt;lenb($Z736),10,IF(lenb(SUBSTITUTE($Z736,W$1,""))&lt;lenb($Z736),"ERROR",IF($Z736=$Y$1,"-",0))))))))))))</f>
        <v>0</v>
      </c>
      <c r="X736" s="105">
        <f t="shared" si="741"/>
        <v>0</v>
      </c>
      <c r="Y736" s="105" t="str">
        <f t="shared" si="4"/>
        <v>-</v>
      </c>
      <c r="Z736" s="104" t="s">
        <v>3400</v>
      </c>
      <c r="AA736" s="34">
        <f t="shared" si="5"/>
        <v>1</v>
      </c>
      <c r="AB736" s="34">
        <f>COUNTIFS(Links!B:B,"FSE",Links!C:C,A736,Links!AD:AD,1)</f>
        <v>0</v>
      </c>
      <c r="AC736" s="106" t="s">
        <v>37</v>
      </c>
      <c r="AD736" s="107" t="s">
        <v>35</v>
      </c>
      <c r="AE736" s="104" t="s">
        <v>36</v>
      </c>
      <c r="AF736" s="37" t="s">
        <v>42</v>
      </c>
      <c r="AG736" s="37" t="s">
        <v>42</v>
      </c>
      <c r="AH736" s="37" t="s">
        <v>42</v>
      </c>
      <c r="AI736" s="105" t="str">
        <f t="shared" si="6"/>
        <v>----</v>
      </c>
      <c r="AJ736" s="108" t="str">
        <f t="shared" si="7"/>
        <v>Paper has link but no statement</v>
      </c>
      <c r="AK736" s="109" t="s">
        <v>3401</v>
      </c>
      <c r="AL736" s="110" t="s">
        <v>3402</v>
      </c>
      <c r="AM736" s="40" t="str">
        <f t="shared" si="8"/>
        <v>[FP0022]</v>
      </c>
    </row>
    <row r="737" ht="67.5" customHeight="1">
      <c r="A737" s="41">
        <v>23.0</v>
      </c>
      <c r="B737" s="42" t="s">
        <v>5364</v>
      </c>
      <c r="C737" s="43">
        <v>2023.0</v>
      </c>
      <c r="D737" s="111" t="s">
        <v>37</v>
      </c>
      <c r="E737" s="45" t="s">
        <v>37</v>
      </c>
      <c r="F737" s="45" t="s">
        <v>35</v>
      </c>
      <c r="G737" s="45" t="s">
        <v>35</v>
      </c>
      <c r="H737" s="45" t="s">
        <v>35</v>
      </c>
      <c r="I737" s="45" t="s">
        <v>35</v>
      </c>
      <c r="J737" s="112" t="s">
        <v>36</v>
      </c>
      <c r="K737" s="113" t="s">
        <v>37</v>
      </c>
      <c r="L737" s="114" t="s">
        <v>35</v>
      </c>
      <c r="M737" s="114" t="s">
        <v>37</v>
      </c>
      <c r="N737" s="114" t="s">
        <v>37</v>
      </c>
      <c r="O737" s="114" t="s">
        <v>35</v>
      </c>
      <c r="P737" s="114" t="s">
        <v>35</v>
      </c>
      <c r="Q737" s="114" t="s">
        <v>37</v>
      </c>
      <c r="R737" s="114" t="s">
        <v>35</v>
      </c>
      <c r="S737" s="115" t="s">
        <v>5365</v>
      </c>
      <c r="T737" s="50" t="s">
        <v>5366</v>
      </c>
      <c r="U737" s="50" t="s">
        <v>5366</v>
      </c>
      <c r="V737" s="116">
        <f t="shared" si="2"/>
        <v>1</v>
      </c>
      <c r="W737" s="116">
        <f t="shared" ref="W737:X737" si="742">IF(lenb(SUBSTITUTE($Z737,W$1&amp;" (1)",""))&lt;lenb($Z737),1,IF(lenb(SUBSTITUTE($Z737,W$1&amp;" (2)",""))&lt;lenb($Z737),2,IF(lenb(SUBSTITUTE($Z737,W$1&amp;" (3)",""))&lt;lenb($Z737),3,IF(lenb(SUBSTITUTE($Z737,W$1&amp;" (4)",""))&lt;lenb($Z737),4,IF(lenb(SUBSTITUTE($Z737,W$1&amp;" (5)",""))&lt;lenb($Z737),5,IF(lenb(SUBSTITUTE($Z737,W$1&amp;" (6)",""))&lt;lenb($Z737),6,IF(lenb(SUBSTITUTE($Z737,W$1&amp;" (7)",""))&lt;lenb($Z737),1,IF(lenb(SUBSTITUTE($Z737,W$1&amp;" (8)",""))&lt;lenb($Z737),8,IF(lenb(SUBSTITUTE($Z737,W$1&amp;" (9)",""))&lt;lenb($Z737),9,IF(lenb(SUBSTITUTE($Z737,W$1&amp;" (10)",""))&lt;lenb($Z737),10,IF(lenb(SUBSTITUTE($Z737,W$1,""))&lt;lenb($Z737),"ERROR",IF($Z737=$Y$1,"-",0))))))))))))</f>
        <v>0</v>
      </c>
      <c r="X737" s="116">
        <f t="shared" si="742"/>
        <v>0</v>
      </c>
      <c r="Y737" s="116" t="str">
        <f t="shared" si="4"/>
        <v>-</v>
      </c>
      <c r="Z737" s="115" t="s">
        <v>3400</v>
      </c>
      <c r="AA737" s="54">
        <f t="shared" si="5"/>
        <v>1</v>
      </c>
      <c r="AB737" s="54">
        <f>COUNTIFS(Links!B:B,"FSE",Links!C:C,A737,Links!AD:AD,1)</f>
        <v>0</v>
      </c>
      <c r="AC737" s="117" t="s">
        <v>37</v>
      </c>
      <c r="AD737" s="118" t="s">
        <v>35</v>
      </c>
      <c r="AE737" s="115" t="s">
        <v>36</v>
      </c>
      <c r="AF737" s="57" t="s">
        <v>42</v>
      </c>
      <c r="AG737" s="57" t="s">
        <v>42</v>
      </c>
      <c r="AH737" s="57" t="s">
        <v>42</v>
      </c>
      <c r="AI737" s="116" t="str">
        <f t="shared" si="6"/>
        <v>----</v>
      </c>
      <c r="AJ737" s="119" t="str">
        <f t="shared" si="7"/>
        <v>Paper has link but no statement</v>
      </c>
      <c r="AK737" s="120" t="s">
        <v>3401</v>
      </c>
      <c r="AL737" s="121" t="s">
        <v>3402</v>
      </c>
      <c r="AM737" s="60" t="str">
        <f t="shared" si="8"/>
        <v>[FP0023]</v>
      </c>
    </row>
    <row r="738" ht="67.5" customHeight="1">
      <c r="A738" s="61">
        <v>24.0</v>
      </c>
      <c r="B738" s="22" t="s">
        <v>5367</v>
      </c>
      <c r="C738" s="23">
        <v>2023.0</v>
      </c>
      <c r="D738" s="100" t="s">
        <v>35</v>
      </c>
      <c r="E738" s="25" t="s">
        <v>36</v>
      </c>
      <c r="F738" s="25" t="s">
        <v>36</v>
      </c>
      <c r="G738" s="25" t="s">
        <v>36</v>
      </c>
      <c r="H738" s="25" t="s">
        <v>36</v>
      </c>
      <c r="I738" s="25" t="s">
        <v>36</v>
      </c>
      <c r="J738" s="101" t="s">
        <v>36</v>
      </c>
      <c r="K738" s="102" t="s">
        <v>37</v>
      </c>
      <c r="L738" s="103" t="s">
        <v>35</v>
      </c>
      <c r="M738" s="103" t="s">
        <v>35</v>
      </c>
      <c r="N738" s="103" t="s">
        <v>35</v>
      </c>
      <c r="O738" s="103" t="s">
        <v>35</v>
      </c>
      <c r="P738" s="103" t="s">
        <v>35</v>
      </c>
      <c r="Q738" s="103" t="s">
        <v>37</v>
      </c>
      <c r="R738" s="103" t="s">
        <v>35</v>
      </c>
      <c r="S738" s="104" t="s">
        <v>5368</v>
      </c>
      <c r="T738" s="30" t="s">
        <v>5369</v>
      </c>
      <c r="U738" s="30" t="s">
        <v>5369</v>
      </c>
      <c r="V738" s="105">
        <f t="shared" si="2"/>
        <v>1</v>
      </c>
      <c r="W738" s="105">
        <f t="shared" ref="W738:X738" si="743">IF(lenb(SUBSTITUTE($Z738,W$1&amp;" (1)",""))&lt;lenb($Z738),1,IF(lenb(SUBSTITUTE($Z738,W$1&amp;" (2)",""))&lt;lenb($Z738),2,IF(lenb(SUBSTITUTE($Z738,W$1&amp;" (3)",""))&lt;lenb($Z738),3,IF(lenb(SUBSTITUTE($Z738,W$1&amp;" (4)",""))&lt;lenb($Z738),4,IF(lenb(SUBSTITUTE($Z738,W$1&amp;" (5)",""))&lt;lenb($Z738),5,IF(lenb(SUBSTITUTE($Z738,W$1&amp;" (6)",""))&lt;lenb($Z738),6,IF(lenb(SUBSTITUTE($Z738,W$1&amp;" (7)",""))&lt;lenb($Z738),1,IF(lenb(SUBSTITUTE($Z738,W$1&amp;" (8)",""))&lt;lenb($Z738),8,IF(lenb(SUBSTITUTE($Z738,W$1&amp;" (9)",""))&lt;lenb($Z738),9,IF(lenb(SUBSTITUTE($Z738,W$1&amp;" (10)",""))&lt;lenb($Z738),10,IF(lenb(SUBSTITUTE($Z738,W$1,""))&lt;lenb($Z738),"ERROR",IF($Z738=$Y$1,"-",0))))))))))))</f>
        <v>0</v>
      </c>
      <c r="X738" s="105">
        <f t="shared" si="743"/>
        <v>0</v>
      </c>
      <c r="Y738" s="105" t="str">
        <f t="shared" si="4"/>
        <v>-</v>
      </c>
      <c r="Z738" s="104" t="s">
        <v>3400</v>
      </c>
      <c r="AA738" s="34">
        <f t="shared" si="5"/>
        <v>1</v>
      </c>
      <c r="AB738" s="34">
        <f>COUNTIFS(Links!B:B,"FSE",Links!C:C,A738,Links!AD:AD,1)</f>
        <v>0</v>
      </c>
      <c r="AC738" s="106" t="s">
        <v>35</v>
      </c>
      <c r="AD738" s="107" t="s">
        <v>35</v>
      </c>
      <c r="AE738" s="104" t="s">
        <v>36</v>
      </c>
      <c r="AF738" s="37" t="s">
        <v>42</v>
      </c>
      <c r="AG738" s="37" t="s">
        <v>42</v>
      </c>
      <c r="AH738" s="37" t="s">
        <v>42</v>
      </c>
      <c r="AI738" s="105" t="str">
        <f t="shared" si="6"/>
        <v>----</v>
      </c>
      <c r="AJ738" s="108" t="str">
        <f t="shared" si="7"/>
        <v>Paper has link but no statement</v>
      </c>
      <c r="AK738" s="109" t="s">
        <v>3401</v>
      </c>
      <c r="AL738" s="110" t="s">
        <v>3402</v>
      </c>
      <c r="AM738" s="40" t="str">
        <f t="shared" si="8"/>
        <v>[FP0024]</v>
      </c>
    </row>
    <row r="739" ht="67.5" customHeight="1">
      <c r="A739" s="41">
        <v>25.0</v>
      </c>
      <c r="B739" s="42" t="s">
        <v>5370</v>
      </c>
      <c r="C739" s="43">
        <v>2023.0</v>
      </c>
      <c r="D739" s="111" t="s">
        <v>37</v>
      </c>
      <c r="E739" s="45" t="s">
        <v>37</v>
      </c>
      <c r="F739" s="45" t="s">
        <v>35</v>
      </c>
      <c r="G739" s="45" t="s">
        <v>35</v>
      </c>
      <c r="H739" s="45" t="s">
        <v>35</v>
      </c>
      <c r="I739" s="45" t="s">
        <v>35</v>
      </c>
      <c r="J739" s="112" t="s">
        <v>36</v>
      </c>
      <c r="K739" s="113" t="s">
        <v>37</v>
      </c>
      <c r="L739" s="114" t="s">
        <v>35</v>
      </c>
      <c r="M739" s="114" t="s">
        <v>37</v>
      </c>
      <c r="N739" s="114" t="s">
        <v>37</v>
      </c>
      <c r="O739" s="114" t="s">
        <v>35</v>
      </c>
      <c r="P739" s="114" t="s">
        <v>35</v>
      </c>
      <c r="Q739" s="114" t="s">
        <v>37</v>
      </c>
      <c r="R739" s="114" t="s">
        <v>37</v>
      </c>
      <c r="S739" s="115" t="s">
        <v>5371</v>
      </c>
      <c r="T739" s="50" t="s">
        <v>5372</v>
      </c>
      <c r="U739" s="50" t="s">
        <v>5372</v>
      </c>
      <c r="V739" s="116">
        <f t="shared" si="2"/>
        <v>2</v>
      </c>
      <c r="W739" s="116">
        <f t="shared" ref="W739:X739" si="744">IF(lenb(SUBSTITUTE($Z739,W$1&amp;" (1)",""))&lt;lenb($Z739),1,IF(lenb(SUBSTITUTE($Z739,W$1&amp;" (2)",""))&lt;lenb($Z739),2,IF(lenb(SUBSTITUTE($Z739,W$1&amp;" (3)",""))&lt;lenb($Z739),3,IF(lenb(SUBSTITUTE($Z739,W$1&amp;" (4)",""))&lt;lenb($Z739),4,IF(lenb(SUBSTITUTE($Z739,W$1&amp;" (5)",""))&lt;lenb($Z739),5,IF(lenb(SUBSTITUTE($Z739,W$1&amp;" (6)",""))&lt;lenb($Z739),6,IF(lenb(SUBSTITUTE($Z739,W$1&amp;" (7)",""))&lt;lenb($Z739),1,IF(lenb(SUBSTITUTE($Z739,W$1&amp;" (8)",""))&lt;lenb($Z739),8,IF(lenb(SUBSTITUTE($Z739,W$1&amp;" (9)",""))&lt;lenb($Z739),9,IF(lenb(SUBSTITUTE($Z739,W$1&amp;" (10)",""))&lt;lenb($Z739),10,IF(lenb(SUBSTITUTE($Z739,W$1,""))&lt;lenb($Z739),"ERROR",IF($Z739=$Y$1,"-",0))))))))))))</f>
        <v>0</v>
      </c>
      <c r="X739" s="116">
        <f t="shared" si="744"/>
        <v>0</v>
      </c>
      <c r="Y739" s="116" t="str">
        <f t="shared" si="4"/>
        <v>-</v>
      </c>
      <c r="Z739" s="115" t="s">
        <v>3452</v>
      </c>
      <c r="AA739" s="54">
        <f t="shared" si="5"/>
        <v>2</v>
      </c>
      <c r="AB739" s="54">
        <f>COUNTIFS(Links!B:B,"FSE",Links!C:C,A739,Links!AD:AD,1)</f>
        <v>0</v>
      </c>
      <c r="AC739" s="117" t="s">
        <v>37</v>
      </c>
      <c r="AD739" s="118" t="s">
        <v>35</v>
      </c>
      <c r="AE739" s="115" t="s">
        <v>36</v>
      </c>
      <c r="AF739" s="57" t="s">
        <v>42</v>
      </c>
      <c r="AG739" s="57" t="s">
        <v>42</v>
      </c>
      <c r="AH739" s="57" t="s">
        <v>42</v>
      </c>
      <c r="AI739" s="116" t="str">
        <f t="shared" si="6"/>
        <v>----</v>
      </c>
      <c r="AJ739" s="119" t="str">
        <f t="shared" si="7"/>
        <v>Paper has link but no statement</v>
      </c>
      <c r="AK739" s="120" t="s">
        <v>3401</v>
      </c>
      <c r="AL739" s="121" t="s">
        <v>3402</v>
      </c>
      <c r="AM739" s="60" t="str">
        <f t="shared" si="8"/>
        <v>[FP0025]</v>
      </c>
    </row>
    <row r="740" ht="67.5" customHeight="1">
      <c r="A740" s="61">
        <v>26.0</v>
      </c>
      <c r="B740" s="22" t="s">
        <v>5373</v>
      </c>
      <c r="C740" s="23">
        <v>2023.0</v>
      </c>
      <c r="D740" s="100" t="s">
        <v>37</v>
      </c>
      <c r="E740" s="25" t="s">
        <v>37</v>
      </c>
      <c r="F740" s="25" t="s">
        <v>35</v>
      </c>
      <c r="G740" s="25" t="s">
        <v>37</v>
      </c>
      <c r="H740" s="25" t="s">
        <v>35</v>
      </c>
      <c r="I740" s="25" t="s">
        <v>35</v>
      </c>
      <c r="J740" s="101" t="s">
        <v>36</v>
      </c>
      <c r="K740" s="102" t="s">
        <v>37</v>
      </c>
      <c r="L740" s="103" t="s">
        <v>35</v>
      </c>
      <c r="M740" s="103" t="s">
        <v>37</v>
      </c>
      <c r="N740" s="103" t="s">
        <v>35</v>
      </c>
      <c r="O740" s="103" t="s">
        <v>35</v>
      </c>
      <c r="P740" s="103" t="s">
        <v>35</v>
      </c>
      <c r="Q740" s="103" t="s">
        <v>37</v>
      </c>
      <c r="R740" s="103" t="s">
        <v>35</v>
      </c>
      <c r="S740" s="104" t="s">
        <v>5374</v>
      </c>
      <c r="T740" s="30" t="s">
        <v>5375</v>
      </c>
      <c r="U740" s="30" t="s">
        <v>5375</v>
      </c>
      <c r="V740" s="105">
        <f t="shared" si="2"/>
        <v>1</v>
      </c>
      <c r="W740" s="105">
        <f t="shared" ref="W740:X740" si="745">IF(lenb(SUBSTITUTE($Z740,W$1&amp;" (1)",""))&lt;lenb($Z740),1,IF(lenb(SUBSTITUTE($Z740,W$1&amp;" (2)",""))&lt;lenb($Z740),2,IF(lenb(SUBSTITUTE($Z740,W$1&amp;" (3)",""))&lt;lenb($Z740),3,IF(lenb(SUBSTITUTE($Z740,W$1&amp;" (4)",""))&lt;lenb($Z740),4,IF(lenb(SUBSTITUTE($Z740,W$1&amp;" (5)",""))&lt;lenb($Z740),5,IF(lenb(SUBSTITUTE($Z740,W$1&amp;" (6)",""))&lt;lenb($Z740),6,IF(lenb(SUBSTITUTE($Z740,W$1&amp;" (7)",""))&lt;lenb($Z740),1,IF(lenb(SUBSTITUTE($Z740,W$1&amp;" (8)",""))&lt;lenb($Z740),8,IF(lenb(SUBSTITUTE($Z740,W$1&amp;" (9)",""))&lt;lenb($Z740),9,IF(lenb(SUBSTITUTE($Z740,W$1&amp;" (10)",""))&lt;lenb($Z740),10,IF(lenb(SUBSTITUTE($Z740,W$1,""))&lt;lenb($Z740),"ERROR",IF($Z740=$Y$1,"-",0))))))))))))</f>
        <v>0</v>
      </c>
      <c r="X740" s="105">
        <f t="shared" si="745"/>
        <v>0</v>
      </c>
      <c r="Y740" s="105" t="str">
        <f t="shared" si="4"/>
        <v>-</v>
      </c>
      <c r="Z740" s="104" t="s">
        <v>3400</v>
      </c>
      <c r="AA740" s="34">
        <f t="shared" si="5"/>
        <v>1</v>
      </c>
      <c r="AB740" s="34">
        <f>COUNTIFS(Links!B:B,"FSE",Links!C:C,A740,Links!AD:AD,1)</f>
        <v>0</v>
      </c>
      <c r="AC740" s="106" t="s">
        <v>37</v>
      </c>
      <c r="AD740" s="107" t="s">
        <v>35</v>
      </c>
      <c r="AE740" s="104" t="s">
        <v>36</v>
      </c>
      <c r="AF740" s="37" t="s">
        <v>42</v>
      </c>
      <c r="AG740" s="37" t="s">
        <v>42</v>
      </c>
      <c r="AH740" s="37" t="s">
        <v>42</v>
      </c>
      <c r="AI740" s="105" t="str">
        <f t="shared" si="6"/>
        <v>----</v>
      </c>
      <c r="AJ740" s="108" t="str">
        <f t="shared" si="7"/>
        <v>Paper has link but no statement</v>
      </c>
      <c r="AK740" s="109" t="s">
        <v>3401</v>
      </c>
      <c r="AL740" s="110" t="s">
        <v>3402</v>
      </c>
      <c r="AM740" s="40" t="str">
        <f t="shared" si="8"/>
        <v>[FP0026]</v>
      </c>
    </row>
    <row r="741" ht="67.5" customHeight="1">
      <c r="A741" s="41">
        <v>27.0</v>
      </c>
      <c r="B741" s="42" t="s">
        <v>5376</v>
      </c>
      <c r="C741" s="43">
        <v>2023.0</v>
      </c>
      <c r="D741" s="111" t="s">
        <v>37</v>
      </c>
      <c r="E741" s="45" t="s">
        <v>37</v>
      </c>
      <c r="F741" s="45" t="s">
        <v>35</v>
      </c>
      <c r="G741" s="45" t="s">
        <v>37</v>
      </c>
      <c r="H741" s="45" t="s">
        <v>35</v>
      </c>
      <c r="I741" s="45" t="s">
        <v>35</v>
      </c>
      <c r="J741" s="112" t="s">
        <v>36</v>
      </c>
      <c r="K741" s="113" t="s">
        <v>37</v>
      </c>
      <c r="L741" s="114" t="s">
        <v>35</v>
      </c>
      <c r="M741" s="114" t="s">
        <v>37</v>
      </c>
      <c r="N741" s="114" t="s">
        <v>37</v>
      </c>
      <c r="O741" s="114" t="s">
        <v>35</v>
      </c>
      <c r="P741" s="114" t="s">
        <v>35</v>
      </c>
      <c r="Q741" s="114" t="s">
        <v>35</v>
      </c>
      <c r="R741" s="114" t="s">
        <v>35</v>
      </c>
      <c r="S741" s="115" t="s">
        <v>5377</v>
      </c>
      <c r="T741" s="50" t="s">
        <v>5378</v>
      </c>
      <c r="U741" s="51" t="s">
        <v>5378</v>
      </c>
      <c r="V741" s="116">
        <f t="shared" si="2"/>
        <v>1</v>
      </c>
      <c r="W741" s="116">
        <f t="shared" ref="W741:X741" si="746">IF(lenb(SUBSTITUTE($Z741,W$1&amp;" (1)",""))&lt;lenb($Z741),1,IF(lenb(SUBSTITUTE($Z741,W$1&amp;" (2)",""))&lt;lenb($Z741),2,IF(lenb(SUBSTITUTE($Z741,W$1&amp;" (3)",""))&lt;lenb($Z741),3,IF(lenb(SUBSTITUTE($Z741,W$1&amp;" (4)",""))&lt;lenb($Z741),4,IF(lenb(SUBSTITUTE($Z741,W$1&amp;" (5)",""))&lt;lenb($Z741),5,IF(lenb(SUBSTITUTE($Z741,W$1&amp;" (6)",""))&lt;lenb($Z741),6,IF(lenb(SUBSTITUTE($Z741,W$1&amp;" (7)",""))&lt;lenb($Z741),1,IF(lenb(SUBSTITUTE($Z741,W$1&amp;" (8)",""))&lt;lenb($Z741),8,IF(lenb(SUBSTITUTE($Z741,W$1&amp;" (9)",""))&lt;lenb($Z741),9,IF(lenb(SUBSTITUTE($Z741,W$1&amp;" (10)",""))&lt;lenb($Z741),10,IF(lenb(SUBSTITUTE($Z741,W$1,""))&lt;lenb($Z741),"ERROR",IF($Z741=$Y$1,"-",0))))))))))))</f>
        <v>0</v>
      </c>
      <c r="X741" s="116">
        <f t="shared" si="746"/>
        <v>0</v>
      </c>
      <c r="Y741" s="116" t="str">
        <f t="shared" si="4"/>
        <v>-</v>
      </c>
      <c r="Z741" s="115" t="s">
        <v>3400</v>
      </c>
      <c r="AA741" s="54">
        <f t="shared" si="5"/>
        <v>1</v>
      </c>
      <c r="AB741" s="54">
        <f>COUNTIFS(Links!B:B,"FSE",Links!C:C,A741,Links!AD:AD,1)</f>
        <v>0</v>
      </c>
      <c r="AC741" s="117" t="s">
        <v>37</v>
      </c>
      <c r="AD741" s="118" t="s">
        <v>35</v>
      </c>
      <c r="AE741" s="115" t="s">
        <v>36</v>
      </c>
      <c r="AF741" s="57" t="s">
        <v>42</v>
      </c>
      <c r="AG741" s="57" t="s">
        <v>42</v>
      </c>
      <c r="AH741" s="57" t="s">
        <v>42</v>
      </c>
      <c r="AI741" s="116" t="str">
        <f t="shared" si="6"/>
        <v>----</v>
      </c>
      <c r="AJ741" s="119" t="str">
        <f t="shared" si="7"/>
        <v>Paper has link but no statement</v>
      </c>
      <c r="AK741" s="120" t="s">
        <v>3401</v>
      </c>
      <c r="AL741" s="121" t="s">
        <v>3402</v>
      </c>
      <c r="AM741" s="60" t="str">
        <f t="shared" si="8"/>
        <v>[FP0027]</v>
      </c>
    </row>
    <row r="742" ht="67.5" customHeight="1">
      <c r="A742" s="61">
        <v>28.0</v>
      </c>
      <c r="B742" s="22" t="s">
        <v>5379</v>
      </c>
      <c r="C742" s="23">
        <v>2023.0</v>
      </c>
      <c r="D742" s="100" t="s">
        <v>37</v>
      </c>
      <c r="E742" s="25" t="s">
        <v>37</v>
      </c>
      <c r="F742" s="25" t="s">
        <v>35</v>
      </c>
      <c r="G742" s="25" t="s">
        <v>35</v>
      </c>
      <c r="H742" s="25" t="s">
        <v>35</v>
      </c>
      <c r="I742" s="25" t="s">
        <v>35</v>
      </c>
      <c r="J742" s="101" t="s">
        <v>36</v>
      </c>
      <c r="K742" s="102" t="s">
        <v>37</v>
      </c>
      <c r="L742" s="103" t="s">
        <v>35</v>
      </c>
      <c r="M742" s="103" t="s">
        <v>37</v>
      </c>
      <c r="N742" s="103" t="s">
        <v>35</v>
      </c>
      <c r="O742" s="103" t="s">
        <v>35</v>
      </c>
      <c r="P742" s="103" t="s">
        <v>35</v>
      </c>
      <c r="Q742" s="103" t="s">
        <v>37</v>
      </c>
      <c r="R742" s="103" t="s">
        <v>35</v>
      </c>
      <c r="S742" s="104" t="s">
        <v>5020</v>
      </c>
      <c r="T742" s="30" t="s">
        <v>5380</v>
      </c>
      <c r="U742" s="30" t="s">
        <v>5380</v>
      </c>
      <c r="V742" s="105">
        <f t="shared" si="2"/>
        <v>1</v>
      </c>
      <c r="W742" s="105">
        <f t="shared" ref="W742:X742" si="747">IF(lenb(SUBSTITUTE($Z742,W$1&amp;" (1)",""))&lt;lenb($Z742),1,IF(lenb(SUBSTITUTE($Z742,W$1&amp;" (2)",""))&lt;lenb($Z742),2,IF(lenb(SUBSTITUTE($Z742,W$1&amp;" (3)",""))&lt;lenb($Z742),3,IF(lenb(SUBSTITUTE($Z742,W$1&amp;" (4)",""))&lt;lenb($Z742),4,IF(lenb(SUBSTITUTE($Z742,W$1&amp;" (5)",""))&lt;lenb($Z742),5,IF(lenb(SUBSTITUTE($Z742,W$1&amp;" (6)",""))&lt;lenb($Z742),6,IF(lenb(SUBSTITUTE($Z742,W$1&amp;" (7)",""))&lt;lenb($Z742),1,IF(lenb(SUBSTITUTE($Z742,W$1&amp;" (8)",""))&lt;lenb($Z742),8,IF(lenb(SUBSTITUTE($Z742,W$1&amp;" (9)",""))&lt;lenb($Z742),9,IF(lenb(SUBSTITUTE($Z742,W$1&amp;" (10)",""))&lt;lenb($Z742),10,IF(lenb(SUBSTITUTE($Z742,W$1,""))&lt;lenb($Z742),"ERROR",IF($Z742=$Y$1,"-",0))))))))))))</f>
        <v>0</v>
      </c>
      <c r="X742" s="105">
        <f t="shared" si="747"/>
        <v>0</v>
      </c>
      <c r="Y742" s="105" t="str">
        <f t="shared" si="4"/>
        <v>-</v>
      </c>
      <c r="Z742" s="104" t="s">
        <v>3400</v>
      </c>
      <c r="AA742" s="34">
        <f t="shared" si="5"/>
        <v>1</v>
      </c>
      <c r="AB742" s="34">
        <f>COUNTIFS(Links!B:B,"FSE",Links!C:C,A742,Links!AD:AD,1)</f>
        <v>0</v>
      </c>
      <c r="AC742" s="106" t="s">
        <v>37</v>
      </c>
      <c r="AD742" s="107" t="s">
        <v>35</v>
      </c>
      <c r="AE742" s="104" t="s">
        <v>36</v>
      </c>
      <c r="AF742" s="37" t="s">
        <v>42</v>
      </c>
      <c r="AG742" s="37" t="s">
        <v>42</v>
      </c>
      <c r="AH742" s="37" t="s">
        <v>42</v>
      </c>
      <c r="AI742" s="105" t="str">
        <f t="shared" si="6"/>
        <v>----</v>
      </c>
      <c r="AJ742" s="108" t="str">
        <f t="shared" si="7"/>
        <v>Paper has link but no statement</v>
      </c>
      <c r="AK742" s="109" t="s">
        <v>3401</v>
      </c>
      <c r="AL742" s="110" t="s">
        <v>3402</v>
      </c>
      <c r="AM742" s="40" t="str">
        <f t="shared" si="8"/>
        <v>[FP0028]</v>
      </c>
    </row>
    <row r="743" ht="67.5" customHeight="1">
      <c r="A743" s="41">
        <v>29.0</v>
      </c>
      <c r="B743" s="42" t="s">
        <v>5381</v>
      </c>
      <c r="C743" s="43">
        <v>2023.0</v>
      </c>
      <c r="D743" s="111" t="s">
        <v>35</v>
      </c>
      <c r="E743" s="45" t="s">
        <v>36</v>
      </c>
      <c r="F743" s="45" t="s">
        <v>36</v>
      </c>
      <c r="G743" s="45" t="s">
        <v>36</v>
      </c>
      <c r="H743" s="45" t="s">
        <v>36</v>
      </c>
      <c r="I743" s="45" t="s">
        <v>36</v>
      </c>
      <c r="J743" s="112" t="s">
        <v>36</v>
      </c>
      <c r="K743" s="113" t="s">
        <v>37</v>
      </c>
      <c r="L743" s="114" t="s">
        <v>35</v>
      </c>
      <c r="M743" s="114" t="s">
        <v>35</v>
      </c>
      <c r="N743" s="114" t="s">
        <v>35</v>
      </c>
      <c r="O743" s="114" t="s">
        <v>35</v>
      </c>
      <c r="P743" s="114" t="s">
        <v>35</v>
      </c>
      <c r="Q743" s="114" t="s">
        <v>37</v>
      </c>
      <c r="R743" s="114" t="s">
        <v>35</v>
      </c>
      <c r="S743" s="115" t="s">
        <v>5020</v>
      </c>
      <c r="T743" s="50" t="s">
        <v>5382</v>
      </c>
      <c r="U743" s="50" t="s">
        <v>5382</v>
      </c>
      <c r="V743" s="116">
        <f t="shared" si="2"/>
        <v>1</v>
      </c>
      <c r="W743" s="116">
        <f t="shared" ref="W743:X743" si="748">IF(lenb(SUBSTITUTE($Z743,W$1&amp;" (1)",""))&lt;lenb($Z743),1,IF(lenb(SUBSTITUTE($Z743,W$1&amp;" (2)",""))&lt;lenb($Z743),2,IF(lenb(SUBSTITUTE($Z743,W$1&amp;" (3)",""))&lt;lenb($Z743),3,IF(lenb(SUBSTITUTE($Z743,W$1&amp;" (4)",""))&lt;lenb($Z743),4,IF(lenb(SUBSTITUTE($Z743,W$1&amp;" (5)",""))&lt;lenb($Z743),5,IF(lenb(SUBSTITUTE($Z743,W$1&amp;" (6)",""))&lt;lenb($Z743),6,IF(lenb(SUBSTITUTE($Z743,W$1&amp;" (7)",""))&lt;lenb($Z743),1,IF(lenb(SUBSTITUTE($Z743,W$1&amp;" (8)",""))&lt;lenb($Z743),8,IF(lenb(SUBSTITUTE($Z743,W$1&amp;" (9)",""))&lt;lenb($Z743),9,IF(lenb(SUBSTITUTE($Z743,W$1&amp;" (10)",""))&lt;lenb($Z743),10,IF(lenb(SUBSTITUTE($Z743,W$1,""))&lt;lenb($Z743),"ERROR",IF($Z743=$Y$1,"-",0))))))))))))</f>
        <v>0</v>
      </c>
      <c r="X743" s="116">
        <f t="shared" si="748"/>
        <v>0</v>
      </c>
      <c r="Y743" s="116" t="str">
        <f t="shared" si="4"/>
        <v>-</v>
      </c>
      <c r="Z743" s="115" t="s">
        <v>3400</v>
      </c>
      <c r="AA743" s="54">
        <f t="shared" si="5"/>
        <v>1</v>
      </c>
      <c r="AB743" s="54">
        <f>COUNTIFS(Links!B:B,"FSE",Links!C:C,A743,Links!AD:AD,1)</f>
        <v>0</v>
      </c>
      <c r="AC743" s="117" t="s">
        <v>35</v>
      </c>
      <c r="AD743" s="118" t="s">
        <v>35</v>
      </c>
      <c r="AE743" s="115" t="s">
        <v>36</v>
      </c>
      <c r="AF743" s="57" t="s">
        <v>42</v>
      </c>
      <c r="AG743" s="57" t="s">
        <v>42</v>
      </c>
      <c r="AH743" s="57" t="s">
        <v>42</v>
      </c>
      <c r="AI743" s="116" t="str">
        <f t="shared" si="6"/>
        <v>----</v>
      </c>
      <c r="AJ743" s="119" t="str">
        <f t="shared" si="7"/>
        <v>Paper has link but no statement</v>
      </c>
      <c r="AK743" s="120" t="s">
        <v>3401</v>
      </c>
      <c r="AL743" s="121" t="s">
        <v>3402</v>
      </c>
      <c r="AM743" s="60" t="str">
        <f t="shared" si="8"/>
        <v>[FP0029]</v>
      </c>
    </row>
    <row r="744" ht="67.5" customHeight="1">
      <c r="A744" s="61">
        <v>30.0</v>
      </c>
      <c r="B744" s="22" t="s">
        <v>5383</v>
      </c>
      <c r="C744" s="23">
        <v>2023.0</v>
      </c>
      <c r="D744" s="100" t="s">
        <v>37</v>
      </c>
      <c r="E744" s="25" t="s">
        <v>37</v>
      </c>
      <c r="F744" s="25" t="s">
        <v>35</v>
      </c>
      <c r="G744" s="25" t="s">
        <v>35</v>
      </c>
      <c r="H744" s="25" t="s">
        <v>35</v>
      </c>
      <c r="I744" s="25" t="s">
        <v>35</v>
      </c>
      <c r="J744" s="101" t="s">
        <v>36</v>
      </c>
      <c r="K744" s="102" t="s">
        <v>37</v>
      </c>
      <c r="L744" s="103" t="s">
        <v>35</v>
      </c>
      <c r="M744" s="103" t="s">
        <v>37</v>
      </c>
      <c r="N744" s="103" t="s">
        <v>35</v>
      </c>
      <c r="O744" s="103" t="s">
        <v>37</v>
      </c>
      <c r="P744" s="103" t="s">
        <v>35</v>
      </c>
      <c r="Q744" s="103" t="s">
        <v>35</v>
      </c>
      <c r="R744" s="103" t="s">
        <v>35</v>
      </c>
      <c r="S744" s="104" t="s">
        <v>5384</v>
      </c>
      <c r="T744" s="30" t="s">
        <v>5385</v>
      </c>
      <c r="U744" s="30" t="s">
        <v>5385</v>
      </c>
      <c r="V744" s="105">
        <f t="shared" si="2"/>
        <v>1</v>
      </c>
      <c r="W744" s="105">
        <f t="shared" ref="W744:X744" si="749">IF(lenb(SUBSTITUTE($Z744,W$1&amp;" (1)",""))&lt;lenb($Z744),1,IF(lenb(SUBSTITUTE($Z744,W$1&amp;" (2)",""))&lt;lenb($Z744),2,IF(lenb(SUBSTITUTE($Z744,W$1&amp;" (3)",""))&lt;lenb($Z744),3,IF(lenb(SUBSTITUTE($Z744,W$1&amp;" (4)",""))&lt;lenb($Z744),4,IF(lenb(SUBSTITUTE($Z744,W$1&amp;" (5)",""))&lt;lenb($Z744),5,IF(lenb(SUBSTITUTE($Z744,W$1&amp;" (6)",""))&lt;lenb($Z744),6,IF(lenb(SUBSTITUTE($Z744,W$1&amp;" (7)",""))&lt;lenb($Z744),1,IF(lenb(SUBSTITUTE($Z744,W$1&amp;" (8)",""))&lt;lenb($Z744),8,IF(lenb(SUBSTITUTE($Z744,W$1&amp;" (9)",""))&lt;lenb($Z744),9,IF(lenb(SUBSTITUTE($Z744,W$1&amp;" (10)",""))&lt;lenb($Z744),10,IF(lenb(SUBSTITUTE($Z744,W$1,""))&lt;lenb($Z744),"ERROR",IF($Z744=$Y$1,"-",0))))))))))))</f>
        <v>0</v>
      </c>
      <c r="X744" s="105">
        <f t="shared" si="749"/>
        <v>0</v>
      </c>
      <c r="Y744" s="105" t="str">
        <f t="shared" si="4"/>
        <v>-</v>
      </c>
      <c r="Z744" s="104" t="s">
        <v>3400</v>
      </c>
      <c r="AA744" s="34">
        <f t="shared" si="5"/>
        <v>1</v>
      </c>
      <c r="AB744" s="34">
        <f>COUNTIFS(Links!B:B,"FSE",Links!C:C,A744,Links!AD:AD,1)</f>
        <v>0</v>
      </c>
      <c r="AC744" s="106" t="s">
        <v>37</v>
      </c>
      <c r="AD744" s="107" t="s">
        <v>35</v>
      </c>
      <c r="AE744" s="104" t="s">
        <v>36</v>
      </c>
      <c r="AF744" s="37" t="s">
        <v>42</v>
      </c>
      <c r="AG744" s="37" t="s">
        <v>42</v>
      </c>
      <c r="AH744" s="37" t="s">
        <v>42</v>
      </c>
      <c r="AI744" s="105" t="str">
        <f t="shared" si="6"/>
        <v>----</v>
      </c>
      <c r="AJ744" s="108" t="str">
        <f t="shared" si="7"/>
        <v>Paper has link but no statement</v>
      </c>
      <c r="AK744" s="109" t="s">
        <v>3401</v>
      </c>
      <c r="AL744" s="110" t="s">
        <v>3402</v>
      </c>
      <c r="AM744" s="40" t="str">
        <f t="shared" si="8"/>
        <v>[FP0030]</v>
      </c>
    </row>
    <row r="745" ht="67.5" customHeight="1">
      <c r="A745" s="41">
        <v>31.0</v>
      </c>
      <c r="B745" s="42" t="s">
        <v>5386</v>
      </c>
      <c r="C745" s="43">
        <v>2023.0</v>
      </c>
      <c r="D745" s="111" t="s">
        <v>35</v>
      </c>
      <c r="E745" s="45" t="s">
        <v>36</v>
      </c>
      <c r="F745" s="45" t="s">
        <v>36</v>
      </c>
      <c r="G745" s="45" t="s">
        <v>36</v>
      </c>
      <c r="H745" s="45" t="s">
        <v>36</v>
      </c>
      <c r="I745" s="45" t="s">
        <v>36</v>
      </c>
      <c r="J745" s="112" t="s">
        <v>36</v>
      </c>
      <c r="K745" s="113" t="s">
        <v>37</v>
      </c>
      <c r="L745" s="114" t="s">
        <v>35</v>
      </c>
      <c r="M745" s="114" t="s">
        <v>35</v>
      </c>
      <c r="N745" s="114" t="s">
        <v>35</v>
      </c>
      <c r="O745" s="114" t="s">
        <v>35</v>
      </c>
      <c r="P745" s="114" t="s">
        <v>35</v>
      </c>
      <c r="Q745" s="114" t="s">
        <v>37</v>
      </c>
      <c r="R745" s="114" t="s">
        <v>37</v>
      </c>
      <c r="S745" s="115" t="s">
        <v>5387</v>
      </c>
      <c r="T745" s="50" t="s">
        <v>5388</v>
      </c>
      <c r="U745" s="50" t="s">
        <v>5388</v>
      </c>
      <c r="V745" s="116">
        <f t="shared" si="2"/>
        <v>1</v>
      </c>
      <c r="W745" s="116">
        <f t="shared" ref="W745:X745" si="750">IF(lenb(SUBSTITUTE($Z745,W$1&amp;" (1)",""))&lt;lenb($Z745),1,IF(lenb(SUBSTITUTE($Z745,W$1&amp;" (2)",""))&lt;lenb($Z745),2,IF(lenb(SUBSTITUTE($Z745,W$1&amp;" (3)",""))&lt;lenb($Z745),3,IF(lenb(SUBSTITUTE($Z745,W$1&amp;" (4)",""))&lt;lenb($Z745),4,IF(lenb(SUBSTITUTE($Z745,W$1&amp;" (5)",""))&lt;lenb($Z745),5,IF(lenb(SUBSTITUTE($Z745,W$1&amp;" (6)",""))&lt;lenb($Z745),6,IF(lenb(SUBSTITUTE($Z745,W$1&amp;" (7)",""))&lt;lenb($Z745),1,IF(lenb(SUBSTITUTE($Z745,W$1&amp;" (8)",""))&lt;lenb($Z745),8,IF(lenb(SUBSTITUTE($Z745,W$1&amp;" (9)",""))&lt;lenb($Z745),9,IF(lenb(SUBSTITUTE($Z745,W$1&amp;" (10)",""))&lt;lenb($Z745),10,IF(lenb(SUBSTITUTE($Z745,W$1,""))&lt;lenb($Z745),"ERROR",IF($Z745=$Y$1,"-",0))))))))))))</f>
        <v>0</v>
      </c>
      <c r="X745" s="116">
        <f t="shared" si="750"/>
        <v>0</v>
      </c>
      <c r="Y745" s="116" t="str">
        <f t="shared" si="4"/>
        <v>-</v>
      </c>
      <c r="Z745" s="115" t="s">
        <v>3400</v>
      </c>
      <c r="AA745" s="54">
        <f t="shared" si="5"/>
        <v>1</v>
      </c>
      <c r="AB745" s="54">
        <f>COUNTIFS(Links!B:B,"FSE",Links!C:C,A745,Links!AD:AD,1)</f>
        <v>0</v>
      </c>
      <c r="AC745" s="117" t="s">
        <v>37</v>
      </c>
      <c r="AD745" s="118" t="s">
        <v>35</v>
      </c>
      <c r="AE745" s="115" t="s">
        <v>36</v>
      </c>
      <c r="AF745" s="57" t="s">
        <v>42</v>
      </c>
      <c r="AG745" s="57" t="s">
        <v>42</v>
      </c>
      <c r="AH745" s="57" t="s">
        <v>42</v>
      </c>
      <c r="AI745" s="116" t="str">
        <f t="shared" si="6"/>
        <v>----</v>
      </c>
      <c r="AJ745" s="119" t="str">
        <f t="shared" si="7"/>
        <v>Paper has link but no statement</v>
      </c>
      <c r="AK745" s="120" t="s">
        <v>3401</v>
      </c>
      <c r="AL745" s="121" t="s">
        <v>3402</v>
      </c>
      <c r="AM745" s="60" t="str">
        <f t="shared" si="8"/>
        <v>[FP0031]</v>
      </c>
    </row>
    <row r="746" ht="67.5" customHeight="1">
      <c r="A746" s="61">
        <v>32.0</v>
      </c>
      <c r="B746" s="22" t="s">
        <v>5389</v>
      </c>
      <c r="C746" s="23">
        <v>2023.0</v>
      </c>
      <c r="D746" s="100" t="s">
        <v>37</v>
      </c>
      <c r="E746" s="25" t="s">
        <v>37</v>
      </c>
      <c r="F746" s="25" t="s">
        <v>35</v>
      </c>
      <c r="G746" s="25" t="s">
        <v>37</v>
      </c>
      <c r="H746" s="25" t="s">
        <v>35</v>
      </c>
      <c r="I746" s="25" t="s">
        <v>35</v>
      </c>
      <c r="J746" s="101" t="s">
        <v>36</v>
      </c>
      <c r="K746" s="102" t="s">
        <v>37</v>
      </c>
      <c r="L746" s="103" t="s">
        <v>35</v>
      </c>
      <c r="M746" s="103" t="s">
        <v>37</v>
      </c>
      <c r="N746" s="103" t="s">
        <v>37</v>
      </c>
      <c r="O746" s="103" t="s">
        <v>35</v>
      </c>
      <c r="P746" s="103" t="s">
        <v>35</v>
      </c>
      <c r="Q746" s="103" t="s">
        <v>37</v>
      </c>
      <c r="R746" s="103" t="s">
        <v>35</v>
      </c>
      <c r="S746" s="104" t="s">
        <v>5390</v>
      </c>
      <c r="T746" s="30" t="s">
        <v>5391</v>
      </c>
      <c r="U746" s="30" t="s">
        <v>5391</v>
      </c>
      <c r="V746" s="105">
        <f t="shared" si="2"/>
        <v>1</v>
      </c>
      <c r="W746" s="105">
        <f t="shared" ref="W746:X746" si="751">IF(lenb(SUBSTITUTE($Z746,W$1&amp;" (1)",""))&lt;lenb($Z746),1,IF(lenb(SUBSTITUTE($Z746,W$1&amp;" (2)",""))&lt;lenb($Z746),2,IF(lenb(SUBSTITUTE($Z746,W$1&amp;" (3)",""))&lt;lenb($Z746),3,IF(lenb(SUBSTITUTE($Z746,W$1&amp;" (4)",""))&lt;lenb($Z746),4,IF(lenb(SUBSTITUTE($Z746,W$1&amp;" (5)",""))&lt;lenb($Z746),5,IF(lenb(SUBSTITUTE($Z746,W$1&amp;" (6)",""))&lt;lenb($Z746),6,IF(lenb(SUBSTITUTE($Z746,W$1&amp;" (7)",""))&lt;lenb($Z746),1,IF(lenb(SUBSTITUTE($Z746,W$1&amp;" (8)",""))&lt;lenb($Z746),8,IF(lenb(SUBSTITUTE($Z746,W$1&amp;" (9)",""))&lt;lenb($Z746),9,IF(lenb(SUBSTITUTE($Z746,W$1&amp;" (10)",""))&lt;lenb($Z746),10,IF(lenb(SUBSTITUTE($Z746,W$1,""))&lt;lenb($Z746),"ERROR",IF($Z746=$Y$1,"-",0))))))))))))</f>
        <v>0</v>
      </c>
      <c r="X746" s="105">
        <f t="shared" si="751"/>
        <v>0</v>
      </c>
      <c r="Y746" s="105" t="str">
        <f t="shared" si="4"/>
        <v>-</v>
      </c>
      <c r="Z746" s="104" t="s">
        <v>3400</v>
      </c>
      <c r="AA746" s="34">
        <f t="shared" si="5"/>
        <v>1</v>
      </c>
      <c r="AB746" s="34">
        <f>COUNTIFS(Links!B:B,"FSE",Links!C:C,A746,Links!AD:AD,1)</f>
        <v>0</v>
      </c>
      <c r="AC746" s="106" t="s">
        <v>35</v>
      </c>
      <c r="AD746" s="107" t="s">
        <v>35</v>
      </c>
      <c r="AE746" s="104" t="s">
        <v>36</v>
      </c>
      <c r="AF746" s="37" t="s">
        <v>42</v>
      </c>
      <c r="AG746" s="37" t="s">
        <v>42</v>
      </c>
      <c r="AH746" s="37" t="s">
        <v>42</v>
      </c>
      <c r="AI746" s="105" t="str">
        <f t="shared" si="6"/>
        <v>----</v>
      </c>
      <c r="AJ746" s="108" t="str">
        <f t="shared" si="7"/>
        <v>Paper has link but no statement</v>
      </c>
      <c r="AK746" s="109" t="s">
        <v>3401</v>
      </c>
      <c r="AL746" s="110" t="s">
        <v>3402</v>
      </c>
      <c r="AM746" s="40" t="str">
        <f t="shared" si="8"/>
        <v>[FP0032]</v>
      </c>
    </row>
    <row r="747" ht="67.5" customHeight="1">
      <c r="A747" s="41">
        <v>33.0</v>
      </c>
      <c r="B747" s="42" t="s">
        <v>5392</v>
      </c>
      <c r="C747" s="43">
        <v>2023.0</v>
      </c>
      <c r="D747" s="111" t="s">
        <v>37</v>
      </c>
      <c r="E747" s="45" t="s">
        <v>37</v>
      </c>
      <c r="F747" s="45" t="s">
        <v>37</v>
      </c>
      <c r="G747" s="45" t="s">
        <v>35</v>
      </c>
      <c r="H747" s="45" t="s">
        <v>35</v>
      </c>
      <c r="I747" s="45" t="s">
        <v>35</v>
      </c>
      <c r="J747" s="112" t="s">
        <v>36</v>
      </c>
      <c r="K747" s="113" t="s">
        <v>37</v>
      </c>
      <c r="L747" s="114" t="s">
        <v>35</v>
      </c>
      <c r="M747" s="114" t="s">
        <v>35</v>
      </c>
      <c r="N747" s="114" t="s">
        <v>35</v>
      </c>
      <c r="O747" s="114" t="s">
        <v>35</v>
      </c>
      <c r="P747" s="114" t="s">
        <v>35</v>
      </c>
      <c r="Q747" s="114" t="s">
        <v>37</v>
      </c>
      <c r="R747" s="114" t="s">
        <v>35</v>
      </c>
      <c r="S747" s="115" t="s">
        <v>5020</v>
      </c>
      <c r="T747" s="50" t="s">
        <v>5393</v>
      </c>
      <c r="U747" s="50" t="s">
        <v>5393</v>
      </c>
      <c r="V747" s="116">
        <f t="shared" si="2"/>
        <v>1</v>
      </c>
      <c r="W747" s="116">
        <f t="shared" ref="W747:X747" si="752">IF(lenb(SUBSTITUTE($Z747,W$1&amp;" (1)",""))&lt;lenb($Z747),1,IF(lenb(SUBSTITUTE($Z747,W$1&amp;" (2)",""))&lt;lenb($Z747),2,IF(lenb(SUBSTITUTE($Z747,W$1&amp;" (3)",""))&lt;lenb($Z747),3,IF(lenb(SUBSTITUTE($Z747,W$1&amp;" (4)",""))&lt;lenb($Z747),4,IF(lenb(SUBSTITUTE($Z747,W$1&amp;" (5)",""))&lt;lenb($Z747),5,IF(lenb(SUBSTITUTE($Z747,W$1&amp;" (6)",""))&lt;lenb($Z747),6,IF(lenb(SUBSTITUTE($Z747,W$1&amp;" (7)",""))&lt;lenb($Z747),1,IF(lenb(SUBSTITUTE($Z747,W$1&amp;" (8)",""))&lt;lenb($Z747),8,IF(lenb(SUBSTITUTE($Z747,W$1&amp;" (9)",""))&lt;lenb($Z747),9,IF(lenb(SUBSTITUTE($Z747,W$1&amp;" (10)",""))&lt;lenb($Z747),10,IF(lenb(SUBSTITUTE($Z747,W$1,""))&lt;lenb($Z747),"ERROR",IF($Z747=$Y$1,"-",0))))))))))))</f>
        <v>0</v>
      </c>
      <c r="X747" s="116">
        <f t="shared" si="752"/>
        <v>0</v>
      </c>
      <c r="Y747" s="116" t="str">
        <f t="shared" si="4"/>
        <v>-</v>
      </c>
      <c r="Z747" s="115" t="s">
        <v>3400</v>
      </c>
      <c r="AA747" s="54">
        <f t="shared" si="5"/>
        <v>1</v>
      </c>
      <c r="AB747" s="54">
        <f>COUNTIFS(Links!B:B,"FSE",Links!C:C,A747,Links!AD:AD,1)</f>
        <v>0</v>
      </c>
      <c r="AC747" s="117" t="s">
        <v>35</v>
      </c>
      <c r="AD747" s="118" t="s">
        <v>35</v>
      </c>
      <c r="AE747" s="115" t="s">
        <v>36</v>
      </c>
      <c r="AF747" s="57" t="s">
        <v>42</v>
      </c>
      <c r="AG747" s="57" t="s">
        <v>42</v>
      </c>
      <c r="AH747" s="57" t="s">
        <v>42</v>
      </c>
      <c r="AI747" s="116" t="str">
        <f t="shared" si="6"/>
        <v>----</v>
      </c>
      <c r="AJ747" s="119" t="str">
        <f t="shared" si="7"/>
        <v>Paper has link but no statement</v>
      </c>
      <c r="AK747" s="120" t="s">
        <v>3401</v>
      </c>
      <c r="AL747" s="121" t="s">
        <v>3402</v>
      </c>
      <c r="AM747" s="60" t="str">
        <f t="shared" si="8"/>
        <v>[FP0033]</v>
      </c>
    </row>
    <row r="748" ht="67.5" customHeight="1">
      <c r="A748" s="61">
        <v>34.0</v>
      </c>
      <c r="B748" s="22" t="s">
        <v>5394</v>
      </c>
      <c r="C748" s="23">
        <v>2023.0</v>
      </c>
      <c r="D748" s="100" t="s">
        <v>35</v>
      </c>
      <c r="E748" s="25" t="s">
        <v>36</v>
      </c>
      <c r="F748" s="25" t="s">
        <v>36</v>
      </c>
      <c r="G748" s="25" t="s">
        <v>36</v>
      </c>
      <c r="H748" s="25" t="s">
        <v>36</v>
      </c>
      <c r="I748" s="25" t="s">
        <v>36</v>
      </c>
      <c r="J748" s="101" t="s">
        <v>36</v>
      </c>
      <c r="K748" s="102" t="s">
        <v>37</v>
      </c>
      <c r="L748" s="103" t="s">
        <v>35</v>
      </c>
      <c r="M748" s="103" t="s">
        <v>37</v>
      </c>
      <c r="N748" s="103" t="s">
        <v>35</v>
      </c>
      <c r="O748" s="103" t="s">
        <v>35</v>
      </c>
      <c r="P748" s="103" t="s">
        <v>35</v>
      </c>
      <c r="Q748" s="103" t="s">
        <v>37</v>
      </c>
      <c r="R748" s="103" t="s">
        <v>35</v>
      </c>
      <c r="S748" s="104" t="s">
        <v>5020</v>
      </c>
      <c r="T748" s="30" t="s">
        <v>5395</v>
      </c>
      <c r="U748" s="30" t="s">
        <v>5395</v>
      </c>
      <c r="V748" s="105">
        <f t="shared" si="2"/>
        <v>0</v>
      </c>
      <c r="W748" s="105">
        <f t="shared" ref="W748:X748" si="753">IF(lenb(SUBSTITUTE($Z748,W$1&amp;" (1)",""))&lt;lenb($Z748),1,IF(lenb(SUBSTITUTE($Z748,W$1&amp;" (2)",""))&lt;lenb($Z748),2,IF(lenb(SUBSTITUTE($Z748,W$1&amp;" (3)",""))&lt;lenb($Z748),3,IF(lenb(SUBSTITUTE($Z748,W$1&amp;" (4)",""))&lt;lenb($Z748),4,IF(lenb(SUBSTITUTE($Z748,W$1&amp;" (5)",""))&lt;lenb($Z748),5,IF(lenb(SUBSTITUTE($Z748,W$1&amp;" (6)",""))&lt;lenb($Z748),6,IF(lenb(SUBSTITUTE($Z748,W$1&amp;" (7)",""))&lt;lenb($Z748),1,IF(lenb(SUBSTITUTE($Z748,W$1&amp;" (8)",""))&lt;lenb($Z748),8,IF(lenb(SUBSTITUTE($Z748,W$1&amp;" (9)",""))&lt;lenb($Z748),9,IF(lenb(SUBSTITUTE($Z748,W$1&amp;" (10)",""))&lt;lenb($Z748),10,IF(lenb(SUBSTITUTE($Z748,W$1,""))&lt;lenb($Z748),"ERROR",IF($Z748=$Y$1,"-",0))))))))))))</f>
        <v>1</v>
      </c>
      <c r="X748" s="105">
        <f t="shared" si="753"/>
        <v>0</v>
      </c>
      <c r="Y748" s="105" t="str">
        <f t="shared" si="4"/>
        <v>-</v>
      </c>
      <c r="Z748" s="104" t="s">
        <v>3423</v>
      </c>
      <c r="AA748" s="34">
        <f t="shared" si="5"/>
        <v>1</v>
      </c>
      <c r="AB748" s="34">
        <f>COUNTIFS(Links!B:B,"FSE",Links!C:C,A748,Links!AD:AD,1)</f>
        <v>0</v>
      </c>
      <c r="AC748" s="106" t="s">
        <v>35</v>
      </c>
      <c r="AD748" s="107" t="s">
        <v>35</v>
      </c>
      <c r="AE748" s="104" t="s">
        <v>36</v>
      </c>
      <c r="AF748" s="37" t="s">
        <v>42</v>
      </c>
      <c r="AG748" s="37" t="s">
        <v>42</v>
      </c>
      <c r="AH748" s="37" t="s">
        <v>42</v>
      </c>
      <c r="AI748" s="105" t="str">
        <f t="shared" si="6"/>
        <v>----</v>
      </c>
      <c r="AJ748" s="108" t="str">
        <f t="shared" si="7"/>
        <v>Paper has link but no statement</v>
      </c>
      <c r="AK748" s="109" t="s">
        <v>3401</v>
      </c>
      <c r="AL748" s="110" t="s">
        <v>3402</v>
      </c>
      <c r="AM748" s="40" t="str">
        <f t="shared" si="8"/>
        <v>[FP0034]</v>
      </c>
    </row>
    <row r="749" ht="67.5" customHeight="1">
      <c r="A749" s="41">
        <v>35.0</v>
      </c>
      <c r="B749" s="42" t="s">
        <v>5396</v>
      </c>
      <c r="C749" s="43">
        <v>2023.0</v>
      </c>
      <c r="D749" s="111" t="s">
        <v>37</v>
      </c>
      <c r="E749" s="45" t="s">
        <v>37</v>
      </c>
      <c r="F749" s="45" t="s">
        <v>35</v>
      </c>
      <c r="G749" s="45" t="s">
        <v>37</v>
      </c>
      <c r="H749" s="45" t="s">
        <v>35</v>
      </c>
      <c r="I749" s="45" t="s">
        <v>35</v>
      </c>
      <c r="J749" s="112" t="s">
        <v>36</v>
      </c>
      <c r="K749" s="113" t="s">
        <v>37</v>
      </c>
      <c r="L749" s="114" t="s">
        <v>35</v>
      </c>
      <c r="M749" s="114" t="s">
        <v>37</v>
      </c>
      <c r="N749" s="114" t="s">
        <v>35</v>
      </c>
      <c r="O749" s="114" t="s">
        <v>35</v>
      </c>
      <c r="P749" s="114" t="s">
        <v>35</v>
      </c>
      <c r="Q749" s="114" t="s">
        <v>37</v>
      </c>
      <c r="R749" s="114" t="s">
        <v>35</v>
      </c>
      <c r="S749" s="115" t="s">
        <v>5103</v>
      </c>
      <c r="T749" s="50" t="s">
        <v>5397</v>
      </c>
      <c r="U749" s="50" t="s">
        <v>5398</v>
      </c>
      <c r="V749" s="116">
        <f t="shared" si="2"/>
        <v>2</v>
      </c>
      <c r="W749" s="116">
        <f t="shared" ref="W749:X749" si="754">IF(lenb(SUBSTITUTE($Z749,W$1&amp;" (1)",""))&lt;lenb($Z749),1,IF(lenb(SUBSTITUTE($Z749,W$1&amp;" (2)",""))&lt;lenb($Z749),2,IF(lenb(SUBSTITUTE($Z749,W$1&amp;" (3)",""))&lt;lenb($Z749),3,IF(lenb(SUBSTITUTE($Z749,W$1&amp;" (4)",""))&lt;lenb($Z749),4,IF(lenb(SUBSTITUTE($Z749,W$1&amp;" (5)",""))&lt;lenb($Z749),5,IF(lenb(SUBSTITUTE($Z749,W$1&amp;" (6)",""))&lt;lenb($Z749),6,IF(lenb(SUBSTITUTE($Z749,W$1&amp;" (7)",""))&lt;lenb($Z749),1,IF(lenb(SUBSTITUTE($Z749,W$1&amp;" (8)",""))&lt;lenb($Z749),8,IF(lenb(SUBSTITUTE($Z749,W$1&amp;" (9)",""))&lt;lenb($Z749),9,IF(lenb(SUBSTITUTE($Z749,W$1&amp;" (10)",""))&lt;lenb($Z749),10,IF(lenb(SUBSTITUTE($Z749,W$1,""))&lt;lenb($Z749),"ERROR",IF($Z749=$Y$1,"-",0))))))))))))</f>
        <v>0</v>
      </c>
      <c r="X749" s="116">
        <f t="shared" si="754"/>
        <v>0</v>
      </c>
      <c r="Y749" s="116" t="str">
        <f t="shared" si="4"/>
        <v>-</v>
      </c>
      <c r="Z749" s="115" t="s">
        <v>3452</v>
      </c>
      <c r="AA749" s="54">
        <f t="shared" si="5"/>
        <v>2</v>
      </c>
      <c r="AB749" s="54">
        <f>COUNTIFS(Links!B:B,"FSE",Links!C:C,A749,Links!AD:AD,1)</f>
        <v>0</v>
      </c>
      <c r="AC749" s="117" t="s">
        <v>37</v>
      </c>
      <c r="AD749" s="118" t="s">
        <v>35</v>
      </c>
      <c r="AE749" s="115" t="s">
        <v>36</v>
      </c>
      <c r="AF749" s="57" t="s">
        <v>42</v>
      </c>
      <c r="AG749" s="57" t="s">
        <v>42</v>
      </c>
      <c r="AH749" s="57" t="s">
        <v>42</v>
      </c>
      <c r="AI749" s="116" t="str">
        <f t="shared" si="6"/>
        <v>----</v>
      </c>
      <c r="AJ749" s="119" t="str">
        <f t="shared" si="7"/>
        <v>Paper has link but no statement</v>
      </c>
      <c r="AK749" s="120" t="s">
        <v>3401</v>
      </c>
      <c r="AL749" s="121" t="s">
        <v>3402</v>
      </c>
      <c r="AM749" s="60" t="str">
        <f t="shared" si="8"/>
        <v>[FP0035]</v>
      </c>
    </row>
    <row r="750" ht="67.5" customHeight="1">
      <c r="A750" s="61">
        <v>36.0</v>
      </c>
      <c r="B750" s="22" t="s">
        <v>5399</v>
      </c>
      <c r="C750" s="23">
        <v>2023.0</v>
      </c>
      <c r="D750" s="100" t="s">
        <v>35</v>
      </c>
      <c r="E750" s="25" t="s">
        <v>36</v>
      </c>
      <c r="F750" s="25" t="s">
        <v>36</v>
      </c>
      <c r="G750" s="25" t="s">
        <v>36</v>
      </c>
      <c r="H750" s="25" t="s">
        <v>36</v>
      </c>
      <c r="I750" s="25" t="s">
        <v>36</v>
      </c>
      <c r="J750" s="101" t="s">
        <v>36</v>
      </c>
      <c r="K750" s="102" t="s">
        <v>37</v>
      </c>
      <c r="L750" s="103" t="s">
        <v>35</v>
      </c>
      <c r="M750" s="103" t="s">
        <v>35</v>
      </c>
      <c r="N750" s="103" t="s">
        <v>35</v>
      </c>
      <c r="O750" s="103" t="s">
        <v>35</v>
      </c>
      <c r="P750" s="103" t="s">
        <v>35</v>
      </c>
      <c r="Q750" s="103" t="s">
        <v>37</v>
      </c>
      <c r="R750" s="103" t="s">
        <v>35</v>
      </c>
      <c r="S750" s="104" t="s">
        <v>5020</v>
      </c>
      <c r="T750" s="30" t="s">
        <v>5400</v>
      </c>
      <c r="U750" s="30" t="s">
        <v>5400</v>
      </c>
      <c r="V750" s="105">
        <f t="shared" si="2"/>
        <v>1</v>
      </c>
      <c r="W750" s="105">
        <f t="shared" ref="W750:X750" si="755">IF(lenb(SUBSTITUTE($Z750,W$1&amp;" (1)",""))&lt;lenb($Z750),1,IF(lenb(SUBSTITUTE($Z750,W$1&amp;" (2)",""))&lt;lenb($Z750),2,IF(lenb(SUBSTITUTE($Z750,W$1&amp;" (3)",""))&lt;lenb($Z750),3,IF(lenb(SUBSTITUTE($Z750,W$1&amp;" (4)",""))&lt;lenb($Z750),4,IF(lenb(SUBSTITUTE($Z750,W$1&amp;" (5)",""))&lt;lenb($Z750),5,IF(lenb(SUBSTITUTE($Z750,W$1&amp;" (6)",""))&lt;lenb($Z750),6,IF(lenb(SUBSTITUTE($Z750,W$1&amp;" (7)",""))&lt;lenb($Z750),1,IF(lenb(SUBSTITUTE($Z750,W$1&amp;" (8)",""))&lt;lenb($Z750),8,IF(lenb(SUBSTITUTE($Z750,W$1&amp;" (9)",""))&lt;lenb($Z750),9,IF(lenb(SUBSTITUTE($Z750,W$1&amp;" (10)",""))&lt;lenb($Z750),10,IF(lenb(SUBSTITUTE($Z750,W$1,""))&lt;lenb($Z750),"ERROR",IF($Z750=$Y$1,"-",0))))))))))))</f>
        <v>0</v>
      </c>
      <c r="X750" s="105">
        <f t="shared" si="755"/>
        <v>0</v>
      </c>
      <c r="Y750" s="105" t="str">
        <f t="shared" si="4"/>
        <v>-</v>
      </c>
      <c r="Z750" s="104" t="s">
        <v>3400</v>
      </c>
      <c r="AA750" s="34">
        <f t="shared" si="5"/>
        <v>1</v>
      </c>
      <c r="AB750" s="34">
        <f>COUNTIFS(Links!B:B,"FSE",Links!C:C,A750,Links!AD:AD,1)</f>
        <v>0</v>
      </c>
      <c r="AC750" s="106" t="s">
        <v>35</v>
      </c>
      <c r="AD750" s="107" t="s">
        <v>35</v>
      </c>
      <c r="AE750" s="104" t="s">
        <v>36</v>
      </c>
      <c r="AF750" s="37" t="s">
        <v>42</v>
      </c>
      <c r="AG750" s="37" t="s">
        <v>42</v>
      </c>
      <c r="AH750" s="37" t="s">
        <v>42</v>
      </c>
      <c r="AI750" s="105" t="str">
        <f t="shared" si="6"/>
        <v>----</v>
      </c>
      <c r="AJ750" s="108" t="str">
        <f t="shared" si="7"/>
        <v>Paper has link but no statement</v>
      </c>
      <c r="AK750" s="109" t="s">
        <v>3401</v>
      </c>
      <c r="AL750" s="110" t="s">
        <v>3402</v>
      </c>
      <c r="AM750" s="40" t="str">
        <f t="shared" si="8"/>
        <v>[FP0036]</v>
      </c>
    </row>
    <row r="751" ht="67.5" customHeight="1">
      <c r="A751" s="41">
        <v>37.0</v>
      </c>
      <c r="B751" s="42" t="s">
        <v>5401</v>
      </c>
      <c r="C751" s="43">
        <v>2023.0</v>
      </c>
      <c r="D751" s="111" t="s">
        <v>35</v>
      </c>
      <c r="E751" s="45" t="s">
        <v>36</v>
      </c>
      <c r="F751" s="45" t="s">
        <v>36</v>
      </c>
      <c r="G751" s="45" t="s">
        <v>36</v>
      </c>
      <c r="H751" s="45" t="s">
        <v>36</v>
      </c>
      <c r="I751" s="45" t="s">
        <v>36</v>
      </c>
      <c r="J751" s="112" t="s">
        <v>36</v>
      </c>
      <c r="K751" s="113" t="s">
        <v>37</v>
      </c>
      <c r="L751" s="114" t="s">
        <v>35</v>
      </c>
      <c r="M751" s="114" t="s">
        <v>35</v>
      </c>
      <c r="N751" s="114" t="s">
        <v>35</v>
      </c>
      <c r="O751" s="114" t="s">
        <v>35</v>
      </c>
      <c r="P751" s="114" t="s">
        <v>35</v>
      </c>
      <c r="Q751" s="114" t="s">
        <v>37</v>
      </c>
      <c r="R751" s="114" t="s">
        <v>37</v>
      </c>
      <c r="S751" s="115" t="s">
        <v>5402</v>
      </c>
      <c r="T751" s="50" t="s">
        <v>5403</v>
      </c>
      <c r="U751" s="50" t="s">
        <v>5403</v>
      </c>
      <c r="V751" s="116">
        <f t="shared" si="2"/>
        <v>1</v>
      </c>
      <c r="W751" s="116">
        <f t="shared" ref="W751:X751" si="756">IF(lenb(SUBSTITUTE($Z751,W$1&amp;" (1)",""))&lt;lenb($Z751),1,IF(lenb(SUBSTITUTE($Z751,W$1&amp;" (2)",""))&lt;lenb($Z751),2,IF(lenb(SUBSTITUTE($Z751,W$1&amp;" (3)",""))&lt;lenb($Z751),3,IF(lenb(SUBSTITUTE($Z751,W$1&amp;" (4)",""))&lt;lenb($Z751),4,IF(lenb(SUBSTITUTE($Z751,W$1&amp;" (5)",""))&lt;lenb($Z751),5,IF(lenb(SUBSTITUTE($Z751,W$1&amp;" (6)",""))&lt;lenb($Z751),6,IF(lenb(SUBSTITUTE($Z751,W$1&amp;" (7)",""))&lt;lenb($Z751),1,IF(lenb(SUBSTITUTE($Z751,W$1&amp;" (8)",""))&lt;lenb($Z751),8,IF(lenb(SUBSTITUTE($Z751,W$1&amp;" (9)",""))&lt;lenb($Z751),9,IF(lenb(SUBSTITUTE($Z751,W$1&amp;" (10)",""))&lt;lenb($Z751),10,IF(lenb(SUBSTITUTE($Z751,W$1,""))&lt;lenb($Z751),"ERROR",IF($Z751=$Y$1,"-",0))))))))))))</f>
        <v>0</v>
      </c>
      <c r="X751" s="116">
        <f t="shared" si="756"/>
        <v>0</v>
      </c>
      <c r="Y751" s="116" t="str">
        <f t="shared" si="4"/>
        <v>-</v>
      </c>
      <c r="Z751" s="115" t="s">
        <v>3400</v>
      </c>
      <c r="AA751" s="54">
        <f t="shared" si="5"/>
        <v>1</v>
      </c>
      <c r="AB751" s="54">
        <f>COUNTIFS(Links!B:B,"FSE",Links!C:C,A751,Links!AD:AD,1)</f>
        <v>0</v>
      </c>
      <c r="AC751" s="117" t="s">
        <v>35</v>
      </c>
      <c r="AD751" s="118" t="s">
        <v>35</v>
      </c>
      <c r="AE751" s="115" t="s">
        <v>36</v>
      </c>
      <c r="AF751" s="57" t="s">
        <v>42</v>
      </c>
      <c r="AG751" s="57" t="s">
        <v>42</v>
      </c>
      <c r="AH751" s="57" t="s">
        <v>42</v>
      </c>
      <c r="AI751" s="116" t="str">
        <f t="shared" si="6"/>
        <v>----</v>
      </c>
      <c r="AJ751" s="119" t="str">
        <f t="shared" si="7"/>
        <v>Paper has link but no statement</v>
      </c>
      <c r="AK751" s="120" t="s">
        <v>3401</v>
      </c>
      <c r="AL751" s="121" t="s">
        <v>3402</v>
      </c>
      <c r="AM751" s="60" t="str">
        <f t="shared" si="8"/>
        <v>[FP0037]</v>
      </c>
    </row>
    <row r="752" ht="67.5" customHeight="1">
      <c r="A752" s="61">
        <v>38.0</v>
      </c>
      <c r="B752" s="22" t="s">
        <v>5404</v>
      </c>
      <c r="C752" s="23">
        <v>2023.0</v>
      </c>
      <c r="D752" s="100" t="s">
        <v>37</v>
      </c>
      <c r="E752" s="25" t="s">
        <v>37</v>
      </c>
      <c r="F752" s="25" t="s">
        <v>35</v>
      </c>
      <c r="G752" s="25" t="s">
        <v>35</v>
      </c>
      <c r="H752" s="25" t="s">
        <v>35</v>
      </c>
      <c r="I752" s="25" t="s">
        <v>35</v>
      </c>
      <c r="J752" s="101" t="s">
        <v>36</v>
      </c>
      <c r="K752" s="102" t="s">
        <v>37</v>
      </c>
      <c r="L752" s="103" t="s">
        <v>35</v>
      </c>
      <c r="M752" s="103" t="s">
        <v>35</v>
      </c>
      <c r="N752" s="103" t="s">
        <v>35</v>
      </c>
      <c r="O752" s="103" t="s">
        <v>35</v>
      </c>
      <c r="P752" s="103" t="s">
        <v>35</v>
      </c>
      <c r="Q752" s="103" t="s">
        <v>37</v>
      </c>
      <c r="R752" s="103" t="s">
        <v>35</v>
      </c>
      <c r="S752" s="104" t="s">
        <v>5020</v>
      </c>
      <c r="T752" s="30" t="s">
        <v>5405</v>
      </c>
      <c r="U752" s="30" t="s">
        <v>5405</v>
      </c>
      <c r="V752" s="105">
        <f t="shared" si="2"/>
        <v>1</v>
      </c>
      <c r="W752" s="105">
        <f t="shared" ref="W752:X752" si="757">IF(lenb(SUBSTITUTE($Z752,W$1&amp;" (1)",""))&lt;lenb($Z752),1,IF(lenb(SUBSTITUTE($Z752,W$1&amp;" (2)",""))&lt;lenb($Z752),2,IF(lenb(SUBSTITUTE($Z752,W$1&amp;" (3)",""))&lt;lenb($Z752),3,IF(lenb(SUBSTITUTE($Z752,W$1&amp;" (4)",""))&lt;lenb($Z752),4,IF(lenb(SUBSTITUTE($Z752,W$1&amp;" (5)",""))&lt;lenb($Z752),5,IF(lenb(SUBSTITUTE($Z752,W$1&amp;" (6)",""))&lt;lenb($Z752),6,IF(lenb(SUBSTITUTE($Z752,W$1&amp;" (7)",""))&lt;lenb($Z752),1,IF(lenb(SUBSTITUTE($Z752,W$1&amp;" (8)",""))&lt;lenb($Z752),8,IF(lenb(SUBSTITUTE($Z752,W$1&amp;" (9)",""))&lt;lenb($Z752),9,IF(lenb(SUBSTITUTE($Z752,W$1&amp;" (10)",""))&lt;lenb($Z752),10,IF(lenb(SUBSTITUTE($Z752,W$1,""))&lt;lenb($Z752),"ERROR",IF($Z752=$Y$1,"-",0))))))))))))</f>
        <v>0</v>
      </c>
      <c r="X752" s="105">
        <f t="shared" si="757"/>
        <v>0</v>
      </c>
      <c r="Y752" s="105" t="str">
        <f t="shared" si="4"/>
        <v>-</v>
      </c>
      <c r="Z752" s="104" t="s">
        <v>3400</v>
      </c>
      <c r="AA752" s="34">
        <f t="shared" si="5"/>
        <v>1</v>
      </c>
      <c r="AB752" s="34">
        <f>COUNTIFS(Links!B:B,"FSE",Links!C:C,A752,Links!AD:AD,1)</f>
        <v>0</v>
      </c>
      <c r="AC752" s="106" t="s">
        <v>37</v>
      </c>
      <c r="AD752" s="107" t="s">
        <v>35</v>
      </c>
      <c r="AE752" s="104" t="s">
        <v>36</v>
      </c>
      <c r="AF752" s="37" t="s">
        <v>42</v>
      </c>
      <c r="AG752" s="37" t="s">
        <v>42</v>
      </c>
      <c r="AH752" s="37" t="s">
        <v>42</v>
      </c>
      <c r="AI752" s="105" t="str">
        <f t="shared" si="6"/>
        <v>----</v>
      </c>
      <c r="AJ752" s="108" t="str">
        <f t="shared" si="7"/>
        <v>Paper has link but no statement</v>
      </c>
      <c r="AK752" s="109" t="s">
        <v>3401</v>
      </c>
      <c r="AL752" s="110" t="s">
        <v>3402</v>
      </c>
      <c r="AM752" s="40" t="str">
        <f t="shared" si="8"/>
        <v>[FP0038]</v>
      </c>
    </row>
    <row r="753" ht="67.5" customHeight="1">
      <c r="A753" s="41">
        <v>39.0</v>
      </c>
      <c r="B753" s="42" t="s">
        <v>5406</v>
      </c>
      <c r="C753" s="43">
        <v>2023.0</v>
      </c>
      <c r="D753" s="111" t="s">
        <v>37</v>
      </c>
      <c r="E753" s="45" t="s">
        <v>37</v>
      </c>
      <c r="F753" s="45" t="s">
        <v>35</v>
      </c>
      <c r="G753" s="45" t="s">
        <v>35</v>
      </c>
      <c r="H753" s="45" t="s">
        <v>35</v>
      </c>
      <c r="I753" s="45" t="s">
        <v>35</v>
      </c>
      <c r="J753" s="112" t="s">
        <v>36</v>
      </c>
      <c r="K753" s="113" t="s">
        <v>37</v>
      </c>
      <c r="L753" s="114" t="s">
        <v>35</v>
      </c>
      <c r="M753" s="114" t="s">
        <v>35</v>
      </c>
      <c r="N753" s="114" t="s">
        <v>37</v>
      </c>
      <c r="O753" s="114" t="s">
        <v>35</v>
      </c>
      <c r="P753" s="114" t="s">
        <v>37</v>
      </c>
      <c r="Q753" s="114" t="s">
        <v>37</v>
      </c>
      <c r="R753" s="114" t="s">
        <v>35</v>
      </c>
      <c r="S753" s="115" t="s">
        <v>5407</v>
      </c>
      <c r="T753" s="50" t="s">
        <v>5408</v>
      </c>
      <c r="U753" s="50" t="s">
        <v>5408</v>
      </c>
      <c r="V753" s="116">
        <f t="shared" si="2"/>
        <v>1</v>
      </c>
      <c r="W753" s="116">
        <f t="shared" ref="W753:X753" si="758">IF(lenb(SUBSTITUTE($Z753,W$1&amp;" (1)",""))&lt;lenb($Z753),1,IF(lenb(SUBSTITUTE($Z753,W$1&amp;" (2)",""))&lt;lenb($Z753),2,IF(lenb(SUBSTITUTE($Z753,W$1&amp;" (3)",""))&lt;lenb($Z753),3,IF(lenb(SUBSTITUTE($Z753,W$1&amp;" (4)",""))&lt;lenb($Z753),4,IF(lenb(SUBSTITUTE($Z753,W$1&amp;" (5)",""))&lt;lenb($Z753),5,IF(lenb(SUBSTITUTE($Z753,W$1&amp;" (6)",""))&lt;lenb($Z753),6,IF(lenb(SUBSTITUTE($Z753,W$1&amp;" (7)",""))&lt;lenb($Z753),1,IF(lenb(SUBSTITUTE($Z753,W$1&amp;" (8)",""))&lt;lenb($Z753),8,IF(lenb(SUBSTITUTE($Z753,W$1&amp;" (9)",""))&lt;lenb($Z753),9,IF(lenb(SUBSTITUTE($Z753,W$1&amp;" (10)",""))&lt;lenb($Z753),10,IF(lenb(SUBSTITUTE($Z753,W$1,""))&lt;lenb($Z753),"ERROR",IF($Z753=$Y$1,"-",0))))))))))))</f>
        <v>0</v>
      </c>
      <c r="X753" s="116">
        <f t="shared" si="758"/>
        <v>0</v>
      </c>
      <c r="Y753" s="116" t="str">
        <f t="shared" si="4"/>
        <v>-</v>
      </c>
      <c r="Z753" s="115" t="s">
        <v>3400</v>
      </c>
      <c r="AA753" s="54">
        <f t="shared" si="5"/>
        <v>1</v>
      </c>
      <c r="AB753" s="54">
        <f>COUNTIFS(Links!B:B,"FSE",Links!C:C,A753,Links!AD:AD,1)</f>
        <v>0</v>
      </c>
      <c r="AC753" s="117" t="s">
        <v>35</v>
      </c>
      <c r="AD753" s="118" t="s">
        <v>35</v>
      </c>
      <c r="AE753" s="115" t="s">
        <v>36</v>
      </c>
      <c r="AF753" s="57" t="s">
        <v>42</v>
      </c>
      <c r="AG753" s="57" t="s">
        <v>42</v>
      </c>
      <c r="AH753" s="57" t="s">
        <v>42</v>
      </c>
      <c r="AI753" s="116" t="str">
        <f t="shared" si="6"/>
        <v>----</v>
      </c>
      <c r="AJ753" s="119" t="str">
        <f t="shared" si="7"/>
        <v>Paper has link but no statement</v>
      </c>
      <c r="AK753" s="120" t="s">
        <v>3401</v>
      </c>
      <c r="AL753" s="121" t="s">
        <v>3402</v>
      </c>
      <c r="AM753" s="60" t="str">
        <f t="shared" si="8"/>
        <v>[FP0039]</v>
      </c>
    </row>
    <row r="754" ht="67.5" customHeight="1">
      <c r="A754" s="61">
        <v>40.0</v>
      </c>
      <c r="B754" s="22" t="s">
        <v>5409</v>
      </c>
      <c r="C754" s="23">
        <v>2023.0</v>
      </c>
      <c r="D754" s="100" t="s">
        <v>37</v>
      </c>
      <c r="E754" s="25" t="s">
        <v>37</v>
      </c>
      <c r="F754" s="25" t="s">
        <v>37</v>
      </c>
      <c r="G754" s="25" t="s">
        <v>35</v>
      </c>
      <c r="H754" s="25" t="s">
        <v>35</v>
      </c>
      <c r="I754" s="25" t="s">
        <v>35</v>
      </c>
      <c r="J754" s="101" t="s">
        <v>36</v>
      </c>
      <c r="K754" s="102" t="s">
        <v>37</v>
      </c>
      <c r="L754" s="103" t="s">
        <v>35</v>
      </c>
      <c r="M754" s="103" t="s">
        <v>37</v>
      </c>
      <c r="N754" s="103" t="s">
        <v>37</v>
      </c>
      <c r="O754" s="103" t="s">
        <v>35</v>
      </c>
      <c r="P754" s="103" t="s">
        <v>35</v>
      </c>
      <c r="Q754" s="103" t="s">
        <v>37</v>
      </c>
      <c r="R754" s="103" t="s">
        <v>35</v>
      </c>
      <c r="S754" s="104" t="s">
        <v>5020</v>
      </c>
      <c r="T754" s="30" t="s">
        <v>5410</v>
      </c>
      <c r="U754" s="30" t="s">
        <v>5410</v>
      </c>
      <c r="V754" s="105">
        <f t="shared" si="2"/>
        <v>1</v>
      </c>
      <c r="W754" s="105">
        <f t="shared" ref="W754:X754" si="759">IF(lenb(SUBSTITUTE($Z754,W$1&amp;" (1)",""))&lt;lenb($Z754),1,IF(lenb(SUBSTITUTE($Z754,W$1&amp;" (2)",""))&lt;lenb($Z754),2,IF(lenb(SUBSTITUTE($Z754,W$1&amp;" (3)",""))&lt;lenb($Z754),3,IF(lenb(SUBSTITUTE($Z754,W$1&amp;" (4)",""))&lt;lenb($Z754),4,IF(lenb(SUBSTITUTE($Z754,W$1&amp;" (5)",""))&lt;lenb($Z754),5,IF(lenb(SUBSTITUTE($Z754,W$1&amp;" (6)",""))&lt;lenb($Z754),6,IF(lenb(SUBSTITUTE($Z754,W$1&amp;" (7)",""))&lt;lenb($Z754),1,IF(lenb(SUBSTITUTE($Z754,W$1&amp;" (8)",""))&lt;lenb($Z754),8,IF(lenb(SUBSTITUTE($Z754,W$1&amp;" (9)",""))&lt;lenb($Z754),9,IF(lenb(SUBSTITUTE($Z754,W$1&amp;" (10)",""))&lt;lenb($Z754),10,IF(lenb(SUBSTITUTE($Z754,W$1,""))&lt;lenb($Z754),"ERROR",IF($Z754=$Y$1,"-",0))))))))))))</f>
        <v>0</v>
      </c>
      <c r="X754" s="105">
        <f t="shared" si="759"/>
        <v>0</v>
      </c>
      <c r="Y754" s="105" t="str">
        <f t="shared" si="4"/>
        <v>-</v>
      </c>
      <c r="Z754" s="104" t="s">
        <v>3400</v>
      </c>
      <c r="AA754" s="34">
        <f t="shared" si="5"/>
        <v>1</v>
      </c>
      <c r="AB754" s="34">
        <f>COUNTIFS(Links!B:B,"FSE",Links!C:C,A754,Links!AD:AD,1)</f>
        <v>0</v>
      </c>
      <c r="AC754" s="106" t="s">
        <v>37</v>
      </c>
      <c r="AD754" s="107" t="s">
        <v>35</v>
      </c>
      <c r="AE754" s="104" t="s">
        <v>36</v>
      </c>
      <c r="AF754" s="37" t="s">
        <v>42</v>
      </c>
      <c r="AG754" s="37" t="s">
        <v>42</v>
      </c>
      <c r="AH754" s="37" t="s">
        <v>42</v>
      </c>
      <c r="AI754" s="105" t="str">
        <f t="shared" si="6"/>
        <v>----</v>
      </c>
      <c r="AJ754" s="108" t="str">
        <f t="shared" si="7"/>
        <v>Paper has link but no statement</v>
      </c>
      <c r="AK754" s="109" t="s">
        <v>3401</v>
      </c>
      <c r="AL754" s="110" t="s">
        <v>3402</v>
      </c>
      <c r="AM754" s="40" t="str">
        <f t="shared" si="8"/>
        <v>[FP0040]</v>
      </c>
    </row>
    <row r="755" ht="67.5" customHeight="1">
      <c r="A755" s="41">
        <v>41.0</v>
      </c>
      <c r="B755" s="42" t="s">
        <v>5411</v>
      </c>
      <c r="C755" s="43">
        <v>2023.0</v>
      </c>
      <c r="D755" s="111" t="s">
        <v>35</v>
      </c>
      <c r="E755" s="45" t="s">
        <v>36</v>
      </c>
      <c r="F755" s="45" t="s">
        <v>36</v>
      </c>
      <c r="G755" s="45" t="s">
        <v>36</v>
      </c>
      <c r="H755" s="45" t="s">
        <v>36</v>
      </c>
      <c r="I755" s="45" t="s">
        <v>36</v>
      </c>
      <c r="J755" s="112" t="s">
        <v>36</v>
      </c>
      <c r="K755" s="113" t="s">
        <v>37</v>
      </c>
      <c r="L755" s="114" t="s">
        <v>37</v>
      </c>
      <c r="M755" s="114" t="s">
        <v>35</v>
      </c>
      <c r="N755" s="114" t="s">
        <v>37</v>
      </c>
      <c r="O755" s="114" t="s">
        <v>35</v>
      </c>
      <c r="P755" s="114" t="s">
        <v>35</v>
      </c>
      <c r="Q755" s="114" t="s">
        <v>37</v>
      </c>
      <c r="R755" s="114" t="s">
        <v>35</v>
      </c>
      <c r="S755" s="115" t="s">
        <v>5412</v>
      </c>
      <c r="T755" s="50" t="s">
        <v>5413</v>
      </c>
      <c r="U755" s="50" t="s">
        <v>5413</v>
      </c>
      <c r="V755" s="116">
        <f t="shared" si="2"/>
        <v>1</v>
      </c>
      <c r="W755" s="116">
        <f t="shared" ref="W755:X755" si="760">IF(lenb(SUBSTITUTE($Z755,W$1&amp;" (1)",""))&lt;lenb($Z755),1,IF(lenb(SUBSTITUTE($Z755,W$1&amp;" (2)",""))&lt;lenb($Z755),2,IF(lenb(SUBSTITUTE($Z755,W$1&amp;" (3)",""))&lt;lenb($Z755),3,IF(lenb(SUBSTITUTE($Z755,W$1&amp;" (4)",""))&lt;lenb($Z755),4,IF(lenb(SUBSTITUTE($Z755,W$1&amp;" (5)",""))&lt;lenb($Z755),5,IF(lenb(SUBSTITUTE($Z755,W$1&amp;" (6)",""))&lt;lenb($Z755),6,IF(lenb(SUBSTITUTE($Z755,W$1&amp;" (7)",""))&lt;lenb($Z755),1,IF(lenb(SUBSTITUTE($Z755,W$1&amp;" (8)",""))&lt;lenb($Z755),8,IF(lenb(SUBSTITUTE($Z755,W$1&amp;" (9)",""))&lt;lenb($Z755),9,IF(lenb(SUBSTITUTE($Z755,W$1&amp;" (10)",""))&lt;lenb($Z755),10,IF(lenb(SUBSTITUTE($Z755,W$1,""))&lt;lenb($Z755),"ERROR",IF($Z755=$Y$1,"-",0))))))))))))</f>
        <v>0</v>
      </c>
      <c r="X755" s="116">
        <f t="shared" si="760"/>
        <v>0</v>
      </c>
      <c r="Y755" s="116" t="str">
        <f t="shared" si="4"/>
        <v>-</v>
      </c>
      <c r="Z755" s="115" t="s">
        <v>3400</v>
      </c>
      <c r="AA755" s="54">
        <f t="shared" si="5"/>
        <v>1</v>
      </c>
      <c r="AB755" s="54">
        <f>COUNTIFS(Links!B:B,"FSE",Links!C:C,A755,Links!AD:AD,1)</f>
        <v>0</v>
      </c>
      <c r="AC755" s="117" t="s">
        <v>35</v>
      </c>
      <c r="AD755" s="118" t="s">
        <v>35</v>
      </c>
      <c r="AE755" s="115" t="s">
        <v>36</v>
      </c>
      <c r="AF755" s="57" t="s">
        <v>42</v>
      </c>
      <c r="AG755" s="57" t="s">
        <v>42</v>
      </c>
      <c r="AH755" s="57" t="s">
        <v>42</v>
      </c>
      <c r="AI755" s="116" t="str">
        <f t="shared" si="6"/>
        <v>----</v>
      </c>
      <c r="AJ755" s="119" t="str">
        <f t="shared" si="7"/>
        <v>Paper has link but no statement</v>
      </c>
      <c r="AK755" s="120" t="s">
        <v>3401</v>
      </c>
      <c r="AL755" s="121" t="s">
        <v>3402</v>
      </c>
      <c r="AM755" s="60" t="str">
        <f t="shared" si="8"/>
        <v>[FP0041]</v>
      </c>
    </row>
    <row r="756" ht="67.5" customHeight="1">
      <c r="A756" s="61">
        <v>42.0</v>
      </c>
      <c r="B756" s="22" t="s">
        <v>5414</v>
      </c>
      <c r="C756" s="23">
        <v>2023.0</v>
      </c>
      <c r="D756" s="100" t="s">
        <v>37</v>
      </c>
      <c r="E756" s="25" t="s">
        <v>37</v>
      </c>
      <c r="F756" s="25" t="s">
        <v>35</v>
      </c>
      <c r="G756" s="25" t="s">
        <v>35</v>
      </c>
      <c r="H756" s="25" t="s">
        <v>35</v>
      </c>
      <c r="I756" s="25" t="s">
        <v>35</v>
      </c>
      <c r="J756" s="101" t="s">
        <v>36</v>
      </c>
      <c r="K756" s="102" t="s">
        <v>37</v>
      </c>
      <c r="L756" s="103" t="s">
        <v>35</v>
      </c>
      <c r="M756" s="103" t="s">
        <v>37</v>
      </c>
      <c r="N756" s="103" t="s">
        <v>35</v>
      </c>
      <c r="O756" s="103" t="s">
        <v>35</v>
      </c>
      <c r="P756" s="103" t="s">
        <v>35</v>
      </c>
      <c r="Q756" s="103" t="s">
        <v>37</v>
      </c>
      <c r="R756" s="103" t="s">
        <v>35</v>
      </c>
      <c r="S756" s="104" t="s">
        <v>5020</v>
      </c>
      <c r="T756" s="30" t="s">
        <v>5415</v>
      </c>
      <c r="U756" s="30" t="s">
        <v>5415</v>
      </c>
      <c r="V756" s="105">
        <f t="shared" si="2"/>
        <v>2</v>
      </c>
      <c r="W756" s="105">
        <f t="shared" ref="W756:X756" si="761">IF(lenb(SUBSTITUTE($Z756,W$1&amp;" (1)",""))&lt;lenb($Z756),1,IF(lenb(SUBSTITUTE($Z756,W$1&amp;" (2)",""))&lt;lenb($Z756),2,IF(lenb(SUBSTITUTE($Z756,W$1&amp;" (3)",""))&lt;lenb($Z756),3,IF(lenb(SUBSTITUTE($Z756,W$1&amp;" (4)",""))&lt;lenb($Z756),4,IF(lenb(SUBSTITUTE($Z756,W$1&amp;" (5)",""))&lt;lenb($Z756),5,IF(lenb(SUBSTITUTE($Z756,W$1&amp;" (6)",""))&lt;lenb($Z756),6,IF(lenb(SUBSTITUTE($Z756,W$1&amp;" (7)",""))&lt;lenb($Z756),1,IF(lenb(SUBSTITUTE($Z756,W$1&amp;" (8)",""))&lt;lenb($Z756),8,IF(lenb(SUBSTITUTE($Z756,W$1&amp;" (9)",""))&lt;lenb($Z756),9,IF(lenb(SUBSTITUTE($Z756,W$1&amp;" (10)",""))&lt;lenb($Z756),10,IF(lenb(SUBSTITUTE($Z756,W$1,""))&lt;lenb($Z756),"ERROR",IF($Z756=$Y$1,"-",0))))))))))))</f>
        <v>0</v>
      </c>
      <c r="X756" s="105">
        <f t="shared" si="761"/>
        <v>0</v>
      </c>
      <c r="Y756" s="105" t="str">
        <f t="shared" si="4"/>
        <v>-</v>
      </c>
      <c r="Z756" s="104" t="s">
        <v>3452</v>
      </c>
      <c r="AA756" s="34">
        <f t="shared" si="5"/>
        <v>2</v>
      </c>
      <c r="AB756" s="34">
        <f>COUNTIFS(Links!B:B,"FSE",Links!C:C,A756,Links!AD:AD,1)</f>
        <v>0</v>
      </c>
      <c r="AC756" s="106" t="s">
        <v>37</v>
      </c>
      <c r="AD756" s="107" t="s">
        <v>35</v>
      </c>
      <c r="AE756" s="104" t="s">
        <v>36</v>
      </c>
      <c r="AF756" s="37" t="s">
        <v>42</v>
      </c>
      <c r="AG756" s="37" t="s">
        <v>42</v>
      </c>
      <c r="AH756" s="37" t="s">
        <v>42</v>
      </c>
      <c r="AI756" s="105" t="str">
        <f t="shared" si="6"/>
        <v>----</v>
      </c>
      <c r="AJ756" s="108" t="str">
        <f t="shared" si="7"/>
        <v>Paper has link but no statement</v>
      </c>
      <c r="AK756" s="109" t="s">
        <v>3401</v>
      </c>
      <c r="AL756" s="110" t="s">
        <v>3402</v>
      </c>
      <c r="AM756" s="40" t="str">
        <f t="shared" si="8"/>
        <v>[FP0042]</v>
      </c>
    </row>
    <row r="757" ht="67.5" customHeight="1">
      <c r="A757" s="41">
        <v>43.0</v>
      </c>
      <c r="B757" s="42" t="s">
        <v>5416</v>
      </c>
      <c r="C757" s="43">
        <v>2023.0</v>
      </c>
      <c r="D757" s="111" t="s">
        <v>35</v>
      </c>
      <c r="E757" s="45" t="s">
        <v>36</v>
      </c>
      <c r="F757" s="45" t="s">
        <v>36</v>
      </c>
      <c r="G757" s="45" t="s">
        <v>36</v>
      </c>
      <c r="H757" s="45" t="s">
        <v>36</v>
      </c>
      <c r="I757" s="45" t="s">
        <v>36</v>
      </c>
      <c r="J757" s="112" t="s">
        <v>36</v>
      </c>
      <c r="K757" s="113" t="s">
        <v>37</v>
      </c>
      <c r="L757" s="114" t="s">
        <v>37</v>
      </c>
      <c r="M757" s="114" t="s">
        <v>37</v>
      </c>
      <c r="N757" s="114" t="s">
        <v>35</v>
      </c>
      <c r="O757" s="114" t="s">
        <v>35</v>
      </c>
      <c r="P757" s="114" t="s">
        <v>35</v>
      </c>
      <c r="Q757" s="114" t="s">
        <v>37</v>
      </c>
      <c r="R757" s="114" t="s">
        <v>37</v>
      </c>
      <c r="S757" s="115" t="s">
        <v>5417</v>
      </c>
      <c r="T757" s="50" t="s">
        <v>5418</v>
      </c>
      <c r="U757" s="50" t="s">
        <v>5419</v>
      </c>
      <c r="V757" s="116">
        <f t="shared" si="2"/>
        <v>1</v>
      </c>
      <c r="W757" s="116">
        <f t="shared" ref="W757:X757" si="762">IF(lenb(SUBSTITUTE($Z757,W$1&amp;" (1)",""))&lt;lenb($Z757),1,IF(lenb(SUBSTITUTE($Z757,W$1&amp;" (2)",""))&lt;lenb($Z757),2,IF(lenb(SUBSTITUTE($Z757,W$1&amp;" (3)",""))&lt;lenb($Z757),3,IF(lenb(SUBSTITUTE($Z757,W$1&amp;" (4)",""))&lt;lenb($Z757),4,IF(lenb(SUBSTITUTE($Z757,W$1&amp;" (5)",""))&lt;lenb($Z757),5,IF(lenb(SUBSTITUTE($Z757,W$1&amp;" (6)",""))&lt;lenb($Z757),6,IF(lenb(SUBSTITUTE($Z757,W$1&amp;" (7)",""))&lt;lenb($Z757),1,IF(lenb(SUBSTITUTE($Z757,W$1&amp;" (8)",""))&lt;lenb($Z757),8,IF(lenb(SUBSTITUTE($Z757,W$1&amp;" (9)",""))&lt;lenb($Z757),9,IF(lenb(SUBSTITUTE($Z757,W$1&amp;" (10)",""))&lt;lenb($Z757),10,IF(lenb(SUBSTITUTE($Z757,W$1,""))&lt;lenb($Z757),"ERROR",IF($Z757=$Y$1,"-",0))))))))))))</f>
        <v>0</v>
      </c>
      <c r="X757" s="116">
        <f t="shared" si="762"/>
        <v>0</v>
      </c>
      <c r="Y757" s="116" t="str">
        <f t="shared" si="4"/>
        <v>-</v>
      </c>
      <c r="Z757" s="115" t="s">
        <v>3400</v>
      </c>
      <c r="AA757" s="54">
        <f t="shared" si="5"/>
        <v>1</v>
      </c>
      <c r="AB757" s="54">
        <f>COUNTIFS(Links!B:B,"FSE",Links!C:C,A757,Links!AD:AD,1)</f>
        <v>0</v>
      </c>
      <c r="AC757" s="117" t="s">
        <v>35</v>
      </c>
      <c r="AD757" s="118" t="s">
        <v>35</v>
      </c>
      <c r="AE757" s="115" t="s">
        <v>36</v>
      </c>
      <c r="AF757" s="57" t="s">
        <v>42</v>
      </c>
      <c r="AG757" s="57" t="s">
        <v>42</v>
      </c>
      <c r="AH757" s="57" t="s">
        <v>42</v>
      </c>
      <c r="AI757" s="116" t="str">
        <f t="shared" si="6"/>
        <v>----</v>
      </c>
      <c r="AJ757" s="119" t="str">
        <f t="shared" si="7"/>
        <v>Paper has link but no statement</v>
      </c>
      <c r="AK757" s="120" t="s">
        <v>3401</v>
      </c>
      <c r="AL757" s="121" t="s">
        <v>3402</v>
      </c>
      <c r="AM757" s="60" t="str">
        <f t="shared" si="8"/>
        <v>[FP0043]</v>
      </c>
    </row>
    <row r="758" ht="67.5" customHeight="1">
      <c r="A758" s="61">
        <v>44.0</v>
      </c>
      <c r="B758" s="22" t="s">
        <v>5420</v>
      </c>
      <c r="C758" s="23">
        <v>2023.0</v>
      </c>
      <c r="D758" s="100" t="s">
        <v>37</v>
      </c>
      <c r="E758" s="25" t="s">
        <v>37</v>
      </c>
      <c r="F758" s="25" t="s">
        <v>35</v>
      </c>
      <c r="G758" s="25" t="s">
        <v>35</v>
      </c>
      <c r="H758" s="25" t="s">
        <v>35</v>
      </c>
      <c r="I758" s="25" t="s">
        <v>35</v>
      </c>
      <c r="J758" s="101" t="s">
        <v>36</v>
      </c>
      <c r="K758" s="102" t="s">
        <v>37</v>
      </c>
      <c r="L758" s="103" t="s">
        <v>37</v>
      </c>
      <c r="M758" s="103" t="s">
        <v>37</v>
      </c>
      <c r="N758" s="103" t="s">
        <v>37</v>
      </c>
      <c r="O758" s="103" t="s">
        <v>35</v>
      </c>
      <c r="P758" s="103" t="s">
        <v>35</v>
      </c>
      <c r="Q758" s="103" t="s">
        <v>37</v>
      </c>
      <c r="R758" s="103" t="s">
        <v>35</v>
      </c>
      <c r="S758" s="104" t="s">
        <v>5421</v>
      </c>
      <c r="T758" s="30" t="s">
        <v>5422</v>
      </c>
      <c r="U758" s="30" t="s">
        <v>5422</v>
      </c>
      <c r="V758" s="105">
        <f t="shared" si="2"/>
        <v>4</v>
      </c>
      <c r="W758" s="105">
        <f t="shared" ref="W758:X758" si="763">IF(lenb(SUBSTITUTE($Z758,W$1&amp;" (1)",""))&lt;lenb($Z758),1,IF(lenb(SUBSTITUTE($Z758,W$1&amp;" (2)",""))&lt;lenb($Z758),2,IF(lenb(SUBSTITUTE($Z758,W$1&amp;" (3)",""))&lt;lenb($Z758),3,IF(lenb(SUBSTITUTE($Z758,W$1&amp;" (4)",""))&lt;lenb($Z758),4,IF(lenb(SUBSTITUTE($Z758,W$1&amp;" (5)",""))&lt;lenb($Z758),5,IF(lenb(SUBSTITUTE($Z758,W$1&amp;" (6)",""))&lt;lenb($Z758),6,IF(lenb(SUBSTITUTE($Z758,W$1&amp;" (7)",""))&lt;lenb($Z758),1,IF(lenb(SUBSTITUTE($Z758,W$1&amp;" (8)",""))&lt;lenb($Z758),8,IF(lenb(SUBSTITUTE($Z758,W$1&amp;" (9)",""))&lt;lenb($Z758),9,IF(lenb(SUBSTITUTE($Z758,W$1&amp;" (10)",""))&lt;lenb($Z758),10,IF(lenb(SUBSTITUTE($Z758,W$1,""))&lt;lenb($Z758),"ERROR",IF($Z758=$Y$1,"-",0))))))))))))</f>
        <v>0</v>
      </c>
      <c r="X758" s="105">
        <f t="shared" si="763"/>
        <v>0</v>
      </c>
      <c r="Y758" s="105" t="str">
        <f t="shared" si="4"/>
        <v>-</v>
      </c>
      <c r="Z758" s="104" t="s">
        <v>4135</v>
      </c>
      <c r="AA758" s="34">
        <f t="shared" si="5"/>
        <v>4</v>
      </c>
      <c r="AB758" s="34">
        <f>COUNTIFS(Links!B:B,"FSE",Links!C:C,A758,Links!AD:AD,1)</f>
        <v>0</v>
      </c>
      <c r="AC758" s="106" t="s">
        <v>37</v>
      </c>
      <c r="AD758" s="107" t="s">
        <v>35</v>
      </c>
      <c r="AE758" s="104" t="s">
        <v>36</v>
      </c>
      <c r="AF758" s="37" t="s">
        <v>42</v>
      </c>
      <c r="AG758" s="37" t="s">
        <v>42</v>
      </c>
      <c r="AH758" s="37" t="s">
        <v>42</v>
      </c>
      <c r="AI758" s="105" t="str">
        <f t="shared" si="6"/>
        <v>----</v>
      </c>
      <c r="AJ758" s="108" t="str">
        <f t="shared" si="7"/>
        <v>Paper has link but no statement</v>
      </c>
      <c r="AK758" s="109" t="s">
        <v>3401</v>
      </c>
      <c r="AL758" s="110" t="s">
        <v>3402</v>
      </c>
      <c r="AM758" s="40" t="str">
        <f t="shared" si="8"/>
        <v>[FP0044]</v>
      </c>
    </row>
    <row r="759" ht="67.5" customHeight="1">
      <c r="A759" s="41">
        <v>45.0</v>
      </c>
      <c r="B759" s="42" t="s">
        <v>5423</v>
      </c>
      <c r="C759" s="43">
        <v>2023.0</v>
      </c>
      <c r="D759" s="111" t="s">
        <v>37</v>
      </c>
      <c r="E759" s="45" t="s">
        <v>37</v>
      </c>
      <c r="F759" s="45" t="s">
        <v>35</v>
      </c>
      <c r="G759" s="45" t="s">
        <v>35</v>
      </c>
      <c r="H759" s="45" t="s">
        <v>35</v>
      </c>
      <c r="I759" s="45" t="s">
        <v>35</v>
      </c>
      <c r="J759" s="112" t="s">
        <v>36</v>
      </c>
      <c r="K759" s="113" t="s">
        <v>37</v>
      </c>
      <c r="L759" s="114" t="s">
        <v>35</v>
      </c>
      <c r="M759" s="114" t="s">
        <v>37</v>
      </c>
      <c r="N759" s="114" t="s">
        <v>35</v>
      </c>
      <c r="O759" s="114" t="s">
        <v>35</v>
      </c>
      <c r="P759" s="114" t="s">
        <v>35</v>
      </c>
      <c r="Q759" s="114" t="s">
        <v>37</v>
      </c>
      <c r="R759" s="114" t="s">
        <v>35</v>
      </c>
      <c r="S759" s="115" t="s">
        <v>5020</v>
      </c>
      <c r="T759" s="50" t="s">
        <v>5424</v>
      </c>
      <c r="U759" s="50" t="s">
        <v>5424</v>
      </c>
      <c r="V759" s="116">
        <f t="shared" si="2"/>
        <v>1</v>
      </c>
      <c r="W759" s="116">
        <f t="shared" ref="W759:X759" si="764">IF(lenb(SUBSTITUTE($Z759,W$1&amp;" (1)",""))&lt;lenb($Z759),1,IF(lenb(SUBSTITUTE($Z759,W$1&amp;" (2)",""))&lt;lenb($Z759),2,IF(lenb(SUBSTITUTE($Z759,W$1&amp;" (3)",""))&lt;lenb($Z759),3,IF(lenb(SUBSTITUTE($Z759,W$1&amp;" (4)",""))&lt;lenb($Z759),4,IF(lenb(SUBSTITUTE($Z759,W$1&amp;" (5)",""))&lt;lenb($Z759),5,IF(lenb(SUBSTITUTE($Z759,W$1&amp;" (6)",""))&lt;lenb($Z759),6,IF(lenb(SUBSTITUTE($Z759,W$1&amp;" (7)",""))&lt;lenb($Z759),1,IF(lenb(SUBSTITUTE($Z759,W$1&amp;" (8)",""))&lt;lenb($Z759),8,IF(lenb(SUBSTITUTE($Z759,W$1&amp;" (9)",""))&lt;lenb($Z759),9,IF(lenb(SUBSTITUTE($Z759,W$1&amp;" (10)",""))&lt;lenb($Z759),10,IF(lenb(SUBSTITUTE($Z759,W$1,""))&lt;lenb($Z759),"ERROR",IF($Z759=$Y$1,"-",0))))))))))))</f>
        <v>0</v>
      </c>
      <c r="X759" s="116">
        <f t="shared" si="764"/>
        <v>0</v>
      </c>
      <c r="Y759" s="116" t="str">
        <f t="shared" si="4"/>
        <v>-</v>
      </c>
      <c r="Z759" s="115" t="s">
        <v>3400</v>
      </c>
      <c r="AA759" s="54">
        <f t="shared" si="5"/>
        <v>1</v>
      </c>
      <c r="AB759" s="54">
        <f>COUNTIFS(Links!B:B,"FSE",Links!C:C,A759,Links!AD:AD,1)</f>
        <v>0</v>
      </c>
      <c r="AC759" s="117" t="s">
        <v>37</v>
      </c>
      <c r="AD759" s="118" t="s">
        <v>35</v>
      </c>
      <c r="AE759" s="115" t="s">
        <v>36</v>
      </c>
      <c r="AF759" s="57" t="s">
        <v>42</v>
      </c>
      <c r="AG759" s="57" t="s">
        <v>42</v>
      </c>
      <c r="AH759" s="57" t="s">
        <v>42</v>
      </c>
      <c r="AI759" s="116" t="str">
        <f t="shared" si="6"/>
        <v>----</v>
      </c>
      <c r="AJ759" s="119" t="str">
        <f t="shared" si="7"/>
        <v>Paper has link but no statement</v>
      </c>
      <c r="AK759" s="120" t="s">
        <v>3401</v>
      </c>
      <c r="AL759" s="121" t="s">
        <v>3402</v>
      </c>
      <c r="AM759" s="60" t="str">
        <f t="shared" si="8"/>
        <v>[FP0045]</v>
      </c>
    </row>
    <row r="760" ht="67.5" customHeight="1">
      <c r="A760" s="61">
        <v>46.0</v>
      </c>
      <c r="B760" s="22" t="s">
        <v>5425</v>
      </c>
      <c r="C760" s="23">
        <v>2023.0</v>
      </c>
      <c r="D760" s="100" t="s">
        <v>37</v>
      </c>
      <c r="E760" s="25" t="s">
        <v>37</v>
      </c>
      <c r="F760" s="25" t="s">
        <v>35</v>
      </c>
      <c r="G760" s="25" t="s">
        <v>35</v>
      </c>
      <c r="H760" s="25" t="s">
        <v>35</v>
      </c>
      <c r="I760" s="25" t="s">
        <v>35</v>
      </c>
      <c r="J760" s="101" t="s">
        <v>36</v>
      </c>
      <c r="K760" s="102" t="s">
        <v>37</v>
      </c>
      <c r="L760" s="103" t="s">
        <v>35</v>
      </c>
      <c r="M760" s="103" t="s">
        <v>35</v>
      </c>
      <c r="N760" s="103" t="s">
        <v>35</v>
      </c>
      <c r="O760" s="103" t="s">
        <v>35</v>
      </c>
      <c r="P760" s="103" t="s">
        <v>35</v>
      </c>
      <c r="Q760" s="103" t="s">
        <v>37</v>
      </c>
      <c r="R760" s="103" t="s">
        <v>35</v>
      </c>
      <c r="S760" s="104" t="s">
        <v>5020</v>
      </c>
      <c r="T760" s="30" t="s">
        <v>5426</v>
      </c>
      <c r="U760" s="30" t="s">
        <v>5426</v>
      </c>
      <c r="V760" s="105">
        <f t="shared" si="2"/>
        <v>1</v>
      </c>
      <c r="W760" s="105">
        <f t="shared" ref="W760:X760" si="765">IF(lenb(SUBSTITUTE($Z760,W$1&amp;" (1)",""))&lt;lenb($Z760),1,IF(lenb(SUBSTITUTE($Z760,W$1&amp;" (2)",""))&lt;lenb($Z760),2,IF(lenb(SUBSTITUTE($Z760,W$1&amp;" (3)",""))&lt;lenb($Z760),3,IF(lenb(SUBSTITUTE($Z760,W$1&amp;" (4)",""))&lt;lenb($Z760),4,IF(lenb(SUBSTITUTE($Z760,W$1&amp;" (5)",""))&lt;lenb($Z760),5,IF(lenb(SUBSTITUTE($Z760,W$1&amp;" (6)",""))&lt;lenb($Z760),6,IF(lenb(SUBSTITUTE($Z760,W$1&amp;" (7)",""))&lt;lenb($Z760),1,IF(lenb(SUBSTITUTE($Z760,W$1&amp;" (8)",""))&lt;lenb($Z760),8,IF(lenb(SUBSTITUTE($Z760,W$1&amp;" (9)",""))&lt;lenb($Z760),9,IF(lenb(SUBSTITUTE($Z760,W$1&amp;" (10)",""))&lt;lenb($Z760),10,IF(lenb(SUBSTITUTE($Z760,W$1,""))&lt;lenb($Z760),"ERROR",IF($Z760=$Y$1,"-",0))))))))))))</f>
        <v>0</v>
      </c>
      <c r="X760" s="105">
        <f t="shared" si="765"/>
        <v>0</v>
      </c>
      <c r="Y760" s="105" t="str">
        <f t="shared" si="4"/>
        <v>-</v>
      </c>
      <c r="Z760" s="104" t="s">
        <v>3400</v>
      </c>
      <c r="AA760" s="34">
        <f t="shared" si="5"/>
        <v>1</v>
      </c>
      <c r="AB760" s="34">
        <f>COUNTIFS(Links!B:B,"FSE",Links!C:C,A760,Links!AD:AD,1)</f>
        <v>0</v>
      </c>
      <c r="AC760" s="106" t="s">
        <v>35</v>
      </c>
      <c r="AD760" s="107" t="s">
        <v>35</v>
      </c>
      <c r="AE760" s="104" t="s">
        <v>36</v>
      </c>
      <c r="AF760" s="37" t="s">
        <v>42</v>
      </c>
      <c r="AG760" s="37" t="s">
        <v>42</v>
      </c>
      <c r="AH760" s="37" t="s">
        <v>42</v>
      </c>
      <c r="AI760" s="105" t="str">
        <f t="shared" si="6"/>
        <v>----</v>
      </c>
      <c r="AJ760" s="108" t="str">
        <f t="shared" si="7"/>
        <v>Paper has link but no statement</v>
      </c>
      <c r="AK760" s="109" t="s">
        <v>3401</v>
      </c>
      <c r="AL760" s="110" t="s">
        <v>3402</v>
      </c>
      <c r="AM760" s="40" t="str">
        <f t="shared" si="8"/>
        <v>[FP0046]</v>
      </c>
    </row>
    <row r="761" ht="67.5" customHeight="1">
      <c r="A761" s="41">
        <v>47.0</v>
      </c>
      <c r="B761" s="42" t="s">
        <v>5427</v>
      </c>
      <c r="C761" s="43">
        <v>2023.0</v>
      </c>
      <c r="D761" s="111" t="s">
        <v>35</v>
      </c>
      <c r="E761" s="45" t="s">
        <v>36</v>
      </c>
      <c r="F761" s="45" t="s">
        <v>36</v>
      </c>
      <c r="G761" s="45" t="s">
        <v>36</v>
      </c>
      <c r="H761" s="45" t="s">
        <v>36</v>
      </c>
      <c r="I761" s="45" t="s">
        <v>36</v>
      </c>
      <c r="J761" s="112" t="s">
        <v>36</v>
      </c>
      <c r="K761" s="113" t="s">
        <v>37</v>
      </c>
      <c r="L761" s="114" t="s">
        <v>35</v>
      </c>
      <c r="M761" s="114" t="s">
        <v>37</v>
      </c>
      <c r="N761" s="114" t="s">
        <v>35</v>
      </c>
      <c r="O761" s="114" t="s">
        <v>35</v>
      </c>
      <c r="P761" s="114" t="s">
        <v>35</v>
      </c>
      <c r="Q761" s="114" t="s">
        <v>35</v>
      </c>
      <c r="R761" s="114" t="s">
        <v>37</v>
      </c>
      <c r="S761" s="115" t="s">
        <v>5428</v>
      </c>
      <c r="T761" s="50" t="s">
        <v>5429</v>
      </c>
      <c r="U761" s="50" t="s">
        <v>5430</v>
      </c>
      <c r="V761" s="116">
        <f t="shared" si="2"/>
        <v>1</v>
      </c>
      <c r="W761" s="116">
        <f t="shared" ref="W761:X761" si="766">IF(lenb(SUBSTITUTE($Z761,W$1&amp;" (1)",""))&lt;lenb($Z761),1,IF(lenb(SUBSTITUTE($Z761,W$1&amp;" (2)",""))&lt;lenb($Z761),2,IF(lenb(SUBSTITUTE($Z761,W$1&amp;" (3)",""))&lt;lenb($Z761),3,IF(lenb(SUBSTITUTE($Z761,W$1&amp;" (4)",""))&lt;lenb($Z761),4,IF(lenb(SUBSTITUTE($Z761,W$1&amp;" (5)",""))&lt;lenb($Z761),5,IF(lenb(SUBSTITUTE($Z761,W$1&amp;" (6)",""))&lt;lenb($Z761),6,IF(lenb(SUBSTITUTE($Z761,W$1&amp;" (7)",""))&lt;lenb($Z761),1,IF(lenb(SUBSTITUTE($Z761,W$1&amp;" (8)",""))&lt;lenb($Z761),8,IF(lenb(SUBSTITUTE($Z761,W$1&amp;" (9)",""))&lt;lenb($Z761),9,IF(lenb(SUBSTITUTE($Z761,W$1&amp;" (10)",""))&lt;lenb($Z761),10,IF(lenb(SUBSTITUTE($Z761,W$1,""))&lt;lenb($Z761),"ERROR",IF($Z761=$Y$1,"-",0))))))))))))</f>
        <v>0</v>
      </c>
      <c r="X761" s="116">
        <f t="shared" si="766"/>
        <v>0</v>
      </c>
      <c r="Y761" s="116" t="str">
        <f t="shared" si="4"/>
        <v>-</v>
      </c>
      <c r="Z761" s="115" t="s">
        <v>3400</v>
      </c>
      <c r="AA761" s="54">
        <f t="shared" si="5"/>
        <v>1</v>
      </c>
      <c r="AB761" s="54">
        <f>COUNTIFS(Links!B:B,"FSE",Links!C:C,A761,Links!AD:AD,1)</f>
        <v>0</v>
      </c>
      <c r="AC761" s="117" t="s">
        <v>35</v>
      </c>
      <c r="AD761" s="118" t="s">
        <v>35</v>
      </c>
      <c r="AE761" s="115" t="s">
        <v>36</v>
      </c>
      <c r="AF761" s="57" t="s">
        <v>42</v>
      </c>
      <c r="AG761" s="57" t="s">
        <v>42</v>
      </c>
      <c r="AH761" s="57" t="s">
        <v>42</v>
      </c>
      <c r="AI761" s="116" t="str">
        <f t="shared" si="6"/>
        <v>----</v>
      </c>
      <c r="AJ761" s="119" t="str">
        <f t="shared" si="7"/>
        <v>Paper has link but no statement</v>
      </c>
      <c r="AK761" s="120" t="s">
        <v>3401</v>
      </c>
      <c r="AL761" s="121" t="s">
        <v>3402</v>
      </c>
      <c r="AM761" s="60" t="str">
        <f t="shared" si="8"/>
        <v>[FP0047]</v>
      </c>
    </row>
    <row r="762" ht="67.5" customHeight="1">
      <c r="A762" s="61">
        <v>48.0</v>
      </c>
      <c r="B762" s="22" t="s">
        <v>5431</v>
      </c>
      <c r="C762" s="23">
        <v>2023.0</v>
      </c>
      <c r="D762" s="100" t="s">
        <v>37</v>
      </c>
      <c r="E762" s="25" t="s">
        <v>37</v>
      </c>
      <c r="F762" s="25" t="s">
        <v>35</v>
      </c>
      <c r="G762" s="25" t="s">
        <v>35</v>
      </c>
      <c r="H762" s="25" t="s">
        <v>35</v>
      </c>
      <c r="I762" s="25" t="s">
        <v>35</v>
      </c>
      <c r="J762" s="101" t="s">
        <v>36</v>
      </c>
      <c r="K762" s="102" t="s">
        <v>37</v>
      </c>
      <c r="L762" s="103" t="s">
        <v>35</v>
      </c>
      <c r="M762" s="103" t="s">
        <v>37</v>
      </c>
      <c r="N762" s="103" t="s">
        <v>35</v>
      </c>
      <c r="O762" s="103" t="s">
        <v>35</v>
      </c>
      <c r="P762" s="103" t="s">
        <v>35</v>
      </c>
      <c r="Q762" s="103" t="s">
        <v>37</v>
      </c>
      <c r="R762" s="103" t="s">
        <v>35</v>
      </c>
      <c r="S762" s="104" t="s">
        <v>5020</v>
      </c>
      <c r="T762" s="30" t="s">
        <v>5432</v>
      </c>
      <c r="U762" s="30" t="s">
        <v>5432</v>
      </c>
      <c r="V762" s="105">
        <f t="shared" si="2"/>
        <v>1</v>
      </c>
      <c r="W762" s="105">
        <f t="shared" ref="W762:X762" si="767">IF(lenb(SUBSTITUTE($Z762,W$1&amp;" (1)",""))&lt;lenb($Z762),1,IF(lenb(SUBSTITUTE($Z762,W$1&amp;" (2)",""))&lt;lenb($Z762),2,IF(lenb(SUBSTITUTE($Z762,W$1&amp;" (3)",""))&lt;lenb($Z762),3,IF(lenb(SUBSTITUTE($Z762,W$1&amp;" (4)",""))&lt;lenb($Z762),4,IF(lenb(SUBSTITUTE($Z762,W$1&amp;" (5)",""))&lt;lenb($Z762),5,IF(lenb(SUBSTITUTE($Z762,W$1&amp;" (6)",""))&lt;lenb($Z762),6,IF(lenb(SUBSTITUTE($Z762,W$1&amp;" (7)",""))&lt;lenb($Z762),1,IF(lenb(SUBSTITUTE($Z762,W$1&amp;" (8)",""))&lt;lenb($Z762),8,IF(lenb(SUBSTITUTE($Z762,W$1&amp;" (9)",""))&lt;lenb($Z762),9,IF(lenb(SUBSTITUTE($Z762,W$1&amp;" (10)",""))&lt;lenb($Z762),10,IF(lenb(SUBSTITUTE($Z762,W$1,""))&lt;lenb($Z762),"ERROR",IF($Z762=$Y$1,"-",0))))))))))))</f>
        <v>0</v>
      </c>
      <c r="X762" s="105">
        <f t="shared" si="767"/>
        <v>0</v>
      </c>
      <c r="Y762" s="105" t="str">
        <f t="shared" si="4"/>
        <v>-</v>
      </c>
      <c r="Z762" s="104" t="s">
        <v>3400</v>
      </c>
      <c r="AA762" s="34">
        <f t="shared" si="5"/>
        <v>1</v>
      </c>
      <c r="AB762" s="34">
        <f>COUNTIFS(Links!B:B,"FSE",Links!C:C,A762,Links!AD:AD,1)</f>
        <v>0</v>
      </c>
      <c r="AC762" s="106" t="s">
        <v>37</v>
      </c>
      <c r="AD762" s="107" t="s">
        <v>35</v>
      </c>
      <c r="AE762" s="104" t="s">
        <v>36</v>
      </c>
      <c r="AF762" s="37" t="s">
        <v>42</v>
      </c>
      <c r="AG762" s="37" t="s">
        <v>42</v>
      </c>
      <c r="AH762" s="37" t="s">
        <v>42</v>
      </c>
      <c r="AI762" s="105" t="str">
        <f t="shared" si="6"/>
        <v>----</v>
      </c>
      <c r="AJ762" s="108" t="str">
        <f t="shared" si="7"/>
        <v>Paper has link but no statement</v>
      </c>
      <c r="AK762" s="109" t="s">
        <v>3401</v>
      </c>
      <c r="AL762" s="110" t="s">
        <v>3402</v>
      </c>
      <c r="AM762" s="40" t="str">
        <f t="shared" si="8"/>
        <v>[FP0048]</v>
      </c>
    </row>
    <row r="763" ht="67.5" customHeight="1">
      <c r="A763" s="41">
        <v>49.0</v>
      </c>
      <c r="B763" s="42" t="s">
        <v>5433</v>
      </c>
      <c r="C763" s="43">
        <v>2023.0</v>
      </c>
      <c r="D763" s="111" t="s">
        <v>35</v>
      </c>
      <c r="E763" s="45" t="s">
        <v>36</v>
      </c>
      <c r="F763" s="45" t="s">
        <v>36</v>
      </c>
      <c r="G763" s="45" t="s">
        <v>36</v>
      </c>
      <c r="H763" s="45" t="s">
        <v>36</v>
      </c>
      <c r="I763" s="45" t="s">
        <v>36</v>
      </c>
      <c r="J763" s="112" t="s">
        <v>36</v>
      </c>
      <c r="K763" s="113" t="s">
        <v>37</v>
      </c>
      <c r="L763" s="114" t="s">
        <v>37</v>
      </c>
      <c r="M763" s="114" t="s">
        <v>35</v>
      </c>
      <c r="N763" s="114" t="s">
        <v>35</v>
      </c>
      <c r="O763" s="114" t="s">
        <v>35</v>
      </c>
      <c r="P763" s="114" t="s">
        <v>35</v>
      </c>
      <c r="Q763" s="114" t="s">
        <v>35</v>
      </c>
      <c r="R763" s="114" t="s">
        <v>37</v>
      </c>
      <c r="S763" s="115" t="s">
        <v>5434</v>
      </c>
      <c r="T763" s="50" t="s">
        <v>5435</v>
      </c>
      <c r="U763" s="50" t="s">
        <v>5435</v>
      </c>
      <c r="V763" s="116">
        <f t="shared" si="2"/>
        <v>1</v>
      </c>
      <c r="W763" s="116">
        <f t="shared" ref="W763:X763" si="768">IF(lenb(SUBSTITUTE($Z763,W$1&amp;" (1)",""))&lt;lenb($Z763),1,IF(lenb(SUBSTITUTE($Z763,W$1&amp;" (2)",""))&lt;lenb($Z763),2,IF(lenb(SUBSTITUTE($Z763,W$1&amp;" (3)",""))&lt;lenb($Z763),3,IF(lenb(SUBSTITUTE($Z763,W$1&amp;" (4)",""))&lt;lenb($Z763),4,IF(lenb(SUBSTITUTE($Z763,W$1&amp;" (5)",""))&lt;lenb($Z763),5,IF(lenb(SUBSTITUTE($Z763,W$1&amp;" (6)",""))&lt;lenb($Z763),6,IF(lenb(SUBSTITUTE($Z763,W$1&amp;" (7)",""))&lt;lenb($Z763),1,IF(lenb(SUBSTITUTE($Z763,W$1&amp;" (8)",""))&lt;lenb($Z763),8,IF(lenb(SUBSTITUTE($Z763,W$1&amp;" (9)",""))&lt;lenb($Z763),9,IF(lenb(SUBSTITUTE($Z763,W$1&amp;" (10)",""))&lt;lenb($Z763),10,IF(lenb(SUBSTITUTE($Z763,W$1,""))&lt;lenb($Z763),"ERROR",IF($Z763=$Y$1,"-",0))))))))))))</f>
        <v>0</v>
      </c>
      <c r="X763" s="116">
        <f t="shared" si="768"/>
        <v>0</v>
      </c>
      <c r="Y763" s="116" t="str">
        <f t="shared" si="4"/>
        <v>-</v>
      </c>
      <c r="Z763" s="115" t="s">
        <v>3400</v>
      </c>
      <c r="AA763" s="54">
        <f t="shared" si="5"/>
        <v>1</v>
      </c>
      <c r="AB763" s="54">
        <f>COUNTIFS(Links!B:B,"FSE",Links!C:C,A763,Links!AD:AD,1)</f>
        <v>0</v>
      </c>
      <c r="AC763" s="117" t="s">
        <v>35</v>
      </c>
      <c r="AD763" s="118" t="s">
        <v>37</v>
      </c>
      <c r="AE763" s="129" t="s">
        <v>5436</v>
      </c>
      <c r="AF763" s="57" t="s">
        <v>281</v>
      </c>
      <c r="AG763" s="57" t="s">
        <v>42</v>
      </c>
      <c r="AH763" s="57" t="s">
        <v>42</v>
      </c>
      <c r="AI763" s="116" t="str">
        <f t="shared" si="6"/>
        <v>Barriers (Confidentiality and privacy)</v>
      </c>
      <c r="AJ763" s="119" t="str">
        <f t="shared" si="7"/>
        <v>Paper has link and statement</v>
      </c>
      <c r="AK763" s="120" t="s">
        <v>3401</v>
      </c>
      <c r="AL763" s="121" t="s">
        <v>3402</v>
      </c>
      <c r="AM763" s="60" t="str">
        <f t="shared" si="8"/>
        <v>[FP0049]</v>
      </c>
    </row>
    <row r="764" ht="67.5" customHeight="1">
      <c r="A764" s="61">
        <v>50.0</v>
      </c>
      <c r="B764" s="22" t="s">
        <v>5437</v>
      </c>
      <c r="C764" s="23">
        <v>2023.0</v>
      </c>
      <c r="D764" s="100" t="s">
        <v>35</v>
      </c>
      <c r="E764" s="25" t="s">
        <v>36</v>
      </c>
      <c r="F764" s="25" t="s">
        <v>36</v>
      </c>
      <c r="G764" s="25" t="s">
        <v>36</v>
      </c>
      <c r="H764" s="25" t="s">
        <v>36</v>
      </c>
      <c r="I764" s="25" t="s">
        <v>36</v>
      </c>
      <c r="J764" s="101" t="s">
        <v>36</v>
      </c>
      <c r="K764" s="102" t="s">
        <v>35</v>
      </c>
      <c r="L764" s="103" t="s">
        <v>36</v>
      </c>
      <c r="M764" s="103" t="s">
        <v>36</v>
      </c>
      <c r="N764" s="103" t="s">
        <v>36</v>
      </c>
      <c r="O764" s="103" t="s">
        <v>36</v>
      </c>
      <c r="P764" s="103" t="s">
        <v>36</v>
      </c>
      <c r="Q764" s="103" t="s">
        <v>36</v>
      </c>
      <c r="R764" s="103" t="s">
        <v>36</v>
      </c>
      <c r="S764" s="104" t="s">
        <v>42</v>
      </c>
      <c r="T764" s="30" t="s">
        <v>36</v>
      </c>
      <c r="U764" s="30" t="s">
        <v>36</v>
      </c>
      <c r="V764" s="105" t="str">
        <f t="shared" si="2"/>
        <v>-</v>
      </c>
      <c r="W764" s="105" t="str">
        <f t="shared" ref="W764:X764" si="769">IF(lenb(SUBSTITUTE($Z764,W$1&amp;" (1)",""))&lt;lenb($Z764),1,IF(lenb(SUBSTITUTE($Z764,W$1&amp;" (2)",""))&lt;lenb($Z764),2,IF(lenb(SUBSTITUTE($Z764,W$1&amp;" (3)",""))&lt;lenb($Z764),3,IF(lenb(SUBSTITUTE($Z764,W$1&amp;" (4)",""))&lt;lenb($Z764),4,IF(lenb(SUBSTITUTE($Z764,W$1&amp;" (5)",""))&lt;lenb($Z764),5,IF(lenb(SUBSTITUTE($Z764,W$1&amp;" (6)",""))&lt;lenb($Z764),6,IF(lenb(SUBSTITUTE($Z764,W$1&amp;" (7)",""))&lt;lenb($Z764),1,IF(lenb(SUBSTITUTE($Z764,W$1&amp;" (8)",""))&lt;lenb($Z764),8,IF(lenb(SUBSTITUTE($Z764,W$1&amp;" (9)",""))&lt;lenb($Z764),9,IF(lenb(SUBSTITUTE($Z764,W$1&amp;" (10)",""))&lt;lenb($Z764),10,IF(lenb(SUBSTITUTE($Z764,W$1,""))&lt;lenb($Z764),"ERROR",IF($Z764=$Y$1,"-",0))))))))))))</f>
        <v>-</v>
      </c>
      <c r="X764" s="105" t="str">
        <f t="shared" si="769"/>
        <v>-</v>
      </c>
      <c r="Y764" s="105">
        <f t="shared" si="4"/>
        <v>1</v>
      </c>
      <c r="Z764" s="104" t="s">
        <v>23</v>
      </c>
      <c r="AA764" s="34">
        <f t="shared" si="5"/>
        <v>0</v>
      </c>
      <c r="AB764" s="34">
        <f>COUNTIFS(Links!B:B,"FSE",Links!C:C,A764,Links!AD:AD,1)</f>
        <v>0</v>
      </c>
      <c r="AC764" s="106" t="s">
        <v>36</v>
      </c>
      <c r="AD764" s="107" t="s">
        <v>37</v>
      </c>
      <c r="AE764" s="128" t="s">
        <v>5438</v>
      </c>
      <c r="AF764" s="37" t="s">
        <v>281</v>
      </c>
      <c r="AG764" s="37" t="s">
        <v>42</v>
      </c>
      <c r="AH764" s="37" t="s">
        <v>42</v>
      </c>
      <c r="AI764" s="105" t="str">
        <f t="shared" si="6"/>
        <v>Barriers (Confidentiality and privacy)</v>
      </c>
      <c r="AJ764" s="108" t="str">
        <f t="shared" si="7"/>
        <v>Paper has no link but has statement</v>
      </c>
      <c r="AK764" s="109" t="s">
        <v>3401</v>
      </c>
      <c r="AL764" s="110" t="s">
        <v>3402</v>
      </c>
      <c r="AM764" s="40" t="str">
        <f t="shared" si="8"/>
        <v>[FP0050]</v>
      </c>
    </row>
    <row r="765" ht="67.5" customHeight="1">
      <c r="A765" s="41">
        <v>51.0</v>
      </c>
      <c r="B765" s="42" t="s">
        <v>5439</v>
      </c>
      <c r="C765" s="43">
        <v>2023.0</v>
      </c>
      <c r="D765" s="111" t="s">
        <v>35</v>
      </c>
      <c r="E765" s="45" t="s">
        <v>36</v>
      </c>
      <c r="F765" s="45" t="s">
        <v>36</v>
      </c>
      <c r="G765" s="45" t="s">
        <v>36</v>
      </c>
      <c r="H765" s="45" t="s">
        <v>36</v>
      </c>
      <c r="I765" s="45" t="s">
        <v>36</v>
      </c>
      <c r="J765" s="112" t="s">
        <v>36</v>
      </c>
      <c r="K765" s="113" t="s">
        <v>37</v>
      </c>
      <c r="L765" s="114" t="s">
        <v>37</v>
      </c>
      <c r="M765" s="114" t="s">
        <v>35</v>
      </c>
      <c r="N765" s="114" t="s">
        <v>35</v>
      </c>
      <c r="O765" s="114" t="s">
        <v>35</v>
      </c>
      <c r="P765" s="114" t="s">
        <v>35</v>
      </c>
      <c r="Q765" s="114" t="s">
        <v>37</v>
      </c>
      <c r="R765" s="114" t="s">
        <v>35</v>
      </c>
      <c r="S765" s="115" t="s">
        <v>5020</v>
      </c>
      <c r="T765" s="50" t="s">
        <v>5440</v>
      </c>
      <c r="U765" s="50" t="s">
        <v>5440</v>
      </c>
      <c r="V765" s="116">
        <f t="shared" si="2"/>
        <v>1</v>
      </c>
      <c r="W765" s="116">
        <f t="shared" ref="W765:X765" si="770">IF(lenb(SUBSTITUTE($Z765,W$1&amp;" (1)",""))&lt;lenb($Z765),1,IF(lenb(SUBSTITUTE($Z765,W$1&amp;" (2)",""))&lt;lenb($Z765),2,IF(lenb(SUBSTITUTE($Z765,W$1&amp;" (3)",""))&lt;lenb($Z765),3,IF(lenb(SUBSTITUTE($Z765,W$1&amp;" (4)",""))&lt;lenb($Z765),4,IF(lenb(SUBSTITUTE($Z765,W$1&amp;" (5)",""))&lt;lenb($Z765),5,IF(lenb(SUBSTITUTE($Z765,W$1&amp;" (6)",""))&lt;lenb($Z765),6,IF(lenb(SUBSTITUTE($Z765,W$1&amp;" (7)",""))&lt;lenb($Z765),1,IF(lenb(SUBSTITUTE($Z765,W$1&amp;" (8)",""))&lt;lenb($Z765),8,IF(lenb(SUBSTITUTE($Z765,W$1&amp;" (9)",""))&lt;lenb($Z765),9,IF(lenb(SUBSTITUTE($Z765,W$1&amp;" (10)",""))&lt;lenb($Z765),10,IF(lenb(SUBSTITUTE($Z765,W$1,""))&lt;lenb($Z765),"ERROR",IF($Z765=$Y$1,"-",0))))))))))))</f>
        <v>0</v>
      </c>
      <c r="X765" s="116">
        <f t="shared" si="770"/>
        <v>0</v>
      </c>
      <c r="Y765" s="116" t="str">
        <f t="shared" si="4"/>
        <v>-</v>
      </c>
      <c r="Z765" s="115" t="s">
        <v>3400</v>
      </c>
      <c r="AA765" s="54">
        <f t="shared" si="5"/>
        <v>1</v>
      </c>
      <c r="AB765" s="54">
        <f>COUNTIFS(Links!B:B,"FSE",Links!C:C,A765,Links!AD:AD,1)</f>
        <v>0</v>
      </c>
      <c r="AC765" s="117" t="s">
        <v>35</v>
      </c>
      <c r="AD765" s="118" t="s">
        <v>35</v>
      </c>
      <c r="AE765" s="115" t="s">
        <v>36</v>
      </c>
      <c r="AF765" s="57" t="s">
        <v>42</v>
      </c>
      <c r="AG765" s="57" t="s">
        <v>42</v>
      </c>
      <c r="AH765" s="57" t="s">
        <v>42</v>
      </c>
      <c r="AI765" s="116" t="str">
        <f t="shared" si="6"/>
        <v>----</v>
      </c>
      <c r="AJ765" s="119" t="str">
        <f t="shared" si="7"/>
        <v>Paper has link but no statement</v>
      </c>
      <c r="AK765" s="120" t="s">
        <v>3401</v>
      </c>
      <c r="AL765" s="121" t="s">
        <v>3402</v>
      </c>
      <c r="AM765" s="60" t="str">
        <f t="shared" si="8"/>
        <v>[FP0051]</v>
      </c>
    </row>
    <row r="766" ht="67.5" customHeight="1">
      <c r="A766" s="61">
        <v>52.0</v>
      </c>
      <c r="B766" s="22" t="s">
        <v>5441</v>
      </c>
      <c r="C766" s="23">
        <v>2023.0</v>
      </c>
      <c r="D766" s="100" t="s">
        <v>37</v>
      </c>
      <c r="E766" s="25" t="s">
        <v>37</v>
      </c>
      <c r="F766" s="25" t="s">
        <v>35</v>
      </c>
      <c r="G766" s="25" t="s">
        <v>37</v>
      </c>
      <c r="H766" s="25" t="s">
        <v>35</v>
      </c>
      <c r="I766" s="25" t="s">
        <v>35</v>
      </c>
      <c r="J766" s="101" t="s">
        <v>36</v>
      </c>
      <c r="K766" s="102" t="s">
        <v>37</v>
      </c>
      <c r="L766" s="103" t="s">
        <v>37</v>
      </c>
      <c r="M766" s="103" t="s">
        <v>37</v>
      </c>
      <c r="N766" s="103" t="s">
        <v>35</v>
      </c>
      <c r="O766" s="103" t="s">
        <v>35</v>
      </c>
      <c r="P766" s="103" t="s">
        <v>35</v>
      </c>
      <c r="Q766" s="103" t="s">
        <v>37</v>
      </c>
      <c r="R766" s="103" t="s">
        <v>37</v>
      </c>
      <c r="S766" s="104" t="s">
        <v>5442</v>
      </c>
      <c r="T766" s="30" t="s">
        <v>5443</v>
      </c>
      <c r="U766" s="30" t="s">
        <v>5444</v>
      </c>
      <c r="V766" s="105">
        <f t="shared" si="2"/>
        <v>2</v>
      </c>
      <c r="W766" s="105">
        <f t="shared" ref="W766:X766" si="771">IF(lenb(SUBSTITUTE($Z766,W$1&amp;" (1)",""))&lt;lenb($Z766),1,IF(lenb(SUBSTITUTE($Z766,W$1&amp;" (2)",""))&lt;lenb($Z766),2,IF(lenb(SUBSTITUTE($Z766,W$1&amp;" (3)",""))&lt;lenb($Z766),3,IF(lenb(SUBSTITUTE($Z766,W$1&amp;" (4)",""))&lt;lenb($Z766),4,IF(lenb(SUBSTITUTE($Z766,W$1&amp;" (5)",""))&lt;lenb($Z766),5,IF(lenb(SUBSTITUTE($Z766,W$1&amp;" (6)",""))&lt;lenb($Z766),6,IF(lenb(SUBSTITUTE($Z766,W$1&amp;" (7)",""))&lt;lenb($Z766),1,IF(lenb(SUBSTITUTE($Z766,W$1&amp;" (8)",""))&lt;lenb($Z766),8,IF(lenb(SUBSTITUTE($Z766,W$1&amp;" (9)",""))&lt;lenb($Z766),9,IF(lenb(SUBSTITUTE($Z766,W$1&amp;" (10)",""))&lt;lenb($Z766),10,IF(lenb(SUBSTITUTE($Z766,W$1,""))&lt;lenb($Z766),"ERROR",IF($Z766=$Y$1,"-",0))))))))))))</f>
        <v>0</v>
      </c>
      <c r="X766" s="105">
        <f t="shared" si="771"/>
        <v>0</v>
      </c>
      <c r="Y766" s="105" t="str">
        <f t="shared" si="4"/>
        <v>-</v>
      </c>
      <c r="Z766" s="104" t="s">
        <v>3452</v>
      </c>
      <c r="AA766" s="34">
        <f t="shared" si="5"/>
        <v>2</v>
      </c>
      <c r="AB766" s="34">
        <f>COUNTIFS(Links!B:B,"FSE",Links!C:C,A766,Links!AD:AD,1)</f>
        <v>0</v>
      </c>
      <c r="AC766" s="106" t="s">
        <v>37</v>
      </c>
      <c r="AD766" s="107" t="s">
        <v>35</v>
      </c>
      <c r="AE766" s="104" t="s">
        <v>36</v>
      </c>
      <c r="AF766" s="37" t="s">
        <v>42</v>
      </c>
      <c r="AG766" s="37" t="s">
        <v>42</v>
      </c>
      <c r="AH766" s="37" t="s">
        <v>42</v>
      </c>
      <c r="AI766" s="105" t="str">
        <f t="shared" si="6"/>
        <v>----</v>
      </c>
      <c r="AJ766" s="108" t="str">
        <f t="shared" si="7"/>
        <v>Paper has link but no statement</v>
      </c>
      <c r="AK766" s="109" t="s">
        <v>3401</v>
      </c>
      <c r="AL766" s="110" t="s">
        <v>3402</v>
      </c>
      <c r="AM766" s="40" t="str">
        <f t="shared" si="8"/>
        <v>[FP0052]</v>
      </c>
    </row>
    <row r="767" ht="67.5" customHeight="1">
      <c r="A767" s="41">
        <v>53.0</v>
      </c>
      <c r="B767" s="42" t="s">
        <v>5445</v>
      </c>
      <c r="C767" s="43">
        <v>2023.0</v>
      </c>
      <c r="D767" s="111" t="s">
        <v>37</v>
      </c>
      <c r="E767" s="45" t="s">
        <v>37</v>
      </c>
      <c r="F767" s="45" t="s">
        <v>35</v>
      </c>
      <c r="G767" s="45" t="s">
        <v>35</v>
      </c>
      <c r="H767" s="45" t="s">
        <v>35</v>
      </c>
      <c r="I767" s="45" t="s">
        <v>35</v>
      </c>
      <c r="J767" s="112" t="s">
        <v>36</v>
      </c>
      <c r="K767" s="113" t="s">
        <v>37</v>
      </c>
      <c r="L767" s="114" t="s">
        <v>35</v>
      </c>
      <c r="M767" s="114" t="s">
        <v>37</v>
      </c>
      <c r="N767" s="114" t="s">
        <v>35</v>
      </c>
      <c r="O767" s="114" t="s">
        <v>35</v>
      </c>
      <c r="P767" s="114" t="s">
        <v>35</v>
      </c>
      <c r="Q767" s="114" t="s">
        <v>37</v>
      </c>
      <c r="R767" s="114" t="s">
        <v>35</v>
      </c>
      <c r="S767" s="115" t="s">
        <v>5103</v>
      </c>
      <c r="T767" s="50" t="s">
        <v>5446</v>
      </c>
      <c r="U767" s="50" t="s">
        <v>5446</v>
      </c>
      <c r="V767" s="116">
        <f t="shared" si="2"/>
        <v>1</v>
      </c>
      <c r="W767" s="116">
        <f t="shared" ref="W767:X767" si="772">IF(lenb(SUBSTITUTE($Z767,W$1&amp;" (1)",""))&lt;lenb($Z767),1,IF(lenb(SUBSTITUTE($Z767,W$1&amp;" (2)",""))&lt;lenb($Z767),2,IF(lenb(SUBSTITUTE($Z767,W$1&amp;" (3)",""))&lt;lenb($Z767),3,IF(lenb(SUBSTITUTE($Z767,W$1&amp;" (4)",""))&lt;lenb($Z767),4,IF(lenb(SUBSTITUTE($Z767,W$1&amp;" (5)",""))&lt;lenb($Z767),5,IF(lenb(SUBSTITUTE($Z767,W$1&amp;" (6)",""))&lt;lenb($Z767),6,IF(lenb(SUBSTITUTE($Z767,W$1&amp;" (7)",""))&lt;lenb($Z767),1,IF(lenb(SUBSTITUTE($Z767,W$1&amp;" (8)",""))&lt;lenb($Z767),8,IF(lenb(SUBSTITUTE($Z767,W$1&amp;" (9)",""))&lt;lenb($Z767),9,IF(lenb(SUBSTITUTE($Z767,W$1&amp;" (10)",""))&lt;lenb($Z767),10,IF(lenb(SUBSTITUTE($Z767,W$1,""))&lt;lenb($Z767),"ERROR",IF($Z767=$Y$1,"-",0))))))))))))</f>
        <v>0</v>
      </c>
      <c r="X767" s="116">
        <f t="shared" si="772"/>
        <v>0</v>
      </c>
      <c r="Y767" s="116" t="str">
        <f t="shared" si="4"/>
        <v>-</v>
      </c>
      <c r="Z767" s="115" t="s">
        <v>3400</v>
      </c>
      <c r="AA767" s="54">
        <f t="shared" si="5"/>
        <v>1</v>
      </c>
      <c r="AB767" s="54">
        <f>COUNTIFS(Links!B:B,"FSE",Links!C:C,A767,Links!AD:AD,1)</f>
        <v>0</v>
      </c>
      <c r="AC767" s="117" t="s">
        <v>37</v>
      </c>
      <c r="AD767" s="118" t="s">
        <v>35</v>
      </c>
      <c r="AE767" s="115" t="s">
        <v>36</v>
      </c>
      <c r="AF767" s="57" t="s">
        <v>42</v>
      </c>
      <c r="AG767" s="57" t="s">
        <v>42</v>
      </c>
      <c r="AH767" s="57" t="s">
        <v>42</v>
      </c>
      <c r="AI767" s="116" t="str">
        <f t="shared" si="6"/>
        <v>----</v>
      </c>
      <c r="AJ767" s="119" t="str">
        <f t="shared" si="7"/>
        <v>Paper has link but no statement</v>
      </c>
      <c r="AK767" s="120" t="s">
        <v>3401</v>
      </c>
      <c r="AL767" s="121" t="s">
        <v>3402</v>
      </c>
      <c r="AM767" s="60" t="str">
        <f t="shared" si="8"/>
        <v>[FP0053]</v>
      </c>
    </row>
    <row r="768" ht="67.5" customHeight="1">
      <c r="A768" s="61">
        <v>54.0</v>
      </c>
      <c r="B768" s="22" t="s">
        <v>5447</v>
      </c>
      <c r="C768" s="23">
        <v>2023.0</v>
      </c>
      <c r="D768" s="100" t="s">
        <v>35</v>
      </c>
      <c r="E768" s="25" t="s">
        <v>36</v>
      </c>
      <c r="F768" s="25" t="s">
        <v>36</v>
      </c>
      <c r="G768" s="25" t="s">
        <v>36</v>
      </c>
      <c r="H768" s="25" t="s">
        <v>36</v>
      </c>
      <c r="I768" s="25" t="s">
        <v>36</v>
      </c>
      <c r="J768" s="101" t="s">
        <v>36</v>
      </c>
      <c r="K768" s="102" t="s">
        <v>37</v>
      </c>
      <c r="L768" s="103" t="s">
        <v>37</v>
      </c>
      <c r="M768" s="103" t="s">
        <v>35</v>
      </c>
      <c r="N768" s="103" t="s">
        <v>35</v>
      </c>
      <c r="O768" s="103" t="s">
        <v>35</v>
      </c>
      <c r="P768" s="103" t="s">
        <v>35</v>
      </c>
      <c r="Q768" s="103" t="s">
        <v>37</v>
      </c>
      <c r="R768" s="103" t="s">
        <v>35</v>
      </c>
      <c r="S768" s="104" t="s">
        <v>5020</v>
      </c>
      <c r="T768" s="30" t="s">
        <v>5448</v>
      </c>
      <c r="U768" s="30" t="s">
        <v>5448</v>
      </c>
      <c r="V768" s="105">
        <f t="shared" si="2"/>
        <v>1</v>
      </c>
      <c r="W768" s="105">
        <f t="shared" ref="W768:X768" si="773">IF(lenb(SUBSTITUTE($Z768,W$1&amp;" (1)",""))&lt;lenb($Z768),1,IF(lenb(SUBSTITUTE($Z768,W$1&amp;" (2)",""))&lt;lenb($Z768),2,IF(lenb(SUBSTITUTE($Z768,W$1&amp;" (3)",""))&lt;lenb($Z768),3,IF(lenb(SUBSTITUTE($Z768,W$1&amp;" (4)",""))&lt;lenb($Z768),4,IF(lenb(SUBSTITUTE($Z768,W$1&amp;" (5)",""))&lt;lenb($Z768),5,IF(lenb(SUBSTITUTE($Z768,W$1&amp;" (6)",""))&lt;lenb($Z768),6,IF(lenb(SUBSTITUTE($Z768,W$1&amp;" (7)",""))&lt;lenb($Z768),1,IF(lenb(SUBSTITUTE($Z768,W$1&amp;" (8)",""))&lt;lenb($Z768),8,IF(lenb(SUBSTITUTE($Z768,W$1&amp;" (9)",""))&lt;lenb($Z768),9,IF(lenb(SUBSTITUTE($Z768,W$1&amp;" (10)",""))&lt;lenb($Z768),10,IF(lenb(SUBSTITUTE($Z768,W$1,""))&lt;lenb($Z768),"ERROR",IF($Z768=$Y$1,"-",0))))))))))))</f>
        <v>0</v>
      </c>
      <c r="X768" s="105">
        <f t="shared" si="773"/>
        <v>0</v>
      </c>
      <c r="Y768" s="105" t="str">
        <f t="shared" si="4"/>
        <v>-</v>
      </c>
      <c r="Z768" s="104" t="s">
        <v>3400</v>
      </c>
      <c r="AA768" s="34">
        <f t="shared" si="5"/>
        <v>1</v>
      </c>
      <c r="AB768" s="34">
        <f>COUNTIFS(Links!B:B,"FSE",Links!C:C,A768,Links!AD:AD,1)</f>
        <v>0</v>
      </c>
      <c r="AC768" s="106" t="s">
        <v>35</v>
      </c>
      <c r="AD768" s="107" t="s">
        <v>37</v>
      </c>
      <c r="AE768" s="128" t="s">
        <v>5449</v>
      </c>
      <c r="AF768" s="37" t="s">
        <v>223</v>
      </c>
      <c r="AG768" s="37" t="s">
        <v>281</v>
      </c>
      <c r="AH768" s="37" t="s">
        <v>42</v>
      </c>
      <c r="AI768" s="105" t="str">
        <f t="shared" si="6"/>
        <v>Barriers (Agreements and legal rights)
Barriers (Confidentiality and privacy)</v>
      </c>
      <c r="AJ768" s="108" t="str">
        <f t="shared" si="7"/>
        <v>Paper has link and statement</v>
      </c>
      <c r="AK768" s="109" t="s">
        <v>3401</v>
      </c>
      <c r="AL768" s="110" t="s">
        <v>3402</v>
      </c>
      <c r="AM768" s="40" t="str">
        <f t="shared" si="8"/>
        <v>[FP0054]</v>
      </c>
    </row>
    <row r="769" ht="67.5" customHeight="1">
      <c r="A769" s="41">
        <v>55.0</v>
      </c>
      <c r="B769" s="42" t="s">
        <v>5450</v>
      </c>
      <c r="C769" s="43">
        <v>2023.0</v>
      </c>
      <c r="D769" s="111" t="s">
        <v>35</v>
      </c>
      <c r="E769" s="45" t="s">
        <v>36</v>
      </c>
      <c r="F769" s="45" t="s">
        <v>36</v>
      </c>
      <c r="G769" s="45" t="s">
        <v>36</v>
      </c>
      <c r="H769" s="45" t="s">
        <v>36</v>
      </c>
      <c r="I769" s="45" t="s">
        <v>36</v>
      </c>
      <c r="J769" s="112" t="s">
        <v>36</v>
      </c>
      <c r="K769" s="113" t="s">
        <v>37</v>
      </c>
      <c r="L769" s="114" t="s">
        <v>35</v>
      </c>
      <c r="M769" s="114" t="s">
        <v>35</v>
      </c>
      <c r="N769" s="114" t="s">
        <v>37</v>
      </c>
      <c r="O769" s="114" t="s">
        <v>35</v>
      </c>
      <c r="P769" s="114" t="s">
        <v>35</v>
      </c>
      <c r="Q769" s="114" t="s">
        <v>35</v>
      </c>
      <c r="R769" s="114" t="s">
        <v>35</v>
      </c>
      <c r="S769" s="115" t="s">
        <v>42</v>
      </c>
      <c r="T769" s="50" t="s">
        <v>5451</v>
      </c>
      <c r="U769" s="50" t="s">
        <v>5451</v>
      </c>
      <c r="V769" s="116">
        <f t="shared" si="2"/>
        <v>1</v>
      </c>
      <c r="W769" s="116">
        <f t="shared" ref="W769:X769" si="774">IF(lenb(SUBSTITUTE($Z769,W$1&amp;" (1)",""))&lt;lenb($Z769),1,IF(lenb(SUBSTITUTE($Z769,W$1&amp;" (2)",""))&lt;lenb($Z769),2,IF(lenb(SUBSTITUTE($Z769,W$1&amp;" (3)",""))&lt;lenb($Z769),3,IF(lenb(SUBSTITUTE($Z769,W$1&amp;" (4)",""))&lt;lenb($Z769),4,IF(lenb(SUBSTITUTE($Z769,W$1&amp;" (5)",""))&lt;lenb($Z769),5,IF(lenb(SUBSTITUTE($Z769,W$1&amp;" (6)",""))&lt;lenb($Z769),6,IF(lenb(SUBSTITUTE($Z769,W$1&amp;" (7)",""))&lt;lenb($Z769),1,IF(lenb(SUBSTITUTE($Z769,W$1&amp;" (8)",""))&lt;lenb($Z769),8,IF(lenb(SUBSTITUTE($Z769,W$1&amp;" (9)",""))&lt;lenb($Z769),9,IF(lenb(SUBSTITUTE($Z769,W$1&amp;" (10)",""))&lt;lenb($Z769),10,IF(lenb(SUBSTITUTE($Z769,W$1,""))&lt;lenb($Z769),"ERROR",IF($Z769=$Y$1,"-",0))))))))))))</f>
        <v>0</v>
      </c>
      <c r="X769" s="116">
        <f t="shared" si="774"/>
        <v>0</v>
      </c>
      <c r="Y769" s="116" t="str">
        <f t="shared" si="4"/>
        <v>-</v>
      </c>
      <c r="Z769" s="115" t="s">
        <v>3400</v>
      </c>
      <c r="AA769" s="54">
        <f t="shared" si="5"/>
        <v>1</v>
      </c>
      <c r="AB769" s="54">
        <f>COUNTIFS(Links!B:B,"FSE",Links!C:C,A769,Links!AD:AD,1)</f>
        <v>0</v>
      </c>
      <c r="AC769" s="117" t="s">
        <v>35</v>
      </c>
      <c r="AD769" s="118" t="s">
        <v>35</v>
      </c>
      <c r="AE769" s="115" t="s">
        <v>36</v>
      </c>
      <c r="AF769" s="57" t="s">
        <v>42</v>
      </c>
      <c r="AG769" s="57" t="s">
        <v>42</v>
      </c>
      <c r="AH769" s="57" t="s">
        <v>42</v>
      </c>
      <c r="AI769" s="116" t="str">
        <f t="shared" si="6"/>
        <v>----</v>
      </c>
      <c r="AJ769" s="119" t="str">
        <f t="shared" si="7"/>
        <v>Paper has link but no statement</v>
      </c>
      <c r="AK769" s="120" t="s">
        <v>3401</v>
      </c>
      <c r="AL769" s="121" t="s">
        <v>3402</v>
      </c>
      <c r="AM769" s="60" t="str">
        <f t="shared" si="8"/>
        <v>[FP0055]</v>
      </c>
    </row>
    <row r="770" ht="67.5" customHeight="1">
      <c r="A770" s="61">
        <v>56.0</v>
      </c>
      <c r="B770" s="22" t="s">
        <v>5452</v>
      </c>
      <c r="C770" s="23">
        <v>2023.0</v>
      </c>
      <c r="D770" s="100" t="s">
        <v>37</v>
      </c>
      <c r="E770" s="25" t="s">
        <v>37</v>
      </c>
      <c r="F770" s="25" t="s">
        <v>35</v>
      </c>
      <c r="G770" s="25" t="s">
        <v>37</v>
      </c>
      <c r="H770" s="25" t="s">
        <v>35</v>
      </c>
      <c r="I770" s="25" t="s">
        <v>35</v>
      </c>
      <c r="J770" s="101" t="s">
        <v>36</v>
      </c>
      <c r="K770" s="102" t="s">
        <v>37</v>
      </c>
      <c r="L770" s="103" t="s">
        <v>37</v>
      </c>
      <c r="M770" s="103" t="s">
        <v>37</v>
      </c>
      <c r="N770" s="103" t="s">
        <v>37</v>
      </c>
      <c r="O770" s="103" t="s">
        <v>35</v>
      </c>
      <c r="P770" s="103" t="s">
        <v>35</v>
      </c>
      <c r="Q770" s="103" t="s">
        <v>35</v>
      </c>
      <c r="R770" s="103" t="s">
        <v>37</v>
      </c>
      <c r="S770" s="104" t="s">
        <v>5453</v>
      </c>
      <c r="T770" s="30" t="s">
        <v>5454</v>
      </c>
      <c r="U770" s="30" t="s">
        <v>5455</v>
      </c>
      <c r="V770" s="105">
        <f t="shared" si="2"/>
        <v>1</v>
      </c>
      <c r="W770" s="105">
        <f t="shared" ref="W770:X770" si="775">IF(lenb(SUBSTITUTE($Z770,W$1&amp;" (1)",""))&lt;lenb($Z770),1,IF(lenb(SUBSTITUTE($Z770,W$1&amp;" (2)",""))&lt;lenb($Z770),2,IF(lenb(SUBSTITUTE($Z770,W$1&amp;" (3)",""))&lt;lenb($Z770),3,IF(lenb(SUBSTITUTE($Z770,W$1&amp;" (4)",""))&lt;lenb($Z770),4,IF(lenb(SUBSTITUTE($Z770,W$1&amp;" (5)",""))&lt;lenb($Z770),5,IF(lenb(SUBSTITUTE($Z770,W$1&amp;" (6)",""))&lt;lenb($Z770),6,IF(lenb(SUBSTITUTE($Z770,W$1&amp;" (7)",""))&lt;lenb($Z770),1,IF(lenb(SUBSTITUTE($Z770,W$1&amp;" (8)",""))&lt;lenb($Z770),8,IF(lenb(SUBSTITUTE($Z770,W$1&amp;" (9)",""))&lt;lenb($Z770),9,IF(lenb(SUBSTITUTE($Z770,W$1&amp;" (10)",""))&lt;lenb($Z770),10,IF(lenb(SUBSTITUTE($Z770,W$1,""))&lt;lenb($Z770),"ERROR",IF($Z770=$Y$1,"-",0))))))))))))</f>
        <v>0</v>
      </c>
      <c r="X770" s="105">
        <f t="shared" si="775"/>
        <v>0</v>
      </c>
      <c r="Y770" s="105" t="str">
        <f t="shared" si="4"/>
        <v>-</v>
      </c>
      <c r="Z770" s="104" t="s">
        <v>3400</v>
      </c>
      <c r="AA770" s="34">
        <f t="shared" si="5"/>
        <v>1</v>
      </c>
      <c r="AB770" s="34">
        <f>COUNTIFS(Links!B:B,"FSE",Links!C:C,A770,Links!AD:AD,1)</f>
        <v>0</v>
      </c>
      <c r="AC770" s="106" t="s">
        <v>35</v>
      </c>
      <c r="AD770" s="107" t="s">
        <v>35</v>
      </c>
      <c r="AE770" s="104" t="s">
        <v>36</v>
      </c>
      <c r="AF770" s="37" t="s">
        <v>42</v>
      </c>
      <c r="AG770" s="37" t="s">
        <v>42</v>
      </c>
      <c r="AH770" s="37" t="s">
        <v>42</v>
      </c>
      <c r="AI770" s="105" t="str">
        <f t="shared" si="6"/>
        <v>----</v>
      </c>
      <c r="AJ770" s="108" t="str">
        <f t="shared" si="7"/>
        <v>Paper has link but no statement</v>
      </c>
      <c r="AK770" s="109" t="s">
        <v>3401</v>
      </c>
      <c r="AL770" s="110" t="s">
        <v>3402</v>
      </c>
      <c r="AM770" s="40" t="str">
        <f t="shared" si="8"/>
        <v>[FP0056]</v>
      </c>
    </row>
    <row r="771" ht="67.5" customHeight="1">
      <c r="A771" s="41">
        <v>57.0</v>
      </c>
      <c r="B771" s="42" t="s">
        <v>5456</v>
      </c>
      <c r="C771" s="43">
        <v>2023.0</v>
      </c>
      <c r="D771" s="111" t="s">
        <v>37</v>
      </c>
      <c r="E771" s="45" t="s">
        <v>37</v>
      </c>
      <c r="F771" s="45" t="s">
        <v>35</v>
      </c>
      <c r="G771" s="45" t="s">
        <v>37</v>
      </c>
      <c r="H771" s="45" t="s">
        <v>35</v>
      </c>
      <c r="I771" s="45" t="s">
        <v>35</v>
      </c>
      <c r="J771" s="112" t="s">
        <v>36</v>
      </c>
      <c r="K771" s="113" t="s">
        <v>37</v>
      </c>
      <c r="L771" s="114" t="s">
        <v>35</v>
      </c>
      <c r="M771" s="114" t="s">
        <v>37</v>
      </c>
      <c r="N771" s="114" t="s">
        <v>35</v>
      </c>
      <c r="O771" s="114" t="s">
        <v>35</v>
      </c>
      <c r="P771" s="114" t="s">
        <v>35</v>
      </c>
      <c r="Q771" s="114" t="s">
        <v>37</v>
      </c>
      <c r="R771" s="114" t="s">
        <v>35</v>
      </c>
      <c r="S771" s="115" t="s">
        <v>5020</v>
      </c>
      <c r="T771" s="50" t="s">
        <v>5457</v>
      </c>
      <c r="U771" s="50" t="s">
        <v>5457</v>
      </c>
      <c r="V771" s="116">
        <f t="shared" si="2"/>
        <v>2</v>
      </c>
      <c r="W771" s="116">
        <f t="shared" ref="W771:X771" si="776">IF(lenb(SUBSTITUTE($Z771,W$1&amp;" (1)",""))&lt;lenb($Z771),1,IF(lenb(SUBSTITUTE($Z771,W$1&amp;" (2)",""))&lt;lenb($Z771),2,IF(lenb(SUBSTITUTE($Z771,W$1&amp;" (3)",""))&lt;lenb($Z771),3,IF(lenb(SUBSTITUTE($Z771,W$1&amp;" (4)",""))&lt;lenb($Z771),4,IF(lenb(SUBSTITUTE($Z771,W$1&amp;" (5)",""))&lt;lenb($Z771),5,IF(lenb(SUBSTITUTE($Z771,W$1&amp;" (6)",""))&lt;lenb($Z771),6,IF(lenb(SUBSTITUTE($Z771,W$1&amp;" (7)",""))&lt;lenb($Z771),1,IF(lenb(SUBSTITUTE($Z771,W$1&amp;" (8)",""))&lt;lenb($Z771),8,IF(lenb(SUBSTITUTE($Z771,W$1&amp;" (9)",""))&lt;lenb($Z771),9,IF(lenb(SUBSTITUTE($Z771,W$1&amp;" (10)",""))&lt;lenb($Z771),10,IF(lenb(SUBSTITUTE($Z771,W$1,""))&lt;lenb($Z771),"ERROR",IF($Z771=$Y$1,"-",0))))))))))))</f>
        <v>0</v>
      </c>
      <c r="X771" s="116">
        <f t="shared" si="776"/>
        <v>0</v>
      </c>
      <c r="Y771" s="116" t="str">
        <f t="shared" si="4"/>
        <v>-</v>
      </c>
      <c r="Z771" s="115" t="s">
        <v>3452</v>
      </c>
      <c r="AA771" s="54">
        <f t="shared" si="5"/>
        <v>2</v>
      </c>
      <c r="AB771" s="54">
        <f>COUNTIFS(Links!B:B,"FSE",Links!C:C,A771,Links!AD:AD,1)</f>
        <v>0</v>
      </c>
      <c r="AC771" s="117" t="s">
        <v>37</v>
      </c>
      <c r="AD771" s="118" t="s">
        <v>35</v>
      </c>
      <c r="AE771" s="115" t="s">
        <v>36</v>
      </c>
      <c r="AF771" s="57" t="s">
        <v>42</v>
      </c>
      <c r="AG771" s="57" t="s">
        <v>42</v>
      </c>
      <c r="AH771" s="57" t="s">
        <v>42</v>
      </c>
      <c r="AI771" s="116" t="str">
        <f t="shared" si="6"/>
        <v>----</v>
      </c>
      <c r="AJ771" s="119" t="str">
        <f t="shared" si="7"/>
        <v>Paper has link but no statement</v>
      </c>
      <c r="AK771" s="120" t="s">
        <v>3401</v>
      </c>
      <c r="AL771" s="121" t="s">
        <v>3402</v>
      </c>
      <c r="AM771" s="60" t="str">
        <f t="shared" si="8"/>
        <v>[FP0057]</v>
      </c>
    </row>
    <row r="772" ht="67.5" customHeight="1">
      <c r="A772" s="61">
        <v>58.0</v>
      </c>
      <c r="B772" s="22" t="s">
        <v>5458</v>
      </c>
      <c r="C772" s="23">
        <v>2023.0</v>
      </c>
      <c r="D772" s="100" t="s">
        <v>35</v>
      </c>
      <c r="E772" s="25" t="s">
        <v>36</v>
      </c>
      <c r="F772" s="25" t="s">
        <v>36</v>
      </c>
      <c r="G772" s="25" t="s">
        <v>36</v>
      </c>
      <c r="H772" s="25" t="s">
        <v>36</v>
      </c>
      <c r="I772" s="25" t="s">
        <v>36</v>
      </c>
      <c r="J772" s="101" t="s">
        <v>36</v>
      </c>
      <c r="K772" s="102" t="s">
        <v>37</v>
      </c>
      <c r="L772" s="103" t="s">
        <v>35</v>
      </c>
      <c r="M772" s="103" t="s">
        <v>35</v>
      </c>
      <c r="N772" s="103" t="s">
        <v>35</v>
      </c>
      <c r="O772" s="103" t="s">
        <v>35</v>
      </c>
      <c r="P772" s="103" t="s">
        <v>35</v>
      </c>
      <c r="Q772" s="103" t="s">
        <v>37</v>
      </c>
      <c r="R772" s="103" t="s">
        <v>35</v>
      </c>
      <c r="S772" s="104" t="s">
        <v>5020</v>
      </c>
      <c r="T772" s="30" t="s">
        <v>5459</v>
      </c>
      <c r="U772" s="30" t="s">
        <v>5459</v>
      </c>
      <c r="V772" s="105">
        <f t="shared" si="2"/>
        <v>1</v>
      </c>
      <c r="W772" s="105">
        <f t="shared" ref="W772:X772" si="777">IF(lenb(SUBSTITUTE($Z772,W$1&amp;" (1)",""))&lt;lenb($Z772),1,IF(lenb(SUBSTITUTE($Z772,W$1&amp;" (2)",""))&lt;lenb($Z772),2,IF(lenb(SUBSTITUTE($Z772,W$1&amp;" (3)",""))&lt;lenb($Z772),3,IF(lenb(SUBSTITUTE($Z772,W$1&amp;" (4)",""))&lt;lenb($Z772),4,IF(lenb(SUBSTITUTE($Z772,W$1&amp;" (5)",""))&lt;lenb($Z772),5,IF(lenb(SUBSTITUTE($Z772,W$1&amp;" (6)",""))&lt;lenb($Z772),6,IF(lenb(SUBSTITUTE($Z772,W$1&amp;" (7)",""))&lt;lenb($Z772),1,IF(lenb(SUBSTITUTE($Z772,W$1&amp;" (8)",""))&lt;lenb($Z772),8,IF(lenb(SUBSTITUTE($Z772,W$1&amp;" (9)",""))&lt;lenb($Z772),9,IF(lenb(SUBSTITUTE($Z772,W$1&amp;" (10)",""))&lt;lenb($Z772),10,IF(lenb(SUBSTITUTE($Z772,W$1,""))&lt;lenb($Z772),"ERROR",IF($Z772=$Y$1,"-",0))))))))))))</f>
        <v>0</v>
      </c>
      <c r="X772" s="105">
        <f t="shared" si="777"/>
        <v>0</v>
      </c>
      <c r="Y772" s="105" t="str">
        <f t="shared" si="4"/>
        <v>-</v>
      </c>
      <c r="Z772" s="104" t="s">
        <v>3400</v>
      </c>
      <c r="AA772" s="34">
        <f t="shared" si="5"/>
        <v>1</v>
      </c>
      <c r="AB772" s="34">
        <f>COUNTIFS(Links!B:B,"FSE",Links!C:C,A772,Links!AD:AD,1)</f>
        <v>0</v>
      </c>
      <c r="AC772" s="106" t="s">
        <v>35</v>
      </c>
      <c r="AD772" s="107" t="s">
        <v>35</v>
      </c>
      <c r="AE772" s="104" t="s">
        <v>36</v>
      </c>
      <c r="AF772" s="37" t="s">
        <v>42</v>
      </c>
      <c r="AG772" s="37" t="s">
        <v>42</v>
      </c>
      <c r="AH772" s="37" t="s">
        <v>42</v>
      </c>
      <c r="AI772" s="105" t="str">
        <f t="shared" si="6"/>
        <v>----</v>
      </c>
      <c r="AJ772" s="108" t="str">
        <f t="shared" si="7"/>
        <v>Paper has link but no statement</v>
      </c>
      <c r="AK772" s="109" t="s">
        <v>3401</v>
      </c>
      <c r="AL772" s="110" t="s">
        <v>3402</v>
      </c>
      <c r="AM772" s="40" t="str">
        <f t="shared" si="8"/>
        <v>[FP0058]</v>
      </c>
    </row>
    <row r="773" ht="67.5" customHeight="1">
      <c r="A773" s="41">
        <v>59.0</v>
      </c>
      <c r="B773" s="42" t="s">
        <v>5460</v>
      </c>
      <c r="C773" s="43">
        <v>2023.0</v>
      </c>
      <c r="D773" s="111" t="s">
        <v>37</v>
      </c>
      <c r="E773" s="45" t="s">
        <v>37</v>
      </c>
      <c r="F773" s="45" t="s">
        <v>35</v>
      </c>
      <c r="G773" s="45" t="s">
        <v>37</v>
      </c>
      <c r="H773" s="45" t="s">
        <v>35</v>
      </c>
      <c r="I773" s="45" t="s">
        <v>35</v>
      </c>
      <c r="J773" s="112" t="s">
        <v>36</v>
      </c>
      <c r="K773" s="113" t="s">
        <v>37</v>
      </c>
      <c r="L773" s="114" t="s">
        <v>35</v>
      </c>
      <c r="M773" s="114" t="s">
        <v>37</v>
      </c>
      <c r="N773" s="114" t="s">
        <v>35</v>
      </c>
      <c r="O773" s="114" t="s">
        <v>35</v>
      </c>
      <c r="P773" s="114" t="s">
        <v>35</v>
      </c>
      <c r="Q773" s="114" t="s">
        <v>37</v>
      </c>
      <c r="R773" s="114" t="s">
        <v>35</v>
      </c>
      <c r="S773" s="115" t="s">
        <v>5020</v>
      </c>
      <c r="T773" s="50" t="s">
        <v>5461</v>
      </c>
      <c r="U773" s="50" t="s">
        <v>5461</v>
      </c>
      <c r="V773" s="116">
        <f t="shared" si="2"/>
        <v>2</v>
      </c>
      <c r="W773" s="116">
        <f t="shared" ref="W773:X773" si="778">IF(lenb(SUBSTITUTE($Z773,W$1&amp;" (1)",""))&lt;lenb($Z773),1,IF(lenb(SUBSTITUTE($Z773,W$1&amp;" (2)",""))&lt;lenb($Z773),2,IF(lenb(SUBSTITUTE($Z773,W$1&amp;" (3)",""))&lt;lenb($Z773),3,IF(lenb(SUBSTITUTE($Z773,W$1&amp;" (4)",""))&lt;lenb($Z773),4,IF(lenb(SUBSTITUTE($Z773,W$1&amp;" (5)",""))&lt;lenb($Z773),5,IF(lenb(SUBSTITUTE($Z773,W$1&amp;" (6)",""))&lt;lenb($Z773),6,IF(lenb(SUBSTITUTE($Z773,W$1&amp;" (7)",""))&lt;lenb($Z773),1,IF(lenb(SUBSTITUTE($Z773,W$1&amp;" (8)",""))&lt;lenb($Z773),8,IF(lenb(SUBSTITUTE($Z773,W$1&amp;" (9)",""))&lt;lenb($Z773),9,IF(lenb(SUBSTITUTE($Z773,W$1&amp;" (10)",""))&lt;lenb($Z773),10,IF(lenb(SUBSTITUTE($Z773,W$1,""))&lt;lenb($Z773),"ERROR",IF($Z773=$Y$1,"-",0))))))))))))</f>
        <v>0</v>
      </c>
      <c r="X773" s="116">
        <f t="shared" si="778"/>
        <v>0</v>
      </c>
      <c r="Y773" s="116" t="str">
        <f t="shared" si="4"/>
        <v>-</v>
      </c>
      <c r="Z773" s="115" t="s">
        <v>3452</v>
      </c>
      <c r="AA773" s="54">
        <f t="shared" si="5"/>
        <v>2</v>
      </c>
      <c r="AB773" s="54">
        <f>COUNTIFS(Links!B:B,"FSE",Links!C:C,A773,Links!AD:AD,1)</f>
        <v>0</v>
      </c>
      <c r="AC773" s="117" t="s">
        <v>37</v>
      </c>
      <c r="AD773" s="118" t="s">
        <v>35</v>
      </c>
      <c r="AE773" s="115" t="s">
        <v>36</v>
      </c>
      <c r="AF773" s="57" t="s">
        <v>42</v>
      </c>
      <c r="AG773" s="57" t="s">
        <v>42</v>
      </c>
      <c r="AH773" s="57" t="s">
        <v>42</v>
      </c>
      <c r="AI773" s="116" t="str">
        <f t="shared" si="6"/>
        <v>----</v>
      </c>
      <c r="AJ773" s="119" t="str">
        <f t="shared" si="7"/>
        <v>Paper has link but no statement</v>
      </c>
      <c r="AK773" s="120" t="s">
        <v>3401</v>
      </c>
      <c r="AL773" s="121" t="s">
        <v>3402</v>
      </c>
      <c r="AM773" s="60" t="str">
        <f t="shared" si="8"/>
        <v>[FP0059]</v>
      </c>
    </row>
    <row r="774" ht="67.5" customHeight="1">
      <c r="A774" s="61">
        <v>60.0</v>
      </c>
      <c r="B774" s="22" t="s">
        <v>5462</v>
      </c>
      <c r="C774" s="23">
        <v>2023.0</v>
      </c>
      <c r="D774" s="100" t="s">
        <v>35</v>
      </c>
      <c r="E774" s="25" t="s">
        <v>36</v>
      </c>
      <c r="F774" s="25" t="s">
        <v>36</v>
      </c>
      <c r="G774" s="25" t="s">
        <v>36</v>
      </c>
      <c r="H774" s="25" t="s">
        <v>36</v>
      </c>
      <c r="I774" s="25" t="s">
        <v>36</v>
      </c>
      <c r="J774" s="101" t="s">
        <v>36</v>
      </c>
      <c r="K774" s="102" t="s">
        <v>37</v>
      </c>
      <c r="L774" s="103" t="s">
        <v>35</v>
      </c>
      <c r="M774" s="103" t="s">
        <v>37</v>
      </c>
      <c r="N774" s="103" t="s">
        <v>35</v>
      </c>
      <c r="O774" s="103" t="s">
        <v>35</v>
      </c>
      <c r="P774" s="103" t="s">
        <v>35</v>
      </c>
      <c r="Q774" s="103" t="s">
        <v>37</v>
      </c>
      <c r="R774" s="103" t="s">
        <v>35</v>
      </c>
      <c r="S774" s="104" t="s">
        <v>5020</v>
      </c>
      <c r="T774" s="30" t="s">
        <v>5463</v>
      </c>
      <c r="U774" s="30" t="s">
        <v>5463</v>
      </c>
      <c r="V774" s="105">
        <f t="shared" si="2"/>
        <v>1</v>
      </c>
      <c r="W774" s="105">
        <f t="shared" ref="W774:X774" si="779">IF(lenb(SUBSTITUTE($Z774,W$1&amp;" (1)",""))&lt;lenb($Z774),1,IF(lenb(SUBSTITUTE($Z774,W$1&amp;" (2)",""))&lt;lenb($Z774),2,IF(lenb(SUBSTITUTE($Z774,W$1&amp;" (3)",""))&lt;lenb($Z774),3,IF(lenb(SUBSTITUTE($Z774,W$1&amp;" (4)",""))&lt;lenb($Z774),4,IF(lenb(SUBSTITUTE($Z774,W$1&amp;" (5)",""))&lt;lenb($Z774),5,IF(lenb(SUBSTITUTE($Z774,W$1&amp;" (6)",""))&lt;lenb($Z774),6,IF(lenb(SUBSTITUTE($Z774,W$1&amp;" (7)",""))&lt;lenb($Z774),1,IF(lenb(SUBSTITUTE($Z774,W$1&amp;" (8)",""))&lt;lenb($Z774),8,IF(lenb(SUBSTITUTE($Z774,W$1&amp;" (9)",""))&lt;lenb($Z774),9,IF(lenb(SUBSTITUTE($Z774,W$1&amp;" (10)",""))&lt;lenb($Z774),10,IF(lenb(SUBSTITUTE($Z774,W$1,""))&lt;lenb($Z774),"ERROR",IF($Z774=$Y$1,"-",0))))))))))))</f>
        <v>0</v>
      </c>
      <c r="X774" s="105">
        <f t="shared" si="779"/>
        <v>0</v>
      </c>
      <c r="Y774" s="105" t="str">
        <f t="shared" si="4"/>
        <v>-</v>
      </c>
      <c r="Z774" s="104" t="s">
        <v>3400</v>
      </c>
      <c r="AA774" s="34">
        <f t="shared" si="5"/>
        <v>1</v>
      </c>
      <c r="AB774" s="34">
        <f>COUNTIFS(Links!B:B,"FSE",Links!C:C,A774,Links!AD:AD,1)</f>
        <v>0</v>
      </c>
      <c r="AC774" s="106" t="s">
        <v>35</v>
      </c>
      <c r="AD774" s="107" t="s">
        <v>35</v>
      </c>
      <c r="AE774" s="104" t="s">
        <v>36</v>
      </c>
      <c r="AF774" s="37" t="s">
        <v>42</v>
      </c>
      <c r="AG774" s="37" t="s">
        <v>42</v>
      </c>
      <c r="AH774" s="37" t="s">
        <v>42</v>
      </c>
      <c r="AI774" s="105" t="str">
        <f t="shared" si="6"/>
        <v>----</v>
      </c>
      <c r="AJ774" s="108" t="str">
        <f t="shared" si="7"/>
        <v>Paper has link but no statement</v>
      </c>
      <c r="AK774" s="109" t="s">
        <v>3401</v>
      </c>
      <c r="AL774" s="110" t="s">
        <v>3402</v>
      </c>
      <c r="AM774" s="40" t="str">
        <f t="shared" si="8"/>
        <v>[FP0060]</v>
      </c>
    </row>
    <row r="775" ht="67.5" customHeight="1">
      <c r="A775" s="41">
        <v>61.0</v>
      </c>
      <c r="B775" s="42" t="s">
        <v>5464</v>
      </c>
      <c r="C775" s="43">
        <v>2023.0</v>
      </c>
      <c r="D775" s="111" t="s">
        <v>35</v>
      </c>
      <c r="E775" s="45" t="s">
        <v>36</v>
      </c>
      <c r="F775" s="45" t="s">
        <v>36</v>
      </c>
      <c r="G775" s="45" t="s">
        <v>36</v>
      </c>
      <c r="H775" s="45" t="s">
        <v>36</v>
      </c>
      <c r="I775" s="45" t="s">
        <v>36</v>
      </c>
      <c r="J775" s="112" t="s">
        <v>36</v>
      </c>
      <c r="K775" s="113" t="s">
        <v>37</v>
      </c>
      <c r="L775" s="114" t="s">
        <v>35</v>
      </c>
      <c r="M775" s="114" t="s">
        <v>37</v>
      </c>
      <c r="N775" s="114" t="s">
        <v>37</v>
      </c>
      <c r="O775" s="114" t="s">
        <v>35</v>
      </c>
      <c r="P775" s="114" t="s">
        <v>35</v>
      </c>
      <c r="Q775" s="114" t="s">
        <v>35</v>
      </c>
      <c r="R775" s="114" t="s">
        <v>37</v>
      </c>
      <c r="S775" s="115" t="s">
        <v>5465</v>
      </c>
      <c r="T775" s="50" t="s">
        <v>5466</v>
      </c>
      <c r="U775" s="50" t="s">
        <v>5466</v>
      </c>
      <c r="V775" s="116">
        <f t="shared" si="2"/>
        <v>1</v>
      </c>
      <c r="W775" s="116">
        <f t="shared" ref="W775:X775" si="780">IF(lenb(SUBSTITUTE($Z775,W$1&amp;" (1)",""))&lt;lenb($Z775),1,IF(lenb(SUBSTITUTE($Z775,W$1&amp;" (2)",""))&lt;lenb($Z775),2,IF(lenb(SUBSTITUTE($Z775,W$1&amp;" (3)",""))&lt;lenb($Z775),3,IF(lenb(SUBSTITUTE($Z775,W$1&amp;" (4)",""))&lt;lenb($Z775),4,IF(lenb(SUBSTITUTE($Z775,W$1&amp;" (5)",""))&lt;lenb($Z775),5,IF(lenb(SUBSTITUTE($Z775,W$1&amp;" (6)",""))&lt;lenb($Z775),6,IF(lenb(SUBSTITUTE($Z775,W$1&amp;" (7)",""))&lt;lenb($Z775),1,IF(lenb(SUBSTITUTE($Z775,W$1&amp;" (8)",""))&lt;lenb($Z775),8,IF(lenb(SUBSTITUTE($Z775,W$1&amp;" (9)",""))&lt;lenb($Z775),9,IF(lenb(SUBSTITUTE($Z775,W$1&amp;" (10)",""))&lt;lenb($Z775),10,IF(lenb(SUBSTITUTE($Z775,W$1,""))&lt;lenb($Z775),"ERROR",IF($Z775=$Y$1,"-",0))))))))))))</f>
        <v>0</v>
      </c>
      <c r="X775" s="116">
        <f t="shared" si="780"/>
        <v>0</v>
      </c>
      <c r="Y775" s="116" t="str">
        <f t="shared" si="4"/>
        <v>-</v>
      </c>
      <c r="Z775" s="115" t="s">
        <v>3400</v>
      </c>
      <c r="AA775" s="54">
        <f t="shared" si="5"/>
        <v>1</v>
      </c>
      <c r="AB775" s="54">
        <f>COUNTIFS(Links!B:B,"FSE",Links!C:C,A775,Links!AD:AD,1)</f>
        <v>0</v>
      </c>
      <c r="AC775" s="117" t="s">
        <v>35</v>
      </c>
      <c r="AD775" s="118" t="s">
        <v>35</v>
      </c>
      <c r="AE775" s="115" t="s">
        <v>36</v>
      </c>
      <c r="AF775" s="57" t="s">
        <v>42</v>
      </c>
      <c r="AG775" s="57" t="s">
        <v>42</v>
      </c>
      <c r="AH775" s="57" t="s">
        <v>42</v>
      </c>
      <c r="AI775" s="116" t="str">
        <f t="shared" si="6"/>
        <v>----</v>
      </c>
      <c r="AJ775" s="119" t="str">
        <f t="shared" si="7"/>
        <v>Paper has link but no statement</v>
      </c>
      <c r="AK775" s="120" t="s">
        <v>3401</v>
      </c>
      <c r="AL775" s="121" t="s">
        <v>3402</v>
      </c>
      <c r="AM775" s="60" t="str">
        <f t="shared" si="8"/>
        <v>[FP0061]</v>
      </c>
    </row>
    <row r="776" ht="67.5" customHeight="1">
      <c r="A776" s="61">
        <v>62.0</v>
      </c>
      <c r="B776" s="22" t="s">
        <v>5467</v>
      </c>
      <c r="C776" s="23">
        <v>2023.0</v>
      </c>
      <c r="D776" s="100" t="s">
        <v>35</v>
      </c>
      <c r="E776" s="25" t="s">
        <v>36</v>
      </c>
      <c r="F776" s="25" t="s">
        <v>36</v>
      </c>
      <c r="G776" s="25" t="s">
        <v>36</v>
      </c>
      <c r="H776" s="25" t="s">
        <v>36</v>
      </c>
      <c r="I776" s="25" t="s">
        <v>36</v>
      </c>
      <c r="J776" s="101" t="s">
        <v>36</v>
      </c>
      <c r="K776" s="102" t="s">
        <v>37</v>
      </c>
      <c r="L776" s="103" t="s">
        <v>35</v>
      </c>
      <c r="M776" s="103" t="s">
        <v>35</v>
      </c>
      <c r="N776" s="103" t="s">
        <v>35</v>
      </c>
      <c r="O776" s="103" t="s">
        <v>35</v>
      </c>
      <c r="P776" s="103" t="s">
        <v>35</v>
      </c>
      <c r="Q776" s="103" t="s">
        <v>37</v>
      </c>
      <c r="R776" s="103" t="s">
        <v>35</v>
      </c>
      <c r="S776" s="104" t="s">
        <v>5020</v>
      </c>
      <c r="T776" s="30" t="s">
        <v>5468</v>
      </c>
      <c r="U776" s="30" t="s">
        <v>5468</v>
      </c>
      <c r="V776" s="105">
        <f t="shared" si="2"/>
        <v>1</v>
      </c>
      <c r="W776" s="105">
        <f t="shared" ref="W776:X776" si="781">IF(lenb(SUBSTITUTE($Z776,W$1&amp;" (1)",""))&lt;lenb($Z776),1,IF(lenb(SUBSTITUTE($Z776,W$1&amp;" (2)",""))&lt;lenb($Z776),2,IF(lenb(SUBSTITUTE($Z776,W$1&amp;" (3)",""))&lt;lenb($Z776),3,IF(lenb(SUBSTITUTE($Z776,W$1&amp;" (4)",""))&lt;lenb($Z776),4,IF(lenb(SUBSTITUTE($Z776,W$1&amp;" (5)",""))&lt;lenb($Z776),5,IF(lenb(SUBSTITUTE($Z776,W$1&amp;" (6)",""))&lt;lenb($Z776),6,IF(lenb(SUBSTITUTE($Z776,W$1&amp;" (7)",""))&lt;lenb($Z776),1,IF(lenb(SUBSTITUTE($Z776,W$1&amp;" (8)",""))&lt;lenb($Z776),8,IF(lenb(SUBSTITUTE($Z776,W$1&amp;" (9)",""))&lt;lenb($Z776),9,IF(lenb(SUBSTITUTE($Z776,W$1&amp;" (10)",""))&lt;lenb($Z776),10,IF(lenb(SUBSTITUTE($Z776,W$1,""))&lt;lenb($Z776),"ERROR",IF($Z776=$Y$1,"-",0))))))))))))</f>
        <v>0</v>
      </c>
      <c r="X776" s="105">
        <f t="shared" si="781"/>
        <v>0</v>
      </c>
      <c r="Y776" s="105" t="str">
        <f t="shared" si="4"/>
        <v>-</v>
      </c>
      <c r="Z776" s="104" t="s">
        <v>3400</v>
      </c>
      <c r="AA776" s="34">
        <f t="shared" si="5"/>
        <v>1</v>
      </c>
      <c r="AB776" s="34">
        <f>COUNTIFS(Links!B:B,"FSE",Links!C:C,A776,Links!AD:AD,1)</f>
        <v>0</v>
      </c>
      <c r="AC776" s="106" t="s">
        <v>35</v>
      </c>
      <c r="AD776" s="107" t="s">
        <v>35</v>
      </c>
      <c r="AE776" s="104" t="s">
        <v>36</v>
      </c>
      <c r="AF776" s="37" t="s">
        <v>42</v>
      </c>
      <c r="AG776" s="37" t="s">
        <v>42</v>
      </c>
      <c r="AH776" s="37" t="s">
        <v>42</v>
      </c>
      <c r="AI776" s="105" t="str">
        <f t="shared" si="6"/>
        <v>----</v>
      </c>
      <c r="AJ776" s="108" t="str">
        <f t="shared" si="7"/>
        <v>Paper has link but no statement</v>
      </c>
      <c r="AK776" s="109" t="s">
        <v>3401</v>
      </c>
      <c r="AL776" s="110" t="s">
        <v>3402</v>
      </c>
      <c r="AM776" s="40" t="str">
        <f t="shared" si="8"/>
        <v>[FP0062]</v>
      </c>
    </row>
    <row r="777" ht="67.5" customHeight="1">
      <c r="A777" s="41">
        <v>63.0</v>
      </c>
      <c r="B777" s="42" t="s">
        <v>5469</v>
      </c>
      <c r="C777" s="43">
        <v>2023.0</v>
      </c>
      <c r="D777" s="111" t="s">
        <v>35</v>
      </c>
      <c r="E777" s="45" t="s">
        <v>36</v>
      </c>
      <c r="F777" s="45" t="s">
        <v>36</v>
      </c>
      <c r="G777" s="45" t="s">
        <v>36</v>
      </c>
      <c r="H777" s="45" t="s">
        <v>36</v>
      </c>
      <c r="I777" s="45" t="s">
        <v>36</v>
      </c>
      <c r="J777" s="112" t="s">
        <v>36</v>
      </c>
      <c r="K777" s="113" t="s">
        <v>37</v>
      </c>
      <c r="L777" s="114" t="s">
        <v>35</v>
      </c>
      <c r="M777" s="114" t="s">
        <v>37</v>
      </c>
      <c r="N777" s="114" t="s">
        <v>35</v>
      </c>
      <c r="O777" s="114" t="s">
        <v>35</v>
      </c>
      <c r="P777" s="114" t="s">
        <v>35</v>
      </c>
      <c r="Q777" s="114" t="s">
        <v>37</v>
      </c>
      <c r="R777" s="114" t="s">
        <v>37</v>
      </c>
      <c r="S777" s="115" t="s">
        <v>5470</v>
      </c>
      <c r="T777" s="50" t="s">
        <v>5471</v>
      </c>
      <c r="U777" s="50" t="s">
        <v>5471</v>
      </c>
      <c r="V777" s="116">
        <f t="shared" si="2"/>
        <v>1</v>
      </c>
      <c r="W777" s="116">
        <f t="shared" ref="W777:X777" si="782">IF(lenb(SUBSTITUTE($Z777,W$1&amp;" (1)",""))&lt;lenb($Z777),1,IF(lenb(SUBSTITUTE($Z777,W$1&amp;" (2)",""))&lt;lenb($Z777),2,IF(lenb(SUBSTITUTE($Z777,W$1&amp;" (3)",""))&lt;lenb($Z777),3,IF(lenb(SUBSTITUTE($Z777,W$1&amp;" (4)",""))&lt;lenb($Z777),4,IF(lenb(SUBSTITUTE($Z777,W$1&amp;" (5)",""))&lt;lenb($Z777),5,IF(lenb(SUBSTITUTE($Z777,W$1&amp;" (6)",""))&lt;lenb($Z777),6,IF(lenb(SUBSTITUTE($Z777,W$1&amp;" (7)",""))&lt;lenb($Z777),1,IF(lenb(SUBSTITUTE($Z777,W$1&amp;" (8)",""))&lt;lenb($Z777),8,IF(lenb(SUBSTITUTE($Z777,W$1&amp;" (9)",""))&lt;lenb($Z777),9,IF(lenb(SUBSTITUTE($Z777,W$1&amp;" (10)",""))&lt;lenb($Z777),10,IF(lenb(SUBSTITUTE($Z777,W$1,""))&lt;lenb($Z777),"ERROR",IF($Z777=$Y$1,"-",0))))))))))))</f>
        <v>0</v>
      </c>
      <c r="X777" s="116">
        <f t="shared" si="782"/>
        <v>0</v>
      </c>
      <c r="Y777" s="116" t="str">
        <f t="shared" si="4"/>
        <v>-</v>
      </c>
      <c r="Z777" s="115" t="s">
        <v>3400</v>
      </c>
      <c r="AA777" s="54">
        <f t="shared" si="5"/>
        <v>1</v>
      </c>
      <c r="AB777" s="54">
        <f>COUNTIFS(Links!B:B,"FSE",Links!C:C,A777,Links!AD:AD,1)</f>
        <v>0</v>
      </c>
      <c r="AC777" s="117" t="s">
        <v>35</v>
      </c>
      <c r="AD777" s="118" t="s">
        <v>35</v>
      </c>
      <c r="AE777" s="115" t="s">
        <v>36</v>
      </c>
      <c r="AF777" s="57" t="s">
        <v>42</v>
      </c>
      <c r="AG777" s="57" t="s">
        <v>42</v>
      </c>
      <c r="AH777" s="57" t="s">
        <v>42</v>
      </c>
      <c r="AI777" s="116" t="str">
        <f t="shared" si="6"/>
        <v>----</v>
      </c>
      <c r="AJ777" s="119" t="str">
        <f t="shared" si="7"/>
        <v>Paper has link but no statement</v>
      </c>
      <c r="AK777" s="120" t="s">
        <v>3401</v>
      </c>
      <c r="AL777" s="121" t="s">
        <v>3402</v>
      </c>
      <c r="AM777" s="60" t="str">
        <f t="shared" si="8"/>
        <v>[FP0063]</v>
      </c>
    </row>
    <row r="778" ht="67.5" customHeight="1">
      <c r="A778" s="61">
        <v>64.0</v>
      </c>
      <c r="B778" s="22" t="s">
        <v>5472</v>
      </c>
      <c r="C778" s="23">
        <v>2023.0</v>
      </c>
      <c r="D778" s="100" t="s">
        <v>37</v>
      </c>
      <c r="E778" s="25" t="s">
        <v>37</v>
      </c>
      <c r="F778" s="25" t="s">
        <v>35</v>
      </c>
      <c r="G778" s="25" t="s">
        <v>37</v>
      </c>
      <c r="H778" s="25" t="s">
        <v>35</v>
      </c>
      <c r="I778" s="25" t="s">
        <v>35</v>
      </c>
      <c r="J778" s="101" t="s">
        <v>36</v>
      </c>
      <c r="K778" s="102" t="s">
        <v>37</v>
      </c>
      <c r="L778" s="103" t="s">
        <v>35</v>
      </c>
      <c r="M778" s="103" t="s">
        <v>37</v>
      </c>
      <c r="N778" s="103" t="s">
        <v>37</v>
      </c>
      <c r="O778" s="103" t="s">
        <v>35</v>
      </c>
      <c r="P778" s="103" t="s">
        <v>35</v>
      </c>
      <c r="Q778" s="103" t="s">
        <v>35</v>
      </c>
      <c r="R778" s="103" t="s">
        <v>35</v>
      </c>
      <c r="S778" s="104" t="s">
        <v>1575</v>
      </c>
      <c r="T778" s="30" t="s">
        <v>5473</v>
      </c>
      <c r="U778" s="30" t="s">
        <v>5474</v>
      </c>
      <c r="V778" s="105">
        <f t="shared" si="2"/>
        <v>1</v>
      </c>
      <c r="W778" s="105">
        <f t="shared" ref="W778:X778" si="783">IF(lenb(SUBSTITUTE($Z778,W$1&amp;" (1)",""))&lt;lenb($Z778),1,IF(lenb(SUBSTITUTE($Z778,W$1&amp;" (2)",""))&lt;lenb($Z778),2,IF(lenb(SUBSTITUTE($Z778,W$1&amp;" (3)",""))&lt;lenb($Z778),3,IF(lenb(SUBSTITUTE($Z778,W$1&amp;" (4)",""))&lt;lenb($Z778),4,IF(lenb(SUBSTITUTE($Z778,W$1&amp;" (5)",""))&lt;lenb($Z778),5,IF(lenb(SUBSTITUTE($Z778,W$1&amp;" (6)",""))&lt;lenb($Z778),6,IF(lenb(SUBSTITUTE($Z778,W$1&amp;" (7)",""))&lt;lenb($Z778),1,IF(lenb(SUBSTITUTE($Z778,W$1&amp;" (8)",""))&lt;lenb($Z778),8,IF(lenb(SUBSTITUTE($Z778,W$1&amp;" (9)",""))&lt;lenb($Z778),9,IF(lenb(SUBSTITUTE($Z778,W$1&amp;" (10)",""))&lt;lenb($Z778),10,IF(lenb(SUBSTITUTE($Z778,W$1,""))&lt;lenb($Z778),"ERROR",IF($Z778=$Y$1,"-",0))))))))))))</f>
        <v>0</v>
      </c>
      <c r="X778" s="105">
        <f t="shared" si="783"/>
        <v>0</v>
      </c>
      <c r="Y778" s="105" t="str">
        <f t="shared" si="4"/>
        <v>-</v>
      </c>
      <c r="Z778" s="104" t="s">
        <v>3400</v>
      </c>
      <c r="AA778" s="34">
        <f t="shared" si="5"/>
        <v>1</v>
      </c>
      <c r="AB778" s="34">
        <f>COUNTIFS(Links!B:B,"FSE",Links!C:C,A778,Links!AD:AD,1)</f>
        <v>0</v>
      </c>
      <c r="AC778" s="106" t="s">
        <v>37</v>
      </c>
      <c r="AD778" s="107" t="s">
        <v>35</v>
      </c>
      <c r="AE778" s="104" t="s">
        <v>36</v>
      </c>
      <c r="AF778" s="37" t="s">
        <v>42</v>
      </c>
      <c r="AG778" s="37" t="s">
        <v>42</v>
      </c>
      <c r="AH778" s="37" t="s">
        <v>42</v>
      </c>
      <c r="AI778" s="105" t="str">
        <f t="shared" si="6"/>
        <v>----</v>
      </c>
      <c r="AJ778" s="108" t="str">
        <f t="shared" si="7"/>
        <v>Paper has link but no statement</v>
      </c>
      <c r="AK778" s="109" t="s">
        <v>3401</v>
      </c>
      <c r="AL778" s="110" t="s">
        <v>3402</v>
      </c>
      <c r="AM778" s="40" t="str">
        <f t="shared" si="8"/>
        <v>[FP0064]</v>
      </c>
    </row>
    <row r="779" ht="67.5" customHeight="1">
      <c r="A779" s="41">
        <v>65.0</v>
      </c>
      <c r="B779" s="42" t="s">
        <v>5475</v>
      </c>
      <c r="C779" s="43">
        <v>2023.0</v>
      </c>
      <c r="D779" s="111" t="s">
        <v>35</v>
      </c>
      <c r="E779" s="45" t="s">
        <v>36</v>
      </c>
      <c r="F779" s="45" t="s">
        <v>36</v>
      </c>
      <c r="G779" s="45" t="s">
        <v>36</v>
      </c>
      <c r="H779" s="45" t="s">
        <v>36</v>
      </c>
      <c r="I779" s="45" t="s">
        <v>36</v>
      </c>
      <c r="J779" s="112" t="s">
        <v>36</v>
      </c>
      <c r="K779" s="113" t="s">
        <v>37</v>
      </c>
      <c r="L779" s="114" t="s">
        <v>37</v>
      </c>
      <c r="M779" s="114" t="s">
        <v>35</v>
      </c>
      <c r="N779" s="114" t="s">
        <v>37</v>
      </c>
      <c r="O779" s="114" t="s">
        <v>35</v>
      </c>
      <c r="P779" s="114" t="s">
        <v>35</v>
      </c>
      <c r="Q779" s="114" t="s">
        <v>35</v>
      </c>
      <c r="R779" s="114" t="s">
        <v>35</v>
      </c>
      <c r="S779" s="115" t="s">
        <v>5476</v>
      </c>
      <c r="T779" s="50" t="s">
        <v>5477</v>
      </c>
      <c r="U779" s="50" t="s">
        <v>5477</v>
      </c>
      <c r="V779" s="116">
        <f t="shared" si="2"/>
        <v>1</v>
      </c>
      <c r="W779" s="116">
        <f t="shared" ref="W779:X779" si="784">IF(lenb(SUBSTITUTE($Z779,W$1&amp;" (1)",""))&lt;lenb($Z779),1,IF(lenb(SUBSTITUTE($Z779,W$1&amp;" (2)",""))&lt;lenb($Z779),2,IF(lenb(SUBSTITUTE($Z779,W$1&amp;" (3)",""))&lt;lenb($Z779),3,IF(lenb(SUBSTITUTE($Z779,W$1&amp;" (4)",""))&lt;lenb($Z779),4,IF(lenb(SUBSTITUTE($Z779,W$1&amp;" (5)",""))&lt;lenb($Z779),5,IF(lenb(SUBSTITUTE($Z779,W$1&amp;" (6)",""))&lt;lenb($Z779),6,IF(lenb(SUBSTITUTE($Z779,W$1&amp;" (7)",""))&lt;lenb($Z779),1,IF(lenb(SUBSTITUTE($Z779,W$1&amp;" (8)",""))&lt;lenb($Z779),8,IF(lenb(SUBSTITUTE($Z779,W$1&amp;" (9)",""))&lt;lenb($Z779),9,IF(lenb(SUBSTITUTE($Z779,W$1&amp;" (10)",""))&lt;lenb($Z779),10,IF(lenb(SUBSTITUTE($Z779,W$1,""))&lt;lenb($Z779),"ERROR",IF($Z779=$Y$1,"-",0))))))))))))</f>
        <v>0</v>
      </c>
      <c r="X779" s="116">
        <f t="shared" si="784"/>
        <v>0</v>
      </c>
      <c r="Y779" s="116" t="str">
        <f t="shared" si="4"/>
        <v>-</v>
      </c>
      <c r="Z779" s="115" t="s">
        <v>3400</v>
      </c>
      <c r="AA779" s="54">
        <f t="shared" si="5"/>
        <v>1</v>
      </c>
      <c r="AB779" s="54">
        <f>COUNTIFS(Links!B:B,"FSE",Links!C:C,A779,Links!AD:AD,1)</f>
        <v>0</v>
      </c>
      <c r="AC779" s="117" t="s">
        <v>35</v>
      </c>
      <c r="AD779" s="118" t="s">
        <v>35</v>
      </c>
      <c r="AE779" s="115" t="s">
        <v>36</v>
      </c>
      <c r="AF779" s="57" t="s">
        <v>42</v>
      </c>
      <c r="AG779" s="57" t="s">
        <v>42</v>
      </c>
      <c r="AH779" s="57" t="s">
        <v>42</v>
      </c>
      <c r="AI779" s="116" t="str">
        <f t="shared" si="6"/>
        <v>----</v>
      </c>
      <c r="AJ779" s="119" t="str">
        <f t="shared" si="7"/>
        <v>Paper has link but no statement</v>
      </c>
      <c r="AK779" s="120" t="s">
        <v>3401</v>
      </c>
      <c r="AL779" s="121" t="s">
        <v>3402</v>
      </c>
      <c r="AM779" s="60" t="str">
        <f t="shared" si="8"/>
        <v>[FP0065]</v>
      </c>
    </row>
    <row r="780" ht="67.5" customHeight="1">
      <c r="A780" s="61">
        <v>66.0</v>
      </c>
      <c r="B780" s="22" t="s">
        <v>5478</v>
      </c>
      <c r="C780" s="23">
        <v>2023.0</v>
      </c>
      <c r="D780" s="100" t="s">
        <v>37</v>
      </c>
      <c r="E780" s="25" t="s">
        <v>37</v>
      </c>
      <c r="F780" s="25" t="s">
        <v>35</v>
      </c>
      <c r="G780" s="25" t="s">
        <v>37</v>
      </c>
      <c r="H780" s="25" t="s">
        <v>35</v>
      </c>
      <c r="I780" s="25" t="s">
        <v>35</v>
      </c>
      <c r="J780" s="101" t="s">
        <v>36</v>
      </c>
      <c r="K780" s="102" t="s">
        <v>37</v>
      </c>
      <c r="L780" s="103" t="s">
        <v>35</v>
      </c>
      <c r="M780" s="103" t="s">
        <v>35</v>
      </c>
      <c r="N780" s="103" t="s">
        <v>37</v>
      </c>
      <c r="O780" s="103" t="s">
        <v>35</v>
      </c>
      <c r="P780" s="103" t="s">
        <v>35</v>
      </c>
      <c r="Q780" s="103" t="s">
        <v>37</v>
      </c>
      <c r="R780" s="103" t="s">
        <v>35</v>
      </c>
      <c r="S780" s="104" t="s">
        <v>5020</v>
      </c>
      <c r="T780" s="30" t="s">
        <v>5479</v>
      </c>
      <c r="U780" s="30" t="s">
        <v>5479</v>
      </c>
      <c r="V780" s="105">
        <f t="shared" si="2"/>
        <v>1</v>
      </c>
      <c r="W780" s="105">
        <f t="shared" ref="W780:X780" si="785">IF(lenb(SUBSTITUTE($Z780,W$1&amp;" (1)",""))&lt;lenb($Z780),1,IF(lenb(SUBSTITUTE($Z780,W$1&amp;" (2)",""))&lt;lenb($Z780),2,IF(lenb(SUBSTITUTE($Z780,W$1&amp;" (3)",""))&lt;lenb($Z780),3,IF(lenb(SUBSTITUTE($Z780,W$1&amp;" (4)",""))&lt;lenb($Z780),4,IF(lenb(SUBSTITUTE($Z780,W$1&amp;" (5)",""))&lt;lenb($Z780),5,IF(lenb(SUBSTITUTE($Z780,W$1&amp;" (6)",""))&lt;lenb($Z780),6,IF(lenb(SUBSTITUTE($Z780,W$1&amp;" (7)",""))&lt;lenb($Z780),1,IF(lenb(SUBSTITUTE($Z780,W$1&amp;" (8)",""))&lt;lenb($Z780),8,IF(lenb(SUBSTITUTE($Z780,W$1&amp;" (9)",""))&lt;lenb($Z780),9,IF(lenb(SUBSTITUTE($Z780,W$1&amp;" (10)",""))&lt;lenb($Z780),10,IF(lenb(SUBSTITUTE($Z780,W$1,""))&lt;lenb($Z780),"ERROR",IF($Z780=$Y$1,"-",0))))))))))))</f>
        <v>0</v>
      </c>
      <c r="X780" s="105">
        <f t="shared" si="785"/>
        <v>0</v>
      </c>
      <c r="Y780" s="105" t="str">
        <f t="shared" si="4"/>
        <v>-</v>
      </c>
      <c r="Z780" s="104" t="s">
        <v>3400</v>
      </c>
      <c r="AA780" s="34">
        <f t="shared" si="5"/>
        <v>1</v>
      </c>
      <c r="AB780" s="34">
        <f>COUNTIFS(Links!B:B,"FSE",Links!C:C,A780,Links!AD:AD,1)</f>
        <v>0</v>
      </c>
      <c r="AC780" s="106" t="s">
        <v>35</v>
      </c>
      <c r="AD780" s="107" t="s">
        <v>35</v>
      </c>
      <c r="AE780" s="104" t="s">
        <v>36</v>
      </c>
      <c r="AF780" s="37" t="s">
        <v>42</v>
      </c>
      <c r="AG780" s="37" t="s">
        <v>42</v>
      </c>
      <c r="AH780" s="37" t="s">
        <v>42</v>
      </c>
      <c r="AI780" s="105" t="str">
        <f t="shared" si="6"/>
        <v>----</v>
      </c>
      <c r="AJ780" s="108" t="str">
        <f t="shared" si="7"/>
        <v>Paper has link but no statement</v>
      </c>
      <c r="AK780" s="109" t="s">
        <v>3401</v>
      </c>
      <c r="AL780" s="110" t="s">
        <v>3402</v>
      </c>
      <c r="AM780" s="40" t="str">
        <f t="shared" si="8"/>
        <v>[FP0066]</v>
      </c>
    </row>
    <row r="781" ht="67.5" customHeight="1">
      <c r="A781" s="41">
        <v>67.0</v>
      </c>
      <c r="B781" s="42" t="s">
        <v>5480</v>
      </c>
      <c r="C781" s="43">
        <v>2023.0</v>
      </c>
      <c r="D781" s="111" t="s">
        <v>35</v>
      </c>
      <c r="E781" s="45" t="s">
        <v>36</v>
      </c>
      <c r="F781" s="45" t="s">
        <v>36</v>
      </c>
      <c r="G781" s="45" t="s">
        <v>36</v>
      </c>
      <c r="H781" s="45" t="s">
        <v>36</v>
      </c>
      <c r="I781" s="45" t="s">
        <v>36</v>
      </c>
      <c r="J781" s="112" t="s">
        <v>36</v>
      </c>
      <c r="K781" s="113" t="s">
        <v>37</v>
      </c>
      <c r="L781" s="114" t="s">
        <v>35</v>
      </c>
      <c r="M781" s="114" t="s">
        <v>37</v>
      </c>
      <c r="N781" s="114" t="s">
        <v>35</v>
      </c>
      <c r="O781" s="114" t="s">
        <v>35</v>
      </c>
      <c r="P781" s="114" t="s">
        <v>35</v>
      </c>
      <c r="Q781" s="114" t="s">
        <v>37</v>
      </c>
      <c r="R781" s="114" t="s">
        <v>35</v>
      </c>
      <c r="S781" s="115" t="s">
        <v>5020</v>
      </c>
      <c r="T781" s="50" t="s">
        <v>5481</v>
      </c>
      <c r="U781" s="50" t="s">
        <v>5481</v>
      </c>
      <c r="V781" s="116">
        <f t="shared" si="2"/>
        <v>1</v>
      </c>
      <c r="W781" s="116">
        <f t="shared" ref="W781:X781" si="786">IF(lenb(SUBSTITUTE($Z781,W$1&amp;" (1)",""))&lt;lenb($Z781),1,IF(lenb(SUBSTITUTE($Z781,W$1&amp;" (2)",""))&lt;lenb($Z781),2,IF(lenb(SUBSTITUTE($Z781,W$1&amp;" (3)",""))&lt;lenb($Z781),3,IF(lenb(SUBSTITUTE($Z781,W$1&amp;" (4)",""))&lt;lenb($Z781),4,IF(lenb(SUBSTITUTE($Z781,W$1&amp;" (5)",""))&lt;lenb($Z781),5,IF(lenb(SUBSTITUTE($Z781,W$1&amp;" (6)",""))&lt;lenb($Z781),6,IF(lenb(SUBSTITUTE($Z781,W$1&amp;" (7)",""))&lt;lenb($Z781),1,IF(lenb(SUBSTITUTE($Z781,W$1&amp;" (8)",""))&lt;lenb($Z781),8,IF(lenb(SUBSTITUTE($Z781,W$1&amp;" (9)",""))&lt;lenb($Z781),9,IF(lenb(SUBSTITUTE($Z781,W$1&amp;" (10)",""))&lt;lenb($Z781),10,IF(lenb(SUBSTITUTE($Z781,W$1,""))&lt;lenb($Z781),"ERROR",IF($Z781=$Y$1,"-",0))))))))))))</f>
        <v>0</v>
      </c>
      <c r="X781" s="116">
        <f t="shared" si="786"/>
        <v>0</v>
      </c>
      <c r="Y781" s="116" t="str">
        <f t="shared" si="4"/>
        <v>-</v>
      </c>
      <c r="Z781" s="115" t="s">
        <v>3400</v>
      </c>
      <c r="AA781" s="54">
        <f t="shared" si="5"/>
        <v>1</v>
      </c>
      <c r="AB781" s="54">
        <f>COUNTIFS(Links!B:B,"FSE",Links!C:C,A781,Links!AD:AD,1)</f>
        <v>0</v>
      </c>
      <c r="AC781" s="117" t="s">
        <v>35</v>
      </c>
      <c r="AD781" s="118" t="s">
        <v>35</v>
      </c>
      <c r="AE781" s="115" t="s">
        <v>36</v>
      </c>
      <c r="AF781" s="57" t="s">
        <v>42</v>
      </c>
      <c r="AG781" s="57" t="s">
        <v>42</v>
      </c>
      <c r="AH781" s="57" t="s">
        <v>42</v>
      </c>
      <c r="AI781" s="116" t="str">
        <f t="shared" si="6"/>
        <v>----</v>
      </c>
      <c r="AJ781" s="119" t="str">
        <f t="shared" si="7"/>
        <v>Paper has link but no statement</v>
      </c>
      <c r="AK781" s="120" t="s">
        <v>3401</v>
      </c>
      <c r="AL781" s="121" t="s">
        <v>3402</v>
      </c>
      <c r="AM781" s="60" t="str">
        <f t="shared" si="8"/>
        <v>[FP0067]</v>
      </c>
    </row>
    <row r="782" ht="67.5" customHeight="1">
      <c r="A782" s="61">
        <v>68.0</v>
      </c>
      <c r="B782" s="22" t="s">
        <v>5482</v>
      </c>
      <c r="C782" s="23">
        <v>2023.0</v>
      </c>
      <c r="D782" s="100" t="s">
        <v>35</v>
      </c>
      <c r="E782" s="25" t="s">
        <v>36</v>
      </c>
      <c r="F782" s="25" t="s">
        <v>36</v>
      </c>
      <c r="G782" s="25" t="s">
        <v>36</v>
      </c>
      <c r="H782" s="25" t="s">
        <v>36</v>
      </c>
      <c r="I782" s="25" t="s">
        <v>36</v>
      </c>
      <c r="J782" s="101" t="s">
        <v>36</v>
      </c>
      <c r="K782" s="102" t="s">
        <v>37</v>
      </c>
      <c r="L782" s="103" t="s">
        <v>35</v>
      </c>
      <c r="M782" s="103" t="s">
        <v>35</v>
      </c>
      <c r="N782" s="103" t="s">
        <v>35</v>
      </c>
      <c r="O782" s="103" t="s">
        <v>35</v>
      </c>
      <c r="P782" s="103" t="s">
        <v>35</v>
      </c>
      <c r="Q782" s="103" t="s">
        <v>37</v>
      </c>
      <c r="R782" s="103" t="s">
        <v>37</v>
      </c>
      <c r="S782" s="104" t="s">
        <v>5483</v>
      </c>
      <c r="T782" s="30" t="s">
        <v>5484</v>
      </c>
      <c r="U782" s="30" t="s">
        <v>5485</v>
      </c>
      <c r="V782" s="105">
        <f t="shared" si="2"/>
        <v>1</v>
      </c>
      <c r="W782" s="105">
        <f t="shared" ref="W782:X782" si="787">IF(lenb(SUBSTITUTE($Z782,W$1&amp;" (1)",""))&lt;lenb($Z782),1,IF(lenb(SUBSTITUTE($Z782,W$1&amp;" (2)",""))&lt;lenb($Z782),2,IF(lenb(SUBSTITUTE($Z782,W$1&amp;" (3)",""))&lt;lenb($Z782),3,IF(lenb(SUBSTITUTE($Z782,W$1&amp;" (4)",""))&lt;lenb($Z782),4,IF(lenb(SUBSTITUTE($Z782,W$1&amp;" (5)",""))&lt;lenb($Z782),5,IF(lenb(SUBSTITUTE($Z782,W$1&amp;" (6)",""))&lt;lenb($Z782),6,IF(lenb(SUBSTITUTE($Z782,W$1&amp;" (7)",""))&lt;lenb($Z782),1,IF(lenb(SUBSTITUTE($Z782,W$1&amp;" (8)",""))&lt;lenb($Z782),8,IF(lenb(SUBSTITUTE($Z782,W$1&amp;" (9)",""))&lt;lenb($Z782),9,IF(lenb(SUBSTITUTE($Z782,W$1&amp;" (10)",""))&lt;lenb($Z782),10,IF(lenb(SUBSTITUTE($Z782,W$1,""))&lt;lenb($Z782),"ERROR",IF($Z782=$Y$1,"-",0))))))))))))</f>
        <v>0</v>
      </c>
      <c r="X782" s="105">
        <f t="shared" si="787"/>
        <v>0</v>
      </c>
      <c r="Y782" s="105" t="str">
        <f t="shared" si="4"/>
        <v>-</v>
      </c>
      <c r="Z782" s="104" t="s">
        <v>3400</v>
      </c>
      <c r="AA782" s="34">
        <f t="shared" si="5"/>
        <v>1</v>
      </c>
      <c r="AB782" s="34">
        <f>COUNTIFS(Links!B:B,"FSE",Links!C:C,A782,Links!AD:AD,1)</f>
        <v>0</v>
      </c>
      <c r="AC782" s="106" t="s">
        <v>35</v>
      </c>
      <c r="AD782" s="107" t="s">
        <v>35</v>
      </c>
      <c r="AE782" s="104" t="s">
        <v>36</v>
      </c>
      <c r="AF782" s="37" t="s">
        <v>42</v>
      </c>
      <c r="AG782" s="37" t="s">
        <v>42</v>
      </c>
      <c r="AH782" s="37" t="s">
        <v>42</v>
      </c>
      <c r="AI782" s="105" t="str">
        <f t="shared" si="6"/>
        <v>----</v>
      </c>
      <c r="AJ782" s="108" t="str">
        <f t="shared" si="7"/>
        <v>Paper has link but no statement</v>
      </c>
      <c r="AK782" s="109" t="s">
        <v>3401</v>
      </c>
      <c r="AL782" s="110" t="s">
        <v>3402</v>
      </c>
      <c r="AM782" s="40" t="str">
        <f t="shared" si="8"/>
        <v>[FP0068]</v>
      </c>
    </row>
    <row r="783" ht="67.5" customHeight="1">
      <c r="A783" s="41">
        <v>69.0</v>
      </c>
      <c r="B783" s="42" t="s">
        <v>5486</v>
      </c>
      <c r="C783" s="43">
        <v>2023.0</v>
      </c>
      <c r="D783" s="111" t="s">
        <v>37</v>
      </c>
      <c r="E783" s="45" t="s">
        <v>37</v>
      </c>
      <c r="F783" s="45" t="s">
        <v>35</v>
      </c>
      <c r="G783" s="45" t="s">
        <v>35</v>
      </c>
      <c r="H783" s="45" t="s">
        <v>35</v>
      </c>
      <c r="I783" s="45" t="s">
        <v>35</v>
      </c>
      <c r="J783" s="112" t="s">
        <v>36</v>
      </c>
      <c r="K783" s="113" t="s">
        <v>37</v>
      </c>
      <c r="L783" s="114" t="s">
        <v>35</v>
      </c>
      <c r="M783" s="114" t="s">
        <v>37</v>
      </c>
      <c r="N783" s="114" t="s">
        <v>35</v>
      </c>
      <c r="O783" s="114" t="s">
        <v>35</v>
      </c>
      <c r="P783" s="114" t="s">
        <v>35</v>
      </c>
      <c r="Q783" s="114" t="s">
        <v>37</v>
      </c>
      <c r="R783" s="114" t="s">
        <v>37</v>
      </c>
      <c r="S783" s="115" t="s">
        <v>5487</v>
      </c>
      <c r="T783" s="50" t="s">
        <v>5488</v>
      </c>
      <c r="U783" s="50" t="s">
        <v>5488</v>
      </c>
      <c r="V783" s="116">
        <f t="shared" si="2"/>
        <v>1</v>
      </c>
      <c r="W783" s="116">
        <f t="shared" ref="W783:X783" si="788">IF(lenb(SUBSTITUTE($Z783,W$1&amp;" (1)",""))&lt;lenb($Z783),1,IF(lenb(SUBSTITUTE($Z783,W$1&amp;" (2)",""))&lt;lenb($Z783),2,IF(lenb(SUBSTITUTE($Z783,W$1&amp;" (3)",""))&lt;lenb($Z783),3,IF(lenb(SUBSTITUTE($Z783,W$1&amp;" (4)",""))&lt;lenb($Z783),4,IF(lenb(SUBSTITUTE($Z783,W$1&amp;" (5)",""))&lt;lenb($Z783),5,IF(lenb(SUBSTITUTE($Z783,W$1&amp;" (6)",""))&lt;lenb($Z783),6,IF(lenb(SUBSTITUTE($Z783,W$1&amp;" (7)",""))&lt;lenb($Z783),1,IF(lenb(SUBSTITUTE($Z783,W$1&amp;" (8)",""))&lt;lenb($Z783),8,IF(lenb(SUBSTITUTE($Z783,W$1&amp;" (9)",""))&lt;lenb($Z783),9,IF(lenb(SUBSTITUTE($Z783,W$1&amp;" (10)",""))&lt;lenb($Z783),10,IF(lenb(SUBSTITUTE($Z783,W$1,""))&lt;lenb($Z783),"ERROR",IF($Z783=$Y$1,"-",0))))))))))))</f>
        <v>0</v>
      </c>
      <c r="X783" s="116">
        <f t="shared" si="788"/>
        <v>0</v>
      </c>
      <c r="Y783" s="116" t="str">
        <f t="shared" si="4"/>
        <v>-</v>
      </c>
      <c r="Z783" s="115" t="s">
        <v>3400</v>
      </c>
      <c r="AA783" s="54">
        <f t="shared" si="5"/>
        <v>1</v>
      </c>
      <c r="AB783" s="54">
        <f>COUNTIFS(Links!B:B,"FSE",Links!C:C,A783,Links!AD:AD,1)</f>
        <v>0</v>
      </c>
      <c r="AC783" s="117" t="s">
        <v>35</v>
      </c>
      <c r="AD783" s="118" t="s">
        <v>35</v>
      </c>
      <c r="AE783" s="115" t="s">
        <v>36</v>
      </c>
      <c r="AF783" s="57" t="s">
        <v>42</v>
      </c>
      <c r="AG783" s="57" t="s">
        <v>42</v>
      </c>
      <c r="AH783" s="57" t="s">
        <v>42</v>
      </c>
      <c r="AI783" s="116" t="str">
        <f t="shared" si="6"/>
        <v>----</v>
      </c>
      <c r="AJ783" s="119" t="str">
        <f t="shared" si="7"/>
        <v>Paper has link but no statement</v>
      </c>
      <c r="AK783" s="120" t="s">
        <v>3401</v>
      </c>
      <c r="AL783" s="121" t="s">
        <v>3402</v>
      </c>
      <c r="AM783" s="60" t="str">
        <f t="shared" si="8"/>
        <v>[FP0069]</v>
      </c>
    </row>
    <row r="784" ht="67.5" customHeight="1">
      <c r="A784" s="61">
        <v>70.0</v>
      </c>
      <c r="B784" s="22" t="s">
        <v>5489</v>
      </c>
      <c r="C784" s="23">
        <v>2023.0</v>
      </c>
      <c r="D784" s="100" t="s">
        <v>35</v>
      </c>
      <c r="E784" s="25" t="s">
        <v>36</v>
      </c>
      <c r="F784" s="25" t="s">
        <v>36</v>
      </c>
      <c r="G784" s="25" t="s">
        <v>36</v>
      </c>
      <c r="H784" s="25" t="s">
        <v>36</v>
      </c>
      <c r="I784" s="25" t="s">
        <v>36</v>
      </c>
      <c r="J784" s="101" t="s">
        <v>36</v>
      </c>
      <c r="K784" s="102" t="s">
        <v>37</v>
      </c>
      <c r="L784" s="103" t="s">
        <v>35</v>
      </c>
      <c r="M784" s="103" t="s">
        <v>37</v>
      </c>
      <c r="N784" s="103" t="s">
        <v>35</v>
      </c>
      <c r="O784" s="103" t="s">
        <v>35</v>
      </c>
      <c r="P784" s="103" t="s">
        <v>35</v>
      </c>
      <c r="Q784" s="103" t="s">
        <v>37</v>
      </c>
      <c r="R784" s="103" t="s">
        <v>35</v>
      </c>
      <c r="S784" s="104" t="s">
        <v>5020</v>
      </c>
      <c r="T784" s="30" t="s">
        <v>5490</v>
      </c>
      <c r="U784" s="30" t="s">
        <v>5490</v>
      </c>
      <c r="V784" s="105">
        <f t="shared" si="2"/>
        <v>1</v>
      </c>
      <c r="W784" s="105">
        <f t="shared" ref="W784:X784" si="789">IF(lenb(SUBSTITUTE($Z784,W$1&amp;" (1)",""))&lt;lenb($Z784),1,IF(lenb(SUBSTITUTE($Z784,W$1&amp;" (2)",""))&lt;lenb($Z784),2,IF(lenb(SUBSTITUTE($Z784,W$1&amp;" (3)",""))&lt;lenb($Z784),3,IF(lenb(SUBSTITUTE($Z784,W$1&amp;" (4)",""))&lt;lenb($Z784),4,IF(lenb(SUBSTITUTE($Z784,W$1&amp;" (5)",""))&lt;lenb($Z784),5,IF(lenb(SUBSTITUTE($Z784,W$1&amp;" (6)",""))&lt;lenb($Z784),6,IF(lenb(SUBSTITUTE($Z784,W$1&amp;" (7)",""))&lt;lenb($Z784),1,IF(lenb(SUBSTITUTE($Z784,W$1&amp;" (8)",""))&lt;lenb($Z784),8,IF(lenb(SUBSTITUTE($Z784,W$1&amp;" (9)",""))&lt;lenb($Z784),9,IF(lenb(SUBSTITUTE($Z784,W$1&amp;" (10)",""))&lt;lenb($Z784),10,IF(lenb(SUBSTITUTE($Z784,W$1,""))&lt;lenb($Z784),"ERROR",IF($Z784=$Y$1,"-",0))))))))))))</f>
        <v>0</v>
      </c>
      <c r="X784" s="105">
        <f t="shared" si="789"/>
        <v>0</v>
      </c>
      <c r="Y784" s="105" t="str">
        <f t="shared" si="4"/>
        <v>-</v>
      </c>
      <c r="Z784" s="104" t="s">
        <v>3400</v>
      </c>
      <c r="AA784" s="34">
        <f t="shared" si="5"/>
        <v>1</v>
      </c>
      <c r="AB784" s="34">
        <f>COUNTIFS(Links!B:B,"FSE",Links!C:C,A784,Links!AD:AD,1)</f>
        <v>0</v>
      </c>
      <c r="AC784" s="106" t="s">
        <v>35</v>
      </c>
      <c r="AD784" s="107" t="s">
        <v>35</v>
      </c>
      <c r="AE784" s="104" t="s">
        <v>36</v>
      </c>
      <c r="AF784" s="37" t="s">
        <v>42</v>
      </c>
      <c r="AG784" s="37" t="s">
        <v>42</v>
      </c>
      <c r="AH784" s="37" t="s">
        <v>42</v>
      </c>
      <c r="AI784" s="105" t="str">
        <f t="shared" si="6"/>
        <v>----</v>
      </c>
      <c r="AJ784" s="108" t="str">
        <f t="shared" si="7"/>
        <v>Paper has link but no statement</v>
      </c>
      <c r="AK784" s="109" t="s">
        <v>3401</v>
      </c>
      <c r="AL784" s="110" t="s">
        <v>3402</v>
      </c>
      <c r="AM784" s="40" t="str">
        <f t="shared" si="8"/>
        <v>[FP0070]</v>
      </c>
    </row>
    <row r="785" ht="67.5" customHeight="1">
      <c r="A785" s="41">
        <v>71.0</v>
      </c>
      <c r="B785" s="42" t="s">
        <v>5491</v>
      </c>
      <c r="C785" s="43">
        <v>2023.0</v>
      </c>
      <c r="D785" s="111" t="s">
        <v>37</v>
      </c>
      <c r="E785" s="45" t="s">
        <v>37</v>
      </c>
      <c r="F785" s="45" t="s">
        <v>35</v>
      </c>
      <c r="G785" s="45" t="s">
        <v>35</v>
      </c>
      <c r="H785" s="45" t="s">
        <v>35</v>
      </c>
      <c r="I785" s="45" t="s">
        <v>35</v>
      </c>
      <c r="J785" s="112" t="s">
        <v>36</v>
      </c>
      <c r="K785" s="113" t="s">
        <v>37</v>
      </c>
      <c r="L785" s="114" t="s">
        <v>35</v>
      </c>
      <c r="M785" s="114" t="s">
        <v>35</v>
      </c>
      <c r="N785" s="114" t="s">
        <v>35</v>
      </c>
      <c r="O785" s="114" t="s">
        <v>35</v>
      </c>
      <c r="P785" s="114" t="s">
        <v>35</v>
      </c>
      <c r="Q785" s="114" t="s">
        <v>37</v>
      </c>
      <c r="R785" s="114" t="s">
        <v>35</v>
      </c>
      <c r="S785" s="115" t="s">
        <v>5020</v>
      </c>
      <c r="T785" s="50" t="s">
        <v>5492</v>
      </c>
      <c r="U785" s="50" t="s">
        <v>5492</v>
      </c>
      <c r="V785" s="116">
        <f t="shared" si="2"/>
        <v>1</v>
      </c>
      <c r="W785" s="116">
        <f t="shared" ref="W785:X785" si="790">IF(lenb(SUBSTITUTE($Z785,W$1&amp;" (1)",""))&lt;lenb($Z785),1,IF(lenb(SUBSTITUTE($Z785,W$1&amp;" (2)",""))&lt;lenb($Z785),2,IF(lenb(SUBSTITUTE($Z785,W$1&amp;" (3)",""))&lt;lenb($Z785),3,IF(lenb(SUBSTITUTE($Z785,W$1&amp;" (4)",""))&lt;lenb($Z785),4,IF(lenb(SUBSTITUTE($Z785,W$1&amp;" (5)",""))&lt;lenb($Z785),5,IF(lenb(SUBSTITUTE($Z785,W$1&amp;" (6)",""))&lt;lenb($Z785),6,IF(lenb(SUBSTITUTE($Z785,W$1&amp;" (7)",""))&lt;lenb($Z785),1,IF(lenb(SUBSTITUTE($Z785,W$1&amp;" (8)",""))&lt;lenb($Z785),8,IF(lenb(SUBSTITUTE($Z785,W$1&amp;" (9)",""))&lt;lenb($Z785),9,IF(lenb(SUBSTITUTE($Z785,W$1&amp;" (10)",""))&lt;lenb($Z785),10,IF(lenb(SUBSTITUTE($Z785,W$1,""))&lt;lenb($Z785),"ERROR",IF($Z785=$Y$1,"-",0))))))))))))</f>
        <v>0</v>
      </c>
      <c r="X785" s="116">
        <f t="shared" si="790"/>
        <v>0</v>
      </c>
      <c r="Y785" s="116" t="str">
        <f t="shared" si="4"/>
        <v>-</v>
      </c>
      <c r="Z785" s="115" t="s">
        <v>3400</v>
      </c>
      <c r="AA785" s="54">
        <f t="shared" si="5"/>
        <v>1</v>
      </c>
      <c r="AB785" s="54">
        <f>COUNTIFS(Links!B:B,"FSE",Links!C:C,A785,Links!AD:AD,1)</f>
        <v>0</v>
      </c>
      <c r="AC785" s="117" t="s">
        <v>37</v>
      </c>
      <c r="AD785" s="118" t="s">
        <v>35</v>
      </c>
      <c r="AE785" s="115" t="s">
        <v>36</v>
      </c>
      <c r="AF785" s="57" t="s">
        <v>42</v>
      </c>
      <c r="AG785" s="57" t="s">
        <v>42</v>
      </c>
      <c r="AH785" s="57" t="s">
        <v>42</v>
      </c>
      <c r="AI785" s="116" t="str">
        <f t="shared" si="6"/>
        <v>----</v>
      </c>
      <c r="AJ785" s="119" t="str">
        <f t="shared" si="7"/>
        <v>Paper has link but no statement</v>
      </c>
      <c r="AK785" s="120" t="s">
        <v>3401</v>
      </c>
      <c r="AL785" s="121" t="s">
        <v>3402</v>
      </c>
      <c r="AM785" s="60" t="str">
        <f t="shared" si="8"/>
        <v>[FP0071]</v>
      </c>
    </row>
    <row r="786" ht="67.5" customHeight="1">
      <c r="A786" s="61">
        <v>72.0</v>
      </c>
      <c r="B786" s="22" t="s">
        <v>5493</v>
      </c>
      <c r="C786" s="23">
        <v>2023.0</v>
      </c>
      <c r="D786" s="100" t="s">
        <v>37</v>
      </c>
      <c r="E786" s="25" t="s">
        <v>37</v>
      </c>
      <c r="F786" s="25" t="s">
        <v>37</v>
      </c>
      <c r="G786" s="25" t="s">
        <v>35</v>
      </c>
      <c r="H786" s="25" t="s">
        <v>35</v>
      </c>
      <c r="I786" s="25" t="s">
        <v>35</v>
      </c>
      <c r="J786" s="101" t="s">
        <v>36</v>
      </c>
      <c r="K786" s="102" t="s">
        <v>37</v>
      </c>
      <c r="L786" s="103" t="s">
        <v>35</v>
      </c>
      <c r="M786" s="103" t="s">
        <v>37</v>
      </c>
      <c r="N786" s="103" t="s">
        <v>35</v>
      </c>
      <c r="O786" s="103" t="s">
        <v>35</v>
      </c>
      <c r="P786" s="103" t="s">
        <v>35</v>
      </c>
      <c r="Q786" s="103" t="s">
        <v>37</v>
      </c>
      <c r="R786" s="103" t="s">
        <v>37</v>
      </c>
      <c r="S786" s="104" t="s">
        <v>5494</v>
      </c>
      <c r="T786" s="30" t="s">
        <v>5495</v>
      </c>
      <c r="U786" s="30" t="s">
        <v>5495</v>
      </c>
      <c r="V786" s="105">
        <f t="shared" si="2"/>
        <v>2</v>
      </c>
      <c r="W786" s="105">
        <f t="shared" ref="W786:X786" si="791">IF(lenb(SUBSTITUTE($Z786,W$1&amp;" (1)",""))&lt;lenb($Z786),1,IF(lenb(SUBSTITUTE($Z786,W$1&amp;" (2)",""))&lt;lenb($Z786),2,IF(lenb(SUBSTITUTE($Z786,W$1&amp;" (3)",""))&lt;lenb($Z786),3,IF(lenb(SUBSTITUTE($Z786,W$1&amp;" (4)",""))&lt;lenb($Z786),4,IF(lenb(SUBSTITUTE($Z786,W$1&amp;" (5)",""))&lt;lenb($Z786),5,IF(lenb(SUBSTITUTE($Z786,W$1&amp;" (6)",""))&lt;lenb($Z786),6,IF(lenb(SUBSTITUTE($Z786,W$1&amp;" (7)",""))&lt;lenb($Z786),1,IF(lenb(SUBSTITUTE($Z786,W$1&amp;" (8)",""))&lt;lenb($Z786),8,IF(lenb(SUBSTITUTE($Z786,W$1&amp;" (9)",""))&lt;lenb($Z786),9,IF(lenb(SUBSTITUTE($Z786,W$1&amp;" (10)",""))&lt;lenb($Z786),10,IF(lenb(SUBSTITUTE($Z786,W$1,""))&lt;lenb($Z786),"ERROR",IF($Z786=$Y$1,"-",0))))))))))))</f>
        <v>0</v>
      </c>
      <c r="X786" s="105">
        <f t="shared" si="791"/>
        <v>0</v>
      </c>
      <c r="Y786" s="105" t="str">
        <f t="shared" si="4"/>
        <v>-</v>
      </c>
      <c r="Z786" s="104" t="s">
        <v>3452</v>
      </c>
      <c r="AA786" s="34">
        <f t="shared" si="5"/>
        <v>2</v>
      </c>
      <c r="AB786" s="34">
        <f>COUNTIFS(Links!B:B,"FSE",Links!C:C,A786,Links!AD:AD,1)</f>
        <v>0</v>
      </c>
      <c r="AC786" s="106" t="s">
        <v>37</v>
      </c>
      <c r="AD786" s="107" t="s">
        <v>35</v>
      </c>
      <c r="AE786" s="104" t="s">
        <v>36</v>
      </c>
      <c r="AF786" s="37" t="s">
        <v>42</v>
      </c>
      <c r="AG786" s="37" t="s">
        <v>42</v>
      </c>
      <c r="AH786" s="37" t="s">
        <v>42</v>
      </c>
      <c r="AI786" s="105" t="str">
        <f t="shared" si="6"/>
        <v>----</v>
      </c>
      <c r="AJ786" s="108" t="str">
        <f t="shared" si="7"/>
        <v>Paper has link but no statement</v>
      </c>
      <c r="AK786" s="109" t="s">
        <v>3401</v>
      </c>
      <c r="AL786" s="110" t="s">
        <v>3402</v>
      </c>
      <c r="AM786" s="40" t="str">
        <f t="shared" si="8"/>
        <v>[FP0072]</v>
      </c>
    </row>
    <row r="787" ht="67.5" customHeight="1">
      <c r="A787" s="41">
        <v>73.0</v>
      </c>
      <c r="B787" s="42" t="s">
        <v>5496</v>
      </c>
      <c r="C787" s="43">
        <v>2023.0</v>
      </c>
      <c r="D787" s="111" t="s">
        <v>35</v>
      </c>
      <c r="E787" s="45" t="s">
        <v>36</v>
      </c>
      <c r="F787" s="45" t="s">
        <v>36</v>
      </c>
      <c r="G787" s="45" t="s">
        <v>36</v>
      </c>
      <c r="H787" s="45" t="s">
        <v>36</v>
      </c>
      <c r="I787" s="45" t="s">
        <v>36</v>
      </c>
      <c r="J787" s="112" t="s">
        <v>36</v>
      </c>
      <c r="K787" s="113" t="s">
        <v>37</v>
      </c>
      <c r="L787" s="114" t="s">
        <v>35</v>
      </c>
      <c r="M787" s="114" t="s">
        <v>37</v>
      </c>
      <c r="N787" s="114" t="s">
        <v>35</v>
      </c>
      <c r="O787" s="114" t="s">
        <v>35</v>
      </c>
      <c r="P787" s="114" t="s">
        <v>35</v>
      </c>
      <c r="Q787" s="114" t="s">
        <v>37</v>
      </c>
      <c r="R787" s="114" t="s">
        <v>37</v>
      </c>
      <c r="S787" s="115" t="s">
        <v>5497</v>
      </c>
      <c r="T787" s="50" t="s">
        <v>5498</v>
      </c>
      <c r="U787" s="50" t="s">
        <v>5499</v>
      </c>
      <c r="V787" s="116">
        <f t="shared" si="2"/>
        <v>1</v>
      </c>
      <c r="W787" s="116">
        <f t="shared" ref="W787:X787" si="792">IF(lenb(SUBSTITUTE($Z787,W$1&amp;" (1)",""))&lt;lenb($Z787),1,IF(lenb(SUBSTITUTE($Z787,W$1&amp;" (2)",""))&lt;lenb($Z787),2,IF(lenb(SUBSTITUTE($Z787,W$1&amp;" (3)",""))&lt;lenb($Z787),3,IF(lenb(SUBSTITUTE($Z787,W$1&amp;" (4)",""))&lt;lenb($Z787),4,IF(lenb(SUBSTITUTE($Z787,W$1&amp;" (5)",""))&lt;lenb($Z787),5,IF(lenb(SUBSTITUTE($Z787,W$1&amp;" (6)",""))&lt;lenb($Z787),6,IF(lenb(SUBSTITUTE($Z787,W$1&amp;" (7)",""))&lt;lenb($Z787),1,IF(lenb(SUBSTITUTE($Z787,W$1&amp;" (8)",""))&lt;lenb($Z787),8,IF(lenb(SUBSTITUTE($Z787,W$1&amp;" (9)",""))&lt;lenb($Z787),9,IF(lenb(SUBSTITUTE($Z787,W$1&amp;" (10)",""))&lt;lenb($Z787),10,IF(lenb(SUBSTITUTE($Z787,W$1,""))&lt;lenb($Z787),"ERROR",IF($Z787=$Y$1,"-",0))))))))))))</f>
        <v>0</v>
      </c>
      <c r="X787" s="116">
        <f t="shared" si="792"/>
        <v>0</v>
      </c>
      <c r="Y787" s="116" t="str">
        <f t="shared" si="4"/>
        <v>-</v>
      </c>
      <c r="Z787" s="115" t="s">
        <v>3400</v>
      </c>
      <c r="AA787" s="54">
        <f t="shared" si="5"/>
        <v>1</v>
      </c>
      <c r="AB787" s="54">
        <f>COUNTIFS(Links!B:B,"FSE",Links!C:C,A787,Links!AD:AD,1)</f>
        <v>0</v>
      </c>
      <c r="AC787" s="117" t="s">
        <v>35</v>
      </c>
      <c r="AD787" s="118" t="s">
        <v>35</v>
      </c>
      <c r="AE787" s="115" t="s">
        <v>36</v>
      </c>
      <c r="AF787" s="57" t="s">
        <v>42</v>
      </c>
      <c r="AG787" s="57" t="s">
        <v>42</v>
      </c>
      <c r="AH787" s="57" t="s">
        <v>42</v>
      </c>
      <c r="AI787" s="116" t="str">
        <f t="shared" si="6"/>
        <v>----</v>
      </c>
      <c r="AJ787" s="119" t="str">
        <f t="shared" si="7"/>
        <v>Paper has link but no statement</v>
      </c>
      <c r="AK787" s="120" t="s">
        <v>3401</v>
      </c>
      <c r="AL787" s="121" t="s">
        <v>3402</v>
      </c>
      <c r="AM787" s="60" t="str">
        <f t="shared" si="8"/>
        <v>[FP0073]</v>
      </c>
    </row>
    <row r="788" ht="67.5" customHeight="1">
      <c r="A788" s="61">
        <v>74.0</v>
      </c>
      <c r="B788" s="22" t="s">
        <v>5500</v>
      </c>
      <c r="C788" s="23">
        <v>2023.0</v>
      </c>
      <c r="D788" s="100" t="s">
        <v>35</v>
      </c>
      <c r="E788" s="25" t="s">
        <v>36</v>
      </c>
      <c r="F788" s="25" t="s">
        <v>36</v>
      </c>
      <c r="G788" s="25" t="s">
        <v>36</v>
      </c>
      <c r="H788" s="25" t="s">
        <v>36</v>
      </c>
      <c r="I788" s="25" t="s">
        <v>36</v>
      </c>
      <c r="J788" s="101" t="s">
        <v>36</v>
      </c>
      <c r="K788" s="102" t="s">
        <v>37</v>
      </c>
      <c r="L788" s="103" t="s">
        <v>35</v>
      </c>
      <c r="M788" s="103" t="s">
        <v>35</v>
      </c>
      <c r="N788" s="103" t="s">
        <v>37</v>
      </c>
      <c r="O788" s="103" t="s">
        <v>35</v>
      </c>
      <c r="P788" s="103" t="s">
        <v>35</v>
      </c>
      <c r="Q788" s="103" t="s">
        <v>35</v>
      </c>
      <c r="R788" s="103" t="s">
        <v>35</v>
      </c>
      <c r="S788" s="104" t="s">
        <v>42</v>
      </c>
      <c r="T788" s="30" t="s">
        <v>5501</v>
      </c>
      <c r="U788" s="30" t="s">
        <v>5501</v>
      </c>
      <c r="V788" s="105">
        <f t="shared" si="2"/>
        <v>1</v>
      </c>
      <c r="W788" s="105">
        <f t="shared" ref="W788:X788" si="793">IF(lenb(SUBSTITUTE($Z788,W$1&amp;" (1)",""))&lt;lenb($Z788),1,IF(lenb(SUBSTITUTE($Z788,W$1&amp;" (2)",""))&lt;lenb($Z788),2,IF(lenb(SUBSTITUTE($Z788,W$1&amp;" (3)",""))&lt;lenb($Z788),3,IF(lenb(SUBSTITUTE($Z788,W$1&amp;" (4)",""))&lt;lenb($Z788),4,IF(lenb(SUBSTITUTE($Z788,W$1&amp;" (5)",""))&lt;lenb($Z788),5,IF(lenb(SUBSTITUTE($Z788,W$1&amp;" (6)",""))&lt;lenb($Z788),6,IF(lenb(SUBSTITUTE($Z788,W$1&amp;" (7)",""))&lt;lenb($Z788),1,IF(lenb(SUBSTITUTE($Z788,W$1&amp;" (8)",""))&lt;lenb($Z788),8,IF(lenb(SUBSTITUTE($Z788,W$1&amp;" (9)",""))&lt;lenb($Z788),9,IF(lenb(SUBSTITUTE($Z788,W$1&amp;" (10)",""))&lt;lenb($Z788),10,IF(lenb(SUBSTITUTE($Z788,W$1,""))&lt;lenb($Z788),"ERROR",IF($Z788=$Y$1,"-",0))))))))))))</f>
        <v>0</v>
      </c>
      <c r="X788" s="105">
        <f t="shared" si="793"/>
        <v>0</v>
      </c>
      <c r="Y788" s="105" t="str">
        <f t="shared" si="4"/>
        <v>-</v>
      </c>
      <c r="Z788" s="104" t="s">
        <v>3400</v>
      </c>
      <c r="AA788" s="34">
        <f t="shared" si="5"/>
        <v>1</v>
      </c>
      <c r="AB788" s="34">
        <f>COUNTIFS(Links!B:B,"FSE",Links!C:C,A788,Links!AD:AD,1)</f>
        <v>0</v>
      </c>
      <c r="AC788" s="106" t="s">
        <v>35</v>
      </c>
      <c r="AD788" s="107" t="s">
        <v>35</v>
      </c>
      <c r="AE788" s="104" t="s">
        <v>36</v>
      </c>
      <c r="AF788" s="37" t="s">
        <v>42</v>
      </c>
      <c r="AG788" s="37" t="s">
        <v>42</v>
      </c>
      <c r="AH788" s="37" t="s">
        <v>42</v>
      </c>
      <c r="AI788" s="105" t="str">
        <f t="shared" si="6"/>
        <v>----</v>
      </c>
      <c r="AJ788" s="108" t="str">
        <f t="shared" si="7"/>
        <v>Paper has link but no statement</v>
      </c>
      <c r="AK788" s="109" t="s">
        <v>3401</v>
      </c>
      <c r="AL788" s="110" t="s">
        <v>3402</v>
      </c>
      <c r="AM788" s="40" t="str">
        <f t="shared" si="8"/>
        <v>[FP0074]</v>
      </c>
    </row>
    <row r="789" ht="67.5" customHeight="1">
      <c r="A789" s="41">
        <v>75.0</v>
      </c>
      <c r="B789" s="42" t="s">
        <v>5502</v>
      </c>
      <c r="C789" s="43">
        <v>2023.0</v>
      </c>
      <c r="D789" s="111" t="s">
        <v>37</v>
      </c>
      <c r="E789" s="45" t="s">
        <v>37</v>
      </c>
      <c r="F789" s="45" t="s">
        <v>37</v>
      </c>
      <c r="G789" s="45" t="s">
        <v>35</v>
      </c>
      <c r="H789" s="45" t="s">
        <v>35</v>
      </c>
      <c r="I789" s="45" t="s">
        <v>35</v>
      </c>
      <c r="J789" s="112" t="s">
        <v>36</v>
      </c>
      <c r="K789" s="113" t="s">
        <v>37</v>
      </c>
      <c r="L789" s="114" t="s">
        <v>37</v>
      </c>
      <c r="M789" s="114" t="s">
        <v>37</v>
      </c>
      <c r="N789" s="114" t="s">
        <v>35</v>
      </c>
      <c r="O789" s="114" t="s">
        <v>35</v>
      </c>
      <c r="P789" s="114" t="s">
        <v>35</v>
      </c>
      <c r="Q789" s="114" t="s">
        <v>37</v>
      </c>
      <c r="R789" s="114" t="s">
        <v>35</v>
      </c>
      <c r="S789" s="115" t="s">
        <v>5503</v>
      </c>
      <c r="T789" s="50" t="s">
        <v>5504</v>
      </c>
      <c r="U789" s="50" t="s">
        <v>5504</v>
      </c>
      <c r="V789" s="116">
        <f t="shared" si="2"/>
        <v>2</v>
      </c>
      <c r="W789" s="116">
        <f t="shared" ref="W789:X789" si="794">IF(lenb(SUBSTITUTE($Z789,W$1&amp;" (1)",""))&lt;lenb($Z789),1,IF(lenb(SUBSTITUTE($Z789,W$1&amp;" (2)",""))&lt;lenb($Z789),2,IF(lenb(SUBSTITUTE($Z789,W$1&amp;" (3)",""))&lt;lenb($Z789),3,IF(lenb(SUBSTITUTE($Z789,W$1&amp;" (4)",""))&lt;lenb($Z789),4,IF(lenb(SUBSTITUTE($Z789,W$1&amp;" (5)",""))&lt;lenb($Z789),5,IF(lenb(SUBSTITUTE($Z789,W$1&amp;" (6)",""))&lt;lenb($Z789),6,IF(lenb(SUBSTITUTE($Z789,W$1&amp;" (7)",""))&lt;lenb($Z789),1,IF(lenb(SUBSTITUTE($Z789,W$1&amp;" (8)",""))&lt;lenb($Z789),8,IF(lenb(SUBSTITUTE($Z789,W$1&amp;" (9)",""))&lt;lenb($Z789),9,IF(lenb(SUBSTITUTE($Z789,W$1&amp;" (10)",""))&lt;lenb($Z789),10,IF(lenb(SUBSTITUTE($Z789,W$1,""))&lt;lenb($Z789),"ERROR",IF($Z789=$Y$1,"-",0))))))))))))</f>
        <v>0</v>
      </c>
      <c r="X789" s="116">
        <f t="shared" si="794"/>
        <v>0</v>
      </c>
      <c r="Y789" s="116" t="str">
        <f t="shared" si="4"/>
        <v>-</v>
      </c>
      <c r="Z789" s="115" t="s">
        <v>3452</v>
      </c>
      <c r="AA789" s="54">
        <f t="shared" si="5"/>
        <v>2</v>
      </c>
      <c r="AB789" s="54">
        <f>COUNTIFS(Links!B:B,"FSE",Links!C:C,A789,Links!AD:AD,1)</f>
        <v>0</v>
      </c>
      <c r="AC789" s="117" t="s">
        <v>37</v>
      </c>
      <c r="AD789" s="118" t="s">
        <v>35</v>
      </c>
      <c r="AE789" s="115" t="s">
        <v>36</v>
      </c>
      <c r="AF789" s="57" t="s">
        <v>42</v>
      </c>
      <c r="AG789" s="57" t="s">
        <v>42</v>
      </c>
      <c r="AH789" s="57" t="s">
        <v>42</v>
      </c>
      <c r="AI789" s="116" t="str">
        <f t="shared" si="6"/>
        <v>----</v>
      </c>
      <c r="AJ789" s="119" t="str">
        <f t="shared" si="7"/>
        <v>Paper has link but no statement</v>
      </c>
      <c r="AK789" s="120" t="s">
        <v>3401</v>
      </c>
      <c r="AL789" s="121" t="s">
        <v>3402</v>
      </c>
      <c r="AM789" s="60" t="str">
        <f t="shared" si="8"/>
        <v>[FP0075]</v>
      </c>
    </row>
    <row r="790" ht="67.5" customHeight="1">
      <c r="A790" s="61">
        <v>76.0</v>
      </c>
      <c r="B790" s="22" t="s">
        <v>5505</v>
      </c>
      <c r="C790" s="23">
        <v>2023.0</v>
      </c>
      <c r="D790" s="100" t="s">
        <v>35</v>
      </c>
      <c r="E790" s="25" t="s">
        <v>36</v>
      </c>
      <c r="F790" s="25" t="s">
        <v>36</v>
      </c>
      <c r="G790" s="25" t="s">
        <v>36</v>
      </c>
      <c r="H790" s="25" t="s">
        <v>36</v>
      </c>
      <c r="I790" s="25" t="s">
        <v>36</v>
      </c>
      <c r="J790" s="101" t="s">
        <v>36</v>
      </c>
      <c r="K790" s="102" t="s">
        <v>37</v>
      </c>
      <c r="L790" s="103" t="s">
        <v>35</v>
      </c>
      <c r="M790" s="103" t="s">
        <v>37</v>
      </c>
      <c r="N790" s="103" t="s">
        <v>35</v>
      </c>
      <c r="O790" s="103" t="s">
        <v>35</v>
      </c>
      <c r="P790" s="103" t="s">
        <v>35</v>
      </c>
      <c r="Q790" s="103" t="s">
        <v>37</v>
      </c>
      <c r="R790" s="103" t="s">
        <v>37</v>
      </c>
      <c r="S790" s="104" t="s">
        <v>5506</v>
      </c>
      <c r="T790" s="30" t="s">
        <v>5507</v>
      </c>
      <c r="U790" s="30" t="s">
        <v>5507</v>
      </c>
      <c r="V790" s="105">
        <f t="shared" si="2"/>
        <v>1</v>
      </c>
      <c r="W790" s="105">
        <f t="shared" ref="W790:X790" si="795">IF(lenb(SUBSTITUTE($Z790,W$1&amp;" (1)",""))&lt;lenb($Z790),1,IF(lenb(SUBSTITUTE($Z790,W$1&amp;" (2)",""))&lt;lenb($Z790),2,IF(lenb(SUBSTITUTE($Z790,W$1&amp;" (3)",""))&lt;lenb($Z790),3,IF(lenb(SUBSTITUTE($Z790,W$1&amp;" (4)",""))&lt;lenb($Z790),4,IF(lenb(SUBSTITUTE($Z790,W$1&amp;" (5)",""))&lt;lenb($Z790),5,IF(lenb(SUBSTITUTE($Z790,W$1&amp;" (6)",""))&lt;lenb($Z790),6,IF(lenb(SUBSTITUTE($Z790,W$1&amp;" (7)",""))&lt;lenb($Z790),1,IF(lenb(SUBSTITUTE($Z790,W$1&amp;" (8)",""))&lt;lenb($Z790),8,IF(lenb(SUBSTITUTE($Z790,W$1&amp;" (9)",""))&lt;lenb($Z790),9,IF(lenb(SUBSTITUTE($Z790,W$1&amp;" (10)",""))&lt;lenb($Z790),10,IF(lenb(SUBSTITUTE($Z790,W$1,""))&lt;lenb($Z790),"ERROR",IF($Z790=$Y$1,"-",0))))))))))))</f>
        <v>0</v>
      </c>
      <c r="X790" s="105">
        <f t="shared" si="795"/>
        <v>0</v>
      </c>
      <c r="Y790" s="105" t="str">
        <f t="shared" si="4"/>
        <v>-</v>
      </c>
      <c r="Z790" s="104" t="s">
        <v>3400</v>
      </c>
      <c r="AA790" s="34">
        <f t="shared" si="5"/>
        <v>1</v>
      </c>
      <c r="AB790" s="34">
        <f>COUNTIFS(Links!B:B,"FSE",Links!C:C,A790,Links!AD:AD,1)</f>
        <v>0</v>
      </c>
      <c r="AC790" s="106" t="s">
        <v>35</v>
      </c>
      <c r="AD790" s="107" t="s">
        <v>35</v>
      </c>
      <c r="AE790" s="104" t="s">
        <v>36</v>
      </c>
      <c r="AF790" s="37" t="s">
        <v>42</v>
      </c>
      <c r="AG790" s="37" t="s">
        <v>42</v>
      </c>
      <c r="AH790" s="37" t="s">
        <v>42</v>
      </c>
      <c r="AI790" s="105" t="str">
        <f t="shared" si="6"/>
        <v>----</v>
      </c>
      <c r="AJ790" s="108" t="str">
        <f t="shared" si="7"/>
        <v>Paper has link but no statement</v>
      </c>
      <c r="AK790" s="109" t="s">
        <v>3401</v>
      </c>
      <c r="AL790" s="110" t="s">
        <v>3402</v>
      </c>
      <c r="AM790" s="40" t="str">
        <f t="shared" si="8"/>
        <v>[FP0076]</v>
      </c>
    </row>
    <row r="791" ht="67.5" customHeight="1">
      <c r="A791" s="41">
        <v>77.0</v>
      </c>
      <c r="B791" s="42" t="s">
        <v>5508</v>
      </c>
      <c r="C791" s="43">
        <v>2023.0</v>
      </c>
      <c r="D791" s="111" t="s">
        <v>35</v>
      </c>
      <c r="E791" s="45" t="s">
        <v>36</v>
      </c>
      <c r="F791" s="45" t="s">
        <v>36</v>
      </c>
      <c r="G791" s="45" t="s">
        <v>36</v>
      </c>
      <c r="H791" s="45" t="s">
        <v>36</v>
      </c>
      <c r="I791" s="45" t="s">
        <v>36</v>
      </c>
      <c r="J791" s="112" t="s">
        <v>36</v>
      </c>
      <c r="K791" s="113" t="s">
        <v>37</v>
      </c>
      <c r="L791" s="114" t="s">
        <v>35</v>
      </c>
      <c r="M791" s="114" t="s">
        <v>37</v>
      </c>
      <c r="N791" s="114" t="s">
        <v>37</v>
      </c>
      <c r="O791" s="114" t="s">
        <v>35</v>
      </c>
      <c r="P791" s="114" t="s">
        <v>35</v>
      </c>
      <c r="Q791" s="114" t="s">
        <v>37</v>
      </c>
      <c r="R791" s="114" t="s">
        <v>37</v>
      </c>
      <c r="S791" s="115" t="s">
        <v>5509</v>
      </c>
      <c r="T791" s="50" t="s">
        <v>5510</v>
      </c>
      <c r="U791" s="50" t="s">
        <v>5510</v>
      </c>
      <c r="V791" s="116">
        <f t="shared" si="2"/>
        <v>2</v>
      </c>
      <c r="W791" s="116">
        <f t="shared" ref="W791:X791" si="796">IF(lenb(SUBSTITUTE($Z791,W$1&amp;" (1)",""))&lt;lenb($Z791),1,IF(lenb(SUBSTITUTE($Z791,W$1&amp;" (2)",""))&lt;lenb($Z791),2,IF(lenb(SUBSTITUTE($Z791,W$1&amp;" (3)",""))&lt;lenb($Z791),3,IF(lenb(SUBSTITUTE($Z791,W$1&amp;" (4)",""))&lt;lenb($Z791),4,IF(lenb(SUBSTITUTE($Z791,W$1&amp;" (5)",""))&lt;lenb($Z791),5,IF(lenb(SUBSTITUTE($Z791,W$1&amp;" (6)",""))&lt;lenb($Z791),6,IF(lenb(SUBSTITUTE($Z791,W$1&amp;" (7)",""))&lt;lenb($Z791),1,IF(lenb(SUBSTITUTE($Z791,W$1&amp;" (8)",""))&lt;lenb($Z791),8,IF(lenb(SUBSTITUTE($Z791,W$1&amp;" (9)",""))&lt;lenb($Z791),9,IF(lenb(SUBSTITUTE($Z791,W$1&amp;" (10)",""))&lt;lenb($Z791),10,IF(lenb(SUBSTITUTE($Z791,W$1,""))&lt;lenb($Z791),"ERROR",IF($Z791=$Y$1,"-",0))))))))))))</f>
        <v>0</v>
      </c>
      <c r="X791" s="116">
        <f t="shared" si="796"/>
        <v>0</v>
      </c>
      <c r="Y791" s="116" t="str">
        <f t="shared" si="4"/>
        <v>-</v>
      </c>
      <c r="Z791" s="115" t="s">
        <v>3452</v>
      </c>
      <c r="AA791" s="54">
        <f t="shared" si="5"/>
        <v>2</v>
      </c>
      <c r="AB791" s="54">
        <f>COUNTIFS(Links!B:B,"FSE",Links!C:C,A791,Links!AD:AD,1)</f>
        <v>0</v>
      </c>
      <c r="AC791" s="117" t="s">
        <v>35</v>
      </c>
      <c r="AD791" s="118" t="s">
        <v>35</v>
      </c>
      <c r="AE791" s="115" t="s">
        <v>36</v>
      </c>
      <c r="AF791" s="57" t="s">
        <v>42</v>
      </c>
      <c r="AG791" s="57" t="s">
        <v>42</v>
      </c>
      <c r="AH791" s="57" t="s">
        <v>42</v>
      </c>
      <c r="AI791" s="116" t="str">
        <f t="shared" si="6"/>
        <v>----</v>
      </c>
      <c r="AJ791" s="119" t="str">
        <f t="shared" si="7"/>
        <v>Paper has link but no statement</v>
      </c>
      <c r="AK791" s="120" t="s">
        <v>3401</v>
      </c>
      <c r="AL791" s="121" t="s">
        <v>3402</v>
      </c>
      <c r="AM791" s="60" t="str">
        <f t="shared" si="8"/>
        <v>[FP0077]</v>
      </c>
    </row>
    <row r="792" ht="67.5" customHeight="1">
      <c r="A792" s="61">
        <v>78.0</v>
      </c>
      <c r="B792" s="22" t="s">
        <v>5511</v>
      </c>
      <c r="C792" s="23">
        <v>2023.0</v>
      </c>
      <c r="D792" s="100" t="s">
        <v>35</v>
      </c>
      <c r="E792" s="25" t="s">
        <v>36</v>
      </c>
      <c r="F792" s="25" t="s">
        <v>36</v>
      </c>
      <c r="G792" s="25" t="s">
        <v>36</v>
      </c>
      <c r="H792" s="25" t="s">
        <v>36</v>
      </c>
      <c r="I792" s="25" t="s">
        <v>36</v>
      </c>
      <c r="J792" s="101" t="s">
        <v>36</v>
      </c>
      <c r="K792" s="102" t="s">
        <v>37</v>
      </c>
      <c r="L792" s="103" t="s">
        <v>35</v>
      </c>
      <c r="M792" s="103" t="s">
        <v>37</v>
      </c>
      <c r="N792" s="103" t="s">
        <v>35</v>
      </c>
      <c r="O792" s="103" t="s">
        <v>35</v>
      </c>
      <c r="P792" s="103" t="s">
        <v>35</v>
      </c>
      <c r="Q792" s="103" t="s">
        <v>37</v>
      </c>
      <c r="R792" s="103" t="s">
        <v>37</v>
      </c>
      <c r="S792" s="104" t="s">
        <v>5512</v>
      </c>
      <c r="T792" s="30" t="s">
        <v>5513</v>
      </c>
      <c r="U792" s="30" t="s">
        <v>5513</v>
      </c>
      <c r="V792" s="105">
        <f t="shared" si="2"/>
        <v>1</v>
      </c>
      <c r="W792" s="105">
        <f t="shared" ref="W792:X792" si="797">IF(lenb(SUBSTITUTE($Z792,W$1&amp;" (1)",""))&lt;lenb($Z792),1,IF(lenb(SUBSTITUTE($Z792,W$1&amp;" (2)",""))&lt;lenb($Z792),2,IF(lenb(SUBSTITUTE($Z792,W$1&amp;" (3)",""))&lt;lenb($Z792),3,IF(lenb(SUBSTITUTE($Z792,W$1&amp;" (4)",""))&lt;lenb($Z792),4,IF(lenb(SUBSTITUTE($Z792,W$1&amp;" (5)",""))&lt;lenb($Z792),5,IF(lenb(SUBSTITUTE($Z792,W$1&amp;" (6)",""))&lt;lenb($Z792),6,IF(lenb(SUBSTITUTE($Z792,W$1&amp;" (7)",""))&lt;lenb($Z792),1,IF(lenb(SUBSTITUTE($Z792,W$1&amp;" (8)",""))&lt;lenb($Z792),8,IF(lenb(SUBSTITUTE($Z792,W$1&amp;" (9)",""))&lt;lenb($Z792),9,IF(lenb(SUBSTITUTE($Z792,W$1&amp;" (10)",""))&lt;lenb($Z792),10,IF(lenb(SUBSTITUTE($Z792,W$1,""))&lt;lenb($Z792),"ERROR",IF($Z792=$Y$1,"-",0))))))))))))</f>
        <v>0</v>
      </c>
      <c r="X792" s="105">
        <f t="shared" si="797"/>
        <v>0</v>
      </c>
      <c r="Y792" s="105" t="str">
        <f t="shared" si="4"/>
        <v>-</v>
      </c>
      <c r="Z792" s="104" t="s">
        <v>3400</v>
      </c>
      <c r="AA792" s="34">
        <f t="shared" si="5"/>
        <v>1</v>
      </c>
      <c r="AB792" s="34">
        <f>COUNTIFS(Links!B:B,"FSE",Links!C:C,A792,Links!AD:AD,1)</f>
        <v>0</v>
      </c>
      <c r="AC792" s="106" t="s">
        <v>35</v>
      </c>
      <c r="AD792" s="107" t="s">
        <v>35</v>
      </c>
      <c r="AE792" s="104" t="s">
        <v>36</v>
      </c>
      <c r="AF792" s="37" t="s">
        <v>42</v>
      </c>
      <c r="AG792" s="37" t="s">
        <v>42</v>
      </c>
      <c r="AH792" s="37" t="s">
        <v>42</v>
      </c>
      <c r="AI792" s="105" t="str">
        <f t="shared" si="6"/>
        <v>----</v>
      </c>
      <c r="AJ792" s="108" t="str">
        <f t="shared" si="7"/>
        <v>Paper has link but no statement</v>
      </c>
      <c r="AK792" s="109" t="s">
        <v>3401</v>
      </c>
      <c r="AL792" s="110" t="s">
        <v>3402</v>
      </c>
      <c r="AM792" s="40" t="str">
        <f t="shared" si="8"/>
        <v>[FP0078]</v>
      </c>
    </row>
    <row r="793" ht="67.5" customHeight="1">
      <c r="A793" s="41">
        <v>79.0</v>
      </c>
      <c r="B793" s="42" t="s">
        <v>5514</v>
      </c>
      <c r="C793" s="43">
        <v>2023.0</v>
      </c>
      <c r="D793" s="111" t="s">
        <v>37</v>
      </c>
      <c r="E793" s="45" t="s">
        <v>37</v>
      </c>
      <c r="F793" s="45" t="s">
        <v>35</v>
      </c>
      <c r="G793" s="45" t="s">
        <v>37</v>
      </c>
      <c r="H793" s="45" t="s">
        <v>35</v>
      </c>
      <c r="I793" s="45" t="s">
        <v>35</v>
      </c>
      <c r="J793" s="112" t="s">
        <v>36</v>
      </c>
      <c r="K793" s="113" t="s">
        <v>37</v>
      </c>
      <c r="L793" s="114" t="s">
        <v>35</v>
      </c>
      <c r="M793" s="114" t="s">
        <v>37</v>
      </c>
      <c r="N793" s="114" t="s">
        <v>35</v>
      </c>
      <c r="O793" s="114" t="s">
        <v>35</v>
      </c>
      <c r="P793" s="114" t="s">
        <v>35</v>
      </c>
      <c r="Q793" s="114" t="s">
        <v>37</v>
      </c>
      <c r="R793" s="114" t="s">
        <v>37</v>
      </c>
      <c r="S793" s="115" t="s">
        <v>5515</v>
      </c>
      <c r="T793" s="50" t="s">
        <v>5516</v>
      </c>
      <c r="U793" s="50" t="s">
        <v>5516</v>
      </c>
      <c r="V793" s="116">
        <f t="shared" si="2"/>
        <v>2</v>
      </c>
      <c r="W793" s="116">
        <f t="shared" ref="W793:X793" si="798">IF(lenb(SUBSTITUTE($Z793,W$1&amp;" (1)",""))&lt;lenb($Z793),1,IF(lenb(SUBSTITUTE($Z793,W$1&amp;" (2)",""))&lt;lenb($Z793),2,IF(lenb(SUBSTITUTE($Z793,W$1&amp;" (3)",""))&lt;lenb($Z793),3,IF(lenb(SUBSTITUTE($Z793,W$1&amp;" (4)",""))&lt;lenb($Z793),4,IF(lenb(SUBSTITUTE($Z793,W$1&amp;" (5)",""))&lt;lenb($Z793),5,IF(lenb(SUBSTITUTE($Z793,W$1&amp;" (6)",""))&lt;lenb($Z793),6,IF(lenb(SUBSTITUTE($Z793,W$1&amp;" (7)",""))&lt;lenb($Z793),1,IF(lenb(SUBSTITUTE($Z793,W$1&amp;" (8)",""))&lt;lenb($Z793),8,IF(lenb(SUBSTITUTE($Z793,W$1&amp;" (9)",""))&lt;lenb($Z793),9,IF(lenb(SUBSTITUTE($Z793,W$1&amp;" (10)",""))&lt;lenb($Z793),10,IF(lenb(SUBSTITUTE($Z793,W$1,""))&lt;lenb($Z793),"ERROR",IF($Z793=$Y$1,"-",0))))))))))))</f>
        <v>0</v>
      </c>
      <c r="X793" s="116">
        <f t="shared" si="798"/>
        <v>0</v>
      </c>
      <c r="Y793" s="116" t="str">
        <f t="shared" si="4"/>
        <v>-</v>
      </c>
      <c r="Z793" s="115" t="s">
        <v>3452</v>
      </c>
      <c r="AA793" s="54">
        <f t="shared" si="5"/>
        <v>2</v>
      </c>
      <c r="AB793" s="54">
        <f>COUNTIFS(Links!B:B,"FSE",Links!C:C,A793,Links!AD:AD,1)</f>
        <v>0</v>
      </c>
      <c r="AC793" s="117" t="s">
        <v>37</v>
      </c>
      <c r="AD793" s="118" t="s">
        <v>35</v>
      </c>
      <c r="AE793" s="115" t="s">
        <v>36</v>
      </c>
      <c r="AF793" s="57" t="s">
        <v>42</v>
      </c>
      <c r="AG793" s="57" t="s">
        <v>42</v>
      </c>
      <c r="AH793" s="57" t="s">
        <v>42</v>
      </c>
      <c r="AI793" s="116" t="str">
        <f t="shared" si="6"/>
        <v>----</v>
      </c>
      <c r="AJ793" s="119" t="str">
        <f t="shared" si="7"/>
        <v>Paper has link but no statement</v>
      </c>
      <c r="AK793" s="120" t="s">
        <v>3401</v>
      </c>
      <c r="AL793" s="121" t="s">
        <v>3402</v>
      </c>
      <c r="AM793" s="60" t="str">
        <f t="shared" si="8"/>
        <v>[FP0079]</v>
      </c>
    </row>
    <row r="794" ht="67.5" customHeight="1">
      <c r="A794" s="61">
        <v>80.0</v>
      </c>
      <c r="B794" s="22" t="s">
        <v>5517</v>
      </c>
      <c r="C794" s="23">
        <v>2023.0</v>
      </c>
      <c r="D794" s="100" t="s">
        <v>35</v>
      </c>
      <c r="E794" s="25" t="s">
        <v>36</v>
      </c>
      <c r="F794" s="25" t="s">
        <v>36</v>
      </c>
      <c r="G794" s="25" t="s">
        <v>36</v>
      </c>
      <c r="H794" s="25" t="s">
        <v>36</v>
      </c>
      <c r="I794" s="25" t="s">
        <v>36</v>
      </c>
      <c r="J794" s="101" t="s">
        <v>36</v>
      </c>
      <c r="K794" s="102" t="s">
        <v>37</v>
      </c>
      <c r="L794" s="103" t="s">
        <v>35</v>
      </c>
      <c r="M794" s="103" t="s">
        <v>37</v>
      </c>
      <c r="N794" s="103" t="s">
        <v>35</v>
      </c>
      <c r="O794" s="103" t="s">
        <v>35</v>
      </c>
      <c r="P794" s="103" t="s">
        <v>35</v>
      </c>
      <c r="Q794" s="103" t="s">
        <v>37</v>
      </c>
      <c r="R794" s="103" t="s">
        <v>37</v>
      </c>
      <c r="S794" s="104" t="s">
        <v>5518</v>
      </c>
      <c r="T794" s="30" t="s">
        <v>5519</v>
      </c>
      <c r="U794" s="30" t="s">
        <v>5519</v>
      </c>
      <c r="V794" s="105">
        <f t="shared" si="2"/>
        <v>1</v>
      </c>
      <c r="W794" s="105">
        <f t="shared" ref="W794:X794" si="799">IF(lenb(SUBSTITUTE($Z794,W$1&amp;" (1)",""))&lt;lenb($Z794),1,IF(lenb(SUBSTITUTE($Z794,W$1&amp;" (2)",""))&lt;lenb($Z794),2,IF(lenb(SUBSTITUTE($Z794,W$1&amp;" (3)",""))&lt;lenb($Z794),3,IF(lenb(SUBSTITUTE($Z794,W$1&amp;" (4)",""))&lt;lenb($Z794),4,IF(lenb(SUBSTITUTE($Z794,W$1&amp;" (5)",""))&lt;lenb($Z794),5,IF(lenb(SUBSTITUTE($Z794,W$1&amp;" (6)",""))&lt;lenb($Z794),6,IF(lenb(SUBSTITUTE($Z794,W$1&amp;" (7)",""))&lt;lenb($Z794),1,IF(lenb(SUBSTITUTE($Z794,W$1&amp;" (8)",""))&lt;lenb($Z794),8,IF(lenb(SUBSTITUTE($Z794,W$1&amp;" (9)",""))&lt;lenb($Z794),9,IF(lenb(SUBSTITUTE($Z794,W$1&amp;" (10)",""))&lt;lenb($Z794),10,IF(lenb(SUBSTITUTE($Z794,W$1,""))&lt;lenb($Z794),"ERROR",IF($Z794=$Y$1,"-",0))))))))))))</f>
        <v>0</v>
      </c>
      <c r="X794" s="105">
        <f t="shared" si="799"/>
        <v>0</v>
      </c>
      <c r="Y794" s="105" t="str">
        <f t="shared" si="4"/>
        <v>-</v>
      </c>
      <c r="Z794" s="104" t="s">
        <v>3400</v>
      </c>
      <c r="AA794" s="34">
        <f t="shared" si="5"/>
        <v>1</v>
      </c>
      <c r="AB794" s="34">
        <f>COUNTIFS(Links!B:B,"FSE",Links!C:C,A794,Links!AD:AD,1)</f>
        <v>0</v>
      </c>
      <c r="AC794" s="106" t="s">
        <v>37</v>
      </c>
      <c r="AD794" s="107" t="s">
        <v>37</v>
      </c>
      <c r="AE794" s="128" t="s">
        <v>5520</v>
      </c>
      <c r="AF794" s="37" t="s">
        <v>223</v>
      </c>
      <c r="AG794" s="37" t="s">
        <v>42</v>
      </c>
      <c r="AH794" s="37" t="s">
        <v>42</v>
      </c>
      <c r="AI794" s="105" t="str">
        <f t="shared" si="6"/>
        <v>Barriers (Agreements and legal rights)</v>
      </c>
      <c r="AJ794" s="108" t="str">
        <f t="shared" si="7"/>
        <v>Paper has link and statement</v>
      </c>
      <c r="AK794" s="109" t="s">
        <v>3401</v>
      </c>
      <c r="AL794" s="110" t="s">
        <v>3402</v>
      </c>
      <c r="AM794" s="40" t="str">
        <f t="shared" si="8"/>
        <v>[FP0080]</v>
      </c>
    </row>
    <row r="795" ht="67.5" customHeight="1">
      <c r="A795" s="41">
        <v>81.0</v>
      </c>
      <c r="B795" s="42" t="s">
        <v>5521</v>
      </c>
      <c r="C795" s="43">
        <v>2023.0</v>
      </c>
      <c r="D795" s="111" t="s">
        <v>35</v>
      </c>
      <c r="E795" s="45" t="s">
        <v>36</v>
      </c>
      <c r="F795" s="45" t="s">
        <v>36</v>
      </c>
      <c r="G795" s="45" t="s">
        <v>36</v>
      </c>
      <c r="H795" s="45" t="s">
        <v>36</v>
      </c>
      <c r="I795" s="45" t="s">
        <v>36</v>
      </c>
      <c r="J795" s="112" t="s">
        <v>36</v>
      </c>
      <c r="K795" s="113" t="s">
        <v>37</v>
      </c>
      <c r="L795" s="114" t="s">
        <v>35</v>
      </c>
      <c r="M795" s="114" t="s">
        <v>37</v>
      </c>
      <c r="N795" s="114" t="s">
        <v>37</v>
      </c>
      <c r="O795" s="114" t="s">
        <v>35</v>
      </c>
      <c r="P795" s="114" t="s">
        <v>35</v>
      </c>
      <c r="Q795" s="114" t="s">
        <v>37</v>
      </c>
      <c r="R795" s="114" t="s">
        <v>35</v>
      </c>
      <c r="S795" s="115" t="s">
        <v>5522</v>
      </c>
      <c r="T795" s="50" t="s">
        <v>5523</v>
      </c>
      <c r="U795" s="50" t="s">
        <v>5523</v>
      </c>
      <c r="V795" s="116">
        <f t="shared" si="2"/>
        <v>1</v>
      </c>
      <c r="W795" s="116">
        <f t="shared" ref="W795:X795" si="800">IF(lenb(SUBSTITUTE($Z795,W$1&amp;" (1)",""))&lt;lenb($Z795),1,IF(lenb(SUBSTITUTE($Z795,W$1&amp;" (2)",""))&lt;lenb($Z795),2,IF(lenb(SUBSTITUTE($Z795,W$1&amp;" (3)",""))&lt;lenb($Z795),3,IF(lenb(SUBSTITUTE($Z795,W$1&amp;" (4)",""))&lt;lenb($Z795),4,IF(lenb(SUBSTITUTE($Z795,W$1&amp;" (5)",""))&lt;lenb($Z795),5,IF(lenb(SUBSTITUTE($Z795,W$1&amp;" (6)",""))&lt;lenb($Z795),6,IF(lenb(SUBSTITUTE($Z795,W$1&amp;" (7)",""))&lt;lenb($Z795),1,IF(lenb(SUBSTITUTE($Z795,W$1&amp;" (8)",""))&lt;lenb($Z795),8,IF(lenb(SUBSTITUTE($Z795,W$1&amp;" (9)",""))&lt;lenb($Z795),9,IF(lenb(SUBSTITUTE($Z795,W$1&amp;" (10)",""))&lt;lenb($Z795),10,IF(lenb(SUBSTITUTE($Z795,W$1,""))&lt;lenb($Z795),"ERROR",IF($Z795=$Y$1,"-",0))))))))))))</f>
        <v>0</v>
      </c>
      <c r="X795" s="116">
        <f t="shared" si="800"/>
        <v>0</v>
      </c>
      <c r="Y795" s="116" t="str">
        <f t="shared" si="4"/>
        <v>-</v>
      </c>
      <c r="Z795" s="115" t="s">
        <v>3400</v>
      </c>
      <c r="AA795" s="54">
        <f t="shared" si="5"/>
        <v>1</v>
      </c>
      <c r="AB795" s="54">
        <f>COUNTIFS(Links!B:B,"FSE",Links!C:C,A795,Links!AD:AD,1)</f>
        <v>0</v>
      </c>
      <c r="AC795" s="117" t="s">
        <v>35</v>
      </c>
      <c r="AD795" s="118" t="s">
        <v>35</v>
      </c>
      <c r="AE795" s="115" t="s">
        <v>36</v>
      </c>
      <c r="AF795" s="57" t="s">
        <v>42</v>
      </c>
      <c r="AG795" s="57" t="s">
        <v>42</v>
      </c>
      <c r="AH795" s="57" t="s">
        <v>42</v>
      </c>
      <c r="AI795" s="116" t="str">
        <f t="shared" si="6"/>
        <v>----</v>
      </c>
      <c r="AJ795" s="119" t="str">
        <f t="shared" si="7"/>
        <v>Paper has link but no statement</v>
      </c>
      <c r="AK795" s="120" t="s">
        <v>3401</v>
      </c>
      <c r="AL795" s="121" t="s">
        <v>3402</v>
      </c>
      <c r="AM795" s="60" t="str">
        <f t="shared" si="8"/>
        <v>[FP0081]</v>
      </c>
    </row>
    <row r="796" ht="67.5" customHeight="1">
      <c r="A796" s="61">
        <v>82.0</v>
      </c>
      <c r="B796" s="22" t="s">
        <v>5524</v>
      </c>
      <c r="C796" s="23">
        <v>2023.0</v>
      </c>
      <c r="D796" s="100" t="s">
        <v>35</v>
      </c>
      <c r="E796" s="25" t="s">
        <v>36</v>
      </c>
      <c r="F796" s="25" t="s">
        <v>36</v>
      </c>
      <c r="G796" s="25" t="s">
        <v>36</v>
      </c>
      <c r="H796" s="25" t="s">
        <v>36</v>
      </c>
      <c r="I796" s="25" t="s">
        <v>36</v>
      </c>
      <c r="J796" s="101" t="s">
        <v>36</v>
      </c>
      <c r="K796" s="102" t="s">
        <v>37</v>
      </c>
      <c r="L796" s="103" t="s">
        <v>35</v>
      </c>
      <c r="M796" s="103" t="s">
        <v>37</v>
      </c>
      <c r="N796" s="103" t="s">
        <v>35</v>
      </c>
      <c r="O796" s="103" t="s">
        <v>35</v>
      </c>
      <c r="P796" s="103" t="s">
        <v>35</v>
      </c>
      <c r="Q796" s="103" t="s">
        <v>37</v>
      </c>
      <c r="R796" s="103" t="s">
        <v>37</v>
      </c>
      <c r="S796" s="104" t="s">
        <v>5525</v>
      </c>
      <c r="T796" s="30" t="s">
        <v>5526</v>
      </c>
      <c r="U796" s="30" t="s">
        <v>5527</v>
      </c>
      <c r="V796" s="105">
        <f t="shared" si="2"/>
        <v>2</v>
      </c>
      <c r="W796" s="105">
        <f t="shared" ref="W796:X796" si="801">IF(lenb(SUBSTITUTE($Z796,W$1&amp;" (1)",""))&lt;lenb($Z796),1,IF(lenb(SUBSTITUTE($Z796,W$1&amp;" (2)",""))&lt;lenb($Z796),2,IF(lenb(SUBSTITUTE($Z796,W$1&amp;" (3)",""))&lt;lenb($Z796),3,IF(lenb(SUBSTITUTE($Z796,W$1&amp;" (4)",""))&lt;lenb($Z796),4,IF(lenb(SUBSTITUTE($Z796,W$1&amp;" (5)",""))&lt;lenb($Z796),5,IF(lenb(SUBSTITUTE($Z796,W$1&amp;" (6)",""))&lt;lenb($Z796),6,IF(lenb(SUBSTITUTE($Z796,W$1&amp;" (7)",""))&lt;lenb($Z796),1,IF(lenb(SUBSTITUTE($Z796,W$1&amp;" (8)",""))&lt;lenb($Z796),8,IF(lenb(SUBSTITUTE($Z796,W$1&amp;" (9)",""))&lt;lenb($Z796),9,IF(lenb(SUBSTITUTE($Z796,W$1&amp;" (10)",""))&lt;lenb($Z796),10,IF(lenb(SUBSTITUTE($Z796,W$1,""))&lt;lenb($Z796),"ERROR",IF($Z796=$Y$1,"-",0))))))))))))</f>
        <v>0</v>
      </c>
      <c r="X796" s="105">
        <f t="shared" si="801"/>
        <v>0</v>
      </c>
      <c r="Y796" s="105" t="str">
        <f t="shared" si="4"/>
        <v>-</v>
      </c>
      <c r="Z796" s="104" t="s">
        <v>3452</v>
      </c>
      <c r="AA796" s="34">
        <f t="shared" si="5"/>
        <v>2</v>
      </c>
      <c r="AB796" s="34">
        <f>COUNTIFS(Links!B:B,"FSE",Links!C:C,A796,Links!AD:AD,1)</f>
        <v>0</v>
      </c>
      <c r="AC796" s="106" t="s">
        <v>35</v>
      </c>
      <c r="AD796" s="107" t="s">
        <v>35</v>
      </c>
      <c r="AE796" s="104" t="s">
        <v>36</v>
      </c>
      <c r="AF796" s="37" t="s">
        <v>42</v>
      </c>
      <c r="AG796" s="37" t="s">
        <v>42</v>
      </c>
      <c r="AH796" s="37" t="s">
        <v>42</v>
      </c>
      <c r="AI796" s="105" t="str">
        <f t="shared" si="6"/>
        <v>----</v>
      </c>
      <c r="AJ796" s="108" t="str">
        <f t="shared" si="7"/>
        <v>Paper has link but no statement</v>
      </c>
      <c r="AK796" s="109" t="s">
        <v>3401</v>
      </c>
      <c r="AL796" s="110" t="s">
        <v>3402</v>
      </c>
      <c r="AM796" s="40" t="str">
        <f t="shared" si="8"/>
        <v>[FP0082]</v>
      </c>
    </row>
    <row r="797" ht="67.5" customHeight="1">
      <c r="A797" s="41">
        <v>83.0</v>
      </c>
      <c r="B797" s="42" t="s">
        <v>5528</v>
      </c>
      <c r="C797" s="43">
        <v>2023.0</v>
      </c>
      <c r="D797" s="111" t="s">
        <v>37</v>
      </c>
      <c r="E797" s="45" t="s">
        <v>37</v>
      </c>
      <c r="F797" s="45" t="s">
        <v>35</v>
      </c>
      <c r="G797" s="45" t="s">
        <v>35</v>
      </c>
      <c r="H797" s="45" t="s">
        <v>35</v>
      </c>
      <c r="I797" s="45" t="s">
        <v>35</v>
      </c>
      <c r="J797" s="112" t="s">
        <v>36</v>
      </c>
      <c r="K797" s="113" t="s">
        <v>37</v>
      </c>
      <c r="L797" s="114" t="s">
        <v>35</v>
      </c>
      <c r="M797" s="114" t="s">
        <v>37</v>
      </c>
      <c r="N797" s="114" t="s">
        <v>37</v>
      </c>
      <c r="O797" s="114" t="s">
        <v>35</v>
      </c>
      <c r="P797" s="114" t="s">
        <v>35</v>
      </c>
      <c r="Q797" s="114" t="s">
        <v>35</v>
      </c>
      <c r="R797" s="114" t="s">
        <v>35</v>
      </c>
      <c r="S797" s="115" t="s">
        <v>5529</v>
      </c>
      <c r="T797" s="50" t="s">
        <v>5530</v>
      </c>
      <c r="U797" s="50" t="s">
        <v>5531</v>
      </c>
      <c r="V797" s="116">
        <f t="shared" si="2"/>
        <v>2</v>
      </c>
      <c r="W797" s="116">
        <f t="shared" ref="W797:X797" si="802">IF(lenb(SUBSTITUTE($Z797,W$1&amp;" (1)",""))&lt;lenb($Z797),1,IF(lenb(SUBSTITUTE($Z797,W$1&amp;" (2)",""))&lt;lenb($Z797),2,IF(lenb(SUBSTITUTE($Z797,W$1&amp;" (3)",""))&lt;lenb($Z797),3,IF(lenb(SUBSTITUTE($Z797,W$1&amp;" (4)",""))&lt;lenb($Z797),4,IF(lenb(SUBSTITUTE($Z797,W$1&amp;" (5)",""))&lt;lenb($Z797),5,IF(lenb(SUBSTITUTE($Z797,W$1&amp;" (6)",""))&lt;lenb($Z797),6,IF(lenb(SUBSTITUTE($Z797,W$1&amp;" (7)",""))&lt;lenb($Z797),1,IF(lenb(SUBSTITUTE($Z797,W$1&amp;" (8)",""))&lt;lenb($Z797),8,IF(lenb(SUBSTITUTE($Z797,W$1&amp;" (9)",""))&lt;lenb($Z797),9,IF(lenb(SUBSTITUTE($Z797,W$1&amp;" (10)",""))&lt;lenb($Z797),10,IF(lenb(SUBSTITUTE($Z797,W$1,""))&lt;lenb($Z797),"ERROR",IF($Z797=$Y$1,"-",0))))))))))))</f>
        <v>0</v>
      </c>
      <c r="X797" s="116">
        <f t="shared" si="802"/>
        <v>0</v>
      </c>
      <c r="Y797" s="116" t="str">
        <f t="shared" si="4"/>
        <v>-</v>
      </c>
      <c r="Z797" s="115" t="s">
        <v>3452</v>
      </c>
      <c r="AA797" s="54">
        <f t="shared" si="5"/>
        <v>2</v>
      </c>
      <c r="AB797" s="54">
        <f>COUNTIFS(Links!B:B,"FSE",Links!C:C,A797,Links!AD:AD,1)</f>
        <v>0</v>
      </c>
      <c r="AC797" s="117" t="s">
        <v>37</v>
      </c>
      <c r="AD797" s="118" t="s">
        <v>35</v>
      </c>
      <c r="AE797" s="115" t="s">
        <v>36</v>
      </c>
      <c r="AF797" s="57" t="s">
        <v>42</v>
      </c>
      <c r="AG797" s="57" t="s">
        <v>42</v>
      </c>
      <c r="AH797" s="57" t="s">
        <v>42</v>
      </c>
      <c r="AI797" s="116" t="str">
        <f t="shared" si="6"/>
        <v>----</v>
      </c>
      <c r="AJ797" s="119" t="str">
        <f t="shared" si="7"/>
        <v>Paper has link but no statement</v>
      </c>
      <c r="AK797" s="120" t="s">
        <v>3401</v>
      </c>
      <c r="AL797" s="121" t="s">
        <v>3402</v>
      </c>
      <c r="AM797" s="60" t="str">
        <f t="shared" si="8"/>
        <v>[FP0083]</v>
      </c>
    </row>
    <row r="798" ht="67.5" customHeight="1">
      <c r="A798" s="61">
        <v>84.0</v>
      </c>
      <c r="B798" s="22" t="s">
        <v>5532</v>
      </c>
      <c r="C798" s="23">
        <v>2023.0</v>
      </c>
      <c r="D798" s="100" t="s">
        <v>35</v>
      </c>
      <c r="E798" s="25" t="s">
        <v>36</v>
      </c>
      <c r="F798" s="25" t="s">
        <v>36</v>
      </c>
      <c r="G798" s="25" t="s">
        <v>36</v>
      </c>
      <c r="H798" s="25" t="s">
        <v>36</v>
      </c>
      <c r="I798" s="25" t="s">
        <v>36</v>
      </c>
      <c r="J798" s="101" t="s">
        <v>36</v>
      </c>
      <c r="K798" s="102" t="s">
        <v>37</v>
      </c>
      <c r="L798" s="103" t="s">
        <v>35</v>
      </c>
      <c r="M798" s="103" t="s">
        <v>37</v>
      </c>
      <c r="N798" s="103" t="s">
        <v>37</v>
      </c>
      <c r="O798" s="103" t="s">
        <v>35</v>
      </c>
      <c r="P798" s="103" t="s">
        <v>35</v>
      </c>
      <c r="Q798" s="103" t="s">
        <v>37</v>
      </c>
      <c r="R798" s="103" t="s">
        <v>37</v>
      </c>
      <c r="S798" s="104" t="s">
        <v>5533</v>
      </c>
      <c r="T798" s="30" t="s">
        <v>5534</v>
      </c>
      <c r="U798" s="30" t="s">
        <v>5534</v>
      </c>
      <c r="V798" s="105">
        <f t="shared" si="2"/>
        <v>1</v>
      </c>
      <c r="W798" s="105">
        <f t="shared" ref="W798:X798" si="803">IF(lenb(SUBSTITUTE($Z798,W$1&amp;" (1)",""))&lt;lenb($Z798),1,IF(lenb(SUBSTITUTE($Z798,W$1&amp;" (2)",""))&lt;lenb($Z798),2,IF(lenb(SUBSTITUTE($Z798,W$1&amp;" (3)",""))&lt;lenb($Z798),3,IF(lenb(SUBSTITUTE($Z798,W$1&amp;" (4)",""))&lt;lenb($Z798),4,IF(lenb(SUBSTITUTE($Z798,W$1&amp;" (5)",""))&lt;lenb($Z798),5,IF(lenb(SUBSTITUTE($Z798,W$1&amp;" (6)",""))&lt;lenb($Z798),6,IF(lenb(SUBSTITUTE($Z798,W$1&amp;" (7)",""))&lt;lenb($Z798),1,IF(lenb(SUBSTITUTE($Z798,W$1&amp;" (8)",""))&lt;lenb($Z798),8,IF(lenb(SUBSTITUTE($Z798,W$1&amp;" (9)",""))&lt;lenb($Z798),9,IF(lenb(SUBSTITUTE($Z798,W$1&amp;" (10)",""))&lt;lenb($Z798),10,IF(lenb(SUBSTITUTE($Z798,W$1,""))&lt;lenb($Z798),"ERROR",IF($Z798=$Y$1,"-",0))))))))))))</f>
        <v>0</v>
      </c>
      <c r="X798" s="105">
        <f t="shared" si="803"/>
        <v>0</v>
      </c>
      <c r="Y798" s="105" t="str">
        <f t="shared" si="4"/>
        <v>-</v>
      </c>
      <c r="Z798" s="104" t="s">
        <v>3400</v>
      </c>
      <c r="AA798" s="34">
        <f t="shared" si="5"/>
        <v>1</v>
      </c>
      <c r="AB798" s="34">
        <f>COUNTIFS(Links!B:B,"FSE",Links!C:C,A798,Links!AD:AD,1)</f>
        <v>0</v>
      </c>
      <c r="AC798" s="106" t="s">
        <v>35</v>
      </c>
      <c r="AD798" s="107" t="s">
        <v>35</v>
      </c>
      <c r="AE798" s="104" t="s">
        <v>36</v>
      </c>
      <c r="AF798" s="37" t="s">
        <v>42</v>
      </c>
      <c r="AG798" s="37" t="s">
        <v>42</v>
      </c>
      <c r="AH798" s="37" t="s">
        <v>42</v>
      </c>
      <c r="AI798" s="105" t="str">
        <f t="shared" si="6"/>
        <v>----</v>
      </c>
      <c r="AJ798" s="108" t="str">
        <f t="shared" si="7"/>
        <v>Paper has link but no statement</v>
      </c>
      <c r="AK798" s="109" t="s">
        <v>3401</v>
      </c>
      <c r="AL798" s="110" t="s">
        <v>3402</v>
      </c>
      <c r="AM798" s="40" t="str">
        <f t="shared" si="8"/>
        <v>[FP0084]</v>
      </c>
    </row>
    <row r="799" ht="67.5" customHeight="1">
      <c r="A799" s="41">
        <v>85.0</v>
      </c>
      <c r="B799" s="42" t="s">
        <v>5535</v>
      </c>
      <c r="C799" s="43">
        <v>2023.0</v>
      </c>
      <c r="D799" s="111" t="s">
        <v>37</v>
      </c>
      <c r="E799" s="45" t="s">
        <v>37</v>
      </c>
      <c r="F799" s="45" t="s">
        <v>37</v>
      </c>
      <c r="G799" s="45" t="s">
        <v>35</v>
      </c>
      <c r="H799" s="45" t="s">
        <v>35</v>
      </c>
      <c r="I799" s="45" t="s">
        <v>35</v>
      </c>
      <c r="J799" s="112" t="s">
        <v>36</v>
      </c>
      <c r="K799" s="113" t="s">
        <v>37</v>
      </c>
      <c r="L799" s="114" t="s">
        <v>35</v>
      </c>
      <c r="M799" s="114" t="s">
        <v>35</v>
      </c>
      <c r="N799" s="114" t="s">
        <v>35</v>
      </c>
      <c r="O799" s="114" t="s">
        <v>35</v>
      </c>
      <c r="P799" s="114" t="s">
        <v>35</v>
      </c>
      <c r="Q799" s="114" t="s">
        <v>37</v>
      </c>
      <c r="R799" s="114" t="s">
        <v>35</v>
      </c>
      <c r="S799" s="115" t="s">
        <v>5020</v>
      </c>
      <c r="T799" s="50" t="s">
        <v>5536</v>
      </c>
      <c r="U799" s="50" t="s">
        <v>5536</v>
      </c>
      <c r="V799" s="116">
        <f t="shared" si="2"/>
        <v>1</v>
      </c>
      <c r="W799" s="116">
        <f t="shared" ref="W799:X799" si="804">IF(lenb(SUBSTITUTE($Z799,W$1&amp;" (1)",""))&lt;lenb($Z799),1,IF(lenb(SUBSTITUTE($Z799,W$1&amp;" (2)",""))&lt;lenb($Z799),2,IF(lenb(SUBSTITUTE($Z799,W$1&amp;" (3)",""))&lt;lenb($Z799),3,IF(lenb(SUBSTITUTE($Z799,W$1&amp;" (4)",""))&lt;lenb($Z799),4,IF(lenb(SUBSTITUTE($Z799,W$1&amp;" (5)",""))&lt;lenb($Z799),5,IF(lenb(SUBSTITUTE($Z799,W$1&amp;" (6)",""))&lt;lenb($Z799),6,IF(lenb(SUBSTITUTE($Z799,W$1&amp;" (7)",""))&lt;lenb($Z799),1,IF(lenb(SUBSTITUTE($Z799,W$1&amp;" (8)",""))&lt;lenb($Z799),8,IF(lenb(SUBSTITUTE($Z799,W$1&amp;" (9)",""))&lt;lenb($Z799),9,IF(lenb(SUBSTITUTE($Z799,W$1&amp;" (10)",""))&lt;lenb($Z799),10,IF(lenb(SUBSTITUTE($Z799,W$1,""))&lt;lenb($Z799),"ERROR",IF($Z799=$Y$1,"-",0))))))))))))</f>
        <v>0</v>
      </c>
      <c r="X799" s="116">
        <f t="shared" si="804"/>
        <v>0</v>
      </c>
      <c r="Y799" s="116" t="str">
        <f t="shared" si="4"/>
        <v>-</v>
      </c>
      <c r="Z799" s="115" t="s">
        <v>3400</v>
      </c>
      <c r="AA799" s="54">
        <f t="shared" si="5"/>
        <v>1</v>
      </c>
      <c r="AB799" s="54">
        <f>COUNTIFS(Links!B:B,"FSE",Links!C:C,A799,Links!AD:AD,1)</f>
        <v>0</v>
      </c>
      <c r="AC799" s="117" t="s">
        <v>37</v>
      </c>
      <c r="AD799" s="118" t="s">
        <v>35</v>
      </c>
      <c r="AE799" s="115" t="s">
        <v>36</v>
      </c>
      <c r="AF799" s="57" t="s">
        <v>42</v>
      </c>
      <c r="AG799" s="57" t="s">
        <v>42</v>
      </c>
      <c r="AH799" s="57" t="s">
        <v>42</v>
      </c>
      <c r="AI799" s="116" t="str">
        <f t="shared" si="6"/>
        <v>----</v>
      </c>
      <c r="AJ799" s="119" t="str">
        <f t="shared" si="7"/>
        <v>Paper has link but no statement</v>
      </c>
      <c r="AK799" s="120" t="s">
        <v>3401</v>
      </c>
      <c r="AL799" s="121" t="s">
        <v>3402</v>
      </c>
      <c r="AM799" s="60" t="str">
        <f t="shared" si="8"/>
        <v>[FP0085]</v>
      </c>
    </row>
    <row r="800" ht="67.5" customHeight="1">
      <c r="A800" s="61">
        <v>86.0</v>
      </c>
      <c r="B800" s="22" t="s">
        <v>5537</v>
      </c>
      <c r="C800" s="23">
        <v>2023.0</v>
      </c>
      <c r="D800" s="100" t="s">
        <v>35</v>
      </c>
      <c r="E800" s="25" t="s">
        <v>36</v>
      </c>
      <c r="F800" s="25" t="s">
        <v>36</v>
      </c>
      <c r="G800" s="25" t="s">
        <v>36</v>
      </c>
      <c r="H800" s="25" t="s">
        <v>36</v>
      </c>
      <c r="I800" s="25" t="s">
        <v>36</v>
      </c>
      <c r="J800" s="101" t="s">
        <v>36</v>
      </c>
      <c r="K800" s="102" t="s">
        <v>37</v>
      </c>
      <c r="L800" s="103" t="s">
        <v>35</v>
      </c>
      <c r="M800" s="103" t="s">
        <v>35</v>
      </c>
      <c r="N800" s="103" t="s">
        <v>35</v>
      </c>
      <c r="O800" s="103" t="s">
        <v>35</v>
      </c>
      <c r="P800" s="103" t="s">
        <v>35</v>
      </c>
      <c r="Q800" s="103" t="s">
        <v>37</v>
      </c>
      <c r="R800" s="103" t="s">
        <v>37</v>
      </c>
      <c r="S800" s="104" t="s">
        <v>5538</v>
      </c>
      <c r="T800" s="30" t="s">
        <v>5539</v>
      </c>
      <c r="U800" s="30" t="s">
        <v>5539</v>
      </c>
      <c r="V800" s="105">
        <f t="shared" si="2"/>
        <v>1</v>
      </c>
      <c r="W800" s="105">
        <f t="shared" ref="W800:X800" si="805">IF(lenb(SUBSTITUTE($Z800,W$1&amp;" (1)",""))&lt;lenb($Z800),1,IF(lenb(SUBSTITUTE($Z800,W$1&amp;" (2)",""))&lt;lenb($Z800),2,IF(lenb(SUBSTITUTE($Z800,W$1&amp;" (3)",""))&lt;lenb($Z800),3,IF(lenb(SUBSTITUTE($Z800,W$1&amp;" (4)",""))&lt;lenb($Z800),4,IF(lenb(SUBSTITUTE($Z800,W$1&amp;" (5)",""))&lt;lenb($Z800),5,IF(lenb(SUBSTITUTE($Z800,W$1&amp;" (6)",""))&lt;lenb($Z800),6,IF(lenb(SUBSTITUTE($Z800,W$1&amp;" (7)",""))&lt;lenb($Z800),1,IF(lenb(SUBSTITUTE($Z800,W$1&amp;" (8)",""))&lt;lenb($Z800),8,IF(lenb(SUBSTITUTE($Z800,W$1&amp;" (9)",""))&lt;lenb($Z800),9,IF(lenb(SUBSTITUTE($Z800,W$1&amp;" (10)",""))&lt;lenb($Z800),10,IF(lenb(SUBSTITUTE($Z800,W$1,""))&lt;lenb($Z800),"ERROR",IF($Z800=$Y$1,"-",0))))))))))))</f>
        <v>0</v>
      </c>
      <c r="X800" s="105">
        <f t="shared" si="805"/>
        <v>0</v>
      </c>
      <c r="Y800" s="105" t="str">
        <f t="shared" si="4"/>
        <v>-</v>
      </c>
      <c r="Z800" s="104" t="s">
        <v>3400</v>
      </c>
      <c r="AA800" s="34">
        <f t="shared" si="5"/>
        <v>1</v>
      </c>
      <c r="AB800" s="34">
        <f>COUNTIFS(Links!B:B,"FSE",Links!C:C,A800,Links!AD:AD,1)</f>
        <v>0</v>
      </c>
      <c r="AC800" s="106" t="s">
        <v>35</v>
      </c>
      <c r="AD800" s="107" t="s">
        <v>35</v>
      </c>
      <c r="AE800" s="104" t="s">
        <v>36</v>
      </c>
      <c r="AF800" s="37" t="s">
        <v>42</v>
      </c>
      <c r="AG800" s="37" t="s">
        <v>42</v>
      </c>
      <c r="AH800" s="37" t="s">
        <v>42</v>
      </c>
      <c r="AI800" s="105" t="str">
        <f t="shared" si="6"/>
        <v>----</v>
      </c>
      <c r="AJ800" s="108" t="str">
        <f t="shared" si="7"/>
        <v>Paper has link but no statement</v>
      </c>
      <c r="AK800" s="109" t="s">
        <v>3401</v>
      </c>
      <c r="AL800" s="110" t="s">
        <v>3402</v>
      </c>
      <c r="AM800" s="40" t="str">
        <f t="shared" si="8"/>
        <v>[FP0086]</v>
      </c>
    </row>
    <row r="801" ht="67.5" customHeight="1">
      <c r="A801" s="41">
        <v>87.0</v>
      </c>
      <c r="B801" s="42" t="s">
        <v>5540</v>
      </c>
      <c r="C801" s="43">
        <v>2023.0</v>
      </c>
      <c r="D801" s="111" t="s">
        <v>37</v>
      </c>
      <c r="E801" s="45" t="s">
        <v>37</v>
      </c>
      <c r="F801" s="45" t="s">
        <v>37</v>
      </c>
      <c r="G801" s="45" t="s">
        <v>35</v>
      </c>
      <c r="H801" s="45" t="s">
        <v>35</v>
      </c>
      <c r="I801" s="45" t="s">
        <v>35</v>
      </c>
      <c r="J801" s="112" t="s">
        <v>36</v>
      </c>
      <c r="K801" s="113" t="s">
        <v>37</v>
      </c>
      <c r="L801" s="114" t="s">
        <v>35</v>
      </c>
      <c r="M801" s="114" t="s">
        <v>35</v>
      </c>
      <c r="N801" s="114" t="s">
        <v>37</v>
      </c>
      <c r="O801" s="114" t="s">
        <v>35</v>
      </c>
      <c r="P801" s="114" t="s">
        <v>35</v>
      </c>
      <c r="Q801" s="114" t="s">
        <v>37</v>
      </c>
      <c r="R801" s="114" t="s">
        <v>35</v>
      </c>
      <c r="S801" s="115" t="s">
        <v>5541</v>
      </c>
      <c r="T801" s="50" t="s">
        <v>5542</v>
      </c>
      <c r="U801" s="50" t="s">
        <v>5542</v>
      </c>
      <c r="V801" s="116">
        <f t="shared" si="2"/>
        <v>1</v>
      </c>
      <c r="W801" s="116">
        <f t="shared" ref="W801:X801" si="806">IF(lenb(SUBSTITUTE($Z801,W$1&amp;" (1)",""))&lt;lenb($Z801),1,IF(lenb(SUBSTITUTE($Z801,W$1&amp;" (2)",""))&lt;lenb($Z801),2,IF(lenb(SUBSTITUTE($Z801,W$1&amp;" (3)",""))&lt;lenb($Z801),3,IF(lenb(SUBSTITUTE($Z801,W$1&amp;" (4)",""))&lt;lenb($Z801),4,IF(lenb(SUBSTITUTE($Z801,W$1&amp;" (5)",""))&lt;lenb($Z801),5,IF(lenb(SUBSTITUTE($Z801,W$1&amp;" (6)",""))&lt;lenb($Z801),6,IF(lenb(SUBSTITUTE($Z801,W$1&amp;" (7)",""))&lt;lenb($Z801),1,IF(lenb(SUBSTITUTE($Z801,W$1&amp;" (8)",""))&lt;lenb($Z801),8,IF(lenb(SUBSTITUTE($Z801,W$1&amp;" (9)",""))&lt;lenb($Z801),9,IF(lenb(SUBSTITUTE($Z801,W$1&amp;" (10)",""))&lt;lenb($Z801),10,IF(lenb(SUBSTITUTE($Z801,W$1,""))&lt;lenb($Z801),"ERROR",IF($Z801=$Y$1,"-",0))))))))))))</f>
        <v>0</v>
      </c>
      <c r="X801" s="116">
        <f t="shared" si="806"/>
        <v>0</v>
      </c>
      <c r="Y801" s="116" t="str">
        <f t="shared" si="4"/>
        <v>-</v>
      </c>
      <c r="Z801" s="115" t="s">
        <v>3400</v>
      </c>
      <c r="AA801" s="54">
        <f t="shared" si="5"/>
        <v>1</v>
      </c>
      <c r="AB801" s="54">
        <f>COUNTIFS(Links!B:B,"FSE",Links!C:C,A801,Links!AD:AD,1)</f>
        <v>0</v>
      </c>
      <c r="AC801" s="117" t="s">
        <v>35</v>
      </c>
      <c r="AD801" s="118" t="s">
        <v>35</v>
      </c>
      <c r="AE801" s="115" t="s">
        <v>36</v>
      </c>
      <c r="AF801" s="57" t="s">
        <v>42</v>
      </c>
      <c r="AG801" s="57" t="s">
        <v>42</v>
      </c>
      <c r="AH801" s="57" t="s">
        <v>42</v>
      </c>
      <c r="AI801" s="116" t="str">
        <f t="shared" si="6"/>
        <v>----</v>
      </c>
      <c r="AJ801" s="119" t="str">
        <f t="shared" si="7"/>
        <v>Paper has link but no statement</v>
      </c>
      <c r="AK801" s="120" t="s">
        <v>3401</v>
      </c>
      <c r="AL801" s="121" t="s">
        <v>3402</v>
      </c>
      <c r="AM801" s="60" t="str">
        <f t="shared" si="8"/>
        <v>[FP0087]</v>
      </c>
    </row>
    <row r="802" ht="67.5" customHeight="1">
      <c r="A802" s="61">
        <v>88.0</v>
      </c>
      <c r="B802" s="22" t="s">
        <v>5543</v>
      </c>
      <c r="C802" s="23">
        <v>2023.0</v>
      </c>
      <c r="D802" s="100" t="s">
        <v>37</v>
      </c>
      <c r="E802" s="25" t="s">
        <v>37</v>
      </c>
      <c r="F802" s="25" t="s">
        <v>35</v>
      </c>
      <c r="G802" s="25" t="s">
        <v>35</v>
      </c>
      <c r="H802" s="25" t="s">
        <v>35</v>
      </c>
      <c r="I802" s="25" t="s">
        <v>35</v>
      </c>
      <c r="J802" s="101" t="s">
        <v>36</v>
      </c>
      <c r="K802" s="102" t="s">
        <v>37</v>
      </c>
      <c r="L802" s="103" t="s">
        <v>35</v>
      </c>
      <c r="M802" s="103" t="s">
        <v>37</v>
      </c>
      <c r="N802" s="103" t="s">
        <v>35</v>
      </c>
      <c r="O802" s="103" t="s">
        <v>35</v>
      </c>
      <c r="P802" s="103" t="s">
        <v>35</v>
      </c>
      <c r="Q802" s="103" t="s">
        <v>37</v>
      </c>
      <c r="R802" s="103" t="s">
        <v>37</v>
      </c>
      <c r="S802" s="104" t="s">
        <v>5544</v>
      </c>
      <c r="T802" s="30" t="s">
        <v>5545</v>
      </c>
      <c r="U802" s="30" t="s">
        <v>5546</v>
      </c>
      <c r="V802" s="105">
        <f t="shared" si="2"/>
        <v>3</v>
      </c>
      <c r="W802" s="105">
        <f t="shared" ref="W802:X802" si="807">IF(lenb(SUBSTITUTE($Z802,W$1&amp;" (1)",""))&lt;lenb($Z802),1,IF(lenb(SUBSTITUTE($Z802,W$1&amp;" (2)",""))&lt;lenb($Z802),2,IF(lenb(SUBSTITUTE($Z802,W$1&amp;" (3)",""))&lt;lenb($Z802),3,IF(lenb(SUBSTITUTE($Z802,W$1&amp;" (4)",""))&lt;lenb($Z802),4,IF(lenb(SUBSTITUTE($Z802,W$1&amp;" (5)",""))&lt;lenb($Z802),5,IF(lenb(SUBSTITUTE($Z802,W$1&amp;" (6)",""))&lt;lenb($Z802),6,IF(lenb(SUBSTITUTE($Z802,W$1&amp;" (7)",""))&lt;lenb($Z802),1,IF(lenb(SUBSTITUTE($Z802,W$1&amp;" (8)",""))&lt;lenb($Z802),8,IF(lenb(SUBSTITUTE($Z802,W$1&amp;" (9)",""))&lt;lenb($Z802),9,IF(lenb(SUBSTITUTE($Z802,W$1&amp;" (10)",""))&lt;lenb($Z802),10,IF(lenb(SUBSTITUTE($Z802,W$1,""))&lt;lenb($Z802),"ERROR",IF($Z802=$Y$1,"-",0))))))))))))</f>
        <v>1</v>
      </c>
      <c r="X802" s="105">
        <f t="shared" si="807"/>
        <v>0</v>
      </c>
      <c r="Y802" s="105" t="str">
        <f t="shared" si="4"/>
        <v>-</v>
      </c>
      <c r="Z802" s="104" t="s">
        <v>5547</v>
      </c>
      <c r="AA802" s="34">
        <f t="shared" si="5"/>
        <v>4</v>
      </c>
      <c r="AB802" s="34">
        <f>COUNTIFS(Links!B:B,"FSE",Links!C:C,A802,Links!AD:AD,1)</f>
        <v>0</v>
      </c>
      <c r="AC802" s="106" t="s">
        <v>37</v>
      </c>
      <c r="AD802" s="107" t="s">
        <v>35</v>
      </c>
      <c r="AE802" s="104" t="s">
        <v>36</v>
      </c>
      <c r="AF802" s="37" t="s">
        <v>42</v>
      </c>
      <c r="AG802" s="37" t="s">
        <v>42</v>
      </c>
      <c r="AH802" s="37" t="s">
        <v>42</v>
      </c>
      <c r="AI802" s="105" t="str">
        <f t="shared" si="6"/>
        <v>----</v>
      </c>
      <c r="AJ802" s="108" t="str">
        <f t="shared" si="7"/>
        <v>Paper has link but no statement</v>
      </c>
      <c r="AK802" s="109" t="s">
        <v>3401</v>
      </c>
      <c r="AL802" s="110" t="s">
        <v>3402</v>
      </c>
      <c r="AM802" s="40" t="str">
        <f t="shared" si="8"/>
        <v>[FP0088]</v>
      </c>
    </row>
    <row r="803" ht="67.5" customHeight="1">
      <c r="A803" s="41">
        <v>89.0</v>
      </c>
      <c r="B803" s="42" t="s">
        <v>5548</v>
      </c>
      <c r="C803" s="43">
        <v>2023.0</v>
      </c>
      <c r="D803" s="111" t="s">
        <v>37</v>
      </c>
      <c r="E803" s="45" t="s">
        <v>37</v>
      </c>
      <c r="F803" s="45" t="s">
        <v>35</v>
      </c>
      <c r="G803" s="45" t="s">
        <v>35</v>
      </c>
      <c r="H803" s="45" t="s">
        <v>35</v>
      </c>
      <c r="I803" s="45" t="s">
        <v>35</v>
      </c>
      <c r="J803" s="112" t="s">
        <v>36</v>
      </c>
      <c r="K803" s="113" t="s">
        <v>37</v>
      </c>
      <c r="L803" s="114" t="s">
        <v>35</v>
      </c>
      <c r="M803" s="114" t="s">
        <v>37</v>
      </c>
      <c r="N803" s="114" t="s">
        <v>35</v>
      </c>
      <c r="O803" s="114" t="s">
        <v>35</v>
      </c>
      <c r="P803" s="114" t="s">
        <v>35</v>
      </c>
      <c r="Q803" s="114" t="s">
        <v>37</v>
      </c>
      <c r="R803" s="114" t="s">
        <v>37</v>
      </c>
      <c r="S803" s="115" t="s">
        <v>5549</v>
      </c>
      <c r="T803" s="50" t="s">
        <v>5550</v>
      </c>
      <c r="U803" s="50" t="s">
        <v>5551</v>
      </c>
      <c r="V803" s="116">
        <f t="shared" si="2"/>
        <v>1</v>
      </c>
      <c r="W803" s="116">
        <f t="shared" ref="W803:X803" si="808">IF(lenb(SUBSTITUTE($Z803,W$1&amp;" (1)",""))&lt;lenb($Z803),1,IF(lenb(SUBSTITUTE($Z803,W$1&amp;" (2)",""))&lt;lenb($Z803),2,IF(lenb(SUBSTITUTE($Z803,W$1&amp;" (3)",""))&lt;lenb($Z803),3,IF(lenb(SUBSTITUTE($Z803,W$1&amp;" (4)",""))&lt;lenb($Z803),4,IF(lenb(SUBSTITUTE($Z803,W$1&amp;" (5)",""))&lt;lenb($Z803),5,IF(lenb(SUBSTITUTE($Z803,W$1&amp;" (6)",""))&lt;lenb($Z803),6,IF(lenb(SUBSTITUTE($Z803,W$1&amp;" (7)",""))&lt;lenb($Z803),1,IF(lenb(SUBSTITUTE($Z803,W$1&amp;" (8)",""))&lt;lenb($Z803),8,IF(lenb(SUBSTITUTE($Z803,W$1&amp;" (9)",""))&lt;lenb($Z803),9,IF(lenb(SUBSTITUTE($Z803,W$1&amp;" (10)",""))&lt;lenb($Z803),10,IF(lenb(SUBSTITUTE($Z803,W$1,""))&lt;lenb($Z803),"ERROR",IF($Z803=$Y$1,"-",0))))))))))))</f>
        <v>0</v>
      </c>
      <c r="X803" s="116">
        <f t="shared" si="808"/>
        <v>0</v>
      </c>
      <c r="Y803" s="116" t="str">
        <f t="shared" si="4"/>
        <v>-</v>
      </c>
      <c r="Z803" s="115" t="s">
        <v>3400</v>
      </c>
      <c r="AA803" s="54">
        <f t="shared" si="5"/>
        <v>1</v>
      </c>
      <c r="AB803" s="54">
        <f>COUNTIFS(Links!B:B,"FSE",Links!C:C,A803,Links!AD:AD,1)</f>
        <v>0</v>
      </c>
      <c r="AC803" s="117" t="s">
        <v>35</v>
      </c>
      <c r="AD803" s="118" t="s">
        <v>35</v>
      </c>
      <c r="AE803" s="115" t="s">
        <v>36</v>
      </c>
      <c r="AF803" s="57" t="s">
        <v>42</v>
      </c>
      <c r="AG803" s="57" t="s">
        <v>42</v>
      </c>
      <c r="AH803" s="57" t="s">
        <v>42</v>
      </c>
      <c r="AI803" s="116" t="str">
        <f t="shared" si="6"/>
        <v>----</v>
      </c>
      <c r="AJ803" s="119" t="str">
        <f t="shared" si="7"/>
        <v>Paper has link but no statement</v>
      </c>
      <c r="AK803" s="120" t="s">
        <v>3401</v>
      </c>
      <c r="AL803" s="121" t="s">
        <v>3402</v>
      </c>
      <c r="AM803" s="60" t="str">
        <f t="shared" si="8"/>
        <v>[FP0089]</v>
      </c>
    </row>
    <row r="804" ht="67.5" customHeight="1">
      <c r="A804" s="61">
        <v>90.0</v>
      </c>
      <c r="B804" s="22" t="s">
        <v>5552</v>
      </c>
      <c r="C804" s="23">
        <v>2023.0</v>
      </c>
      <c r="D804" s="100" t="s">
        <v>37</v>
      </c>
      <c r="E804" s="25" t="s">
        <v>37</v>
      </c>
      <c r="F804" s="25" t="s">
        <v>35</v>
      </c>
      <c r="G804" s="25" t="s">
        <v>37</v>
      </c>
      <c r="H804" s="25" t="s">
        <v>35</v>
      </c>
      <c r="I804" s="25" t="s">
        <v>35</v>
      </c>
      <c r="J804" s="101" t="s">
        <v>36</v>
      </c>
      <c r="K804" s="102" t="s">
        <v>37</v>
      </c>
      <c r="L804" s="103" t="s">
        <v>35</v>
      </c>
      <c r="M804" s="103" t="s">
        <v>37</v>
      </c>
      <c r="N804" s="103" t="s">
        <v>35</v>
      </c>
      <c r="O804" s="103" t="s">
        <v>35</v>
      </c>
      <c r="P804" s="103" t="s">
        <v>35</v>
      </c>
      <c r="Q804" s="103" t="s">
        <v>37</v>
      </c>
      <c r="R804" s="103" t="s">
        <v>37</v>
      </c>
      <c r="S804" s="104" t="s">
        <v>5553</v>
      </c>
      <c r="T804" s="30" t="s">
        <v>5554</v>
      </c>
      <c r="U804" s="30" t="s">
        <v>5555</v>
      </c>
      <c r="V804" s="105">
        <f t="shared" si="2"/>
        <v>2</v>
      </c>
      <c r="W804" s="105">
        <f t="shared" ref="W804:X804" si="809">IF(lenb(SUBSTITUTE($Z804,W$1&amp;" (1)",""))&lt;lenb($Z804),1,IF(lenb(SUBSTITUTE($Z804,W$1&amp;" (2)",""))&lt;lenb($Z804),2,IF(lenb(SUBSTITUTE($Z804,W$1&amp;" (3)",""))&lt;lenb($Z804),3,IF(lenb(SUBSTITUTE($Z804,W$1&amp;" (4)",""))&lt;lenb($Z804),4,IF(lenb(SUBSTITUTE($Z804,W$1&amp;" (5)",""))&lt;lenb($Z804),5,IF(lenb(SUBSTITUTE($Z804,W$1&amp;" (6)",""))&lt;lenb($Z804),6,IF(lenb(SUBSTITUTE($Z804,W$1&amp;" (7)",""))&lt;lenb($Z804),1,IF(lenb(SUBSTITUTE($Z804,W$1&amp;" (8)",""))&lt;lenb($Z804),8,IF(lenb(SUBSTITUTE($Z804,W$1&amp;" (9)",""))&lt;lenb($Z804),9,IF(lenb(SUBSTITUTE($Z804,W$1&amp;" (10)",""))&lt;lenb($Z804),10,IF(lenb(SUBSTITUTE($Z804,W$1,""))&lt;lenb($Z804),"ERROR",IF($Z804=$Y$1,"-",0))))))))))))</f>
        <v>0</v>
      </c>
      <c r="X804" s="105">
        <f t="shared" si="809"/>
        <v>0</v>
      </c>
      <c r="Y804" s="105" t="str">
        <f t="shared" si="4"/>
        <v>-</v>
      </c>
      <c r="Z804" s="104" t="s">
        <v>3452</v>
      </c>
      <c r="AA804" s="34">
        <f t="shared" si="5"/>
        <v>2</v>
      </c>
      <c r="AB804" s="34">
        <f>COUNTIFS(Links!B:B,"FSE",Links!C:C,A804,Links!AD:AD,1)</f>
        <v>0</v>
      </c>
      <c r="AC804" s="106" t="s">
        <v>37</v>
      </c>
      <c r="AD804" s="107" t="s">
        <v>35</v>
      </c>
      <c r="AE804" s="104" t="s">
        <v>36</v>
      </c>
      <c r="AF804" s="37" t="s">
        <v>42</v>
      </c>
      <c r="AG804" s="37" t="s">
        <v>42</v>
      </c>
      <c r="AH804" s="37" t="s">
        <v>42</v>
      </c>
      <c r="AI804" s="105" t="str">
        <f t="shared" si="6"/>
        <v>----</v>
      </c>
      <c r="AJ804" s="108" t="str">
        <f t="shared" si="7"/>
        <v>Paper has link but no statement</v>
      </c>
      <c r="AK804" s="109" t="s">
        <v>3401</v>
      </c>
      <c r="AL804" s="110" t="s">
        <v>3402</v>
      </c>
      <c r="AM804" s="40" t="str">
        <f t="shared" si="8"/>
        <v>[FP0090]</v>
      </c>
    </row>
    <row r="805" ht="67.5" customHeight="1">
      <c r="A805" s="41">
        <v>91.0</v>
      </c>
      <c r="B805" s="42" t="s">
        <v>5556</v>
      </c>
      <c r="C805" s="43">
        <v>2023.0</v>
      </c>
      <c r="D805" s="111" t="s">
        <v>35</v>
      </c>
      <c r="E805" s="45" t="s">
        <v>36</v>
      </c>
      <c r="F805" s="45" t="s">
        <v>36</v>
      </c>
      <c r="G805" s="45" t="s">
        <v>36</v>
      </c>
      <c r="H805" s="45" t="s">
        <v>36</v>
      </c>
      <c r="I805" s="45" t="s">
        <v>36</v>
      </c>
      <c r="J805" s="112" t="s">
        <v>36</v>
      </c>
      <c r="K805" s="113" t="s">
        <v>37</v>
      </c>
      <c r="L805" s="114" t="s">
        <v>37</v>
      </c>
      <c r="M805" s="114" t="s">
        <v>35</v>
      </c>
      <c r="N805" s="114" t="s">
        <v>35</v>
      </c>
      <c r="O805" s="114" t="s">
        <v>35</v>
      </c>
      <c r="P805" s="114" t="s">
        <v>35</v>
      </c>
      <c r="Q805" s="114" t="s">
        <v>35</v>
      </c>
      <c r="R805" s="114" t="s">
        <v>37</v>
      </c>
      <c r="S805" s="115" t="s">
        <v>5557</v>
      </c>
      <c r="T805" s="50" t="s">
        <v>5558</v>
      </c>
      <c r="U805" s="50" t="s">
        <v>5558</v>
      </c>
      <c r="V805" s="116">
        <f t="shared" si="2"/>
        <v>1</v>
      </c>
      <c r="W805" s="116">
        <f t="shared" ref="W805:X805" si="810">IF(lenb(SUBSTITUTE($Z805,W$1&amp;" (1)",""))&lt;lenb($Z805),1,IF(lenb(SUBSTITUTE($Z805,W$1&amp;" (2)",""))&lt;lenb($Z805),2,IF(lenb(SUBSTITUTE($Z805,W$1&amp;" (3)",""))&lt;lenb($Z805),3,IF(lenb(SUBSTITUTE($Z805,W$1&amp;" (4)",""))&lt;lenb($Z805),4,IF(lenb(SUBSTITUTE($Z805,W$1&amp;" (5)",""))&lt;lenb($Z805),5,IF(lenb(SUBSTITUTE($Z805,W$1&amp;" (6)",""))&lt;lenb($Z805),6,IF(lenb(SUBSTITUTE($Z805,W$1&amp;" (7)",""))&lt;lenb($Z805),1,IF(lenb(SUBSTITUTE($Z805,W$1&amp;" (8)",""))&lt;lenb($Z805),8,IF(lenb(SUBSTITUTE($Z805,W$1&amp;" (9)",""))&lt;lenb($Z805),9,IF(lenb(SUBSTITUTE($Z805,W$1&amp;" (10)",""))&lt;lenb($Z805),10,IF(lenb(SUBSTITUTE($Z805,W$1,""))&lt;lenb($Z805),"ERROR",IF($Z805=$Y$1,"-",0))))))))))))</f>
        <v>0</v>
      </c>
      <c r="X805" s="116">
        <f t="shared" si="810"/>
        <v>0</v>
      </c>
      <c r="Y805" s="116" t="str">
        <f t="shared" si="4"/>
        <v>-</v>
      </c>
      <c r="Z805" s="115" t="s">
        <v>3400</v>
      </c>
      <c r="AA805" s="54">
        <f t="shared" si="5"/>
        <v>1</v>
      </c>
      <c r="AB805" s="54">
        <f>COUNTIFS(Links!B:B,"FSE",Links!C:C,A805,Links!AD:AD,1)</f>
        <v>0</v>
      </c>
      <c r="AC805" s="117" t="s">
        <v>35</v>
      </c>
      <c r="AD805" s="118" t="s">
        <v>35</v>
      </c>
      <c r="AE805" s="115" t="s">
        <v>36</v>
      </c>
      <c r="AF805" s="57" t="s">
        <v>42</v>
      </c>
      <c r="AG805" s="57" t="s">
        <v>42</v>
      </c>
      <c r="AH805" s="57" t="s">
        <v>42</v>
      </c>
      <c r="AI805" s="116" t="str">
        <f t="shared" si="6"/>
        <v>----</v>
      </c>
      <c r="AJ805" s="119" t="str">
        <f t="shared" si="7"/>
        <v>Paper has link but no statement</v>
      </c>
      <c r="AK805" s="120" t="s">
        <v>3401</v>
      </c>
      <c r="AL805" s="121" t="s">
        <v>3402</v>
      </c>
      <c r="AM805" s="60" t="str">
        <f t="shared" si="8"/>
        <v>[FP0091]</v>
      </c>
    </row>
    <row r="806" ht="67.5" customHeight="1">
      <c r="A806" s="61">
        <v>92.0</v>
      </c>
      <c r="B806" s="22" t="s">
        <v>5559</v>
      </c>
      <c r="C806" s="23">
        <v>2023.0</v>
      </c>
      <c r="D806" s="100" t="s">
        <v>37</v>
      </c>
      <c r="E806" s="25" t="s">
        <v>37</v>
      </c>
      <c r="F806" s="25" t="s">
        <v>35</v>
      </c>
      <c r="G806" s="25" t="s">
        <v>37</v>
      </c>
      <c r="H806" s="25" t="s">
        <v>35</v>
      </c>
      <c r="I806" s="25" t="s">
        <v>35</v>
      </c>
      <c r="J806" s="101" t="s">
        <v>36</v>
      </c>
      <c r="K806" s="102" t="s">
        <v>37</v>
      </c>
      <c r="L806" s="103" t="s">
        <v>35</v>
      </c>
      <c r="M806" s="103" t="s">
        <v>37</v>
      </c>
      <c r="N806" s="103" t="s">
        <v>35</v>
      </c>
      <c r="O806" s="103" t="s">
        <v>35</v>
      </c>
      <c r="P806" s="103" t="s">
        <v>35</v>
      </c>
      <c r="Q806" s="103" t="s">
        <v>37</v>
      </c>
      <c r="R806" s="103" t="s">
        <v>35</v>
      </c>
      <c r="S806" s="104" t="s">
        <v>5020</v>
      </c>
      <c r="T806" s="30" t="s">
        <v>5560</v>
      </c>
      <c r="U806" s="30" t="s">
        <v>5561</v>
      </c>
      <c r="V806" s="105">
        <f t="shared" si="2"/>
        <v>3</v>
      </c>
      <c r="W806" s="105">
        <f t="shared" ref="W806:X806" si="811">IF(lenb(SUBSTITUTE($Z806,W$1&amp;" (1)",""))&lt;lenb($Z806),1,IF(lenb(SUBSTITUTE($Z806,W$1&amp;" (2)",""))&lt;lenb($Z806),2,IF(lenb(SUBSTITUTE($Z806,W$1&amp;" (3)",""))&lt;lenb($Z806),3,IF(lenb(SUBSTITUTE($Z806,W$1&amp;" (4)",""))&lt;lenb($Z806),4,IF(lenb(SUBSTITUTE($Z806,W$1&amp;" (5)",""))&lt;lenb($Z806),5,IF(lenb(SUBSTITUTE($Z806,W$1&amp;" (6)",""))&lt;lenb($Z806),6,IF(lenb(SUBSTITUTE($Z806,W$1&amp;" (7)",""))&lt;lenb($Z806),1,IF(lenb(SUBSTITUTE($Z806,W$1&amp;" (8)",""))&lt;lenb($Z806),8,IF(lenb(SUBSTITUTE($Z806,W$1&amp;" (9)",""))&lt;lenb($Z806),9,IF(lenb(SUBSTITUTE($Z806,W$1&amp;" (10)",""))&lt;lenb($Z806),10,IF(lenb(SUBSTITUTE($Z806,W$1,""))&lt;lenb($Z806),"ERROR",IF($Z806=$Y$1,"-",0))))))))))))</f>
        <v>0</v>
      </c>
      <c r="X806" s="105">
        <f t="shared" si="811"/>
        <v>0</v>
      </c>
      <c r="Y806" s="105" t="str">
        <f t="shared" si="4"/>
        <v>-</v>
      </c>
      <c r="Z806" s="104" t="s">
        <v>3741</v>
      </c>
      <c r="AA806" s="34">
        <f t="shared" si="5"/>
        <v>3</v>
      </c>
      <c r="AB806" s="34">
        <f>COUNTIFS(Links!B:B,"FSE",Links!C:C,A806,Links!AD:AD,1)</f>
        <v>0</v>
      </c>
      <c r="AC806" s="106" t="s">
        <v>37</v>
      </c>
      <c r="AD806" s="107" t="s">
        <v>35</v>
      </c>
      <c r="AE806" s="104" t="s">
        <v>36</v>
      </c>
      <c r="AF806" s="37" t="s">
        <v>42</v>
      </c>
      <c r="AG806" s="37" t="s">
        <v>42</v>
      </c>
      <c r="AH806" s="37" t="s">
        <v>42</v>
      </c>
      <c r="AI806" s="105" t="str">
        <f t="shared" si="6"/>
        <v>----</v>
      </c>
      <c r="AJ806" s="108" t="str">
        <f t="shared" si="7"/>
        <v>Paper has link but no statement</v>
      </c>
      <c r="AK806" s="109" t="s">
        <v>3401</v>
      </c>
      <c r="AL806" s="110" t="s">
        <v>3402</v>
      </c>
      <c r="AM806" s="40" t="str">
        <f t="shared" si="8"/>
        <v>[FP0092]</v>
      </c>
    </row>
    <row r="807" ht="67.5" customHeight="1">
      <c r="A807" s="41">
        <v>93.0</v>
      </c>
      <c r="B807" s="42" t="s">
        <v>5562</v>
      </c>
      <c r="C807" s="43">
        <v>2023.0</v>
      </c>
      <c r="D807" s="111" t="s">
        <v>37</v>
      </c>
      <c r="E807" s="45" t="s">
        <v>37</v>
      </c>
      <c r="F807" s="45" t="s">
        <v>35</v>
      </c>
      <c r="G807" s="45" t="s">
        <v>37</v>
      </c>
      <c r="H807" s="45" t="s">
        <v>35</v>
      </c>
      <c r="I807" s="45" t="s">
        <v>35</v>
      </c>
      <c r="J807" s="112" t="s">
        <v>36</v>
      </c>
      <c r="K807" s="113" t="s">
        <v>37</v>
      </c>
      <c r="L807" s="114" t="s">
        <v>37</v>
      </c>
      <c r="M807" s="114" t="s">
        <v>35</v>
      </c>
      <c r="N807" s="114" t="s">
        <v>35</v>
      </c>
      <c r="O807" s="114" t="s">
        <v>35</v>
      </c>
      <c r="P807" s="114" t="s">
        <v>35</v>
      </c>
      <c r="Q807" s="114" t="s">
        <v>35</v>
      </c>
      <c r="R807" s="114" t="s">
        <v>37</v>
      </c>
      <c r="S807" s="115" t="s">
        <v>5563</v>
      </c>
      <c r="T807" s="50" t="s">
        <v>5564</v>
      </c>
      <c r="U807" s="50" t="s">
        <v>5564</v>
      </c>
      <c r="V807" s="116">
        <f t="shared" si="2"/>
        <v>1</v>
      </c>
      <c r="W807" s="116">
        <f t="shared" ref="W807:X807" si="812">IF(lenb(SUBSTITUTE($Z807,W$1&amp;" (1)",""))&lt;lenb($Z807),1,IF(lenb(SUBSTITUTE($Z807,W$1&amp;" (2)",""))&lt;lenb($Z807),2,IF(lenb(SUBSTITUTE($Z807,W$1&amp;" (3)",""))&lt;lenb($Z807),3,IF(lenb(SUBSTITUTE($Z807,W$1&amp;" (4)",""))&lt;lenb($Z807),4,IF(lenb(SUBSTITUTE($Z807,W$1&amp;" (5)",""))&lt;lenb($Z807),5,IF(lenb(SUBSTITUTE($Z807,W$1&amp;" (6)",""))&lt;lenb($Z807),6,IF(lenb(SUBSTITUTE($Z807,W$1&amp;" (7)",""))&lt;lenb($Z807),1,IF(lenb(SUBSTITUTE($Z807,W$1&amp;" (8)",""))&lt;lenb($Z807),8,IF(lenb(SUBSTITUTE($Z807,W$1&amp;" (9)",""))&lt;lenb($Z807),9,IF(lenb(SUBSTITUTE($Z807,W$1&amp;" (10)",""))&lt;lenb($Z807),10,IF(lenb(SUBSTITUTE($Z807,W$1,""))&lt;lenb($Z807),"ERROR",IF($Z807=$Y$1,"-",0))))))))))))</f>
        <v>0</v>
      </c>
      <c r="X807" s="116">
        <f t="shared" si="812"/>
        <v>0</v>
      </c>
      <c r="Y807" s="116" t="str">
        <f t="shared" si="4"/>
        <v>-</v>
      </c>
      <c r="Z807" s="115" t="s">
        <v>3400</v>
      </c>
      <c r="AA807" s="54">
        <f t="shared" si="5"/>
        <v>1</v>
      </c>
      <c r="AB807" s="54">
        <f>COUNTIFS(Links!B:B,"FSE",Links!C:C,A807,Links!AD:AD,1)</f>
        <v>0</v>
      </c>
      <c r="AC807" s="117" t="s">
        <v>35</v>
      </c>
      <c r="AD807" s="118" t="s">
        <v>35</v>
      </c>
      <c r="AE807" s="115" t="s">
        <v>36</v>
      </c>
      <c r="AF807" s="57" t="s">
        <v>42</v>
      </c>
      <c r="AG807" s="57" t="s">
        <v>42</v>
      </c>
      <c r="AH807" s="57" t="s">
        <v>42</v>
      </c>
      <c r="AI807" s="116" t="str">
        <f t="shared" si="6"/>
        <v>----</v>
      </c>
      <c r="AJ807" s="119" t="str">
        <f t="shared" si="7"/>
        <v>Paper has link but no statement</v>
      </c>
      <c r="AK807" s="120" t="s">
        <v>3401</v>
      </c>
      <c r="AL807" s="121" t="s">
        <v>3402</v>
      </c>
      <c r="AM807" s="60" t="str">
        <f t="shared" si="8"/>
        <v>[FP0093]</v>
      </c>
    </row>
    <row r="808" ht="67.5" customHeight="1">
      <c r="A808" s="61">
        <v>94.0</v>
      </c>
      <c r="B808" s="22" t="s">
        <v>5565</v>
      </c>
      <c r="C808" s="23">
        <v>2023.0</v>
      </c>
      <c r="D808" s="100" t="s">
        <v>35</v>
      </c>
      <c r="E808" s="25" t="s">
        <v>36</v>
      </c>
      <c r="F808" s="25" t="s">
        <v>36</v>
      </c>
      <c r="G808" s="25" t="s">
        <v>36</v>
      </c>
      <c r="H808" s="25" t="s">
        <v>36</v>
      </c>
      <c r="I808" s="25" t="s">
        <v>36</v>
      </c>
      <c r="J808" s="101" t="s">
        <v>36</v>
      </c>
      <c r="K808" s="102" t="s">
        <v>37</v>
      </c>
      <c r="L808" s="103" t="s">
        <v>35</v>
      </c>
      <c r="M808" s="103" t="s">
        <v>35</v>
      </c>
      <c r="N808" s="103" t="s">
        <v>35</v>
      </c>
      <c r="O808" s="103" t="s">
        <v>35</v>
      </c>
      <c r="P808" s="103" t="s">
        <v>35</v>
      </c>
      <c r="Q808" s="103" t="s">
        <v>37</v>
      </c>
      <c r="R808" s="103" t="s">
        <v>37</v>
      </c>
      <c r="S808" s="104" t="s">
        <v>5566</v>
      </c>
      <c r="T808" s="30" t="s">
        <v>5567</v>
      </c>
      <c r="U808" s="30" t="s">
        <v>5567</v>
      </c>
      <c r="V808" s="105">
        <f t="shared" si="2"/>
        <v>1</v>
      </c>
      <c r="W808" s="105">
        <f t="shared" ref="W808:X808" si="813">IF(lenb(SUBSTITUTE($Z808,W$1&amp;" (1)",""))&lt;lenb($Z808),1,IF(lenb(SUBSTITUTE($Z808,W$1&amp;" (2)",""))&lt;lenb($Z808),2,IF(lenb(SUBSTITUTE($Z808,W$1&amp;" (3)",""))&lt;lenb($Z808),3,IF(lenb(SUBSTITUTE($Z808,W$1&amp;" (4)",""))&lt;lenb($Z808),4,IF(lenb(SUBSTITUTE($Z808,W$1&amp;" (5)",""))&lt;lenb($Z808),5,IF(lenb(SUBSTITUTE($Z808,W$1&amp;" (6)",""))&lt;lenb($Z808),6,IF(lenb(SUBSTITUTE($Z808,W$1&amp;" (7)",""))&lt;lenb($Z808),1,IF(lenb(SUBSTITUTE($Z808,W$1&amp;" (8)",""))&lt;lenb($Z808),8,IF(lenb(SUBSTITUTE($Z808,W$1&amp;" (9)",""))&lt;lenb($Z808),9,IF(lenb(SUBSTITUTE($Z808,W$1&amp;" (10)",""))&lt;lenb($Z808),10,IF(lenb(SUBSTITUTE($Z808,W$1,""))&lt;lenb($Z808),"ERROR",IF($Z808=$Y$1,"-",0))))))))))))</f>
        <v>0</v>
      </c>
      <c r="X808" s="105">
        <f t="shared" si="813"/>
        <v>0</v>
      </c>
      <c r="Y808" s="105" t="str">
        <f t="shared" si="4"/>
        <v>-</v>
      </c>
      <c r="Z808" s="104" t="s">
        <v>3400</v>
      </c>
      <c r="AA808" s="34">
        <f t="shared" si="5"/>
        <v>1</v>
      </c>
      <c r="AB808" s="34">
        <f>COUNTIFS(Links!B:B,"FSE",Links!C:C,A808,Links!AD:AD,1)</f>
        <v>0</v>
      </c>
      <c r="AC808" s="106" t="s">
        <v>35</v>
      </c>
      <c r="AD808" s="107" t="s">
        <v>35</v>
      </c>
      <c r="AE808" s="104" t="s">
        <v>36</v>
      </c>
      <c r="AF808" s="37" t="s">
        <v>42</v>
      </c>
      <c r="AG808" s="37" t="s">
        <v>42</v>
      </c>
      <c r="AH808" s="37" t="s">
        <v>42</v>
      </c>
      <c r="AI808" s="105" t="str">
        <f t="shared" si="6"/>
        <v>----</v>
      </c>
      <c r="AJ808" s="108" t="str">
        <f t="shared" si="7"/>
        <v>Paper has link but no statement</v>
      </c>
      <c r="AK808" s="109" t="s">
        <v>3401</v>
      </c>
      <c r="AL808" s="110" t="s">
        <v>3402</v>
      </c>
      <c r="AM808" s="40" t="str">
        <f t="shared" si="8"/>
        <v>[FP0094]</v>
      </c>
    </row>
    <row r="809" ht="67.5" customHeight="1">
      <c r="A809" s="41">
        <v>95.0</v>
      </c>
      <c r="B809" s="42" t="s">
        <v>5568</v>
      </c>
      <c r="C809" s="43">
        <v>2023.0</v>
      </c>
      <c r="D809" s="111" t="s">
        <v>37</v>
      </c>
      <c r="E809" s="45" t="s">
        <v>37</v>
      </c>
      <c r="F809" s="45" t="s">
        <v>37</v>
      </c>
      <c r="G809" s="45" t="s">
        <v>35</v>
      </c>
      <c r="H809" s="45" t="s">
        <v>35</v>
      </c>
      <c r="I809" s="45" t="s">
        <v>35</v>
      </c>
      <c r="J809" s="112" t="s">
        <v>36</v>
      </c>
      <c r="K809" s="113" t="s">
        <v>37</v>
      </c>
      <c r="L809" s="114" t="s">
        <v>35</v>
      </c>
      <c r="M809" s="114" t="s">
        <v>37</v>
      </c>
      <c r="N809" s="114" t="s">
        <v>35</v>
      </c>
      <c r="O809" s="114" t="s">
        <v>35</v>
      </c>
      <c r="P809" s="114" t="s">
        <v>35</v>
      </c>
      <c r="Q809" s="114" t="s">
        <v>37</v>
      </c>
      <c r="R809" s="114" t="s">
        <v>37</v>
      </c>
      <c r="S809" s="115" t="s">
        <v>5569</v>
      </c>
      <c r="T809" s="50" t="s">
        <v>5570</v>
      </c>
      <c r="U809" s="50" t="s">
        <v>5571</v>
      </c>
      <c r="V809" s="116">
        <f t="shared" si="2"/>
        <v>2</v>
      </c>
      <c r="W809" s="116">
        <f t="shared" ref="W809:X809" si="814">IF(lenb(SUBSTITUTE($Z809,W$1&amp;" (1)",""))&lt;lenb($Z809),1,IF(lenb(SUBSTITUTE($Z809,W$1&amp;" (2)",""))&lt;lenb($Z809),2,IF(lenb(SUBSTITUTE($Z809,W$1&amp;" (3)",""))&lt;lenb($Z809),3,IF(lenb(SUBSTITUTE($Z809,W$1&amp;" (4)",""))&lt;lenb($Z809),4,IF(lenb(SUBSTITUTE($Z809,W$1&amp;" (5)",""))&lt;lenb($Z809),5,IF(lenb(SUBSTITUTE($Z809,W$1&amp;" (6)",""))&lt;lenb($Z809),6,IF(lenb(SUBSTITUTE($Z809,W$1&amp;" (7)",""))&lt;lenb($Z809),1,IF(lenb(SUBSTITUTE($Z809,W$1&amp;" (8)",""))&lt;lenb($Z809),8,IF(lenb(SUBSTITUTE($Z809,W$1&amp;" (9)",""))&lt;lenb($Z809),9,IF(lenb(SUBSTITUTE($Z809,W$1&amp;" (10)",""))&lt;lenb($Z809),10,IF(lenb(SUBSTITUTE($Z809,W$1,""))&lt;lenb($Z809),"ERROR",IF($Z809=$Y$1,"-",0))))))))))))</f>
        <v>0</v>
      </c>
      <c r="X809" s="116">
        <f t="shared" si="814"/>
        <v>0</v>
      </c>
      <c r="Y809" s="116" t="str">
        <f t="shared" si="4"/>
        <v>-</v>
      </c>
      <c r="Z809" s="115" t="s">
        <v>3452</v>
      </c>
      <c r="AA809" s="54">
        <f t="shared" si="5"/>
        <v>2</v>
      </c>
      <c r="AB809" s="54">
        <f>COUNTIFS(Links!B:B,"FSE",Links!C:C,A809,Links!AD:AD,1)</f>
        <v>0</v>
      </c>
      <c r="AC809" s="117" t="s">
        <v>37</v>
      </c>
      <c r="AD809" s="118" t="s">
        <v>35</v>
      </c>
      <c r="AE809" s="115" t="s">
        <v>36</v>
      </c>
      <c r="AF809" s="57" t="s">
        <v>42</v>
      </c>
      <c r="AG809" s="57" t="s">
        <v>42</v>
      </c>
      <c r="AH809" s="57" t="s">
        <v>42</v>
      </c>
      <c r="AI809" s="116" t="str">
        <f t="shared" si="6"/>
        <v>----</v>
      </c>
      <c r="AJ809" s="119" t="str">
        <f t="shared" si="7"/>
        <v>Paper has link but no statement</v>
      </c>
      <c r="AK809" s="120" t="s">
        <v>3401</v>
      </c>
      <c r="AL809" s="121" t="s">
        <v>3402</v>
      </c>
      <c r="AM809" s="60" t="str">
        <f t="shared" si="8"/>
        <v>[FP0095]</v>
      </c>
    </row>
    <row r="810" ht="67.5" customHeight="1">
      <c r="A810" s="61">
        <v>96.0</v>
      </c>
      <c r="B810" s="22" t="s">
        <v>5572</v>
      </c>
      <c r="C810" s="23">
        <v>2023.0</v>
      </c>
      <c r="D810" s="100" t="s">
        <v>35</v>
      </c>
      <c r="E810" s="25" t="s">
        <v>36</v>
      </c>
      <c r="F810" s="25" t="s">
        <v>36</v>
      </c>
      <c r="G810" s="25" t="s">
        <v>36</v>
      </c>
      <c r="H810" s="25" t="s">
        <v>36</v>
      </c>
      <c r="I810" s="25" t="s">
        <v>36</v>
      </c>
      <c r="J810" s="101" t="s">
        <v>36</v>
      </c>
      <c r="K810" s="102" t="s">
        <v>37</v>
      </c>
      <c r="L810" s="103" t="s">
        <v>37</v>
      </c>
      <c r="M810" s="103" t="s">
        <v>35</v>
      </c>
      <c r="N810" s="103" t="s">
        <v>37</v>
      </c>
      <c r="O810" s="103" t="s">
        <v>35</v>
      </c>
      <c r="P810" s="103" t="s">
        <v>35</v>
      </c>
      <c r="Q810" s="103" t="s">
        <v>35</v>
      </c>
      <c r="R810" s="103" t="s">
        <v>35</v>
      </c>
      <c r="S810" s="104" t="s">
        <v>1057</v>
      </c>
      <c r="T810" s="30" t="s">
        <v>5573</v>
      </c>
      <c r="U810" s="30" t="s">
        <v>5573</v>
      </c>
      <c r="V810" s="105">
        <f t="shared" si="2"/>
        <v>1</v>
      </c>
      <c r="W810" s="105">
        <f t="shared" ref="W810:X810" si="815">IF(lenb(SUBSTITUTE($Z810,W$1&amp;" (1)",""))&lt;lenb($Z810),1,IF(lenb(SUBSTITUTE($Z810,W$1&amp;" (2)",""))&lt;lenb($Z810),2,IF(lenb(SUBSTITUTE($Z810,W$1&amp;" (3)",""))&lt;lenb($Z810),3,IF(lenb(SUBSTITUTE($Z810,W$1&amp;" (4)",""))&lt;lenb($Z810),4,IF(lenb(SUBSTITUTE($Z810,W$1&amp;" (5)",""))&lt;lenb($Z810),5,IF(lenb(SUBSTITUTE($Z810,W$1&amp;" (6)",""))&lt;lenb($Z810),6,IF(lenb(SUBSTITUTE($Z810,W$1&amp;" (7)",""))&lt;lenb($Z810),1,IF(lenb(SUBSTITUTE($Z810,W$1&amp;" (8)",""))&lt;lenb($Z810),8,IF(lenb(SUBSTITUTE($Z810,W$1&amp;" (9)",""))&lt;lenb($Z810),9,IF(lenb(SUBSTITUTE($Z810,W$1&amp;" (10)",""))&lt;lenb($Z810),10,IF(lenb(SUBSTITUTE($Z810,W$1,""))&lt;lenb($Z810),"ERROR",IF($Z810=$Y$1,"-",0))))))))))))</f>
        <v>0</v>
      </c>
      <c r="X810" s="105">
        <f t="shared" si="815"/>
        <v>0</v>
      </c>
      <c r="Y810" s="105" t="str">
        <f t="shared" si="4"/>
        <v>-</v>
      </c>
      <c r="Z810" s="104" t="s">
        <v>3400</v>
      </c>
      <c r="AA810" s="34">
        <f t="shared" si="5"/>
        <v>1</v>
      </c>
      <c r="AB810" s="34">
        <f>COUNTIFS(Links!B:B,"FSE",Links!C:C,A810,Links!AD:AD,1)</f>
        <v>0</v>
      </c>
      <c r="AC810" s="106" t="s">
        <v>35</v>
      </c>
      <c r="AD810" s="107" t="s">
        <v>35</v>
      </c>
      <c r="AE810" s="104" t="s">
        <v>36</v>
      </c>
      <c r="AF810" s="37" t="s">
        <v>42</v>
      </c>
      <c r="AG810" s="37" t="s">
        <v>42</v>
      </c>
      <c r="AH810" s="37" t="s">
        <v>42</v>
      </c>
      <c r="AI810" s="105" t="str">
        <f t="shared" si="6"/>
        <v>----</v>
      </c>
      <c r="AJ810" s="108" t="str">
        <f t="shared" si="7"/>
        <v>Paper has link but no statement</v>
      </c>
      <c r="AK810" s="109" t="s">
        <v>3401</v>
      </c>
      <c r="AL810" s="110" t="s">
        <v>3402</v>
      </c>
      <c r="AM810" s="40" t="str">
        <f t="shared" si="8"/>
        <v>[FP0096]</v>
      </c>
    </row>
    <row r="811" ht="67.5" customHeight="1">
      <c r="A811" s="41">
        <v>97.0</v>
      </c>
      <c r="B811" s="42" t="s">
        <v>5574</v>
      </c>
      <c r="C811" s="43">
        <v>2023.0</v>
      </c>
      <c r="D811" s="111" t="s">
        <v>35</v>
      </c>
      <c r="E811" s="45" t="s">
        <v>36</v>
      </c>
      <c r="F811" s="45" t="s">
        <v>36</v>
      </c>
      <c r="G811" s="45" t="s">
        <v>36</v>
      </c>
      <c r="H811" s="45" t="s">
        <v>36</v>
      </c>
      <c r="I811" s="45" t="s">
        <v>36</v>
      </c>
      <c r="J811" s="112" t="s">
        <v>36</v>
      </c>
      <c r="K811" s="113" t="s">
        <v>37</v>
      </c>
      <c r="L811" s="114" t="s">
        <v>35</v>
      </c>
      <c r="M811" s="114" t="s">
        <v>35</v>
      </c>
      <c r="N811" s="114" t="s">
        <v>35</v>
      </c>
      <c r="O811" s="114" t="s">
        <v>35</v>
      </c>
      <c r="P811" s="114" t="s">
        <v>35</v>
      </c>
      <c r="Q811" s="114" t="s">
        <v>37</v>
      </c>
      <c r="R811" s="114" t="s">
        <v>35</v>
      </c>
      <c r="S811" s="115" t="s">
        <v>2049</v>
      </c>
      <c r="T811" s="50" t="s">
        <v>5575</v>
      </c>
      <c r="U811" s="50" t="s">
        <v>5575</v>
      </c>
      <c r="V811" s="116">
        <f t="shared" si="2"/>
        <v>1</v>
      </c>
      <c r="W811" s="116">
        <f t="shared" ref="W811:X811" si="816">IF(lenb(SUBSTITUTE($Z811,W$1&amp;" (1)",""))&lt;lenb($Z811),1,IF(lenb(SUBSTITUTE($Z811,W$1&amp;" (2)",""))&lt;lenb($Z811),2,IF(lenb(SUBSTITUTE($Z811,W$1&amp;" (3)",""))&lt;lenb($Z811),3,IF(lenb(SUBSTITUTE($Z811,W$1&amp;" (4)",""))&lt;lenb($Z811),4,IF(lenb(SUBSTITUTE($Z811,W$1&amp;" (5)",""))&lt;lenb($Z811),5,IF(lenb(SUBSTITUTE($Z811,W$1&amp;" (6)",""))&lt;lenb($Z811),6,IF(lenb(SUBSTITUTE($Z811,W$1&amp;" (7)",""))&lt;lenb($Z811),1,IF(lenb(SUBSTITUTE($Z811,W$1&amp;" (8)",""))&lt;lenb($Z811),8,IF(lenb(SUBSTITUTE($Z811,W$1&amp;" (9)",""))&lt;lenb($Z811),9,IF(lenb(SUBSTITUTE($Z811,W$1&amp;" (10)",""))&lt;lenb($Z811),10,IF(lenb(SUBSTITUTE($Z811,W$1,""))&lt;lenb($Z811),"ERROR",IF($Z811=$Y$1,"-",0))))))))))))</f>
        <v>0</v>
      </c>
      <c r="X811" s="116">
        <f t="shared" si="816"/>
        <v>0</v>
      </c>
      <c r="Y811" s="116" t="str">
        <f t="shared" si="4"/>
        <v>-</v>
      </c>
      <c r="Z811" s="115" t="s">
        <v>3400</v>
      </c>
      <c r="AA811" s="54">
        <f t="shared" si="5"/>
        <v>1</v>
      </c>
      <c r="AB811" s="54">
        <f>COUNTIFS(Links!B:B,"FSE",Links!C:C,A811,Links!AD:AD,1)</f>
        <v>0</v>
      </c>
      <c r="AC811" s="117" t="s">
        <v>35</v>
      </c>
      <c r="AD811" s="118" t="s">
        <v>35</v>
      </c>
      <c r="AE811" s="115" t="s">
        <v>36</v>
      </c>
      <c r="AF811" s="57" t="s">
        <v>42</v>
      </c>
      <c r="AG811" s="57" t="s">
        <v>42</v>
      </c>
      <c r="AH811" s="57" t="s">
        <v>42</v>
      </c>
      <c r="AI811" s="116" t="str">
        <f t="shared" si="6"/>
        <v>----</v>
      </c>
      <c r="AJ811" s="119" t="str">
        <f t="shared" si="7"/>
        <v>Paper has link but no statement</v>
      </c>
      <c r="AK811" s="120" t="s">
        <v>3401</v>
      </c>
      <c r="AL811" s="121" t="s">
        <v>3402</v>
      </c>
      <c r="AM811" s="60" t="str">
        <f t="shared" si="8"/>
        <v>[FP0097]</v>
      </c>
    </row>
    <row r="812" ht="67.5" customHeight="1">
      <c r="A812" s="61">
        <v>98.0</v>
      </c>
      <c r="B812" s="22" t="s">
        <v>5576</v>
      </c>
      <c r="C812" s="23">
        <v>2023.0</v>
      </c>
      <c r="D812" s="100" t="s">
        <v>35</v>
      </c>
      <c r="E812" s="25" t="s">
        <v>36</v>
      </c>
      <c r="F812" s="25" t="s">
        <v>36</v>
      </c>
      <c r="G812" s="25" t="s">
        <v>36</v>
      </c>
      <c r="H812" s="25" t="s">
        <v>36</v>
      </c>
      <c r="I812" s="25" t="s">
        <v>36</v>
      </c>
      <c r="J812" s="101" t="s">
        <v>36</v>
      </c>
      <c r="K812" s="102" t="s">
        <v>37</v>
      </c>
      <c r="L812" s="103" t="s">
        <v>35</v>
      </c>
      <c r="M812" s="103" t="s">
        <v>37</v>
      </c>
      <c r="N812" s="103" t="s">
        <v>35</v>
      </c>
      <c r="O812" s="103" t="s">
        <v>35</v>
      </c>
      <c r="P812" s="103" t="s">
        <v>35</v>
      </c>
      <c r="Q812" s="103" t="s">
        <v>37</v>
      </c>
      <c r="R812" s="103" t="s">
        <v>35</v>
      </c>
      <c r="S812" s="104" t="s">
        <v>5577</v>
      </c>
      <c r="T812" s="30" t="s">
        <v>5578</v>
      </c>
      <c r="U812" s="30" t="s">
        <v>5578</v>
      </c>
      <c r="V812" s="105">
        <f t="shared" si="2"/>
        <v>1</v>
      </c>
      <c r="W812" s="105">
        <f t="shared" ref="W812:X812" si="817">IF(lenb(SUBSTITUTE($Z812,W$1&amp;" (1)",""))&lt;lenb($Z812),1,IF(lenb(SUBSTITUTE($Z812,W$1&amp;" (2)",""))&lt;lenb($Z812),2,IF(lenb(SUBSTITUTE($Z812,W$1&amp;" (3)",""))&lt;lenb($Z812),3,IF(lenb(SUBSTITUTE($Z812,W$1&amp;" (4)",""))&lt;lenb($Z812),4,IF(lenb(SUBSTITUTE($Z812,W$1&amp;" (5)",""))&lt;lenb($Z812),5,IF(lenb(SUBSTITUTE($Z812,W$1&amp;" (6)",""))&lt;lenb($Z812),6,IF(lenb(SUBSTITUTE($Z812,W$1&amp;" (7)",""))&lt;lenb($Z812),1,IF(lenb(SUBSTITUTE($Z812,W$1&amp;" (8)",""))&lt;lenb($Z812),8,IF(lenb(SUBSTITUTE($Z812,W$1&amp;" (9)",""))&lt;lenb($Z812),9,IF(lenb(SUBSTITUTE($Z812,W$1&amp;" (10)",""))&lt;lenb($Z812),10,IF(lenb(SUBSTITUTE($Z812,W$1,""))&lt;lenb($Z812),"ERROR",IF($Z812=$Y$1,"-",0))))))))))))</f>
        <v>0</v>
      </c>
      <c r="X812" s="105">
        <f t="shared" si="817"/>
        <v>0</v>
      </c>
      <c r="Y812" s="105" t="str">
        <f t="shared" si="4"/>
        <v>-</v>
      </c>
      <c r="Z812" s="104" t="s">
        <v>3400</v>
      </c>
      <c r="AA812" s="34">
        <f t="shared" si="5"/>
        <v>1</v>
      </c>
      <c r="AB812" s="34">
        <f>COUNTIFS(Links!B:B,"FSE",Links!C:C,A812,Links!AD:AD,1)</f>
        <v>0</v>
      </c>
      <c r="AC812" s="106" t="s">
        <v>35</v>
      </c>
      <c r="AD812" s="107" t="s">
        <v>35</v>
      </c>
      <c r="AE812" s="104" t="s">
        <v>36</v>
      </c>
      <c r="AF812" s="37" t="s">
        <v>42</v>
      </c>
      <c r="AG812" s="37" t="s">
        <v>42</v>
      </c>
      <c r="AH812" s="37" t="s">
        <v>42</v>
      </c>
      <c r="AI812" s="105" t="str">
        <f t="shared" si="6"/>
        <v>----</v>
      </c>
      <c r="AJ812" s="108" t="str">
        <f t="shared" si="7"/>
        <v>Paper has link but no statement</v>
      </c>
      <c r="AK812" s="109" t="s">
        <v>3401</v>
      </c>
      <c r="AL812" s="110" t="s">
        <v>3402</v>
      </c>
      <c r="AM812" s="40" t="str">
        <f t="shared" si="8"/>
        <v>[FP0098]</v>
      </c>
    </row>
    <row r="813" ht="67.5" customHeight="1">
      <c r="A813" s="41">
        <v>99.0</v>
      </c>
      <c r="B813" s="42" t="s">
        <v>5579</v>
      </c>
      <c r="C813" s="43">
        <v>2023.0</v>
      </c>
      <c r="D813" s="111" t="s">
        <v>35</v>
      </c>
      <c r="E813" s="45" t="s">
        <v>36</v>
      </c>
      <c r="F813" s="45" t="s">
        <v>36</v>
      </c>
      <c r="G813" s="45" t="s">
        <v>36</v>
      </c>
      <c r="H813" s="45" t="s">
        <v>36</v>
      </c>
      <c r="I813" s="45" t="s">
        <v>36</v>
      </c>
      <c r="J813" s="112" t="s">
        <v>36</v>
      </c>
      <c r="K813" s="113" t="s">
        <v>37</v>
      </c>
      <c r="L813" s="114" t="s">
        <v>35</v>
      </c>
      <c r="M813" s="114" t="s">
        <v>37</v>
      </c>
      <c r="N813" s="114" t="s">
        <v>37</v>
      </c>
      <c r="O813" s="114" t="s">
        <v>35</v>
      </c>
      <c r="P813" s="114" t="s">
        <v>35</v>
      </c>
      <c r="Q813" s="114" t="s">
        <v>37</v>
      </c>
      <c r="R813" s="114" t="s">
        <v>37</v>
      </c>
      <c r="S813" s="115" t="s">
        <v>5580</v>
      </c>
      <c r="T813" s="50" t="s">
        <v>5581</v>
      </c>
      <c r="U813" s="50" t="s">
        <v>5582</v>
      </c>
      <c r="V813" s="116">
        <f t="shared" si="2"/>
        <v>3</v>
      </c>
      <c r="W813" s="116">
        <f t="shared" ref="W813:X813" si="818">IF(lenb(SUBSTITUTE($Z813,W$1&amp;" (1)",""))&lt;lenb($Z813),1,IF(lenb(SUBSTITUTE($Z813,W$1&amp;" (2)",""))&lt;lenb($Z813),2,IF(lenb(SUBSTITUTE($Z813,W$1&amp;" (3)",""))&lt;lenb($Z813),3,IF(lenb(SUBSTITUTE($Z813,W$1&amp;" (4)",""))&lt;lenb($Z813),4,IF(lenb(SUBSTITUTE($Z813,W$1&amp;" (5)",""))&lt;lenb($Z813),5,IF(lenb(SUBSTITUTE($Z813,W$1&amp;" (6)",""))&lt;lenb($Z813),6,IF(lenb(SUBSTITUTE($Z813,W$1&amp;" (7)",""))&lt;lenb($Z813),1,IF(lenb(SUBSTITUTE($Z813,W$1&amp;" (8)",""))&lt;lenb($Z813),8,IF(lenb(SUBSTITUTE($Z813,W$1&amp;" (9)",""))&lt;lenb($Z813),9,IF(lenb(SUBSTITUTE($Z813,W$1&amp;" (10)",""))&lt;lenb($Z813),10,IF(lenb(SUBSTITUTE($Z813,W$1,""))&lt;lenb($Z813),"ERROR",IF($Z813=$Y$1,"-",0))))))))))))</f>
        <v>0</v>
      </c>
      <c r="X813" s="116">
        <f t="shared" si="818"/>
        <v>0</v>
      </c>
      <c r="Y813" s="116" t="str">
        <f t="shared" si="4"/>
        <v>-</v>
      </c>
      <c r="Z813" s="115" t="s">
        <v>3741</v>
      </c>
      <c r="AA813" s="54">
        <f t="shared" si="5"/>
        <v>3</v>
      </c>
      <c r="AB813" s="54">
        <f>COUNTIFS(Links!B:B,"FSE",Links!C:C,A813,Links!AD:AD,1)</f>
        <v>0</v>
      </c>
      <c r="AC813" s="117" t="s">
        <v>35</v>
      </c>
      <c r="AD813" s="118" t="s">
        <v>35</v>
      </c>
      <c r="AE813" s="115" t="s">
        <v>36</v>
      </c>
      <c r="AF813" s="57" t="s">
        <v>42</v>
      </c>
      <c r="AG813" s="57" t="s">
        <v>42</v>
      </c>
      <c r="AH813" s="57" t="s">
        <v>42</v>
      </c>
      <c r="AI813" s="116" t="str">
        <f t="shared" si="6"/>
        <v>----</v>
      </c>
      <c r="AJ813" s="119" t="str">
        <f t="shared" si="7"/>
        <v>Paper has link but no statement</v>
      </c>
      <c r="AK813" s="120" t="s">
        <v>3401</v>
      </c>
      <c r="AL813" s="121" t="s">
        <v>3402</v>
      </c>
      <c r="AM813" s="60" t="str">
        <f t="shared" si="8"/>
        <v>[FP0099]</v>
      </c>
    </row>
    <row r="814" ht="67.5" customHeight="1">
      <c r="A814" s="61">
        <v>100.0</v>
      </c>
      <c r="B814" s="22" t="s">
        <v>5583</v>
      </c>
      <c r="C814" s="23">
        <v>2023.0</v>
      </c>
      <c r="D814" s="100" t="s">
        <v>37</v>
      </c>
      <c r="E814" s="25" t="s">
        <v>37</v>
      </c>
      <c r="F814" s="25" t="s">
        <v>35</v>
      </c>
      <c r="G814" s="25" t="s">
        <v>35</v>
      </c>
      <c r="H814" s="25" t="s">
        <v>35</v>
      </c>
      <c r="I814" s="25" t="s">
        <v>35</v>
      </c>
      <c r="J814" s="101" t="s">
        <v>36</v>
      </c>
      <c r="K814" s="102" t="s">
        <v>37</v>
      </c>
      <c r="L814" s="103" t="s">
        <v>35</v>
      </c>
      <c r="M814" s="103" t="s">
        <v>37</v>
      </c>
      <c r="N814" s="103" t="s">
        <v>35</v>
      </c>
      <c r="O814" s="103" t="s">
        <v>35</v>
      </c>
      <c r="P814" s="103" t="s">
        <v>35</v>
      </c>
      <c r="Q814" s="103" t="s">
        <v>37</v>
      </c>
      <c r="R814" s="103" t="s">
        <v>37</v>
      </c>
      <c r="S814" s="104" t="s">
        <v>5584</v>
      </c>
      <c r="T814" s="30" t="s">
        <v>5585</v>
      </c>
      <c r="U814" s="30" t="s">
        <v>5585</v>
      </c>
      <c r="V814" s="105">
        <f t="shared" si="2"/>
        <v>1</v>
      </c>
      <c r="W814" s="105">
        <f t="shared" ref="W814:X814" si="819">IF(lenb(SUBSTITUTE($Z814,W$1&amp;" (1)",""))&lt;lenb($Z814),1,IF(lenb(SUBSTITUTE($Z814,W$1&amp;" (2)",""))&lt;lenb($Z814),2,IF(lenb(SUBSTITUTE($Z814,W$1&amp;" (3)",""))&lt;lenb($Z814),3,IF(lenb(SUBSTITUTE($Z814,W$1&amp;" (4)",""))&lt;lenb($Z814),4,IF(lenb(SUBSTITUTE($Z814,W$1&amp;" (5)",""))&lt;lenb($Z814),5,IF(lenb(SUBSTITUTE($Z814,W$1&amp;" (6)",""))&lt;lenb($Z814),6,IF(lenb(SUBSTITUTE($Z814,W$1&amp;" (7)",""))&lt;lenb($Z814),1,IF(lenb(SUBSTITUTE($Z814,W$1&amp;" (8)",""))&lt;lenb($Z814),8,IF(lenb(SUBSTITUTE($Z814,W$1&amp;" (9)",""))&lt;lenb($Z814),9,IF(lenb(SUBSTITUTE($Z814,W$1&amp;" (10)",""))&lt;lenb($Z814),10,IF(lenb(SUBSTITUTE($Z814,W$1,""))&lt;lenb($Z814),"ERROR",IF($Z814=$Y$1,"-",0))))))))))))</f>
        <v>0</v>
      </c>
      <c r="X814" s="105">
        <f t="shared" si="819"/>
        <v>0</v>
      </c>
      <c r="Y814" s="105" t="str">
        <f t="shared" si="4"/>
        <v>-</v>
      </c>
      <c r="Z814" s="104" t="s">
        <v>3400</v>
      </c>
      <c r="AA814" s="34">
        <f t="shared" si="5"/>
        <v>1</v>
      </c>
      <c r="AB814" s="34">
        <f>COUNTIFS(Links!B:B,"FSE",Links!C:C,A814,Links!AD:AD,1)</f>
        <v>0</v>
      </c>
      <c r="AC814" s="106" t="s">
        <v>37</v>
      </c>
      <c r="AD814" s="107" t="s">
        <v>37</v>
      </c>
      <c r="AE814" s="128" t="s">
        <v>5586</v>
      </c>
      <c r="AF814" s="37" t="s">
        <v>223</v>
      </c>
      <c r="AG814" s="37" t="s">
        <v>42</v>
      </c>
      <c r="AH814" s="37" t="s">
        <v>42</v>
      </c>
      <c r="AI814" s="105" t="str">
        <f t="shared" si="6"/>
        <v>Barriers (Agreements and legal rights)</v>
      </c>
      <c r="AJ814" s="108" t="str">
        <f t="shared" si="7"/>
        <v>Paper has link and statement</v>
      </c>
      <c r="AK814" s="109" t="s">
        <v>3401</v>
      </c>
      <c r="AL814" s="110" t="s">
        <v>3402</v>
      </c>
      <c r="AM814" s="40" t="str">
        <f t="shared" si="8"/>
        <v>[FP0100]</v>
      </c>
    </row>
    <row r="815" ht="67.5" customHeight="1">
      <c r="A815" s="41">
        <v>101.0</v>
      </c>
      <c r="B815" s="42" t="s">
        <v>5587</v>
      </c>
      <c r="C815" s="43">
        <v>2023.0</v>
      </c>
      <c r="D815" s="111" t="s">
        <v>35</v>
      </c>
      <c r="E815" s="45" t="s">
        <v>36</v>
      </c>
      <c r="F815" s="45" t="s">
        <v>36</v>
      </c>
      <c r="G815" s="45" t="s">
        <v>36</v>
      </c>
      <c r="H815" s="45" t="s">
        <v>36</v>
      </c>
      <c r="I815" s="45" t="s">
        <v>36</v>
      </c>
      <c r="J815" s="112" t="s">
        <v>36</v>
      </c>
      <c r="K815" s="113" t="s">
        <v>37</v>
      </c>
      <c r="L815" s="114" t="s">
        <v>35</v>
      </c>
      <c r="M815" s="114" t="s">
        <v>37</v>
      </c>
      <c r="N815" s="114" t="s">
        <v>35</v>
      </c>
      <c r="O815" s="114" t="s">
        <v>35</v>
      </c>
      <c r="P815" s="114" t="s">
        <v>35</v>
      </c>
      <c r="Q815" s="114" t="s">
        <v>37</v>
      </c>
      <c r="R815" s="114" t="s">
        <v>35</v>
      </c>
      <c r="S815" s="115" t="s">
        <v>5020</v>
      </c>
      <c r="T815" s="50" t="s">
        <v>5588</v>
      </c>
      <c r="U815" s="50" t="s">
        <v>5588</v>
      </c>
      <c r="V815" s="116">
        <f t="shared" si="2"/>
        <v>1</v>
      </c>
      <c r="W815" s="116">
        <f t="shared" ref="W815:X815" si="820">IF(lenb(SUBSTITUTE($Z815,W$1&amp;" (1)",""))&lt;lenb($Z815),1,IF(lenb(SUBSTITUTE($Z815,W$1&amp;" (2)",""))&lt;lenb($Z815),2,IF(lenb(SUBSTITUTE($Z815,W$1&amp;" (3)",""))&lt;lenb($Z815),3,IF(lenb(SUBSTITUTE($Z815,W$1&amp;" (4)",""))&lt;lenb($Z815),4,IF(lenb(SUBSTITUTE($Z815,W$1&amp;" (5)",""))&lt;lenb($Z815),5,IF(lenb(SUBSTITUTE($Z815,W$1&amp;" (6)",""))&lt;lenb($Z815),6,IF(lenb(SUBSTITUTE($Z815,W$1&amp;" (7)",""))&lt;lenb($Z815),1,IF(lenb(SUBSTITUTE($Z815,W$1&amp;" (8)",""))&lt;lenb($Z815),8,IF(lenb(SUBSTITUTE($Z815,W$1&amp;" (9)",""))&lt;lenb($Z815),9,IF(lenb(SUBSTITUTE($Z815,W$1&amp;" (10)",""))&lt;lenb($Z815),10,IF(lenb(SUBSTITUTE($Z815,W$1,""))&lt;lenb($Z815),"ERROR",IF($Z815=$Y$1,"-",0))))))))))))</f>
        <v>0</v>
      </c>
      <c r="X815" s="116">
        <f t="shared" si="820"/>
        <v>0</v>
      </c>
      <c r="Y815" s="116" t="str">
        <f t="shared" si="4"/>
        <v>-</v>
      </c>
      <c r="Z815" s="48" t="s">
        <v>3400</v>
      </c>
      <c r="AA815" s="54">
        <f t="shared" si="5"/>
        <v>1</v>
      </c>
      <c r="AB815" s="54">
        <f>COUNTIFS(Links!B:B,"FSE",Links!C:C,A815,Links!AD:AD,1)</f>
        <v>0</v>
      </c>
      <c r="AC815" s="117" t="s">
        <v>37</v>
      </c>
      <c r="AD815" s="118" t="s">
        <v>35</v>
      </c>
      <c r="AE815" s="115" t="s">
        <v>36</v>
      </c>
      <c r="AF815" s="57" t="s">
        <v>42</v>
      </c>
      <c r="AG815" s="57" t="s">
        <v>42</v>
      </c>
      <c r="AH815" s="57" t="s">
        <v>42</v>
      </c>
      <c r="AI815" s="116" t="str">
        <f t="shared" si="6"/>
        <v>----</v>
      </c>
      <c r="AJ815" s="119" t="str">
        <f t="shared" si="7"/>
        <v>Paper has link but no statement</v>
      </c>
      <c r="AK815" s="120" t="s">
        <v>3401</v>
      </c>
      <c r="AL815" s="121" t="s">
        <v>3402</v>
      </c>
      <c r="AM815" s="60" t="str">
        <f t="shared" si="8"/>
        <v>[FP0101]</v>
      </c>
    </row>
    <row r="816" ht="67.5" customHeight="1">
      <c r="A816" s="61">
        <v>102.0</v>
      </c>
      <c r="B816" s="22" t="s">
        <v>5589</v>
      </c>
      <c r="C816" s="23">
        <v>2023.0</v>
      </c>
      <c r="D816" s="100" t="s">
        <v>35</v>
      </c>
      <c r="E816" s="25" t="s">
        <v>36</v>
      </c>
      <c r="F816" s="25" t="s">
        <v>36</v>
      </c>
      <c r="G816" s="25" t="s">
        <v>36</v>
      </c>
      <c r="H816" s="25" t="s">
        <v>36</v>
      </c>
      <c r="I816" s="25" t="s">
        <v>36</v>
      </c>
      <c r="J816" s="101" t="s">
        <v>36</v>
      </c>
      <c r="K816" s="102" t="s">
        <v>35</v>
      </c>
      <c r="L816" s="103" t="s">
        <v>36</v>
      </c>
      <c r="M816" s="103" t="s">
        <v>36</v>
      </c>
      <c r="N816" s="103" t="s">
        <v>36</v>
      </c>
      <c r="O816" s="103" t="s">
        <v>36</v>
      </c>
      <c r="P816" s="103" t="s">
        <v>36</v>
      </c>
      <c r="Q816" s="103" t="s">
        <v>36</v>
      </c>
      <c r="R816" s="103" t="s">
        <v>36</v>
      </c>
      <c r="S816" s="104" t="s">
        <v>42</v>
      </c>
      <c r="T816" s="30" t="s">
        <v>36</v>
      </c>
      <c r="U816" s="30" t="s">
        <v>36</v>
      </c>
      <c r="V816" s="105" t="str">
        <f t="shared" si="2"/>
        <v>-</v>
      </c>
      <c r="W816" s="105" t="str">
        <f t="shared" ref="W816:X816" si="821">IF(lenb(SUBSTITUTE($Z816,W$1&amp;" (1)",""))&lt;lenb($Z816),1,IF(lenb(SUBSTITUTE($Z816,W$1&amp;" (2)",""))&lt;lenb($Z816),2,IF(lenb(SUBSTITUTE($Z816,W$1&amp;" (3)",""))&lt;lenb($Z816),3,IF(lenb(SUBSTITUTE($Z816,W$1&amp;" (4)",""))&lt;lenb($Z816),4,IF(lenb(SUBSTITUTE($Z816,W$1&amp;" (5)",""))&lt;lenb($Z816),5,IF(lenb(SUBSTITUTE($Z816,W$1&amp;" (6)",""))&lt;lenb($Z816),6,IF(lenb(SUBSTITUTE($Z816,W$1&amp;" (7)",""))&lt;lenb($Z816),1,IF(lenb(SUBSTITUTE($Z816,W$1&amp;" (8)",""))&lt;lenb($Z816),8,IF(lenb(SUBSTITUTE($Z816,W$1&amp;" (9)",""))&lt;lenb($Z816),9,IF(lenb(SUBSTITUTE($Z816,W$1&amp;" (10)",""))&lt;lenb($Z816),10,IF(lenb(SUBSTITUTE($Z816,W$1,""))&lt;lenb($Z816),"ERROR",IF($Z816=$Y$1,"-",0))))))))))))</f>
        <v>-</v>
      </c>
      <c r="X816" s="105" t="str">
        <f t="shared" si="821"/>
        <v>-</v>
      </c>
      <c r="Y816" s="105">
        <f t="shared" si="4"/>
        <v>1</v>
      </c>
      <c r="Z816" s="104" t="s">
        <v>23</v>
      </c>
      <c r="AA816" s="34">
        <f t="shared" si="5"/>
        <v>0</v>
      </c>
      <c r="AB816" s="34">
        <f>COUNTIFS(Links!B:B,"FSE",Links!C:C,A816,Links!AD:AD,1)</f>
        <v>0</v>
      </c>
      <c r="AC816" s="106" t="s">
        <v>36</v>
      </c>
      <c r="AD816" s="107" t="s">
        <v>35</v>
      </c>
      <c r="AE816" s="104" t="s">
        <v>36</v>
      </c>
      <c r="AF816" s="37" t="s">
        <v>42</v>
      </c>
      <c r="AG816" s="37" t="s">
        <v>42</v>
      </c>
      <c r="AH816" s="37" t="s">
        <v>42</v>
      </c>
      <c r="AI816" s="105" t="str">
        <f t="shared" si="6"/>
        <v>----</v>
      </c>
      <c r="AJ816" s="108" t="str">
        <f t="shared" si="7"/>
        <v>Paper has no link and no statement</v>
      </c>
      <c r="AK816" s="109" t="s">
        <v>3401</v>
      </c>
      <c r="AL816" s="110" t="s">
        <v>3402</v>
      </c>
      <c r="AM816" s="40" t="str">
        <f t="shared" si="8"/>
        <v>[FP0102]</v>
      </c>
    </row>
    <row r="817" ht="67.5" customHeight="1">
      <c r="A817" s="41">
        <v>103.0</v>
      </c>
      <c r="B817" s="42" t="s">
        <v>5590</v>
      </c>
      <c r="C817" s="43">
        <v>2023.0</v>
      </c>
      <c r="D817" s="111" t="s">
        <v>37</v>
      </c>
      <c r="E817" s="45" t="s">
        <v>37</v>
      </c>
      <c r="F817" s="45" t="s">
        <v>35</v>
      </c>
      <c r="G817" s="45" t="s">
        <v>35</v>
      </c>
      <c r="H817" s="45" t="s">
        <v>35</v>
      </c>
      <c r="I817" s="45" t="s">
        <v>35</v>
      </c>
      <c r="J817" s="112" t="s">
        <v>36</v>
      </c>
      <c r="K817" s="113" t="s">
        <v>37</v>
      </c>
      <c r="L817" s="114" t="s">
        <v>35</v>
      </c>
      <c r="M817" s="114" t="s">
        <v>37</v>
      </c>
      <c r="N817" s="114" t="s">
        <v>37</v>
      </c>
      <c r="O817" s="114" t="s">
        <v>35</v>
      </c>
      <c r="P817" s="114" t="s">
        <v>35</v>
      </c>
      <c r="Q817" s="114" t="s">
        <v>37</v>
      </c>
      <c r="R817" s="114" t="s">
        <v>35</v>
      </c>
      <c r="S817" s="115" t="s">
        <v>5591</v>
      </c>
      <c r="T817" s="50" t="s">
        <v>5592</v>
      </c>
      <c r="U817" s="50" t="s">
        <v>5592</v>
      </c>
      <c r="V817" s="116">
        <f t="shared" si="2"/>
        <v>1</v>
      </c>
      <c r="W817" s="116">
        <f t="shared" ref="W817:X817" si="822">IF(lenb(SUBSTITUTE($Z817,W$1&amp;" (1)",""))&lt;lenb($Z817),1,IF(lenb(SUBSTITUTE($Z817,W$1&amp;" (2)",""))&lt;lenb($Z817),2,IF(lenb(SUBSTITUTE($Z817,W$1&amp;" (3)",""))&lt;lenb($Z817),3,IF(lenb(SUBSTITUTE($Z817,W$1&amp;" (4)",""))&lt;lenb($Z817),4,IF(lenb(SUBSTITUTE($Z817,W$1&amp;" (5)",""))&lt;lenb($Z817),5,IF(lenb(SUBSTITUTE($Z817,W$1&amp;" (6)",""))&lt;lenb($Z817),6,IF(lenb(SUBSTITUTE($Z817,W$1&amp;" (7)",""))&lt;lenb($Z817),1,IF(lenb(SUBSTITUTE($Z817,W$1&amp;" (8)",""))&lt;lenb($Z817),8,IF(lenb(SUBSTITUTE($Z817,W$1&amp;" (9)",""))&lt;lenb($Z817),9,IF(lenb(SUBSTITUTE($Z817,W$1&amp;" (10)",""))&lt;lenb($Z817),10,IF(lenb(SUBSTITUTE($Z817,W$1,""))&lt;lenb($Z817),"ERROR",IF($Z817=$Y$1,"-",0))))))))))))</f>
        <v>0</v>
      </c>
      <c r="X817" s="116">
        <f t="shared" si="822"/>
        <v>0</v>
      </c>
      <c r="Y817" s="116" t="str">
        <f t="shared" si="4"/>
        <v>-</v>
      </c>
      <c r="Z817" s="48" t="s">
        <v>3400</v>
      </c>
      <c r="AA817" s="54">
        <f t="shared" si="5"/>
        <v>1</v>
      </c>
      <c r="AB817" s="54">
        <f>COUNTIFS(Links!B:B,"FSE",Links!C:C,A817,Links!AD:AD,1)</f>
        <v>0</v>
      </c>
      <c r="AC817" s="117" t="s">
        <v>37</v>
      </c>
      <c r="AD817" s="118" t="s">
        <v>35</v>
      </c>
      <c r="AE817" s="115" t="s">
        <v>36</v>
      </c>
      <c r="AF817" s="57" t="s">
        <v>42</v>
      </c>
      <c r="AG817" s="57" t="s">
        <v>42</v>
      </c>
      <c r="AH817" s="57" t="s">
        <v>42</v>
      </c>
      <c r="AI817" s="116" t="str">
        <f t="shared" si="6"/>
        <v>----</v>
      </c>
      <c r="AJ817" s="119" t="str">
        <f t="shared" si="7"/>
        <v>Paper has link but no statement</v>
      </c>
      <c r="AK817" s="120" t="s">
        <v>3401</v>
      </c>
      <c r="AL817" s="121" t="s">
        <v>3402</v>
      </c>
      <c r="AM817" s="60" t="str">
        <f t="shared" si="8"/>
        <v>[FP0103]</v>
      </c>
    </row>
    <row r="818" ht="67.5" customHeight="1">
      <c r="A818" s="61">
        <v>104.0</v>
      </c>
      <c r="B818" s="22" t="s">
        <v>5593</v>
      </c>
      <c r="C818" s="23">
        <v>2023.0</v>
      </c>
      <c r="D818" s="100" t="s">
        <v>35</v>
      </c>
      <c r="E818" s="25" t="s">
        <v>36</v>
      </c>
      <c r="F818" s="25" t="s">
        <v>36</v>
      </c>
      <c r="G818" s="25" t="s">
        <v>36</v>
      </c>
      <c r="H818" s="25" t="s">
        <v>36</v>
      </c>
      <c r="I818" s="25" t="s">
        <v>36</v>
      </c>
      <c r="J818" s="101" t="s">
        <v>36</v>
      </c>
      <c r="K818" s="102" t="s">
        <v>37</v>
      </c>
      <c r="L818" s="103" t="s">
        <v>35</v>
      </c>
      <c r="M818" s="103" t="s">
        <v>35</v>
      </c>
      <c r="N818" s="103" t="s">
        <v>37</v>
      </c>
      <c r="O818" s="103" t="s">
        <v>37</v>
      </c>
      <c r="P818" s="103" t="s">
        <v>35</v>
      </c>
      <c r="Q818" s="103" t="s">
        <v>37</v>
      </c>
      <c r="R818" s="103" t="s">
        <v>35</v>
      </c>
      <c r="S818" s="104" t="s">
        <v>5594</v>
      </c>
      <c r="T818" s="30" t="s">
        <v>5595</v>
      </c>
      <c r="U818" s="30" t="s">
        <v>5595</v>
      </c>
      <c r="V818" s="105">
        <f t="shared" si="2"/>
        <v>0</v>
      </c>
      <c r="W818" s="105">
        <f t="shared" ref="W818:X818" si="823">IF(lenb(SUBSTITUTE($Z818,W$1&amp;" (1)",""))&lt;lenb($Z818),1,IF(lenb(SUBSTITUTE($Z818,W$1&amp;" (2)",""))&lt;lenb($Z818),2,IF(lenb(SUBSTITUTE($Z818,W$1&amp;" (3)",""))&lt;lenb($Z818),3,IF(lenb(SUBSTITUTE($Z818,W$1&amp;" (4)",""))&lt;lenb($Z818),4,IF(lenb(SUBSTITUTE($Z818,W$1&amp;" (5)",""))&lt;lenb($Z818),5,IF(lenb(SUBSTITUTE($Z818,W$1&amp;" (6)",""))&lt;lenb($Z818),6,IF(lenb(SUBSTITUTE($Z818,W$1&amp;" (7)",""))&lt;lenb($Z818),1,IF(lenb(SUBSTITUTE($Z818,W$1&amp;" (8)",""))&lt;lenb($Z818),8,IF(lenb(SUBSTITUTE($Z818,W$1&amp;" (9)",""))&lt;lenb($Z818),9,IF(lenb(SUBSTITUTE($Z818,W$1&amp;" (10)",""))&lt;lenb($Z818),10,IF(lenb(SUBSTITUTE($Z818,W$1,""))&lt;lenb($Z818),"ERROR",IF($Z818=$Y$1,"-",0))))))))))))</f>
        <v>1</v>
      </c>
      <c r="X818" s="105">
        <f t="shared" si="823"/>
        <v>0</v>
      </c>
      <c r="Y818" s="105" t="str">
        <f t="shared" si="4"/>
        <v>-</v>
      </c>
      <c r="Z818" s="104" t="s">
        <v>3423</v>
      </c>
      <c r="AA818" s="34">
        <f t="shared" si="5"/>
        <v>1</v>
      </c>
      <c r="AB818" s="34">
        <f>COUNTIFS(Links!B:B,"FSE",Links!C:C,A818,Links!AD:AD,1)</f>
        <v>0</v>
      </c>
      <c r="AC818" s="106" t="s">
        <v>35</v>
      </c>
      <c r="AD818" s="107" t="s">
        <v>35</v>
      </c>
      <c r="AE818" s="104" t="s">
        <v>36</v>
      </c>
      <c r="AF818" s="37" t="s">
        <v>42</v>
      </c>
      <c r="AG818" s="37" t="s">
        <v>42</v>
      </c>
      <c r="AH818" s="37" t="s">
        <v>42</v>
      </c>
      <c r="AI818" s="105" t="str">
        <f t="shared" si="6"/>
        <v>----</v>
      </c>
      <c r="AJ818" s="108" t="str">
        <f t="shared" si="7"/>
        <v>Paper has link but no statement</v>
      </c>
      <c r="AK818" s="109" t="s">
        <v>3401</v>
      </c>
      <c r="AL818" s="110" t="s">
        <v>3402</v>
      </c>
      <c r="AM818" s="40" t="str">
        <f t="shared" si="8"/>
        <v>[FP0104]</v>
      </c>
    </row>
    <row r="819" ht="67.5" customHeight="1">
      <c r="A819" s="41">
        <v>105.0</v>
      </c>
      <c r="B819" s="42" t="s">
        <v>5596</v>
      </c>
      <c r="C819" s="43">
        <v>2023.0</v>
      </c>
      <c r="D819" s="111" t="s">
        <v>37</v>
      </c>
      <c r="E819" s="45" t="s">
        <v>37</v>
      </c>
      <c r="F819" s="45" t="s">
        <v>37</v>
      </c>
      <c r="G819" s="45" t="s">
        <v>35</v>
      </c>
      <c r="H819" s="45" t="s">
        <v>35</v>
      </c>
      <c r="I819" s="45" t="s">
        <v>35</v>
      </c>
      <c r="J819" s="112" t="s">
        <v>36</v>
      </c>
      <c r="K819" s="113" t="s">
        <v>37</v>
      </c>
      <c r="L819" s="114" t="s">
        <v>35</v>
      </c>
      <c r="M819" s="114" t="s">
        <v>37</v>
      </c>
      <c r="N819" s="114" t="s">
        <v>35</v>
      </c>
      <c r="O819" s="114" t="s">
        <v>35</v>
      </c>
      <c r="P819" s="114" t="s">
        <v>35</v>
      </c>
      <c r="Q819" s="114" t="s">
        <v>37</v>
      </c>
      <c r="R819" s="114" t="s">
        <v>35</v>
      </c>
      <c r="S819" s="115" t="s">
        <v>5597</v>
      </c>
      <c r="T819" s="50" t="s">
        <v>5598</v>
      </c>
      <c r="U819" s="50" t="s">
        <v>5598</v>
      </c>
      <c r="V819" s="116">
        <f t="shared" si="2"/>
        <v>3</v>
      </c>
      <c r="W819" s="116">
        <f t="shared" ref="W819:X819" si="824">IF(lenb(SUBSTITUTE($Z819,W$1&amp;" (1)",""))&lt;lenb($Z819),1,IF(lenb(SUBSTITUTE($Z819,W$1&amp;" (2)",""))&lt;lenb($Z819),2,IF(lenb(SUBSTITUTE($Z819,W$1&amp;" (3)",""))&lt;lenb($Z819),3,IF(lenb(SUBSTITUTE($Z819,W$1&amp;" (4)",""))&lt;lenb($Z819),4,IF(lenb(SUBSTITUTE($Z819,W$1&amp;" (5)",""))&lt;lenb($Z819),5,IF(lenb(SUBSTITUTE($Z819,W$1&amp;" (6)",""))&lt;lenb($Z819),6,IF(lenb(SUBSTITUTE($Z819,W$1&amp;" (7)",""))&lt;lenb($Z819),1,IF(lenb(SUBSTITUTE($Z819,W$1&amp;" (8)",""))&lt;lenb($Z819),8,IF(lenb(SUBSTITUTE($Z819,W$1&amp;" (9)",""))&lt;lenb($Z819),9,IF(lenb(SUBSTITUTE($Z819,W$1&amp;" (10)",""))&lt;lenb($Z819),10,IF(lenb(SUBSTITUTE($Z819,W$1,""))&lt;lenb($Z819),"ERROR",IF($Z819=$Y$1,"-",0))))))))))))</f>
        <v>0</v>
      </c>
      <c r="X819" s="116">
        <f t="shared" si="824"/>
        <v>0</v>
      </c>
      <c r="Y819" s="116" t="str">
        <f t="shared" si="4"/>
        <v>-</v>
      </c>
      <c r="Z819" s="115" t="s">
        <v>3741</v>
      </c>
      <c r="AA819" s="54">
        <f t="shared" si="5"/>
        <v>3</v>
      </c>
      <c r="AB819" s="54">
        <f>COUNTIFS(Links!B:B,"FSE",Links!C:C,A819,Links!AD:AD,1)</f>
        <v>0</v>
      </c>
      <c r="AC819" s="117" t="s">
        <v>37</v>
      </c>
      <c r="AD819" s="118" t="s">
        <v>35</v>
      </c>
      <c r="AE819" s="115" t="s">
        <v>36</v>
      </c>
      <c r="AF819" s="57" t="s">
        <v>42</v>
      </c>
      <c r="AG819" s="57" t="s">
        <v>42</v>
      </c>
      <c r="AH819" s="57" t="s">
        <v>42</v>
      </c>
      <c r="AI819" s="116" t="str">
        <f t="shared" si="6"/>
        <v>----</v>
      </c>
      <c r="AJ819" s="119" t="str">
        <f t="shared" si="7"/>
        <v>Paper has link but no statement</v>
      </c>
      <c r="AK819" s="120" t="s">
        <v>3401</v>
      </c>
      <c r="AL819" s="121" t="s">
        <v>3402</v>
      </c>
      <c r="AM819" s="60" t="str">
        <f t="shared" si="8"/>
        <v>[FP0105]</v>
      </c>
    </row>
    <row r="820" ht="67.5" customHeight="1">
      <c r="A820" s="61">
        <v>106.0</v>
      </c>
      <c r="B820" s="22" t="s">
        <v>5599</v>
      </c>
      <c r="C820" s="23">
        <v>2023.0</v>
      </c>
      <c r="D820" s="100" t="s">
        <v>37</v>
      </c>
      <c r="E820" s="25" t="s">
        <v>37</v>
      </c>
      <c r="F820" s="25" t="s">
        <v>37</v>
      </c>
      <c r="G820" s="25" t="s">
        <v>35</v>
      </c>
      <c r="H820" s="25" t="s">
        <v>35</v>
      </c>
      <c r="I820" s="25" t="s">
        <v>35</v>
      </c>
      <c r="J820" s="101" t="s">
        <v>36</v>
      </c>
      <c r="K820" s="102" t="s">
        <v>37</v>
      </c>
      <c r="L820" s="103" t="s">
        <v>35</v>
      </c>
      <c r="M820" s="103" t="s">
        <v>37</v>
      </c>
      <c r="N820" s="103" t="s">
        <v>37</v>
      </c>
      <c r="O820" s="103" t="s">
        <v>35</v>
      </c>
      <c r="P820" s="103" t="s">
        <v>35</v>
      </c>
      <c r="Q820" s="103" t="s">
        <v>37</v>
      </c>
      <c r="R820" s="103" t="s">
        <v>35</v>
      </c>
      <c r="S820" s="104" t="s">
        <v>5600</v>
      </c>
      <c r="T820" s="30" t="s">
        <v>5601</v>
      </c>
      <c r="U820" s="30" t="s">
        <v>5602</v>
      </c>
      <c r="V820" s="105">
        <f t="shared" si="2"/>
        <v>2</v>
      </c>
      <c r="W820" s="105">
        <f t="shared" ref="W820:X820" si="825">IF(lenb(SUBSTITUTE($Z820,W$1&amp;" (1)",""))&lt;lenb($Z820),1,IF(lenb(SUBSTITUTE($Z820,W$1&amp;" (2)",""))&lt;lenb($Z820),2,IF(lenb(SUBSTITUTE($Z820,W$1&amp;" (3)",""))&lt;lenb($Z820),3,IF(lenb(SUBSTITUTE($Z820,W$1&amp;" (4)",""))&lt;lenb($Z820),4,IF(lenb(SUBSTITUTE($Z820,W$1&amp;" (5)",""))&lt;lenb($Z820),5,IF(lenb(SUBSTITUTE($Z820,W$1&amp;" (6)",""))&lt;lenb($Z820),6,IF(lenb(SUBSTITUTE($Z820,W$1&amp;" (7)",""))&lt;lenb($Z820),1,IF(lenb(SUBSTITUTE($Z820,W$1&amp;" (8)",""))&lt;lenb($Z820),8,IF(lenb(SUBSTITUTE($Z820,W$1&amp;" (9)",""))&lt;lenb($Z820),9,IF(lenb(SUBSTITUTE($Z820,W$1&amp;" (10)",""))&lt;lenb($Z820),10,IF(lenb(SUBSTITUTE($Z820,W$1,""))&lt;lenb($Z820),"ERROR",IF($Z820=$Y$1,"-",0))))))))))))</f>
        <v>0</v>
      </c>
      <c r="X820" s="105">
        <f t="shared" si="825"/>
        <v>0</v>
      </c>
      <c r="Y820" s="105" t="str">
        <f t="shared" si="4"/>
        <v>-</v>
      </c>
      <c r="Z820" s="104" t="s">
        <v>3452</v>
      </c>
      <c r="AA820" s="34">
        <f t="shared" si="5"/>
        <v>2</v>
      </c>
      <c r="AB820" s="34">
        <f>COUNTIFS(Links!B:B,"FSE",Links!C:C,A820,Links!AD:AD,1)</f>
        <v>0</v>
      </c>
      <c r="AC820" s="106" t="s">
        <v>37</v>
      </c>
      <c r="AD820" s="107" t="s">
        <v>35</v>
      </c>
      <c r="AE820" s="104" t="s">
        <v>36</v>
      </c>
      <c r="AF820" s="37" t="s">
        <v>42</v>
      </c>
      <c r="AG820" s="37" t="s">
        <v>42</v>
      </c>
      <c r="AH820" s="37" t="s">
        <v>42</v>
      </c>
      <c r="AI820" s="105" t="str">
        <f t="shared" si="6"/>
        <v>----</v>
      </c>
      <c r="AJ820" s="108" t="str">
        <f t="shared" si="7"/>
        <v>Paper has link but no statement</v>
      </c>
      <c r="AK820" s="109" t="s">
        <v>3401</v>
      </c>
      <c r="AL820" s="110" t="s">
        <v>3402</v>
      </c>
      <c r="AM820" s="40" t="str">
        <f t="shared" si="8"/>
        <v>[FP0106]</v>
      </c>
    </row>
    <row r="821" ht="67.5" customHeight="1">
      <c r="A821" s="41">
        <v>107.0</v>
      </c>
      <c r="B821" s="42" t="s">
        <v>5603</v>
      </c>
      <c r="C821" s="43">
        <v>2023.0</v>
      </c>
      <c r="D821" s="111" t="s">
        <v>37</v>
      </c>
      <c r="E821" s="45" t="s">
        <v>37</v>
      </c>
      <c r="F821" s="45" t="s">
        <v>35</v>
      </c>
      <c r="G821" s="45" t="s">
        <v>37</v>
      </c>
      <c r="H821" s="45" t="s">
        <v>35</v>
      </c>
      <c r="I821" s="45" t="s">
        <v>35</v>
      </c>
      <c r="J821" s="112" t="s">
        <v>36</v>
      </c>
      <c r="K821" s="113" t="s">
        <v>37</v>
      </c>
      <c r="L821" s="114" t="s">
        <v>35</v>
      </c>
      <c r="M821" s="114" t="s">
        <v>35</v>
      </c>
      <c r="N821" s="114" t="s">
        <v>37</v>
      </c>
      <c r="O821" s="114" t="s">
        <v>35</v>
      </c>
      <c r="P821" s="114" t="s">
        <v>35</v>
      </c>
      <c r="Q821" s="114" t="s">
        <v>37</v>
      </c>
      <c r="R821" s="114" t="s">
        <v>35</v>
      </c>
      <c r="S821" s="115" t="s">
        <v>5604</v>
      </c>
      <c r="T821" s="50" t="s">
        <v>5605</v>
      </c>
      <c r="U821" s="50" t="s">
        <v>5605</v>
      </c>
      <c r="V821" s="116">
        <f t="shared" si="2"/>
        <v>1</v>
      </c>
      <c r="W821" s="116">
        <f t="shared" ref="W821:X821" si="826">IF(lenb(SUBSTITUTE($Z821,W$1&amp;" (1)",""))&lt;lenb($Z821),1,IF(lenb(SUBSTITUTE($Z821,W$1&amp;" (2)",""))&lt;lenb($Z821),2,IF(lenb(SUBSTITUTE($Z821,W$1&amp;" (3)",""))&lt;lenb($Z821),3,IF(lenb(SUBSTITUTE($Z821,W$1&amp;" (4)",""))&lt;lenb($Z821),4,IF(lenb(SUBSTITUTE($Z821,W$1&amp;" (5)",""))&lt;lenb($Z821),5,IF(lenb(SUBSTITUTE($Z821,W$1&amp;" (6)",""))&lt;lenb($Z821),6,IF(lenb(SUBSTITUTE($Z821,W$1&amp;" (7)",""))&lt;lenb($Z821),1,IF(lenb(SUBSTITUTE($Z821,W$1&amp;" (8)",""))&lt;lenb($Z821),8,IF(lenb(SUBSTITUTE($Z821,W$1&amp;" (9)",""))&lt;lenb($Z821),9,IF(lenb(SUBSTITUTE($Z821,W$1&amp;" (10)",""))&lt;lenb($Z821),10,IF(lenb(SUBSTITUTE($Z821,W$1,""))&lt;lenb($Z821),"ERROR",IF($Z821=$Y$1,"-",0))))))))))))</f>
        <v>0</v>
      </c>
      <c r="X821" s="116">
        <f t="shared" si="826"/>
        <v>0</v>
      </c>
      <c r="Y821" s="116" t="str">
        <f t="shared" si="4"/>
        <v>-</v>
      </c>
      <c r="Z821" s="48" t="s">
        <v>3400</v>
      </c>
      <c r="AA821" s="54">
        <f t="shared" si="5"/>
        <v>1</v>
      </c>
      <c r="AB821" s="54">
        <f>COUNTIFS(Links!B:B,"FSE",Links!C:C,A821,Links!AD:AD,1)</f>
        <v>0</v>
      </c>
      <c r="AC821" s="117" t="s">
        <v>35</v>
      </c>
      <c r="AD821" s="118" t="s">
        <v>35</v>
      </c>
      <c r="AE821" s="115" t="s">
        <v>36</v>
      </c>
      <c r="AF821" s="57" t="s">
        <v>42</v>
      </c>
      <c r="AG821" s="57" t="s">
        <v>42</v>
      </c>
      <c r="AH821" s="57" t="s">
        <v>42</v>
      </c>
      <c r="AI821" s="116" t="str">
        <f t="shared" si="6"/>
        <v>----</v>
      </c>
      <c r="AJ821" s="119" t="str">
        <f t="shared" si="7"/>
        <v>Paper has link but no statement</v>
      </c>
      <c r="AK821" s="120" t="s">
        <v>3401</v>
      </c>
      <c r="AL821" s="121" t="s">
        <v>3402</v>
      </c>
      <c r="AM821" s="60" t="str">
        <f t="shared" si="8"/>
        <v>[FP0107]</v>
      </c>
    </row>
    <row r="822" ht="67.5" customHeight="1">
      <c r="A822" s="61">
        <v>108.0</v>
      </c>
      <c r="B822" s="22" t="s">
        <v>5606</v>
      </c>
      <c r="C822" s="23">
        <v>2023.0</v>
      </c>
      <c r="D822" s="100" t="s">
        <v>35</v>
      </c>
      <c r="E822" s="25" t="s">
        <v>36</v>
      </c>
      <c r="F822" s="25" t="s">
        <v>36</v>
      </c>
      <c r="G822" s="25" t="s">
        <v>36</v>
      </c>
      <c r="H822" s="25" t="s">
        <v>36</v>
      </c>
      <c r="I822" s="25" t="s">
        <v>36</v>
      </c>
      <c r="J822" s="101" t="s">
        <v>36</v>
      </c>
      <c r="K822" s="102" t="s">
        <v>37</v>
      </c>
      <c r="L822" s="103" t="s">
        <v>35</v>
      </c>
      <c r="M822" s="103" t="s">
        <v>37</v>
      </c>
      <c r="N822" s="103" t="s">
        <v>37</v>
      </c>
      <c r="O822" s="103" t="s">
        <v>35</v>
      </c>
      <c r="P822" s="103" t="s">
        <v>35</v>
      </c>
      <c r="Q822" s="103" t="s">
        <v>35</v>
      </c>
      <c r="R822" s="103" t="s">
        <v>35</v>
      </c>
      <c r="S822" s="104" t="s">
        <v>5607</v>
      </c>
      <c r="T822" s="30" t="s">
        <v>5608</v>
      </c>
      <c r="U822" s="30" t="s">
        <v>5608</v>
      </c>
      <c r="V822" s="105">
        <f t="shared" si="2"/>
        <v>1</v>
      </c>
      <c r="W822" s="105">
        <f t="shared" ref="W822:X822" si="827">IF(lenb(SUBSTITUTE($Z822,W$1&amp;" (1)",""))&lt;lenb($Z822),1,IF(lenb(SUBSTITUTE($Z822,W$1&amp;" (2)",""))&lt;lenb($Z822),2,IF(lenb(SUBSTITUTE($Z822,W$1&amp;" (3)",""))&lt;lenb($Z822),3,IF(lenb(SUBSTITUTE($Z822,W$1&amp;" (4)",""))&lt;lenb($Z822),4,IF(lenb(SUBSTITUTE($Z822,W$1&amp;" (5)",""))&lt;lenb($Z822),5,IF(lenb(SUBSTITUTE($Z822,W$1&amp;" (6)",""))&lt;lenb($Z822),6,IF(lenb(SUBSTITUTE($Z822,W$1&amp;" (7)",""))&lt;lenb($Z822),1,IF(lenb(SUBSTITUTE($Z822,W$1&amp;" (8)",""))&lt;lenb($Z822),8,IF(lenb(SUBSTITUTE($Z822,W$1&amp;" (9)",""))&lt;lenb($Z822),9,IF(lenb(SUBSTITUTE($Z822,W$1&amp;" (10)",""))&lt;lenb($Z822),10,IF(lenb(SUBSTITUTE($Z822,W$1,""))&lt;lenb($Z822),"ERROR",IF($Z822=$Y$1,"-",0))))))))))))</f>
        <v>0</v>
      </c>
      <c r="X822" s="105">
        <f t="shared" si="827"/>
        <v>0</v>
      </c>
      <c r="Y822" s="105" t="str">
        <f t="shared" si="4"/>
        <v>-</v>
      </c>
      <c r="Z822" s="28" t="s">
        <v>3400</v>
      </c>
      <c r="AA822" s="34">
        <f t="shared" si="5"/>
        <v>1</v>
      </c>
      <c r="AB822" s="34">
        <f>COUNTIFS(Links!B:B,"FSE",Links!C:C,A822,Links!AD:AD,1)</f>
        <v>0</v>
      </c>
      <c r="AC822" s="106" t="s">
        <v>35</v>
      </c>
      <c r="AD822" s="107" t="s">
        <v>35</v>
      </c>
      <c r="AE822" s="104" t="s">
        <v>36</v>
      </c>
      <c r="AF822" s="37" t="s">
        <v>42</v>
      </c>
      <c r="AG822" s="37" t="s">
        <v>42</v>
      </c>
      <c r="AH822" s="37" t="s">
        <v>42</v>
      </c>
      <c r="AI822" s="105" t="str">
        <f t="shared" si="6"/>
        <v>----</v>
      </c>
      <c r="AJ822" s="108" t="str">
        <f t="shared" si="7"/>
        <v>Paper has link but no statement</v>
      </c>
      <c r="AK822" s="109" t="s">
        <v>3401</v>
      </c>
      <c r="AL822" s="110" t="s">
        <v>3402</v>
      </c>
      <c r="AM822" s="40" t="str">
        <f t="shared" si="8"/>
        <v>[FP0108]</v>
      </c>
    </row>
    <row r="823" ht="67.5" customHeight="1">
      <c r="A823" s="41">
        <v>109.0</v>
      </c>
      <c r="B823" s="42" t="s">
        <v>5609</v>
      </c>
      <c r="C823" s="43">
        <v>2023.0</v>
      </c>
      <c r="D823" s="111" t="s">
        <v>35</v>
      </c>
      <c r="E823" s="45" t="s">
        <v>36</v>
      </c>
      <c r="F823" s="45" t="s">
        <v>36</v>
      </c>
      <c r="G823" s="45" t="s">
        <v>36</v>
      </c>
      <c r="H823" s="45" t="s">
        <v>36</v>
      </c>
      <c r="I823" s="45" t="s">
        <v>36</v>
      </c>
      <c r="J823" s="112" t="s">
        <v>36</v>
      </c>
      <c r="K823" s="113" t="s">
        <v>37</v>
      </c>
      <c r="L823" s="114" t="s">
        <v>37</v>
      </c>
      <c r="M823" s="114" t="s">
        <v>35</v>
      </c>
      <c r="N823" s="114" t="s">
        <v>35</v>
      </c>
      <c r="O823" s="114" t="s">
        <v>35</v>
      </c>
      <c r="P823" s="114" t="s">
        <v>35</v>
      </c>
      <c r="Q823" s="114" t="s">
        <v>35</v>
      </c>
      <c r="R823" s="114" t="s">
        <v>37</v>
      </c>
      <c r="S823" s="115" t="s">
        <v>5610</v>
      </c>
      <c r="T823" s="50" t="s">
        <v>5611</v>
      </c>
      <c r="U823" s="50" t="s">
        <v>5611</v>
      </c>
      <c r="V823" s="116">
        <f t="shared" si="2"/>
        <v>1</v>
      </c>
      <c r="W823" s="116">
        <f t="shared" ref="W823:X823" si="828">IF(lenb(SUBSTITUTE($Z823,W$1&amp;" (1)",""))&lt;lenb($Z823),1,IF(lenb(SUBSTITUTE($Z823,W$1&amp;" (2)",""))&lt;lenb($Z823),2,IF(lenb(SUBSTITUTE($Z823,W$1&amp;" (3)",""))&lt;lenb($Z823),3,IF(lenb(SUBSTITUTE($Z823,W$1&amp;" (4)",""))&lt;lenb($Z823),4,IF(lenb(SUBSTITUTE($Z823,W$1&amp;" (5)",""))&lt;lenb($Z823),5,IF(lenb(SUBSTITUTE($Z823,W$1&amp;" (6)",""))&lt;lenb($Z823),6,IF(lenb(SUBSTITUTE($Z823,W$1&amp;" (7)",""))&lt;lenb($Z823),1,IF(lenb(SUBSTITUTE($Z823,W$1&amp;" (8)",""))&lt;lenb($Z823),8,IF(lenb(SUBSTITUTE($Z823,W$1&amp;" (9)",""))&lt;lenb($Z823),9,IF(lenb(SUBSTITUTE($Z823,W$1&amp;" (10)",""))&lt;lenb($Z823),10,IF(lenb(SUBSTITUTE($Z823,W$1,""))&lt;lenb($Z823),"ERROR",IF($Z823=$Y$1,"-",0))))))))))))</f>
        <v>0</v>
      </c>
      <c r="X823" s="116">
        <f t="shared" si="828"/>
        <v>0</v>
      </c>
      <c r="Y823" s="116" t="str">
        <f t="shared" si="4"/>
        <v>-</v>
      </c>
      <c r="Z823" s="48" t="s">
        <v>3400</v>
      </c>
      <c r="AA823" s="54">
        <f t="shared" si="5"/>
        <v>1</v>
      </c>
      <c r="AB823" s="54">
        <f>COUNTIFS(Links!B:B,"FSE",Links!C:C,A823,Links!AD:AD,1)</f>
        <v>0</v>
      </c>
      <c r="AC823" s="117" t="s">
        <v>35</v>
      </c>
      <c r="AD823" s="118" t="s">
        <v>35</v>
      </c>
      <c r="AE823" s="115" t="s">
        <v>36</v>
      </c>
      <c r="AF823" s="57" t="s">
        <v>42</v>
      </c>
      <c r="AG823" s="57" t="s">
        <v>42</v>
      </c>
      <c r="AH823" s="57" t="s">
        <v>42</v>
      </c>
      <c r="AI823" s="116" t="str">
        <f t="shared" si="6"/>
        <v>----</v>
      </c>
      <c r="AJ823" s="119" t="str">
        <f t="shared" si="7"/>
        <v>Paper has link but no statement</v>
      </c>
      <c r="AK823" s="120" t="s">
        <v>3401</v>
      </c>
      <c r="AL823" s="121" t="s">
        <v>3402</v>
      </c>
      <c r="AM823" s="60" t="str">
        <f t="shared" si="8"/>
        <v>[FP0109]</v>
      </c>
    </row>
    <row r="824" ht="67.5" customHeight="1">
      <c r="A824" s="61">
        <v>110.0</v>
      </c>
      <c r="B824" s="22" t="s">
        <v>5612</v>
      </c>
      <c r="C824" s="23">
        <v>2023.0</v>
      </c>
      <c r="D824" s="100" t="s">
        <v>37</v>
      </c>
      <c r="E824" s="25" t="s">
        <v>37</v>
      </c>
      <c r="F824" s="25" t="s">
        <v>37</v>
      </c>
      <c r="G824" s="25" t="s">
        <v>35</v>
      </c>
      <c r="H824" s="25" t="s">
        <v>35</v>
      </c>
      <c r="I824" s="25" t="s">
        <v>35</v>
      </c>
      <c r="J824" s="101" t="s">
        <v>36</v>
      </c>
      <c r="K824" s="102" t="s">
        <v>37</v>
      </c>
      <c r="L824" s="103" t="s">
        <v>37</v>
      </c>
      <c r="M824" s="103" t="s">
        <v>35</v>
      </c>
      <c r="N824" s="103" t="s">
        <v>35</v>
      </c>
      <c r="O824" s="103" t="s">
        <v>35</v>
      </c>
      <c r="P824" s="103" t="s">
        <v>35</v>
      </c>
      <c r="Q824" s="103" t="s">
        <v>37</v>
      </c>
      <c r="R824" s="103" t="s">
        <v>37</v>
      </c>
      <c r="S824" s="104" t="s">
        <v>5613</v>
      </c>
      <c r="T824" s="30" t="s">
        <v>5614</v>
      </c>
      <c r="U824" s="30" t="s">
        <v>5614</v>
      </c>
      <c r="V824" s="105">
        <f t="shared" si="2"/>
        <v>2</v>
      </c>
      <c r="W824" s="105">
        <f t="shared" ref="W824:X824" si="829">IF(lenb(SUBSTITUTE($Z824,W$1&amp;" (1)",""))&lt;lenb($Z824),1,IF(lenb(SUBSTITUTE($Z824,W$1&amp;" (2)",""))&lt;lenb($Z824),2,IF(lenb(SUBSTITUTE($Z824,W$1&amp;" (3)",""))&lt;lenb($Z824),3,IF(lenb(SUBSTITUTE($Z824,W$1&amp;" (4)",""))&lt;lenb($Z824),4,IF(lenb(SUBSTITUTE($Z824,W$1&amp;" (5)",""))&lt;lenb($Z824),5,IF(lenb(SUBSTITUTE($Z824,W$1&amp;" (6)",""))&lt;lenb($Z824),6,IF(lenb(SUBSTITUTE($Z824,W$1&amp;" (7)",""))&lt;lenb($Z824),1,IF(lenb(SUBSTITUTE($Z824,W$1&amp;" (8)",""))&lt;lenb($Z824),8,IF(lenb(SUBSTITUTE($Z824,W$1&amp;" (9)",""))&lt;lenb($Z824),9,IF(lenb(SUBSTITUTE($Z824,W$1&amp;" (10)",""))&lt;lenb($Z824),10,IF(lenb(SUBSTITUTE($Z824,W$1,""))&lt;lenb($Z824),"ERROR",IF($Z824=$Y$1,"-",0))))))))))))</f>
        <v>0</v>
      </c>
      <c r="X824" s="105">
        <f t="shared" si="829"/>
        <v>0</v>
      </c>
      <c r="Y824" s="105" t="str">
        <f t="shared" si="4"/>
        <v>-</v>
      </c>
      <c r="Z824" s="104" t="s">
        <v>3452</v>
      </c>
      <c r="AA824" s="34">
        <f t="shared" si="5"/>
        <v>2</v>
      </c>
      <c r="AB824" s="34">
        <f>COUNTIFS(Links!B:B,"FSE",Links!C:C,A824,Links!AD:AD,1)</f>
        <v>0</v>
      </c>
      <c r="AC824" s="106" t="s">
        <v>37</v>
      </c>
      <c r="AD824" s="107" t="s">
        <v>35</v>
      </c>
      <c r="AE824" s="104" t="s">
        <v>36</v>
      </c>
      <c r="AF824" s="37" t="s">
        <v>42</v>
      </c>
      <c r="AG824" s="37" t="s">
        <v>42</v>
      </c>
      <c r="AH824" s="37" t="s">
        <v>42</v>
      </c>
      <c r="AI824" s="105" t="str">
        <f t="shared" si="6"/>
        <v>----</v>
      </c>
      <c r="AJ824" s="108" t="str">
        <f t="shared" si="7"/>
        <v>Paper has link but no statement</v>
      </c>
      <c r="AK824" s="109" t="s">
        <v>3401</v>
      </c>
      <c r="AL824" s="110" t="s">
        <v>3402</v>
      </c>
      <c r="AM824" s="40" t="str">
        <f t="shared" si="8"/>
        <v>[FP0110]</v>
      </c>
    </row>
    <row r="825" ht="67.5" customHeight="1">
      <c r="A825" s="41">
        <v>111.0</v>
      </c>
      <c r="B825" s="42" t="s">
        <v>5615</v>
      </c>
      <c r="C825" s="43">
        <v>2023.0</v>
      </c>
      <c r="D825" s="111" t="s">
        <v>37</v>
      </c>
      <c r="E825" s="45" t="s">
        <v>37</v>
      </c>
      <c r="F825" s="45" t="s">
        <v>35</v>
      </c>
      <c r="G825" s="45" t="s">
        <v>35</v>
      </c>
      <c r="H825" s="45" t="s">
        <v>35</v>
      </c>
      <c r="I825" s="45" t="s">
        <v>35</v>
      </c>
      <c r="J825" s="112" t="s">
        <v>36</v>
      </c>
      <c r="K825" s="113" t="s">
        <v>37</v>
      </c>
      <c r="L825" s="114" t="s">
        <v>35</v>
      </c>
      <c r="M825" s="114" t="s">
        <v>37</v>
      </c>
      <c r="N825" s="114" t="s">
        <v>37</v>
      </c>
      <c r="O825" s="114" t="s">
        <v>35</v>
      </c>
      <c r="P825" s="114" t="s">
        <v>35</v>
      </c>
      <c r="Q825" s="114" t="s">
        <v>37</v>
      </c>
      <c r="R825" s="114" t="s">
        <v>35</v>
      </c>
      <c r="S825" s="115" t="s">
        <v>5616</v>
      </c>
      <c r="T825" s="50" t="s">
        <v>5617</v>
      </c>
      <c r="U825" s="50" t="s">
        <v>5618</v>
      </c>
      <c r="V825" s="116">
        <f t="shared" si="2"/>
        <v>2</v>
      </c>
      <c r="W825" s="116">
        <f t="shared" ref="W825:X825" si="830">IF(lenb(SUBSTITUTE($Z825,W$1&amp;" (1)",""))&lt;lenb($Z825),1,IF(lenb(SUBSTITUTE($Z825,W$1&amp;" (2)",""))&lt;lenb($Z825),2,IF(lenb(SUBSTITUTE($Z825,W$1&amp;" (3)",""))&lt;lenb($Z825),3,IF(lenb(SUBSTITUTE($Z825,W$1&amp;" (4)",""))&lt;lenb($Z825),4,IF(lenb(SUBSTITUTE($Z825,W$1&amp;" (5)",""))&lt;lenb($Z825),5,IF(lenb(SUBSTITUTE($Z825,W$1&amp;" (6)",""))&lt;lenb($Z825),6,IF(lenb(SUBSTITUTE($Z825,W$1&amp;" (7)",""))&lt;lenb($Z825),1,IF(lenb(SUBSTITUTE($Z825,W$1&amp;" (8)",""))&lt;lenb($Z825),8,IF(lenb(SUBSTITUTE($Z825,W$1&amp;" (9)",""))&lt;lenb($Z825),9,IF(lenb(SUBSTITUTE($Z825,W$1&amp;" (10)",""))&lt;lenb($Z825),10,IF(lenb(SUBSTITUTE($Z825,W$1,""))&lt;lenb($Z825),"ERROR",IF($Z825=$Y$1,"-",0))))))))))))</f>
        <v>0</v>
      </c>
      <c r="X825" s="116">
        <f t="shared" si="830"/>
        <v>0</v>
      </c>
      <c r="Y825" s="116" t="str">
        <f t="shared" si="4"/>
        <v>-</v>
      </c>
      <c r="Z825" s="115" t="s">
        <v>3452</v>
      </c>
      <c r="AA825" s="54">
        <f t="shared" si="5"/>
        <v>2</v>
      </c>
      <c r="AB825" s="54">
        <f>COUNTIFS(Links!B:B,"FSE",Links!C:C,A825,Links!AD:AD,1)</f>
        <v>0</v>
      </c>
      <c r="AC825" s="117" t="s">
        <v>37</v>
      </c>
      <c r="AD825" s="118" t="s">
        <v>35</v>
      </c>
      <c r="AE825" s="115" t="s">
        <v>36</v>
      </c>
      <c r="AF825" s="57" t="s">
        <v>42</v>
      </c>
      <c r="AG825" s="57" t="s">
        <v>42</v>
      </c>
      <c r="AH825" s="57" t="s">
        <v>42</v>
      </c>
      <c r="AI825" s="116" t="str">
        <f t="shared" si="6"/>
        <v>----</v>
      </c>
      <c r="AJ825" s="119" t="str">
        <f t="shared" si="7"/>
        <v>Paper has link but no statement</v>
      </c>
      <c r="AK825" s="120" t="s">
        <v>3401</v>
      </c>
      <c r="AL825" s="121" t="s">
        <v>3402</v>
      </c>
      <c r="AM825" s="60" t="str">
        <f t="shared" si="8"/>
        <v>[FP0111]</v>
      </c>
    </row>
    <row r="826" ht="67.5" customHeight="1">
      <c r="A826" s="61">
        <v>112.0</v>
      </c>
      <c r="B826" s="22" t="s">
        <v>5619</v>
      </c>
      <c r="C826" s="23">
        <v>2023.0</v>
      </c>
      <c r="D826" s="100" t="s">
        <v>37</v>
      </c>
      <c r="E826" s="25" t="s">
        <v>37</v>
      </c>
      <c r="F826" s="25" t="s">
        <v>35</v>
      </c>
      <c r="G826" s="25" t="s">
        <v>37</v>
      </c>
      <c r="H826" s="25" t="s">
        <v>35</v>
      </c>
      <c r="I826" s="25" t="s">
        <v>35</v>
      </c>
      <c r="J826" s="101" t="s">
        <v>36</v>
      </c>
      <c r="K826" s="102" t="s">
        <v>37</v>
      </c>
      <c r="L826" s="103" t="s">
        <v>35</v>
      </c>
      <c r="M826" s="103" t="s">
        <v>35</v>
      </c>
      <c r="N826" s="103" t="s">
        <v>37</v>
      </c>
      <c r="O826" s="103" t="s">
        <v>35</v>
      </c>
      <c r="P826" s="103" t="s">
        <v>35</v>
      </c>
      <c r="Q826" s="103" t="s">
        <v>37</v>
      </c>
      <c r="R826" s="103" t="s">
        <v>35</v>
      </c>
      <c r="S826" s="104" t="s">
        <v>5620</v>
      </c>
      <c r="T826" s="30" t="s">
        <v>5621</v>
      </c>
      <c r="U826" s="30" t="s">
        <v>5621</v>
      </c>
      <c r="V826" s="105">
        <f t="shared" si="2"/>
        <v>1</v>
      </c>
      <c r="W826" s="105">
        <f t="shared" ref="W826:X826" si="831">IF(lenb(SUBSTITUTE($Z826,W$1&amp;" (1)",""))&lt;lenb($Z826),1,IF(lenb(SUBSTITUTE($Z826,W$1&amp;" (2)",""))&lt;lenb($Z826),2,IF(lenb(SUBSTITUTE($Z826,W$1&amp;" (3)",""))&lt;lenb($Z826),3,IF(lenb(SUBSTITUTE($Z826,W$1&amp;" (4)",""))&lt;lenb($Z826),4,IF(lenb(SUBSTITUTE($Z826,W$1&amp;" (5)",""))&lt;lenb($Z826),5,IF(lenb(SUBSTITUTE($Z826,W$1&amp;" (6)",""))&lt;lenb($Z826),6,IF(lenb(SUBSTITUTE($Z826,W$1&amp;" (7)",""))&lt;lenb($Z826),1,IF(lenb(SUBSTITUTE($Z826,W$1&amp;" (8)",""))&lt;lenb($Z826),8,IF(lenb(SUBSTITUTE($Z826,W$1&amp;" (9)",""))&lt;lenb($Z826),9,IF(lenb(SUBSTITUTE($Z826,W$1&amp;" (10)",""))&lt;lenb($Z826),10,IF(lenb(SUBSTITUTE($Z826,W$1,""))&lt;lenb($Z826),"ERROR",IF($Z826=$Y$1,"-",0))))))))))))</f>
        <v>0</v>
      </c>
      <c r="X826" s="105">
        <f t="shared" si="831"/>
        <v>0</v>
      </c>
      <c r="Y826" s="105" t="str">
        <f t="shared" si="4"/>
        <v>-</v>
      </c>
      <c r="Z826" s="28" t="s">
        <v>3400</v>
      </c>
      <c r="AA826" s="34">
        <f t="shared" si="5"/>
        <v>1</v>
      </c>
      <c r="AB826" s="34">
        <f>COUNTIFS(Links!B:B,"FSE",Links!C:C,A826,Links!AD:AD,1)</f>
        <v>0</v>
      </c>
      <c r="AC826" s="106" t="s">
        <v>35</v>
      </c>
      <c r="AD826" s="107" t="s">
        <v>35</v>
      </c>
      <c r="AE826" s="104" t="s">
        <v>36</v>
      </c>
      <c r="AF826" s="37" t="s">
        <v>42</v>
      </c>
      <c r="AG826" s="37" t="s">
        <v>42</v>
      </c>
      <c r="AH826" s="37" t="s">
        <v>42</v>
      </c>
      <c r="AI826" s="105" t="str">
        <f t="shared" si="6"/>
        <v>----</v>
      </c>
      <c r="AJ826" s="108" t="str">
        <f t="shared" si="7"/>
        <v>Paper has link but no statement</v>
      </c>
      <c r="AK826" s="109" t="s">
        <v>3401</v>
      </c>
      <c r="AL826" s="110" t="s">
        <v>3402</v>
      </c>
      <c r="AM826" s="40" t="str">
        <f t="shared" si="8"/>
        <v>[FP0112]</v>
      </c>
    </row>
    <row r="827" ht="67.5" customHeight="1">
      <c r="A827" s="41">
        <v>113.0</v>
      </c>
      <c r="B827" s="42" t="s">
        <v>5622</v>
      </c>
      <c r="C827" s="43">
        <v>2023.0</v>
      </c>
      <c r="D827" s="111" t="s">
        <v>37</v>
      </c>
      <c r="E827" s="45" t="s">
        <v>37</v>
      </c>
      <c r="F827" s="45" t="s">
        <v>35</v>
      </c>
      <c r="G827" s="45" t="s">
        <v>35</v>
      </c>
      <c r="H827" s="45" t="s">
        <v>35</v>
      </c>
      <c r="I827" s="45" t="s">
        <v>35</v>
      </c>
      <c r="J827" s="112" t="s">
        <v>36</v>
      </c>
      <c r="K827" s="113" t="s">
        <v>37</v>
      </c>
      <c r="L827" s="114" t="s">
        <v>35</v>
      </c>
      <c r="M827" s="114" t="s">
        <v>35</v>
      </c>
      <c r="N827" s="114" t="s">
        <v>35</v>
      </c>
      <c r="O827" s="114" t="s">
        <v>35</v>
      </c>
      <c r="P827" s="114" t="s">
        <v>35</v>
      </c>
      <c r="Q827" s="114" t="s">
        <v>37</v>
      </c>
      <c r="R827" s="114" t="s">
        <v>35</v>
      </c>
      <c r="S827" s="115" t="s">
        <v>5020</v>
      </c>
      <c r="T827" s="50" t="s">
        <v>5623</v>
      </c>
      <c r="U827" s="50" t="s">
        <v>5624</v>
      </c>
      <c r="V827" s="116">
        <f t="shared" si="2"/>
        <v>2</v>
      </c>
      <c r="W827" s="116">
        <f t="shared" ref="W827:X827" si="832">IF(lenb(SUBSTITUTE($Z827,W$1&amp;" (1)",""))&lt;lenb($Z827),1,IF(lenb(SUBSTITUTE($Z827,W$1&amp;" (2)",""))&lt;lenb($Z827),2,IF(lenb(SUBSTITUTE($Z827,W$1&amp;" (3)",""))&lt;lenb($Z827),3,IF(lenb(SUBSTITUTE($Z827,W$1&amp;" (4)",""))&lt;lenb($Z827),4,IF(lenb(SUBSTITUTE($Z827,W$1&amp;" (5)",""))&lt;lenb($Z827),5,IF(lenb(SUBSTITUTE($Z827,W$1&amp;" (6)",""))&lt;lenb($Z827),6,IF(lenb(SUBSTITUTE($Z827,W$1&amp;" (7)",""))&lt;lenb($Z827),1,IF(lenb(SUBSTITUTE($Z827,W$1&amp;" (8)",""))&lt;lenb($Z827),8,IF(lenb(SUBSTITUTE($Z827,W$1&amp;" (9)",""))&lt;lenb($Z827),9,IF(lenb(SUBSTITUTE($Z827,W$1&amp;" (10)",""))&lt;lenb($Z827),10,IF(lenb(SUBSTITUTE($Z827,W$1,""))&lt;lenb($Z827),"ERROR",IF($Z827=$Y$1,"-",0))))))))))))</f>
        <v>0</v>
      </c>
      <c r="X827" s="116">
        <f t="shared" si="832"/>
        <v>0</v>
      </c>
      <c r="Y827" s="116" t="str">
        <f t="shared" si="4"/>
        <v>-</v>
      </c>
      <c r="Z827" s="115" t="s">
        <v>3452</v>
      </c>
      <c r="AA827" s="54">
        <f t="shared" si="5"/>
        <v>2</v>
      </c>
      <c r="AB827" s="54">
        <f>COUNTIFS(Links!B:B,"FSE",Links!C:C,A827,Links!AD:AD,1)</f>
        <v>0</v>
      </c>
      <c r="AC827" s="117" t="s">
        <v>37</v>
      </c>
      <c r="AD827" s="118" t="s">
        <v>35</v>
      </c>
      <c r="AE827" s="115" t="s">
        <v>36</v>
      </c>
      <c r="AF827" s="57" t="s">
        <v>42</v>
      </c>
      <c r="AG827" s="57" t="s">
        <v>42</v>
      </c>
      <c r="AH827" s="57" t="s">
        <v>42</v>
      </c>
      <c r="AI827" s="116" t="str">
        <f t="shared" si="6"/>
        <v>----</v>
      </c>
      <c r="AJ827" s="119" t="str">
        <f t="shared" si="7"/>
        <v>Paper has link but no statement</v>
      </c>
      <c r="AK827" s="120" t="s">
        <v>3401</v>
      </c>
      <c r="AL827" s="121" t="s">
        <v>3402</v>
      </c>
      <c r="AM827" s="60" t="str">
        <f t="shared" si="8"/>
        <v>[FP0113]</v>
      </c>
    </row>
    <row r="828" ht="67.5" customHeight="1">
      <c r="A828" s="61">
        <v>114.0</v>
      </c>
      <c r="B828" s="22" t="s">
        <v>5625</v>
      </c>
      <c r="C828" s="23">
        <v>2023.0</v>
      </c>
      <c r="D828" s="100" t="s">
        <v>35</v>
      </c>
      <c r="E828" s="25" t="s">
        <v>36</v>
      </c>
      <c r="F828" s="25" t="s">
        <v>36</v>
      </c>
      <c r="G828" s="25" t="s">
        <v>36</v>
      </c>
      <c r="H828" s="25" t="s">
        <v>36</v>
      </c>
      <c r="I828" s="25" t="s">
        <v>36</v>
      </c>
      <c r="J828" s="101" t="s">
        <v>36</v>
      </c>
      <c r="K828" s="102" t="s">
        <v>37</v>
      </c>
      <c r="L828" s="103" t="s">
        <v>35</v>
      </c>
      <c r="M828" s="103" t="s">
        <v>35</v>
      </c>
      <c r="N828" s="103" t="s">
        <v>35</v>
      </c>
      <c r="O828" s="103" t="s">
        <v>35</v>
      </c>
      <c r="P828" s="103" t="s">
        <v>35</v>
      </c>
      <c r="Q828" s="103" t="s">
        <v>37</v>
      </c>
      <c r="R828" s="103" t="s">
        <v>35</v>
      </c>
      <c r="S828" s="104" t="s">
        <v>5020</v>
      </c>
      <c r="T828" s="30" t="s">
        <v>5626</v>
      </c>
      <c r="U828" s="30" t="s">
        <v>5626</v>
      </c>
      <c r="V828" s="105">
        <f t="shared" si="2"/>
        <v>1</v>
      </c>
      <c r="W828" s="105">
        <f t="shared" ref="W828:X828" si="833">IF(lenb(SUBSTITUTE($Z828,W$1&amp;" (1)",""))&lt;lenb($Z828),1,IF(lenb(SUBSTITUTE($Z828,W$1&amp;" (2)",""))&lt;lenb($Z828),2,IF(lenb(SUBSTITUTE($Z828,W$1&amp;" (3)",""))&lt;lenb($Z828),3,IF(lenb(SUBSTITUTE($Z828,W$1&amp;" (4)",""))&lt;lenb($Z828),4,IF(lenb(SUBSTITUTE($Z828,W$1&amp;" (5)",""))&lt;lenb($Z828),5,IF(lenb(SUBSTITUTE($Z828,W$1&amp;" (6)",""))&lt;lenb($Z828),6,IF(lenb(SUBSTITUTE($Z828,W$1&amp;" (7)",""))&lt;lenb($Z828),1,IF(lenb(SUBSTITUTE($Z828,W$1&amp;" (8)",""))&lt;lenb($Z828),8,IF(lenb(SUBSTITUTE($Z828,W$1&amp;" (9)",""))&lt;lenb($Z828),9,IF(lenb(SUBSTITUTE($Z828,W$1&amp;" (10)",""))&lt;lenb($Z828),10,IF(lenb(SUBSTITUTE($Z828,W$1,""))&lt;lenb($Z828),"ERROR",IF($Z828=$Y$1,"-",0))))))))))))</f>
        <v>0</v>
      </c>
      <c r="X828" s="105">
        <f t="shared" si="833"/>
        <v>0</v>
      </c>
      <c r="Y828" s="105" t="str">
        <f t="shared" si="4"/>
        <v>-</v>
      </c>
      <c r="Z828" s="28" t="s">
        <v>3400</v>
      </c>
      <c r="AA828" s="34">
        <f t="shared" si="5"/>
        <v>1</v>
      </c>
      <c r="AB828" s="34">
        <f>COUNTIFS(Links!B:B,"FSE",Links!C:C,A828,Links!AD:AD,1)</f>
        <v>0</v>
      </c>
      <c r="AC828" s="106" t="s">
        <v>37</v>
      </c>
      <c r="AD828" s="107" t="s">
        <v>35</v>
      </c>
      <c r="AE828" s="104" t="s">
        <v>36</v>
      </c>
      <c r="AF828" s="37" t="s">
        <v>42</v>
      </c>
      <c r="AG828" s="37" t="s">
        <v>42</v>
      </c>
      <c r="AH828" s="37" t="s">
        <v>42</v>
      </c>
      <c r="AI828" s="105" t="str">
        <f t="shared" si="6"/>
        <v>----</v>
      </c>
      <c r="AJ828" s="108" t="str">
        <f t="shared" si="7"/>
        <v>Paper has link but no statement</v>
      </c>
      <c r="AK828" s="109" t="s">
        <v>3401</v>
      </c>
      <c r="AL828" s="110" t="s">
        <v>3402</v>
      </c>
      <c r="AM828" s="40" t="str">
        <f t="shared" si="8"/>
        <v>[FP0114]</v>
      </c>
    </row>
    <row r="829" ht="67.5" customHeight="1">
      <c r="A829" s="41">
        <v>115.0</v>
      </c>
      <c r="B829" s="42" t="s">
        <v>5627</v>
      </c>
      <c r="C829" s="43">
        <v>2023.0</v>
      </c>
      <c r="D829" s="111" t="s">
        <v>35</v>
      </c>
      <c r="E829" s="45" t="s">
        <v>36</v>
      </c>
      <c r="F829" s="45" t="s">
        <v>36</v>
      </c>
      <c r="G829" s="45" t="s">
        <v>36</v>
      </c>
      <c r="H829" s="45" t="s">
        <v>36</v>
      </c>
      <c r="I829" s="45" t="s">
        <v>36</v>
      </c>
      <c r="J829" s="112" t="s">
        <v>36</v>
      </c>
      <c r="K829" s="113" t="s">
        <v>37</v>
      </c>
      <c r="L829" s="114" t="s">
        <v>35</v>
      </c>
      <c r="M829" s="114" t="s">
        <v>37</v>
      </c>
      <c r="N829" s="114" t="s">
        <v>35</v>
      </c>
      <c r="O829" s="114" t="s">
        <v>35</v>
      </c>
      <c r="P829" s="114" t="s">
        <v>35</v>
      </c>
      <c r="Q829" s="114" t="s">
        <v>35</v>
      </c>
      <c r="R829" s="114" t="s">
        <v>37</v>
      </c>
      <c r="S829" s="115" t="s">
        <v>5628</v>
      </c>
      <c r="T829" s="124" t="s">
        <v>5629</v>
      </c>
      <c r="U829" s="50" t="s">
        <v>5630</v>
      </c>
      <c r="V829" s="116">
        <f t="shared" si="2"/>
        <v>1</v>
      </c>
      <c r="W829" s="116">
        <f t="shared" ref="W829:X829" si="834">IF(lenb(SUBSTITUTE($Z829,W$1&amp;" (1)",""))&lt;lenb($Z829),1,IF(lenb(SUBSTITUTE($Z829,W$1&amp;" (2)",""))&lt;lenb($Z829),2,IF(lenb(SUBSTITUTE($Z829,W$1&amp;" (3)",""))&lt;lenb($Z829),3,IF(lenb(SUBSTITUTE($Z829,W$1&amp;" (4)",""))&lt;lenb($Z829),4,IF(lenb(SUBSTITUTE($Z829,W$1&amp;" (5)",""))&lt;lenb($Z829),5,IF(lenb(SUBSTITUTE($Z829,W$1&amp;" (6)",""))&lt;lenb($Z829),6,IF(lenb(SUBSTITUTE($Z829,W$1&amp;" (7)",""))&lt;lenb($Z829),1,IF(lenb(SUBSTITUTE($Z829,W$1&amp;" (8)",""))&lt;lenb($Z829),8,IF(lenb(SUBSTITUTE($Z829,W$1&amp;" (9)",""))&lt;lenb($Z829),9,IF(lenb(SUBSTITUTE($Z829,W$1&amp;" (10)",""))&lt;lenb($Z829),10,IF(lenb(SUBSTITUTE($Z829,W$1,""))&lt;lenb($Z829),"ERROR",IF($Z829=$Y$1,"-",0))))))))))))</f>
        <v>0</v>
      </c>
      <c r="X829" s="116">
        <f t="shared" si="834"/>
        <v>0</v>
      </c>
      <c r="Y829" s="116" t="str">
        <f t="shared" si="4"/>
        <v>-</v>
      </c>
      <c r="Z829" s="48" t="s">
        <v>3400</v>
      </c>
      <c r="AA829" s="54">
        <f t="shared" si="5"/>
        <v>1</v>
      </c>
      <c r="AB829" s="54">
        <f>COUNTIFS(Links!B:B,"FSE",Links!C:C,A829,Links!AD:AD,1)</f>
        <v>0</v>
      </c>
      <c r="AC829" s="117" t="s">
        <v>37</v>
      </c>
      <c r="AD829" s="118" t="s">
        <v>35</v>
      </c>
      <c r="AE829" s="115" t="s">
        <v>36</v>
      </c>
      <c r="AF829" s="57" t="s">
        <v>42</v>
      </c>
      <c r="AG829" s="57" t="s">
        <v>42</v>
      </c>
      <c r="AH829" s="57" t="s">
        <v>42</v>
      </c>
      <c r="AI829" s="116" t="str">
        <f t="shared" si="6"/>
        <v>----</v>
      </c>
      <c r="AJ829" s="119" t="str">
        <f t="shared" si="7"/>
        <v>Paper has link but no statement</v>
      </c>
      <c r="AK829" s="120" t="s">
        <v>3401</v>
      </c>
      <c r="AL829" s="121" t="s">
        <v>3402</v>
      </c>
      <c r="AM829" s="60" t="str">
        <f t="shared" si="8"/>
        <v>[FP0115]</v>
      </c>
    </row>
    <row r="830" ht="67.5" customHeight="1">
      <c r="A830" s="61">
        <v>116.0</v>
      </c>
      <c r="B830" s="22" t="s">
        <v>5631</v>
      </c>
      <c r="C830" s="23">
        <v>2023.0</v>
      </c>
      <c r="D830" s="100" t="s">
        <v>37</v>
      </c>
      <c r="E830" s="25" t="s">
        <v>37</v>
      </c>
      <c r="F830" s="25" t="s">
        <v>35</v>
      </c>
      <c r="G830" s="25" t="s">
        <v>35</v>
      </c>
      <c r="H830" s="25" t="s">
        <v>35</v>
      </c>
      <c r="I830" s="25" t="s">
        <v>35</v>
      </c>
      <c r="J830" s="101" t="s">
        <v>36</v>
      </c>
      <c r="K830" s="102" t="s">
        <v>37</v>
      </c>
      <c r="L830" s="103" t="s">
        <v>35</v>
      </c>
      <c r="M830" s="103" t="s">
        <v>37</v>
      </c>
      <c r="N830" s="103" t="s">
        <v>35</v>
      </c>
      <c r="O830" s="103" t="s">
        <v>35</v>
      </c>
      <c r="P830" s="103" t="s">
        <v>35</v>
      </c>
      <c r="Q830" s="103" t="s">
        <v>37</v>
      </c>
      <c r="R830" s="103" t="s">
        <v>35</v>
      </c>
      <c r="S830" s="104" t="s">
        <v>5632</v>
      </c>
      <c r="T830" s="30" t="s">
        <v>5633</v>
      </c>
      <c r="U830" s="30" t="s">
        <v>5634</v>
      </c>
      <c r="V830" s="105">
        <f t="shared" si="2"/>
        <v>2</v>
      </c>
      <c r="W830" s="105">
        <f t="shared" ref="W830:X830" si="835">IF(lenb(SUBSTITUTE($Z830,W$1&amp;" (1)",""))&lt;lenb($Z830),1,IF(lenb(SUBSTITUTE($Z830,W$1&amp;" (2)",""))&lt;lenb($Z830),2,IF(lenb(SUBSTITUTE($Z830,W$1&amp;" (3)",""))&lt;lenb($Z830),3,IF(lenb(SUBSTITUTE($Z830,W$1&amp;" (4)",""))&lt;lenb($Z830),4,IF(lenb(SUBSTITUTE($Z830,W$1&amp;" (5)",""))&lt;lenb($Z830),5,IF(lenb(SUBSTITUTE($Z830,W$1&amp;" (6)",""))&lt;lenb($Z830),6,IF(lenb(SUBSTITUTE($Z830,W$1&amp;" (7)",""))&lt;lenb($Z830),1,IF(lenb(SUBSTITUTE($Z830,W$1&amp;" (8)",""))&lt;lenb($Z830),8,IF(lenb(SUBSTITUTE($Z830,W$1&amp;" (9)",""))&lt;lenb($Z830),9,IF(lenb(SUBSTITUTE($Z830,W$1&amp;" (10)",""))&lt;lenb($Z830),10,IF(lenb(SUBSTITUTE($Z830,W$1,""))&lt;lenb($Z830),"ERROR",IF($Z830=$Y$1,"-",0))))))))))))</f>
        <v>0</v>
      </c>
      <c r="X830" s="105">
        <f t="shared" si="835"/>
        <v>0</v>
      </c>
      <c r="Y830" s="105" t="str">
        <f t="shared" si="4"/>
        <v>-</v>
      </c>
      <c r="Z830" s="28" t="s">
        <v>3452</v>
      </c>
      <c r="AA830" s="34">
        <f t="shared" si="5"/>
        <v>2</v>
      </c>
      <c r="AB830" s="34">
        <f>COUNTIFS(Links!B:B,"FSE",Links!C:C,A830,Links!AD:AD,1)</f>
        <v>0</v>
      </c>
      <c r="AC830" s="106" t="s">
        <v>37</v>
      </c>
      <c r="AD830" s="107" t="s">
        <v>35</v>
      </c>
      <c r="AE830" s="104" t="s">
        <v>36</v>
      </c>
      <c r="AF830" s="37" t="s">
        <v>42</v>
      </c>
      <c r="AG830" s="37" t="s">
        <v>42</v>
      </c>
      <c r="AH830" s="37" t="s">
        <v>42</v>
      </c>
      <c r="AI830" s="105" t="str">
        <f t="shared" si="6"/>
        <v>----</v>
      </c>
      <c r="AJ830" s="108" t="str">
        <f t="shared" si="7"/>
        <v>Paper has link but no statement</v>
      </c>
      <c r="AK830" s="109" t="s">
        <v>3401</v>
      </c>
      <c r="AL830" s="110" t="s">
        <v>3402</v>
      </c>
      <c r="AM830" s="40" t="str">
        <f t="shared" si="8"/>
        <v>[FP0116]</v>
      </c>
    </row>
    <row r="831" ht="67.5" customHeight="1">
      <c r="A831" s="41">
        <v>117.0</v>
      </c>
      <c r="B831" s="42" t="s">
        <v>5635</v>
      </c>
      <c r="C831" s="43">
        <v>2023.0</v>
      </c>
      <c r="D831" s="111" t="s">
        <v>37</v>
      </c>
      <c r="E831" s="45" t="s">
        <v>37</v>
      </c>
      <c r="F831" s="45" t="s">
        <v>35</v>
      </c>
      <c r="G831" s="45" t="s">
        <v>35</v>
      </c>
      <c r="H831" s="45" t="s">
        <v>35</v>
      </c>
      <c r="I831" s="45" t="s">
        <v>35</v>
      </c>
      <c r="J831" s="112" t="s">
        <v>36</v>
      </c>
      <c r="K831" s="113" t="s">
        <v>37</v>
      </c>
      <c r="L831" s="114" t="s">
        <v>35</v>
      </c>
      <c r="M831" s="114" t="s">
        <v>37</v>
      </c>
      <c r="N831" s="114" t="s">
        <v>35</v>
      </c>
      <c r="O831" s="114" t="s">
        <v>35</v>
      </c>
      <c r="P831" s="114" t="s">
        <v>35</v>
      </c>
      <c r="Q831" s="114" t="s">
        <v>37</v>
      </c>
      <c r="R831" s="114" t="s">
        <v>35</v>
      </c>
      <c r="S831" s="115" t="s">
        <v>5636</v>
      </c>
      <c r="T831" s="50" t="s">
        <v>5637</v>
      </c>
      <c r="U831" s="50" t="s">
        <v>5638</v>
      </c>
      <c r="V831" s="116">
        <f t="shared" si="2"/>
        <v>1</v>
      </c>
      <c r="W831" s="116">
        <f t="shared" ref="W831:X831" si="836">IF(lenb(SUBSTITUTE($Z831,W$1&amp;" (1)",""))&lt;lenb($Z831),1,IF(lenb(SUBSTITUTE($Z831,W$1&amp;" (2)",""))&lt;lenb($Z831),2,IF(lenb(SUBSTITUTE($Z831,W$1&amp;" (3)",""))&lt;lenb($Z831),3,IF(lenb(SUBSTITUTE($Z831,W$1&amp;" (4)",""))&lt;lenb($Z831),4,IF(lenb(SUBSTITUTE($Z831,W$1&amp;" (5)",""))&lt;lenb($Z831),5,IF(lenb(SUBSTITUTE($Z831,W$1&amp;" (6)",""))&lt;lenb($Z831),6,IF(lenb(SUBSTITUTE($Z831,W$1&amp;" (7)",""))&lt;lenb($Z831),1,IF(lenb(SUBSTITUTE($Z831,W$1&amp;" (8)",""))&lt;lenb($Z831),8,IF(lenb(SUBSTITUTE($Z831,W$1&amp;" (9)",""))&lt;lenb($Z831),9,IF(lenb(SUBSTITUTE($Z831,W$1&amp;" (10)",""))&lt;lenb($Z831),10,IF(lenb(SUBSTITUTE($Z831,W$1,""))&lt;lenb($Z831),"ERROR",IF($Z831=$Y$1,"-",0))))))))))))</f>
        <v>1</v>
      </c>
      <c r="X831" s="116">
        <f t="shared" si="836"/>
        <v>0</v>
      </c>
      <c r="Y831" s="116" t="str">
        <f t="shared" si="4"/>
        <v>-</v>
      </c>
      <c r="Z831" s="115" t="s">
        <v>3441</v>
      </c>
      <c r="AA831" s="54">
        <f t="shared" si="5"/>
        <v>2</v>
      </c>
      <c r="AB831" s="54">
        <f>COUNTIFS(Links!B:B,"FSE",Links!C:C,A831,Links!AD:AD,1)</f>
        <v>0</v>
      </c>
      <c r="AC831" s="117" t="s">
        <v>37</v>
      </c>
      <c r="AD831" s="118" t="s">
        <v>37</v>
      </c>
      <c r="AE831" s="129" t="s">
        <v>5639</v>
      </c>
      <c r="AF831" s="57" t="s">
        <v>223</v>
      </c>
      <c r="AG831" s="57" t="s">
        <v>42</v>
      </c>
      <c r="AH831" s="57" t="s">
        <v>42</v>
      </c>
      <c r="AI831" s="116" t="str">
        <f t="shared" si="6"/>
        <v>Barriers (Agreements and legal rights)</v>
      </c>
      <c r="AJ831" s="119" t="str">
        <f t="shared" si="7"/>
        <v>Paper has link and statement</v>
      </c>
      <c r="AK831" s="120" t="s">
        <v>3401</v>
      </c>
      <c r="AL831" s="121" t="s">
        <v>3402</v>
      </c>
      <c r="AM831" s="60" t="str">
        <f t="shared" si="8"/>
        <v>[FP0117]</v>
      </c>
    </row>
    <row r="832" ht="67.5" customHeight="1">
      <c r="A832" s="61">
        <v>118.0</v>
      </c>
      <c r="B832" s="22" t="s">
        <v>5640</v>
      </c>
      <c r="C832" s="23">
        <v>2023.0</v>
      </c>
      <c r="D832" s="100" t="s">
        <v>35</v>
      </c>
      <c r="E832" s="25" t="s">
        <v>36</v>
      </c>
      <c r="F832" s="25" t="s">
        <v>36</v>
      </c>
      <c r="G832" s="25" t="s">
        <v>36</v>
      </c>
      <c r="H832" s="25" t="s">
        <v>36</v>
      </c>
      <c r="I832" s="25" t="s">
        <v>36</v>
      </c>
      <c r="J832" s="101" t="s">
        <v>36</v>
      </c>
      <c r="K832" s="102" t="s">
        <v>37</v>
      </c>
      <c r="L832" s="103" t="s">
        <v>35</v>
      </c>
      <c r="M832" s="103" t="s">
        <v>37</v>
      </c>
      <c r="N832" s="103" t="s">
        <v>35</v>
      </c>
      <c r="O832" s="103" t="s">
        <v>35</v>
      </c>
      <c r="P832" s="103" t="s">
        <v>35</v>
      </c>
      <c r="Q832" s="103" t="s">
        <v>37</v>
      </c>
      <c r="R832" s="103" t="s">
        <v>37</v>
      </c>
      <c r="S832" s="104" t="s">
        <v>5641</v>
      </c>
      <c r="T832" s="30" t="s">
        <v>5642</v>
      </c>
      <c r="U832" s="30" t="s">
        <v>5642</v>
      </c>
      <c r="V832" s="105">
        <f t="shared" si="2"/>
        <v>1</v>
      </c>
      <c r="W832" s="105">
        <f t="shared" ref="W832:X832" si="837">IF(lenb(SUBSTITUTE($Z832,W$1&amp;" (1)",""))&lt;lenb($Z832),1,IF(lenb(SUBSTITUTE($Z832,W$1&amp;" (2)",""))&lt;lenb($Z832),2,IF(lenb(SUBSTITUTE($Z832,W$1&amp;" (3)",""))&lt;lenb($Z832),3,IF(lenb(SUBSTITUTE($Z832,W$1&amp;" (4)",""))&lt;lenb($Z832),4,IF(lenb(SUBSTITUTE($Z832,W$1&amp;" (5)",""))&lt;lenb($Z832),5,IF(lenb(SUBSTITUTE($Z832,W$1&amp;" (6)",""))&lt;lenb($Z832),6,IF(lenb(SUBSTITUTE($Z832,W$1&amp;" (7)",""))&lt;lenb($Z832),1,IF(lenb(SUBSTITUTE($Z832,W$1&amp;" (8)",""))&lt;lenb($Z832),8,IF(lenb(SUBSTITUTE($Z832,W$1&amp;" (9)",""))&lt;lenb($Z832),9,IF(lenb(SUBSTITUTE($Z832,W$1&amp;" (10)",""))&lt;lenb($Z832),10,IF(lenb(SUBSTITUTE($Z832,W$1,""))&lt;lenb($Z832),"ERROR",IF($Z832=$Y$1,"-",0))))))))))))</f>
        <v>0</v>
      </c>
      <c r="X832" s="105">
        <f t="shared" si="837"/>
        <v>0</v>
      </c>
      <c r="Y832" s="105" t="str">
        <f t="shared" si="4"/>
        <v>-</v>
      </c>
      <c r="Z832" s="28" t="s">
        <v>3400</v>
      </c>
      <c r="AA832" s="34">
        <f t="shared" si="5"/>
        <v>1</v>
      </c>
      <c r="AB832" s="34">
        <f>COUNTIFS(Links!B:B,"FSE",Links!C:C,A832,Links!AD:AD,1)</f>
        <v>0</v>
      </c>
      <c r="AC832" s="106" t="s">
        <v>35</v>
      </c>
      <c r="AD832" s="107" t="s">
        <v>35</v>
      </c>
      <c r="AE832" s="104" t="s">
        <v>36</v>
      </c>
      <c r="AF832" s="37" t="s">
        <v>42</v>
      </c>
      <c r="AG832" s="37" t="s">
        <v>42</v>
      </c>
      <c r="AH832" s="37" t="s">
        <v>42</v>
      </c>
      <c r="AI832" s="105" t="str">
        <f t="shared" si="6"/>
        <v>----</v>
      </c>
      <c r="AJ832" s="108" t="str">
        <f t="shared" si="7"/>
        <v>Paper has link but no statement</v>
      </c>
      <c r="AK832" s="109" t="s">
        <v>3401</v>
      </c>
      <c r="AL832" s="110" t="s">
        <v>3402</v>
      </c>
      <c r="AM832" s="40" t="str">
        <f t="shared" si="8"/>
        <v>[FP0118]</v>
      </c>
    </row>
    <row r="833" ht="67.5" customHeight="1">
      <c r="A833" s="41">
        <v>119.0</v>
      </c>
      <c r="B833" s="42" t="s">
        <v>5643</v>
      </c>
      <c r="C833" s="43">
        <v>2023.0</v>
      </c>
      <c r="D833" s="111" t="s">
        <v>37</v>
      </c>
      <c r="E833" s="45" t="s">
        <v>37</v>
      </c>
      <c r="F833" s="45" t="s">
        <v>35</v>
      </c>
      <c r="G833" s="45" t="s">
        <v>35</v>
      </c>
      <c r="H833" s="45" t="s">
        <v>35</v>
      </c>
      <c r="I833" s="45" t="s">
        <v>35</v>
      </c>
      <c r="J833" s="112" t="s">
        <v>36</v>
      </c>
      <c r="K833" s="113" t="s">
        <v>37</v>
      </c>
      <c r="L833" s="114" t="s">
        <v>35</v>
      </c>
      <c r="M833" s="114" t="s">
        <v>35</v>
      </c>
      <c r="N833" s="114" t="s">
        <v>35</v>
      </c>
      <c r="O833" s="114" t="s">
        <v>35</v>
      </c>
      <c r="P833" s="114" t="s">
        <v>35</v>
      </c>
      <c r="Q833" s="114" t="s">
        <v>35</v>
      </c>
      <c r="R833" s="114" t="s">
        <v>37</v>
      </c>
      <c r="S833" s="115" t="s">
        <v>5644</v>
      </c>
      <c r="T833" s="50" t="s">
        <v>5645</v>
      </c>
      <c r="U833" s="50" t="s">
        <v>5645</v>
      </c>
      <c r="V833" s="116">
        <f t="shared" si="2"/>
        <v>1</v>
      </c>
      <c r="W833" s="116">
        <f t="shared" ref="W833:X833" si="838">IF(lenb(SUBSTITUTE($Z833,W$1&amp;" (1)",""))&lt;lenb($Z833),1,IF(lenb(SUBSTITUTE($Z833,W$1&amp;" (2)",""))&lt;lenb($Z833),2,IF(lenb(SUBSTITUTE($Z833,W$1&amp;" (3)",""))&lt;lenb($Z833),3,IF(lenb(SUBSTITUTE($Z833,W$1&amp;" (4)",""))&lt;lenb($Z833),4,IF(lenb(SUBSTITUTE($Z833,W$1&amp;" (5)",""))&lt;lenb($Z833),5,IF(lenb(SUBSTITUTE($Z833,W$1&amp;" (6)",""))&lt;lenb($Z833),6,IF(lenb(SUBSTITUTE($Z833,W$1&amp;" (7)",""))&lt;lenb($Z833),1,IF(lenb(SUBSTITUTE($Z833,W$1&amp;" (8)",""))&lt;lenb($Z833),8,IF(lenb(SUBSTITUTE($Z833,W$1&amp;" (9)",""))&lt;lenb($Z833),9,IF(lenb(SUBSTITUTE($Z833,W$1&amp;" (10)",""))&lt;lenb($Z833),10,IF(lenb(SUBSTITUTE($Z833,W$1,""))&lt;lenb($Z833),"ERROR",IF($Z833=$Y$1,"-",0))))))))))))</f>
        <v>0</v>
      </c>
      <c r="X833" s="116">
        <f t="shared" si="838"/>
        <v>0</v>
      </c>
      <c r="Y833" s="116" t="str">
        <f t="shared" si="4"/>
        <v>-</v>
      </c>
      <c r="Z833" s="48" t="s">
        <v>3400</v>
      </c>
      <c r="AA833" s="54">
        <f t="shared" si="5"/>
        <v>1</v>
      </c>
      <c r="AB833" s="54">
        <f>COUNTIFS(Links!B:B,"FSE",Links!C:C,A833,Links!AD:AD,1)</f>
        <v>0</v>
      </c>
      <c r="AC833" s="117" t="s">
        <v>35</v>
      </c>
      <c r="AD833" s="118" t="s">
        <v>35</v>
      </c>
      <c r="AE833" s="115" t="s">
        <v>36</v>
      </c>
      <c r="AF833" s="57" t="s">
        <v>42</v>
      </c>
      <c r="AG833" s="57" t="s">
        <v>42</v>
      </c>
      <c r="AH833" s="57" t="s">
        <v>42</v>
      </c>
      <c r="AI833" s="116" t="str">
        <f t="shared" si="6"/>
        <v>----</v>
      </c>
      <c r="AJ833" s="119" t="str">
        <f t="shared" si="7"/>
        <v>Paper has link but no statement</v>
      </c>
      <c r="AK833" s="120" t="s">
        <v>3401</v>
      </c>
      <c r="AL833" s="121" t="s">
        <v>3402</v>
      </c>
      <c r="AM833" s="60" t="str">
        <f t="shared" si="8"/>
        <v>[FP0119]</v>
      </c>
    </row>
    <row r="834" ht="67.5" customHeight="1">
      <c r="A834" s="61">
        <v>120.0</v>
      </c>
      <c r="B834" s="22" t="s">
        <v>5646</v>
      </c>
      <c r="C834" s="23">
        <v>2023.0</v>
      </c>
      <c r="D834" s="100" t="s">
        <v>37</v>
      </c>
      <c r="E834" s="25" t="s">
        <v>37</v>
      </c>
      <c r="F834" s="25" t="s">
        <v>35</v>
      </c>
      <c r="G834" s="25" t="s">
        <v>37</v>
      </c>
      <c r="H834" s="25" t="s">
        <v>35</v>
      </c>
      <c r="I834" s="25" t="s">
        <v>35</v>
      </c>
      <c r="J834" s="101" t="s">
        <v>36</v>
      </c>
      <c r="K834" s="102" t="s">
        <v>37</v>
      </c>
      <c r="L834" s="103" t="s">
        <v>35</v>
      </c>
      <c r="M834" s="103" t="s">
        <v>35</v>
      </c>
      <c r="N834" s="103" t="s">
        <v>35</v>
      </c>
      <c r="O834" s="103" t="s">
        <v>35</v>
      </c>
      <c r="P834" s="103" t="s">
        <v>35</v>
      </c>
      <c r="Q834" s="103" t="s">
        <v>37</v>
      </c>
      <c r="R834" s="103" t="s">
        <v>35</v>
      </c>
      <c r="S834" s="104" t="s">
        <v>5020</v>
      </c>
      <c r="T834" s="30" t="s">
        <v>5647</v>
      </c>
      <c r="U834" s="30" t="s">
        <v>5648</v>
      </c>
      <c r="V834" s="105">
        <f t="shared" si="2"/>
        <v>2</v>
      </c>
      <c r="W834" s="105">
        <f t="shared" ref="W834:X834" si="839">IF(lenb(SUBSTITUTE($Z834,W$1&amp;" (1)",""))&lt;lenb($Z834),1,IF(lenb(SUBSTITUTE($Z834,W$1&amp;" (2)",""))&lt;lenb($Z834),2,IF(lenb(SUBSTITUTE($Z834,W$1&amp;" (3)",""))&lt;lenb($Z834),3,IF(lenb(SUBSTITUTE($Z834,W$1&amp;" (4)",""))&lt;lenb($Z834),4,IF(lenb(SUBSTITUTE($Z834,W$1&amp;" (5)",""))&lt;lenb($Z834),5,IF(lenb(SUBSTITUTE($Z834,W$1&amp;" (6)",""))&lt;lenb($Z834),6,IF(lenb(SUBSTITUTE($Z834,W$1&amp;" (7)",""))&lt;lenb($Z834),1,IF(lenb(SUBSTITUTE($Z834,W$1&amp;" (8)",""))&lt;lenb($Z834),8,IF(lenb(SUBSTITUTE($Z834,W$1&amp;" (9)",""))&lt;lenb($Z834),9,IF(lenb(SUBSTITUTE($Z834,W$1&amp;" (10)",""))&lt;lenb($Z834),10,IF(lenb(SUBSTITUTE($Z834,W$1,""))&lt;lenb($Z834),"ERROR",IF($Z834=$Y$1,"-",0))))))))))))</f>
        <v>0</v>
      </c>
      <c r="X834" s="105">
        <f t="shared" si="839"/>
        <v>0</v>
      </c>
      <c r="Y834" s="105" t="str">
        <f t="shared" si="4"/>
        <v>-</v>
      </c>
      <c r="Z834" s="28" t="s">
        <v>3452</v>
      </c>
      <c r="AA834" s="34">
        <f t="shared" si="5"/>
        <v>2</v>
      </c>
      <c r="AB834" s="34">
        <f>COUNTIFS(Links!B:B,"FSE",Links!C:C,A834,Links!AD:AD,1)</f>
        <v>0</v>
      </c>
      <c r="AC834" s="106" t="s">
        <v>37</v>
      </c>
      <c r="AD834" s="107" t="s">
        <v>35</v>
      </c>
      <c r="AE834" s="104" t="s">
        <v>36</v>
      </c>
      <c r="AF834" s="37" t="s">
        <v>42</v>
      </c>
      <c r="AG834" s="37" t="s">
        <v>42</v>
      </c>
      <c r="AH834" s="37" t="s">
        <v>42</v>
      </c>
      <c r="AI834" s="105" t="str">
        <f t="shared" si="6"/>
        <v>----</v>
      </c>
      <c r="AJ834" s="108" t="str">
        <f t="shared" si="7"/>
        <v>Paper has link but no statement</v>
      </c>
      <c r="AK834" s="109" t="s">
        <v>3401</v>
      </c>
      <c r="AL834" s="110" t="s">
        <v>3402</v>
      </c>
      <c r="AM834" s="40" t="str">
        <f t="shared" si="8"/>
        <v>[FP0120]</v>
      </c>
    </row>
    <row r="835" ht="67.5" customHeight="1">
      <c r="A835" s="41">
        <v>121.0</v>
      </c>
      <c r="B835" s="42" t="s">
        <v>5649</v>
      </c>
      <c r="C835" s="43">
        <v>2023.0</v>
      </c>
      <c r="D835" s="111" t="s">
        <v>35</v>
      </c>
      <c r="E835" s="45" t="s">
        <v>36</v>
      </c>
      <c r="F835" s="45" t="s">
        <v>36</v>
      </c>
      <c r="G835" s="45" t="s">
        <v>36</v>
      </c>
      <c r="H835" s="45" t="s">
        <v>36</v>
      </c>
      <c r="I835" s="45" t="s">
        <v>36</v>
      </c>
      <c r="J835" s="112" t="s">
        <v>36</v>
      </c>
      <c r="K835" s="113" t="s">
        <v>37</v>
      </c>
      <c r="L835" s="114" t="s">
        <v>35</v>
      </c>
      <c r="M835" s="114" t="s">
        <v>37</v>
      </c>
      <c r="N835" s="114" t="s">
        <v>35</v>
      </c>
      <c r="O835" s="114" t="s">
        <v>35</v>
      </c>
      <c r="P835" s="114" t="s">
        <v>35</v>
      </c>
      <c r="Q835" s="114" t="s">
        <v>37</v>
      </c>
      <c r="R835" s="114" t="s">
        <v>37</v>
      </c>
      <c r="S835" s="115" t="s">
        <v>5650</v>
      </c>
      <c r="T835" s="50" t="s">
        <v>5651</v>
      </c>
      <c r="U835" s="50" t="s">
        <v>5651</v>
      </c>
      <c r="V835" s="116">
        <f t="shared" si="2"/>
        <v>1</v>
      </c>
      <c r="W835" s="116">
        <f t="shared" ref="W835:X835" si="840">IF(lenb(SUBSTITUTE($Z835,W$1&amp;" (1)",""))&lt;lenb($Z835),1,IF(lenb(SUBSTITUTE($Z835,W$1&amp;" (2)",""))&lt;lenb($Z835),2,IF(lenb(SUBSTITUTE($Z835,W$1&amp;" (3)",""))&lt;lenb($Z835),3,IF(lenb(SUBSTITUTE($Z835,W$1&amp;" (4)",""))&lt;lenb($Z835),4,IF(lenb(SUBSTITUTE($Z835,W$1&amp;" (5)",""))&lt;lenb($Z835),5,IF(lenb(SUBSTITUTE($Z835,W$1&amp;" (6)",""))&lt;lenb($Z835),6,IF(lenb(SUBSTITUTE($Z835,W$1&amp;" (7)",""))&lt;lenb($Z835),1,IF(lenb(SUBSTITUTE($Z835,W$1&amp;" (8)",""))&lt;lenb($Z835),8,IF(lenb(SUBSTITUTE($Z835,W$1&amp;" (9)",""))&lt;lenb($Z835),9,IF(lenb(SUBSTITUTE($Z835,W$1&amp;" (10)",""))&lt;lenb($Z835),10,IF(lenb(SUBSTITUTE($Z835,W$1,""))&lt;lenb($Z835),"ERROR",IF($Z835=$Y$1,"-",0))))))))))))</f>
        <v>0</v>
      </c>
      <c r="X835" s="116">
        <f t="shared" si="840"/>
        <v>0</v>
      </c>
      <c r="Y835" s="116" t="str">
        <f t="shared" si="4"/>
        <v>-</v>
      </c>
      <c r="Z835" s="48" t="s">
        <v>3400</v>
      </c>
      <c r="AA835" s="54">
        <f t="shared" si="5"/>
        <v>1</v>
      </c>
      <c r="AB835" s="54">
        <f>COUNTIFS(Links!B:B,"FSE",Links!C:C,A835,Links!AD:AD,1)</f>
        <v>0</v>
      </c>
      <c r="AC835" s="117" t="s">
        <v>35</v>
      </c>
      <c r="AD835" s="118" t="s">
        <v>35</v>
      </c>
      <c r="AE835" s="115" t="s">
        <v>36</v>
      </c>
      <c r="AF835" s="57" t="s">
        <v>42</v>
      </c>
      <c r="AG835" s="57" t="s">
        <v>42</v>
      </c>
      <c r="AH835" s="57" t="s">
        <v>42</v>
      </c>
      <c r="AI835" s="116" t="str">
        <f t="shared" si="6"/>
        <v>----</v>
      </c>
      <c r="AJ835" s="119" t="str">
        <f t="shared" si="7"/>
        <v>Paper has link but no statement</v>
      </c>
      <c r="AK835" s="120" t="s">
        <v>3401</v>
      </c>
      <c r="AL835" s="121" t="s">
        <v>3402</v>
      </c>
      <c r="AM835" s="60" t="str">
        <f t="shared" si="8"/>
        <v>[FP0121]</v>
      </c>
    </row>
    <row r="836" ht="67.5" customHeight="1">
      <c r="A836" s="61">
        <v>122.0</v>
      </c>
      <c r="B836" s="22" t="s">
        <v>5652</v>
      </c>
      <c r="C836" s="23">
        <v>2023.0</v>
      </c>
      <c r="D836" s="100" t="s">
        <v>35</v>
      </c>
      <c r="E836" s="25" t="s">
        <v>36</v>
      </c>
      <c r="F836" s="25" t="s">
        <v>36</v>
      </c>
      <c r="G836" s="25" t="s">
        <v>36</v>
      </c>
      <c r="H836" s="25" t="s">
        <v>36</v>
      </c>
      <c r="I836" s="25" t="s">
        <v>36</v>
      </c>
      <c r="J836" s="101" t="s">
        <v>36</v>
      </c>
      <c r="K836" s="102" t="s">
        <v>37</v>
      </c>
      <c r="L836" s="103" t="s">
        <v>35</v>
      </c>
      <c r="M836" s="103" t="s">
        <v>35</v>
      </c>
      <c r="N836" s="103" t="s">
        <v>35</v>
      </c>
      <c r="O836" s="103" t="s">
        <v>35</v>
      </c>
      <c r="P836" s="103" t="s">
        <v>35</v>
      </c>
      <c r="Q836" s="103" t="s">
        <v>37</v>
      </c>
      <c r="R836" s="103" t="s">
        <v>35</v>
      </c>
      <c r="S836" s="104" t="s">
        <v>5020</v>
      </c>
      <c r="T836" s="30" t="s">
        <v>5653</v>
      </c>
      <c r="U836" s="30" t="s">
        <v>5653</v>
      </c>
      <c r="V836" s="105">
        <f t="shared" si="2"/>
        <v>1</v>
      </c>
      <c r="W836" s="105">
        <f t="shared" ref="W836:X836" si="841">IF(lenb(SUBSTITUTE($Z836,W$1&amp;" (1)",""))&lt;lenb($Z836),1,IF(lenb(SUBSTITUTE($Z836,W$1&amp;" (2)",""))&lt;lenb($Z836),2,IF(lenb(SUBSTITUTE($Z836,W$1&amp;" (3)",""))&lt;lenb($Z836),3,IF(lenb(SUBSTITUTE($Z836,W$1&amp;" (4)",""))&lt;lenb($Z836),4,IF(lenb(SUBSTITUTE($Z836,W$1&amp;" (5)",""))&lt;lenb($Z836),5,IF(lenb(SUBSTITUTE($Z836,W$1&amp;" (6)",""))&lt;lenb($Z836),6,IF(lenb(SUBSTITUTE($Z836,W$1&amp;" (7)",""))&lt;lenb($Z836),1,IF(lenb(SUBSTITUTE($Z836,W$1&amp;" (8)",""))&lt;lenb($Z836),8,IF(lenb(SUBSTITUTE($Z836,W$1&amp;" (9)",""))&lt;lenb($Z836),9,IF(lenb(SUBSTITUTE($Z836,W$1&amp;" (10)",""))&lt;lenb($Z836),10,IF(lenb(SUBSTITUTE($Z836,W$1,""))&lt;lenb($Z836),"ERROR",IF($Z836=$Y$1,"-",0))))))))))))</f>
        <v>0</v>
      </c>
      <c r="X836" s="105">
        <f t="shared" si="841"/>
        <v>0</v>
      </c>
      <c r="Y836" s="105" t="str">
        <f t="shared" si="4"/>
        <v>-</v>
      </c>
      <c r="Z836" s="28" t="s">
        <v>3400</v>
      </c>
      <c r="AA836" s="34">
        <f t="shared" si="5"/>
        <v>1</v>
      </c>
      <c r="AB836" s="34">
        <f>COUNTIFS(Links!B:B,"FSE",Links!C:C,A836,Links!AD:AD,1)</f>
        <v>0</v>
      </c>
      <c r="AC836" s="106" t="s">
        <v>37</v>
      </c>
      <c r="AD836" s="107" t="s">
        <v>35</v>
      </c>
      <c r="AE836" s="104" t="s">
        <v>36</v>
      </c>
      <c r="AF836" s="37" t="s">
        <v>42</v>
      </c>
      <c r="AG836" s="37" t="s">
        <v>42</v>
      </c>
      <c r="AH836" s="37" t="s">
        <v>42</v>
      </c>
      <c r="AI836" s="105" t="str">
        <f t="shared" si="6"/>
        <v>----</v>
      </c>
      <c r="AJ836" s="108" t="str">
        <f t="shared" si="7"/>
        <v>Paper has link but no statement</v>
      </c>
      <c r="AK836" s="109" t="s">
        <v>3401</v>
      </c>
      <c r="AL836" s="110" t="s">
        <v>3402</v>
      </c>
      <c r="AM836" s="40" t="str">
        <f t="shared" si="8"/>
        <v>[FP0122]</v>
      </c>
    </row>
    <row r="837" ht="67.5" customHeight="1">
      <c r="A837" s="41">
        <v>123.0</v>
      </c>
      <c r="B837" s="42" t="s">
        <v>5654</v>
      </c>
      <c r="C837" s="43">
        <v>2023.0</v>
      </c>
      <c r="D837" s="111" t="s">
        <v>35</v>
      </c>
      <c r="E837" s="45" t="s">
        <v>36</v>
      </c>
      <c r="F837" s="45" t="s">
        <v>36</v>
      </c>
      <c r="G837" s="45" t="s">
        <v>36</v>
      </c>
      <c r="H837" s="45" t="s">
        <v>36</v>
      </c>
      <c r="I837" s="45" t="s">
        <v>36</v>
      </c>
      <c r="J837" s="112" t="s">
        <v>36</v>
      </c>
      <c r="K837" s="113" t="s">
        <v>37</v>
      </c>
      <c r="L837" s="114" t="s">
        <v>35</v>
      </c>
      <c r="M837" s="114" t="s">
        <v>37</v>
      </c>
      <c r="N837" s="114" t="s">
        <v>35</v>
      </c>
      <c r="O837" s="114" t="s">
        <v>35</v>
      </c>
      <c r="P837" s="114" t="s">
        <v>35</v>
      </c>
      <c r="Q837" s="114" t="s">
        <v>37</v>
      </c>
      <c r="R837" s="114" t="s">
        <v>37</v>
      </c>
      <c r="S837" s="115" t="s">
        <v>5655</v>
      </c>
      <c r="T837" s="50" t="s">
        <v>5656</v>
      </c>
      <c r="U837" s="50" t="s">
        <v>5656</v>
      </c>
      <c r="V837" s="116">
        <f t="shared" si="2"/>
        <v>1</v>
      </c>
      <c r="W837" s="116">
        <f t="shared" ref="W837:X837" si="842">IF(lenb(SUBSTITUTE($Z837,W$1&amp;" (1)",""))&lt;lenb($Z837),1,IF(lenb(SUBSTITUTE($Z837,W$1&amp;" (2)",""))&lt;lenb($Z837),2,IF(lenb(SUBSTITUTE($Z837,W$1&amp;" (3)",""))&lt;lenb($Z837),3,IF(lenb(SUBSTITUTE($Z837,W$1&amp;" (4)",""))&lt;lenb($Z837),4,IF(lenb(SUBSTITUTE($Z837,W$1&amp;" (5)",""))&lt;lenb($Z837),5,IF(lenb(SUBSTITUTE($Z837,W$1&amp;" (6)",""))&lt;lenb($Z837),6,IF(lenb(SUBSTITUTE($Z837,W$1&amp;" (7)",""))&lt;lenb($Z837),1,IF(lenb(SUBSTITUTE($Z837,W$1&amp;" (8)",""))&lt;lenb($Z837),8,IF(lenb(SUBSTITUTE($Z837,W$1&amp;" (9)",""))&lt;lenb($Z837),9,IF(lenb(SUBSTITUTE($Z837,W$1&amp;" (10)",""))&lt;lenb($Z837),10,IF(lenb(SUBSTITUTE($Z837,W$1,""))&lt;lenb($Z837),"ERROR",IF($Z837=$Y$1,"-",0))))))))))))</f>
        <v>0</v>
      </c>
      <c r="X837" s="116">
        <f t="shared" si="842"/>
        <v>0</v>
      </c>
      <c r="Y837" s="116" t="str">
        <f t="shared" si="4"/>
        <v>-</v>
      </c>
      <c r="Z837" s="48" t="s">
        <v>3400</v>
      </c>
      <c r="AA837" s="54">
        <f t="shared" si="5"/>
        <v>1</v>
      </c>
      <c r="AB837" s="54">
        <f>COUNTIFS(Links!B:B,"FSE",Links!C:C,A837,Links!AD:AD,1)</f>
        <v>0</v>
      </c>
      <c r="AC837" s="117" t="s">
        <v>35</v>
      </c>
      <c r="AD837" s="118" t="s">
        <v>35</v>
      </c>
      <c r="AE837" s="115" t="s">
        <v>36</v>
      </c>
      <c r="AF837" s="57" t="s">
        <v>42</v>
      </c>
      <c r="AG837" s="57" t="s">
        <v>42</v>
      </c>
      <c r="AH837" s="57" t="s">
        <v>42</v>
      </c>
      <c r="AI837" s="116" t="str">
        <f t="shared" si="6"/>
        <v>----</v>
      </c>
      <c r="AJ837" s="119" t="str">
        <f t="shared" si="7"/>
        <v>Paper has link but no statement</v>
      </c>
      <c r="AK837" s="120" t="s">
        <v>3401</v>
      </c>
      <c r="AL837" s="121" t="s">
        <v>3402</v>
      </c>
      <c r="AM837" s="60" t="str">
        <f t="shared" si="8"/>
        <v>[FP0123]</v>
      </c>
    </row>
    <row r="838" ht="67.5" customHeight="1">
      <c r="A838" s="61">
        <v>124.0</v>
      </c>
      <c r="B838" s="22" t="s">
        <v>5657</v>
      </c>
      <c r="C838" s="23">
        <v>2023.0</v>
      </c>
      <c r="D838" s="100" t="s">
        <v>37</v>
      </c>
      <c r="E838" s="25" t="s">
        <v>37</v>
      </c>
      <c r="F838" s="25" t="s">
        <v>35</v>
      </c>
      <c r="G838" s="25" t="s">
        <v>35</v>
      </c>
      <c r="H838" s="25" t="s">
        <v>35</v>
      </c>
      <c r="I838" s="25" t="s">
        <v>35</v>
      </c>
      <c r="J838" s="101" t="s">
        <v>36</v>
      </c>
      <c r="K838" s="102" t="s">
        <v>37</v>
      </c>
      <c r="L838" s="103" t="s">
        <v>35</v>
      </c>
      <c r="M838" s="103" t="s">
        <v>35</v>
      </c>
      <c r="N838" s="103" t="s">
        <v>35</v>
      </c>
      <c r="O838" s="103" t="s">
        <v>35</v>
      </c>
      <c r="P838" s="103" t="s">
        <v>35</v>
      </c>
      <c r="Q838" s="103" t="s">
        <v>37</v>
      </c>
      <c r="R838" s="103" t="s">
        <v>35</v>
      </c>
      <c r="S838" s="104" t="s">
        <v>5020</v>
      </c>
      <c r="T838" s="30" t="s">
        <v>5658</v>
      </c>
      <c r="U838" s="30" t="s">
        <v>5658</v>
      </c>
      <c r="V838" s="105">
        <f t="shared" si="2"/>
        <v>1</v>
      </c>
      <c r="W838" s="105">
        <f t="shared" ref="W838:X838" si="843">IF(lenb(SUBSTITUTE($Z838,W$1&amp;" (1)",""))&lt;lenb($Z838),1,IF(lenb(SUBSTITUTE($Z838,W$1&amp;" (2)",""))&lt;lenb($Z838),2,IF(lenb(SUBSTITUTE($Z838,W$1&amp;" (3)",""))&lt;lenb($Z838),3,IF(lenb(SUBSTITUTE($Z838,W$1&amp;" (4)",""))&lt;lenb($Z838),4,IF(lenb(SUBSTITUTE($Z838,W$1&amp;" (5)",""))&lt;lenb($Z838),5,IF(lenb(SUBSTITUTE($Z838,W$1&amp;" (6)",""))&lt;lenb($Z838),6,IF(lenb(SUBSTITUTE($Z838,W$1&amp;" (7)",""))&lt;lenb($Z838),1,IF(lenb(SUBSTITUTE($Z838,W$1&amp;" (8)",""))&lt;lenb($Z838),8,IF(lenb(SUBSTITUTE($Z838,W$1&amp;" (9)",""))&lt;lenb($Z838),9,IF(lenb(SUBSTITUTE($Z838,W$1&amp;" (10)",""))&lt;lenb($Z838),10,IF(lenb(SUBSTITUTE($Z838,W$1,""))&lt;lenb($Z838),"ERROR",IF($Z838=$Y$1,"-",0))))))))))))</f>
        <v>0</v>
      </c>
      <c r="X838" s="105">
        <f t="shared" si="843"/>
        <v>0</v>
      </c>
      <c r="Y838" s="105" t="str">
        <f t="shared" si="4"/>
        <v>-</v>
      </c>
      <c r="Z838" s="28" t="s">
        <v>3400</v>
      </c>
      <c r="AA838" s="34">
        <f t="shared" si="5"/>
        <v>1</v>
      </c>
      <c r="AB838" s="34">
        <f>COUNTIFS(Links!B:B,"FSE",Links!C:C,A838,Links!AD:AD,1)</f>
        <v>0</v>
      </c>
      <c r="AC838" s="106" t="s">
        <v>35</v>
      </c>
      <c r="AD838" s="107" t="s">
        <v>37</v>
      </c>
      <c r="AE838" s="128" t="s">
        <v>5659</v>
      </c>
      <c r="AF838" s="37" t="s">
        <v>1787</v>
      </c>
      <c r="AG838" s="37" t="s">
        <v>822</v>
      </c>
      <c r="AH838" s="37" t="s">
        <v>42</v>
      </c>
      <c r="AI838" s="105" t="str">
        <f t="shared" si="6"/>
        <v>Barriers (Security issues)
Limited access (Request required)</v>
      </c>
      <c r="AJ838" s="108" t="str">
        <f t="shared" si="7"/>
        <v>Paper has link and statement</v>
      </c>
      <c r="AK838" s="109" t="s">
        <v>3401</v>
      </c>
      <c r="AL838" s="110" t="s">
        <v>3402</v>
      </c>
      <c r="AM838" s="40" t="str">
        <f t="shared" si="8"/>
        <v>[FP0124]</v>
      </c>
    </row>
    <row r="839" ht="67.5" customHeight="1">
      <c r="A839" s="41">
        <v>125.0</v>
      </c>
      <c r="B839" s="42" t="s">
        <v>5660</v>
      </c>
      <c r="C839" s="43">
        <v>2023.0</v>
      </c>
      <c r="D839" s="111" t="s">
        <v>37</v>
      </c>
      <c r="E839" s="45" t="s">
        <v>37</v>
      </c>
      <c r="F839" s="45" t="s">
        <v>35</v>
      </c>
      <c r="G839" s="45" t="s">
        <v>37</v>
      </c>
      <c r="H839" s="45" t="s">
        <v>35</v>
      </c>
      <c r="I839" s="45" t="s">
        <v>35</v>
      </c>
      <c r="J839" s="112" t="s">
        <v>36</v>
      </c>
      <c r="K839" s="113" t="s">
        <v>37</v>
      </c>
      <c r="L839" s="114" t="s">
        <v>35</v>
      </c>
      <c r="M839" s="114" t="s">
        <v>35</v>
      </c>
      <c r="N839" s="114" t="s">
        <v>37</v>
      </c>
      <c r="O839" s="114" t="s">
        <v>35</v>
      </c>
      <c r="P839" s="114" t="s">
        <v>35</v>
      </c>
      <c r="Q839" s="114" t="s">
        <v>35</v>
      </c>
      <c r="R839" s="114" t="s">
        <v>35</v>
      </c>
      <c r="S839" s="115" t="s">
        <v>42</v>
      </c>
      <c r="T839" s="50" t="s">
        <v>5661</v>
      </c>
      <c r="U839" s="50" t="s">
        <v>5661</v>
      </c>
      <c r="V839" s="116">
        <f t="shared" si="2"/>
        <v>1</v>
      </c>
      <c r="W839" s="116">
        <f t="shared" ref="W839:X839" si="844">IF(lenb(SUBSTITUTE($Z839,W$1&amp;" (1)",""))&lt;lenb($Z839),1,IF(lenb(SUBSTITUTE($Z839,W$1&amp;" (2)",""))&lt;lenb($Z839),2,IF(lenb(SUBSTITUTE($Z839,W$1&amp;" (3)",""))&lt;lenb($Z839),3,IF(lenb(SUBSTITUTE($Z839,W$1&amp;" (4)",""))&lt;lenb($Z839),4,IF(lenb(SUBSTITUTE($Z839,W$1&amp;" (5)",""))&lt;lenb($Z839),5,IF(lenb(SUBSTITUTE($Z839,W$1&amp;" (6)",""))&lt;lenb($Z839),6,IF(lenb(SUBSTITUTE($Z839,W$1&amp;" (7)",""))&lt;lenb($Z839),1,IF(lenb(SUBSTITUTE($Z839,W$1&amp;" (8)",""))&lt;lenb($Z839),8,IF(lenb(SUBSTITUTE($Z839,W$1&amp;" (9)",""))&lt;lenb($Z839),9,IF(lenb(SUBSTITUTE($Z839,W$1&amp;" (10)",""))&lt;lenb($Z839),10,IF(lenb(SUBSTITUTE($Z839,W$1,""))&lt;lenb($Z839),"ERROR",IF($Z839=$Y$1,"-",0))))))))))))</f>
        <v>0</v>
      </c>
      <c r="X839" s="116">
        <f t="shared" si="844"/>
        <v>0</v>
      </c>
      <c r="Y839" s="116" t="str">
        <f t="shared" si="4"/>
        <v>-</v>
      </c>
      <c r="Z839" s="48" t="s">
        <v>3400</v>
      </c>
      <c r="AA839" s="54">
        <f t="shared" si="5"/>
        <v>1</v>
      </c>
      <c r="AB839" s="54">
        <f>COUNTIFS(Links!B:B,"FSE",Links!C:C,A839,Links!AD:AD,1)</f>
        <v>0</v>
      </c>
      <c r="AC839" s="117" t="s">
        <v>35</v>
      </c>
      <c r="AD839" s="118" t="s">
        <v>35</v>
      </c>
      <c r="AE839" s="115" t="s">
        <v>36</v>
      </c>
      <c r="AF839" s="57" t="s">
        <v>42</v>
      </c>
      <c r="AG839" s="57" t="s">
        <v>42</v>
      </c>
      <c r="AH839" s="57" t="s">
        <v>42</v>
      </c>
      <c r="AI839" s="116" t="str">
        <f t="shared" si="6"/>
        <v>----</v>
      </c>
      <c r="AJ839" s="119" t="str">
        <f t="shared" si="7"/>
        <v>Paper has link but no statement</v>
      </c>
      <c r="AK839" s="120" t="s">
        <v>3401</v>
      </c>
      <c r="AL839" s="121" t="s">
        <v>3402</v>
      </c>
      <c r="AM839" s="60" t="str">
        <f t="shared" si="8"/>
        <v>[FP0125]</v>
      </c>
    </row>
    <row r="840" ht="67.5" customHeight="1">
      <c r="A840" s="61">
        <v>126.0</v>
      </c>
      <c r="B840" s="22" t="s">
        <v>5662</v>
      </c>
      <c r="C840" s="23">
        <v>2023.0</v>
      </c>
      <c r="D840" s="100" t="s">
        <v>35</v>
      </c>
      <c r="E840" s="25" t="s">
        <v>36</v>
      </c>
      <c r="F840" s="25" t="s">
        <v>36</v>
      </c>
      <c r="G840" s="25" t="s">
        <v>36</v>
      </c>
      <c r="H840" s="25" t="s">
        <v>36</v>
      </c>
      <c r="I840" s="25" t="s">
        <v>36</v>
      </c>
      <c r="J840" s="101" t="s">
        <v>36</v>
      </c>
      <c r="K840" s="102" t="s">
        <v>37</v>
      </c>
      <c r="L840" s="103" t="s">
        <v>35</v>
      </c>
      <c r="M840" s="103" t="s">
        <v>37</v>
      </c>
      <c r="N840" s="103" t="s">
        <v>37</v>
      </c>
      <c r="O840" s="103" t="s">
        <v>35</v>
      </c>
      <c r="P840" s="103" t="s">
        <v>35</v>
      </c>
      <c r="Q840" s="103" t="s">
        <v>37</v>
      </c>
      <c r="R840" s="103" t="s">
        <v>37</v>
      </c>
      <c r="S840" s="104" t="s">
        <v>5663</v>
      </c>
      <c r="T840" s="30" t="s">
        <v>5664</v>
      </c>
      <c r="U840" s="30" t="s">
        <v>5664</v>
      </c>
      <c r="V840" s="105">
        <f t="shared" si="2"/>
        <v>1</v>
      </c>
      <c r="W840" s="105">
        <f t="shared" ref="W840:X840" si="845">IF(lenb(SUBSTITUTE($Z840,W$1&amp;" (1)",""))&lt;lenb($Z840),1,IF(lenb(SUBSTITUTE($Z840,W$1&amp;" (2)",""))&lt;lenb($Z840),2,IF(lenb(SUBSTITUTE($Z840,W$1&amp;" (3)",""))&lt;lenb($Z840),3,IF(lenb(SUBSTITUTE($Z840,W$1&amp;" (4)",""))&lt;lenb($Z840),4,IF(lenb(SUBSTITUTE($Z840,W$1&amp;" (5)",""))&lt;lenb($Z840),5,IF(lenb(SUBSTITUTE($Z840,W$1&amp;" (6)",""))&lt;lenb($Z840),6,IF(lenb(SUBSTITUTE($Z840,W$1&amp;" (7)",""))&lt;lenb($Z840),1,IF(lenb(SUBSTITUTE($Z840,W$1&amp;" (8)",""))&lt;lenb($Z840),8,IF(lenb(SUBSTITUTE($Z840,W$1&amp;" (9)",""))&lt;lenb($Z840),9,IF(lenb(SUBSTITUTE($Z840,W$1&amp;" (10)",""))&lt;lenb($Z840),10,IF(lenb(SUBSTITUTE($Z840,W$1,""))&lt;lenb($Z840),"ERROR",IF($Z840=$Y$1,"-",0))))))))))))</f>
        <v>0</v>
      </c>
      <c r="X840" s="105">
        <f t="shared" si="845"/>
        <v>0</v>
      </c>
      <c r="Y840" s="105" t="str">
        <f t="shared" si="4"/>
        <v>-</v>
      </c>
      <c r="Z840" s="28" t="s">
        <v>3400</v>
      </c>
      <c r="AA840" s="34">
        <f t="shared" si="5"/>
        <v>1</v>
      </c>
      <c r="AB840" s="34">
        <f>COUNTIFS(Links!B:B,"FSE",Links!C:C,A840,Links!AD:AD,1)</f>
        <v>0</v>
      </c>
      <c r="AC840" s="106" t="s">
        <v>35</v>
      </c>
      <c r="AD840" s="107" t="s">
        <v>35</v>
      </c>
      <c r="AE840" s="104" t="s">
        <v>36</v>
      </c>
      <c r="AF840" s="37" t="s">
        <v>42</v>
      </c>
      <c r="AG840" s="37" t="s">
        <v>42</v>
      </c>
      <c r="AH840" s="37" t="s">
        <v>42</v>
      </c>
      <c r="AI840" s="105" t="str">
        <f t="shared" si="6"/>
        <v>----</v>
      </c>
      <c r="AJ840" s="108" t="str">
        <f t="shared" si="7"/>
        <v>Paper has link but no statement</v>
      </c>
      <c r="AK840" s="109" t="s">
        <v>3401</v>
      </c>
      <c r="AL840" s="110" t="s">
        <v>3402</v>
      </c>
      <c r="AM840" s="40" t="str">
        <f t="shared" si="8"/>
        <v>[FP0126]</v>
      </c>
    </row>
    <row r="841" ht="67.5" customHeight="1">
      <c r="A841" s="41">
        <v>127.0</v>
      </c>
      <c r="B841" s="42" t="s">
        <v>5665</v>
      </c>
      <c r="C841" s="43">
        <v>2023.0</v>
      </c>
      <c r="D841" s="111" t="s">
        <v>35</v>
      </c>
      <c r="E841" s="45" t="s">
        <v>36</v>
      </c>
      <c r="F841" s="45" t="s">
        <v>36</v>
      </c>
      <c r="G841" s="45" t="s">
        <v>36</v>
      </c>
      <c r="H841" s="45" t="s">
        <v>36</v>
      </c>
      <c r="I841" s="45" t="s">
        <v>36</v>
      </c>
      <c r="J841" s="112" t="s">
        <v>36</v>
      </c>
      <c r="K841" s="113" t="s">
        <v>37</v>
      </c>
      <c r="L841" s="114" t="s">
        <v>35</v>
      </c>
      <c r="M841" s="114" t="s">
        <v>37</v>
      </c>
      <c r="N841" s="114" t="s">
        <v>35</v>
      </c>
      <c r="O841" s="114" t="s">
        <v>35</v>
      </c>
      <c r="P841" s="114" t="s">
        <v>35</v>
      </c>
      <c r="Q841" s="114" t="s">
        <v>37</v>
      </c>
      <c r="R841" s="114" t="s">
        <v>35</v>
      </c>
      <c r="S841" s="115" t="s">
        <v>5020</v>
      </c>
      <c r="T841" s="50" t="s">
        <v>5666</v>
      </c>
      <c r="U841" s="50" t="s">
        <v>5666</v>
      </c>
      <c r="V841" s="116">
        <f t="shared" si="2"/>
        <v>1</v>
      </c>
      <c r="W841" s="116">
        <f t="shared" ref="W841:X841" si="846">IF(lenb(SUBSTITUTE($Z841,W$1&amp;" (1)",""))&lt;lenb($Z841),1,IF(lenb(SUBSTITUTE($Z841,W$1&amp;" (2)",""))&lt;lenb($Z841),2,IF(lenb(SUBSTITUTE($Z841,W$1&amp;" (3)",""))&lt;lenb($Z841),3,IF(lenb(SUBSTITUTE($Z841,W$1&amp;" (4)",""))&lt;lenb($Z841),4,IF(lenb(SUBSTITUTE($Z841,W$1&amp;" (5)",""))&lt;lenb($Z841),5,IF(lenb(SUBSTITUTE($Z841,W$1&amp;" (6)",""))&lt;lenb($Z841),6,IF(lenb(SUBSTITUTE($Z841,W$1&amp;" (7)",""))&lt;lenb($Z841),1,IF(lenb(SUBSTITUTE($Z841,W$1&amp;" (8)",""))&lt;lenb($Z841),8,IF(lenb(SUBSTITUTE($Z841,W$1&amp;" (9)",""))&lt;lenb($Z841),9,IF(lenb(SUBSTITUTE($Z841,W$1&amp;" (10)",""))&lt;lenb($Z841),10,IF(lenb(SUBSTITUTE($Z841,W$1,""))&lt;lenb($Z841),"ERROR",IF($Z841=$Y$1,"-",0))))))))))))</f>
        <v>0</v>
      </c>
      <c r="X841" s="116">
        <f t="shared" si="846"/>
        <v>0</v>
      </c>
      <c r="Y841" s="116" t="str">
        <f t="shared" si="4"/>
        <v>-</v>
      </c>
      <c r="Z841" s="48" t="s">
        <v>3400</v>
      </c>
      <c r="AA841" s="54">
        <f t="shared" si="5"/>
        <v>1</v>
      </c>
      <c r="AB841" s="54">
        <f>COUNTIFS(Links!B:B,"FSE",Links!C:C,A841,Links!AD:AD,1)</f>
        <v>0</v>
      </c>
      <c r="AC841" s="117" t="s">
        <v>35</v>
      </c>
      <c r="AD841" s="118" t="s">
        <v>35</v>
      </c>
      <c r="AE841" s="115" t="s">
        <v>36</v>
      </c>
      <c r="AF841" s="57" t="s">
        <v>42</v>
      </c>
      <c r="AG841" s="57" t="s">
        <v>42</v>
      </c>
      <c r="AH841" s="57" t="s">
        <v>42</v>
      </c>
      <c r="AI841" s="116" t="str">
        <f t="shared" si="6"/>
        <v>----</v>
      </c>
      <c r="AJ841" s="119" t="str">
        <f t="shared" si="7"/>
        <v>Paper has link but no statement</v>
      </c>
      <c r="AK841" s="120" t="s">
        <v>3401</v>
      </c>
      <c r="AL841" s="121" t="s">
        <v>3402</v>
      </c>
      <c r="AM841" s="60" t="str">
        <f t="shared" si="8"/>
        <v>[FP0127]</v>
      </c>
    </row>
  </sheetData>
  <autoFilter ref="$A$1:$AM$841">
    <sortState ref="A1:AM841">
      <sortCondition ref="C1:C841"/>
    </sortState>
  </autoFilter>
  <customSheetViews>
    <customSheetView guid="{B369A44D-164A-44F5-B08D-2D350B30EE4F}" filter="1" showAutoFilter="1">
      <autoFilter ref="$A$1:$S$204">
        <sortState ref="A1:S204">
          <sortCondition ref="B1:B204"/>
        </sortState>
      </autoFilter>
    </customSheetView>
  </customSheetViews>
  <conditionalFormatting sqref="A2:A841">
    <cfRule type="expression" dxfId="2" priority="1">
      <formula>#REF!="In progress"</formula>
    </cfRule>
  </conditionalFormatting>
  <conditionalFormatting sqref="A2:A841">
    <cfRule type="expression" dxfId="3" priority="2">
      <formula>#REF!="Finished"</formula>
    </cfRule>
  </conditionalFormatting>
  <conditionalFormatting sqref="L1:R841">
    <cfRule type="cellIs" dxfId="4" priority="3" operator="equal">
      <formula>"Yes"</formula>
    </cfRule>
  </conditionalFormatting>
  <conditionalFormatting sqref="E1:J841 D2:D841">
    <cfRule type="cellIs" dxfId="4" priority="4" operator="equal">
      <formula>"Yes"</formula>
    </cfRule>
  </conditionalFormatting>
  <conditionalFormatting sqref="A1:A841 B1:B226 AM1:AM841">
    <cfRule type="expression" dxfId="5" priority="5">
      <formula>$AM1="ERRRO"</formula>
    </cfRule>
  </conditionalFormatting>
  <conditionalFormatting sqref="D2:J841">
    <cfRule type="expression" dxfId="1" priority="6">
      <formula>$D2="No"</formula>
    </cfRule>
  </conditionalFormatting>
  <conditionalFormatting sqref="AD2:AI841">
    <cfRule type="expression" dxfId="1" priority="7">
      <formula>"$Y2="No""</formula>
    </cfRule>
  </conditionalFormatting>
  <conditionalFormatting sqref="K2:AC841">
    <cfRule type="expression" dxfId="1" priority="8">
      <formula>"$K2="No""</formula>
    </cfRule>
  </conditionalFormatting>
  <hyperlinks>
    <hyperlink r:id="rId1" ref="T14"/>
    <hyperlink r:id="rId2" ref="U14"/>
    <hyperlink r:id="rId3" ref="T33"/>
    <hyperlink r:id="rId4" ref="U168"/>
    <hyperlink r:id="rId5" ref="T240"/>
    <hyperlink r:id="rId6" ref="U240"/>
    <hyperlink r:id="rId7" ref="T266"/>
    <hyperlink r:id="rId8" ref="U266"/>
    <hyperlink r:id="rId9" ref="U297"/>
    <hyperlink r:id="rId10" ref="T323"/>
    <hyperlink r:id="rId11" ref="U323"/>
    <hyperlink r:id="rId12" ref="T329"/>
    <hyperlink r:id="rId13" ref="U329"/>
    <hyperlink r:id="rId14" ref="U332"/>
    <hyperlink r:id="rId15" ref="T341"/>
    <hyperlink r:id="rId16" ref="U341"/>
    <hyperlink r:id="rId17" ref="S355"/>
    <hyperlink r:id="rId18" ref="S358"/>
    <hyperlink r:id="rId19" ref="S360"/>
    <hyperlink r:id="rId20" ref="S371"/>
    <hyperlink r:id="rId21" ref="S377"/>
    <hyperlink r:id="rId22" ref="S381"/>
    <hyperlink r:id="rId23" ref="T385"/>
    <hyperlink r:id="rId24" ref="U385"/>
    <hyperlink r:id="rId25" ref="T394"/>
    <hyperlink r:id="rId26" ref="U394"/>
    <hyperlink r:id="rId27" ref="S431"/>
    <hyperlink r:id="rId28" ref="S432"/>
    <hyperlink r:id="rId29" ref="S433"/>
    <hyperlink r:id="rId30" ref="S448"/>
    <hyperlink r:id="rId31" ref="S451"/>
    <hyperlink r:id="rId32" ref="S474"/>
    <hyperlink r:id="rId33" ref="S477"/>
    <hyperlink r:id="rId34" ref="S488"/>
    <hyperlink r:id="rId35" ref="S492"/>
    <hyperlink r:id="rId36" ref="S502"/>
    <hyperlink r:id="rId37" ref="S518"/>
    <hyperlink r:id="rId38" ref="T631"/>
  </hyperlinks>
  <drawing r:id="rId3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7.88"/>
    <col customWidth="1" min="2" max="4" width="6.25"/>
    <col customWidth="1" min="5" max="5" width="0.38"/>
    <col customWidth="1" min="6" max="8" width="6.25"/>
    <col customWidth="1" min="9" max="9" width="0.38"/>
    <col customWidth="1" min="10" max="12" width="6.25"/>
    <col customWidth="1" min="13" max="13" width="0.38"/>
    <col customWidth="1" min="14" max="16" width="6.25"/>
    <col customWidth="1" min="17" max="17" width="0.38"/>
    <col customWidth="1" min="18" max="20" width="6.25"/>
    <col customWidth="1" min="21" max="21" width="0.38"/>
    <col customWidth="1" min="22" max="24" width="6.25"/>
    <col customWidth="1" min="25" max="25" width="0.38"/>
    <col customWidth="1" min="26" max="28" width="6.25"/>
  </cols>
  <sheetData>
    <row r="1">
      <c r="A1" s="139" t="s">
        <v>5667</v>
      </c>
      <c r="B1" s="140" t="s">
        <v>5668</v>
      </c>
      <c r="E1" s="141"/>
      <c r="F1" s="141" t="s">
        <v>5669</v>
      </c>
      <c r="I1" s="141"/>
      <c r="J1" s="141" t="s">
        <v>5670</v>
      </c>
      <c r="M1" s="141"/>
      <c r="N1" s="141" t="s">
        <v>5671</v>
      </c>
      <c r="Q1" s="141"/>
      <c r="R1" s="141" t="s">
        <v>5672</v>
      </c>
      <c r="U1" s="141"/>
      <c r="V1" s="141" t="s">
        <v>5673</v>
      </c>
      <c r="Y1" s="141"/>
      <c r="Z1" s="141" t="s">
        <v>5674</v>
      </c>
    </row>
    <row r="2">
      <c r="A2" s="142" t="s">
        <v>2</v>
      </c>
      <c r="B2" s="142" t="s">
        <v>5675</v>
      </c>
      <c r="C2" s="142" t="s">
        <v>5676</v>
      </c>
      <c r="D2" s="143" t="s">
        <v>5677</v>
      </c>
      <c r="E2" s="142"/>
      <c r="F2" s="142" t="s">
        <v>5675</v>
      </c>
      <c r="G2" s="142" t="s">
        <v>5676</v>
      </c>
      <c r="H2" s="143" t="s">
        <v>5677</v>
      </c>
      <c r="I2" s="142"/>
      <c r="J2" s="142" t="s">
        <v>5675</v>
      </c>
      <c r="K2" s="142" t="s">
        <v>5676</v>
      </c>
      <c r="L2" s="143" t="s">
        <v>5677</v>
      </c>
      <c r="M2" s="142"/>
      <c r="N2" s="142" t="s">
        <v>5675</v>
      </c>
      <c r="O2" s="142" t="s">
        <v>5676</v>
      </c>
      <c r="P2" s="143" t="s">
        <v>5677</v>
      </c>
      <c r="Q2" s="142"/>
      <c r="R2" s="142" t="s">
        <v>5675</v>
      </c>
      <c r="S2" s="142" t="s">
        <v>5676</v>
      </c>
      <c r="T2" s="143" t="s">
        <v>5677</v>
      </c>
      <c r="U2" s="142"/>
      <c r="V2" s="142" t="s">
        <v>5675</v>
      </c>
      <c r="W2" s="142" t="s">
        <v>5676</v>
      </c>
      <c r="X2" s="143" t="s">
        <v>5677</v>
      </c>
      <c r="Y2" s="142"/>
      <c r="Z2" s="142" t="s">
        <v>5675</v>
      </c>
      <c r="AA2" s="142" t="s">
        <v>5676</v>
      </c>
      <c r="AB2" s="143" t="s">
        <v>5677</v>
      </c>
    </row>
    <row r="3">
      <c r="A3" s="144">
        <v>2014.0</v>
      </c>
      <c r="B3" s="145">
        <f>COUNTIF(ICSE!C:C,A3)</f>
        <v>98</v>
      </c>
      <c r="C3" s="145">
        <f>COUNTIF(FSE!C:C,A3)</f>
        <v>61</v>
      </c>
      <c r="D3" s="145">
        <f t="shared" ref="D3:D12" si="1">SUM(B3,C3)</f>
        <v>159</v>
      </c>
      <c r="E3" s="145"/>
      <c r="F3" s="145">
        <f>COUNTIFS(ICSE!C:C,A3,ICSE!K:K,"Yes")</f>
        <v>62</v>
      </c>
      <c r="G3" s="145">
        <f>COUNTIFS(FSE!C:C,A3,FSE!K:K,"Yes")</f>
        <v>35</v>
      </c>
      <c r="H3" s="145">
        <f t="shared" ref="H3:H12" si="2">SUM(F3,G3)</f>
        <v>97</v>
      </c>
      <c r="I3" s="146"/>
      <c r="J3" s="146" t="str">
        <f t="shared" ref="J3:J12" si="3">TEXT((F3/$B3)*100,"#0.0")</f>
        <v>63.3</v>
      </c>
      <c r="K3" s="146" t="str">
        <f t="shared" ref="K3:K12" si="4">TEXT((G3/$C3)*100,"#0.0")</f>
        <v>57.4</v>
      </c>
      <c r="L3" s="146" t="str">
        <f t="shared" ref="L3:L12" si="5">TEXT((H3/$D3)*100,"#0.0")</f>
        <v>61.0</v>
      </c>
      <c r="M3" s="145"/>
      <c r="N3" s="145">
        <f>COUNTIFS(ICSE!C:C,A3,ICSE!D:D,"Yes")</f>
        <v>1</v>
      </c>
      <c r="O3" s="145">
        <f>COUNTIFS(FSE!C:C,A3,FSE!D:D,"Yes")</f>
        <v>15</v>
      </c>
      <c r="P3" s="145">
        <f t="shared" ref="P3:P12" si="6">SUM(N3,O3)</f>
        <v>16</v>
      </c>
      <c r="Q3" s="146"/>
      <c r="R3" s="146" t="str">
        <f t="shared" ref="R3:R12" si="7">TEXT((N3/$B3)*100,"#0.0")</f>
        <v>1.0</v>
      </c>
      <c r="S3" s="146" t="str">
        <f t="shared" ref="S3:S12" si="8">TEXT((O3/$C3)*100,"#0.0")</f>
        <v>24.6</v>
      </c>
      <c r="T3" s="146" t="str">
        <f t="shared" ref="T3:T12" si="9">TEXT((P3/$D3)*100,"#0.0")</f>
        <v>10.1</v>
      </c>
      <c r="U3" s="145"/>
      <c r="V3" s="145">
        <f>COUNTIFS(ICSE!$C:$C,$A3,ICSE!$W:$W,"&gt;0")</f>
        <v>35</v>
      </c>
      <c r="W3" s="145">
        <f>COUNTIFS(FSE!$C:$C,$A3,FSE!$W:$W,"&gt;0")</f>
        <v>16</v>
      </c>
      <c r="X3" s="145">
        <f t="shared" ref="X3:X12" si="10">SUM(V3,W3)</f>
        <v>51</v>
      </c>
      <c r="Y3" s="146"/>
      <c r="Z3" s="146" t="str">
        <f t="shared" ref="Z3:Z12" si="11">TEXT((V3/$F3)*100,"#0.0")</f>
        <v>56.5</v>
      </c>
      <c r="AA3" s="146" t="str">
        <f t="shared" ref="AA3:AA12" si="12">TEXT((W3/$G3)*100,"#0.0")</f>
        <v>45.7</v>
      </c>
      <c r="AB3" s="146" t="str">
        <f t="shared" ref="AB3:AB12" si="13">TEXT((X3/$H3)*100,"#0.0")</f>
        <v>52.6</v>
      </c>
    </row>
    <row r="4">
      <c r="A4" s="147">
        <v>2015.0</v>
      </c>
      <c r="B4" s="148">
        <f>COUNTIF(ICSE!C:C,A4)</f>
        <v>84</v>
      </c>
      <c r="C4" s="148">
        <f>COUNTIF(FSE!C:C,A4)</f>
        <v>74</v>
      </c>
      <c r="D4" s="148">
        <f t="shared" si="1"/>
        <v>158</v>
      </c>
      <c r="E4" s="148"/>
      <c r="F4" s="148">
        <f>COUNTIFS(ICSE!C:C,A4,ICSE!K:K,"Yes")</f>
        <v>49</v>
      </c>
      <c r="G4" s="148">
        <f>COUNTIFS(FSE!C:C,A4,FSE!K:K,"Yes")</f>
        <v>48</v>
      </c>
      <c r="H4" s="148">
        <f t="shared" si="2"/>
        <v>97</v>
      </c>
      <c r="I4" s="149"/>
      <c r="J4" s="149" t="str">
        <f t="shared" si="3"/>
        <v>58.3</v>
      </c>
      <c r="K4" s="149" t="str">
        <f t="shared" si="4"/>
        <v>64.9</v>
      </c>
      <c r="L4" s="149" t="str">
        <f t="shared" si="5"/>
        <v>61.4</v>
      </c>
      <c r="M4" s="148"/>
      <c r="N4" s="148">
        <f>COUNTIFS(ICSE!C:C,A4,ICSE!D:D,"Yes")</f>
        <v>0</v>
      </c>
      <c r="O4" s="148">
        <f>COUNTIFS(FSE!C:C,A4,FSE!D:D,"Yes")</f>
        <v>17</v>
      </c>
      <c r="P4" s="148">
        <f t="shared" si="6"/>
        <v>17</v>
      </c>
      <c r="Q4" s="149"/>
      <c r="R4" s="149" t="str">
        <f t="shared" si="7"/>
        <v>0.0</v>
      </c>
      <c r="S4" s="149" t="str">
        <f t="shared" si="8"/>
        <v>23.0</v>
      </c>
      <c r="T4" s="149" t="str">
        <f t="shared" si="9"/>
        <v>10.8</v>
      </c>
      <c r="U4" s="148"/>
      <c r="V4" s="148">
        <f>COUNTIFS(ICSE!$C:$C,$A4,ICSE!$W:$W,"&gt;0")</f>
        <v>23</v>
      </c>
      <c r="W4" s="148">
        <f>COUNTIFS(FSE!$C:$C,$A4,FSE!$W:$W,"&gt;0")</f>
        <v>21</v>
      </c>
      <c r="X4" s="148">
        <f t="shared" si="10"/>
        <v>44</v>
      </c>
      <c r="Y4" s="149"/>
      <c r="Z4" s="149" t="str">
        <f t="shared" si="11"/>
        <v>46.9</v>
      </c>
      <c r="AA4" s="149" t="str">
        <f t="shared" si="12"/>
        <v>43.8</v>
      </c>
      <c r="AB4" s="149" t="str">
        <f t="shared" si="13"/>
        <v>45.4</v>
      </c>
    </row>
    <row r="5">
      <c r="A5" s="144">
        <v>2016.0</v>
      </c>
      <c r="B5" s="145">
        <f>COUNTIF(ICSE!C:C,A5)</f>
        <v>101</v>
      </c>
      <c r="C5" s="145">
        <f>COUNTIF(FSE!C:C,A5)</f>
        <v>74</v>
      </c>
      <c r="D5" s="145">
        <f t="shared" si="1"/>
        <v>175</v>
      </c>
      <c r="E5" s="145"/>
      <c r="F5" s="145">
        <f>COUNTIFS(ICSE!C:C,A5,ICSE!K:K,"Yes")</f>
        <v>70</v>
      </c>
      <c r="G5" s="145">
        <f>COUNTIFS(FSE!C:C,A5,FSE!K:K,"Yes")</f>
        <v>54</v>
      </c>
      <c r="H5" s="145">
        <f t="shared" si="2"/>
        <v>124</v>
      </c>
      <c r="I5" s="146"/>
      <c r="J5" s="146" t="str">
        <f t="shared" si="3"/>
        <v>69.3</v>
      </c>
      <c r="K5" s="146" t="str">
        <f t="shared" si="4"/>
        <v>73.0</v>
      </c>
      <c r="L5" s="146" t="str">
        <f t="shared" si="5"/>
        <v>70.9</v>
      </c>
      <c r="M5" s="145"/>
      <c r="N5" s="145">
        <f>COUNTIFS(ICSE!C:C,A5,ICSE!D:D,"Yes")</f>
        <v>0</v>
      </c>
      <c r="O5" s="145">
        <f>COUNTIFS(FSE!C:C,A5,FSE!D:D,"Yes")</f>
        <v>17</v>
      </c>
      <c r="P5" s="145">
        <f t="shared" si="6"/>
        <v>17</v>
      </c>
      <c r="Q5" s="146"/>
      <c r="R5" s="146" t="str">
        <f t="shared" si="7"/>
        <v>0.0</v>
      </c>
      <c r="S5" s="146" t="str">
        <f t="shared" si="8"/>
        <v>23.0</v>
      </c>
      <c r="T5" s="146" t="str">
        <f t="shared" si="9"/>
        <v>9.7</v>
      </c>
      <c r="U5" s="145"/>
      <c r="V5" s="145">
        <f>COUNTIFS(ICSE!$C:$C,$A5,ICSE!$W:$W,"&gt;0")</f>
        <v>37</v>
      </c>
      <c r="W5" s="145">
        <f>COUNTIFS(FSE!$C:$C,$A5,FSE!$W:$W,"&gt;0")</f>
        <v>21</v>
      </c>
      <c r="X5" s="145">
        <f t="shared" si="10"/>
        <v>58</v>
      </c>
      <c r="Y5" s="146"/>
      <c r="Z5" s="146" t="str">
        <f t="shared" si="11"/>
        <v>52.9</v>
      </c>
      <c r="AA5" s="146" t="str">
        <f t="shared" si="12"/>
        <v>38.9</v>
      </c>
      <c r="AB5" s="146" t="str">
        <f t="shared" si="13"/>
        <v>46.8</v>
      </c>
    </row>
    <row r="6">
      <c r="A6" s="147">
        <v>2017.0</v>
      </c>
      <c r="B6" s="148">
        <f>COUNTIF(ICSE!C:C,A6)</f>
        <v>68</v>
      </c>
      <c r="C6" s="148">
        <f>COUNTIF(FSE!C:C,A6)</f>
        <v>72</v>
      </c>
      <c r="D6" s="148">
        <f t="shared" si="1"/>
        <v>140</v>
      </c>
      <c r="E6" s="148"/>
      <c r="F6" s="148">
        <f>COUNTIFS(ICSE!C:C,A6,ICSE!K:K,"Yes")</f>
        <v>56</v>
      </c>
      <c r="G6" s="148">
        <f>COUNTIFS(FSE!C:C,A6,FSE!K:K,"Yes")</f>
        <v>53</v>
      </c>
      <c r="H6" s="148">
        <f t="shared" si="2"/>
        <v>109</v>
      </c>
      <c r="I6" s="149"/>
      <c r="J6" s="149" t="str">
        <f t="shared" si="3"/>
        <v>82.4</v>
      </c>
      <c r="K6" s="149" t="str">
        <f t="shared" si="4"/>
        <v>73.6</v>
      </c>
      <c r="L6" s="149" t="str">
        <f t="shared" si="5"/>
        <v>77.9</v>
      </c>
      <c r="M6" s="148"/>
      <c r="N6" s="148">
        <f>COUNTIFS(ICSE!C:C,A6,ICSE!D:D,"Yes")</f>
        <v>0</v>
      </c>
      <c r="O6" s="148">
        <f>COUNTIFS(FSE!C:C,A6,FSE!D:D,"Yes")</f>
        <v>11</v>
      </c>
      <c r="P6" s="148">
        <f t="shared" si="6"/>
        <v>11</v>
      </c>
      <c r="Q6" s="149"/>
      <c r="R6" s="149" t="str">
        <f t="shared" si="7"/>
        <v>0.0</v>
      </c>
      <c r="S6" s="149" t="str">
        <f t="shared" si="8"/>
        <v>15.3</v>
      </c>
      <c r="T6" s="149" t="str">
        <f t="shared" si="9"/>
        <v>7.9</v>
      </c>
      <c r="U6" s="148"/>
      <c r="V6" s="148">
        <f>COUNTIFS(ICSE!$C:$C,$A6,ICSE!$W:$W,"&gt;0")</f>
        <v>20</v>
      </c>
      <c r="W6" s="148">
        <f>COUNTIFS(FSE!$C:$C,$A6,FSE!$W:$W,"&gt;0")</f>
        <v>14</v>
      </c>
      <c r="X6" s="148">
        <f t="shared" si="10"/>
        <v>34</v>
      </c>
      <c r="Y6" s="149"/>
      <c r="Z6" s="149" t="str">
        <f t="shared" si="11"/>
        <v>35.7</v>
      </c>
      <c r="AA6" s="149" t="str">
        <f t="shared" si="12"/>
        <v>26.4</v>
      </c>
      <c r="AB6" s="149" t="str">
        <f t="shared" si="13"/>
        <v>31.2</v>
      </c>
    </row>
    <row r="7">
      <c r="A7" s="144">
        <v>2018.0</v>
      </c>
      <c r="B7" s="145">
        <f>COUNTIF(ICSE!C:C,A7)</f>
        <v>105</v>
      </c>
      <c r="C7" s="145">
        <f>COUNTIF(FSE!C:C,A7)</f>
        <v>61</v>
      </c>
      <c r="D7" s="145">
        <f t="shared" si="1"/>
        <v>166</v>
      </c>
      <c r="E7" s="145"/>
      <c r="F7" s="145">
        <f>COUNTIFS(ICSE!C:C,A7,ICSE!K:K,"Yes")</f>
        <v>83</v>
      </c>
      <c r="G7" s="145">
        <f>COUNTIFS(FSE!C:C,A7,FSE!K:K,"Yes")</f>
        <v>51</v>
      </c>
      <c r="H7" s="145">
        <f t="shared" si="2"/>
        <v>134</v>
      </c>
      <c r="I7" s="146"/>
      <c r="J7" s="146" t="str">
        <f t="shared" si="3"/>
        <v>79.0</v>
      </c>
      <c r="K7" s="146" t="str">
        <f t="shared" si="4"/>
        <v>83.6</v>
      </c>
      <c r="L7" s="146" t="str">
        <f t="shared" si="5"/>
        <v>80.7</v>
      </c>
      <c r="M7" s="145"/>
      <c r="N7" s="145">
        <f>COUNTIFS(ICSE!C:C,A7,ICSE!D:D,"Yes")</f>
        <v>2</v>
      </c>
      <c r="O7" s="145">
        <f>COUNTIFS(FSE!C:C,A7,FSE!D:D,"Yes")</f>
        <v>20</v>
      </c>
      <c r="P7" s="145">
        <f t="shared" si="6"/>
        <v>22</v>
      </c>
      <c r="Q7" s="146"/>
      <c r="R7" s="146" t="str">
        <f t="shared" si="7"/>
        <v>1.9</v>
      </c>
      <c r="S7" s="146" t="str">
        <f t="shared" si="8"/>
        <v>32.8</v>
      </c>
      <c r="T7" s="146" t="str">
        <f t="shared" si="9"/>
        <v>13.3</v>
      </c>
      <c r="U7" s="145"/>
      <c r="V7" s="145">
        <f>COUNTIFS(ICSE!$C:$C,$A7,ICSE!$W:$W,"&gt;0")</f>
        <v>17</v>
      </c>
      <c r="W7" s="145">
        <f>COUNTIFS(FSE!$C:$C,$A7,FSE!$W:$W,"&gt;0")</f>
        <v>5</v>
      </c>
      <c r="X7" s="145">
        <f t="shared" si="10"/>
        <v>22</v>
      </c>
      <c r="Y7" s="146"/>
      <c r="Z7" s="146" t="str">
        <f t="shared" si="11"/>
        <v>20.5</v>
      </c>
      <c r="AA7" s="146" t="str">
        <f t="shared" si="12"/>
        <v>9.8</v>
      </c>
      <c r="AB7" s="146" t="str">
        <f t="shared" si="13"/>
        <v>16.4</v>
      </c>
    </row>
    <row r="8">
      <c r="A8" s="147">
        <v>2019.0</v>
      </c>
      <c r="B8" s="148">
        <f>COUNTIF(ICSE!C:C,A8)</f>
        <v>109</v>
      </c>
      <c r="C8" s="148">
        <f>COUNTIF(FSE!C:C,A8)</f>
        <v>74</v>
      </c>
      <c r="D8" s="148">
        <f t="shared" si="1"/>
        <v>183</v>
      </c>
      <c r="E8" s="148"/>
      <c r="F8" s="148">
        <f>COUNTIFS(ICSE!C:C,A8,ICSE!K:K,"Yes")</f>
        <v>79</v>
      </c>
      <c r="G8" s="148">
        <f>COUNTIFS(FSE!C:C,A8,FSE!K:K,"Yes")</f>
        <v>62</v>
      </c>
      <c r="H8" s="148">
        <f t="shared" si="2"/>
        <v>141</v>
      </c>
      <c r="I8" s="149"/>
      <c r="J8" s="149" t="str">
        <f t="shared" si="3"/>
        <v>72.5</v>
      </c>
      <c r="K8" s="149" t="str">
        <f t="shared" si="4"/>
        <v>83.8</v>
      </c>
      <c r="L8" s="149" t="str">
        <f t="shared" si="5"/>
        <v>77.0</v>
      </c>
      <c r="M8" s="148"/>
      <c r="N8" s="148">
        <f>COUNTIFS(ICSE!C:C,A8,ICSE!D:D,"Yes")</f>
        <v>45</v>
      </c>
      <c r="O8" s="148">
        <f>COUNTIFS(FSE!C:C,A8,FSE!D:D,"Yes")</f>
        <v>21</v>
      </c>
      <c r="P8" s="148">
        <f t="shared" si="6"/>
        <v>66</v>
      </c>
      <c r="Q8" s="149"/>
      <c r="R8" s="149" t="str">
        <f t="shared" si="7"/>
        <v>41.3</v>
      </c>
      <c r="S8" s="149" t="str">
        <f t="shared" si="8"/>
        <v>28.4</v>
      </c>
      <c r="T8" s="149" t="str">
        <f t="shared" si="9"/>
        <v>36.1</v>
      </c>
      <c r="U8" s="148"/>
      <c r="V8" s="148">
        <f>COUNTIFS(ICSE!$C:$C,$A8,ICSE!$W:$W,"&gt;0")</f>
        <v>6</v>
      </c>
      <c r="W8" s="148">
        <f>COUNTIFS(FSE!$C:$C,$A8,FSE!$W:$W,"&gt;0")</f>
        <v>9</v>
      </c>
      <c r="X8" s="148">
        <f t="shared" si="10"/>
        <v>15</v>
      </c>
      <c r="Y8" s="149"/>
      <c r="Z8" s="149" t="str">
        <f t="shared" si="11"/>
        <v>7.6</v>
      </c>
      <c r="AA8" s="149" t="str">
        <f t="shared" si="12"/>
        <v>14.5</v>
      </c>
      <c r="AB8" s="149" t="str">
        <f t="shared" si="13"/>
        <v>10.6</v>
      </c>
    </row>
    <row r="9">
      <c r="A9" s="144">
        <v>2020.0</v>
      </c>
      <c r="B9" s="145">
        <f>COUNTIF(ICSE!C:C,A9)</f>
        <v>129</v>
      </c>
      <c r="C9" s="145">
        <f>COUNTIF(FSE!C:C,A9)</f>
        <v>101</v>
      </c>
      <c r="D9" s="145">
        <f t="shared" si="1"/>
        <v>230</v>
      </c>
      <c r="E9" s="145"/>
      <c r="F9" s="145">
        <f>COUNTIFS(ICSE!C:C,A9,ICSE!K:K,"Yes")</f>
        <v>106</v>
      </c>
      <c r="G9" s="145">
        <f>COUNTIFS(FSE!C:C,A9,FSE!K:K,"Yes")</f>
        <v>91</v>
      </c>
      <c r="H9" s="145">
        <f t="shared" si="2"/>
        <v>197</v>
      </c>
      <c r="I9" s="146"/>
      <c r="J9" s="146" t="str">
        <f t="shared" si="3"/>
        <v>82.2</v>
      </c>
      <c r="K9" s="146" t="str">
        <f t="shared" si="4"/>
        <v>90.1</v>
      </c>
      <c r="L9" s="146" t="str">
        <f t="shared" si="5"/>
        <v>85.7</v>
      </c>
      <c r="M9" s="145"/>
      <c r="N9" s="145">
        <f>COUNTIFS(ICSE!C:C,A9,ICSE!D:D,"Yes")</f>
        <v>54</v>
      </c>
      <c r="O9" s="145">
        <f>COUNTIFS(FSE!C:C,A9,FSE!D:D,"Yes")</f>
        <v>54</v>
      </c>
      <c r="P9" s="145">
        <f t="shared" si="6"/>
        <v>108</v>
      </c>
      <c r="Q9" s="146"/>
      <c r="R9" s="146" t="str">
        <f t="shared" si="7"/>
        <v>41.9</v>
      </c>
      <c r="S9" s="146" t="str">
        <f t="shared" si="8"/>
        <v>53.5</v>
      </c>
      <c r="T9" s="146" t="str">
        <f t="shared" si="9"/>
        <v>47.0</v>
      </c>
      <c r="U9" s="145"/>
      <c r="V9" s="145">
        <f>COUNTIFS(ICSE!$C:$C,$A9,ICSE!$W:$W,"&gt;0")</f>
        <v>7</v>
      </c>
      <c r="W9" s="145">
        <f>COUNTIFS(FSE!$C:$C,$A9,FSE!$W:$W,"&gt;0")</f>
        <v>5</v>
      </c>
      <c r="X9" s="145">
        <f t="shared" si="10"/>
        <v>12</v>
      </c>
      <c r="Y9" s="146"/>
      <c r="Z9" s="146" t="str">
        <f t="shared" si="11"/>
        <v>6.6</v>
      </c>
      <c r="AA9" s="146" t="str">
        <f t="shared" si="12"/>
        <v>5.5</v>
      </c>
      <c r="AB9" s="146" t="str">
        <f t="shared" si="13"/>
        <v>6.1</v>
      </c>
    </row>
    <row r="10">
      <c r="A10" s="147">
        <v>2021.0</v>
      </c>
      <c r="B10" s="148">
        <f>COUNTIF(ICSE!C:C,A10)</f>
        <v>138</v>
      </c>
      <c r="C10" s="148">
        <f>COUNTIF(FSE!C:C,A10)</f>
        <v>97</v>
      </c>
      <c r="D10" s="148">
        <f t="shared" si="1"/>
        <v>235</v>
      </c>
      <c r="E10" s="148"/>
      <c r="F10" s="148">
        <f>COUNTIFS(ICSE!C:C,A10,ICSE!K:K,"Yes")</f>
        <v>120</v>
      </c>
      <c r="G10" s="148">
        <f>COUNTIFS(FSE!C:C,A10,FSE!K:K,"Yes")</f>
        <v>85</v>
      </c>
      <c r="H10" s="148">
        <f t="shared" si="2"/>
        <v>205</v>
      </c>
      <c r="I10" s="149"/>
      <c r="J10" s="149" t="str">
        <f t="shared" si="3"/>
        <v>87.0</v>
      </c>
      <c r="K10" s="149" t="str">
        <f t="shared" si="4"/>
        <v>87.6</v>
      </c>
      <c r="L10" s="149" t="str">
        <f t="shared" si="5"/>
        <v>87.2</v>
      </c>
      <c r="M10" s="148"/>
      <c r="N10" s="148">
        <f>COUNTIFS(ICSE!C:C,A10,ICSE!D:D,"Yes")</f>
        <v>50</v>
      </c>
      <c r="O10" s="148">
        <f>COUNTIFS(FSE!C:C,A10,FSE!D:D,"Yes")</f>
        <v>50</v>
      </c>
      <c r="P10" s="148">
        <f t="shared" si="6"/>
        <v>100</v>
      </c>
      <c r="Q10" s="149"/>
      <c r="R10" s="149" t="str">
        <f t="shared" si="7"/>
        <v>36.2</v>
      </c>
      <c r="S10" s="149" t="str">
        <f t="shared" si="8"/>
        <v>51.5</v>
      </c>
      <c r="T10" s="149" t="str">
        <f t="shared" si="9"/>
        <v>42.6</v>
      </c>
      <c r="U10" s="148"/>
      <c r="V10" s="148">
        <f>COUNTIFS(ICSE!$C:$C,$A10,ICSE!$W:$W,"&gt;0")</f>
        <v>6</v>
      </c>
      <c r="W10" s="148">
        <f>COUNTIFS(FSE!$C:$C,$A10,FSE!$W:$W,"&gt;0")</f>
        <v>2</v>
      </c>
      <c r="X10" s="148">
        <f t="shared" si="10"/>
        <v>8</v>
      </c>
      <c r="Y10" s="149"/>
      <c r="Z10" s="149" t="str">
        <f t="shared" si="11"/>
        <v>5.0</v>
      </c>
      <c r="AA10" s="149" t="str">
        <f t="shared" si="12"/>
        <v>2.4</v>
      </c>
      <c r="AB10" s="149" t="str">
        <f t="shared" si="13"/>
        <v>3.9</v>
      </c>
    </row>
    <row r="11">
      <c r="A11" s="144">
        <v>2022.0</v>
      </c>
      <c r="B11" s="145">
        <f>COUNTIF(ICSE!C:C,A11)</f>
        <v>197</v>
      </c>
      <c r="C11" s="145">
        <f>COUNTIF(FSE!C:C,A11)</f>
        <v>99</v>
      </c>
      <c r="D11" s="145">
        <f t="shared" si="1"/>
        <v>296</v>
      </c>
      <c r="E11" s="145"/>
      <c r="F11" s="145">
        <f>COUNTIFS(ICSE!C:C,A11,ICSE!K:K,"Yes")</f>
        <v>176</v>
      </c>
      <c r="G11" s="145">
        <f>COUNTIFS(FSE!C:C,A11,FSE!K:K,"Yes")</f>
        <v>91</v>
      </c>
      <c r="H11" s="145">
        <f t="shared" si="2"/>
        <v>267</v>
      </c>
      <c r="I11" s="146"/>
      <c r="J11" s="146" t="str">
        <f t="shared" si="3"/>
        <v>89.3</v>
      </c>
      <c r="K11" s="146" t="str">
        <f t="shared" si="4"/>
        <v>91.9</v>
      </c>
      <c r="L11" s="146" t="str">
        <f t="shared" si="5"/>
        <v>90.2</v>
      </c>
      <c r="M11" s="145"/>
      <c r="N11" s="145">
        <f>COUNTIFS(ICSE!C:C,A11,ICSE!D:D,"Yes")</f>
        <v>63</v>
      </c>
      <c r="O11" s="145">
        <f>COUNTIFS(FSE!C:C,A11,FSE!D:D,"Yes")</f>
        <v>41</v>
      </c>
      <c r="P11" s="145">
        <f t="shared" si="6"/>
        <v>104</v>
      </c>
      <c r="Q11" s="146"/>
      <c r="R11" s="146" t="str">
        <f t="shared" si="7"/>
        <v>32.0</v>
      </c>
      <c r="S11" s="146" t="str">
        <f t="shared" si="8"/>
        <v>41.4</v>
      </c>
      <c r="T11" s="146" t="str">
        <f t="shared" si="9"/>
        <v>35.1</v>
      </c>
      <c r="U11" s="145"/>
      <c r="V11" s="145">
        <f>COUNTIFS(ICSE!$C:$C,$A11,ICSE!$W:$W,"&gt;0")</f>
        <v>5</v>
      </c>
      <c r="W11" s="145">
        <f>COUNTIFS(FSE!$C:$C,$A11,FSE!$W:$W,"&gt;0")</f>
        <v>1</v>
      </c>
      <c r="X11" s="145">
        <f t="shared" si="10"/>
        <v>6</v>
      </c>
      <c r="Y11" s="146"/>
      <c r="Z11" s="146" t="str">
        <f t="shared" si="11"/>
        <v>2.8</v>
      </c>
      <c r="AA11" s="146" t="str">
        <f t="shared" si="12"/>
        <v>1.1</v>
      </c>
      <c r="AB11" s="146" t="str">
        <f t="shared" si="13"/>
        <v>2.2</v>
      </c>
    </row>
    <row r="12">
      <c r="A12" s="147">
        <v>2023.0</v>
      </c>
      <c r="B12" s="148">
        <f>COUNTIF(ICSE!C:C,A12)</f>
        <v>207</v>
      </c>
      <c r="C12" s="148">
        <f>COUNTIF(FSE!C:C,A12)</f>
        <v>127</v>
      </c>
      <c r="D12" s="148">
        <f t="shared" si="1"/>
        <v>334</v>
      </c>
      <c r="E12" s="148"/>
      <c r="F12" s="148">
        <f>COUNTIFS(ICSE!C:C,A12,ICSE!K:K,"Yes")</f>
        <v>200</v>
      </c>
      <c r="G12" s="148">
        <f>COUNTIFS(FSE!C:C,A12,FSE!K:K,"Yes")</f>
        <v>125</v>
      </c>
      <c r="H12" s="148">
        <f t="shared" si="2"/>
        <v>325</v>
      </c>
      <c r="I12" s="149"/>
      <c r="J12" s="149" t="str">
        <f t="shared" si="3"/>
        <v>96.6</v>
      </c>
      <c r="K12" s="149" t="str">
        <f t="shared" si="4"/>
        <v>98.4</v>
      </c>
      <c r="L12" s="149" t="str">
        <f t="shared" si="5"/>
        <v>97.3</v>
      </c>
      <c r="M12" s="148"/>
      <c r="N12" s="148">
        <f>COUNTIFS(ICSE!C:C,A12,ICSE!D:D,"Yes")</f>
        <v>82</v>
      </c>
      <c r="O12" s="148">
        <f>COUNTIFS(FSE!C:C,A12,FSE!D:D,"Yes")</f>
        <v>62</v>
      </c>
      <c r="P12" s="148">
        <f t="shared" si="6"/>
        <v>144</v>
      </c>
      <c r="Q12" s="149"/>
      <c r="R12" s="149" t="str">
        <f t="shared" si="7"/>
        <v>39.6</v>
      </c>
      <c r="S12" s="149" t="str">
        <f t="shared" si="8"/>
        <v>48.8</v>
      </c>
      <c r="T12" s="149" t="str">
        <f t="shared" si="9"/>
        <v>43.1</v>
      </c>
      <c r="U12" s="148"/>
      <c r="V12" s="148">
        <f>COUNTIFS(ICSE!$C:$C,$A12,ICSE!$W:$W,"&gt;0")</f>
        <v>9</v>
      </c>
      <c r="W12" s="148">
        <f>COUNTIFS(FSE!$C:$C,$A12,FSE!$W:$W,"&gt;0")</f>
        <v>4</v>
      </c>
      <c r="X12" s="148">
        <f t="shared" si="10"/>
        <v>13</v>
      </c>
      <c r="Y12" s="149"/>
      <c r="Z12" s="149" t="str">
        <f t="shared" si="11"/>
        <v>4.5</v>
      </c>
      <c r="AA12" s="149" t="str">
        <f t="shared" si="12"/>
        <v>3.2</v>
      </c>
      <c r="AB12" s="149" t="str">
        <f t="shared" si="13"/>
        <v>4.0</v>
      </c>
    </row>
    <row r="13" ht="1.5" customHeight="1">
      <c r="A13" s="150"/>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row>
    <row r="14">
      <c r="A14" s="151" t="s">
        <v>5678</v>
      </c>
      <c r="B14" s="152">
        <f t="shared" ref="B14:C14" si="14">SUM(B3:B12)</f>
        <v>1236</v>
      </c>
      <c r="C14" s="152">
        <f t="shared" si="14"/>
        <v>840</v>
      </c>
      <c r="D14" s="152">
        <f>SUM(B14,C14)</f>
        <v>2076</v>
      </c>
      <c r="E14" s="152"/>
      <c r="F14" s="152">
        <f t="shared" ref="F14:G14" si="15">SUM(F3:F12)</f>
        <v>1001</v>
      </c>
      <c r="G14" s="152">
        <f t="shared" si="15"/>
        <v>695</v>
      </c>
      <c r="H14" s="152">
        <f>SUM(F14,G14)</f>
        <v>1696</v>
      </c>
      <c r="I14" s="152"/>
      <c r="J14" s="152"/>
      <c r="K14" s="152"/>
      <c r="L14" s="152"/>
      <c r="M14" s="152"/>
      <c r="N14" s="152">
        <f t="shared" ref="N14:O14" si="16">SUM(N3:N12)</f>
        <v>297</v>
      </c>
      <c r="O14" s="152">
        <f t="shared" si="16"/>
        <v>308</v>
      </c>
      <c r="P14" s="152">
        <f>SUM(N14,O14)</f>
        <v>605</v>
      </c>
      <c r="Q14" s="152"/>
      <c r="R14" s="152"/>
      <c r="S14" s="152"/>
      <c r="T14" s="152"/>
      <c r="U14" s="152"/>
      <c r="V14" s="152">
        <f t="shared" ref="V14:W14" si="17">SUM(V3:V12)</f>
        <v>165</v>
      </c>
      <c r="W14" s="152">
        <f t="shared" si="17"/>
        <v>98</v>
      </c>
      <c r="X14" s="152">
        <f>SUM(V14,W14)</f>
        <v>263</v>
      </c>
      <c r="Y14" s="152"/>
      <c r="Z14" s="153"/>
      <c r="AA14" s="153"/>
      <c r="AB14" s="153"/>
    </row>
    <row r="15" ht="11.25" customHeight="1">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54"/>
      <c r="AA15" s="154"/>
      <c r="AB15" s="154"/>
    </row>
    <row r="16">
      <c r="A16" s="155" t="s">
        <v>5679</v>
      </c>
      <c r="B16" s="145">
        <f>sum(B8:B12)</f>
        <v>780</v>
      </c>
      <c r="C16" s="145">
        <f>SUM(C3:C12)</f>
        <v>840</v>
      </c>
      <c r="D16" s="145">
        <f>SUM(B16,C16)</f>
        <v>1620</v>
      </c>
      <c r="E16" s="145"/>
      <c r="F16" s="145">
        <f>sum(F8:F12)</f>
        <v>681</v>
      </c>
      <c r="G16" s="145">
        <f>SUM(G3:G12)</f>
        <v>695</v>
      </c>
      <c r="H16" s="145">
        <f>SUM(F16,G16)</f>
        <v>1376</v>
      </c>
      <c r="I16" s="145"/>
      <c r="J16" s="145"/>
      <c r="K16" s="145"/>
      <c r="L16" s="145"/>
      <c r="M16" s="145"/>
      <c r="N16" s="145">
        <f>sum(N8:N12)</f>
        <v>294</v>
      </c>
      <c r="O16" s="145">
        <f>SUM(O3:O12)</f>
        <v>308</v>
      </c>
      <c r="P16" s="145">
        <f>SUM(N16,O16)</f>
        <v>602</v>
      </c>
      <c r="Q16" s="145"/>
      <c r="R16" s="145"/>
      <c r="S16" s="145"/>
      <c r="T16" s="145"/>
      <c r="U16" s="145"/>
      <c r="V16" s="145">
        <f>sum(V8:V12)</f>
        <v>33</v>
      </c>
      <c r="W16" s="145">
        <f>SUM(W3:W12)</f>
        <v>98</v>
      </c>
      <c r="X16" s="145">
        <f>SUM(V16,W16)</f>
        <v>131</v>
      </c>
      <c r="Y16" s="145"/>
      <c r="Z16" s="154"/>
      <c r="AA16" s="154"/>
      <c r="AB16" s="154"/>
    </row>
    <row r="17">
      <c r="B17" s="156" t="s">
        <v>5680</v>
      </c>
      <c r="C17" s="156" t="s">
        <v>5681</v>
      </c>
      <c r="D17" s="157"/>
      <c r="E17" s="156"/>
      <c r="F17" s="156" t="s">
        <v>5680</v>
      </c>
      <c r="G17" s="156" t="s">
        <v>5681</v>
      </c>
      <c r="H17" s="157"/>
      <c r="I17" s="156"/>
      <c r="J17" s="156"/>
      <c r="K17" s="157"/>
      <c r="L17" s="157"/>
      <c r="M17" s="156"/>
      <c r="N17" s="156" t="s">
        <v>5680</v>
      </c>
      <c r="O17" s="156" t="s">
        <v>5681</v>
      </c>
      <c r="P17" s="157"/>
      <c r="Q17" s="156"/>
      <c r="R17" s="156"/>
      <c r="S17" s="157"/>
      <c r="T17" s="157"/>
      <c r="U17" s="156"/>
      <c r="V17" s="156" t="s">
        <v>5680</v>
      </c>
      <c r="W17" s="156" t="s">
        <v>5681</v>
      </c>
      <c r="X17" s="157"/>
      <c r="Y17" s="156"/>
      <c r="Z17" s="154"/>
      <c r="AA17" s="154"/>
      <c r="AB17" s="154"/>
    </row>
  </sheetData>
  <mergeCells count="8">
    <mergeCell ref="B1:D1"/>
    <mergeCell ref="F1:H1"/>
    <mergeCell ref="J1:L1"/>
    <mergeCell ref="N1:P1"/>
    <mergeCell ref="R1:T1"/>
    <mergeCell ref="V1:X1"/>
    <mergeCell ref="Z1:AB1"/>
    <mergeCell ref="A16:A1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4.88"/>
    <col customWidth="1" min="2" max="2" width="5.13"/>
    <col customWidth="1" min="3" max="3" width="4.63"/>
    <col customWidth="1" min="4" max="4" width="36.63"/>
    <col customWidth="1" min="5" max="5" width="16.25"/>
    <col customWidth="1" min="6" max="6" width="15.0"/>
    <col customWidth="1" min="7" max="7" width="4.38"/>
    <col customWidth="1" min="8" max="51" width="5.5"/>
    <col customWidth="1" min="52" max="52" width="1.88"/>
    <col customWidth="1" min="53" max="57" width="4.38"/>
    <col customWidth="1" min="58" max="58" width="38.13"/>
  </cols>
  <sheetData>
    <row r="1">
      <c r="A1" s="158" t="s">
        <v>5682</v>
      </c>
      <c r="B1" s="159">
        <f>COUNTIF(C:C,"&gt;0")</f>
        <v>2171</v>
      </c>
      <c r="C1" s="160"/>
      <c r="D1" s="161" t="s">
        <v>5683</v>
      </c>
      <c r="E1" s="162" t="str">
        <f>"ICSE: "&amp;COUNTIF(B:B,"ICSE")&amp;" links"</f>
        <v>ICSE: 1227 links</v>
      </c>
      <c r="F1" s="162" t="str">
        <f>"FSE: "&amp;COUNTIF(B:B,"FSE")&amp;" links"</f>
        <v>FSE: 944 links</v>
      </c>
      <c r="G1" s="163"/>
      <c r="H1" s="164">
        <f t="shared" ref="H1:AY1" si="1">SUM(H3:H2173)</f>
        <v>328</v>
      </c>
      <c r="I1" s="165">
        <f t="shared" si="1"/>
        <v>93</v>
      </c>
      <c r="J1" s="165">
        <f t="shared" si="1"/>
        <v>27</v>
      </c>
      <c r="K1" s="165">
        <f t="shared" si="1"/>
        <v>5</v>
      </c>
      <c r="L1" s="166">
        <f t="shared" si="1"/>
        <v>1</v>
      </c>
      <c r="M1" s="165">
        <f t="shared" si="1"/>
        <v>7</v>
      </c>
      <c r="N1" s="165">
        <f t="shared" si="1"/>
        <v>6</v>
      </c>
      <c r="O1" s="165">
        <f t="shared" si="1"/>
        <v>1</v>
      </c>
      <c r="P1" s="167">
        <f t="shared" si="1"/>
        <v>987</v>
      </c>
      <c r="Q1" s="167">
        <f t="shared" si="1"/>
        <v>5</v>
      </c>
      <c r="R1" s="167">
        <f t="shared" si="1"/>
        <v>31</v>
      </c>
      <c r="S1" s="167">
        <f t="shared" si="1"/>
        <v>7</v>
      </c>
      <c r="T1" s="167">
        <f t="shared" si="1"/>
        <v>4</v>
      </c>
      <c r="U1" s="167">
        <f t="shared" si="1"/>
        <v>1</v>
      </c>
      <c r="V1" s="168">
        <f t="shared" si="1"/>
        <v>28</v>
      </c>
      <c r="W1" s="168">
        <f t="shared" si="1"/>
        <v>9</v>
      </c>
      <c r="X1" s="168">
        <f t="shared" si="1"/>
        <v>2</v>
      </c>
      <c r="Y1" s="168">
        <f t="shared" si="1"/>
        <v>1</v>
      </c>
      <c r="Z1" s="168">
        <f t="shared" si="1"/>
        <v>14</v>
      </c>
      <c r="AA1" s="168">
        <f t="shared" si="1"/>
        <v>108</v>
      </c>
      <c r="AB1" s="168">
        <f t="shared" si="1"/>
        <v>5</v>
      </c>
      <c r="AC1" s="168">
        <f t="shared" si="1"/>
        <v>5</v>
      </c>
      <c r="AD1" s="169">
        <f t="shared" si="1"/>
        <v>300</v>
      </c>
      <c r="AE1" s="169">
        <f t="shared" si="1"/>
        <v>7</v>
      </c>
      <c r="AF1" s="169">
        <f t="shared" si="1"/>
        <v>2</v>
      </c>
      <c r="AG1" s="170">
        <f t="shared" si="1"/>
        <v>1</v>
      </c>
      <c r="AH1" s="170">
        <f t="shared" si="1"/>
        <v>187</v>
      </c>
      <c r="AI1" s="171">
        <f t="shared" si="1"/>
        <v>461</v>
      </c>
      <c r="AJ1" s="172">
        <f t="shared" si="1"/>
        <v>80</v>
      </c>
      <c r="AK1" s="172">
        <f t="shared" si="1"/>
        <v>23</v>
      </c>
      <c r="AL1" s="172">
        <f t="shared" si="1"/>
        <v>21</v>
      </c>
      <c r="AM1" s="172">
        <f t="shared" si="1"/>
        <v>21</v>
      </c>
      <c r="AN1" s="172">
        <f t="shared" si="1"/>
        <v>12</v>
      </c>
      <c r="AO1" s="172">
        <f t="shared" si="1"/>
        <v>0</v>
      </c>
      <c r="AP1" s="172">
        <f t="shared" si="1"/>
        <v>0</v>
      </c>
      <c r="AQ1" s="172">
        <f t="shared" si="1"/>
        <v>1</v>
      </c>
      <c r="AR1" s="172">
        <f t="shared" si="1"/>
        <v>3</v>
      </c>
      <c r="AS1" s="171">
        <f t="shared" si="1"/>
        <v>159</v>
      </c>
      <c r="AT1" s="173">
        <f t="shared" si="1"/>
        <v>144</v>
      </c>
      <c r="AU1" s="171">
        <f t="shared" si="1"/>
        <v>156</v>
      </c>
      <c r="AV1" s="171">
        <f t="shared" si="1"/>
        <v>982</v>
      </c>
      <c r="AW1" s="171">
        <f t="shared" si="1"/>
        <v>6</v>
      </c>
      <c r="AX1" s="171">
        <f t="shared" si="1"/>
        <v>354</v>
      </c>
      <c r="AY1" s="174">
        <f t="shared" si="1"/>
        <v>107</v>
      </c>
      <c r="AZ1" s="171"/>
      <c r="BA1" s="171">
        <f t="shared" ref="BA1:BE1" si="2">COUNTIF(BA3:BA2173,BA2)</f>
        <v>468</v>
      </c>
      <c r="BB1" s="171">
        <f t="shared" si="2"/>
        <v>1034</v>
      </c>
      <c r="BC1" s="171">
        <f t="shared" si="2"/>
        <v>172</v>
      </c>
      <c r="BD1" s="171">
        <f t="shared" si="2"/>
        <v>309</v>
      </c>
      <c r="BE1" s="171">
        <f t="shared" si="2"/>
        <v>188</v>
      </c>
      <c r="BF1" s="175"/>
    </row>
    <row r="2">
      <c r="A2" s="176" t="s">
        <v>2</v>
      </c>
      <c r="B2" s="176" t="s">
        <v>5684</v>
      </c>
      <c r="C2" s="177" t="s">
        <v>0</v>
      </c>
      <c r="D2" s="178" t="s">
        <v>5685</v>
      </c>
      <c r="E2" s="176" t="s">
        <v>5686</v>
      </c>
      <c r="F2" s="176" t="s">
        <v>5687</v>
      </c>
      <c r="G2" s="179">
        <f>COUNTIF(G3:G2213,"ERROR")</f>
        <v>0</v>
      </c>
      <c r="H2" s="180" t="s">
        <v>5688</v>
      </c>
      <c r="I2" s="171" t="s">
        <v>5689</v>
      </c>
      <c r="J2" s="171" t="s">
        <v>5690</v>
      </c>
      <c r="K2" s="171" t="s">
        <v>5691</v>
      </c>
      <c r="L2" s="181" t="s">
        <v>5692</v>
      </c>
      <c r="M2" s="171" t="s">
        <v>5693</v>
      </c>
      <c r="N2" s="171" t="s">
        <v>5694</v>
      </c>
      <c r="O2" s="171" t="s">
        <v>5695</v>
      </c>
      <c r="P2" s="182" t="s">
        <v>5696</v>
      </c>
      <c r="Q2" s="171" t="s">
        <v>5697</v>
      </c>
      <c r="R2" s="171" t="s">
        <v>5698</v>
      </c>
      <c r="S2" s="171" t="s">
        <v>5699</v>
      </c>
      <c r="T2" s="171" t="s">
        <v>5700</v>
      </c>
      <c r="U2" s="183" t="s">
        <v>5701</v>
      </c>
      <c r="V2" s="171" t="s">
        <v>5702</v>
      </c>
      <c r="W2" s="171" t="s">
        <v>5703</v>
      </c>
      <c r="X2" s="171" t="s">
        <v>5704</v>
      </c>
      <c r="Y2" s="171" t="s">
        <v>5705</v>
      </c>
      <c r="Z2" s="171" t="s">
        <v>5706</v>
      </c>
      <c r="AA2" s="171" t="s">
        <v>5707</v>
      </c>
      <c r="AB2" s="171" t="s">
        <v>5708</v>
      </c>
      <c r="AC2" s="171" t="s">
        <v>5709</v>
      </c>
      <c r="AD2" s="184" t="s">
        <v>5710</v>
      </c>
      <c r="AE2" s="171" t="s">
        <v>5711</v>
      </c>
      <c r="AF2" s="171" t="s">
        <v>5712</v>
      </c>
      <c r="AG2" s="171" t="s">
        <v>5713</v>
      </c>
      <c r="AH2" s="185" t="s">
        <v>5714</v>
      </c>
      <c r="AI2" s="186" t="s">
        <v>5715</v>
      </c>
      <c r="AJ2" s="172" t="s">
        <v>5716</v>
      </c>
      <c r="AK2" s="187" t="s">
        <v>5717</v>
      </c>
      <c r="AL2" s="187" t="s">
        <v>5718</v>
      </c>
      <c r="AM2" s="188" t="s">
        <v>5719</v>
      </c>
      <c r="AN2" s="187" t="s">
        <v>5720</v>
      </c>
      <c r="AO2" s="187" t="s">
        <v>5721</v>
      </c>
      <c r="AP2" s="187" t="s">
        <v>5722</v>
      </c>
      <c r="AQ2" s="187" t="s">
        <v>5723</v>
      </c>
      <c r="AR2" s="189" t="s">
        <v>5724</v>
      </c>
      <c r="AS2" s="171" t="s">
        <v>5725</v>
      </c>
      <c r="AT2" s="190" t="s">
        <v>25</v>
      </c>
      <c r="AU2" s="184" t="s">
        <v>5726</v>
      </c>
      <c r="AV2" s="182" t="s">
        <v>5727</v>
      </c>
      <c r="AW2" s="182" t="s">
        <v>5728</v>
      </c>
      <c r="AX2" s="186" t="s">
        <v>5729</v>
      </c>
      <c r="AY2" s="191" t="s">
        <v>5730</v>
      </c>
      <c r="AZ2" s="176"/>
      <c r="BA2" s="192" t="s">
        <v>5731</v>
      </c>
      <c r="BB2" s="193" t="s">
        <v>5732</v>
      </c>
      <c r="BC2" s="194" t="s">
        <v>5733</v>
      </c>
      <c r="BD2" s="195" t="s">
        <v>5734</v>
      </c>
      <c r="BE2" s="196" t="s">
        <v>5735</v>
      </c>
      <c r="BF2" s="176" t="s">
        <v>5736</v>
      </c>
    </row>
    <row r="3">
      <c r="A3" s="171">
        <f t="array" ref="A3">XLOOKUP(C3,ICSE!A:A,ICSE!C:C,,2,1)</f>
        <v>2022</v>
      </c>
      <c r="B3" s="171" t="s">
        <v>5675</v>
      </c>
      <c r="C3" s="160">
        <v>2.0</v>
      </c>
      <c r="D3" s="161" t="s">
        <v>5737</v>
      </c>
      <c r="E3" s="197" t="str">
        <f t="array" ref="E3">XLOOKUP(C3,ICSE!A:A,ICSE!Z:Z,,0,1)</f>
        <v>Publicly available (2)</v>
      </c>
      <c r="F3" s="198" t="s">
        <v>20</v>
      </c>
      <c r="G3" s="163" t="str">
        <f t="array" ref="G3">IF(B3="ICSE",IF(COUNTIFS(B:B,B3,C:C,C3)=XLOOKUP(C3,ICSE!A:A,ICSE!AA:AA,"ERROR",0,1),"OK","ERROR"),IF(B3="FSE",IF(COUNTIFS(B:B,B3,C:C,C3)=XLOOKUP(C3,FSE!A:A,FSE!AA:AA,"ERROR",0,1),"OK","ERROR")))</f>
        <v>OK</v>
      </c>
      <c r="H3" s="199">
        <f t="shared" ref="H3:O3" si="3">countif($D3,"*"&amp;H$2&amp;"*")</f>
        <v>0</v>
      </c>
      <c r="I3" s="200">
        <f t="shared" si="3"/>
        <v>0</v>
      </c>
      <c r="J3" s="200">
        <f t="shared" si="3"/>
        <v>0</v>
      </c>
      <c r="K3" s="200">
        <f t="shared" si="3"/>
        <v>0</v>
      </c>
      <c r="L3" s="200">
        <f t="shared" si="3"/>
        <v>0</v>
      </c>
      <c r="M3" s="200">
        <f t="shared" si="3"/>
        <v>0</v>
      </c>
      <c r="N3" s="200">
        <f t="shared" si="3"/>
        <v>0</v>
      </c>
      <c r="O3" s="200">
        <f t="shared" si="3"/>
        <v>0</v>
      </c>
      <c r="P3" s="200">
        <f t="shared" ref="P3:P2173" si="9">IF(OR(AV3=1,AW3=1),1,0)</f>
        <v>1</v>
      </c>
      <c r="Q3" s="200">
        <f t="shared" ref="Q3:AC3" si="4">countif($D3,"*"&amp;Q$2&amp;"*")</f>
        <v>0</v>
      </c>
      <c r="R3" s="200">
        <f t="shared" si="4"/>
        <v>0</v>
      </c>
      <c r="S3" s="200">
        <f t="shared" si="4"/>
        <v>0</v>
      </c>
      <c r="T3" s="200">
        <f t="shared" si="4"/>
        <v>0</v>
      </c>
      <c r="U3" s="200">
        <f t="shared" si="4"/>
        <v>0</v>
      </c>
      <c r="V3" s="200">
        <f t="shared" si="4"/>
        <v>0</v>
      </c>
      <c r="W3" s="200">
        <f t="shared" si="4"/>
        <v>0</v>
      </c>
      <c r="X3" s="200">
        <f t="shared" si="4"/>
        <v>0</v>
      </c>
      <c r="Y3" s="200">
        <f t="shared" si="4"/>
        <v>0</v>
      </c>
      <c r="Z3" s="200">
        <f t="shared" si="4"/>
        <v>0</v>
      </c>
      <c r="AA3" s="200">
        <f t="shared" si="4"/>
        <v>0</v>
      </c>
      <c r="AB3" s="200">
        <f t="shared" si="4"/>
        <v>0</v>
      </c>
      <c r="AC3" s="200">
        <f t="shared" si="4"/>
        <v>0</v>
      </c>
      <c r="AD3" s="200">
        <f t="shared" ref="AD3:AD2173" si="11">IF(OR(AT3=1,AU3=1),1,0)</f>
        <v>0</v>
      </c>
      <c r="AE3" s="200">
        <f t="shared" ref="AE3:AG3" si="5">countif($D3,"*"&amp;AE$2&amp;"*")</f>
        <v>0</v>
      </c>
      <c r="AF3" s="200">
        <f t="shared" si="5"/>
        <v>0</v>
      </c>
      <c r="AG3" s="200">
        <f t="shared" si="5"/>
        <v>0</v>
      </c>
      <c r="AH3" s="171">
        <f t="shared" ref="AH3:AH2173" si="13">IF(D3&lt;&gt;"",IF(SUM(H3:AG3,T3)=0,1,0),0)</f>
        <v>0</v>
      </c>
      <c r="AI3" s="200">
        <f t="shared" ref="AI3:AI2173" si="14">IF(OR(AX3=1,AY3=1),1,0)</f>
        <v>0</v>
      </c>
      <c r="AJ3" s="200">
        <f t="shared" ref="AJ3:AJ24" si="15">SUM(AK3:AR3)</f>
        <v>0</v>
      </c>
      <c r="AK3" s="201">
        <f t="shared" ref="AK3:AS3" si="6">countif($D3,"*"&amp;AK$2&amp;"*")</f>
        <v>0</v>
      </c>
      <c r="AL3" s="201">
        <f t="shared" si="6"/>
        <v>0</v>
      </c>
      <c r="AM3" s="201">
        <f t="shared" si="6"/>
        <v>0</v>
      </c>
      <c r="AN3" s="201">
        <f t="shared" si="6"/>
        <v>0</v>
      </c>
      <c r="AO3" s="201">
        <f t="shared" si="6"/>
        <v>0</v>
      </c>
      <c r="AP3" s="201">
        <f t="shared" si="6"/>
        <v>0</v>
      </c>
      <c r="AQ3" s="201">
        <f t="shared" si="6"/>
        <v>0</v>
      </c>
      <c r="AR3" s="200">
        <f t="shared" si="6"/>
        <v>0</v>
      </c>
      <c r="AS3" s="200">
        <f t="shared" si="6"/>
        <v>0</v>
      </c>
      <c r="AT3" s="173">
        <v>0.0</v>
      </c>
      <c r="AU3" s="200">
        <f t="shared" ref="AU3:AX3" si="7">countif($D3,"*"&amp;AU$2&amp;"*")</f>
        <v>0</v>
      </c>
      <c r="AV3" s="200">
        <f t="shared" si="7"/>
        <v>1</v>
      </c>
      <c r="AW3" s="200">
        <f t="shared" si="7"/>
        <v>0</v>
      </c>
      <c r="AX3" s="200">
        <f t="shared" si="7"/>
        <v>0</v>
      </c>
      <c r="AY3" s="202">
        <v>0.0</v>
      </c>
      <c r="AZ3" s="200"/>
      <c r="BA3" s="171" t="str">
        <f t="shared" ref="BA3:BA2173" si="18">IF(SUM(H3,I3,J3,K3,L3,M3,N3,O3)&gt;0,BA$2,"")</f>
        <v/>
      </c>
      <c r="BB3" s="171" t="str">
        <f t="shared" ref="BB3:BB2173" si="19">IF(SUM(P3,Q3,R3,S3,T3,U3)&lt;&gt;0,BB$2,"")</f>
        <v>Code</v>
      </c>
      <c r="BC3" s="171" t="str">
        <f t="shared" ref="BC3:BC2173" si="20">IF(SUM(V3:AC3)&lt;&gt;0,BC$2,"")</f>
        <v/>
      </c>
      <c r="BD3" s="171" t="str">
        <f t="shared" ref="BD3:BD2173" si="21">IF(SUM(AE3,AF3,AD3)&lt;&gt;0,BD$2,"")</f>
        <v/>
      </c>
      <c r="BE3" s="171" t="str">
        <f t="shared" ref="BE3:BE2173" si="22">IF(SUM(AH3,AG3)&lt;&gt;0,BE$2,"")</f>
        <v/>
      </c>
      <c r="BF3" s="171" t="str">
        <f t="shared" ref="BF3:BF2173" si="23">CONCATENATE(BA3:BE3)</f>
        <v>Code</v>
      </c>
    </row>
    <row r="4">
      <c r="A4" s="171">
        <f t="array" ref="A4">XLOOKUP(C4,ICSE!A:A,ICSE!C:C,,2,1)</f>
        <v>2022</v>
      </c>
      <c r="B4" s="171" t="s">
        <v>5675</v>
      </c>
      <c r="C4" s="203">
        <v>2.0</v>
      </c>
      <c r="D4" s="161" t="s">
        <v>5738</v>
      </c>
      <c r="E4" s="197" t="str">
        <f t="array" ref="E4">XLOOKUP(C4,ICSE!A:A,ICSE!Z:Z,,0,1)</f>
        <v>Publicly available (2)</v>
      </c>
      <c r="F4" s="198" t="s">
        <v>20</v>
      </c>
      <c r="G4" s="163" t="str">
        <f t="array" ref="G4">IF(B4="ICSE",IF(COUNTIFS(B:B,B4,C:C,C4)=XLOOKUP(C4,ICSE!A:A,ICSE!AA:AA,"ERROR",0,1),"OK","ERROR"),IF(B4="FSE",IF(COUNTIFS(B:B,B4,C:C,C4)=XLOOKUP(C4,FSE!A:A,FSE!AA:AA,"ERROR",0,1),"OK","ERROR")))</f>
        <v>OK</v>
      </c>
      <c r="H4" s="199">
        <f t="shared" ref="H4:O4" si="8">countif($D4,"*"&amp;H$2&amp;"*")</f>
        <v>1</v>
      </c>
      <c r="I4" s="200">
        <f t="shared" si="8"/>
        <v>0</v>
      </c>
      <c r="J4" s="200">
        <f t="shared" si="8"/>
        <v>0</v>
      </c>
      <c r="K4" s="200">
        <f t="shared" si="8"/>
        <v>0</v>
      </c>
      <c r="L4" s="200">
        <f t="shared" si="8"/>
        <v>0</v>
      </c>
      <c r="M4" s="200">
        <f t="shared" si="8"/>
        <v>0</v>
      </c>
      <c r="N4" s="200">
        <f t="shared" si="8"/>
        <v>0</v>
      </c>
      <c r="O4" s="200">
        <f t="shared" si="8"/>
        <v>0</v>
      </c>
      <c r="P4" s="200">
        <f t="shared" si="9"/>
        <v>0</v>
      </c>
      <c r="Q4" s="200">
        <f t="shared" ref="Q4:AC4" si="10">countif($D4,"*"&amp;Q$2&amp;"*")</f>
        <v>0</v>
      </c>
      <c r="R4" s="200">
        <f t="shared" si="10"/>
        <v>0</v>
      </c>
      <c r="S4" s="200">
        <f t="shared" si="10"/>
        <v>0</v>
      </c>
      <c r="T4" s="200">
        <f t="shared" si="10"/>
        <v>0</v>
      </c>
      <c r="U4" s="200">
        <f t="shared" si="10"/>
        <v>0</v>
      </c>
      <c r="V4" s="200">
        <f t="shared" si="10"/>
        <v>0</v>
      </c>
      <c r="W4" s="200">
        <f t="shared" si="10"/>
        <v>0</v>
      </c>
      <c r="X4" s="200">
        <f t="shared" si="10"/>
        <v>0</v>
      </c>
      <c r="Y4" s="200">
        <f t="shared" si="10"/>
        <v>0</v>
      </c>
      <c r="Z4" s="200">
        <f t="shared" si="10"/>
        <v>0</v>
      </c>
      <c r="AA4" s="200">
        <f t="shared" si="10"/>
        <v>0</v>
      </c>
      <c r="AB4" s="200">
        <f t="shared" si="10"/>
        <v>0</v>
      </c>
      <c r="AC4" s="200">
        <f t="shared" si="10"/>
        <v>0</v>
      </c>
      <c r="AD4" s="200">
        <f t="shared" si="11"/>
        <v>0</v>
      </c>
      <c r="AE4" s="200">
        <f t="shared" ref="AE4:AG4" si="12">countif($D4,"*"&amp;AE$2&amp;"*")</f>
        <v>0</v>
      </c>
      <c r="AF4" s="200">
        <f t="shared" si="12"/>
        <v>0</v>
      </c>
      <c r="AG4" s="200">
        <f t="shared" si="12"/>
        <v>0</v>
      </c>
      <c r="AH4" s="171">
        <f t="shared" si="13"/>
        <v>0</v>
      </c>
      <c r="AI4" s="200">
        <f t="shared" si="14"/>
        <v>1</v>
      </c>
      <c r="AJ4" s="200">
        <f t="shared" si="15"/>
        <v>0</v>
      </c>
      <c r="AK4" s="201">
        <f t="shared" ref="AK4:AS4" si="16">countif($D4,"*"&amp;AK$2&amp;"*")</f>
        <v>0</v>
      </c>
      <c r="AL4" s="201">
        <f t="shared" si="16"/>
        <v>0</v>
      </c>
      <c r="AM4" s="201">
        <f t="shared" si="16"/>
        <v>0</v>
      </c>
      <c r="AN4" s="201">
        <f t="shared" si="16"/>
        <v>0</v>
      </c>
      <c r="AO4" s="201">
        <f t="shared" si="16"/>
        <v>0</v>
      </c>
      <c r="AP4" s="201">
        <f t="shared" si="16"/>
        <v>0</v>
      </c>
      <c r="AQ4" s="201">
        <f t="shared" si="16"/>
        <v>0</v>
      </c>
      <c r="AR4" s="200">
        <f t="shared" si="16"/>
        <v>0</v>
      </c>
      <c r="AS4" s="200">
        <f t="shared" si="16"/>
        <v>0</v>
      </c>
      <c r="AT4" s="173">
        <v>0.0</v>
      </c>
      <c r="AU4" s="200">
        <f t="shared" ref="AU4:AX4" si="17">countif($D4,"*"&amp;AU$2&amp;"*")</f>
        <v>0</v>
      </c>
      <c r="AV4" s="200">
        <f t="shared" si="17"/>
        <v>0</v>
      </c>
      <c r="AW4" s="200">
        <f t="shared" si="17"/>
        <v>0</v>
      </c>
      <c r="AX4" s="200">
        <f t="shared" si="17"/>
        <v>0</v>
      </c>
      <c r="AY4" s="204">
        <v>1.0</v>
      </c>
      <c r="AZ4" s="200"/>
      <c r="BA4" s="171" t="str">
        <f t="shared" si="18"/>
        <v>Archival</v>
      </c>
      <c r="BB4" s="171" t="str">
        <f t="shared" si="19"/>
        <v/>
      </c>
      <c r="BC4" s="171" t="str">
        <f t="shared" si="20"/>
        <v/>
      </c>
      <c r="BD4" s="171" t="str">
        <f t="shared" si="21"/>
        <v/>
      </c>
      <c r="BE4" s="171" t="str">
        <f t="shared" si="22"/>
        <v/>
      </c>
      <c r="BF4" s="171" t="str">
        <f t="shared" si="23"/>
        <v>Archival</v>
      </c>
    </row>
    <row r="5">
      <c r="A5" s="171">
        <f t="array" ref="A5">XLOOKUP(C5,ICSE!A:A,ICSE!C:C,,2,1)</f>
        <v>2022</v>
      </c>
      <c r="B5" s="171" t="s">
        <v>5675</v>
      </c>
      <c r="C5" s="160">
        <v>3.0</v>
      </c>
      <c r="D5" s="161" t="s">
        <v>5739</v>
      </c>
      <c r="E5" s="197" t="str">
        <f t="array" ref="E5">XLOOKUP(C5,ICSE!A:A,ICSE!Z:Z,,0,1)</f>
        <v>Publicly available (2)</v>
      </c>
      <c r="F5" s="198" t="s">
        <v>20</v>
      </c>
      <c r="G5" s="163" t="str">
        <f t="array" ref="G5">IF(B5="ICSE",IF(COUNTIFS(B:B,B5,C:C,C5)=XLOOKUP(C5,ICSE!A:A,ICSE!AA:AA,"ERROR",0,1),"OK","ERROR"),IF(B5="FSE",IF(COUNTIFS(B:B,B5,C:C,C5)=XLOOKUP(C5,FSE!A:A,FSE!AA:AA,"ERROR",0,1),"OK","ERROR")))</f>
        <v>OK</v>
      </c>
      <c r="H5" s="199">
        <f t="shared" ref="H5:O5" si="24">countif($D5,"*"&amp;H$2&amp;"*")</f>
        <v>1</v>
      </c>
      <c r="I5" s="200">
        <f t="shared" si="24"/>
        <v>0</v>
      </c>
      <c r="J5" s="200">
        <f t="shared" si="24"/>
        <v>0</v>
      </c>
      <c r="K5" s="200">
        <f t="shared" si="24"/>
        <v>0</v>
      </c>
      <c r="L5" s="200">
        <f t="shared" si="24"/>
        <v>0</v>
      </c>
      <c r="M5" s="200">
        <f t="shared" si="24"/>
        <v>0</v>
      </c>
      <c r="N5" s="200">
        <f t="shared" si="24"/>
        <v>0</v>
      </c>
      <c r="O5" s="200">
        <f t="shared" si="24"/>
        <v>0</v>
      </c>
      <c r="P5" s="200">
        <f t="shared" si="9"/>
        <v>0</v>
      </c>
      <c r="Q5" s="200">
        <f t="shared" ref="Q5:AC5" si="25">countif($D5,"*"&amp;Q$2&amp;"*")</f>
        <v>0</v>
      </c>
      <c r="R5" s="200">
        <f t="shared" si="25"/>
        <v>0</v>
      </c>
      <c r="S5" s="200">
        <f t="shared" si="25"/>
        <v>0</v>
      </c>
      <c r="T5" s="200">
        <f t="shared" si="25"/>
        <v>0</v>
      </c>
      <c r="U5" s="200">
        <f t="shared" si="25"/>
        <v>0</v>
      </c>
      <c r="V5" s="200">
        <f t="shared" si="25"/>
        <v>0</v>
      </c>
      <c r="W5" s="200">
        <f t="shared" si="25"/>
        <v>0</v>
      </c>
      <c r="X5" s="200">
        <f t="shared" si="25"/>
        <v>0</v>
      </c>
      <c r="Y5" s="200">
        <f t="shared" si="25"/>
        <v>0</v>
      </c>
      <c r="Z5" s="200">
        <f t="shared" si="25"/>
        <v>0</v>
      </c>
      <c r="AA5" s="200">
        <f t="shared" si="25"/>
        <v>0</v>
      </c>
      <c r="AB5" s="200">
        <f t="shared" si="25"/>
        <v>0</v>
      </c>
      <c r="AC5" s="200">
        <f t="shared" si="25"/>
        <v>0</v>
      </c>
      <c r="AD5" s="200">
        <f t="shared" si="11"/>
        <v>0</v>
      </c>
      <c r="AE5" s="200">
        <f t="shared" ref="AE5:AG5" si="26">countif($D5,"*"&amp;AE$2&amp;"*")</f>
        <v>0</v>
      </c>
      <c r="AF5" s="200">
        <f t="shared" si="26"/>
        <v>0</v>
      </c>
      <c r="AG5" s="200">
        <f t="shared" si="26"/>
        <v>0</v>
      </c>
      <c r="AH5" s="171">
        <f t="shared" si="13"/>
        <v>0</v>
      </c>
      <c r="AI5" s="200">
        <f t="shared" si="14"/>
        <v>1</v>
      </c>
      <c r="AJ5" s="200">
        <f t="shared" si="15"/>
        <v>0</v>
      </c>
      <c r="AK5" s="201">
        <f t="shared" ref="AK5:AS5" si="27">countif($D5,"*"&amp;AK$2&amp;"*")</f>
        <v>0</v>
      </c>
      <c r="AL5" s="201">
        <f t="shared" si="27"/>
        <v>0</v>
      </c>
      <c r="AM5" s="201">
        <f t="shared" si="27"/>
        <v>0</v>
      </c>
      <c r="AN5" s="201">
        <f t="shared" si="27"/>
        <v>0</v>
      </c>
      <c r="AO5" s="201">
        <f t="shared" si="27"/>
        <v>0</v>
      </c>
      <c r="AP5" s="201">
        <f t="shared" si="27"/>
        <v>0</v>
      </c>
      <c r="AQ5" s="201">
        <f t="shared" si="27"/>
        <v>0</v>
      </c>
      <c r="AR5" s="200">
        <f t="shared" si="27"/>
        <v>0</v>
      </c>
      <c r="AS5" s="200">
        <f t="shared" si="27"/>
        <v>0</v>
      </c>
      <c r="AT5" s="173">
        <v>0.0</v>
      </c>
      <c r="AU5" s="200">
        <f t="shared" ref="AU5:AX5" si="28">countif($D5,"*"&amp;AU$2&amp;"*")</f>
        <v>0</v>
      </c>
      <c r="AV5" s="200">
        <f t="shared" si="28"/>
        <v>0</v>
      </c>
      <c r="AW5" s="200">
        <f t="shared" si="28"/>
        <v>0</v>
      </c>
      <c r="AX5" s="200">
        <f t="shared" si="28"/>
        <v>1</v>
      </c>
      <c r="AY5" s="202">
        <v>0.0</v>
      </c>
      <c r="AZ5" s="200"/>
      <c r="BA5" s="171" t="str">
        <f t="shared" si="18"/>
        <v>Archival</v>
      </c>
      <c r="BB5" s="171" t="str">
        <f t="shared" si="19"/>
        <v/>
      </c>
      <c r="BC5" s="171" t="str">
        <f t="shared" si="20"/>
        <v/>
      </c>
      <c r="BD5" s="171" t="str">
        <f t="shared" si="21"/>
        <v/>
      </c>
      <c r="BE5" s="171" t="str">
        <f t="shared" si="22"/>
        <v/>
      </c>
      <c r="BF5" s="171" t="str">
        <f t="shared" si="23"/>
        <v>Archival</v>
      </c>
    </row>
    <row r="6">
      <c r="A6" s="171">
        <f t="array" ref="A6">XLOOKUP(C6,ICSE!A:A,ICSE!C:C,,2,1)</f>
        <v>2022</v>
      </c>
      <c r="B6" s="171" t="s">
        <v>5675</v>
      </c>
      <c r="C6" s="203">
        <v>3.0</v>
      </c>
      <c r="D6" s="161" t="s">
        <v>5740</v>
      </c>
      <c r="E6" s="197" t="str">
        <f t="array" ref="E6">XLOOKUP(C6,ICSE!A:A,ICSE!Z:Z,,0,1)</f>
        <v>Publicly available (2)</v>
      </c>
      <c r="F6" s="198" t="s">
        <v>20</v>
      </c>
      <c r="G6" s="163" t="str">
        <f t="array" ref="G6">IF(B6="ICSE",IF(COUNTIFS(B:B,B6,C:C,C6)=XLOOKUP(C6,ICSE!A:A,ICSE!AA:AA,"ERROR",0,1),"OK","ERROR"),IF(B6="FSE",IF(COUNTIFS(B:B,B6,C:C,C6)=XLOOKUP(C6,FSE!A:A,FSE!AA:AA,"ERROR",0,1),"OK","ERROR")))</f>
        <v>OK</v>
      </c>
      <c r="H6" s="199">
        <f t="shared" ref="H6:O6" si="29">countif($D6,"*"&amp;H$2&amp;"*")</f>
        <v>1</v>
      </c>
      <c r="I6" s="200">
        <f t="shared" si="29"/>
        <v>0</v>
      </c>
      <c r="J6" s="200">
        <f t="shared" si="29"/>
        <v>0</v>
      </c>
      <c r="K6" s="200">
        <f t="shared" si="29"/>
        <v>0</v>
      </c>
      <c r="L6" s="200">
        <f t="shared" si="29"/>
        <v>0</v>
      </c>
      <c r="M6" s="200">
        <f t="shared" si="29"/>
        <v>0</v>
      </c>
      <c r="N6" s="200">
        <f t="shared" si="29"/>
        <v>0</v>
      </c>
      <c r="O6" s="200">
        <f t="shared" si="29"/>
        <v>0</v>
      </c>
      <c r="P6" s="200">
        <f t="shared" si="9"/>
        <v>0</v>
      </c>
      <c r="Q6" s="200">
        <f t="shared" ref="Q6:AC6" si="30">countif($D6,"*"&amp;Q$2&amp;"*")</f>
        <v>0</v>
      </c>
      <c r="R6" s="200">
        <f t="shared" si="30"/>
        <v>0</v>
      </c>
      <c r="S6" s="200">
        <f t="shared" si="30"/>
        <v>0</v>
      </c>
      <c r="T6" s="200">
        <f t="shared" si="30"/>
        <v>0</v>
      </c>
      <c r="U6" s="200">
        <f t="shared" si="30"/>
        <v>0</v>
      </c>
      <c r="V6" s="200">
        <f t="shared" si="30"/>
        <v>0</v>
      </c>
      <c r="W6" s="200">
        <f t="shared" si="30"/>
        <v>0</v>
      </c>
      <c r="X6" s="200">
        <f t="shared" si="30"/>
        <v>0</v>
      </c>
      <c r="Y6" s="200">
        <f t="shared" si="30"/>
        <v>0</v>
      </c>
      <c r="Z6" s="200">
        <f t="shared" si="30"/>
        <v>0</v>
      </c>
      <c r="AA6" s="200">
        <f t="shared" si="30"/>
        <v>0</v>
      </c>
      <c r="AB6" s="200">
        <f t="shared" si="30"/>
        <v>0</v>
      </c>
      <c r="AC6" s="200">
        <f t="shared" si="30"/>
        <v>0</v>
      </c>
      <c r="AD6" s="200">
        <f t="shared" si="11"/>
        <v>0</v>
      </c>
      <c r="AE6" s="200">
        <f t="shared" ref="AE6:AG6" si="31">countif($D6,"*"&amp;AE$2&amp;"*")</f>
        <v>0</v>
      </c>
      <c r="AF6" s="200">
        <f t="shared" si="31"/>
        <v>0</v>
      </c>
      <c r="AG6" s="200">
        <f t="shared" si="31"/>
        <v>0</v>
      </c>
      <c r="AH6" s="171">
        <f t="shared" si="13"/>
        <v>0</v>
      </c>
      <c r="AI6" s="200">
        <f t="shared" si="14"/>
        <v>1</v>
      </c>
      <c r="AJ6" s="200">
        <f t="shared" si="15"/>
        <v>0</v>
      </c>
      <c r="AK6" s="201">
        <f t="shared" ref="AK6:AS6" si="32">countif($D6,"*"&amp;AK$2&amp;"*")</f>
        <v>0</v>
      </c>
      <c r="AL6" s="201">
        <f t="shared" si="32"/>
        <v>0</v>
      </c>
      <c r="AM6" s="201">
        <f t="shared" si="32"/>
        <v>0</v>
      </c>
      <c r="AN6" s="201">
        <f t="shared" si="32"/>
        <v>0</v>
      </c>
      <c r="AO6" s="201">
        <f t="shared" si="32"/>
        <v>0</v>
      </c>
      <c r="AP6" s="201">
        <f t="shared" si="32"/>
        <v>0</v>
      </c>
      <c r="AQ6" s="201">
        <f t="shared" si="32"/>
        <v>0</v>
      </c>
      <c r="AR6" s="200">
        <f t="shared" si="32"/>
        <v>0</v>
      </c>
      <c r="AS6" s="200">
        <f t="shared" si="32"/>
        <v>0</v>
      </c>
      <c r="AT6" s="173">
        <v>0.0</v>
      </c>
      <c r="AU6" s="200">
        <f t="shared" ref="AU6:AX6" si="33">countif($D6,"*"&amp;AU$2&amp;"*")</f>
        <v>0</v>
      </c>
      <c r="AV6" s="200">
        <f t="shared" si="33"/>
        <v>0</v>
      </c>
      <c r="AW6" s="200">
        <f t="shared" si="33"/>
        <v>0</v>
      </c>
      <c r="AX6" s="200">
        <f t="shared" si="33"/>
        <v>1</v>
      </c>
      <c r="AY6" s="202">
        <v>0.0</v>
      </c>
      <c r="AZ6" s="200"/>
      <c r="BA6" s="171" t="str">
        <f t="shared" si="18"/>
        <v>Archival</v>
      </c>
      <c r="BB6" s="171" t="str">
        <f t="shared" si="19"/>
        <v/>
      </c>
      <c r="BC6" s="171" t="str">
        <f t="shared" si="20"/>
        <v/>
      </c>
      <c r="BD6" s="171" t="str">
        <f t="shared" si="21"/>
        <v/>
      </c>
      <c r="BE6" s="171" t="str">
        <f t="shared" si="22"/>
        <v/>
      </c>
      <c r="BF6" s="171" t="str">
        <f t="shared" si="23"/>
        <v>Archival</v>
      </c>
    </row>
    <row r="7">
      <c r="A7" s="171">
        <f t="array" ref="A7">XLOOKUP(C7,ICSE!A:A,ICSE!C:C,,2,1)</f>
        <v>2022</v>
      </c>
      <c r="B7" s="171" t="s">
        <v>5675</v>
      </c>
      <c r="C7" s="160">
        <v>4.0</v>
      </c>
      <c r="D7" s="161" t="s">
        <v>2260</v>
      </c>
      <c r="E7" s="197" t="str">
        <f t="array" ref="E7">XLOOKUP(C7,ICSE!A:A,ICSE!Z:Z,,0,1)</f>
        <v>Publicly available (1)</v>
      </c>
      <c r="F7" s="198" t="s">
        <v>20</v>
      </c>
      <c r="G7" s="163" t="str">
        <f t="array" ref="G7">IF(B7="ICSE",IF(COUNTIFS(B:B,B7,C:C,C7)=XLOOKUP(C7,ICSE!A:A,ICSE!AA:AA,"ERROR",0,1),"OK","ERROR"),IF(B7="FSE",IF(COUNTIFS(B:B,B7,C:C,C7)=XLOOKUP(C7,FSE!A:A,FSE!AA:AA,"ERROR",0,1),"OK","ERROR")))</f>
        <v>OK</v>
      </c>
      <c r="H7" s="199">
        <f t="shared" ref="H7:O7" si="34">countif($D7,"*"&amp;H$2&amp;"*")</f>
        <v>1</v>
      </c>
      <c r="I7" s="200">
        <f t="shared" si="34"/>
        <v>0</v>
      </c>
      <c r="J7" s="200">
        <f t="shared" si="34"/>
        <v>0</v>
      </c>
      <c r="K7" s="200">
        <f t="shared" si="34"/>
        <v>0</v>
      </c>
      <c r="L7" s="200">
        <f t="shared" si="34"/>
        <v>0</v>
      </c>
      <c r="M7" s="200">
        <f t="shared" si="34"/>
        <v>0</v>
      </c>
      <c r="N7" s="200">
        <f t="shared" si="34"/>
        <v>0</v>
      </c>
      <c r="O7" s="200">
        <f t="shared" si="34"/>
        <v>0</v>
      </c>
      <c r="P7" s="200">
        <f t="shared" si="9"/>
        <v>0</v>
      </c>
      <c r="Q7" s="200">
        <f t="shared" ref="Q7:AC7" si="35">countif($D7,"*"&amp;Q$2&amp;"*")</f>
        <v>0</v>
      </c>
      <c r="R7" s="200">
        <f t="shared" si="35"/>
        <v>0</v>
      </c>
      <c r="S7" s="200">
        <f t="shared" si="35"/>
        <v>0</v>
      </c>
      <c r="T7" s="200">
        <f t="shared" si="35"/>
        <v>0</v>
      </c>
      <c r="U7" s="200">
        <f t="shared" si="35"/>
        <v>0</v>
      </c>
      <c r="V7" s="200">
        <f t="shared" si="35"/>
        <v>0</v>
      </c>
      <c r="W7" s="200">
        <f t="shared" si="35"/>
        <v>0</v>
      </c>
      <c r="X7" s="200">
        <f t="shared" si="35"/>
        <v>0</v>
      </c>
      <c r="Y7" s="200">
        <f t="shared" si="35"/>
        <v>0</v>
      </c>
      <c r="Z7" s="200">
        <f t="shared" si="35"/>
        <v>0</v>
      </c>
      <c r="AA7" s="200">
        <f t="shared" si="35"/>
        <v>0</v>
      </c>
      <c r="AB7" s="200">
        <f t="shared" si="35"/>
        <v>0</v>
      </c>
      <c r="AC7" s="200">
        <f t="shared" si="35"/>
        <v>0</v>
      </c>
      <c r="AD7" s="200">
        <f t="shared" si="11"/>
        <v>0</v>
      </c>
      <c r="AE7" s="200">
        <f t="shared" ref="AE7:AG7" si="36">countif($D7,"*"&amp;AE$2&amp;"*")</f>
        <v>0</v>
      </c>
      <c r="AF7" s="200">
        <f t="shared" si="36"/>
        <v>0</v>
      </c>
      <c r="AG7" s="200">
        <f t="shared" si="36"/>
        <v>0</v>
      </c>
      <c r="AH7" s="171">
        <f t="shared" si="13"/>
        <v>0</v>
      </c>
      <c r="AI7" s="200">
        <f t="shared" si="14"/>
        <v>1</v>
      </c>
      <c r="AJ7" s="200">
        <f t="shared" si="15"/>
        <v>0</v>
      </c>
      <c r="AK7" s="201">
        <f t="shared" ref="AK7:AS7" si="37">countif($D7,"*"&amp;AK$2&amp;"*")</f>
        <v>0</v>
      </c>
      <c r="AL7" s="201">
        <f t="shared" si="37"/>
        <v>0</v>
      </c>
      <c r="AM7" s="201">
        <f t="shared" si="37"/>
        <v>0</v>
      </c>
      <c r="AN7" s="201">
        <f t="shared" si="37"/>
        <v>0</v>
      </c>
      <c r="AO7" s="201">
        <f t="shared" si="37"/>
        <v>0</v>
      </c>
      <c r="AP7" s="201">
        <f t="shared" si="37"/>
        <v>0</v>
      </c>
      <c r="AQ7" s="201">
        <f t="shared" si="37"/>
        <v>0</v>
      </c>
      <c r="AR7" s="200">
        <f t="shared" si="37"/>
        <v>0</v>
      </c>
      <c r="AS7" s="200">
        <f t="shared" si="37"/>
        <v>0</v>
      </c>
      <c r="AT7" s="173">
        <v>0.0</v>
      </c>
      <c r="AU7" s="200">
        <f t="shared" ref="AU7:AX7" si="38">countif($D7,"*"&amp;AU$2&amp;"*")</f>
        <v>0</v>
      </c>
      <c r="AV7" s="200">
        <f t="shared" si="38"/>
        <v>0</v>
      </c>
      <c r="AW7" s="200">
        <f t="shared" si="38"/>
        <v>0</v>
      </c>
      <c r="AX7" s="200">
        <f t="shared" si="38"/>
        <v>1</v>
      </c>
      <c r="AY7" s="202">
        <v>0.0</v>
      </c>
      <c r="AZ7" s="200"/>
      <c r="BA7" s="171" t="str">
        <f t="shared" si="18"/>
        <v>Archival</v>
      </c>
      <c r="BB7" s="171" t="str">
        <f t="shared" si="19"/>
        <v/>
      </c>
      <c r="BC7" s="171" t="str">
        <f t="shared" si="20"/>
        <v/>
      </c>
      <c r="BD7" s="171" t="str">
        <f t="shared" si="21"/>
        <v/>
      </c>
      <c r="BE7" s="171" t="str">
        <f t="shared" si="22"/>
        <v/>
      </c>
      <c r="BF7" s="171" t="str">
        <f t="shared" si="23"/>
        <v>Archival</v>
      </c>
    </row>
    <row r="8">
      <c r="A8" s="171">
        <f t="array" ref="A8">XLOOKUP(C8,ICSE!A:A,ICSE!C:C,,2,1)</f>
        <v>2022</v>
      </c>
      <c r="B8" s="171" t="s">
        <v>5675</v>
      </c>
      <c r="C8" s="160">
        <v>5.0</v>
      </c>
      <c r="D8" s="161" t="s">
        <v>2262</v>
      </c>
      <c r="E8" s="197" t="str">
        <f t="array" ref="E8">XLOOKUP(C8,ICSE!A:A,ICSE!Z:Z,,0,1)</f>
        <v>Publicly available (1)</v>
      </c>
      <c r="F8" s="198" t="s">
        <v>20</v>
      </c>
      <c r="G8" s="163" t="str">
        <f t="array" ref="G8">IF(B8="ICSE",IF(COUNTIFS(B:B,B8,C:C,C8)=XLOOKUP(C8,ICSE!A:A,ICSE!AA:AA,"ERROR",0,1),"OK","ERROR"),IF(B8="FSE",IF(COUNTIFS(B:B,B8,C:C,C8)=XLOOKUP(C8,FSE!A:A,FSE!AA:AA,"ERROR",0,1),"OK","ERROR")))</f>
        <v>OK</v>
      </c>
      <c r="H8" s="199">
        <f t="shared" ref="H8:O8" si="39">countif($D8,"*"&amp;H$2&amp;"*")</f>
        <v>0</v>
      </c>
      <c r="I8" s="200">
        <f t="shared" si="39"/>
        <v>0</v>
      </c>
      <c r="J8" s="200">
        <f t="shared" si="39"/>
        <v>0</v>
      </c>
      <c r="K8" s="200">
        <f t="shared" si="39"/>
        <v>0</v>
      </c>
      <c r="L8" s="200">
        <f t="shared" si="39"/>
        <v>0</v>
      </c>
      <c r="M8" s="200">
        <f t="shared" si="39"/>
        <v>0</v>
      </c>
      <c r="N8" s="200">
        <f t="shared" si="39"/>
        <v>0</v>
      </c>
      <c r="O8" s="200">
        <f t="shared" si="39"/>
        <v>0</v>
      </c>
      <c r="P8" s="200">
        <f t="shared" si="9"/>
        <v>1</v>
      </c>
      <c r="Q8" s="200">
        <f t="shared" ref="Q8:AC8" si="40">countif($D8,"*"&amp;Q$2&amp;"*")</f>
        <v>0</v>
      </c>
      <c r="R8" s="200">
        <f t="shared" si="40"/>
        <v>0</v>
      </c>
      <c r="S8" s="200">
        <f t="shared" si="40"/>
        <v>0</v>
      </c>
      <c r="T8" s="200">
        <f t="shared" si="40"/>
        <v>0</v>
      </c>
      <c r="U8" s="200">
        <f t="shared" si="40"/>
        <v>0</v>
      </c>
      <c r="V8" s="200">
        <f t="shared" si="40"/>
        <v>0</v>
      </c>
      <c r="W8" s="200">
        <f t="shared" si="40"/>
        <v>0</v>
      </c>
      <c r="X8" s="200">
        <f t="shared" si="40"/>
        <v>0</v>
      </c>
      <c r="Y8" s="200">
        <f t="shared" si="40"/>
        <v>0</v>
      </c>
      <c r="Z8" s="200">
        <f t="shared" si="40"/>
        <v>0</v>
      </c>
      <c r="AA8" s="200">
        <f t="shared" si="40"/>
        <v>0</v>
      </c>
      <c r="AB8" s="200">
        <f t="shared" si="40"/>
        <v>0</v>
      </c>
      <c r="AC8" s="200">
        <f t="shared" si="40"/>
        <v>0</v>
      </c>
      <c r="AD8" s="200">
        <f t="shared" si="11"/>
        <v>0</v>
      </c>
      <c r="AE8" s="200">
        <f t="shared" ref="AE8:AG8" si="41">countif($D8,"*"&amp;AE$2&amp;"*")</f>
        <v>0</v>
      </c>
      <c r="AF8" s="200">
        <f t="shared" si="41"/>
        <v>0</v>
      </c>
      <c r="AG8" s="200">
        <f t="shared" si="41"/>
        <v>0</v>
      </c>
      <c r="AH8" s="171">
        <f t="shared" si="13"/>
        <v>0</v>
      </c>
      <c r="AI8" s="200">
        <f t="shared" si="14"/>
        <v>0</v>
      </c>
      <c r="AJ8" s="200">
        <f t="shared" si="15"/>
        <v>0</v>
      </c>
      <c r="AK8" s="201">
        <f t="shared" ref="AK8:AS8" si="42">countif($D8,"*"&amp;AK$2&amp;"*")</f>
        <v>0</v>
      </c>
      <c r="AL8" s="201">
        <f t="shared" si="42"/>
        <v>0</v>
      </c>
      <c r="AM8" s="201">
        <f t="shared" si="42"/>
        <v>0</v>
      </c>
      <c r="AN8" s="201">
        <f t="shared" si="42"/>
        <v>0</v>
      </c>
      <c r="AO8" s="201">
        <f t="shared" si="42"/>
        <v>0</v>
      </c>
      <c r="AP8" s="201">
        <f t="shared" si="42"/>
        <v>0</v>
      </c>
      <c r="AQ8" s="201">
        <f t="shared" si="42"/>
        <v>0</v>
      </c>
      <c r="AR8" s="200">
        <f t="shared" si="42"/>
        <v>0</v>
      </c>
      <c r="AS8" s="200">
        <f t="shared" si="42"/>
        <v>0</v>
      </c>
      <c r="AT8" s="173">
        <v>0.0</v>
      </c>
      <c r="AU8" s="200">
        <f t="shared" ref="AU8:AX8" si="43">countif($D8,"*"&amp;AU$2&amp;"*")</f>
        <v>0</v>
      </c>
      <c r="AV8" s="200">
        <f t="shared" si="43"/>
        <v>1</v>
      </c>
      <c r="AW8" s="200">
        <f t="shared" si="43"/>
        <v>0</v>
      </c>
      <c r="AX8" s="200">
        <f t="shared" si="43"/>
        <v>0</v>
      </c>
      <c r="AY8" s="202">
        <v>0.0</v>
      </c>
      <c r="AZ8" s="200"/>
      <c r="BA8" s="171" t="str">
        <f t="shared" si="18"/>
        <v/>
      </c>
      <c r="BB8" s="171" t="str">
        <f t="shared" si="19"/>
        <v>Code</v>
      </c>
      <c r="BC8" s="171" t="str">
        <f t="shared" si="20"/>
        <v/>
      </c>
      <c r="BD8" s="171" t="str">
        <f t="shared" si="21"/>
        <v/>
      </c>
      <c r="BE8" s="171" t="str">
        <f t="shared" si="22"/>
        <v/>
      </c>
      <c r="BF8" s="171" t="str">
        <f t="shared" si="23"/>
        <v>Code</v>
      </c>
    </row>
    <row r="9">
      <c r="A9" s="171">
        <f t="array" ref="A9">XLOOKUP(C9,ICSE!A:A,ICSE!C:C,,2,1)</f>
        <v>2022</v>
      </c>
      <c r="B9" s="171" t="s">
        <v>5675</v>
      </c>
      <c r="C9" s="160">
        <v>6.0</v>
      </c>
      <c r="D9" s="161" t="s">
        <v>2264</v>
      </c>
      <c r="E9" s="197" t="str">
        <f t="array" ref="E9">XLOOKUP(C9,ICSE!A:A,ICSE!Z:Z,,0,1)</f>
        <v>Publicly available (1)</v>
      </c>
      <c r="F9" s="198" t="s">
        <v>20</v>
      </c>
      <c r="G9" s="163" t="str">
        <f t="array" ref="G9">IF(B9="ICSE",IF(COUNTIFS(B:B,B9,C:C,C9)=XLOOKUP(C9,ICSE!A:A,ICSE!AA:AA,"ERROR",0,1),"OK","ERROR"),IF(B9="FSE",IF(COUNTIFS(B:B,B9,C:C,C9)=XLOOKUP(C9,FSE!A:A,FSE!AA:AA,"ERROR",0,1),"OK","ERROR")))</f>
        <v>OK</v>
      </c>
      <c r="H9" s="199">
        <f t="shared" ref="H9:O9" si="44">countif($D9,"*"&amp;H$2&amp;"*")</f>
        <v>0</v>
      </c>
      <c r="I9" s="200">
        <f t="shared" si="44"/>
        <v>0</v>
      </c>
      <c r="J9" s="200">
        <f t="shared" si="44"/>
        <v>0</v>
      </c>
      <c r="K9" s="200">
        <f t="shared" si="44"/>
        <v>0</v>
      </c>
      <c r="L9" s="200">
        <f t="shared" si="44"/>
        <v>0</v>
      </c>
      <c r="M9" s="200">
        <f t="shared" si="44"/>
        <v>0</v>
      </c>
      <c r="N9" s="200">
        <f t="shared" si="44"/>
        <v>0</v>
      </c>
      <c r="O9" s="200">
        <f t="shared" si="44"/>
        <v>0</v>
      </c>
      <c r="P9" s="200">
        <f t="shared" si="9"/>
        <v>1</v>
      </c>
      <c r="Q9" s="200">
        <f t="shared" ref="Q9:AC9" si="45">countif($D9,"*"&amp;Q$2&amp;"*")</f>
        <v>0</v>
      </c>
      <c r="R9" s="200">
        <f t="shared" si="45"/>
        <v>0</v>
      </c>
      <c r="S9" s="200">
        <f t="shared" si="45"/>
        <v>0</v>
      </c>
      <c r="T9" s="200">
        <f t="shared" si="45"/>
        <v>0</v>
      </c>
      <c r="U9" s="200">
        <f t="shared" si="45"/>
        <v>0</v>
      </c>
      <c r="V9" s="200">
        <f t="shared" si="45"/>
        <v>0</v>
      </c>
      <c r="W9" s="200">
        <f t="shared" si="45"/>
        <v>0</v>
      </c>
      <c r="X9" s="200">
        <f t="shared" si="45"/>
        <v>0</v>
      </c>
      <c r="Y9" s="200">
        <f t="shared" si="45"/>
        <v>0</v>
      </c>
      <c r="Z9" s="200">
        <f t="shared" si="45"/>
        <v>0</v>
      </c>
      <c r="AA9" s="200">
        <f t="shared" si="45"/>
        <v>0</v>
      </c>
      <c r="AB9" s="200">
        <f t="shared" si="45"/>
        <v>0</v>
      </c>
      <c r="AC9" s="200">
        <f t="shared" si="45"/>
        <v>0</v>
      </c>
      <c r="AD9" s="200">
        <f t="shared" si="11"/>
        <v>0</v>
      </c>
      <c r="AE9" s="200">
        <f t="shared" ref="AE9:AG9" si="46">countif($D9,"*"&amp;AE$2&amp;"*")</f>
        <v>0</v>
      </c>
      <c r="AF9" s="200">
        <f t="shared" si="46"/>
        <v>0</v>
      </c>
      <c r="AG9" s="200">
        <f t="shared" si="46"/>
        <v>0</v>
      </c>
      <c r="AH9" s="171">
        <f t="shared" si="13"/>
        <v>0</v>
      </c>
      <c r="AI9" s="200">
        <f t="shared" si="14"/>
        <v>0</v>
      </c>
      <c r="AJ9" s="200">
        <f t="shared" si="15"/>
        <v>0</v>
      </c>
      <c r="AK9" s="201">
        <f t="shared" ref="AK9:AS9" si="47">countif($D9,"*"&amp;AK$2&amp;"*")</f>
        <v>0</v>
      </c>
      <c r="AL9" s="201">
        <f t="shared" si="47"/>
        <v>0</v>
      </c>
      <c r="AM9" s="201">
        <f t="shared" si="47"/>
        <v>0</v>
      </c>
      <c r="AN9" s="201">
        <f t="shared" si="47"/>
        <v>0</v>
      </c>
      <c r="AO9" s="201">
        <f t="shared" si="47"/>
        <v>0</v>
      </c>
      <c r="AP9" s="201">
        <f t="shared" si="47"/>
        <v>0</v>
      </c>
      <c r="AQ9" s="201">
        <f t="shared" si="47"/>
        <v>0</v>
      </c>
      <c r="AR9" s="200">
        <f t="shared" si="47"/>
        <v>0</v>
      </c>
      <c r="AS9" s="200">
        <f t="shared" si="47"/>
        <v>0</v>
      </c>
      <c r="AT9" s="173">
        <v>0.0</v>
      </c>
      <c r="AU9" s="200">
        <f t="shared" ref="AU9:AX9" si="48">countif($D9,"*"&amp;AU$2&amp;"*")</f>
        <v>0</v>
      </c>
      <c r="AV9" s="200">
        <f t="shared" si="48"/>
        <v>1</v>
      </c>
      <c r="AW9" s="200">
        <f t="shared" si="48"/>
        <v>0</v>
      </c>
      <c r="AX9" s="200">
        <f t="shared" si="48"/>
        <v>0</v>
      </c>
      <c r="AY9" s="202">
        <v>0.0</v>
      </c>
      <c r="AZ9" s="200"/>
      <c r="BA9" s="171" t="str">
        <f t="shared" si="18"/>
        <v/>
      </c>
      <c r="BB9" s="171" t="str">
        <f t="shared" si="19"/>
        <v>Code</v>
      </c>
      <c r="BC9" s="171" t="str">
        <f t="shared" si="20"/>
        <v/>
      </c>
      <c r="BD9" s="171" t="str">
        <f t="shared" si="21"/>
        <v/>
      </c>
      <c r="BE9" s="171" t="str">
        <f t="shared" si="22"/>
        <v/>
      </c>
      <c r="BF9" s="171" t="str">
        <f t="shared" si="23"/>
        <v>Code</v>
      </c>
    </row>
    <row r="10">
      <c r="A10" s="171">
        <f t="array" ref="A10">XLOOKUP(C10,ICSE!A:A,ICSE!C:C,,2,1)</f>
        <v>2022</v>
      </c>
      <c r="B10" s="171" t="s">
        <v>5675</v>
      </c>
      <c r="C10" s="160">
        <v>7.0</v>
      </c>
      <c r="D10" s="161" t="s">
        <v>2266</v>
      </c>
      <c r="E10" s="197" t="str">
        <f t="array" ref="E10">XLOOKUP(C10,ICSE!A:A,ICSE!Z:Z,,0,1)</f>
        <v>Publicly available (1)</v>
      </c>
      <c r="F10" s="198" t="s">
        <v>20</v>
      </c>
      <c r="G10" s="163" t="str">
        <f t="array" ref="G10">IF(B10="ICSE",IF(COUNTIFS(B:B,B10,C:C,C10)=XLOOKUP(C10,ICSE!A:A,ICSE!AA:AA,"ERROR",0,1),"OK","ERROR"),IF(B10="FSE",IF(COUNTIFS(B:B,B10,C:C,C10)=XLOOKUP(C10,FSE!A:A,FSE!AA:AA,"ERROR",0,1),"OK","ERROR")))</f>
        <v>OK</v>
      </c>
      <c r="H10" s="199">
        <f t="shared" ref="H10:O10" si="49">countif($D10,"*"&amp;H$2&amp;"*")</f>
        <v>0</v>
      </c>
      <c r="I10" s="200">
        <f t="shared" si="49"/>
        <v>0</v>
      </c>
      <c r="J10" s="200">
        <f t="shared" si="49"/>
        <v>0</v>
      </c>
      <c r="K10" s="200">
        <f t="shared" si="49"/>
        <v>0</v>
      </c>
      <c r="L10" s="200">
        <f t="shared" si="49"/>
        <v>0</v>
      </c>
      <c r="M10" s="200">
        <f t="shared" si="49"/>
        <v>0</v>
      </c>
      <c r="N10" s="200">
        <f t="shared" si="49"/>
        <v>0</v>
      </c>
      <c r="O10" s="200">
        <f t="shared" si="49"/>
        <v>0</v>
      </c>
      <c r="P10" s="200">
        <f t="shared" si="9"/>
        <v>1</v>
      </c>
      <c r="Q10" s="200">
        <f t="shared" ref="Q10:AC10" si="50">countif($D10,"*"&amp;Q$2&amp;"*")</f>
        <v>0</v>
      </c>
      <c r="R10" s="200">
        <f t="shared" si="50"/>
        <v>0</v>
      </c>
      <c r="S10" s="200">
        <f t="shared" si="50"/>
        <v>0</v>
      </c>
      <c r="T10" s="200">
        <f t="shared" si="50"/>
        <v>0</v>
      </c>
      <c r="U10" s="200">
        <f t="shared" si="50"/>
        <v>0</v>
      </c>
      <c r="V10" s="200">
        <f t="shared" si="50"/>
        <v>0</v>
      </c>
      <c r="W10" s="200">
        <f t="shared" si="50"/>
        <v>0</v>
      </c>
      <c r="X10" s="200">
        <f t="shared" si="50"/>
        <v>0</v>
      </c>
      <c r="Y10" s="200">
        <f t="shared" si="50"/>
        <v>0</v>
      </c>
      <c r="Z10" s="200">
        <f t="shared" si="50"/>
        <v>0</v>
      </c>
      <c r="AA10" s="200">
        <f t="shared" si="50"/>
        <v>0</v>
      </c>
      <c r="AB10" s="200">
        <f t="shared" si="50"/>
        <v>0</v>
      </c>
      <c r="AC10" s="200">
        <f t="shared" si="50"/>
        <v>0</v>
      </c>
      <c r="AD10" s="200">
        <f t="shared" si="11"/>
        <v>0</v>
      </c>
      <c r="AE10" s="200">
        <f t="shared" ref="AE10:AG10" si="51">countif($D10,"*"&amp;AE$2&amp;"*")</f>
        <v>0</v>
      </c>
      <c r="AF10" s="200">
        <f t="shared" si="51"/>
        <v>0</v>
      </c>
      <c r="AG10" s="200">
        <f t="shared" si="51"/>
        <v>0</v>
      </c>
      <c r="AH10" s="171">
        <f t="shared" si="13"/>
        <v>0</v>
      </c>
      <c r="AI10" s="200">
        <f t="shared" si="14"/>
        <v>0</v>
      </c>
      <c r="AJ10" s="200">
        <f t="shared" si="15"/>
        <v>0</v>
      </c>
      <c r="AK10" s="201">
        <f t="shared" ref="AK10:AS10" si="52">countif($D10,"*"&amp;AK$2&amp;"*")</f>
        <v>0</v>
      </c>
      <c r="AL10" s="201">
        <f t="shared" si="52"/>
        <v>0</v>
      </c>
      <c r="AM10" s="201">
        <f t="shared" si="52"/>
        <v>0</v>
      </c>
      <c r="AN10" s="201">
        <f t="shared" si="52"/>
        <v>0</v>
      </c>
      <c r="AO10" s="201">
        <f t="shared" si="52"/>
        <v>0</v>
      </c>
      <c r="AP10" s="201">
        <f t="shared" si="52"/>
        <v>0</v>
      </c>
      <c r="AQ10" s="201">
        <f t="shared" si="52"/>
        <v>0</v>
      </c>
      <c r="AR10" s="200">
        <f t="shared" si="52"/>
        <v>0</v>
      </c>
      <c r="AS10" s="200">
        <f t="shared" si="52"/>
        <v>0</v>
      </c>
      <c r="AT10" s="173">
        <v>0.0</v>
      </c>
      <c r="AU10" s="200">
        <f t="shared" ref="AU10:AX10" si="53">countif($D10,"*"&amp;AU$2&amp;"*")</f>
        <v>0</v>
      </c>
      <c r="AV10" s="200">
        <f t="shared" si="53"/>
        <v>1</v>
      </c>
      <c r="AW10" s="200">
        <f t="shared" si="53"/>
        <v>0</v>
      </c>
      <c r="AX10" s="200">
        <f t="shared" si="53"/>
        <v>0</v>
      </c>
      <c r="AY10" s="202">
        <v>0.0</v>
      </c>
      <c r="AZ10" s="200"/>
      <c r="BA10" s="171" t="str">
        <f t="shared" si="18"/>
        <v/>
      </c>
      <c r="BB10" s="171" t="str">
        <f t="shared" si="19"/>
        <v>Code</v>
      </c>
      <c r="BC10" s="171" t="str">
        <f t="shared" si="20"/>
        <v/>
      </c>
      <c r="BD10" s="171" t="str">
        <f t="shared" si="21"/>
        <v/>
      </c>
      <c r="BE10" s="171" t="str">
        <f t="shared" si="22"/>
        <v/>
      </c>
      <c r="BF10" s="171" t="str">
        <f t="shared" si="23"/>
        <v>Code</v>
      </c>
    </row>
    <row r="11">
      <c r="A11" s="171">
        <f t="array" ref="A11">XLOOKUP(C11,ICSE!A:A,ICSE!C:C,,2,1)</f>
        <v>2022</v>
      </c>
      <c r="B11" s="171" t="s">
        <v>5675</v>
      </c>
      <c r="C11" s="160">
        <v>8.0</v>
      </c>
      <c r="D11" s="161" t="s">
        <v>2269</v>
      </c>
      <c r="E11" s="197" t="str">
        <f t="array" ref="E11">XLOOKUP(C11,ICSE!A:A,ICSE!Z:Z,,0,1)</f>
        <v>Publicly available (1)</v>
      </c>
      <c r="F11" s="198" t="s">
        <v>20</v>
      </c>
      <c r="G11" s="163" t="str">
        <f t="array" ref="G11">IF(B11="ICSE",IF(COUNTIFS(B:B,B11,C:C,C11)=XLOOKUP(C11,ICSE!A:A,ICSE!AA:AA,"ERROR",0,1),"OK","ERROR"),IF(B11="FSE",IF(COUNTIFS(B:B,B11,C:C,C11)=XLOOKUP(C11,FSE!A:A,FSE!AA:AA,"ERROR",0,1),"OK","ERROR")))</f>
        <v>OK</v>
      </c>
      <c r="H11" s="199">
        <f t="shared" ref="H11:O11" si="54">countif($D11,"*"&amp;H$2&amp;"*")</f>
        <v>0</v>
      </c>
      <c r="I11" s="200">
        <f t="shared" si="54"/>
        <v>0</v>
      </c>
      <c r="J11" s="200">
        <f t="shared" si="54"/>
        <v>0</v>
      </c>
      <c r="K11" s="200">
        <f t="shared" si="54"/>
        <v>0</v>
      </c>
      <c r="L11" s="200">
        <f t="shared" si="54"/>
        <v>0</v>
      </c>
      <c r="M11" s="200">
        <f t="shared" si="54"/>
        <v>0</v>
      </c>
      <c r="N11" s="200">
        <f t="shared" si="54"/>
        <v>0</v>
      </c>
      <c r="O11" s="200">
        <f t="shared" si="54"/>
        <v>0</v>
      </c>
      <c r="P11" s="200">
        <f t="shared" si="9"/>
        <v>1</v>
      </c>
      <c r="Q11" s="200">
        <f t="shared" ref="Q11:AC11" si="55">countif($D11,"*"&amp;Q$2&amp;"*")</f>
        <v>0</v>
      </c>
      <c r="R11" s="200">
        <f t="shared" si="55"/>
        <v>0</v>
      </c>
      <c r="S11" s="200">
        <f t="shared" si="55"/>
        <v>0</v>
      </c>
      <c r="T11" s="200">
        <f t="shared" si="55"/>
        <v>0</v>
      </c>
      <c r="U11" s="200">
        <f t="shared" si="55"/>
        <v>0</v>
      </c>
      <c r="V11" s="200">
        <f t="shared" si="55"/>
        <v>0</v>
      </c>
      <c r="W11" s="200">
        <f t="shared" si="55"/>
        <v>0</v>
      </c>
      <c r="X11" s="200">
        <f t="shared" si="55"/>
        <v>0</v>
      </c>
      <c r="Y11" s="200">
        <f t="shared" si="55"/>
        <v>0</v>
      </c>
      <c r="Z11" s="200">
        <f t="shared" si="55"/>
        <v>0</v>
      </c>
      <c r="AA11" s="200">
        <f t="shared" si="55"/>
        <v>0</v>
      </c>
      <c r="AB11" s="200">
        <f t="shared" si="55"/>
        <v>0</v>
      </c>
      <c r="AC11" s="200">
        <f t="shared" si="55"/>
        <v>0</v>
      </c>
      <c r="AD11" s="200">
        <f t="shared" si="11"/>
        <v>0</v>
      </c>
      <c r="AE11" s="200">
        <f t="shared" ref="AE11:AG11" si="56">countif($D11,"*"&amp;AE$2&amp;"*")</f>
        <v>0</v>
      </c>
      <c r="AF11" s="200">
        <f t="shared" si="56"/>
        <v>0</v>
      </c>
      <c r="AG11" s="200">
        <f t="shared" si="56"/>
        <v>0</v>
      </c>
      <c r="AH11" s="171">
        <f t="shared" si="13"/>
        <v>0</v>
      </c>
      <c r="AI11" s="200">
        <f t="shared" si="14"/>
        <v>0</v>
      </c>
      <c r="AJ11" s="200">
        <f t="shared" si="15"/>
        <v>0</v>
      </c>
      <c r="AK11" s="201">
        <f t="shared" ref="AK11:AS11" si="57">countif($D11,"*"&amp;AK$2&amp;"*")</f>
        <v>0</v>
      </c>
      <c r="AL11" s="201">
        <f t="shared" si="57"/>
        <v>0</v>
      </c>
      <c r="AM11" s="201">
        <f t="shared" si="57"/>
        <v>0</v>
      </c>
      <c r="AN11" s="201">
        <f t="shared" si="57"/>
        <v>0</v>
      </c>
      <c r="AO11" s="201">
        <f t="shared" si="57"/>
        <v>0</v>
      </c>
      <c r="AP11" s="201">
        <f t="shared" si="57"/>
        <v>0</v>
      </c>
      <c r="AQ11" s="201">
        <f t="shared" si="57"/>
        <v>0</v>
      </c>
      <c r="AR11" s="200">
        <f t="shared" si="57"/>
        <v>0</v>
      </c>
      <c r="AS11" s="200">
        <f t="shared" si="57"/>
        <v>0</v>
      </c>
      <c r="AT11" s="173">
        <v>0.0</v>
      </c>
      <c r="AU11" s="200">
        <f t="shared" ref="AU11:AX11" si="58">countif($D11,"*"&amp;AU$2&amp;"*")</f>
        <v>0</v>
      </c>
      <c r="AV11" s="200">
        <f t="shared" si="58"/>
        <v>1</v>
      </c>
      <c r="AW11" s="200">
        <f t="shared" si="58"/>
        <v>0</v>
      </c>
      <c r="AX11" s="200">
        <f t="shared" si="58"/>
        <v>0</v>
      </c>
      <c r="AY11" s="202">
        <v>0.0</v>
      </c>
      <c r="AZ11" s="200"/>
      <c r="BA11" s="171" t="str">
        <f t="shared" si="18"/>
        <v/>
      </c>
      <c r="BB11" s="171" t="str">
        <f t="shared" si="19"/>
        <v>Code</v>
      </c>
      <c r="BC11" s="171" t="str">
        <f t="shared" si="20"/>
        <v/>
      </c>
      <c r="BD11" s="171" t="str">
        <f t="shared" si="21"/>
        <v/>
      </c>
      <c r="BE11" s="171" t="str">
        <f t="shared" si="22"/>
        <v/>
      </c>
      <c r="BF11" s="171" t="str">
        <f t="shared" si="23"/>
        <v>Code</v>
      </c>
    </row>
    <row r="12">
      <c r="A12" s="171">
        <f t="array" ref="A12">XLOOKUP(C12,ICSE!A:A,ICSE!C:C,,2,1)</f>
        <v>2022</v>
      </c>
      <c r="B12" s="171" t="s">
        <v>5675</v>
      </c>
      <c r="C12" s="160">
        <v>9.0</v>
      </c>
      <c r="D12" s="161" t="s">
        <v>2272</v>
      </c>
      <c r="E12" s="197" t="str">
        <f t="array" ref="E12">XLOOKUP(C12,ICSE!A:A,ICSE!Z:Z,,0,1)</f>
        <v>Not available (1) - Broken link.</v>
      </c>
      <c r="F12" s="198" t="s">
        <v>21</v>
      </c>
      <c r="G12" s="163" t="str">
        <f t="array" ref="G12">IF(B12="ICSE",IF(COUNTIFS(B:B,B12,C:C,C12)=XLOOKUP(C12,ICSE!A:A,ICSE!AA:AA,"ERROR",0,1),"OK","ERROR"),IF(B12="FSE",IF(COUNTIFS(B:B,B12,C:C,C12)=XLOOKUP(C12,FSE!A:A,FSE!AA:AA,"ERROR",0,1),"OK","ERROR")))</f>
        <v>OK</v>
      </c>
      <c r="H12" s="199">
        <f t="shared" ref="H12:O12" si="59">countif($D12,"*"&amp;H$2&amp;"*")</f>
        <v>0</v>
      </c>
      <c r="I12" s="200">
        <f t="shared" si="59"/>
        <v>1</v>
      </c>
      <c r="J12" s="200">
        <f t="shared" si="59"/>
        <v>0</v>
      </c>
      <c r="K12" s="200">
        <f t="shared" si="59"/>
        <v>0</v>
      </c>
      <c r="L12" s="200">
        <f t="shared" si="59"/>
        <v>0</v>
      </c>
      <c r="M12" s="200">
        <f t="shared" si="59"/>
        <v>0</v>
      </c>
      <c r="N12" s="200">
        <f t="shared" si="59"/>
        <v>0</v>
      </c>
      <c r="O12" s="200">
        <f t="shared" si="59"/>
        <v>0</v>
      </c>
      <c r="P12" s="200">
        <f t="shared" si="9"/>
        <v>0</v>
      </c>
      <c r="Q12" s="200">
        <f t="shared" ref="Q12:AC12" si="60">countif($D12,"*"&amp;Q$2&amp;"*")</f>
        <v>0</v>
      </c>
      <c r="R12" s="200">
        <f t="shared" si="60"/>
        <v>0</v>
      </c>
      <c r="S12" s="200">
        <f t="shared" si="60"/>
        <v>0</v>
      </c>
      <c r="T12" s="200">
        <f t="shared" si="60"/>
        <v>0</v>
      </c>
      <c r="U12" s="200">
        <f t="shared" si="60"/>
        <v>0</v>
      </c>
      <c r="V12" s="200">
        <f t="shared" si="60"/>
        <v>0</v>
      </c>
      <c r="W12" s="200">
        <f t="shared" si="60"/>
        <v>0</v>
      </c>
      <c r="X12" s="200">
        <f t="shared" si="60"/>
        <v>0</v>
      </c>
      <c r="Y12" s="200">
        <f t="shared" si="60"/>
        <v>0</v>
      </c>
      <c r="Z12" s="200">
        <f t="shared" si="60"/>
        <v>0</v>
      </c>
      <c r="AA12" s="200">
        <f t="shared" si="60"/>
        <v>0</v>
      </c>
      <c r="AB12" s="200">
        <f t="shared" si="60"/>
        <v>0</v>
      </c>
      <c r="AC12" s="200">
        <f t="shared" si="60"/>
        <v>0</v>
      </c>
      <c r="AD12" s="200">
        <f t="shared" si="11"/>
        <v>0</v>
      </c>
      <c r="AE12" s="200">
        <f t="shared" ref="AE12:AG12" si="61">countif($D12,"*"&amp;AE$2&amp;"*")</f>
        <v>0</v>
      </c>
      <c r="AF12" s="200">
        <f t="shared" si="61"/>
        <v>0</v>
      </c>
      <c r="AG12" s="200">
        <f t="shared" si="61"/>
        <v>0</v>
      </c>
      <c r="AH12" s="171">
        <f t="shared" si="13"/>
        <v>0</v>
      </c>
      <c r="AI12" s="200">
        <f t="shared" si="14"/>
        <v>1</v>
      </c>
      <c r="AJ12" s="200">
        <f t="shared" si="15"/>
        <v>0</v>
      </c>
      <c r="AK12" s="201">
        <f t="shared" ref="AK12:AS12" si="62">countif($D12,"*"&amp;AK$2&amp;"*")</f>
        <v>0</v>
      </c>
      <c r="AL12" s="201">
        <f t="shared" si="62"/>
        <v>0</v>
      </c>
      <c r="AM12" s="201">
        <f t="shared" si="62"/>
        <v>0</v>
      </c>
      <c r="AN12" s="201">
        <f t="shared" si="62"/>
        <v>0</v>
      </c>
      <c r="AO12" s="201">
        <f t="shared" si="62"/>
        <v>0</v>
      </c>
      <c r="AP12" s="201">
        <f t="shared" si="62"/>
        <v>0</v>
      </c>
      <c r="AQ12" s="201">
        <f t="shared" si="62"/>
        <v>0</v>
      </c>
      <c r="AR12" s="200">
        <f t="shared" si="62"/>
        <v>0</v>
      </c>
      <c r="AS12" s="200">
        <f t="shared" si="62"/>
        <v>0</v>
      </c>
      <c r="AT12" s="173">
        <v>0.0</v>
      </c>
      <c r="AU12" s="200">
        <f t="shared" ref="AU12:AX12" si="63">countif($D12,"*"&amp;AU$2&amp;"*")</f>
        <v>0</v>
      </c>
      <c r="AV12" s="200">
        <f t="shared" si="63"/>
        <v>0</v>
      </c>
      <c r="AW12" s="200">
        <f t="shared" si="63"/>
        <v>0</v>
      </c>
      <c r="AX12" s="200">
        <f t="shared" si="63"/>
        <v>0</v>
      </c>
      <c r="AY12" s="204">
        <v>1.0</v>
      </c>
      <c r="AZ12" s="200"/>
      <c r="BA12" s="171" t="str">
        <f t="shared" si="18"/>
        <v>Archival</v>
      </c>
      <c r="BB12" s="171" t="str">
        <f t="shared" si="19"/>
        <v/>
      </c>
      <c r="BC12" s="171" t="str">
        <f t="shared" si="20"/>
        <v/>
      </c>
      <c r="BD12" s="171" t="str">
        <f t="shared" si="21"/>
        <v/>
      </c>
      <c r="BE12" s="171" t="str">
        <f t="shared" si="22"/>
        <v/>
      </c>
      <c r="BF12" s="171" t="str">
        <f t="shared" si="23"/>
        <v>Archival</v>
      </c>
    </row>
    <row r="13">
      <c r="A13" s="171">
        <f t="array" ref="A13">XLOOKUP(C13,ICSE!A:A,ICSE!C:C,,2,1)</f>
        <v>2022</v>
      </c>
      <c r="B13" s="171" t="s">
        <v>5675</v>
      </c>
      <c r="C13" s="160">
        <v>11.0</v>
      </c>
      <c r="D13" s="161" t="s">
        <v>2277</v>
      </c>
      <c r="E13" s="197" t="str">
        <f t="array" ref="E13">XLOOKUP(C13,ICSE!A:A,ICSE!Z:Z,,0,1)</f>
        <v>Publicly available (1)</v>
      </c>
      <c r="F13" s="198" t="s">
        <v>20</v>
      </c>
      <c r="G13" s="163" t="str">
        <f t="array" ref="G13">IF(B13="ICSE",IF(COUNTIFS(B:B,B13,C:C,C13)=XLOOKUP(C13,ICSE!A:A,ICSE!AA:AA,"ERROR",0,1),"OK","ERROR"),IF(B13="FSE",IF(COUNTIFS(B:B,B13,C:C,C13)=XLOOKUP(C13,FSE!A:A,FSE!AA:AA,"ERROR",0,1),"OK","ERROR")))</f>
        <v>OK</v>
      </c>
      <c r="H13" s="199">
        <f t="shared" ref="H13:O13" si="64">countif($D13,"*"&amp;H$2&amp;"*")</f>
        <v>0</v>
      </c>
      <c r="I13" s="200">
        <f t="shared" si="64"/>
        <v>0</v>
      </c>
      <c r="J13" s="200">
        <f t="shared" si="64"/>
        <v>0</v>
      </c>
      <c r="K13" s="200">
        <f t="shared" si="64"/>
        <v>0</v>
      </c>
      <c r="L13" s="200">
        <f t="shared" si="64"/>
        <v>0</v>
      </c>
      <c r="M13" s="200">
        <f t="shared" si="64"/>
        <v>0</v>
      </c>
      <c r="N13" s="200">
        <f t="shared" si="64"/>
        <v>0</v>
      </c>
      <c r="O13" s="200">
        <f t="shared" si="64"/>
        <v>0</v>
      </c>
      <c r="P13" s="200">
        <f t="shared" si="9"/>
        <v>1</v>
      </c>
      <c r="Q13" s="200">
        <f t="shared" ref="Q13:AC13" si="65">countif($D13,"*"&amp;Q$2&amp;"*")</f>
        <v>0</v>
      </c>
      <c r="R13" s="200">
        <f t="shared" si="65"/>
        <v>0</v>
      </c>
      <c r="S13" s="200">
        <f t="shared" si="65"/>
        <v>0</v>
      </c>
      <c r="T13" s="200">
        <f t="shared" si="65"/>
        <v>0</v>
      </c>
      <c r="U13" s="200">
        <f t="shared" si="65"/>
        <v>0</v>
      </c>
      <c r="V13" s="200">
        <f t="shared" si="65"/>
        <v>0</v>
      </c>
      <c r="W13" s="200">
        <f t="shared" si="65"/>
        <v>0</v>
      </c>
      <c r="X13" s="200">
        <f t="shared" si="65"/>
        <v>0</v>
      </c>
      <c r="Y13" s="200">
        <f t="shared" si="65"/>
        <v>0</v>
      </c>
      <c r="Z13" s="200">
        <f t="shared" si="65"/>
        <v>0</v>
      </c>
      <c r="AA13" s="200">
        <f t="shared" si="65"/>
        <v>0</v>
      </c>
      <c r="AB13" s="200">
        <f t="shared" si="65"/>
        <v>0</v>
      </c>
      <c r="AC13" s="200">
        <f t="shared" si="65"/>
        <v>0</v>
      </c>
      <c r="AD13" s="200">
        <f t="shared" si="11"/>
        <v>0</v>
      </c>
      <c r="AE13" s="200">
        <f t="shared" ref="AE13:AG13" si="66">countif($D13,"*"&amp;AE$2&amp;"*")</f>
        <v>0</v>
      </c>
      <c r="AF13" s="200">
        <f t="shared" si="66"/>
        <v>0</v>
      </c>
      <c r="AG13" s="200">
        <f t="shared" si="66"/>
        <v>0</v>
      </c>
      <c r="AH13" s="171">
        <f t="shared" si="13"/>
        <v>0</v>
      </c>
      <c r="AI13" s="200">
        <f t="shared" si="14"/>
        <v>0</v>
      </c>
      <c r="AJ13" s="200">
        <f t="shared" si="15"/>
        <v>0</v>
      </c>
      <c r="AK13" s="201">
        <f t="shared" ref="AK13:AS13" si="67">countif($D13,"*"&amp;AK$2&amp;"*")</f>
        <v>0</v>
      </c>
      <c r="AL13" s="201">
        <f t="shared" si="67"/>
        <v>0</v>
      </c>
      <c r="AM13" s="201">
        <f t="shared" si="67"/>
        <v>0</v>
      </c>
      <c r="AN13" s="201">
        <f t="shared" si="67"/>
        <v>0</v>
      </c>
      <c r="AO13" s="201">
        <f t="shared" si="67"/>
        <v>0</v>
      </c>
      <c r="AP13" s="201">
        <f t="shared" si="67"/>
        <v>0</v>
      </c>
      <c r="AQ13" s="201">
        <f t="shared" si="67"/>
        <v>0</v>
      </c>
      <c r="AR13" s="200">
        <f t="shared" si="67"/>
        <v>0</v>
      </c>
      <c r="AS13" s="200">
        <f t="shared" si="67"/>
        <v>0</v>
      </c>
      <c r="AT13" s="173">
        <v>0.0</v>
      </c>
      <c r="AU13" s="200">
        <f t="shared" ref="AU13:AX13" si="68">countif($D13,"*"&amp;AU$2&amp;"*")</f>
        <v>0</v>
      </c>
      <c r="AV13" s="200">
        <f t="shared" si="68"/>
        <v>1</v>
      </c>
      <c r="AW13" s="200">
        <f t="shared" si="68"/>
        <v>0</v>
      </c>
      <c r="AX13" s="200">
        <f t="shared" si="68"/>
        <v>0</v>
      </c>
      <c r="AY13" s="202">
        <v>0.0</v>
      </c>
      <c r="AZ13" s="200"/>
      <c r="BA13" s="171" t="str">
        <f t="shared" si="18"/>
        <v/>
      </c>
      <c r="BB13" s="171" t="str">
        <f t="shared" si="19"/>
        <v>Code</v>
      </c>
      <c r="BC13" s="171" t="str">
        <f t="shared" si="20"/>
        <v/>
      </c>
      <c r="BD13" s="171" t="str">
        <f t="shared" si="21"/>
        <v/>
      </c>
      <c r="BE13" s="171" t="str">
        <f t="shared" si="22"/>
        <v/>
      </c>
      <c r="BF13" s="171" t="str">
        <f t="shared" si="23"/>
        <v>Code</v>
      </c>
    </row>
    <row r="14">
      <c r="A14" s="171">
        <f t="array" ref="A14">XLOOKUP(C14,ICSE!A:A,ICSE!C:C,,2,1)</f>
        <v>2022</v>
      </c>
      <c r="B14" s="171" t="s">
        <v>5675</v>
      </c>
      <c r="C14" s="160">
        <v>12.0</v>
      </c>
      <c r="D14" s="161" t="s">
        <v>2280</v>
      </c>
      <c r="E14" s="197" t="str">
        <f t="array" ref="E14">XLOOKUP(C14,ICSE!A:A,ICSE!Z:Z,,0,1)</f>
        <v>Publicly available (1)</v>
      </c>
      <c r="F14" s="198" t="s">
        <v>20</v>
      </c>
      <c r="G14" s="163" t="str">
        <f t="array" ref="G14">IF(B14="ICSE",IF(COUNTIFS(B:B,B14,C:C,C14)=XLOOKUP(C14,ICSE!A:A,ICSE!AA:AA,"ERROR",0,1),"OK","ERROR"),IF(B14="FSE",IF(COUNTIFS(B:B,B14,C:C,C14)=XLOOKUP(C14,FSE!A:A,FSE!AA:AA,"ERROR",0,1),"OK","ERROR")))</f>
        <v>OK</v>
      </c>
      <c r="H14" s="199">
        <f t="shared" ref="H14:O14" si="69">countif($D14,"*"&amp;H$2&amp;"*")</f>
        <v>0</v>
      </c>
      <c r="I14" s="200">
        <f t="shared" si="69"/>
        <v>0</v>
      </c>
      <c r="J14" s="200">
        <f t="shared" si="69"/>
        <v>0</v>
      </c>
      <c r="K14" s="200">
        <f t="shared" si="69"/>
        <v>1</v>
      </c>
      <c r="L14" s="200">
        <f t="shared" si="69"/>
        <v>0</v>
      </c>
      <c r="M14" s="200">
        <f t="shared" si="69"/>
        <v>0</v>
      </c>
      <c r="N14" s="200">
        <f t="shared" si="69"/>
        <v>0</v>
      </c>
      <c r="O14" s="200">
        <f t="shared" si="69"/>
        <v>0</v>
      </c>
      <c r="P14" s="200">
        <f t="shared" si="9"/>
        <v>0</v>
      </c>
      <c r="Q14" s="200">
        <f t="shared" ref="Q14:AC14" si="70">countif($D14,"*"&amp;Q$2&amp;"*")</f>
        <v>0</v>
      </c>
      <c r="R14" s="200">
        <f t="shared" si="70"/>
        <v>0</v>
      </c>
      <c r="S14" s="200">
        <f t="shared" si="70"/>
        <v>0</v>
      </c>
      <c r="T14" s="200">
        <f t="shared" si="70"/>
        <v>0</v>
      </c>
      <c r="U14" s="200">
        <f t="shared" si="70"/>
        <v>0</v>
      </c>
      <c r="V14" s="200">
        <f t="shared" si="70"/>
        <v>0</v>
      </c>
      <c r="W14" s="200">
        <f t="shared" si="70"/>
        <v>0</v>
      </c>
      <c r="X14" s="200">
        <f t="shared" si="70"/>
        <v>0</v>
      </c>
      <c r="Y14" s="200">
        <f t="shared" si="70"/>
        <v>0</v>
      </c>
      <c r="Z14" s="200">
        <f t="shared" si="70"/>
        <v>0</v>
      </c>
      <c r="AA14" s="200">
        <f t="shared" si="70"/>
        <v>0</v>
      </c>
      <c r="AB14" s="200">
        <f t="shared" si="70"/>
        <v>0</v>
      </c>
      <c r="AC14" s="200">
        <f t="shared" si="70"/>
        <v>0</v>
      </c>
      <c r="AD14" s="200">
        <f t="shared" si="11"/>
        <v>0</v>
      </c>
      <c r="AE14" s="200">
        <f t="shared" ref="AE14:AG14" si="71">countif($D14,"*"&amp;AE$2&amp;"*")</f>
        <v>0</v>
      </c>
      <c r="AF14" s="200">
        <f t="shared" si="71"/>
        <v>0</v>
      </c>
      <c r="AG14" s="200">
        <f t="shared" si="71"/>
        <v>0</v>
      </c>
      <c r="AH14" s="171">
        <f t="shared" si="13"/>
        <v>0</v>
      </c>
      <c r="AI14" s="200">
        <f t="shared" si="14"/>
        <v>1</v>
      </c>
      <c r="AJ14" s="200">
        <f t="shared" si="15"/>
        <v>0</v>
      </c>
      <c r="AK14" s="201">
        <f t="shared" ref="AK14:AS14" si="72">countif($D14,"*"&amp;AK$2&amp;"*")</f>
        <v>0</v>
      </c>
      <c r="AL14" s="201">
        <f t="shared" si="72"/>
        <v>0</v>
      </c>
      <c r="AM14" s="201">
        <f t="shared" si="72"/>
        <v>0</v>
      </c>
      <c r="AN14" s="201">
        <f t="shared" si="72"/>
        <v>0</v>
      </c>
      <c r="AO14" s="201">
        <f t="shared" si="72"/>
        <v>0</v>
      </c>
      <c r="AP14" s="201">
        <f t="shared" si="72"/>
        <v>0</v>
      </c>
      <c r="AQ14" s="201">
        <f t="shared" si="72"/>
        <v>0</v>
      </c>
      <c r="AR14" s="200">
        <f t="shared" si="72"/>
        <v>0</v>
      </c>
      <c r="AS14" s="200">
        <f t="shared" si="72"/>
        <v>0</v>
      </c>
      <c r="AT14" s="173">
        <v>0.0</v>
      </c>
      <c r="AU14" s="200">
        <f t="shared" ref="AU14:AX14" si="73">countif($D14,"*"&amp;AU$2&amp;"*")</f>
        <v>0</v>
      </c>
      <c r="AV14" s="200">
        <f t="shared" si="73"/>
        <v>0</v>
      </c>
      <c r="AW14" s="200">
        <f t="shared" si="73"/>
        <v>0</v>
      </c>
      <c r="AX14" s="200">
        <f t="shared" si="73"/>
        <v>0</v>
      </c>
      <c r="AY14" s="204">
        <v>1.0</v>
      </c>
      <c r="AZ14" s="200"/>
      <c r="BA14" s="171" t="str">
        <f t="shared" si="18"/>
        <v>Archival</v>
      </c>
      <c r="BB14" s="171" t="str">
        <f t="shared" si="19"/>
        <v/>
      </c>
      <c r="BC14" s="171" t="str">
        <f t="shared" si="20"/>
        <v/>
      </c>
      <c r="BD14" s="171" t="str">
        <f t="shared" si="21"/>
        <v/>
      </c>
      <c r="BE14" s="171" t="str">
        <f t="shared" si="22"/>
        <v/>
      </c>
      <c r="BF14" s="171" t="str">
        <f t="shared" si="23"/>
        <v>Archival</v>
      </c>
    </row>
    <row r="15">
      <c r="A15" s="171">
        <f t="array" ref="A15">XLOOKUP(C15,ICSE!A:A,ICSE!C:C,,2,1)</f>
        <v>2022</v>
      </c>
      <c r="B15" s="171" t="s">
        <v>5675</v>
      </c>
      <c r="C15" s="160">
        <v>13.0</v>
      </c>
      <c r="D15" s="161" t="s">
        <v>2283</v>
      </c>
      <c r="E15" s="197" t="str">
        <f t="array" ref="E15">XLOOKUP(C15,ICSE!A:A,ICSE!Z:Z,,0,1)</f>
        <v>Publicly available (1)</v>
      </c>
      <c r="F15" s="198" t="s">
        <v>20</v>
      </c>
      <c r="G15" s="163" t="str">
        <f t="array" ref="G15">IF(B15="ICSE",IF(COUNTIFS(B:B,B15,C:C,C15)=XLOOKUP(C15,ICSE!A:A,ICSE!AA:AA,"ERROR",0,1),"OK","ERROR"),IF(B15="FSE",IF(COUNTIFS(B:B,B15,C:C,C15)=XLOOKUP(C15,FSE!A:A,FSE!AA:AA,"ERROR",0,1),"OK","ERROR")))</f>
        <v>OK</v>
      </c>
      <c r="H15" s="199">
        <f t="shared" ref="H15:O15" si="74">countif($D15,"*"&amp;H$2&amp;"*")</f>
        <v>0</v>
      </c>
      <c r="I15" s="200">
        <f t="shared" si="74"/>
        <v>0</v>
      </c>
      <c r="J15" s="200">
        <f t="shared" si="74"/>
        <v>0</v>
      </c>
      <c r="K15" s="200">
        <f t="shared" si="74"/>
        <v>0</v>
      </c>
      <c r="L15" s="200">
        <f t="shared" si="74"/>
        <v>0</v>
      </c>
      <c r="M15" s="200">
        <f t="shared" si="74"/>
        <v>0</v>
      </c>
      <c r="N15" s="200">
        <f t="shared" si="74"/>
        <v>0</v>
      </c>
      <c r="O15" s="200">
        <f t="shared" si="74"/>
        <v>0</v>
      </c>
      <c r="P15" s="200">
        <f t="shared" si="9"/>
        <v>1</v>
      </c>
      <c r="Q15" s="200">
        <f t="shared" ref="Q15:AC15" si="75">countif($D15,"*"&amp;Q$2&amp;"*")</f>
        <v>0</v>
      </c>
      <c r="R15" s="200">
        <f t="shared" si="75"/>
        <v>0</v>
      </c>
      <c r="S15" s="200">
        <f t="shared" si="75"/>
        <v>0</v>
      </c>
      <c r="T15" s="200">
        <f t="shared" si="75"/>
        <v>0</v>
      </c>
      <c r="U15" s="200">
        <f t="shared" si="75"/>
        <v>0</v>
      </c>
      <c r="V15" s="200">
        <f t="shared" si="75"/>
        <v>0</v>
      </c>
      <c r="W15" s="200">
        <f t="shared" si="75"/>
        <v>0</v>
      </c>
      <c r="X15" s="200">
        <f t="shared" si="75"/>
        <v>0</v>
      </c>
      <c r="Y15" s="200">
        <f t="shared" si="75"/>
        <v>0</v>
      </c>
      <c r="Z15" s="200">
        <f t="shared" si="75"/>
        <v>0</v>
      </c>
      <c r="AA15" s="200">
        <f t="shared" si="75"/>
        <v>0</v>
      </c>
      <c r="AB15" s="200">
        <f t="shared" si="75"/>
        <v>0</v>
      </c>
      <c r="AC15" s="200">
        <f t="shared" si="75"/>
        <v>0</v>
      </c>
      <c r="AD15" s="200">
        <f t="shared" si="11"/>
        <v>0</v>
      </c>
      <c r="AE15" s="200">
        <f t="shared" ref="AE15:AG15" si="76">countif($D15,"*"&amp;AE$2&amp;"*")</f>
        <v>0</v>
      </c>
      <c r="AF15" s="200">
        <f t="shared" si="76"/>
        <v>0</v>
      </c>
      <c r="AG15" s="200">
        <f t="shared" si="76"/>
        <v>0</v>
      </c>
      <c r="AH15" s="171">
        <f t="shared" si="13"/>
        <v>0</v>
      </c>
      <c r="AI15" s="200">
        <f t="shared" si="14"/>
        <v>0</v>
      </c>
      <c r="AJ15" s="200">
        <f t="shared" si="15"/>
        <v>0</v>
      </c>
      <c r="AK15" s="201">
        <f t="shared" ref="AK15:AS15" si="77">countif($D15,"*"&amp;AK$2&amp;"*")</f>
        <v>0</v>
      </c>
      <c r="AL15" s="201">
        <f t="shared" si="77"/>
        <v>0</v>
      </c>
      <c r="AM15" s="201">
        <f t="shared" si="77"/>
        <v>0</v>
      </c>
      <c r="AN15" s="201">
        <f t="shared" si="77"/>
        <v>0</v>
      </c>
      <c r="AO15" s="201">
        <f t="shared" si="77"/>
        <v>0</v>
      </c>
      <c r="AP15" s="201">
        <f t="shared" si="77"/>
        <v>0</v>
      </c>
      <c r="AQ15" s="201">
        <f t="shared" si="77"/>
        <v>0</v>
      </c>
      <c r="AR15" s="200">
        <f t="shared" si="77"/>
        <v>0</v>
      </c>
      <c r="AS15" s="200">
        <f t="shared" si="77"/>
        <v>0</v>
      </c>
      <c r="AT15" s="173">
        <v>0.0</v>
      </c>
      <c r="AU15" s="200">
        <f t="shared" ref="AU15:AX15" si="78">countif($D15,"*"&amp;AU$2&amp;"*")</f>
        <v>0</v>
      </c>
      <c r="AV15" s="200">
        <f t="shared" si="78"/>
        <v>1</v>
      </c>
      <c r="AW15" s="200">
        <f t="shared" si="78"/>
        <v>0</v>
      </c>
      <c r="AX15" s="200">
        <f t="shared" si="78"/>
        <v>0</v>
      </c>
      <c r="AY15" s="202">
        <v>0.0</v>
      </c>
      <c r="AZ15" s="200"/>
      <c r="BA15" s="171" t="str">
        <f t="shared" si="18"/>
        <v/>
      </c>
      <c r="BB15" s="171" t="str">
        <f t="shared" si="19"/>
        <v>Code</v>
      </c>
      <c r="BC15" s="171" t="str">
        <f t="shared" si="20"/>
        <v/>
      </c>
      <c r="BD15" s="171" t="str">
        <f t="shared" si="21"/>
        <v/>
      </c>
      <c r="BE15" s="171" t="str">
        <f t="shared" si="22"/>
        <v/>
      </c>
      <c r="BF15" s="171" t="str">
        <f t="shared" si="23"/>
        <v>Code</v>
      </c>
    </row>
    <row r="16">
      <c r="A16" s="171">
        <f t="array" ref="A16">XLOOKUP(C16,ICSE!A:A,ICSE!C:C,,2,1)</f>
        <v>2022</v>
      </c>
      <c r="B16" s="171" t="s">
        <v>5675</v>
      </c>
      <c r="C16" s="160">
        <v>14.0</v>
      </c>
      <c r="D16" s="161" t="s">
        <v>2285</v>
      </c>
      <c r="E16" s="197" t="str">
        <f t="array" ref="E16">XLOOKUP(C16,ICSE!A:A,ICSE!Z:Z,,0,1)</f>
        <v>Publicly available (1)</v>
      </c>
      <c r="F16" s="198" t="s">
        <v>20</v>
      </c>
      <c r="G16" s="163" t="str">
        <f t="array" ref="G16">IF(B16="ICSE",IF(COUNTIFS(B:B,B16,C:C,C16)=XLOOKUP(C16,ICSE!A:A,ICSE!AA:AA,"ERROR",0,1),"OK","ERROR"),IF(B16="FSE",IF(COUNTIFS(B:B,B16,C:C,C16)=XLOOKUP(C16,FSE!A:A,FSE!AA:AA,"ERROR",0,1),"OK","ERROR")))</f>
        <v>OK</v>
      </c>
      <c r="H16" s="199">
        <f t="shared" ref="H16:O16" si="79">countif($D16,"*"&amp;H$2&amp;"*")</f>
        <v>0</v>
      </c>
      <c r="I16" s="200">
        <f t="shared" si="79"/>
        <v>0</v>
      </c>
      <c r="J16" s="200">
        <f t="shared" si="79"/>
        <v>0</v>
      </c>
      <c r="K16" s="200">
        <f t="shared" si="79"/>
        <v>0</v>
      </c>
      <c r="L16" s="200">
        <f t="shared" si="79"/>
        <v>0</v>
      </c>
      <c r="M16" s="200">
        <f t="shared" si="79"/>
        <v>0</v>
      </c>
      <c r="N16" s="200">
        <f t="shared" si="79"/>
        <v>0</v>
      </c>
      <c r="O16" s="200">
        <f t="shared" si="79"/>
        <v>0</v>
      </c>
      <c r="P16" s="200">
        <f t="shared" si="9"/>
        <v>1</v>
      </c>
      <c r="Q16" s="200">
        <f t="shared" ref="Q16:AC16" si="80">countif($D16,"*"&amp;Q$2&amp;"*")</f>
        <v>0</v>
      </c>
      <c r="R16" s="200">
        <f t="shared" si="80"/>
        <v>0</v>
      </c>
      <c r="S16" s="200">
        <f t="shared" si="80"/>
        <v>0</v>
      </c>
      <c r="T16" s="200">
        <f t="shared" si="80"/>
        <v>0</v>
      </c>
      <c r="U16" s="200">
        <f t="shared" si="80"/>
        <v>0</v>
      </c>
      <c r="V16" s="200">
        <f t="shared" si="80"/>
        <v>0</v>
      </c>
      <c r="W16" s="200">
        <f t="shared" si="80"/>
        <v>0</v>
      </c>
      <c r="X16" s="200">
        <f t="shared" si="80"/>
        <v>0</v>
      </c>
      <c r="Y16" s="200">
        <f t="shared" si="80"/>
        <v>0</v>
      </c>
      <c r="Z16" s="200">
        <f t="shared" si="80"/>
        <v>0</v>
      </c>
      <c r="AA16" s="200">
        <f t="shared" si="80"/>
        <v>0</v>
      </c>
      <c r="AB16" s="200">
        <f t="shared" si="80"/>
        <v>0</v>
      </c>
      <c r="AC16" s="200">
        <f t="shared" si="80"/>
        <v>0</v>
      </c>
      <c r="AD16" s="200">
        <f t="shared" si="11"/>
        <v>0</v>
      </c>
      <c r="AE16" s="200">
        <f t="shared" ref="AE16:AG16" si="81">countif($D16,"*"&amp;AE$2&amp;"*")</f>
        <v>0</v>
      </c>
      <c r="AF16" s="200">
        <f t="shared" si="81"/>
        <v>0</v>
      </c>
      <c r="AG16" s="200">
        <f t="shared" si="81"/>
        <v>0</v>
      </c>
      <c r="AH16" s="171">
        <f t="shared" si="13"/>
        <v>0</v>
      </c>
      <c r="AI16" s="200">
        <f t="shared" si="14"/>
        <v>0</v>
      </c>
      <c r="AJ16" s="200">
        <f t="shared" si="15"/>
        <v>0</v>
      </c>
      <c r="AK16" s="201">
        <f t="shared" ref="AK16:AS16" si="82">countif($D16,"*"&amp;AK$2&amp;"*")</f>
        <v>0</v>
      </c>
      <c r="AL16" s="201">
        <f t="shared" si="82"/>
        <v>0</v>
      </c>
      <c r="AM16" s="201">
        <f t="shared" si="82"/>
        <v>0</v>
      </c>
      <c r="AN16" s="201">
        <f t="shared" si="82"/>
        <v>0</v>
      </c>
      <c r="AO16" s="201">
        <f t="shared" si="82"/>
        <v>0</v>
      </c>
      <c r="AP16" s="201">
        <f t="shared" si="82"/>
        <v>0</v>
      </c>
      <c r="AQ16" s="201">
        <f t="shared" si="82"/>
        <v>0</v>
      </c>
      <c r="AR16" s="200">
        <f t="shared" si="82"/>
        <v>0</v>
      </c>
      <c r="AS16" s="200">
        <f t="shared" si="82"/>
        <v>0</v>
      </c>
      <c r="AT16" s="173">
        <v>0.0</v>
      </c>
      <c r="AU16" s="200">
        <f t="shared" ref="AU16:AX16" si="83">countif($D16,"*"&amp;AU$2&amp;"*")</f>
        <v>0</v>
      </c>
      <c r="AV16" s="200">
        <f t="shared" si="83"/>
        <v>1</v>
      </c>
      <c r="AW16" s="200">
        <f t="shared" si="83"/>
        <v>0</v>
      </c>
      <c r="AX16" s="200">
        <f t="shared" si="83"/>
        <v>0</v>
      </c>
      <c r="AY16" s="202">
        <v>0.0</v>
      </c>
      <c r="AZ16" s="200"/>
      <c r="BA16" s="171" t="str">
        <f t="shared" si="18"/>
        <v/>
      </c>
      <c r="BB16" s="171" t="str">
        <f t="shared" si="19"/>
        <v>Code</v>
      </c>
      <c r="BC16" s="171" t="str">
        <f t="shared" si="20"/>
        <v/>
      </c>
      <c r="BD16" s="171" t="str">
        <f t="shared" si="21"/>
        <v/>
      </c>
      <c r="BE16" s="171" t="str">
        <f t="shared" si="22"/>
        <v/>
      </c>
      <c r="BF16" s="171" t="str">
        <f t="shared" si="23"/>
        <v>Code</v>
      </c>
    </row>
    <row r="17">
      <c r="A17" s="171">
        <f t="array" ref="A17">XLOOKUP(C17,ICSE!A:A,ICSE!C:C,,2,1)</f>
        <v>2022</v>
      </c>
      <c r="B17" s="171" t="s">
        <v>5675</v>
      </c>
      <c r="C17" s="160">
        <v>15.0</v>
      </c>
      <c r="D17" s="161" t="s">
        <v>2287</v>
      </c>
      <c r="E17" s="197" t="str">
        <f t="array" ref="E17">XLOOKUP(C17,ICSE!A:A,ICSE!Z:Z,,0,1)</f>
        <v>Publicly available (1)</v>
      </c>
      <c r="F17" s="198" t="s">
        <v>20</v>
      </c>
      <c r="G17" s="163" t="str">
        <f t="array" ref="G17">IF(B17="ICSE",IF(COUNTIFS(B:B,B17,C:C,C17)=XLOOKUP(C17,ICSE!A:A,ICSE!AA:AA,"ERROR",0,1),"OK","ERROR"),IF(B17="FSE",IF(COUNTIFS(B:B,B17,C:C,C17)=XLOOKUP(C17,FSE!A:A,FSE!AA:AA,"ERROR",0,1),"OK","ERROR")))</f>
        <v>OK</v>
      </c>
      <c r="H17" s="199">
        <f t="shared" ref="H17:O17" si="84">countif($D17,"*"&amp;H$2&amp;"*")</f>
        <v>0</v>
      </c>
      <c r="I17" s="200">
        <f t="shared" si="84"/>
        <v>0</v>
      </c>
      <c r="J17" s="200">
        <f t="shared" si="84"/>
        <v>0</v>
      </c>
      <c r="K17" s="200">
        <f t="shared" si="84"/>
        <v>0</v>
      </c>
      <c r="L17" s="200">
        <f t="shared" si="84"/>
        <v>0</v>
      </c>
      <c r="M17" s="200">
        <f t="shared" si="84"/>
        <v>0</v>
      </c>
      <c r="N17" s="200">
        <f t="shared" si="84"/>
        <v>0</v>
      </c>
      <c r="O17" s="200">
        <f t="shared" si="84"/>
        <v>0</v>
      </c>
      <c r="P17" s="200">
        <f t="shared" si="9"/>
        <v>1</v>
      </c>
      <c r="Q17" s="200">
        <f t="shared" ref="Q17:AC17" si="85">countif($D17,"*"&amp;Q$2&amp;"*")</f>
        <v>0</v>
      </c>
      <c r="R17" s="200">
        <f t="shared" si="85"/>
        <v>0</v>
      </c>
      <c r="S17" s="200">
        <f t="shared" si="85"/>
        <v>0</v>
      </c>
      <c r="T17" s="200">
        <f t="shared" si="85"/>
        <v>0</v>
      </c>
      <c r="U17" s="200">
        <f t="shared" si="85"/>
        <v>0</v>
      </c>
      <c r="V17" s="200">
        <f t="shared" si="85"/>
        <v>0</v>
      </c>
      <c r="W17" s="200">
        <f t="shared" si="85"/>
        <v>0</v>
      </c>
      <c r="X17" s="200">
        <f t="shared" si="85"/>
        <v>0</v>
      </c>
      <c r="Y17" s="200">
        <f t="shared" si="85"/>
        <v>0</v>
      </c>
      <c r="Z17" s="200">
        <f t="shared" si="85"/>
        <v>0</v>
      </c>
      <c r="AA17" s="200">
        <f t="shared" si="85"/>
        <v>0</v>
      </c>
      <c r="AB17" s="200">
        <f t="shared" si="85"/>
        <v>0</v>
      </c>
      <c r="AC17" s="200">
        <f t="shared" si="85"/>
        <v>0</v>
      </c>
      <c r="AD17" s="200">
        <f t="shared" si="11"/>
        <v>0</v>
      </c>
      <c r="AE17" s="200">
        <f t="shared" ref="AE17:AG17" si="86">countif($D17,"*"&amp;AE$2&amp;"*")</f>
        <v>0</v>
      </c>
      <c r="AF17" s="200">
        <f t="shared" si="86"/>
        <v>0</v>
      </c>
      <c r="AG17" s="200">
        <f t="shared" si="86"/>
        <v>0</v>
      </c>
      <c r="AH17" s="171">
        <f t="shared" si="13"/>
        <v>0</v>
      </c>
      <c r="AI17" s="200">
        <f t="shared" si="14"/>
        <v>0</v>
      </c>
      <c r="AJ17" s="200">
        <f t="shared" si="15"/>
        <v>0</v>
      </c>
      <c r="AK17" s="201">
        <f t="shared" ref="AK17:AS17" si="87">countif($D17,"*"&amp;AK$2&amp;"*")</f>
        <v>0</v>
      </c>
      <c r="AL17" s="201">
        <f t="shared" si="87"/>
        <v>0</v>
      </c>
      <c r="AM17" s="201">
        <f t="shared" si="87"/>
        <v>0</v>
      </c>
      <c r="AN17" s="201">
        <f t="shared" si="87"/>
        <v>0</v>
      </c>
      <c r="AO17" s="201">
        <f t="shared" si="87"/>
        <v>0</v>
      </c>
      <c r="AP17" s="201">
        <f t="shared" si="87"/>
        <v>0</v>
      </c>
      <c r="AQ17" s="201">
        <f t="shared" si="87"/>
        <v>0</v>
      </c>
      <c r="AR17" s="200">
        <f t="shared" si="87"/>
        <v>0</v>
      </c>
      <c r="AS17" s="200">
        <f t="shared" si="87"/>
        <v>0</v>
      </c>
      <c r="AT17" s="173">
        <v>0.0</v>
      </c>
      <c r="AU17" s="200">
        <f t="shared" ref="AU17:AX17" si="88">countif($D17,"*"&amp;AU$2&amp;"*")</f>
        <v>0</v>
      </c>
      <c r="AV17" s="200">
        <f t="shared" si="88"/>
        <v>1</v>
      </c>
      <c r="AW17" s="200">
        <f t="shared" si="88"/>
        <v>0</v>
      </c>
      <c r="AX17" s="200">
        <f t="shared" si="88"/>
        <v>0</v>
      </c>
      <c r="AY17" s="202">
        <v>0.0</v>
      </c>
      <c r="AZ17" s="200"/>
      <c r="BA17" s="171" t="str">
        <f t="shared" si="18"/>
        <v/>
      </c>
      <c r="BB17" s="171" t="str">
        <f t="shared" si="19"/>
        <v>Code</v>
      </c>
      <c r="BC17" s="171" t="str">
        <f t="shared" si="20"/>
        <v/>
      </c>
      <c r="BD17" s="171" t="str">
        <f t="shared" si="21"/>
        <v/>
      </c>
      <c r="BE17" s="171" t="str">
        <f t="shared" si="22"/>
        <v/>
      </c>
      <c r="BF17" s="171" t="str">
        <f t="shared" si="23"/>
        <v>Code</v>
      </c>
    </row>
    <row r="18">
      <c r="A18" s="171">
        <f t="array" ref="A18">XLOOKUP(C18,ICSE!A:A,ICSE!C:C,,2,1)</f>
        <v>2022</v>
      </c>
      <c r="B18" s="171" t="s">
        <v>5675</v>
      </c>
      <c r="C18" s="160">
        <v>16.0</v>
      </c>
      <c r="D18" s="161" t="s">
        <v>2290</v>
      </c>
      <c r="E18" s="197" t="str">
        <f t="array" ref="E18">XLOOKUP(C18,ICSE!A:A,ICSE!Z:Z,,0,1)</f>
        <v>Publicly available (1)</v>
      </c>
      <c r="F18" s="198" t="s">
        <v>20</v>
      </c>
      <c r="G18" s="163" t="str">
        <f t="array" ref="G18">IF(B18="ICSE",IF(COUNTIFS(B:B,B18,C:C,C18)=XLOOKUP(C18,ICSE!A:A,ICSE!AA:AA,"ERROR",0,1),"OK","ERROR"),IF(B18="FSE",IF(COUNTIFS(B:B,B18,C:C,C18)=XLOOKUP(C18,FSE!A:A,FSE!AA:AA,"ERROR",0,1),"OK","ERROR")))</f>
        <v>OK</v>
      </c>
      <c r="H18" s="199">
        <f t="shared" ref="H18:O18" si="89">countif($D18,"*"&amp;H$2&amp;"*")</f>
        <v>0</v>
      </c>
      <c r="I18" s="200">
        <f t="shared" si="89"/>
        <v>0</v>
      </c>
      <c r="J18" s="200">
        <f t="shared" si="89"/>
        <v>0</v>
      </c>
      <c r="K18" s="200">
        <f t="shared" si="89"/>
        <v>0</v>
      </c>
      <c r="L18" s="200">
        <f t="shared" si="89"/>
        <v>0</v>
      </c>
      <c r="M18" s="200">
        <f t="shared" si="89"/>
        <v>0</v>
      </c>
      <c r="N18" s="200">
        <f t="shared" si="89"/>
        <v>0</v>
      </c>
      <c r="O18" s="200">
        <f t="shared" si="89"/>
        <v>0</v>
      </c>
      <c r="P18" s="200">
        <f t="shared" si="9"/>
        <v>1</v>
      </c>
      <c r="Q18" s="200">
        <f t="shared" ref="Q18:AC18" si="90">countif($D18,"*"&amp;Q$2&amp;"*")</f>
        <v>0</v>
      </c>
      <c r="R18" s="200">
        <f t="shared" si="90"/>
        <v>0</v>
      </c>
      <c r="S18" s="200">
        <f t="shared" si="90"/>
        <v>0</v>
      </c>
      <c r="T18" s="200">
        <f t="shared" si="90"/>
        <v>0</v>
      </c>
      <c r="U18" s="200">
        <f t="shared" si="90"/>
        <v>0</v>
      </c>
      <c r="V18" s="200">
        <f t="shared" si="90"/>
        <v>0</v>
      </c>
      <c r="W18" s="200">
        <f t="shared" si="90"/>
        <v>0</v>
      </c>
      <c r="X18" s="200">
        <f t="shared" si="90"/>
        <v>0</v>
      </c>
      <c r="Y18" s="200">
        <f t="shared" si="90"/>
        <v>0</v>
      </c>
      <c r="Z18" s="200">
        <f t="shared" si="90"/>
        <v>0</v>
      </c>
      <c r="AA18" s="200">
        <f t="shared" si="90"/>
        <v>0</v>
      </c>
      <c r="AB18" s="200">
        <f t="shared" si="90"/>
        <v>0</v>
      </c>
      <c r="AC18" s="200">
        <f t="shared" si="90"/>
        <v>0</v>
      </c>
      <c r="AD18" s="200">
        <f t="shared" si="11"/>
        <v>0</v>
      </c>
      <c r="AE18" s="200">
        <f t="shared" ref="AE18:AG18" si="91">countif($D18,"*"&amp;AE$2&amp;"*")</f>
        <v>0</v>
      </c>
      <c r="AF18" s="200">
        <f t="shared" si="91"/>
        <v>0</v>
      </c>
      <c r="AG18" s="200">
        <f t="shared" si="91"/>
        <v>0</v>
      </c>
      <c r="AH18" s="171">
        <f t="shared" si="13"/>
        <v>0</v>
      </c>
      <c r="AI18" s="200">
        <f t="shared" si="14"/>
        <v>0</v>
      </c>
      <c r="AJ18" s="200">
        <f t="shared" si="15"/>
        <v>0</v>
      </c>
      <c r="AK18" s="201">
        <f t="shared" ref="AK18:AS18" si="92">countif($D18,"*"&amp;AK$2&amp;"*")</f>
        <v>0</v>
      </c>
      <c r="AL18" s="201">
        <f t="shared" si="92"/>
        <v>0</v>
      </c>
      <c r="AM18" s="201">
        <f t="shared" si="92"/>
        <v>0</v>
      </c>
      <c r="AN18" s="201">
        <f t="shared" si="92"/>
        <v>0</v>
      </c>
      <c r="AO18" s="201">
        <f t="shared" si="92"/>
        <v>0</v>
      </c>
      <c r="AP18" s="201">
        <f t="shared" si="92"/>
        <v>0</v>
      </c>
      <c r="AQ18" s="201">
        <f t="shared" si="92"/>
        <v>0</v>
      </c>
      <c r="AR18" s="200">
        <f t="shared" si="92"/>
        <v>0</v>
      </c>
      <c r="AS18" s="200">
        <f t="shared" si="92"/>
        <v>0</v>
      </c>
      <c r="AT18" s="173">
        <v>0.0</v>
      </c>
      <c r="AU18" s="200">
        <f t="shared" ref="AU18:AX18" si="93">countif($D18,"*"&amp;AU$2&amp;"*")</f>
        <v>0</v>
      </c>
      <c r="AV18" s="200">
        <f t="shared" si="93"/>
        <v>1</v>
      </c>
      <c r="AW18" s="200">
        <f t="shared" si="93"/>
        <v>0</v>
      </c>
      <c r="AX18" s="200">
        <f t="shared" si="93"/>
        <v>0</v>
      </c>
      <c r="AY18" s="202">
        <v>0.0</v>
      </c>
      <c r="AZ18" s="200"/>
      <c r="BA18" s="171" t="str">
        <f t="shared" si="18"/>
        <v/>
      </c>
      <c r="BB18" s="171" t="str">
        <f t="shared" si="19"/>
        <v>Code</v>
      </c>
      <c r="BC18" s="171" t="str">
        <f t="shared" si="20"/>
        <v/>
      </c>
      <c r="BD18" s="171" t="str">
        <f t="shared" si="21"/>
        <v/>
      </c>
      <c r="BE18" s="171" t="str">
        <f t="shared" si="22"/>
        <v/>
      </c>
      <c r="BF18" s="171" t="str">
        <f t="shared" si="23"/>
        <v>Code</v>
      </c>
    </row>
    <row r="19">
      <c r="A19" s="171">
        <f t="array" ref="A19">XLOOKUP(C19,ICSE!A:A,ICSE!C:C,,2,1)</f>
        <v>2022</v>
      </c>
      <c r="B19" s="171" t="s">
        <v>5675</v>
      </c>
      <c r="C19" s="160">
        <v>17.0</v>
      </c>
      <c r="D19" s="161" t="s">
        <v>2293</v>
      </c>
      <c r="E19" s="197" t="str">
        <f t="array" ref="E19">XLOOKUP(C19,ICSE!A:A,ICSE!Z:Z,,0,1)</f>
        <v>Publicly available (1)</v>
      </c>
      <c r="F19" s="198" t="s">
        <v>20</v>
      </c>
      <c r="G19" s="163" t="str">
        <f t="array" ref="G19">IF(B19="ICSE",IF(COUNTIFS(B:B,B19,C:C,C19)=XLOOKUP(C19,ICSE!A:A,ICSE!AA:AA,"ERROR",0,1),"OK","ERROR"),IF(B19="FSE",IF(COUNTIFS(B:B,B19,C:C,C19)=XLOOKUP(C19,FSE!A:A,FSE!AA:AA,"ERROR",0,1),"OK","ERROR")))</f>
        <v>OK</v>
      </c>
      <c r="H19" s="199">
        <f t="shared" ref="H19:O19" si="94">countif($D19,"*"&amp;H$2&amp;"*")</f>
        <v>0</v>
      </c>
      <c r="I19" s="200">
        <f t="shared" si="94"/>
        <v>0</v>
      </c>
      <c r="J19" s="200">
        <f t="shared" si="94"/>
        <v>0</v>
      </c>
      <c r="K19" s="200">
        <f t="shared" si="94"/>
        <v>0</v>
      </c>
      <c r="L19" s="200">
        <f t="shared" si="94"/>
        <v>0</v>
      </c>
      <c r="M19" s="200">
        <f t="shared" si="94"/>
        <v>0</v>
      </c>
      <c r="N19" s="200">
        <f t="shared" si="94"/>
        <v>0</v>
      </c>
      <c r="O19" s="200">
        <f t="shared" si="94"/>
        <v>0</v>
      </c>
      <c r="P19" s="200">
        <f t="shared" si="9"/>
        <v>1</v>
      </c>
      <c r="Q19" s="200">
        <f t="shared" ref="Q19:AC19" si="95">countif($D19,"*"&amp;Q$2&amp;"*")</f>
        <v>0</v>
      </c>
      <c r="R19" s="200">
        <f t="shared" si="95"/>
        <v>0</v>
      </c>
      <c r="S19" s="200">
        <f t="shared" si="95"/>
        <v>0</v>
      </c>
      <c r="T19" s="200">
        <f t="shared" si="95"/>
        <v>0</v>
      </c>
      <c r="U19" s="200">
        <f t="shared" si="95"/>
        <v>0</v>
      </c>
      <c r="V19" s="200">
        <f t="shared" si="95"/>
        <v>0</v>
      </c>
      <c r="W19" s="200">
        <f t="shared" si="95"/>
        <v>0</v>
      </c>
      <c r="X19" s="200">
        <f t="shared" si="95"/>
        <v>0</v>
      </c>
      <c r="Y19" s="200">
        <f t="shared" si="95"/>
        <v>0</v>
      </c>
      <c r="Z19" s="200">
        <f t="shared" si="95"/>
        <v>0</v>
      </c>
      <c r="AA19" s="200">
        <f t="shared" si="95"/>
        <v>0</v>
      </c>
      <c r="AB19" s="200">
        <f t="shared" si="95"/>
        <v>0</v>
      </c>
      <c r="AC19" s="200">
        <f t="shared" si="95"/>
        <v>0</v>
      </c>
      <c r="AD19" s="200">
        <f t="shared" si="11"/>
        <v>0</v>
      </c>
      <c r="AE19" s="200">
        <f t="shared" ref="AE19:AG19" si="96">countif($D19,"*"&amp;AE$2&amp;"*")</f>
        <v>0</v>
      </c>
      <c r="AF19" s="200">
        <f t="shared" si="96"/>
        <v>0</v>
      </c>
      <c r="AG19" s="200">
        <f t="shared" si="96"/>
        <v>0</v>
      </c>
      <c r="AH19" s="171">
        <f t="shared" si="13"/>
        <v>0</v>
      </c>
      <c r="AI19" s="200">
        <f t="shared" si="14"/>
        <v>0</v>
      </c>
      <c r="AJ19" s="200">
        <f t="shared" si="15"/>
        <v>0</v>
      </c>
      <c r="AK19" s="201">
        <f t="shared" ref="AK19:AS19" si="97">countif($D19,"*"&amp;AK$2&amp;"*")</f>
        <v>0</v>
      </c>
      <c r="AL19" s="201">
        <f t="shared" si="97"/>
        <v>0</v>
      </c>
      <c r="AM19" s="201">
        <f t="shared" si="97"/>
        <v>0</v>
      </c>
      <c r="AN19" s="201">
        <f t="shared" si="97"/>
        <v>0</v>
      </c>
      <c r="AO19" s="201">
        <f t="shared" si="97"/>
        <v>0</v>
      </c>
      <c r="AP19" s="201">
        <f t="shared" si="97"/>
        <v>0</v>
      </c>
      <c r="AQ19" s="201">
        <f t="shared" si="97"/>
        <v>0</v>
      </c>
      <c r="AR19" s="200">
        <f t="shared" si="97"/>
        <v>0</v>
      </c>
      <c r="AS19" s="200">
        <f t="shared" si="97"/>
        <v>0</v>
      </c>
      <c r="AT19" s="173">
        <v>0.0</v>
      </c>
      <c r="AU19" s="200">
        <f t="shared" ref="AU19:AX19" si="98">countif($D19,"*"&amp;AU$2&amp;"*")</f>
        <v>0</v>
      </c>
      <c r="AV19" s="200">
        <f t="shared" si="98"/>
        <v>1</v>
      </c>
      <c r="AW19" s="200">
        <f t="shared" si="98"/>
        <v>0</v>
      </c>
      <c r="AX19" s="200">
        <f t="shared" si="98"/>
        <v>0</v>
      </c>
      <c r="AY19" s="202">
        <v>0.0</v>
      </c>
      <c r="AZ19" s="200"/>
      <c r="BA19" s="171" t="str">
        <f t="shared" si="18"/>
        <v/>
      </c>
      <c r="BB19" s="171" t="str">
        <f t="shared" si="19"/>
        <v>Code</v>
      </c>
      <c r="BC19" s="171" t="str">
        <f t="shared" si="20"/>
        <v/>
      </c>
      <c r="BD19" s="171" t="str">
        <f t="shared" si="21"/>
        <v/>
      </c>
      <c r="BE19" s="171" t="str">
        <f t="shared" si="22"/>
        <v/>
      </c>
      <c r="BF19" s="171" t="str">
        <f t="shared" si="23"/>
        <v>Code</v>
      </c>
    </row>
    <row r="20">
      <c r="A20" s="171">
        <f t="array" ref="A20">XLOOKUP(C20,ICSE!A:A,ICSE!C:C,,2,1)</f>
        <v>2022</v>
      </c>
      <c r="B20" s="171" t="s">
        <v>5675</v>
      </c>
      <c r="C20" s="160">
        <v>18.0</v>
      </c>
      <c r="D20" s="161" t="s">
        <v>2296</v>
      </c>
      <c r="E20" s="197" t="str">
        <f t="array" ref="E20">XLOOKUP(C20,ICSE!A:A,ICSE!Z:Z,,0,1)</f>
        <v>Publicly available (1)</v>
      </c>
      <c r="F20" s="198" t="s">
        <v>20</v>
      </c>
      <c r="G20" s="163" t="str">
        <f t="array" ref="G20">IF(B20="ICSE",IF(COUNTIFS(B:B,B20,C:C,C20)=XLOOKUP(C20,ICSE!A:A,ICSE!AA:AA,"ERROR",0,1),"OK","ERROR"),IF(B20="FSE",IF(COUNTIFS(B:B,B20,C:C,C20)=XLOOKUP(C20,FSE!A:A,FSE!AA:AA,"ERROR",0,1),"OK","ERROR")))</f>
        <v>OK</v>
      </c>
      <c r="H20" s="199">
        <f t="shared" ref="H20:O20" si="99">countif($D20,"*"&amp;H$2&amp;"*")</f>
        <v>0</v>
      </c>
      <c r="I20" s="200">
        <f t="shared" si="99"/>
        <v>0</v>
      </c>
      <c r="J20" s="200">
        <f t="shared" si="99"/>
        <v>0</v>
      </c>
      <c r="K20" s="200">
        <f t="shared" si="99"/>
        <v>0</v>
      </c>
      <c r="L20" s="200">
        <f t="shared" si="99"/>
        <v>0</v>
      </c>
      <c r="M20" s="200">
        <f t="shared" si="99"/>
        <v>0</v>
      </c>
      <c r="N20" s="200">
        <f t="shared" si="99"/>
        <v>0</v>
      </c>
      <c r="O20" s="200">
        <f t="shared" si="99"/>
        <v>0</v>
      </c>
      <c r="P20" s="200">
        <f t="shared" si="9"/>
        <v>1</v>
      </c>
      <c r="Q20" s="200">
        <f t="shared" ref="Q20:AC20" si="100">countif($D20,"*"&amp;Q$2&amp;"*")</f>
        <v>0</v>
      </c>
      <c r="R20" s="200">
        <f t="shared" si="100"/>
        <v>0</v>
      </c>
      <c r="S20" s="200">
        <f t="shared" si="100"/>
        <v>0</v>
      </c>
      <c r="T20" s="200">
        <f t="shared" si="100"/>
        <v>0</v>
      </c>
      <c r="U20" s="200">
        <f t="shared" si="100"/>
        <v>0</v>
      </c>
      <c r="V20" s="200">
        <f t="shared" si="100"/>
        <v>0</v>
      </c>
      <c r="W20" s="200">
        <f t="shared" si="100"/>
        <v>0</v>
      </c>
      <c r="X20" s="200">
        <f t="shared" si="100"/>
        <v>0</v>
      </c>
      <c r="Y20" s="200">
        <f t="shared" si="100"/>
        <v>0</v>
      </c>
      <c r="Z20" s="200">
        <f t="shared" si="100"/>
        <v>0</v>
      </c>
      <c r="AA20" s="200">
        <f t="shared" si="100"/>
        <v>0</v>
      </c>
      <c r="AB20" s="200">
        <f t="shared" si="100"/>
        <v>0</v>
      </c>
      <c r="AC20" s="200">
        <f t="shared" si="100"/>
        <v>0</v>
      </c>
      <c r="AD20" s="200">
        <f t="shared" si="11"/>
        <v>0</v>
      </c>
      <c r="AE20" s="200">
        <f t="shared" ref="AE20:AG20" si="101">countif($D20,"*"&amp;AE$2&amp;"*")</f>
        <v>0</v>
      </c>
      <c r="AF20" s="200">
        <f t="shared" si="101"/>
        <v>0</v>
      </c>
      <c r="AG20" s="200">
        <f t="shared" si="101"/>
        <v>0</v>
      </c>
      <c r="AH20" s="171">
        <f t="shared" si="13"/>
        <v>0</v>
      </c>
      <c r="AI20" s="200">
        <f t="shared" si="14"/>
        <v>0</v>
      </c>
      <c r="AJ20" s="200">
        <f t="shared" si="15"/>
        <v>0</v>
      </c>
      <c r="AK20" s="201">
        <f t="shared" ref="AK20:AS20" si="102">countif($D20,"*"&amp;AK$2&amp;"*")</f>
        <v>0</v>
      </c>
      <c r="AL20" s="201">
        <f t="shared" si="102"/>
        <v>0</v>
      </c>
      <c r="AM20" s="201">
        <f t="shared" si="102"/>
        <v>0</v>
      </c>
      <c r="AN20" s="201">
        <f t="shared" si="102"/>
        <v>0</v>
      </c>
      <c r="AO20" s="201">
        <f t="shared" si="102"/>
        <v>0</v>
      </c>
      <c r="AP20" s="201">
        <f t="shared" si="102"/>
        <v>0</v>
      </c>
      <c r="AQ20" s="201">
        <f t="shared" si="102"/>
        <v>0</v>
      </c>
      <c r="AR20" s="200">
        <f t="shared" si="102"/>
        <v>0</v>
      </c>
      <c r="AS20" s="200">
        <f t="shared" si="102"/>
        <v>0</v>
      </c>
      <c r="AT20" s="173">
        <v>0.0</v>
      </c>
      <c r="AU20" s="200">
        <f t="shared" ref="AU20:AX20" si="103">countif($D20,"*"&amp;AU$2&amp;"*")</f>
        <v>0</v>
      </c>
      <c r="AV20" s="200">
        <f t="shared" si="103"/>
        <v>1</v>
      </c>
      <c r="AW20" s="200">
        <f t="shared" si="103"/>
        <v>0</v>
      </c>
      <c r="AX20" s="200">
        <f t="shared" si="103"/>
        <v>0</v>
      </c>
      <c r="AY20" s="202">
        <v>0.0</v>
      </c>
      <c r="AZ20" s="200"/>
      <c r="BA20" s="171" t="str">
        <f t="shared" si="18"/>
        <v/>
      </c>
      <c r="BB20" s="171" t="str">
        <f t="shared" si="19"/>
        <v>Code</v>
      </c>
      <c r="BC20" s="171" t="str">
        <f t="shared" si="20"/>
        <v/>
      </c>
      <c r="BD20" s="171" t="str">
        <f t="shared" si="21"/>
        <v/>
      </c>
      <c r="BE20" s="171" t="str">
        <f t="shared" si="22"/>
        <v/>
      </c>
      <c r="BF20" s="171" t="str">
        <f t="shared" si="23"/>
        <v>Code</v>
      </c>
    </row>
    <row r="21">
      <c r="A21" s="171">
        <f t="array" ref="A21">XLOOKUP(C21,ICSE!A:A,ICSE!C:C,,2,1)</f>
        <v>2022</v>
      </c>
      <c r="B21" s="171" t="s">
        <v>5675</v>
      </c>
      <c r="C21" s="160">
        <v>19.0</v>
      </c>
      <c r="D21" s="161" t="s">
        <v>2299</v>
      </c>
      <c r="E21" s="197" t="str">
        <f t="array" ref="E21">XLOOKUP(C21,ICSE!A:A,ICSE!Z:Z,,0,1)</f>
        <v>Publicly available (1)</v>
      </c>
      <c r="F21" s="198" t="s">
        <v>20</v>
      </c>
      <c r="G21" s="163" t="str">
        <f t="array" ref="G21">IF(B21="ICSE",IF(COUNTIFS(B:B,B21,C:C,C21)=XLOOKUP(C21,ICSE!A:A,ICSE!AA:AA,"ERROR",0,1),"OK","ERROR"),IF(B21="FSE",IF(COUNTIFS(B:B,B21,C:C,C21)=XLOOKUP(C21,FSE!A:A,FSE!AA:AA,"ERROR",0,1),"OK","ERROR")))</f>
        <v>OK</v>
      </c>
      <c r="H21" s="199">
        <f t="shared" ref="H21:O21" si="104">countif($D21,"*"&amp;H$2&amp;"*")</f>
        <v>0</v>
      </c>
      <c r="I21" s="200">
        <f t="shared" si="104"/>
        <v>0</v>
      </c>
      <c r="J21" s="200">
        <f t="shared" si="104"/>
        <v>0</v>
      </c>
      <c r="K21" s="200">
        <f t="shared" si="104"/>
        <v>0</v>
      </c>
      <c r="L21" s="200">
        <f t="shared" si="104"/>
        <v>0</v>
      </c>
      <c r="M21" s="200">
        <f t="shared" si="104"/>
        <v>0</v>
      </c>
      <c r="N21" s="200">
        <f t="shared" si="104"/>
        <v>0</v>
      </c>
      <c r="O21" s="200">
        <f t="shared" si="104"/>
        <v>0</v>
      </c>
      <c r="P21" s="200">
        <f t="shared" si="9"/>
        <v>1</v>
      </c>
      <c r="Q21" s="200">
        <f t="shared" ref="Q21:AC21" si="105">countif($D21,"*"&amp;Q$2&amp;"*")</f>
        <v>0</v>
      </c>
      <c r="R21" s="200">
        <f t="shared" si="105"/>
        <v>0</v>
      </c>
      <c r="S21" s="200">
        <f t="shared" si="105"/>
        <v>0</v>
      </c>
      <c r="T21" s="200">
        <f t="shared" si="105"/>
        <v>0</v>
      </c>
      <c r="U21" s="200">
        <f t="shared" si="105"/>
        <v>0</v>
      </c>
      <c r="V21" s="200">
        <f t="shared" si="105"/>
        <v>0</v>
      </c>
      <c r="W21" s="200">
        <f t="shared" si="105"/>
        <v>0</v>
      </c>
      <c r="X21" s="200">
        <f t="shared" si="105"/>
        <v>0</v>
      </c>
      <c r="Y21" s="200">
        <f t="shared" si="105"/>
        <v>0</v>
      </c>
      <c r="Z21" s="200">
        <f t="shared" si="105"/>
        <v>0</v>
      </c>
      <c r="AA21" s="200">
        <f t="shared" si="105"/>
        <v>0</v>
      </c>
      <c r="AB21" s="200">
        <f t="shared" si="105"/>
        <v>0</v>
      </c>
      <c r="AC21" s="200">
        <f t="shared" si="105"/>
        <v>0</v>
      </c>
      <c r="AD21" s="200">
        <f t="shared" si="11"/>
        <v>0</v>
      </c>
      <c r="AE21" s="200">
        <f t="shared" ref="AE21:AG21" si="106">countif($D21,"*"&amp;AE$2&amp;"*")</f>
        <v>0</v>
      </c>
      <c r="AF21" s="200">
        <f t="shared" si="106"/>
        <v>0</v>
      </c>
      <c r="AG21" s="200">
        <f t="shared" si="106"/>
        <v>0</v>
      </c>
      <c r="AH21" s="171">
        <f t="shared" si="13"/>
        <v>0</v>
      </c>
      <c r="AI21" s="200">
        <f t="shared" si="14"/>
        <v>0</v>
      </c>
      <c r="AJ21" s="200">
        <f t="shared" si="15"/>
        <v>0</v>
      </c>
      <c r="AK21" s="201">
        <f t="shared" ref="AK21:AS21" si="107">countif($D21,"*"&amp;AK$2&amp;"*")</f>
        <v>0</v>
      </c>
      <c r="AL21" s="201">
        <f t="shared" si="107"/>
        <v>0</v>
      </c>
      <c r="AM21" s="201">
        <f t="shared" si="107"/>
        <v>0</v>
      </c>
      <c r="AN21" s="201">
        <f t="shared" si="107"/>
        <v>0</v>
      </c>
      <c r="AO21" s="201">
        <f t="shared" si="107"/>
        <v>0</v>
      </c>
      <c r="AP21" s="201">
        <f t="shared" si="107"/>
        <v>0</v>
      </c>
      <c r="AQ21" s="201">
        <f t="shared" si="107"/>
        <v>0</v>
      </c>
      <c r="AR21" s="200">
        <f t="shared" si="107"/>
        <v>0</v>
      </c>
      <c r="AS21" s="200">
        <f t="shared" si="107"/>
        <v>0</v>
      </c>
      <c r="AT21" s="173">
        <v>0.0</v>
      </c>
      <c r="AU21" s="200">
        <f t="shared" ref="AU21:AX21" si="108">countif($D21,"*"&amp;AU$2&amp;"*")</f>
        <v>0</v>
      </c>
      <c r="AV21" s="200">
        <f t="shared" si="108"/>
        <v>1</v>
      </c>
      <c r="AW21" s="200">
        <f t="shared" si="108"/>
        <v>0</v>
      </c>
      <c r="AX21" s="200">
        <f t="shared" si="108"/>
        <v>0</v>
      </c>
      <c r="AY21" s="202">
        <v>0.0</v>
      </c>
      <c r="AZ21" s="200"/>
      <c r="BA21" s="171" t="str">
        <f t="shared" si="18"/>
        <v/>
      </c>
      <c r="BB21" s="171" t="str">
        <f t="shared" si="19"/>
        <v>Code</v>
      </c>
      <c r="BC21" s="171" t="str">
        <f t="shared" si="20"/>
        <v/>
      </c>
      <c r="BD21" s="171" t="str">
        <f t="shared" si="21"/>
        <v/>
      </c>
      <c r="BE21" s="171" t="str">
        <f t="shared" si="22"/>
        <v/>
      </c>
      <c r="BF21" s="171" t="str">
        <f t="shared" si="23"/>
        <v>Code</v>
      </c>
    </row>
    <row r="22">
      <c r="A22" s="171">
        <f t="array" ref="A22">XLOOKUP(C22,ICSE!A:A,ICSE!C:C,,2,1)</f>
        <v>2022</v>
      </c>
      <c r="B22" s="171" t="s">
        <v>5675</v>
      </c>
      <c r="C22" s="160">
        <v>20.0</v>
      </c>
      <c r="D22" s="161" t="s">
        <v>5741</v>
      </c>
      <c r="E22" s="197" t="str">
        <f t="array" ref="E22">XLOOKUP(C22,ICSE!A:A,ICSE!Z:Z,,0,1)</f>
        <v>Publicly available (1)
Not available (1) - No data access - This item was deleted.</v>
      </c>
      <c r="F22" s="198" t="s">
        <v>20</v>
      </c>
      <c r="G22" s="163" t="str">
        <f t="array" ref="G22">IF(B22="ICSE",IF(COUNTIFS(B:B,B22,C:C,C22)=XLOOKUP(C22,ICSE!A:A,ICSE!AA:AA,"ERROR",0,1),"OK","ERROR"),IF(B22="FSE",IF(COUNTIFS(B:B,B22,C:C,C22)=XLOOKUP(C22,FSE!A:A,FSE!AA:AA,"ERROR",0,1),"OK","ERROR")))</f>
        <v>OK</v>
      </c>
      <c r="H22" s="199">
        <f t="shared" ref="H22:O22" si="109">countif($D22,"*"&amp;H$2&amp;"*")</f>
        <v>0</v>
      </c>
      <c r="I22" s="200">
        <f t="shared" si="109"/>
        <v>0</v>
      </c>
      <c r="J22" s="200">
        <f t="shared" si="109"/>
        <v>0</v>
      </c>
      <c r="K22" s="200">
        <f t="shared" si="109"/>
        <v>0</v>
      </c>
      <c r="L22" s="200">
        <f t="shared" si="109"/>
        <v>0</v>
      </c>
      <c r="M22" s="200">
        <f t="shared" si="109"/>
        <v>0</v>
      </c>
      <c r="N22" s="200">
        <f t="shared" si="109"/>
        <v>0</v>
      </c>
      <c r="O22" s="200">
        <f t="shared" si="109"/>
        <v>0</v>
      </c>
      <c r="P22" s="200">
        <f t="shared" si="9"/>
        <v>0</v>
      </c>
      <c r="Q22" s="200">
        <f t="shared" ref="Q22:AC22" si="110">countif($D22,"*"&amp;Q$2&amp;"*")</f>
        <v>1</v>
      </c>
      <c r="R22" s="200">
        <f t="shared" si="110"/>
        <v>0</v>
      </c>
      <c r="S22" s="200">
        <f t="shared" si="110"/>
        <v>0</v>
      </c>
      <c r="T22" s="200">
        <f t="shared" si="110"/>
        <v>0</v>
      </c>
      <c r="U22" s="200">
        <f t="shared" si="110"/>
        <v>0</v>
      </c>
      <c r="V22" s="200">
        <f t="shared" si="110"/>
        <v>0</v>
      </c>
      <c r="W22" s="200">
        <f t="shared" si="110"/>
        <v>0</v>
      </c>
      <c r="X22" s="200">
        <f t="shared" si="110"/>
        <v>0</v>
      </c>
      <c r="Y22" s="200">
        <f t="shared" si="110"/>
        <v>0</v>
      </c>
      <c r="Z22" s="200">
        <f t="shared" si="110"/>
        <v>0</v>
      </c>
      <c r="AA22" s="200">
        <f t="shared" si="110"/>
        <v>0</v>
      </c>
      <c r="AB22" s="200">
        <f t="shared" si="110"/>
        <v>0</v>
      </c>
      <c r="AC22" s="200">
        <f t="shared" si="110"/>
        <v>0</v>
      </c>
      <c r="AD22" s="200">
        <f t="shared" si="11"/>
        <v>0</v>
      </c>
      <c r="AE22" s="200">
        <f t="shared" ref="AE22:AG22" si="111">countif($D22,"*"&amp;AE$2&amp;"*")</f>
        <v>0</v>
      </c>
      <c r="AF22" s="200">
        <f t="shared" si="111"/>
        <v>0</v>
      </c>
      <c r="AG22" s="200">
        <f t="shared" si="111"/>
        <v>0</v>
      </c>
      <c r="AH22" s="171">
        <f t="shared" si="13"/>
        <v>0</v>
      </c>
      <c r="AI22" s="200">
        <f t="shared" si="14"/>
        <v>0</v>
      </c>
      <c r="AJ22" s="200">
        <f t="shared" si="15"/>
        <v>1</v>
      </c>
      <c r="AK22" s="201">
        <f t="shared" ref="AK22:AS22" si="112">countif($D22,"*"&amp;AK$2&amp;"*")</f>
        <v>0</v>
      </c>
      <c r="AL22" s="201">
        <f t="shared" si="112"/>
        <v>0</v>
      </c>
      <c r="AM22" s="201">
        <f t="shared" si="112"/>
        <v>1</v>
      </c>
      <c r="AN22" s="201">
        <f t="shared" si="112"/>
        <v>0</v>
      </c>
      <c r="AO22" s="201">
        <f t="shared" si="112"/>
        <v>0</v>
      </c>
      <c r="AP22" s="201">
        <f t="shared" si="112"/>
        <v>0</v>
      </c>
      <c r="AQ22" s="201">
        <f t="shared" si="112"/>
        <v>0</v>
      </c>
      <c r="AR22" s="200">
        <f t="shared" si="112"/>
        <v>0</v>
      </c>
      <c r="AS22" s="200">
        <f t="shared" si="112"/>
        <v>1</v>
      </c>
      <c r="AT22" s="173">
        <v>0.0</v>
      </c>
      <c r="AU22" s="200">
        <f t="shared" ref="AU22:AX22" si="113">countif($D22,"*"&amp;AU$2&amp;"*")</f>
        <v>0</v>
      </c>
      <c r="AV22" s="200">
        <f t="shared" si="113"/>
        <v>0</v>
      </c>
      <c r="AW22" s="200">
        <f t="shared" si="113"/>
        <v>0</v>
      </c>
      <c r="AX22" s="200">
        <f t="shared" si="113"/>
        <v>0</v>
      </c>
      <c r="AY22" s="202">
        <v>0.0</v>
      </c>
      <c r="AZ22" s="200"/>
      <c r="BA22" s="171" t="str">
        <f t="shared" si="18"/>
        <v/>
      </c>
      <c r="BB22" s="171" t="str">
        <f t="shared" si="19"/>
        <v>Code</v>
      </c>
      <c r="BC22" s="171" t="str">
        <f t="shared" si="20"/>
        <v/>
      </c>
      <c r="BD22" s="171" t="str">
        <f t="shared" si="21"/>
        <v/>
      </c>
      <c r="BE22" s="171" t="str">
        <f t="shared" si="22"/>
        <v/>
      </c>
      <c r="BF22" s="171" t="str">
        <f t="shared" si="23"/>
        <v>Code</v>
      </c>
    </row>
    <row r="23">
      <c r="A23" s="171">
        <f t="array" ref="A23">XLOOKUP(C23,ICSE!A:A,ICSE!C:C,,2,1)</f>
        <v>2022</v>
      </c>
      <c r="B23" s="171" t="s">
        <v>5675</v>
      </c>
      <c r="C23" s="160">
        <v>20.0</v>
      </c>
      <c r="D23" s="161" t="s">
        <v>5742</v>
      </c>
      <c r="E23" s="197" t="str">
        <f t="array" ref="E23">XLOOKUP(C23,ICSE!A:A,ICSE!Z:Z,,0,1)</f>
        <v>Publicly available (1)
Not available (1) - No data access - This item was deleted.</v>
      </c>
      <c r="F23" s="198" t="s">
        <v>21</v>
      </c>
      <c r="G23" s="163" t="str">
        <f t="array" ref="G23">IF(B23="ICSE",IF(COUNTIFS(B:B,B23,C:C,C23)=XLOOKUP(C23,ICSE!A:A,ICSE!AA:AA,"ERROR",0,1),"OK","ERROR"),IF(B23="FSE",IF(COUNTIFS(B:B,B23,C:C,C23)=XLOOKUP(C23,FSE!A:A,FSE!AA:AA,"ERROR",0,1),"OK","ERROR")))</f>
        <v>OK</v>
      </c>
      <c r="H23" s="199">
        <f t="shared" ref="H23:O23" si="114">countif($D23,"*"&amp;H$2&amp;"*")</f>
        <v>0</v>
      </c>
      <c r="I23" s="200">
        <f t="shared" si="114"/>
        <v>0</v>
      </c>
      <c r="J23" s="200">
        <f t="shared" si="114"/>
        <v>0</v>
      </c>
      <c r="K23" s="200">
        <f t="shared" si="114"/>
        <v>0</v>
      </c>
      <c r="L23" s="200">
        <f t="shared" si="114"/>
        <v>0</v>
      </c>
      <c r="M23" s="200">
        <f t="shared" si="114"/>
        <v>0</v>
      </c>
      <c r="N23" s="200">
        <f t="shared" si="114"/>
        <v>0</v>
      </c>
      <c r="O23" s="200">
        <f t="shared" si="114"/>
        <v>0</v>
      </c>
      <c r="P23" s="200">
        <f t="shared" si="9"/>
        <v>0</v>
      </c>
      <c r="Q23" s="200">
        <f t="shared" ref="Q23:AC23" si="115">countif($D23,"*"&amp;Q$2&amp;"*")</f>
        <v>0</v>
      </c>
      <c r="R23" s="200">
        <f t="shared" si="115"/>
        <v>0</v>
      </c>
      <c r="S23" s="200">
        <f t="shared" si="115"/>
        <v>0</v>
      </c>
      <c r="T23" s="200">
        <f t="shared" si="115"/>
        <v>0</v>
      </c>
      <c r="U23" s="200">
        <f t="shared" si="115"/>
        <v>0</v>
      </c>
      <c r="V23" s="200">
        <f t="shared" si="115"/>
        <v>0</v>
      </c>
      <c r="W23" s="200">
        <f t="shared" si="115"/>
        <v>1</v>
      </c>
      <c r="X23" s="200">
        <f t="shared" si="115"/>
        <v>0</v>
      </c>
      <c r="Y23" s="200">
        <f t="shared" si="115"/>
        <v>0</v>
      </c>
      <c r="Z23" s="200">
        <f t="shared" si="115"/>
        <v>0</v>
      </c>
      <c r="AA23" s="200">
        <f t="shared" si="115"/>
        <v>0</v>
      </c>
      <c r="AB23" s="200">
        <f t="shared" si="115"/>
        <v>0</v>
      </c>
      <c r="AC23" s="200">
        <f t="shared" si="115"/>
        <v>0</v>
      </c>
      <c r="AD23" s="200">
        <f t="shared" si="11"/>
        <v>0</v>
      </c>
      <c r="AE23" s="200">
        <f t="shared" ref="AE23:AG23" si="116">countif($D23,"*"&amp;AE$2&amp;"*")</f>
        <v>0</v>
      </c>
      <c r="AF23" s="200">
        <f t="shared" si="116"/>
        <v>0</v>
      </c>
      <c r="AG23" s="200">
        <f t="shared" si="116"/>
        <v>0</v>
      </c>
      <c r="AH23" s="171">
        <f t="shared" si="13"/>
        <v>0</v>
      </c>
      <c r="AI23" s="200">
        <f t="shared" si="14"/>
        <v>0</v>
      </c>
      <c r="AJ23" s="200">
        <f t="shared" si="15"/>
        <v>1</v>
      </c>
      <c r="AK23" s="201">
        <f t="shared" ref="AK23:AS23" si="117">countif($D23,"*"&amp;AK$2&amp;"*")</f>
        <v>0</v>
      </c>
      <c r="AL23" s="201">
        <f t="shared" si="117"/>
        <v>0</v>
      </c>
      <c r="AM23" s="201">
        <f t="shared" si="117"/>
        <v>1</v>
      </c>
      <c r="AN23" s="201">
        <f t="shared" si="117"/>
        <v>0</v>
      </c>
      <c r="AO23" s="201">
        <f t="shared" si="117"/>
        <v>0</v>
      </c>
      <c r="AP23" s="201">
        <f t="shared" si="117"/>
        <v>0</v>
      </c>
      <c r="AQ23" s="201">
        <f t="shared" si="117"/>
        <v>0</v>
      </c>
      <c r="AR23" s="200">
        <f t="shared" si="117"/>
        <v>0</v>
      </c>
      <c r="AS23" s="200">
        <f t="shared" si="117"/>
        <v>1</v>
      </c>
      <c r="AT23" s="173">
        <v>0.0</v>
      </c>
      <c r="AU23" s="200">
        <f t="shared" ref="AU23:AX23" si="118">countif($D23,"*"&amp;AU$2&amp;"*")</f>
        <v>0</v>
      </c>
      <c r="AV23" s="200">
        <f t="shared" si="118"/>
        <v>0</v>
      </c>
      <c r="AW23" s="200">
        <f t="shared" si="118"/>
        <v>0</v>
      </c>
      <c r="AX23" s="200">
        <f t="shared" si="118"/>
        <v>0</v>
      </c>
      <c r="AY23" s="202">
        <v>0.0</v>
      </c>
      <c r="AZ23" s="200"/>
      <c r="BA23" s="171" t="str">
        <f t="shared" si="18"/>
        <v/>
      </c>
      <c r="BB23" s="171" t="str">
        <f t="shared" si="19"/>
        <v/>
      </c>
      <c r="BC23" s="171" t="str">
        <f t="shared" si="20"/>
        <v>General-purpose</v>
      </c>
      <c r="BD23" s="171" t="str">
        <f t="shared" si="21"/>
        <v/>
      </c>
      <c r="BE23" s="171" t="str">
        <f t="shared" si="22"/>
        <v/>
      </c>
      <c r="BF23" s="171" t="str">
        <f t="shared" si="23"/>
        <v>General-purpose</v>
      </c>
    </row>
    <row r="24">
      <c r="A24" s="171">
        <f t="array" ref="A24">XLOOKUP(C24,ICSE!A:A,ICSE!C:C,,2,1)</f>
        <v>2022</v>
      </c>
      <c r="B24" s="171" t="s">
        <v>5675</v>
      </c>
      <c r="C24" s="160">
        <v>21.0</v>
      </c>
      <c r="D24" s="161" t="s">
        <v>2306</v>
      </c>
      <c r="E24" s="197" t="str">
        <f t="array" ref="E24">XLOOKUP(C24,ICSE!A:A,ICSE!Z:Z,,0,1)</f>
        <v>Publicly available (1)</v>
      </c>
      <c r="F24" s="198" t="s">
        <v>20</v>
      </c>
      <c r="G24" s="163" t="str">
        <f t="array" ref="G24">IF(B24="ICSE",IF(COUNTIFS(B:B,B24,C:C,C24)=XLOOKUP(C24,ICSE!A:A,ICSE!AA:AA,"ERROR",0,1),"OK","ERROR"),IF(B24="FSE",IF(COUNTIFS(B:B,B24,C:C,C24)=XLOOKUP(C24,FSE!A:A,FSE!AA:AA,"ERROR",0,1),"OK","ERROR")))</f>
        <v>OK</v>
      </c>
      <c r="H24" s="199">
        <f t="shared" ref="H24:O24" si="119">countif($D24,"*"&amp;H$2&amp;"*")</f>
        <v>0</v>
      </c>
      <c r="I24" s="200">
        <f t="shared" si="119"/>
        <v>0</v>
      </c>
      <c r="J24" s="200">
        <f t="shared" si="119"/>
        <v>0</v>
      </c>
      <c r="K24" s="200">
        <f t="shared" si="119"/>
        <v>0</v>
      </c>
      <c r="L24" s="200">
        <f t="shared" si="119"/>
        <v>0</v>
      </c>
      <c r="M24" s="200">
        <f t="shared" si="119"/>
        <v>0</v>
      </c>
      <c r="N24" s="200">
        <f t="shared" si="119"/>
        <v>0</v>
      </c>
      <c r="O24" s="200">
        <f t="shared" si="119"/>
        <v>0</v>
      </c>
      <c r="P24" s="200">
        <f t="shared" si="9"/>
        <v>0</v>
      </c>
      <c r="Q24" s="200">
        <f t="shared" ref="Q24:AC24" si="120">countif($D24,"*"&amp;Q$2&amp;"*")</f>
        <v>0</v>
      </c>
      <c r="R24" s="200">
        <f t="shared" si="120"/>
        <v>1</v>
      </c>
      <c r="S24" s="200">
        <f t="shared" si="120"/>
        <v>0</v>
      </c>
      <c r="T24" s="200">
        <f t="shared" si="120"/>
        <v>0</v>
      </c>
      <c r="U24" s="200">
        <f t="shared" si="120"/>
        <v>0</v>
      </c>
      <c r="V24" s="200">
        <f t="shared" si="120"/>
        <v>0</v>
      </c>
      <c r="W24" s="200">
        <f t="shared" si="120"/>
        <v>0</v>
      </c>
      <c r="X24" s="200">
        <f t="shared" si="120"/>
        <v>0</v>
      </c>
      <c r="Y24" s="200">
        <f t="shared" si="120"/>
        <v>0</v>
      </c>
      <c r="Z24" s="200">
        <f t="shared" si="120"/>
        <v>0</v>
      </c>
      <c r="AA24" s="200">
        <f t="shared" si="120"/>
        <v>0</v>
      </c>
      <c r="AB24" s="200">
        <f t="shared" si="120"/>
        <v>0</v>
      </c>
      <c r="AC24" s="200">
        <f t="shared" si="120"/>
        <v>0</v>
      </c>
      <c r="AD24" s="200">
        <f t="shared" si="11"/>
        <v>0</v>
      </c>
      <c r="AE24" s="200">
        <f t="shared" ref="AE24:AG24" si="121">countif($D24,"*"&amp;AE$2&amp;"*")</f>
        <v>0</v>
      </c>
      <c r="AF24" s="200">
        <f t="shared" si="121"/>
        <v>0</v>
      </c>
      <c r="AG24" s="200">
        <f t="shared" si="121"/>
        <v>0</v>
      </c>
      <c r="AH24" s="171">
        <f t="shared" si="13"/>
        <v>0</v>
      </c>
      <c r="AI24" s="200">
        <f t="shared" si="14"/>
        <v>0</v>
      </c>
      <c r="AJ24" s="200">
        <f t="shared" si="15"/>
        <v>0</v>
      </c>
      <c r="AK24" s="201">
        <f t="shared" ref="AK24:AS24" si="122">countif($D24,"*"&amp;AK$2&amp;"*")</f>
        <v>0</v>
      </c>
      <c r="AL24" s="201">
        <f t="shared" si="122"/>
        <v>0</v>
      </c>
      <c r="AM24" s="201">
        <f t="shared" si="122"/>
        <v>0</v>
      </c>
      <c r="AN24" s="201">
        <f t="shared" si="122"/>
        <v>0</v>
      </c>
      <c r="AO24" s="201">
        <f t="shared" si="122"/>
        <v>0</v>
      </c>
      <c r="AP24" s="201">
        <f t="shared" si="122"/>
        <v>0</v>
      </c>
      <c r="AQ24" s="201">
        <f t="shared" si="122"/>
        <v>0</v>
      </c>
      <c r="AR24" s="200">
        <f t="shared" si="122"/>
        <v>0</v>
      </c>
      <c r="AS24" s="200">
        <f t="shared" si="122"/>
        <v>0</v>
      </c>
      <c r="AT24" s="173">
        <v>0.0</v>
      </c>
      <c r="AU24" s="200">
        <f t="shared" ref="AU24:AX24" si="123">countif($D24,"*"&amp;AU$2&amp;"*")</f>
        <v>0</v>
      </c>
      <c r="AV24" s="200">
        <f t="shared" si="123"/>
        <v>0</v>
      </c>
      <c r="AW24" s="200">
        <f t="shared" si="123"/>
        <v>0</v>
      </c>
      <c r="AX24" s="200">
        <f t="shared" si="123"/>
        <v>0</v>
      </c>
      <c r="AY24" s="202">
        <v>0.0</v>
      </c>
      <c r="AZ24" s="200"/>
      <c r="BA24" s="171" t="str">
        <f t="shared" si="18"/>
        <v/>
      </c>
      <c r="BB24" s="171" t="str">
        <f t="shared" si="19"/>
        <v>Code</v>
      </c>
      <c r="BC24" s="171" t="str">
        <f t="shared" si="20"/>
        <v/>
      </c>
      <c r="BD24" s="171" t="str">
        <f t="shared" si="21"/>
        <v/>
      </c>
      <c r="BE24" s="171" t="str">
        <f t="shared" si="22"/>
        <v/>
      </c>
      <c r="BF24" s="171" t="str">
        <f t="shared" si="23"/>
        <v>Code</v>
      </c>
    </row>
    <row r="25">
      <c r="A25" s="171">
        <f t="array" ref="A25">XLOOKUP(C25,ICSE!A:A,ICSE!C:C,,2,1)</f>
        <v>2022</v>
      </c>
      <c r="B25" s="171" t="s">
        <v>5675</v>
      </c>
      <c r="C25" s="160">
        <v>22.0</v>
      </c>
      <c r="D25" s="161" t="s">
        <v>1880</v>
      </c>
      <c r="E25" s="197" t="str">
        <f t="array" ref="E25">XLOOKUP(C25,ICSE!A:A,ICSE!Z:Z,,0,1)</f>
        <v>Publicly available (1)</v>
      </c>
      <c r="F25" s="198" t="s">
        <v>20</v>
      </c>
      <c r="G25" s="163" t="str">
        <f t="array" ref="G25">IF(B25="ICSE",IF(COUNTIFS(B:B,B25,C:C,C25)=XLOOKUP(C25,ICSE!A:A,ICSE!AA:AA,"ERROR",0,1),"OK","ERROR"),IF(B25="FSE",IF(COUNTIFS(B:B,B25,C:C,C25)=XLOOKUP(C25,FSE!A:A,FSE!AA:AA,"ERROR",0,1),"OK","ERROR")))</f>
        <v>OK</v>
      </c>
      <c r="H25" s="199">
        <f t="shared" ref="H25:O25" si="124">countif($D25,"*"&amp;H$2&amp;"*")</f>
        <v>0</v>
      </c>
      <c r="I25" s="200">
        <f t="shared" si="124"/>
        <v>0</v>
      </c>
      <c r="J25" s="200">
        <f t="shared" si="124"/>
        <v>0</v>
      </c>
      <c r="K25" s="200">
        <f t="shared" si="124"/>
        <v>0</v>
      </c>
      <c r="L25" s="200">
        <f t="shared" si="124"/>
        <v>0</v>
      </c>
      <c r="M25" s="200">
        <f t="shared" si="124"/>
        <v>0</v>
      </c>
      <c r="N25" s="200">
        <f t="shared" si="124"/>
        <v>0</v>
      </c>
      <c r="O25" s="200">
        <f t="shared" si="124"/>
        <v>0</v>
      </c>
      <c r="P25" s="200">
        <f t="shared" si="9"/>
        <v>0</v>
      </c>
      <c r="Q25" s="200">
        <f t="shared" ref="Q25:AC25" si="125">countif($D25,"*"&amp;Q$2&amp;"*")</f>
        <v>0</v>
      </c>
      <c r="R25" s="200">
        <f t="shared" si="125"/>
        <v>0</v>
      </c>
      <c r="S25" s="200">
        <f t="shared" si="125"/>
        <v>0</v>
      </c>
      <c r="T25" s="200">
        <f t="shared" si="125"/>
        <v>0</v>
      </c>
      <c r="U25" s="200">
        <f t="shared" si="125"/>
        <v>0</v>
      </c>
      <c r="V25" s="200">
        <f t="shared" si="125"/>
        <v>0</v>
      </c>
      <c r="W25" s="200">
        <f t="shared" si="125"/>
        <v>0</v>
      </c>
      <c r="X25" s="200">
        <f t="shared" si="125"/>
        <v>0</v>
      </c>
      <c r="Y25" s="200">
        <f t="shared" si="125"/>
        <v>0</v>
      </c>
      <c r="Z25" s="200">
        <f t="shared" si="125"/>
        <v>0</v>
      </c>
      <c r="AA25" s="200">
        <f t="shared" si="125"/>
        <v>0</v>
      </c>
      <c r="AB25" s="200">
        <f t="shared" si="125"/>
        <v>0</v>
      </c>
      <c r="AC25" s="200">
        <f t="shared" si="125"/>
        <v>0</v>
      </c>
      <c r="AD25" s="200">
        <f t="shared" si="11"/>
        <v>1</v>
      </c>
      <c r="AE25" s="200">
        <f t="shared" ref="AE25:AG25" si="126">countif($D25,"*"&amp;AE$2&amp;"*")</f>
        <v>0</v>
      </c>
      <c r="AF25" s="200">
        <f t="shared" si="126"/>
        <v>0</v>
      </c>
      <c r="AG25" s="200">
        <f t="shared" si="126"/>
        <v>0</v>
      </c>
      <c r="AH25" s="171">
        <f t="shared" si="13"/>
        <v>0</v>
      </c>
      <c r="AI25" s="200">
        <f t="shared" si="14"/>
        <v>0</v>
      </c>
      <c r="AJ25" s="200">
        <f>SUM(AK25:AQ25)</f>
        <v>0</v>
      </c>
      <c r="AK25" s="201">
        <f t="shared" ref="AK25:AS25" si="127">countif($D25,"*"&amp;AK$2&amp;"*")</f>
        <v>0</v>
      </c>
      <c r="AL25" s="201">
        <f t="shared" si="127"/>
        <v>0</v>
      </c>
      <c r="AM25" s="201">
        <f t="shared" si="127"/>
        <v>0</v>
      </c>
      <c r="AN25" s="201">
        <f t="shared" si="127"/>
        <v>0</v>
      </c>
      <c r="AO25" s="201">
        <f t="shared" si="127"/>
        <v>0</v>
      </c>
      <c r="AP25" s="201">
        <f t="shared" si="127"/>
        <v>0</v>
      </c>
      <c r="AQ25" s="201">
        <f t="shared" si="127"/>
        <v>0</v>
      </c>
      <c r="AR25" s="201">
        <f t="shared" si="127"/>
        <v>0</v>
      </c>
      <c r="AS25" s="200">
        <f t="shared" si="127"/>
        <v>0</v>
      </c>
      <c r="AT25" s="205">
        <v>0.0</v>
      </c>
      <c r="AU25" s="200">
        <f t="shared" ref="AU25:AX25" si="128">countif($D25,"*"&amp;AU$2&amp;"*")</f>
        <v>1</v>
      </c>
      <c r="AV25" s="200">
        <f t="shared" si="128"/>
        <v>0</v>
      </c>
      <c r="AW25" s="200">
        <f t="shared" si="128"/>
        <v>0</v>
      </c>
      <c r="AX25" s="200">
        <f t="shared" si="128"/>
        <v>0</v>
      </c>
      <c r="AY25" s="202">
        <v>0.0</v>
      </c>
      <c r="AZ25" s="200"/>
      <c r="BA25" s="171" t="str">
        <f t="shared" si="18"/>
        <v/>
      </c>
      <c r="BB25" s="171" t="str">
        <f t="shared" si="19"/>
        <v/>
      </c>
      <c r="BC25" s="171" t="str">
        <f t="shared" si="20"/>
        <v/>
      </c>
      <c r="BD25" s="171" t="str">
        <f t="shared" si="21"/>
        <v>Institutional</v>
      </c>
      <c r="BE25" s="171" t="str">
        <f t="shared" si="22"/>
        <v/>
      </c>
      <c r="BF25" s="171" t="str">
        <f t="shared" si="23"/>
        <v>Institutional</v>
      </c>
    </row>
    <row r="26">
      <c r="A26" s="171">
        <f t="array" ref="A26">XLOOKUP(C26,ICSE!A:A,ICSE!C:C,,2,1)</f>
        <v>2022</v>
      </c>
      <c r="B26" s="171" t="s">
        <v>5675</v>
      </c>
      <c r="C26" s="160">
        <v>23.0</v>
      </c>
      <c r="D26" s="161" t="s">
        <v>5743</v>
      </c>
      <c r="E26" s="197" t="str">
        <f t="array" ref="E26">XLOOKUP(C26,ICSE!A:A,ICSE!Z:Z,,0,1)</f>
        <v>Publicly available (1)</v>
      </c>
      <c r="F26" s="198" t="s">
        <v>20</v>
      </c>
      <c r="G26" s="163" t="str">
        <f t="array" ref="G26">IF(B26="ICSE",IF(COUNTIFS(B:B,B26,C:C,C26)=XLOOKUP(C26,ICSE!A:A,ICSE!AA:AA,"ERROR",0,1),"OK","ERROR"),IF(B26="FSE",IF(COUNTIFS(B:B,B26,C:C,C26)=XLOOKUP(C26,FSE!A:A,FSE!AA:AA,"ERROR",0,1),"OK","ERROR")))</f>
        <v>OK</v>
      </c>
      <c r="H26" s="199">
        <f t="shared" ref="H26:O26" si="129">countif($D26,"*"&amp;H$2&amp;"*")</f>
        <v>0</v>
      </c>
      <c r="I26" s="200">
        <f t="shared" si="129"/>
        <v>1</v>
      </c>
      <c r="J26" s="200">
        <f t="shared" si="129"/>
        <v>0</v>
      </c>
      <c r="K26" s="200">
        <f t="shared" si="129"/>
        <v>0</v>
      </c>
      <c r="L26" s="200">
        <f t="shared" si="129"/>
        <v>0</v>
      </c>
      <c r="M26" s="200">
        <f t="shared" si="129"/>
        <v>0</v>
      </c>
      <c r="N26" s="200">
        <f t="shared" si="129"/>
        <v>0</v>
      </c>
      <c r="O26" s="200">
        <f t="shared" si="129"/>
        <v>0</v>
      </c>
      <c r="P26" s="200">
        <f t="shared" si="9"/>
        <v>0</v>
      </c>
      <c r="Q26" s="200">
        <f t="shared" ref="Q26:AC26" si="130">countif($D26,"*"&amp;Q$2&amp;"*")</f>
        <v>0</v>
      </c>
      <c r="R26" s="200">
        <f t="shared" si="130"/>
        <v>0</v>
      </c>
      <c r="S26" s="200">
        <f t="shared" si="130"/>
        <v>0</v>
      </c>
      <c r="T26" s="200">
        <f t="shared" si="130"/>
        <v>0</v>
      </c>
      <c r="U26" s="200">
        <f t="shared" si="130"/>
        <v>0</v>
      </c>
      <c r="V26" s="200">
        <f t="shared" si="130"/>
        <v>0</v>
      </c>
      <c r="W26" s="200">
        <f t="shared" si="130"/>
        <v>0</v>
      </c>
      <c r="X26" s="200">
        <f t="shared" si="130"/>
        <v>0</v>
      </c>
      <c r="Y26" s="200">
        <f t="shared" si="130"/>
        <v>0</v>
      </c>
      <c r="Z26" s="200">
        <f t="shared" si="130"/>
        <v>0</v>
      </c>
      <c r="AA26" s="200">
        <f t="shared" si="130"/>
        <v>0</v>
      </c>
      <c r="AB26" s="200">
        <f t="shared" si="130"/>
        <v>0</v>
      </c>
      <c r="AC26" s="200">
        <f t="shared" si="130"/>
        <v>0</v>
      </c>
      <c r="AD26" s="200">
        <f t="shared" si="11"/>
        <v>0</v>
      </c>
      <c r="AE26" s="200">
        <f t="shared" ref="AE26:AG26" si="131">countif($D26,"*"&amp;AE$2&amp;"*")</f>
        <v>0</v>
      </c>
      <c r="AF26" s="200">
        <f t="shared" si="131"/>
        <v>0</v>
      </c>
      <c r="AG26" s="200">
        <f t="shared" si="131"/>
        <v>0</v>
      </c>
      <c r="AH26" s="171">
        <f t="shared" si="13"/>
        <v>0</v>
      </c>
      <c r="AI26" s="200">
        <f t="shared" si="14"/>
        <v>0</v>
      </c>
      <c r="AJ26" s="200">
        <f t="shared" ref="AJ26:AJ215" si="137">SUM(AK26:AR26)</f>
        <v>1</v>
      </c>
      <c r="AK26" s="201">
        <f t="shared" ref="AK26:AS26" si="132">countif($D26,"*"&amp;AK$2&amp;"*")</f>
        <v>1</v>
      </c>
      <c r="AL26" s="201">
        <f t="shared" si="132"/>
        <v>0</v>
      </c>
      <c r="AM26" s="201">
        <f t="shared" si="132"/>
        <v>0</v>
      </c>
      <c r="AN26" s="201">
        <f t="shared" si="132"/>
        <v>0</v>
      </c>
      <c r="AO26" s="201">
        <f t="shared" si="132"/>
        <v>0</v>
      </c>
      <c r="AP26" s="201">
        <f t="shared" si="132"/>
        <v>0</v>
      </c>
      <c r="AQ26" s="201">
        <f t="shared" si="132"/>
        <v>0</v>
      </c>
      <c r="AR26" s="200">
        <f t="shared" si="132"/>
        <v>0</v>
      </c>
      <c r="AS26" s="200">
        <f t="shared" si="132"/>
        <v>1</v>
      </c>
      <c r="AT26" s="173">
        <v>0.0</v>
      </c>
      <c r="AU26" s="200">
        <f t="shared" ref="AU26:AX26" si="133">countif($D26,"*"&amp;AU$2&amp;"*")</f>
        <v>0</v>
      </c>
      <c r="AV26" s="200">
        <f t="shared" si="133"/>
        <v>0</v>
      </c>
      <c r="AW26" s="200">
        <f t="shared" si="133"/>
        <v>0</v>
      </c>
      <c r="AX26" s="200">
        <f t="shared" si="133"/>
        <v>0</v>
      </c>
      <c r="AY26" s="202">
        <v>0.0</v>
      </c>
      <c r="AZ26" s="200"/>
      <c r="BA26" s="171" t="str">
        <f t="shared" si="18"/>
        <v>Archival</v>
      </c>
      <c r="BB26" s="171" t="str">
        <f t="shared" si="19"/>
        <v/>
      </c>
      <c r="BC26" s="171" t="str">
        <f t="shared" si="20"/>
        <v/>
      </c>
      <c r="BD26" s="171" t="str">
        <f t="shared" si="21"/>
        <v/>
      </c>
      <c r="BE26" s="171" t="str">
        <f t="shared" si="22"/>
        <v/>
      </c>
      <c r="BF26" s="171" t="str">
        <f t="shared" si="23"/>
        <v>Archival</v>
      </c>
    </row>
    <row r="27">
      <c r="A27" s="171">
        <f t="array" ref="A27">XLOOKUP(C27,ICSE!A:A,ICSE!C:C,,2,1)</f>
        <v>2022</v>
      </c>
      <c r="B27" s="171" t="s">
        <v>5675</v>
      </c>
      <c r="C27" s="160">
        <v>24.0</v>
      </c>
      <c r="D27" s="161" t="s">
        <v>2315</v>
      </c>
      <c r="E27" s="197" t="str">
        <f t="array" ref="E27">XLOOKUP(C27,ICSE!A:A,ICSE!Z:Z,,0,1)</f>
        <v>Publicly available (1)</v>
      </c>
      <c r="F27" s="198" t="s">
        <v>20</v>
      </c>
      <c r="G27" s="163" t="str">
        <f t="array" ref="G27">IF(B27="ICSE",IF(COUNTIFS(B:B,B27,C:C,C27)=XLOOKUP(C27,ICSE!A:A,ICSE!AA:AA,"ERROR",0,1),"OK","ERROR"),IF(B27="FSE",IF(COUNTIFS(B:B,B27,C:C,C27)=XLOOKUP(C27,FSE!A:A,FSE!AA:AA,"ERROR",0,1),"OK","ERROR")))</f>
        <v>OK</v>
      </c>
      <c r="H27" s="199">
        <f t="shared" ref="H27:O27" si="134">countif($D27,"*"&amp;H$2&amp;"*")</f>
        <v>0</v>
      </c>
      <c r="I27" s="200">
        <f t="shared" si="134"/>
        <v>0</v>
      </c>
      <c r="J27" s="200">
        <f t="shared" si="134"/>
        <v>0</v>
      </c>
      <c r="K27" s="200">
        <f t="shared" si="134"/>
        <v>0</v>
      </c>
      <c r="L27" s="200">
        <f t="shared" si="134"/>
        <v>0</v>
      </c>
      <c r="M27" s="200">
        <f t="shared" si="134"/>
        <v>0</v>
      </c>
      <c r="N27" s="200">
        <f t="shared" si="134"/>
        <v>0</v>
      </c>
      <c r="O27" s="200">
        <f t="shared" si="134"/>
        <v>0</v>
      </c>
      <c r="P27" s="200">
        <f t="shared" si="9"/>
        <v>1</v>
      </c>
      <c r="Q27" s="200">
        <f t="shared" ref="Q27:AC27" si="135">countif($D27,"*"&amp;Q$2&amp;"*")</f>
        <v>0</v>
      </c>
      <c r="R27" s="200">
        <f t="shared" si="135"/>
        <v>0</v>
      </c>
      <c r="S27" s="200">
        <f t="shared" si="135"/>
        <v>0</v>
      </c>
      <c r="T27" s="200">
        <f t="shared" si="135"/>
        <v>0</v>
      </c>
      <c r="U27" s="200">
        <f t="shared" si="135"/>
        <v>0</v>
      </c>
      <c r="V27" s="200">
        <f t="shared" si="135"/>
        <v>0</v>
      </c>
      <c r="W27" s="200">
        <f t="shared" si="135"/>
        <v>0</v>
      </c>
      <c r="X27" s="200">
        <f t="shared" si="135"/>
        <v>0</v>
      </c>
      <c r="Y27" s="200">
        <f t="shared" si="135"/>
        <v>0</v>
      </c>
      <c r="Z27" s="200">
        <f t="shared" si="135"/>
        <v>0</v>
      </c>
      <c r="AA27" s="200">
        <f t="shared" si="135"/>
        <v>0</v>
      </c>
      <c r="AB27" s="200">
        <f t="shared" si="135"/>
        <v>0</v>
      </c>
      <c r="AC27" s="200">
        <f t="shared" si="135"/>
        <v>0</v>
      </c>
      <c r="AD27" s="200">
        <f t="shared" si="11"/>
        <v>0</v>
      </c>
      <c r="AE27" s="200">
        <f t="shared" ref="AE27:AG27" si="136">countif($D27,"*"&amp;AE$2&amp;"*")</f>
        <v>0</v>
      </c>
      <c r="AF27" s="200">
        <f t="shared" si="136"/>
        <v>0</v>
      </c>
      <c r="AG27" s="200">
        <f t="shared" si="136"/>
        <v>0</v>
      </c>
      <c r="AH27" s="171">
        <f t="shared" si="13"/>
        <v>0</v>
      </c>
      <c r="AI27" s="200">
        <f t="shared" si="14"/>
        <v>0</v>
      </c>
      <c r="AJ27" s="200">
        <f t="shared" si="137"/>
        <v>0</v>
      </c>
      <c r="AK27" s="201">
        <f t="shared" ref="AK27:AS27" si="138">countif($D27,"*"&amp;AK$2&amp;"*")</f>
        <v>0</v>
      </c>
      <c r="AL27" s="201">
        <f t="shared" si="138"/>
        <v>0</v>
      </c>
      <c r="AM27" s="201">
        <f t="shared" si="138"/>
        <v>0</v>
      </c>
      <c r="AN27" s="201">
        <f t="shared" si="138"/>
        <v>0</v>
      </c>
      <c r="AO27" s="201">
        <f t="shared" si="138"/>
        <v>0</v>
      </c>
      <c r="AP27" s="201">
        <f t="shared" si="138"/>
        <v>0</v>
      </c>
      <c r="AQ27" s="201">
        <f t="shared" si="138"/>
        <v>0</v>
      </c>
      <c r="AR27" s="200">
        <f t="shared" si="138"/>
        <v>0</v>
      </c>
      <c r="AS27" s="200">
        <f t="shared" si="138"/>
        <v>0</v>
      </c>
      <c r="AT27" s="173">
        <v>0.0</v>
      </c>
      <c r="AU27" s="200">
        <f t="shared" ref="AU27:AX27" si="139">countif($D27,"*"&amp;AU$2&amp;"*")</f>
        <v>0</v>
      </c>
      <c r="AV27" s="200">
        <f t="shared" si="139"/>
        <v>1</v>
      </c>
      <c r="AW27" s="200">
        <f t="shared" si="139"/>
        <v>0</v>
      </c>
      <c r="AX27" s="200">
        <f t="shared" si="139"/>
        <v>0</v>
      </c>
      <c r="AY27" s="202">
        <v>0.0</v>
      </c>
      <c r="AZ27" s="200"/>
      <c r="BA27" s="171" t="str">
        <f t="shared" si="18"/>
        <v/>
      </c>
      <c r="BB27" s="171" t="str">
        <f t="shared" si="19"/>
        <v>Code</v>
      </c>
      <c r="BC27" s="171" t="str">
        <f t="shared" si="20"/>
        <v/>
      </c>
      <c r="BD27" s="171" t="str">
        <f t="shared" si="21"/>
        <v/>
      </c>
      <c r="BE27" s="171" t="str">
        <f t="shared" si="22"/>
        <v/>
      </c>
      <c r="BF27" s="171" t="str">
        <f t="shared" si="23"/>
        <v>Code</v>
      </c>
    </row>
    <row r="28">
      <c r="A28" s="171">
        <f t="array" ref="A28">XLOOKUP(C28,ICSE!A:A,ICSE!C:C,,2,1)</f>
        <v>2022</v>
      </c>
      <c r="B28" s="171" t="s">
        <v>5675</v>
      </c>
      <c r="C28" s="160">
        <v>25.0</v>
      </c>
      <c r="D28" s="161" t="s">
        <v>2318</v>
      </c>
      <c r="E28" s="197" t="str">
        <f t="array" ref="E28">XLOOKUP(C28,ICSE!A:A,ICSE!Z:Z,,0,1)</f>
        <v>Publicly available (1)</v>
      </c>
      <c r="F28" s="198" t="s">
        <v>20</v>
      </c>
      <c r="G28" s="163" t="str">
        <f t="array" ref="G28">IF(B28="ICSE",IF(COUNTIFS(B:B,B28,C:C,C28)=XLOOKUP(C28,ICSE!A:A,ICSE!AA:AA,"ERROR",0,1),"OK","ERROR"),IF(B28="FSE",IF(COUNTIFS(B:B,B28,C:C,C28)=XLOOKUP(C28,FSE!A:A,FSE!AA:AA,"ERROR",0,1),"OK","ERROR")))</f>
        <v>OK</v>
      </c>
      <c r="H28" s="199">
        <f t="shared" ref="H28:O28" si="140">countif($D28,"*"&amp;H$2&amp;"*")</f>
        <v>0</v>
      </c>
      <c r="I28" s="200">
        <f t="shared" si="140"/>
        <v>0</v>
      </c>
      <c r="J28" s="200">
        <f t="shared" si="140"/>
        <v>0</v>
      </c>
      <c r="K28" s="200">
        <f t="shared" si="140"/>
        <v>0</v>
      </c>
      <c r="L28" s="200">
        <f t="shared" si="140"/>
        <v>0</v>
      </c>
      <c r="M28" s="200">
        <f t="shared" si="140"/>
        <v>0</v>
      </c>
      <c r="N28" s="200">
        <f t="shared" si="140"/>
        <v>0</v>
      </c>
      <c r="O28" s="200">
        <f t="shared" si="140"/>
        <v>0</v>
      </c>
      <c r="P28" s="200">
        <f t="shared" si="9"/>
        <v>1</v>
      </c>
      <c r="Q28" s="200">
        <f t="shared" ref="Q28:AC28" si="141">countif($D28,"*"&amp;Q$2&amp;"*")</f>
        <v>0</v>
      </c>
      <c r="R28" s="200">
        <f t="shared" si="141"/>
        <v>0</v>
      </c>
      <c r="S28" s="200">
        <f t="shared" si="141"/>
        <v>0</v>
      </c>
      <c r="T28" s="200">
        <f t="shared" si="141"/>
        <v>0</v>
      </c>
      <c r="U28" s="200">
        <f t="shared" si="141"/>
        <v>0</v>
      </c>
      <c r="V28" s="200">
        <f t="shared" si="141"/>
        <v>0</v>
      </c>
      <c r="W28" s="200">
        <f t="shared" si="141"/>
        <v>0</v>
      </c>
      <c r="X28" s="200">
        <f t="shared" si="141"/>
        <v>0</v>
      </c>
      <c r="Y28" s="200">
        <f t="shared" si="141"/>
        <v>0</v>
      </c>
      <c r="Z28" s="200">
        <f t="shared" si="141"/>
        <v>0</v>
      </c>
      <c r="AA28" s="200">
        <f t="shared" si="141"/>
        <v>0</v>
      </c>
      <c r="AB28" s="200">
        <f t="shared" si="141"/>
        <v>0</v>
      </c>
      <c r="AC28" s="200">
        <f t="shared" si="141"/>
        <v>0</v>
      </c>
      <c r="AD28" s="200">
        <f t="shared" si="11"/>
        <v>0</v>
      </c>
      <c r="AE28" s="200">
        <f t="shared" ref="AE28:AG28" si="142">countif($D28,"*"&amp;AE$2&amp;"*")</f>
        <v>0</v>
      </c>
      <c r="AF28" s="200">
        <f t="shared" si="142"/>
        <v>0</v>
      </c>
      <c r="AG28" s="200">
        <f t="shared" si="142"/>
        <v>0</v>
      </c>
      <c r="AH28" s="171">
        <f t="shared" si="13"/>
        <v>0</v>
      </c>
      <c r="AI28" s="200">
        <f t="shared" si="14"/>
        <v>0</v>
      </c>
      <c r="AJ28" s="200">
        <f t="shared" si="137"/>
        <v>0</v>
      </c>
      <c r="AK28" s="201">
        <f t="shared" ref="AK28:AS28" si="143">countif($D28,"*"&amp;AK$2&amp;"*")</f>
        <v>0</v>
      </c>
      <c r="AL28" s="201">
        <f t="shared" si="143"/>
        <v>0</v>
      </c>
      <c r="AM28" s="201">
        <f t="shared" si="143"/>
        <v>0</v>
      </c>
      <c r="AN28" s="201">
        <f t="shared" si="143"/>
        <v>0</v>
      </c>
      <c r="AO28" s="201">
        <f t="shared" si="143"/>
        <v>0</v>
      </c>
      <c r="AP28" s="201">
        <f t="shared" si="143"/>
        <v>0</v>
      </c>
      <c r="AQ28" s="201">
        <f t="shared" si="143"/>
        <v>0</v>
      </c>
      <c r="AR28" s="200">
        <f t="shared" si="143"/>
        <v>0</v>
      </c>
      <c r="AS28" s="200">
        <f t="shared" si="143"/>
        <v>0</v>
      </c>
      <c r="AT28" s="173">
        <v>0.0</v>
      </c>
      <c r="AU28" s="200">
        <f t="shared" ref="AU28:AX28" si="144">countif($D28,"*"&amp;AU$2&amp;"*")</f>
        <v>0</v>
      </c>
      <c r="AV28" s="200">
        <f t="shared" si="144"/>
        <v>1</v>
      </c>
      <c r="AW28" s="200">
        <f t="shared" si="144"/>
        <v>0</v>
      </c>
      <c r="AX28" s="200">
        <f t="shared" si="144"/>
        <v>0</v>
      </c>
      <c r="AY28" s="202">
        <v>0.0</v>
      </c>
      <c r="AZ28" s="200"/>
      <c r="BA28" s="171" t="str">
        <f t="shared" si="18"/>
        <v/>
      </c>
      <c r="BB28" s="171" t="str">
        <f t="shared" si="19"/>
        <v>Code</v>
      </c>
      <c r="BC28" s="171" t="str">
        <f t="shared" si="20"/>
        <v/>
      </c>
      <c r="BD28" s="171" t="str">
        <f t="shared" si="21"/>
        <v/>
      </c>
      <c r="BE28" s="171" t="str">
        <f t="shared" si="22"/>
        <v/>
      </c>
      <c r="BF28" s="171" t="str">
        <f t="shared" si="23"/>
        <v>Code</v>
      </c>
    </row>
    <row r="29">
      <c r="A29" s="171">
        <f t="array" ref="A29">XLOOKUP(C29,ICSE!A:A,ICSE!C:C,,2,1)</f>
        <v>2022</v>
      </c>
      <c r="B29" s="171" t="s">
        <v>5675</v>
      </c>
      <c r="C29" s="160">
        <v>26.0</v>
      </c>
      <c r="D29" s="161" t="s">
        <v>5744</v>
      </c>
      <c r="E29" s="197" t="str">
        <f t="array" ref="E29">XLOOKUP(C29,ICSE!A:A,ICSE!Z:Z,,0,1)</f>
        <v>Publicly available (2)</v>
      </c>
      <c r="F29" s="198" t="s">
        <v>20</v>
      </c>
      <c r="G29" s="163" t="str">
        <f t="array" ref="G29">IF(B29="ICSE",IF(COUNTIFS(B:B,B29,C:C,C29)=XLOOKUP(C29,ICSE!A:A,ICSE!AA:AA,"ERROR",0,1),"OK","ERROR"),IF(B29="FSE",IF(COUNTIFS(B:B,B29,C:C,C29)=XLOOKUP(C29,FSE!A:A,FSE!AA:AA,"ERROR",0,1),"OK","ERROR")))</f>
        <v>OK</v>
      </c>
      <c r="H29" s="199">
        <f t="shared" ref="H29:O29" si="145">countif($D29,"*"&amp;H$2&amp;"*")</f>
        <v>1</v>
      </c>
      <c r="I29" s="200">
        <f t="shared" si="145"/>
        <v>0</v>
      </c>
      <c r="J29" s="200">
        <f t="shared" si="145"/>
        <v>0</v>
      </c>
      <c r="K29" s="200">
        <f t="shared" si="145"/>
        <v>0</v>
      </c>
      <c r="L29" s="200">
        <f t="shared" si="145"/>
        <v>0</v>
      </c>
      <c r="M29" s="200">
        <f t="shared" si="145"/>
        <v>0</v>
      </c>
      <c r="N29" s="200">
        <f t="shared" si="145"/>
        <v>0</v>
      </c>
      <c r="O29" s="200">
        <f t="shared" si="145"/>
        <v>0</v>
      </c>
      <c r="P29" s="200">
        <f t="shared" si="9"/>
        <v>0</v>
      </c>
      <c r="Q29" s="200">
        <f t="shared" ref="Q29:AC29" si="146">countif($D29,"*"&amp;Q$2&amp;"*")</f>
        <v>0</v>
      </c>
      <c r="R29" s="200">
        <f t="shared" si="146"/>
        <v>0</v>
      </c>
      <c r="S29" s="200">
        <f t="shared" si="146"/>
        <v>0</v>
      </c>
      <c r="T29" s="200">
        <f t="shared" si="146"/>
        <v>0</v>
      </c>
      <c r="U29" s="200">
        <f t="shared" si="146"/>
        <v>0</v>
      </c>
      <c r="V29" s="200">
        <f t="shared" si="146"/>
        <v>0</v>
      </c>
      <c r="W29" s="200">
        <f t="shared" si="146"/>
        <v>0</v>
      </c>
      <c r="X29" s="200">
        <f t="shared" si="146"/>
        <v>0</v>
      </c>
      <c r="Y29" s="200">
        <f t="shared" si="146"/>
        <v>0</v>
      </c>
      <c r="Z29" s="200">
        <f t="shared" si="146"/>
        <v>0</v>
      </c>
      <c r="AA29" s="200">
        <f t="shared" si="146"/>
        <v>0</v>
      </c>
      <c r="AB29" s="200">
        <f t="shared" si="146"/>
        <v>0</v>
      </c>
      <c r="AC29" s="200">
        <f t="shared" si="146"/>
        <v>0</v>
      </c>
      <c r="AD29" s="200">
        <f t="shared" si="11"/>
        <v>0</v>
      </c>
      <c r="AE29" s="200">
        <f t="shared" ref="AE29:AG29" si="147">countif($D29,"*"&amp;AE$2&amp;"*")</f>
        <v>0</v>
      </c>
      <c r="AF29" s="200">
        <f t="shared" si="147"/>
        <v>0</v>
      </c>
      <c r="AG29" s="200">
        <f t="shared" si="147"/>
        <v>0</v>
      </c>
      <c r="AH29" s="171">
        <f t="shared" si="13"/>
        <v>0</v>
      </c>
      <c r="AI29" s="200">
        <f t="shared" si="14"/>
        <v>1</v>
      </c>
      <c r="AJ29" s="200">
        <f t="shared" si="137"/>
        <v>0</v>
      </c>
      <c r="AK29" s="201">
        <f t="shared" ref="AK29:AS29" si="148">countif($D29,"*"&amp;AK$2&amp;"*")</f>
        <v>0</v>
      </c>
      <c r="AL29" s="201">
        <f t="shared" si="148"/>
        <v>0</v>
      </c>
      <c r="AM29" s="201">
        <f t="shared" si="148"/>
        <v>0</v>
      </c>
      <c r="AN29" s="201">
        <f t="shared" si="148"/>
        <v>0</v>
      </c>
      <c r="AO29" s="201">
        <f t="shared" si="148"/>
        <v>0</v>
      </c>
      <c r="AP29" s="201">
        <f t="shared" si="148"/>
        <v>0</v>
      </c>
      <c r="AQ29" s="201">
        <f t="shared" si="148"/>
        <v>0</v>
      </c>
      <c r="AR29" s="200">
        <f t="shared" si="148"/>
        <v>0</v>
      </c>
      <c r="AS29" s="200">
        <f t="shared" si="148"/>
        <v>0</v>
      </c>
      <c r="AT29" s="173">
        <v>0.0</v>
      </c>
      <c r="AU29" s="200">
        <f t="shared" ref="AU29:AX29" si="149">countif($D29,"*"&amp;AU$2&amp;"*")</f>
        <v>0</v>
      </c>
      <c r="AV29" s="200">
        <f t="shared" si="149"/>
        <v>0</v>
      </c>
      <c r="AW29" s="200">
        <f t="shared" si="149"/>
        <v>0</v>
      </c>
      <c r="AX29" s="200">
        <f t="shared" si="149"/>
        <v>1</v>
      </c>
      <c r="AY29" s="202">
        <v>0.0</v>
      </c>
      <c r="AZ29" s="200"/>
      <c r="BA29" s="171" t="str">
        <f t="shared" si="18"/>
        <v>Archival</v>
      </c>
      <c r="BB29" s="171" t="str">
        <f t="shared" si="19"/>
        <v/>
      </c>
      <c r="BC29" s="171" t="str">
        <f t="shared" si="20"/>
        <v/>
      </c>
      <c r="BD29" s="171" t="str">
        <f t="shared" si="21"/>
        <v/>
      </c>
      <c r="BE29" s="171" t="str">
        <f t="shared" si="22"/>
        <v/>
      </c>
      <c r="BF29" s="171" t="str">
        <f t="shared" si="23"/>
        <v>Archival</v>
      </c>
    </row>
    <row r="30">
      <c r="A30" s="171">
        <f t="array" ref="A30">XLOOKUP(C30,ICSE!A:A,ICSE!C:C,,2,1)</f>
        <v>2022</v>
      </c>
      <c r="B30" s="171" t="s">
        <v>5675</v>
      </c>
      <c r="C30" s="203">
        <v>26.0</v>
      </c>
      <c r="D30" s="161" t="s">
        <v>5745</v>
      </c>
      <c r="E30" s="197" t="str">
        <f t="array" ref="E30">XLOOKUP(C30,ICSE!A:A,ICSE!Z:Z,,0,1)</f>
        <v>Publicly available (2)</v>
      </c>
      <c r="F30" s="198" t="s">
        <v>20</v>
      </c>
      <c r="G30" s="163" t="str">
        <f t="array" ref="G30">IF(B30="ICSE",IF(COUNTIFS(B:B,B30,C:C,C30)=XLOOKUP(C30,ICSE!A:A,ICSE!AA:AA,"ERROR",0,1),"OK","ERROR"),IF(B30="FSE",IF(COUNTIFS(B:B,B30,C:C,C30)=XLOOKUP(C30,FSE!A:A,FSE!AA:AA,"ERROR",0,1),"OK","ERROR")))</f>
        <v>OK</v>
      </c>
      <c r="H30" s="199">
        <f t="shared" ref="H30:O30" si="150">countif($D30,"*"&amp;H$2&amp;"*")</f>
        <v>1</v>
      </c>
      <c r="I30" s="200">
        <f t="shared" si="150"/>
        <v>0</v>
      </c>
      <c r="J30" s="200">
        <f t="shared" si="150"/>
        <v>0</v>
      </c>
      <c r="K30" s="200">
        <f t="shared" si="150"/>
        <v>0</v>
      </c>
      <c r="L30" s="200">
        <f t="shared" si="150"/>
        <v>0</v>
      </c>
      <c r="M30" s="200">
        <f t="shared" si="150"/>
        <v>0</v>
      </c>
      <c r="N30" s="200">
        <f t="shared" si="150"/>
        <v>0</v>
      </c>
      <c r="O30" s="200">
        <f t="shared" si="150"/>
        <v>0</v>
      </c>
      <c r="P30" s="200">
        <f t="shared" si="9"/>
        <v>0</v>
      </c>
      <c r="Q30" s="200">
        <f t="shared" ref="Q30:AC30" si="151">countif($D30,"*"&amp;Q$2&amp;"*")</f>
        <v>0</v>
      </c>
      <c r="R30" s="200">
        <f t="shared" si="151"/>
        <v>0</v>
      </c>
      <c r="S30" s="200">
        <f t="shared" si="151"/>
        <v>0</v>
      </c>
      <c r="T30" s="200">
        <f t="shared" si="151"/>
        <v>0</v>
      </c>
      <c r="U30" s="200">
        <f t="shared" si="151"/>
        <v>0</v>
      </c>
      <c r="V30" s="200">
        <f t="shared" si="151"/>
        <v>0</v>
      </c>
      <c r="W30" s="200">
        <f t="shared" si="151"/>
        <v>0</v>
      </c>
      <c r="X30" s="200">
        <f t="shared" si="151"/>
        <v>0</v>
      </c>
      <c r="Y30" s="200">
        <f t="shared" si="151"/>
        <v>0</v>
      </c>
      <c r="Z30" s="200">
        <f t="shared" si="151"/>
        <v>0</v>
      </c>
      <c r="AA30" s="200">
        <f t="shared" si="151"/>
        <v>0</v>
      </c>
      <c r="AB30" s="200">
        <f t="shared" si="151"/>
        <v>0</v>
      </c>
      <c r="AC30" s="200">
        <f t="shared" si="151"/>
        <v>0</v>
      </c>
      <c r="AD30" s="200">
        <f t="shared" si="11"/>
        <v>0</v>
      </c>
      <c r="AE30" s="200">
        <f t="shared" ref="AE30:AG30" si="152">countif($D30,"*"&amp;AE$2&amp;"*")</f>
        <v>0</v>
      </c>
      <c r="AF30" s="200">
        <f t="shared" si="152"/>
        <v>0</v>
      </c>
      <c r="AG30" s="200">
        <f t="shared" si="152"/>
        <v>0</v>
      </c>
      <c r="AH30" s="171">
        <f t="shared" si="13"/>
        <v>0</v>
      </c>
      <c r="AI30" s="200">
        <f t="shared" si="14"/>
        <v>1</v>
      </c>
      <c r="AJ30" s="200">
        <f t="shared" si="137"/>
        <v>0</v>
      </c>
      <c r="AK30" s="201">
        <f t="shared" ref="AK30:AS30" si="153">countif($D30,"*"&amp;AK$2&amp;"*")</f>
        <v>0</v>
      </c>
      <c r="AL30" s="201">
        <f t="shared" si="153"/>
        <v>0</v>
      </c>
      <c r="AM30" s="201">
        <f t="shared" si="153"/>
        <v>0</v>
      </c>
      <c r="AN30" s="201">
        <f t="shared" si="153"/>
        <v>0</v>
      </c>
      <c r="AO30" s="201">
        <f t="shared" si="153"/>
        <v>0</v>
      </c>
      <c r="AP30" s="201">
        <f t="shared" si="153"/>
        <v>0</v>
      </c>
      <c r="AQ30" s="201">
        <f t="shared" si="153"/>
        <v>0</v>
      </c>
      <c r="AR30" s="200">
        <f t="shared" si="153"/>
        <v>0</v>
      </c>
      <c r="AS30" s="200">
        <f t="shared" si="153"/>
        <v>0</v>
      </c>
      <c r="AT30" s="173">
        <v>0.0</v>
      </c>
      <c r="AU30" s="200">
        <f t="shared" ref="AU30:AX30" si="154">countif($D30,"*"&amp;AU$2&amp;"*")</f>
        <v>0</v>
      </c>
      <c r="AV30" s="200">
        <f t="shared" si="154"/>
        <v>0</v>
      </c>
      <c r="AW30" s="200">
        <f t="shared" si="154"/>
        <v>0</v>
      </c>
      <c r="AX30" s="200">
        <f t="shared" si="154"/>
        <v>1</v>
      </c>
      <c r="AY30" s="202">
        <v>0.0</v>
      </c>
      <c r="AZ30" s="200"/>
      <c r="BA30" s="171" t="str">
        <f t="shared" si="18"/>
        <v>Archival</v>
      </c>
      <c r="BB30" s="171" t="str">
        <f t="shared" si="19"/>
        <v/>
      </c>
      <c r="BC30" s="171" t="str">
        <f t="shared" si="20"/>
        <v/>
      </c>
      <c r="BD30" s="171" t="str">
        <f t="shared" si="21"/>
        <v/>
      </c>
      <c r="BE30" s="171" t="str">
        <f t="shared" si="22"/>
        <v/>
      </c>
      <c r="BF30" s="171" t="str">
        <f t="shared" si="23"/>
        <v>Archival</v>
      </c>
    </row>
    <row r="31">
      <c r="A31" s="171">
        <f t="array" ref="A31">XLOOKUP(C31,ICSE!A:A,ICSE!C:C,,2,1)</f>
        <v>2022</v>
      </c>
      <c r="B31" s="171" t="s">
        <v>5675</v>
      </c>
      <c r="C31" s="160">
        <v>27.0</v>
      </c>
      <c r="D31" s="161" t="s">
        <v>2324</v>
      </c>
      <c r="E31" s="197" t="str">
        <f t="array" ref="E31">XLOOKUP(C31,ICSE!A:A,ICSE!Z:Z,,0,1)</f>
        <v>Publicly available (1)</v>
      </c>
      <c r="F31" s="198" t="s">
        <v>20</v>
      </c>
      <c r="G31" s="163" t="str">
        <f t="array" ref="G31">IF(B31="ICSE",IF(COUNTIFS(B:B,B31,C:C,C31)=XLOOKUP(C31,ICSE!A:A,ICSE!AA:AA,"ERROR",0,1),"OK","ERROR"),IF(B31="FSE",IF(COUNTIFS(B:B,B31,C:C,C31)=XLOOKUP(C31,FSE!A:A,FSE!AA:AA,"ERROR",0,1),"OK","ERROR")))</f>
        <v>OK</v>
      </c>
      <c r="H31" s="199">
        <f t="shared" ref="H31:O31" si="155">countif($D31,"*"&amp;H$2&amp;"*")</f>
        <v>1</v>
      </c>
      <c r="I31" s="200">
        <f t="shared" si="155"/>
        <v>0</v>
      </c>
      <c r="J31" s="200">
        <f t="shared" si="155"/>
        <v>0</v>
      </c>
      <c r="K31" s="200">
        <f t="shared" si="155"/>
        <v>0</v>
      </c>
      <c r="L31" s="200">
        <f t="shared" si="155"/>
        <v>0</v>
      </c>
      <c r="M31" s="200">
        <f t="shared" si="155"/>
        <v>0</v>
      </c>
      <c r="N31" s="200">
        <f t="shared" si="155"/>
        <v>0</v>
      </c>
      <c r="O31" s="200">
        <f t="shared" si="155"/>
        <v>0</v>
      </c>
      <c r="P31" s="200">
        <f t="shared" si="9"/>
        <v>0</v>
      </c>
      <c r="Q31" s="200">
        <f t="shared" ref="Q31:AC31" si="156">countif($D31,"*"&amp;Q$2&amp;"*")</f>
        <v>0</v>
      </c>
      <c r="R31" s="200">
        <f t="shared" si="156"/>
        <v>0</v>
      </c>
      <c r="S31" s="200">
        <f t="shared" si="156"/>
        <v>0</v>
      </c>
      <c r="T31" s="200">
        <f t="shared" si="156"/>
        <v>0</v>
      </c>
      <c r="U31" s="200">
        <f t="shared" si="156"/>
        <v>0</v>
      </c>
      <c r="V31" s="200">
        <f t="shared" si="156"/>
        <v>0</v>
      </c>
      <c r="W31" s="200">
        <f t="shared" si="156"/>
        <v>0</v>
      </c>
      <c r="X31" s="200">
        <f t="shared" si="156"/>
        <v>0</v>
      </c>
      <c r="Y31" s="200">
        <f t="shared" si="156"/>
        <v>0</v>
      </c>
      <c r="Z31" s="200">
        <f t="shared" si="156"/>
        <v>0</v>
      </c>
      <c r="AA31" s="200">
        <f t="shared" si="156"/>
        <v>0</v>
      </c>
      <c r="AB31" s="200">
        <f t="shared" si="156"/>
        <v>0</v>
      </c>
      <c r="AC31" s="200">
        <f t="shared" si="156"/>
        <v>0</v>
      </c>
      <c r="AD31" s="200">
        <f t="shared" si="11"/>
        <v>0</v>
      </c>
      <c r="AE31" s="200">
        <f t="shared" ref="AE31:AG31" si="157">countif($D31,"*"&amp;AE$2&amp;"*")</f>
        <v>0</v>
      </c>
      <c r="AF31" s="200">
        <f t="shared" si="157"/>
        <v>0</v>
      </c>
      <c r="AG31" s="200">
        <f t="shared" si="157"/>
        <v>0</v>
      </c>
      <c r="AH31" s="171">
        <f t="shared" si="13"/>
        <v>0</v>
      </c>
      <c r="AI31" s="200">
        <f t="shared" si="14"/>
        <v>1</v>
      </c>
      <c r="AJ31" s="200">
        <f t="shared" si="137"/>
        <v>0</v>
      </c>
      <c r="AK31" s="201">
        <f t="shared" ref="AK31:AS31" si="158">countif($D31,"*"&amp;AK$2&amp;"*")</f>
        <v>0</v>
      </c>
      <c r="AL31" s="201">
        <f t="shared" si="158"/>
        <v>0</v>
      </c>
      <c r="AM31" s="201">
        <f t="shared" si="158"/>
        <v>0</v>
      </c>
      <c r="AN31" s="201">
        <f t="shared" si="158"/>
        <v>0</v>
      </c>
      <c r="AO31" s="201">
        <f t="shared" si="158"/>
        <v>0</v>
      </c>
      <c r="AP31" s="201">
        <f t="shared" si="158"/>
        <v>0</v>
      </c>
      <c r="AQ31" s="201">
        <f t="shared" si="158"/>
        <v>0</v>
      </c>
      <c r="AR31" s="200">
        <f t="shared" si="158"/>
        <v>0</v>
      </c>
      <c r="AS31" s="200">
        <f t="shared" si="158"/>
        <v>0</v>
      </c>
      <c r="AT31" s="173">
        <v>0.0</v>
      </c>
      <c r="AU31" s="200">
        <f t="shared" ref="AU31:AX31" si="159">countif($D31,"*"&amp;AU$2&amp;"*")</f>
        <v>0</v>
      </c>
      <c r="AV31" s="200">
        <f t="shared" si="159"/>
        <v>0</v>
      </c>
      <c r="AW31" s="200">
        <f t="shared" si="159"/>
        <v>0</v>
      </c>
      <c r="AX31" s="200">
        <f t="shared" si="159"/>
        <v>0</v>
      </c>
      <c r="AY31" s="204">
        <v>1.0</v>
      </c>
      <c r="AZ31" s="200"/>
      <c r="BA31" s="171" t="str">
        <f t="shared" si="18"/>
        <v>Archival</v>
      </c>
      <c r="BB31" s="171" t="str">
        <f t="shared" si="19"/>
        <v/>
      </c>
      <c r="BC31" s="171" t="str">
        <f t="shared" si="20"/>
        <v/>
      </c>
      <c r="BD31" s="171" t="str">
        <f t="shared" si="21"/>
        <v/>
      </c>
      <c r="BE31" s="171" t="str">
        <f t="shared" si="22"/>
        <v/>
      </c>
      <c r="BF31" s="171" t="str">
        <f t="shared" si="23"/>
        <v>Archival</v>
      </c>
    </row>
    <row r="32">
      <c r="A32" s="171">
        <f t="array" ref="A32">XLOOKUP(C32,ICSE!A:A,ICSE!C:C,,2,1)</f>
        <v>2022</v>
      </c>
      <c r="B32" s="171" t="s">
        <v>5675</v>
      </c>
      <c r="C32" s="160">
        <v>28.0</v>
      </c>
      <c r="D32" s="161" t="s">
        <v>2327</v>
      </c>
      <c r="E32" s="197" t="str">
        <f t="array" ref="E32">XLOOKUP(C32,ICSE!A:A,ICSE!Z:Z,,0,1)</f>
        <v>Publicly available (1)</v>
      </c>
      <c r="F32" s="198" t="s">
        <v>20</v>
      </c>
      <c r="G32" s="163" t="str">
        <f t="array" ref="G32">IF(B32="ICSE",IF(COUNTIFS(B:B,B32,C:C,C32)=XLOOKUP(C32,ICSE!A:A,ICSE!AA:AA,"ERROR",0,1),"OK","ERROR"),IF(B32="FSE",IF(COUNTIFS(B:B,B32,C:C,C32)=XLOOKUP(C32,FSE!A:A,FSE!AA:AA,"ERROR",0,1),"OK","ERROR")))</f>
        <v>OK</v>
      </c>
      <c r="H32" s="199">
        <f t="shared" ref="H32:O32" si="160">countif($D32,"*"&amp;H$2&amp;"*")</f>
        <v>0</v>
      </c>
      <c r="I32" s="200">
        <f t="shared" si="160"/>
        <v>0</v>
      </c>
      <c r="J32" s="200">
        <f t="shared" si="160"/>
        <v>0</v>
      </c>
      <c r="K32" s="200">
        <f t="shared" si="160"/>
        <v>0</v>
      </c>
      <c r="L32" s="200">
        <f t="shared" si="160"/>
        <v>0</v>
      </c>
      <c r="M32" s="200">
        <f t="shared" si="160"/>
        <v>0</v>
      </c>
      <c r="N32" s="200">
        <f t="shared" si="160"/>
        <v>0</v>
      </c>
      <c r="O32" s="200">
        <f t="shared" si="160"/>
        <v>0</v>
      </c>
      <c r="P32" s="200">
        <f t="shared" si="9"/>
        <v>1</v>
      </c>
      <c r="Q32" s="200">
        <f t="shared" ref="Q32:AC32" si="161">countif($D32,"*"&amp;Q$2&amp;"*")</f>
        <v>0</v>
      </c>
      <c r="R32" s="200">
        <f t="shared" si="161"/>
        <v>0</v>
      </c>
      <c r="S32" s="200">
        <f t="shared" si="161"/>
        <v>0</v>
      </c>
      <c r="T32" s="200">
        <f t="shared" si="161"/>
        <v>0</v>
      </c>
      <c r="U32" s="200">
        <f t="shared" si="161"/>
        <v>0</v>
      </c>
      <c r="V32" s="200">
        <f t="shared" si="161"/>
        <v>0</v>
      </c>
      <c r="W32" s="200">
        <f t="shared" si="161"/>
        <v>0</v>
      </c>
      <c r="X32" s="200">
        <f t="shared" si="161"/>
        <v>0</v>
      </c>
      <c r="Y32" s="200">
        <f t="shared" si="161"/>
        <v>0</v>
      </c>
      <c r="Z32" s="200">
        <f t="shared" si="161"/>
        <v>0</v>
      </c>
      <c r="AA32" s="200">
        <f t="shared" si="161"/>
        <v>0</v>
      </c>
      <c r="AB32" s="200">
        <f t="shared" si="161"/>
        <v>0</v>
      </c>
      <c r="AC32" s="200">
        <f t="shared" si="161"/>
        <v>0</v>
      </c>
      <c r="AD32" s="200">
        <f t="shared" si="11"/>
        <v>0</v>
      </c>
      <c r="AE32" s="200">
        <f t="shared" ref="AE32:AG32" si="162">countif($D32,"*"&amp;AE$2&amp;"*")</f>
        <v>0</v>
      </c>
      <c r="AF32" s="200">
        <f t="shared" si="162"/>
        <v>0</v>
      </c>
      <c r="AG32" s="200">
        <f t="shared" si="162"/>
        <v>0</v>
      </c>
      <c r="AH32" s="171">
        <f t="shared" si="13"/>
        <v>0</v>
      </c>
      <c r="AI32" s="200">
        <f t="shared" si="14"/>
        <v>0</v>
      </c>
      <c r="AJ32" s="200">
        <f t="shared" si="137"/>
        <v>0</v>
      </c>
      <c r="AK32" s="201">
        <f t="shared" ref="AK32:AS32" si="163">countif($D32,"*"&amp;AK$2&amp;"*")</f>
        <v>0</v>
      </c>
      <c r="AL32" s="201">
        <f t="shared" si="163"/>
        <v>0</v>
      </c>
      <c r="AM32" s="201">
        <f t="shared" si="163"/>
        <v>0</v>
      </c>
      <c r="AN32" s="201">
        <f t="shared" si="163"/>
        <v>0</v>
      </c>
      <c r="AO32" s="201">
        <f t="shared" si="163"/>
        <v>0</v>
      </c>
      <c r="AP32" s="201">
        <f t="shared" si="163"/>
        <v>0</v>
      </c>
      <c r="AQ32" s="201">
        <f t="shared" si="163"/>
        <v>0</v>
      </c>
      <c r="AR32" s="200">
        <f t="shared" si="163"/>
        <v>0</v>
      </c>
      <c r="AS32" s="200">
        <f t="shared" si="163"/>
        <v>0</v>
      </c>
      <c r="AT32" s="173">
        <v>0.0</v>
      </c>
      <c r="AU32" s="200">
        <f t="shared" ref="AU32:AX32" si="164">countif($D32,"*"&amp;AU$2&amp;"*")</f>
        <v>0</v>
      </c>
      <c r="AV32" s="200">
        <f t="shared" si="164"/>
        <v>1</v>
      </c>
      <c r="AW32" s="200">
        <f t="shared" si="164"/>
        <v>0</v>
      </c>
      <c r="AX32" s="200">
        <f t="shared" si="164"/>
        <v>0</v>
      </c>
      <c r="AY32" s="202">
        <v>0.0</v>
      </c>
      <c r="AZ32" s="200"/>
      <c r="BA32" s="171" t="str">
        <f t="shared" si="18"/>
        <v/>
      </c>
      <c r="BB32" s="171" t="str">
        <f t="shared" si="19"/>
        <v>Code</v>
      </c>
      <c r="BC32" s="171" t="str">
        <f t="shared" si="20"/>
        <v/>
      </c>
      <c r="BD32" s="171" t="str">
        <f t="shared" si="21"/>
        <v/>
      </c>
      <c r="BE32" s="171" t="str">
        <f t="shared" si="22"/>
        <v/>
      </c>
      <c r="BF32" s="171" t="str">
        <f t="shared" si="23"/>
        <v>Code</v>
      </c>
    </row>
    <row r="33">
      <c r="A33" s="171">
        <f t="array" ref="A33">XLOOKUP(C33,ICSE!A:A,ICSE!C:C,,2,1)</f>
        <v>2022</v>
      </c>
      <c r="B33" s="171" t="s">
        <v>5675</v>
      </c>
      <c r="C33" s="160">
        <v>29.0</v>
      </c>
      <c r="D33" s="161" t="s">
        <v>2330</v>
      </c>
      <c r="E33" s="197" t="str">
        <f t="array" ref="E33">XLOOKUP(C33,ICSE!A:A,ICSE!Z:Z,,0,1)</f>
        <v>Publicly available (1)</v>
      </c>
      <c r="F33" s="198" t="s">
        <v>20</v>
      </c>
      <c r="G33" s="163" t="str">
        <f t="array" ref="G33">IF(B33="ICSE",IF(COUNTIFS(B:B,B33,C:C,C33)=XLOOKUP(C33,ICSE!A:A,ICSE!AA:AA,"ERROR",0,1),"OK","ERROR"),IF(B33="FSE",IF(COUNTIFS(B:B,B33,C:C,C33)=XLOOKUP(C33,FSE!A:A,FSE!AA:AA,"ERROR",0,1),"OK","ERROR")))</f>
        <v>OK</v>
      </c>
      <c r="H33" s="199">
        <f t="shared" ref="H33:O33" si="165">countif($D33,"*"&amp;H$2&amp;"*")</f>
        <v>0</v>
      </c>
      <c r="I33" s="200">
        <f t="shared" si="165"/>
        <v>0</v>
      </c>
      <c r="J33" s="200">
        <f t="shared" si="165"/>
        <v>0</v>
      </c>
      <c r="K33" s="200">
        <f t="shared" si="165"/>
        <v>0</v>
      </c>
      <c r="L33" s="200">
        <f t="shared" si="165"/>
        <v>0</v>
      </c>
      <c r="M33" s="200">
        <f t="shared" si="165"/>
        <v>0</v>
      </c>
      <c r="N33" s="200">
        <f t="shared" si="165"/>
        <v>0</v>
      </c>
      <c r="O33" s="200">
        <f t="shared" si="165"/>
        <v>0</v>
      </c>
      <c r="P33" s="200">
        <f t="shared" si="9"/>
        <v>1</v>
      </c>
      <c r="Q33" s="200">
        <f t="shared" ref="Q33:AC33" si="166">countif($D33,"*"&amp;Q$2&amp;"*")</f>
        <v>0</v>
      </c>
      <c r="R33" s="200">
        <f t="shared" si="166"/>
        <v>0</v>
      </c>
      <c r="S33" s="200">
        <f t="shared" si="166"/>
        <v>0</v>
      </c>
      <c r="T33" s="200">
        <f t="shared" si="166"/>
        <v>0</v>
      </c>
      <c r="U33" s="200">
        <f t="shared" si="166"/>
        <v>0</v>
      </c>
      <c r="V33" s="200">
        <f t="shared" si="166"/>
        <v>0</v>
      </c>
      <c r="W33" s="200">
        <f t="shared" si="166"/>
        <v>0</v>
      </c>
      <c r="X33" s="200">
        <f t="shared" si="166"/>
        <v>0</v>
      </c>
      <c r="Y33" s="200">
        <f t="shared" si="166"/>
        <v>0</v>
      </c>
      <c r="Z33" s="200">
        <f t="shared" si="166"/>
        <v>0</v>
      </c>
      <c r="AA33" s="200">
        <f t="shared" si="166"/>
        <v>0</v>
      </c>
      <c r="AB33" s="200">
        <f t="shared" si="166"/>
        <v>0</v>
      </c>
      <c r="AC33" s="200">
        <f t="shared" si="166"/>
        <v>0</v>
      </c>
      <c r="AD33" s="200">
        <f t="shared" si="11"/>
        <v>0</v>
      </c>
      <c r="AE33" s="200">
        <f t="shared" ref="AE33:AG33" si="167">countif($D33,"*"&amp;AE$2&amp;"*")</f>
        <v>0</v>
      </c>
      <c r="AF33" s="200">
        <f t="shared" si="167"/>
        <v>0</v>
      </c>
      <c r="AG33" s="200">
        <f t="shared" si="167"/>
        <v>0</v>
      </c>
      <c r="AH33" s="171">
        <f t="shared" si="13"/>
        <v>0</v>
      </c>
      <c r="AI33" s="200">
        <f t="shared" si="14"/>
        <v>0</v>
      </c>
      <c r="AJ33" s="200">
        <f t="shared" si="137"/>
        <v>0</v>
      </c>
      <c r="AK33" s="201">
        <f t="shared" ref="AK33:AS33" si="168">countif($D33,"*"&amp;AK$2&amp;"*")</f>
        <v>0</v>
      </c>
      <c r="AL33" s="201">
        <f t="shared" si="168"/>
        <v>0</v>
      </c>
      <c r="AM33" s="201">
        <f t="shared" si="168"/>
        <v>0</v>
      </c>
      <c r="AN33" s="201">
        <f t="shared" si="168"/>
        <v>0</v>
      </c>
      <c r="AO33" s="201">
        <f t="shared" si="168"/>
        <v>0</v>
      </c>
      <c r="AP33" s="201">
        <f t="shared" si="168"/>
        <v>0</v>
      </c>
      <c r="AQ33" s="201">
        <f t="shared" si="168"/>
        <v>0</v>
      </c>
      <c r="AR33" s="200">
        <f t="shared" si="168"/>
        <v>0</v>
      </c>
      <c r="AS33" s="200">
        <f t="shared" si="168"/>
        <v>0</v>
      </c>
      <c r="AT33" s="173">
        <v>0.0</v>
      </c>
      <c r="AU33" s="200">
        <f t="shared" ref="AU33:AX33" si="169">countif($D33,"*"&amp;AU$2&amp;"*")</f>
        <v>0</v>
      </c>
      <c r="AV33" s="200">
        <f t="shared" si="169"/>
        <v>1</v>
      </c>
      <c r="AW33" s="200">
        <f t="shared" si="169"/>
        <v>0</v>
      </c>
      <c r="AX33" s="200">
        <f t="shared" si="169"/>
        <v>0</v>
      </c>
      <c r="AY33" s="202">
        <v>0.0</v>
      </c>
      <c r="AZ33" s="200"/>
      <c r="BA33" s="171" t="str">
        <f t="shared" si="18"/>
        <v/>
      </c>
      <c r="BB33" s="171" t="str">
        <f t="shared" si="19"/>
        <v>Code</v>
      </c>
      <c r="BC33" s="171" t="str">
        <f t="shared" si="20"/>
        <v/>
      </c>
      <c r="BD33" s="171" t="str">
        <f t="shared" si="21"/>
        <v/>
      </c>
      <c r="BE33" s="171" t="str">
        <f t="shared" si="22"/>
        <v/>
      </c>
      <c r="BF33" s="171" t="str">
        <f t="shared" si="23"/>
        <v>Code</v>
      </c>
    </row>
    <row r="34">
      <c r="A34" s="171">
        <f t="array" ref="A34">XLOOKUP(C34,ICSE!A:A,ICSE!C:C,,2,1)</f>
        <v>2022</v>
      </c>
      <c r="B34" s="171" t="s">
        <v>5675</v>
      </c>
      <c r="C34" s="160">
        <v>30.0</v>
      </c>
      <c r="D34" s="161" t="s">
        <v>2333</v>
      </c>
      <c r="E34" s="197" t="str">
        <f t="array" ref="E34">XLOOKUP(C34,ICSE!A:A,ICSE!Z:Z,,0,1)</f>
        <v>Publicly available (1)</v>
      </c>
      <c r="F34" s="198" t="s">
        <v>20</v>
      </c>
      <c r="G34" s="163" t="str">
        <f t="array" ref="G34">IF(B34="ICSE",IF(COUNTIFS(B:B,B34,C:C,C34)=XLOOKUP(C34,ICSE!A:A,ICSE!AA:AA,"ERROR",0,1),"OK","ERROR"),IF(B34="FSE",IF(COUNTIFS(B:B,B34,C:C,C34)=XLOOKUP(C34,FSE!A:A,FSE!AA:AA,"ERROR",0,1),"OK","ERROR")))</f>
        <v>OK</v>
      </c>
      <c r="H34" s="199">
        <f t="shared" ref="H34:O34" si="170">countif($D34,"*"&amp;H$2&amp;"*")</f>
        <v>0</v>
      </c>
      <c r="I34" s="200">
        <f t="shared" si="170"/>
        <v>0</v>
      </c>
      <c r="J34" s="200">
        <f t="shared" si="170"/>
        <v>0</v>
      </c>
      <c r="K34" s="200">
        <f t="shared" si="170"/>
        <v>0</v>
      </c>
      <c r="L34" s="200">
        <f t="shared" si="170"/>
        <v>0</v>
      </c>
      <c r="M34" s="200">
        <f t="shared" si="170"/>
        <v>0</v>
      </c>
      <c r="N34" s="200">
        <f t="shared" si="170"/>
        <v>0</v>
      </c>
      <c r="O34" s="200">
        <f t="shared" si="170"/>
        <v>0</v>
      </c>
      <c r="P34" s="200">
        <f t="shared" si="9"/>
        <v>1</v>
      </c>
      <c r="Q34" s="200">
        <f t="shared" ref="Q34:AC34" si="171">countif($D34,"*"&amp;Q$2&amp;"*")</f>
        <v>0</v>
      </c>
      <c r="R34" s="200">
        <f t="shared" si="171"/>
        <v>0</v>
      </c>
      <c r="S34" s="200">
        <f t="shared" si="171"/>
        <v>0</v>
      </c>
      <c r="T34" s="200">
        <f t="shared" si="171"/>
        <v>0</v>
      </c>
      <c r="U34" s="200">
        <f t="shared" si="171"/>
        <v>0</v>
      </c>
      <c r="V34" s="200">
        <f t="shared" si="171"/>
        <v>0</v>
      </c>
      <c r="W34" s="200">
        <f t="shared" si="171"/>
        <v>0</v>
      </c>
      <c r="X34" s="200">
        <f t="shared" si="171"/>
        <v>0</v>
      </c>
      <c r="Y34" s="200">
        <f t="shared" si="171"/>
        <v>0</v>
      </c>
      <c r="Z34" s="200">
        <f t="shared" si="171"/>
        <v>0</v>
      </c>
      <c r="AA34" s="200">
        <f t="shared" si="171"/>
        <v>0</v>
      </c>
      <c r="AB34" s="200">
        <f t="shared" si="171"/>
        <v>0</v>
      </c>
      <c r="AC34" s="200">
        <f t="shared" si="171"/>
        <v>0</v>
      </c>
      <c r="AD34" s="200">
        <f t="shared" si="11"/>
        <v>0</v>
      </c>
      <c r="AE34" s="200">
        <f t="shared" ref="AE34:AG34" si="172">countif($D34,"*"&amp;AE$2&amp;"*")</f>
        <v>0</v>
      </c>
      <c r="AF34" s="200">
        <f t="shared" si="172"/>
        <v>0</v>
      </c>
      <c r="AG34" s="200">
        <f t="shared" si="172"/>
        <v>0</v>
      </c>
      <c r="AH34" s="171">
        <f t="shared" si="13"/>
        <v>0</v>
      </c>
      <c r="AI34" s="200">
        <f t="shared" si="14"/>
        <v>0</v>
      </c>
      <c r="AJ34" s="200">
        <f t="shared" si="137"/>
        <v>0</v>
      </c>
      <c r="AK34" s="201">
        <f t="shared" ref="AK34:AS34" si="173">countif($D34,"*"&amp;AK$2&amp;"*")</f>
        <v>0</v>
      </c>
      <c r="AL34" s="201">
        <f t="shared" si="173"/>
        <v>0</v>
      </c>
      <c r="AM34" s="201">
        <f t="shared" si="173"/>
        <v>0</v>
      </c>
      <c r="AN34" s="201">
        <f t="shared" si="173"/>
        <v>0</v>
      </c>
      <c r="AO34" s="201">
        <f t="shared" si="173"/>
        <v>0</v>
      </c>
      <c r="AP34" s="201">
        <f t="shared" si="173"/>
        <v>0</v>
      </c>
      <c r="AQ34" s="201">
        <f t="shared" si="173"/>
        <v>0</v>
      </c>
      <c r="AR34" s="200">
        <f t="shared" si="173"/>
        <v>0</v>
      </c>
      <c r="AS34" s="200">
        <f t="shared" si="173"/>
        <v>0</v>
      </c>
      <c r="AT34" s="173">
        <v>0.0</v>
      </c>
      <c r="AU34" s="200">
        <f t="shared" ref="AU34:AX34" si="174">countif($D34,"*"&amp;AU$2&amp;"*")</f>
        <v>0</v>
      </c>
      <c r="AV34" s="200">
        <f t="shared" si="174"/>
        <v>1</v>
      </c>
      <c r="AW34" s="200">
        <f t="shared" si="174"/>
        <v>0</v>
      </c>
      <c r="AX34" s="200">
        <f t="shared" si="174"/>
        <v>0</v>
      </c>
      <c r="AY34" s="202">
        <v>0.0</v>
      </c>
      <c r="AZ34" s="200"/>
      <c r="BA34" s="171" t="str">
        <f t="shared" si="18"/>
        <v/>
      </c>
      <c r="BB34" s="171" t="str">
        <f t="shared" si="19"/>
        <v>Code</v>
      </c>
      <c r="BC34" s="171" t="str">
        <f t="shared" si="20"/>
        <v/>
      </c>
      <c r="BD34" s="171" t="str">
        <f t="shared" si="21"/>
        <v/>
      </c>
      <c r="BE34" s="171" t="str">
        <f t="shared" si="22"/>
        <v/>
      </c>
      <c r="BF34" s="171" t="str">
        <f t="shared" si="23"/>
        <v>Code</v>
      </c>
    </row>
    <row r="35">
      <c r="A35" s="171">
        <f t="array" ref="A35">XLOOKUP(C35,ICSE!A:A,ICSE!C:C,,2,1)</f>
        <v>2022</v>
      </c>
      <c r="B35" s="171" t="s">
        <v>5675</v>
      </c>
      <c r="C35" s="160">
        <v>31.0</v>
      </c>
      <c r="D35" s="161" t="s">
        <v>2337</v>
      </c>
      <c r="E35" s="197" t="str">
        <f t="array" ref="E35">XLOOKUP(C35,ICSE!A:A,ICSE!Z:Z,,0,1)</f>
        <v>Publicly available (1)</v>
      </c>
      <c r="F35" s="198" t="s">
        <v>20</v>
      </c>
      <c r="G35" s="163" t="str">
        <f t="array" ref="G35">IF(B35="ICSE",IF(COUNTIFS(B:B,B35,C:C,C35)=XLOOKUP(C35,ICSE!A:A,ICSE!AA:AA,"ERROR",0,1),"OK","ERROR"),IF(B35="FSE",IF(COUNTIFS(B:B,B35,C:C,C35)=XLOOKUP(C35,FSE!A:A,FSE!AA:AA,"ERROR",0,1),"OK","ERROR")))</f>
        <v>OK</v>
      </c>
      <c r="H35" s="199">
        <f t="shared" ref="H35:O35" si="175">countif($D35,"*"&amp;H$2&amp;"*")</f>
        <v>0</v>
      </c>
      <c r="I35" s="200">
        <f t="shared" si="175"/>
        <v>0</v>
      </c>
      <c r="J35" s="200">
        <f t="shared" si="175"/>
        <v>0</v>
      </c>
      <c r="K35" s="200">
        <f t="shared" si="175"/>
        <v>0</v>
      </c>
      <c r="L35" s="200">
        <f t="shared" si="175"/>
        <v>0</v>
      </c>
      <c r="M35" s="200">
        <f t="shared" si="175"/>
        <v>0</v>
      </c>
      <c r="N35" s="200">
        <f t="shared" si="175"/>
        <v>0</v>
      </c>
      <c r="O35" s="200">
        <f t="shared" si="175"/>
        <v>0</v>
      </c>
      <c r="P35" s="200">
        <f t="shared" si="9"/>
        <v>1</v>
      </c>
      <c r="Q35" s="200">
        <f t="shared" ref="Q35:AC35" si="176">countif($D35,"*"&amp;Q$2&amp;"*")</f>
        <v>0</v>
      </c>
      <c r="R35" s="200">
        <f t="shared" si="176"/>
        <v>0</v>
      </c>
      <c r="S35" s="200">
        <f t="shared" si="176"/>
        <v>0</v>
      </c>
      <c r="T35" s="200">
        <f t="shared" si="176"/>
        <v>0</v>
      </c>
      <c r="U35" s="200">
        <f t="shared" si="176"/>
        <v>0</v>
      </c>
      <c r="V35" s="200">
        <f t="shared" si="176"/>
        <v>0</v>
      </c>
      <c r="W35" s="200">
        <f t="shared" si="176"/>
        <v>0</v>
      </c>
      <c r="X35" s="200">
        <f t="shared" si="176"/>
        <v>0</v>
      </c>
      <c r="Y35" s="200">
        <f t="shared" si="176"/>
        <v>0</v>
      </c>
      <c r="Z35" s="200">
        <f t="shared" si="176"/>
        <v>0</v>
      </c>
      <c r="AA35" s="200">
        <f t="shared" si="176"/>
        <v>0</v>
      </c>
      <c r="AB35" s="200">
        <f t="shared" si="176"/>
        <v>0</v>
      </c>
      <c r="AC35" s="200">
        <f t="shared" si="176"/>
        <v>0</v>
      </c>
      <c r="AD35" s="200">
        <f t="shared" si="11"/>
        <v>0</v>
      </c>
      <c r="AE35" s="200">
        <f t="shared" ref="AE35:AG35" si="177">countif($D35,"*"&amp;AE$2&amp;"*")</f>
        <v>0</v>
      </c>
      <c r="AF35" s="200">
        <f t="shared" si="177"/>
        <v>0</v>
      </c>
      <c r="AG35" s="200">
        <f t="shared" si="177"/>
        <v>0</v>
      </c>
      <c r="AH35" s="171">
        <f t="shared" si="13"/>
        <v>0</v>
      </c>
      <c r="AI35" s="200">
        <f t="shared" si="14"/>
        <v>0</v>
      </c>
      <c r="AJ35" s="200">
        <f t="shared" si="137"/>
        <v>0</v>
      </c>
      <c r="AK35" s="201">
        <f t="shared" ref="AK35:AS35" si="178">countif($D35,"*"&amp;AK$2&amp;"*")</f>
        <v>0</v>
      </c>
      <c r="AL35" s="201">
        <f t="shared" si="178"/>
        <v>0</v>
      </c>
      <c r="AM35" s="201">
        <f t="shared" si="178"/>
        <v>0</v>
      </c>
      <c r="AN35" s="201">
        <f t="shared" si="178"/>
        <v>0</v>
      </c>
      <c r="AO35" s="201">
        <f t="shared" si="178"/>
        <v>0</v>
      </c>
      <c r="AP35" s="201">
        <f t="shared" si="178"/>
        <v>0</v>
      </c>
      <c r="AQ35" s="201">
        <f t="shared" si="178"/>
        <v>0</v>
      </c>
      <c r="AR35" s="200">
        <f t="shared" si="178"/>
        <v>0</v>
      </c>
      <c r="AS35" s="200">
        <f t="shared" si="178"/>
        <v>0</v>
      </c>
      <c r="AT35" s="173">
        <v>0.0</v>
      </c>
      <c r="AU35" s="200">
        <f t="shared" ref="AU35:AX35" si="179">countif($D35,"*"&amp;AU$2&amp;"*")</f>
        <v>0</v>
      </c>
      <c r="AV35" s="200">
        <f t="shared" si="179"/>
        <v>1</v>
      </c>
      <c r="AW35" s="200">
        <f t="shared" si="179"/>
        <v>0</v>
      </c>
      <c r="AX35" s="200">
        <f t="shared" si="179"/>
        <v>0</v>
      </c>
      <c r="AY35" s="202">
        <v>0.0</v>
      </c>
      <c r="AZ35" s="200"/>
      <c r="BA35" s="171" t="str">
        <f t="shared" si="18"/>
        <v/>
      </c>
      <c r="BB35" s="171" t="str">
        <f t="shared" si="19"/>
        <v>Code</v>
      </c>
      <c r="BC35" s="171" t="str">
        <f t="shared" si="20"/>
        <v/>
      </c>
      <c r="BD35" s="171" t="str">
        <f t="shared" si="21"/>
        <v/>
      </c>
      <c r="BE35" s="171" t="str">
        <f t="shared" si="22"/>
        <v/>
      </c>
      <c r="BF35" s="171" t="str">
        <f t="shared" si="23"/>
        <v>Code</v>
      </c>
    </row>
    <row r="36">
      <c r="A36" s="171">
        <f t="array" ref="A36">XLOOKUP(C36,ICSE!A:A,ICSE!C:C,,2,1)</f>
        <v>2022</v>
      </c>
      <c r="B36" s="171" t="s">
        <v>5675</v>
      </c>
      <c r="C36" s="160">
        <v>32.0</v>
      </c>
      <c r="D36" s="161" t="s">
        <v>2340</v>
      </c>
      <c r="E36" s="197" t="str">
        <f t="array" ref="E36">XLOOKUP(C36,ICSE!A:A,ICSE!Z:Z,,0,1)</f>
        <v>Publicly available (1)</v>
      </c>
      <c r="F36" s="198" t="s">
        <v>20</v>
      </c>
      <c r="G36" s="163" t="str">
        <f t="array" ref="G36">IF(B36="ICSE",IF(COUNTIFS(B:B,B36,C:C,C36)=XLOOKUP(C36,ICSE!A:A,ICSE!AA:AA,"ERROR",0,1),"OK","ERROR"),IF(B36="FSE",IF(COUNTIFS(B:B,B36,C:C,C36)=XLOOKUP(C36,FSE!A:A,FSE!AA:AA,"ERROR",0,1),"OK","ERROR")))</f>
        <v>OK</v>
      </c>
      <c r="H36" s="199">
        <f t="shared" ref="H36:O36" si="180">countif($D36,"*"&amp;H$2&amp;"*")</f>
        <v>0</v>
      </c>
      <c r="I36" s="200">
        <f t="shared" si="180"/>
        <v>0</v>
      </c>
      <c r="J36" s="200">
        <f t="shared" si="180"/>
        <v>0</v>
      </c>
      <c r="K36" s="200">
        <f t="shared" si="180"/>
        <v>0</v>
      </c>
      <c r="L36" s="200">
        <f t="shared" si="180"/>
        <v>0</v>
      </c>
      <c r="M36" s="200">
        <f t="shared" si="180"/>
        <v>0</v>
      </c>
      <c r="N36" s="200">
        <f t="shared" si="180"/>
        <v>0</v>
      </c>
      <c r="O36" s="200">
        <f t="shared" si="180"/>
        <v>0</v>
      </c>
      <c r="P36" s="200">
        <f t="shared" si="9"/>
        <v>1</v>
      </c>
      <c r="Q36" s="200">
        <f t="shared" ref="Q36:AC36" si="181">countif($D36,"*"&amp;Q$2&amp;"*")</f>
        <v>0</v>
      </c>
      <c r="R36" s="200">
        <f t="shared" si="181"/>
        <v>0</v>
      </c>
      <c r="S36" s="200">
        <f t="shared" si="181"/>
        <v>0</v>
      </c>
      <c r="T36" s="200">
        <f t="shared" si="181"/>
        <v>0</v>
      </c>
      <c r="U36" s="200">
        <f t="shared" si="181"/>
        <v>0</v>
      </c>
      <c r="V36" s="200">
        <f t="shared" si="181"/>
        <v>0</v>
      </c>
      <c r="W36" s="200">
        <f t="shared" si="181"/>
        <v>0</v>
      </c>
      <c r="X36" s="200">
        <f t="shared" si="181"/>
        <v>0</v>
      </c>
      <c r="Y36" s="200">
        <f t="shared" si="181"/>
        <v>0</v>
      </c>
      <c r="Z36" s="200">
        <f t="shared" si="181"/>
        <v>0</v>
      </c>
      <c r="AA36" s="200">
        <f t="shared" si="181"/>
        <v>0</v>
      </c>
      <c r="AB36" s="200">
        <f t="shared" si="181"/>
        <v>0</v>
      </c>
      <c r="AC36" s="200">
        <f t="shared" si="181"/>
        <v>0</v>
      </c>
      <c r="AD36" s="200">
        <f t="shared" si="11"/>
        <v>0</v>
      </c>
      <c r="AE36" s="200">
        <f t="shared" ref="AE36:AG36" si="182">countif($D36,"*"&amp;AE$2&amp;"*")</f>
        <v>0</v>
      </c>
      <c r="AF36" s="200">
        <f t="shared" si="182"/>
        <v>0</v>
      </c>
      <c r="AG36" s="200">
        <f t="shared" si="182"/>
        <v>0</v>
      </c>
      <c r="AH36" s="171">
        <f t="shared" si="13"/>
        <v>0</v>
      </c>
      <c r="AI36" s="200">
        <f t="shared" si="14"/>
        <v>0</v>
      </c>
      <c r="AJ36" s="200">
        <f t="shared" si="137"/>
        <v>0</v>
      </c>
      <c r="AK36" s="201">
        <f t="shared" ref="AK36:AS36" si="183">countif($D36,"*"&amp;AK$2&amp;"*")</f>
        <v>0</v>
      </c>
      <c r="AL36" s="201">
        <f t="shared" si="183"/>
        <v>0</v>
      </c>
      <c r="AM36" s="201">
        <f t="shared" si="183"/>
        <v>0</v>
      </c>
      <c r="AN36" s="201">
        <f t="shared" si="183"/>
        <v>0</v>
      </c>
      <c r="AO36" s="201">
        <f t="shared" si="183"/>
        <v>0</v>
      </c>
      <c r="AP36" s="201">
        <f t="shared" si="183"/>
        <v>0</v>
      </c>
      <c r="AQ36" s="201">
        <f t="shared" si="183"/>
        <v>0</v>
      </c>
      <c r="AR36" s="200">
        <f t="shared" si="183"/>
        <v>0</v>
      </c>
      <c r="AS36" s="200">
        <f t="shared" si="183"/>
        <v>0</v>
      </c>
      <c r="AT36" s="173">
        <v>0.0</v>
      </c>
      <c r="AU36" s="200">
        <f t="shared" ref="AU36:AX36" si="184">countif($D36,"*"&amp;AU$2&amp;"*")</f>
        <v>0</v>
      </c>
      <c r="AV36" s="200">
        <f t="shared" si="184"/>
        <v>1</v>
      </c>
      <c r="AW36" s="200">
        <f t="shared" si="184"/>
        <v>0</v>
      </c>
      <c r="AX36" s="200">
        <f t="shared" si="184"/>
        <v>0</v>
      </c>
      <c r="AY36" s="202">
        <v>0.0</v>
      </c>
      <c r="AZ36" s="200"/>
      <c r="BA36" s="171" t="str">
        <f t="shared" si="18"/>
        <v/>
      </c>
      <c r="BB36" s="171" t="str">
        <f t="shared" si="19"/>
        <v>Code</v>
      </c>
      <c r="BC36" s="171" t="str">
        <f t="shared" si="20"/>
        <v/>
      </c>
      <c r="BD36" s="171" t="str">
        <f t="shared" si="21"/>
        <v/>
      </c>
      <c r="BE36" s="171" t="str">
        <f t="shared" si="22"/>
        <v/>
      </c>
      <c r="BF36" s="171" t="str">
        <f t="shared" si="23"/>
        <v>Code</v>
      </c>
    </row>
    <row r="37">
      <c r="A37" s="171">
        <f t="array" ref="A37">XLOOKUP(C37,ICSE!A:A,ICSE!C:C,,2,1)</f>
        <v>2022</v>
      </c>
      <c r="B37" s="171" t="s">
        <v>5675</v>
      </c>
      <c r="C37" s="160">
        <v>33.0</v>
      </c>
      <c r="D37" s="161" t="s">
        <v>2342</v>
      </c>
      <c r="E37" s="197" t="str">
        <f t="array" ref="E37">XLOOKUP(C37,ICSE!A:A,ICSE!Z:Z,,0,1)</f>
        <v>Publicly available (1)</v>
      </c>
      <c r="F37" s="198" t="s">
        <v>20</v>
      </c>
      <c r="G37" s="163" t="str">
        <f t="array" ref="G37">IF(B37="ICSE",IF(COUNTIFS(B:B,B37,C:C,C37)=XLOOKUP(C37,ICSE!A:A,ICSE!AA:AA,"ERROR",0,1),"OK","ERROR"),IF(B37="FSE",IF(COUNTIFS(B:B,B37,C:C,C37)=XLOOKUP(C37,FSE!A:A,FSE!AA:AA,"ERROR",0,1),"OK","ERROR")))</f>
        <v>OK</v>
      </c>
      <c r="H37" s="199">
        <f t="shared" ref="H37:O37" si="185">countif($D37,"*"&amp;H$2&amp;"*")</f>
        <v>0</v>
      </c>
      <c r="I37" s="200">
        <f t="shared" si="185"/>
        <v>0</v>
      </c>
      <c r="J37" s="200">
        <f t="shared" si="185"/>
        <v>0</v>
      </c>
      <c r="K37" s="200">
        <f t="shared" si="185"/>
        <v>0</v>
      </c>
      <c r="L37" s="200">
        <f t="shared" si="185"/>
        <v>0</v>
      </c>
      <c r="M37" s="200">
        <f t="shared" si="185"/>
        <v>0</v>
      </c>
      <c r="N37" s="200">
        <f t="shared" si="185"/>
        <v>0</v>
      </c>
      <c r="O37" s="200">
        <f t="shared" si="185"/>
        <v>0</v>
      </c>
      <c r="P37" s="200">
        <f t="shared" si="9"/>
        <v>1</v>
      </c>
      <c r="Q37" s="200">
        <f t="shared" ref="Q37:AC37" si="186">countif($D37,"*"&amp;Q$2&amp;"*")</f>
        <v>0</v>
      </c>
      <c r="R37" s="200">
        <f t="shared" si="186"/>
        <v>0</v>
      </c>
      <c r="S37" s="200">
        <f t="shared" si="186"/>
        <v>0</v>
      </c>
      <c r="T37" s="200">
        <f t="shared" si="186"/>
        <v>0</v>
      </c>
      <c r="U37" s="200">
        <f t="shared" si="186"/>
        <v>0</v>
      </c>
      <c r="V37" s="200">
        <f t="shared" si="186"/>
        <v>0</v>
      </c>
      <c r="W37" s="200">
        <f t="shared" si="186"/>
        <v>0</v>
      </c>
      <c r="X37" s="200">
        <f t="shared" si="186"/>
        <v>0</v>
      </c>
      <c r="Y37" s="200">
        <f t="shared" si="186"/>
        <v>0</v>
      </c>
      <c r="Z37" s="200">
        <f t="shared" si="186"/>
        <v>0</v>
      </c>
      <c r="AA37" s="200">
        <f t="shared" si="186"/>
        <v>0</v>
      </c>
      <c r="AB37" s="200">
        <f t="shared" si="186"/>
        <v>0</v>
      </c>
      <c r="AC37" s="200">
        <f t="shared" si="186"/>
        <v>0</v>
      </c>
      <c r="AD37" s="200">
        <f t="shared" si="11"/>
        <v>0</v>
      </c>
      <c r="AE37" s="200">
        <f t="shared" ref="AE37:AG37" si="187">countif($D37,"*"&amp;AE$2&amp;"*")</f>
        <v>0</v>
      </c>
      <c r="AF37" s="200">
        <f t="shared" si="187"/>
        <v>0</v>
      </c>
      <c r="AG37" s="200">
        <f t="shared" si="187"/>
        <v>0</v>
      </c>
      <c r="AH37" s="171">
        <f t="shared" si="13"/>
        <v>0</v>
      </c>
      <c r="AI37" s="200">
        <f t="shared" si="14"/>
        <v>0</v>
      </c>
      <c r="AJ37" s="200">
        <f t="shared" si="137"/>
        <v>0</v>
      </c>
      <c r="AK37" s="201">
        <f t="shared" ref="AK37:AS37" si="188">countif($D37,"*"&amp;AK$2&amp;"*")</f>
        <v>0</v>
      </c>
      <c r="AL37" s="201">
        <f t="shared" si="188"/>
        <v>0</v>
      </c>
      <c r="AM37" s="201">
        <f t="shared" si="188"/>
        <v>0</v>
      </c>
      <c r="AN37" s="201">
        <f t="shared" si="188"/>
        <v>0</v>
      </c>
      <c r="AO37" s="201">
        <f t="shared" si="188"/>
        <v>0</v>
      </c>
      <c r="AP37" s="201">
        <f t="shared" si="188"/>
        <v>0</v>
      </c>
      <c r="AQ37" s="201">
        <f t="shared" si="188"/>
        <v>0</v>
      </c>
      <c r="AR37" s="200">
        <f t="shared" si="188"/>
        <v>0</v>
      </c>
      <c r="AS37" s="200">
        <f t="shared" si="188"/>
        <v>0</v>
      </c>
      <c r="AT37" s="173">
        <v>0.0</v>
      </c>
      <c r="AU37" s="200">
        <f t="shared" ref="AU37:AX37" si="189">countif($D37,"*"&amp;AU$2&amp;"*")</f>
        <v>0</v>
      </c>
      <c r="AV37" s="200">
        <f t="shared" si="189"/>
        <v>1</v>
      </c>
      <c r="AW37" s="200">
        <f t="shared" si="189"/>
        <v>0</v>
      </c>
      <c r="AX37" s="200">
        <f t="shared" si="189"/>
        <v>0</v>
      </c>
      <c r="AY37" s="202">
        <v>0.0</v>
      </c>
      <c r="AZ37" s="200"/>
      <c r="BA37" s="171" t="str">
        <f t="shared" si="18"/>
        <v/>
      </c>
      <c r="BB37" s="171" t="str">
        <f t="shared" si="19"/>
        <v>Code</v>
      </c>
      <c r="BC37" s="171" t="str">
        <f t="shared" si="20"/>
        <v/>
      </c>
      <c r="BD37" s="171" t="str">
        <f t="shared" si="21"/>
        <v/>
      </c>
      <c r="BE37" s="171" t="str">
        <f t="shared" si="22"/>
        <v/>
      </c>
      <c r="BF37" s="171" t="str">
        <f t="shared" si="23"/>
        <v>Code</v>
      </c>
    </row>
    <row r="38">
      <c r="A38" s="171">
        <f t="array" ref="A38">XLOOKUP(C38,ICSE!A:A,ICSE!C:C,,2,1)</f>
        <v>2022</v>
      </c>
      <c r="B38" s="171" t="s">
        <v>5675</v>
      </c>
      <c r="C38" s="160">
        <v>34.0</v>
      </c>
      <c r="D38" s="161" t="s">
        <v>2344</v>
      </c>
      <c r="E38" s="197" t="str">
        <f t="array" ref="E38">XLOOKUP(C38,ICSE!A:A,ICSE!Z:Z,,0,1)</f>
        <v>Publicly available (1)</v>
      </c>
      <c r="F38" s="198" t="s">
        <v>20</v>
      </c>
      <c r="G38" s="163" t="str">
        <f t="array" ref="G38">IF(B38="ICSE",IF(COUNTIFS(B:B,B38,C:C,C38)=XLOOKUP(C38,ICSE!A:A,ICSE!AA:AA,"ERROR",0,1),"OK","ERROR"),IF(B38="FSE",IF(COUNTIFS(B:B,B38,C:C,C38)=XLOOKUP(C38,FSE!A:A,FSE!AA:AA,"ERROR",0,1),"OK","ERROR")))</f>
        <v>OK</v>
      </c>
      <c r="H38" s="199">
        <f t="shared" ref="H38:O38" si="190">countif($D38,"*"&amp;H$2&amp;"*")</f>
        <v>0</v>
      </c>
      <c r="I38" s="200">
        <f t="shared" si="190"/>
        <v>0</v>
      </c>
      <c r="J38" s="200">
        <f t="shared" si="190"/>
        <v>0</v>
      </c>
      <c r="K38" s="200">
        <f t="shared" si="190"/>
        <v>0</v>
      </c>
      <c r="L38" s="200">
        <f t="shared" si="190"/>
        <v>0</v>
      </c>
      <c r="M38" s="200">
        <f t="shared" si="190"/>
        <v>0</v>
      </c>
      <c r="N38" s="200">
        <f t="shared" si="190"/>
        <v>0</v>
      </c>
      <c r="O38" s="200">
        <f t="shared" si="190"/>
        <v>0</v>
      </c>
      <c r="P38" s="200">
        <f t="shared" si="9"/>
        <v>1</v>
      </c>
      <c r="Q38" s="200">
        <f t="shared" ref="Q38:AC38" si="191">countif($D38,"*"&amp;Q$2&amp;"*")</f>
        <v>0</v>
      </c>
      <c r="R38" s="200">
        <f t="shared" si="191"/>
        <v>0</v>
      </c>
      <c r="S38" s="200">
        <f t="shared" si="191"/>
        <v>0</v>
      </c>
      <c r="T38" s="200">
        <f t="shared" si="191"/>
        <v>0</v>
      </c>
      <c r="U38" s="200">
        <f t="shared" si="191"/>
        <v>0</v>
      </c>
      <c r="V38" s="200">
        <f t="shared" si="191"/>
        <v>0</v>
      </c>
      <c r="W38" s="200">
        <f t="shared" si="191"/>
        <v>0</v>
      </c>
      <c r="X38" s="200">
        <f t="shared" si="191"/>
        <v>0</v>
      </c>
      <c r="Y38" s="200">
        <f t="shared" si="191"/>
        <v>0</v>
      </c>
      <c r="Z38" s="200">
        <f t="shared" si="191"/>
        <v>0</v>
      </c>
      <c r="AA38" s="200">
        <f t="shared" si="191"/>
        <v>0</v>
      </c>
      <c r="AB38" s="200">
        <f t="shared" si="191"/>
        <v>0</v>
      </c>
      <c r="AC38" s="200">
        <f t="shared" si="191"/>
        <v>0</v>
      </c>
      <c r="AD38" s="200">
        <f t="shared" si="11"/>
        <v>0</v>
      </c>
      <c r="AE38" s="200">
        <f t="shared" ref="AE38:AG38" si="192">countif($D38,"*"&amp;AE$2&amp;"*")</f>
        <v>0</v>
      </c>
      <c r="AF38" s="200">
        <f t="shared" si="192"/>
        <v>0</v>
      </c>
      <c r="AG38" s="200">
        <f t="shared" si="192"/>
        <v>0</v>
      </c>
      <c r="AH38" s="171">
        <f t="shared" si="13"/>
        <v>0</v>
      </c>
      <c r="AI38" s="200">
        <f t="shared" si="14"/>
        <v>0</v>
      </c>
      <c r="AJ38" s="200">
        <f t="shared" si="137"/>
        <v>0</v>
      </c>
      <c r="AK38" s="201">
        <f t="shared" ref="AK38:AS38" si="193">countif($D38,"*"&amp;AK$2&amp;"*")</f>
        <v>0</v>
      </c>
      <c r="AL38" s="201">
        <f t="shared" si="193"/>
        <v>0</v>
      </c>
      <c r="AM38" s="201">
        <f t="shared" si="193"/>
        <v>0</v>
      </c>
      <c r="AN38" s="201">
        <f t="shared" si="193"/>
        <v>0</v>
      </c>
      <c r="AO38" s="201">
        <f t="shared" si="193"/>
        <v>0</v>
      </c>
      <c r="AP38" s="201">
        <f t="shared" si="193"/>
        <v>0</v>
      </c>
      <c r="AQ38" s="201">
        <f t="shared" si="193"/>
        <v>0</v>
      </c>
      <c r="AR38" s="200">
        <f t="shared" si="193"/>
        <v>0</v>
      </c>
      <c r="AS38" s="200">
        <f t="shared" si="193"/>
        <v>0</v>
      </c>
      <c r="AT38" s="173">
        <v>0.0</v>
      </c>
      <c r="AU38" s="200">
        <f t="shared" ref="AU38:AX38" si="194">countif($D38,"*"&amp;AU$2&amp;"*")</f>
        <v>0</v>
      </c>
      <c r="AV38" s="200">
        <f t="shared" si="194"/>
        <v>1</v>
      </c>
      <c r="AW38" s="200">
        <f t="shared" si="194"/>
        <v>0</v>
      </c>
      <c r="AX38" s="200">
        <f t="shared" si="194"/>
        <v>0</v>
      </c>
      <c r="AY38" s="202">
        <v>0.0</v>
      </c>
      <c r="AZ38" s="200"/>
      <c r="BA38" s="171" t="str">
        <f t="shared" si="18"/>
        <v/>
      </c>
      <c r="BB38" s="171" t="str">
        <f t="shared" si="19"/>
        <v>Code</v>
      </c>
      <c r="BC38" s="171" t="str">
        <f t="shared" si="20"/>
        <v/>
      </c>
      <c r="BD38" s="171" t="str">
        <f t="shared" si="21"/>
        <v/>
      </c>
      <c r="BE38" s="171" t="str">
        <f t="shared" si="22"/>
        <v/>
      </c>
      <c r="BF38" s="171" t="str">
        <f t="shared" si="23"/>
        <v>Code</v>
      </c>
    </row>
    <row r="39">
      <c r="A39" s="171">
        <f t="array" ref="A39">XLOOKUP(C39,ICSE!A:A,ICSE!C:C,,2,1)</f>
        <v>2022</v>
      </c>
      <c r="B39" s="171" t="s">
        <v>5675</v>
      </c>
      <c r="C39" s="160">
        <v>35.0</v>
      </c>
      <c r="D39" s="161" t="s">
        <v>2346</v>
      </c>
      <c r="E39" s="197" t="str">
        <f t="array" ref="E39">XLOOKUP(C39,ICSE!A:A,ICSE!Z:Z,,0,1)</f>
        <v>Publicly available (1)</v>
      </c>
      <c r="F39" s="198" t="s">
        <v>20</v>
      </c>
      <c r="G39" s="163" t="str">
        <f t="array" ref="G39">IF(B39="ICSE",IF(COUNTIFS(B:B,B39,C:C,C39)=XLOOKUP(C39,ICSE!A:A,ICSE!AA:AA,"ERROR",0,1),"OK","ERROR"),IF(B39="FSE",IF(COUNTIFS(B:B,B39,C:C,C39)=XLOOKUP(C39,FSE!A:A,FSE!AA:AA,"ERROR",0,1),"OK","ERROR")))</f>
        <v>OK</v>
      </c>
      <c r="H39" s="199">
        <f t="shared" ref="H39:O39" si="195">countif($D39,"*"&amp;H$2&amp;"*")</f>
        <v>0</v>
      </c>
      <c r="I39" s="200">
        <f t="shared" si="195"/>
        <v>0</v>
      </c>
      <c r="J39" s="200">
        <f t="shared" si="195"/>
        <v>0</v>
      </c>
      <c r="K39" s="200">
        <f t="shared" si="195"/>
        <v>0</v>
      </c>
      <c r="L39" s="200">
        <f t="shared" si="195"/>
        <v>0</v>
      </c>
      <c r="M39" s="200">
        <f t="shared" si="195"/>
        <v>0</v>
      </c>
      <c r="N39" s="200">
        <f t="shared" si="195"/>
        <v>0</v>
      </c>
      <c r="O39" s="200">
        <f t="shared" si="195"/>
        <v>0</v>
      </c>
      <c r="P39" s="200">
        <f t="shared" si="9"/>
        <v>1</v>
      </c>
      <c r="Q39" s="200">
        <f t="shared" ref="Q39:AC39" si="196">countif($D39,"*"&amp;Q$2&amp;"*")</f>
        <v>0</v>
      </c>
      <c r="R39" s="200">
        <f t="shared" si="196"/>
        <v>0</v>
      </c>
      <c r="S39" s="200">
        <f t="shared" si="196"/>
        <v>0</v>
      </c>
      <c r="T39" s="200">
        <f t="shared" si="196"/>
        <v>0</v>
      </c>
      <c r="U39" s="200">
        <f t="shared" si="196"/>
        <v>0</v>
      </c>
      <c r="V39" s="200">
        <f t="shared" si="196"/>
        <v>0</v>
      </c>
      <c r="W39" s="200">
        <f t="shared" si="196"/>
        <v>0</v>
      </c>
      <c r="X39" s="200">
        <f t="shared" si="196"/>
        <v>0</v>
      </c>
      <c r="Y39" s="200">
        <f t="shared" si="196"/>
        <v>0</v>
      </c>
      <c r="Z39" s="200">
        <f t="shared" si="196"/>
        <v>0</v>
      </c>
      <c r="AA39" s="200">
        <f t="shared" si="196"/>
        <v>0</v>
      </c>
      <c r="AB39" s="200">
        <f t="shared" si="196"/>
        <v>0</v>
      </c>
      <c r="AC39" s="200">
        <f t="shared" si="196"/>
        <v>0</v>
      </c>
      <c r="AD39" s="200">
        <f t="shared" si="11"/>
        <v>0</v>
      </c>
      <c r="AE39" s="200">
        <f t="shared" ref="AE39:AG39" si="197">countif($D39,"*"&amp;AE$2&amp;"*")</f>
        <v>0</v>
      </c>
      <c r="AF39" s="200">
        <f t="shared" si="197"/>
        <v>0</v>
      </c>
      <c r="AG39" s="200">
        <f t="shared" si="197"/>
        <v>0</v>
      </c>
      <c r="AH39" s="171">
        <f t="shared" si="13"/>
        <v>0</v>
      </c>
      <c r="AI39" s="200">
        <f t="shared" si="14"/>
        <v>0</v>
      </c>
      <c r="AJ39" s="200">
        <f t="shared" si="137"/>
        <v>0</v>
      </c>
      <c r="AK39" s="201">
        <f t="shared" ref="AK39:AS39" si="198">countif($D39,"*"&amp;AK$2&amp;"*")</f>
        <v>0</v>
      </c>
      <c r="AL39" s="201">
        <f t="shared" si="198"/>
        <v>0</v>
      </c>
      <c r="AM39" s="201">
        <f t="shared" si="198"/>
        <v>0</v>
      </c>
      <c r="AN39" s="201">
        <f t="shared" si="198"/>
        <v>0</v>
      </c>
      <c r="AO39" s="201">
        <f t="shared" si="198"/>
        <v>0</v>
      </c>
      <c r="AP39" s="201">
        <f t="shared" si="198"/>
        <v>0</v>
      </c>
      <c r="AQ39" s="201">
        <f t="shared" si="198"/>
        <v>0</v>
      </c>
      <c r="AR39" s="200">
        <f t="shared" si="198"/>
        <v>0</v>
      </c>
      <c r="AS39" s="200">
        <f t="shared" si="198"/>
        <v>0</v>
      </c>
      <c r="AT39" s="173">
        <v>0.0</v>
      </c>
      <c r="AU39" s="200">
        <f t="shared" ref="AU39:AX39" si="199">countif($D39,"*"&amp;AU$2&amp;"*")</f>
        <v>0</v>
      </c>
      <c r="AV39" s="200">
        <f t="shared" si="199"/>
        <v>1</v>
      </c>
      <c r="AW39" s="200">
        <f t="shared" si="199"/>
        <v>0</v>
      </c>
      <c r="AX39" s="200">
        <f t="shared" si="199"/>
        <v>0</v>
      </c>
      <c r="AY39" s="202">
        <v>0.0</v>
      </c>
      <c r="AZ39" s="200"/>
      <c r="BA39" s="171" t="str">
        <f t="shared" si="18"/>
        <v/>
      </c>
      <c r="BB39" s="171" t="str">
        <f t="shared" si="19"/>
        <v>Code</v>
      </c>
      <c r="BC39" s="171" t="str">
        <f t="shared" si="20"/>
        <v/>
      </c>
      <c r="BD39" s="171" t="str">
        <f t="shared" si="21"/>
        <v/>
      </c>
      <c r="BE39" s="171" t="str">
        <f t="shared" si="22"/>
        <v/>
      </c>
      <c r="BF39" s="171" t="str">
        <f t="shared" si="23"/>
        <v>Code</v>
      </c>
    </row>
    <row r="40">
      <c r="A40" s="171">
        <f t="array" ref="A40">XLOOKUP(C40,ICSE!A:A,ICSE!C:C,,2,1)</f>
        <v>2022</v>
      </c>
      <c r="B40" s="171" t="s">
        <v>5675</v>
      </c>
      <c r="C40" s="160">
        <v>36.0</v>
      </c>
      <c r="D40" s="161" t="s">
        <v>2349</v>
      </c>
      <c r="E40" s="197" t="str">
        <f t="array" ref="E40">XLOOKUP(C40,ICSE!A:A,ICSE!Z:Z,,0,1)</f>
        <v>Publicly available (1)</v>
      </c>
      <c r="F40" s="198" t="s">
        <v>20</v>
      </c>
      <c r="G40" s="163" t="str">
        <f t="array" ref="G40">IF(B40="ICSE",IF(COUNTIFS(B:B,B40,C:C,C40)=XLOOKUP(C40,ICSE!A:A,ICSE!AA:AA,"ERROR",0,1),"OK","ERROR"),IF(B40="FSE",IF(COUNTIFS(B:B,B40,C:C,C40)=XLOOKUP(C40,FSE!A:A,FSE!AA:AA,"ERROR",0,1),"OK","ERROR")))</f>
        <v>OK</v>
      </c>
      <c r="H40" s="199">
        <f t="shared" ref="H40:O40" si="200">countif($D40,"*"&amp;H$2&amp;"*")</f>
        <v>0</v>
      </c>
      <c r="I40" s="200">
        <f t="shared" si="200"/>
        <v>0</v>
      </c>
      <c r="J40" s="200">
        <f t="shared" si="200"/>
        <v>0</v>
      </c>
      <c r="K40" s="200">
        <f t="shared" si="200"/>
        <v>0</v>
      </c>
      <c r="L40" s="200">
        <f t="shared" si="200"/>
        <v>0</v>
      </c>
      <c r="M40" s="200">
        <f t="shared" si="200"/>
        <v>0</v>
      </c>
      <c r="N40" s="200">
        <f t="shared" si="200"/>
        <v>0</v>
      </c>
      <c r="O40" s="200">
        <f t="shared" si="200"/>
        <v>0</v>
      </c>
      <c r="P40" s="200">
        <f t="shared" si="9"/>
        <v>1</v>
      </c>
      <c r="Q40" s="200">
        <f t="shared" ref="Q40:AC40" si="201">countif($D40,"*"&amp;Q$2&amp;"*")</f>
        <v>0</v>
      </c>
      <c r="R40" s="200">
        <f t="shared" si="201"/>
        <v>0</v>
      </c>
      <c r="S40" s="200">
        <f t="shared" si="201"/>
        <v>0</v>
      </c>
      <c r="T40" s="200">
        <f t="shared" si="201"/>
        <v>0</v>
      </c>
      <c r="U40" s="200">
        <f t="shared" si="201"/>
        <v>0</v>
      </c>
      <c r="V40" s="200">
        <f t="shared" si="201"/>
        <v>0</v>
      </c>
      <c r="W40" s="200">
        <f t="shared" si="201"/>
        <v>0</v>
      </c>
      <c r="X40" s="200">
        <f t="shared" si="201"/>
        <v>0</v>
      </c>
      <c r="Y40" s="200">
        <f t="shared" si="201"/>
        <v>0</v>
      </c>
      <c r="Z40" s="200">
        <f t="shared" si="201"/>
        <v>0</v>
      </c>
      <c r="AA40" s="200">
        <f t="shared" si="201"/>
        <v>0</v>
      </c>
      <c r="AB40" s="200">
        <f t="shared" si="201"/>
        <v>0</v>
      </c>
      <c r="AC40" s="200">
        <f t="shared" si="201"/>
        <v>0</v>
      </c>
      <c r="AD40" s="200">
        <f t="shared" si="11"/>
        <v>0</v>
      </c>
      <c r="AE40" s="200">
        <f t="shared" ref="AE40:AG40" si="202">countif($D40,"*"&amp;AE$2&amp;"*")</f>
        <v>0</v>
      </c>
      <c r="AF40" s="200">
        <f t="shared" si="202"/>
        <v>0</v>
      </c>
      <c r="AG40" s="200">
        <f t="shared" si="202"/>
        <v>0</v>
      </c>
      <c r="AH40" s="171">
        <f t="shared" si="13"/>
        <v>0</v>
      </c>
      <c r="AI40" s="200">
        <f t="shared" si="14"/>
        <v>0</v>
      </c>
      <c r="AJ40" s="200">
        <f t="shared" si="137"/>
        <v>0</v>
      </c>
      <c r="AK40" s="201">
        <f t="shared" ref="AK40:AS40" si="203">countif($D40,"*"&amp;AK$2&amp;"*")</f>
        <v>0</v>
      </c>
      <c r="AL40" s="201">
        <f t="shared" si="203"/>
        <v>0</v>
      </c>
      <c r="AM40" s="201">
        <f t="shared" si="203"/>
        <v>0</v>
      </c>
      <c r="AN40" s="201">
        <f t="shared" si="203"/>
        <v>0</v>
      </c>
      <c r="AO40" s="201">
        <f t="shared" si="203"/>
        <v>0</v>
      </c>
      <c r="AP40" s="201">
        <f t="shared" si="203"/>
        <v>0</v>
      </c>
      <c r="AQ40" s="201">
        <f t="shared" si="203"/>
        <v>0</v>
      </c>
      <c r="AR40" s="200">
        <f t="shared" si="203"/>
        <v>0</v>
      </c>
      <c r="AS40" s="200">
        <f t="shared" si="203"/>
        <v>0</v>
      </c>
      <c r="AT40" s="173">
        <v>0.0</v>
      </c>
      <c r="AU40" s="200">
        <f t="shared" ref="AU40:AX40" si="204">countif($D40,"*"&amp;AU$2&amp;"*")</f>
        <v>0</v>
      </c>
      <c r="AV40" s="200">
        <f t="shared" si="204"/>
        <v>1</v>
      </c>
      <c r="AW40" s="200">
        <f t="shared" si="204"/>
        <v>0</v>
      </c>
      <c r="AX40" s="200">
        <f t="shared" si="204"/>
        <v>0</v>
      </c>
      <c r="AY40" s="202">
        <v>0.0</v>
      </c>
      <c r="AZ40" s="200"/>
      <c r="BA40" s="171" t="str">
        <f t="shared" si="18"/>
        <v/>
      </c>
      <c r="BB40" s="171" t="str">
        <f t="shared" si="19"/>
        <v>Code</v>
      </c>
      <c r="BC40" s="171" t="str">
        <f t="shared" si="20"/>
        <v/>
      </c>
      <c r="BD40" s="171" t="str">
        <f t="shared" si="21"/>
        <v/>
      </c>
      <c r="BE40" s="171" t="str">
        <f t="shared" si="22"/>
        <v/>
      </c>
      <c r="BF40" s="171" t="str">
        <f t="shared" si="23"/>
        <v>Code</v>
      </c>
    </row>
    <row r="41">
      <c r="A41" s="171">
        <f t="array" ref="A41">XLOOKUP(C41,ICSE!A:A,ICSE!C:C,,2,1)</f>
        <v>2022</v>
      </c>
      <c r="B41" s="171" t="s">
        <v>5675</v>
      </c>
      <c r="C41" s="160">
        <v>37.0</v>
      </c>
      <c r="D41" s="161" t="s">
        <v>5746</v>
      </c>
      <c r="E41" s="197" t="str">
        <f t="array" ref="E41">XLOOKUP(C41,ICSE!A:A,ICSE!Z:Z,,0,1)</f>
        <v>Publicly available (1)</v>
      </c>
      <c r="F41" s="198" t="s">
        <v>20</v>
      </c>
      <c r="G41" s="163" t="str">
        <f t="array" ref="G41">IF(B41="ICSE",IF(COUNTIFS(B:B,B41,C:C,C41)=XLOOKUP(C41,ICSE!A:A,ICSE!AA:AA,"ERROR",0,1),"OK","ERROR"),IF(B41="FSE",IF(COUNTIFS(B:B,B41,C:C,C41)=XLOOKUP(C41,FSE!A:A,FSE!AA:AA,"ERROR",0,1),"OK","ERROR")))</f>
        <v>OK</v>
      </c>
      <c r="H41" s="199">
        <f t="shared" ref="H41:O41" si="205">countif($D41,"*"&amp;H$2&amp;"*")</f>
        <v>0</v>
      </c>
      <c r="I41" s="200">
        <f t="shared" si="205"/>
        <v>0</v>
      </c>
      <c r="J41" s="200">
        <f t="shared" si="205"/>
        <v>1</v>
      </c>
      <c r="K41" s="200">
        <f t="shared" si="205"/>
        <v>0</v>
      </c>
      <c r="L41" s="200">
        <f t="shared" si="205"/>
        <v>0</v>
      </c>
      <c r="M41" s="200">
        <f t="shared" si="205"/>
        <v>0</v>
      </c>
      <c r="N41" s="200">
        <f t="shared" si="205"/>
        <v>0</v>
      </c>
      <c r="O41" s="200">
        <f t="shared" si="205"/>
        <v>0</v>
      </c>
      <c r="P41" s="200">
        <f t="shared" si="9"/>
        <v>0</v>
      </c>
      <c r="Q41" s="200">
        <f t="shared" ref="Q41:AC41" si="206">countif($D41,"*"&amp;Q$2&amp;"*")</f>
        <v>0</v>
      </c>
      <c r="R41" s="200">
        <f t="shared" si="206"/>
        <v>0</v>
      </c>
      <c r="S41" s="200">
        <f t="shared" si="206"/>
        <v>0</v>
      </c>
      <c r="T41" s="200">
        <f t="shared" si="206"/>
        <v>0</v>
      </c>
      <c r="U41" s="200">
        <f t="shared" si="206"/>
        <v>0</v>
      </c>
      <c r="V41" s="200">
        <f t="shared" si="206"/>
        <v>0</v>
      </c>
      <c r="W41" s="200">
        <f t="shared" si="206"/>
        <v>0</v>
      </c>
      <c r="X41" s="200">
        <f t="shared" si="206"/>
        <v>0</v>
      </c>
      <c r="Y41" s="200">
        <f t="shared" si="206"/>
        <v>0</v>
      </c>
      <c r="Z41" s="200">
        <f t="shared" si="206"/>
        <v>0</v>
      </c>
      <c r="AA41" s="200">
        <f t="shared" si="206"/>
        <v>0</v>
      </c>
      <c r="AB41" s="200">
        <f t="shared" si="206"/>
        <v>0</v>
      </c>
      <c r="AC41" s="200">
        <f t="shared" si="206"/>
        <v>0</v>
      </c>
      <c r="AD41" s="200">
        <f t="shared" si="11"/>
        <v>0</v>
      </c>
      <c r="AE41" s="200">
        <f t="shared" ref="AE41:AG41" si="207">countif($D41,"*"&amp;AE$2&amp;"*")</f>
        <v>0</v>
      </c>
      <c r="AF41" s="200">
        <f t="shared" si="207"/>
        <v>0</v>
      </c>
      <c r="AG41" s="200">
        <f t="shared" si="207"/>
        <v>0</v>
      </c>
      <c r="AH41" s="171">
        <f t="shared" si="13"/>
        <v>0</v>
      </c>
      <c r="AI41" s="200">
        <f t="shared" si="14"/>
        <v>1</v>
      </c>
      <c r="AJ41" s="200">
        <f t="shared" si="137"/>
        <v>0</v>
      </c>
      <c r="AK41" s="201">
        <f t="shared" ref="AK41:AS41" si="208">countif($D41,"*"&amp;AK$2&amp;"*")</f>
        <v>0</v>
      </c>
      <c r="AL41" s="201">
        <f t="shared" si="208"/>
        <v>0</v>
      </c>
      <c r="AM41" s="201">
        <f t="shared" si="208"/>
        <v>0</v>
      </c>
      <c r="AN41" s="201">
        <f t="shared" si="208"/>
        <v>0</v>
      </c>
      <c r="AO41" s="201">
        <f t="shared" si="208"/>
        <v>0</v>
      </c>
      <c r="AP41" s="201">
        <f t="shared" si="208"/>
        <v>0</v>
      </c>
      <c r="AQ41" s="201">
        <f t="shared" si="208"/>
        <v>0</v>
      </c>
      <c r="AR41" s="200">
        <f t="shared" si="208"/>
        <v>0</v>
      </c>
      <c r="AS41" s="200">
        <f t="shared" si="208"/>
        <v>1</v>
      </c>
      <c r="AT41" s="173">
        <v>0.0</v>
      </c>
      <c r="AU41" s="200">
        <f t="shared" ref="AU41:AX41" si="209">countif($D41,"*"&amp;AU$2&amp;"*")</f>
        <v>0</v>
      </c>
      <c r="AV41" s="200">
        <f t="shared" si="209"/>
        <v>0</v>
      </c>
      <c r="AW41" s="200">
        <f t="shared" si="209"/>
        <v>0</v>
      </c>
      <c r="AX41" s="200">
        <f t="shared" si="209"/>
        <v>0</v>
      </c>
      <c r="AY41" s="204">
        <v>1.0</v>
      </c>
      <c r="AZ41" s="200"/>
      <c r="BA41" s="171" t="str">
        <f t="shared" si="18"/>
        <v>Archival</v>
      </c>
      <c r="BB41" s="171" t="str">
        <f t="shared" si="19"/>
        <v/>
      </c>
      <c r="BC41" s="171" t="str">
        <f t="shared" si="20"/>
        <v/>
      </c>
      <c r="BD41" s="171" t="str">
        <f t="shared" si="21"/>
        <v/>
      </c>
      <c r="BE41" s="171" t="str">
        <f t="shared" si="22"/>
        <v/>
      </c>
      <c r="BF41" s="171" t="str">
        <f t="shared" si="23"/>
        <v>Archival</v>
      </c>
    </row>
    <row r="42">
      <c r="A42" s="171">
        <f t="array" ref="A42">XLOOKUP(C42,ICSE!A:A,ICSE!C:C,,2,1)</f>
        <v>2022</v>
      </c>
      <c r="B42" s="171" t="s">
        <v>5675</v>
      </c>
      <c r="C42" s="160">
        <v>38.0</v>
      </c>
      <c r="D42" s="161" t="s">
        <v>5747</v>
      </c>
      <c r="E42" s="197" t="str">
        <f t="array" ref="E42">XLOOKUP(C42,ICSE!A:A,ICSE!Z:Z,,0,1)</f>
        <v>Publicly available (2)</v>
      </c>
      <c r="F42" s="198" t="s">
        <v>20</v>
      </c>
      <c r="G42" s="163" t="str">
        <f t="array" ref="G42">IF(B42="ICSE",IF(COUNTIFS(B:B,B42,C:C,C42)=XLOOKUP(C42,ICSE!A:A,ICSE!AA:AA,"ERROR",0,1),"OK","ERROR"),IF(B42="FSE",IF(COUNTIFS(B:B,B42,C:C,C42)=XLOOKUP(C42,FSE!A:A,FSE!AA:AA,"ERROR",0,1),"OK","ERROR")))</f>
        <v>OK</v>
      </c>
      <c r="H42" s="199">
        <f t="shared" ref="H42:O42" si="210">countif($D42,"*"&amp;H$2&amp;"*")</f>
        <v>0</v>
      </c>
      <c r="I42" s="200">
        <f t="shared" si="210"/>
        <v>0</v>
      </c>
      <c r="J42" s="200">
        <f t="shared" si="210"/>
        <v>0</v>
      </c>
      <c r="K42" s="200">
        <f t="shared" si="210"/>
        <v>0</v>
      </c>
      <c r="L42" s="200">
        <f t="shared" si="210"/>
        <v>0</v>
      </c>
      <c r="M42" s="200">
        <f t="shared" si="210"/>
        <v>0</v>
      </c>
      <c r="N42" s="200">
        <f t="shared" si="210"/>
        <v>0</v>
      </c>
      <c r="O42" s="200">
        <f t="shared" si="210"/>
        <v>0</v>
      </c>
      <c r="P42" s="200">
        <f t="shared" si="9"/>
        <v>1</v>
      </c>
      <c r="Q42" s="200">
        <f t="shared" ref="Q42:AC42" si="211">countif($D42,"*"&amp;Q$2&amp;"*")</f>
        <v>0</v>
      </c>
      <c r="R42" s="200">
        <f t="shared" si="211"/>
        <v>0</v>
      </c>
      <c r="S42" s="200">
        <f t="shared" si="211"/>
        <v>0</v>
      </c>
      <c r="T42" s="200">
        <f t="shared" si="211"/>
        <v>0</v>
      </c>
      <c r="U42" s="200">
        <f t="shared" si="211"/>
        <v>0</v>
      </c>
      <c r="V42" s="200">
        <f t="shared" si="211"/>
        <v>0</v>
      </c>
      <c r="W42" s="200">
        <f t="shared" si="211"/>
        <v>0</v>
      </c>
      <c r="X42" s="200">
        <f t="shared" si="211"/>
        <v>0</v>
      </c>
      <c r="Y42" s="200">
        <f t="shared" si="211"/>
        <v>0</v>
      </c>
      <c r="Z42" s="200">
        <f t="shared" si="211"/>
        <v>0</v>
      </c>
      <c r="AA42" s="200">
        <f t="shared" si="211"/>
        <v>0</v>
      </c>
      <c r="AB42" s="200">
        <f t="shared" si="211"/>
        <v>0</v>
      </c>
      <c r="AC42" s="200">
        <f t="shared" si="211"/>
        <v>0</v>
      </c>
      <c r="AD42" s="200">
        <f t="shared" si="11"/>
        <v>0</v>
      </c>
      <c r="AE42" s="200">
        <f t="shared" ref="AE42:AG42" si="212">countif($D42,"*"&amp;AE$2&amp;"*")</f>
        <v>0</v>
      </c>
      <c r="AF42" s="200">
        <f t="shared" si="212"/>
        <v>0</v>
      </c>
      <c r="AG42" s="200">
        <f t="shared" si="212"/>
        <v>0</v>
      </c>
      <c r="AH42" s="171">
        <f t="shared" si="13"/>
        <v>0</v>
      </c>
      <c r="AI42" s="200">
        <f t="shared" si="14"/>
        <v>0</v>
      </c>
      <c r="AJ42" s="200">
        <f t="shared" si="137"/>
        <v>0</v>
      </c>
      <c r="AK42" s="201">
        <f t="shared" ref="AK42:AS42" si="213">countif($D42,"*"&amp;AK$2&amp;"*")</f>
        <v>0</v>
      </c>
      <c r="AL42" s="201">
        <f t="shared" si="213"/>
        <v>0</v>
      </c>
      <c r="AM42" s="201">
        <f t="shared" si="213"/>
        <v>0</v>
      </c>
      <c r="AN42" s="201">
        <f t="shared" si="213"/>
        <v>0</v>
      </c>
      <c r="AO42" s="201">
        <f t="shared" si="213"/>
        <v>0</v>
      </c>
      <c r="AP42" s="201">
        <f t="shared" si="213"/>
        <v>0</v>
      </c>
      <c r="AQ42" s="201">
        <f t="shared" si="213"/>
        <v>0</v>
      </c>
      <c r="AR42" s="200">
        <f t="shared" si="213"/>
        <v>0</v>
      </c>
      <c r="AS42" s="200">
        <f t="shared" si="213"/>
        <v>0</v>
      </c>
      <c r="AT42" s="173">
        <v>0.0</v>
      </c>
      <c r="AU42" s="200">
        <f t="shared" ref="AU42:AX42" si="214">countif($D42,"*"&amp;AU$2&amp;"*")</f>
        <v>0</v>
      </c>
      <c r="AV42" s="200">
        <f t="shared" si="214"/>
        <v>1</v>
      </c>
      <c r="AW42" s="200">
        <f t="shared" si="214"/>
        <v>0</v>
      </c>
      <c r="AX42" s="200">
        <f t="shared" si="214"/>
        <v>0</v>
      </c>
      <c r="AY42" s="202">
        <v>0.0</v>
      </c>
      <c r="AZ42" s="200"/>
      <c r="BA42" s="171" t="str">
        <f t="shared" si="18"/>
        <v/>
      </c>
      <c r="BB42" s="171" t="str">
        <f t="shared" si="19"/>
        <v>Code</v>
      </c>
      <c r="BC42" s="171" t="str">
        <f t="shared" si="20"/>
        <v/>
      </c>
      <c r="BD42" s="171" t="str">
        <f t="shared" si="21"/>
        <v/>
      </c>
      <c r="BE42" s="171" t="str">
        <f t="shared" si="22"/>
        <v/>
      </c>
      <c r="BF42" s="171" t="str">
        <f t="shared" si="23"/>
        <v>Code</v>
      </c>
    </row>
    <row r="43">
      <c r="A43" s="171">
        <f t="array" ref="A43">XLOOKUP(C43,ICSE!A:A,ICSE!C:C,,2,1)</f>
        <v>2022</v>
      </c>
      <c r="B43" s="171" t="s">
        <v>5675</v>
      </c>
      <c r="C43" s="203">
        <v>38.0</v>
      </c>
      <c r="D43" s="161" t="s">
        <v>5748</v>
      </c>
      <c r="E43" s="197" t="str">
        <f t="array" ref="E43">XLOOKUP(C43,ICSE!A:A,ICSE!Z:Z,,0,1)</f>
        <v>Publicly available (2)</v>
      </c>
      <c r="F43" s="198" t="s">
        <v>20</v>
      </c>
      <c r="G43" s="163" t="str">
        <f t="array" ref="G43">IF(B43="ICSE",IF(COUNTIFS(B:B,B43,C:C,C43)=XLOOKUP(C43,ICSE!A:A,ICSE!AA:AA,"ERROR",0,1),"OK","ERROR"),IF(B43="FSE",IF(COUNTIFS(B:B,B43,C:C,C43)=XLOOKUP(C43,FSE!A:A,FSE!AA:AA,"ERROR",0,1),"OK","ERROR")))</f>
        <v>OK</v>
      </c>
      <c r="H43" s="199">
        <f t="shared" ref="H43:O43" si="215">countif($D43,"*"&amp;H$2&amp;"*")</f>
        <v>1</v>
      </c>
      <c r="I43" s="200">
        <f t="shared" si="215"/>
        <v>0</v>
      </c>
      <c r="J43" s="200">
        <f t="shared" si="215"/>
        <v>0</v>
      </c>
      <c r="K43" s="200">
        <f t="shared" si="215"/>
        <v>0</v>
      </c>
      <c r="L43" s="200">
        <f t="shared" si="215"/>
        <v>0</v>
      </c>
      <c r="M43" s="200">
        <f t="shared" si="215"/>
        <v>0</v>
      </c>
      <c r="N43" s="200">
        <f t="shared" si="215"/>
        <v>0</v>
      </c>
      <c r="O43" s="200">
        <f t="shared" si="215"/>
        <v>0</v>
      </c>
      <c r="P43" s="200">
        <f t="shared" si="9"/>
        <v>0</v>
      </c>
      <c r="Q43" s="200">
        <f t="shared" ref="Q43:AC43" si="216">countif($D43,"*"&amp;Q$2&amp;"*")</f>
        <v>0</v>
      </c>
      <c r="R43" s="200">
        <f t="shared" si="216"/>
        <v>0</v>
      </c>
      <c r="S43" s="200">
        <f t="shared" si="216"/>
        <v>0</v>
      </c>
      <c r="T43" s="200">
        <f t="shared" si="216"/>
        <v>0</v>
      </c>
      <c r="U43" s="200">
        <f t="shared" si="216"/>
        <v>0</v>
      </c>
      <c r="V43" s="200">
        <f t="shared" si="216"/>
        <v>0</v>
      </c>
      <c r="W43" s="200">
        <f t="shared" si="216"/>
        <v>0</v>
      </c>
      <c r="X43" s="200">
        <f t="shared" si="216"/>
        <v>0</v>
      </c>
      <c r="Y43" s="200">
        <f t="shared" si="216"/>
        <v>0</v>
      </c>
      <c r="Z43" s="200">
        <f t="shared" si="216"/>
        <v>0</v>
      </c>
      <c r="AA43" s="200">
        <f t="shared" si="216"/>
        <v>0</v>
      </c>
      <c r="AB43" s="200">
        <f t="shared" si="216"/>
        <v>0</v>
      </c>
      <c r="AC43" s="200">
        <f t="shared" si="216"/>
        <v>0</v>
      </c>
      <c r="AD43" s="200">
        <f t="shared" si="11"/>
        <v>0</v>
      </c>
      <c r="AE43" s="200">
        <f t="shared" ref="AE43:AG43" si="217">countif($D43,"*"&amp;AE$2&amp;"*")</f>
        <v>0</v>
      </c>
      <c r="AF43" s="200">
        <f t="shared" si="217"/>
        <v>0</v>
      </c>
      <c r="AG43" s="200">
        <f t="shared" si="217"/>
        <v>0</v>
      </c>
      <c r="AH43" s="171">
        <f t="shared" si="13"/>
        <v>0</v>
      </c>
      <c r="AI43" s="200">
        <f t="shared" si="14"/>
        <v>1</v>
      </c>
      <c r="AJ43" s="200">
        <f t="shared" si="137"/>
        <v>0</v>
      </c>
      <c r="AK43" s="201">
        <f t="shared" ref="AK43:AS43" si="218">countif($D43,"*"&amp;AK$2&amp;"*")</f>
        <v>0</v>
      </c>
      <c r="AL43" s="201">
        <f t="shared" si="218"/>
        <v>0</v>
      </c>
      <c r="AM43" s="201">
        <f t="shared" si="218"/>
        <v>0</v>
      </c>
      <c r="AN43" s="201">
        <f t="shared" si="218"/>
        <v>0</v>
      </c>
      <c r="AO43" s="201">
        <f t="shared" si="218"/>
        <v>0</v>
      </c>
      <c r="AP43" s="201">
        <f t="shared" si="218"/>
        <v>0</v>
      </c>
      <c r="AQ43" s="201">
        <f t="shared" si="218"/>
        <v>0</v>
      </c>
      <c r="AR43" s="200">
        <f t="shared" si="218"/>
        <v>0</v>
      </c>
      <c r="AS43" s="200">
        <f t="shared" si="218"/>
        <v>0</v>
      </c>
      <c r="AT43" s="173">
        <v>0.0</v>
      </c>
      <c r="AU43" s="200">
        <f t="shared" ref="AU43:AX43" si="219">countif($D43,"*"&amp;AU$2&amp;"*")</f>
        <v>0</v>
      </c>
      <c r="AV43" s="200">
        <f t="shared" si="219"/>
        <v>0</v>
      </c>
      <c r="AW43" s="200">
        <f t="shared" si="219"/>
        <v>0</v>
      </c>
      <c r="AX43" s="200">
        <f t="shared" si="219"/>
        <v>1</v>
      </c>
      <c r="AY43" s="202">
        <v>0.0</v>
      </c>
      <c r="AZ43" s="200"/>
      <c r="BA43" s="171" t="str">
        <f t="shared" si="18"/>
        <v>Archival</v>
      </c>
      <c r="BB43" s="171" t="str">
        <f t="shared" si="19"/>
        <v/>
      </c>
      <c r="BC43" s="171" t="str">
        <f t="shared" si="20"/>
        <v/>
      </c>
      <c r="BD43" s="171" t="str">
        <f t="shared" si="21"/>
        <v/>
      </c>
      <c r="BE43" s="171" t="str">
        <f t="shared" si="22"/>
        <v/>
      </c>
      <c r="BF43" s="171" t="str">
        <f t="shared" si="23"/>
        <v>Archival</v>
      </c>
    </row>
    <row r="44">
      <c r="A44" s="171">
        <f t="array" ref="A44">XLOOKUP(C44,ICSE!A:A,ICSE!C:C,,2,1)</f>
        <v>2022</v>
      </c>
      <c r="B44" s="171" t="s">
        <v>5675</v>
      </c>
      <c r="C44" s="160">
        <v>39.0</v>
      </c>
      <c r="D44" s="161" t="s">
        <v>5749</v>
      </c>
      <c r="E44" s="197" t="str">
        <f t="array" ref="E44">XLOOKUP(C44,ICSE!A:A,ICSE!Z:Z,,0,1)</f>
        <v>Publicly available (2)</v>
      </c>
      <c r="F44" s="198" t="s">
        <v>20</v>
      </c>
      <c r="G44" s="163" t="str">
        <f t="array" ref="G44">IF(B44="ICSE",IF(COUNTIFS(B:B,B44,C:C,C44)=XLOOKUP(C44,ICSE!A:A,ICSE!AA:AA,"ERROR",0,1),"OK","ERROR"),IF(B44="FSE",IF(COUNTIFS(B:B,B44,C:C,C44)=XLOOKUP(C44,FSE!A:A,FSE!AA:AA,"ERROR",0,1),"OK","ERROR")))</f>
        <v>OK</v>
      </c>
      <c r="H44" s="199">
        <f t="shared" ref="H44:O44" si="220">countif($D44,"*"&amp;H$2&amp;"*")</f>
        <v>0</v>
      </c>
      <c r="I44" s="200">
        <f t="shared" si="220"/>
        <v>0</v>
      </c>
      <c r="J44" s="200">
        <f t="shared" si="220"/>
        <v>0</v>
      </c>
      <c r="K44" s="200">
        <f t="shared" si="220"/>
        <v>0</v>
      </c>
      <c r="L44" s="200">
        <f t="shared" si="220"/>
        <v>0</v>
      </c>
      <c r="M44" s="200">
        <f t="shared" si="220"/>
        <v>0</v>
      </c>
      <c r="N44" s="200">
        <f t="shared" si="220"/>
        <v>0</v>
      </c>
      <c r="O44" s="200">
        <f t="shared" si="220"/>
        <v>0</v>
      </c>
      <c r="P44" s="200">
        <f t="shared" si="9"/>
        <v>1</v>
      </c>
      <c r="Q44" s="200">
        <f t="shared" ref="Q44:AC44" si="221">countif($D44,"*"&amp;Q$2&amp;"*")</f>
        <v>0</v>
      </c>
      <c r="R44" s="200">
        <f t="shared" si="221"/>
        <v>0</v>
      </c>
      <c r="S44" s="200">
        <f t="shared" si="221"/>
        <v>0</v>
      </c>
      <c r="T44" s="200">
        <f t="shared" si="221"/>
        <v>0</v>
      </c>
      <c r="U44" s="200">
        <f t="shared" si="221"/>
        <v>0</v>
      </c>
      <c r="V44" s="200">
        <f t="shared" si="221"/>
        <v>0</v>
      </c>
      <c r="W44" s="200">
        <f t="shared" si="221"/>
        <v>0</v>
      </c>
      <c r="X44" s="200">
        <f t="shared" si="221"/>
        <v>0</v>
      </c>
      <c r="Y44" s="200">
        <f t="shared" si="221"/>
        <v>0</v>
      </c>
      <c r="Z44" s="200">
        <f t="shared" si="221"/>
        <v>0</v>
      </c>
      <c r="AA44" s="200">
        <f t="shared" si="221"/>
        <v>0</v>
      </c>
      <c r="AB44" s="200">
        <f t="shared" si="221"/>
        <v>0</v>
      </c>
      <c r="AC44" s="200">
        <f t="shared" si="221"/>
        <v>0</v>
      </c>
      <c r="AD44" s="200">
        <f t="shared" si="11"/>
        <v>0</v>
      </c>
      <c r="AE44" s="200">
        <f t="shared" ref="AE44:AG44" si="222">countif($D44,"*"&amp;AE$2&amp;"*")</f>
        <v>0</v>
      </c>
      <c r="AF44" s="200">
        <f t="shared" si="222"/>
        <v>0</v>
      </c>
      <c r="AG44" s="200">
        <f t="shared" si="222"/>
        <v>0</v>
      </c>
      <c r="AH44" s="171">
        <f t="shared" si="13"/>
        <v>0</v>
      </c>
      <c r="AI44" s="200">
        <f t="shared" si="14"/>
        <v>0</v>
      </c>
      <c r="AJ44" s="200">
        <f t="shared" si="137"/>
        <v>0</v>
      </c>
      <c r="AK44" s="201">
        <f t="shared" ref="AK44:AS44" si="223">countif($D44,"*"&amp;AK$2&amp;"*")</f>
        <v>0</v>
      </c>
      <c r="AL44" s="201">
        <f t="shared" si="223"/>
        <v>0</v>
      </c>
      <c r="AM44" s="201">
        <f t="shared" si="223"/>
        <v>0</v>
      </c>
      <c r="AN44" s="201">
        <f t="shared" si="223"/>
        <v>0</v>
      </c>
      <c r="AO44" s="201">
        <f t="shared" si="223"/>
        <v>0</v>
      </c>
      <c r="AP44" s="201">
        <f t="shared" si="223"/>
        <v>0</v>
      </c>
      <c r="AQ44" s="201">
        <f t="shared" si="223"/>
        <v>0</v>
      </c>
      <c r="AR44" s="200">
        <f t="shared" si="223"/>
        <v>0</v>
      </c>
      <c r="AS44" s="200">
        <f t="shared" si="223"/>
        <v>0</v>
      </c>
      <c r="AT44" s="173">
        <v>0.0</v>
      </c>
      <c r="AU44" s="200">
        <f t="shared" ref="AU44:AX44" si="224">countif($D44,"*"&amp;AU$2&amp;"*")</f>
        <v>0</v>
      </c>
      <c r="AV44" s="200">
        <f t="shared" si="224"/>
        <v>1</v>
      </c>
      <c r="AW44" s="200">
        <f t="shared" si="224"/>
        <v>0</v>
      </c>
      <c r="AX44" s="200">
        <f t="shared" si="224"/>
        <v>0</v>
      </c>
      <c r="AY44" s="202">
        <v>0.0</v>
      </c>
      <c r="AZ44" s="200"/>
      <c r="BA44" s="171" t="str">
        <f t="shared" si="18"/>
        <v/>
      </c>
      <c r="BB44" s="171" t="str">
        <f t="shared" si="19"/>
        <v>Code</v>
      </c>
      <c r="BC44" s="171" t="str">
        <f t="shared" si="20"/>
        <v/>
      </c>
      <c r="BD44" s="171" t="str">
        <f t="shared" si="21"/>
        <v/>
      </c>
      <c r="BE44" s="171" t="str">
        <f t="shared" si="22"/>
        <v/>
      </c>
      <c r="BF44" s="171" t="str">
        <f t="shared" si="23"/>
        <v>Code</v>
      </c>
    </row>
    <row r="45">
      <c r="A45" s="171">
        <f t="array" ref="A45">XLOOKUP(C45,ICSE!A:A,ICSE!C:C,,2,1)</f>
        <v>2022</v>
      </c>
      <c r="B45" s="171" t="s">
        <v>5675</v>
      </c>
      <c r="C45" s="203">
        <v>39.0</v>
      </c>
      <c r="D45" s="161" t="s">
        <v>5750</v>
      </c>
      <c r="E45" s="197" t="str">
        <f t="array" ref="E45">XLOOKUP(C45,ICSE!A:A,ICSE!Z:Z,,0,1)</f>
        <v>Publicly available (2)</v>
      </c>
      <c r="F45" s="198" t="s">
        <v>20</v>
      </c>
      <c r="G45" s="163" t="str">
        <f t="array" ref="G45">IF(B45="ICSE",IF(COUNTIFS(B:B,B45,C:C,C45)=XLOOKUP(C45,ICSE!A:A,ICSE!AA:AA,"ERROR",0,1),"OK","ERROR"),IF(B45="FSE",IF(COUNTIFS(B:B,B45,C:C,C45)=XLOOKUP(C45,FSE!A:A,FSE!AA:AA,"ERROR",0,1),"OK","ERROR")))</f>
        <v>OK</v>
      </c>
      <c r="H45" s="199">
        <f t="shared" ref="H45:O45" si="225">countif($D45,"*"&amp;H$2&amp;"*")</f>
        <v>0</v>
      </c>
      <c r="I45" s="200">
        <f t="shared" si="225"/>
        <v>1</v>
      </c>
      <c r="J45" s="200">
        <f t="shared" si="225"/>
        <v>0</v>
      </c>
      <c r="K45" s="200">
        <f t="shared" si="225"/>
        <v>0</v>
      </c>
      <c r="L45" s="200">
        <f t="shared" si="225"/>
        <v>0</v>
      </c>
      <c r="M45" s="200">
        <f t="shared" si="225"/>
        <v>0</v>
      </c>
      <c r="N45" s="200">
        <f t="shared" si="225"/>
        <v>0</v>
      </c>
      <c r="O45" s="200">
        <f t="shared" si="225"/>
        <v>0</v>
      </c>
      <c r="P45" s="200">
        <f t="shared" si="9"/>
        <v>0</v>
      </c>
      <c r="Q45" s="200">
        <f t="shared" ref="Q45:AC45" si="226">countif($D45,"*"&amp;Q$2&amp;"*")</f>
        <v>0</v>
      </c>
      <c r="R45" s="200">
        <f t="shared" si="226"/>
        <v>0</v>
      </c>
      <c r="S45" s="200">
        <f t="shared" si="226"/>
        <v>0</v>
      </c>
      <c r="T45" s="200">
        <f t="shared" si="226"/>
        <v>0</v>
      </c>
      <c r="U45" s="200">
        <f t="shared" si="226"/>
        <v>0</v>
      </c>
      <c r="V45" s="200">
        <f t="shared" si="226"/>
        <v>0</v>
      </c>
      <c r="W45" s="200">
        <f t="shared" si="226"/>
        <v>0</v>
      </c>
      <c r="X45" s="200">
        <f t="shared" si="226"/>
        <v>0</v>
      </c>
      <c r="Y45" s="200">
        <f t="shared" si="226"/>
        <v>0</v>
      </c>
      <c r="Z45" s="200">
        <f t="shared" si="226"/>
        <v>0</v>
      </c>
      <c r="AA45" s="200">
        <f t="shared" si="226"/>
        <v>0</v>
      </c>
      <c r="AB45" s="200">
        <f t="shared" si="226"/>
        <v>0</v>
      </c>
      <c r="AC45" s="200">
        <f t="shared" si="226"/>
        <v>0</v>
      </c>
      <c r="AD45" s="200">
        <f t="shared" si="11"/>
        <v>0</v>
      </c>
      <c r="AE45" s="200">
        <f t="shared" ref="AE45:AG45" si="227">countif($D45,"*"&amp;AE$2&amp;"*")</f>
        <v>0</v>
      </c>
      <c r="AF45" s="200">
        <f t="shared" si="227"/>
        <v>0</v>
      </c>
      <c r="AG45" s="200">
        <f t="shared" si="227"/>
        <v>0</v>
      </c>
      <c r="AH45" s="171">
        <f t="shared" si="13"/>
        <v>0</v>
      </c>
      <c r="AI45" s="200">
        <f t="shared" si="14"/>
        <v>1</v>
      </c>
      <c r="AJ45" s="200">
        <f t="shared" si="137"/>
        <v>0</v>
      </c>
      <c r="AK45" s="201">
        <f t="shared" ref="AK45:AS45" si="228">countif($D45,"*"&amp;AK$2&amp;"*")</f>
        <v>0</v>
      </c>
      <c r="AL45" s="201">
        <f t="shared" si="228"/>
        <v>0</v>
      </c>
      <c r="AM45" s="201">
        <f t="shared" si="228"/>
        <v>0</v>
      </c>
      <c r="AN45" s="201">
        <f t="shared" si="228"/>
        <v>0</v>
      </c>
      <c r="AO45" s="201">
        <f t="shared" si="228"/>
        <v>0</v>
      </c>
      <c r="AP45" s="201">
        <f t="shared" si="228"/>
        <v>0</v>
      </c>
      <c r="AQ45" s="201">
        <f t="shared" si="228"/>
        <v>0</v>
      </c>
      <c r="AR45" s="200">
        <f t="shared" si="228"/>
        <v>0</v>
      </c>
      <c r="AS45" s="200">
        <f t="shared" si="228"/>
        <v>0</v>
      </c>
      <c r="AT45" s="173">
        <v>0.0</v>
      </c>
      <c r="AU45" s="200">
        <f t="shared" ref="AU45:AX45" si="229">countif($D45,"*"&amp;AU$2&amp;"*")</f>
        <v>0</v>
      </c>
      <c r="AV45" s="200">
        <f t="shared" si="229"/>
        <v>0</v>
      </c>
      <c r="AW45" s="200">
        <f t="shared" si="229"/>
        <v>0</v>
      </c>
      <c r="AX45" s="200">
        <f t="shared" si="229"/>
        <v>1</v>
      </c>
      <c r="AY45" s="202">
        <v>0.0</v>
      </c>
      <c r="AZ45" s="200"/>
      <c r="BA45" s="171" t="str">
        <f t="shared" si="18"/>
        <v>Archival</v>
      </c>
      <c r="BB45" s="171" t="str">
        <f t="shared" si="19"/>
        <v/>
      </c>
      <c r="BC45" s="171" t="str">
        <f t="shared" si="20"/>
        <v/>
      </c>
      <c r="BD45" s="171" t="str">
        <f t="shared" si="21"/>
        <v/>
      </c>
      <c r="BE45" s="171" t="str">
        <f t="shared" si="22"/>
        <v/>
      </c>
      <c r="BF45" s="171" t="str">
        <f t="shared" si="23"/>
        <v>Archival</v>
      </c>
    </row>
    <row r="46">
      <c r="A46" s="171">
        <f t="array" ref="A46">XLOOKUP(C46,ICSE!A:A,ICSE!C:C,,2,1)</f>
        <v>2022</v>
      </c>
      <c r="B46" s="171" t="s">
        <v>5675</v>
      </c>
      <c r="C46" s="160">
        <v>40.0</v>
      </c>
      <c r="D46" s="161" t="s">
        <v>2363</v>
      </c>
      <c r="E46" s="197" t="str">
        <f t="array" ref="E46">XLOOKUP(C46,ICSE!A:A,ICSE!Z:Z,,0,1)</f>
        <v>Publicly available (1)</v>
      </c>
      <c r="F46" s="198" t="s">
        <v>20</v>
      </c>
      <c r="G46" s="163" t="str">
        <f t="array" ref="G46">IF(B46="ICSE",IF(COUNTIFS(B:B,B46,C:C,C46)=XLOOKUP(C46,ICSE!A:A,ICSE!AA:AA,"ERROR",0,1),"OK","ERROR"),IF(B46="FSE",IF(COUNTIFS(B:B,B46,C:C,C46)=XLOOKUP(C46,FSE!A:A,FSE!AA:AA,"ERROR",0,1),"OK","ERROR")))</f>
        <v>OK</v>
      </c>
      <c r="H46" s="199">
        <f t="shared" ref="H46:O46" si="230">countif($D46,"*"&amp;H$2&amp;"*")</f>
        <v>0</v>
      </c>
      <c r="I46" s="200">
        <f t="shared" si="230"/>
        <v>0</v>
      </c>
      <c r="J46" s="200">
        <f t="shared" si="230"/>
        <v>0</v>
      </c>
      <c r="K46" s="200">
        <f t="shared" si="230"/>
        <v>0</v>
      </c>
      <c r="L46" s="200">
        <f t="shared" si="230"/>
        <v>0</v>
      </c>
      <c r="M46" s="200">
        <f t="shared" si="230"/>
        <v>0</v>
      </c>
      <c r="N46" s="200">
        <f t="shared" si="230"/>
        <v>0</v>
      </c>
      <c r="O46" s="200">
        <f t="shared" si="230"/>
        <v>0</v>
      </c>
      <c r="P46" s="200">
        <f t="shared" si="9"/>
        <v>1</v>
      </c>
      <c r="Q46" s="200">
        <f t="shared" ref="Q46:AC46" si="231">countif($D46,"*"&amp;Q$2&amp;"*")</f>
        <v>0</v>
      </c>
      <c r="R46" s="200">
        <f t="shared" si="231"/>
        <v>0</v>
      </c>
      <c r="S46" s="200">
        <f t="shared" si="231"/>
        <v>0</v>
      </c>
      <c r="T46" s="200">
        <f t="shared" si="231"/>
        <v>0</v>
      </c>
      <c r="U46" s="200">
        <f t="shared" si="231"/>
        <v>0</v>
      </c>
      <c r="V46" s="200">
        <f t="shared" si="231"/>
        <v>0</v>
      </c>
      <c r="W46" s="200">
        <f t="shared" si="231"/>
        <v>0</v>
      </c>
      <c r="X46" s="200">
        <f t="shared" si="231"/>
        <v>0</v>
      </c>
      <c r="Y46" s="200">
        <f t="shared" si="231"/>
        <v>0</v>
      </c>
      <c r="Z46" s="200">
        <f t="shared" si="231"/>
        <v>0</v>
      </c>
      <c r="AA46" s="200">
        <f t="shared" si="231"/>
        <v>0</v>
      </c>
      <c r="AB46" s="200">
        <f t="shared" si="231"/>
        <v>0</v>
      </c>
      <c r="AC46" s="200">
        <f t="shared" si="231"/>
        <v>0</v>
      </c>
      <c r="AD46" s="200">
        <f t="shared" si="11"/>
        <v>0</v>
      </c>
      <c r="AE46" s="200">
        <f t="shared" ref="AE46:AG46" si="232">countif($D46,"*"&amp;AE$2&amp;"*")</f>
        <v>0</v>
      </c>
      <c r="AF46" s="200">
        <f t="shared" si="232"/>
        <v>0</v>
      </c>
      <c r="AG46" s="200">
        <f t="shared" si="232"/>
        <v>0</v>
      </c>
      <c r="AH46" s="171">
        <f t="shared" si="13"/>
        <v>0</v>
      </c>
      <c r="AI46" s="200">
        <f t="shared" si="14"/>
        <v>0</v>
      </c>
      <c r="AJ46" s="200">
        <f t="shared" si="137"/>
        <v>0</v>
      </c>
      <c r="AK46" s="201">
        <f t="shared" ref="AK46:AS46" si="233">countif($D46,"*"&amp;AK$2&amp;"*")</f>
        <v>0</v>
      </c>
      <c r="AL46" s="201">
        <f t="shared" si="233"/>
        <v>0</v>
      </c>
      <c r="AM46" s="201">
        <f t="shared" si="233"/>
        <v>0</v>
      </c>
      <c r="AN46" s="201">
        <f t="shared" si="233"/>
        <v>0</v>
      </c>
      <c r="AO46" s="201">
        <f t="shared" si="233"/>
        <v>0</v>
      </c>
      <c r="AP46" s="201">
        <f t="shared" si="233"/>
        <v>0</v>
      </c>
      <c r="AQ46" s="201">
        <f t="shared" si="233"/>
        <v>0</v>
      </c>
      <c r="AR46" s="200">
        <f t="shared" si="233"/>
        <v>0</v>
      </c>
      <c r="AS46" s="200">
        <f t="shared" si="233"/>
        <v>0</v>
      </c>
      <c r="AT46" s="173">
        <v>0.0</v>
      </c>
      <c r="AU46" s="200">
        <f t="shared" ref="AU46:AX46" si="234">countif($D46,"*"&amp;AU$2&amp;"*")</f>
        <v>0</v>
      </c>
      <c r="AV46" s="200">
        <f t="shared" si="234"/>
        <v>1</v>
      </c>
      <c r="AW46" s="200">
        <f t="shared" si="234"/>
        <v>0</v>
      </c>
      <c r="AX46" s="200">
        <f t="shared" si="234"/>
        <v>0</v>
      </c>
      <c r="AY46" s="202">
        <v>0.0</v>
      </c>
      <c r="AZ46" s="200"/>
      <c r="BA46" s="171" t="str">
        <f t="shared" si="18"/>
        <v/>
      </c>
      <c r="BB46" s="171" t="str">
        <f t="shared" si="19"/>
        <v>Code</v>
      </c>
      <c r="BC46" s="171" t="str">
        <f t="shared" si="20"/>
        <v/>
      </c>
      <c r="BD46" s="171" t="str">
        <f t="shared" si="21"/>
        <v/>
      </c>
      <c r="BE46" s="171" t="str">
        <f t="shared" si="22"/>
        <v/>
      </c>
      <c r="BF46" s="171" t="str">
        <f t="shared" si="23"/>
        <v>Code</v>
      </c>
    </row>
    <row r="47">
      <c r="A47" s="171">
        <f t="array" ref="A47">XLOOKUP(C47,ICSE!A:A,ICSE!C:C,,2,1)</f>
        <v>2022</v>
      </c>
      <c r="B47" s="171" t="s">
        <v>5675</v>
      </c>
      <c r="C47" s="160">
        <v>41.0</v>
      </c>
      <c r="D47" s="161" t="s">
        <v>2366</v>
      </c>
      <c r="E47" s="197" t="str">
        <f t="array" ref="E47">XLOOKUP(C47,ICSE!A:A,ICSE!Z:Z,,0,1)</f>
        <v>Publicly available (1)</v>
      </c>
      <c r="F47" s="198" t="s">
        <v>20</v>
      </c>
      <c r="G47" s="163" t="str">
        <f t="array" ref="G47">IF(B47="ICSE",IF(COUNTIFS(B:B,B47,C:C,C47)=XLOOKUP(C47,ICSE!A:A,ICSE!AA:AA,"ERROR",0,1),"OK","ERROR"),IF(B47="FSE",IF(COUNTIFS(B:B,B47,C:C,C47)=XLOOKUP(C47,FSE!A:A,FSE!AA:AA,"ERROR",0,1),"OK","ERROR")))</f>
        <v>OK</v>
      </c>
      <c r="H47" s="199">
        <f t="shared" ref="H47:O47" si="235">countif($D47,"*"&amp;H$2&amp;"*")</f>
        <v>0</v>
      </c>
      <c r="I47" s="200">
        <f t="shared" si="235"/>
        <v>0</v>
      </c>
      <c r="J47" s="200">
        <f t="shared" si="235"/>
        <v>0</v>
      </c>
      <c r="K47" s="200">
        <f t="shared" si="235"/>
        <v>0</v>
      </c>
      <c r="L47" s="200">
        <f t="shared" si="235"/>
        <v>0</v>
      </c>
      <c r="M47" s="200">
        <f t="shared" si="235"/>
        <v>0</v>
      </c>
      <c r="N47" s="200">
        <f t="shared" si="235"/>
        <v>0</v>
      </c>
      <c r="O47" s="200">
        <f t="shared" si="235"/>
        <v>0</v>
      </c>
      <c r="P47" s="200">
        <f t="shared" si="9"/>
        <v>0</v>
      </c>
      <c r="Q47" s="200">
        <f t="shared" ref="Q47:AC47" si="236">countif($D47,"*"&amp;Q$2&amp;"*")</f>
        <v>0</v>
      </c>
      <c r="R47" s="200">
        <f t="shared" si="236"/>
        <v>0</v>
      </c>
      <c r="S47" s="200">
        <f t="shared" si="236"/>
        <v>0</v>
      </c>
      <c r="T47" s="200">
        <f t="shared" si="236"/>
        <v>0</v>
      </c>
      <c r="U47" s="200">
        <f t="shared" si="236"/>
        <v>0</v>
      </c>
      <c r="V47" s="200">
        <f t="shared" si="236"/>
        <v>0</v>
      </c>
      <c r="W47" s="200">
        <f t="shared" si="236"/>
        <v>0</v>
      </c>
      <c r="X47" s="200">
        <f t="shared" si="236"/>
        <v>0</v>
      </c>
      <c r="Y47" s="200">
        <f t="shared" si="236"/>
        <v>0</v>
      </c>
      <c r="Z47" s="200">
        <f t="shared" si="236"/>
        <v>0</v>
      </c>
      <c r="AA47" s="200">
        <f t="shared" si="236"/>
        <v>1</v>
      </c>
      <c r="AB47" s="200">
        <f t="shared" si="236"/>
        <v>0</v>
      </c>
      <c r="AC47" s="200">
        <f t="shared" si="236"/>
        <v>0</v>
      </c>
      <c r="AD47" s="200">
        <f t="shared" si="11"/>
        <v>0</v>
      </c>
      <c r="AE47" s="200">
        <f t="shared" ref="AE47:AG47" si="237">countif($D47,"*"&amp;AE$2&amp;"*")</f>
        <v>0</v>
      </c>
      <c r="AF47" s="200">
        <f t="shared" si="237"/>
        <v>0</v>
      </c>
      <c r="AG47" s="200">
        <f t="shared" si="237"/>
        <v>0</v>
      </c>
      <c r="AH47" s="171">
        <f t="shared" si="13"/>
        <v>0</v>
      </c>
      <c r="AI47" s="200">
        <f t="shared" si="14"/>
        <v>0</v>
      </c>
      <c r="AJ47" s="200">
        <f t="shared" si="137"/>
        <v>0</v>
      </c>
      <c r="AK47" s="201">
        <f t="shared" ref="AK47:AS47" si="238">countif($D47,"*"&amp;AK$2&amp;"*")</f>
        <v>0</v>
      </c>
      <c r="AL47" s="201">
        <f t="shared" si="238"/>
        <v>0</v>
      </c>
      <c r="AM47" s="201">
        <f t="shared" si="238"/>
        <v>0</v>
      </c>
      <c r="AN47" s="201">
        <f t="shared" si="238"/>
        <v>0</v>
      </c>
      <c r="AO47" s="201">
        <f t="shared" si="238"/>
        <v>0</v>
      </c>
      <c r="AP47" s="201">
        <f t="shared" si="238"/>
        <v>0</v>
      </c>
      <c r="AQ47" s="201">
        <f t="shared" si="238"/>
        <v>0</v>
      </c>
      <c r="AR47" s="200">
        <f t="shared" si="238"/>
        <v>0</v>
      </c>
      <c r="AS47" s="200">
        <f t="shared" si="238"/>
        <v>0</v>
      </c>
      <c r="AT47" s="173">
        <v>0.0</v>
      </c>
      <c r="AU47" s="200">
        <f t="shared" ref="AU47:AX47" si="239">countif($D47,"*"&amp;AU$2&amp;"*")</f>
        <v>0</v>
      </c>
      <c r="AV47" s="200">
        <f t="shared" si="239"/>
        <v>0</v>
      </c>
      <c r="AW47" s="200">
        <f t="shared" si="239"/>
        <v>0</v>
      </c>
      <c r="AX47" s="200">
        <f t="shared" si="239"/>
        <v>0</v>
      </c>
      <c r="AY47" s="202">
        <v>0.0</v>
      </c>
      <c r="AZ47" s="200"/>
      <c r="BA47" s="171" t="str">
        <f t="shared" si="18"/>
        <v/>
      </c>
      <c r="BB47" s="171" t="str">
        <f t="shared" si="19"/>
        <v/>
      </c>
      <c r="BC47" s="171" t="str">
        <f t="shared" si="20"/>
        <v>General-purpose</v>
      </c>
      <c r="BD47" s="171" t="str">
        <f t="shared" si="21"/>
        <v/>
      </c>
      <c r="BE47" s="171" t="str">
        <f t="shared" si="22"/>
        <v/>
      </c>
      <c r="BF47" s="171" t="str">
        <f t="shared" si="23"/>
        <v>General-purpose</v>
      </c>
    </row>
    <row r="48">
      <c r="A48" s="171">
        <f t="array" ref="A48">XLOOKUP(C48,ICSE!A:A,ICSE!C:C,,2,1)</f>
        <v>2022</v>
      </c>
      <c r="B48" s="171" t="s">
        <v>5675</v>
      </c>
      <c r="C48" s="160">
        <v>42.0</v>
      </c>
      <c r="D48" s="161" t="s">
        <v>2368</v>
      </c>
      <c r="E48" s="197" t="str">
        <f t="array" ref="E48">XLOOKUP(C48,ICSE!A:A,ICSE!Z:Z,,0,1)</f>
        <v>Publicly available (1)</v>
      </c>
      <c r="F48" s="198" t="s">
        <v>20</v>
      </c>
      <c r="G48" s="163" t="str">
        <f t="array" ref="G48">IF(B48="ICSE",IF(COUNTIFS(B:B,B48,C:C,C48)=XLOOKUP(C48,ICSE!A:A,ICSE!AA:AA,"ERROR",0,1),"OK","ERROR"),IF(B48="FSE",IF(COUNTIFS(B:B,B48,C:C,C48)=XLOOKUP(C48,FSE!A:A,FSE!AA:AA,"ERROR",0,1),"OK","ERROR")))</f>
        <v>OK</v>
      </c>
      <c r="H48" s="199">
        <f t="shared" ref="H48:O48" si="240">countif($D48,"*"&amp;H$2&amp;"*")</f>
        <v>0</v>
      </c>
      <c r="I48" s="200">
        <f t="shared" si="240"/>
        <v>0</v>
      </c>
      <c r="J48" s="200">
        <f t="shared" si="240"/>
        <v>0</v>
      </c>
      <c r="K48" s="200">
        <f t="shared" si="240"/>
        <v>0</v>
      </c>
      <c r="L48" s="200">
        <f t="shared" si="240"/>
        <v>0</v>
      </c>
      <c r="M48" s="200">
        <f t="shared" si="240"/>
        <v>0</v>
      </c>
      <c r="N48" s="200">
        <f t="shared" si="240"/>
        <v>0</v>
      </c>
      <c r="O48" s="200">
        <f t="shared" si="240"/>
        <v>0</v>
      </c>
      <c r="P48" s="200">
        <f t="shared" si="9"/>
        <v>1</v>
      </c>
      <c r="Q48" s="200">
        <f t="shared" ref="Q48:AC48" si="241">countif($D48,"*"&amp;Q$2&amp;"*")</f>
        <v>0</v>
      </c>
      <c r="R48" s="200">
        <f t="shared" si="241"/>
        <v>0</v>
      </c>
      <c r="S48" s="200">
        <f t="shared" si="241"/>
        <v>0</v>
      </c>
      <c r="T48" s="200">
        <f t="shared" si="241"/>
        <v>0</v>
      </c>
      <c r="U48" s="200">
        <f t="shared" si="241"/>
        <v>0</v>
      </c>
      <c r="V48" s="200">
        <f t="shared" si="241"/>
        <v>0</v>
      </c>
      <c r="W48" s="200">
        <f t="shared" si="241"/>
        <v>0</v>
      </c>
      <c r="X48" s="200">
        <f t="shared" si="241"/>
        <v>0</v>
      </c>
      <c r="Y48" s="200">
        <f t="shared" si="241"/>
        <v>0</v>
      </c>
      <c r="Z48" s="200">
        <f t="shared" si="241"/>
        <v>0</v>
      </c>
      <c r="AA48" s="200">
        <f t="shared" si="241"/>
        <v>0</v>
      </c>
      <c r="AB48" s="200">
        <f t="shared" si="241"/>
        <v>0</v>
      </c>
      <c r="AC48" s="200">
        <f t="shared" si="241"/>
        <v>0</v>
      </c>
      <c r="AD48" s="200">
        <f t="shared" si="11"/>
        <v>0</v>
      </c>
      <c r="AE48" s="200">
        <f t="shared" ref="AE48:AG48" si="242">countif($D48,"*"&amp;AE$2&amp;"*")</f>
        <v>0</v>
      </c>
      <c r="AF48" s="200">
        <f t="shared" si="242"/>
        <v>0</v>
      </c>
      <c r="AG48" s="200">
        <f t="shared" si="242"/>
        <v>0</v>
      </c>
      <c r="AH48" s="171">
        <f t="shared" si="13"/>
        <v>0</v>
      </c>
      <c r="AI48" s="200">
        <f t="shared" si="14"/>
        <v>0</v>
      </c>
      <c r="AJ48" s="200">
        <f t="shared" si="137"/>
        <v>0</v>
      </c>
      <c r="AK48" s="201">
        <f t="shared" ref="AK48:AS48" si="243">countif($D48,"*"&amp;AK$2&amp;"*")</f>
        <v>0</v>
      </c>
      <c r="AL48" s="201">
        <f t="shared" si="243"/>
        <v>0</v>
      </c>
      <c r="AM48" s="201">
        <f t="shared" si="243"/>
        <v>0</v>
      </c>
      <c r="AN48" s="201">
        <f t="shared" si="243"/>
        <v>0</v>
      </c>
      <c r="AO48" s="201">
        <f t="shared" si="243"/>
        <v>0</v>
      </c>
      <c r="AP48" s="201">
        <f t="shared" si="243"/>
        <v>0</v>
      </c>
      <c r="AQ48" s="201">
        <f t="shared" si="243"/>
        <v>0</v>
      </c>
      <c r="AR48" s="200">
        <f t="shared" si="243"/>
        <v>0</v>
      </c>
      <c r="AS48" s="200">
        <f t="shared" si="243"/>
        <v>0</v>
      </c>
      <c r="AT48" s="173">
        <v>0.0</v>
      </c>
      <c r="AU48" s="200">
        <f t="shared" ref="AU48:AX48" si="244">countif($D48,"*"&amp;AU$2&amp;"*")</f>
        <v>0</v>
      </c>
      <c r="AV48" s="200">
        <f t="shared" si="244"/>
        <v>1</v>
      </c>
      <c r="AW48" s="200">
        <f t="shared" si="244"/>
        <v>0</v>
      </c>
      <c r="AX48" s="200">
        <f t="shared" si="244"/>
        <v>0</v>
      </c>
      <c r="AY48" s="202">
        <v>0.0</v>
      </c>
      <c r="AZ48" s="200"/>
      <c r="BA48" s="171" t="str">
        <f t="shared" si="18"/>
        <v/>
      </c>
      <c r="BB48" s="171" t="str">
        <f t="shared" si="19"/>
        <v>Code</v>
      </c>
      <c r="BC48" s="171" t="str">
        <f t="shared" si="20"/>
        <v/>
      </c>
      <c r="BD48" s="171" t="str">
        <f t="shared" si="21"/>
        <v/>
      </c>
      <c r="BE48" s="171" t="str">
        <f t="shared" si="22"/>
        <v/>
      </c>
      <c r="BF48" s="171" t="str">
        <f t="shared" si="23"/>
        <v>Code</v>
      </c>
    </row>
    <row r="49">
      <c r="A49" s="171">
        <f t="array" ref="A49">XLOOKUP(C49,ICSE!A:A,ICSE!C:C,,2,1)</f>
        <v>2022</v>
      </c>
      <c r="B49" s="171" t="s">
        <v>5675</v>
      </c>
      <c r="C49" s="160">
        <v>43.0</v>
      </c>
      <c r="D49" s="161" t="s">
        <v>2371</v>
      </c>
      <c r="E49" s="197" t="str">
        <f t="array" ref="E49">XLOOKUP(C49,ICSE!A:A,ICSE!Z:Z,,0,1)</f>
        <v>Publicly available (1)</v>
      </c>
      <c r="F49" s="198" t="s">
        <v>20</v>
      </c>
      <c r="G49" s="163" t="str">
        <f t="array" ref="G49">IF(B49="ICSE",IF(COUNTIFS(B:B,B49,C:C,C49)=XLOOKUP(C49,ICSE!A:A,ICSE!AA:AA,"ERROR",0,1),"OK","ERROR"),IF(B49="FSE",IF(COUNTIFS(B:B,B49,C:C,C49)=XLOOKUP(C49,FSE!A:A,FSE!AA:AA,"ERROR",0,1),"OK","ERROR")))</f>
        <v>OK</v>
      </c>
      <c r="H49" s="199">
        <f t="shared" ref="H49:O49" si="245">countif($D49,"*"&amp;H$2&amp;"*")</f>
        <v>0</v>
      </c>
      <c r="I49" s="200">
        <f t="shared" si="245"/>
        <v>0</v>
      </c>
      <c r="J49" s="200">
        <f t="shared" si="245"/>
        <v>0</v>
      </c>
      <c r="K49" s="200">
        <f t="shared" si="245"/>
        <v>0</v>
      </c>
      <c r="L49" s="200">
        <f t="shared" si="245"/>
        <v>0</v>
      </c>
      <c r="M49" s="200">
        <f t="shared" si="245"/>
        <v>0</v>
      </c>
      <c r="N49" s="200">
        <f t="shared" si="245"/>
        <v>0</v>
      </c>
      <c r="O49" s="200">
        <f t="shared" si="245"/>
        <v>0</v>
      </c>
      <c r="P49" s="200">
        <f t="shared" si="9"/>
        <v>1</v>
      </c>
      <c r="Q49" s="200">
        <f t="shared" ref="Q49:AC49" si="246">countif($D49,"*"&amp;Q$2&amp;"*")</f>
        <v>0</v>
      </c>
      <c r="R49" s="200">
        <f t="shared" si="246"/>
        <v>0</v>
      </c>
      <c r="S49" s="200">
        <f t="shared" si="246"/>
        <v>0</v>
      </c>
      <c r="T49" s="200">
        <f t="shared" si="246"/>
        <v>0</v>
      </c>
      <c r="U49" s="200">
        <f t="shared" si="246"/>
        <v>0</v>
      </c>
      <c r="V49" s="200">
        <f t="shared" si="246"/>
        <v>0</v>
      </c>
      <c r="W49" s="200">
        <f t="shared" si="246"/>
        <v>0</v>
      </c>
      <c r="X49" s="200">
        <f t="shared" si="246"/>
        <v>0</v>
      </c>
      <c r="Y49" s="200">
        <f t="shared" si="246"/>
        <v>0</v>
      </c>
      <c r="Z49" s="200">
        <f t="shared" si="246"/>
        <v>0</v>
      </c>
      <c r="AA49" s="200">
        <f t="shared" si="246"/>
        <v>0</v>
      </c>
      <c r="AB49" s="200">
        <f t="shared" si="246"/>
        <v>0</v>
      </c>
      <c r="AC49" s="200">
        <f t="shared" si="246"/>
        <v>0</v>
      </c>
      <c r="AD49" s="200">
        <f t="shared" si="11"/>
        <v>0</v>
      </c>
      <c r="AE49" s="200">
        <f t="shared" ref="AE49:AG49" si="247">countif($D49,"*"&amp;AE$2&amp;"*")</f>
        <v>0</v>
      </c>
      <c r="AF49" s="200">
        <f t="shared" si="247"/>
        <v>0</v>
      </c>
      <c r="AG49" s="200">
        <f t="shared" si="247"/>
        <v>0</v>
      </c>
      <c r="AH49" s="171">
        <f t="shared" si="13"/>
        <v>0</v>
      </c>
      <c r="AI49" s="200">
        <f t="shared" si="14"/>
        <v>0</v>
      </c>
      <c r="AJ49" s="200">
        <f t="shared" si="137"/>
        <v>0</v>
      </c>
      <c r="AK49" s="201">
        <f t="shared" ref="AK49:AS49" si="248">countif($D49,"*"&amp;AK$2&amp;"*")</f>
        <v>0</v>
      </c>
      <c r="AL49" s="201">
        <f t="shared" si="248"/>
        <v>0</v>
      </c>
      <c r="AM49" s="201">
        <f t="shared" si="248"/>
        <v>0</v>
      </c>
      <c r="AN49" s="201">
        <f t="shared" si="248"/>
        <v>0</v>
      </c>
      <c r="AO49" s="201">
        <f t="shared" si="248"/>
        <v>0</v>
      </c>
      <c r="AP49" s="201">
        <f t="shared" si="248"/>
        <v>0</v>
      </c>
      <c r="AQ49" s="201">
        <f t="shared" si="248"/>
        <v>0</v>
      </c>
      <c r="AR49" s="200">
        <f t="shared" si="248"/>
        <v>0</v>
      </c>
      <c r="AS49" s="200">
        <f t="shared" si="248"/>
        <v>0</v>
      </c>
      <c r="AT49" s="173">
        <v>0.0</v>
      </c>
      <c r="AU49" s="200">
        <f t="shared" ref="AU49:AX49" si="249">countif($D49,"*"&amp;AU$2&amp;"*")</f>
        <v>0</v>
      </c>
      <c r="AV49" s="200">
        <f t="shared" si="249"/>
        <v>1</v>
      </c>
      <c r="AW49" s="200">
        <f t="shared" si="249"/>
        <v>0</v>
      </c>
      <c r="AX49" s="200">
        <f t="shared" si="249"/>
        <v>0</v>
      </c>
      <c r="AY49" s="202">
        <v>0.0</v>
      </c>
      <c r="AZ49" s="200"/>
      <c r="BA49" s="171" t="str">
        <f t="shared" si="18"/>
        <v/>
      </c>
      <c r="BB49" s="171" t="str">
        <f t="shared" si="19"/>
        <v>Code</v>
      </c>
      <c r="BC49" s="171" t="str">
        <f t="shared" si="20"/>
        <v/>
      </c>
      <c r="BD49" s="171" t="str">
        <f t="shared" si="21"/>
        <v/>
      </c>
      <c r="BE49" s="171" t="str">
        <f t="shared" si="22"/>
        <v/>
      </c>
      <c r="BF49" s="171" t="str">
        <f t="shared" si="23"/>
        <v>Code</v>
      </c>
    </row>
    <row r="50">
      <c r="A50" s="171">
        <f t="array" ref="A50">XLOOKUP(C50,ICSE!A:A,ICSE!C:C,,2,1)</f>
        <v>2022</v>
      </c>
      <c r="B50" s="171" t="s">
        <v>5675</v>
      </c>
      <c r="C50" s="160">
        <v>44.0</v>
      </c>
      <c r="D50" s="161" t="s">
        <v>5751</v>
      </c>
      <c r="E50" s="197" t="str">
        <f t="array" ref="E50">XLOOKUP(C50,ICSE!A:A,ICSE!Z:Z,,0,1)</f>
        <v>Publicly available (1)</v>
      </c>
      <c r="F50" s="198" t="s">
        <v>20</v>
      </c>
      <c r="G50" s="163" t="str">
        <f t="array" ref="G50">IF(B50="ICSE",IF(COUNTIFS(B:B,B50,C:C,C50)=XLOOKUP(C50,ICSE!A:A,ICSE!AA:AA,"ERROR",0,1),"OK","ERROR"),IF(B50="FSE",IF(COUNTIFS(B:B,B50,C:C,C50)=XLOOKUP(C50,FSE!A:A,FSE!AA:AA,"ERROR",0,1),"OK","ERROR")))</f>
        <v>OK</v>
      </c>
      <c r="H50" s="199">
        <f t="shared" ref="H50:O50" si="250">countif($D50,"*"&amp;H$2&amp;"*")</f>
        <v>1</v>
      </c>
      <c r="I50" s="200">
        <f t="shared" si="250"/>
        <v>0</v>
      </c>
      <c r="J50" s="200">
        <f t="shared" si="250"/>
        <v>0</v>
      </c>
      <c r="K50" s="200">
        <f t="shared" si="250"/>
        <v>0</v>
      </c>
      <c r="L50" s="200">
        <f t="shared" si="250"/>
        <v>0</v>
      </c>
      <c r="M50" s="200">
        <f t="shared" si="250"/>
        <v>0</v>
      </c>
      <c r="N50" s="200">
        <f t="shared" si="250"/>
        <v>0</v>
      </c>
      <c r="O50" s="200">
        <f t="shared" si="250"/>
        <v>0</v>
      </c>
      <c r="P50" s="200">
        <f t="shared" si="9"/>
        <v>0</v>
      </c>
      <c r="Q50" s="200">
        <f t="shared" ref="Q50:AC50" si="251">countif($D50,"*"&amp;Q$2&amp;"*")</f>
        <v>0</v>
      </c>
      <c r="R50" s="200">
        <f t="shared" si="251"/>
        <v>0</v>
      </c>
      <c r="S50" s="200">
        <f t="shared" si="251"/>
        <v>0</v>
      </c>
      <c r="T50" s="200">
        <f t="shared" si="251"/>
        <v>0</v>
      </c>
      <c r="U50" s="200">
        <f t="shared" si="251"/>
        <v>0</v>
      </c>
      <c r="V50" s="200">
        <f t="shared" si="251"/>
        <v>0</v>
      </c>
      <c r="W50" s="200">
        <f t="shared" si="251"/>
        <v>0</v>
      </c>
      <c r="X50" s="200">
        <f t="shared" si="251"/>
        <v>0</v>
      </c>
      <c r="Y50" s="200">
        <f t="shared" si="251"/>
        <v>0</v>
      </c>
      <c r="Z50" s="200">
        <f t="shared" si="251"/>
        <v>0</v>
      </c>
      <c r="AA50" s="200">
        <f t="shared" si="251"/>
        <v>0</v>
      </c>
      <c r="AB50" s="200">
        <f t="shared" si="251"/>
        <v>0</v>
      </c>
      <c r="AC50" s="200">
        <f t="shared" si="251"/>
        <v>0</v>
      </c>
      <c r="AD50" s="200">
        <f t="shared" si="11"/>
        <v>0</v>
      </c>
      <c r="AE50" s="200">
        <f t="shared" ref="AE50:AG50" si="252">countif($D50,"*"&amp;AE$2&amp;"*")</f>
        <v>0</v>
      </c>
      <c r="AF50" s="200">
        <f t="shared" si="252"/>
        <v>0</v>
      </c>
      <c r="AG50" s="200">
        <f t="shared" si="252"/>
        <v>0</v>
      </c>
      <c r="AH50" s="171">
        <f t="shared" si="13"/>
        <v>0</v>
      </c>
      <c r="AI50" s="200">
        <f t="shared" si="14"/>
        <v>1</v>
      </c>
      <c r="AJ50" s="200">
        <f t="shared" si="137"/>
        <v>0</v>
      </c>
      <c r="AK50" s="201">
        <f t="shared" ref="AK50:AS50" si="253">countif($D50,"*"&amp;AK$2&amp;"*")</f>
        <v>0</v>
      </c>
      <c r="AL50" s="201">
        <f t="shared" si="253"/>
        <v>0</v>
      </c>
      <c r="AM50" s="201">
        <f t="shared" si="253"/>
        <v>0</v>
      </c>
      <c r="AN50" s="201">
        <f t="shared" si="253"/>
        <v>0</v>
      </c>
      <c r="AO50" s="201">
        <f t="shared" si="253"/>
        <v>0</v>
      </c>
      <c r="AP50" s="201">
        <f t="shared" si="253"/>
        <v>0</v>
      </c>
      <c r="AQ50" s="201">
        <f t="shared" si="253"/>
        <v>0</v>
      </c>
      <c r="AR50" s="200">
        <f t="shared" si="253"/>
        <v>0</v>
      </c>
      <c r="AS50" s="200">
        <f t="shared" si="253"/>
        <v>1</v>
      </c>
      <c r="AT50" s="173">
        <v>0.0</v>
      </c>
      <c r="AU50" s="200">
        <f t="shared" ref="AU50:AX50" si="254">countif($D50,"*"&amp;AU$2&amp;"*")</f>
        <v>0</v>
      </c>
      <c r="AV50" s="200">
        <f t="shared" si="254"/>
        <v>0</v>
      </c>
      <c r="AW50" s="200">
        <f t="shared" si="254"/>
        <v>0</v>
      </c>
      <c r="AX50" s="200">
        <f t="shared" si="254"/>
        <v>1</v>
      </c>
      <c r="AY50" s="202">
        <v>0.0</v>
      </c>
      <c r="AZ50" s="200"/>
      <c r="BA50" s="171" t="str">
        <f t="shared" si="18"/>
        <v>Archival</v>
      </c>
      <c r="BB50" s="171" t="str">
        <f t="shared" si="19"/>
        <v/>
      </c>
      <c r="BC50" s="171" t="str">
        <f t="shared" si="20"/>
        <v/>
      </c>
      <c r="BD50" s="171" t="str">
        <f t="shared" si="21"/>
        <v/>
      </c>
      <c r="BE50" s="171" t="str">
        <f t="shared" si="22"/>
        <v/>
      </c>
      <c r="BF50" s="171" t="str">
        <f t="shared" si="23"/>
        <v>Archival</v>
      </c>
    </row>
    <row r="51">
      <c r="A51" s="171">
        <f t="array" ref="A51">XLOOKUP(C51,ICSE!A:A,ICSE!C:C,,2,1)</f>
        <v>2022</v>
      </c>
      <c r="B51" s="171" t="s">
        <v>5675</v>
      </c>
      <c r="C51" s="160">
        <v>45.0</v>
      </c>
      <c r="D51" s="161" t="s">
        <v>2378</v>
      </c>
      <c r="E51" s="197" t="str">
        <f t="array" ref="E51">XLOOKUP(C51,ICSE!A:A,ICSE!Z:Z,,0,1)</f>
        <v>Publicly available (1)</v>
      </c>
      <c r="F51" s="198" t="s">
        <v>20</v>
      </c>
      <c r="G51" s="163" t="str">
        <f t="array" ref="G51">IF(B51="ICSE",IF(COUNTIFS(B:B,B51,C:C,C51)=XLOOKUP(C51,ICSE!A:A,ICSE!AA:AA,"ERROR",0,1),"OK","ERROR"),IF(B51="FSE",IF(COUNTIFS(B:B,B51,C:C,C51)=XLOOKUP(C51,FSE!A:A,FSE!AA:AA,"ERROR",0,1),"OK","ERROR")))</f>
        <v>OK</v>
      </c>
      <c r="H51" s="199">
        <f t="shared" ref="H51:O51" si="255">countif($D51,"*"&amp;H$2&amp;"*")</f>
        <v>0</v>
      </c>
      <c r="I51" s="200">
        <f t="shared" si="255"/>
        <v>0</v>
      </c>
      <c r="J51" s="200">
        <f t="shared" si="255"/>
        <v>0</v>
      </c>
      <c r="K51" s="200">
        <f t="shared" si="255"/>
        <v>0</v>
      </c>
      <c r="L51" s="200">
        <f t="shared" si="255"/>
        <v>0</v>
      </c>
      <c r="M51" s="200">
        <f t="shared" si="255"/>
        <v>0</v>
      </c>
      <c r="N51" s="200">
        <f t="shared" si="255"/>
        <v>0</v>
      </c>
      <c r="O51" s="200">
        <f t="shared" si="255"/>
        <v>0</v>
      </c>
      <c r="P51" s="200">
        <f t="shared" si="9"/>
        <v>1</v>
      </c>
      <c r="Q51" s="200">
        <f t="shared" ref="Q51:AC51" si="256">countif($D51,"*"&amp;Q$2&amp;"*")</f>
        <v>0</v>
      </c>
      <c r="R51" s="200">
        <f t="shared" si="256"/>
        <v>0</v>
      </c>
      <c r="S51" s="200">
        <f t="shared" si="256"/>
        <v>0</v>
      </c>
      <c r="T51" s="200">
        <f t="shared" si="256"/>
        <v>0</v>
      </c>
      <c r="U51" s="200">
        <f t="shared" si="256"/>
        <v>0</v>
      </c>
      <c r="V51" s="200">
        <f t="shared" si="256"/>
        <v>0</v>
      </c>
      <c r="W51" s="200">
        <f t="shared" si="256"/>
        <v>0</v>
      </c>
      <c r="X51" s="200">
        <f t="shared" si="256"/>
        <v>0</v>
      </c>
      <c r="Y51" s="200">
        <f t="shared" si="256"/>
        <v>0</v>
      </c>
      <c r="Z51" s="200">
        <f t="shared" si="256"/>
        <v>0</v>
      </c>
      <c r="AA51" s="200">
        <f t="shared" si="256"/>
        <v>0</v>
      </c>
      <c r="AB51" s="200">
        <f t="shared" si="256"/>
        <v>0</v>
      </c>
      <c r="AC51" s="200">
        <f t="shared" si="256"/>
        <v>0</v>
      </c>
      <c r="AD51" s="200">
        <f t="shared" si="11"/>
        <v>0</v>
      </c>
      <c r="AE51" s="200">
        <f t="shared" ref="AE51:AG51" si="257">countif($D51,"*"&amp;AE$2&amp;"*")</f>
        <v>0</v>
      </c>
      <c r="AF51" s="200">
        <f t="shared" si="257"/>
        <v>0</v>
      </c>
      <c r="AG51" s="200">
        <f t="shared" si="257"/>
        <v>0</v>
      </c>
      <c r="AH51" s="171">
        <f t="shared" si="13"/>
        <v>0</v>
      </c>
      <c r="AI51" s="200">
        <f t="shared" si="14"/>
        <v>0</v>
      </c>
      <c r="AJ51" s="200">
        <f t="shared" si="137"/>
        <v>0</v>
      </c>
      <c r="AK51" s="201">
        <f t="shared" ref="AK51:AS51" si="258">countif($D51,"*"&amp;AK$2&amp;"*")</f>
        <v>0</v>
      </c>
      <c r="AL51" s="201">
        <f t="shared" si="258"/>
        <v>0</v>
      </c>
      <c r="AM51" s="201">
        <f t="shared" si="258"/>
        <v>0</v>
      </c>
      <c r="AN51" s="201">
        <f t="shared" si="258"/>
        <v>0</v>
      </c>
      <c r="AO51" s="201">
        <f t="shared" si="258"/>
        <v>0</v>
      </c>
      <c r="AP51" s="201">
        <f t="shared" si="258"/>
        <v>0</v>
      </c>
      <c r="AQ51" s="201">
        <f t="shared" si="258"/>
        <v>0</v>
      </c>
      <c r="AR51" s="200">
        <f t="shared" si="258"/>
        <v>0</v>
      </c>
      <c r="AS51" s="200">
        <f t="shared" si="258"/>
        <v>0</v>
      </c>
      <c r="AT51" s="173">
        <v>0.0</v>
      </c>
      <c r="AU51" s="200">
        <f t="shared" ref="AU51:AX51" si="259">countif($D51,"*"&amp;AU$2&amp;"*")</f>
        <v>0</v>
      </c>
      <c r="AV51" s="200">
        <f t="shared" si="259"/>
        <v>1</v>
      </c>
      <c r="AW51" s="200">
        <f t="shared" si="259"/>
        <v>0</v>
      </c>
      <c r="AX51" s="200">
        <f t="shared" si="259"/>
        <v>0</v>
      </c>
      <c r="AY51" s="202">
        <v>0.0</v>
      </c>
      <c r="AZ51" s="200"/>
      <c r="BA51" s="171" t="str">
        <f t="shared" si="18"/>
        <v/>
      </c>
      <c r="BB51" s="171" t="str">
        <f t="shared" si="19"/>
        <v>Code</v>
      </c>
      <c r="BC51" s="171" t="str">
        <f t="shared" si="20"/>
        <v/>
      </c>
      <c r="BD51" s="171" t="str">
        <f t="shared" si="21"/>
        <v/>
      </c>
      <c r="BE51" s="171" t="str">
        <f t="shared" si="22"/>
        <v/>
      </c>
      <c r="BF51" s="171" t="str">
        <f t="shared" si="23"/>
        <v>Code</v>
      </c>
    </row>
    <row r="52">
      <c r="A52" s="171">
        <f t="array" ref="A52">XLOOKUP(C52,ICSE!A:A,ICSE!C:C,,2,1)</f>
        <v>2022</v>
      </c>
      <c r="B52" s="171" t="s">
        <v>5675</v>
      </c>
      <c r="C52" s="160">
        <v>46.0</v>
      </c>
      <c r="D52" s="161" t="s">
        <v>5752</v>
      </c>
      <c r="E52" s="197" t="str">
        <f t="array" ref="E52">XLOOKUP(C52,ICSE!A:A,ICSE!Z:Z,,0,1)</f>
        <v>Publicly available (2)</v>
      </c>
      <c r="F52" s="198" t="s">
        <v>20</v>
      </c>
      <c r="G52" s="163" t="str">
        <f t="array" ref="G52">IF(B52="ICSE",IF(COUNTIFS(B:B,B52,C:C,C52)=XLOOKUP(C52,ICSE!A:A,ICSE!AA:AA,"ERROR",0,1),"OK","ERROR"),IF(B52="FSE",IF(COUNTIFS(B:B,B52,C:C,C52)=XLOOKUP(C52,FSE!A:A,FSE!AA:AA,"ERROR",0,1),"OK","ERROR")))</f>
        <v>OK</v>
      </c>
      <c r="H52" s="199">
        <f t="shared" ref="H52:O52" si="260">countif($D52,"*"&amp;H$2&amp;"*")</f>
        <v>0</v>
      </c>
      <c r="I52" s="200">
        <f t="shared" si="260"/>
        <v>0</v>
      </c>
      <c r="J52" s="200">
        <f t="shared" si="260"/>
        <v>0</v>
      </c>
      <c r="K52" s="200">
        <f t="shared" si="260"/>
        <v>0</v>
      </c>
      <c r="L52" s="200">
        <f t="shared" si="260"/>
        <v>0</v>
      </c>
      <c r="M52" s="200">
        <f t="shared" si="260"/>
        <v>0</v>
      </c>
      <c r="N52" s="200">
        <f t="shared" si="260"/>
        <v>0</v>
      </c>
      <c r="O52" s="200">
        <f t="shared" si="260"/>
        <v>0</v>
      </c>
      <c r="P52" s="200">
        <f t="shared" si="9"/>
        <v>0</v>
      </c>
      <c r="Q52" s="200">
        <f t="shared" ref="Q52:AC52" si="261">countif($D52,"*"&amp;Q$2&amp;"*")</f>
        <v>0</v>
      </c>
      <c r="R52" s="200">
        <f t="shared" si="261"/>
        <v>0</v>
      </c>
      <c r="S52" s="200">
        <f t="shared" si="261"/>
        <v>0</v>
      </c>
      <c r="T52" s="200">
        <f t="shared" si="261"/>
        <v>0</v>
      </c>
      <c r="U52" s="200">
        <f t="shared" si="261"/>
        <v>0</v>
      </c>
      <c r="V52" s="200">
        <f t="shared" si="261"/>
        <v>0</v>
      </c>
      <c r="W52" s="200">
        <f t="shared" si="261"/>
        <v>0</v>
      </c>
      <c r="X52" s="200">
        <f t="shared" si="261"/>
        <v>0</v>
      </c>
      <c r="Y52" s="200">
        <f t="shared" si="261"/>
        <v>0</v>
      </c>
      <c r="Z52" s="200">
        <f t="shared" si="261"/>
        <v>0</v>
      </c>
      <c r="AA52" s="200">
        <f t="shared" si="261"/>
        <v>0</v>
      </c>
      <c r="AB52" s="200">
        <f t="shared" si="261"/>
        <v>0</v>
      </c>
      <c r="AC52" s="200">
        <f t="shared" si="261"/>
        <v>0</v>
      </c>
      <c r="AD52" s="200">
        <f t="shared" si="11"/>
        <v>0</v>
      </c>
      <c r="AE52" s="200">
        <f t="shared" ref="AE52:AG52" si="262">countif($D52,"*"&amp;AE$2&amp;"*")</f>
        <v>0</v>
      </c>
      <c r="AF52" s="200">
        <f t="shared" si="262"/>
        <v>0</v>
      </c>
      <c r="AG52" s="200">
        <f t="shared" si="262"/>
        <v>0</v>
      </c>
      <c r="AH52" s="171">
        <f t="shared" si="13"/>
        <v>1</v>
      </c>
      <c r="AI52" s="200">
        <f t="shared" si="14"/>
        <v>0</v>
      </c>
      <c r="AJ52" s="200">
        <f t="shared" si="137"/>
        <v>0</v>
      </c>
      <c r="AK52" s="201">
        <f t="shared" ref="AK52:AS52" si="263">countif($D52,"*"&amp;AK$2&amp;"*")</f>
        <v>0</v>
      </c>
      <c r="AL52" s="201">
        <f t="shared" si="263"/>
        <v>0</v>
      </c>
      <c r="AM52" s="201">
        <f t="shared" si="263"/>
        <v>0</v>
      </c>
      <c r="AN52" s="201">
        <f t="shared" si="263"/>
        <v>0</v>
      </c>
      <c r="AO52" s="201">
        <f t="shared" si="263"/>
        <v>0</v>
      </c>
      <c r="AP52" s="201">
        <f t="shared" si="263"/>
        <v>0</v>
      </c>
      <c r="AQ52" s="201">
        <f t="shared" si="263"/>
        <v>0</v>
      </c>
      <c r="AR52" s="200">
        <f t="shared" si="263"/>
        <v>0</v>
      </c>
      <c r="AS52" s="200">
        <f t="shared" si="263"/>
        <v>0</v>
      </c>
      <c r="AT52" s="173">
        <v>0.0</v>
      </c>
      <c r="AU52" s="200">
        <f t="shared" ref="AU52:AX52" si="264">countif($D52,"*"&amp;AU$2&amp;"*")</f>
        <v>0</v>
      </c>
      <c r="AV52" s="200">
        <f t="shared" si="264"/>
        <v>0</v>
      </c>
      <c r="AW52" s="200">
        <f t="shared" si="264"/>
        <v>0</v>
      </c>
      <c r="AX52" s="200">
        <f t="shared" si="264"/>
        <v>0</v>
      </c>
      <c r="AY52" s="202">
        <v>0.0</v>
      </c>
      <c r="AZ52" s="200"/>
      <c r="BA52" s="171" t="str">
        <f t="shared" si="18"/>
        <v/>
      </c>
      <c r="BB52" s="171" t="str">
        <f t="shared" si="19"/>
        <v/>
      </c>
      <c r="BC52" s="171" t="str">
        <f t="shared" si="20"/>
        <v/>
      </c>
      <c r="BD52" s="171" t="str">
        <f t="shared" si="21"/>
        <v/>
      </c>
      <c r="BE52" s="171" t="str">
        <f t="shared" si="22"/>
        <v>Others</v>
      </c>
      <c r="BF52" s="171" t="str">
        <f t="shared" si="23"/>
        <v>Others</v>
      </c>
    </row>
    <row r="53">
      <c r="A53" s="171">
        <f t="array" ref="A53">XLOOKUP(C53,ICSE!A:A,ICSE!C:C,,2,1)</f>
        <v>2022</v>
      </c>
      <c r="B53" s="171" t="s">
        <v>5675</v>
      </c>
      <c r="C53" s="203">
        <v>46.0</v>
      </c>
      <c r="D53" s="161" t="s">
        <v>5753</v>
      </c>
      <c r="E53" s="197" t="str">
        <f t="array" ref="E53">XLOOKUP(C53,ICSE!A:A,ICSE!Z:Z,,0,1)</f>
        <v>Publicly available (2)</v>
      </c>
      <c r="F53" s="198" t="s">
        <v>20</v>
      </c>
      <c r="G53" s="163" t="str">
        <f t="array" ref="G53">IF(B53="ICSE",IF(COUNTIFS(B:B,B53,C:C,C53)=XLOOKUP(C53,ICSE!A:A,ICSE!AA:AA,"ERROR",0,1),"OK","ERROR"),IF(B53="FSE",IF(COUNTIFS(B:B,B53,C:C,C53)=XLOOKUP(C53,FSE!A:A,FSE!AA:AA,"ERROR",0,1),"OK","ERROR")))</f>
        <v>OK</v>
      </c>
      <c r="H53" s="199">
        <f t="shared" ref="H53:O53" si="265">countif($D53,"*"&amp;H$2&amp;"*")</f>
        <v>1</v>
      </c>
      <c r="I53" s="200">
        <f t="shared" si="265"/>
        <v>0</v>
      </c>
      <c r="J53" s="200">
        <f t="shared" si="265"/>
        <v>0</v>
      </c>
      <c r="K53" s="200">
        <f t="shared" si="265"/>
        <v>0</v>
      </c>
      <c r="L53" s="200">
        <f t="shared" si="265"/>
        <v>0</v>
      </c>
      <c r="M53" s="200">
        <f t="shared" si="265"/>
        <v>0</v>
      </c>
      <c r="N53" s="200">
        <f t="shared" si="265"/>
        <v>0</v>
      </c>
      <c r="O53" s="200">
        <f t="shared" si="265"/>
        <v>0</v>
      </c>
      <c r="P53" s="200">
        <f t="shared" si="9"/>
        <v>0</v>
      </c>
      <c r="Q53" s="200">
        <f t="shared" ref="Q53:AC53" si="266">countif($D53,"*"&amp;Q$2&amp;"*")</f>
        <v>0</v>
      </c>
      <c r="R53" s="200">
        <f t="shared" si="266"/>
        <v>0</v>
      </c>
      <c r="S53" s="200">
        <f t="shared" si="266"/>
        <v>0</v>
      </c>
      <c r="T53" s="200">
        <f t="shared" si="266"/>
        <v>0</v>
      </c>
      <c r="U53" s="200">
        <f t="shared" si="266"/>
        <v>0</v>
      </c>
      <c r="V53" s="200">
        <f t="shared" si="266"/>
        <v>0</v>
      </c>
      <c r="W53" s="200">
        <f t="shared" si="266"/>
        <v>0</v>
      </c>
      <c r="X53" s="200">
        <f t="shared" si="266"/>
        <v>0</v>
      </c>
      <c r="Y53" s="200">
        <f t="shared" si="266"/>
        <v>0</v>
      </c>
      <c r="Z53" s="200">
        <f t="shared" si="266"/>
        <v>0</v>
      </c>
      <c r="AA53" s="200">
        <f t="shared" si="266"/>
        <v>0</v>
      </c>
      <c r="AB53" s="200">
        <f t="shared" si="266"/>
        <v>0</v>
      </c>
      <c r="AC53" s="200">
        <f t="shared" si="266"/>
        <v>0</v>
      </c>
      <c r="AD53" s="200">
        <f t="shared" si="11"/>
        <v>0</v>
      </c>
      <c r="AE53" s="200">
        <f t="shared" ref="AE53:AG53" si="267">countif($D53,"*"&amp;AE$2&amp;"*")</f>
        <v>0</v>
      </c>
      <c r="AF53" s="200">
        <f t="shared" si="267"/>
        <v>0</v>
      </c>
      <c r="AG53" s="200">
        <f t="shared" si="267"/>
        <v>0</v>
      </c>
      <c r="AH53" s="171">
        <f t="shared" si="13"/>
        <v>0</v>
      </c>
      <c r="AI53" s="200">
        <f t="shared" si="14"/>
        <v>1</v>
      </c>
      <c r="AJ53" s="200">
        <f t="shared" si="137"/>
        <v>0</v>
      </c>
      <c r="AK53" s="201">
        <f t="shared" ref="AK53:AS53" si="268">countif($D53,"*"&amp;AK$2&amp;"*")</f>
        <v>0</v>
      </c>
      <c r="AL53" s="201">
        <f t="shared" si="268"/>
        <v>0</v>
      </c>
      <c r="AM53" s="201">
        <f t="shared" si="268"/>
        <v>0</v>
      </c>
      <c r="AN53" s="201">
        <f t="shared" si="268"/>
        <v>0</v>
      </c>
      <c r="AO53" s="201">
        <f t="shared" si="268"/>
        <v>0</v>
      </c>
      <c r="AP53" s="201">
        <f t="shared" si="268"/>
        <v>0</v>
      </c>
      <c r="AQ53" s="201">
        <f t="shared" si="268"/>
        <v>0</v>
      </c>
      <c r="AR53" s="200">
        <f t="shared" si="268"/>
        <v>0</v>
      </c>
      <c r="AS53" s="200">
        <f t="shared" si="268"/>
        <v>0</v>
      </c>
      <c r="AT53" s="173">
        <v>0.0</v>
      </c>
      <c r="AU53" s="200">
        <f t="shared" ref="AU53:AX53" si="269">countif($D53,"*"&amp;AU$2&amp;"*")</f>
        <v>0</v>
      </c>
      <c r="AV53" s="200">
        <f t="shared" si="269"/>
        <v>0</v>
      </c>
      <c r="AW53" s="200">
        <f t="shared" si="269"/>
        <v>0</v>
      </c>
      <c r="AX53" s="200">
        <f t="shared" si="269"/>
        <v>1</v>
      </c>
      <c r="AY53" s="202">
        <v>0.0</v>
      </c>
      <c r="AZ53" s="200"/>
      <c r="BA53" s="171" t="str">
        <f t="shared" si="18"/>
        <v>Archival</v>
      </c>
      <c r="BB53" s="171" t="str">
        <f t="shared" si="19"/>
        <v/>
      </c>
      <c r="BC53" s="171" t="str">
        <f t="shared" si="20"/>
        <v/>
      </c>
      <c r="BD53" s="171" t="str">
        <f t="shared" si="21"/>
        <v/>
      </c>
      <c r="BE53" s="171" t="str">
        <f t="shared" si="22"/>
        <v/>
      </c>
      <c r="BF53" s="171" t="str">
        <f t="shared" si="23"/>
        <v>Archival</v>
      </c>
    </row>
    <row r="54">
      <c r="A54" s="171">
        <f t="array" ref="A54">XLOOKUP(C54,ICSE!A:A,ICSE!C:C,,2,1)</f>
        <v>2022</v>
      </c>
      <c r="B54" s="171" t="s">
        <v>5675</v>
      </c>
      <c r="C54" s="160">
        <v>49.0</v>
      </c>
      <c r="D54" s="161" t="s">
        <v>2386</v>
      </c>
      <c r="E54" s="197" t="str">
        <f t="array" ref="E54">XLOOKUP(C54,ICSE!A:A,ICSE!Z:Z,,0,1)</f>
        <v>Publicly available (1)</v>
      </c>
      <c r="F54" s="198" t="s">
        <v>20</v>
      </c>
      <c r="G54" s="163" t="str">
        <f t="array" ref="G54">IF(B54="ICSE",IF(COUNTIFS(B:B,B54,C:C,C54)=XLOOKUP(C54,ICSE!A:A,ICSE!AA:AA,"ERROR",0,1),"OK","ERROR"),IF(B54="FSE",IF(COUNTIFS(B:B,B54,C:C,C54)=XLOOKUP(C54,FSE!A:A,FSE!AA:AA,"ERROR",0,1),"OK","ERROR")))</f>
        <v>OK</v>
      </c>
      <c r="H54" s="199">
        <f t="shared" ref="H54:O54" si="270">countif($D54,"*"&amp;H$2&amp;"*")</f>
        <v>0</v>
      </c>
      <c r="I54" s="200">
        <f t="shared" si="270"/>
        <v>0</v>
      </c>
      <c r="J54" s="200">
        <f t="shared" si="270"/>
        <v>0</v>
      </c>
      <c r="K54" s="200">
        <f t="shared" si="270"/>
        <v>0</v>
      </c>
      <c r="L54" s="200">
        <f t="shared" si="270"/>
        <v>0</v>
      </c>
      <c r="M54" s="200">
        <f t="shared" si="270"/>
        <v>0</v>
      </c>
      <c r="N54" s="200">
        <f t="shared" si="270"/>
        <v>0</v>
      </c>
      <c r="O54" s="200">
        <f t="shared" si="270"/>
        <v>0</v>
      </c>
      <c r="P54" s="200">
        <f t="shared" si="9"/>
        <v>1</v>
      </c>
      <c r="Q54" s="200">
        <f t="shared" ref="Q54:AC54" si="271">countif($D54,"*"&amp;Q$2&amp;"*")</f>
        <v>0</v>
      </c>
      <c r="R54" s="200">
        <f t="shared" si="271"/>
        <v>0</v>
      </c>
      <c r="S54" s="200">
        <f t="shared" si="271"/>
        <v>0</v>
      </c>
      <c r="T54" s="200">
        <f t="shared" si="271"/>
        <v>0</v>
      </c>
      <c r="U54" s="200">
        <f t="shared" si="271"/>
        <v>0</v>
      </c>
      <c r="V54" s="200">
        <f t="shared" si="271"/>
        <v>0</v>
      </c>
      <c r="W54" s="200">
        <f t="shared" si="271"/>
        <v>0</v>
      </c>
      <c r="X54" s="200">
        <f t="shared" si="271"/>
        <v>0</v>
      </c>
      <c r="Y54" s="200">
        <f t="shared" si="271"/>
        <v>0</v>
      </c>
      <c r="Z54" s="200">
        <f t="shared" si="271"/>
        <v>0</v>
      </c>
      <c r="AA54" s="200">
        <f t="shared" si="271"/>
        <v>0</v>
      </c>
      <c r="AB54" s="200">
        <f t="shared" si="271"/>
        <v>0</v>
      </c>
      <c r="AC54" s="200">
        <f t="shared" si="271"/>
        <v>0</v>
      </c>
      <c r="AD54" s="200">
        <f t="shared" si="11"/>
        <v>0</v>
      </c>
      <c r="AE54" s="200">
        <f t="shared" ref="AE54:AG54" si="272">countif($D54,"*"&amp;AE$2&amp;"*")</f>
        <v>0</v>
      </c>
      <c r="AF54" s="200">
        <f t="shared" si="272"/>
        <v>0</v>
      </c>
      <c r="AG54" s="200">
        <f t="shared" si="272"/>
        <v>0</v>
      </c>
      <c r="AH54" s="171">
        <f t="shared" si="13"/>
        <v>0</v>
      </c>
      <c r="AI54" s="200">
        <f t="shared" si="14"/>
        <v>0</v>
      </c>
      <c r="AJ54" s="200">
        <f t="shared" si="137"/>
        <v>0</v>
      </c>
      <c r="AK54" s="201">
        <f t="shared" ref="AK54:AS54" si="273">countif($D54,"*"&amp;AK$2&amp;"*")</f>
        <v>0</v>
      </c>
      <c r="AL54" s="201">
        <f t="shared" si="273"/>
        <v>0</v>
      </c>
      <c r="AM54" s="201">
        <f t="shared" si="273"/>
        <v>0</v>
      </c>
      <c r="AN54" s="201">
        <f t="shared" si="273"/>
        <v>0</v>
      </c>
      <c r="AO54" s="201">
        <f t="shared" si="273"/>
        <v>0</v>
      </c>
      <c r="AP54" s="201">
        <f t="shared" si="273"/>
        <v>0</v>
      </c>
      <c r="AQ54" s="201">
        <f t="shared" si="273"/>
        <v>0</v>
      </c>
      <c r="AR54" s="200">
        <f t="shared" si="273"/>
        <v>0</v>
      </c>
      <c r="AS54" s="200">
        <f t="shared" si="273"/>
        <v>0</v>
      </c>
      <c r="AT54" s="173">
        <v>0.0</v>
      </c>
      <c r="AU54" s="200">
        <f t="shared" ref="AU54:AX54" si="274">countif($D54,"*"&amp;AU$2&amp;"*")</f>
        <v>0</v>
      </c>
      <c r="AV54" s="200">
        <f t="shared" si="274"/>
        <v>1</v>
      </c>
      <c r="AW54" s="200">
        <f t="shared" si="274"/>
        <v>0</v>
      </c>
      <c r="AX54" s="200">
        <f t="shared" si="274"/>
        <v>0</v>
      </c>
      <c r="AY54" s="202">
        <v>0.0</v>
      </c>
      <c r="AZ54" s="200"/>
      <c r="BA54" s="171" t="str">
        <f t="shared" si="18"/>
        <v/>
      </c>
      <c r="BB54" s="171" t="str">
        <f t="shared" si="19"/>
        <v>Code</v>
      </c>
      <c r="BC54" s="171" t="str">
        <f t="shared" si="20"/>
        <v/>
      </c>
      <c r="BD54" s="171" t="str">
        <f t="shared" si="21"/>
        <v/>
      </c>
      <c r="BE54" s="171" t="str">
        <f t="shared" si="22"/>
        <v/>
      </c>
      <c r="BF54" s="171" t="str">
        <f t="shared" si="23"/>
        <v>Code</v>
      </c>
    </row>
    <row r="55">
      <c r="A55" s="171">
        <f t="array" ref="A55">XLOOKUP(C55,ICSE!A:A,ICSE!C:C,,2,1)</f>
        <v>2022</v>
      </c>
      <c r="B55" s="171" t="s">
        <v>5675</v>
      </c>
      <c r="C55" s="160">
        <v>50.0</v>
      </c>
      <c r="D55" s="161" t="s">
        <v>2389</v>
      </c>
      <c r="E55" s="197" t="str">
        <f t="array" ref="E55">XLOOKUP(C55,ICSE!A:A,ICSE!Z:Z,,0,1)</f>
        <v>Publicly available (1)</v>
      </c>
      <c r="F55" s="198" t="s">
        <v>20</v>
      </c>
      <c r="G55" s="163" t="str">
        <f t="array" ref="G55">IF(B55="ICSE",IF(COUNTIFS(B:B,B55,C:C,C55)=XLOOKUP(C55,ICSE!A:A,ICSE!AA:AA,"ERROR",0,1),"OK","ERROR"),IF(B55="FSE",IF(COUNTIFS(B:B,B55,C:C,C55)=XLOOKUP(C55,FSE!A:A,FSE!AA:AA,"ERROR",0,1),"OK","ERROR")))</f>
        <v>OK</v>
      </c>
      <c r="H55" s="199">
        <f t="shared" ref="H55:O55" si="275">countif($D55,"*"&amp;H$2&amp;"*")</f>
        <v>0</v>
      </c>
      <c r="I55" s="200">
        <f t="shared" si="275"/>
        <v>0</v>
      </c>
      <c r="J55" s="200">
        <f t="shared" si="275"/>
        <v>0</v>
      </c>
      <c r="K55" s="200">
        <f t="shared" si="275"/>
        <v>0</v>
      </c>
      <c r="L55" s="200">
        <f t="shared" si="275"/>
        <v>0</v>
      </c>
      <c r="M55" s="200">
        <f t="shared" si="275"/>
        <v>0</v>
      </c>
      <c r="N55" s="200">
        <f t="shared" si="275"/>
        <v>0</v>
      </c>
      <c r="O55" s="200">
        <f t="shared" si="275"/>
        <v>0</v>
      </c>
      <c r="P55" s="200">
        <f t="shared" si="9"/>
        <v>1</v>
      </c>
      <c r="Q55" s="200">
        <f t="shared" ref="Q55:AC55" si="276">countif($D55,"*"&amp;Q$2&amp;"*")</f>
        <v>0</v>
      </c>
      <c r="R55" s="200">
        <f t="shared" si="276"/>
        <v>0</v>
      </c>
      <c r="S55" s="200">
        <f t="shared" si="276"/>
        <v>0</v>
      </c>
      <c r="T55" s="200">
        <f t="shared" si="276"/>
        <v>0</v>
      </c>
      <c r="U55" s="200">
        <f t="shared" si="276"/>
        <v>0</v>
      </c>
      <c r="V55" s="200">
        <f t="shared" si="276"/>
        <v>0</v>
      </c>
      <c r="W55" s="200">
        <f t="shared" si="276"/>
        <v>0</v>
      </c>
      <c r="X55" s="200">
        <f t="shared" si="276"/>
        <v>0</v>
      </c>
      <c r="Y55" s="200">
        <f t="shared" si="276"/>
        <v>0</v>
      </c>
      <c r="Z55" s="200">
        <f t="shared" si="276"/>
        <v>0</v>
      </c>
      <c r="AA55" s="200">
        <f t="shared" si="276"/>
        <v>0</v>
      </c>
      <c r="AB55" s="200">
        <f t="shared" si="276"/>
        <v>0</v>
      </c>
      <c r="AC55" s="200">
        <f t="shared" si="276"/>
        <v>0</v>
      </c>
      <c r="AD55" s="200">
        <f t="shared" si="11"/>
        <v>0</v>
      </c>
      <c r="AE55" s="200">
        <f t="shared" ref="AE55:AG55" si="277">countif($D55,"*"&amp;AE$2&amp;"*")</f>
        <v>0</v>
      </c>
      <c r="AF55" s="200">
        <f t="shared" si="277"/>
        <v>0</v>
      </c>
      <c r="AG55" s="200">
        <f t="shared" si="277"/>
        <v>0</v>
      </c>
      <c r="AH55" s="171">
        <f t="shared" si="13"/>
        <v>0</v>
      </c>
      <c r="AI55" s="200">
        <f t="shared" si="14"/>
        <v>0</v>
      </c>
      <c r="AJ55" s="200">
        <f t="shared" si="137"/>
        <v>0</v>
      </c>
      <c r="AK55" s="201">
        <f t="shared" ref="AK55:AS55" si="278">countif($D55,"*"&amp;AK$2&amp;"*")</f>
        <v>0</v>
      </c>
      <c r="AL55" s="201">
        <f t="shared" si="278"/>
        <v>0</v>
      </c>
      <c r="AM55" s="201">
        <f t="shared" si="278"/>
        <v>0</v>
      </c>
      <c r="AN55" s="201">
        <f t="shared" si="278"/>
        <v>0</v>
      </c>
      <c r="AO55" s="201">
        <f t="shared" si="278"/>
        <v>0</v>
      </c>
      <c r="AP55" s="201">
        <f t="shared" si="278"/>
        <v>0</v>
      </c>
      <c r="AQ55" s="201">
        <f t="shared" si="278"/>
        <v>0</v>
      </c>
      <c r="AR55" s="200">
        <f t="shared" si="278"/>
        <v>0</v>
      </c>
      <c r="AS55" s="200">
        <f t="shared" si="278"/>
        <v>0</v>
      </c>
      <c r="AT55" s="173">
        <v>0.0</v>
      </c>
      <c r="AU55" s="200">
        <f t="shared" ref="AU55:AX55" si="279">countif($D55,"*"&amp;AU$2&amp;"*")</f>
        <v>0</v>
      </c>
      <c r="AV55" s="200">
        <f t="shared" si="279"/>
        <v>1</v>
      </c>
      <c r="AW55" s="200">
        <f t="shared" si="279"/>
        <v>0</v>
      </c>
      <c r="AX55" s="200">
        <f t="shared" si="279"/>
        <v>0</v>
      </c>
      <c r="AY55" s="202">
        <v>0.0</v>
      </c>
      <c r="AZ55" s="200"/>
      <c r="BA55" s="171" t="str">
        <f t="shared" si="18"/>
        <v/>
      </c>
      <c r="BB55" s="171" t="str">
        <f t="shared" si="19"/>
        <v>Code</v>
      </c>
      <c r="BC55" s="171" t="str">
        <f t="shared" si="20"/>
        <v/>
      </c>
      <c r="BD55" s="171" t="str">
        <f t="shared" si="21"/>
        <v/>
      </c>
      <c r="BE55" s="171" t="str">
        <f t="shared" si="22"/>
        <v/>
      </c>
      <c r="BF55" s="171" t="str">
        <f t="shared" si="23"/>
        <v>Code</v>
      </c>
    </row>
    <row r="56">
      <c r="A56" s="171">
        <f t="array" ref="A56">XLOOKUP(C56,ICSE!A:A,ICSE!C:C,,2,1)</f>
        <v>2022</v>
      </c>
      <c r="B56" s="171" t="s">
        <v>5675</v>
      </c>
      <c r="C56" s="160">
        <v>51.0</v>
      </c>
      <c r="D56" s="161" t="s">
        <v>2392</v>
      </c>
      <c r="E56" s="197" t="str">
        <f t="array" ref="E56">XLOOKUP(C56,ICSE!A:A,ICSE!Z:Z,,0,1)</f>
        <v>Publicly available (1)</v>
      </c>
      <c r="F56" s="198" t="s">
        <v>20</v>
      </c>
      <c r="G56" s="163" t="str">
        <f t="array" ref="G56">IF(B56="ICSE",IF(COUNTIFS(B:B,B56,C:C,C56)=XLOOKUP(C56,ICSE!A:A,ICSE!AA:AA,"ERROR",0,1),"OK","ERROR"),IF(B56="FSE",IF(COUNTIFS(B:B,B56,C:C,C56)=XLOOKUP(C56,FSE!A:A,FSE!AA:AA,"ERROR",0,1),"OK","ERROR")))</f>
        <v>OK</v>
      </c>
      <c r="H56" s="199">
        <f t="shared" ref="H56:O56" si="280">countif($D56,"*"&amp;H$2&amp;"*")</f>
        <v>0</v>
      </c>
      <c r="I56" s="200">
        <f t="shared" si="280"/>
        <v>0</v>
      </c>
      <c r="J56" s="200">
        <f t="shared" si="280"/>
        <v>0</v>
      </c>
      <c r="K56" s="200">
        <f t="shared" si="280"/>
        <v>0</v>
      </c>
      <c r="L56" s="200">
        <f t="shared" si="280"/>
        <v>0</v>
      </c>
      <c r="M56" s="200">
        <f t="shared" si="280"/>
        <v>0</v>
      </c>
      <c r="N56" s="200">
        <f t="shared" si="280"/>
        <v>0</v>
      </c>
      <c r="O56" s="200">
        <f t="shared" si="280"/>
        <v>0</v>
      </c>
      <c r="P56" s="200">
        <f t="shared" si="9"/>
        <v>1</v>
      </c>
      <c r="Q56" s="200">
        <f t="shared" ref="Q56:AC56" si="281">countif($D56,"*"&amp;Q$2&amp;"*")</f>
        <v>0</v>
      </c>
      <c r="R56" s="200">
        <f t="shared" si="281"/>
        <v>0</v>
      </c>
      <c r="S56" s="200">
        <f t="shared" si="281"/>
        <v>0</v>
      </c>
      <c r="T56" s="200">
        <f t="shared" si="281"/>
        <v>0</v>
      </c>
      <c r="U56" s="200">
        <f t="shared" si="281"/>
        <v>0</v>
      </c>
      <c r="V56" s="200">
        <f t="shared" si="281"/>
        <v>0</v>
      </c>
      <c r="W56" s="200">
        <f t="shared" si="281"/>
        <v>0</v>
      </c>
      <c r="X56" s="200">
        <f t="shared" si="281"/>
        <v>0</v>
      </c>
      <c r="Y56" s="200">
        <f t="shared" si="281"/>
        <v>0</v>
      </c>
      <c r="Z56" s="200">
        <f t="shared" si="281"/>
        <v>0</v>
      </c>
      <c r="AA56" s="200">
        <f t="shared" si="281"/>
        <v>0</v>
      </c>
      <c r="AB56" s="200">
        <f t="shared" si="281"/>
        <v>0</v>
      </c>
      <c r="AC56" s="200">
        <f t="shared" si="281"/>
        <v>0</v>
      </c>
      <c r="AD56" s="200">
        <f t="shared" si="11"/>
        <v>0</v>
      </c>
      <c r="AE56" s="200">
        <f t="shared" ref="AE56:AG56" si="282">countif($D56,"*"&amp;AE$2&amp;"*")</f>
        <v>0</v>
      </c>
      <c r="AF56" s="200">
        <f t="shared" si="282"/>
        <v>0</v>
      </c>
      <c r="AG56" s="200">
        <f t="shared" si="282"/>
        <v>0</v>
      </c>
      <c r="AH56" s="171">
        <f t="shared" si="13"/>
        <v>0</v>
      </c>
      <c r="AI56" s="200">
        <f t="shared" si="14"/>
        <v>0</v>
      </c>
      <c r="AJ56" s="200">
        <f t="shared" si="137"/>
        <v>0</v>
      </c>
      <c r="AK56" s="201">
        <f t="shared" ref="AK56:AS56" si="283">countif($D56,"*"&amp;AK$2&amp;"*")</f>
        <v>0</v>
      </c>
      <c r="AL56" s="201">
        <f t="shared" si="283"/>
        <v>0</v>
      </c>
      <c r="AM56" s="201">
        <f t="shared" si="283"/>
        <v>0</v>
      </c>
      <c r="AN56" s="201">
        <f t="shared" si="283"/>
        <v>0</v>
      </c>
      <c r="AO56" s="201">
        <f t="shared" si="283"/>
        <v>0</v>
      </c>
      <c r="AP56" s="201">
        <f t="shared" si="283"/>
        <v>0</v>
      </c>
      <c r="AQ56" s="201">
        <f t="shared" si="283"/>
        <v>0</v>
      </c>
      <c r="AR56" s="200">
        <f t="shared" si="283"/>
        <v>0</v>
      </c>
      <c r="AS56" s="200">
        <f t="shared" si="283"/>
        <v>0</v>
      </c>
      <c r="AT56" s="173">
        <v>0.0</v>
      </c>
      <c r="AU56" s="200">
        <f t="shared" ref="AU56:AX56" si="284">countif($D56,"*"&amp;AU$2&amp;"*")</f>
        <v>0</v>
      </c>
      <c r="AV56" s="200">
        <f t="shared" si="284"/>
        <v>1</v>
      </c>
      <c r="AW56" s="200">
        <f t="shared" si="284"/>
        <v>0</v>
      </c>
      <c r="AX56" s="200">
        <f t="shared" si="284"/>
        <v>0</v>
      </c>
      <c r="AY56" s="202">
        <v>0.0</v>
      </c>
      <c r="AZ56" s="200"/>
      <c r="BA56" s="171" t="str">
        <f t="shared" si="18"/>
        <v/>
      </c>
      <c r="BB56" s="171" t="str">
        <f t="shared" si="19"/>
        <v>Code</v>
      </c>
      <c r="BC56" s="171" t="str">
        <f t="shared" si="20"/>
        <v/>
      </c>
      <c r="BD56" s="171" t="str">
        <f t="shared" si="21"/>
        <v/>
      </c>
      <c r="BE56" s="171" t="str">
        <f t="shared" si="22"/>
        <v/>
      </c>
      <c r="BF56" s="171" t="str">
        <f t="shared" si="23"/>
        <v>Code</v>
      </c>
    </row>
    <row r="57">
      <c r="A57" s="171">
        <f t="array" ref="A57">XLOOKUP(C57,ICSE!A:A,ICSE!C:C,,2,1)</f>
        <v>2022</v>
      </c>
      <c r="B57" s="171" t="s">
        <v>5675</v>
      </c>
      <c r="C57" s="160">
        <v>52.0</v>
      </c>
      <c r="D57" s="161" t="s">
        <v>2394</v>
      </c>
      <c r="E57" s="197" t="str">
        <f t="array" ref="E57">XLOOKUP(C57,ICSE!A:A,ICSE!Z:Z,,0,1)</f>
        <v>Publicly available (1)</v>
      </c>
      <c r="F57" s="198" t="s">
        <v>20</v>
      </c>
      <c r="G57" s="163" t="str">
        <f t="array" ref="G57">IF(B57="ICSE",IF(COUNTIFS(B:B,B57,C:C,C57)=XLOOKUP(C57,ICSE!A:A,ICSE!AA:AA,"ERROR",0,1),"OK","ERROR"),IF(B57="FSE",IF(COUNTIFS(B:B,B57,C:C,C57)=XLOOKUP(C57,FSE!A:A,FSE!AA:AA,"ERROR",0,1),"OK","ERROR")))</f>
        <v>OK</v>
      </c>
      <c r="H57" s="199">
        <f t="shared" ref="H57:O57" si="285">countif($D57,"*"&amp;H$2&amp;"*")</f>
        <v>0</v>
      </c>
      <c r="I57" s="200">
        <f t="shared" si="285"/>
        <v>0</v>
      </c>
      <c r="J57" s="200">
        <f t="shared" si="285"/>
        <v>0</v>
      </c>
      <c r="K57" s="200">
        <f t="shared" si="285"/>
        <v>0</v>
      </c>
      <c r="L57" s="200">
        <f t="shared" si="285"/>
        <v>0</v>
      </c>
      <c r="M57" s="200">
        <f t="shared" si="285"/>
        <v>0</v>
      </c>
      <c r="N57" s="200">
        <f t="shared" si="285"/>
        <v>0</v>
      </c>
      <c r="O57" s="200">
        <f t="shared" si="285"/>
        <v>0</v>
      </c>
      <c r="P57" s="200">
        <f t="shared" si="9"/>
        <v>1</v>
      </c>
      <c r="Q57" s="200">
        <f t="shared" ref="Q57:AC57" si="286">countif($D57,"*"&amp;Q$2&amp;"*")</f>
        <v>0</v>
      </c>
      <c r="R57" s="200">
        <f t="shared" si="286"/>
        <v>0</v>
      </c>
      <c r="S57" s="200">
        <f t="shared" si="286"/>
        <v>0</v>
      </c>
      <c r="T57" s="200">
        <f t="shared" si="286"/>
        <v>0</v>
      </c>
      <c r="U57" s="200">
        <f t="shared" si="286"/>
        <v>0</v>
      </c>
      <c r="V57" s="200">
        <f t="shared" si="286"/>
        <v>0</v>
      </c>
      <c r="W57" s="200">
        <f t="shared" si="286"/>
        <v>0</v>
      </c>
      <c r="X57" s="200">
        <f t="shared" si="286"/>
        <v>0</v>
      </c>
      <c r="Y57" s="200">
        <f t="shared" si="286"/>
        <v>0</v>
      </c>
      <c r="Z57" s="200">
        <f t="shared" si="286"/>
        <v>0</v>
      </c>
      <c r="AA57" s="200">
        <f t="shared" si="286"/>
        <v>0</v>
      </c>
      <c r="AB57" s="200">
        <f t="shared" si="286"/>
        <v>0</v>
      </c>
      <c r="AC57" s="200">
        <f t="shared" si="286"/>
        <v>0</v>
      </c>
      <c r="AD57" s="200">
        <f t="shared" si="11"/>
        <v>0</v>
      </c>
      <c r="AE57" s="200">
        <f t="shared" ref="AE57:AG57" si="287">countif($D57,"*"&amp;AE$2&amp;"*")</f>
        <v>0</v>
      </c>
      <c r="AF57" s="200">
        <f t="shared" si="287"/>
        <v>0</v>
      </c>
      <c r="AG57" s="200">
        <f t="shared" si="287"/>
        <v>0</v>
      </c>
      <c r="AH57" s="171">
        <f t="shared" si="13"/>
        <v>0</v>
      </c>
      <c r="AI57" s="200">
        <f t="shared" si="14"/>
        <v>0</v>
      </c>
      <c r="AJ57" s="200">
        <f t="shared" si="137"/>
        <v>0</v>
      </c>
      <c r="AK57" s="201">
        <f t="shared" ref="AK57:AS57" si="288">countif($D57,"*"&amp;AK$2&amp;"*")</f>
        <v>0</v>
      </c>
      <c r="AL57" s="201">
        <f t="shared" si="288"/>
        <v>0</v>
      </c>
      <c r="AM57" s="201">
        <f t="shared" si="288"/>
        <v>0</v>
      </c>
      <c r="AN57" s="201">
        <f t="shared" si="288"/>
        <v>0</v>
      </c>
      <c r="AO57" s="201">
        <f t="shared" si="288"/>
        <v>0</v>
      </c>
      <c r="AP57" s="201">
        <f t="shared" si="288"/>
        <v>0</v>
      </c>
      <c r="AQ57" s="201">
        <f t="shared" si="288"/>
        <v>0</v>
      </c>
      <c r="AR57" s="200">
        <f t="shared" si="288"/>
        <v>0</v>
      </c>
      <c r="AS57" s="200">
        <f t="shared" si="288"/>
        <v>0</v>
      </c>
      <c r="AT57" s="173">
        <v>0.0</v>
      </c>
      <c r="AU57" s="200">
        <f t="shared" ref="AU57:AX57" si="289">countif($D57,"*"&amp;AU$2&amp;"*")</f>
        <v>0</v>
      </c>
      <c r="AV57" s="200">
        <f t="shared" si="289"/>
        <v>1</v>
      </c>
      <c r="AW57" s="200">
        <f t="shared" si="289"/>
        <v>0</v>
      </c>
      <c r="AX57" s="200">
        <f t="shared" si="289"/>
        <v>0</v>
      </c>
      <c r="AY57" s="202">
        <v>0.0</v>
      </c>
      <c r="AZ57" s="200"/>
      <c r="BA57" s="171" t="str">
        <f t="shared" si="18"/>
        <v/>
      </c>
      <c r="BB57" s="171" t="str">
        <f t="shared" si="19"/>
        <v>Code</v>
      </c>
      <c r="BC57" s="171" t="str">
        <f t="shared" si="20"/>
        <v/>
      </c>
      <c r="BD57" s="171" t="str">
        <f t="shared" si="21"/>
        <v/>
      </c>
      <c r="BE57" s="171" t="str">
        <f t="shared" si="22"/>
        <v/>
      </c>
      <c r="BF57" s="171" t="str">
        <f t="shared" si="23"/>
        <v>Code</v>
      </c>
    </row>
    <row r="58">
      <c r="A58" s="171">
        <f t="array" ref="A58">XLOOKUP(C58,ICSE!A:A,ICSE!C:C,,2,1)</f>
        <v>2022</v>
      </c>
      <c r="B58" s="171" t="s">
        <v>5675</v>
      </c>
      <c r="C58" s="160">
        <v>53.0</v>
      </c>
      <c r="D58" s="161" t="s">
        <v>5754</v>
      </c>
      <c r="E58" s="197" t="str">
        <f t="array" ref="E58">XLOOKUP(C58,ICSE!A:A,ICSE!Z:Z,,0,1)</f>
        <v>Publicly available (2)</v>
      </c>
      <c r="F58" s="198" t="s">
        <v>20</v>
      </c>
      <c r="G58" s="163" t="str">
        <f t="array" ref="G58">IF(B58="ICSE",IF(COUNTIFS(B:B,B58,C:C,C58)=XLOOKUP(C58,ICSE!A:A,ICSE!AA:AA,"ERROR",0,1),"OK","ERROR"),IF(B58="FSE",IF(COUNTIFS(B:B,B58,C:C,C58)=XLOOKUP(C58,FSE!A:A,FSE!AA:AA,"ERROR",0,1),"OK","ERROR")))</f>
        <v>OK</v>
      </c>
      <c r="H58" s="199">
        <f t="shared" ref="H58:O58" si="290">countif($D58,"*"&amp;H$2&amp;"*")</f>
        <v>0</v>
      </c>
      <c r="I58" s="200">
        <f t="shared" si="290"/>
        <v>1</v>
      </c>
      <c r="J58" s="200">
        <f t="shared" si="290"/>
        <v>0</v>
      </c>
      <c r="K58" s="200">
        <f t="shared" si="290"/>
        <v>0</v>
      </c>
      <c r="L58" s="200">
        <f t="shared" si="290"/>
        <v>0</v>
      </c>
      <c r="M58" s="200">
        <f t="shared" si="290"/>
        <v>0</v>
      </c>
      <c r="N58" s="200">
        <f t="shared" si="290"/>
        <v>0</v>
      </c>
      <c r="O58" s="200">
        <f t="shared" si="290"/>
        <v>0</v>
      </c>
      <c r="P58" s="200">
        <f t="shared" si="9"/>
        <v>0</v>
      </c>
      <c r="Q58" s="200">
        <f t="shared" ref="Q58:AC58" si="291">countif($D58,"*"&amp;Q$2&amp;"*")</f>
        <v>0</v>
      </c>
      <c r="R58" s="200">
        <f t="shared" si="291"/>
        <v>0</v>
      </c>
      <c r="S58" s="200">
        <f t="shared" si="291"/>
        <v>0</v>
      </c>
      <c r="T58" s="200">
        <f t="shared" si="291"/>
        <v>0</v>
      </c>
      <c r="U58" s="200">
        <f t="shared" si="291"/>
        <v>0</v>
      </c>
      <c r="V58" s="200">
        <f t="shared" si="291"/>
        <v>0</v>
      </c>
      <c r="W58" s="200">
        <f t="shared" si="291"/>
        <v>0</v>
      </c>
      <c r="X58" s="200">
        <f t="shared" si="291"/>
        <v>0</v>
      </c>
      <c r="Y58" s="200">
        <f t="shared" si="291"/>
        <v>0</v>
      </c>
      <c r="Z58" s="200">
        <f t="shared" si="291"/>
        <v>0</v>
      </c>
      <c r="AA58" s="200">
        <f t="shared" si="291"/>
        <v>0</v>
      </c>
      <c r="AB58" s="200">
        <f t="shared" si="291"/>
        <v>0</v>
      </c>
      <c r="AC58" s="200">
        <f t="shared" si="291"/>
        <v>0</v>
      </c>
      <c r="AD58" s="200">
        <f t="shared" si="11"/>
        <v>0</v>
      </c>
      <c r="AE58" s="200">
        <f t="shared" ref="AE58:AG58" si="292">countif($D58,"*"&amp;AE$2&amp;"*")</f>
        <v>0</v>
      </c>
      <c r="AF58" s="200">
        <f t="shared" si="292"/>
        <v>0</v>
      </c>
      <c r="AG58" s="200">
        <f t="shared" si="292"/>
        <v>0</v>
      </c>
      <c r="AH58" s="171">
        <f t="shared" si="13"/>
        <v>0</v>
      </c>
      <c r="AI58" s="200">
        <f t="shared" si="14"/>
        <v>1</v>
      </c>
      <c r="AJ58" s="200">
        <f t="shared" si="137"/>
        <v>0</v>
      </c>
      <c r="AK58" s="201">
        <f t="shared" ref="AK58:AS58" si="293">countif($D58,"*"&amp;AK$2&amp;"*")</f>
        <v>0</v>
      </c>
      <c r="AL58" s="201">
        <f t="shared" si="293"/>
        <v>0</v>
      </c>
      <c r="AM58" s="201">
        <f t="shared" si="293"/>
        <v>0</v>
      </c>
      <c r="AN58" s="201">
        <f t="shared" si="293"/>
        <v>0</v>
      </c>
      <c r="AO58" s="201">
        <f t="shared" si="293"/>
        <v>0</v>
      </c>
      <c r="AP58" s="201">
        <f t="shared" si="293"/>
        <v>0</v>
      </c>
      <c r="AQ58" s="201">
        <f t="shared" si="293"/>
        <v>0</v>
      </c>
      <c r="AR58" s="200">
        <f t="shared" si="293"/>
        <v>0</v>
      </c>
      <c r="AS58" s="200">
        <f t="shared" si="293"/>
        <v>1</v>
      </c>
      <c r="AT58" s="173">
        <v>0.0</v>
      </c>
      <c r="AU58" s="200">
        <f t="shared" ref="AU58:AX58" si="294">countif($D58,"*"&amp;AU$2&amp;"*")</f>
        <v>0</v>
      </c>
      <c r="AV58" s="200">
        <f t="shared" si="294"/>
        <v>0</v>
      </c>
      <c r="AW58" s="200">
        <f t="shared" si="294"/>
        <v>0</v>
      </c>
      <c r="AX58" s="200">
        <f t="shared" si="294"/>
        <v>1</v>
      </c>
      <c r="AY58" s="202">
        <v>0.0</v>
      </c>
      <c r="AZ58" s="200"/>
      <c r="BA58" s="171" t="str">
        <f t="shared" si="18"/>
        <v>Archival</v>
      </c>
      <c r="BB58" s="171" t="str">
        <f t="shared" si="19"/>
        <v/>
      </c>
      <c r="BC58" s="171" t="str">
        <f t="shared" si="20"/>
        <v/>
      </c>
      <c r="BD58" s="171" t="str">
        <f t="shared" si="21"/>
        <v/>
      </c>
      <c r="BE58" s="171" t="str">
        <f t="shared" si="22"/>
        <v/>
      </c>
      <c r="BF58" s="171" t="str">
        <f t="shared" si="23"/>
        <v>Archival</v>
      </c>
    </row>
    <row r="59">
      <c r="A59" s="171">
        <f t="array" ref="A59">XLOOKUP(C59,ICSE!A:A,ICSE!C:C,,2,1)</f>
        <v>2022</v>
      </c>
      <c r="B59" s="171" t="s">
        <v>5675</v>
      </c>
      <c r="C59" s="203">
        <v>53.0</v>
      </c>
      <c r="D59" s="161" t="s">
        <v>5755</v>
      </c>
      <c r="E59" s="197" t="str">
        <f t="array" ref="E59">XLOOKUP(C59,ICSE!A:A,ICSE!Z:Z,,0,1)</f>
        <v>Publicly available (2)</v>
      </c>
      <c r="F59" s="198" t="s">
        <v>20</v>
      </c>
      <c r="G59" s="163" t="str">
        <f t="array" ref="G59">IF(B59="ICSE",IF(COUNTIFS(B:B,B59,C:C,C59)=XLOOKUP(C59,ICSE!A:A,ICSE!AA:AA,"ERROR",0,1),"OK","ERROR"),IF(B59="FSE",IF(COUNTIFS(B:B,B59,C:C,C59)=XLOOKUP(C59,FSE!A:A,FSE!AA:AA,"ERROR",0,1),"OK","ERROR")))</f>
        <v>OK</v>
      </c>
      <c r="H59" s="199">
        <f t="shared" ref="H59:O59" si="295">countif($D59,"*"&amp;H$2&amp;"*")</f>
        <v>0</v>
      </c>
      <c r="I59" s="200">
        <f t="shared" si="295"/>
        <v>0</v>
      </c>
      <c r="J59" s="200">
        <f t="shared" si="295"/>
        <v>0</v>
      </c>
      <c r="K59" s="200">
        <f t="shared" si="295"/>
        <v>0</v>
      </c>
      <c r="L59" s="200">
        <f t="shared" si="295"/>
        <v>0</v>
      </c>
      <c r="M59" s="200">
        <f t="shared" si="295"/>
        <v>0</v>
      </c>
      <c r="N59" s="200">
        <f t="shared" si="295"/>
        <v>0</v>
      </c>
      <c r="O59" s="200">
        <f t="shared" si="295"/>
        <v>0</v>
      </c>
      <c r="P59" s="200">
        <f t="shared" si="9"/>
        <v>1</v>
      </c>
      <c r="Q59" s="200">
        <f t="shared" ref="Q59:AC59" si="296">countif($D59,"*"&amp;Q$2&amp;"*")</f>
        <v>0</v>
      </c>
      <c r="R59" s="200">
        <f t="shared" si="296"/>
        <v>0</v>
      </c>
      <c r="S59" s="200">
        <f t="shared" si="296"/>
        <v>0</v>
      </c>
      <c r="T59" s="200">
        <f t="shared" si="296"/>
        <v>0</v>
      </c>
      <c r="U59" s="200">
        <f t="shared" si="296"/>
        <v>0</v>
      </c>
      <c r="V59" s="200">
        <f t="shared" si="296"/>
        <v>0</v>
      </c>
      <c r="W59" s="200">
        <f t="shared" si="296"/>
        <v>0</v>
      </c>
      <c r="X59" s="200">
        <f t="shared" si="296"/>
        <v>0</v>
      </c>
      <c r="Y59" s="200">
        <f t="shared" si="296"/>
        <v>0</v>
      </c>
      <c r="Z59" s="200">
        <f t="shared" si="296"/>
        <v>0</v>
      </c>
      <c r="AA59" s="200">
        <f t="shared" si="296"/>
        <v>0</v>
      </c>
      <c r="AB59" s="200">
        <f t="shared" si="296"/>
        <v>0</v>
      </c>
      <c r="AC59" s="200">
        <f t="shared" si="296"/>
        <v>0</v>
      </c>
      <c r="AD59" s="200">
        <f t="shared" si="11"/>
        <v>0</v>
      </c>
      <c r="AE59" s="200">
        <f t="shared" ref="AE59:AG59" si="297">countif($D59,"*"&amp;AE$2&amp;"*")</f>
        <v>0</v>
      </c>
      <c r="AF59" s="200">
        <f t="shared" si="297"/>
        <v>0</v>
      </c>
      <c r="AG59" s="200">
        <f t="shared" si="297"/>
        <v>0</v>
      </c>
      <c r="AH59" s="171">
        <f t="shared" si="13"/>
        <v>0</v>
      </c>
      <c r="AI59" s="200">
        <f t="shared" si="14"/>
        <v>0</v>
      </c>
      <c r="AJ59" s="200">
        <f t="shared" si="137"/>
        <v>0</v>
      </c>
      <c r="AK59" s="201">
        <f t="shared" ref="AK59:AS59" si="298">countif($D59,"*"&amp;AK$2&amp;"*")</f>
        <v>0</v>
      </c>
      <c r="AL59" s="201">
        <f t="shared" si="298"/>
        <v>0</v>
      </c>
      <c r="AM59" s="201">
        <f t="shared" si="298"/>
        <v>0</v>
      </c>
      <c r="AN59" s="201">
        <f t="shared" si="298"/>
        <v>0</v>
      </c>
      <c r="AO59" s="201">
        <f t="shared" si="298"/>
        <v>0</v>
      </c>
      <c r="AP59" s="201">
        <f t="shared" si="298"/>
        <v>0</v>
      </c>
      <c r="AQ59" s="201">
        <f t="shared" si="298"/>
        <v>0</v>
      </c>
      <c r="AR59" s="200">
        <f t="shared" si="298"/>
        <v>0</v>
      </c>
      <c r="AS59" s="200">
        <f t="shared" si="298"/>
        <v>0</v>
      </c>
      <c r="AT59" s="173">
        <v>0.0</v>
      </c>
      <c r="AU59" s="200">
        <f t="shared" ref="AU59:AX59" si="299">countif($D59,"*"&amp;AU$2&amp;"*")</f>
        <v>0</v>
      </c>
      <c r="AV59" s="200">
        <f t="shared" si="299"/>
        <v>1</v>
      </c>
      <c r="AW59" s="200">
        <f t="shared" si="299"/>
        <v>0</v>
      </c>
      <c r="AX59" s="200">
        <f t="shared" si="299"/>
        <v>0</v>
      </c>
      <c r="AY59" s="202">
        <v>0.0</v>
      </c>
      <c r="AZ59" s="200"/>
      <c r="BA59" s="171" t="str">
        <f t="shared" si="18"/>
        <v/>
      </c>
      <c r="BB59" s="171" t="str">
        <f t="shared" si="19"/>
        <v>Code</v>
      </c>
      <c r="BC59" s="171" t="str">
        <f t="shared" si="20"/>
        <v/>
      </c>
      <c r="BD59" s="171" t="str">
        <f t="shared" si="21"/>
        <v/>
      </c>
      <c r="BE59" s="171" t="str">
        <f t="shared" si="22"/>
        <v/>
      </c>
      <c r="BF59" s="171" t="str">
        <f t="shared" si="23"/>
        <v>Code</v>
      </c>
    </row>
    <row r="60">
      <c r="A60" s="171">
        <f t="array" ref="A60">XLOOKUP(C60,ICSE!A:A,ICSE!C:C,,2,1)</f>
        <v>2022</v>
      </c>
      <c r="B60" s="171" t="s">
        <v>5675</v>
      </c>
      <c r="C60" s="160">
        <v>54.0</v>
      </c>
      <c r="D60" s="161" t="s">
        <v>2401</v>
      </c>
      <c r="E60" s="197" t="str">
        <f t="array" ref="E60">XLOOKUP(C60,ICSE!A:A,ICSE!Z:Z,,0,1)</f>
        <v>Publicly available (1)</v>
      </c>
      <c r="F60" s="198" t="s">
        <v>20</v>
      </c>
      <c r="G60" s="163" t="str">
        <f t="array" ref="G60">IF(B60="ICSE",IF(COUNTIFS(B:B,B60,C:C,C60)=XLOOKUP(C60,ICSE!A:A,ICSE!AA:AA,"ERROR",0,1),"OK","ERROR"),IF(B60="FSE",IF(COUNTIFS(B:B,B60,C:C,C60)=XLOOKUP(C60,FSE!A:A,FSE!AA:AA,"ERROR",0,1),"OK","ERROR")))</f>
        <v>OK</v>
      </c>
      <c r="H60" s="199">
        <f t="shared" ref="H60:O60" si="300">countif($D60,"*"&amp;H$2&amp;"*")</f>
        <v>0</v>
      </c>
      <c r="I60" s="200">
        <f t="shared" si="300"/>
        <v>0</v>
      </c>
      <c r="J60" s="200">
        <f t="shared" si="300"/>
        <v>0</v>
      </c>
      <c r="K60" s="200">
        <f t="shared" si="300"/>
        <v>0</v>
      </c>
      <c r="L60" s="200">
        <f t="shared" si="300"/>
        <v>0</v>
      </c>
      <c r="M60" s="200">
        <f t="shared" si="300"/>
        <v>0</v>
      </c>
      <c r="N60" s="200">
        <f t="shared" si="300"/>
        <v>0</v>
      </c>
      <c r="O60" s="200">
        <f t="shared" si="300"/>
        <v>0</v>
      </c>
      <c r="P60" s="200">
        <f t="shared" si="9"/>
        <v>1</v>
      </c>
      <c r="Q60" s="200">
        <f t="shared" ref="Q60:AC60" si="301">countif($D60,"*"&amp;Q$2&amp;"*")</f>
        <v>0</v>
      </c>
      <c r="R60" s="200">
        <f t="shared" si="301"/>
        <v>0</v>
      </c>
      <c r="S60" s="200">
        <f t="shared" si="301"/>
        <v>0</v>
      </c>
      <c r="T60" s="200">
        <f t="shared" si="301"/>
        <v>0</v>
      </c>
      <c r="U60" s="200">
        <f t="shared" si="301"/>
        <v>0</v>
      </c>
      <c r="V60" s="200">
        <f t="shared" si="301"/>
        <v>0</v>
      </c>
      <c r="W60" s="200">
        <f t="shared" si="301"/>
        <v>0</v>
      </c>
      <c r="X60" s="200">
        <f t="shared" si="301"/>
        <v>0</v>
      </c>
      <c r="Y60" s="200">
        <f t="shared" si="301"/>
        <v>0</v>
      </c>
      <c r="Z60" s="200">
        <f t="shared" si="301"/>
        <v>0</v>
      </c>
      <c r="AA60" s="200">
        <f t="shared" si="301"/>
        <v>0</v>
      </c>
      <c r="AB60" s="200">
        <f t="shared" si="301"/>
        <v>0</v>
      </c>
      <c r="AC60" s="200">
        <f t="shared" si="301"/>
        <v>0</v>
      </c>
      <c r="AD60" s="200">
        <f t="shared" si="11"/>
        <v>0</v>
      </c>
      <c r="AE60" s="200">
        <f t="shared" ref="AE60:AG60" si="302">countif($D60,"*"&amp;AE$2&amp;"*")</f>
        <v>0</v>
      </c>
      <c r="AF60" s="200">
        <f t="shared" si="302"/>
        <v>0</v>
      </c>
      <c r="AG60" s="200">
        <f t="shared" si="302"/>
        <v>0</v>
      </c>
      <c r="AH60" s="171">
        <f t="shared" si="13"/>
        <v>0</v>
      </c>
      <c r="AI60" s="200">
        <f t="shared" si="14"/>
        <v>0</v>
      </c>
      <c r="AJ60" s="200">
        <f t="shared" si="137"/>
        <v>0</v>
      </c>
      <c r="AK60" s="201">
        <f t="shared" ref="AK60:AS60" si="303">countif($D60,"*"&amp;AK$2&amp;"*")</f>
        <v>0</v>
      </c>
      <c r="AL60" s="201">
        <f t="shared" si="303"/>
        <v>0</v>
      </c>
      <c r="AM60" s="201">
        <f t="shared" si="303"/>
        <v>0</v>
      </c>
      <c r="AN60" s="201">
        <f t="shared" si="303"/>
        <v>0</v>
      </c>
      <c r="AO60" s="201">
        <f t="shared" si="303"/>
        <v>0</v>
      </c>
      <c r="AP60" s="201">
        <f t="shared" si="303"/>
        <v>0</v>
      </c>
      <c r="AQ60" s="201">
        <f t="shared" si="303"/>
        <v>0</v>
      </c>
      <c r="AR60" s="200">
        <f t="shared" si="303"/>
        <v>0</v>
      </c>
      <c r="AS60" s="200">
        <f t="shared" si="303"/>
        <v>0</v>
      </c>
      <c r="AT60" s="173">
        <v>0.0</v>
      </c>
      <c r="AU60" s="200">
        <f t="shared" ref="AU60:AX60" si="304">countif($D60,"*"&amp;AU$2&amp;"*")</f>
        <v>0</v>
      </c>
      <c r="AV60" s="200">
        <f t="shared" si="304"/>
        <v>1</v>
      </c>
      <c r="AW60" s="200">
        <f t="shared" si="304"/>
        <v>0</v>
      </c>
      <c r="AX60" s="200">
        <f t="shared" si="304"/>
        <v>0</v>
      </c>
      <c r="AY60" s="202">
        <v>0.0</v>
      </c>
      <c r="AZ60" s="200"/>
      <c r="BA60" s="171" t="str">
        <f t="shared" si="18"/>
        <v/>
      </c>
      <c r="BB60" s="171" t="str">
        <f t="shared" si="19"/>
        <v>Code</v>
      </c>
      <c r="BC60" s="171" t="str">
        <f t="shared" si="20"/>
        <v/>
      </c>
      <c r="BD60" s="171" t="str">
        <f t="shared" si="21"/>
        <v/>
      </c>
      <c r="BE60" s="171" t="str">
        <f t="shared" si="22"/>
        <v/>
      </c>
      <c r="BF60" s="171" t="str">
        <f t="shared" si="23"/>
        <v>Code</v>
      </c>
    </row>
    <row r="61">
      <c r="A61" s="171">
        <f t="array" ref="A61">XLOOKUP(C61,ICSE!A:A,ICSE!C:C,,2,1)</f>
        <v>2022</v>
      </c>
      <c r="B61" s="171" t="s">
        <v>5675</v>
      </c>
      <c r="C61" s="160">
        <v>55.0</v>
      </c>
      <c r="D61" s="161" t="s">
        <v>2403</v>
      </c>
      <c r="E61" s="197" t="str">
        <f t="array" ref="E61">XLOOKUP(C61,ICSE!A:A,ICSE!Z:Z,,0,1)</f>
        <v>Not available (1) - No data access - Empty repository.</v>
      </c>
      <c r="F61" s="198" t="s">
        <v>21</v>
      </c>
      <c r="G61" s="163" t="str">
        <f t="array" ref="G61">IF(B61="ICSE",IF(COUNTIFS(B:B,B61,C:C,C61)=XLOOKUP(C61,ICSE!A:A,ICSE!AA:AA,"ERROR",0,1),"OK","ERROR"),IF(B61="FSE",IF(COUNTIFS(B:B,B61,C:C,C61)=XLOOKUP(C61,FSE!A:A,FSE!AA:AA,"ERROR",0,1),"OK","ERROR")))</f>
        <v>OK</v>
      </c>
      <c r="H61" s="199">
        <f t="shared" ref="H61:O61" si="305">countif($D61,"*"&amp;H$2&amp;"*")</f>
        <v>0</v>
      </c>
      <c r="I61" s="200">
        <f t="shared" si="305"/>
        <v>0</v>
      </c>
      <c r="J61" s="200">
        <f t="shared" si="305"/>
        <v>0</v>
      </c>
      <c r="K61" s="200">
        <f t="shared" si="305"/>
        <v>0</v>
      </c>
      <c r="L61" s="200">
        <f t="shared" si="305"/>
        <v>0</v>
      </c>
      <c r="M61" s="200">
        <f t="shared" si="305"/>
        <v>0</v>
      </c>
      <c r="N61" s="200">
        <f t="shared" si="305"/>
        <v>0</v>
      </c>
      <c r="O61" s="200">
        <f t="shared" si="305"/>
        <v>0</v>
      </c>
      <c r="P61" s="200">
        <f t="shared" si="9"/>
        <v>1</v>
      </c>
      <c r="Q61" s="200">
        <f t="shared" ref="Q61:AC61" si="306">countif($D61,"*"&amp;Q$2&amp;"*")</f>
        <v>0</v>
      </c>
      <c r="R61" s="200">
        <f t="shared" si="306"/>
        <v>0</v>
      </c>
      <c r="S61" s="200">
        <f t="shared" si="306"/>
        <v>0</v>
      </c>
      <c r="T61" s="200">
        <f t="shared" si="306"/>
        <v>0</v>
      </c>
      <c r="U61" s="200">
        <f t="shared" si="306"/>
        <v>0</v>
      </c>
      <c r="V61" s="200">
        <f t="shared" si="306"/>
        <v>0</v>
      </c>
      <c r="W61" s="200">
        <f t="shared" si="306"/>
        <v>0</v>
      </c>
      <c r="X61" s="200">
        <f t="shared" si="306"/>
        <v>0</v>
      </c>
      <c r="Y61" s="200">
        <f t="shared" si="306"/>
        <v>0</v>
      </c>
      <c r="Z61" s="200">
        <f t="shared" si="306"/>
        <v>0</v>
      </c>
      <c r="AA61" s="200">
        <f t="shared" si="306"/>
        <v>0</v>
      </c>
      <c r="AB61" s="200">
        <f t="shared" si="306"/>
        <v>0</v>
      </c>
      <c r="AC61" s="200">
        <f t="shared" si="306"/>
        <v>0</v>
      </c>
      <c r="AD61" s="200">
        <f t="shared" si="11"/>
        <v>0</v>
      </c>
      <c r="AE61" s="200">
        <f t="shared" ref="AE61:AG61" si="307">countif($D61,"*"&amp;AE$2&amp;"*")</f>
        <v>0</v>
      </c>
      <c r="AF61" s="200">
        <f t="shared" si="307"/>
        <v>0</v>
      </c>
      <c r="AG61" s="200">
        <f t="shared" si="307"/>
        <v>0</v>
      </c>
      <c r="AH61" s="171">
        <f t="shared" si="13"/>
        <v>0</v>
      </c>
      <c r="AI61" s="200">
        <f t="shared" si="14"/>
        <v>0</v>
      </c>
      <c r="AJ61" s="200">
        <f t="shared" si="137"/>
        <v>0</v>
      </c>
      <c r="AK61" s="201">
        <f t="shared" ref="AK61:AS61" si="308">countif($D61,"*"&amp;AK$2&amp;"*")</f>
        <v>0</v>
      </c>
      <c r="AL61" s="201">
        <f t="shared" si="308"/>
        <v>0</v>
      </c>
      <c r="AM61" s="201">
        <f t="shared" si="308"/>
        <v>0</v>
      </c>
      <c r="AN61" s="201">
        <f t="shared" si="308"/>
        <v>0</v>
      </c>
      <c r="AO61" s="201">
        <f t="shared" si="308"/>
        <v>0</v>
      </c>
      <c r="AP61" s="201">
        <f t="shared" si="308"/>
        <v>0</v>
      </c>
      <c r="AQ61" s="201">
        <f t="shared" si="308"/>
        <v>0</v>
      </c>
      <c r="AR61" s="200">
        <f t="shared" si="308"/>
        <v>0</v>
      </c>
      <c r="AS61" s="200">
        <f t="shared" si="308"/>
        <v>0</v>
      </c>
      <c r="AT61" s="173">
        <v>0.0</v>
      </c>
      <c r="AU61" s="200">
        <f t="shared" ref="AU61:AX61" si="309">countif($D61,"*"&amp;AU$2&amp;"*")</f>
        <v>0</v>
      </c>
      <c r="AV61" s="200">
        <f t="shared" si="309"/>
        <v>1</v>
      </c>
      <c r="AW61" s="200">
        <f t="shared" si="309"/>
        <v>0</v>
      </c>
      <c r="AX61" s="200">
        <f t="shared" si="309"/>
        <v>0</v>
      </c>
      <c r="AY61" s="202">
        <v>0.0</v>
      </c>
      <c r="AZ61" s="200"/>
      <c r="BA61" s="171" t="str">
        <f t="shared" si="18"/>
        <v/>
      </c>
      <c r="BB61" s="171" t="str">
        <f t="shared" si="19"/>
        <v>Code</v>
      </c>
      <c r="BC61" s="171" t="str">
        <f t="shared" si="20"/>
        <v/>
      </c>
      <c r="BD61" s="171" t="str">
        <f t="shared" si="21"/>
        <v/>
      </c>
      <c r="BE61" s="171" t="str">
        <f t="shared" si="22"/>
        <v/>
      </c>
      <c r="BF61" s="171" t="str">
        <f t="shared" si="23"/>
        <v>Code</v>
      </c>
    </row>
    <row r="62">
      <c r="A62" s="171">
        <f t="array" ref="A62">XLOOKUP(C62,ICSE!A:A,ICSE!C:C,,2,1)</f>
        <v>2022</v>
      </c>
      <c r="B62" s="171" t="s">
        <v>5675</v>
      </c>
      <c r="C62" s="160">
        <v>57.0</v>
      </c>
      <c r="D62" s="161" t="s">
        <v>5756</v>
      </c>
      <c r="E62" s="197" t="str">
        <f t="array" ref="E62">XLOOKUP(C62,ICSE!A:A,ICSE!Z:Z,,0,1)</f>
        <v>Publicly available (2)</v>
      </c>
      <c r="F62" s="198" t="s">
        <v>20</v>
      </c>
      <c r="G62" s="163" t="str">
        <f t="array" ref="G62">IF(B62="ICSE",IF(COUNTIFS(B:B,B62,C:C,C62)=XLOOKUP(C62,ICSE!A:A,ICSE!AA:AA,"ERROR",0,1),"OK","ERROR"),IF(B62="FSE",IF(COUNTIFS(B:B,B62,C:C,C62)=XLOOKUP(C62,FSE!A:A,FSE!AA:AA,"ERROR",0,1),"OK","ERROR")))</f>
        <v>OK</v>
      </c>
      <c r="H62" s="199">
        <f t="shared" ref="H62:O62" si="310">countif($D62,"*"&amp;H$2&amp;"*")</f>
        <v>1</v>
      </c>
      <c r="I62" s="200">
        <f t="shared" si="310"/>
        <v>0</v>
      </c>
      <c r="J62" s="200">
        <f t="shared" si="310"/>
        <v>0</v>
      </c>
      <c r="K62" s="200">
        <f t="shared" si="310"/>
        <v>0</v>
      </c>
      <c r="L62" s="200">
        <f t="shared" si="310"/>
        <v>0</v>
      </c>
      <c r="M62" s="200">
        <f t="shared" si="310"/>
        <v>0</v>
      </c>
      <c r="N62" s="200">
        <f t="shared" si="310"/>
        <v>0</v>
      </c>
      <c r="O62" s="200">
        <f t="shared" si="310"/>
        <v>0</v>
      </c>
      <c r="P62" s="200">
        <f t="shared" si="9"/>
        <v>0</v>
      </c>
      <c r="Q62" s="200">
        <f t="shared" ref="Q62:AC62" si="311">countif($D62,"*"&amp;Q$2&amp;"*")</f>
        <v>0</v>
      </c>
      <c r="R62" s="200">
        <f t="shared" si="311"/>
        <v>0</v>
      </c>
      <c r="S62" s="200">
        <f t="shared" si="311"/>
        <v>0</v>
      </c>
      <c r="T62" s="200">
        <f t="shared" si="311"/>
        <v>0</v>
      </c>
      <c r="U62" s="200">
        <f t="shared" si="311"/>
        <v>0</v>
      </c>
      <c r="V62" s="200">
        <f t="shared" si="311"/>
        <v>0</v>
      </c>
      <c r="W62" s="200">
        <f t="shared" si="311"/>
        <v>0</v>
      </c>
      <c r="X62" s="200">
        <f t="shared" si="311"/>
        <v>0</v>
      </c>
      <c r="Y62" s="200">
        <f t="shared" si="311"/>
        <v>0</v>
      </c>
      <c r="Z62" s="200">
        <f t="shared" si="311"/>
        <v>0</v>
      </c>
      <c r="AA62" s="200">
        <f t="shared" si="311"/>
        <v>0</v>
      </c>
      <c r="AB62" s="200">
        <f t="shared" si="311"/>
        <v>0</v>
      </c>
      <c r="AC62" s="200">
        <f t="shared" si="311"/>
        <v>0</v>
      </c>
      <c r="AD62" s="200">
        <f t="shared" si="11"/>
        <v>0</v>
      </c>
      <c r="AE62" s="200">
        <f t="shared" ref="AE62:AG62" si="312">countif($D62,"*"&amp;AE$2&amp;"*")</f>
        <v>0</v>
      </c>
      <c r="AF62" s="200">
        <f t="shared" si="312"/>
        <v>0</v>
      </c>
      <c r="AG62" s="200">
        <f t="shared" si="312"/>
        <v>0</v>
      </c>
      <c r="AH62" s="171">
        <f t="shared" si="13"/>
        <v>0</v>
      </c>
      <c r="AI62" s="200">
        <f t="shared" si="14"/>
        <v>1</v>
      </c>
      <c r="AJ62" s="200">
        <f t="shared" si="137"/>
        <v>0</v>
      </c>
      <c r="AK62" s="201">
        <f t="shared" ref="AK62:AS62" si="313">countif($D62,"*"&amp;AK$2&amp;"*")</f>
        <v>0</v>
      </c>
      <c r="AL62" s="201">
        <f t="shared" si="313"/>
        <v>0</v>
      </c>
      <c r="AM62" s="201">
        <f t="shared" si="313"/>
        <v>0</v>
      </c>
      <c r="AN62" s="201">
        <f t="shared" si="313"/>
        <v>0</v>
      </c>
      <c r="AO62" s="201">
        <f t="shared" si="313"/>
        <v>0</v>
      </c>
      <c r="AP62" s="201">
        <f t="shared" si="313"/>
        <v>0</v>
      </c>
      <c r="AQ62" s="201">
        <f t="shared" si="313"/>
        <v>0</v>
      </c>
      <c r="AR62" s="200">
        <f t="shared" si="313"/>
        <v>0</v>
      </c>
      <c r="AS62" s="200">
        <f t="shared" si="313"/>
        <v>0</v>
      </c>
      <c r="AT62" s="173">
        <v>0.0</v>
      </c>
      <c r="AU62" s="200">
        <f t="shared" ref="AU62:AX62" si="314">countif($D62,"*"&amp;AU$2&amp;"*")</f>
        <v>0</v>
      </c>
      <c r="AV62" s="200">
        <f t="shared" si="314"/>
        <v>0</v>
      </c>
      <c r="AW62" s="200">
        <f t="shared" si="314"/>
        <v>0</v>
      </c>
      <c r="AX62" s="200">
        <f t="shared" si="314"/>
        <v>1</v>
      </c>
      <c r="AY62" s="202">
        <v>0.0</v>
      </c>
      <c r="AZ62" s="200"/>
      <c r="BA62" s="171" t="str">
        <f t="shared" si="18"/>
        <v>Archival</v>
      </c>
      <c r="BB62" s="171" t="str">
        <f t="shared" si="19"/>
        <v/>
      </c>
      <c r="BC62" s="171" t="str">
        <f t="shared" si="20"/>
        <v/>
      </c>
      <c r="BD62" s="171" t="str">
        <f t="shared" si="21"/>
        <v/>
      </c>
      <c r="BE62" s="171" t="str">
        <f t="shared" si="22"/>
        <v/>
      </c>
      <c r="BF62" s="171" t="str">
        <f t="shared" si="23"/>
        <v>Archival</v>
      </c>
    </row>
    <row r="63">
      <c r="A63" s="171">
        <f t="array" ref="A63">XLOOKUP(C63,ICSE!A:A,ICSE!C:C,,2,1)</f>
        <v>2022</v>
      </c>
      <c r="B63" s="171" t="s">
        <v>5675</v>
      </c>
      <c r="C63" s="203">
        <v>57.0</v>
      </c>
      <c r="D63" s="161" t="s">
        <v>5757</v>
      </c>
      <c r="E63" s="197" t="str">
        <f t="array" ref="E63">XLOOKUP(C63,ICSE!A:A,ICSE!Z:Z,,0,1)</f>
        <v>Publicly available (2)</v>
      </c>
      <c r="F63" s="198" t="s">
        <v>20</v>
      </c>
      <c r="G63" s="163" t="str">
        <f t="array" ref="G63">IF(B63="ICSE",IF(COUNTIFS(B:B,B63,C:C,C63)=XLOOKUP(C63,ICSE!A:A,ICSE!AA:AA,"ERROR",0,1),"OK","ERROR"),IF(B63="FSE",IF(COUNTIFS(B:B,B63,C:C,C63)=XLOOKUP(C63,FSE!A:A,FSE!AA:AA,"ERROR",0,1),"OK","ERROR")))</f>
        <v>OK</v>
      </c>
      <c r="H63" s="199">
        <f t="shared" ref="H63:O63" si="315">countif($D63,"*"&amp;H$2&amp;"*")</f>
        <v>1</v>
      </c>
      <c r="I63" s="200">
        <f t="shared" si="315"/>
        <v>0</v>
      </c>
      <c r="J63" s="200">
        <f t="shared" si="315"/>
        <v>0</v>
      </c>
      <c r="K63" s="200">
        <f t="shared" si="315"/>
        <v>0</v>
      </c>
      <c r="L63" s="200">
        <f t="shared" si="315"/>
        <v>0</v>
      </c>
      <c r="M63" s="200">
        <f t="shared" si="315"/>
        <v>0</v>
      </c>
      <c r="N63" s="200">
        <f t="shared" si="315"/>
        <v>0</v>
      </c>
      <c r="O63" s="200">
        <f t="shared" si="315"/>
        <v>0</v>
      </c>
      <c r="P63" s="200">
        <f t="shared" si="9"/>
        <v>0</v>
      </c>
      <c r="Q63" s="200">
        <f t="shared" ref="Q63:AC63" si="316">countif($D63,"*"&amp;Q$2&amp;"*")</f>
        <v>0</v>
      </c>
      <c r="R63" s="200">
        <f t="shared" si="316"/>
        <v>0</v>
      </c>
      <c r="S63" s="200">
        <f t="shared" si="316"/>
        <v>0</v>
      </c>
      <c r="T63" s="200">
        <f t="shared" si="316"/>
        <v>0</v>
      </c>
      <c r="U63" s="200">
        <f t="shared" si="316"/>
        <v>0</v>
      </c>
      <c r="V63" s="200">
        <f t="shared" si="316"/>
        <v>0</v>
      </c>
      <c r="W63" s="200">
        <f t="shared" si="316"/>
        <v>0</v>
      </c>
      <c r="X63" s="200">
        <f t="shared" si="316"/>
        <v>0</v>
      </c>
      <c r="Y63" s="200">
        <f t="shared" si="316"/>
        <v>0</v>
      </c>
      <c r="Z63" s="200">
        <f t="shared" si="316"/>
        <v>0</v>
      </c>
      <c r="AA63" s="200">
        <f t="shared" si="316"/>
        <v>0</v>
      </c>
      <c r="AB63" s="200">
        <f t="shared" si="316"/>
        <v>0</v>
      </c>
      <c r="AC63" s="200">
        <f t="shared" si="316"/>
        <v>0</v>
      </c>
      <c r="AD63" s="200">
        <f t="shared" si="11"/>
        <v>0</v>
      </c>
      <c r="AE63" s="200">
        <f t="shared" ref="AE63:AG63" si="317">countif($D63,"*"&amp;AE$2&amp;"*")</f>
        <v>0</v>
      </c>
      <c r="AF63" s="200">
        <f t="shared" si="317"/>
        <v>0</v>
      </c>
      <c r="AG63" s="200">
        <f t="shared" si="317"/>
        <v>0</v>
      </c>
      <c r="AH63" s="171">
        <f t="shared" si="13"/>
        <v>0</v>
      </c>
      <c r="AI63" s="200">
        <f t="shared" si="14"/>
        <v>1</v>
      </c>
      <c r="AJ63" s="200">
        <f t="shared" si="137"/>
        <v>0</v>
      </c>
      <c r="AK63" s="201">
        <f t="shared" ref="AK63:AS63" si="318">countif($D63,"*"&amp;AK$2&amp;"*")</f>
        <v>0</v>
      </c>
      <c r="AL63" s="201">
        <f t="shared" si="318"/>
        <v>0</v>
      </c>
      <c r="AM63" s="201">
        <f t="shared" si="318"/>
        <v>0</v>
      </c>
      <c r="AN63" s="201">
        <f t="shared" si="318"/>
        <v>0</v>
      </c>
      <c r="AO63" s="201">
        <f t="shared" si="318"/>
        <v>0</v>
      </c>
      <c r="AP63" s="201">
        <f t="shared" si="318"/>
        <v>0</v>
      </c>
      <c r="AQ63" s="201">
        <f t="shared" si="318"/>
        <v>0</v>
      </c>
      <c r="AR63" s="200">
        <f t="shared" si="318"/>
        <v>0</v>
      </c>
      <c r="AS63" s="200">
        <f t="shared" si="318"/>
        <v>0</v>
      </c>
      <c r="AT63" s="173">
        <v>0.0</v>
      </c>
      <c r="AU63" s="200">
        <f t="shared" ref="AU63:AX63" si="319">countif($D63,"*"&amp;AU$2&amp;"*")</f>
        <v>0</v>
      </c>
      <c r="AV63" s="200">
        <f t="shared" si="319"/>
        <v>0</v>
      </c>
      <c r="AW63" s="200">
        <f t="shared" si="319"/>
        <v>0</v>
      </c>
      <c r="AX63" s="200">
        <f t="shared" si="319"/>
        <v>1</v>
      </c>
      <c r="AY63" s="202">
        <v>0.0</v>
      </c>
      <c r="AZ63" s="200"/>
      <c r="BA63" s="171" t="str">
        <f t="shared" si="18"/>
        <v>Archival</v>
      </c>
      <c r="BB63" s="171" t="str">
        <f t="shared" si="19"/>
        <v/>
      </c>
      <c r="BC63" s="171" t="str">
        <f t="shared" si="20"/>
        <v/>
      </c>
      <c r="BD63" s="171" t="str">
        <f t="shared" si="21"/>
        <v/>
      </c>
      <c r="BE63" s="171" t="str">
        <f t="shared" si="22"/>
        <v/>
      </c>
      <c r="BF63" s="171" t="str">
        <f t="shared" si="23"/>
        <v>Archival</v>
      </c>
    </row>
    <row r="64">
      <c r="A64" s="171">
        <f t="array" ref="A64">XLOOKUP(C64,ICSE!A:A,ICSE!C:C,,2,1)</f>
        <v>2022</v>
      </c>
      <c r="B64" s="171" t="s">
        <v>5675</v>
      </c>
      <c r="C64" s="160">
        <v>58.0</v>
      </c>
      <c r="D64" s="161" t="s">
        <v>2411</v>
      </c>
      <c r="E64" s="197" t="str">
        <f t="array" ref="E64">XLOOKUP(C64,ICSE!A:A,ICSE!Z:Z,,0,1)</f>
        <v>Publicly available (1)</v>
      </c>
      <c r="F64" s="198" t="s">
        <v>20</v>
      </c>
      <c r="G64" s="163" t="str">
        <f t="array" ref="G64">IF(B64="ICSE",IF(COUNTIFS(B:B,B64,C:C,C64)=XLOOKUP(C64,ICSE!A:A,ICSE!AA:AA,"ERROR",0,1),"OK","ERROR"),IF(B64="FSE",IF(COUNTIFS(B:B,B64,C:C,C64)=XLOOKUP(C64,FSE!A:A,FSE!AA:AA,"ERROR",0,1),"OK","ERROR")))</f>
        <v>OK</v>
      </c>
      <c r="H64" s="199">
        <f t="shared" ref="H64:O64" si="320">countif($D64,"*"&amp;H$2&amp;"*")</f>
        <v>0</v>
      </c>
      <c r="I64" s="200">
        <f t="shared" si="320"/>
        <v>0</v>
      </c>
      <c r="J64" s="200">
        <f t="shared" si="320"/>
        <v>0</v>
      </c>
      <c r="K64" s="200">
        <f t="shared" si="320"/>
        <v>0</v>
      </c>
      <c r="L64" s="200">
        <f t="shared" si="320"/>
        <v>0</v>
      </c>
      <c r="M64" s="200">
        <f t="shared" si="320"/>
        <v>0</v>
      </c>
      <c r="N64" s="200">
        <f t="shared" si="320"/>
        <v>0</v>
      </c>
      <c r="O64" s="200">
        <f t="shared" si="320"/>
        <v>0</v>
      </c>
      <c r="P64" s="200">
        <f t="shared" si="9"/>
        <v>0</v>
      </c>
      <c r="Q64" s="200">
        <f t="shared" ref="Q64:AC64" si="321">countif($D64,"*"&amp;Q$2&amp;"*")</f>
        <v>0</v>
      </c>
      <c r="R64" s="200">
        <f t="shared" si="321"/>
        <v>0</v>
      </c>
      <c r="S64" s="200">
        <f t="shared" si="321"/>
        <v>0</v>
      </c>
      <c r="T64" s="200">
        <f t="shared" si="321"/>
        <v>0</v>
      </c>
      <c r="U64" s="200">
        <f t="shared" si="321"/>
        <v>0</v>
      </c>
      <c r="V64" s="200">
        <f t="shared" si="321"/>
        <v>0</v>
      </c>
      <c r="W64" s="200">
        <f t="shared" si="321"/>
        <v>0</v>
      </c>
      <c r="X64" s="200">
        <f t="shared" si="321"/>
        <v>0</v>
      </c>
      <c r="Y64" s="200">
        <f t="shared" si="321"/>
        <v>0</v>
      </c>
      <c r="Z64" s="200">
        <f t="shared" si="321"/>
        <v>0</v>
      </c>
      <c r="AA64" s="200">
        <f t="shared" si="321"/>
        <v>1</v>
      </c>
      <c r="AB64" s="200">
        <f t="shared" si="321"/>
        <v>0</v>
      </c>
      <c r="AC64" s="200">
        <f t="shared" si="321"/>
        <v>0</v>
      </c>
      <c r="AD64" s="200">
        <f t="shared" si="11"/>
        <v>0</v>
      </c>
      <c r="AE64" s="200">
        <f t="shared" ref="AE64:AG64" si="322">countif($D64,"*"&amp;AE$2&amp;"*")</f>
        <v>0</v>
      </c>
      <c r="AF64" s="200">
        <f t="shared" si="322"/>
        <v>0</v>
      </c>
      <c r="AG64" s="200">
        <f t="shared" si="322"/>
        <v>0</v>
      </c>
      <c r="AH64" s="171">
        <f t="shared" si="13"/>
        <v>0</v>
      </c>
      <c r="AI64" s="200">
        <f t="shared" si="14"/>
        <v>0</v>
      </c>
      <c r="AJ64" s="200">
        <f t="shared" si="137"/>
        <v>0</v>
      </c>
      <c r="AK64" s="201">
        <f t="shared" ref="AK64:AS64" si="323">countif($D64,"*"&amp;AK$2&amp;"*")</f>
        <v>0</v>
      </c>
      <c r="AL64" s="201">
        <f t="shared" si="323"/>
        <v>0</v>
      </c>
      <c r="AM64" s="201">
        <f t="shared" si="323"/>
        <v>0</v>
      </c>
      <c r="AN64" s="201">
        <f t="shared" si="323"/>
        <v>0</v>
      </c>
      <c r="AO64" s="201">
        <f t="shared" si="323"/>
        <v>0</v>
      </c>
      <c r="AP64" s="201">
        <f t="shared" si="323"/>
        <v>0</v>
      </c>
      <c r="AQ64" s="201">
        <f t="shared" si="323"/>
        <v>0</v>
      </c>
      <c r="AR64" s="200">
        <f t="shared" si="323"/>
        <v>0</v>
      </c>
      <c r="AS64" s="200">
        <f t="shared" si="323"/>
        <v>0</v>
      </c>
      <c r="AT64" s="173">
        <v>0.0</v>
      </c>
      <c r="AU64" s="200">
        <f t="shared" ref="AU64:AX64" si="324">countif($D64,"*"&amp;AU$2&amp;"*")</f>
        <v>0</v>
      </c>
      <c r="AV64" s="200">
        <f t="shared" si="324"/>
        <v>0</v>
      </c>
      <c r="AW64" s="200">
        <f t="shared" si="324"/>
        <v>0</v>
      </c>
      <c r="AX64" s="200">
        <f t="shared" si="324"/>
        <v>0</v>
      </c>
      <c r="AY64" s="202">
        <v>0.0</v>
      </c>
      <c r="AZ64" s="200"/>
      <c r="BA64" s="171" t="str">
        <f t="shared" si="18"/>
        <v/>
      </c>
      <c r="BB64" s="171" t="str">
        <f t="shared" si="19"/>
        <v/>
      </c>
      <c r="BC64" s="171" t="str">
        <f t="shared" si="20"/>
        <v>General-purpose</v>
      </c>
      <c r="BD64" s="171" t="str">
        <f t="shared" si="21"/>
        <v/>
      </c>
      <c r="BE64" s="171" t="str">
        <f t="shared" si="22"/>
        <v/>
      </c>
      <c r="BF64" s="171" t="str">
        <f t="shared" si="23"/>
        <v>General-purpose</v>
      </c>
    </row>
    <row r="65">
      <c r="A65" s="171">
        <f t="array" ref="A65">XLOOKUP(C65,ICSE!A:A,ICSE!C:C,,2,1)</f>
        <v>2022</v>
      </c>
      <c r="B65" s="171" t="s">
        <v>5675</v>
      </c>
      <c r="C65" s="160">
        <v>59.0</v>
      </c>
      <c r="D65" s="161" t="s">
        <v>2414</v>
      </c>
      <c r="E65" s="197" t="str">
        <f t="array" ref="E65">XLOOKUP(C65,ICSE!A:A,ICSE!Z:Z,,0,1)</f>
        <v>Publicly available (1)</v>
      </c>
      <c r="F65" s="198" t="s">
        <v>20</v>
      </c>
      <c r="G65" s="163" t="str">
        <f t="array" ref="G65">IF(B65="ICSE",IF(COUNTIFS(B:B,B65,C:C,C65)=XLOOKUP(C65,ICSE!A:A,ICSE!AA:AA,"ERROR",0,1),"OK","ERROR"),IF(B65="FSE",IF(COUNTIFS(B:B,B65,C:C,C65)=XLOOKUP(C65,FSE!A:A,FSE!AA:AA,"ERROR",0,1),"OK","ERROR")))</f>
        <v>OK</v>
      </c>
      <c r="H65" s="199">
        <f t="shared" ref="H65:O65" si="325">countif($D65,"*"&amp;H$2&amp;"*")</f>
        <v>0</v>
      </c>
      <c r="I65" s="200">
        <f t="shared" si="325"/>
        <v>0</v>
      </c>
      <c r="J65" s="200">
        <f t="shared" si="325"/>
        <v>0</v>
      </c>
      <c r="K65" s="200">
        <f t="shared" si="325"/>
        <v>0</v>
      </c>
      <c r="L65" s="200">
        <f t="shared" si="325"/>
        <v>0</v>
      </c>
      <c r="M65" s="200">
        <f t="shared" si="325"/>
        <v>0</v>
      </c>
      <c r="N65" s="200">
        <f t="shared" si="325"/>
        <v>0</v>
      </c>
      <c r="O65" s="200">
        <f t="shared" si="325"/>
        <v>0</v>
      </c>
      <c r="P65" s="200">
        <f t="shared" si="9"/>
        <v>1</v>
      </c>
      <c r="Q65" s="200">
        <f t="shared" ref="Q65:AC65" si="326">countif($D65,"*"&amp;Q$2&amp;"*")</f>
        <v>0</v>
      </c>
      <c r="R65" s="200">
        <f t="shared" si="326"/>
        <v>0</v>
      </c>
      <c r="S65" s="200">
        <f t="shared" si="326"/>
        <v>0</v>
      </c>
      <c r="T65" s="200">
        <f t="shared" si="326"/>
        <v>0</v>
      </c>
      <c r="U65" s="200">
        <f t="shared" si="326"/>
        <v>0</v>
      </c>
      <c r="V65" s="200">
        <f t="shared" si="326"/>
        <v>0</v>
      </c>
      <c r="W65" s="200">
        <f t="shared" si="326"/>
        <v>0</v>
      </c>
      <c r="X65" s="200">
        <f t="shared" si="326"/>
        <v>0</v>
      </c>
      <c r="Y65" s="200">
        <f t="shared" si="326"/>
        <v>0</v>
      </c>
      <c r="Z65" s="200">
        <f t="shared" si="326"/>
        <v>0</v>
      </c>
      <c r="AA65" s="200">
        <f t="shared" si="326"/>
        <v>0</v>
      </c>
      <c r="AB65" s="200">
        <f t="shared" si="326"/>
        <v>0</v>
      </c>
      <c r="AC65" s="200">
        <f t="shared" si="326"/>
        <v>0</v>
      </c>
      <c r="AD65" s="200">
        <f t="shared" si="11"/>
        <v>0</v>
      </c>
      <c r="AE65" s="200">
        <f t="shared" ref="AE65:AG65" si="327">countif($D65,"*"&amp;AE$2&amp;"*")</f>
        <v>0</v>
      </c>
      <c r="AF65" s="200">
        <f t="shared" si="327"/>
        <v>0</v>
      </c>
      <c r="AG65" s="200">
        <f t="shared" si="327"/>
        <v>0</v>
      </c>
      <c r="AH65" s="171">
        <f t="shared" si="13"/>
        <v>0</v>
      </c>
      <c r="AI65" s="200">
        <f t="shared" si="14"/>
        <v>0</v>
      </c>
      <c r="AJ65" s="200">
        <f t="shared" si="137"/>
        <v>0</v>
      </c>
      <c r="AK65" s="201">
        <f t="shared" ref="AK65:AS65" si="328">countif($D65,"*"&amp;AK$2&amp;"*")</f>
        <v>0</v>
      </c>
      <c r="AL65" s="201">
        <f t="shared" si="328"/>
        <v>0</v>
      </c>
      <c r="AM65" s="201">
        <f t="shared" si="328"/>
        <v>0</v>
      </c>
      <c r="AN65" s="201">
        <f t="shared" si="328"/>
        <v>0</v>
      </c>
      <c r="AO65" s="201">
        <f t="shared" si="328"/>
        <v>0</v>
      </c>
      <c r="AP65" s="201">
        <f t="shared" si="328"/>
        <v>0</v>
      </c>
      <c r="AQ65" s="201">
        <f t="shared" si="328"/>
        <v>0</v>
      </c>
      <c r="AR65" s="200">
        <f t="shared" si="328"/>
        <v>0</v>
      </c>
      <c r="AS65" s="200">
        <f t="shared" si="328"/>
        <v>0</v>
      </c>
      <c r="AT65" s="173">
        <v>0.0</v>
      </c>
      <c r="AU65" s="200">
        <f t="shared" ref="AU65:AX65" si="329">countif($D65,"*"&amp;AU$2&amp;"*")</f>
        <v>0</v>
      </c>
      <c r="AV65" s="200">
        <f t="shared" si="329"/>
        <v>1</v>
      </c>
      <c r="AW65" s="200">
        <f t="shared" si="329"/>
        <v>0</v>
      </c>
      <c r="AX65" s="200">
        <f t="shared" si="329"/>
        <v>0</v>
      </c>
      <c r="AY65" s="202">
        <v>0.0</v>
      </c>
      <c r="AZ65" s="200"/>
      <c r="BA65" s="171" t="str">
        <f t="shared" si="18"/>
        <v/>
      </c>
      <c r="BB65" s="171" t="str">
        <f t="shared" si="19"/>
        <v>Code</v>
      </c>
      <c r="BC65" s="171" t="str">
        <f t="shared" si="20"/>
        <v/>
      </c>
      <c r="BD65" s="171" t="str">
        <f t="shared" si="21"/>
        <v/>
      </c>
      <c r="BE65" s="171" t="str">
        <f t="shared" si="22"/>
        <v/>
      </c>
      <c r="BF65" s="171" t="str">
        <f t="shared" si="23"/>
        <v>Code</v>
      </c>
    </row>
    <row r="66">
      <c r="A66" s="171">
        <f t="array" ref="A66">XLOOKUP(C66,ICSE!A:A,ICSE!C:C,,2,1)</f>
        <v>2022</v>
      </c>
      <c r="B66" s="171" t="s">
        <v>5675</v>
      </c>
      <c r="C66" s="160">
        <v>60.0</v>
      </c>
      <c r="D66" s="161" t="s">
        <v>2417</v>
      </c>
      <c r="E66" s="197" t="str">
        <f t="array" ref="E66">XLOOKUP(C66,ICSE!A:A,ICSE!Z:Z,,0,1)</f>
        <v>Publicly available (1)</v>
      </c>
      <c r="F66" s="198" t="s">
        <v>20</v>
      </c>
      <c r="G66" s="163" t="str">
        <f t="array" ref="G66">IF(B66="ICSE",IF(COUNTIFS(B:B,B66,C:C,C66)=XLOOKUP(C66,ICSE!A:A,ICSE!AA:AA,"ERROR",0,1),"OK","ERROR"),IF(B66="FSE",IF(COUNTIFS(B:B,B66,C:C,C66)=XLOOKUP(C66,FSE!A:A,FSE!AA:AA,"ERROR",0,1),"OK","ERROR")))</f>
        <v>OK</v>
      </c>
      <c r="H66" s="199">
        <f t="shared" ref="H66:O66" si="330">countif($D66,"*"&amp;H$2&amp;"*")</f>
        <v>0</v>
      </c>
      <c r="I66" s="200">
        <f t="shared" si="330"/>
        <v>0</v>
      </c>
      <c r="J66" s="200">
        <f t="shared" si="330"/>
        <v>0</v>
      </c>
      <c r="K66" s="200">
        <f t="shared" si="330"/>
        <v>0</v>
      </c>
      <c r="L66" s="200">
        <f t="shared" si="330"/>
        <v>0</v>
      </c>
      <c r="M66" s="200">
        <f t="shared" si="330"/>
        <v>0</v>
      </c>
      <c r="N66" s="200">
        <f t="shared" si="330"/>
        <v>0</v>
      </c>
      <c r="O66" s="200">
        <f t="shared" si="330"/>
        <v>0</v>
      </c>
      <c r="P66" s="200">
        <f t="shared" si="9"/>
        <v>1</v>
      </c>
      <c r="Q66" s="200">
        <f t="shared" ref="Q66:AC66" si="331">countif($D66,"*"&amp;Q$2&amp;"*")</f>
        <v>0</v>
      </c>
      <c r="R66" s="200">
        <f t="shared" si="331"/>
        <v>0</v>
      </c>
      <c r="S66" s="200">
        <f t="shared" si="331"/>
        <v>0</v>
      </c>
      <c r="T66" s="200">
        <f t="shared" si="331"/>
        <v>0</v>
      </c>
      <c r="U66" s="200">
        <f t="shared" si="331"/>
        <v>0</v>
      </c>
      <c r="V66" s="200">
        <f t="shared" si="331"/>
        <v>0</v>
      </c>
      <c r="W66" s="200">
        <f t="shared" si="331"/>
        <v>0</v>
      </c>
      <c r="X66" s="200">
        <f t="shared" si="331"/>
        <v>0</v>
      </c>
      <c r="Y66" s="200">
        <f t="shared" si="331"/>
        <v>0</v>
      </c>
      <c r="Z66" s="200">
        <f t="shared" si="331"/>
        <v>0</v>
      </c>
      <c r="AA66" s="200">
        <f t="shared" si="331"/>
        <v>0</v>
      </c>
      <c r="AB66" s="200">
        <f t="shared" si="331"/>
        <v>0</v>
      </c>
      <c r="AC66" s="200">
        <f t="shared" si="331"/>
        <v>0</v>
      </c>
      <c r="AD66" s="200">
        <f t="shared" si="11"/>
        <v>0</v>
      </c>
      <c r="AE66" s="200">
        <f t="shared" ref="AE66:AG66" si="332">countif($D66,"*"&amp;AE$2&amp;"*")</f>
        <v>0</v>
      </c>
      <c r="AF66" s="200">
        <f t="shared" si="332"/>
        <v>0</v>
      </c>
      <c r="AG66" s="200">
        <f t="shared" si="332"/>
        <v>0</v>
      </c>
      <c r="AH66" s="171">
        <f t="shared" si="13"/>
        <v>0</v>
      </c>
      <c r="AI66" s="200">
        <f t="shared" si="14"/>
        <v>0</v>
      </c>
      <c r="AJ66" s="200">
        <f t="shared" si="137"/>
        <v>0</v>
      </c>
      <c r="AK66" s="201">
        <f t="shared" ref="AK66:AS66" si="333">countif($D66,"*"&amp;AK$2&amp;"*")</f>
        <v>0</v>
      </c>
      <c r="AL66" s="201">
        <f t="shared" si="333"/>
        <v>0</v>
      </c>
      <c r="AM66" s="201">
        <f t="shared" si="333"/>
        <v>0</v>
      </c>
      <c r="AN66" s="201">
        <f t="shared" si="333"/>
        <v>0</v>
      </c>
      <c r="AO66" s="201">
        <f t="shared" si="333"/>
        <v>0</v>
      </c>
      <c r="AP66" s="201">
        <f t="shared" si="333"/>
        <v>0</v>
      </c>
      <c r="AQ66" s="201">
        <f t="shared" si="333"/>
        <v>0</v>
      </c>
      <c r="AR66" s="200">
        <f t="shared" si="333"/>
        <v>0</v>
      </c>
      <c r="AS66" s="200">
        <f t="shared" si="333"/>
        <v>0</v>
      </c>
      <c r="AT66" s="173">
        <v>0.0</v>
      </c>
      <c r="AU66" s="200">
        <f t="shared" ref="AU66:AX66" si="334">countif($D66,"*"&amp;AU$2&amp;"*")</f>
        <v>0</v>
      </c>
      <c r="AV66" s="200">
        <f t="shared" si="334"/>
        <v>1</v>
      </c>
      <c r="AW66" s="200">
        <f t="shared" si="334"/>
        <v>0</v>
      </c>
      <c r="AX66" s="200">
        <f t="shared" si="334"/>
        <v>0</v>
      </c>
      <c r="AY66" s="202">
        <v>0.0</v>
      </c>
      <c r="AZ66" s="200"/>
      <c r="BA66" s="171" t="str">
        <f t="shared" si="18"/>
        <v/>
      </c>
      <c r="BB66" s="171" t="str">
        <f t="shared" si="19"/>
        <v>Code</v>
      </c>
      <c r="BC66" s="171" t="str">
        <f t="shared" si="20"/>
        <v/>
      </c>
      <c r="BD66" s="171" t="str">
        <f t="shared" si="21"/>
        <v/>
      </c>
      <c r="BE66" s="171" t="str">
        <f t="shared" si="22"/>
        <v/>
      </c>
      <c r="BF66" s="171" t="str">
        <f t="shared" si="23"/>
        <v>Code</v>
      </c>
    </row>
    <row r="67">
      <c r="A67" s="171">
        <f t="array" ref="A67">XLOOKUP(C67,ICSE!A:A,ICSE!C:C,,2,1)</f>
        <v>2022</v>
      </c>
      <c r="B67" s="171" t="s">
        <v>5675</v>
      </c>
      <c r="C67" s="160">
        <v>62.0</v>
      </c>
      <c r="D67" s="161" t="s">
        <v>2422</v>
      </c>
      <c r="E67" s="197" t="str">
        <f t="array" ref="E67">XLOOKUP(C67,ICSE!A:A,ICSE!Z:Z,,0,1)</f>
        <v>Publicly available (1)</v>
      </c>
      <c r="F67" s="198" t="s">
        <v>20</v>
      </c>
      <c r="G67" s="163" t="str">
        <f t="array" ref="G67">IF(B67="ICSE",IF(COUNTIFS(B:B,B67,C:C,C67)=XLOOKUP(C67,ICSE!A:A,ICSE!AA:AA,"ERROR",0,1),"OK","ERROR"),IF(B67="FSE",IF(COUNTIFS(B:B,B67,C:C,C67)=XLOOKUP(C67,FSE!A:A,FSE!AA:AA,"ERROR",0,1),"OK","ERROR")))</f>
        <v>OK</v>
      </c>
      <c r="H67" s="199">
        <f t="shared" ref="H67:O67" si="335">countif($D67,"*"&amp;H$2&amp;"*")</f>
        <v>0</v>
      </c>
      <c r="I67" s="200">
        <f t="shared" si="335"/>
        <v>0</v>
      </c>
      <c r="J67" s="200">
        <f t="shared" si="335"/>
        <v>0</v>
      </c>
      <c r="K67" s="200">
        <f t="shared" si="335"/>
        <v>0</v>
      </c>
      <c r="L67" s="200">
        <f t="shared" si="335"/>
        <v>0</v>
      </c>
      <c r="M67" s="200">
        <f t="shared" si="335"/>
        <v>0</v>
      </c>
      <c r="N67" s="200">
        <f t="shared" si="335"/>
        <v>0</v>
      </c>
      <c r="O67" s="200">
        <f t="shared" si="335"/>
        <v>0</v>
      </c>
      <c r="P67" s="200">
        <f t="shared" si="9"/>
        <v>1</v>
      </c>
      <c r="Q67" s="200">
        <f t="shared" ref="Q67:AC67" si="336">countif($D67,"*"&amp;Q$2&amp;"*")</f>
        <v>0</v>
      </c>
      <c r="R67" s="200">
        <f t="shared" si="336"/>
        <v>0</v>
      </c>
      <c r="S67" s="200">
        <f t="shared" si="336"/>
        <v>0</v>
      </c>
      <c r="T67" s="200">
        <f t="shared" si="336"/>
        <v>0</v>
      </c>
      <c r="U67" s="200">
        <f t="shared" si="336"/>
        <v>0</v>
      </c>
      <c r="V67" s="200">
        <f t="shared" si="336"/>
        <v>0</v>
      </c>
      <c r="W67" s="200">
        <f t="shared" si="336"/>
        <v>0</v>
      </c>
      <c r="X67" s="200">
        <f t="shared" si="336"/>
        <v>0</v>
      </c>
      <c r="Y67" s="200">
        <f t="shared" si="336"/>
        <v>0</v>
      </c>
      <c r="Z67" s="200">
        <f t="shared" si="336"/>
        <v>0</v>
      </c>
      <c r="AA67" s="200">
        <f t="shared" si="336"/>
        <v>0</v>
      </c>
      <c r="AB67" s="200">
        <f t="shared" si="336"/>
        <v>0</v>
      </c>
      <c r="AC67" s="200">
        <f t="shared" si="336"/>
        <v>0</v>
      </c>
      <c r="AD67" s="200">
        <f t="shared" si="11"/>
        <v>0</v>
      </c>
      <c r="AE67" s="200">
        <f t="shared" ref="AE67:AG67" si="337">countif($D67,"*"&amp;AE$2&amp;"*")</f>
        <v>0</v>
      </c>
      <c r="AF67" s="200">
        <f t="shared" si="337"/>
        <v>0</v>
      </c>
      <c r="AG67" s="200">
        <f t="shared" si="337"/>
        <v>0</v>
      </c>
      <c r="AH67" s="171">
        <f t="shared" si="13"/>
        <v>0</v>
      </c>
      <c r="AI67" s="200">
        <f t="shared" si="14"/>
        <v>0</v>
      </c>
      <c r="AJ67" s="200">
        <f t="shared" si="137"/>
        <v>0</v>
      </c>
      <c r="AK67" s="201">
        <f t="shared" ref="AK67:AS67" si="338">countif($D67,"*"&amp;AK$2&amp;"*")</f>
        <v>0</v>
      </c>
      <c r="AL67" s="201">
        <f t="shared" si="338"/>
        <v>0</v>
      </c>
      <c r="AM67" s="201">
        <f t="shared" si="338"/>
        <v>0</v>
      </c>
      <c r="AN67" s="201">
        <f t="shared" si="338"/>
        <v>0</v>
      </c>
      <c r="AO67" s="201">
        <f t="shared" si="338"/>
        <v>0</v>
      </c>
      <c r="AP67" s="201">
        <f t="shared" si="338"/>
        <v>0</v>
      </c>
      <c r="AQ67" s="201">
        <f t="shared" si="338"/>
        <v>0</v>
      </c>
      <c r="AR67" s="200">
        <f t="shared" si="338"/>
        <v>0</v>
      </c>
      <c r="AS67" s="200">
        <f t="shared" si="338"/>
        <v>0</v>
      </c>
      <c r="AT67" s="173">
        <v>0.0</v>
      </c>
      <c r="AU67" s="200">
        <f t="shared" ref="AU67:AX67" si="339">countif($D67,"*"&amp;AU$2&amp;"*")</f>
        <v>0</v>
      </c>
      <c r="AV67" s="200">
        <f t="shared" si="339"/>
        <v>1</v>
      </c>
      <c r="AW67" s="200">
        <f t="shared" si="339"/>
        <v>0</v>
      </c>
      <c r="AX67" s="200">
        <f t="shared" si="339"/>
        <v>0</v>
      </c>
      <c r="AY67" s="202">
        <v>0.0</v>
      </c>
      <c r="AZ67" s="200"/>
      <c r="BA67" s="171" t="str">
        <f t="shared" si="18"/>
        <v/>
      </c>
      <c r="BB67" s="171" t="str">
        <f t="shared" si="19"/>
        <v>Code</v>
      </c>
      <c r="BC67" s="171" t="str">
        <f t="shared" si="20"/>
        <v/>
      </c>
      <c r="BD67" s="171" t="str">
        <f t="shared" si="21"/>
        <v/>
      </c>
      <c r="BE67" s="171" t="str">
        <f t="shared" si="22"/>
        <v/>
      </c>
      <c r="BF67" s="171" t="str">
        <f t="shared" si="23"/>
        <v>Code</v>
      </c>
    </row>
    <row r="68">
      <c r="A68" s="171">
        <f t="array" ref="A68">XLOOKUP(C68,ICSE!A:A,ICSE!C:C,,2,1)</f>
        <v>2022</v>
      </c>
      <c r="B68" s="171" t="s">
        <v>5675</v>
      </c>
      <c r="C68" s="160">
        <v>63.0</v>
      </c>
      <c r="D68" s="161" t="s">
        <v>5758</v>
      </c>
      <c r="E68" s="197" t="str">
        <f t="array" ref="E68">XLOOKUP(C68,ICSE!A:A,ICSE!Z:Z,,0,1)</f>
        <v>Publicly available (2)</v>
      </c>
      <c r="F68" s="198" t="s">
        <v>20</v>
      </c>
      <c r="G68" s="163" t="str">
        <f t="array" ref="G68">IF(B68="ICSE",IF(COUNTIFS(B:B,B68,C:C,C68)=XLOOKUP(C68,ICSE!A:A,ICSE!AA:AA,"ERROR",0,1),"OK","ERROR"),IF(B68="FSE",IF(COUNTIFS(B:B,B68,C:C,C68)=XLOOKUP(C68,FSE!A:A,FSE!AA:AA,"ERROR",0,1),"OK","ERROR")))</f>
        <v>OK</v>
      </c>
      <c r="H68" s="199">
        <f t="shared" ref="H68:O68" si="340">countif($D68,"*"&amp;H$2&amp;"*")</f>
        <v>0</v>
      </c>
      <c r="I68" s="200">
        <f t="shared" si="340"/>
        <v>0</v>
      </c>
      <c r="J68" s="200">
        <f t="shared" si="340"/>
        <v>0</v>
      </c>
      <c r="K68" s="200">
        <f t="shared" si="340"/>
        <v>0</v>
      </c>
      <c r="L68" s="200">
        <f t="shared" si="340"/>
        <v>0</v>
      </c>
      <c r="M68" s="200">
        <f t="shared" si="340"/>
        <v>0</v>
      </c>
      <c r="N68" s="200">
        <f t="shared" si="340"/>
        <v>0</v>
      </c>
      <c r="O68" s="200">
        <f t="shared" si="340"/>
        <v>0</v>
      </c>
      <c r="P68" s="200">
        <f t="shared" si="9"/>
        <v>1</v>
      </c>
      <c r="Q68" s="200">
        <f t="shared" ref="Q68:AC68" si="341">countif($D68,"*"&amp;Q$2&amp;"*")</f>
        <v>0</v>
      </c>
      <c r="R68" s="200">
        <f t="shared" si="341"/>
        <v>0</v>
      </c>
      <c r="S68" s="200">
        <f t="shared" si="341"/>
        <v>0</v>
      </c>
      <c r="T68" s="200">
        <f t="shared" si="341"/>
        <v>0</v>
      </c>
      <c r="U68" s="200">
        <f t="shared" si="341"/>
        <v>0</v>
      </c>
      <c r="V68" s="200">
        <f t="shared" si="341"/>
        <v>0</v>
      </c>
      <c r="W68" s="200">
        <f t="shared" si="341"/>
        <v>0</v>
      </c>
      <c r="X68" s="200">
        <f t="shared" si="341"/>
        <v>0</v>
      </c>
      <c r="Y68" s="200">
        <f t="shared" si="341"/>
        <v>0</v>
      </c>
      <c r="Z68" s="200">
        <f t="shared" si="341"/>
        <v>0</v>
      </c>
      <c r="AA68" s="200">
        <f t="shared" si="341"/>
        <v>0</v>
      </c>
      <c r="AB68" s="200">
        <f t="shared" si="341"/>
        <v>0</v>
      </c>
      <c r="AC68" s="200">
        <f t="shared" si="341"/>
        <v>0</v>
      </c>
      <c r="AD68" s="200">
        <f t="shared" si="11"/>
        <v>0</v>
      </c>
      <c r="AE68" s="200">
        <f t="shared" ref="AE68:AG68" si="342">countif($D68,"*"&amp;AE$2&amp;"*")</f>
        <v>0</v>
      </c>
      <c r="AF68" s="200">
        <f t="shared" si="342"/>
        <v>0</v>
      </c>
      <c r="AG68" s="200">
        <f t="shared" si="342"/>
        <v>0</v>
      </c>
      <c r="AH68" s="171">
        <f t="shared" si="13"/>
        <v>0</v>
      </c>
      <c r="AI68" s="200">
        <f t="shared" si="14"/>
        <v>0</v>
      </c>
      <c r="AJ68" s="200">
        <f t="shared" si="137"/>
        <v>0</v>
      </c>
      <c r="AK68" s="201">
        <f t="shared" ref="AK68:AS68" si="343">countif($D68,"*"&amp;AK$2&amp;"*")</f>
        <v>0</v>
      </c>
      <c r="AL68" s="201">
        <f t="shared" si="343"/>
        <v>0</v>
      </c>
      <c r="AM68" s="201">
        <f t="shared" si="343"/>
        <v>0</v>
      </c>
      <c r="AN68" s="201">
        <f t="shared" si="343"/>
        <v>0</v>
      </c>
      <c r="AO68" s="201">
        <f t="shared" si="343"/>
        <v>0</v>
      </c>
      <c r="AP68" s="201">
        <f t="shared" si="343"/>
        <v>0</v>
      </c>
      <c r="AQ68" s="201">
        <f t="shared" si="343"/>
        <v>0</v>
      </c>
      <c r="AR68" s="200">
        <f t="shared" si="343"/>
        <v>0</v>
      </c>
      <c r="AS68" s="200">
        <f t="shared" si="343"/>
        <v>0</v>
      </c>
      <c r="AT68" s="173">
        <v>0.0</v>
      </c>
      <c r="AU68" s="200">
        <f t="shared" ref="AU68:AX68" si="344">countif($D68,"*"&amp;AU$2&amp;"*")</f>
        <v>0</v>
      </c>
      <c r="AV68" s="200">
        <f t="shared" si="344"/>
        <v>1</v>
      </c>
      <c r="AW68" s="200">
        <f t="shared" si="344"/>
        <v>0</v>
      </c>
      <c r="AX68" s="200">
        <f t="shared" si="344"/>
        <v>0</v>
      </c>
      <c r="AY68" s="202">
        <v>0.0</v>
      </c>
      <c r="AZ68" s="200"/>
      <c r="BA68" s="171" t="str">
        <f t="shared" si="18"/>
        <v/>
      </c>
      <c r="BB68" s="171" t="str">
        <f t="shared" si="19"/>
        <v>Code</v>
      </c>
      <c r="BC68" s="171" t="str">
        <f t="shared" si="20"/>
        <v/>
      </c>
      <c r="BD68" s="171" t="str">
        <f t="shared" si="21"/>
        <v/>
      </c>
      <c r="BE68" s="171" t="str">
        <f t="shared" si="22"/>
        <v/>
      </c>
      <c r="BF68" s="171" t="str">
        <f t="shared" si="23"/>
        <v>Code</v>
      </c>
    </row>
    <row r="69">
      <c r="A69" s="171">
        <f t="array" ref="A69">XLOOKUP(C69,ICSE!A:A,ICSE!C:C,,2,1)</f>
        <v>2022</v>
      </c>
      <c r="B69" s="171" t="s">
        <v>5675</v>
      </c>
      <c r="C69" s="203">
        <v>63.0</v>
      </c>
      <c r="D69" s="161" t="s">
        <v>5759</v>
      </c>
      <c r="E69" s="197" t="str">
        <f t="array" ref="E69">XLOOKUP(C69,ICSE!A:A,ICSE!Z:Z,,0,1)</f>
        <v>Publicly available (2)</v>
      </c>
      <c r="F69" s="198" t="s">
        <v>20</v>
      </c>
      <c r="G69" s="163" t="str">
        <f t="array" ref="G69">IF(B69="ICSE",IF(COUNTIFS(B:B,B69,C:C,C69)=XLOOKUP(C69,ICSE!A:A,ICSE!AA:AA,"ERROR",0,1),"OK","ERROR"),IF(B69="FSE",IF(COUNTIFS(B:B,B69,C:C,C69)=XLOOKUP(C69,FSE!A:A,FSE!AA:AA,"ERROR",0,1),"OK","ERROR")))</f>
        <v>OK</v>
      </c>
      <c r="H69" s="199">
        <f t="shared" ref="H69:O69" si="345">countif($D69,"*"&amp;H$2&amp;"*")</f>
        <v>0</v>
      </c>
      <c r="I69" s="200">
        <f t="shared" si="345"/>
        <v>0</v>
      </c>
      <c r="J69" s="200">
        <f t="shared" si="345"/>
        <v>0</v>
      </c>
      <c r="K69" s="200">
        <f t="shared" si="345"/>
        <v>0</v>
      </c>
      <c r="L69" s="200">
        <f t="shared" si="345"/>
        <v>0</v>
      </c>
      <c r="M69" s="200">
        <f t="shared" si="345"/>
        <v>0</v>
      </c>
      <c r="N69" s="200">
        <f t="shared" si="345"/>
        <v>0</v>
      </c>
      <c r="O69" s="200">
        <f t="shared" si="345"/>
        <v>0</v>
      </c>
      <c r="P69" s="200">
        <f t="shared" si="9"/>
        <v>1</v>
      </c>
      <c r="Q69" s="200">
        <f t="shared" ref="Q69:AC69" si="346">countif($D69,"*"&amp;Q$2&amp;"*")</f>
        <v>0</v>
      </c>
      <c r="R69" s="200">
        <f t="shared" si="346"/>
        <v>0</v>
      </c>
      <c r="S69" s="200">
        <f t="shared" si="346"/>
        <v>0</v>
      </c>
      <c r="T69" s="200">
        <f t="shared" si="346"/>
        <v>0</v>
      </c>
      <c r="U69" s="200">
        <f t="shared" si="346"/>
        <v>0</v>
      </c>
      <c r="V69" s="200">
        <f t="shared" si="346"/>
        <v>0</v>
      </c>
      <c r="W69" s="200">
        <f t="shared" si="346"/>
        <v>0</v>
      </c>
      <c r="X69" s="200">
        <f t="shared" si="346"/>
        <v>0</v>
      </c>
      <c r="Y69" s="200">
        <f t="shared" si="346"/>
        <v>0</v>
      </c>
      <c r="Z69" s="200">
        <f t="shared" si="346"/>
        <v>0</v>
      </c>
      <c r="AA69" s="200">
        <f t="shared" si="346"/>
        <v>0</v>
      </c>
      <c r="AB69" s="200">
        <f t="shared" si="346"/>
        <v>0</v>
      </c>
      <c r="AC69" s="200">
        <f t="shared" si="346"/>
        <v>0</v>
      </c>
      <c r="AD69" s="200">
        <f t="shared" si="11"/>
        <v>0</v>
      </c>
      <c r="AE69" s="200">
        <f t="shared" ref="AE69:AG69" si="347">countif($D69,"*"&amp;AE$2&amp;"*")</f>
        <v>0</v>
      </c>
      <c r="AF69" s="200">
        <f t="shared" si="347"/>
        <v>0</v>
      </c>
      <c r="AG69" s="200">
        <f t="shared" si="347"/>
        <v>0</v>
      </c>
      <c r="AH69" s="171">
        <f t="shared" si="13"/>
        <v>0</v>
      </c>
      <c r="AI69" s="200">
        <f t="shared" si="14"/>
        <v>0</v>
      </c>
      <c r="AJ69" s="200">
        <f t="shared" si="137"/>
        <v>0</v>
      </c>
      <c r="AK69" s="201">
        <f t="shared" ref="AK69:AS69" si="348">countif($D69,"*"&amp;AK$2&amp;"*")</f>
        <v>0</v>
      </c>
      <c r="AL69" s="201">
        <f t="shared" si="348"/>
        <v>0</v>
      </c>
      <c r="AM69" s="201">
        <f t="shared" si="348"/>
        <v>0</v>
      </c>
      <c r="AN69" s="201">
        <f t="shared" si="348"/>
        <v>0</v>
      </c>
      <c r="AO69" s="201">
        <f t="shared" si="348"/>
        <v>0</v>
      </c>
      <c r="AP69" s="201">
        <f t="shared" si="348"/>
        <v>0</v>
      </c>
      <c r="AQ69" s="201">
        <f t="shared" si="348"/>
        <v>0</v>
      </c>
      <c r="AR69" s="200">
        <f t="shared" si="348"/>
        <v>0</v>
      </c>
      <c r="AS69" s="200">
        <f t="shared" si="348"/>
        <v>0</v>
      </c>
      <c r="AT69" s="173">
        <v>0.0</v>
      </c>
      <c r="AU69" s="200">
        <f t="shared" ref="AU69:AX69" si="349">countif($D69,"*"&amp;AU$2&amp;"*")</f>
        <v>0</v>
      </c>
      <c r="AV69" s="200">
        <f t="shared" si="349"/>
        <v>1</v>
      </c>
      <c r="AW69" s="200">
        <f t="shared" si="349"/>
        <v>0</v>
      </c>
      <c r="AX69" s="200">
        <f t="shared" si="349"/>
        <v>0</v>
      </c>
      <c r="AY69" s="202">
        <v>0.0</v>
      </c>
      <c r="AZ69" s="200"/>
      <c r="BA69" s="171" t="str">
        <f t="shared" si="18"/>
        <v/>
      </c>
      <c r="BB69" s="171" t="str">
        <f t="shared" si="19"/>
        <v>Code</v>
      </c>
      <c r="BC69" s="171" t="str">
        <f t="shared" si="20"/>
        <v/>
      </c>
      <c r="BD69" s="171" t="str">
        <f t="shared" si="21"/>
        <v/>
      </c>
      <c r="BE69" s="171" t="str">
        <f t="shared" si="22"/>
        <v/>
      </c>
      <c r="BF69" s="171" t="str">
        <f t="shared" si="23"/>
        <v>Code</v>
      </c>
    </row>
    <row r="70">
      <c r="A70" s="171">
        <f t="array" ref="A70">XLOOKUP(C70,ICSE!A:A,ICSE!C:C,,2,1)</f>
        <v>2022</v>
      </c>
      <c r="B70" s="171" t="s">
        <v>5675</v>
      </c>
      <c r="C70" s="160">
        <v>64.0</v>
      </c>
      <c r="D70" s="161" t="s">
        <v>5760</v>
      </c>
      <c r="E70" s="197" t="str">
        <f t="array" ref="E70">XLOOKUP(C70,ICSE!A:A,ICSE!Z:Z,,0,1)</f>
        <v>Publicly available (2)</v>
      </c>
      <c r="F70" s="198" t="s">
        <v>20</v>
      </c>
      <c r="G70" s="163" t="str">
        <f t="array" ref="G70">IF(B70="ICSE",IF(COUNTIFS(B:B,B70,C:C,C70)=XLOOKUP(C70,ICSE!A:A,ICSE!AA:AA,"ERROR",0,1),"OK","ERROR"),IF(B70="FSE",IF(COUNTIFS(B:B,B70,C:C,C70)=XLOOKUP(C70,FSE!A:A,FSE!AA:AA,"ERROR",0,1),"OK","ERROR")))</f>
        <v>OK</v>
      </c>
      <c r="H70" s="199">
        <f t="shared" ref="H70:O70" si="350">countif($D70,"*"&amp;H$2&amp;"*")</f>
        <v>0</v>
      </c>
      <c r="I70" s="200">
        <f t="shared" si="350"/>
        <v>0</v>
      </c>
      <c r="J70" s="200">
        <f t="shared" si="350"/>
        <v>0</v>
      </c>
      <c r="K70" s="200">
        <f t="shared" si="350"/>
        <v>0</v>
      </c>
      <c r="L70" s="200">
        <f t="shared" si="350"/>
        <v>0</v>
      </c>
      <c r="M70" s="200">
        <f t="shared" si="350"/>
        <v>0</v>
      </c>
      <c r="N70" s="200">
        <f t="shared" si="350"/>
        <v>0</v>
      </c>
      <c r="O70" s="200">
        <f t="shared" si="350"/>
        <v>0</v>
      </c>
      <c r="P70" s="200">
        <f t="shared" si="9"/>
        <v>1</v>
      </c>
      <c r="Q70" s="200">
        <f t="shared" ref="Q70:AC70" si="351">countif($D70,"*"&amp;Q$2&amp;"*")</f>
        <v>0</v>
      </c>
      <c r="R70" s="200">
        <f t="shared" si="351"/>
        <v>0</v>
      </c>
      <c r="S70" s="200">
        <f t="shared" si="351"/>
        <v>0</v>
      </c>
      <c r="T70" s="200">
        <f t="shared" si="351"/>
        <v>0</v>
      </c>
      <c r="U70" s="200">
        <f t="shared" si="351"/>
        <v>0</v>
      </c>
      <c r="V70" s="200">
        <f t="shared" si="351"/>
        <v>0</v>
      </c>
      <c r="W70" s="200">
        <f t="shared" si="351"/>
        <v>0</v>
      </c>
      <c r="X70" s="200">
        <f t="shared" si="351"/>
        <v>0</v>
      </c>
      <c r="Y70" s="200">
        <f t="shared" si="351"/>
        <v>0</v>
      </c>
      <c r="Z70" s="200">
        <f t="shared" si="351"/>
        <v>0</v>
      </c>
      <c r="AA70" s="200">
        <f t="shared" si="351"/>
        <v>0</v>
      </c>
      <c r="AB70" s="200">
        <f t="shared" si="351"/>
        <v>0</v>
      </c>
      <c r="AC70" s="200">
        <f t="shared" si="351"/>
        <v>0</v>
      </c>
      <c r="AD70" s="200">
        <f t="shared" si="11"/>
        <v>0</v>
      </c>
      <c r="AE70" s="200">
        <f t="shared" ref="AE70:AG70" si="352">countif($D70,"*"&amp;AE$2&amp;"*")</f>
        <v>0</v>
      </c>
      <c r="AF70" s="200">
        <f t="shared" si="352"/>
        <v>0</v>
      </c>
      <c r="AG70" s="200">
        <f t="shared" si="352"/>
        <v>0</v>
      </c>
      <c r="AH70" s="171">
        <f t="shared" si="13"/>
        <v>0</v>
      </c>
      <c r="AI70" s="200">
        <f t="shared" si="14"/>
        <v>0</v>
      </c>
      <c r="AJ70" s="200">
        <f t="shared" si="137"/>
        <v>0</v>
      </c>
      <c r="AK70" s="201">
        <f t="shared" ref="AK70:AS70" si="353">countif($D70,"*"&amp;AK$2&amp;"*")</f>
        <v>0</v>
      </c>
      <c r="AL70" s="201">
        <f t="shared" si="353"/>
        <v>0</v>
      </c>
      <c r="AM70" s="201">
        <f t="shared" si="353"/>
        <v>0</v>
      </c>
      <c r="AN70" s="201">
        <f t="shared" si="353"/>
        <v>0</v>
      </c>
      <c r="AO70" s="201">
        <f t="shared" si="353"/>
        <v>0</v>
      </c>
      <c r="AP70" s="201">
        <f t="shared" si="353"/>
        <v>0</v>
      </c>
      <c r="AQ70" s="201">
        <f t="shared" si="353"/>
        <v>0</v>
      </c>
      <c r="AR70" s="200">
        <f t="shared" si="353"/>
        <v>0</v>
      </c>
      <c r="AS70" s="200">
        <f t="shared" si="353"/>
        <v>0</v>
      </c>
      <c r="AT70" s="173">
        <v>0.0</v>
      </c>
      <c r="AU70" s="200">
        <f t="shared" ref="AU70:AX70" si="354">countif($D70,"*"&amp;AU$2&amp;"*")</f>
        <v>0</v>
      </c>
      <c r="AV70" s="200">
        <f t="shared" si="354"/>
        <v>1</v>
      </c>
      <c r="AW70" s="200">
        <f t="shared" si="354"/>
        <v>0</v>
      </c>
      <c r="AX70" s="200">
        <f t="shared" si="354"/>
        <v>0</v>
      </c>
      <c r="AY70" s="202">
        <v>0.0</v>
      </c>
      <c r="AZ70" s="200"/>
      <c r="BA70" s="171" t="str">
        <f t="shared" si="18"/>
        <v/>
      </c>
      <c r="BB70" s="171" t="str">
        <f t="shared" si="19"/>
        <v>Code</v>
      </c>
      <c r="BC70" s="171" t="str">
        <f t="shared" si="20"/>
        <v/>
      </c>
      <c r="BD70" s="171" t="str">
        <f t="shared" si="21"/>
        <v/>
      </c>
      <c r="BE70" s="171" t="str">
        <f t="shared" si="22"/>
        <v/>
      </c>
      <c r="BF70" s="171" t="str">
        <f t="shared" si="23"/>
        <v>Code</v>
      </c>
    </row>
    <row r="71">
      <c r="A71" s="171">
        <f t="array" ref="A71">XLOOKUP(C71,ICSE!A:A,ICSE!C:C,,2,1)</f>
        <v>2022</v>
      </c>
      <c r="B71" s="171" t="s">
        <v>5675</v>
      </c>
      <c r="C71" s="203">
        <v>64.0</v>
      </c>
      <c r="D71" s="161" t="s">
        <v>5761</v>
      </c>
      <c r="E71" s="197" t="str">
        <f t="array" ref="E71">XLOOKUP(C71,ICSE!A:A,ICSE!Z:Z,,0,1)</f>
        <v>Publicly available (2)</v>
      </c>
      <c r="F71" s="198" t="s">
        <v>20</v>
      </c>
      <c r="G71" s="163" t="str">
        <f t="array" ref="G71">IF(B71="ICSE",IF(COUNTIFS(B:B,B71,C:C,C71)=XLOOKUP(C71,ICSE!A:A,ICSE!AA:AA,"ERROR",0,1),"OK","ERROR"),IF(B71="FSE",IF(COUNTIFS(B:B,B71,C:C,C71)=XLOOKUP(C71,FSE!A:A,FSE!AA:AA,"ERROR",0,1),"OK","ERROR")))</f>
        <v>OK</v>
      </c>
      <c r="H71" s="199">
        <f t="shared" ref="H71:O71" si="355">countif($D71,"*"&amp;H$2&amp;"*")</f>
        <v>1</v>
      </c>
      <c r="I71" s="200">
        <f t="shared" si="355"/>
        <v>0</v>
      </c>
      <c r="J71" s="200">
        <f t="shared" si="355"/>
        <v>0</v>
      </c>
      <c r="K71" s="200">
        <f t="shared" si="355"/>
        <v>0</v>
      </c>
      <c r="L71" s="200">
        <f t="shared" si="355"/>
        <v>0</v>
      </c>
      <c r="M71" s="200">
        <f t="shared" si="355"/>
        <v>0</v>
      </c>
      <c r="N71" s="200">
        <f t="shared" si="355"/>
        <v>0</v>
      </c>
      <c r="O71" s="200">
        <f t="shared" si="355"/>
        <v>0</v>
      </c>
      <c r="P71" s="200">
        <f t="shared" si="9"/>
        <v>0</v>
      </c>
      <c r="Q71" s="200">
        <f t="shared" ref="Q71:AC71" si="356">countif($D71,"*"&amp;Q$2&amp;"*")</f>
        <v>0</v>
      </c>
      <c r="R71" s="200">
        <f t="shared" si="356"/>
        <v>0</v>
      </c>
      <c r="S71" s="200">
        <f t="shared" si="356"/>
        <v>0</v>
      </c>
      <c r="T71" s="200">
        <f t="shared" si="356"/>
        <v>0</v>
      </c>
      <c r="U71" s="200">
        <f t="shared" si="356"/>
        <v>0</v>
      </c>
      <c r="V71" s="200">
        <f t="shared" si="356"/>
        <v>0</v>
      </c>
      <c r="W71" s="200">
        <f t="shared" si="356"/>
        <v>0</v>
      </c>
      <c r="X71" s="200">
        <f t="shared" si="356"/>
        <v>0</v>
      </c>
      <c r="Y71" s="200">
        <f t="shared" si="356"/>
        <v>0</v>
      </c>
      <c r="Z71" s="200">
        <f t="shared" si="356"/>
        <v>0</v>
      </c>
      <c r="AA71" s="200">
        <f t="shared" si="356"/>
        <v>0</v>
      </c>
      <c r="AB71" s="200">
        <f t="shared" si="356"/>
        <v>0</v>
      </c>
      <c r="AC71" s="200">
        <f t="shared" si="356"/>
        <v>0</v>
      </c>
      <c r="AD71" s="200">
        <f t="shared" si="11"/>
        <v>0</v>
      </c>
      <c r="AE71" s="200">
        <f t="shared" ref="AE71:AG71" si="357">countif($D71,"*"&amp;AE$2&amp;"*")</f>
        <v>0</v>
      </c>
      <c r="AF71" s="200">
        <f t="shared" si="357"/>
        <v>0</v>
      </c>
      <c r="AG71" s="200">
        <f t="shared" si="357"/>
        <v>0</v>
      </c>
      <c r="AH71" s="171">
        <f t="shared" si="13"/>
        <v>0</v>
      </c>
      <c r="AI71" s="200">
        <f t="shared" si="14"/>
        <v>1</v>
      </c>
      <c r="AJ71" s="200">
        <f t="shared" si="137"/>
        <v>0</v>
      </c>
      <c r="AK71" s="201">
        <f t="shared" ref="AK71:AS71" si="358">countif($D71,"*"&amp;AK$2&amp;"*")</f>
        <v>0</v>
      </c>
      <c r="AL71" s="201">
        <f t="shared" si="358"/>
        <v>0</v>
      </c>
      <c r="AM71" s="201">
        <f t="shared" si="358"/>
        <v>0</v>
      </c>
      <c r="AN71" s="201">
        <f t="shared" si="358"/>
        <v>0</v>
      </c>
      <c r="AO71" s="201">
        <f t="shared" si="358"/>
        <v>0</v>
      </c>
      <c r="AP71" s="201">
        <f t="shared" si="358"/>
        <v>0</v>
      </c>
      <c r="AQ71" s="201">
        <f t="shared" si="358"/>
        <v>0</v>
      </c>
      <c r="AR71" s="200">
        <f t="shared" si="358"/>
        <v>0</v>
      </c>
      <c r="AS71" s="200">
        <f t="shared" si="358"/>
        <v>0</v>
      </c>
      <c r="AT71" s="173">
        <v>0.0</v>
      </c>
      <c r="AU71" s="200">
        <f t="shared" ref="AU71:AX71" si="359">countif($D71,"*"&amp;AU$2&amp;"*")</f>
        <v>0</v>
      </c>
      <c r="AV71" s="200">
        <f t="shared" si="359"/>
        <v>0</v>
      </c>
      <c r="AW71" s="200">
        <f t="shared" si="359"/>
        <v>0</v>
      </c>
      <c r="AX71" s="200">
        <f t="shared" si="359"/>
        <v>1</v>
      </c>
      <c r="AY71" s="202">
        <v>0.0</v>
      </c>
      <c r="AZ71" s="200"/>
      <c r="BA71" s="171" t="str">
        <f t="shared" si="18"/>
        <v>Archival</v>
      </c>
      <c r="BB71" s="171" t="str">
        <f t="shared" si="19"/>
        <v/>
      </c>
      <c r="BC71" s="171" t="str">
        <f t="shared" si="20"/>
        <v/>
      </c>
      <c r="BD71" s="171" t="str">
        <f t="shared" si="21"/>
        <v/>
      </c>
      <c r="BE71" s="171" t="str">
        <f t="shared" si="22"/>
        <v/>
      </c>
      <c r="BF71" s="171" t="str">
        <f t="shared" si="23"/>
        <v>Archival</v>
      </c>
    </row>
    <row r="72">
      <c r="A72" s="171">
        <f t="array" ref="A72">XLOOKUP(C72,ICSE!A:A,ICSE!C:C,,2,1)</f>
        <v>2022</v>
      </c>
      <c r="B72" s="171" t="s">
        <v>5675</v>
      </c>
      <c r="C72" s="160">
        <v>66.0</v>
      </c>
      <c r="D72" s="161" t="s">
        <v>2433</v>
      </c>
      <c r="E72" s="197" t="str">
        <f t="array" ref="E72">XLOOKUP(C72,ICSE!A:A,ICSE!Z:Z,,0,1)</f>
        <v>Publicly available (1)</v>
      </c>
      <c r="F72" s="198" t="s">
        <v>20</v>
      </c>
      <c r="G72" s="163" t="str">
        <f t="array" ref="G72">IF(B72="ICSE",IF(COUNTIFS(B:B,B72,C:C,C72)=XLOOKUP(C72,ICSE!A:A,ICSE!AA:AA,"ERROR",0,1),"OK","ERROR"),IF(B72="FSE",IF(COUNTIFS(B:B,B72,C:C,C72)=XLOOKUP(C72,FSE!A:A,FSE!AA:AA,"ERROR",0,1),"OK","ERROR")))</f>
        <v>OK</v>
      </c>
      <c r="H72" s="199">
        <f t="shared" ref="H72:O72" si="360">countif($D72,"*"&amp;H$2&amp;"*")</f>
        <v>0</v>
      </c>
      <c r="I72" s="200">
        <f t="shared" si="360"/>
        <v>0</v>
      </c>
      <c r="J72" s="200">
        <f t="shared" si="360"/>
        <v>0</v>
      </c>
      <c r="K72" s="200">
        <f t="shared" si="360"/>
        <v>0</v>
      </c>
      <c r="L72" s="200">
        <f t="shared" si="360"/>
        <v>0</v>
      </c>
      <c r="M72" s="200">
        <f t="shared" si="360"/>
        <v>0</v>
      </c>
      <c r="N72" s="200">
        <f t="shared" si="360"/>
        <v>0</v>
      </c>
      <c r="O72" s="200">
        <f t="shared" si="360"/>
        <v>0</v>
      </c>
      <c r="P72" s="200">
        <f t="shared" si="9"/>
        <v>0</v>
      </c>
      <c r="Q72" s="200">
        <f t="shared" ref="Q72:AC72" si="361">countif($D72,"*"&amp;Q$2&amp;"*")</f>
        <v>0</v>
      </c>
      <c r="R72" s="200">
        <f t="shared" si="361"/>
        <v>0</v>
      </c>
      <c r="S72" s="200">
        <f t="shared" si="361"/>
        <v>0</v>
      </c>
      <c r="T72" s="200">
        <f t="shared" si="361"/>
        <v>0</v>
      </c>
      <c r="U72" s="200">
        <f t="shared" si="361"/>
        <v>0</v>
      </c>
      <c r="V72" s="200">
        <f t="shared" si="361"/>
        <v>0</v>
      </c>
      <c r="W72" s="200">
        <f t="shared" si="361"/>
        <v>0</v>
      </c>
      <c r="X72" s="200">
        <f t="shared" si="361"/>
        <v>0</v>
      </c>
      <c r="Y72" s="200">
        <f t="shared" si="361"/>
        <v>0</v>
      </c>
      <c r="Z72" s="200">
        <f t="shared" si="361"/>
        <v>0</v>
      </c>
      <c r="AA72" s="200">
        <f t="shared" si="361"/>
        <v>0</v>
      </c>
      <c r="AB72" s="200">
        <f t="shared" si="361"/>
        <v>0</v>
      </c>
      <c r="AC72" s="200">
        <f t="shared" si="361"/>
        <v>0</v>
      </c>
      <c r="AD72" s="200">
        <f t="shared" si="11"/>
        <v>1</v>
      </c>
      <c r="AE72" s="200">
        <f t="shared" ref="AE72:AG72" si="362">countif($D72,"*"&amp;AE$2&amp;"*")</f>
        <v>0</v>
      </c>
      <c r="AF72" s="200">
        <f t="shared" si="362"/>
        <v>0</v>
      </c>
      <c r="AG72" s="200">
        <f t="shared" si="362"/>
        <v>0</v>
      </c>
      <c r="AH72" s="171">
        <f t="shared" si="13"/>
        <v>0</v>
      </c>
      <c r="AI72" s="200">
        <f t="shared" si="14"/>
        <v>0</v>
      </c>
      <c r="AJ72" s="200">
        <f t="shared" si="137"/>
        <v>0</v>
      </c>
      <c r="AK72" s="201">
        <f t="shared" ref="AK72:AS72" si="363">countif($D72,"*"&amp;AK$2&amp;"*")</f>
        <v>0</v>
      </c>
      <c r="AL72" s="201">
        <f t="shared" si="363"/>
        <v>0</v>
      </c>
      <c r="AM72" s="201">
        <f t="shared" si="363"/>
        <v>0</v>
      </c>
      <c r="AN72" s="201">
        <f t="shared" si="363"/>
        <v>0</v>
      </c>
      <c r="AO72" s="201">
        <f t="shared" si="363"/>
        <v>0</v>
      </c>
      <c r="AP72" s="201">
        <f t="shared" si="363"/>
        <v>0</v>
      </c>
      <c r="AQ72" s="201">
        <f t="shared" si="363"/>
        <v>0</v>
      </c>
      <c r="AR72" s="200">
        <f t="shared" si="363"/>
        <v>0</v>
      </c>
      <c r="AS72" s="200">
        <f t="shared" si="363"/>
        <v>0</v>
      </c>
      <c r="AT72" s="173">
        <v>1.0</v>
      </c>
      <c r="AU72" s="200">
        <f t="shared" ref="AU72:AX72" si="364">countif($D72,"*"&amp;AU$2&amp;"*")</f>
        <v>0</v>
      </c>
      <c r="AV72" s="200">
        <f t="shared" si="364"/>
        <v>0</v>
      </c>
      <c r="AW72" s="200">
        <f t="shared" si="364"/>
        <v>0</v>
      </c>
      <c r="AX72" s="200">
        <f t="shared" si="364"/>
        <v>0</v>
      </c>
      <c r="AY72" s="202">
        <v>0.0</v>
      </c>
      <c r="AZ72" s="200"/>
      <c r="BA72" s="171" t="str">
        <f t="shared" si="18"/>
        <v/>
      </c>
      <c r="BB72" s="171" t="str">
        <f t="shared" si="19"/>
        <v/>
      </c>
      <c r="BC72" s="171" t="str">
        <f t="shared" si="20"/>
        <v/>
      </c>
      <c r="BD72" s="171" t="str">
        <f t="shared" si="21"/>
        <v>Institutional</v>
      </c>
      <c r="BE72" s="171" t="str">
        <f t="shared" si="22"/>
        <v/>
      </c>
      <c r="BF72" s="171" t="str">
        <f t="shared" si="23"/>
        <v>Institutional</v>
      </c>
    </row>
    <row r="73">
      <c r="A73" s="171">
        <f t="array" ref="A73">XLOOKUP(C73,ICSE!A:A,ICSE!C:C,,2,1)</f>
        <v>2022</v>
      </c>
      <c r="B73" s="171" t="s">
        <v>5675</v>
      </c>
      <c r="C73" s="160">
        <v>67.0</v>
      </c>
      <c r="D73" s="161" t="s">
        <v>2436</v>
      </c>
      <c r="E73" s="197" t="str">
        <f t="array" ref="E73">XLOOKUP(C73,ICSE!A:A,ICSE!Z:Z,,0,1)</f>
        <v>Publicly available (1)</v>
      </c>
      <c r="F73" s="198" t="s">
        <v>20</v>
      </c>
      <c r="G73" s="163" t="str">
        <f t="array" ref="G73">IF(B73="ICSE",IF(COUNTIFS(B:B,B73,C:C,C73)=XLOOKUP(C73,ICSE!A:A,ICSE!AA:AA,"ERROR",0,1),"OK","ERROR"),IF(B73="FSE",IF(COUNTIFS(B:B,B73,C:C,C73)=XLOOKUP(C73,FSE!A:A,FSE!AA:AA,"ERROR",0,1),"OK","ERROR")))</f>
        <v>OK</v>
      </c>
      <c r="H73" s="199">
        <f t="shared" ref="H73:O73" si="365">countif($D73,"*"&amp;H$2&amp;"*")</f>
        <v>0</v>
      </c>
      <c r="I73" s="200">
        <f t="shared" si="365"/>
        <v>0</v>
      </c>
      <c r="J73" s="200">
        <f t="shared" si="365"/>
        <v>0</v>
      </c>
      <c r="K73" s="200">
        <f t="shared" si="365"/>
        <v>0</v>
      </c>
      <c r="L73" s="200">
        <f t="shared" si="365"/>
        <v>0</v>
      </c>
      <c r="M73" s="200">
        <f t="shared" si="365"/>
        <v>0</v>
      </c>
      <c r="N73" s="200">
        <f t="shared" si="365"/>
        <v>0</v>
      </c>
      <c r="O73" s="200">
        <f t="shared" si="365"/>
        <v>0</v>
      </c>
      <c r="P73" s="200">
        <f t="shared" si="9"/>
        <v>1</v>
      </c>
      <c r="Q73" s="200">
        <f t="shared" ref="Q73:AC73" si="366">countif($D73,"*"&amp;Q$2&amp;"*")</f>
        <v>0</v>
      </c>
      <c r="R73" s="200">
        <f t="shared" si="366"/>
        <v>0</v>
      </c>
      <c r="S73" s="200">
        <f t="shared" si="366"/>
        <v>0</v>
      </c>
      <c r="T73" s="200">
        <f t="shared" si="366"/>
        <v>0</v>
      </c>
      <c r="U73" s="200">
        <f t="shared" si="366"/>
        <v>0</v>
      </c>
      <c r="V73" s="200">
        <f t="shared" si="366"/>
        <v>0</v>
      </c>
      <c r="W73" s="200">
        <f t="shared" si="366"/>
        <v>0</v>
      </c>
      <c r="X73" s="200">
        <f t="shared" si="366"/>
        <v>0</v>
      </c>
      <c r="Y73" s="200">
        <f t="shared" si="366"/>
        <v>0</v>
      </c>
      <c r="Z73" s="200">
        <f t="shared" si="366"/>
        <v>0</v>
      </c>
      <c r="AA73" s="200">
        <f t="shared" si="366"/>
        <v>0</v>
      </c>
      <c r="AB73" s="200">
        <f t="shared" si="366"/>
        <v>0</v>
      </c>
      <c r="AC73" s="200">
        <f t="shared" si="366"/>
        <v>0</v>
      </c>
      <c r="AD73" s="200">
        <f t="shared" si="11"/>
        <v>0</v>
      </c>
      <c r="AE73" s="200">
        <f t="shared" ref="AE73:AG73" si="367">countif($D73,"*"&amp;AE$2&amp;"*")</f>
        <v>0</v>
      </c>
      <c r="AF73" s="200">
        <f t="shared" si="367"/>
        <v>0</v>
      </c>
      <c r="AG73" s="200">
        <f t="shared" si="367"/>
        <v>0</v>
      </c>
      <c r="AH73" s="171">
        <f t="shared" si="13"/>
        <v>0</v>
      </c>
      <c r="AI73" s="200">
        <f t="shared" si="14"/>
        <v>0</v>
      </c>
      <c r="AJ73" s="200">
        <f t="shared" si="137"/>
        <v>0</v>
      </c>
      <c r="AK73" s="201">
        <f t="shared" ref="AK73:AS73" si="368">countif($D73,"*"&amp;AK$2&amp;"*")</f>
        <v>0</v>
      </c>
      <c r="AL73" s="201">
        <f t="shared" si="368"/>
        <v>0</v>
      </c>
      <c r="AM73" s="201">
        <f t="shared" si="368"/>
        <v>0</v>
      </c>
      <c r="AN73" s="201">
        <f t="shared" si="368"/>
        <v>0</v>
      </c>
      <c r="AO73" s="201">
        <f t="shared" si="368"/>
        <v>0</v>
      </c>
      <c r="AP73" s="201">
        <f t="shared" si="368"/>
        <v>0</v>
      </c>
      <c r="AQ73" s="201">
        <f t="shared" si="368"/>
        <v>0</v>
      </c>
      <c r="AR73" s="200">
        <f t="shared" si="368"/>
        <v>0</v>
      </c>
      <c r="AS73" s="200">
        <f t="shared" si="368"/>
        <v>0</v>
      </c>
      <c r="AT73" s="173">
        <v>0.0</v>
      </c>
      <c r="AU73" s="200">
        <f t="shared" ref="AU73:AX73" si="369">countif($D73,"*"&amp;AU$2&amp;"*")</f>
        <v>0</v>
      </c>
      <c r="AV73" s="200">
        <f t="shared" si="369"/>
        <v>1</v>
      </c>
      <c r="AW73" s="200">
        <f t="shared" si="369"/>
        <v>0</v>
      </c>
      <c r="AX73" s="200">
        <f t="shared" si="369"/>
        <v>0</v>
      </c>
      <c r="AY73" s="202">
        <v>0.0</v>
      </c>
      <c r="AZ73" s="200"/>
      <c r="BA73" s="171" t="str">
        <f t="shared" si="18"/>
        <v/>
      </c>
      <c r="BB73" s="171" t="str">
        <f t="shared" si="19"/>
        <v>Code</v>
      </c>
      <c r="BC73" s="171" t="str">
        <f t="shared" si="20"/>
        <v/>
      </c>
      <c r="BD73" s="171" t="str">
        <f t="shared" si="21"/>
        <v/>
      </c>
      <c r="BE73" s="171" t="str">
        <f t="shared" si="22"/>
        <v/>
      </c>
      <c r="BF73" s="171" t="str">
        <f t="shared" si="23"/>
        <v>Code</v>
      </c>
    </row>
    <row r="74">
      <c r="A74" s="171">
        <f t="array" ref="A74">XLOOKUP(C74,ICSE!A:A,ICSE!C:C,,2,1)</f>
        <v>2022</v>
      </c>
      <c r="B74" s="171" t="s">
        <v>5675</v>
      </c>
      <c r="C74" s="160">
        <v>68.0</v>
      </c>
      <c r="D74" s="161" t="s">
        <v>2439</v>
      </c>
      <c r="E74" s="197" t="str">
        <f t="array" ref="E74">XLOOKUP(C74,ICSE!A:A,ICSE!Z:Z,,0,1)</f>
        <v>Publicly available (1)</v>
      </c>
      <c r="F74" s="198" t="s">
        <v>20</v>
      </c>
      <c r="G74" s="163" t="str">
        <f t="array" ref="G74">IF(B74="ICSE",IF(COUNTIFS(B:B,B74,C:C,C74)=XLOOKUP(C74,ICSE!A:A,ICSE!AA:AA,"ERROR",0,1),"OK","ERROR"),IF(B74="FSE",IF(COUNTIFS(B:B,B74,C:C,C74)=XLOOKUP(C74,FSE!A:A,FSE!AA:AA,"ERROR",0,1),"OK","ERROR")))</f>
        <v>OK</v>
      </c>
      <c r="H74" s="199">
        <f t="shared" ref="H74:O74" si="370">countif($D74,"*"&amp;H$2&amp;"*")</f>
        <v>0</v>
      </c>
      <c r="I74" s="200">
        <f t="shared" si="370"/>
        <v>1</v>
      </c>
      <c r="J74" s="200">
        <f t="shared" si="370"/>
        <v>0</v>
      </c>
      <c r="K74" s="200">
        <f t="shared" si="370"/>
        <v>0</v>
      </c>
      <c r="L74" s="200">
        <f t="shared" si="370"/>
        <v>0</v>
      </c>
      <c r="M74" s="200">
        <f t="shared" si="370"/>
        <v>0</v>
      </c>
      <c r="N74" s="200">
        <f t="shared" si="370"/>
        <v>0</v>
      </c>
      <c r="O74" s="200">
        <f t="shared" si="370"/>
        <v>0</v>
      </c>
      <c r="P74" s="200">
        <f t="shared" si="9"/>
        <v>0</v>
      </c>
      <c r="Q74" s="200">
        <f t="shared" ref="Q74:AC74" si="371">countif($D74,"*"&amp;Q$2&amp;"*")</f>
        <v>0</v>
      </c>
      <c r="R74" s="200">
        <f t="shared" si="371"/>
        <v>0</v>
      </c>
      <c r="S74" s="200">
        <f t="shared" si="371"/>
        <v>0</v>
      </c>
      <c r="T74" s="200">
        <f t="shared" si="371"/>
        <v>0</v>
      </c>
      <c r="U74" s="200">
        <f t="shared" si="371"/>
        <v>0</v>
      </c>
      <c r="V74" s="200">
        <f t="shared" si="371"/>
        <v>0</v>
      </c>
      <c r="W74" s="200">
        <f t="shared" si="371"/>
        <v>0</v>
      </c>
      <c r="X74" s="200">
        <f t="shared" si="371"/>
        <v>0</v>
      </c>
      <c r="Y74" s="200">
        <f t="shared" si="371"/>
        <v>0</v>
      </c>
      <c r="Z74" s="200">
        <f t="shared" si="371"/>
        <v>0</v>
      </c>
      <c r="AA74" s="200">
        <f t="shared" si="371"/>
        <v>0</v>
      </c>
      <c r="AB74" s="200">
        <f t="shared" si="371"/>
        <v>0</v>
      </c>
      <c r="AC74" s="200">
        <f t="shared" si="371"/>
        <v>0</v>
      </c>
      <c r="AD74" s="200">
        <f t="shared" si="11"/>
        <v>0</v>
      </c>
      <c r="AE74" s="200">
        <f t="shared" ref="AE74:AG74" si="372">countif($D74,"*"&amp;AE$2&amp;"*")</f>
        <v>0</v>
      </c>
      <c r="AF74" s="200">
        <f t="shared" si="372"/>
        <v>0</v>
      </c>
      <c r="AG74" s="200">
        <f t="shared" si="372"/>
        <v>0</v>
      </c>
      <c r="AH74" s="171">
        <f t="shared" si="13"/>
        <v>0</v>
      </c>
      <c r="AI74" s="200">
        <f t="shared" si="14"/>
        <v>1</v>
      </c>
      <c r="AJ74" s="200">
        <f t="shared" si="137"/>
        <v>0</v>
      </c>
      <c r="AK74" s="201">
        <f t="shared" ref="AK74:AS74" si="373">countif($D74,"*"&amp;AK$2&amp;"*")</f>
        <v>0</v>
      </c>
      <c r="AL74" s="201">
        <f t="shared" si="373"/>
        <v>0</v>
      </c>
      <c r="AM74" s="201">
        <f t="shared" si="373"/>
        <v>0</v>
      </c>
      <c r="AN74" s="201">
        <f t="shared" si="373"/>
        <v>0</v>
      </c>
      <c r="AO74" s="201">
        <f t="shared" si="373"/>
        <v>0</v>
      </c>
      <c r="AP74" s="201">
        <f t="shared" si="373"/>
        <v>0</v>
      </c>
      <c r="AQ74" s="201">
        <f t="shared" si="373"/>
        <v>0</v>
      </c>
      <c r="AR74" s="200">
        <f t="shared" si="373"/>
        <v>0</v>
      </c>
      <c r="AS74" s="200">
        <f t="shared" si="373"/>
        <v>0</v>
      </c>
      <c r="AT74" s="173">
        <v>0.0</v>
      </c>
      <c r="AU74" s="200">
        <f t="shared" ref="AU74:AX74" si="374">countif($D74,"*"&amp;AU$2&amp;"*")</f>
        <v>0</v>
      </c>
      <c r="AV74" s="200">
        <f t="shared" si="374"/>
        <v>0</v>
      </c>
      <c r="AW74" s="200">
        <f t="shared" si="374"/>
        <v>0</v>
      </c>
      <c r="AX74" s="200">
        <f t="shared" si="374"/>
        <v>1</v>
      </c>
      <c r="AY74" s="202">
        <v>0.0</v>
      </c>
      <c r="AZ74" s="200"/>
      <c r="BA74" s="171" t="str">
        <f t="shared" si="18"/>
        <v>Archival</v>
      </c>
      <c r="BB74" s="171" t="str">
        <f t="shared" si="19"/>
        <v/>
      </c>
      <c r="BC74" s="171" t="str">
        <f t="shared" si="20"/>
        <v/>
      </c>
      <c r="BD74" s="171" t="str">
        <f t="shared" si="21"/>
        <v/>
      </c>
      <c r="BE74" s="171" t="str">
        <f t="shared" si="22"/>
        <v/>
      </c>
      <c r="BF74" s="171" t="str">
        <f t="shared" si="23"/>
        <v>Archival</v>
      </c>
    </row>
    <row r="75">
      <c r="A75" s="171">
        <f t="array" ref="A75">XLOOKUP(C75,ICSE!A:A,ICSE!C:C,,2,1)</f>
        <v>2022</v>
      </c>
      <c r="B75" s="171" t="s">
        <v>5675</v>
      </c>
      <c r="C75" s="160">
        <v>69.0</v>
      </c>
      <c r="D75" s="161" t="s">
        <v>2441</v>
      </c>
      <c r="E75" s="197" t="str">
        <f t="array" ref="E75">XLOOKUP(C75,ICSE!A:A,ICSE!Z:Z,,0,1)</f>
        <v>Publicly available (1)</v>
      </c>
      <c r="F75" s="198" t="s">
        <v>20</v>
      </c>
      <c r="G75" s="163" t="str">
        <f t="array" ref="G75">IF(B75="ICSE",IF(COUNTIFS(B:B,B75,C:C,C75)=XLOOKUP(C75,ICSE!A:A,ICSE!AA:AA,"ERROR",0,1),"OK","ERROR"),IF(B75="FSE",IF(COUNTIFS(B:B,B75,C:C,C75)=XLOOKUP(C75,FSE!A:A,FSE!AA:AA,"ERROR",0,1),"OK","ERROR")))</f>
        <v>OK</v>
      </c>
      <c r="H75" s="199">
        <f t="shared" ref="H75:O75" si="375">countif($D75,"*"&amp;H$2&amp;"*")</f>
        <v>0</v>
      </c>
      <c r="I75" s="200">
        <f t="shared" si="375"/>
        <v>0</v>
      </c>
      <c r="J75" s="200">
        <f t="shared" si="375"/>
        <v>0</v>
      </c>
      <c r="K75" s="200">
        <f t="shared" si="375"/>
        <v>0</v>
      </c>
      <c r="L75" s="200">
        <f t="shared" si="375"/>
        <v>0</v>
      </c>
      <c r="M75" s="200">
        <f t="shared" si="375"/>
        <v>0</v>
      </c>
      <c r="N75" s="200">
        <f t="shared" si="375"/>
        <v>0</v>
      </c>
      <c r="O75" s="200">
        <f t="shared" si="375"/>
        <v>0</v>
      </c>
      <c r="P75" s="200">
        <f t="shared" si="9"/>
        <v>1</v>
      </c>
      <c r="Q75" s="200">
        <f t="shared" ref="Q75:AC75" si="376">countif($D75,"*"&amp;Q$2&amp;"*")</f>
        <v>0</v>
      </c>
      <c r="R75" s="200">
        <f t="shared" si="376"/>
        <v>0</v>
      </c>
      <c r="S75" s="200">
        <f t="shared" si="376"/>
        <v>0</v>
      </c>
      <c r="T75" s="200">
        <f t="shared" si="376"/>
        <v>0</v>
      </c>
      <c r="U75" s="200">
        <f t="shared" si="376"/>
        <v>0</v>
      </c>
      <c r="V75" s="200">
        <f t="shared" si="376"/>
        <v>0</v>
      </c>
      <c r="W75" s="200">
        <f t="shared" si="376"/>
        <v>0</v>
      </c>
      <c r="X75" s="200">
        <f t="shared" si="376"/>
        <v>0</v>
      </c>
      <c r="Y75" s="200">
        <f t="shared" si="376"/>
        <v>0</v>
      </c>
      <c r="Z75" s="200">
        <f t="shared" si="376"/>
        <v>0</v>
      </c>
      <c r="AA75" s="200">
        <f t="shared" si="376"/>
        <v>0</v>
      </c>
      <c r="AB75" s="200">
        <f t="shared" si="376"/>
        <v>0</v>
      </c>
      <c r="AC75" s="200">
        <f t="shared" si="376"/>
        <v>0</v>
      </c>
      <c r="AD75" s="200">
        <f t="shared" si="11"/>
        <v>0</v>
      </c>
      <c r="AE75" s="200">
        <f t="shared" ref="AE75:AG75" si="377">countif($D75,"*"&amp;AE$2&amp;"*")</f>
        <v>0</v>
      </c>
      <c r="AF75" s="200">
        <f t="shared" si="377"/>
        <v>0</v>
      </c>
      <c r="AG75" s="200">
        <f t="shared" si="377"/>
        <v>0</v>
      </c>
      <c r="AH75" s="171">
        <f t="shared" si="13"/>
        <v>0</v>
      </c>
      <c r="AI75" s="200">
        <f t="shared" si="14"/>
        <v>0</v>
      </c>
      <c r="AJ75" s="200">
        <f t="shared" si="137"/>
        <v>0</v>
      </c>
      <c r="AK75" s="201">
        <f t="shared" ref="AK75:AS75" si="378">countif($D75,"*"&amp;AK$2&amp;"*")</f>
        <v>0</v>
      </c>
      <c r="AL75" s="201">
        <f t="shared" si="378"/>
        <v>0</v>
      </c>
      <c r="AM75" s="201">
        <f t="shared" si="378"/>
        <v>0</v>
      </c>
      <c r="AN75" s="201">
        <f t="shared" si="378"/>
        <v>0</v>
      </c>
      <c r="AO75" s="201">
        <f t="shared" si="378"/>
        <v>0</v>
      </c>
      <c r="AP75" s="201">
        <f t="shared" si="378"/>
        <v>0</v>
      </c>
      <c r="AQ75" s="201">
        <f t="shared" si="378"/>
        <v>0</v>
      </c>
      <c r="AR75" s="200">
        <f t="shared" si="378"/>
        <v>0</v>
      </c>
      <c r="AS75" s="200">
        <f t="shared" si="378"/>
        <v>0</v>
      </c>
      <c r="AT75" s="173">
        <v>0.0</v>
      </c>
      <c r="AU75" s="200">
        <f t="shared" ref="AU75:AX75" si="379">countif($D75,"*"&amp;AU$2&amp;"*")</f>
        <v>0</v>
      </c>
      <c r="AV75" s="200">
        <f t="shared" si="379"/>
        <v>1</v>
      </c>
      <c r="AW75" s="200">
        <f t="shared" si="379"/>
        <v>0</v>
      </c>
      <c r="AX75" s="200">
        <f t="shared" si="379"/>
        <v>0</v>
      </c>
      <c r="AY75" s="202">
        <v>0.0</v>
      </c>
      <c r="AZ75" s="200"/>
      <c r="BA75" s="171" t="str">
        <f t="shared" si="18"/>
        <v/>
      </c>
      <c r="BB75" s="171" t="str">
        <f t="shared" si="19"/>
        <v>Code</v>
      </c>
      <c r="BC75" s="171" t="str">
        <f t="shared" si="20"/>
        <v/>
      </c>
      <c r="BD75" s="171" t="str">
        <f t="shared" si="21"/>
        <v/>
      </c>
      <c r="BE75" s="171" t="str">
        <f t="shared" si="22"/>
        <v/>
      </c>
      <c r="BF75" s="171" t="str">
        <f t="shared" si="23"/>
        <v>Code</v>
      </c>
    </row>
    <row r="76">
      <c r="A76" s="171">
        <f t="array" ref="A76">XLOOKUP(C76,ICSE!A:A,ICSE!C:C,,2,1)</f>
        <v>2022</v>
      </c>
      <c r="B76" s="171" t="s">
        <v>5675</v>
      </c>
      <c r="C76" s="160">
        <v>70.0</v>
      </c>
      <c r="D76" s="161" t="s">
        <v>2444</v>
      </c>
      <c r="E76" s="197" t="str">
        <f t="array" ref="E76">XLOOKUP(C76,ICSE!A:A,ICSE!Z:Z,,0,1)</f>
        <v>Publicly available (1)</v>
      </c>
      <c r="F76" s="198" t="s">
        <v>20</v>
      </c>
      <c r="G76" s="163" t="str">
        <f t="array" ref="G76">IF(B76="ICSE",IF(COUNTIFS(B:B,B76,C:C,C76)=XLOOKUP(C76,ICSE!A:A,ICSE!AA:AA,"ERROR",0,1),"OK","ERROR"),IF(B76="FSE",IF(COUNTIFS(B:B,B76,C:C,C76)=XLOOKUP(C76,FSE!A:A,FSE!AA:AA,"ERROR",0,1),"OK","ERROR")))</f>
        <v>OK</v>
      </c>
      <c r="H76" s="199">
        <f t="shared" ref="H76:O76" si="380">countif($D76,"*"&amp;H$2&amp;"*")</f>
        <v>0</v>
      </c>
      <c r="I76" s="200">
        <f t="shared" si="380"/>
        <v>0</v>
      </c>
      <c r="J76" s="200">
        <f t="shared" si="380"/>
        <v>0</v>
      </c>
      <c r="K76" s="200">
        <f t="shared" si="380"/>
        <v>0</v>
      </c>
      <c r="L76" s="200">
        <f t="shared" si="380"/>
        <v>0</v>
      </c>
      <c r="M76" s="200">
        <f t="shared" si="380"/>
        <v>0</v>
      </c>
      <c r="N76" s="200">
        <f t="shared" si="380"/>
        <v>0</v>
      </c>
      <c r="O76" s="200">
        <f t="shared" si="380"/>
        <v>0</v>
      </c>
      <c r="P76" s="200">
        <f t="shared" si="9"/>
        <v>0</v>
      </c>
      <c r="Q76" s="200">
        <f t="shared" ref="Q76:AC76" si="381">countif($D76,"*"&amp;Q$2&amp;"*")</f>
        <v>0</v>
      </c>
      <c r="R76" s="200">
        <f t="shared" si="381"/>
        <v>0</v>
      </c>
      <c r="S76" s="200">
        <f t="shared" si="381"/>
        <v>0</v>
      </c>
      <c r="T76" s="200">
        <f t="shared" si="381"/>
        <v>0</v>
      </c>
      <c r="U76" s="200">
        <f t="shared" si="381"/>
        <v>0</v>
      </c>
      <c r="V76" s="200">
        <f t="shared" si="381"/>
        <v>0</v>
      </c>
      <c r="W76" s="200">
        <f t="shared" si="381"/>
        <v>0</v>
      </c>
      <c r="X76" s="200">
        <f t="shared" si="381"/>
        <v>0</v>
      </c>
      <c r="Y76" s="200">
        <f t="shared" si="381"/>
        <v>0</v>
      </c>
      <c r="Z76" s="200">
        <f t="shared" si="381"/>
        <v>0</v>
      </c>
      <c r="AA76" s="200">
        <f t="shared" si="381"/>
        <v>1</v>
      </c>
      <c r="AB76" s="200">
        <f t="shared" si="381"/>
        <v>0</v>
      </c>
      <c r="AC76" s="200">
        <f t="shared" si="381"/>
        <v>0</v>
      </c>
      <c r="AD76" s="200">
        <f t="shared" si="11"/>
        <v>0</v>
      </c>
      <c r="AE76" s="200">
        <f t="shared" ref="AE76:AG76" si="382">countif($D76,"*"&amp;AE$2&amp;"*")</f>
        <v>0</v>
      </c>
      <c r="AF76" s="200">
        <f t="shared" si="382"/>
        <v>0</v>
      </c>
      <c r="AG76" s="200">
        <f t="shared" si="382"/>
        <v>0</v>
      </c>
      <c r="AH76" s="171">
        <f t="shared" si="13"/>
        <v>0</v>
      </c>
      <c r="AI76" s="200">
        <f t="shared" si="14"/>
        <v>0</v>
      </c>
      <c r="AJ76" s="200">
        <f t="shared" si="137"/>
        <v>0</v>
      </c>
      <c r="AK76" s="201">
        <f t="shared" ref="AK76:AS76" si="383">countif($D76,"*"&amp;AK$2&amp;"*")</f>
        <v>0</v>
      </c>
      <c r="AL76" s="201">
        <f t="shared" si="383"/>
        <v>0</v>
      </c>
      <c r="AM76" s="201">
        <f t="shared" si="383"/>
        <v>0</v>
      </c>
      <c r="AN76" s="201">
        <f t="shared" si="383"/>
        <v>0</v>
      </c>
      <c r="AO76" s="201">
        <f t="shared" si="383"/>
        <v>0</v>
      </c>
      <c r="AP76" s="201">
        <f t="shared" si="383"/>
        <v>0</v>
      </c>
      <c r="AQ76" s="201">
        <f t="shared" si="383"/>
        <v>0</v>
      </c>
      <c r="AR76" s="200">
        <f t="shared" si="383"/>
        <v>0</v>
      </c>
      <c r="AS76" s="200">
        <f t="shared" si="383"/>
        <v>0</v>
      </c>
      <c r="AT76" s="173">
        <v>0.0</v>
      </c>
      <c r="AU76" s="200">
        <f t="shared" ref="AU76:AX76" si="384">countif($D76,"*"&amp;AU$2&amp;"*")</f>
        <v>0</v>
      </c>
      <c r="AV76" s="200">
        <f t="shared" si="384"/>
        <v>0</v>
      </c>
      <c r="AW76" s="200">
        <f t="shared" si="384"/>
        <v>0</v>
      </c>
      <c r="AX76" s="200">
        <f t="shared" si="384"/>
        <v>0</v>
      </c>
      <c r="AY76" s="202">
        <v>0.0</v>
      </c>
      <c r="AZ76" s="200"/>
      <c r="BA76" s="171" t="str">
        <f t="shared" si="18"/>
        <v/>
      </c>
      <c r="BB76" s="171" t="str">
        <f t="shared" si="19"/>
        <v/>
      </c>
      <c r="BC76" s="171" t="str">
        <f t="shared" si="20"/>
        <v>General-purpose</v>
      </c>
      <c r="BD76" s="171" t="str">
        <f t="shared" si="21"/>
        <v/>
      </c>
      <c r="BE76" s="171" t="str">
        <f t="shared" si="22"/>
        <v/>
      </c>
      <c r="BF76" s="171" t="str">
        <f t="shared" si="23"/>
        <v>General-purpose</v>
      </c>
    </row>
    <row r="77">
      <c r="A77" s="171">
        <f t="array" ref="A77">XLOOKUP(C77,ICSE!A:A,ICSE!C:C,,2,1)</f>
        <v>2022</v>
      </c>
      <c r="B77" s="171" t="s">
        <v>5675</v>
      </c>
      <c r="C77" s="160">
        <v>71.0</v>
      </c>
      <c r="D77" s="161" t="s">
        <v>2447</v>
      </c>
      <c r="E77" s="197" t="str">
        <f t="array" ref="E77">XLOOKUP(C77,ICSE!A:A,ICSE!Z:Z,,0,1)</f>
        <v>Publicly available (1)</v>
      </c>
      <c r="F77" s="198" t="s">
        <v>20</v>
      </c>
      <c r="G77" s="163" t="str">
        <f t="array" ref="G77">IF(B77="ICSE",IF(COUNTIFS(B:B,B77,C:C,C77)=XLOOKUP(C77,ICSE!A:A,ICSE!AA:AA,"ERROR",0,1),"OK","ERROR"),IF(B77="FSE",IF(COUNTIFS(B:B,B77,C:C,C77)=XLOOKUP(C77,FSE!A:A,FSE!AA:AA,"ERROR",0,1),"OK","ERROR")))</f>
        <v>OK</v>
      </c>
      <c r="H77" s="199">
        <f t="shared" ref="H77:O77" si="385">countif($D77,"*"&amp;H$2&amp;"*")</f>
        <v>0</v>
      </c>
      <c r="I77" s="200">
        <f t="shared" si="385"/>
        <v>0</v>
      </c>
      <c r="J77" s="200">
        <f t="shared" si="385"/>
        <v>0</v>
      </c>
      <c r="K77" s="200">
        <f t="shared" si="385"/>
        <v>0</v>
      </c>
      <c r="L77" s="200">
        <f t="shared" si="385"/>
        <v>0</v>
      </c>
      <c r="M77" s="200">
        <f t="shared" si="385"/>
        <v>0</v>
      </c>
      <c r="N77" s="200">
        <f t="shared" si="385"/>
        <v>0</v>
      </c>
      <c r="O77" s="200">
        <f t="shared" si="385"/>
        <v>0</v>
      </c>
      <c r="P77" s="200">
        <f t="shared" si="9"/>
        <v>1</v>
      </c>
      <c r="Q77" s="200">
        <f t="shared" ref="Q77:AC77" si="386">countif($D77,"*"&amp;Q$2&amp;"*")</f>
        <v>0</v>
      </c>
      <c r="R77" s="200">
        <f t="shared" si="386"/>
        <v>0</v>
      </c>
      <c r="S77" s="200">
        <f t="shared" si="386"/>
        <v>0</v>
      </c>
      <c r="T77" s="200">
        <f t="shared" si="386"/>
        <v>0</v>
      </c>
      <c r="U77" s="200">
        <f t="shared" si="386"/>
        <v>0</v>
      </c>
      <c r="V77" s="200">
        <f t="shared" si="386"/>
        <v>0</v>
      </c>
      <c r="W77" s="200">
        <f t="shared" si="386"/>
        <v>0</v>
      </c>
      <c r="X77" s="200">
        <f t="shared" si="386"/>
        <v>0</v>
      </c>
      <c r="Y77" s="200">
        <f t="shared" si="386"/>
        <v>0</v>
      </c>
      <c r="Z77" s="200">
        <f t="shared" si="386"/>
        <v>0</v>
      </c>
      <c r="AA77" s="200">
        <f t="shared" si="386"/>
        <v>0</v>
      </c>
      <c r="AB77" s="200">
        <f t="shared" si="386"/>
        <v>0</v>
      </c>
      <c r="AC77" s="200">
        <f t="shared" si="386"/>
        <v>0</v>
      </c>
      <c r="AD77" s="200">
        <f t="shared" si="11"/>
        <v>0</v>
      </c>
      <c r="AE77" s="200">
        <f t="shared" ref="AE77:AG77" si="387">countif($D77,"*"&amp;AE$2&amp;"*")</f>
        <v>0</v>
      </c>
      <c r="AF77" s="200">
        <f t="shared" si="387"/>
        <v>0</v>
      </c>
      <c r="AG77" s="200">
        <f t="shared" si="387"/>
        <v>0</v>
      </c>
      <c r="AH77" s="171">
        <f t="shared" si="13"/>
        <v>0</v>
      </c>
      <c r="AI77" s="200">
        <f t="shared" si="14"/>
        <v>0</v>
      </c>
      <c r="AJ77" s="200">
        <f t="shared" si="137"/>
        <v>0</v>
      </c>
      <c r="AK77" s="201">
        <f t="shared" ref="AK77:AS77" si="388">countif($D77,"*"&amp;AK$2&amp;"*")</f>
        <v>0</v>
      </c>
      <c r="AL77" s="201">
        <f t="shared" si="388"/>
        <v>0</v>
      </c>
      <c r="AM77" s="201">
        <f t="shared" si="388"/>
        <v>0</v>
      </c>
      <c r="AN77" s="201">
        <f t="shared" si="388"/>
        <v>0</v>
      </c>
      <c r="AO77" s="201">
        <f t="shared" si="388"/>
        <v>0</v>
      </c>
      <c r="AP77" s="201">
        <f t="shared" si="388"/>
        <v>0</v>
      </c>
      <c r="AQ77" s="201">
        <f t="shared" si="388"/>
        <v>0</v>
      </c>
      <c r="AR77" s="200">
        <f t="shared" si="388"/>
        <v>0</v>
      </c>
      <c r="AS77" s="200">
        <f t="shared" si="388"/>
        <v>0</v>
      </c>
      <c r="AT77" s="173">
        <v>0.0</v>
      </c>
      <c r="AU77" s="200">
        <f t="shared" ref="AU77:AX77" si="389">countif($D77,"*"&amp;AU$2&amp;"*")</f>
        <v>0</v>
      </c>
      <c r="AV77" s="200">
        <f t="shared" si="389"/>
        <v>1</v>
      </c>
      <c r="AW77" s="200">
        <f t="shared" si="389"/>
        <v>0</v>
      </c>
      <c r="AX77" s="200">
        <f t="shared" si="389"/>
        <v>0</v>
      </c>
      <c r="AY77" s="202">
        <v>0.0</v>
      </c>
      <c r="AZ77" s="200"/>
      <c r="BA77" s="171" t="str">
        <f t="shared" si="18"/>
        <v/>
      </c>
      <c r="BB77" s="171" t="str">
        <f t="shared" si="19"/>
        <v>Code</v>
      </c>
      <c r="BC77" s="171" t="str">
        <f t="shared" si="20"/>
        <v/>
      </c>
      <c r="BD77" s="171" t="str">
        <f t="shared" si="21"/>
        <v/>
      </c>
      <c r="BE77" s="171" t="str">
        <f t="shared" si="22"/>
        <v/>
      </c>
      <c r="BF77" s="171" t="str">
        <f t="shared" si="23"/>
        <v>Code</v>
      </c>
    </row>
    <row r="78">
      <c r="A78" s="171">
        <f t="array" ref="A78">XLOOKUP(C78,ICSE!A:A,ICSE!C:C,,2,1)</f>
        <v>2022</v>
      </c>
      <c r="B78" s="171" t="s">
        <v>5675</v>
      </c>
      <c r="C78" s="160">
        <v>72.0</v>
      </c>
      <c r="D78" s="161" t="s">
        <v>2450</v>
      </c>
      <c r="E78" s="197" t="str">
        <f t="array" ref="E78">XLOOKUP(C78,ICSE!A:A,ICSE!Z:Z,,0,1)</f>
        <v>Publicly available (1)</v>
      </c>
      <c r="F78" s="198" t="s">
        <v>20</v>
      </c>
      <c r="G78" s="163" t="str">
        <f t="array" ref="G78">IF(B78="ICSE",IF(COUNTIFS(B:B,B78,C:C,C78)=XLOOKUP(C78,ICSE!A:A,ICSE!AA:AA,"ERROR",0,1),"OK","ERROR"),IF(B78="FSE",IF(COUNTIFS(B:B,B78,C:C,C78)=XLOOKUP(C78,FSE!A:A,FSE!AA:AA,"ERROR",0,1),"OK","ERROR")))</f>
        <v>OK</v>
      </c>
      <c r="H78" s="199">
        <f t="shared" ref="H78:O78" si="390">countif($D78,"*"&amp;H$2&amp;"*")</f>
        <v>0</v>
      </c>
      <c r="I78" s="200">
        <f t="shared" si="390"/>
        <v>0</v>
      </c>
      <c r="J78" s="200">
        <f t="shared" si="390"/>
        <v>0</v>
      </c>
      <c r="K78" s="200">
        <f t="shared" si="390"/>
        <v>0</v>
      </c>
      <c r="L78" s="200">
        <f t="shared" si="390"/>
        <v>0</v>
      </c>
      <c r="M78" s="200">
        <f t="shared" si="390"/>
        <v>0</v>
      </c>
      <c r="N78" s="200">
        <f t="shared" si="390"/>
        <v>0</v>
      </c>
      <c r="O78" s="200">
        <f t="shared" si="390"/>
        <v>0</v>
      </c>
      <c r="P78" s="200">
        <f t="shared" si="9"/>
        <v>1</v>
      </c>
      <c r="Q78" s="200">
        <f t="shared" ref="Q78:AC78" si="391">countif($D78,"*"&amp;Q$2&amp;"*")</f>
        <v>0</v>
      </c>
      <c r="R78" s="200">
        <f t="shared" si="391"/>
        <v>0</v>
      </c>
      <c r="S78" s="200">
        <f t="shared" si="391"/>
        <v>0</v>
      </c>
      <c r="T78" s="200">
        <f t="shared" si="391"/>
        <v>0</v>
      </c>
      <c r="U78" s="200">
        <f t="shared" si="391"/>
        <v>0</v>
      </c>
      <c r="V78" s="200">
        <f t="shared" si="391"/>
        <v>0</v>
      </c>
      <c r="W78" s="200">
        <f t="shared" si="391"/>
        <v>0</v>
      </c>
      <c r="X78" s="200">
        <f t="shared" si="391"/>
        <v>0</v>
      </c>
      <c r="Y78" s="200">
        <f t="shared" si="391"/>
        <v>0</v>
      </c>
      <c r="Z78" s="200">
        <f t="shared" si="391"/>
        <v>0</v>
      </c>
      <c r="AA78" s="200">
        <f t="shared" si="391"/>
        <v>0</v>
      </c>
      <c r="AB78" s="200">
        <f t="shared" si="391"/>
        <v>0</v>
      </c>
      <c r="AC78" s="200">
        <f t="shared" si="391"/>
        <v>0</v>
      </c>
      <c r="AD78" s="200">
        <f t="shared" si="11"/>
        <v>0</v>
      </c>
      <c r="AE78" s="200">
        <f t="shared" ref="AE78:AG78" si="392">countif($D78,"*"&amp;AE$2&amp;"*")</f>
        <v>0</v>
      </c>
      <c r="AF78" s="200">
        <f t="shared" si="392"/>
        <v>0</v>
      </c>
      <c r="AG78" s="200">
        <f t="shared" si="392"/>
        <v>0</v>
      </c>
      <c r="AH78" s="171">
        <f t="shared" si="13"/>
        <v>0</v>
      </c>
      <c r="AI78" s="200">
        <f t="shared" si="14"/>
        <v>0</v>
      </c>
      <c r="AJ78" s="200">
        <f t="shared" si="137"/>
        <v>0</v>
      </c>
      <c r="AK78" s="201">
        <f t="shared" ref="AK78:AS78" si="393">countif($D78,"*"&amp;AK$2&amp;"*")</f>
        <v>0</v>
      </c>
      <c r="AL78" s="201">
        <f t="shared" si="393"/>
        <v>0</v>
      </c>
      <c r="AM78" s="201">
        <f t="shared" si="393"/>
        <v>0</v>
      </c>
      <c r="AN78" s="201">
        <f t="shared" si="393"/>
        <v>0</v>
      </c>
      <c r="AO78" s="201">
        <f t="shared" si="393"/>
        <v>0</v>
      </c>
      <c r="AP78" s="201">
        <f t="shared" si="393"/>
        <v>0</v>
      </c>
      <c r="AQ78" s="201">
        <f t="shared" si="393"/>
        <v>0</v>
      </c>
      <c r="AR78" s="200">
        <f t="shared" si="393"/>
        <v>0</v>
      </c>
      <c r="AS78" s="200">
        <f t="shared" si="393"/>
        <v>0</v>
      </c>
      <c r="AT78" s="173">
        <v>0.0</v>
      </c>
      <c r="AU78" s="200">
        <f t="shared" ref="AU78:AX78" si="394">countif($D78,"*"&amp;AU$2&amp;"*")</f>
        <v>0</v>
      </c>
      <c r="AV78" s="200">
        <f t="shared" si="394"/>
        <v>1</v>
      </c>
      <c r="AW78" s="200">
        <f t="shared" si="394"/>
        <v>0</v>
      </c>
      <c r="AX78" s="200">
        <f t="shared" si="394"/>
        <v>0</v>
      </c>
      <c r="AY78" s="202">
        <v>0.0</v>
      </c>
      <c r="AZ78" s="200"/>
      <c r="BA78" s="171" t="str">
        <f t="shared" si="18"/>
        <v/>
      </c>
      <c r="BB78" s="171" t="str">
        <f t="shared" si="19"/>
        <v>Code</v>
      </c>
      <c r="BC78" s="171" t="str">
        <f t="shared" si="20"/>
        <v/>
      </c>
      <c r="BD78" s="171" t="str">
        <f t="shared" si="21"/>
        <v/>
      </c>
      <c r="BE78" s="171" t="str">
        <f t="shared" si="22"/>
        <v/>
      </c>
      <c r="BF78" s="171" t="str">
        <f t="shared" si="23"/>
        <v>Code</v>
      </c>
    </row>
    <row r="79">
      <c r="A79" s="171">
        <f t="array" ref="A79">XLOOKUP(C79,ICSE!A:A,ICSE!C:C,,2,1)</f>
        <v>2022</v>
      </c>
      <c r="B79" s="171" t="s">
        <v>5675</v>
      </c>
      <c r="C79" s="160">
        <v>73.0</v>
      </c>
      <c r="D79" s="161" t="s">
        <v>2452</v>
      </c>
      <c r="E79" s="197" t="str">
        <f t="array" ref="E79">XLOOKUP(C79,ICSE!A:A,ICSE!Z:Z,,0,1)</f>
        <v>Publicly available (1)</v>
      </c>
      <c r="F79" s="198" t="s">
        <v>20</v>
      </c>
      <c r="G79" s="163" t="str">
        <f t="array" ref="G79">IF(B79="ICSE",IF(COUNTIFS(B:B,B79,C:C,C79)=XLOOKUP(C79,ICSE!A:A,ICSE!AA:AA,"ERROR",0,1),"OK","ERROR"),IF(B79="FSE",IF(COUNTIFS(B:B,B79,C:C,C79)=XLOOKUP(C79,FSE!A:A,FSE!AA:AA,"ERROR",0,1),"OK","ERROR")))</f>
        <v>OK</v>
      </c>
      <c r="H79" s="199">
        <f t="shared" ref="H79:O79" si="395">countif($D79,"*"&amp;H$2&amp;"*")</f>
        <v>0</v>
      </c>
      <c r="I79" s="200">
        <f t="shared" si="395"/>
        <v>0</v>
      </c>
      <c r="J79" s="200">
        <f t="shared" si="395"/>
        <v>0</v>
      </c>
      <c r="K79" s="200">
        <f t="shared" si="395"/>
        <v>0</v>
      </c>
      <c r="L79" s="200">
        <f t="shared" si="395"/>
        <v>0</v>
      </c>
      <c r="M79" s="200">
        <f t="shared" si="395"/>
        <v>0</v>
      </c>
      <c r="N79" s="200">
        <f t="shared" si="395"/>
        <v>0</v>
      </c>
      <c r="O79" s="200">
        <f t="shared" si="395"/>
        <v>0</v>
      </c>
      <c r="P79" s="200">
        <f t="shared" si="9"/>
        <v>1</v>
      </c>
      <c r="Q79" s="200">
        <f t="shared" ref="Q79:AC79" si="396">countif($D79,"*"&amp;Q$2&amp;"*")</f>
        <v>0</v>
      </c>
      <c r="R79" s="200">
        <f t="shared" si="396"/>
        <v>0</v>
      </c>
      <c r="S79" s="200">
        <f t="shared" si="396"/>
        <v>0</v>
      </c>
      <c r="T79" s="200">
        <f t="shared" si="396"/>
        <v>0</v>
      </c>
      <c r="U79" s="200">
        <f t="shared" si="396"/>
        <v>0</v>
      </c>
      <c r="V79" s="200">
        <f t="shared" si="396"/>
        <v>0</v>
      </c>
      <c r="W79" s="200">
        <f t="shared" si="396"/>
        <v>0</v>
      </c>
      <c r="X79" s="200">
        <f t="shared" si="396"/>
        <v>0</v>
      </c>
      <c r="Y79" s="200">
        <f t="shared" si="396"/>
        <v>0</v>
      </c>
      <c r="Z79" s="200">
        <f t="shared" si="396"/>
        <v>0</v>
      </c>
      <c r="AA79" s="200">
        <f t="shared" si="396"/>
        <v>0</v>
      </c>
      <c r="AB79" s="200">
        <f t="shared" si="396"/>
        <v>0</v>
      </c>
      <c r="AC79" s="200">
        <f t="shared" si="396"/>
        <v>0</v>
      </c>
      <c r="AD79" s="200">
        <f t="shared" si="11"/>
        <v>0</v>
      </c>
      <c r="AE79" s="200">
        <f t="shared" ref="AE79:AG79" si="397">countif($D79,"*"&amp;AE$2&amp;"*")</f>
        <v>0</v>
      </c>
      <c r="AF79" s="200">
        <f t="shared" si="397"/>
        <v>0</v>
      </c>
      <c r="AG79" s="200">
        <f t="shared" si="397"/>
        <v>0</v>
      </c>
      <c r="AH79" s="171">
        <f t="shared" si="13"/>
        <v>0</v>
      </c>
      <c r="AI79" s="200">
        <f t="shared" si="14"/>
        <v>0</v>
      </c>
      <c r="AJ79" s="200">
        <f t="shared" si="137"/>
        <v>0</v>
      </c>
      <c r="AK79" s="201">
        <f t="shared" ref="AK79:AS79" si="398">countif($D79,"*"&amp;AK$2&amp;"*")</f>
        <v>0</v>
      </c>
      <c r="AL79" s="201">
        <f t="shared" si="398"/>
        <v>0</v>
      </c>
      <c r="AM79" s="201">
        <f t="shared" si="398"/>
        <v>0</v>
      </c>
      <c r="AN79" s="201">
        <f t="shared" si="398"/>
        <v>0</v>
      </c>
      <c r="AO79" s="201">
        <f t="shared" si="398"/>
        <v>0</v>
      </c>
      <c r="AP79" s="201">
        <f t="shared" si="398"/>
        <v>0</v>
      </c>
      <c r="AQ79" s="201">
        <f t="shared" si="398"/>
        <v>0</v>
      </c>
      <c r="AR79" s="200">
        <f t="shared" si="398"/>
        <v>0</v>
      </c>
      <c r="AS79" s="200">
        <f t="shared" si="398"/>
        <v>0</v>
      </c>
      <c r="AT79" s="173">
        <v>0.0</v>
      </c>
      <c r="AU79" s="200">
        <f t="shared" ref="AU79:AX79" si="399">countif($D79,"*"&amp;AU$2&amp;"*")</f>
        <v>0</v>
      </c>
      <c r="AV79" s="200">
        <f t="shared" si="399"/>
        <v>1</v>
      </c>
      <c r="AW79" s="200">
        <f t="shared" si="399"/>
        <v>0</v>
      </c>
      <c r="AX79" s="200">
        <f t="shared" si="399"/>
        <v>0</v>
      </c>
      <c r="AY79" s="202">
        <v>0.0</v>
      </c>
      <c r="AZ79" s="200"/>
      <c r="BA79" s="171" t="str">
        <f t="shared" si="18"/>
        <v/>
      </c>
      <c r="BB79" s="171" t="str">
        <f t="shared" si="19"/>
        <v>Code</v>
      </c>
      <c r="BC79" s="171" t="str">
        <f t="shared" si="20"/>
        <v/>
      </c>
      <c r="BD79" s="171" t="str">
        <f t="shared" si="21"/>
        <v/>
      </c>
      <c r="BE79" s="171" t="str">
        <f t="shared" si="22"/>
        <v/>
      </c>
      <c r="BF79" s="171" t="str">
        <f t="shared" si="23"/>
        <v>Code</v>
      </c>
    </row>
    <row r="80">
      <c r="A80" s="171">
        <f t="array" ref="A80">XLOOKUP(C80,ICSE!A:A,ICSE!C:C,,2,1)</f>
        <v>2022</v>
      </c>
      <c r="B80" s="171" t="s">
        <v>5675</v>
      </c>
      <c r="C80" s="160">
        <v>74.0</v>
      </c>
      <c r="D80" s="161" t="s">
        <v>5762</v>
      </c>
      <c r="E80" s="197" t="str">
        <f t="array" ref="E80">XLOOKUP(C80,ICSE!A:A,ICSE!Z:Z,,0,1)</f>
        <v>Publicly available (3)</v>
      </c>
      <c r="F80" s="198" t="s">
        <v>20</v>
      </c>
      <c r="G80" s="163" t="str">
        <f t="array" ref="G80">IF(B80="ICSE",IF(COUNTIFS(B:B,B80,C:C,C80)=XLOOKUP(C80,ICSE!A:A,ICSE!AA:AA,"ERROR",0,1),"OK","ERROR"),IF(B80="FSE",IF(COUNTIFS(B:B,B80,C:C,C80)=XLOOKUP(C80,FSE!A:A,FSE!AA:AA,"ERROR",0,1),"OK","ERROR")))</f>
        <v>OK</v>
      </c>
      <c r="H80" s="199">
        <f t="shared" ref="H80:O80" si="400">countif($D80,"*"&amp;H$2&amp;"*")</f>
        <v>1</v>
      </c>
      <c r="I80" s="200">
        <f t="shared" si="400"/>
        <v>0</v>
      </c>
      <c r="J80" s="200">
        <f t="shared" si="400"/>
        <v>0</v>
      </c>
      <c r="K80" s="200">
        <f t="shared" si="400"/>
        <v>0</v>
      </c>
      <c r="L80" s="200">
        <f t="shared" si="400"/>
        <v>0</v>
      </c>
      <c r="M80" s="200">
        <f t="shared" si="400"/>
        <v>0</v>
      </c>
      <c r="N80" s="200">
        <f t="shared" si="400"/>
        <v>0</v>
      </c>
      <c r="O80" s="200">
        <f t="shared" si="400"/>
        <v>0</v>
      </c>
      <c r="P80" s="200">
        <f t="shared" si="9"/>
        <v>0</v>
      </c>
      <c r="Q80" s="200">
        <f t="shared" ref="Q80:AC80" si="401">countif($D80,"*"&amp;Q$2&amp;"*")</f>
        <v>0</v>
      </c>
      <c r="R80" s="200">
        <f t="shared" si="401"/>
        <v>0</v>
      </c>
      <c r="S80" s="200">
        <f t="shared" si="401"/>
        <v>0</v>
      </c>
      <c r="T80" s="200">
        <f t="shared" si="401"/>
        <v>0</v>
      </c>
      <c r="U80" s="200">
        <f t="shared" si="401"/>
        <v>0</v>
      </c>
      <c r="V80" s="200">
        <f t="shared" si="401"/>
        <v>0</v>
      </c>
      <c r="W80" s="200">
        <f t="shared" si="401"/>
        <v>0</v>
      </c>
      <c r="X80" s="200">
        <f t="shared" si="401"/>
        <v>0</v>
      </c>
      <c r="Y80" s="200">
        <f t="shared" si="401"/>
        <v>0</v>
      </c>
      <c r="Z80" s="200">
        <f t="shared" si="401"/>
        <v>0</v>
      </c>
      <c r="AA80" s="200">
        <f t="shared" si="401"/>
        <v>0</v>
      </c>
      <c r="AB80" s="200">
        <f t="shared" si="401"/>
        <v>0</v>
      </c>
      <c r="AC80" s="200">
        <f t="shared" si="401"/>
        <v>0</v>
      </c>
      <c r="AD80" s="200">
        <f t="shared" si="11"/>
        <v>0</v>
      </c>
      <c r="AE80" s="200">
        <f t="shared" ref="AE80:AG80" si="402">countif($D80,"*"&amp;AE$2&amp;"*")</f>
        <v>0</v>
      </c>
      <c r="AF80" s="200">
        <f t="shared" si="402"/>
        <v>0</v>
      </c>
      <c r="AG80" s="200">
        <f t="shared" si="402"/>
        <v>0</v>
      </c>
      <c r="AH80" s="171">
        <f t="shared" si="13"/>
        <v>0</v>
      </c>
      <c r="AI80" s="200">
        <f t="shared" si="14"/>
        <v>1</v>
      </c>
      <c r="AJ80" s="200">
        <f t="shared" si="137"/>
        <v>0</v>
      </c>
      <c r="AK80" s="201">
        <f t="shared" ref="AK80:AS80" si="403">countif($D80,"*"&amp;AK$2&amp;"*")</f>
        <v>0</v>
      </c>
      <c r="AL80" s="201">
        <f t="shared" si="403"/>
        <v>0</v>
      </c>
      <c r="AM80" s="201">
        <f t="shared" si="403"/>
        <v>0</v>
      </c>
      <c r="AN80" s="201">
        <f t="shared" si="403"/>
        <v>0</v>
      </c>
      <c r="AO80" s="201">
        <f t="shared" si="403"/>
        <v>0</v>
      </c>
      <c r="AP80" s="201">
        <f t="shared" si="403"/>
        <v>0</v>
      </c>
      <c r="AQ80" s="201">
        <f t="shared" si="403"/>
        <v>0</v>
      </c>
      <c r="AR80" s="200">
        <f t="shared" si="403"/>
        <v>0</v>
      </c>
      <c r="AS80" s="200">
        <f t="shared" si="403"/>
        <v>0</v>
      </c>
      <c r="AT80" s="173">
        <v>0.0</v>
      </c>
      <c r="AU80" s="200">
        <f t="shared" ref="AU80:AX80" si="404">countif($D80,"*"&amp;AU$2&amp;"*")</f>
        <v>0</v>
      </c>
      <c r="AV80" s="200">
        <f t="shared" si="404"/>
        <v>0</v>
      </c>
      <c r="AW80" s="200">
        <f t="shared" si="404"/>
        <v>0</v>
      </c>
      <c r="AX80" s="200">
        <f t="shared" si="404"/>
        <v>1</v>
      </c>
      <c r="AY80" s="202">
        <v>0.0</v>
      </c>
      <c r="AZ80" s="200"/>
      <c r="BA80" s="171" t="str">
        <f t="shared" si="18"/>
        <v>Archival</v>
      </c>
      <c r="BB80" s="171" t="str">
        <f t="shared" si="19"/>
        <v/>
      </c>
      <c r="BC80" s="171" t="str">
        <f t="shared" si="20"/>
        <v/>
      </c>
      <c r="BD80" s="171" t="str">
        <f t="shared" si="21"/>
        <v/>
      </c>
      <c r="BE80" s="171" t="str">
        <f t="shared" si="22"/>
        <v/>
      </c>
      <c r="BF80" s="171" t="str">
        <f t="shared" si="23"/>
        <v>Archival</v>
      </c>
    </row>
    <row r="81">
      <c r="A81" s="171">
        <f t="array" ref="A81">XLOOKUP(C81,ICSE!A:A,ICSE!C:C,,2,1)</f>
        <v>2022</v>
      </c>
      <c r="B81" s="171" t="s">
        <v>5675</v>
      </c>
      <c r="C81" s="160">
        <v>74.0</v>
      </c>
      <c r="D81" s="161" t="s">
        <v>5763</v>
      </c>
      <c r="E81" s="197" t="str">
        <f t="array" ref="E81">XLOOKUP(C81,ICSE!A:A,ICSE!Z:Z,,0,1)</f>
        <v>Publicly available (3)</v>
      </c>
      <c r="F81" s="198" t="s">
        <v>20</v>
      </c>
      <c r="G81" s="163" t="str">
        <f t="array" ref="G81">IF(B81="ICSE",IF(COUNTIFS(B:B,B81,C:C,C81)=XLOOKUP(C81,ICSE!A:A,ICSE!AA:AA,"ERROR",0,1),"OK","ERROR"),IF(B81="FSE",IF(COUNTIFS(B:B,B81,C:C,C81)=XLOOKUP(C81,FSE!A:A,FSE!AA:AA,"ERROR",0,1),"OK","ERROR")))</f>
        <v>OK</v>
      </c>
      <c r="H81" s="199">
        <f t="shared" ref="H81:O81" si="405">countif($D81,"*"&amp;H$2&amp;"*")</f>
        <v>0</v>
      </c>
      <c r="I81" s="200">
        <f t="shared" si="405"/>
        <v>0</v>
      </c>
      <c r="J81" s="200">
        <f t="shared" si="405"/>
        <v>0</v>
      </c>
      <c r="K81" s="200">
        <f t="shared" si="405"/>
        <v>0</v>
      </c>
      <c r="L81" s="200">
        <f t="shared" si="405"/>
        <v>0</v>
      </c>
      <c r="M81" s="200">
        <f t="shared" si="405"/>
        <v>0</v>
      </c>
      <c r="N81" s="200">
        <f t="shared" si="405"/>
        <v>0</v>
      </c>
      <c r="O81" s="200">
        <f t="shared" si="405"/>
        <v>0</v>
      </c>
      <c r="P81" s="200">
        <f t="shared" si="9"/>
        <v>1</v>
      </c>
      <c r="Q81" s="200">
        <f t="shared" ref="Q81:AC81" si="406">countif($D81,"*"&amp;Q$2&amp;"*")</f>
        <v>0</v>
      </c>
      <c r="R81" s="200">
        <f t="shared" si="406"/>
        <v>0</v>
      </c>
      <c r="S81" s="200">
        <f t="shared" si="406"/>
        <v>0</v>
      </c>
      <c r="T81" s="200">
        <f t="shared" si="406"/>
        <v>0</v>
      </c>
      <c r="U81" s="200">
        <f t="shared" si="406"/>
        <v>0</v>
      </c>
      <c r="V81" s="200">
        <f t="shared" si="406"/>
        <v>0</v>
      </c>
      <c r="W81" s="200">
        <f t="shared" si="406"/>
        <v>0</v>
      </c>
      <c r="X81" s="200">
        <f t="shared" si="406"/>
        <v>0</v>
      </c>
      <c r="Y81" s="200">
        <f t="shared" si="406"/>
        <v>0</v>
      </c>
      <c r="Z81" s="200">
        <f t="shared" si="406"/>
        <v>0</v>
      </c>
      <c r="AA81" s="200">
        <f t="shared" si="406"/>
        <v>0</v>
      </c>
      <c r="AB81" s="200">
        <f t="shared" si="406"/>
        <v>0</v>
      </c>
      <c r="AC81" s="200">
        <f t="shared" si="406"/>
        <v>0</v>
      </c>
      <c r="AD81" s="200">
        <f t="shared" si="11"/>
        <v>0</v>
      </c>
      <c r="AE81" s="200">
        <f t="shared" ref="AE81:AG81" si="407">countif($D81,"*"&amp;AE$2&amp;"*")</f>
        <v>0</v>
      </c>
      <c r="AF81" s="200">
        <f t="shared" si="407"/>
        <v>0</v>
      </c>
      <c r="AG81" s="200">
        <f t="shared" si="407"/>
        <v>0</v>
      </c>
      <c r="AH81" s="171">
        <f t="shared" si="13"/>
        <v>0</v>
      </c>
      <c r="AI81" s="200">
        <f t="shared" si="14"/>
        <v>0</v>
      </c>
      <c r="AJ81" s="200">
        <f t="shared" si="137"/>
        <v>0</v>
      </c>
      <c r="AK81" s="201">
        <f t="shared" ref="AK81:AS81" si="408">countif($D81,"*"&amp;AK$2&amp;"*")</f>
        <v>0</v>
      </c>
      <c r="AL81" s="201">
        <f t="shared" si="408"/>
        <v>0</v>
      </c>
      <c r="AM81" s="201">
        <f t="shared" si="408"/>
        <v>0</v>
      </c>
      <c r="AN81" s="201">
        <f t="shared" si="408"/>
        <v>0</v>
      </c>
      <c r="AO81" s="201">
        <f t="shared" si="408"/>
        <v>0</v>
      </c>
      <c r="AP81" s="201">
        <f t="shared" si="408"/>
        <v>0</v>
      </c>
      <c r="AQ81" s="201">
        <f t="shared" si="408"/>
        <v>0</v>
      </c>
      <c r="AR81" s="200">
        <f t="shared" si="408"/>
        <v>0</v>
      </c>
      <c r="AS81" s="200">
        <f t="shared" si="408"/>
        <v>0</v>
      </c>
      <c r="AT81" s="173">
        <v>0.0</v>
      </c>
      <c r="AU81" s="200">
        <f t="shared" ref="AU81:AX81" si="409">countif($D81,"*"&amp;AU$2&amp;"*")</f>
        <v>0</v>
      </c>
      <c r="AV81" s="200">
        <f t="shared" si="409"/>
        <v>1</v>
      </c>
      <c r="AW81" s="200">
        <f t="shared" si="409"/>
        <v>0</v>
      </c>
      <c r="AX81" s="200">
        <f t="shared" si="409"/>
        <v>0</v>
      </c>
      <c r="AY81" s="202">
        <v>0.0</v>
      </c>
      <c r="AZ81" s="200"/>
      <c r="BA81" s="171" t="str">
        <f t="shared" si="18"/>
        <v/>
      </c>
      <c r="BB81" s="171" t="str">
        <f t="shared" si="19"/>
        <v>Code</v>
      </c>
      <c r="BC81" s="171" t="str">
        <f t="shared" si="20"/>
        <v/>
      </c>
      <c r="BD81" s="171" t="str">
        <f t="shared" si="21"/>
        <v/>
      </c>
      <c r="BE81" s="171" t="str">
        <f t="shared" si="22"/>
        <v/>
      </c>
      <c r="BF81" s="171" t="str">
        <f t="shared" si="23"/>
        <v>Code</v>
      </c>
    </row>
    <row r="82">
      <c r="A82" s="171">
        <f t="array" ref="A82">XLOOKUP(C82,ICSE!A:A,ICSE!C:C,,2,1)</f>
        <v>2022</v>
      </c>
      <c r="B82" s="171" t="s">
        <v>5675</v>
      </c>
      <c r="C82" s="160">
        <v>74.0</v>
      </c>
      <c r="D82" s="161" t="s">
        <v>5764</v>
      </c>
      <c r="E82" s="197" t="str">
        <f t="array" ref="E82">XLOOKUP(C82,ICSE!A:A,ICSE!Z:Z,,0,1)</f>
        <v>Publicly available (3)</v>
      </c>
      <c r="F82" s="198" t="s">
        <v>20</v>
      </c>
      <c r="G82" s="163" t="str">
        <f t="array" ref="G82">IF(B82="ICSE",IF(COUNTIFS(B:B,B82,C:C,C82)=XLOOKUP(C82,ICSE!A:A,ICSE!AA:AA,"ERROR",0,1),"OK","ERROR"),IF(B82="FSE",IF(COUNTIFS(B:B,B82,C:C,C82)=XLOOKUP(C82,FSE!A:A,FSE!AA:AA,"ERROR",0,1),"OK","ERROR")))</f>
        <v>OK</v>
      </c>
      <c r="H82" s="199">
        <f t="shared" ref="H82:O82" si="410">countif($D82,"*"&amp;H$2&amp;"*")</f>
        <v>0</v>
      </c>
      <c r="I82" s="200">
        <f t="shared" si="410"/>
        <v>0</v>
      </c>
      <c r="J82" s="200">
        <f t="shared" si="410"/>
        <v>0</v>
      </c>
      <c r="K82" s="200">
        <f t="shared" si="410"/>
        <v>0</v>
      </c>
      <c r="L82" s="200">
        <f t="shared" si="410"/>
        <v>0</v>
      </c>
      <c r="M82" s="200">
        <f t="shared" si="410"/>
        <v>0</v>
      </c>
      <c r="N82" s="200">
        <f t="shared" si="410"/>
        <v>0</v>
      </c>
      <c r="O82" s="200">
        <f t="shared" si="410"/>
        <v>0</v>
      </c>
      <c r="P82" s="200">
        <f t="shared" si="9"/>
        <v>1</v>
      </c>
      <c r="Q82" s="200">
        <f t="shared" ref="Q82:AC82" si="411">countif($D82,"*"&amp;Q$2&amp;"*")</f>
        <v>0</v>
      </c>
      <c r="R82" s="200">
        <f t="shared" si="411"/>
        <v>0</v>
      </c>
      <c r="S82" s="200">
        <f t="shared" si="411"/>
        <v>0</v>
      </c>
      <c r="T82" s="200">
        <f t="shared" si="411"/>
        <v>0</v>
      </c>
      <c r="U82" s="200">
        <f t="shared" si="411"/>
        <v>0</v>
      </c>
      <c r="V82" s="200">
        <f t="shared" si="411"/>
        <v>0</v>
      </c>
      <c r="W82" s="200">
        <f t="shared" si="411"/>
        <v>0</v>
      </c>
      <c r="X82" s="200">
        <f t="shared" si="411"/>
        <v>0</v>
      </c>
      <c r="Y82" s="200">
        <f t="shared" si="411"/>
        <v>0</v>
      </c>
      <c r="Z82" s="200">
        <f t="shared" si="411"/>
        <v>0</v>
      </c>
      <c r="AA82" s="200">
        <f t="shared" si="411"/>
        <v>0</v>
      </c>
      <c r="AB82" s="200">
        <f t="shared" si="411"/>
        <v>0</v>
      </c>
      <c r="AC82" s="200">
        <f t="shared" si="411"/>
        <v>0</v>
      </c>
      <c r="AD82" s="200">
        <f t="shared" si="11"/>
        <v>0</v>
      </c>
      <c r="AE82" s="200">
        <f t="shared" ref="AE82:AG82" si="412">countif($D82,"*"&amp;AE$2&amp;"*")</f>
        <v>0</v>
      </c>
      <c r="AF82" s="200">
        <f t="shared" si="412"/>
        <v>0</v>
      </c>
      <c r="AG82" s="200">
        <f t="shared" si="412"/>
        <v>0</v>
      </c>
      <c r="AH82" s="171">
        <f t="shared" si="13"/>
        <v>0</v>
      </c>
      <c r="AI82" s="200">
        <f t="shared" si="14"/>
        <v>0</v>
      </c>
      <c r="AJ82" s="200">
        <f t="shared" si="137"/>
        <v>0</v>
      </c>
      <c r="AK82" s="201">
        <f t="shared" ref="AK82:AS82" si="413">countif($D82,"*"&amp;AK$2&amp;"*")</f>
        <v>0</v>
      </c>
      <c r="AL82" s="201">
        <f t="shared" si="413"/>
        <v>0</v>
      </c>
      <c r="AM82" s="201">
        <f t="shared" si="413"/>
        <v>0</v>
      </c>
      <c r="AN82" s="201">
        <f t="shared" si="413"/>
        <v>0</v>
      </c>
      <c r="AO82" s="201">
        <f t="shared" si="413"/>
        <v>0</v>
      </c>
      <c r="AP82" s="201">
        <f t="shared" si="413"/>
        <v>0</v>
      </c>
      <c r="AQ82" s="201">
        <f t="shared" si="413"/>
        <v>0</v>
      </c>
      <c r="AR82" s="200">
        <f t="shared" si="413"/>
        <v>0</v>
      </c>
      <c r="AS82" s="200">
        <f t="shared" si="413"/>
        <v>0</v>
      </c>
      <c r="AT82" s="173">
        <v>0.0</v>
      </c>
      <c r="AU82" s="200">
        <f t="shared" ref="AU82:AX82" si="414">countif($D82,"*"&amp;AU$2&amp;"*")</f>
        <v>0</v>
      </c>
      <c r="AV82" s="200">
        <f t="shared" si="414"/>
        <v>1</v>
      </c>
      <c r="AW82" s="200">
        <f t="shared" si="414"/>
        <v>0</v>
      </c>
      <c r="AX82" s="200">
        <f t="shared" si="414"/>
        <v>0</v>
      </c>
      <c r="AY82" s="202">
        <v>0.0</v>
      </c>
      <c r="AZ82" s="200"/>
      <c r="BA82" s="171" t="str">
        <f t="shared" si="18"/>
        <v/>
      </c>
      <c r="BB82" s="171" t="str">
        <f t="shared" si="19"/>
        <v>Code</v>
      </c>
      <c r="BC82" s="171" t="str">
        <f t="shared" si="20"/>
        <v/>
      </c>
      <c r="BD82" s="171" t="str">
        <f t="shared" si="21"/>
        <v/>
      </c>
      <c r="BE82" s="171" t="str">
        <f t="shared" si="22"/>
        <v/>
      </c>
      <c r="BF82" s="171" t="str">
        <f t="shared" si="23"/>
        <v>Code</v>
      </c>
    </row>
    <row r="83">
      <c r="A83" s="171">
        <f t="array" ref="A83">XLOOKUP(C83,ICSE!A:A,ICSE!C:C,,2,1)</f>
        <v>2022</v>
      </c>
      <c r="B83" s="171" t="s">
        <v>5675</v>
      </c>
      <c r="C83" s="160">
        <v>75.0</v>
      </c>
      <c r="D83" s="161" t="s">
        <v>2458</v>
      </c>
      <c r="E83" s="197" t="str">
        <f t="array" ref="E83">XLOOKUP(C83,ICSE!A:A,ICSE!Z:Z,,0,1)</f>
        <v>Publicly available (1)</v>
      </c>
      <c r="F83" s="198" t="s">
        <v>20</v>
      </c>
      <c r="G83" s="163" t="str">
        <f t="array" ref="G83">IF(B83="ICSE",IF(COUNTIFS(B:B,B83,C:C,C83)=XLOOKUP(C83,ICSE!A:A,ICSE!AA:AA,"ERROR",0,1),"OK","ERROR"),IF(B83="FSE",IF(COUNTIFS(B:B,B83,C:C,C83)=XLOOKUP(C83,FSE!A:A,FSE!AA:AA,"ERROR",0,1),"OK","ERROR")))</f>
        <v>OK</v>
      </c>
      <c r="H83" s="199">
        <f t="shared" ref="H83:O83" si="415">countif($D83,"*"&amp;H$2&amp;"*")</f>
        <v>0</v>
      </c>
      <c r="I83" s="200">
        <f t="shared" si="415"/>
        <v>0</v>
      </c>
      <c r="J83" s="200">
        <f t="shared" si="415"/>
        <v>0</v>
      </c>
      <c r="K83" s="200">
        <f t="shared" si="415"/>
        <v>0</v>
      </c>
      <c r="L83" s="200">
        <f t="shared" si="415"/>
        <v>0</v>
      </c>
      <c r="M83" s="200">
        <f t="shared" si="415"/>
        <v>0</v>
      </c>
      <c r="N83" s="200">
        <f t="shared" si="415"/>
        <v>0</v>
      </c>
      <c r="O83" s="200">
        <f t="shared" si="415"/>
        <v>0</v>
      </c>
      <c r="P83" s="200">
        <f t="shared" si="9"/>
        <v>1</v>
      </c>
      <c r="Q83" s="200">
        <f t="shared" ref="Q83:AC83" si="416">countif($D83,"*"&amp;Q$2&amp;"*")</f>
        <v>0</v>
      </c>
      <c r="R83" s="200">
        <f t="shared" si="416"/>
        <v>0</v>
      </c>
      <c r="S83" s="200">
        <f t="shared" si="416"/>
        <v>0</v>
      </c>
      <c r="T83" s="200">
        <f t="shared" si="416"/>
        <v>0</v>
      </c>
      <c r="U83" s="200">
        <f t="shared" si="416"/>
        <v>0</v>
      </c>
      <c r="V83" s="200">
        <f t="shared" si="416"/>
        <v>0</v>
      </c>
      <c r="W83" s="200">
        <f t="shared" si="416"/>
        <v>0</v>
      </c>
      <c r="X83" s="200">
        <f t="shared" si="416"/>
        <v>0</v>
      </c>
      <c r="Y83" s="200">
        <f t="shared" si="416"/>
        <v>0</v>
      </c>
      <c r="Z83" s="200">
        <f t="shared" si="416"/>
        <v>0</v>
      </c>
      <c r="AA83" s="200">
        <f t="shared" si="416"/>
        <v>0</v>
      </c>
      <c r="AB83" s="200">
        <f t="shared" si="416"/>
        <v>0</v>
      </c>
      <c r="AC83" s="200">
        <f t="shared" si="416"/>
        <v>0</v>
      </c>
      <c r="AD83" s="200">
        <f t="shared" si="11"/>
        <v>0</v>
      </c>
      <c r="AE83" s="200">
        <f t="shared" ref="AE83:AG83" si="417">countif($D83,"*"&amp;AE$2&amp;"*")</f>
        <v>0</v>
      </c>
      <c r="AF83" s="200">
        <f t="shared" si="417"/>
        <v>0</v>
      </c>
      <c r="AG83" s="200">
        <f t="shared" si="417"/>
        <v>0</v>
      </c>
      <c r="AH83" s="171">
        <f t="shared" si="13"/>
        <v>0</v>
      </c>
      <c r="AI83" s="200">
        <f t="shared" si="14"/>
        <v>0</v>
      </c>
      <c r="AJ83" s="200">
        <f t="shared" si="137"/>
        <v>0</v>
      </c>
      <c r="AK83" s="201">
        <f t="shared" ref="AK83:AS83" si="418">countif($D83,"*"&amp;AK$2&amp;"*")</f>
        <v>0</v>
      </c>
      <c r="AL83" s="201">
        <f t="shared" si="418"/>
        <v>0</v>
      </c>
      <c r="AM83" s="201">
        <f t="shared" si="418"/>
        <v>0</v>
      </c>
      <c r="AN83" s="201">
        <f t="shared" si="418"/>
        <v>0</v>
      </c>
      <c r="AO83" s="201">
        <f t="shared" si="418"/>
        <v>0</v>
      </c>
      <c r="AP83" s="201">
        <f t="shared" si="418"/>
        <v>0</v>
      </c>
      <c r="AQ83" s="201">
        <f t="shared" si="418"/>
        <v>0</v>
      </c>
      <c r="AR83" s="200">
        <f t="shared" si="418"/>
        <v>0</v>
      </c>
      <c r="AS83" s="200">
        <f t="shared" si="418"/>
        <v>0</v>
      </c>
      <c r="AT83" s="173">
        <v>0.0</v>
      </c>
      <c r="AU83" s="200">
        <f t="shared" ref="AU83:AX83" si="419">countif($D83,"*"&amp;AU$2&amp;"*")</f>
        <v>0</v>
      </c>
      <c r="AV83" s="200">
        <f t="shared" si="419"/>
        <v>1</v>
      </c>
      <c r="AW83" s="200">
        <f t="shared" si="419"/>
        <v>0</v>
      </c>
      <c r="AX83" s="200">
        <f t="shared" si="419"/>
        <v>0</v>
      </c>
      <c r="AY83" s="202">
        <v>0.0</v>
      </c>
      <c r="AZ83" s="200"/>
      <c r="BA83" s="171" t="str">
        <f t="shared" si="18"/>
        <v/>
      </c>
      <c r="BB83" s="171" t="str">
        <f t="shared" si="19"/>
        <v>Code</v>
      </c>
      <c r="BC83" s="171" t="str">
        <f t="shared" si="20"/>
        <v/>
      </c>
      <c r="BD83" s="171" t="str">
        <f t="shared" si="21"/>
        <v/>
      </c>
      <c r="BE83" s="171" t="str">
        <f t="shared" si="22"/>
        <v/>
      </c>
      <c r="BF83" s="171" t="str">
        <f t="shared" si="23"/>
        <v>Code</v>
      </c>
    </row>
    <row r="84">
      <c r="A84" s="171">
        <f t="array" ref="A84">XLOOKUP(C84,ICSE!A:A,ICSE!C:C,,2,1)</f>
        <v>2022</v>
      </c>
      <c r="B84" s="171" t="s">
        <v>5675</v>
      </c>
      <c r="C84" s="160">
        <v>76.0</v>
      </c>
      <c r="D84" s="161" t="s">
        <v>2461</v>
      </c>
      <c r="E84" s="197" t="str">
        <f t="array" ref="E84">XLOOKUP(C84,ICSE!A:A,ICSE!Z:Z,,0,1)</f>
        <v>Publicly available (1)</v>
      </c>
      <c r="F84" s="198" t="s">
        <v>20</v>
      </c>
      <c r="G84" s="163" t="str">
        <f t="array" ref="G84">IF(B84="ICSE",IF(COUNTIFS(B:B,B84,C:C,C84)=XLOOKUP(C84,ICSE!A:A,ICSE!AA:AA,"ERROR",0,1),"OK","ERROR"),IF(B84="FSE",IF(COUNTIFS(B:B,B84,C:C,C84)=XLOOKUP(C84,FSE!A:A,FSE!AA:AA,"ERROR",0,1),"OK","ERROR")))</f>
        <v>OK</v>
      </c>
      <c r="H84" s="199">
        <f t="shared" ref="H84:O84" si="420">countif($D84,"*"&amp;H$2&amp;"*")</f>
        <v>0</v>
      </c>
      <c r="I84" s="200">
        <f t="shared" si="420"/>
        <v>0</v>
      </c>
      <c r="J84" s="200">
        <f t="shared" si="420"/>
        <v>0</v>
      </c>
      <c r="K84" s="200">
        <f t="shared" si="420"/>
        <v>0</v>
      </c>
      <c r="L84" s="200">
        <f t="shared" si="420"/>
        <v>0</v>
      </c>
      <c r="M84" s="200">
        <f t="shared" si="420"/>
        <v>0</v>
      </c>
      <c r="N84" s="200">
        <f t="shared" si="420"/>
        <v>0</v>
      </c>
      <c r="O84" s="200">
        <f t="shared" si="420"/>
        <v>0</v>
      </c>
      <c r="P84" s="200">
        <f t="shared" si="9"/>
        <v>1</v>
      </c>
      <c r="Q84" s="200">
        <f t="shared" ref="Q84:AC84" si="421">countif($D84,"*"&amp;Q$2&amp;"*")</f>
        <v>0</v>
      </c>
      <c r="R84" s="200">
        <f t="shared" si="421"/>
        <v>0</v>
      </c>
      <c r="S84" s="200">
        <f t="shared" si="421"/>
        <v>0</v>
      </c>
      <c r="T84" s="200">
        <f t="shared" si="421"/>
        <v>0</v>
      </c>
      <c r="U84" s="200">
        <f t="shared" si="421"/>
        <v>0</v>
      </c>
      <c r="V84" s="200">
        <f t="shared" si="421"/>
        <v>0</v>
      </c>
      <c r="W84" s="200">
        <f t="shared" si="421"/>
        <v>0</v>
      </c>
      <c r="X84" s="200">
        <f t="shared" si="421"/>
        <v>0</v>
      </c>
      <c r="Y84" s="200">
        <f t="shared" si="421"/>
        <v>0</v>
      </c>
      <c r="Z84" s="200">
        <f t="shared" si="421"/>
        <v>0</v>
      </c>
      <c r="AA84" s="200">
        <f t="shared" si="421"/>
        <v>0</v>
      </c>
      <c r="AB84" s="200">
        <f t="shared" si="421"/>
        <v>0</v>
      </c>
      <c r="AC84" s="200">
        <f t="shared" si="421"/>
        <v>0</v>
      </c>
      <c r="AD84" s="200">
        <f t="shared" si="11"/>
        <v>0</v>
      </c>
      <c r="AE84" s="200">
        <f t="shared" ref="AE84:AG84" si="422">countif($D84,"*"&amp;AE$2&amp;"*")</f>
        <v>0</v>
      </c>
      <c r="AF84" s="200">
        <f t="shared" si="422"/>
        <v>0</v>
      </c>
      <c r="AG84" s="200">
        <f t="shared" si="422"/>
        <v>0</v>
      </c>
      <c r="AH84" s="171">
        <f t="shared" si="13"/>
        <v>0</v>
      </c>
      <c r="AI84" s="200">
        <f t="shared" si="14"/>
        <v>0</v>
      </c>
      <c r="AJ84" s="200">
        <f t="shared" si="137"/>
        <v>0</v>
      </c>
      <c r="AK84" s="201">
        <f t="shared" ref="AK84:AS84" si="423">countif($D84,"*"&amp;AK$2&amp;"*")</f>
        <v>0</v>
      </c>
      <c r="AL84" s="201">
        <f t="shared" si="423"/>
        <v>0</v>
      </c>
      <c r="AM84" s="201">
        <f t="shared" si="423"/>
        <v>0</v>
      </c>
      <c r="AN84" s="201">
        <f t="shared" si="423"/>
        <v>0</v>
      </c>
      <c r="AO84" s="201">
        <f t="shared" si="423"/>
        <v>0</v>
      </c>
      <c r="AP84" s="201">
        <f t="shared" si="423"/>
        <v>0</v>
      </c>
      <c r="AQ84" s="201">
        <f t="shared" si="423"/>
        <v>0</v>
      </c>
      <c r="AR84" s="200">
        <f t="shared" si="423"/>
        <v>0</v>
      </c>
      <c r="AS84" s="200">
        <f t="shared" si="423"/>
        <v>0</v>
      </c>
      <c r="AT84" s="173">
        <v>0.0</v>
      </c>
      <c r="AU84" s="200">
        <f t="shared" ref="AU84:AX84" si="424">countif($D84,"*"&amp;AU$2&amp;"*")</f>
        <v>0</v>
      </c>
      <c r="AV84" s="200">
        <f t="shared" si="424"/>
        <v>1</v>
      </c>
      <c r="AW84" s="200">
        <f t="shared" si="424"/>
        <v>0</v>
      </c>
      <c r="AX84" s="200">
        <f t="shared" si="424"/>
        <v>0</v>
      </c>
      <c r="AY84" s="202">
        <v>0.0</v>
      </c>
      <c r="AZ84" s="200"/>
      <c r="BA84" s="171" t="str">
        <f t="shared" si="18"/>
        <v/>
      </c>
      <c r="BB84" s="171" t="str">
        <f t="shared" si="19"/>
        <v>Code</v>
      </c>
      <c r="BC84" s="171" t="str">
        <f t="shared" si="20"/>
        <v/>
      </c>
      <c r="BD84" s="171" t="str">
        <f t="shared" si="21"/>
        <v/>
      </c>
      <c r="BE84" s="171" t="str">
        <f t="shared" si="22"/>
        <v/>
      </c>
      <c r="BF84" s="171" t="str">
        <f t="shared" si="23"/>
        <v>Code</v>
      </c>
    </row>
    <row r="85">
      <c r="A85" s="171">
        <f t="array" ref="A85">XLOOKUP(C85,ICSE!A:A,ICSE!C:C,,2,1)</f>
        <v>2022</v>
      </c>
      <c r="B85" s="171" t="s">
        <v>5675</v>
      </c>
      <c r="C85" s="160">
        <v>77.0</v>
      </c>
      <c r="D85" s="161" t="s">
        <v>2464</v>
      </c>
      <c r="E85" s="197" t="str">
        <f t="array" ref="E85">XLOOKUP(C85,ICSE!A:A,ICSE!Z:Z,,0,1)</f>
        <v>Publicly available (1)</v>
      </c>
      <c r="F85" s="198" t="s">
        <v>20</v>
      </c>
      <c r="G85" s="163" t="str">
        <f t="array" ref="G85">IF(B85="ICSE",IF(COUNTIFS(B:B,B85,C:C,C85)=XLOOKUP(C85,ICSE!A:A,ICSE!AA:AA,"ERROR",0,1),"OK","ERROR"),IF(B85="FSE",IF(COUNTIFS(B:B,B85,C:C,C85)=XLOOKUP(C85,FSE!A:A,FSE!AA:AA,"ERROR",0,1),"OK","ERROR")))</f>
        <v>OK</v>
      </c>
      <c r="H85" s="199">
        <f t="shared" ref="H85:O85" si="425">countif($D85,"*"&amp;H$2&amp;"*")</f>
        <v>0</v>
      </c>
      <c r="I85" s="200">
        <f t="shared" si="425"/>
        <v>0</v>
      </c>
      <c r="J85" s="200">
        <f t="shared" si="425"/>
        <v>0</v>
      </c>
      <c r="K85" s="200">
        <f t="shared" si="425"/>
        <v>0</v>
      </c>
      <c r="L85" s="200">
        <f t="shared" si="425"/>
        <v>0</v>
      </c>
      <c r="M85" s="200">
        <f t="shared" si="425"/>
        <v>0</v>
      </c>
      <c r="N85" s="200">
        <f t="shared" si="425"/>
        <v>0</v>
      </c>
      <c r="O85" s="200">
        <f t="shared" si="425"/>
        <v>0</v>
      </c>
      <c r="P85" s="200">
        <f t="shared" si="9"/>
        <v>1</v>
      </c>
      <c r="Q85" s="200">
        <f t="shared" ref="Q85:AC85" si="426">countif($D85,"*"&amp;Q$2&amp;"*")</f>
        <v>0</v>
      </c>
      <c r="R85" s="200">
        <f t="shared" si="426"/>
        <v>0</v>
      </c>
      <c r="S85" s="200">
        <f t="shared" si="426"/>
        <v>0</v>
      </c>
      <c r="T85" s="200">
        <f t="shared" si="426"/>
        <v>0</v>
      </c>
      <c r="U85" s="200">
        <f t="shared" si="426"/>
        <v>0</v>
      </c>
      <c r="V85" s="200">
        <f t="shared" si="426"/>
        <v>0</v>
      </c>
      <c r="W85" s="200">
        <f t="shared" si="426"/>
        <v>0</v>
      </c>
      <c r="X85" s="200">
        <f t="shared" si="426"/>
        <v>0</v>
      </c>
      <c r="Y85" s="200">
        <f t="shared" si="426"/>
        <v>0</v>
      </c>
      <c r="Z85" s="200">
        <f t="shared" si="426"/>
        <v>0</v>
      </c>
      <c r="AA85" s="200">
        <f t="shared" si="426"/>
        <v>0</v>
      </c>
      <c r="AB85" s="200">
        <f t="shared" si="426"/>
        <v>0</v>
      </c>
      <c r="AC85" s="200">
        <f t="shared" si="426"/>
        <v>0</v>
      </c>
      <c r="AD85" s="200">
        <f t="shared" si="11"/>
        <v>0</v>
      </c>
      <c r="AE85" s="200">
        <f t="shared" ref="AE85:AG85" si="427">countif($D85,"*"&amp;AE$2&amp;"*")</f>
        <v>0</v>
      </c>
      <c r="AF85" s="200">
        <f t="shared" si="427"/>
        <v>0</v>
      </c>
      <c r="AG85" s="200">
        <f t="shared" si="427"/>
        <v>0</v>
      </c>
      <c r="AH85" s="171">
        <f t="shared" si="13"/>
        <v>0</v>
      </c>
      <c r="AI85" s="200">
        <f t="shared" si="14"/>
        <v>0</v>
      </c>
      <c r="AJ85" s="200">
        <f t="shared" si="137"/>
        <v>0</v>
      </c>
      <c r="AK85" s="201">
        <f t="shared" ref="AK85:AS85" si="428">countif($D85,"*"&amp;AK$2&amp;"*")</f>
        <v>0</v>
      </c>
      <c r="AL85" s="201">
        <f t="shared" si="428"/>
        <v>0</v>
      </c>
      <c r="AM85" s="201">
        <f t="shared" si="428"/>
        <v>0</v>
      </c>
      <c r="AN85" s="201">
        <f t="shared" si="428"/>
        <v>0</v>
      </c>
      <c r="AO85" s="201">
        <f t="shared" si="428"/>
        <v>0</v>
      </c>
      <c r="AP85" s="201">
        <f t="shared" si="428"/>
        <v>0</v>
      </c>
      <c r="AQ85" s="201">
        <f t="shared" si="428"/>
        <v>0</v>
      </c>
      <c r="AR85" s="200">
        <f t="shared" si="428"/>
        <v>0</v>
      </c>
      <c r="AS85" s="200">
        <f t="shared" si="428"/>
        <v>0</v>
      </c>
      <c r="AT85" s="173">
        <v>0.0</v>
      </c>
      <c r="AU85" s="200">
        <f t="shared" ref="AU85:AX85" si="429">countif($D85,"*"&amp;AU$2&amp;"*")</f>
        <v>0</v>
      </c>
      <c r="AV85" s="200">
        <f t="shared" si="429"/>
        <v>1</v>
      </c>
      <c r="AW85" s="200">
        <f t="shared" si="429"/>
        <v>0</v>
      </c>
      <c r="AX85" s="200">
        <f t="shared" si="429"/>
        <v>0</v>
      </c>
      <c r="AY85" s="202">
        <v>0.0</v>
      </c>
      <c r="AZ85" s="200"/>
      <c r="BA85" s="171" t="str">
        <f t="shared" si="18"/>
        <v/>
      </c>
      <c r="BB85" s="171" t="str">
        <f t="shared" si="19"/>
        <v>Code</v>
      </c>
      <c r="BC85" s="171" t="str">
        <f t="shared" si="20"/>
        <v/>
      </c>
      <c r="BD85" s="171" t="str">
        <f t="shared" si="21"/>
        <v/>
      </c>
      <c r="BE85" s="171" t="str">
        <f t="shared" si="22"/>
        <v/>
      </c>
      <c r="BF85" s="171" t="str">
        <f t="shared" si="23"/>
        <v>Code</v>
      </c>
    </row>
    <row r="86">
      <c r="A86" s="171">
        <f t="array" ref="A86">XLOOKUP(C86,ICSE!A:A,ICSE!C:C,,2,1)</f>
        <v>2022</v>
      </c>
      <c r="B86" s="171" t="s">
        <v>5675</v>
      </c>
      <c r="C86" s="160">
        <v>78.0</v>
      </c>
      <c r="D86" s="161" t="s">
        <v>2467</v>
      </c>
      <c r="E86" s="197" t="str">
        <f t="array" ref="E86">XLOOKUP(C86,ICSE!A:A,ICSE!Z:Z,,0,1)</f>
        <v>Publicly available (1)</v>
      </c>
      <c r="F86" s="198" t="s">
        <v>20</v>
      </c>
      <c r="G86" s="163" t="str">
        <f t="array" ref="G86">IF(B86="ICSE",IF(COUNTIFS(B:B,B86,C:C,C86)=XLOOKUP(C86,ICSE!A:A,ICSE!AA:AA,"ERROR",0,1),"OK","ERROR"),IF(B86="FSE",IF(COUNTIFS(B:B,B86,C:C,C86)=XLOOKUP(C86,FSE!A:A,FSE!AA:AA,"ERROR",0,1),"OK","ERROR")))</f>
        <v>OK</v>
      </c>
      <c r="H86" s="199">
        <f t="shared" ref="H86:O86" si="430">countif($D86,"*"&amp;H$2&amp;"*")</f>
        <v>1</v>
      </c>
      <c r="I86" s="200">
        <f t="shared" si="430"/>
        <v>0</v>
      </c>
      <c r="J86" s="200">
        <f t="shared" si="430"/>
        <v>0</v>
      </c>
      <c r="K86" s="200">
        <f t="shared" si="430"/>
        <v>0</v>
      </c>
      <c r="L86" s="200">
        <f t="shared" si="430"/>
        <v>0</v>
      </c>
      <c r="M86" s="200">
        <f t="shared" si="430"/>
        <v>0</v>
      </c>
      <c r="N86" s="200">
        <f t="shared" si="430"/>
        <v>0</v>
      </c>
      <c r="O86" s="200">
        <f t="shared" si="430"/>
        <v>0</v>
      </c>
      <c r="P86" s="200">
        <f t="shared" si="9"/>
        <v>0</v>
      </c>
      <c r="Q86" s="200">
        <f t="shared" ref="Q86:AC86" si="431">countif($D86,"*"&amp;Q$2&amp;"*")</f>
        <v>0</v>
      </c>
      <c r="R86" s="200">
        <f t="shared" si="431"/>
        <v>0</v>
      </c>
      <c r="S86" s="200">
        <f t="shared" si="431"/>
        <v>0</v>
      </c>
      <c r="T86" s="200">
        <f t="shared" si="431"/>
        <v>0</v>
      </c>
      <c r="U86" s="200">
        <f t="shared" si="431"/>
        <v>0</v>
      </c>
      <c r="V86" s="200">
        <f t="shared" si="431"/>
        <v>0</v>
      </c>
      <c r="W86" s="200">
        <f t="shared" si="431"/>
        <v>0</v>
      </c>
      <c r="X86" s="200">
        <f t="shared" si="431"/>
        <v>0</v>
      </c>
      <c r="Y86" s="200">
        <f t="shared" si="431"/>
        <v>0</v>
      </c>
      <c r="Z86" s="200">
        <f t="shared" si="431"/>
        <v>0</v>
      </c>
      <c r="AA86" s="200">
        <f t="shared" si="431"/>
        <v>0</v>
      </c>
      <c r="AB86" s="200">
        <f t="shared" si="431"/>
        <v>0</v>
      </c>
      <c r="AC86" s="200">
        <f t="shared" si="431"/>
        <v>0</v>
      </c>
      <c r="AD86" s="200">
        <f t="shared" si="11"/>
        <v>0</v>
      </c>
      <c r="AE86" s="200">
        <f t="shared" ref="AE86:AG86" si="432">countif($D86,"*"&amp;AE$2&amp;"*")</f>
        <v>0</v>
      </c>
      <c r="AF86" s="200">
        <f t="shared" si="432"/>
        <v>0</v>
      </c>
      <c r="AG86" s="200">
        <f t="shared" si="432"/>
        <v>0</v>
      </c>
      <c r="AH86" s="171">
        <f t="shared" si="13"/>
        <v>0</v>
      </c>
      <c r="AI86" s="200">
        <f t="shared" si="14"/>
        <v>1</v>
      </c>
      <c r="AJ86" s="200">
        <f t="shared" si="137"/>
        <v>0</v>
      </c>
      <c r="AK86" s="201">
        <f t="shared" ref="AK86:AS86" si="433">countif($D86,"*"&amp;AK$2&amp;"*")</f>
        <v>0</v>
      </c>
      <c r="AL86" s="201">
        <f t="shared" si="433"/>
        <v>0</v>
      </c>
      <c r="AM86" s="201">
        <f t="shared" si="433"/>
        <v>0</v>
      </c>
      <c r="AN86" s="201">
        <f t="shared" si="433"/>
        <v>0</v>
      </c>
      <c r="AO86" s="201">
        <f t="shared" si="433"/>
        <v>0</v>
      </c>
      <c r="AP86" s="201">
        <f t="shared" si="433"/>
        <v>0</v>
      </c>
      <c r="AQ86" s="201">
        <f t="shared" si="433"/>
        <v>0</v>
      </c>
      <c r="AR86" s="200">
        <f t="shared" si="433"/>
        <v>0</v>
      </c>
      <c r="AS86" s="200">
        <f t="shared" si="433"/>
        <v>0</v>
      </c>
      <c r="AT86" s="173">
        <v>0.0</v>
      </c>
      <c r="AU86" s="200">
        <f t="shared" ref="AU86:AX86" si="434">countif($D86,"*"&amp;AU$2&amp;"*")</f>
        <v>0</v>
      </c>
      <c r="AV86" s="200">
        <f t="shared" si="434"/>
        <v>0</v>
      </c>
      <c r="AW86" s="200">
        <f t="shared" si="434"/>
        <v>0</v>
      </c>
      <c r="AX86" s="200">
        <f t="shared" si="434"/>
        <v>1</v>
      </c>
      <c r="AY86" s="202">
        <v>0.0</v>
      </c>
      <c r="AZ86" s="200"/>
      <c r="BA86" s="171" t="str">
        <f t="shared" si="18"/>
        <v>Archival</v>
      </c>
      <c r="BB86" s="171" t="str">
        <f t="shared" si="19"/>
        <v/>
      </c>
      <c r="BC86" s="171" t="str">
        <f t="shared" si="20"/>
        <v/>
      </c>
      <c r="BD86" s="171" t="str">
        <f t="shared" si="21"/>
        <v/>
      </c>
      <c r="BE86" s="171" t="str">
        <f t="shared" si="22"/>
        <v/>
      </c>
      <c r="BF86" s="171" t="str">
        <f t="shared" si="23"/>
        <v>Archival</v>
      </c>
    </row>
    <row r="87">
      <c r="A87" s="171">
        <f t="array" ref="A87">XLOOKUP(C87,ICSE!A:A,ICSE!C:C,,2,1)</f>
        <v>2022</v>
      </c>
      <c r="B87" s="171" t="s">
        <v>5675</v>
      </c>
      <c r="C87" s="160">
        <v>79.0</v>
      </c>
      <c r="D87" s="161" t="s">
        <v>2470</v>
      </c>
      <c r="E87" s="197" t="str">
        <f t="array" ref="E87">XLOOKUP(C87,ICSE!A:A,ICSE!Z:Z,,0,1)</f>
        <v>Not available (1) - No data access - Expired repository.</v>
      </c>
      <c r="F87" s="198" t="s">
        <v>21</v>
      </c>
      <c r="G87" s="163" t="str">
        <f t="array" ref="G87">IF(B87="ICSE",IF(COUNTIFS(B:B,B87,C:C,C87)=XLOOKUP(C87,ICSE!A:A,ICSE!AA:AA,"ERROR",0,1),"OK","ERROR"),IF(B87="FSE",IF(COUNTIFS(B:B,B87,C:C,C87)=XLOOKUP(C87,FSE!A:A,FSE!AA:AA,"ERROR",0,1),"OK","ERROR")))</f>
        <v>OK</v>
      </c>
      <c r="H87" s="199">
        <f t="shared" ref="H87:O87" si="435">countif($D87,"*"&amp;H$2&amp;"*")</f>
        <v>0</v>
      </c>
      <c r="I87" s="200">
        <f t="shared" si="435"/>
        <v>0</v>
      </c>
      <c r="J87" s="200">
        <f t="shared" si="435"/>
        <v>0</v>
      </c>
      <c r="K87" s="200">
        <f t="shared" si="435"/>
        <v>0</v>
      </c>
      <c r="L87" s="200">
        <f t="shared" si="435"/>
        <v>0</v>
      </c>
      <c r="M87" s="200">
        <f t="shared" si="435"/>
        <v>0</v>
      </c>
      <c r="N87" s="200">
        <f t="shared" si="435"/>
        <v>0</v>
      </c>
      <c r="O87" s="200">
        <f t="shared" si="435"/>
        <v>0</v>
      </c>
      <c r="P87" s="200">
        <f t="shared" si="9"/>
        <v>1</v>
      </c>
      <c r="Q87" s="200">
        <f t="shared" ref="Q87:AC87" si="436">countif($D87,"*"&amp;Q$2&amp;"*")</f>
        <v>0</v>
      </c>
      <c r="R87" s="200">
        <f t="shared" si="436"/>
        <v>0</v>
      </c>
      <c r="S87" s="200">
        <f t="shared" si="436"/>
        <v>0</v>
      </c>
      <c r="T87" s="200">
        <f t="shared" si="436"/>
        <v>0</v>
      </c>
      <c r="U87" s="200">
        <f t="shared" si="436"/>
        <v>0</v>
      </c>
      <c r="V87" s="200">
        <f t="shared" si="436"/>
        <v>0</v>
      </c>
      <c r="W87" s="200">
        <f t="shared" si="436"/>
        <v>0</v>
      </c>
      <c r="X87" s="200">
        <f t="shared" si="436"/>
        <v>0</v>
      </c>
      <c r="Y87" s="200">
        <f t="shared" si="436"/>
        <v>0</v>
      </c>
      <c r="Z87" s="200">
        <f t="shared" si="436"/>
        <v>0</v>
      </c>
      <c r="AA87" s="200">
        <f t="shared" si="436"/>
        <v>0</v>
      </c>
      <c r="AB87" s="200">
        <f t="shared" si="436"/>
        <v>0</v>
      </c>
      <c r="AC87" s="200">
        <f t="shared" si="436"/>
        <v>0</v>
      </c>
      <c r="AD87" s="200">
        <f t="shared" si="11"/>
        <v>0</v>
      </c>
      <c r="AE87" s="200">
        <f t="shared" ref="AE87:AG87" si="437">countif($D87,"*"&amp;AE$2&amp;"*")</f>
        <v>0</v>
      </c>
      <c r="AF87" s="200">
        <f t="shared" si="437"/>
        <v>0</v>
      </c>
      <c r="AG87" s="200">
        <f t="shared" si="437"/>
        <v>0</v>
      </c>
      <c r="AH87" s="171">
        <f t="shared" si="13"/>
        <v>0</v>
      </c>
      <c r="AI87" s="200">
        <f t="shared" si="14"/>
        <v>0</v>
      </c>
      <c r="AJ87" s="200">
        <f t="shared" si="137"/>
        <v>0</v>
      </c>
      <c r="AK87" s="201">
        <f t="shared" ref="AK87:AS87" si="438">countif($D87,"*"&amp;AK$2&amp;"*")</f>
        <v>0</v>
      </c>
      <c r="AL87" s="201">
        <f t="shared" si="438"/>
        <v>0</v>
      </c>
      <c r="AM87" s="201">
        <f t="shared" si="438"/>
        <v>0</v>
      </c>
      <c r="AN87" s="201">
        <f t="shared" si="438"/>
        <v>0</v>
      </c>
      <c r="AO87" s="201">
        <f t="shared" si="438"/>
        <v>0</v>
      </c>
      <c r="AP87" s="201">
        <f t="shared" si="438"/>
        <v>0</v>
      </c>
      <c r="AQ87" s="201">
        <f t="shared" si="438"/>
        <v>0</v>
      </c>
      <c r="AR87" s="200">
        <f t="shared" si="438"/>
        <v>0</v>
      </c>
      <c r="AS87" s="200">
        <f t="shared" si="438"/>
        <v>0</v>
      </c>
      <c r="AT87" s="173">
        <v>0.0</v>
      </c>
      <c r="AU87" s="200">
        <f t="shared" ref="AU87:AX87" si="439">countif($D87,"*"&amp;AU$2&amp;"*")</f>
        <v>0</v>
      </c>
      <c r="AV87" s="200">
        <f t="shared" si="439"/>
        <v>0</v>
      </c>
      <c r="AW87" s="200">
        <f t="shared" si="439"/>
        <v>1</v>
      </c>
      <c r="AX87" s="200">
        <f t="shared" si="439"/>
        <v>0</v>
      </c>
      <c r="AY87" s="202">
        <v>0.0</v>
      </c>
      <c r="AZ87" s="200"/>
      <c r="BA87" s="171" t="str">
        <f t="shared" si="18"/>
        <v/>
      </c>
      <c r="BB87" s="171" t="str">
        <f t="shared" si="19"/>
        <v>Code</v>
      </c>
      <c r="BC87" s="171" t="str">
        <f t="shared" si="20"/>
        <v/>
      </c>
      <c r="BD87" s="171" t="str">
        <f t="shared" si="21"/>
        <v/>
      </c>
      <c r="BE87" s="171" t="str">
        <f t="shared" si="22"/>
        <v/>
      </c>
      <c r="BF87" s="171" t="str">
        <f t="shared" si="23"/>
        <v>Code</v>
      </c>
    </row>
    <row r="88">
      <c r="A88" s="171">
        <f t="array" ref="A88">XLOOKUP(C88,ICSE!A:A,ICSE!C:C,,2,1)</f>
        <v>2022</v>
      </c>
      <c r="B88" s="171" t="s">
        <v>5675</v>
      </c>
      <c r="C88" s="160">
        <v>80.0</v>
      </c>
      <c r="D88" s="161" t="s">
        <v>2474</v>
      </c>
      <c r="E88" s="197" t="str">
        <f t="array" ref="E88">XLOOKUP(C88,ICSE!A:A,ICSE!Z:Z,,0,1)</f>
        <v>Publicly available (1)</v>
      </c>
      <c r="F88" s="198" t="s">
        <v>20</v>
      </c>
      <c r="G88" s="163" t="str">
        <f t="array" ref="G88">IF(B88="ICSE",IF(COUNTIFS(B:B,B88,C:C,C88)=XLOOKUP(C88,ICSE!A:A,ICSE!AA:AA,"ERROR",0,1),"OK","ERROR"),IF(B88="FSE",IF(COUNTIFS(B:B,B88,C:C,C88)=XLOOKUP(C88,FSE!A:A,FSE!AA:AA,"ERROR",0,1),"OK","ERROR")))</f>
        <v>OK</v>
      </c>
      <c r="H88" s="199">
        <f t="shared" ref="H88:O88" si="440">countif($D88,"*"&amp;H$2&amp;"*")</f>
        <v>0</v>
      </c>
      <c r="I88" s="200">
        <f t="shared" si="440"/>
        <v>0</v>
      </c>
      <c r="J88" s="200">
        <f t="shared" si="440"/>
        <v>0</v>
      </c>
      <c r="K88" s="200">
        <f t="shared" si="440"/>
        <v>0</v>
      </c>
      <c r="L88" s="200">
        <f t="shared" si="440"/>
        <v>0</v>
      </c>
      <c r="M88" s="200">
        <f t="shared" si="440"/>
        <v>0</v>
      </c>
      <c r="N88" s="200">
        <f t="shared" si="440"/>
        <v>0</v>
      </c>
      <c r="O88" s="200">
        <f t="shared" si="440"/>
        <v>0</v>
      </c>
      <c r="P88" s="200">
        <f t="shared" si="9"/>
        <v>1</v>
      </c>
      <c r="Q88" s="200">
        <f t="shared" ref="Q88:AC88" si="441">countif($D88,"*"&amp;Q$2&amp;"*")</f>
        <v>0</v>
      </c>
      <c r="R88" s="200">
        <f t="shared" si="441"/>
        <v>0</v>
      </c>
      <c r="S88" s="200">
        <f t="shared" si="441"/>
        <v>0</v>
      </c>
      <c r="T88" s="200">
        <f t="shared" si="441"/>
        <v>0</v>
      </c>
      <c r="U88" s="200">
        <f t="shared" si="441"/>
        <v>0</v>
      </c>
      <c r="V88" s="200">
        <f t="shared" si="441"/>
        <v>0</v>
      </c>
      <c r="W88" s="200">
        <f t="shared" si="441"/>
        <v>0</v>
      </c>
      <c r="X88" s="200">
        <f t="shared" si="441"/>
        <v>0</v>
      </c>
      <c r="Y88" s="200">
        <f t="shared" si="441"/>
        <v>0</v>
      </c>
      <c r="Z88" s="200">
        <f t="shared" si="441"/>
        <v>0</v>
      </c>
      <c r="AA88" s="200">
        <f t="shared" si="441"/>
        <v>0</v>
      </c>
      <c r="AB88" s="200">
        <f t="shared" si="441"/>
        <v>0</v>
      </c>
      <c r="AC88" s="200">
        <f t="shared" si="441"/>
        <v>0</v>
      </c>
      <c r="AD88" s="200">
        <f t="shared" si="11"/>
        <v>0</v>
      </c>
      <c r="AE88" s="200">
        <f t="shared" ref="AE88:AG88" si="442">countif($D88,"*"&amp;AE$2&amp;"*")</f>
        <v>0</v>
      </c>
      <c r="AF88" s="200">
        <f t="shared" si="442"/>
        <v>0</v>
      </c>
      <c r="AG88" s="200">
        <f t="shared" si="442"/>
        <v>0</v>
      </c>
      <c r="AH88" s="171">
        <f t="shared" si="13"/>
        <v>0</v>
      </c>
      <c r="AI88" s="200">
        <f t="shared" si="14"/>
        <v>0</v>
      </c>
      <c r="AJ88" s="200">
        <f t="shared" si="137"/>
        <v>0</v>
      </c>
      <c r="AK88" s="201">
        <f t="shared" ref="AK88:AS88" si="443">countif($D88,"*"&amp;AK$2&amp;"*")</f>
        <v>0</v>
      </c>
      <c r="AL88" s="201">
        <f t="shared" si="443"/>
        <v>0</v>
      </c>
      <c r="AM88" s="201">
        <f t="shared" si="443"/>
        <v>0</v>
      </c>
      <c r="AN88" s="201">
        <f t="shared" si="443"/>
        <v>0</v>
      </c>
      <c r="AO88" s="201">
        <f t="shared" si="443"/>
        <v>0</v>
      </c>
      <c r="AP88" s="201">
        <f t="shared" si="443"/>
        <v>0</v>
      </c>
      <c r="AQ88" s="201">
        <f t="shared" si="443"/>
        <v>0</v>
      </c>
      <c r="AR88" s="200">
        <f t="shared" si="443"/>
        <v>0</v>
      </c>
      <c r="AS88" s="200">
        <f t="shared" si="443"/>
        <v>0</v>
      </c>
      <c r="AT88" s="173">
        <v>0.0</v>
      </c>
      <c r="AU88" s="200">
        <f t="shared" ref="AU88:AX88" si="444">countif($D88,"*"&amp;AU$2&amp;"*")</f>
        <v>0</v>
      </c>
      <c r="AV88" s="200">
        <f t="shared" si="444"/>
        <v>1</v>
      </c>
      <c r="AW88" s="200">
        <f t="shared" si="444"/>
        <v>0</v>
      </c>
      <c r="AX88" s="200">
        <f t="shared" si="444"/>
        <v>0</v>
      </c>
      <c r="AY88" s="202">
        <v>0.0</v>
      </c>
      <c r="AZ88" s="200"/>
      <c r="BA88" s="171" t="str">
        <f t="shared" si="18"/>
        <v/>
      </c>
      <c r="BB88" s="171" t="str">
        <f t="shared" si="19"/>
        <v>Code</v>
      </c>
      <c r="BC88" s="171" t="str">
        <f t="shared" si="20"/>
        <v/>
      </c>
      <c r="BD88" s="171" t="str">
        <f t="shared" si="21"/>
        <v/>
      </c>
      <c r="BE88" s="171" t="str">
        <f t="shared" si="22"/>
        <v/>
      </c>
      <c r="BF88" s="171" t="str">
        <f t="shared" si="23"/>
        <v>Code</v>
      </c>
    </row>
    <row r="89">
      <c r="A89" s="171">
        <f t="array" ref="A89">XLOOKUP(C89,ICSE!A:A,ICSE!C:C,,2,1)</f>
        <v>2022</v>
      </c>
      <c r="B89" s="171" t="s">
        <v>5675</v>
      </c>
      <c r="C89" s="160">
        <v>81.0</v>
      </c>
      <c r="D89" s="161" t="s">
        <v>2477</v>
      </c>
      <c r="E89" s="197" t="str">
        <f t="array" ref="E89">XLOOKUP(C89,ICSE!A:A,ICSE!Z:Z,,0,1)</f>
        <v>Publicly available (1)</v>
      </c>
      <c r="F89" s="198" t="s">
        <v>20</v>
      </c>
      <c r="G89" s="163" t="str">
        <f t="array" ref="G89">IF(B89="ICSE",IF(COUNTIFS(B:B,B89,C:C,C89)=XLOOKUP(C89,ICSE!A:A,ICSE!AA:AA,"ERROR",0,1),"OK","ERROR"),IF(B89="FSE",IF(COUNTIFS(B:B,B89,C:C,C89)=XLOOKUP(C89,FSE!A:A,FSE!AA:AA,"ERROR",0,1),"OK","ERROR")))</f>
        <v>OK</v>
      </c>
      <c r="H89" s="199">
        <f t="shared" ref="H89:O89" si="445">countif($D89,"*"&amp;H$2&amp;"*")</f>
        <v>0</v>
      </c>
      <c r="I89" s="200">
        <f t="shared" si="445"/>
        <v>0</v>
      </c>
      <c r="J89" s="200">
        <f t="shared" si="445"/>
        <v>0</v>
      </c>
      <c r="K89" s="200">
        <f t="shared" si="445"/>
        <v>0</v>
      </c>
      <c r="L89" s="200">
        <f t="shared" si="445"/>
        <v>0</v>
      </c>
      <c r="M89" s="200">
        <f t="shared" si="445"/>
        <v>0</v>
      </c>
      <c r="N89" s="200">
        <f t="shared" si="445"/>
        <v>0</v>
      </c>
      <c r="O89" s="200">
        <f t="shared" si="445"/>
        <v>0</v>
      </c>
      <c r="P89" s="200">
        <f t="shared" si="9"/>
        <v>1</v>
      </c>
      <c r="Q89" s="200">
        <f t="shared" ref="Q89:AC89" si="446">countif($D89,"*"&amp;Q$2&amp;"*")</f>
        <v>0</v>
      </c>
      <c r="R89" s="200">
        <f t="shared" si="446"/>
        <v>0</v>
      </c>
      <c r="S89" s="200">
        <f t="shared" si="446"/>
        <v>0</v>
      </c>
      <c r="T89" s="200">
        <f t="shared" si="446"/>
        <v>0</v>
      </c>
      <c r="U89" s="200">
        <f t="shared" si="446"/>
        <v>0</v>
      </c>
      <c r="V89" s="200">
        <f t="shared" si="446"/>
        <v>0</v>
      </c>
      <c r="W89" s="200">
        <f t="shared" si="446"/>
        <v>0</v>
      </c>
      <c r="X89" s="200">
        <f t="shared" si="446"/>
        <v>0</v>
      </c>
      <c r="Y89" s="200">
        <f t="shared" si="446"/>
        <v>0</v>
      </c>
      <c r="Z89" s="200">
        <f t="shared" si="446"/>
        <v>0</v>
      </c>
      <c r="AA89" s="200">
        <f t="shared" si="446"/>
        <v>0</v>
      </c>
      <c r="AB89" s="200">
        <f t="shared" si="446"/>
        <v>0</v>
      </c>
      <c r="AC89" s="200">
        <f t="shared" si="446"/>
        <v>0</v>
      </c>
      <c r="AD89" s="200">
        <f t="shared" si="11"/>
        <v>0</v>
      </c>
      <c r="AE89" s="200">
        <f t="shared" ref="AE89:AG89" si="447">countif($D89,"*"&amp;AE$2&amp;"*")</f>
        <v>0</v>
      </c>
      <c r="AF89" s="200">
        <f t="shared" si="447"/>
        <v>0</v>
      </c>
      <c r="AG89" s="200">
        <f t="shared" si="447"/>
        <v>0</v>
      </c>
      <c r="AH89" s="171">
        <f t="shared" si="13"/>
        <v>0</v>
      </c>
      <c r="AI89" s="200">
        <f t="shared" si="14"/>
        <v>0</v>
      </c>
      <c r="AJ89" s="200">
        <f t="shared" si="137"/>
        <v>0</v>
      </c>
      <c r="AK89" s="201">
        <f t="shared" ref="AK89:AS89" si="448">countif($D89,"*"&amp;AK$2&amp;"*")</f>
        <v>0</v>
      </c>
      <c r="AL89" s="201">
        <f t="shared" si="448"/>
        <v>0</v>
      </c>
      <c r="AM89" s="201">
        <f t="shared" si="448"/>
        <v>0</v>
      </c>
      <c r="AN89" s="201">
        <f t="shared" si="448"/>
        <v>0</v>
      </c>
      <c r="AO89" s="201">
        <f t="shared" si="448"/>
        <v>0</v>
      </c>
      <c r="AP89" s="201">
        <f t="shared" si="448"/>
        <v>0</v>
      </c>
      <c r="AQ89" s="201">
        <f t="shared" si="448"/>
        <v>0</v>
      </c>
      <c r="AR89" s="200">
        <f t="shared" si="448"/>
        <v>0</v>
      </c>
      <c r="AS89" s="200">
        <f t="shared" si="448"/>
        <v>0</v>
      </c>
      <c r="AT89" s="173">
        <v>0.0</v>
      </c>
      <c r="AU89" s="200">
        <f t="shared" ref="AU89:AX89" si="449">countif($D89,"*"&amp;AU$2&amp;"*")</f>
        <v>0</v>
      </c>
      <c r="AV89" s="200">
        <f t="shared" si="449"/>
        <v>1</v>
      </c>
      <c r="AW89" s="200">
        <f t="shared" si="449"/>
        <v>0</v>
      </c>
      <c r="AX89" s="200">
        <f t="shared" si="449"/>
        <v>0</v>
      </c>
      <c r="AY89" s="202">
        <v>0.0</v>
      </c>
      <c r="AZ89" s="200"/>
      <c r="BA89" s="171" t="str">
        <f t="shared" si="18"/>
        <v/>
      </c>
      <c r="BB89" s="171" t="str">
        <f t="shared" si="19"/>
        <v>Code</v>
      </c>
      <c r="BC89" s="171" t="str">
        <f t="shared" si="20"/>
        <v/>
      </c>
      <c r="BD89" s="171" t="str">
        <f t="shared" si="21"/>
        <v/>
      </c>
      <c r="BE89" s="171" t="str">
        <f t="shared" si="22"/>
        <v/>
      </c>
      <c r="BF89" s="171" t="str">
        <f t="shared" si="23"/>
        <v>Code</v>
      </c>
    </row>
    <row r="90">
      <c r="A90" s="171">
        <f t="array" ref="A90">XLOOKUP(C90,ICSE!A:A,ICSE!C:C,,2,1)</f>
        <v>2022</v>
      </c>
      <c r="B90" s="171" t="s">
        <v>5675</v>
      </c>
      <c r="C90" s="160">
        <v>82.0</v>
      </c>
      <c r="D90" s="161" t="s">
        <v>5765</v>
      </c>
      <c r="E90" s="197" t="str">
        <f t="array" ref="E90">XLOOKUP(C90,ICSE!A:A,ICSE!Z:Z,,0,1)</f>
        <v>Publicly available (2)</v>
      </c>
      <c r="F90" s="198" t="s">
        <v>20</v>
      </c>
      <c r="G90" s="163" t="str">
        <f t="array" ref="G90">IF(B90="ICSE",IF(COUNTIFS(B:B,B90,C:C,C90)=XLOOKUP(C90,ICSE!A:A,ICSE!AA:AA,"ERROR",0,1),"OK","ERROR"),IF(B90="FSE",IF(COUNTIFS(B:B,B90,C:C,C90)=XLOOKUP(C90,FSE!A:A,FSE!AA:AA,"ERROR",0,1),"OK","ERROR")))</f>
        <v>OK</v>
      </c>
      <c r="H90" s="199">
        <f t="shared" ref="H90:O90" si="450">countif($D90,"*"&amp;H$2&amp;"*")</f>
        <v>0</v>
      </c>
      <c r="I90" s="200">
        <f t="shared" si="450"/>
        <v>0</v>
      </c>
      <c r="J90" s="200">
        <f t="shared" si="450"/>
        <v>0</v>
      </c>
      <c r="K90" s="200">
        <f t="shared" si="450"/>
        <v>0</v>
      </c>
      <c r="L90" s="200">
        <f t="shared" si="450"/>
        <v>0</v>
      </c>
      <c r="M90" s="200">
        <f t="shared" si="450"/>
        <v>0</v>
      </c>
      <c r="N90" s="200">
        <f t="shared" si="450"/>
        <v>0</v>
      </c>
      <c r="O90" s="200">
        <f t="shared" si="450"/>
        <v>0</v>
      </c>
      <c r="P90" s="200">
        <f t="shared" si="9"/>
        <v>1</v>
      </c>
      <c r="Q90" s="200">
        <f t="shared" ref="Q90:AC90" si="451">countif($D90,"*"&amp;Q$2&amp;"*")</f>
        <v>0</v>
      </c>
      <c r="R90" s="200">
        <f t="shared" si="451"/>
        <v>0</v>
      </c>
      <c r="S90" s="200">
        <f t="shared" si="451"/>
        <v>0</v>
      </c>
      <c r="T90" s="200">
        <f t="shared" si="451"/>
        <v>0</v>
      </c>
      <c r="U90" s="200">
        <f t="shared" si="451"/>
        <v>0</v>
      </c>
      <c r="V90" s="200">
        <f t="shared" si="451"/>
        <v>0</v>
      </c>
      <c r="W90" s="200">
        <f t="shared" si="451"/>
        <v>0</v>
      </c>
      <c r="X90" s="200">
        <f t="shared" si="451"/>
        <v>0</v>
      </c>
      <c r="Y90" s="200">
        <f t="shared" si="451"/>
        <v>0</v>
      </c>
      <c r="Z90" s="200">
        <f t="shared" si="451"/>
        <v>0</v>
      </c>
      <c r="AA90" s="200">
        <f t="shared" si="451"/>
        <v>0</v>
      </c>
      <c r="AB90" s="200">
        <f t="shared" si="451"/>
        <v>0</v>
      </c>
      <c r="AC90" s="200">
        <f t="shared" si="451"/>
        <v>0</v>
      </c>
      <c r="AD90" s="200">
        <f t="shared" si="11"/>
        <v>0</v>
      </c>
      <c r="AE90" s="200">
        <f t="shared" ref="AE90:AG90" si="452">countif($D90,"*"&amp;AE$2&amp;"*")</f>
        <v>0</v>
      </c>
      <c r="AF90" s="200">
        <f t="shared" si="452"/>
        <v>0</v>
      </c>
      <c r="AG90" s="200">
        <f t="shared" si="452"/>
        <v>0</v>
      </c>
      <c r="AH90" s="171">
        <f t="shared" si="13"/>
        <v>0</v>
      </c>
      <c r="AI90" s="200">
        <f t="shared" si="14"/>
        <v>0</v>
      </c>
      <c r="AJ90" s="200">
        <f t="shared" si="137"/>
        <v>0</v>
      </c>
      <c r="AK90" s="201">
        <f t="shared" ref="AK90:AS90" si="453">countif($D90,"*"&amp;AK$2&amp;"*")</f>
        <v>0</v>
      </c>
      <c r="AL90" s="201">
        <f t="shared" si="453"/>
        <v>0</v>
      </c>
      <c r="AM90" s="201">
        <f t="shared" si="453"/>
        <v>0</v>
      </c>
      <c r="AN90" s="201">
        <f t="shared" si="453"/>
        <v>0</v>
      </c>
      <c r="AO90" s="201">
        <f t="shared" si="453"/>
        <v>0</v>
      </c>
      <c r="AP90" s="201">
        <f t="shared" si="453"/>
        <v>0</v>
      </c>
      <c r="AQ90" s="201">
        <f t="shared" si="453"/>
        <v>0</v>
      </c>
      <c r="AR90" s="200">
        <f t="shared" si="453"/>
        <v>0</v>
      </c>
      <c r="AS90" s="200">
        <f t="shared" si="453"/>
        <v>0</v>
      </c>
      <c r="AT90" s="173">
        <v>0.0</v>
      </c>
      <c r="AU90" s="200">
        <f t="shared" ref="AU90:AX90" si="454">countif($D90,"*"&amp;AU$2&amp;"*")</f>
        <v>0</v>
      </c>
      <c r="AV90" s="200">
        <f t="shared" si="454"/>
        <v>1</v>
      </c>
      <c r="AW90" s="200">
        <f t="shared" si="454"/>
        <v>0</v>
      </c>
      <c r="AX90" s="200">
        <f t="shared" si="454"/>
        <v>0</v>
      </c>
      <c r="AY90" s="202">
        <v>0.0</v>
      </c>
      <c r="AZ90" s="200"/>
      <c r="BA90" s="171" t="str">
        <f t="shared" si="18"/>
        <v/>
      </c>
      <c r="BB90" s="171" t="str">
        <f t="shared" si="19"/>
        <v>Code</v>
      </c>
      <c r="BC90" s="171" t="str">
        <f t="shared" si="20"/>
        <v/>
      </c>
      <c r="BD90" s="171" t="str">
        <f t="shared" si="21"/>
        <v/>
      </c>
      <c r="BE90" s="171" t="str">
        <f t="shared" si="22"/>
        <v/>
      </c>
      <c r="BF90" s="171" t="str">
        <f t="shared" si="23"/>
        <v>Code</v>
      </c>
    </row>
    <row r="91">
      <c r="A91" s="171">
        <f t="array" ref="A91">XLOOKUP(C91,ICSE!A:A,ICSE!C:C,,2,1)</f>
        <v>2022</v>
      </c>
      <c r="B91" s="171" t="s">
        <v>5675</v>
      </c>
      <c r="C91" s="203">
        <v>82.0</v>
      </c>
      <c r="D91" s="161" t="s">
        <v>5766</v>
      </c>
      <c r="E91" s="197" t="str">
        <f t="array" ref="E91">XLOOKUP(C91,ICSE!A:A,ICSE!Z:Z,,0,1)</f>
        <v>Publicly available (2)</v>
      </c>
      <c r="F91" s="198" t="s">
        <v>20</v>
      </c>
      <c r="G91" s="163" t="str">
        <f t="array" ref="G91">IF(B91="ICSE",IF(COUNTIFS(B:B,B91,C:C,C91)=XLOOKUP(C91,ICSE!A:A,ICSE!AA:AA,"ERROR",0,1),"OK","ERROR"),IF(B91="FSE",IF(COUNTIFS(B:B,B91,C:C,C91)=XLOOKUP(C91,FSE!A:A,FSE!AA:AA,"ERROR",0,1),"OK","ERROR")))</f>
        <v>OK</v>
      </c>
      <c r="H91" s="199">
        <f t="shared" ref="H91:O91" si="455">countif($D91,"*"&amp;H$2&amp;"*")</f>
        <v>0</v>
      </c>
      <c r="I91" s="200">
        <f t="shared" si="455"/>
        <v>0</v>
      </c>
      <c r="J91" s="200">
        <f t="shared" si="455"/>
        <v>0</v>
      </c>
      <c r="K91" s="200">
        <f t="shared" si="455"/>
        <v>0</v>
      </c>
      <c r="L91" s="200">
        <f t="shared" si="455"/>
        <v>0</v>
      </c>
      <c r="M91" s="200">
        <f t="shared" si="455"/>
        <v>0</v>
      </c>
      <c r="N91" s="200">
        <f t="shared" si="455"/>
        <v>0</v>
      </c>
      <c r="O91" s="200">
        <f t="shared" si="455"/>
        <v>0</v>
      </c>
      <c r="P91" s="200">
        <f t="shared" si="9"/>
        <v>1</v>
      </c>
      <c r="Q91" s="200">
        <f t="shared" ref="Q91:AC91" si="456">countif($D91,"*"&amp;Q$2&amp;"*")</f>
        <v>0</v>
      </c>
      <c r="R91" s="200">
        <f t="shared" si="456"/>
        <v>0</v>
      </c>
      <c r="S91" s="200">
        <f t="shared" si="456"/>
        <v>0</v>
      </c>
      <c r="T91" s="200">
        <f t="shared" si="456"/>
        <v>0</v>
      </c>
      <c r="U91" s="200">
        <f t="shared" si="456"/>
        <v>0</v>
      </c>
      <c r="V91" s="200">
        <f t="shared" si="456"/>
        <v>0</v>
      </c>
      <c r="W91" s="200">
        <f t="shared" si="456"/>
        <v>0</v>
      </c>
      <c r="X91" s="200">
        <f t="shared" si="456"/>
        <v>0</v>
      </c>
      <c r="Y91" s="200">
        <f t="shared" si="456"/>
        <v>0</v>
      </c>
      <c r="Z91" s="200">
        <f t="shared" si="456"/>
        <v>0</v>
      </c>
      <c r="AA91" s="200">
        <f t="shared" si="456"/>
        <v>0</v>
      </c>
      <c r="AB91" s="200">
        <f t="shared" si="456"/>
        <v>0</v>
      </c>
      <c r="AC91" s="200">
        <f t="shared" si="456"/>
        <v>0</v>
      </c>
      <c r="AD91" s="200">
        <f t="shared" si="11"/>
        <v>0</v>
      </c>
      <c r="AE91" s="200">
        <f t="shared" ref="AE91:AG91" si="457">countif($D91,"*"&amp;AE$2&amp;"*")</f>
        <v>0</v>
      </c>
      <c r="AF91" s="200">
        <f t="shared" si="457"/>
        <v>0</v>
      </c>
      <c r="AG91" s="200">
        <f t="shared" si="457"/>
        <v>0</v>
      </c>
      <c r="AH91" s="171">
        <f t="shared" si="13"/>
        <v>0</v>
      </c>
      <c r="AI91" s="200">
        <f t="shared" si="14"/>
        <v>0</v>
      </c>
      <c r="AJ91" s="200">
        <f t="shared" si="137"/>
        <v>0</v>
      </c>
      <c r="AK91" s="201">
        <f t="shared" ref="AK91:AS91" si="458">countif($D91,"*"&amp;AK$2&amp;"*")</f>
        <v>0</v>
      </c>
      <c r="AL91" s="201">
        <f t="shared" si="458"/>
        <v>0</v>
      </c>
      <c r="AM91" s="201">
        <f t="shared" si="458"/>
        <v>0</v>
      </c>
      <c r="AN91" s="201">
        <f t="shared" si="458"/>
        <v>0</v>
      </c>
      <c r="AO91" s="201">
        <f t="shared" si="458"/>
        <v>0</v>
      </c>
      <c r="AP91" s="201">
        <f t="shared" si="458"/>
        <v>0</v>
      </c>
      <c r="AQ91" s="201">
        <f t="shared" si="458"/>
        <v>0</v>
      </c>
      <c r="AR91" s="200">
        <f t="shared" si="458"/>
        <v>0</v>
      </c>
      <c r="AS91" s="200">
        <f t="shared" si="458"/>
        <v>0</v>
      </c>
      <c r="AT91" s="173">
        <v>0.0</v>
      </c>
      <c r="AU91" s="200">
        <f t="shared" ref="AU91:AX91" si="459">countif($D91,"*"&amp;AU$2&amp;"*")</f>
        <v>0</v>
      </c>
      <c r="AV91" s="200">
        <f t="shared" si="459"/>
        <v>1</v>
      </c>
      <c r="AW91" s="200">
        <f t="shared" si="459"/>
        <v>0</v>
      </c>
      <c r="AX91" s="200">
        <f t="shared" si="459"/>
        <v>0</v>
      </c>
      <c r="AY91" s="202">
        <v>0.0</v>
      </c>
      <c r="AZ91" s="200"/>
      <c r="BA91" s="171" t="str">
        <f t="shared" si="18"/>
        <v/>
      </c>
      <c r="BB91" s="171" t="str">
        <f t="shared" si="19"/>
        <v>Code</v>
      </c>
      <c r="BC91" s="171" t="str">
        <f t="shared" si="20"/>
        <v/>
      </c>
      <c r="BD91" s="171" t="str">
        <f t="shared" si="21"/>
        <v/>
      </c>
      <c r="BE91" s="171" t="str">
        <f t="shared" si="22"/>
        <v/>
      </c>
      <c r="BF91" s="171" t="str">
        <f t="shared" si="23"/>
        <v>Code</v>
      </c>
    </row>
    <row r="92">
      <c r="A92" s="171">
        <f t="array" ref="A92">XLOOKUP(C92,ICSE!A:A,ICSE!C:C,,2,1)</f>
        <v>2022</v>
      </c>
      <c r="B92" s="171" t="s">
        <v>5675</v>
      </c>
      <c r="C92" s="160">
        <v>83.0</v>
      </c>
      <c r="D92" s="161" t="s">
        <v>2483</v>
      </c>
      <c r="E92" s="197" t="str">
        <f t="array" ref="E92">XLOOKUP(C92,ICSE!A:A,ICSE!Z:Z,,0,1)</f>
        <v>Publicly available (1)</v>
      </c>
      <c r="F92" s="198" t="s">
        <v>20</v>
      </c>
      <c r="G92" s="163" t="str">
        <f t="array" ref="G92">IF(B92="ICSE",IF(COUNTIFS(B:B,B92,C:C,C92)=XLOOKUP(C92,ICSE!A:A,ICSE!AA:AA,"ERROR",0,1),"OK","ERROR"),IF(B92="FSE",IF(COUNTIFS(B:B,B92,C:C,C92)=XLOOKUP(C92,FSE!A:A,FSE!AA:AA,"ERROR",0,1),"OK","ERROR")))</f>
        <v>OK</v>
      </c>
      <c r="H92" s="199">
        <f t="shared" ref="H92:O92" si="460">countif($D92,"*"&amp;H$2&amp;"*")</f>
        <v>0</v>
      </c>
      <c r="I92" s="200">
        <f t="shared" si="460"/>
        <v>0</v>
      </c>
      <c r="J92" s="200">
        <f t="shared" si="460"/>
        <v>0</v>
      </c>
      <c r="K92" s="200">
        <f t="shared" si="460"/>
        <v>0</v>
      </c>
      <c r="L92" s="200">
        <f t="shared" si="460"/>
        <v>0</v>
      </c>
      <c r="M92" s="200">
        <f t="shared" si="460"/>
        <v>0</v>
      </c>
      <c r="N92" s="200">
        <f t="shared" si="460"/>
        <v>0</v>
      </c>
      <c r="O92" s="200">
        <f t="shared" si="460"/>
        <v>0</v>
      </c>
      <c r="P92" s="200">
        <f t="shared" si="9"/>
        <v>1</v>
      </c>
      <c r="Q92" s="200">
        <f t="shared" ref="Q92:AC92" si="461">countif($D92,"*"&amp;Q$2&amp;"*")</f>
        <v>0</v>
      </c>
      <c r="R92" s="200">
        <f t="shared" si="461"/>
        <v>0</v>
      </c>
      <c r="S92" s="200">
        <f t="shared" si="461"/>
        <v>0</v>
      </c>
      <c r="T92" s="200">
        <f t="shared" si="461"/>
        <v>0</v>
      </c>
      <c r="U92" s="200">
        <f t="shared" si="461"/>
        <v>0</v>
      </c>
      <c r="V92" s="200">
        <f t="shared" si="461"/>
        <v>0</v>
      </c>
      <c r="W92" s="200">
        <f t="shared" si="461"/>
        <v>0</v>
      </c>
      <c r="X92" s="200">
        <f t="shared" si="461"/>
        <v>0</v>
      </c>
      <c r="Y92" s="200">
        <f t="shared" si="461"/>
        <v>0</v>
      </c>
      <c r="Z92" s="200">
        <f t="shared" si="461"/>
        <v>0</v>
      </c>
      <c r="AA92" s="200">
        <f t="shared" si="461"/>
        <v>0</v>
      </c>
      <c r="AB92" s="200">
        <f t="shared" si="461"/>
        <v>0</v>
      </c>
      <c r="AC92" s="200">
        <f t="shared" si="461"/>
        <v>0</v>
      </c>
      <c r="AD92" s="200">
        <f t="shared" si="11"/>
        <v>0</v>
      </c>
      <c r="AE92" s="200">
        <f t="shared" ref="AE92:AG92" si="462">countif($D92,"*"&amp;AE$2&amp;"*")</f>
        <v>0</v>
      </c>
      <c r="AF92" s="200">
        <f t="shared" si="462"/>
        <v>0</v>
      </c>
      <c r="AG92" s="200">
        <f t="shared" si="462"/>
        <v>0</v>
      </c>
      <c r="AH92" s="171">
        <f t="shared" si="13"/>
        <v>0</v>
      </c>
      <c r="AI92" s="200">
        <f t="shared" si="14"/>
        <v>0</v>
      </c>
      <c r="AJ92" s="200">
        <f t="shared" si="137"/>
        <v>0</v>
      </c>
      <c r="AK92" s="201">
        <f t="shared" ref="AK92:AS92" si="463">countif($D92,"*"&amp;AK$2&amp;"*")</f>
        <v>0</v>
      </c>
      <c r="AL92" s="201">
        <f t="shared" si="463"/>
        <v>0</v>
      </c>
      <c r="AM92" s="201">
        <f t="shared" si="463"/>
        <v>0</v>
      </c>
      <c r="AN92" s="201">
        <f t="shared" si="463"/>
        <v>0</v>
      </c>
      <c r="AO92" s="201">
        <f t="shared" si="463"/>
        <v>0</v>
      </c>
      <c r="AP92" s="201">
        <f t="shared" si="463"/>
        <v>0</v>
      </c>
      <c r="AQ92" s="201">
        <f t="shared" si="463"/>
        <v>0</v>
      </c>
      <c r="AR92" s="200">
        <f t="shared" si="463"/>
        <v>0</v>
      </c>
      <c r="AS92" s="200">
        <f t="shared" si="463"/>
        <v>0</v>
      </c>
      <c r="AT92" s="173">
        <v>0.0</v>
      </c>
      <c r="AU92" s="200">
        <f t="shared" ref="AU92:AX92" si="464">countif($D92,"*"&amp;AU$2&amp;"*")</f>
        <v>0</v>
      </c>
      <c r="AV92" s="200">
        <f t="shared" si="464"/>
        <v>1</v>
      </c>
      <c r="AW92" s="200">
        <f t="shared" si="464"/>
        <v>0</v>
      </c>
      <c r="AX92" s="200">
        <f t="shared" si="464"/>
        <v>0</v>
      </c>
      <c r="AY92" s="202">
        <v>0.0</v>
      </c>
      <c r="AZ92" s="200"/>
      <c r="BA92" s="171" t="str">
        <f t="shared" si="18"/>
        <v/>
      </c>
      <c r="BB92" s="171" t="str">
        <f t="shared" si="19"/>
        <v>Code</v>
      </c>
      <c r="BC92" s="171" t="str">
        <f t="shared" si="20"/>
        <v/>
      </c>
      <c r="BD92" s="171" t="str">
        <f t="shared" si="21"/>
        <v/>
      </c>
      <c r="BE92" s="171" t="str">
        <f t="shared" si="22"/>
        <v/>
      </c>
      <c r="BF92" s="171" t="str">
        <f t="shared" si="23"/>
        <v>Code</v>
      </c>
    </row>
    <row r="93">
      <c r="A93" s="171">
        <f t="array" ref="A93">XLOOKUP(C93,ICSE!A:A,ICSE!C:C,,2,1)</f>
        <v>2022</v>
      </c>
      <c r="B93" s="171" t="s">
        <v>5675</v>
      </c>
      <c r="C93" s="160">
        <v>84.0</v>
      </c>
      <c r="D93" s="161" t="s">
        <v>2486</v>
      </c>
      <c r="E93" s="197" t="str">
        <f t="array" ref="E93">XLOOKUP(C93,ICSE!A:A,ICSE!Z:Z,,0,1)</f>
        <v>Publicly available (1)</v>
      </c>
      <c r="F93" s="198" t="s">
        <v>20</v>
      </c>
      <c r="G93" s="163" t="str">
        <f t="array" ref="G93">IF(B93="ICSE",IF(COUNTIFS(B:B,B93,C:C,C93)=XLOOKUP(C93,ICSE!A:A,ICSE!AA:AA,"ERROR",0,1),"OK","ERROR"),IF(B93="FSE",IF(COUNTIFS(B:B,B93,C:C,C93)=XLOOKUP(C93,FSE!A:A,FSE!AA:AA,"ERROR",0,1),"OK","ERROR")))</f>
        <v>OK</v>
      </c>
      <c r="H93" s="199">
        <f t="shared" ref="H93:O93" si="465">countif($D93,"*"&amp;H$2&amp;"*")</f>
        <v>0</v>
      </c>
      <c r="I93" s="200">
        <f t="shared" si="465"/>
        <v>0</v>
      </c>
      <c r="J93" s="200">
        <f t="shared" si="465"/>
        <v>0</v>
      </c>
      <c r="K93" s="200">
        <f t="shared" si="465"/>
        <v>0</v>
      </c>
      <c r="L93" s="200">
        <f t="shared" si="465"/>
        <v>0</v>
      </c>
      <c r="M93" s="200">
        <f t="shared" si="465"/>
        <v>0</v>
      </c>
      <c r="N93" s="200">
        <f t="shared" si="465"/>
        <v>0</v>
      </c>
      <c r="O93" s="200">
        <f t="shared" si="465"/>
        <v>0</v>
      </c>
      <c r="P93" s="200">
        <f t="shared" si="9"/>
        <v>0</v>
      </c>
      <c r="Q93" s="200">
        <f t="shared" ref="Q93:AC93" si="466">countif($D93,"*"&amp;Q$2&amp;"*")</f>
        <v>0</v>
      </c>
      <c r="R93" s="200">
        <f t="shared" si="466"/>
        <v>0</v>
      </c>
      <c r="S93" s="200">
        <f t="shared" si="466"/>
        <v>0</v>
      </c>
      <c r="T93" s="200">
        <f t="shared" si="466"/>
        <v>0</v>
      </c>
      <c r="U93" s="200">
        <f t="shared" si="466"/>
        <v>0</v>
      </c>
      <c r="V93" s="200">
        <f t="shared" si="466"/>
        <v>0</v>
      </c>
      <c r="W93" s="200">
        <f t="shared" si="466"/>
        <v>0</v>
      </c>
      <c r="X93" s="200">
        <f t="shared" si="466"/>
        <v>0</v>
      </c>
      <c r="Y93" s="200">
        <f t="shared" si="466"/>
        <v>0</v>
      </c>
      <c r="Z93" s="200">
        <f t="shared" si="466"/>
        <v>0</v>
      </c>
      <c r="AA93" s="200">
        <f t="shared" si="466"/>
        <v>1</v>
      </c>
      <c r="AB93" s="200">
        <f t="shared" si="466"/>
        <v>0</v>
      </c>
      <c r="AC93" s="200">
        <f t="shared" si="466"/>
        <v>0</v>
      </c>
      <c r="AD93" s="200">
        <f t="shared" si="11"/>
        <v>0</v>
      </c>
      <c r="AE93" s="200">
        <f t="shared" ref="AE93:AG93" si="467">countif($D93,"*"&amp;AE$2&amp;"*")</f>
        <v>0</v>
      </c>
      <c r="AF93" s="200">
        <f t="shared" si="467"/>
        <v>0</v>
      </c>
      <c r="AG93" s="200">
        <f t="shared" si="467"/>
        <v>0</v>
      </c>
      <c r="AH93" s="171">
        <f t="shared" si="13"/>
        <v>0</v>
      </c>
      <c r="AI93" s="200">
        <f t="shared" si="14"/>
        <v>0</v>
      </c>
      <c r="AJ93" s="200">
        <f t="shared" si="137"/>
        <v>0</v>
      </c>
      <c r="AK93" s="201">
        <f t="shared" ref="AK93:AS93" si="468">countif($D93,"*"&amp;AK$2&amp;"*")</f>
        <v>0</v>
      </c>
      <c r="AL93" s="201">
        <f t="shared" si="468"/>
        <v>0</v>
      </c>
      <c r="AM93" s="201">
        <f t="shared" si="468"/>
        <v>0</v>
      </c>
      <c r="AN93" s="201">
        <f t="shared" si="468"/>
        <v>0</v>
      </c>
      <c r="AO93" s="201">
        <f t="shared" si="468"/>
        <v>0</v>
      </c>
      <c r="AP93" s="201">
        <f t="shared" si="468"/>
        <v>0</v>
      </c>
      <c r="AQ93" s="201">
        <f t="shared" si="468"/>
        <v>0</v>
      </c>
      <c r="AR93" s="200">
        <f t="shared" si="468"/>
        <v>0</v>
      </c>
      <c r="AS93" s="200">
        <f t="shared" si="468"/>
        <v>0</v>
      </c>
      <c r="AT93" s="173">
        <v>0.0</v>
      </c>
      <c r="AU93" s="200">
        <f t="shared" ref="AU93:AX93" si="469">countif($D93,"*"&amp;AU$2&amp;"*")</f>
        <v>0</v>
      </c>
      <c r="AV93" s="200">
        <f t="shared" si="469"/>
        <v>0</v>
      </c>
      <c r="AW93" s="200">
        <f t="shared" si="469"/>
        <v>0</v>
      </c>
      <c r="AX93" s="200">
        <f t="shared" si="469"/>
        <v>0</v>
      </c>
      <c r="AY93" s="202">
        <v>0.0</v>
      </c>
      <c r="AZ93" s="200"/>
      <c r="BA93" s="171" t="str">
        <f t="shared" si="18"/>
        <v/>
      </c>
      <c r="BB93" s="171" t="str">
        <f t="shared" si="19"/>
        <v/>
      </c>
      <c r="BC93" s="171" t="str">
        <f t="shared" si="20"/>
        <v>General-purpose</v>
      </c>
      <c r="BD93" s="171" t="str">
        <f t="shared" si="21"/>
        <v/>
      </c>
      <c r="BE93" s="171" t="str">
        <f t="shared" si="22"/>
        <v/>
      </c>
      <c r="BF93" s="171" t="str">
        <f t="shared" si="23"/>
        <v>General-purpose</v>
      </c>
    </row>
    <row r="94">
      <c r="A94" s="171">
        <f t="array" ref="A94">XLOOKUP(C94,ICSE!A:A,ICSE!C:C,,2,1)</f>
        <v>2022</v>
      </c>
      <c r="B94" s="171" t="s">
        <v>5675</v>
      </c>
      <c r="C94" s="160">
        <v>85.0</v>
      </c>
      <c r="D94" s="161" t="s">
        <v>5767</v>
      </c>
      <c r="E94" s="197" t="str">
        <f t="array" ref="E94">XLOOKUP(C94,ICSE!A:A,ICSE!Z:Z,,0,1)</f>
        <v>Publicly available (2)</v>
      </c>
      <c r="F94" s="198" t="s">
        <v>20</v>
      </c>
      <c r="G94" s="163" t="str">
        <f t="array" ref="G94">IF(B94="ICSE",IF(COUNTIFS(B:B,B94,C:C,C94)=XLOOKUP(C94,ICSE!A:A,ICSE!AA:AA,"ERROR",0,1),"OK","ERROR"),IF(B94="FSE",IF(COUNTIFS(B:B,B94,C:C,C94)=XLOOKUP(C94,FSE!A:A,FSE!AA:AA,"ERROR",0,1),"OK","ERROR")))</f>
        <v>OK</v>
      </c>
      <c r="H94" s="199">
        <f t="shared" ref="H94:O94" si="470">countif($D94,"*"&amp;H$2&amp;"*")</f>
        <v>0</v>
      </c>
      <c r="I94" s="200">
        <f t="shared" si="470"/>
        <v>0</v>
      </c>
      <c r="J94" s="200">
        <f t="shared" si="470"/>
        <v>0</v>
      </c>
      <c r="K94" s="200">
        <f t="shared" si="470"/>
        <v>0</v>
      </c>
      <c r="L94" s="200">
        <f t="shared" si="470"/>
        <v>0</v>
      </c>
      <c r="M94" s="200">
        <f t="shared" si="470"/>
        <v>0</v>
      </c>
      <c r="N94" s="200">
        <f t="shared" si="470"/>
        <v>0</v>
      </c>
      <c r="O94" s="200">
        <f t="shared" si="470"/>
        <v>0</v>
      </c>
      <c r="P94" s="200">
        <f t="shared" si="9"/>
        <v>0</v>
      </c>
      <c r="Q94" s="200">
        <f t="shared" ref="Q94:AC94" si="471">countif($D94,"*"&amp;Q$2&amp;"*")</f>
        <v>0</v>
      </c>
      <c r="R94" s="200">
        <f t="shared" si="471"/>
        <v>0</v>
      </c>
      <c r="S94" s="200">
        <f t="shared" si="471"/>
        <v>0</v>
      </c>
      <c r="T94" s="200">
        <f t="shared" si="471"/>
        <v>0</v>
      </c>
      <c r="U94" s="200">
        <f t="shared" si="471"/>
        <v>1</v>
      </c>
      <c r="V94" s="200">
        <f t="shared" si="471"/>
        <v>0</v>
      </c>
      <c r="W94" s="200">
        <f t="shared" si="471"/>
        <v>0</v>
      </c>
      <c r="X94" s="200">
        <f t="shared" si="471"/>
        <v>0</v>
      </c>
      <c r="Y94" s="200">
        <f t="shared" si="471"/>
        <v>0</v>
      </c>
      <c r="Z94" s="200">
        <f t="shared" si="471"/>
        <v>0</v>
      </c>
      <c r="AA94" s="200">
        <f t="shared" si="471"/>
        <v>0</v>
      </c>
      <c r="AB94" s="200">
        <f t="shared" si="471"/>
        <v>0</v>
      </c>
      <c r="AC94" s="200">
        <f t="shared" si="471"/>
        <v>0</v>
      </c>
      <c r="AD94" s="200">
        <f t="shared" si="11"/>
        <v>0</v>
      </c>
      <c r="AE94" s="200">
        <f t="shared" ref="AE94:AG94" si="472">countif($D94,"*"&amp;AE$2&amp;"*")</f>
        <v>0</v>
      </c>
      <c r="AF94" s="200">
        <f t="shared" si="472"/>
        <v>0</v>
      </c>
      <c r="AG94" s="200">
        <f t="shared" si="472"/>
        <v>0</v>
      </c>
      <c r="AH94" s="171">
        <f t="shared" si="13"/>
        <v>0</v>
      </c>
      <c r="AI94" s="200">
        <f t="shared" si="14"/>
        <v>0</v>
      </c>
      <c r="AJ94" s="200">
        <f t="shared" si="137"/>
        <v>0</v>
      </c>
      <c r="AK94" s="201">
        <f t="shared" ref="AK94:AS94" si="473">countif($D94,"*"&amp;AK$2&amp;"*")</f>
        <v>0</v>
      </c>
      <c r="AL94" s="201">
        <f t="shared" si="473"/>
        <v>0</v>
      </c>
      <c r="AM94" s="201">
        <f t="shared" si="473"/>
        <v>0</v>
      </c>
      <c r="AN94" s="201">
        <f t="shared" si="473"/>
        <v>0</v>
      </c>
      <c r="AO94" s="201">
        <f t="shared" si="473"/>
        <v>0</v>
      </c>
      <c r="AP94" s="201">
        <f t="shared" si="473"/>
        <v>0</v>
      </c>
      <c r="AQ94" s="201">
        <f t="shared" si="473"/>
        <v>0</v>
      </c>
      <c r="AR94" s="200">
        <f t="shared" si="473"/>
        <v>0</v>
      </c>
      <c r="AS94" s="200">
        <f t="shared" si="473"/>
        <v>0</v>
      </c>
      <c r="AT94" s="173">
        <v>0.0</v>
      </c>
      <c r="AU94" s="200">
        <f t="shared" ref="AU94:AX94" si="474">countif($D94,"*"&amp;AU$2&amp;"*")</f>
        <v>0</v>
      </c>
      <c r="AV94" s="200">
        <f t="shared" si="474"/>
        <v>0</v>
      </c>
      <c r="AW94" s="200">
        <f t="shared" si="474"/>
        <v>0</v>
      </c>
      <c r="AX94" s="200">
        <f t="shared" si="474"/>
        <v>0</v>
      </c>
      <c r="AY94" s="202">
        <v>0.0</v>
      </c>
      <c r="AZ94" s="200"/>
      <c r="BA94" s="171" t="str">
        <f t="shared" si="18"/>
        <v/>
      </c>
      <c r="BB94" s="171" t="str">
        <f t="shared" si="19"/>
        <v>Code</v>
      </c>
      <c r="BC94" s="171" t="str">
        <f t="shared" si="20"/>
        <v/>
      </c>
      <c r="BD94" s="171" t="str">
        <f t="shared" si="21"/>
        <v/>
      </c>
      <c r="BE94" s="171" t="str">
        <f t="shared" si="22"/>
        <v/>
      </c>
      <c r="BF94" s="171" t="str">
        <f t="shared" si="23"/>
        <v>Code</v>
      </c>
    </row>
    <row r="95">
      <c r="A95" s="171">
        <f t="array" ref="A95">XLOOKUP(C95,ICSE!A:A,ICSE!C:C,,2,1)</f>
        <v>2022</v>
      </c>
      <c r="B95" s="171" t="s">
        <v>5675</v>
      </c>
      <c r="C95" s="203">
        <v>85.0</v>
      </c>
      <c r="D95" s="161" t="s">
        <v>5768</v>
      </c>
      <c r="E95" s="197" t="str">
        <f t="array" ref="E95">XLOOKUP(C95,ICSE!A:A,ICSE!Z:Z,,0,1)</f>
        <v>Publicly available (2)</v>
      </c>
      <c r="F95" s="198" t="s">
        <v>20</v>
      </c>
      <c r="G95" s="163" t="str">
        <f t="array" ref="G95">IF(B95="ICSE",IF(COUNTIFS(B:B,B95,C:C,C95)=XLOOKUP(C95,ICSE!A:A,ICSE!AA:AA,"ERROR",0,1),"OK","ERROR"),IF(B95="FSE",IF(COUNTIFS(B:B,B95,C:C,C95)=XLOOKUP(C95,FSE!A:A,FSE!AA:AA,"ERROR",0,1),"OK","ERROR")))</f>
        <v>OK</v>
      </c>
      <c r="H95" s="199">
        <f t="shared" ref="H95:O95" si="475">countif($D95,"*"&amp;H$2&amp;"*")</f>
        <v>1</v>
      </c>
      <c r="I95" s="200">
        <f t="shared" si="475"/>
        <v>0</v>
      </c>
      <c r="J95" s="200">
        <f t="shared" si="475"/>
        <v>0</v>
      </c>
      <c r="K95" s="200">
        <f t="shared" si="475"/>
        <v>0</v>
      </c>
      <c r="L95" s="200">
        <f t="shared" si="475"/>
        <v>0</v>
      </c>
      <c r="M95" s="200">
        <f t="shared" si="475"/>
        <v>0</v>
      </c>
      <c r="N95" s="200">
        <f t="shared" si="475"/>
        <v>0</v>
      </c>
      <c r="O95" s="200">
        <f t="shared" si="475"/>
        <v>0</v>
      </c>
      <c r="P95" s="200">
        <f t="shared" si="9"/>
        <v>0</v>
      </c>
      <c r="Q95" s="200">
        <f t="shared" ref="Q95:AC95" si="476">countif($D95,"*"&amp;Q$2&amp;"*")</f>
        <v>0</v>
      </c>
      <c r="R95" s="200">
        <f t="shared" si="476"/>
        <v>0</v>
      </c>
      <c r="S95" s="200">
        <f t="shared" si="476"/>
        <v>0</v>
      </c>
      <c r="T95" s="200">
        <f t="shared" si="476"/>
        <v>0</v>
      </c>
      <c r="U95" s="200">
        <f t="shared" si="476"/>
        <v>0</v>
      </c>
      <c r="V95" s="200">
        <f t="shared" si="476"/>
        <v>0</v>
      </c>
      <c r="W95" s="200">
        <f t="shared" si="476"/>
        <v>0</v>
      </c>
      <c r="X95" s="200">
        <f t="shared" si="476"/>
        <v>0</v>
      </c>
      <c r="Y95" s="200">
        <f t="shared" si="476"/>
        <v>0</v>
      </c>
      <c r="Z95" s="200">
        <f t="shared" si="476"/>
        <v>0</v>
      </c>
      <c r="AA95" s="200">
        <f t="shared" si="476"/>
        <v>0</v>
      </c>
      <c r="AB95" s="200">
        <f t="shared" si="476"/>
        <v>0</v>
      </c>
      <c r="AC95" s="200">
        <f t="shared" si="476"/>
        <v>0</v>
      </c>
      <c r="AD95" s="200">
        <f t="shared" si="11"/>
        <v>0</v>
      </c>
      <c r="AE95" s="200">
        <f t="shared" ref="AE95:AG95" si="477">countif($D95,"*"&amp;AE$2&amp;"*")</f>
        <v>0</v>
      </c>
      <c r="AF95" s="200">
        <f t="shared" si="477"/>
        <v>0</v>
      </c>
      <c r="AG95" s="200">
        <f t="shared" si="477"/>
        <v>0</v>
      </c>
      <c r="AH95" s="171">
        <f t="shared" si="13"/>
        <v>0</v>
      </c>
      <c r="AI95" s="200">
        <f t="shared" si="14"/>
        <v>1</v>
      </c>
      <c r="AJ95" s="200">
        <f t="shared" si="137"/>
        <v>0</v>
      </c>
      <c r="AK95" s="201">
        <f t="shared" ref="AK95:AS95" si="478">countif($D95,"*"&amp;AK$2&amp;"*")</f>
        <v>0</v>
      </c>
      <c r="AL95" s="201">
        <f t="shared" si="478"/>
        <v>0</v>
      </c>
      <c r="AM95" s="201">
        <f t="shared" si="478"/>
        <v>0</v>
      </c>
      <c r="AN95" s="201">
        <f t="shared" si="478"/>
        <v>0</v>
      </c>
      <c r="AO95" s="201">
        <f t="shared" si="478"/>
        <v>0</v>
      </c>
      <c r="AP95" s="201">
        <f t="shared" si="478"/>
        <v>0</v>
      </c>
      <c r="AQ95" s="201">
        <f t="shared" si="478"/>
        <v>0</v>
      </c>
      <c r="AR95" s="200">
        <f t="shared" si="478"/>
        <v>0</v>
      </c>
      <c r="AS95" s="200">
        <f t="shared" si="478"/>
        <v>0</v>
      </c>
      <c r="AT95" s="173">
        <v>0.0</v>
      </c>
      <c r="AU95" s="200">
        <f t="shared" ref="AU95:AX95" si="479">countif($D95,"*"&amp;AU$2&amp;"*")</f>
        <v>0</v>
      </c>
      <c r="AV95" s="200">
        <f t="shared" si="479"/>
        <v>0</v>
      </c>
      <c r="AW95" s="200">
        <f t="shared" si="479"/>
        <v>0</v>
      </c>
      <c r="AX95" s="200">
        <f t="shared" si="479"/>
        <v>1</v>
      </c>
      <c r="AY95" s="202">
        <v>0.0</v>
      </c>
      <c r="AZ95" s="200"/>
      <c r="BA95" s="171" t="str">
        <f t="shared" si="18"/>
        <v>Archival</v>
      </c>
      <c r="BB95" s="171" t="str">
        <f t="shared" si="19"/>
        <v/>
      </c>
      <c r="BC95" s="171" t="str">
        <f t="shared" si="20"/>
        <v/>
      </c>
      <c r="BD95" s="171" t="str">
        <f t="shared" si="21"/>
        <v/>
      </c>
      <c r="BE95" s="171" t="str">
        <f t="shared" si="22"/>
        <v/>
      </c>
      <c r="BF95" s="171" t="str">
        <f t="shared" si="23"/>
        <v>Archival</v>
      </c>
    </row>
    <row r="96">
      <c r="A96" s="171">
        <f t="array" ref="A96">XLOOKUP(C96,ICSE!A:A,ICSE!C:C,,2,1)</f>
        <v>2022</v>
      </c>
      <c r="B96" s="171" t="s">
        <v>5675</v>
      </c>
      <c r="C96" s="160">
        <v>86.0</v>
      </c>
      <c r="D96" s="161" t="s">
        <v>5769</v>
      </c>
      <c r="E96" s="197" t="str">
        <f t="array" ref="E96">XLOOKUP(C96,ICSE!A:A,ICSE!Z:Z,,0,1)</f>
        <v>Publicly available (3)</v>
      </c>
      <c r="F96" s="198" t="s">
        <v>20</v>
      </c>
      <c r="G96" s="163" t="str">
        <f t="array" ref="G96">IF(B96="ICSE",IF(COUNTIFS(B:B,B96,C:C,C96)=XLOOKUP(C96,ICSE!A:A,ICSE!AA:AA,"ERROR",0,1),"OK","ERROR"),IF(B96="FSE",IF(COUNTIFS(B:B,B96,C:C,C96)=XLOOKUP(C96,FSE!A:A,FSE!AA:AA,"ERROR",0,1),"OK","ERROR")))</f>
        <v>OK</v>
      </c>
      <c r="H96" s="199">
        <f t="shared" ref="H96:O96" si="480">countif($D96,"*"&amp;H$2&amp;"*")</f>
        <v>0</v>
      </c>
      <c r="I96" s="200">
        <f t="shared" si="480"/>
        <v>0</v>
      </c>
      <c r="J96" s="200">
        <f t="shared" si="480"/>
        <v>0</v>
      </c>
      <c r="K96" s="200">
        <f t="shared" si="480"/>
        <v>0</v>
      </c>
      <c r="L96" s="200">
        <f t="shared" si="480"/>
        <v>0</v>
      </c>
      <c r="M96" s="200">
        <f t="shared" si="480"/>
        <v>0</v>
      </c>
      <c r="N96" s="200">
        <f t="shared" si="480"/>
        <v>0</v>
      </c>
      <c r="O96" s="200">
        <f t="shared" si="480"/>
        <v>0</v>
      </c>
      <c r="P96" s="200">
        <f t="shared" si="9"/>
        <v>1</v>
      </c>
      <c r="Q96" s="200">
        <f t="shared" ref="Q96:AC96" si="481">countif($D96,"*"&amp;Q$2&amp;"*")</f>
        <v>0</v>
      </c>
      <c r="R96" s="200">
        <f t="shared" si="481"/>
        <v>0</v>
      </c>
      <c r="S96" s="200">
        <f t="shared" si="481"/>
        <v>0</v>
      </c>
      <c r="T96" s="200">
        <f t="shared" si="481"/>
        <v>0</v>
      </c>
      <c r="U96" s="200">
        <f t="shared" si="481"/>
        <v>0</v>
      </c>
      <c r="V96" s="200">
        <f t="shared" si="481"/>
        <v>0</v>
      </c>
      <c r="W96" s="200">
        <f t="shared" si="481"/>
        <v>0</v>
      </c>
      <c r="X96" s="200">
        <f t="shared" si="481"/>
        <v>0</v>
      </c>
      <c r="Y96" s="200">
        <f t="shared" si="481"/>
        <v>0</v>
      </c>
      <c r="Z96" s="200">
        <f t="shared" si="481"/>
        <v>0</v>
      </c>
      <c r="AA96" s="200">
        <f t="shared" si="481"/>
        <v>0</v>
      </c>
      <c r="AB96" s="200">
        <f t="shared" si="481"/>
        <v>0</v>
      </c>
      <c r="AC96" s="200">
        <f t="shared" si="481"/>
        <v>0</v>
      </c>
      <c r="AD96" s="200">
        <f t="shared" si="11"/>
        <v>0</v>
      </c>
      <c r="AE96" s="200">
        <f t="shared" ref="AE96:AG96" si="482">countif($D96,"*"&amp;AE$2&amp;"*")</f>
        <v>0</v>
      </c>
      <c r="AF96" s="200">
        <f t="shared" si="482"/>
        <v>0</v>
      </c>
      <c r="AG96" s="200">
        <f t="shared" si="482"/>
        <v>0</v>
      </c>
      <c r="AH96" s="171">
        <f t="shared" si="13"/>
        <v>0</v>
      </c>
      <c r="AI96" s="200">
        <f t="shared" si="14"/>
        <v>0</v>
      </c>
      <c r="AJ96" s="200">
        <f t="shared" si="137"/>
        <v>0</v>
      </c>
      <c r="AK96" s="201">
        <f t="shared" ref="AK96:AS96" si="483">countif($D96,"*"&amp;AK$2&amp;"*")</f>
        <v>0</v>
      </c>
      <c r="AL96" s="201">
        <f t="shared" si="483"/>
        <v>0</v>
      </c>
      <c r="AM96" s="201">
        <f t="shared" si="483"/>
        <v>0</v>
      </c>
      <c r="AN96" s="201">
        <f t="shared" si="483"/>
        <v>0</v>
      </c>
      <c r="AO96" s="201">
        <f t="shared" si="483"/>
        <v>0</v>
      </c>
      <c r="AP96" s="201">
        <f t="shared" si="483"/>
        <v>0</v>
      </c>
      <c r="AQ96" s="201">
        <f t="shared" si="483"/>
        <v>0</v>
      </c>
      <c r="AR96" s="200">
        <f t="shared" si="483"/>
        <v>0</v>
      </c>
      <c r="AS96" s="200">
        <f t="shared" si="483"/>
        <v>0</v>
      </c>
      <c r="AT96" s="173">
        <v>0.0</v>
      </c>
      <c r="AU96" s="200">
        <f t="shared" ref="AU96:AX96" si="484">countif($D96,"*"&amp;AU$2&amp;"*")</f>
        <v>0</v>
      </c>
      <c r="AV96" s="200">
        <f t="shared" si="484"/>
        <v>1</v>
      </c>
      <c r="AW96" s="200">
        <f t="shared" si="484"/>
        <v>0</v>
      </c>
      <c r="AX96" s="200">
        <f t="shared" si="484"/>
        <v>0</v>
      </c>
      <c r="AY96" s="202">
        <v>0.0</v>
      </c>
      <c r="AZ96" s="200"/>
      <c r="BA96" s="171" t="str">
        <f t="shared" si="18"/>
        <v/>
      </c>
      <c r="BB96" s="171" t="str">
        <f t="shared" si="19"/>
        <v>Code</v>
      </c>
      <c r="BC96" s="171" t="str">
        <f t="shared" si="20"/>
        <v/>
      </c>
      <c r="BD96" s="171" t="str">
        <f t="shared" si="21"/>
        <v/>
      </c>
      <c r="BE96" s="171" t="str">
        <f t="shared" si="22"/>
        <v/>
      </c>
      <c r="BF96" s="171" t="str">
        <f t="shared" si="23"/>
        <v>Code</v>
      </c>
    </row>
    <row r="97">
      <c r="A97" s="171">
        <f t="array" ref="A97">XLOOKUP(C97,ICSE!A:A,ICSE!C:C,,2,1)</f>
        <v>2022</v>
      </c>
      <c r="B97" s="171" t="s">
        <v>5675</v>
      </c>
      <c r="C97" s="203">
        <v>86.0</v>
      </c>
      <c r="D97" s="161" t="s">
        <v>5770</v>
      </c>
      <c r="E97" s="197" t="str">
        <f t="array" ref="E97">XLOOKUP(C97,ICSE!A:A,ICSE!Z:Z,,0,1)</f>
        <v>Publicly available (3)</v>
      </c>
      <c r="F97" s="198" t="s">
        <v>20</v>
      </c>
      <c r="G97" s="163" t="str">
        <f t="array" ref="G97">IF(B97="ICSE",IF(COUNTIFS(B:B,B97,C:C,C97)=XLOOKUP(C97,ICSE!A:A,ICSE!AA:AA,"ERROR",0,1),"OK","ERROR"),IF(B97="FSE",IF(COUNTIFS(B:B,B97,C:C,C97)=XLOOKUP(C97,FSE!A:A,FSE!AA:AA,"ERROR",0,1),"OK","ERROR")))</f>
        <v>OK</v>
      </c>
      <c r="H97" s="199">
        <f t="shared" ref="H97:O97" si="485">countif($D97,"*"&amp;H$2&amp;"*")</f>
        <v>1</v>
      </c>
      <c r="I97" s="200">
        <f t="shared" si="485"/>
        <v>0</v>
      </c>
      <c r="J97" s="200">
        <f t="shared" si="485"/>
        <v>0</v>
      </c>
      <c r="K97" s="200">
        <f t="shared" si="485"/>
        <v>0</v>
      </c>
      <c r="L97" s="200">
        <f t="shared" si="485"/>
        <v>0</v>
      </c>
      <c r="M97" s="200">
        <f t="shared" si="485"/>
        <v>0</v>
      </c>
      <c r="N97" s="200">
        <f t="shared" si="485"/>
        <v>0</v>
      </c>
      <c r="O97" s="200">
        <f t="shared" si="485"/>
        <v>0</v>
      </c>
      <c r="P97" s="200">
        <f t="shared" si="9"/>
        <v>0</v>
      </c>
      <c r="Q97" s="200">
        <f t="shared" ref="Q97:AC97" si="486">countif($D97,"*"&amp;Q$2&amp;"*")</f>
        <v>0</v>
      </c>
      <c r="R97" s="200">
        <f t="shared" si="486"/>
        <v>0</v>
      </c>
      <c r="S97" s="200">
        <f t="shared" si="486"/>
        <v>0</v>
      </c>
      <c r="T97" s="200">
        <f t="shared" si="486"/>
        <v>0</v>
      </c>
      <c r="U97" s="200">
        <f t="shared" si="486"/>
        <v>0</v>
      </c>
      <c r="V97" s="200">
        <f t="shared" si="486"/>
        <v>0</v>
      </c>
      <c r="W97" s="200">
        <f t="shared" si="486"/>
        <v>0</v>
      </c>
      <c r="X97" s="200">
        <f t="shared" si="486"/>
        <v>0</v>
      </c>
      <c r="Y97" s="200">
        <f t="shared" si="486"/>
        <v>0</v>
      </c>
      <c r="Z97" s="200">
        <f t="shared" si="486"/>
        <v>0</v>
      </c>
      <c r="AA97" s="200">
        <f t="shared" si="486"/>
        <v>0</v>
      </c>
      <c r="AB97" s="200">
        <f t="shared" si="486"/>
        <v>0</v>
      </c>
      <c r="AC97" s="200">
        <f t="shared" si="486"/>
        <v>0</v>
      </c>
      <c r="AD97" s="200">
        <f t="shared" si="11"/>
        <v>0</v>
      </c>
      <c r="AE97" s="200">
        <f t="shared" ref="AE97:AG97" si="487">countif($D97,"*"&amp;AE$2&amp;"*")</f>
        <v>0</v>
      </c>
      <c r="AF97" s="200">
        <f t="shared" si="487"/>
        <v>0</v>
      </c>
      <c r="AG97" s="200">
        <f t="shared" si="487"/>
        <v>0</v>
      </c>
      <c r="AH97" s="171">
        <f t="shared" si="13"/>
        <v>0</v>
      </c>
      <c r="AI97" s="200">
        <f t="shared" si="14"/>
        <v>1</v>
      </c>
      <c r="AJ97" s="200">
        <f t="shared" si="137"/>
        <v>0</v>
      </c>
      <c r="AK97" s="201">
        <f t="shared" ref="AK97:AS97" si="488">countif($D97,"*"&amp;AK$2&amp;"*")</f>
        <v>0</v>
      </c>
      <c r="AL97" s="201">
        <f t="shared" si="488"/>
        <v>0</v>
      </c>
      <c r="AM97" s="201">
        <f t="shared" si="488"/>
        <v>0</v>
      </c>
      <c r="AN97" s="201">
        <f t="shared" si="488"/>
        <v>0</v>
      </c>
      <c r="AO97" s="201">
        <f t="shared" si="488"/>
        <v>0</v>
      </c>
      <c r="AP97" s="201">
        <f t="shared" si="488"/>
        <v>0</v>
      </c>
      <c r="AQ97" s="201">
        <f t="shared" si="488"/>
        <v>0</v>
      </c>
      <c r="AR97" s="200">
        <f t="shared" si="488"/>
        <v>0</v>
      </c>
      <c r="AS97" s="200">
        <f t="shared" si="488"/>
        <v>0</v>
      </c>
      <c r="AT97" s="173">
        <v>0.0</v>
      </c>
      <c r="AU97" s="200">
        <f t="shared" ref="AU97:AX97" si="489">countif($D97,"*"&amp;AU$2&amp;"*")</f>
        <v>0</v>
      </c>
      <c r="AV97" s="200">
        <f t="shared" si="489"/>
        <v>0</v>
      </c>
      <c r="AW97" s="200">
        <f t="shared" si="489"/>
        <v>0</v>
      </c>
      <c r="AX97" s="200">
        <f t="shared" si="489"/>
        <v>0</v>
      </c>
      <c r="AY97" s="204">
        <v>1.0</v>
      </c>
      <c r="AZ97" s="200"/>
      <c r="BA97" s="171" t="str">
        <f t="shared" si="18"/>
        <v>Archival</v>
      </c>
      <c r="BB97" s="171" t="str">
        <f t="shared" si="19"/>
        <v/>
      </c>
      <c r="BC97" s="171" t="str">
        <f t="shared" si="20"/>
        <v/>
      </c>
      <c r="BD97" s="171" t="str">
        <f t="shared" si="21"/>
        <v/>
      </c>
      <c r="BE97" s="171" t="str">
        <f t="shared" si="22"/>
        <v/>
      </c>
      <c r="BF97" s="171" t="str">
        <f t="shared" si="23"/>
        <v>Archival</v>
      </c>
    </row>
    <row r="98">
      <c r="A98" s="171">
        <f t="array" ref="A98">XLOOKUP(C98,ICSE!A:A,ICSE!C:C,,2,1)</f>
        <v>2022</v>
      </c>
      <c r="B98" s="171" t="s">
        <v>5675</v>
      </c>
      <c r="C98" s="203">
        <v>86.0</v>
      </c>
      <c r="D98" s="161" t="s">
        <v>5771</v>
      </c>
      <c r="E98" s="197" t="str">
        <f t="array" ref="E98">XLOOKUP(C98,ICSE!A:A,ICSE!Z:Z,,0,1)</f>
        <v>Publicly available (3)</v>
      </c>
      <c r="F98" s="198" t="s">
        <v>20</v>
      </c>
      <c r="G98" s="163" t="str">
        <f t="array" ref="G98">IF(B98="ICSE",IF(COUNTIFS(B:B,B98,C:C,C98)=XLOOKUP(C98,ICSE!A:A,ICSE!AA:AA,"ERROR",0,1),"OK","ERROR"),IF(B98="FSE",IF(COUNTIFS(B:B,B98,C:C,C98)=XLOOKUP(C98,FSE!A:A,FSE!AA:AA,"ERROR",0,1),"OK","ERROR")))</f>
        <v>OK</v>
      </c>
      <c r="H98" s="199">
        <f t="shared" ref="H98:O98" si="490">countif($D98,"*"&amp;H$2&amp;"*")</f>
        <v>0</v>
      </c>
      <c r="I98" s="200">
        <f t="shared" si="490"/>
        <v>0</v>
      </c>
      <c r="J98" s="200">
        <f t="shared" si="490"/>
        <v>0</v>
      </c>
      <c r="K98" s="200">
        <f t="shared" si="490"/>
        <v>0</v>
      </c>
      <c r="L98" s="200">
        <f t="shared" si="490"/>
        <v>0</v>
      </c>
      <c r="M98" s="200">
        <f t="shared" si="490"/>
        <v>0</v>
      </c>
      <c r="N98" s="200">
        <f t="shared" si="490"/>
        <v>0</v>
      </c>
      <c r="O98" s="200">
        <f t="shared" si="490"/>
        <v>0</v>
      </c>
      <c r="P98" s="200">
        <f t="shared" si="9"/>
        <v>1</v>
      </c>
      <c r="Q98" s="200">
        <f t="shared" ref="Q98:AC98" si="491">countif($D98,"*"&amp;Q$2&amp;"*")</f>
        <v>0</v>
      </c>
      <c r="R98" s="200">
        <f t="shared" si="491"/>
        <v>0</v>
      </c>
      <c r="S98" s="200">
        <f t="shared" si="491"/>
        <v>0</v>
      </c>
      <c r="T98" s="200">
        <f t="shared" si="491"/>
        <v>0</v>
      </c>
      <c r="U98" s="200">
        <f t="shared" si="491"/>
        <v>0</v>
      </c>
      <c r="V98" s="200">
        <f t="shared" si="491"/>
        <v>0</v>
      </c>
      <c r="W98" s="200">
        <f t="shared" si="491"/>
        <v>0</v>
      </c>
      <c r="X98" s="200">
        <f t="shared" si="491"/>
        <v>0</v>
      </c>
      <c r="Y98" s="200">
        <f t="shared" si="491"/>
        <v>0</v>
      </c>
      <c r="Z98" s="200">
        <f t="shared" si="491"/>
        <v>0</v>
      </c>
      <c r="AA98" s="200">
        <f t="shared" si="491"/>
        <v>0</v>
      </c>
      <c r="AB98" s="200">
        <f t="shared" si="491"/>
        <v>0</v>
      </c>
      <c r="AC98" s="200">
        <f t="shared" si="491"/>
        <v>0</v>
      </c>
      <c r="AD98" s="200">
        <f t="shared" si="11"/>
        <v>0</v>
      </c>
      <c r="AE98" s="200">
        <f t="shared" ref="AE98:AG98" si="492">countif($D98,"*"&amp;AE$2&amp;"*")</f>
        <v>0</v>
      </c>
      <c r="AF98" s="200">
        <f t="shared" si="492"/>
        <v>0</v>
      </c>
      <c r="AG98" s="200">
        <f t="shared" si="492"/>
        <v>0</v>
      </c>
      <c r="AH98" s="171">
        <f t="shared" si="13"/>
        <v>0</v>
      </c>
      <c r="AI98" s="200">
        <f t="shared" si="14"/>
        <v>0</v>
      </c>
      <c r="AJ98" s="200">
        <f t="shared" si="137"/>
        <v>0</v>
      </c>
      <c r="AK98" s="201">
        <f t="shared" ref="AK98:AS98" si="493">countif($D98,"*"&amp;AK$2&amp;"*")</f>
        <v>0</v>
      </c>
      <c r="AL98" s="201">
        <f t="shared" si="493"/>
        <v>0</v>
      </c>
      <c r="AM98" s="201">
        <f t="shared" si="493"/>
        <v>0</v>
      </c>
      <c r="AN98" s="201">
        <f t="shared" si="493"/>
        <v>0</v>
      </c>
      <c r="AO98" s="201">
        <f t="shared" si="493"/>
        <v>0</v>
      </c>
      <c r="AP98" s="201">
        <f t="shared" si="493"/>
        <v>0</v>
      </c>
      <c r="AQ98" s="201">
        <f t="shared" si="493"/>
        <v>0</v>
      </c>
      <c r="AR98" s="200">
        <f t="shared" si="493"/>
        <v>0</v>
      </c>
      <c r="AS98" s="200">
        <f t="shared" si="493"/>
        <v>0</v>
      </c>
      <c r="AT98" s="173">
        <v>0.0</v>
      </c>
      <c r="AU98" s="200">
        <f t="shared" ref="AU98:AX98" si="494">countif($D98,"*"&amp;AU$2&amp;"*")</f>
        <v>0</v>
      </c>
      <c r="AV98" s="200">
        <f t="shared" si="494"/>
        <v>1</v>
      </c>
      <c r="AW98" s="200">
        <f t="shared" si="494"/>
        <v>0</v>
      </c>
      <c r="AX98" s="200">
        <f t="shared" si="494"/>
        <v>0</v>
      </c>
      <c r="AY98" s="202">
        <v>0.0</v>
      </c>
      <c r="AZ98" s="200"/>
      <c r="BA98" s="171" t="str">
        <f t="shared" si="18"/>
        <v/>
      </c>
      <c r="BB98" s="171" t="str">
        <f t="shared" si="19"/>
        <v>Code</v>
      </c>
      <c r="BC98" s="171" t="str">
        <f t="shared" si="20"/>
        <v/>
      </c>
      <c r="BD98" s="171" t="str">
        <f t="shared" si="21"/>
        <v/>
      </c>
      <c r="BE98" s="171" t="str">
        <f t="shared" si="22"/>
        <v/>
      </c>
      <c r="BF98" s="171" t="str">
        <f t="shared" si="23"/>
        <v>Code</v>
      </c>
    </row>
    <row r="99">
      <c r="A99" s="171">
        <f t="array" ref="A99">XLOOKUP(C99,ICSE!A:A,ICSE!C:C,,2,1)</f>
        <v>2022</v>
      </c>
      <c r="B99" s="171" t="s">
        <v>5675</v>
      </c>
      <c r="C99" s="160">
        <v>87.0</v>
      </c>
      <c r="D99" s="161" t="s">
        <v>5772</v>
      </c>
      <c r="E99" s="197" t="str">
        <f t="array" ref="E99">XLOOKUP(C99,ICSE!A:A,ICSE!Z:Z,,0,1)</f>
        <v>Publicly available (2)</v>
      </c>
      <c r="F99" s="198" t="s">
        <v>20</v>
      </c>
      <c r="G99" s="163" t="str">
        <f t="array" ref="G99">IF(B99="ICSE",IF(COUNTIFS(B:B,B99,C:C,C99)=XLOOKUP(C99,ICSE!A:A,ICSE!AA:AA,"ERROR",0,1),"OK","ERROR"),IF(B99="FSE",IF(COUNTIFS(B:B,B99,C:C,C99)=XLOOKUP(C99,FSE!A:A,FSE!AA:AA,"ERROR",0,1),"OK","ERROR")))</f>
        <v>OK</v>
      </c>
      <c r="H99" s="199">
        <f t="shared" ref="H99:O99" si="495">countif($D99,"*"&amp;H$2&amp;"*")</f>
        <v>0</v>
      </c>
      <c r="I99" s="200">
        <f t="shared" si="495"/>
        <v>0</v>
      </c>
      <c r="J99" s="200">
        <f t="shared" si="495"/>
        <v>0</v>
      </c>
      <c r="K99" s="200">
        <f t="shared" si="495"/>
        <v>0</v>
      </c>
      <c r="L99" s="200">
        <f t="shared" si="495"/>
        <v>0</v>
      </c>
      <c r="M99" s="200">
        <f t="shared" si="495"/>
        <v>0</v>
      </c>
      <c r="N99" s="200">
        <f t="shared" si="495"/>
        <v>0</v>
      </c>
      <c r="O99" s="200">
        <f t="shared" si="495"/>
        <v>0</v>
      </c>
      <c r="P99" s="200">
        <f t="shared" si="9"/>
        <v>1</v>
      </c>
      <c r="Q99" s="200">
        <f t="shared" ref="Q99:AC99" si="496">countif($D99,"*"&amp;Q$2&amp;"*")</f>
        <v>0</v>
      </c>
      <c r="R99" s="200">
        <f t="shared" si="496"/>
        <v>0</v>
      </c>
      <c r="S99" s="200">
        <f t="shared" si="496"/>
        <v>0</v>
      </c>
      <c r="T99" s="200">
        <f t="shared" si="496"/>
        <v>0</v>
      </c>
      <c r="U99" s="200">
        <f t="shared" si="496"/>
        <v>0</v>
      </c>
      <c r="V99" s="200">
        <f t="shared" si="496"/>
        <v>0</v>
      </c>
      <c r="W99" s="200">
        <f t="shared" si="496"/>
        <v>0</v>
      </c>
      <c r="X99" s="200">
        <f t="shared" si="496"/>
        <v>0</v>
      </c>
      <c r="Y99" s="200">
        <f t="shared" si="496"/>
        <v>0</v>
      </c>
      <c r="Z99" s="200">
        <f t="shared" si="496"/>
        <v>0</v>
      </c>
      <c r="AA99" s="200">
        <f t="shared" si="496"/>
        <v>0</v>
      </c>
      <c r="AB99" s="200">
        <f t="shared" si="496"/>
        <v>0</v>
      </c>
      <c r="AC99" s="200">
        <f t="shared" si="496"/>
        <v>0</v>
      </c>
      <c r="AD99" s="200">
        <f t="shared" si="11"/>
        <v>0</v>
      </c>
      <c r="AE99" s="200">
        <f t="shared" ref="AE99:AG99" si="497">countif($D99,"*"&amp;AE$2&amp;"*")</f>
        <v>0</v>
      </c>
      <c r="AF99" s="200">
        <f t="shared" si="497"/>
        <v>0</v>
      </c>
      <c r="AG99" s="200">
        <f t="shared" si="497"/>
        <v>0</v>
      </c>
      <c r="AH99" s="171">
        <f t="shared" si="13"/>
        <v>0</v>
      </c>
      <c r="AI99" s="200">
        <f t="shared" si="14"/>
        <v>0</v>
      </c>
      <c r="AJ99" s="200">
        <f t="shared" si="137"/>
        <v>0</v>
      </c>
      <c r="AK99" s="201">
        <f t="shared" ref="AK99:AS99" si="498">countif($D99,"*"&amp;AK$2&amp;"*")</f>
        <v>0</v>
      </c>
      <c r="AL99" s="201">
        <f t="shared" si="498"/>
        <v>0</v>
      </c>
      <c r="AM99" s="201">
        <f t="shared" si="498"/>
        <v>0</v>
      </c>
      <c r="AN99" s="201">
        <f t="shared" si="498"/>
        <v>0</v>
      </c>
      <c r="AO99" s="201">
        <f t="shared" si="498"/>
        <v>0</v>
      </c>
      <c r="AP99" s="201">
        <f t="shared" si="498"/>
        <v>0</v>
      </c>
      <c r="AQ99" s="201">
        <f t="shared" si="498"/>
        <v>0</v>
      </c>
      <c r="AR99" s="200">
        <f t="shared" si="498"/>
        <v>0</v>
      </c>
      <c r="AS99" s="200">
        <f t="shared" si="498"/>
        <v>0</v>
      </c>
      <c r="AT99" s="173">
        <v>0.0</v>
      </c>
      <c r="AU99" s="200">
        <f t="shared" ref="AU99:AX99" si="499">countif($D99,"*"&amp;AU$2&amp;"*")</f>
        <v>0</v>
      </c>
      <c r="AV99" s="200">
        <f t="shared" si="499"/>
        <v>1</v>
      </c>
      <c r="AW99" s="200">
        <f t="shared" si="499"/>
        <v>0</v>
      </c>
      <c r="AX99" s="200">
        <f t="shared" si="499"/>
        <v>0</v>
      </c>
      <c r="AY99" s="202">
        <v>0.0</v>
      </c>
      <c r="AZ99" s="200"/>
      <c r="BA99" s="171" t="str">
        <f t="shared" si="18"/>
        <v/>
      </c>
      <c r="BB99" s="171" t="str">
        <f t="shared" si="19"/>
        <v>Code</v>
      </c>
      <c r="BC99" s="171" t="str">
        <f t="shared" si="20"/>
        <v/>
      </c>
      <c r="BD99" s="171" t="str">
        <f t="shared" si="21"/>
        <v/>
      </c>
      <c r="BE99" s="171" t="str">
        <f t="shared" si="22"/>
        <v/>
      </c>
      <c r="BF99" s="171" t="str">
        <f t="shared" si="23"/>
        <v>Code</v>
      </c>
    </row>
    <row r="100">
      <c r="A100" s="171">
        <f t="array" ref="A100">XLOOKUP(C100,ICSE!A:A,ICSE!C:C,,2,1)</f>
        <v>2022</v>
      </c>
      <c r="B100" s="171" t="s">
        <v>5675</v>
      </c>
      <c r="C100" s="203">
        <v>87.0</v>
      </c>
      <c r="D100" s="161" t="s">
        <v>5773</v>
      </c>
      <c r="E100" s="197" t="str">
        <f t="array" ref="E100">XLOOKUP(C100,ICSE!A:A,ICSE!Z:Z,,0,1)</f>
        <v>Publicly available (2)</v>
      </c>
      <c r="F100" s="198" t="s">
        <v>20</v>
      </c>
      <c r="G100" s="163" t="str">
        <f t="array" ref="G100">IF(B100="ICSE",IF(COUNTIFS(B:B,B100,C:C,C100)=XLOOKUP(C100,ICSE!A:A,ICSE!AA:AA,"ERROR",0,1),"OK","ERROR"),IF(B100="FSE",IF(COUNTIFS(B:B,B100,C:C,C100)=XLOOKUP(C100,FSE!A:A,FSE!AA:AA,"ERROR",0,1),"OK","ERROR")))</f>
        <v>OK</v>
      </c>
      <c r="H100" s="199">
        <f t="shared" ref="H100:O100" si="500">countif($D100,"*"&amp;H$2&amp;"*")</f>
        <v>0</v>
      </c>
      <c r="I100" s="200">
        <f t="shared" si="500"/>
        <v>0</v>
      </c>
      <c r="J100" s="200">
        <f t="shared" si="500"/>
        <v>0</v>
      </c>
      <c r="K100" s="200">
        <f t="shared" si="500"/>
        <v>0</v>
      </c>
      <c r="L100" s="200">
        <f t="shared" si="500"/>
        <v>0</v>
      </c>
      <c r="M100" s="200">
        <f t="shared" si="500"/>
        <v>0</v>
      </c>
      <c r="N100" s="200">
        <f t="shared" si="500"/>
        <v>0</v>
      </c>
      <c r="O100" s="200">
        <f t="shared" si="500"/>
        <v>0</v>
      </c>
      <c r="P100" s="200">
        <f t="shared" si="9"/>
        <v>0</v>
      </c>
      <c r="Q100" s="200">
        <f t="shared" ref="Q100:AC100" si="501">countif($D100,"*"&amp;Q$2&amp;"*")</f>
        <v>0</v>
      </c>
      <c r="R100" s="200">
        <f t="shared" si="501"/>
        <v>0</v>
      </c>
      <c r="S100" s="200">
        <f t="shared" si="501"/>
        <v>0</v>
      </c>
      <c r="T100" s="200">
        <f t="shared" si="501"/>
        <v>0</v>
      </c>
      <c r="U100" s="200">
        <f t="shared" si="501"/>
        <v>0</v>
      </c>
      <c r="V100" s="200">
        <f t="shared" si="501"/>
        <v>0</v>
      </c>
      <c r="W100" s="200">
        <f t="shared" si="501"/>
        <v>0</v>
      </c>
      <c r="X100" s="200">
        <f t="shared" si="501"/>
        <v>0</v>
      </c>
      <c r="Y100" s="200">
        <f t="shared" si="501"/>
        <v>0</v>
      </c>
      <c r="Z100" s="200">
        <f t="shared" si="501"/>
        <v>0</v>
      </c>
      <c r="AA100" s="200">
        <f t="shared" si="501"/>
        <v>1</v>
      </c>
      <c r="AB100" s="200">
        <f t="shared" si="501"/>
        <v>0</v>
      </c>
      <c r="AC100" s="200">
        <f t="shared" si="501"/>
        <v>0</v>
      </c>
      <c r="AD100" s="200">
        <f t="shared" si="11"/>
        <v>0</v>
      </c>
      <c r="AE100" s="200">
        <f t="shared" ref="AE100:AG100" si="502">countif($D100,"*"&amp;AE$2&amp;"*")</f>
        <v>0</v>
      </c>
      <c r="AF100" s="200">
        <f t="shared" si="502"/>
        <v>0</v>
      </c>
      <c r="AG100" s="200">
        <f t="shared" si="502"/>
        <v>0</v>
      </c>
      <c r="AH100" s="171">
        <f t="shared" si="13"/>
        <v>0</v>
      </c>
      <c r="AI100" s="200">
        <f t="shared" si="14"/>
        <v>0</v>
      </c>
      <c r="AJ100" s="200">
        <f t="shared" si="137"/>
        <v>0</v>
      </c>
      <c r="AK100" s="201">
        <f t="shared" ref="AK100:AS100" si="503">countif($D100,"*"&amp;AK$2&amp;"*")</f>
        <v>0</v>
      </c>
      <c r="AL100" s="201">
        <f t="shared" si="503"/>
        <v>0</v>
      </c>
      <c r="AM100" s="201">
        <f t="shared" si="503"/>
        <v>0</v>
      </c>
      <c r="AN100" s="201">
        <f t="shared" si="503"/>
        <v>0</v>
      </c>
      <c r="AO100" s="201">
        <f t="shared" si="503"/>
        <v>0</v>
      </c>
      <c r="AP100" s="201">
        <f t="shared" si="503"/>
        <v>0</v>
      </c>
      <c r="AQ100" s="201">
        <f t="shared" si="503"/>
        <v>0</v>
      </c>
      <c r="AR100" s="200">
        <f t="shared" si="503"/>
        <v>0</v>
      </c>
      <c r="AS100" s="200">
        <f t="shared" si="503"/>
        <v>0</v>
      </c>
      <c r="AT100" s="173">
        <v>0.0</v>
      </c>
      <c r="AU100" s="200">
        <f t="shared" ref="AU100:AX100" si="504">countif($D100,"*"&amp;AU$2&amp;"*")</f>
        <v>0</v>
      </c>
      <c r="AV100" s="200">
        <f t="shared" si="504"/>
        <v>0</v>
      </c>
      <c r="AW100" s="200">
        <f t="shared" si="504"/>
        <v>0</v>
      </c>
      <c r="AX100" s="200">
        <f t="shared" si="504"/>
        <v>0</v>
      </c>
      <c r="AY100" s="202">
        <v>0.0</v>
      </c>
      <c r="AZ100" s="200"/>
      <c r="BA100" s="171" t="str">
        <f t="shared" si="18"/>
        <v/>
      </c>
      <c r="BB100" s="171" t="str">
        <f t="shared" si="19"/>
        <v/>
      </c>
      <c r="BC100" s="171" t="str">
        <f t="shared" si="20"/>
        <v>General-purpose</v>
      </c>
      <c r="BD100" s="171" t="str">
        <f t="shared" si="21"/>
        <v/>
      </c>
      <c r="BE100" s="171" t="str">
        <f t="shared" si="22"/>
        <v/>
      </c>
      <c r="BF100" s="171" t="str">
        <f t="shared" si="23"/>
        <v>General-purpose</v>
      </c>
    </row>
    <row r="101">
      <c r="A101" s="171">
        <f t="array" ref="A101">XLOOKUP(C101,ICSE!A:A,ICSE!C:C,,2,1)</f>
        <v>2022</v>
      </c>
      <c r="B101" s="171" t="s">
        <v>5675</v>
      </c>
      <c r="C101" s="160">
        <v>88.0</v>
      </c>
      <c r="D101" s="161" t="s">
        <v>5774</v>
      </c>
      <c r="E101" s="197" t="str">
        <f t="array" ref="E101">XLOOKUP(C101,ICSE!A:A,ICSE!Z:Z,,0,1)</f>
        <v>Publicly available (2)</v>
      </c>
      <c r="F101" s="198" t="s">
        <v>20</v>
      </c>
      <c r="G101" s="163" t="str">
        <f t="array" ref="G101">IF(B101="ICSE",IF(COUNTIFS(B:B,B101,C:C,C101)=XLOOKUP(C101,ICSE!A:A,ICSE!AA:AA,"ERROR",0,1),"OK","ERROR"),IF(B101="FSE",IF(COUNTIFS(B:B,B101,C:C,C101)=XLOOKUP(C101,FSE!A:A,FSE!AA:AA,"ERROR",0,1),"OK","ERROR")))</f>
        <v>OK</v>
      </c>
      <c r="H101" s="199">
        <f t="shared" ref="H101:O101" si="505">countif($D101,"*"&amp;H$2&amp;"*")</f>
        <v>0</v>
      </c>
      <c r="I101" s="200">
        <f t="shared" si="505"/>
        <v>0</v>
      </c>
      <c r="J101" s="200">
        <f t="shared" si="505"/>
        <v>0</v>
      </c>
      <c r="K101" s="200">
        <f t="shared" si="505"/>
        <v>0</v>
      </c>
      <c r="L101" s="200">
        <f t="shared" si="505"/>
        <v>0</v>
      </c>
      <c r="M101" s="200">
        <f t="shared" si="505"/>
        <v>0</v>
      </c>
      <c r="N101" s="200">
        <f t="shared" si="505"/>
        <v>0</v>
      </c>
      <c r="O101" s="200">
        <f t="shared" si="505"/>
        <v>0</v>
      </c>
      <c r="P101" s="200">
        <f t="shared" si="9"/>
        <v>1</v>
      </c>
      <c r="Q101" s="200">
        <f t="shared" ref="Q101:AC101" si="506">countif($D101,"*"&amp;Q$2&amp;"*")</f>
        <v>0</v>
      </c>
      <c r="R101" s="200">
        <f t="shared" si="506"/>
        <v>0</v>
      </c>
      <c r="S101" s="200">
        <f t="shared" si="506"/>
        <v>0</v>
      </c>
      <c r="T101" s="200">
        <f t="shared" si="506"/>
        <v>0</v>
      </c>
      <c r="U101" s="200">
        <f t="shared" si="506"/>
        <v>0</v>
      </c>
      <c r="V101" s="200">
        <f t="shared" si="506"/>
        <v>0</v>
      </c>
      <c r="W101" s="200">
        <f t="shared" si="506"/>
        <v>0</v>
      </c>
      <c r="X101" s="200">
        <f t="shared" si="506"/>
        <v>0</v>
      </c>
      <c r="Y101" s="200">
        <f t="shared" si="506"/>
        <v>0</v>
      </c>
      <c r="Z101" s="200">
        <f t="shared" si="506"/>
        <v>0</v>
      </c>
      <c r="AA101" s="200">
        <f t="shared" si="506"/>
        <v>0</v>
      </c>
      <c r="AB101" s="200">
        <f t="shared" si="506"/>
        <v>0</v>
      </c>
      <c r="AC101" s="200">
        <f t="shared" si="506"/>
        <v>0</v>
      </c>
      <c r="AD101" s="200">
        <f t="shared" si="11"/>
        <v>0</v>
      </c>
      <c r="AE101" s="200">
        <f t="shared" ref="AE101:AG101" si="507">countif($D101,"*"&amp;AE$2&amp;"*")</f>
        <v>0</v>
      </c>
      <c r="AF101" s="200">
        <f t="shared" si="507"/>
        <v>0</v>
      </c>
      <c r="AG101" s="200">
        <f t="shared" si="507"/>
        <v>0</v>
      </c>
      <c r="AH101" s="171">
        <f t="shared" si="13"/>
        <v>0</v>
      </c>
      <c r="AI101" s="200">
        <f t="shared" si="14"/>
        <v>0</v>
      </c>
      <c r="AJ101" s="200">
        <f t="shared" si="137"/>
        <v>0</v>
      </c>
      <c r="AK101" s="201">
        <f t="shared" ref="AK101:AS101" si="508">countif($D101,"*"&amp;AK$2&amp;"*")</f>
        <v>0</v>
      </c>
      <c r="AL101" s="201">
        <f t="shared" si="508"/>
        <v>0</v>
      </c>
      <c r="AM101" s="201">
        <f t="shared" si="508"/>
        <v>0</v>
      </c>
      <c r="AN101" s="201">
        <f t="shared" si="508"/>
        <v>0</v>
      </c>
      <c r="AO101" s="201">
        <f t="shared" si="508"/>
        <v>0</v>
      </c>
      <c r="AP101" s="201">
        <f t="shared" si="508"/>
        <v>0</v>
      </c>
      <c r="AQ101" s="201">
        <f t="shared" si="508"/>
        <v>0</v>
      </c>
      <c r="AR101" s="200">
        <f t="shared" si="508"/>
        <v>0</v>
      </c>
      <c r="AS101" s="200">
        <f t="shared" si="508"/>
        <v>0</v>
      </c>
      <c r="AT101" s="173">
        <v>0.0</v>
      </c>
      <c r="AU101" s="200">
        <f t="shared" ref="AU101:AX101" si="509">countif($D101,"*"&amp;AU$2&amp;"*")</f>
        <v>0</v>
      </c>
      <c r="AV101" s="200">
        <f t="shared" si="509"/>
        <v>1</v>
      </c>
      <c r="AW101" s="200">
        <f t="shared" si="509"/>
        <v>0</v>
      </c>
      <c r="AX101" s="200">
        <f t="shared" si="509"/>
        <v>0</v>
      </c>
      <c r="AY101" s="202">
        <v>0.0</v>
      </c>
      <c r="AZ101" s="200"/>
      <c r="BA101" s="171" t="str">
        <f t="shared" si="18"/>
        <v/>
      </c>
      <c r="BB101" s="171" t="str">
        <f t="shared" si="19"/>
        <v>Code</v>
      </c>
      <c r="BC101" s="171" t="str">
        <f t="shared" si="20"/>
        <v/>
      </c>
      <c r="BD101" s="171" t="str">
        <f t="shared" si="21"/>
        <v/>
      </c>
      <c r="BE101" s="171" t="str">
        <f t="shared" si="22"/>
        <v/>
      </c>
      <c r="BF101" s="171" t="str">
        <f t="shared" si="23"/>
        <v>Code</v>
      </c>
    </row>
    <row r="102">
      <c r="A102" s="171">
        <f t="array" ref="A102">XLOOKUP(C102,ICSE!A:A,ICSE!C:C,,2,1)</f>
        <v>2022</v>
      </c>
      <c r="B102" s="171" t="s">
        <v>5675</v>
      </c>
      <c r="C102" s="203">
        <v>88.0</v>
      </c>
      <c r="D102" s="161" t="s">
        <v>5775</v>
      </c>
      <c r="E102" s="197" t="str">
        <f t="array" ref="E102">XLOOKUP(C102,ICSE!A:A,ICSE!Z:Z,,0,1)</f>
        <v>Publicly available (2)</v>
      </c>
      <c r="F102" s="198" t="s">
        <v>20</v>
      </c>
      <c r="G102" s="163" t="str">
        <f t="array" ref="G102">IF(B102="ICSE",IF(COUNTIFS(B:B,B102,C:C,C102)=XLOOKUP(C102,ICSE!A:A,ICSE!AA:AA,"ERROR",0,1),"OK","ERROR"),IF(B102="FSE",IF(COUNTIFS(B:B,B102,C:C,C102)=XLOOKUP(C102,FSE!A:A,FSE!AA:AA,"ERROR",0,1),"OK","ERROR")))</f>
        <v>OK</v>
      </c>
      <c r="H102" s="199">
        <f t="shared" ref="H102:O102" si="510">countif($D102,"*"&amp;H$2&amp;"*")</f>
        <v>1</v>
      </c>
      <c r="I102" s="200">
        <f t="shared" si="510"/>
        <v>0</v>
      </c>
      <c r="J102" s="200">
        <f t="shared" si="510"/>
        <v>0</v>
      </c>
      <c r="K102" s="200">
        <f t="shared" si="510"/>
        <v>0</v>
      </c>
      <c r="L102" s="200">
        <f t="shared" si="510"/>
        <v>0</v>
      </c>
      <c r="M102" s="200">
        <f t="shared" si="510"/>
        <v>0</v>
      </c>
      <c r="N102" s="200">
        <f t="shared" si="510"/>
        <v>0</v>
      </c>
      <c r="O102" s="200">
        <f t="shared" si="510"/>
        <v>0</v>
      </c>
      <c r="P102" s="200">
        <f t="shared" si="9"/>
        <v>0</v>
      </c>
      <c r="Q102" s="200">
        <f t="shared" ref="Q102:AC102" si="511">countif($D102,"*"&amp;Q$2&amp;"*")</f>
        <v>0</v>
      </c>
      <c r="R102" s="200">
        <f t="shared" si="511"/>
        <v>0</v>
      </c>
      <c r="S102" s="200">
        <f t="shared" si="511"/>
        <v>0</v>
      </c>
      <c r="T102" s="200">
        <f t="shared" si="511"/>
        <v>0</v>
      </c>
      <c r="U102" s="200">
        <f t="shared" si="511"/>
        <v>0</v>
      </c>
      <c r="V102" s="200">
        <f t="shared" si="511"/>
        <v>0</v>
      </c>
      <c r="W102" s="200">
        <f t="shared" si="511"/>
        <v>0</v>
      </c>
      <c r="X102" s="200">
        <f t="shared" si="511"/>
        <v>0</v>
      </c>
      <c r="Y102" s="200">
        <f t="shared" si="511"/>
        <v>0</v>
      </c>
      <c r="Z102" s="200">
        <f t="shared" si="511"/>
        <v>0</v>
      </c>
      <c r="AA102" s="200">
        <f t="shared" si="511"/>
        <v>0</v>
      </c>
      <c r="AB102" s="200">
        <f t="shared" si="511"/>
        <v>0</v>
      </c>
      <c r="AC102" s="200">
        <f t="shared" si="511"/>
        <v>0</v>
      </c>
      <c r="AD102" s="200">
        <f t="shared" si="11"/>
        <v>0</v>
      </c>
      <c r="AE102" s="200">
        <f t="shared" ref="AE102:AG102" si="512">countif($D102,"*"&amp;AE$2&amp;"*")</f>
        <v>0</v>
      </c>
      <c r="AF102" s="200">
        <f t="shared" si="512"/>
        <v>0</v>
      </c>
      <c r="AG102" s="200">
        <f t="shared" si="512"/>
        <v>0</v>
      </c>
      <c r="AH102" s="171">
        <f t="shared" si="13"/>
        <v>0</v>
      </c>
      <c r="AI102" s="200">
        <f t="shared" si="14"/>
        <v>1</v>
      </c>
      <c r="AJ102" s="200">
        <f t="shared" si="137"/>
        <v>0</v>
      </c>
      <c r="AK102" s="201">
        <f t="shared" ref="AK102:AS102" si="513">countif($D102,"*"&amp;AK$2&amp;"*")</f>
        <v>0</v>
      </c>
      <c r="AL102" s="201">
        <f t="shared" si="513"/>
        <v>0</v>
      </c>
      <c r="AM102" s="201">
        <f t="shared" si="513"/>
        <v>0</v>
      </c>
      <c r="AN102" s="201">
        <f t="shared" si="513"/>
        <v>0</v>
      </c>
      <c r="AO102" s="201">
        <f t="shared" si="513"/>
        <v>0</v>
      </c>
      <c r="AP102" s="201">
        <f t="shared" si="513"/>
        <v>0</v>
      </c>
      <c r="AQ102" s="201">
        <f t="shared" si="513"/>
        <v>0</v>
      </c>
      <c r="AR102" s="200">
        <f t="shared" si="513"/>
        <v>0</v>
      </c>
      <c r="AS102" s="200">
        <f t="shared" si="513"/>
        <v>0</v>
      </c>
      <c r="AT102" s="173">
        <v>0.0</v>
      </c>
      <c r="AU102" s="200">
        <f t="shared" ref="AU102:AX102" si="514">countif($D102,"*"&amp;AU$2&amp;"*")</f>
        <v>0</v>
      </c>
      <c r="AV102" s="200">
        <f t="shared" si="514"/>
        <v>0</v>
      </c>
      <c r="AW102" s="200">
        <f t="shared" si="514"/>
        <v>0</v>
      </c>
      <c r="AX102" s="200">
        <f t="shared" si="514"/>
        <v>1</v>
      </c>
      <c r="AY102" s="202">
        <v>0.0</v>
      </c>
      <c r="AZ102" s="200"/>
      <c r="BA102" s="171" t="str">
        <f t="shared" si="18"/>
        <v>Archival</v>
      </c>
      <c r="BB102" s="171" t="str">
        <f t="shared" si="19"/>
        <v/>
      </c>
      <c r="BC102" s="171" t="str">
        <f t="shared" si="20"/>
        <v/>
      </c>
      <c r="BD102" s="171" t="str">
        <f t="shared" si="21"/>
        <v/>
      </c>
      <c r="BE102" s="171" t="str">
        <f t="shared" si="22"/>
        <v/>
      </c>
      <c r="BF102" s="171" t="str">
        <f t="shared" si="23"/>
        <v>Archival</v>
      </c>
    </row>
    <row r="103">
      <c r="A103" s="171">
        <f t="array" ref="A103">XLOOKUP(C103,ICSE!A:A,ICSE!C:C,,2,1)</f>
        <v>2022</v>
      </c>
      <c r="B103" s="171" t="s">
        <v>5675</v>
      </c>
      <c r="C103" s="160">
        <v>89.0</v>
      </c>
      <c r="D103" s="161" t="s">
        <v>2501</v>
      </c>
      <c r="E103" s="197" t="str">
        <f t="array" ref="E103">XLOOKUP(C103,ICSE!A:A,ICSE!Z:Z,,0,1)</f>
        <v>Publicly available (1)</v>
      </c>
      <c r="F103" s="198" t="s">
        <v>20</v>
      </c>
      <c r="G103" s="163" t="str">
        <f t="array" ref="G103">IF(B103="ICSE",IF(COUNTIFS(B:B,B103,C:C,C103)=XLOOKUP(C103,ICSE!A:A,ICSE!AA:AA,"ERROR",0,1),"OK","ERROR"),IF(B103="FSE",IF(COUNTIFS(B:B,B103,C:C,C103)=XLOOKUP(C103,FSE!A:A,FSE!AA:AA,"ERROR",0,1),"OK","ERROR")))</f>
        <v>OK</v>
      </c>
      <c r="H103" s="199">
        <f t="shared" ref="H103:O103" si="515">countif($D103,"*"&amp;H$2&amp;"*")</f>
        <v>0</v>
      </c>
      <c r="I103" s="200">
        <f t="shared" si="515"/>
        <v>0</v>
      </c>
      <c r="J103" s="200">
        <f t="shared" si="515"/>
        <v>0</v>
      </c>
      <c r="K103" s="200">
        <f t="shared" si="515"/>
        <v>0</v>
      </c>
      <c r="L103" s="200">
        <f t="shared" si="515"/>
        <v>0</v>
      </c>
      <c r="M103" s="200">
        <f t="shared" si="515"/>
        <v>0</v>
      </c>
      <c r="N103" s="200">
        <f t="shared" si="515"/>
        <v>0</v>
      </c>
      <c r="O103" s="200">
        <f t="shared" si="515"/>
        <v>0</v>
      </c>
      <c r="P103" s="200">
        <f t="shared" si="9"/>
        <v>1</v>
      </c>
      <c r="Q103" s="200">
        <f t="shared" ref="Q103:AC103" si="516">countif($D103,"*"&amp;Q$2&amp;"*")</f>
        <v>0</v>
      </c>
      <c r="R103" s="200">
        <f t="shared" si="516"/>
        <v>0</v>
      </c>
      <c r="S103" s="200">
        <f t="shared" si="516"/>
        <v>0</v>
      </c>
      <c r="T103" s="200">
        <f t="shared" si="516"/>
        <v>0</v>
      </c>
      <c r="U103" s="200">
        <f t="shared" si="516"/>
        <v>0</v>
      </c>
      <c r="V103" s="200">
        <f t="shared" si="516"/>
        <v>0</v>
      </c>
      <c r="W103" s="200">
        <f t="shared" si="516"/>
        <v>0</v>
      </c>
      <c r="X103" s="200">
        <f t="shared" si="516"/>
        <v>0</v>
      </c>
      <c r="Y103" s="200">
        <f t="shared" si="516"/>
        <v>0</v>
      </c>
      <c r="Z103" s="200">
        <f t="shared" si="516"/>
        <v>0</v>
      </c>
      <c r="AA103" s="200">
        <f t="shared" si="516"/>
        <v>0</v>
      </c>
      <c r="AB103" s="200">
        <f t="shared" si="516"/>
        <v>0</v>
      </c>
      <c r="AC103" s="200">
        <f t="shared" si="516"/>
        <v>0</v>
      </c>
      <c r="AD103" s="200">
        <f t="shared" si="11"/>
        <v>0</v>
      </c>
      <c r="AE103" s="200">
        <f t="shared" ref="AE103:AG103" si="517">countif($D103,"*"&amp;AE$2&amp;"*")</f>
        <v>0</v>
      </c>
      <c r="AF103" s="200">
        <f t="shared" si="517"/>
        <v>0</v>
      </c>
      <c r="AG103" s="200">
        <f t="shared" si="517"/>
        <v>0</v>
      </c>
      <c r="AH103" s="171">
        <f t="shared" si="13"/>
        <v>0</v>
      </c>
      <c r="AI103" s="200">
        <f t="shared" si="14"/>
        <v>0</v>
      </c>
      <c r="AJ103" s="200">
        <f t="shared" si="137"/>
        <v>0</v>
      </c>
      <c r="AK103" s="201">
        <f t="shared" ref="AK103:AS103" si="518">countif($D103,"*"&amp;AK$2&amp;"*")</f>
        <v>0</v>
      </c>
      <c r="AL103" s="201">
        <f t="shared" si="518"/>
        <v>0</v>
      </c>
      <c r="AM103" s="201">
        <f t="shared" si="518"/>
        <v>0</v>
      </c>
      <c r="AN103" s="201">
        <f t="shared" si="518"/>
        <v>0</v>
      </c>
      <c r="AO103" s="201">
        <f t="shared" si="518"/>
        <v>0</v>
      </c>
      <c r="AP103" s="201">
        <f t="shared" si="518"/>
        <v>0</v>
      </c>
      <c r="AQ103" s="201">
        <f t="shared" si="518"/>
        <v>0</v>
      </c>
      <c r="AR103" s="200">
        <f t="shared" si="518"/>
        <v>0</v>
      </c>
      <c r="AS103" s="200">
        <f t="shared" si="518"/>
        <v>0</v>
      </c>
      <c r="AT103" s="173">
        <v>0.0</v>
      </c>
      <c r="AU103" s="200">
        <f t="shared" ref="AU103:AX103" si="519">countif($D103,"*"&amp;AU$2&amp;"*")</f>
        <v>0</v>
      </c>
      <c r="AV103" s="200">
        <f t="shared" si="519"/>
        <v>1</v>
      </c>
      <c r="AW103" s="200">
        <f t="shared" si="519"/>
        <v>0</v>
      </c>
      <c r="AX103" s="200">
        <f t="shared" si="519"/>
        <v>0</v>
      </c>
      <c r="AY103" s="202">
        <v>0.0</v>
      </c>
      <c r="AZ103" s="200"/>
      <c r="BA103" s="171" t="str">
        <f t="shared" si="18"/>
        <v/>
      </c>
      <c r="BB103" s="171" t="str">
        <f t="shared" si="19"/>
        <v>Code</v>
      </c>
      <c r="BC103" s="171" t="str">
        <f t="shared" si="20"/>
        <v/>
      </c>
      <c r="BD103" s="171" t="str">
        <f t="shared" si="21"/>
        <v/>
      </c>
      <c r="BE103" s="171" t="str">
        <f t="shared" si="22"/>
        <v/>
      </c>
      <c r="BF103" s="171" t="str">
        <f t="shared" si="23"/>
        <v>Code</v>
      </c>
    </row>
    <row r="104">
      <c r="A104" s="171">
        <f t="array" ref="A104">XLOOKUP(C104,ICSE!A:A,ICSE!C:C,,2,1)</f>
        <v>2022</v>
      </c>
      <c r="B104" s="171" t="s">
        <v>5675</v>
      </c>
      <c r="C104" s="160">
        <v>90.0</v>
      </c>
      <c r="D104" s="161" t="s">
        <v>5776</v>
      </c>
      <c r="E104" s="197" t="str">
        <f t="array" ref="E104">XLOOKUP(C104,ICSE!A:A,ICSE!Z:Z,,0,1)</f>
        <v>Publicly available (2)</v>
      </c>
      <c r="F104" s="198" t="s">
        <v>20</v>
      </c>
      <c r="G104" s="163" t="str">
        <f t="array" ref="G104">IF(B104="ICSE",IF(COUNTIFS(B:B,B104,C:C,C104)=XLOOKUP(C104,ICSE!A:A,ICSE!AA:AA,"ERROR",0,1),"OK","ERROR"),IF(B104="FSE",IF(COUNTIFS(B:B,B104,C:C,C104)=XLOOKUP(C104,FSE!A:A,FSE!AA:AA,"ERROR",0,1),"OK","ERROR")))</f>
        <v>OK</v>
      </c>
      <c r="H104" s="199">
        <f t="shared" ref="H104:O104" si="520">countif($D104,"*"&amp;H$2&amp;"*")</f>
        <v>0</v>
      </c>
      <c r="I104" s="200">
        <f t="shared" si="520"/>
        <v>0</v>
      </c>
      <c r="J104" s="200">
        <f t="shared" si="520"/>
        <v>0</v>
      </c>
      <c r="K104" s="200">
        <f t="shared" si="520"/>
        <v>0</v>
      </c>
      <c r="L104" s="200">
        <f t="shared" si="520"/>
        <v>0</v>
      </c>
      <c r="M104" s="200">
        <f t="shared" si="520"/>
        <v>0</v>
      </c>
      <c r="N104" s="200">
        <f t="shared" si="520"/>
        <v>0</v>
      </c>
      <c r="O104" s="200">
        <f t="shared" si="520"/>
        <v>0</v>
      </c>
      <c r="P104" s="200">
        <f t="shared" si="9"/>
        <v>1</v>
      </c>
      <c r="Q104" s="200">
        <f t="shared" ref="Q104:AC104" si="521">countif($D104,"*"&amp;Q$2&amp;"*")</f>
        <v>0</v>
      </c>
      <c r="R104" s="200">
        <f t="shared" si="521"/>
        <v>0</v>
      </c>
      <c r="S104" s="200">
        <f t="shared" si="521"/>
        <v>0</v>
      </c>
      <c r="T104" s="200">
        <f t="shared" si="521"/>
        <v>0</v>
      </c>
      <c r="U104" s="200">
        <f t="shared" si="521"/>
        <v>0</v>
      </c>
      <c r="V104" s="200">
        <f t="shared" si="521"/>
        <v>0</v>
      </c>
      <c r="W104" s="200">
        <f t="shared" si="521"/>
        <v>0</v>
      </c>
      <c r="X104" s="200">
        <f t="shared" si="521"/>
        <v>0</v>
      </c>
      <c r="Y104" s="200">
        <f t="shared" si="521"/>
        <v>0</v>
      </c>
      <c r="Z104" s="200">
        <f t="shared" si="521"/>
        <v>0</v>
      </c>
      <c r="AA104" s="200">
        <f t="shared" si="521"/>
        <v>0</v>
      </c>
      <c r="AB104" s="200">
        <f t="shared" si="521"/>
        <v>0</v>
      </c>
      <c r="AC104" s="200">
        <f t="shared" si="521"/>
        <v>0</v>
      </c>
      <c r="AD104" s="200">
        <f t="shared" si="11"/>
        <v>0</v>
      </c>
      <c r="AE104" s="200">
        <f t="shared" ref="AE104:AG104" si="522">countif($D104,"*"&amp;AE$2&amp;"*")</f>
        <v>0</v>
      </c>
      <c r="AF104" s="200">
        <f t="shared" si="522"/>
        <v>0</v>
      </c>
      <c r="AG104" s="200">
        <f t="shared" si="522"/>
        <v>0</v>
      </c>
      <c r="AH104" s="171">
        <f t="shared" si="13"/>
        <v>0</v>
      </c>
      <c r="AI104" s="200">
        <f t="shared" si="14"/>
        <v>0</v>
      </c>
      <c r="AJ104" s="200">
        <f t="shared" si="137"/>
        <v>0</v>
      </c>
      <c r="AK104" s="201">
        <f t="shared" ref="AK104:AS104" si="523">countif($D104,"*"&amp;AK$2&amp;"*")</f>
        <v>0</v>
      </c>
      <c r="AL104" s="201">
        <f t="shared" si="523"/>
        <v>0</v>
      </c>
      <c r="AM104" s="201">
        <f t="shared" si="523"/>
        <v>0</v>
      </c>
      <c r="AN104" s="201">
        <f t="shared" si="523"/>
        <v>0</v>
      </c>
      <c r="AO104" s="201">
        <f t="shared" si="523"/>
        <v>0</v>
      </c>
      <c r="AP104" s="201">
        <f t="shared" si="523"/>
        <v>0</v>
      </c>
      <c r="AQ104" s="201">
        <f t="shared" si="523"/>
        <v>0</v>
      </c>
      <c r="AR104" s="200">
        <f t="shared" si="523"/>
        <v>0</v>
      </c>
      <c r="AS104" s="200">
        <f t="shared" si="523"/>
        <v>0</v>
      </c>
      <c r="AT104" s="173">
        <v>0.0</v>
      </c>
      <c r="AU104" s="200">
        <f t="shared" ref="AU104:AX104" si="524">countif($D104,"*"&amp;AU$2&amp;"*")</f>
        <v>0</v>
      </c>
      <c r="AV104" s="200">
        <f t="shared" si="524"/>
        <v>1</v>
      </c>
      <c r="AW104" s="200">
        <f t="shared" si="524"/>
        <v>0</v>
      </c>
      <c r="AX104" s="200">
        <f t="shared" si="524"/>
        <v>0</v>
      </c>
      <c r="AY104" s="202">
        <v>0.0</v>
      </c>
      <c r="AZ104" s="200"/>
      <c r="BA104" s="171" t="str">
        <f t="shared" si="18"/>
        <v/>
      </c>
      <c r="BB104" s="171" t="str">
        <f t="shared" si="19"/>
        <v>Code</v>
      </c>
      <c r="BC104" s="171" t="str">
        <f t="shared" si="20"/>
        <v/>
      </c>
      <c r="BD104" s="171" t="str">
        <f t="shared" si="21"/>
        <v/>
      </c>
      <c r="BE104" s="171" t="str">
        <f t="shared" si="22"/>
        <v/>
      </c>
      <c r="BF104" s="171" t="str">
        <f t="shared" si="23"/>
        <v>Code</v>
      </c>
    </row>
    <row r="105">
      <c r="A105" s="171">
        <f t="array" ref="A105">XLOOKUP(C105,ICSE!A:A,ICSE!C:C,,2,1)</f>
        <v>2022</v>
      </c>
      <c r="B105" s="171" t="s">
        <v>5675</v>
      </c>
      <c r="C105" s="203">
        <v>90.0</v>
      </c>
      <c r="D105" s="161" t="s">
        <v>5777</v>
      </c>
      <c r="E105" s="197" t="str">
        <f t="array" ref="E105">XLOOKUP(C105,ICSE!A:A,ICSE!Z:Z,,0,1)</f>
        <v>Publicly available (2)</v>
      </c>
      <c r="F105" s="198" t="s">
        <v>20</v>
      </c>
      <c r="G105" s="163" t="str">
        <f t="array" ref="G105">IF(B105="ICSE",IF(COUNTIFS(B:B,B105,C:C,C105)=XLOOKUP(C105,ICSE!A:A,ICSE!AA:AA,"ERROR",0,1),"OK","ERROR"),IF(B105="FSE",IF(COUNTIFS(B:B,B105,C:C,C105)=XLOOKUP(C105,FSE!A:A,FSE!AA:AA,"ERROR",0,1),"OK","ERROR")))</f>
        <v>OK</v>
      </c>
      <c r="H105" s="199">
        <f t="shared" ref="H105:O105" si="525">countif($D105,"*"&amp;H$2&amp;"*")</f>
        <v>1</v>
      </c>
      <c r="I105" s="200">
        <f t="shared" si="525"/>
        <v>0</v>
      </c>
      <c r="J105" s="200">
        <f t="shared" si="525"/>
        <v>0</v>
      </c>
      <c r="K105" s="200">
        <f t="shared" si="525"/>
        <v>0</v>
      </c>
      <c r="L105" s="200">
        <f t="shared" si="525"/>
        <v>0</v>
      </c>
      <c r="M105" s="200">
        <f t="shared" si="525"/>
        <v>0</v>
      </c>
      <c r="N105" s="200">
        <f t="shared" si="525"/>
        <v>0</v>
      </c>
      <c r="O105" s="200">
        <f t="shared" si="525"/>
        <v>0</v>
      </c>
      <c r="P105" s="200">
        <f t="shared" si="9"/>
        <v>0</v>
      </c>
      <c r="Q105" s="200">
        <f t="shared" ref="Q105:AC105" si="526">countif($D105,"*"&amp;Q$2&amp;"*")</f>
        <v>0</v>
      </c>
      <c r="R105" s="200">
        <f t="shared" si="526"/>
        <v>0</v>
      </c>
      <c r="S105" s="200">
        <f t="shared" si="526"/>
        <v>0</v>
      </c>
      <c r="T105" s="200">
        <f t="shared" si="526"/>
        <v>0</v>
      </c>
      <c r="U105" s="200">
        <f t="shared" si="526"/>
        <v>0</v>
      </c>
      <c r="V105" s="200">
        <f t="shared" si="526"/>
        <v>0</v>
      </c>
      <c r="W105" s="200">
        <f t="shared" si="526"/>
        <v>0</v>
      </c>
      <c r="X105" s="200">
        <f t="shared" si="526"/>
        <v>0</v>
      </c>
      <c r="Y105" s="200">
        <f t="shared" si="526"/>
        <v>0</v>
      </c>
      <c r="Z105" s="200">
        <f t="shared" si="526"/>
        <v>0</v>
      </c>
      <c r="AA105" s="200">
        <f t="shared" si="526"/>
        <v>0</v>
      </c>
      <c r="AB105" s="200">
        <f t="shared" si="526"/>
        <v>0</v>
      </c>
      <c r="AC105" s="200">
        <f t="shared" si="526"/>
        <v>0</v>
      </c>
      <c r="AD105" s="200">
        <f t="shared" si="11"/>
        <v>0</v>
      </c>
      <c r="AE105" s="200">
        <f t="shared" ref="AE105:AG105" si="527">countif($D105,"*"&amp;AE$2&amp;"*")</f>
        <v>0</v>
      </c>
      <c r="AF105" s="200">
        <f t="shared" si="527"/>
        <v>0</v>
      </c>
      <c r="AG105" s="200">
        <f t="shared" si="527"/>
        <v>0</v>
      </c>
      <c r="AH105" s="171">
        <f t="shared" si="13"/>
        <v>0</v>
      </c>
      <c r="AI105" s="200">
        <f t="shared" si="14"/>
        <v>1</v>
      </c>
      <c r="AJ105" s="200">
        <f t="shared" si="137"/>
        <v>0</v>
      </c>
      <c r="AK105" s="201">
        <f t="shared" ref="AK105:AS105" si="528">countif($D105,"*"&amp;AK$2&amp;"*")</f>
        <v>0</v>
      </c>
      <c r="AL105" s="201">
        <f t="shared" si="528"/>
        <v>0</v>
      </c>
      <c r="AM105" s="201">
        <f t="shared" si="528"/>
        <v>0</v>
      </c>
      <c r="AN105" s="201">
        <f t="shared" si="528"/>
        <v>0</v>
      </c>
      <c r="AO105" s="201">
        <f t="shared" si="528"/>
        <v>0</v>
      </c>
      <c r="AP105" s="201">
        <f t="shared" si="528"/>
        <v>0</v>
      </c>
      <c r="AQ105" s="201">
        <f t="shared" si="528"/>
        <v>0</v>
      </c>
      <c r="AR105" s="200">
        <f t="shared" si="528"/>
        <v>0</v>
      </c>
      <c r="AS105" s="200">
        <f t="shared" si="528"/>
        <v>0</v>
      </c>
      <c r="AT105" s="173">
        <v>0.0</v>
      </c>
      <c r="AU105" s="200">
        <f t="shared" ref="AU105:AX105" si="529">countif($D105,"*"&amp;AU$2&amp;"*")</f>
        <v>0</v>
      </c>
      <c r="AV105" s="200">
        <f t="shared" si="529"/>
        <v>0</v>
      </c>
      <c r="AW105" s="200">
        <f t="shared" si="529"/>
        <v>0</v>
      </c>
      <c r="AX105" s="200">
        <f t="shared" si="529"/>
        <v>1</v>
      </c>
      <c r="AY105" s="202">
        <v>0.0</v>
      </c>
      <c r="AZ105" s="200"/>
      <c r="BA105" s="171" t="str">
        <f t="shared" si="18"/>
        <v>Archival</v>
      </c>
      <c r="BB105" s="171" t="str">
        <f t="shared" si="19"/>
        <v/>
      </c>
      <c r="BC105" s="171" t="str">
        <f t="shared" si="20"/>
        <v/>
      </c>
      <c r="BD105" s="171" t="str">
        <f t="shared" si="21"/>
        <v/>
      </c>
      <c r="BE105" s="171" t="str">
        <f t="shared" si="22"/>
        <v/>
      </c>
      <c r="BF105" s="171" t="str">
        <f t="shared" si="23"/>
        <v>Archival</v>
      </c>
    </row>
    <row r="106">
      <c r="A106" s="171">
        <f t="array" ref="A106">XLOOKUP(C106,ICSE!A:A,ICSE!C:C,,2,1)</f>
        <v>2022</v>
      </c>
      <c r="B106" s="171" t="s">
        <v>5675</v>
      </c>
      <c r="C106" s="160">
        <v>91.0</v>
      </c>
      <c r="D106" s="161" t="s">
        <v>2508</v>
      </c>
      <c r="E106" s="197" t="str">
        <f t="array" ref="E106">XLOOKUP(C106,ICSE!A:A,ICSE!Z:Z,,0,1)</f>
        <v>Publicly available (1)</v>
      </c>
      <c r="F106" s="198" t="s">
        <v>20</v>
      </c>
      <c r="G106" s="163" t="str">
        <f t="array" ref="G106">IF(B106="ICSE",IF(COUNTIFS(B:B,B106,C:C,C106)=XLOOKUP(C106,ICSE!A:A,ICSE!AA:AA,"ERROR",0,1),"OK","ERROR"),IF(B106="FSE",IF(COUNTIFS(B:B,B106,C:C,C106)=XLOOKUP(C106,FSE!A:A,FSE!AA:AA,"ERROR",0,1),"OK","ERROR")))</f>
        <v>OK</v>
      </c>
      <c r="H106" s="199">
        <f t="shared" ref="H106:O106" si="530">countif($D106,"*"&amp;H$2&amp;"*")</f>
        <v>0</v>
      </c>
      <c r="I106" s="200">
        <f t="shared" si="530"/>
        <v>1</v>
      </c>
      <c r="J106" s="200">
        <f t="shared" si="530"/>
        <v>0</v>
      </c>
      <c r="K106" s="200">
        <f t="shared" si="530"/>
        <v>0</v>
      </c>
      <c r="L106" s="200">
        <f t="shared" si="530"/>
        <v>0</v>
      </c>
      <c r="M106" s="200">
        <f t="shared" si="530"/>
        <v>0</v>
      </c>
      <c r="N106" s="200">
        <f t="shared" si="530"/>
        <v>0</v>
      </c>
      <c r="O106" s="200">
        <f t="shared" si="530"/>
        <v>0</v>
      </c>
      <c r="P106" s="200">
        <f t="shared" si="9"/>
        <v>0</v>
      </c>
      <c r="Q106" s="200">
        <f t="shared" ref="Q106:AC106" si="531">countif($D106,"*"&amp;Q$2&amp;"*")</f>
        <v>0</v>
      </c>
      <c r="R106" s="200">
        <f t="shared" si="531"/>
        <v>0</v>
      </c>
      <c r="S106" s="200">
        <f t="shared" si="531"/>
        <v>0</v>
      </c>
      <c r="T106" s="200">
        <f t="shared" si="531"/>
        <v>0</v>
      </c>
      <c r="U106" s="200">
        <f t="shared" si="531"/>
        <v>0</v>
      </c>
      <c r="V106" s="200">
        <f t="shared" si="531"/>
        <v>0</v>
      </c>
      <c r="W106" s="200">
        <f t="shared" si="531"/>
        <v>0</v>
      </c>
      <c r="X106" s="200">
        <f t="shared" si="531"/>
        <v>0</v>
      </c>
      <c r="Y106" s="200">
        <f t="shared" si="531"/>
        <v>0</v>
      </c>
      <c r="Z106" s="200">
        <f t="shared" si="531"/>
        <v>0</v>
      </c>
      <c r="AA106" s="200">
        <f t="shared" si="531"/>
        <v>0</v>
      </c>
      <c r="AB106" s="200">
        <f t="shared" si="531"/>
        <v>0</v>
      </c>
      <c r="AC106" s="200">
        <f t="shared" si="531"/>
        <v>0</v>
      </c>
      <c r="AD106" s="200">
        <f t="shared" si="11"/>
        <v>0</v>
      </c>
      <c r="AE106" s="200">
        <f t="shared" ref="AE106:AG106" si="532">countif($D106,"*"&amp;AE$2&amp;"*")</f>
        <v>0</v>
      </c>
      <c r="AF106" s="200">
        <f t="shared" si="532"/>
        <v>0</v>
      </c>
      <c r="AG106" s="200">
        <f t="shared" si="532"/>
        <v>0</v>
      </c>
      <c r="AH106" s="171">
        <f t="shared" si="13"/>
        <v>0</v>
      </c>
      <c r="AI106" s="200">
        <f t="shared" si="14"/>
        <v>1</v>
      </c>
      <c r="AJ106" s="200">
        <f t="shared" si="137"/>
        <v>0</v>
      </c>
      <c r="AK106" s="201">
        <f t="shared" ref="AK106:AS106" si="533">countif($D106,"*"&amp;AK$2&amp;"*")</f>
        <v>0</v>
      </c>
      <c r="AL106" s="201">
        <f t="shared" si="533"/>
        <v>0</v>
      </c>
      <c r="AM106" s="201">
        <f t="shared" si="533"/>
        <v>0</v>
      </c>
      <c r="AN106" s="201">
        <f t="shared" si="533"/>
        <v>0</v>
      </c>
      <c r="AO106" s="201">
        <f t="shared" si="533"/>
        <v>0</v>
      </c>
      <c r="AP106" s="201">
        <f t="shared" si="533"/>
        <v>0</v>
      </c>
      <c r="AQ106" s="201">
        <f t="shared" si="533"/>
        <v>0</v>
      </c>
      <c r="AR106" s="200">
        <f t="shared" si="533"/>
        <v>0</v>
      </c>
      <c r="AS106" s="200">
        <f t="shared" si="533"/>
        <v>0</v>
      </c>
      <c r="AT106" s="173">
        <v>0.0</v>
      </c>
      <c r="AU106" s="200">
        <f t="shared" ref="AU106:AX106" si="534">countif($D106,"*"&amp;AU$2&amp;"*")</f>
        <v>0</v>
      </c>
      <c r="AV106" s="200">
        <f t="shared" si="534"/>
        <v>0</v>
      </c>
      <c r="AW106" s="200">
        <f t="shared" si="534"/>
        <v>0</v>
      </c>
      <c r="AX106" s="200">
        <f t="shared" si="534"/>
        <v>1</v>
      </c>
      <c r="AY106" s="202">
        <v>0.0</v>
      </c>
      <c r="AZ106" s="200"/>
      <c r="BA106" s="171" t="str">
        <f t="shared" si="18"/>
        <v>Archival</v>
      </c>
      <c r="BB106" s="171" t="str">
        <f t="shared" si="19"/>
        <v/>
      </c>
      <c r="BC106" s="171" t="str">
        <f t="shared" si="20"/>
        <v/>
      </c>
      <c r="BD106" s="171" t="str">
        <f t="shared" si="21"/>
        <v/>
      </c>
      <c r="BE106" s="171" t="str">
        <f t="shared" si="22"/>
        <v/>
      </c>
      <c r="BF106" s="171" t="str">
        <f t="shared" si="23"/>
        <v>Archival</v>
      </c>
    </row>
    <row r="107">
      <c r="A107" s="171">
        <f t="array" ref="A107">XLOOKUP(C107,ICSE!A:A,ICSE!C:C,,2,1)</f>
        <v>2022</v>
      </c>
      <c r="B107" s="171" t="s">
        <v>5675</v>
      </c>
      <c r="C107" s="160">
        <v>92.0</v>
      </c>
      <c r="D107" s="161" t="s">
        <v>2511</v>
      </c>
      <c r="E107" s="197" t="str">
        <f t="array" ref="E107">XLOOKUP(C107,ICSE!A:A,ICSE!Z:Z,,0,1)</f>
        <v>Publicly available (1)</v>
      </c>
      <c r="F107" s="198" t="s">
        <v>20</v>
      </c>
      <c r="G107" s="163" t="str">
        <f t="array" ref="G107">IF(B107="ICSE",IF(COUNTIFS(B:B,B107,C:C,C107)=XLOOKUP(C107,ICSE!A:A,ICSE!AA:AA,"ERROR",0,1),"OK","ERROR"),IF(B107="FSE",IF(COUNTIFS(B:B,B107,C:C,C107)=XLOOKUP(C107,FSE!A:A,FSE!AA:AA,"ERROR",0,1),"OK","ERROR")))</f>
        <v>OK</v>
      </c>
      <c r="H107" s="199">
        <f t="shared" ref="H107:O107" si="535">countif($D107,"*"&amp;H$2&amp;"*")</f>
        <v>0</v>
      </c>
      <c r="I107" s="200">
        <f t="shared" si="535"/>
        <v>0</v>
      </c>
      <c r="J107" s="200">
        <f t="shared" si="535"/>
        <v>0</v>
      </c>
      <c r="K107" s="200">
        <f t="shared" si="535"/>
        <v>0</v>
      </c>
      <c r="L107" s="200">
        <f t="shared" si="535"/>
        <v>0</v>
      </c>
      <c r="M107" s="200">
        <f t="shared" si="535"/>
        <v>0</v>
      </c>
      <c r="N107" s="200">
        <f t="shared" si="535"/>
        <v>0</v>
      </c>
      <c r="O107" s="200">
        <f t="shared" si="535"/>
        <v>0</v>
      </c>
      <c r="P107" s="200">
        <f t="shared" si="9"/>
        <v>1</v>
      </c>
      <c r="Q107" s="200">
        <f t="shared" ref="Q107:AC107" si="536">countif($D107,"*"&amp;Q$2&amp;"*")</f>
        <v>0</v>
      </c>
      <c r="R107" s="200">
        <f t="shared" si="536"/>
        <v>0</v>
      </c>
      <c r="S107" s="200">
        <f t="shared" si="536"/>
        <v>0</v>
      </c>
      <c r="T107" s="200">
        <f t="shared" si="536"/>
        <v>0</v>
      </c>
      <c r="U107" s="200">
        <f t="shared" si="536"/>
        <v>0</v>
      </c>
      <c r="V107" s="200">
        <f t="shared" si="536"/>
        <v>0</v>
      </c>
      <c r="W107" s="200">
        <f t="shared" si="536"/>
        <v>0</v>
      </c>
      <c r="X107" s="200">
        <f t="shared" si="536"/>
        <v>0</v>
      </c>
      <c r="Y107" s="200">
        <f t="shared" si="536"/>
        <v>0</v>
      </c>
      <c r="Z107" s="200">
        <f t="shared" si="536"/>
        <v>0</v>
      </c>
      <c r="AA107" s="200">
        <f t="shared" si="536"/>
        <v>0</v>
      </c>
      <c r="AB107" s="200">
        <f t="shared" si="536"/>
        <v>0</v>
      </c>
      <c r="AC107" s="200">
        <f t="shared" si="536"/>
        <v>0</v>
      </c>
      <c r="AD107" s="200">
        <f t="shared" si="11"/>
        <v>0</v>
      </c>
      <c r="AE107" s="200">
        <f t="shared" ref="AE107:AG107" si="537">countif($D107,"*"&amp;AE$2&amp;"*")</f>
        <v>0</v>
      </c>
      <c r="AF107" s="200">
        <f t="shared" si="537"/>
        <v>0</v>
      </c>
      <c r="AG107" s="200">
        <f t="shared" si="537"/>
        <v>0</v>
      </c>
      <c r="AH107" s="171">
        <f t="shared" si="13"/>
        <v>0</v>
      </c>
      <c r="AI107" s="200">
        <f t="shared" si="14"/>
        <v>0</v>
      </c>
      <c r="AJ107" s="200">
        <f t="shared" si="137"/>
        <v>0</v>
      </c>
      <c r="AK107" s="201">
        <f t="shared" ref="AK107:AS107" si="538">countif($D107,"*"&amp;AK$2&amp;"*")</f>
        <v>0</v>
      </c>
      <c r="AL107" s="201">
        <f t="shared" si="538"/>
        <v>0</v>
      </c>
      <c r="AM107" s="201">
        <f t="shared" si="538"/>
        <v>0</v>
      </c>
      <c r="AN107" s="201">
        <f t="shared" si="538"/>
        <v>0</v>
      </c>
      <c r="AO107" s="201">
        <f t="shared" si="538"/>
        <v>0</v>
      </c>
      <c r="AP107" s="201">
        <f t="shared" si="538"/>
        <v>0</v>
      </c>
      <c r="AQ107" s="201">
        <f t="shared" si="538"/>
        <v>0</v>
      </c>
      <c r="AR107" s="200">
        <f t="shared" si="538"/>
        <v>0</v>
      </c>
      <c r="AS107" s="200">
        <f t="shared" si="538"/>
        <v>0</v>
      </c>
      <c r="AT107" s="173">
        <v>0.0</v>
      </c>
      <c r="AU107" s="200">
        <f t="shared" ref="AU107:AX107" si="539">countif($D107,"*"&amp;AU$2&amp;"*")</f>
        <v>0</v>
      </c>
      <c r="AV107" s="200">
        <f t="shared" si="539"/>
        <v>1</v>
      </c>
      <c r="AW107" s="200">
        <f t="shared" si="539"/>
        <v>0</v>
      </c>
      <c r="AX107" s="200">
        <f t="shared" si="539"/>
        <v>0</v>
      </c>
      <c r="AY107" s="202">
        <v>0.0</v>
      </c>
      <c r="AZ107" s="200"/>
      <c r="BA107" s="171" t="str">
        <f t="shared" si="18"/>
        <v/>
      </c>
      <c r="BB107" s="171" t="str">
        <f t="shared" si="19"/>
        <v>Code</v>
      </c>
      <c r="BC107" s="171" t="str">
        <f t="shared" si="20"/>
        <v/>
      </c>
      <c r="BD107" s="171" t="str">
        <f t="shared" si="21"/>
        <v/>
      </c>
      <c r="BE107" s="171" t="str">
        <f t="shared" si="22"/>
        <v/>
      </c>
      <c r="BF107" s="171" t="str">
        <f t="shared" si="23"/>
        <v>Code</v>
      </c>
    </row>
    <row r="108">
      <c r="A108" s="171">
        <f t="array" ref="A108">XLOOKUP(C108,ICSE!A:A,ICSE!C:C,,2,1)</f>
        <v>2022</v>
      </c>
      <c r="B108" s="171" t="s">
        <v>5675</v>
      </c>
      <c r="C108" s="160">
        <v>94.0</v>
      </c>
      <c r="D108" s="161" t="s">
        <v>2515</v>
      </c>
      <c r="E108" s="197" t="str">
        <f t="array" ref="E108">XLOOKUP(C108,ICSE!A:A,ICSE!Z:Z,,0,1)</f>
        <v>Publicly available (1)</v>
      </c>
      <c r="F108" s="198" t="s">
        <v>20</v>
      </c>
      <c r="G108" s="163" t="str">
        <f t="array" ref="G108">IF(B108="ICSE",IF(COUNTIFS(B:B,B108,C:C,C108)=XLOOKUP(C108,ICSE!A:A,ICSE!AA:AA,"ERROR",0,1),"OK","ERROR"),IF(B108="FSE",IF(COUNTIFS(B:B,B108,C:C,C108)=XLOOKUP(C108,FSE!A:A,FSE!AA:AA,"ERROR",0,1),"OK","ERROR")))</f>
        <v>OK</v>
      </c>
      <c r="H108" s="199">
        <f t="shared" ref="H108:O108" si="540">countif($D108,"*"&amp;H$2&amp;"*")</f>
        <v>0</v>
      </c>
      <c r="I108" s="200">
        <f t="shared" si="540"/>
        <v>0</v>
      </c>
      <c r="J108" s="200">
        <f t="shared" si="540"/>
        <v>0</v>
      </c>
      <c r="K108" s="200">
        <f t="shared" si="540"/>
        <v>0</v>
      </c>
      <c r="L108" s="200">
        <f t="shared" si="540"/>
        <v>0</v>
      </c>
      <c r="M108" s="200">
        <f t="shared" si="540"/>
        <v>0</v>
      </c>
      <c r="N108" s="200">
        <f t="shared" si="540"/>
        <v>0</v>
      </c>
      <c r="O108" s="200">
        <f t="shared" si="540"/>
        <v>0</v>
      </c>
      <c r="P108" s="200">
        <f t="shared" si="9"/>
        <v>1</v>
      </c>
      <c r="Q108" s="200">
        <f t="shared" ref="Q108:AC108" si="541">countif($D108,"*"&amp;Q$2&amp;"*")</f>
        <v>0</v>
      </c>
      <c r="R108" s="200">
        <f t="shared" si="541"/>
        <v>0</v>
      </c>
      <c r="S108" s="200">
        <f t="shared" si="541"/>
        <v>0</v>
      </c>
      <c r="T108" s="200">
        <f t="shared" si="541"/>
        <v>0</v>
      </c>
      <c r="U108" s="200">
        <f t="shared" si="541"/>
        <v>0</v>
      </c>
      <c r="V108" s="200">
        <f t="shared" si="541"/>
        <v>0</v>
      </c>
      <c r="W108" s="200">
        <f t="shared" si="541"/>
        <v>0</v>
      </c>
      <c r="X108" s="200">
        <f t="shared" si="541"/>
        <v>0</v>
      </c>
      <c r="Y108" s="200">
        <f t="shared" si="541"/>
        <v>0</v>
      </c>
      <c r="Z108" s="200">
        <f t="shared" si="541"/>
        <v>0</v>
      </c>
      <c r="AA108" s="200">
        <f t="shared" si="541"/>
        <v>0</v>
      </c>
      <c r="AB108" s="200">
        <f t="shared" si="541"/>
        <v>0</v>
      </c>
      <c r="AC108" s="200">
        <f t="shared" si="541"/>
        <v>0</v>
      </c>
      <c r="AD108" s="200">
        <f t="shared" si="11"/>
        <v>0</v>
      </c>
      <c r="AE108" s="200">
        <f t="shared" ref="AE108:AG108" si="542">countif($D108,"*"&amp;AE$2&amp;"*")</f>
        <v>0</v>
      </c>
      <c r="AF108" s="200">
        <f t="shared" si="542"/>
        <v>0</v>
      </c>
      <c r="AG108" s="200">
        <f t="shared" si="542"/>
        <v>0</v>
      </c>
      <c r="AH108" s="171">
        <f t="shared" si="13"/>
        <v>0</v>
      </c>
      <c r="AI108" s="200">
        <f t="shared" si="14"/>
        <v>0</v>
      </c>
      <c r="AJ108" s="200">
        <f t="shared" si="137"/>
        <v>0</v>
      </c>
      <c r="AK108" s="201">
        <f t="shared" ref="AK108:AS108" si="543">countif($D108,"*"&amp;AK$2&amp;"*")</f>
        <v>0</v>
      </c>
      <c r="AL108" s="201">
        <f t="shared" si="543"/>
        <v>0</v>
      </c>
      <c r="AM108" s="201">
        <f t="shared" si="543"/>
        <v>0</v>
      </c>
      <c r="AN108" s="201">
        <f t="shared" si="543"/>
        <v>0</v>
      </c>
      <c r="AO108" s="201">
        <f t="shared" si="543"/>
        <v>0</v>
      </c>
      <c r="AP108" s="201">
        <f t="shared" si="543"/>
        <v>0</v>
      </c>
      <c r="AQ108" s="201">
        <f t="shared" si="543"/>
        <v>0</v>
      </c>
      <c r="AR108" s="200">
        <f t="shared" si="543"/>
        <v>0</v>
      </c>
      <c r="AS108" s="200">
        <f t="shared" si="543"/>
        <v>0</v>
      </c>
      <c r="AT108" s="173">
        <v>0.0</v>
      </c>
      <c r="AU108" s="200">
        <f t="shared" ref="AU108:AX108" si="544">countif($D108,"*"&amp;AU$2&amp;"*")</f>
        <v>0</v>
      </c>
      <c r="AV108" s="200">
        <f t="shared" si="544"/>
        <v>1</v>
      </c>
      <c r="AW108" s="200">
        <f t="shared" si="544"/>
        <v>0</v>
      </c>
      <c r="AX108" s="200">
        <f t="shared" si="544"/>
        <v>0</v>
      </c>
      <c r="AY108" s="202">
        <v>0.0</v>
      </c>
      <c r="AZ108" s="200"/>
      <c r="BA108" s="171" t="str">
        <f t="shared" si="18"/>
        <v/>
      </c>
      <c r="BB108" s="171" t="str">
        <f t="shared" si="19"/>
        <v>Code</v>
      </c>
      <c r="BC108" s="171" t="str">
        <f t="shared" si="20"/>
        <v/>
      </c>
      <c r="BD108" s="171" t="str">
        <f t="shared" si="21"/>
        <v/>
      </c>
      <c r="BE108" s="171" t="str">
        <f t="shared" si="22"/>
        <v/>
      </c>
      <c r="BF108" s="171" t="str">
        <f t="shared" si="23"/>
        <v>Code</v>
      </c>
    </row>
    <row r="109">
      <c r="A109" s="171">
        <f t="array" ref="A109">XLOOKUP(C109,ICSE!A:A,ICSE!C:C,,2,1)</f>
        <v>2022</v>
      </c>
      <c r="B109" s="171" t="s">
        <v>5675</v>
      </c>
      <c r="C109" s="160">
        <v>95.0</v>
      </c>
      <c r="D109" s="161" t="s">
        <v>2518</v>
      </c>
      <c r="E109" s="197" t="str">
        <f t="array" ref="E109">XLOOKUP(C109,ICSE!A:A,ICSE!Z:Z,,0,1)</f>
        <v>Publicly available (1)</v>
      </c>
      <c r="F109" s="198" t="s">
        <v>20</v>
      </c>
      <c r="G109" s="163" t="str">
        <f t="array" ref="G109">IF(B109="ICSE",IF(COUNTIFS(B:B,B109,C:C,C109)=XLOOKUP(C109,ICSE!A:A,ICSE!AA:AA,"ERROR",0,1),"OK","ERROR"),IF(B109="FSE",IF(COUNTIFS(B:B,B109,C:C,C109)=XLOOKUP(C109,FSE!A:A,FSE!AA:AA,"ERROR",0,1),"OK","ERROR")))</f>
        <v>OK</v>
      </c>
      <c r="H109" s="199">
        <f t="shared" ref="H109:O109" si="545">countif($D109,"*"&amp;H$2&amp;"*")</f>
        <v>0</v>
      </c>
      <c r="I109" s="200">
        <f t="shared" si="545"/>
        <v>0</v>
      </c>
      <c r="J109" s="200">
        <f t="shared" si="545"/>
        <v>0</v>
      </c>
      <c r="K109" s="200">
        <f t="shared" si="545"/>
        <v>0</v>
      </c>
      <c r="L109" s="200">
        <f t="shared" si="545"/>
        <v>0</v>
      </c>
      <c r="M109" s="200">
        <f t="shared" si="545"/>
        <v>0</v>
      </c>
      <c r="N109" s="200">
        <f t="shared" si="545"/>
        <v>0</v>
      </c>
      <c r="O109" s="200">
        <f t="shared" si="545"/>
        <v>0</v>
      </c>
      <c r="P109" s="200">
        <f t="shared" si="9"/>
        <v>1</v>
      </c>
      <c r="Q109" s="200">
        <f t="shared" ref="Q109:AC109" si="546">countif($D109,"*"&amp;Q$2&amp;"*")</f>
        <v>0</v>
      </c>
      <c r="R109" s="200">
        <f t="shared" si="546"/>
        <v>0</v>
      </c>
      <c r="S109" s="200">
        <f t="shared" si="546"/>
        <v>0</v>
      </c>
      <c r="T109" s="200">
        <f t="shared" si="546"/>
        <v>0</v>
      </c>
      <c r="U109" s="200">
        <f t="shared" si="546"/>
        <v>0</v>
      </c>
      <c r="V109" s="200">
        <f t="shared" si="546"/>
        <v>0</v>
      </c>
      <c r="W109" s="200">
        <f t="shared" si="546"/>
        <v>0</v>
      </c>
      <c r="X109" s="200">
        <f t="shared" si="546"/>
        <v>0</v>
      </c>
      <c r="Y109" s="200">
        <f t="shared" si="546"/>
        <v>0</v>
      </c>
      <c r="Z109" s="200">
        <f t="shared" si="546"/>
        <v>0</v>
      </c>
      <c r="AA109" s="200">
        <f t="shared" si="546"/>
        <v>0</v>
      </c>
      <c r="AB109" s="200">
        <f t="shared" si="546"/>
        <v>0</v>
      </c>
      <c r="AC109" s="200">
        <f t="shared" si="546"/>
        <v>0</v>
      </c>
      <c r="AD109" s="200">
        <f t="shared" si="11"/>
        <v>0</v>
      </c>
      <c r="AE109" s="200">
        <f t="shared" ref="AE109:AG109" si="547">countif($D109,"*"&amp;AE$2&amp;"*")</f>
        <v>0</v>
      </c>
      <c r="AF109" s="200">
        <f t="shared" si="547"/>
        <v>0</v>
      </c>
      <c r="AG109" s="200">
        <f t="shared" si="547"/>
        <v>0</v>
      </c>
      <c r="AH109" s="171">
        <f t="shared" si="13"/>
        <v>0</v>
      </c>
      <c r="AI109" s="200">
        <f t="shared" si="14"/>
        <v>0</v>
      </c>
      <c r="AJ109" s="200">
        <f t="shared" si="137"/>
        <v>0</v>
      </c>
      <c r="AK109" s="201">
        <f t="shared" ref="AK109:AS109" si="548">countif($D109,"*"&amp;AK$2&amp;"*")</f>
        <v>0</v>
      </c>
      <c r="AL109" s="201">
        <f t="shared" si="548"/>
        <v>0</v>
      </c>
      <c r="AM109" s="201">
        <f t="shared" si="548"/>
        <v>0</v>
      </c>
      <c r="AN109" s="201">
        <f t="shared" si="548"/>
        <v>0</v>
      </c>
      <c r="AO109" s="201">
        <f t="shared" si="548"/>
        <v>0</v>
      </c>
      <c r="AP109" s="201">
        <f t="shared" si="548"/>
        <v>0</v>
      </c>
      <c r="AQ109" s="201">
        <f t="shared" si="548"/>
        <v>0</v>
      </c>
      <c r="AR109" s="200">
        <f t="shared" si="548"/>
        <v>0</v>
      </c>
      <c r="AS109" s="200">
        <f t="shared" si="548"/>
        <v>0</v>
      </c>
      <c r="AT109" s="173">
        <v>0.0</v>
      </c>
      <c r="AU109" s="200">
        <f t="shared" ref="AU109:AX109" si="549">countif($D109,"*"&amp;AU$2&amp;"*")</f>
        <v>0</v>
      </c>
      <c r="AV109" s="200">
        <f t="shared" si="549"/>
        <v>1</v>
      </c>
      <c r="AW109" s="200">
        <f t="shared" si="549"/>
        <v>0</v>
      </c>
      <c r="AX109" s="200">
        <f t="shared" si="549"/>
        <v>0</v>
      </c>
      <c r="AY109" s="202">
        <v>0.0</v>
      </c>
      <c r="AZ109" s="200"/>
      <c r="BA109" s="171" t="str">
        <f t="shared" si="18"/>
        <v/>
      </c>
      <c r="BB109" s="171" t="str">
        <f t="shared" si="19"/>
        <v>Code</v>
      </c>
      <c r="BC109" s="171" t="str">
        <f t="shared" si="20"/>
        <v/>
      </c>
      <c r="BD109" s="171" t="str">
        <f t="shared" si="21"/>
        <v/>
      </c>
      <c r="BE109" s="171" t="str">
        <f t="shared" si="22"/>
        <v/>
      </c>
      <c r="BF109" s="171" t="str">
        <f t="shared" si="23"/>
        <v>Code</v>
      </c>
    </row>
    <row r="110">
      <c r="A110" s="171">
        <f t="array" ref="A110">XLOOKUP(C110,ICSE!A:A,ICSE!C:C,,2,1)</f>
        <v>2022</v>
      </c>
      <c r="B110" s="171" t="s">
        <v>5675</v>
      </c>
      <c r="C110" s="160">
        <v>96.0</v>
      </c>
      <c r="D110" s="161" t="s">
        <v>2521</v>
      </c>
      <c r="E110" s="197" t="str">
        <f t="array" ref="E110">XLOOKUP(C110,ICSE!A:A,ICSE!Z:Z,,0,1)</f>
        <v>Publicly available (1)</v>
      </c>
      <c r="F110" s="198" t="s">
        <v>20</v>
      </c>
      <c r="G110" s="163" t="str">
        <f t="array" ref="G110">IF(B110="ICSE",IF(COUNTIFS(B:B,B110,C:C,C110)=XLOOKUP(C110,ICSE!A:A,ICSE!AA:AA,"ERROR",0,1),"OK","ERROR"),IF(B110="FSE",IF(COUNTIFS(B:B,B110,C:C,C110)=XLOOKUP(C110,FSE!A:A,FSE!AA:AA,"ERROR",0,1),"OK","ERROR")))</f>
        <v>OK</v>
      </c>
      <c r="H110" s="199">
        <f t="shared" ref="H110:O110" si="550">countif($D110,"*"&amp;H$2&amp;"*")</f>
        <v>0</v>
      </c>
      <c r="I110" s="200">
        <f t="shared" si="550"/>
        <v>0</v>
      </c>
      <c r="J110" s="200">
        <f t="shared" si="550"/>
        <v>0</v>
      </c>
      <c r="K110" s="200">
        <f t="shared" si="550"/>
        <v>0</v>
      </c>
      <c r="L110" s="200">
        <f t="shared" si="550"/>
        <v>0</v>
      </c>
      <c r="M110" s="200">
        <f t="shared" si="550"/>
        <v>0</v>
      </c>
      <c r="N110" s="200">
        <f t="shared" si="550"/>
        <v>0</v>
      </c>
      <c r="O110" s="200">
        <f t="shared" si="550"/>
        <v>0</v>
      </c>
      <c r="P110" s="200">
        <f t="shared" si="9"/>
        <v>1</v>
      </c>
      <c r="Q110" s="200">
        <f t="shared" ref="Q110:AC110" si="551">countif($D110,"*"&amp;Q$2&amp;"*")</f>
        <v>0</v>
      </c>
      <c r="R110" s="200">
        <f t="shared" si="551"/>
        <v>0</v>
      </c>
      <c r="S110" s="200">
        <f t="shared" si="551"/>
        <v>0</v>
      </c>
      <c r="T110" s="200">
        <f t="shared" si="551"/>
        <v>0</v>
      </c>
      <c r="U110" s="200">
        <f t="shared" si="551"/>
        <v>0</v>
      </c>
      <c r="V110" s="200">
        <f t="shared" si="551"/>
        <v>0</v>
      </c>
      <c r="W110" s="200">
        <f t="shared" si="551"/>
        <v>0</v>
      </c>
      <c r="X110" s="200">
        <f t="shared" si="551"/>
        <v>0</v>
      </c>
      <c r="Y110" s="200">
        <f t="shared" si="551"/>
        <v>0</v>
      </c>
      <c r="Z110" s="200">
        <f t="shared" si="551"/>
        <v>0</v>
      </c>
      <c r="AA110" s="200">
        <f t="shared" si="551"/>
        <v>0</v>
      </c>
      <c r="AB110" s="200">
        <f t="shared" si="551"/>
        <v>0</v>
      </c>
      <c r="AC110" s="200">
        <f t="shared" si="551"/>
        <v>0</v>
      </c>
      <c r="AD110" s="200">
        <f t="shared" si="11"/>
        <v>0</v>
      </c>
      <c r="AE110" s="200">
        <f t="shared" ref="AE110:AG110" si="552">countif($D110,"*"&amp;AE$2&amp;"*")</f>
        <v>0</v>
      </c>
      <c r="AF110" s="200">
        <f t="shared" si="552"/>
        <v>0</v>
      </c>
      <c r="AG110" s="200">
        <f t="shared" si="552"/>
        <v>0</v>
      </c>
      <c r="AH110" s="171">
        <f t="shared" si="13"/>
        <v>0</v>
      </c>
      <c r="AI110" s="200">
        <f t="shared" si="14"/>
        <v>0</v>
      </c>
      <c r="AJ110" s="200">
        <f t="shared" si="137"/>
        <v>0</v>
      </c>
      <c r="AK110" s="201">
        <f t="shared" ref="AK110:AS110" si="553">countif($D110,"*"&amp;AK$2&amp;"*")</f>
        <v>0</v>
      </c>
      <c r="AL110" s="201">
        <f t="shared" si="553"/>
        <v>0</v>
      </c>
      <c r="AM110" s="201">
        <f t="shared" si="553"/>
        <v>0</v>
      </c>
      <c r="AN110" s="201">
        <f t="shared" si="553"/>
        <v>0</v>
      </c>
      <c r="AO110" s="201">
        <f t="shared" si="553"/>
        <v>0</v>
      </c>
      <c r="AP110" s="201">
        <f t="shared" si="553"/>
        <v>0</v>
      </c>
      <c r="AQ110" s="201">
        <f t="shared" si="553"/>
        <v>0</v>
      </c>
      <c r="AR110" s="200">
        <f t="shared" si="553"/>
        <v>0</v>
      </c>
      <c r="AS110" s="200">
        <f t="shared" si="553"/>
        <v>0</v>
      </c>
      <c r="AT110" s="173">
        <v>0.0</v>
      </c>
      <c r="AU110" s="200">
        <f t="shared" ref="AU110:AX110" si="554">countif($D110,"*"&amp;AU$2&amp;"*")</f>
        <v>0</v>
      </c>
      <c r="AV110" s="200">
        <f t="shared" si="554"/>
        <v>1</v>
      </c>
      <c r="AW110" s="200">
        <f t="shared" si="554"/>
        <v>0</v>
      </c>
      <c r="AX110" s="200">
        <f t="shared" si="554"/>
        <v>0</v>
      </c>
      <c r="AY110" s="202">
        <v>0.0</v>
      </c>
      <c r="AZ110" s="200"/>
      <c r="BA110" s="171" t="str">
        <f t="shared" si="18"/>
        <v/>
      </c>
      <c r="BB110" s="171" t="str">
        <f t="shared" si="19"/>
        <v>Code</v>
      </c>
      <c r="BC110" s="171" t="str">
        <f t="shared" si="20"/>
        <v/>
      </c>
      <c r="BD110" s="171" t="str">
        <f t="shared" si="21"/>
        <v/>
      </c>
      <c r="BE110" s="171" t="str">
        <f t="shared" si="22"/>
        <v/>
      </c>
      <c r="BF110" s="171" t="str">
        <f t="shared" si="23"/>
        <v>Code</v>
      </c>
    </row>
    <row r="111">
      <c r="A111" s="171">
        <f t="array" ref="A111">XLOOKUP(C111,ICSE!A:A,ICSE!C:C,,2,1)</f>
        <v>2022</v>
      </c>
      <c r="B111" s="171" t="s">
        <v>5675</v>
      </c>
      <c r="C111" s="160">
        <v>97.0</v>
      </c>
      <c r="D111" s="161" t="s">
        <v>2523</v>
      </c>
      <c r="E111" s="197" t="str">
        <f t="array" ref="E111">XLOOKUP(C111,ICSE!A:A,ICSE!Z:Z,,0,1)</f>
        <v>Publicly available (1)</v>
      </c>
      <c r="F111" s="198" t="s">
        <v>20</v>
      </c>
      <c r="G111" s="163" t="str">
        <f t="array" ref="G111">IF(B111="ICSE",IF(COUNTIFS(B:B,B111,C:C,C111)=XLOOKUP(C111,ICSE!A:A,ICSE!AA:AA,"ERROR",0,1),"OK","ERROR"),IF(B111="FSE",IF(COUNTIFS(B:B,B111,C:C,C111)=XLOOKUP(C111,FSE!A:A,FSE!AA:AA,"ERROR",0,1),"OK","ERROR")))</f>
        <v>OK</v>
      </c>
      <c r="H111" s="199">
        <f t="shared" ref="H111:O111" si="555">countif($D111,"*"&amp;H$2&amp;"*")</f>
        <v>0</v>
      </c>
      <c r="I111" s="200">
        <f t="shared" si="555"/>
        <v>0</v>
      </c>
      <c r="J111" s="200">
        <f t="shared" si="555"/>
        <v>0</v>
      </c>
      <c r="K111" s="200">
        <f t="shared" si="555"/>
        <v>0</v>
      </c>
      <c r="L111" s="200">
        <f t="shared" si="555"/>
        <v>0</v>
      </c>
      <c r="M111" s="200">
        <f t="shared" si="555"/>
        <v>0</v>
      </c>
      <c r="N111" s="200">
        <f t="shared" si="555"/>
        <v>0</v>
      </c>
      <c r="O111" s="200">
        <f t="shared" si="555"/>
        <v>0</v>
      </c>
      <c r="P111" s="200">
        <f t="shared" si="9"/>
        <v>1</v>
      </c>
      <c r="Q111" s="200">
        <f t="shared" ref="Q111:AC111" si="556">countif($D111,"*"&amp;Q$2&amp;"*")</f>
        <v>0</v>
      </c>
      <c r="R111" s="200">
        <f t="shared" si="556"/>
        <v>0</v>
      </c>
      <c r="S111" s="200">
        <f t="shared" si="556"/>
        <v>0</v>
      </c>
      <c r="T111" s="200">
        <f t="shared" si="556"/>
        <v>0</v>
      </c>
      <c r="U111" s="200">
        <f t="shared" si="556"/>
        <v>0</v>
      </c>
      <c r="V111" s="200">
        <f t="shared" si="556"/>
        <v>0</v>
      </c>
      <c r="W111" s="200">
        <f t="shared" si="556"/>
        <v>0</v>
      </c>
      <c r="X111" s="200">
        <f t="shared" si="556"/>
        <v>0</v>
      </c>
      <c r="Y111" s="200">
        <f t="shared" si="556"/>
        <v>0</v>
      </c>
      <c r="Z111" s="200">
        <f t="shared" si="556"/>
        <v>0</v>
      </c>
      <c r="AA111" s="200">
        <f t="shared" si="556"/>
        <v>0</v>
      </c>
      <c r="AB111" s="200">
        <f t="shared" si="556"/>
        <v>0</v>
      </c>
      <c r="AC111" s="200">
        <f t="shared" si="556"/>
        <v>0</v>
      </c>
      <c r="AD111" s="200">
        <f t="shared" si="11"/>
        <v>0</v>
      </c>
      <c r="AE111" s="200">
        <f t="shared" ref="AE111:AG111" si="557">countif($D111,"*"&amp;AE$2&amp;"*")</f>
        <v>0</v>
      </c>
      <c r="AF111" s="200">
        <f t="shared" si="557"/>
        <v>0</v>
      </c>
      <c r="AG111" s="200">
        <f t="shared" si="557"/>
        <v>0</v>
      </c>
      <c r="AH111" s="171">
        <f t="shared" si="13"/>
        <v>0</v>
      </c>
      <c r="AI111" s="200">
        <f t="shared" si="14"/>
        <v>0</v>
      </c>
      <c r="AJ111" s="200">
        <f t="shared" si="137"/>
        <v>0</v>
      </c>
      <c r="AK111" s="201">
        <f t="shared" ref="AK111:AS111" si="558">countif($D111,"*"&amp;AK$2&amp;"*")</f>
        <v>0</v>
      </c>
      <c r="AL111" s="201">
        <f t="shared" si="558"/>
        <v>0</v>
      </c>
      <c r="AM111" s="201">
        <f t="shared" si="558"/>
        <v>0</v>
      </c>
      <c r="AN111" s="201">
        <f t="shared" si="558"/>
        <v>0</v>
      </c>
      <c r="AO111" s="201">
        <f t="shared" si="558"/>
        <v>0</v>
      </c>
      <c r="AP111" s="201">
        <f t="shared" si="558"/>
        <v>0</v>
      </c>
      <c r="AQ111" s="201">
        <f t="shared" si="558"/>
        <v>0</v>
      </c>
      <c r="AR111" s="200">
        <f t="shared" si="558"/>
        <v>0</v>
      </c>
      <c r="AS111" s="200">
        <f t="shared" si="558"/>
        <v>0</v>
      </c>
      <c r="AT111" s="173">
        <v>0.0</v>
      </c>
      <c r="AU111" s="200">
        <f t="shared" ref="AU111:AX111" si="559">countif($D111,"*"&amp;AU$2&amp;"*")</f>
        <v>0</v>
      </c>
      <c r="AV111" s="200">
        <f t="shared" si="559"/>
        <v>1</v>
      </c>
      <c r="AW111" s="200">
        <f t="shared" si="559"/>
        <v>0</v>
      </c>
      <c r="AX111" s="200">
        <f t="shared" si="559"/>
        <v>0</v>
      </c>
      <c r="AY111" s="202">
        <v>0.0</v>
      </c>
      <c r="AZ111" s="200"/>
      <c r="BA111" s="171" t="str">
        <f t="shared" si="18"/>
        <v/>
      </c>
      <c r="BB111" s="171" t="str">
        <f t="shared" si="19"/>
        <v>Code</v>
      </c>
      <c r="BC111" s="171" t="str">
        <f t="shared" si="20"/>
        <v/>
      </c>
      <c r="BD111" s="171" t="str">
        <f t="shared" si="21"/>
        <v/>
      </c>
      <c r="BE111" s="171" t="str">
        <f t="shared" si="22"/>
        <v/>
      </c>
      <c r="BF111" s="171" t="str">
        <f t="shared" si="23"/>
        <v>Code</v>
      </c>
    </row>
    <row r="112">
      <c r="A112" s="171">
        <f t="array" ref="A112">XLOOKUP(C112,ICSE!A:A,ICSE!C:C,,2,1)</f>
        <v>2022</v>
      </c>
      <c r="B112" s="171" t="s">
        <v>5675</v>
      </c>
      <c r="C112" s="160">
        <v>98.0</v>
      </c>
      <c r="D112" s="161" t="s">
        <v>2526</v>
      </c>
      <c r="E112" s="197" t="str">
        <f t="array" ref="E112">XLOOKUP(C112,ICSE!A:A,ICSE!Z:Z,,0,1)</f>
        <v>Publicly available (1)</v>
      </c>
      <c r="F112" s="198" t="s">
        <v>20</v>
      </c>
      <c r="G112" s="163" t="str">
        <f t="array" ref="G112">IF(B112="ICSE",IF(COUNTIFS(B:B,B112,C:C,C112)=XLOOKUP(C112,ICSE!A:A,ICSE!AA:AA,"ERROR",0,1),"OK","ERROR"),IF(B112="FSE",IF(COUNTIFS(B:B,B112,C:C,C112)=XLOOKUP(C112,FSE!A:A,FSE!AA:AA,"ERROR",0,1),"OK","ERROR")))</f>
        <v>OK</v>
      </c>
      <c r="H112" s="199">
        <f t="shared" ref="H112:O112" si="560">countif($D112,"*"&amp;H$2&amp;"*")</f>
        <v>0</v>
      </c>
      <c r="I112" s="200">
        <f t="shared" si="560"/>
        <v>0</v>
      </c>
      <c r="J112" s="200">
        <f t="shared" si="560"/>
        <v>0</v>
      </c>
      <c r="K112" s="200">
        <f t="shared" si="560"/>
        <v>0</v>
      </c>
      <c r="L112" s="200">
        <f t="shared" si="560"/>
        <v>0</v>
      </c>
      <c r="M112" s="200">
        <f t="shared" si="560"/>
        <v>0</v>
      </c>
      <c r="N112" s="200">
        <f t="shared" si="560"/>
        <v>0</v>
      </c>
      <c r="O112" s="200">
        <f t="shared" si="560"/>
        <v>0</v>
      </c>
      <c r="P112" s="200">
        <f t="shared" si="9"/>
        <v>1</v>
      </c>
      <c r="Q112" s="200">
        <f t="shared" ref="Q112:AC112" si="561">countif($D112,"*"&amp;Q$2&amp;"*")</f>
        <v>0</v>
      </c>
      <c r="R112" s="200">
        <f t="shared" si="561"/>
        <v>0</v>
      </c>
      <c r="S112" s="200">
        <f t="shared" si="561"/>
        <v>0</v>
      </c>
      <c r="T112" s="200">
        <f t="shared" si="561"/>
        <v>0</v>
      </c>
      <c r="U112" s="200">
        <f t="shared" si="561"/>
        <v>0</v>
      </c>
      <c r="V112" s="200">
        <f t="shared" si="561"/>
        <v>0</v>
      </c>
      <c r="W112" s="200">
        <f t="shared" si="561"/>
        <v>0</v>
      </c>
      <c r="X112" s="200">
        <f t="shared" si="561"/>
        <v>0</v>
      </c>
      <c r="Y112" s="200">
        <f t="shared" si="561"/>
        <v>0</v>
      </c>
      <c r="Z112" s="200">
        <f t="shared" si="561"/>
        <v>0</v>
      </c>
      <c r="AA112" s="200">
        <f t="shared" si="561"/>
        <v>0</v>
      </c>
      <c r="AB112" s="200">
        <f t="shared" si="561"/>
        <v>0</v>
      </c>
      <c r="AC112" s="200">
        <f t="shared" si="561"/>
        <v>0</v>
      </c>
      <c r="AD112" s="200">
        <f t="shared" si="11"/>
        <v>0</v>
      </c>
      <c r="AE112" s="200">
        <f t="shared" ref="AE112:AG112" si="562">countif($D112,"*"&amp;AE$2&amp;"*")</f>
        <v>0</v>
      </c>
      <c r="AF112" s="200">
        <f t="shared" si="562"/>
        <v>0</v>
      </c>
      <c r="AG112" s="200">
        <f t="shared" si="562"/>
        <v>0</v>
      </c>
      <c r="AH112" s="171">
        <f t="shared" si="13"/>
        <v>0</v>
      </c>
      <c r="AI112" s="200">
        <f t="shared" si="14"/>
        <v>0</v>
      </c>
      <c r="AJ112" s="200">
        <f t="shared" si="137"/>
        <v>0</v>
      </c>
      <c r="AK112" s="201">
        <f t="shared" ref="AK112:AS112" si="563">countif($D112,"*"&amp;AK$2&amp;"*")</f>
        <v>0</v>
      </c>
      <c r="AL112" s="201">
        <f t="shared" si="563"/>
        <v>0</v>
      </c>
      <c r="AM112" s="201">
        <f t="shared" si="563"/>
        <v>0</v>
      </c>
      <c r="AN112" s="201">
        <f t="shared" si="563"/>
        <v>0</v>
      </c>
      <c r="AO112" s="201">
        <f t="shared" si="563"/>
        <v>0</v>
      </c>
      <c r="AP112" s="201">
        <f t="shared" si="563"/>
        <v>0</v>
      </c>
      <c r="AQ112" s="201">
        <f t="shared" si="563"/>
        <v>0</v>
      </c>
      <c r="AR112" s="200">
        <f t="shared" si="563"/>
        <v>0</v>
      </c>
      <c r="AS112" s="200">
        <f t="shared" si="563"/>
        <v>0</v>
      </c>
      <c r="AT112" s="173">
        <v>0.0</v>
      </c>
      <c r="AU112" s="200">
        <f t="shared" ref="AU112:AX112" si="564">countif($D112,"*"&amp;AU$2&amp;"*")</f>
        <v>0</v>
      </c>
      <c r="AV112" s="200">
        <f t="shared" si="564"/>
        <v>1</v>
      </c>
      <c r="AW112" s="200">
        <f t="shared" si="564"/>
        <v>0</v>
      </c>
      <c r="AX112" s="200">
        <f t="shared" si="564"/>
        <v>0</v>
      </c>
      <c r="AY112" s="202">
        <v>0.0</v>
      </c>
      <c r="AZ112" s="200"/>
      <c r="BA112" s="171" t="str">
        <f t="shared" si="18"/>
        <v/>
      </c>
      <c r="BB112" s="171" t="str">
        <f t="shared" si="19"/>
        <v>Code</v>
      </c>
      <c r="BC112" s="171" t="str">
        <f t="shared" si="20"/>
        <v/>
      </c>
      <c r="BD112" s="171" t="str">
        <f t="shared" si="21"/>
        <v/>
      </c>
      <c r="BE112" s="171" t="str">
        <f t="shared" si="22"/>
        <v/>
      </c>
      <c r="BF112" s="171" t="str">
        <f t="shared" si="23"/>
        <v>Code</v>
      </c>
    </row>
    <row r="113">
      <c r="A113" s="171">
        <f t="array" ref="A113">XLOOKUP(C113,ICSE!A:A,ICSE!C:C,,2,1)</f>
        <v>2022</v>
      </c>
      <c r="B113" s="171" t="s">
        <v>5675</v>
      </c>
      <c r="C113" s="160">
        <v>99.0</v>
      </c>
      <c r="D113" s="161" t="s">
        <v>2529</v>
      </c>
      <c r="E113" s="197" t="str">
        <f t="array" ref="E113">XLOOKUP(C113,ICSE!A:A,ICSE!Z:Z,,0,1)</f>
        <v>Publicly available (1)</v>
      </c>
      <c r="F113" s="198" t="s">
        <v>20</v>
      </c>
      <c r="G113" s="163" t="str">
        <f t="array" ref="G113">IF(B113="ICSE",IF(COUNTIFS(B:B,B113,C:C,C113)=XLOOKUP(C113,ICSE!A:A,ICSE!AA:AA,"ERROR",0,1),"OK","ERROR"),IF(B113="FSE",IF(COUNTIFS(B:B,B113,C:C,C113)=XLOOKUP(C113,FSE!A:A,FSE!AA:AA,"ERROR",0,1),"OK","ERROR")))</f>
        <v>OK</v>
      </c>
      <c r="H113" s="199">
        <f t="shared" ref="H113:O113" si="565">countif($D113,"*"&amp;H$2&amp;"*")</f>
        <v>1</v>
      </c>
      <c r="I113" s="200">
        <f t="shared" si="565"/>
        <v>0</v>
      </c>
      <c r="J113" s="200">
        <f t="shared" si="565"/>
        <v>0</v>
      </c>
      <c r="K113" s="200">
        <f t="shared" si="565"/>
        <v>0</v>
      </c>
      <c r="L113" s="200">
        <f t="shared" si="565"/>
        <v>0</v>
      </c>
      <c r="M113" s="200">
        <f t="shared" si="565"/>
        <v>0</v>
      </c>
      <c r="N113" s="200">
        <f t="shared" si="565"/>
        <v>0</v>
      </c>
      <c r="O113" s="200">
        <f t="shared" si="565"/>
        <v>0</v>
      </c>
      <c r="P113" s="200">
        <f t="shared" si="9"/>
        <v>0</v>
      </c>
      <c r="Q113" s="200">
        <f t="shared" ref="Q113:AC113" si="566">countif($D113,"*"&amp;Q$2&amp;"*")</f>
        <v>0</v>
      </c>
      <c r="R113" s="200">
        <f t="shared" si="566"/>
        <v>0</v>
      </c>
      <c r="S113" s="200">
        <f t="shared" si="566"/>
        <v>0</v>
      </c>
      <c r="T113" s="200">
        <f t="shared" si="566"/>
        <v>0</v>
      </c>
      <c r="U113" s="200">
        <f t="shared" si="566"/>
        <v>0</v>
      </c>
      <c r="V113" s="200">
        <f t="shared" si="566"/>
        <v>0</v>
      </c>
      <c r="W113" s="200">
        <f t="shared" si="566"/>
        <v>0</v>
      </c>
      <c r="X113" s="200">
        <f t="shared" si="566"/>
        <v>0</v>
      </c>
      <c r="Y113" s="200">
        <f t="shared" si="566"/>
        <v>0</v>
      </c>
      <c r="Z113" s="200">
        <f t="shared" si="566"/>
        <v>0</v>
      </c>
      <c r="AA113" s="200">
        <f t="shared" si="566"/>
        <v>0</v>
      </c>
      <c r="AB113" s="200">
        <f t="shared" si="566"/>
        <v>0</v>
      </c>
      <c r="AC113" s="200">
        <f t="shared" si="566"/>
        <v>0</v>
      </c>
      <c r="AD113" s="200">
        <f t="shared" si="11"/>
        <v>0</v>
      </c>
      <c r="AE113" s="200">
        <f t="shared" ref="AE113:AG113" si="567">countif($D113,"*"&amp;AE$2&amp;"*")</f>
        <v>0</v>
      </c>
      <c r="AF113" s="200">
        <f t="shared" si="567"/>
        <v>0</v>
      </c>
      <c r="AG113" s="200">
        <f t="shared" si="567"/>
        <v>0</v>
      </c>
      <c r="AH113" s="171">
        <f t="shared" si="13"/>
        <v>0</v>
      </c>
      <c r="AI113" s="200">
        <f t="shared" si="14"/>
        <v>1</v>
      </c>
      <c r="AJ113" s="200">
        <f t="shared" si="137"/>
        <v>0</v>
      </c>
      <c r="AK113" s="201">
        <f t="shared" ref="AK113:AS113" si="568">countif($D113,"*"&amp;AK$2&amp;"*")</f>
        <v>0</v>
      </c>
      <c r="AL113" s="201">
        <f t="shared" si="568"/>
        <v>0</v>
      </c>
      <c r="AM113" s="201">
        <f t="shared" si="568"/>
        <v>0</v>
      </c>
      <c r="AN113" s="201">
        <f t="shared" si="568"/>
        <v>0</v>
      </c>
      <c r="AO113" s="201">
        <f t="shared" si="568"/>
        <v>0</v>
      </c>
      <c r="AP113" s="201">
        <f t="shared" si="568"/>
        <v>0</v>
      </c>
      <c r="AQ113" s="201">
        <f t="shared" si="568"/>
        <v>0</v>
      </c>
      <c r="AR113" s="200">
        <f t="shared" si="568"/>
        <v>0</v>
      </c>
      <c r="AS113" s="200">
        <f t="shared" si="568"/>
        <v>0</v>
      </c>
      <c r="AT113" s="173">
        <v>0.0</v>
      </c>
      <c r="AU113" s="200">
        <f t="shared" ref="AU113:AX113" si="569">countif($D113,"*"&amp;AU$2&amp;"*")</f>
        <v>0</v>
      </c>
      <c r="AV113" s="200">
        <f t="shared" si="569"/>
        <v>0</v>
      </c>
      <c r="AW113" s="200">
        <f t="shared" si="569"/>
        <v>0</v>
      </c>
      <c r="AX113" s="200">
        <f t="shared" si="569"/>
        <v>1</v>
      </c>
      <c r="AY113" s="202">
        <v>0.0</v>
      </c>
      <c r="AZ113" s="200"/>
      <c r="BA113" s="171" t="str">
        <f t="shared" si="18"/>
        <v>Archival</v>
      </c>
      <c r="BB113" s="171" t="str">
        <f t="shared" si="19"/>
        <v/>
      </c>
      <c r="BC113" s="171" t="str">
        <f t="shared" si="20"/>
        <v/>
      </c>
      <c r="BD113" s="171" t="str">
        <f t="shared" si="21"/>
        <v/>
      </c>
      <c r="BE113" s="171" t="str">
        <f t="shared" si="22"/>
        <v/>
      </c>
      <c r="BF113" s="171" t="str">
        <f t="shared" si="23"/>
        <v>Archival</v>
      </c>
    </row>
    <row r="114">
      <c r="A114" s="171">
        <f t="array" ref="A114">XLOOKUP(C114,ICSE!A:A,ICSE!C:C,,2,1)</f>
        <v>2022</v>
      </c>
      <c r="B114" s="171" t="s">
        <v>5675</v>
      </c>
      <c r="C114" s="160">
        <v>100.0</v>
      </c>
      <c r="D114" s="161" t="s">
        <v>5778</v>
      </c>
      <c r="E114" s="197" t="str">
        <f t="array" ref="E114">XLOOKUP(C114,ICSE!A:A,ICSE!Z:Z,,0,1)</f>
        <v>Publicly available (2)</v>
      </c>
      <c r="F114" s="198" t="s">
        <v>20</v>
      </c>
      <c r="G114" s="163" t="str">
        <f t="array" ref="G114">IF(B114="ICSE",IF(COUNTIFS(B:B,B114,C:C,C114)=XLOOKUP(C114,ICSE!A:A,ICSE!AA:AA,"ERROR",0,1),"OK","ERROR"),IF(B114="FSE",IF(COUNTIFS(B:B,B114,C:C,C114)=XLOOKUP(C114,FSE!A:A,FSE!AA:AA,"ERROR",0,1),"OK","ERROR")))</f>
        <v>OK</v>
      </c>
      <c r="H114" s="199">
        <f t="shared" ref="H114:O114" si="570">countif($D114,"*"&amp;H$2&amp;"*")</f>
        <v>1</v>
      </c>
      <c r="I114" s="200">
        <f t="shared" si="570"/>
        <v>0</v>
      </c>
      <c r="J114" s="200">
        <f t="shared" si="570"/>
        <v>0</v>
      </c>
      <c r="K114" s="200">
        <f t="shared" si="570"/>
        <v>0</v>
      </c>
      <c r="L114" s="200">
        <f t="shared" si="570"/>
        <v>0</v>
      </c>
      <c r="M114" s="200">
        <f t="shared" si="570"/>
        <v>0</v>
      </c>
      <c r="N114" s="200">
        <f t="shared" si="570"/>
        <v>0</v>
      </c>
      <c r="O114" s="200">
        <f t="shared" si="570"/>
        <v>0</v>
      </c>
      <c r="P114" s="200">
        <f t="shared" si="9"/>
        <v>0</v>
      </c>
      <c r="Q114" s="200">
        <f t="shared" ref="Q114:AC114" si="571">countif($D114,"*"&amp;Q$2&amp;"*")</f>
        <v>0</v>
      </c>
      <c r="R114" s="200">
        <f t="shared" si="571"/>
        <v>0</v>
      </c>
      <c r="S114" s="200">
        <f t="shared" si="571"/>
        <v>0</v>
      </c>
      <c r="T114" s="200">
        <f t="shared" si="571"/>
        <v>0</v>
      </c>
      <c r="U114" s="200">
        <f t="shared" si="571"/>
        <v>0</v>
      </c>
      <c r="V114" s="200">
        <f t="shared" si="571"/>
        <v>0</v>
      </c>
      <c r="W114" s="200">
        <f t="shared" si="571"/>
        <v>0</v>
      </c>
      <c r="X114" s="200">
        <f t="shared" si="571"/>
        <v>0</v>
      </c>
      <c r="Y114" s="200">
        <f t="shared" si="571"/>
        <v>0</v>
      </c>
      <c r="Z114" s="200">
        <f t="shared" si="571"/>
        <v>0</v>
      </c>
      <c r="AA114" s="200">
        <f t="shared" si="571"/>
        <v>0</v>
      </c>
      <c r="AB114" s="200">
        <f t="shared" si="571"/>
        <v>0</v>
      </c>
      <c r="AC114" s="200">
        <f t="shared" si="571"/>
        <v>0</v>
      </c>
      <c r="AD114" s="200">
        <f t="shared" si="11"/>
        <v>0</v>
      </c>
      <c r="AE114" s="200">
        <f t="shared" ref="AE114:AG114" si="572">countif($D114,"*"&amp;AE$2&amp;"*")</f>
        <v>0</v>
      </c>
      <c r="AF114" s="200">
        <f t="shared" si="572"/>
        <v>0</v>
      </c>
      <c r="AG114" s="200">
        <f t="shared" si="572"/>
        <v>0</v>
      </c>
      <c r="AH114" s="171">
        <f t="shared" si="13"/>
        <v>0</v>
      </c>
      <c r="AI114" s="200">
        <f t="shared" si="14"/>
        <v>1</v>
      </c>
      <c r="AJ114" s="200">
        <f t="shared" si="137"/>
        <v>0</v>
      </c>
      <c r="AK114" s="201">
        <f t="shared" ref="AK114:AS114" si="573">countif($D114,"*"&amp;AK$2&amp;"*")</f>
        <v>0</v>
      </c>
      <c r="AL114" s="201">
        <f t="shared" si="573"/>
        <v>0</v>
      </c>
      <c r="AM114" s="201">
        <f t="shared" si="573"/>
        <v>0</v>
      </c>
      <c r="AN114" s="201">
        <f t="shared" si="573"/>
        <v>0</v>
      </c>
      <c r="AO114" s="201">
        <f t="shared" si="573"/>
        <v>0</v>
      </c>
      <c r="AP114" s="201">
        <f t="shared" si="573"/>
        <v>0</v>
      </c>
      <c r="AQ114" s="201">
        <f t="shared" si="573"/>
        <v>0</v>
      </c>
      <c r="AR114" s="200">
        <f t="shared" si="573"/>
        <v>0</v>
      </c>
      <c r="AS114" s="200">
        <f t="shared" si="573"/>
        <v>0</v>
      </c>
      <c r="AT114" s="173">
        <v>0.0</v>
      </c>
      <c r="AU114" s="200">
        <f t="shared" ref="AU114:AX114" si="574">countif($D114,"*"&amp;AU$2&amp;"*")</f>
        <v>0</v>
      </c>
      <c r="AV114" s="200">
        <f t="shared" si="574"/>
        <v>0</v>
      </c>
      <c r="AW114" s="200">
        <f t="shared" si="574"/>
        <v>0</v>
      </c>
      <c r="AX114" s="200">
        <f t="shared" si="574"/>
        <v>0</v>
      </c>
      <c r="AY114" s="204">
        <v>1.0</v>
      </c>
      <c r="AZ114" s="200"/>
      <c r="BA114" s="171" t="str">
        <f t="shared" si="18"/>
        <v>Archival</v>
      </c>
      <c r="BB114" s="171" t="str">
        <f t="shared" si="19"/>
        <v/>
      </c>
      <c r="BC114" s="171" t="str">
        <f t="shared" si="20"/>
        <v/>
      </c>
      <c r="BD114" s="171" t="str">
        <f t="shared" si="21"/>
        <v/>
      </c>
      <c r="BE114" s="171" t="str">
        <f t="shared" si="22"/>
        <v/>
      </c>
      <c r="BF114" s="171" t="str">
        <f t="shared" si="23"/>
        <v>Archival</v>
      </c>
    </row>
    <row r="115">
      <c r="A115" s="171">
        <f t="array" ref="A115">XLOOKUP(C115,ICSE!A:A,ICSE!C:C,,2,1)</f>
        <v>2022</v>
      </c>
      <c r="B115" s="171" t="s">
        <v>5675</v>
      </c>
      <c r="C115" s="203">
        <v>100.0</v>
      </c>
      <c r="D115" s="161" t="s">
        <v>5779</v>
      </c>
      <c r="E115" s="197" t="str">
        <f t="array" ref="E115">XLOOKUP(C115,ICSE!A:A,ICSE!Z:Z,,0,1)</f>
        <v>Publicly available (2)</v>
      </c>
      <c r="F115" s="198" t="s">
        <v>20</v>
      </c>
      <c r="G115" s="163" t="str">
        <f t="array" ref="G115">IF(B115="ICSE",IF(COUNTIFS(B:B,B115,C:C,C115)=XLOOKUP(C115,ICSE!A:A,ICSE!AA:AA,"ERROR",0,1),"OK","ERROR"),IF(B115="FSE",IF(COUNTIFS(B:B,B115,C:C,C115)=XLOOKUP(C115,FSE!A:A,FSE!AA:AA,"ERROR",0,1),"OK","ERROR")))</f>
        <v>OK</v>
      </c>
      <c r="H115" s="199">
        <f t="shared" ref="H115:O115" si="575">countif($D115,"*"&amp;H$2&amp;"*")</f>
        <v>0</v>
      </c>
      <c r="I115" s="200">
        <f t="shared" si="575"/>
        <v>0</v>
      </c>
      <c r="J115" s="200">
        <f t="shared" si="575"/>
        <v>0</v>
      </c>
      <c r="K115" s="200">
        <f t="shared" si="575"/>
        <v>0</v>
      </c>
      <c r="L115" s="200">
        <f t="shared" si="575"/>
        <v>0</v>
      </c>
      <c r="M115" s="200">
        <f t="shared" si="575"/>
        <v>0</v>
      </c>
      <c r="N115" s="200">
        <f t="shared" si="575"/>
        <v>0</v>
      </c>
      <c r="O115" s="200">
        <f t="shared" si="575"/>
        <v>0</v>
      </c>
      <c r="P115" s="200">
        <f t="shared" si="9"/>
        <v>1</v>
      </c>
      <c r="Q115" s="200">
        <f t="shared" ref="Q115:AC115" si="576">countif($D115,"*"&amp;Q$2&amp;"*")</f>
        <v>0</v>
      </c>
      <c r="R115" s="200">
        <f t="shared" si="576"/>
        <v>0</v>
      </c>
      <c r="S115" s="200">
        <f t="shared" si="576"/>
        <v>0</v>
      </c>
      <c r="T115" s="200">
        <f t="shared" si="576"/>
        <v>0</v>
      </c>
      <c r="U115" s="200">
        <f t="shared" si="576"/>
        <v>0</v>
      </c>
      <c r="V115" s="200">
        <f t="shared" si="576"/>
        <v>0</v>
      </c>
      <c r="W115" s="200">
        <f t="shared" si="576"/>
        <v>0</v>
      </c>
      <c r="X115" s="200">
        <f t="shared" si="576"/>
        <v>0</v>
      </c>
      <c r="Y115" s="200">
        <f t="shared" si="576"/>
        <v>0</v>
      </c>
      <c r="Z115" s="200">
        <f t="shared" si="576"/>
        <v>0</v>
      </c>
      <c r="AA115" s="200">
        <f t="shared" si="576"/>
        <v>0</v>
      </c>
      <c r="AB115" s="200">
        <f t="shared" si="576"/>
        <v>0</v>
      </c>
      <c r="AC115" s="200">
        <f t="shared" si="576"/>
        <v>0</v>
      </c>
      <c r="AD115" s="200">
        <f t="shared" si="11"/>
        <v>0</v>
      </c>
      <c r="AE115" s="200">
        <f t="shared" ref="AE115:AG115" si="577">countif($D115,"*"&amp;AE$2&amp;"*")</f>
        <v>0</v>
      </c>
      <c r="AF115" s="200">
        <f t="shared" si="577"/>
        <v>0</v>
      </c>
      <c r="AG115" s="200">
        <f t="shared" si="577"/>
        <v>0</v>
      </c>
      <c r="AH115" s="171">
        <f t="shared" si="13"/>
        <v>0</v>
      </c>
      <c r="AI115" s="200">
        <f t="shared" si="14"/>
        <v>0</v>
      </c>
      <c r="AJ115" s="200">
        <f t="shared" si="137"/>
        <v>0</v>
      </c>
      <c r="AK115" s="201">
        <f t="shared" ref="AK115:AS115" si="578">countif($D115,"*"&amp;AK$2&amp;"*")</f>
        <v>0</v>
      </c>
      <c r="AL115" s="201">
        <f t="shared" si="578"/>
        <v>0</v>
      </c>
      <c r="AM115" s="201">
        <f t="shared" si="578"/>
        <v>0</v>
      </c>
      <c r="AN115" s="201">
        <f t="shared" si="578"/>
        <v>0</v>
      </c>
      <c r="AO115" s="201">
        <f t="shared" si="578"/>
        <v>0</v>
      </c>
      <c r="AP115" s="201">
        <f t="shared" si="578"/>
        <v>0</v>
      </c>
      <c r="AQ115" s="201">
        <f t="shared" si="578"/>
        <v>0</v>
      </c>
      <c r="AR115" s="200">
        <f t="shared" si="578"/>
        <v>0</v>
      </c>
      <c r="AS115" s="200">
        <f t="shared" si="578"/>
        <v>0</v>
      </c>
      <c r="AT115" s="173">
        <v>0.0</v>
      </c>
      <c r="AU115" s="200">
        <f t="shared" ref="AU115:AX115" si="579">countif($D115,"*"&amp;AU$2&amp;"*")</f>
        <v>0</v>
      </c>
      <c r="AV115" s="200">
        <f t="shared" si="579"/>
        <v>1</v>
      </c>
      <c r="AW115" s="200">
        <f t="shared" si="579"/>
        <v>0</v>
      </c>
      <c r="AX115" s="200">
        <f t="shared" si="579"/>
        <v>0</v>
      </c>
      <c r="AY115" s="202">
        <v>0.0</v>
      </c>
      <c r="AZ115" s="200"/>
      <c r="BA115" s="171" t="str">
        <f t="shared" si="18"/>
        <v/>
      </c>
      <c r="BB115" s="171" t="str">
        <f t="shared" si="19"/>
        <v>Code</v>
      </c>
      <c r="BC115" s="171" t="str">
        <f t="shared" si="20"/>
        <v/>
      </c>
      <c r="BD115" s="171" t="str">
        <f t="shared" si="21"/>
        <v/>
      </c>
      <c r="BE115" s="171" t="str">
        <f t="shared" si="22"/>
        <v/>
      </c>
      <c r="BF115" s="171" t="str">
        <f t="shared" si="23"/>
        <v>Code</v>
      </c>
    </row>
    <row r="116">
      <c r="A116" s="171">
        <f t="array" ref="A116">XLOOKUP(C116,ICSE!A:A,ICSE!C:C,,2,1)</f>
        <v>2022</v>
      </c>
      <c r="B116" s="171" t="s">
        <v>5675</v>
      </c>
      <c r="C116" s="160">
        <v>101.0</v>
      </c>
      <c r="D116" s="161" t="s">
        <v>2535</v>
      </c>
      <c r="E116" s="197" t="str">
        <f t="array" ref="E116">XLOOKUP(C116,ICSE!A:A,ICSE!Z:Z,,0,1)</f>
        <v>Publicly available (1)</v>
      </c>
      <c r="F116" s="198" t="s">
        <v>20</v>
      </c>
      <c r="G116" s="163" t="str">
        <f t="array" ref="G116">IF(B116="ICSE",IF(COUNTIFS(B:B,B116,C:C,C116)=XLOOKUP(C116,ICSE!A:A,ICSE!AA:AA,"ERROR",0,1),"OK","ERROR"),IF(B116="FSE",IF(COUNTIFS(B:B,B116,C:C,C116)=XLOOKUP(C116,FSE!A:A,FSE!AA:AA,"ERROR",0,1),"OK","ERROR")))</f>
        <v>OK</v>
      </c>
      <c r="H116" s="199">
        <f t="shared" ref="H116:O116" si="580">countif($D116,"*"&amp;H$2&amp;"*")</f>
        <v>0</v>
      </c>
      <c r="I116" s="200">
        <f t="shared" si="580"/>
        <v>0</v>
      </c>
      <c r="J116" s="200">
        <f t="shared" si="580"/>
        <v>0</v>
      </c>
      <c r="K116" s="200">
        <f t="shared" si="580"/>
        <v>0</v>
      </c>
      <c r="L116" s="200">
        <f t="shared" si="580"/>
        <v>0</v>
      </c>
      <c r="M116" s="200">
        <f t="shared" si="580"/>
        <v>0</v>
      </c>
      <c r="N116" s="200">
        <f t="shared" si="580"/>
        <v>0</v>
      </c>
      <c r="O116" s="200">
        <f t="shared" si="580"/>
        <v>0</v>
      </c>
      <c r="P116" s="200">
        <f t="shared" si="9"/>
        <v>1</v>
      </c>
      <c r="Q116" s="200">
        <f t="shared" ref="Q116:AC116" si="581">countif($D116,"*"&amp;Q$2&amp;"*")</f>
        <v>0</v>
      </c>
      <c r="R116" s="200">
        <f t="shared" si="581"/>
        <v>0</v>
      </c>
      <c r="S116" s="200">
        <f t="shared" si="581"/>
        <v>0</v>
      </c>
      <c r="T116" s="200">
        <f t="shared" si="581"/>
        <v>0</v>
      </c>
      <c r="U116" s="200">
        <f t="shared" si="581"/>
        <v>0</v>
      </c>
      <c r="V116" s="200">
        <f t="shared" si="581"/>
        <v>0</v>
      </c>
      <c r="W116" s="200">
        <f t="shared" si="581"/>
        <v>0</v>
      </c>
      <c r="X116" s="200">
        <f t="shared" si="581"/>
        <v>0</v>
      </c>
      <c r="Y116" s="200">
        <f t="shared" si="581"/>
        <v>0</v>
      </c>
      <c r="Z116" s="200">
        <f t="shared" si="581"/>
        <v>0</v>
      </c>
      <c r="AA116" s="200">
        <f t="shared" si="581"/>
        <v>0</v>
      </c>
      <c r="AB116" s="200">
        <f t="shared" si="581"/>
        <v>0</v>
      </c>
      <c r="AC116" s="200">
        <f t="shared" si="581"/>
        <v>0</v>
      </c>
      <c r="AD116" s="200">
        <f t="shared" si="11"/>
        <v>0</v>
      </c>
      <c r="AE116" s="200">
        <f t="shared" ref="AE116:AG116" si="582">countif($D116,"*"&amp;AE$2&amp;"*")</f>
        <v>0</v>
      </c>
      <c r="AF116" s="200">
        <f t="shared" si="582"/>
        <v>0</v>
      </c>
      <c r="AG116" s="200">
        <f t="shared" si="582"/>
        <v>0</v>
      </c>
      <c r="AH116" s="171">
        <f t="shared" si="13"/>
        <v>0</v>
      </c>
      <c r="AI116" s="200">
        <f t="shared" si="14"/>
        <v>0</v>
      </c>
      <c r="AJ116" s="200">
        <f t="shared" si="137"/>
        <v>0</v>
      </c>
      <c r="AK116" s="201">
        <f t="shared" ref="AK116:AS116" si="583">countif($D116,"*"&amp;AK$2&amp;"*")</f>
        <v>0</v>
      </c>
      <c r="AL116" s="201">
        <f t="shared" si="583"/>
        <v>0</v>
      </c>
      <c r="AM116" s="201">
        <f t="shared" si="583"/>
        <v>0</v>
      </c>
      <c r="AN116" s="201">
        <f t="shared" si="583"/>
        <v>0</v>
      </c>
      <c r="AO116" s="201">
        <f t="shared" si="583"/>
        <v>0</v>
      </c>
      <c r="AP116" s="201">
        <f t="shared" si="583"/>
        <v>0</v>
      </c>
      <c r="AQ116" s="201">
        <f t="shared" si="583"/>
        <v>0</v>
      </c>
      <c r="AR116" s="200">
        <f t="shared" si="583"/>
        <v>0</v>
      </c>
      <c r="AS116" s="200">
        <f t="shared" si="583"/>
        <v>0</v>
      </c>
      <c r="AT116" s="173">
        <v>0.0</v>
      </c>
      <c r="AU116" s="200">
        <f t="shared" ref="AU116:AX116" si="584">countif($D116,"*"&amp;AU$2&amp;"*")</f>
        <v>0</v>
      </c>
      <c r="AV116" s="200">
        <f t="shared" si="584"/>
        <v>1</v>
      </c>
      <c r="AW116" s="200">
        <f t="shared" si="584"/>
        <v>0</v>
      </c>
      <c r="AX116" s="200">
        <f t="shared" si="584"/>
        <v>0</v>
      </c>
      <c r="AY116" s="202">
        <v>0.0</v>
      </c>
      <c r="AZ116" s="200"/>
      <c r="BA116" s="171" t="str">
        <f t="shared" si="18"/>
        <v/>
      </c>
      <c r="BB116" s="171" t="str">
        <f t="shared" si="19"/>
        <v>Code</v>
      </c>
      <c r="BC116" s="171" t="str">
        <f t="shared" si="20"/>
        <v/>
      </c>
      <c r="BD116" s="171" t="str">
        <f t="shared" si="21"/>
        <v/>
      </c>
      <c r="BE116" s="171" t="str">
        <f t="shared" si="22"/>
        <v/>
      </c>
      <c r="BF116" s="171" t="str">
        <f t="shared" si="23"/>
        <v>Code</v>
      </c>
    </row>
    <row r="117">
      <c r="A117" s="171">
        <f t="array" ref="A117">XLOOKUP(C117,ICSE!A:A,ICSE!C:C,,2,1)</f>
        <v>2022</v>
      </c>
      <c r="B117" s="171" t="s">
        <v>5675</v>
      </c>
      <c r="C117" s="160">
        <v>102.0</v>
      </c>
      <c r="D117" s="161" t="s">
        <v>2538</v>
      </c>
      <c r="E117" s="197" t="str">
        <f t="array" ref="E117">XLOOKUP(C117,ICSE!A:A,ICSE!Z:Z,,0,1)</f>
        <v>Publicly available (1)</v>
      </c>
      <c r="F117" s="198" t="s">
        <v>20</v>
      </c>
      <c r="G117" s="163" t="str">
        <f t="array" ref="G117">IF(B117="ICSE",IF(COUNTIFS(B:B,B117,C:C,C117)=XLOOKUP(C117,ICSE!A:A,ICSE!AA:AA,"ERROR",0,1),"OK","ERROR"),IF(B117="FSE",IF(COUNTIFS(B:B,B117,C:C,C117)=XLOOKUP(C117,FSE!A:A,FSE!AA:AA,"ERROR",0,1),"OK","ERROR")))</f>
        <v>OK</v>
      </c>
      <c r="H117" s="199">
        <f t="shared" ref="H117:O117" si="585">countif($D117,"*"&amp;H$2&amp;"*")</f>
        <v>0</v>
      </c>
      <c r="I117" s="200">
        <f t="shared" si="585"/>
        <v>0</v>
      </c>
      <c r="J117" s="200">
        <f t="shared" si="585"/>
        <v>0</v>
      </c>
      <c r="K117" s="200">
        <f t="shared" si="585"/>
        <v>0</v>
      </c>
      <c r="L117" s="200">
        <f t="shared" si="585"/>
        <v>0</v>
      </c>
      <c r="M117" s="200">
        <f t="shared" si="585"/>
        <v>0</v>
      </c>
      <c r="N117" s="200">
        <f t="shared" si="585"/>
        <v>0</v>
      </c>
      <c r="O117" s="200">
        <f t="shared" si="585"/>
        <v>0</v>
      </c>
      <c r="P117" s="200">
        <f t="shared" si="9"/>
        <v>1</v>
      </c>
      <c r="Q117" s="200">
        <f t="shared" ref="Q117:AC117" si="586">countif($D117,"*"&amp;Q$2&amp;"*")</f>
        <v>0</v>
      </c>
      <c r="R117" s="200">
        <f t="shared" si="586"/>
        <v>0</v>
      </c>
      <c r="S117" s="200">
        <f t="shared" si="586"/>
        <v>0</v>
      </c>
      <c r="T117" s="200">
        <f t="shared" si="586"/>
        <v>0</v>
      </c>
      <c r="U117" s="200">
        <f t="shared" si="586"/>
        <v>0</v>
      </c>
      <c r="V117" s="200">
        <f t="shared" si="586"/>
        <v>0</v>
      </c>
      <c r="W117" s="200">
        <f t="shared" si="586"/>
        <v>0</v>
      </c>
      <c r="X117" s="200">
        <f t="shared" si="586"/>
        <v>0</v>
      </c>
      <c r="Y117" s="200">
        <f t="shared" si="586"/>
        <v>0</v>
      </c>
      <c r="Z117" s="200">
        <f t="shared" si="586"/>
        <v>0</v>
      </c>
      <c r="AA117" s="200">
        <f t="shared" si="586"/>
        <v>0</v>
      </c>
      <c r="AB117" s="200">
        <f t="shared" si="586"/>
        <v>0</v>
      </c>
      <c r="AC117" s="200">
        <f t="shared" si="586"/>
        <v>0</v>
      </c>
      <c r="AD117" s="200">
        <f t="shared" si="11"/>
        <v>0</v>
      </c>
      <c r="AE117" s="200">
        <f t="shared" ref="AE117:AG117" si="587">countif($D117,"*"&amp;AE$2&amp;"*")</f>
        <v>0</v>
      </c>
      <c r="AF117" s="200">
        <f t="shared" si="587"/>
        <v>0</v>
      </c>
      <c r="AG117" s="200">
        <f t="shared" si="587"/>
        <v>0</v>
      </c>
      <c r="AH117" s="171">
        <f t="shared" si="13"/>
        <v>0</v>
      </c>
      <c r="AI117" s="200">
        <f t="shared" si="14"/>
        <v>0</v>
      </c>
      <c r="AJ117" s="200">
        <f t="shared" si="137"/>
        <v>0</v>
      </c>
      <c r="AK117" s="201">
        <f t="shared" ref="AK117:AS117" si="588">countif($D117,"*"&amp;AK$2&amp;"*")</f>
        <v>0</v>
      </c>
      <c r="AL117" s="201">
        <f t="shared" si="588"/>
        <v>0</v>
      </c>
      <c r="AM117" s="201">
        <f t="shared" si="588"/>
        <v>0</v>
      </c>
      <c r="AN117" s="201">
        <f t="shared" si="588"/>
        <v>0</v>
      </c>
      <c r="AO117" s="201">
        <f t="shared" si="588"/>
        <v>0</v>
      </c>
      <c r="AP117" s="201">
        <f t="shared" si="588"/>
        <v>0</v>
      </c>
      <c r="AQ117" s="201">
        <f t="shared" si="588"/>
        <v>0</v>
      </c>
      <c r="AR117" s="200">
        <f t="shared" si="588"/>
        <v>0</v>
      </c>
      <c r="AS117" s="200">
        <f t="shared" si="588"/>
        <v>0</v>
      </c>
      <c r="AT117" s="173">
        <v>0.0</v>
      </c>
      <c r="AU117" s="200">
        <f t="shared" ref="AU117:AX117" si="589">countif($D117,"*"&amp;AU$2&amp;"*")</f>
        <v>0</v>
      </c>
      <c r="AV117" s="200">
        <f t="shared" si="589"/>
        <v>1</v>
      </c>
      <c r="AW117" s="200">
        <f t="shared" si="589"/>
        <v>0</v>
      </c>
      <c r="AX117" s="200">
        <f t="shared" si="589"/>
        <v>0</v>
      </c>
      <c r="AY117" s="202">
        <v>0.0</v>
      </c>
      <c r="AZ117" s="200"/>
      <c r="BA117" s="171" t="str">
        <f t="shared" si="18"/>
        <v/>
      </c>
      <c r="BB117" s="171" t="str">
        <f t="shared" si="19"/>
        <v>Code</v>
      </c>
      <c r="BC117" s="171" t="str">
        <f t="shared" si="20"/>
        <v/>
      </c>
      <c r="BD117" s="171" t="str">
        <f t="shared" si="21"/>
        <v/>
      </c>
      <c r="BE117" s="171" t="str">
        <f t="shared" si="22"/>
        <v/>
      </c>
      <c r="BF117" s="171" t="str">
        <f t="shared" si="23"/>
        <v>Code</v>
      </c>
    </row>
    <row r="118">
      <c r="A118" s="171">
        <f t="array" ref="A118">XLOOKUP(C118,ICSE!A:A,ICSE!C:C,,2,1)</f>
        <v>2022</v>
      </c>
      <c r="B118" s="171" t="s">
        <v>5675</v>
      </c>
      <c r="C118" s="160">
        <v>103.0</v>
      </c>
      <c r="D118" s="161" t="s">
        <v>2541</v>
      </c>
      <c r="E118" s="197" t="str">
        <f t="array" ref="E118">XLOOKUP(C118,ICSE!A:A,ICSE!Z:Z,,0,1)</f>
        <v>Publicly available (1)</v>
      </c>
      <c r="F118" s="198" t="s">
        <v>20</v>
      </c>
      <c r="G118" s="163" t="str">
        <f t="array" ref="G118">IF(B118="ICSE",IF(COUNTIFS(B:B,B118,C:C,C118)=XLOOKUP(C118,ICSE!A:A,ICSE!AA:AA,"ERROR",0,1),"OK","ERROR"),IF(B118="FSE",IF(COUNTIFS(B:B,B118,C:C,C118)=XLOOKUP(C118,FSE!A:A,FSE!AA:AA,"ERROR",0,1),"OK","ERROR")))</f>
        <v>OK</v>
      </c>
      <c r="H118" s="199">
        <f t="shared" ref="H118:O118" si="590">countif($D118,"*"&amp;H$2&amp;"*")</f>
        <v>0</v>
      </c>
      <c r="I118" s="200">
        <f t="shared" si="590"/>
        <v>0</v>
      </c>
      <c r="J118" s="200">
        <f t="shared" si="590"/>
        <v>0</v>
      </c>
      <c r="K118" s="200">
        <f t="shared" si="590"/>
        <v>0</v>
      </c>
      <c r="L118" s="200">
        <f t="shared" si="590"/>
        <v>0</v>
      </c>
      <c r="M118" s="200">
        <f t="shared" si="590"/>
        <v>0</v>
      </c>
      <c r="N118" s="200">
        <f t="shared" si="590"/>
        <v>0</v>
      </c>
      <c r="O118" s="200">
        <f t="shared" si="590"/>
        <v>0</v>
      </c>
      <c r="P118" s="200">
        <f t="shared" si="9"/>
        <v>1</v>
      </c>
      <c r="Q118" s="200">
        <f t="shared" ref="Q118:AC118" si="591">countif($D118,"*"&amp;Q$2&amp;"*")</f>
        <v>0</v>
      </c>
      <c r="R118" s="200">
        <f t="shared" si="591"/>
        <v>0</v>
      </c>
      <c r="S118" s="200">
        <f t="shared" si="591"/>
        <v>0</v>
      </c>
      <c r="T118" s="200">
        <f t="shared" si="591"/>
        <v>0</v>
      </c>
      <c r="U118" s="200">
        <f t="shared" si="591"/>
        <v>0</v>
      </c>
      <c r="V118" s="200">
        <f t="shared" si="591"/>
        <v>0</v>
      </c>
      <c r="W118" s="200">
        <f t="shared" si="591"/>
        <v>0</v>
      </c>
      <c r="X118" s="200">
        <f t="shared" si="591"/>
        <v>0</v>
      </c>
      <c r="Y118" s="200">
        <f t="shared" si="591"/>
        <v>0</v>
      </c>
      <c r="Z118" s="200">
        <f t="shared" si="591"/>
        <v>0</v>
      </c>
      <c r="AA118" s="200">
        <f t="shared" si="591"/>
        <v>0</v>
      </c>
      <c r="AB118" s="200">
        <f t="shared" si="591"/>
        <v>0</v>
      </c>
      <c r="AC118" s="200">
        <f t="shared" si="591"/>
        <v>0</v>
      </c>
      <c r="AD118" s="200">
        <f t="shared" si="11"/>
        <v>0</v>
      </c>
      <c r="AE118" s="200">
        <f t="shared" ref="AE118:AG118" si="592">countif($D118,"*"&amp;AE$2&amp;"*")</f>
        <v>0</v>
      </c>
      <c r="AF118" s="200">
        <f t="shared" si="592"/>
        <v>0</v>
      </c>
      <c r="AG118" s="200">
        <f t="shared" si="592"/>
        <v>0</v>
      </c>
      <c r="AH118" s="171">
        <f t="shared" si="13"/>
        <v>0</v>
      </c>
      <c r="AI118" s="200">
        <f t="shared" si="14"/>
        <v>0</v>
      </c>
      <c r="AJ118" s="200">
        <f t="shared" si="137"/>
        <v>0</v>
      </c>
      <c r="AK118" s="201">
        <f t="shared" ref="AK118:AS118" si="593">countif($D118,"*"&amp;AK$2&amp;"*")</f>
        <v>0</v>
      </c>
      <c r="AL118" s="201">
        <f t="shared" si="593"/>
        <v>0</v>
      </c>
      <c r="AM118" s="201">
        <f t="shared" si="593"/>
        <v>0</v>
      </c>
      <c r="AN118" s="201">
        <f t="shared" si="593"/>
        <v>0</v>
      </c>
      <c r="AO118" s="201">
        <f t="shared" si="593"/>
        <v>0</v>
      </c>
      <c r="AP118" s="201">
        <f t="shared" si="593"/>
        <v>0</v>
      </c>
      <c r="AQ118" s="201">
        <f t="shared" si="593"/>
        <v>0</v>
      </c>
      <c r="AR118" s="200">
        <f t="shared" si="593"/>
        <v>0</v>
      </c>
      <c r="AS118" s="200">
        <f t="shared" si="593"/>
        <v>0</v>
      </c>
      <c r="AT118" s="173">
        <v>0.0</v>
      </c>
      <c r="AU118" s="200">
        <f t="shared" ref="AU118:AX118" si="594">countif($D118,"*"&amp;AU$2&amp;"*")</f>
        <v>0</v>
      </c>
      <c r="AV118" s="200">
        <f t="shared" si="594"/>
        <v>1</v>
      </c>
      <c r="AW118" s="200">
        <f t="shared" si="594"/>
        <v>0</v>
      </c>
      <c r="AX118" s="200">
        <f t="shared" si="594"/>
        <v>0</v>
      </c>
      <c r="AY118" s="202">
        <v>0.0</v>
      </c>
      <c r="AZ118" s="200"/>
      <c r="BA118" s="171" t="str">
        <f t="shared" si="18"/>
        <v/>
      </c>
      <c r="BB118" s="171" t="str">
        <f t="shared" si="19"/>
        <v>Code</v>
      </c>
      <c r="BC118" s="171" t="str">
        <f t="shared" si="20"/>
        <v/>
      </c>
      <c r="BD118" s="171" t="str">
        <f t="shared" si="21"/>
        <v/>
      </c>
      <c r="BE118" s="171" t="str">
        <f t="shared" si="22"/>
        <v/>
      </c>
      <c r="BF118" s="171" t="str">
        <f t="shared" si="23"/>
        <v>Code</v>
      </c>
    </row>
    <row r="119">
      <c r="A119" s="171">
        <f t="array" ref="A119">XLOOKUP(C119,ICSE!A:A,ICSE!C:C,,2,1)</f>
        <v>2022</v>
      </c>
      <c r="B119" s="171" t="s">
        <v>5675</v>
      </c>
      <c r="C119" s="160">
        <v>104.0</v>
      </c>
      <c r="D119" s="161" t="s">
        <v>2543</v>
      </c>
      <c r="E119" s="197" t="str">
        <f t="array" ref="E119">XLOOKUP(C119,ICSE!A:A,ICSE!Z:Z,,0,1)</f>
        <v>Publicly available (1)</v>
      </c>
      <c r="F119" s="198" t="s">
        <v>20</v>
      </c>
      <c r="G119" s="163" t="str">
        <f t="array" ref="G119">IF(B119="ICSE",IF(COUNTIFS(B:B,B119,C:C,C119)=XLOOKUP(C119,ICSE!A:A,ICSE!AA:AA,"ERROR",0,1),"OK","ERROR"),IF(B119="FSE",IF(COUNTIFS(B:B,B119,C:C,C119)=XLOOKUP(C119,FSE!A:A,FSE!AA:AA,"ERROR",0,1),"OK","ERROR")))</f>
        <v>OK</v>
      </c>
      <c r="H119" s="199">
        <f t="shared" ref="H119:O119" si="595">countif($D119,"*"&amp;H$2&amp;"*")</f>
        <v>0</v>
      </c>
      <c r="I119" s="200">
        <f t="shared" si="595"/>
        <v>0</v>
      </c>
      <c r="J119" s="200">
        <f t="shared" si="595"/>
        <v>0</v>
      </c>
      <c r="K119" s="200">
        <f t="shared" si="595"/>
        <v>0</v>
      </c>
      <c r="L119" s="200">
        <f t="shared" si="595"/>
        <v>0</v>
      </c>
      <c r="M119" s="200">
        <f t="shared" si="595"/>
        <v>0</v>
      </c>
      <c r="N119" s="200">
        <f t="shared" si="595"/>
        <v>0</v>
      </c>
      <c r="O119" s="200">
        <f t="shared" si="595"/>
        <v>0</v>
      </c>
      <c r="P119" s="200">
        <f t="shared" si="9"/>
        <v>1</v>
      </c>
      <c r="Q119" s="200">
        <f t="shared" ref="Q119:AC119" si="596">countif($D119,"*"&amp;Q$2&amp;"*")</f>
        <v>0</v>
      </c>
      <c r="R119" s="200">
        <f t="shared" si="596"/>
        <v>0</v>
      </c>
      <c r="S119" s="200">
        <f t="shared" si="596"/>
        <v>0</v>
      </c>
      <c r="T119" s="200">
        <f t="shared" si="596"/>
        <v>0</v>
      </c>
      <c r="U119" s="200">
        <f t="shared" si="596"/>
        <v>0</v>
      </c>
      <c r="V119" s="200">
        <f t="shared" si="596"/>
        <v>0</v>
      </c>
      <c r="W119" s="200">
        <f t="shared" si="596"/>
        <v>0</v>
      </c>
      <c r="X119" s="200">
        <f t="shared" si="596"/>
        <v>0</v>
      </c>
      <c r="Y119" s="200">
        <f t="shared" si="596"/>
        <v>0</v>
      </c>
      <c r="Z119" s="200">
        <f t="shared" si="596"/>
        <v>0</v>
      </c>
      <c r="AA119" s="200">
        <f t="shared" si="596"/>
        <v>0</v>
      </c>
      <c r="AB119" s="200">
        <f t="shared" si="596"/>
        <v>0</v>
      </c>
      <c r="AC119" s="200">
        <f t="shared" si="596"/>
        <v>0</v>
      </c>
      <c r="AD119" s="200">
        <f t="shared" si="11"/>
        <v>0</v>
      </c>
      <c r="AE119" s="200">
        <f t="shared" ref="AE119:AG119" si="597">countif($D119,"*"&amp;AE$2&amp;"*")</f>
        <v>0</v>
      </c>
      <c r="AF119" s="200">
        <f t="shared" si="597"/>
        <v>0</v>
      </c>
      <c r="AG119" s="200">
        <f t="shared" si="597"/>
        <v>0</v>
      </c>
      <c r="AH119" s="171">
        <f t="shared" si="13"/>
        <v>0</v>
      </c>
      <c r="AI119" s="200">
        <f t="shared" si="14"/>
        <v>0</v>
      </c>
      <c r="AJ119" s="200">
        <f t="shared" si="137"/>
        <v>0</v>
      </c>
      <c r="AK119" s="201">
        <f t="shared" ref="AK119:AS119" si="598">countif($D119,"*"&amp;AK$2&amp;"*")</f>
        <v>0</v>
      </c>
      <c r="AL119" s="201">
        <f t="shared" si="598"/>
        <v>0</v>
      </c>
      <c r="AM119" s="201">
        <f t="shared" si="598"/>
        <v>0</v>
      </c>
      <c r="AN119" s="201">
        <f t="shared" si="598"/>
        <v>0</v>
      </c>
      <c r="AO119" s="201">
        <f t="shared" si="598"/>
        <v>0</v>
      </c>
      <c r="AP119" s="201">
        <f t="shared" si="598"/>
        <v>0</v>
      </c>
      <c r="AQ119" s="201">
        <f t="shared" si="598"/>
        <v>0</v>
      </c>
      <c r="AR119" s="200">
        <f t="shared" si="598"/>
        <v>0</v>
      </c>
      <c r="AS119" s="200">
        <f t="shared" si="598"/>
        <v>0</v>
      </c>
      <c r="AT119" s="173">
        <v>0.0</v>
      </c>
      <c r="AU119" s="200">
        <f t="shared" ref="AU119:AX119" si="599">countif($D119,"*"&amp;AU$2&amp;"*")</f>
        <v>0</v>
      </c>
      <c r="AV119" s="200">
        <f t="shared" si="599"/>
        <v>1</v>
      </c>
      <c r="AW119" s="200">
        <f t="shared" si="599"/>
        <v>0</v>
      </c>
      <c r="AX119" s="200">
        <f t="shared" si="599"/>
        <v>0</v>
      </c>
      <c r="AY119" s="202">
        <v>0.0</v>
      </c>
      <c r="AZ119" s="200"/>
      <c r="BA119" s="171" t="str">
        <f t="shared" si="18"/>
        <v/>
      </c>
      <c r="BB119" s="171" t="str">
        <f t="shared" si="19"/>
        <v>Code</v>
      </c>
      <c r="BC119" s="171" t="str">
        <f t="shared" si="20"/>
        <v/>
      </c>
      <c r="BD119" s="171" t="str">
        <f t="shared" si="21"/>
        <v/>
      </c>
      <c r="BE119" s="171" t="str">
        <f t="shared" si="22"/>
        <v/>
      </c>
      <c r="BF119" s="171" t="str">
        <f t="shared" si="23"/>
        <v>Code</v>
      </c>
    </row>
    <row r="120">
      <c r="A120" s="171">
        <f t="array" ref="A120">XLOOKUP(C120,ICSE!A:A,ICSE!C:C,,2,1)</f>
        <v>2022</v>
      </c>
      <c r="B120" s="171" t="s">
        <v>5675</v>
      </c>
      <c r="C120" s="160">
        <v>105.0</v>
      </c>
      <c r="D120" s="161" t="s">
        <v>5780</v>
      </c>
      <c r="E120" s="197" t="str">
        <f t="array" ref="E120">XLOOKUP(C120,ICSE!A:A,ICSE!Z:Z,,0,1)</f>
        <v>Publicly available (1)</v>
      </c>
      <c r="F120" s="198" t="s">
        <v>20</v>
      </c>
      <c r="G120" s="163" t="str">
        <f t="array" ref="G120">IF(B120="ICSE",IF(COUNTIFS(B:B,B120,C:C,C120)=XLOOKUP(C120,ICSE!A:A,ICSE!AA:AA,"ERROR",0,1),"OK","ERROR"),IF(B120="FSE",IF(COUNTIFS(B:B,B120,C:C,C120)=XLOOKUP(C120,FSE!A:A,FSE!AA:AA,"ERROR",0,1),"OK","ERROR")))</f>
        <v>OK</v>
      </c>
      <c r="H120" s="199">
        <f t="shared" ref="H120:O120" si="600">countif($D120,"*"&amp;H$2&amp;"*")</f>
        <v>0</v>
      </c>
      <c r="I120" s="200">
        <f t="shared" si="600"/>
        <v>0</v>
      </c>
      <c r="J120" s="200">
        <f t="shared" si="600"/>
        <v>0</v>
      </c>
      <c r="K120" s="200">
        <f t="shared" si="600"/>
        <v>0</v>
      </c>
      <c r="L120" s="200">
        <f t="shared" si="600"/>
        <v>0</v>
      </c>
      <c r="M120" s="200">
        <f t="shared" si="600"/>
        <v>0</v>
      </c>
      <c r="N120" s="200">
        <f t="shared" si="600"/>
        <v>0</v>
      </c>
      <c r="O120" s="200">
        <f t="shared" si="600"/>
        <v>0</v>
      </c>
      <c r="P120" s="200">
        <f t="shared" si="9"/>
        <v>1</v>
      </c>
      <c r="Q120" s="200">
        <f t="shared" ref="Q120:AC120" si="601">countif($D120,"*"&amp;Q$2&amp;"*")</f>
        <v>0</v>
      </c>
      <c r="R120" s="200">
        <f t="shared" si="601"/>
        <v>0</v>
      </c>
      <c r="S120" s="200">
        <f t="shared" si="601"/>
        <v>0</v>
      </c>
      <c r="T120" s="200">
        <f t="shared" si="601"/>
        <v>0</v>
      </c>
      <c r="U120" s="200">
        <f t="shared" si="601"/>
        <v>0</v>
      </c>
      <c r="V120" s="200">
        <f t="shared" si="601"/>
        <v>0</v>
      </c>
      <c r="W120" s="200">
        <f t="shared" si="601"/>
        <v>0</v>
      </c>
      <c r="X120" s="200">
        <f t="shared" si="601"/>
        <v>0</v>
      </c>
      <c r="Y120" s="200">
        <f t="shared" si="601"/>
        <v>0</v>
      </c>
      <c r="Z120" s="200">
        <f t="shared" si="601"/>
        <v>0</v>
      </c>
      <c r="AA120" s="200">
        <f t="shared" si="601"/>
        <v>0</v>
      </c>
      <c r="AB120" s="200">
        <f t="shared" si="601"/>
        <v>0</v>
      </c>
      <c r="AC120" s="200">
        <f t="shared" si="601"/>
        <v>0</v>
      </c>
      <c r="AD120" s="200">
        <f t="shared" si="11"/>
        <v>0</v>
      </c>
      <c r="AE120" s="200">
        <f t="shared" ref="AE120:AG120" si="602">countif($D120,"*"&amp;AE$2&amp;"*")</f>
        <v>0</v>
      </c>
      <c r="AF120" s="200">
        <f t="shared" si="602"/>
        <v>0</v>
      </c>
      <c r="AG120" s="200">
        <f t="shared" si="602"/>
        <v>0</v>
      </c>
      <c r="AH120" s="171">
        <f t="shared" si="13"/>
        <v>0</v>
      </c>
      <c r="AI120" s="200">
        <f t="shared" si="14"/>
        <v>0</v>
      </c>
      <c r="AJ120" s="200">
        <f t="shared" si="137"/>
        <v>1</v>
      </c>
      <c r="AK120" s="201">
        <f t="shared" ref="AK120:AS120" si="603">countif($D120,"*"&amp;AK$2&amp;"*")</f>
        <v>1</v>
      </c>
      <c r="AL120" s="201">
        <f t="shared" si="603"/>
        <v>0</v>
      </c>
      <c r="AM120" s="201">
        <f t="shared" si="603"/>
        <v>0</v>
      </c>
      <c r="AN120" s="201">
        <f t="shared" si="603"/>
        <v>0</v>
      </c>
      <c r="AO120" s="201">
        <f t="shared" si="603"/>
        <v>0</v>
      </c>
      <c r="AP120" s="201">
        <f t="shared" si="603"/>
        <v>0</v>
      </c>
      <c r="AQ120" s="201">
        <f t="shared" si="603"/>
        <v>0</v>
      </c>
      <c r="AR120" s="200">
        <f t="shared" si="603"/>
        <v>0</v>
      </c>
      <c r="AS120" s="200">
        <f t="shared" si="603"/>
        <v>1</v>
      </c>
      <c r="AT120" s="173">
        <v>0.0</v>
      </c>
      <c r="AU120" s="200">
        <f t="shared" ref="AU120:AX120" si="604">countif($D120,"*"&amp;AU$2&amp;"*")</f>
        <v>0</v>
      </c>
      <c r="AV120" s="200">
        <f t="shared" si="604"/>
        <v>1</v>
      </c>
      <c r="AW120" s="200">
        <f t="shared" si="604"/>
        <v>0</v>
      </c>
      <c r="AX120" s="200">
        <f t="shared" si="604"/>
        <v>0</v>
      </c>
      <c r="AY120" s="202">
        <v>0.0</v>
      </c>
      <c r="AZ120" s="200"/>
      <c r="BA120" s="171" t="str">
        <f t="shared" si="18"/>
        <v/>
      </c>
      <c r="BB120" s="171" t="str">
        <f t="shared" si="19"/>
        <v>Code</v>
      </c>
      <c r="BC120" s="171" t="str">
        <f t="shared" si="20"/>
        <v/>
      </c>
      <c r="BD120" s="171" t="str">
        <f t="shared" si="21"/>
        <v/>
      </c>
      <c r="BE120" s="171" t="str">
        <f t="shared" si="22"/>
        <v/>
      </c>
      <c r="BF120" s="171" t="str">
        <f t="shared" si="23"/>
        <v>Code</v>
      </c>
    </row>
    <row r="121">
      <c r="A121" s="171">
        <f t="array" ref="A121">XLOOKUP(C121,ICSE!A:A,ICSE!C:C,,2,1)</f>
        <v>2022</v>
      </c>
      <c r="B121" s="171" t="s">
        <v>5675</v>
      </c>
      <c r="C121" s="160">
        <v>108.0</v>
      </c>
      <c r="D121" s="161" t="s">
        <v>2552</v>
      </c>
      <c r="E121" s="197" t="str">
        <f t="array" ref="E121">XLOOKUP(C121,ICSE!A:A,ICSE!Z:Z,,0,1)</f>
        <v>Publicly available (1)</v>
      </c>
      <c r="F121" s="198" t="s">
        <v>20</v>
      </c>
      <c r="G121" s="163" t="str">
        <f t="array" ref="G121">IF(B121="ICSE",IF(COUNTIFS(B:B,B121,C:C,C121)=XLOOKUP(C121,ICSE!A:A,ICSE!AA:AA,"ERROR",0,1),"OK","ERROR"),IF(B121="FSE",IF(COUNTIFS(B:B,B121,C:C,C121)=XLOOKUP(C121,FSE!A:A,FSE!AA:AA,"ERROR",0,1),"OK","ERROR")))</f>
        <v>OK</v>
      </c>
      <c r="H121" s="199">
        <f t="shared" ref="H121:O121" si="605">countif($D121,"*"&amp;H$2&amp;"*")</f>
        <v>1</v>
      </c>
      <c r="I121" s="200">
        <f t="shared" si="605"/>
        <v>0</v>
      </c>
      <c r="J121" s="200">
        <f t="shared" si="605"/>
        <v>0</v>
      </c>
      <c r="K121" s="200">
        <f t="shared" si="605"/>
        <v>0</v>
      </c>
      <c r="L121" s="200">
        <f t="shared" si="605"/>
        <v>0</v>
      </c>
      <c r="M121" s="200">
        <f t="shared" si="605"/>
        <v>0</v>
      </c>
      <c r="N121" s="200">
        <f t="shared" si="605"/>
        <v>0</v>
      </c>
      <c r="O121" s="200">
        <f t="shared" si="605"/>
        <v>0</v>
      </c>
      <c r="P121" s="200">
        <f t="shared" si="9"/>
        <v>0</v>
      </c>
      <c r="Q121" s="200">
        <f t="shared" ref="Q121:AC121" si="606">countif($D121,"*"&amp;Q$2&amp;"*")</f>
        <v>0</v>
      </c>
      <c r="R121" s="200">
        <f t="shared" si="606"/>
        <v>0</v>
      </c>
      <c r="S121" s="200">
        <f t="shared" si="606"/>
        <v>0</v>
      </c>
      <c r="T121" s="200">
        <f t="shared" si="606"/>
        <v>0</v>
      </c>
      <c r="U121" s="200">
        <f t="shared" si="606"/>
        <v>0</v>
      </c>
      <c r="V121" s="200">
        <f t="shared" si="606"/>
        <v>0</v>
      </c>
      <c r="W121" s="200">
        <f t="shared" si="606"/>
        <v>0</v>
      </c>
      <c r="X121" s="200">
        <f t="shared" si="606"/>
        <v>0</v>
      </c>
      <c r="Y121" s="200">
        <f t="shared" si="606"/>
        <v>0</v>
      </c>
      <c r="Z121" s="200">
        <f t="shared" si="606"/>
        <v>0</v>
      </c>
      <c r="AA121" s="200">
        <f t="shared" si="606"/>
        <v>0</v>
      </c>
      <c r="AB121" s="200">
        <f t="shared" si="606"/>
        <v>0</v>
      </c>
      <c r="AC121" s="200">
        <f t="shared" si="606"/>
        <v>0</v>
      </c>
      <c r="AD121" s="200">
        <f t="shared" si="11"/>
        <v>0</v>
      </c>
      <c r="AE121" s="200">
        <f t="shared" ref="AE121:AG121" si="607">countif($D121,"*"&amp;AE$2&amp;"*")</f>
        <v>0</v>
      </c>
      <c r="AF121" s="200">
        <f t="shared" si="607"/>
        <v>0</v>
      </c>
      <c r="AG121" s="200">
        <f t="shared" si="607"/>
        <v>0</v>
      </c>
      <c r="AH121" s="171">
        <f t="shared" si="13"/>
        <v>0</v>
      </c>
      <c r="AI121" s="200">
        <f t="shared" si="14"/>
        <v>1</v>
      </c>
      <c r="AJ121" s="200">
        <f t="shared" si="137"/>
        <v>0</v>
      </c>
      <c r="AK121" s="201">
        <f t="shared" ref="AK121:AS121" si="608">countif($D121,"*"&amp;AK$2&amp;"*")</f>
        <v>0</v>
      </c>
      <c r="AL121" s="201">
        <f t="shared" si="608"/>
        <v>0</v>
      </c>
      <c r="AM121" s="201">
        <f t="shared" si="608"/>
        <v>0</v>
      </c>
      <c r="AN121" s="201">
        <f t="shared" si="608"/>
        <v>0</v>
      </c>
      <c r="AO121" s="201">
        <f t="shared" si="608"/>
        <v>0</v>
      </c>
      <c r="AP121" s="201">
        <f t="shared" si="608"/>
        <v>0</v>
      </c>
      <c r="AQ121" s="201">
        <f t="shared" si="608"/>
        <v>0</v>
      </c>
      <c r="AR121" s="200">
        <f t="shared" si="608"/>
        <v>0</v>
      </c>
      <c r="AS121" s="200">
        <f t="shared" si="608"/>
        <v>0</v>
      </c>
      <c r="AT121" s="173">
        <v>0.0</v>
      </c>
      <c r="AU121" s="200">
        <f t="shared" ref="AU121:AX121" si="609">countif($D121,"*"&amp;AU$2&amp;"*")</f>
        <v>0</v>
      </c>
      <c r="AV121" s="200">
        <f t="shared" si="609"/>
        <v>0</v>
      </c>
      <c r="AW121" s="200">
        <f t="shared" si="609"/>
        <v>0</v>
      </c>
      <c r="AX121" s="200">
        <f t="shared" si="609"/>
        <v>1</v>
      </c>
      <c r="AY121" s="202">
        <v>0.0</v>
      </c>
      <c r="AZ121" s="200"/>
      <c r="BA121" s="171" t="str">
        <f t="shared" si="18"/>
        <v>Archival</v>
      </c>
      <c r="BB121" s="171" t="str">
        <f t="shared" si="19"/>
        <v/>
      </c>
      <c r="BC121" s="171" t="str">
        <f t="shared" si="20"/>
        <v/>
      </c>
      <c r="BD121" s="171" t="str">
        <f t="shared" si="21"/>
        <v/>
      </c>
      <c r="BE121" s="171" t="str">
        <f t="shared" si="22"/>
        <v/>
      </c>
      <c r="BF121" s="171" t="str">
        <f t="shared" si="23"/>
        <v>Archival</v>
      </c>
    </row>
    <row r="122">
      <c r="A122" s="171">
        <f t="array" ref="A122">XLOOKUP(C122,ICSE!A:A,ICSE!C:C,,2,1)</f>
        <v>2022</v>
      </c>
      <c r="B122" s="171" t="s">
        <v>5675</v>
      </c>
      <c r="C122" s="160">
        <v>109.0</v>
      </c>
      <c r="D122" s="161" t="s">
        <v>2555</v>
      </c>
      <c r="E122" s="197" t="str">
        <f t="array" ref="E122">XLOOKUP(C122,ICSE!A:A,ICSE!Z:Z,,0,1)</f>
        <v>Publicly available (1)</v>
      </c>
      <c r="F122" s="198" t="s">
        <v>20</v>
      </c>
      <c r="G122" s="163" t="str">
        <f t="array" ref="G122">IF(B122="ICSE",IF(COUNTIFS(B:B,B122,C:C,C122)=XLOOKUP(C122,ICSE!A:A,ICSE!AA:AA,"ERROR",0,1),"OK","ERROR"),IF(B122="FSE",IF(COUNTIFS(B:B,B122,C:C,C122)=XLOOKUP(C122,FSE!A:A,FSE!AA:AA,"ERROR",0,1),"OK","ERROR")))</f>
        <v>OK</v>
      </c>
      <c r="H122" s="199">
        <f t="shared" ref="H122:O122" si="610">countif($D122,"*"&amp;H$2&amp;"*")</f>
        <v>0</v>
      </c>
      <c r="I122" s="200">
        <f t="shared" si="610"/>
        <v>1</v>
      </c>
      <c r="J122" s="200">
        <f t="shared" si="610"/>
        <v>0</v>
      </c>
      <c r="K122" s="200">
        <f t="shared" si="610"/>
        <v>0</v>
      </c>
      <c r="L122" s="200">
        <f t="shared" si="610"/>
        <v>0</v>
      </c>
      <c r="M122" s="200">
        <f t="shared" si="610"/>
        <v>0</v>
      </c>
      <c r="N122" s="200">
        <f t="shared" si="610"/>
        <v>0</v>
      </c>
      <c r="O122" s="200">
        <f t="shared" si="610"/>
        <v>0</v>
      </c>
      <c r="P122" s="200">
        <f t="shared" si="9"/>
        <v>0</v>
      </c>
      <c r="Q122" s="200">
        <f t="shared" ref="Q122:AC122" si="611">countif($D122,"*"&amp;Q$2&amp;"*")</f>
        <v>0</v>
      </c>
      <c r="R122" s="200">
        <f t="shared" si="611"/>
        <v>0</v>
      </c>
      <c r="S122" s="200">
        <f t="shared" si="611"/>
        <v>0</v>
      </c>
      <c r="T122" s="200">
        <f t="shared" si="611"/>
        <v>0</v>
      </c>
      <c r="U122" s="200">
        <f t="shared" si="611"/>
        <v>0</v>
      </c>
      <c r="V122" s="200">
        <f t="shared" si="611"/>
        <v>0</v>
      </c>
      <c r="W122" s="200">
        <f t="shared" si="611"/>
        <v>0</v>
      </c>
      <c r="X122" s="200">
        <f t="shared" si="611"/>
        <v>0</v>
      </c>
      <c r="Y122" s="200">
        <f t="shared" si="611"/>
        <v>0</v>
      </c>
      <c r="Z122" s="200">
        <f t="shared" si="611"/>
        <v>0</v>
      </c>
      <c r="AA122" s="200">
        <f t="shared" si="611"/>
        <v>0</v>
      </c>
      <c r="AB122" s="200">
        <f t="shared" si="611"/>
        <v>0</v>
      </c>
      <c r="AC122" s="200">
        <f t="shared" si="611"/>
        <v>0</v>
      </c>
      <c r="AD122" s="200">
        <f t="shared" si="11"/>
        <v>0</v>
      </c>
      <c r="AE122" s="200">
        <f t="shared" ref="AE122:AG122" si="612">countif($D122,"*"&amp;AE$2&amp;"*")</f>
        <v>0</v>
      </c>
      <c r="AF122" s="200">
        <f t="shared" si="612"/>
        <v>0</v>
      </c>
      <c r="AG122" s="200">
        <f t="shared" si="612"/>
        <v>0</v>
      </c>
      <c r="AH122" s="171">
        <f t="shared" si="13"/>
        <v>0</v>
      </c>
      <c r="AI122" s="200">
        <f t="shared" si="14"/>
        <v>1</v>
      </c>
      <c r="AJ122" s="200">
        <f t="shared" si="137"/>
        <v>0</v>
      </c>
      <c r="AK122" s="201">
        <f t="shared" ref="AK122:AS122" si="613">countif($D122,"*"&amp;AK$2&amp;"*")</f>
        <v>0</v>
      </c>
      <c r="AL122" s="201">
        <f t="shared" si="613"/>
        <v>0</v>
      </c>
      <c r="AM122" s="201">
        <f t="shared" si="613"/>
        <v>0</v>
      </c>
      <c r="AN122" s="201">
        <f t="shared" si="613"/>
        <v>0</v>
      </c>
      <c r="AO122" s="201">
        <f t="shared" si="613"/>
        <v>0</v>
      </c>
      <c r="AP122" s="201">
        <f t="shared" si="613"/>
        <v>0</v>
      </c>
      <c r="AQ122" s="201">
        <f t="shared" si="613"/>
        <v>0</v>
      </c>
      <c r="AR122" s="200">
        <f t="shared" si="613"/>
        <v>0</v>
      </c>
      <c r="AS122" s="200">
        <f t="shared" si="613"/>
        <v>0</v>
      </c>
      <c r="AT122" s="173">
        <v>0.0</v>
      </c>
      <c r="AU122" s="200">
        <f t="shared" ref="AU122:AX122" si="614">countif($D122,"*"&amp;AU$2&amp;"*")</f>
        <v>0</v>
      </c>
      <c r="AV122" s="200">
        <f t="shared" si="614"/>
        <v>0</v>
      </c>
      <c r="AW122" s="200">
        <f t="shared" si="614"/>
        <v>0</v>
      </c>
      <c r="AX122" s="200">
        <f t="shared" si="614"/>
        <v>1</v>
      </c>
      <c r="AY122" s="202">
        <v>0.0</v>
      </c>
      <c r="AZ122" s="200"/>
      <c r="BA122" s="171" t="str">
        <f t="shared" si="18"/>
        <v>Archival</v>
      </c>
      <c r="BB122" s="171" t="str">
        <f t="shared" si="19"/>
        <v/>
      </c>
      <c r="BC122" s="171" t="str">
        <f t="shared" si="20"/>
        <v/>
      </c>
      <c r="BD122" s="171" t="str">
        <f t="shared" si="21"/>
        <v/>
      </c>
      <c r="BE122" s="171" t="str">
        <f t="shared" si="22"/>
        <v/>
      </c>
      <c r="BF122" s="171" t="str">
        <f t="shared" si="23"/>
        <v>Archival</v>
      </c>
    </row>
    <row r="123">
      <c r="A123" s="171">
        <f t="array" ref="A123">XLOOKUP(C123,ICSE!A:A,ICSE!C:C,,2,1)</f>
        <v>2022</v>
      </c>
      <c r="B123" s="171" t="s">
        <v>5675</v>
      </c>
      <c r="C123" s="160">
        <v>110.0</v>
      </c>
      <c r="D123" s="161" t="s">
        <v>5781</v>
      </c>
      <c r="E123" s="197" t="str">
        <f t="array" ref="E123">XLOOKUP(C123,ICSE!A:A,ICSE!Z:Z,,0,1)</f>
        <v>Publicly available (2)</v>
      </c>
      <c r="F123" s="198" t="s">
        <v>20</v>
      </c>
      <c r="G123" s="163" t="str">
        <f t="array" ref="G123">IF(B123="ICSE",IF(COUNTIFS(B:B,B123,C:C,C123)=XLOOKUP(C123,ICSE!A:A,ICSE!AA:AA,"ERROR",0,1),"OK","ERROR"),IF(B123="FSE",IF(COUNTIFS(B:B,B123,C:C,C123)=XLOOKUP(C123,FSE!A:A,FSE!AA:AA,"ERROR",0,1),"OK","ERROR")))</f>
        <v>OK</v>
      </c>
      <c r="H123" s="199">
        <f t="shared" ref="H123:O123" si="615">countif($D123,"*"&amp;H$2&amp;"*")</f>
        <v>0</v>
      </c>
      <c r="I123" s="200">
        <f t="shared" si="615"/>
        <v>0</v>
      </c>
      <c r="J123" s="200">
        <f t="shared" si="615"/>
        <v>0</v>
      </c>
      <c r="K123" s="200">
        <f t="shared" si="615"/>
        <v>0</v>
      </c>
      <c r="L123" s="200">
        <f t="shared" si="615"/>
        <v>0</v>
      </c>
      <c r="M123" s="200">
        <f t="shared" si="615"/>
        <v>0</v>
      </c>
      <c r="N123" s="200">
        <f t="shared" si="615"/>
        <v>0</v>
      </c>
      <c r="O123" s="200">
        <f t="shared" si="615"/>
        <v>0</v>
      </c>
      <c r="P123" s="200">
        <f t="shared" si="9"/>
        <v>1</v>
      </c>
      <c r="Q123" s="200">
        <f t="shared" ref="Q123:AC123" si="616">countif($D123,"*"&amp;Q$2&amp;"*")</f>
        <v>0</v>
      </c>
      <c r="R123" s="200">
        <f t="shared" si="616"/>
        <v>0</v>
      </c>
      <c r="S123" s="200">
        <f t="shared" si="616"/>
        <v>0</v>
      </c>
      <c r="T123" s="200">
        <f t="shared" si="616"/>
        <v>0</v>
      </c>
      <c r="U123" s="200">
        <f t="shared" si="616"/>
        <v>0</v>
      </c>
      <c r="V123" s="200">
        <f t="shared" si="616"/>
        <v>0</v>
      </c>
      <c r="W123" s="200">
        <f t="shared" si="616"/>
        <v>0</v>
      </c>
      <c r="X123" s="200">
        <f t="shared" si="616"/>
        <v>0</v>
      </c>
      <c r="Y123" s="200">
        <f t="shared" si="616"/>
        <v>0</v>
      </c>
      <c r="Z123" s="200">
        <f t="shared" si="616"/>
        <v>0</v>
      </c>
      <c r="AA123" s="200">
        <f t="shared" si="616"/>
        <v>0</v>
      </c>
      <c r="AB123" s="200">
        <f t="shared" si="616"/>
        <v>0</v>
      </c>
      <c r="AC123" s="200">
        <f t="shared" si="616"/>
        <v>0</v>
      </c>
      <c r="AD123" s="200">
        <f t="shared" si="11"/>
        <v>0</v>
      </c>
      <c r="AE123" s="200">
        <f t="shared" ref="AE123:AG123" si="617">countif($D123,"*"&amp;AE$2&amp;"*")</f>
        <v>0</v>
      </c>
      <c r="AF123" s="200">
        <f t="shared" si="617"/>
        <v>0</v>
      </c>
      <c r="AG123" s="200">
        <f t="shared" si="617"/>
        <v>0</v>
      </c>
      <c r="AH123" s="171">
        <f t="shared" si="13"/>
        <v>0</v>
      </c>
      <c r="AI123" s="200">
        <f t="shared" si="14"/>
        <v>0</v>
      </c>
      <c r="AJ123" s="200">
        <f t="shared" si="137"/>
        <v>0</v>
      </c>
      <c r="AK123" s="201">
        <f t="shared" ref="AK123:AS123" si="618">countif($D123,"*"&amp;AK$2&amp;"*")</f>
        <v>0</v>
      </c>
      <c r="AL123" s="201">
        <f t="shared" si="618"/>
        <v>0</v>
      </c>
      <c r="AM123" s="201">
        <f t="shared" si="618"/>
        <v>0</v>
      </c>
      <c r="AN123" s="201">
        <f t="shared" si="618"/>
        <v>0</v>
      </c>
      <c r="AO123" s="201">
        <f t="shared" si="618"/>
        <v>0</v>
      </c>
      <c r="AP123" s="201">
        <f t="shared" si="618"/>
        <v>0</v>
      </c>
      <c r="AQ123" s="201">
        <f t="shared" si="618"/>
        <v>0</v>
      </c>
      <c r="AR123" s="200">
        <f t="shared" si="618"/>
        <v>0</v>
      </c>
      <c r="AS123" s="200">
        <f t="shared" si="618"/>
        <v>0</v>
      </c>
      <c r="AT123" s="173">
        <v>0.0</v>
      </c>
      <c r="AU123" s="200">
        <f t="shared" ref="AU123:AX123" si="619">countif($D123,"*"&amp;AU$2&amp;"*")</f>
        <v>0</v>
      </c>
      <c r="AV123" s="200">
        <f t="shared" si="619"/>
        <v>1</v>
      </c>
      <c r="AW123" s="200">
        <f t="shared" si="619"/>
        <v>0</v>
      </c>
      <c r="AX123" s="200">
        <f t="shared" si="619"/>
        <v>0</v>
      </c>
      <c r="AY123" s="202">
        <v>0.0</v>
      </c>
      <c r="AZ123" s="200"/>
      <c r="BA123" s="171" t="str">
        <f t="shared" si="18"/>
        <v/>
      </c>
      <c r="BB123" s="171" t="str">
        <f t="shared" si="19"/>
        <v>Code</v>
      </c>
      <c r="BC123" s="171" t="str">
        <f t="shared" si="20"/>
        <v/>
      </c>
      <c r="BD123" s="171" t="str">
        <f t="shared" si="21"/>
        <v/>
      </c>
      <c r="BE123" s="171" t="str">
        <f t="shared" si="22"/>
        <v/>
      </c>
      <c r="BF123" s="171" t="str">
        <f t="shared" si="23"/>
        <v>Code</v>
      </c>
    </row>
    <row r="124">
      <c r="A124" s="171">
        <f t="array" ref="A124">XLOOKUP(C124,ICSE!A:A,ICSE!C:C,,2,1)</f>
        <v>2022</v>
      </c>
      <c r="B124" s="171" t="s">
        <v>5675</v>
      </c>
      <c r="C124" s="203">
        <v>110.0</v>
      </c>
      <c r="D124" s="161" t="s">
        <v>5782</v>
      </c>
      <c r="E124" s="197" t="str">
        <f t="array" ref="E124">XLOOKUP(C124,ICSE!A:A,ICSE!Z:Z,,0,1)</f>
        <v>Publicly available (2)</v>
      </c>
      <c r="F124" s="198" t="s">
        <v>20</v>
      </c>
      <c r="G124" s="163" t="str">
        <f t="array" ref="G124">IF(B124="ICSE",IF(COUNTIFS(B:B,B124,C:C,C124)=XLOOKUP(C124,ICSE!A:A,ICSE!AA:AA,"ERROR",0,1),"OK","ERROR"),IF(B124="FSE",IF(COUNTIFS(B:B,B124,C:C,C124)=XLOOKUP(C124,FSE!A:A,FSE!AA:AA,"ERROR",0,1),"OK","ERROR")))</f>
        <v>OK</v>
      </c>
      <c r="H124" s="199">
        <f t="shared" ref="H124:O124" si="620">countif($D124,"*"&amp;H$2&amp;"*")</f>
        <v>0</v>
      </c>
      <c r="I124" s="200">
        <f t="shared" si="620"/>
        <v>0</v>
      </c>
      <c r="J124" s="200">
        <f t="shared" si="620"/>
        <v>1</v>
      </c>
      <c r="K124" s="200">
        <f t="shared" si="620"/>
        <v>0</v>
      </c>
      <c r="L124" s="200">
        <f t="shared" si="620"/>
        <v>0</v>
      </c>
      <c r="M124" s="200">
        <f t="shared" si="620"/>
        <v>0</v>
      </c>
      <c r="N124" s="200">
        <f t="shared" si="620"/>
        <v>0</v>
      </c>
      <c r="O124" s="200">
        <f t="shared" si="620"/>
        <v>0</v>
      </c>
      <c r="P124" s="200">
        <f t="shared" si="9"/>
        <v>0</v>
      </c>
      <c r="Q124" s="200">
        <f t="shared" ref="Q124:AC124" si="621">countif($D124,"*"&amp;Q$2&amp;"*")</f>
        <v>0</v>
      </c>
      <c r="R124" s="200">
        <f t="shared" si="621"/>
        <v>0</v>
      </c>
      <c r="S124" s="200">
        <f t="shared" si="621"/>
        <v>0</v>
      </c>
      <c r="T124" s="200">
        <f t="shared" si="621"/>
        <v>0</v>
      </c>
      <c r="U124" s="200">
        <f t="shared" si="621"/>
        <v>0</v>
      </c>
      <c r="V124" s="200">
        <f t="shared" si="621"/>
        <v>0</v>
      </c>
      <c r="W124" s="200">
        <f t="shared" si="621"/>
        <v>0</v>
      </c>
      <c r="X124" s="200">
        <f t="shared" si="621"/>
        <v>0</v>
      </c>
      <c r="Y124" s="200">
        <f t="shared" si="621"/>
        <v>0</v>
      </c>
      <c r="Z124" s="200">
        <f t="shared" si="621"/>
        <v>0</v>
      </c>
      <c r="AA124" s="200">
        <f t="shared" si="621"/>
        <v>0</v>
      </c>
      <c r="AB124" s="200">
        <f t="shared" si="621"/>
        <v>0</v>
      </c>
      <c r="AC124" s="200">
        <f t="shared" si="621"/>
        <v>0</v>
      </c>
      <c r="AD124" s="200">
        <f t="shared" si="11"/>
        <v>0</v>
      </c>
      <c r="AE124" s="200">
        <f t="shared" ref="AE124:AG124" si="622">countif($D124,"*"&amp;AE$2&amp;"*")</f>
        <v>0</v>
      </c>
      <c r="AF124" s="200">
        <f t="shared" si="622"/>
        <v>0</v>
      </c>
      <c r="AG124" s="200">
        <f t="shared" si="622"/>
        <v>0</v>
      </c>
      <c r="AH124" s="171">
        <f t="shared" si="13"/>
        <v>0</v>
      </c>
      <c r="AI124" s="200">
        <f t="shared" si="14"/>
        <v>1</v>
      </c>
      <c r="AJ124" s="200">
        <f t="shared" si="137"/>
        <v>0</v>
      </c>
      <c r="AK124" s="201">
        <f t="shared" ref="AK124:AS124" si="623">countif($D124,"*"&amp;AK$2&amp;"*")</f>
        <v>0</v>
      </c>
      <c r="AL124" s="201">
        <f t="shared" si="623"/>
        <v>0</v>
      </c>
      <c r="AM124" s="201">
        <f t="shared" si="623"/>
        <v>0</v>
      </c>
      <c r="AN124" s="201">
        <f t="shared" si="623"/>
        <v>0</v>
      </c>
      <c r="AO124" s="201">
        <f t="shared" si="623"/>
        <v>0</v>
      </c>
      <c r="AP124" s="201">
        <f t="shared" si="623"/>
        <v>0</v>
      </c>
      <c r="AQ124" s="201">
        <f t="shared" si="623"/>
        <v>0</v>
      </c>
      <c r="AR124" s="200">
        <f t="shared" si="623"/>
        <v>0</v>
      </c>
      <c r="AS124" s="200">
        <f t="shared" si="623"/>
        <v>0</v>
      </c>
      <c r="AT124" s="173">
        <v>0.0</v>
      </c>
      <c r="AU124" s="200">
        <f t="shared" ref="AU124:AX124" si="624">countif($D124,"*"&amp;AU$2&amp;"*")</f>
        <v>0</v>
      </c>
      <c r="AV124" s="200">
        <f t="shared" si="624"/>
        <v>0</v>
      </c>
      <c r="AW124" s="200">
        <f t="shared" si="624"/>
        <v>0</v>
      </c>
      <c r="AX124" s="200">
        <f t="shared" si="624"/>
        <v>0</v>
      </c>
      <c r="AY124" s="204">
        <v>1.0</v>
      </c>
      <c r="AZ124" s="200"/>
      <c r="BA124" s="171" t="str">
        <f t="shared" si="18"/>
        <v>Archival</v>
      </c>
      <c r="BB124" s="171" t="str">
        <f t="shared" si="19"/>
        <v/>
      </c>
      <c r="BC124" s="171" t="str">
        <f t="shared" si="20"/>
        <v/>
      </c>
      <c r="BD124" s="171" t="str">
        <f t="shared" si="21"/>
        <v/>
      </c>
      <c r="BE124" s="171" t="str">
        <f t="shared" si="22"/>
        <v/>
      </c>
      <c r="BF124" s="171" t="str">
        <f t="shared" si="23"/>
        <v>Archival</v>
      </c>
    </row>
    <row r="125">
      <c r="A125" s="171">
        <f t="array" ref="A125">XLOOKUP(C125,ICSE!A:A,ICSE!C:C,,2,1)</f>
        <v>2022</v>
      </c>
      <c r="B125" s="171" t="s">
        <v>5675</v>
      </c>
      <c r="C125" s="160">
        <v>111.0</v>
      </c>
      <c r="D125" s="161" t="s">
        <v>2561</v>
      </c>
      <c r="E125" s="197" t="str">
        <f t="array" ref="E125">XLOOKUP(C125,ICSE!A:A,ICSE!Z:Z,,0,1)</f>
        <v>Publicly available (1)</v>
      </c>
      <c r="F125" s="198" t="s">
        <v>20</v>
      </c>
      <c r="G125" s="163" t="str">
        <f t="array" ref="G125">IF(B125="ICSE",IF(COUNTIFS(B:B,B125,C:C,C125)=XLOOKUP(C125,ICSE!A:A,ICSE!AA:AA,"ERROR",0,1),"OK","ERROR"),IF(B125="FSE",IF(COUNTIFS(B:B,B125,C:C,C125)=XLOOKUP(C125,FSE!A:A,FSE!AA:AA,"ERROR",0,1),"OK","ERROR")))</f>
        <v>OK</v>
      </c>
      <c r="H125" s="199">
        <f t="shared" ref="H125:O125" si="625">countif($D125,"*"&amp;H$2&amp;"*")</f>
        <v>0</v>
      </c>
      <c r="I125" s="200">
        <f t="shared" si="625"/>
        <v>0</v>
      </c>
      <c r="J125" s="200">
        <f t="shared" si="625"/>
        <v>0</v>
      </c>
      <c r="K125" s="200">
        <f t="shared" si="625"/>
        <v>0</v>
      </c>
      <c r="L125" s="200">
        <f t="shared" si="625"/>
        <v>0</v>
      </c>
      <c r="M125" s="200">
        <f t="shared" si="625"/>
        <v>0</v>
      </c>
      <c r="N125" s="200">
        <f t="shared" si="625"/>
        <v>0</v>
      </c>
      <c r="O125" s="200">
        <f t="shared" si="625"/>
        <v>0</v>
      </c>
      <c r="P125" s="200">
        <f t="shared" si="9"/>
        <v>1</v>
      </c>
      <c r="Q125" s="200">
        <f t="shared" ref="Q125:AC125" si="626">countif($D125,"*"&amp;Q$2&amp;"*")</f>
        <v>0</v>
      </c>
      <c r="R125" s="200">
        <f t="shared" si="626"/>
        <v>0</v>
      </c>
      <c r="S125" s="200">
        <f t="shared" si="626"/>
        <v>0</v>
      </c>
      <c r="T125" s="200">
        <f t="shared" si="626"/>
        <v>0</v>
      </c>
      <c r="U125" s="200">
        <f t="shared" si="626"/>
        <v>0</v>
      </c>
      <c r="V125" s="200">
        <f t="shared" si="626"/>
        <v>0</v>
      </c>
      <c r="W125" s="200">
        <f t="shared" si="626"/>
        <v>0</v>
      </c>
      <c r="X125" s="200">
        <f t="shared" si="626"/>
        <v>0</v>
      </c>
      <c r="Y125" s="200">
        <f t="shared" si="626"/>
        <v>0</v>
      </c>
      <c r="Z125" s="200">
        <f t="shared" si="626"/>
        <v>0</v>
      </c>
      <c r="AA125" s="200">
        <f t="shared" si="626"/>
        <v>0</v>
      </c>
      <c r="AB125" s="200">
        <f t="shared" si="626"/>
        <v>0</v>
      </c>
      <c r="AC125" s="200">
        <f t="shared" si="626"/>
        <v>0</v>
      </c>
      <c r="AD125" s="200">
        <f t="shared" si="11"/>
        <v>0</v>
      </c>
      <c r="AE125" s="200">
        <f t="shared" ref="AE125:AG125" si="627">countif($D125,"*"&amp;AE$2&amp;"*")</f>
        <v>0</v>
      </c>
      <c r="AF125" s="200">
        <f t="shared" si="627"/>
        <v>0</v>
      </c>
      <c r="AG125" s="200">
        <f t="shared" si="627"/>
        <v>0</v>
      </c>
      <c r="AH125" s="171">
        <f t="shared" si="13"/>
        <v>0</v>
      </c>
      <c r="AI125" s="200">
        <f t="shared" si="14"/>
        <v>0</v>
      </c>
      <c r="AJ125" s="200">
        <f t="shared" si="137"/>
        <v>0</v>
      </c>
      <c r="AK125" s="201">
        <f t="shared" ref="AK125:AS125" si="628">countif($D125,"*"&amp;AK$2&amp;"*")</f>
        <v>0</v>
      </c>
      <c r="AL125" s="201">
        <f t="shared" si="628"/>
        <v>0</v>
      </c>
      <c r="AM125" s="201">
        <f t="shared" si="628"/>
        <v>0</v>
      </c>
      <c r="AN125" s="201">
        <f t="shared" si="628"/>
        <v>0</v>
      </c>
      <c r="AO125" s="201">
        <f t="shared" si="628"/>
        <v>0</v>
      </c>
      <c r="AP125" s="201">
        <f t="shared" si="628"/>
        <v>0</v>
      </c>
      <c r="AQ125" s="201">
        <f t="shared" si="628"/>
        <v>0</v>
      </c>
      <c r="AR125" s="200">
        <f t="shared" si="628"/>
        <v>0</v>
      </c>
      <c r="AS125" s="200">
        <f t="shared" si="628"/>
        <v>0</v>
      </c>
      <c r="AT125" s="173">
        <v>0.0</v>
      </c>
      <c r="AU125" s="200">
        <f t="shared" ref="AU125:AX125" si="629">countif($D125,"*"&amp;AU$2&amp;"*")</f>
        <v>0</v>
      </c>
      <c r="AV125" s="200">
        <f t="shared" si="629"/>
        <v>1</v>
      </c>
      <c r="AW125" s="200">
        <f t="shared" si="629"/>
        <v>0</v>
      </c>
      <c r="AX125" s="200">
        <f t="shared" si="629"/>
        <v>0</v>
      </c>
      <c r="AY125" s="202">
        <v>0.0</v>
      </c>
      <c r="AZ125" s="200"/>
      <c r="BA125" s="171" t="str">
        <f t="shared" si="18"/>
        <v/>
      </c>
      <c r="BB125" s="171" t="str">
        <f t="shared" si="19"/>
        <v>Code</v>
      </c>
      <c r="BC125" s="171" t="str">
        <f t="shared" si="20"/>
        <v/>
      </c>
      <c r="BD125" s="171" t="str">
        <f t="shared" si="21"/>
        <v/>
      </c>
      <c r="BE125" s="171" t="str">
        <f t="shared" si="22"/>
        <v/>
      </c>
      <c r="BF125" s="171" t="str">
        <f t="shared" si="23"/>
        <v>Code</v>
      </c>
    </row>
    <row r="126">
      <c r="A126" s="171">
        <f t="array" ref="A126">XLOOKUP(C126,ICSE!A:A,ICSE!C:C,,2,1)</f>
        <v>2022</v>
      </c>
      <c r="B126" s="171" t="s">
        <v>5675</v>
      </c>
      <c r="C126" s="160">
        <v>112.0</v>
      </c>
      <c r="D126" s="161" t="s">
        <v>2564</v>
      </c>
      <c r="E126" s="197" t="str">
        <f t="array" ref="E126">XLOOKUP(C126,ICSE!A:A,ICSE!Z:Z,,0,1)</f>
        <v>Publicly available (1)</v>
      </c>
      <c r="F126" s="198" t="s">
        <v>20</v>
      </c>
      <c r="G126" s="163" t="str">
        <f t="array" ref="G126">IF(B126="ICSE",IF(COUNTIFS(B:B,B126,C:C,C126)=XLOOKUP(C126,ICSE!A:A,ICSE!AA:AA,"ERROR",0,1),"OK","ERROR"),IF(B126="FSE",IF(COUNTIFS(B:B,B126,C:C,C126)=XLOOKUP(C126,FSE!A:A,FSE!AA:AA,"ERROR",0,1),"OK","ERROR")))</f>
        <v>OK</v>
      </c>
      <c r="H126" s="199">
        <f t="shared" ref="H126:O126" si="630">countif($D126,"*"&amp;H$2&amp;"*")</f>
        <v>0</v>
      </c>
      <c r="I126" s="200">
        <f t="shared" si="630"/>
        <v>0</v>
      </c>
      <c r="J126" s="200">
        <f t="shared" si="630"/>
        <v>0</v>
      </c>
      <c r="K126" s="200">
        <f t="shared" si="630"/>
        <v>0</v>
      </c>
      <c r="L126" s="200">
        <f t="shared" si="630"/>
        <v>0</v>
      </c>
      <c r="M126" s="200">
        <f t="shared" si="630"/>
        <v>0</v>
      </c>
      <c r="N126" s="200">
        <f t="shared" si="630"/>
        <v>0</v>
      </c>
      <c r="O126" s="200">
        <f t="shared" si="630"/>
        <v>0</v>
      </c>
      <c r="P126" s="200">
        <f t="shared" si="9"/>
        <v>1</v>
      </c>
      <c r="Q126" s="200">
        <f t="shared" ref="Q126:AC126" si="631">countif($D126,"*"&amp;Q$2&amp;"*")</f>
        <v>0</v>
      </c>
      <c r="R126" s="200">
        <f t="shared" si="631"/>
        <v>0</v>
      </c>
      <c r="S126" s="200">
        <f t="shared" si="631"/>
        <v>0</v>
      </c>
      <c r="T126" s="200">
        <f t="shared" si="631"/>
        <v>0</v>
      </c>
      <c r="U126" s="200">
        <f t="shared" si="631"/>
        <v>0</v>
      </c>
      <c r="V126" s="200">
        <f t="shared" si="631"/>
        <v>0</v>
      </c>
      <c r="W126" s="200">
        <f t="shared" si="631"/>
        <v>0</v>
      </c>
      <c r="X126" s="200">
        <f t="shared" si="631"/>
        <v>0</v>
      </c>
      <c r="Y126" s="200">
        <f t="shared" si="631"/>
        <v>0</v>
      </c>
      <c r="Z126" s="200">
        <f t="shared" si="631"/>
        <v>0</v>
      </c>
      <c r="AA126" s="200">
        <f t="shared" si="631"/>
        <v>0</v>
      </c>
      <c r="AB126" s="200">
        <f t="shared" si="631"/>
        <v>0</v>
      </c>
      <c r="AC126" s="200">
        <f t="shared" si="631"/>
        <v>0</v>
      </c>
      <c r="AD126" s="200">
        <f t="shared" si="11"/>
        <v>0</v>
      </c>
      <c r="AE126" s="200">
        <f t="shared" ref="AE126:AG126" si="632">countif($D126,"*"&amp;AE$2&amp;"*")</f>
        <v>0</v>
      </c>
      <c r="AF126" s="200">
        <f t="shared" si="632"/>
        <v>0</v>
      </c>
      <c r="AG126" s="200">
        <f t="shared" si="632"/>
        <v>0</v>
      </c>
      <c r="AH126" s="171">
        <f t="shared" si="13"/>
        <v>0</v>
      </c>
      <c r="AI126" s="200">
        <f t="shared" si="14"/>
        <v>0</v>
      </c>
      <c r="AJ126" s="200">
        <f t="shared" si="137"/>
        <v>0</v>
      </c>
      <c r="AK126" s="201">
        <f t="shared" ref="AK126:AS126" si="633">countif($D126,"*"&amp;AK$2&amp;"*")</f>
        <v>0</v>
      </c>
      <c r="AL126" s="201">
        <f t="shared" si="633"/>
        <v>0</v>
      </c>
      <c r="AM126" s="201">
        <f t="shared" si="633"/>
        <v>0</v>
      </c>
      <c r="AN126" s="201">
        <f t="shared" si="633"/>
        <v>0</v>
      </c>
      <c r="AO126" s="201">
        <f t="shared" si="633"/>
        <v>0</v>
      </c>
      <c r="AP126" s="201">
        <f t="shared" si="633"/>
        <v>0</v>
      </c>
      <c r="AQ126" s="201">
        <f t="shared" si="633"/>
        <v>0</v>
      </c>
      <c r="AR126" s="200">
        <f t="shared" si="633"/>
        <v>0</v>
      </c>
      <c r="AS126" s="200">
        <f t="shared" si="633"/>
        <v>0</v>
      </c>
      <c r="AT126" s="173">
        <v>0.0</v>
      </c>
      <c r="AU126" s="200">
        <f t="shared" ref="AU126:AX126" si="634">countif($D126,"*"&amp;AU$2&amp;"*")</f>
        <v>0</v>
      </c>
      <c r="AV126" s="200">
        <f t="shared" si="634"/>
        <v>1</v>
      </c>
      <c r="AW126" s="200">
        <f t="shared" si="634"/>
        <v>0</v>
      </c>
      <c r="AX126" s="200">
        <f t="shared" si="634"/>
        <v>0</v>
      </c>
      <c r="AY126" s="202">
        <v>0.0</v>
      </c>
      <c r="AZ126" s="200"/>
      <c r="BA126" s="171" t="str">
        <f t="shared" si="18"/>
        <v/>
      </c>
      <c r="BB126" s="171" t="str">
        <f t="shared" si="19"/>
        <v>Code</v>
      </c>
      <c r="BC126" s="171" t="str">
        <f t="shared" si="20"/>
        <v/>
      </c>
      <c r="BD126" s="171" t="str">
        <f t="shared" si="21"/>
        <v/>
      </c>
      <c r="BE126" s="171" t="str">
        <f t="shared" si="22"/>
        <v/>
      </c>
      <c r="BF126" s="171" t="str">
        <f t="shared" si="23"/>
        <v>Code</v>
      </c>
    </row>
    <row r="127">
      <c r="A127" s="171">
        <f t="array" ref="A127">XLOOKUP(C127,ICSE!A:A,ICSE!C:C,,2,1)</f>
        <v>2022</v>
      </c>
      <c r="B127" s="171" t="s">
        <v>5675</v>
      </c>
      <c r="C127" s="160">
        <v>113.0</v>
      </c>
      <c r="D127" s="161" t="s">
        <v>2567</v>
      </c>
      <c r="E127" s="197" t="str">
        <f t="array" ref="E127">XLOOKUP(C127,ICSE!A:A,ICSE!Z:Z,,0,1)</f>
        <v>Publicly available (1)</v>
      </c>
      <c r="F127" s="198" t="s">
        <v>20</v>
      </c>
      <c r="G127" s="163" t="str">
        <f t="array" ref="G127">IF(B127="ICSE",IF(COUNTIFS(B:B,B127,C:C,C127)=XLOOKUP(C127,ICSE!A:A,ICSE!AA:AA,"ERROR",0,1),"OK","ERROR"),IF(B127="FSE",IF(COUNTIFS(B:B,B127,C:C,C127)=XLOOKUP(C127,FSE!A:A,FSE!AA:AA,"ERROR",0,1),"OK","ERROR")))</f>
        <v>OK</v>
      </c>
      <c r="H127" s="199">
        <f t="shared" ref="H127:O127" si="635">countif($D127,"*"&amp;H$2&amp;"*")</f>
        <v>0</v>
      </c>
      <c r="I127" s="200">
        <f t="shared" si="635"/>
        <v>1</v>
      </c>
      <c r="J127" s="200">
        <f t="shared" si="635"/>
        <v>0</v>
      </c>
      <c r="K127" s="200">
        <f t="shared" si="635"/>
        <v>0</v>
      </c>
      <c r="L127" s="200">
        <f t="shared" si="635"/>
        <v>0</v>
      </c>
      <c r="M127" s="200">
        <f t="shared" si="635"/>
        <v>0</v>
      </c>
      <c r="N127" s="200">
        <f t="shared" si="635"/>
        <v>0</v>
      </c>
      <c r="O127" s="200">
        <f t="shared" si="635"/>
        <v>0</v>
      </c>
      <c r="P127" s="200">
        <f t="shared" si="9"/>
        <v>0</v>
      </c>
      <c r="Q127" s="200">
        <f t="shared" ref="Q127:AC127" si="636">countif($D127,"*"&amp;Q$2&amp;"*")</f>
        <v>0</v>
      </c>
      <c r="R127" s="200">
        <f t="shared" si="636"/>
        <v>0</v>
      </c>
      <c r="S127" s="200">
        <f t="shared" si="636"/>
        <v>0</v>
      </c>
      <c r="T127" s="200">
        <f t="shared" si="636"/>
        <v>0</v>
      </c>
      <c r="U127" s="200">
        <f t="shared" si="636"/>
        <v>0</v>
      </c>
      <c r="V127" s="200">
        <f t="shared" si="636"/>
        <v>0</v>
      </c>
      <c r="W127" s="200">
        <f t="shared" si="636"/>
        <v>0</v>
      </c>
      <c r="X127" s="200">
        <f t="shared" si="636"/>
        <v>0</v>
      </c>
      <c r="Y127" s="200">
        <f t="shared" si="636"/>
        <v>0</v>
      </c>
      <c r="Z127" s="200">
        <f t="shared" si="636"/>
        <v>0</v>
      </c>
      <c r="AA127" s="200">
        <f t="shared" si="636"/>
        <v>0</v>
      </c>
      <c r="AB127" s="200">
        <f t="shared" si="636"/>
        <v>0</v>
      </c>
      <c r="AC127" s="200">
        <f t="shared" si="636"/>
        <v>0</v>
      </c>
      <c r="AD127" s="200">
        <f t="shared" si="11"/>
        <v>0</v>
      </c>
      <c r="AE127" s="200">
        <f t="shared" ref="AE127:AG127" si="637">countif($D127,"*"&amp;AE$2&amp;"*")</f>
        <v>0</v>
      </c>
      <c r="AF127" s="200">
        <f t="shared" si="637"/>
        <v>0</v>
      </c>
      <c r="AG127" s="200">
        <f t="shared" si="637"/>
        <v>0</v>
      </c>
      <c r="AH127" s="171">
        <f t="shared" si="13"/>
        <v>0</v>
      </c>
      <c r="AI127" s="200">
        <f t="shared" si="14"/>
        <v>1</v>
      </c>
      <c r="AJ127" s="200">
        <f t="shared" si="137"/>
        <v>0</v>
      </c>
      <c r="AK127" s="201">
        <f t="shared" ref="AK127:AS127" si="638">countif($D127,"*"&amp;AK$2&amp;"*")</f>
        <v>0</v>
      </c>
      <c r="AL127" s="201">
        <f t="shared" si="638"/>
        <v>0</v>
      </c>
      <c r="AM127" s="201">
        <f t="shared" si="638"/>
        <v>0</v>
      </c>
      <c r="AN127" s="201">
        <f t="shared" si="638"/>
        <v>0</v>
      </c>
      <c r="AO127" s="201">
        <f t="shared" si="638"/>
        <v>0</v>
      </c>
      <c r="AP127" s="201">
        <f t="shared" si="638"/>
        <v>0</v>
      </c>
      <c r="AQ127" s="201">
        <f t="shared" si="638"/>
        <v>0</v>
      </c>
      <c r="AR127" s="200">
        <f t="shared" si="638"/>
        <v>0</v>
      </c>
      <c r="AS127" s="200">
        <f t="shared" si="638"/>
        <v>0</v>
      </c>
      <c r="AT127" s="173">
        <v>0.0</v>
      </c>
      <c r="AU127" s="200">
        <f t="shared" ref="AU127:AX127" si="639">countif($D127,"*"&amp;AU$2&amp;"*")</f>
        <v>0</v>
      </c>
      <c r="AV127" s="200">
        <f t="shared" si="639"/>
        <v>0</v>
      </c>
      <c r="AW127" s="200">
        <f t="shared" si="639"/>
        <v>0</v>
      </c>
      <c r="AX127" s="200">
        <f t="shared" si="639"/>
        <v>1</v>
      </c>
      <c r="AY127" s="202">
        <v>0.0</v>
      </c>
      <c r="AZ127" s="200"/>
      <c r="BA127" s="171" t="str">
        <f t="shared" si="18"/>
        <v>Archival</v>
      </c>
      <c r="BB127" s="171" t="str">
        <f t="shared" si="19"/>
        <v/>
      </c>
      <c r="BC127" s="171" t="str">
        <f t="shared" si="20"/>
        <v/>
      </c>
      <c r="BD127" s="171" t="str">
        <f t="shared" si="21"/>
        <v/>
      </c>
      <c r="BE127" s="171" t="str">
        <f t="shared" si="22"/>
        <v/>
      </c>
      <c r="BF127" s="171" t="str">
        <f t="shared" si="23"/>
        <v>Archival</v>
      </c>
    </row>
    <row r="128">
      <c r="A128" s="171">
        <f t="array" ref="A128">XLOOKUP(C128,ICSE!A:A,ICSE!C:C,,2,1)</f>
        <v>2022</v>
      </c>
      <c r="B128" s="171" t="s">
        <v>5675</v>
      </c>
      <c r="C128" s="160">
        <v>115.0</v>
      </c>
      <c r="D128" s="161" t="s">
        <v>2571</v>
      </c>
      <c r="E128" s="197" t="str">
        <f t="array" ref="E128">XLOOKUP(C128,ICSE!A:A,ICSE!Z:Z,,0,1)</f>
        <v>Publicly available (1)</v>
      </c>
      <c r="F128" s="198" t="s">
        <v>20</v>
      </c>
      <c r="G128" s="163" t="str">
        <f t="array" ref="G128">IF(B128="ICSE",IF(COUNTIFS(B:B,B128,C:C,C128)=XLOOKUP(C128,ICSE!A:A,ICSE!AA:AA,"ERROR",0,1),"OK","ERROR"),IF(B128="FSE",IF(COUNTIFS(B:B,B128,C:C,C128)=XLOOKUP(C128,FSE!A:A,FSE!AA:AA,"ERROR",0,1),"OK","ERROR")))</f>
        <v>OK</v>
      </c>
      <c r="H128" s="199">
        <f t="shared" ref="H128:O128" si="640">countif($D128,"*"&amp;H$2&amp;"*")</f>
        <v>0</v>
      </c>
      <c r="I128" s="200">
        <f t="shared" si="640"/>
        <v>0</v>
      </c>
      <c r="J128" s="200">
        <f t="shared" si="640"/>
        <v>0</v>
      </c>
      <c r="K128" s="200">
        <f t="shared" si="640"/>
        <v>0</v>
      </c>
      <c r="L128" s="200">
        <f t="shared" si="640"/>
        <v>0</v>
      </c>
      <c r="M128" s="200">
        <f t="shared" si="640"/>
        <v>0</v>
      </c>
      <c r="N128" s="200">
        <f t="shared" si="640"/>
        <v>0</v>
      </c>
      <c r="O128" s="200">
        <f t="shared" si="640"/>
        <v>0</v>
      </c>
      <c r="P128" s="200">
        <f t="shared" si="9"/>
        <v>0</v>
      </c>
      <c r="Q128" s="200">
        <f t="shared" ref="Q128:AC128" si="641">countif($D128,"*"&amp;Q$2&amp;"*")</f>
        <v>0</v>
      </c>
      <c r="R128" s="200">
        <f t="shared" si="641"/>
        <v>0</v>
      </c>
      <c r="S128" s="200">
        <f t="shared" si="641"/>
        <v>0</v>
      </c>
      <c r="T128" s="200">
        <f t="shared" si="641"/>
        <v>0</v>
      </c>
      <c r="U128" s="200">
        <f t="shared" si="641"/>
        <v>0</v>
      </c>
      <c r="V128" s="200">
        <f t="shared" si="641"/>
        <v>0</v>
      </c>
      <c r="W128" s="200">
        <f t="shared" si="641"/>
        <v>0</v>
      </c>
      <c r="X128" s="200">
        <f t="shared" si="641"/>
        <v>0</v>
      </c>
      <c r="Y128" s="200">
        <f t="shared" si="641"/>
        <v>0</v>
      </c>
      <c r="Z128" s="200">
        <f t="shared" si="641"/>
        <v>0</v>
      </c>
      <c r="AA128" s="200">
        <f t="shared" si="641"/>
        <v>1</v>
      </c>
      <c r="AB128" s="200">
        <f t="shared" si="641"/>
        <v>0</v>
      </c>
      <c r="AC128" s="200">
        <f t="shared" si="641"/>
        <v>0</v>
      </c>
      <c r="AD128" s="200">
        <f t="shared" si="11"/>
        <v>0</v>
      </c>
      <c r="AE128" s="200">
        <f t="shared" ref="AE128:AG128" si="642">countif($D128,"*"&amp;AE$2&amp;"*")</f>
        <v>0</v>
      </c>
      <c r="AF128" s="200">
        <f t="shared" si="642"/>
        <v>0</v>
      </c>
      <c r="AG128" s="200">
        <f t="shared" si="642"/>
        <v>0</v>
      </c>
      <c r="AH128" s="171">
        <f t="shared" si="13"/>
        <v>0</v>
      </c>
      <c r="AI128" s="200">
        <f t="shared" si="14"/>
        <v>0</v>
      </c>
      <c r="AJ128" s="200">
        <f t="shared" si="137"/>
        <v>0</v>
      </c>
      <c r="AK128" s="201">
        <f t="shared" ref="AK128:AS128" si="643">countif($D128,"*"&amp;AK$2&amp;"*")</f>
        <v>0</v>
      </c>
      <c r="AL128" s="201">
        <f t="shared" si="643"/>
        <v>0</v>
      </c>
      <c r="AM128" s="201">
        <f t="shared" si="643"/>
        <v>0</v>
      </c>
      <c r="AN128" s="201">
        <f t="shared" si="643"/>
        <v>0</v>
      </c>
      <c r="AO128" s="201">
        <f t="shared" si="643"/>
        <v>0</v>
      </c>
      <c r="AP128" s="201">
        <f t="shared" si="643"/>
        <v>0</v>
      </c>
      <c r="AQ128" s="201">
        <f t="shared" si="643"/>
        <v>0</v>
      </c>
      <c r="AR128" s="200">
        <f t="shared" si="643"/>
        <v>0</v>
      </c>
      <c r="AS128" s="200">
        <f t="shared" si="643"/>
        <v>0</v>
      </c>
      <c r="AT128" s="173">
        <v>0.0</v>
      </c>
      <c r="AU128" s="200">
        <f t="shared" ref="AU128:AX128" si="644">countif($D128,"*"&amp;AU$2&amp;"*")</f>
        <v>0</v>
      </c>
      <c r="AV128" s="200">
        <f t="shared" si="644"/>
        <v>0</v>
      </c>
      <c r="AW128" s="200">
        <f t="shared" si="644"/>
        <v>0</v>
      </c>
      <c r="AX128" s="200">
        <f t="shared" si="644"/>
        <v>0</v>
      </c>
      <c r="AY128" s="202">
        <v>0.0</v>
      </c>
      <c r="AZ128" s="200"/>
      <c r="BA128" s="171" t="str">
        <f t="shared" si="18"/>
        <v/>
      </c>
      <c r="BB128" s="171" t="str">
        <f t="shared" si="19"/>
        <v/>
      </c>
      <c r="BC128" s="171" t="str">
        <f t="shared" si="20"/>
        <v>General-purpose</v>
      </c>
      <c r="BD128" s="171" t="str">
        <f t="shared" si="21"/>
        <v/>
      </c>
      <c r="BE128" s="171" t="str">
        <f t="shared" si="22"/>
        <v/>
      </c>
      <c r="BF128" s="171" t="str">
        <f t="shared" si="23"/>
        <v>General-purpose</v>
      </c>
    </row>
    <row r="129">
      <c r="A129" s="171">
        <f t="array" ref="A129">XLOOKUP(C129,ICSE!A:A,ICSE!C:C,,2,1)</f>
        <v>2022</v>
      </c>
      <c r="B129" s="171" t="s">
        <v>5675</v>
      </c>
      <c r="C129" s="160">
        <v>116.0</v>
      </c>
      <c r="D129" s="161" t="s">
        <v>2574</v>
      </c>
      <c r="E129" s="197" t="str">
        <f t="array" ref="E129">XLOOKUP(C129,ICSE!A:A,ICSE!Z:Z,,0,1)</f>
        <v>Publicly available (1)</v>
      </c>
      <c r="F129" s="198" t="s">
        <v>20</v>
      </c>
      <c r="G129" s="163" t="str">
        <f t="array" ref="G129">IF(B129="ICSE",IF(COUNTIFS(B:B,B129,C:C,C129)=XLOOKUP(C129,ICSE!A:A,ICSE!AA:AA,"ERROR",0,1),"OK","ERROR"),IF(B129="FSE",IF(COUNTIFS(B:B,B129,C:C,C129)=XLOOKUP(C129,FSE!A:A,FSE!AA:AA,"ERROR",0,1),"OK","ERROR")))</f>
        <v>OK</v>
      </c>
      <c r="H129" s="199">
        <f t="shared" ref="H129:O129" si="645">countif($D129,"*"&amp;H$2&amp;"*")</f>
        <v>0</v>
      </c>
      <c r="I129" s="200">
        <f t="shared" si="645"/>
        <v>0</v>
      </c>
      <c r="J129" s="200">
        <f t="shared" si="645"/>
        <v>0</v>
      </c>
      <c r="K129" s="200">
        <f t="shared" si="645"/>
        <v>0</v>
      </c>
      <c r="L129" s="200">
        <f t="shared" si="645"/>
        <v>0</v>
      </c>
      <c r="M129" s="200">
        <f t="shared" si="645"/>
        <v>0</v>
      </c>
      <c r="N129" s="200">
        <f t="shared" si="645"/>
        <v>0</v>
      </c>
      <c r="O129" s="200">
        <f t="shared" si="645"/>
        <v>0</v>
      </c>
      <c r="P129" s="200">
        <f t="shared" si="9"/>
        <v>1</v>
      </c>
      <c r="Q129" s="200">
        <f t="shared" ref="Q129:AC129" si="646">countif($D129,"*"&amp;Q$2&amp;"*")</f>
        <v>0</v>
      </c>
      <c r="R129" s="200">
        <f t="shared" si="646"/>
        <v>0</v>
      </c>
      <c r="S129" s="200">
        <f t="shared" si="646"/>
        <v>0</v>
      </c>
      <c r="T129" s="200">
        <f t="shared" si="646"/>
        <v>0</v>
      </c>
      <c r="U129" s="200">
        <f t="shared" si="646"/>
        <v>0</v>
      </c>
      <c r="V129" s="200">
        <f t="shared" si="646"/>
        <v>0</v>
      </c>
      <c r="W129" s="200">
        <f t="shared" si="646"/>
        <v>0</v>
      </c>
      <c r="X129" s="200">
        <f t="shared" si="646"/>
        <v>0</v>
      </c>
      <c r="Y129" s="200">
        <f t="shared" si="646"/>
        <v>0</v>
      </c>
      <c r="Z129" s="200">
        <f t="shared" si="646"/>
        <v>0</v>
      </c>
      <c r="AA129" s="200">
        <f t="shared" si="646"/>
        <v>0</v>
      </c>
      <c r="AB129" s="200">
        <f t="shared" si="646"/>
        <v>0</v>
      </c>
      <c r="AC129" s="200">
        <f t="shared" si="646"/>
        <v>0</v>
      </c>
      <c r="AD129" s="200">
        <f t="shared" si="11"/>
        <v>0</v>
      </c>
      <c r="AE129" s="200">
        <f t="shared" ref="AE129:AG129" si="647">countif($D129,"*"&amp;AE$2&amp;"*")</f>
        <v>0</v>
      </c>
      <c r="AF129" s="200">
        <f t="shared" si="647"/>
        <v>0</v>
      </c>
      <c r="AG129" s="200">
        <f t="shared" si="647"/>
        <v>0</v>
      </c>
      <c r="AH129" s="171">
        <f t="shared" si="13"/>
        <v>0</v>
      </c>
      <c r="AI129" s="200">
        <f t="shared" si="14"/>
        <v>0</v>
      </c>
      <c r="AJ129" s="200">
        <f t="shared" si="137"/>
        <v>0</v>
      </c>
      <c r="AK129" s="201">
        <f t="shared" ref="AK129:AS129" si="648">countif($D129,"*"&amp;AK$2&amp;"*")</f>
        <v>0</v>
      </c>
      <c r="AL129" s="201">
        <f t="shared" si="648"/>
        <v>0</v>
      </c>
      <c r="AM129" s="201">
        <f t="shared" si="648"/>
        <v>0</v>
      </c>
      <c r="AN129" s="201">
        <f t="shared" si="648"/>
        <v>0</v>
      </c>
      <c r="AO129" s="201">
        <f t="shared" si="648"/>
        <v>0</v>
      </c>
      <c r="AP129" s="201">
        <f t="shared" si="648"/>
        <v>0</v>
      </c>
      <c r="AQ129" s="201">
        <f t="shared" si="648"/>
        <v>0</v>
      </c>
      <c r="AR129" s="200">
        <f t="shared" si="648"/>
        <v>0</v>
      </c>
      <c r="AS129" s="200">
        <f t="shared" si="648"/>
        <v>0</v>
      </c>
      <c r="AT129" s="173">
        <v>0.0</v>
      </c>
      <c r="AU129" s="200">
        <f t="shared" ref="AU129:AX129" si="649">countif($D129,"*"&amp;AU$2&amp;"*")</f>
        <v>0</v>
      </c>
      <c r="AV129" s="200">
        <f t="shared" si="649"/>
        <v>1</v>
      </c>
      <c r="AW129" s="200">
        <f t="shared" si="649"/>
        <v>0</v>
      </c>
      <c r="AX129" s="200">
        <f t="shared" si="649"/>
        <v>0</v>
      </c>
      <c r="AY129" s="202">
        <v>0.0</v>
      </c>
      <c r="AZ129" s="200"/>
      <c r="BA129" s="171" t="str">
        <f t="shared" si="18"/>
        <v/>
      </c>
      <c r="BB129" s="171" t="str">
        <f t="shared" si="19"/>
        <v>Code</v>
      </c>
      <c r="BC129" s="171" t="str">
        <f t="shared" si="20"/>
        <v/>
      </c>
      <c r="BD129" s="171" t="str">
        <f t="shared" si="21"/>
        <v/>
      </c>
      <c r="BE129" s="171" t="str">
        <f t="shared" si="22"/>
        <v/>
      </c>
      <c r="BF129" s="171" t="str">
        <f t="shared" si="23"/>
        <v>Code</v>
      </c>
    </row>
    <row r="130">
      <c r="A130" s="171">
        <f t="array" ref="A130">XLOOKUP(C130,ICSE!A:A,ICSE!C:C,,2,1)</f>
        <v>2022</v>
      </c>
      <c r="B130" s="171" t="s">
        <v>5675</v>
      </c>
      <c r="C130" s="160">
        <v>117.0</v>
      </c>
      <c r="D130" s="161" t="s">
        <v>2576</v>
      </c>
      <c r="E130" s="197" t="str">
        <f t="array" ref="E130">XLOOKUP(C130,ICSE!A:A,ICSE!Z:Z,,0,1)</f>
        <v>Publicly available (1)</v>
      </c>
      <c r="F130" s="198" t="s">
        <v>20</v>
      </c>
      <c r="G130" s="163" t="str">
        <f t="array" ref="G130">IF(B130="ICSE",IF(COUNTIFS(B:B,B130,C:C,C130)=XLOOKUP(C130,ICSE!A:A,ICSE!AA:AA,"ERROR",0,1),"OK","ERROR"),IF(B130="FSE",IF(COUNTIFS(B:B,B130,C:C,C130)=XLOOKUP(C130,FSE!A:A,FSE!AA:AA,"ERROR",0,1),"OK","ERROR")))</f>
        <v>OK</v>
      </c>
      <c r="H130" s="199">
        <f t="shared" ref="H130:O130" si="650">countif($D130,"*"&amp;H$2&amp;"*")</f>
        <v>0</v>
      </c>
      <c r="I130" s="200">
        <f t="shared" si="650"/>
        <v>0</v>
      </c>
      <c r="J130" s="200">
        <f t="shared" si="650"/>
        <v>0</v>
      </c>
      <c r="K130" s="200">
        <f t="shared" si="650"/>
        <v>0</v>
      </c>
      <c r="L130" s="200">
        <f t="shared" si="650"/>
        <v>0</v>
      </c>
      <c r="M130" s="200">
        <f t="shared" si="650"/>
        <v>0</v>
      </c>
      <c r="N130" s="200">
        <f t="shared" si="650"/>
        <v>0</v>
      </c>
      <c r="O130" s="200">
        <f t="shared" si="650"/>
        <v>0</v>
      </c>
      <c r="P130" s="200">
        <f t="shared" si="9"/>
        <v>1</v>
      </c>
      <c r="Q130" s="200">
        <f t="shared" ref="Q130:AC130" si="651">countif($D130,"*"&amp;Q$2&amp;"*")</f>
        <v>0</v>
      </c>
      <c r="R130" s="200">
        <f t="shared" si="651"/>
        <v>0</v>
      </c>
      <c r="S130" s="200">
        <f t="shared" si="651"/>
        <v>0</v>
      </c>
      <c r="T130" s="200">
        <f t="shared" si="651"/>
        <v>0</v>
      </c>
      <c r="U130" s="200">
        <f t="shared" si="651"/>
        <v>0</v>
      </c>
      <c r="V130" s="200">
        <f t="shared" si="651"/>
        <v>0</v>
      </c>
      <c r="W130" s="200">
        <f t="shared" si="651"/>
        <v>0</v>
      </c>
      <c r="X130" s="200">
        <f t="shared" si="651"/>
        <v>0</v>
      </c>
      <c r="Y130" s="200">
        <f t="shared" si="651"/>
        <v>0</v>
      </c>
      <c r="Z130" s="200">
        <f t="shared" si="651"/>
        <v>0</v>
      </c>
      <c r="AA130" s="200">
        <f t="shared" si="651"/>
        <v>0</v>
      </c>
      <c r="AB130" s="200">
        <f t="shared" si="651"/>
        <v>0</v>
      </c>
      <c r="AC130" s="200">
        <f t="shared" si="651"/>
        <v>0</v>
      </c>
      <c r="AD130" s="200">
        <f t="shared" si="11"/>
        <v>0</v>
      </c>
      <c r="AE130" s="200">
        <f t="shared" ref="AE130:AG130" si="652">countif($D130,"*"&amp;AE$2&amp;"*")</f>
        <v>0</v>
      </c>
      <c r="AF130" s="200">
        <f t="shared" si="652"/>
        <v>0</v>
      </c>
      <c r="AG130" s="200">
        <f t="shared" si="652"/>
        <v>0</v>
      </c>
      <c r="AH130" s="171">
        <f t="shared" si="13"/>
        <v>0</v>
      </c>
      <c r="AI130" s="200">
        <f t="shared" si="14"/>
        <v>0</v>
      </c>
      <c r="AJ130" s="200">
        <f t="shared" si="137"/>
        <v>0</v>
      </c>
      <c r="AK130" s="201">
        <f t="shared" ref="AK130:AS130" si="653">countif($D130,"*"&amp;AK$2&amp;"*")</f>
        <v>0</v>
      </c>
      <c r="AL130" s="201">
        <f t="shared" si="653"/>
        <v>0</v>
      </c>
      <c r="AM130" s="201">
        <f t="shared" si="653"/>
        <v>0</v>
      </c>
      <c r="AN130" s="201">
        <f t="shared" si="653"/>
        <v>0</v>
      </c>
      <c r="AO130" s="201">
        <f t="shared" si="653"/>
        <v>0</v>
      </c>
      <c r="AP130" s="201">
        <f t="shared" si="653"/>
        <v>0</v>
      </c>
      <c r="AQ130" s="201">
        <f t="shared" si="653"/>
        <v>0</v>
      </c>
      <c r="AR130" s="200">
        <f t="shared" si="653"/>
        <v>0</v>
      </c>
      <c r="AS130" s="200">
        <f t="shared" si="653"/>
        <v>0</v>
      </c>
      <c r="AT130" s="173">
        <v>0.0</v>
      </c>
      <c r="AU130" s="200">
        <f t="shared" ref="AU130:AX130" si="654">countif($D130,"*"&amp;AU$2&amp;"*")</f>
        <v>0</v>
      </c>
      <c r="AV130" s="200">
        <f t="shared" si="654"/>
        <v>1</v>
      </c>
      <c r="AW130" s="200">
        <f t="shared" si="654"/>
        <v>0</v>
      </c>
      <c r="AX130" s="200">
        <f t="shared" si="654"/>
        <v>0</v>
      </c>
      <c r="AY130" s="202">
        <v>0.0</v>
      </c>
      <c r="AZ130" s="200"/>
      <c r="BA130" s="171" t="str">
        <f t="shared" si="18"/>
        <v/>
      </c>
      <c r="BB130" s="171" t="str">
        <f t="shared" si="19"/>
        <v>Code</v>
      </c>
      <c r="BC130" s="171" t="str">
        <f t="shared" si="20"/>
        <v/>
      </c>
      <c r="BD130" s="171" t="str">
        <f t="shared" si="21"/>
        <v/>
      </c>
      <c r="BE130" s="171" t="str">
        <f t="shared" si="22"/>
        <v/>
      </c>
      <c r="BF130" s="171" t="str">
        <f t="shared" si="23"/>
        <v>Code</v>
      </c>
    </row>
    <row r="131">
      <c r="A131" s="171">
        <f t="array" ref="A131">XLOOKUP(C131,ICSE!A:A,ICSE!C:C,,2,1)</f>
        <v>2022</v>
      </c>
      <c r="B131" s="171" t="s">
        <v>5675</v>
      </c>
      <c r="C131" s="160">
        <v>119.0</v>
      </c>
      <c r="D131" s="161" t="s">
        <v>2579</v>
      </c>
      <c r="E131" s="197" t="str">
        <f t="array" ref="E131">XLOOKUP(C131,ICSE!A:A,ICSE!Z:Z,,0,1)</f>
        <v>Publicly available (1)</v>
      </c>
      <c r="F131" s="198" t="s">
        <v>20</v>
      </c>
      <c r="G131" s="163" t="str">
        <f t="array" ref="G131">IF(B131="ICSE",IF(COUNTIFS(B:B,B131,C:C,C131)=XLOOKUP(C131,ICSE!A:A,ICSE!AA:AA,"ERROR",0,1),"OK","ERROR"),IF(B131="FSE",IF(COUNTIFS(B:B,B131,C:C,C131)=XLOOKUP(C131,FSE!A:A,FSE!AA:AA,"ERROR",0,1),"OK","ERROR")))</f>
        <v>OK</v>
      </c>
      <c r="H131" s="199">
        <f t="shared" ref="H131:O131" si="655">countif($D131,"*"&amp;H$2&amp;"*")</f>
        <v>0</v>
      </c>
      <c r="I131" s="200">
        <f t="shared" si="655"/>
        <v>0</v>
      </c>
      <c r="J131" s="200">
        <f t="shared" si="655"/>
        <v>0</v>
      </c>
      <c r="K131" s="200">
        <f t="shared" si="655"/>
        <v>0</v>
      </c>
      <c r="L131" s="200">
        <f t="shared" si="655"/>
        <v>0</v>
      </c>
      <c r="M131" s="200">
        <f t="shared" si="655"/>
        <v>0</v>
      </c>
      <c r="N131" s="200">
        <f t="shared" si="655"/>
        <v>0</v>
      </c>
      <c r="O131" s="200">
        <f t="shared" si="655"/>
        <v>0</v>
      </c>
      <c r="P131" s="200">
        <f t="shared" si="9"/>
        <v>1</v>
      </c>
      <c r="Q131" s="200">
        <f t="shared" ref="Q131:AC131" si="656">countif($D131,"*"&amp;Q$2&amp;"*")</f>
        <v>0</v>
      </c>
      <c r="R131" s="200">
        <f t="shared" si="656"/>
        <v>0</v>
      </c>
      <c r="S131" s="200">
        <f t="shared" si="656"/>
        <v>0</v>
      </c>
      <c r="T131" s="200">
        <f t="shared" si="656"/>
        <v>0</v>
      </c>
      <c r="U131" s="200">
        <f t="shared" si="656"/>
        <v>0</v>
      </c>
      <c r="V131" s="200">
        <f t="shared" si="656"/>
        <v>0</v>
      </c>
      <c r="W131" s="200">
        <f t="shared" si="656"/>
        <v>0</v>
      </c>
      <c r="X131" s="200">
        <f t="shared" si="656"/>
        <v>0</v>
      </c>
      <c r="Y131" s="200">
        <f t="shared" si="656"/>
        <v>0</v>
      </c>
      <c r="Z131" s="200">
        <f t="shared" si="656"/>
        <v>0</v>
      </c>
      <c r="AA131" s="200">
        <f t="shared" si="656"/>
        <v>0</v>
      </c>
      <c r="AB131" s="200">
        <f t="shared" si="656"/>
        <v>0</v>
      </c>
      <c r="AC131" s="200">
        <f t="shared" si="656"/>
        <v>0</v>
      </c>
      <c r="AD131" s="200">
        <f t="shared" si="11"/>
        <v>0</v>
      </c>
      <c r="AE131" s="200">
        <f t="shared" ref="AE131:AG131" si="657">countif($D131,"*"&amp;AE$2&amp;"*")</f>
        <v>0</v>
      </c>
      <c r="AF131" s="200">
        <f t="shared" si="657"/>
        <v>0</v>
      </c>
      <c r="AG131" s="200">
        <f t="shared" si="657"/>
        <v>0</v>
      </c>
      <c r="AH131" s="171">
        <f t="shared" si="13"/>
        <v>0</v>
      </c>
      <c r="AI131" s="200">
        <f t="shared" si="14"/>
        <v>0</v>
      </c>
      <c r="AJ131" s="200">
        <f t="shared" si="137"/>
        <v>0</v>
      </c>
      <c r="AK131" s="201">
        <f t="shared" ref="AK131:AS131" si="658">countif($D131,"*"&amp;AK$2&amp;"*")</f>
        <v>0</v>
      </c>
      <c r="AL131" s="201">
        <f t="shared" si="658"/>
        <v>0</v>
      </c>
      <c r="AM131" s="201">
        <f t="shared" si="658"/>
        <v>0</v>
      </c>
      <c r="AN131" s="201">
        <f t="shared" si="658"/>
        <v>0</v>
      </c>
      <c r="AO131" s="201">
        <f t="shared" si="658"/>
        <v>0</v>
      </c>
      <c r="AP131" s="201">
        <f t="shared" si="658"/>
        <v>0</v>
      </c>
      <c r="AQ131" s="201">
        <f t="shared" si="658"/>
        <v>0</v>
      </c>
      <c r="AR131" s="200">
        <f t="shared" si="658"/>
        <v>0</v>
      </c>
      <c r="AS131" s="200">
        <f t="shared" si="658"/>
        <v>0</v>
      </c>
      <c r="AT131" s="173">
        <v>0.0</v>
      </c>
      <c r="AU131" s="200">
        <f t="shared" ref="AU131:AX131" si="659">countif($D131,"*"&amp;AU$2&amp;"*")</f>
        <v>0</v>
      </c>
      <c r="AV131" s="200">
        <f t="shared" si="659"/>
        <v>1</v>
      </c>
      <c r="AW131" s="200">
        <f t="shared" si="659"/>
        <v>0</v>
      </c>
      <c r="AX131" s="200">
        <f t="shared" si="659"/>
        <v>0</v>
      </c>
      <c r="AY131" s="202">
        <v>0.0</v>
      </c>
      <c r="AZ131" s="200"/>
      <c r="BA131" s="171" t="str">
        <f t="shared" si="18"/>
        <v/>
      </c>
      <c r="BB131" s="171" t="str">
        <f t="shared" si="19"/>
        <v>Code</v>
      </c>
      <c r="BC131" s="171" t="str">
        <f t="shared" si="20"/>
        <v/>
      </c>
      <c r="BD131" s="171" t="str">
        <f t="shared" si="21"/>
        <v/>
      </c>
      <c r="BE131" s="171" t="str">
        <f t="shared" si="22"/>
        <v/>
      </c>
      <c r="BF131" s="171" t="str">
        <f t="shared" si="23"/>
        <v>Code</v>
      </c>
    </row>
    <row r="132">
      <c r="A132" s="171">
        <f t="array" ref="A132">XLOOKUP(C132,ICSE!A:A,ICSE!C:C,,2,1)</f>
        <v>2022</v>
      </c>
      <c r="B132" s="171" t="s">
        <v>5675</v>
      </c>
      <c r="C132" s="160">
        <v>120.0</v>
      </c>
      <c r="D132" s="161" t="s">
        <v>2581</v>
      </c>
      <c r="E132" s="197" t="str">
        <f t="array" ref="E132">XLOOKUP(C132,ICSE!A:A,ICSE!Z:Z,,0,1)</f>
        <v>Publicly available (1)</v>
      </c>
      <c r="F132" s="198" t="s">
        <v>20</v>
      </c>
      <c r="G132" s="163" t="str">
        <f t="array" ref="G132">IF(B132="ICSE",IF(COUNTIFS(B:B,B132,C:C,C132)=XLOOKUP(C132,ICSE!A:A,ICSE!AA:AA,"ERROR",0,1),"OK","ERROR"),IF(B132="FSE",IF(COUNTIFS(B:B,B132,C:C,C132)=XLOOKUP(C132,FSE!A:A,FSE!AA:AA,"ERROR",0,1),"OK","ERROR")))</f>
        <v>OK</v>
      </c>
      <c r="H132" s="199">
        <f t="shared" ref="H132:O132" si="660">countif($D132,"*"&amp;H$2&amp;"*")</f>
        <v>0</v>
      </c>
      <c r="I132" s="200">
        <f t="shared" si="660"/>
        <v>0</v>
      </c>
      <c r="J132" s="200">
        <f t="shared" si="660"/>
        <v>0</v>
      </c>
      <c r="K132" s="200">
        <f t="shared" si="660"/>
        <v>0</v>
      </c>
      <c r="L132" s="200">
        <f t="shared" si="660"/>
        <v>0</v>
      </c>
      <c r="M132" s="200">
        <f t="shared" si="660"/>
        <v>0</v>
      </c>
      <c r="N132" s="200">
        <f t="shared" si="660"/>
        <v>0</v>
      </c>
      <c r="O132" s="200">
        <f t="shared" si="660"/>
        <v>0</v>
      </c>
      <c r="P132" s="200">
        <f t="shared" si="9"/>
        <v>1</v>
      </c>
      <c r="Q132" s="200">
        <f t="shared" ref="Q132:AC132" si="661">countif($D132,"*"&amp;Q$2&amp;"*")</f>
        <v>0</v>
      </c>
      <c r="R132" s="200">
        <f t="shared" si="661"/>
        <v>0</v>
      </c>
      <c r="S132" s="200">
        <f t="shared" si="661"/>
        <v>0</v>
      </c>
      <c r="T132" s="200">
        <f t="shared" si="661"/>
        <v>0</v>
      </c>
      <c r="U132" s="200">
        <f t="shared" si="661"/>
        <v>0</v>
      </c>
      <c r="V132" s="200">
        <f t="shared" si="661"/>
        <v>0</v>
      </c>
      <c r="W132" s="200">
        <f t="shared" si="661"/>
        <v>0</v>
      </c>
      <c r="X132" s="200">
        <f t="shared" si="661"/>
        <v>0</v>
      </c>
      <c r="Y132" s="200">
        <f t="shared" si="661"/>
        <v>0</v>
      </c>
      <c r="Z132" s="200">
        <f t="shared" si="661"/>
        <v>0</v>
      </c>
      <c r="AA132" s="200">
        <f t="shared" si="661"/>
        <v>0</v>
      </c>
      <c r="AB132" s="200">
        <f t="shared" si="661"/>
        <v>0</v>
      </c>
      <c r="AC132" s="200">
        <f t="shared" si="661"/>
        <v>0</v>
      </c>
      <c r="AD132" s="200">
        <f t="shared" si="11"/>
        <v>0</v>
      </c>
      <c r="AE132" s="200">
        <f t="shared" ref="AE132:AG132" si="662">countif($D132,"*"&amp;AE$2&amp;"*")</f>
        <v>0</v>
      </c>
      <c r="AF132" s="200">
        <f t="shared" si="662"/>
        <v>0</v>
      </c>
      <c r="AG132" s="200">
        <f t="shared" si="662"/>
        <v>0</v>
      </c>
      <c r="AH132" s="171">
        <f t="shared" si="13"/>
        <v>0</v>
      </c>
      <c r="AI132" s="200">
        <f t="shared" si="14"/>
        <v>0</v>
      </c>
      <c r="AJ132" s="200">
        <f t="shared" si="137"/>
        <v>0</v>
      </c>
      <c r="AK132" s="201">
        <f t="shared" ref="AK132:AS132" si="663">countif($D132,"*"&amp;AK$2&amp;"*")</f>
        <v>0</v>
      </c>
      <c r="AL132" s="201">
        <f t="shared" si="663"/>
        <v>0</v>
      </c>
      <c r="AM132" s="201">
        <f t="shared" si="663"/>
        <v>0</v>
      </c>
      <c r="AN132" s="201">
        <f t="shared" si="663"/>
        <v>0</v>
      </c>
      <c r="AO132" s="201">
        <f t="shared" si="663"/>
        <v>0</v>
      </c>
      <c r="AP132" s="201">
        <f t="shared" si="663"/>
        <v>0</v>
      </c>
      <c r="AQ132" s="201">
        <f t="shared" si="663"/>
        <v>0</v>
      </c>
      <c r="AR132" s="200">
        <f t="shared" si="663"/>
        <v>0</v>
      </c>
      <c r="AS132" s="200">
        <f t="shared" si="663"/>
        <v>0</v>
      </c>
      <c r="AT132" s="173">
        <v>0.0</v>
      </c>
      <c r="AU132" s="200">
        <f t="shared" ref="AU132:AX132" si="664">countif($D132,"*"&amp;AU$2&amp;"*")</f>
        <v>0</v>
      </c>
      <c r="AV132" s="200">
        <f t="shared" si="664"/>
        <v>1</v>
      </c>
      <c r="AW132" s="200">
        <f t="shared" si="664"/>
        <v>0</v>
      </c>
      <c r="AX132" s="200">
        <f t="shared" si="664"/>
        <v>0</v>
      </c>
      <c r="AY132" s="202">
        <v>0.0</v>
      </c>
      <c r="AZ132" s="200"/>
      <c r="BA132" s="171" t="str">
        <f t="shared" si="18"/>
        <v/>
      </c>
      <c r="BB132" s="171" t="str">
        <f t="shared" si="19"/>
        <v>Code</v>
      </c>
      <c r="BC132" s="171" t="str">
        <f t="shared" si="20"/>
        <v/>
      </c>
      <c r="BD132" s="171" t="str">
        <f t="shared" si="21"/>
        <v/>
      </c>
      <c r="BE132" s="171" t="str">
        <f t="shared" si="22"/>
        <v/>
      </c>
      <c r="BF132" s="171" t="str">
        <f t="shared" si="23"/>
        <v>Code</v>
      </c>
    </row>
    <row r="133">
      <c r="A133" s="171">
        <f t="array" ref="A133">XLOOKUP(C133,ICSE!A:A,ICSE!C:C,,2,1)</f>
        <v>2022</v>
      </c>
      <c r="B133" s="171" t="s">
        <v>5675</v>
      </c>
      <c r="C133" s="160">
        <v>121.0</v>
      </c>
      <c r="D133" s="161" t="s">
        <v>2584</v>
      </c>
      <c r="E133" s="197" t="str">
        <f t="array" ref="E133">XLOOKUP(C133,ICSE!A:A,ICSE!Z:Z,,0,1)</f>
        <v>Publicly available (1)</v>
      </c>
      <c r="F133" s="198" t="s">
        <v>20</v>
      </c>
      <c r="G133" s="163" t="str">
        <f t="array" ref="G133">IF(B133="ICSE",IF(COUNTIFS(B:B,B133,C:C,C133)=XLOOKUP(C133,ICSE!A:A,ICSE!AA:AA,"ERROR",0,1),"OK","ERROR"),IF(B133="FSE",IF(COUNTIFS(B:B,B133,C:C,C133)=XLOOKUP(C133,FSE!A:A,FSE!AA:AA,"ERROR",0,1),"OK","ERROR")))</f>
        <v>OK</v>
      </c>
      <c r="H133" s="199">
        <f t="shared" ref="H133:O133" si="665">countif($D133,"*"&amp;H$2&amp;"*")</f>
        <v>0</v>
      </c>
      <c r="I133" s="200">
        <f t="shared" si="665"/>
        <v>0</v>
      </c>
      <c r="J133" s="200">
        <f t="shared" si="665"/>
        <v>0</v>
      </c>
      <c r="K133" s="200">
        <f t="shared" si="665"/>
        <v>0</v>
      </c>
      <c r="L133" s="200">
        <f t="shared" si="665"/>
        <v>0</v>
      </c>
      <c r="M133" s="200">
        <f t="shared" si="665"/>
        <v>0</v>
      </c>
      <c r="N133" s="200">
        <f t="shared" si="665"/>
        <v>0</v>
      </c>
      <c r="O133" s="200">
        <f t="shared" si="665"/>
        <v>0</v>
      </c>
      <c r="P133" s="200">
        <f t="shared" si="9"/>
        <v>1</v>
      </c>
      <c r="Q133" s="200">
        <f t="shared" ref="Q133:AC133" si="666">countif($D133,"*"&amp;Q$2&amp;"*")</f>
        <v>0</v>
      </c>
      <c r="R133" s="200">
        <f t="shared" si="666"/>
        <v>0</v>
      </c>
      <c r="S133" s="200">
        <f t="shared" si="666"/>
        <v>0</v>
      </c>
      <c r="T133" s="200">
        <f t="shared" si="666"/>
        <v>0</v>
      </c>
      <c r="U133" s="200">
        <f t="shared" si="666"/>
        <v>0</v>
      </c>
      <c r="V133" s="200">
        <f t="shared" si="666"/>
        <v>0</v>
      </c>
      <c r="W133" s="200">
        <f t="shared" si="666"/>
        <v>0</v>
      </c>
      <c r="X133" s="200">
        <f t="shared" si="666"/>
        <v>0</v>
      </c>
      <c r="Y133" s="200">
        <f t="shared" si="666"/>
        <v>0</v>
      </c>
      <c r="Z133" s="200">
        <f t="shared" si="666"/>
        <v>0</v>
      </c>
      <c r="AA133" s="200">
        <f t="shared" si="666"/>
        <v>0</v>
      </c>
      <c r="AB133" s="200">
        <f t="shared" si="666"/>
        <v>0</v>
      </c>
      <c r="AC133" s="200">
        <f t="shared" si="666"/>
        <v>0</v>
      </c>
      <c r="AD133" s="200">
        <f t="shared" si="11"/>
        <v>0</v>
      </c>
      <c r="AE133" s="200">
        <f t="shared" ref="AE133:AG133" si="667">countif($D133,"*"&amp;AE$2&amp;"*")</f>
        <v>0</v>
      </c>
      <c r="AF133" s="200">
        <f t="shared" si="667"/>
        <v>0</v>
      </c>
      <c r="AG133" s="200">
        <f t="shared" si="667"/>
        <v>0</v>
      </c>
      <c r="AH133" s="171">
        <f t="shared" si="13"/>
        <v>0</v>
      </c>
      <c r="AI133" s="200">
        <f t="shared" si="14"/>
        <v>0</v>
      </c>
      <c r="AJ133" s="200">
        <f t="shared" si="137"/>
        <v>0</v>
      </c>
      <c r="AK133" s="201">
        <f t="shared" ref="AK133:AS133" si="668">countif($D133,"*"&amp;AK$2&amp;"*")</f>
        <v>0</v>
      </c>
      <c r="AL133" s="201">
        <f t="shared" si="668"/>
        <v>0</v>
      </c>
      <c r="AM133" s="201">
        <f t="shared" si="668"/>
        <v>0</v>
      </c>
      <c r="AN133" s="201">
        <f t="shared" si="668"/>
        <v>0</v>
      </c>
      <c r="AO133" s="201">
        <f t="shared" si="668"/>
        <v>0</v>
      </c>
      <c r="AP133" s="201">
        <f t="shared" si="668"/>
        <v>0</v>
      </c>
      <c r="AQ133" s="201">
        <f t="shared" si="668"/>
        <v>0</v>
      </c>
      <c r="AR133" s="200">
        <f t="shared" si="668"/>
        <v>0</v>
      </c>
      <c r="AS133" s="200">
        <f t="shared" si="668"/>
        <v>0</v>
      </c>
      <c r="AT133" s="173">
        <v>0.0</v>
      </c>
      <c r="AU133" s="200">
        <f t="shared" ref="AU133:AX133" si="669">countif($D133,"*"&amp;AU$2&amp;"*")</f>
        <v>0</v>
      </c>
      <c r="AV133" s="200">
        <f t="shared" si="669"/>
        <v>1</v>
      </c>
      <c r="AW133" s="200">
        <f t="shared" si="669"/>
        <v>0</v>
      </c>
      <c r="AX133" s="200">
        <f t="shared" si="669"/>
        <v>0</v>
      </c>
      <c r="AY133" s="202">
        <v>0.0</v>
      </c>
      <c r="AZ133" s="200"/>
      <c r="BA133" s="171" t="str">
        <f t="shared" si="18"/>
        <v/>
      </c>
      <c r="BB133" s="171" t="str">
        <f t="shared" si="19"/>
        <v>Code</v>
      </c>
      <c r="BC133" s="171" t="str">
        <f t="shared" si="20"/>
        <v/>
      </c>
      <c r="BD133" s="171" t="str">
        <f t="shared" si="21"/>
        <v/>
      </c>
      <c r="BE133" s="171" t="str">
        <f t="shared" si="22"/>
        <v/>
      </c>
      <c r="BF133" s="171" t="str">
        <f t="shared" si="23"/>
        <v>Code</v>
      </c>
    </row>
    <row r="134">
      <c r="A134" s="171">
        <f t="array" ref="A134">XLOOKUP(C134,ICSE!A:A,ICSE!C:C,,2,1)</f>
        <v>2022</v>
      </c>
      <c r="B134" s="171" t="s">
        <v>5675</v>
      </c>
      <c r="C134" s="160">
        <v>122.0</v>
      </c>
      <c r="D134" s="161" t="s">
        <v>2587</v>
      </c>
      <c r="E134" s="197" t="str">
        <f t="array" ref="E134">XLOOKUP(C134,ICSE!A:A,ICSE!Z:Z,,0,1)</f>
        <v>Publicly available (1)</v>
      </c>
      <c r="F134" s="198" t="s">
        <v>20</v>
      </c>
      <c r="G134" s="163" t="str">
        <f t="array" ref="G134">IF(B134="ICSE",IF(COUNTIFS(B:B,B134,C:C,C134)=XLOOKUP(C134,ICSE!A:A,ICSE!AA:AA,"ERROR",0,1),"OK","ERROR"),IF(B134="FSE",IF(COUNTIFS(B:B,B134,C:C,C134)=XLOOKUP(C134,FSE!A:A,FSE!AA:AA,"ERROR",0,1),"OK","ERROR")))</f>
        <v>OK</v>
      </c>
      <c r="H134" s="199">
        <f t="shared" ref="H134:O134" si="670">countif($D134,"*"&amp;H$2&amp;"*")</f>
        <v>1</v>
      </c>
      <c r="I134" s="200">
        <f t="shared" si="670"/>
        <v>0</v>
      </c>
      <c r="J134" s="200">
        <f t="shared" si="670"/>
        <v>0</v>
      </c>
      <c r="K134" s="200">
        <f t="shared" si="670"/>
        <v>0</v>
      </c>
      <c r="L134" s="200">
        <f t="shared" si="670"/>
        <v>0</v>
      </c>
      <c r="M134" s="200">
        <f t="shared" si="670"/>
        <v>0</v>
      </c>
      <c r="N134" s="200">
        <f t="shared" si="670"/>
        <v>0</v>
      </c>
      <c r="O134" s="200">
        <f t="shared" si="670"/>
        <v>0</v>
      </c>
      <c r="P134" s="200">
        <f t="shared" si="9"/>
        <v>0</v>
      </c>
      <c r="Q134" s="200">
        <f t="shared" ref="Q134:AC134" si="671">countif($D134,"*"&amp;Q$2&amp;"*")</f>
        <v>0</v>
      </c>
      <c r="R134" s="200">
        <f t="shared" si="671"/>
        <v>0</v>
      </c>
      <c r="S134" s="200">
        <f t="shared" si="671"/>
        <v>0</v>
      </c>
      <c r="T134" s="200">
        <f t="shared" si="671"/>
        <v>0</v>
      </c>
      <c r="U134" s="200">
        <f t="shared" si="671"/>
        <v>0</v>
      </c>
      <c r="V134" s="200">
        <f t="shared" si="671"/>
        <v>0</v>
      </c>
      <c r="W134" s="200">
        <f t="shared" si="671"/>
        <v>0</v>
      </c>
      <c r="X134" s="200">
        <f t="shared" si="671"/>
        <v>0</v>
      </c>
      <c r="Y134" s="200">
        <f t="shared" si="671"/>
        <v>0</v>
      </c>
      <c r="Z134" s="200">
        <f t="shared" si="671"/>
        <v>0</v>
      </c>
      <c r="AA134" s="200">
        <f t="shared" si="671"/>
        <v>0</v>
      </c>
      <c r="AB134" s="200">
        <f t="shared" si="671"/>
        <v>0</v>
      </c>
      <c r="AC134" s="200">
        <f t="shared" si="671"/>
        <v>0</v>
      </c>
      <c r="AD134" s="200">
        <f t="shared" si="11"/>
        <v>0</v>
      </c>
      <c r="AE134" s="200">
        <f t="shared" ref="AE134:AG134" si="672">countif($D134,"*"&amp;AE$2&amp;"*")</f>
        <v>0</v>
      </c>
      <c r="AF134" s="200">
        <f t="shared" si="672"/>
        <v>0</v>
      </c>
      <c r="AG134" s="200">
        <f t="shared" si="672"/>
        <v>0</v>
      </c>
      <c r="AH134" s="171">
        <f t="shared" si="13"/>
        <v>0</v>
      </c>
      <c r="AI134" s="200">
        <f t="shared" si="14"/>
        <v>1</v>
      </c>
      <c r="AJ134" s="200">
        <f t="shared" si="137"/>
        <v>0</v>
      </c>
      <c r="AK134" s="201">
        <f t="shared" ref="AK134:AS134" si="673">countif($D134,"*"&amp;AK$2&amp;"*")</f>
        <v>0</v>
      </c>
      <c r="AL134" s="201">
        <f t="shared" si="673"/>
        <v>0</v>
      </c>
      <c r="AM134" s="201">
        <f t="shared" si="673"/>
        <v>0</v>
      </c>
      <c r="AN134" s="201">
        <f t="shared" si="673"/>
        <v>0</v>
      </c>
      <c r="AO134" s="201">
        <f t="shared" si="673"/>
        <v>0</v>
      </c>
      <c r="AP134" s="201">
        <f t="shared" si="673"/>
        <v>0</v>
      </c>
      <c r="AQ134" s="201">
        <f t="shared" si="673"/>
        <v>0</v>
      </c>
      <c r="AR134" s="200">
        <f t="shared" si="673"/>
        <v>0</v>
      </c>
      <c r="AS134" s="200">
        <f t="shared" si="673"/>
        <v>0</v>
      </c>
      <c r="AT134" s="173">
        <v>0.0</v>
      </c>
      <c r="AU134" s="200">
        <f t="shared" ref="AU134:AX134" si="674">countif($D134,"*"&amp;AU$2&amp;"*")</f>
        <v>0</v>
      </c>
      <c r="AV134" s="200">
        <f t="shared" si="674"/>
        <v>0</v>
      </c>
      <c r="AW134" s="200">
        <f t="shared" si="674"/>
        <v>0</v>
      </c>
      <c r="AX134" s="200">
        <f t="shared" si="674"/>
        <v>0</v>
      </c>
      <c r="AY134" s="204">
        <v>1.0</v>
      </c>
      <c r="AZ134" s="200"/>
      <c r="BA134" s="171" t="str">
        <f t="shared" si="18"/>
        <v>Archival</v>
      </c>
      <c r="BB134" s="171" t="str">
        <f t="shared" si="19"/>
        <v/>
      </c>
      <c r="BC134" s="171" t="str">
        <f t="shared" si="20"/>
        <v/>
      </c>
      <c r="BD134" s="171" t="str">
        <f t="shared" si="21"/>
        <v/>
      </c>
      <c r="BE134" s="171" t="str">
        <f t="shared" si="22"/>
        <v/>
      </c>
      <c r="BF134" s="171" t="str">
        <f t="shared" si="23"/>
        <v>Archival</v>
      </c>
    </row>
    <row r="135">
      <c r="A135" s="171">
        <f t="array" ref="A135">XLOOKUP(C135,ICSE!A:A,ICSE!C:C,,2,1)</f>
        <v>2022</v>
      </c>
      <c r="B135" s="171" t="s">
        <v>5675</v>
      </c>
      <c r="C135" s="160">
        <v>123.0</v>
      </c>
      <c r="D135" s="161" t="s">
        <v>2590</v>
      </c>
      <c r="E135" s="197" t="str">
        <f t="array" ref="E135">XLOOKUP(C135,ICSE!A:A,ICSE!Z:Z,,0,1)</f>
        <v>Publicly available (1)</v>
      </c>
      <c r="F135" s="198" t="s">
        <v>20</v>
      </c>
      <c r="G135" s="163" t="str">
        <f t="array" ref="G135">IF(B135="ICSE",IF(COUNTIFS(B:B,B135,C:C,C135)=XLOOKUP(C135,ICSE!A:A,ICSE!AA:AA,"ERROR",0,1),"OK","ERROR"),IF(B135="FSE",IF(COUNTIFS(B:B,B135,C:C,C135)=XLOOKUP(C135,FSE!A:A,FSE!AA:AA,"ERROR",0,1),"OK","ERROR")))</f>
        <v>OK</v>
      </c>
      <c r="H135" s="199">
        <f t="shared" ref="H135:O135" si="675">countif($D135,"*"&amp;H$2&amp;"*")</f>
        <v>0</v>
      </c>
      <c r="I135" s="200">
        <f t="shared" si="675"/>
        <v>0</v>
      </c>
      <c r="J135" s="200">
        <f t="shared" si="675"/>
        <v>0</v>
      </c>
      <c r="K135" s="200">
        <f t="shared" si="675"/>
        <v>0</v>
      </c>
      <c r="L135" s="200">
        <f t="shared" si="675"/>
        <v>0</v>
      </c>
      <c r="M135" s="200">
        <f t="shared" si="675"/>
        <v>0</v>
      </c>
      <c r="N135" s="200">
        <f t="shared" si="675"/>
        <v>0</v>
      </c>
      <c r="O135" s="200">
        <f t="shared" si="675"/>
        <v>0</v>
      </c>
      <c r="P135" s="200">
        <f t="shared" si="9"/>
        <v>1</v>
      </c>
      <c r="Q135" s="200">
        <f t="shared" ref="Q135:AC135" si="676">countif($D135,"*"&amp;Q$2&amp;"*")</f>
        <v>0</v>
      </c>
      <c r="R135" s="200">
        <f t="shared" si="676"/>
        <v>0</v>
      </c>
      <c r="S135" s="200">
        <f t="shared" si="676"/>
        <v>0</v>
      </c>
      <c r="T135" s="200">
        <f t="shared" si="676"/>
        <v>0</v>
      </c>
      <c r="U135" s="200">
        <f t="shared" si="676"/>
        <v>0</v>
      </c>
      <c r="V135" s="200">
        <f t="shared" si="676"/>
        <v>0</v>
      </c>
      <c r="W135" s="200">
        <f t="shared" si="676"/>
        <v>0</v>
      </c>
      <c r="X135" s="200">
        <f t="shared" si="676"/>
        <v>0</v>
      </c>
      <c r="Y135" s="200">
        <f t="shared" si="676"/>
        <v>0</v>
      </c>
      <c r="Z135" s="200">
        <f t="shared" si="676"/>
        <v>0</v>
      </c>
      <c r="AA135" s="200">
        <f t="shared" si="676"/>
        <v>0</v>
      </c>
      <c r="AB135" s="200">
        <f t="shared" si="676"/>
        <v>0</v>
      </c>
      <c r="AC135" s="200">
        <f t="shared" si="676"/>
        <v>0</v>
      </c>
      <c r="AD135" s="200">
        <f t="shared" si="11"/>
        <v>0</v>
      </c>
      <c r="AE135" s="200">
        <f t="shared" ref="AE135:AG135" si="677">countif($D135,"*"&amp;AE$2&amp;"*")</f>
        <v>0</v>
      </c>
      <c r="AF135" s="200">
        <f t="shared" si="677"/>
        <v>0</v>
      </c>
      <c r="AG135" s="200">
        <f t="shared" si="677"/>
        <v>0</v>
      </c>
      <c r="AH135" s="171">
        <f t="shared" si="13"/>
        <v>0</v>
      </c>
      <c r="AI135" s="200">
        <f t="shared" si="14"/>
        <v>0</v>
      </c>
      <c r="AJ135" s="200">
        <f t="shared" si="137"/>
        <v>0</v>
      </c>
      <c r="AK135" s="201">
        <f t="shared" ref="AK135:AS135" si="678">countif($D135,"*"&amp;AK$2&amp;"*")</f>
        <v>0</v>
      </c>
      <c r="AL135" s="201">
        <f t="shared" si="678"/>
        <v>0</v>
      </c>
      <c r="AM135" s="201">
        <f t="shared" si="678"/>
        <v>0</v>
      </c>
      <c r="AN135" s="201">
        <f t="shared" si="678"/>
        <v>0</v>
      </c>
      <c r="AO135" s="201">
        <f t="shared" si="678"/>
        <v>0</v>
      </c>
      <c r="AP135" s="201">
        <f t="shared" si="678"/>
        <v>0</v>
      </c>
      <c r="AQ135" s="201">
        <f t="shared" si="678"/>
        <v>0</v>
      </c>
      <c r="AR135" s="200">
        <f t="shared" si="678"/>
        <v>0</v>
      </c>
      <c r="AS135" s="200">
        <f t="shared" si="678"/>
        <v>0</v>
      </c>
      <c r="AT135" s="173">
        <v>0.0</v>
      </c>
      <c r="AU135" s="200">
        <f t="shared" ref="AU135:AX135" si="679">countif($D135,"*"&amp;AU$2&amp;"*")</f>
        <v>0</v>
      </c>
      <c r="AV135" s="200">
        <f t="shared" si="679"/>
        <v>1</v>
      </c>
      <c r="AW135" s="200">
        <f t="shared" si="679"/>
        <v>0</v>
      </c>
      <c r="AX135" s="200">
        <f t="shared" si="679"/>
        <v>0</v>
      </c>
      <c r="AY135" s="202">
        <v>0.0</v>
      </c>
      <c r="AZ135" s="200"/>
      <c r="BA135" s="171" t="str">
        <f t="shared" si="18"/>
        <v/>
      </c>
      <c r="BB135" s="171" t="str">
        <f t="shared" si="19"/>
        <v>Code</v>
      </c>
      <c r="BC135" s="171" t="str">
        <f t="shared" si="20"/>
        <v/>
      </c>
      <c r="BD135" s="171" t="str">
        <f t="shared" si="21"/>
        <v/>
      </c>
      <c r="BE135" s="171" t="str">
        <f t="shared" si="22"/>
        <v/>
      </c>
      <c r="BF135" s="171" t="str">
        <f t="shared" si="23"/>
        <v>Code</v>
      </c>
    </row>
    <row r="136">
      <c r="A136" s="171">
        <f t="array" ref="A136">XLOOKUP(C136,ICSE!A:A,ICSE!C:C,,2,1)</f>
        <v>2022</v>
      </c>
      <c r="B136" s="171" t="s">
        <v>5675</v>
      </c>
      <c r="C136" s="160">
        <v>124.0</v>
      </c>
      <c r="D136" s="161" t="s">
        <v>2592</v>
      </c>
      <c r="E136" s="197" t="str">
        <f t="array" ref="E136">XLOOKUP(C136,ICSE!A:A,ICSE!Z:Z,,0,1)</f>
        <v>Publicly available (1)</v>
      </c>
      <c r="F136" s="198" t="s">
        <v>20</v>
      </c>
      <c r="G136" s="163" t="str">
        <f t="array" ref="G136">IF(B136="ICSE",IF(COUNTIFS(B:B,B136,C:C,C136)=XLOOKUP(C136,ICSE!A:A,ICSE!AA:AA,"ERROR",0,1),"OK","ERROR"),IF(B136="FSE",IF(COUNTIFS(B:B,B136,C:C,C136)=XLOOKUP(C136,FSE!A:A,FSE!AA:AA,"ERROR",0,1),"OK","ERROR")))</f>
        <v>OK</v>
      </c>
      <c r="H136" s="199">
        <f t="shared" ref="H136:O136" si="680">countif($D136,"*"&amp;H$2&amp;"*")</f>
        <v>0</v>
      </c>
      <c r="I136" s="200">
        <f t="shared" si="680"/>
        <v>0</v>
      </c>
      <c r="J136" s="200">
        <f t="shared" si="680"/>
        <v>0</v>
      </c>
      <c r="K136" s="200">
        <f t="shared" si="680"/>
        <v>0</v>
      </c>
      <c r="L136" s="200">
        <f t="shared" si="680"/>
        <v>0</v>
      </c>
      <c r="M136" s="200">
        <f t="shared" si="680"/>
        <v>0</v>
      </c>
      <c r="N136" s="200">
        <f t="shared" si="680"/>
        <v>0</v>
      </c>
      <c r="O136" s="200">
        <f t="shared" si="680"/>
        <v>0</v>
      </c>
      <c r="P136" s="200">
        <f t="shared" si="9"/>
        <v>1</v>
      </c>
      <c r="Q136" s="200">
        <f t="shared" ref="Q136:AC136" si="681">countif($D136,"*"&amp;Q$2&amp;"*")</f>
        <v>0</v>
      </c>
      <c r="R136" s="200">
        <f t="shared" si="681"/>
        <v>0</v>
      </c>
      <c r="S136" s="200">
        <f t="shared" si="681"/>
        <v>0</v>
      </c>
      <c r="T136" s="200">
        <f t="shared" si="681"/>
        <v>0</v>
      </c>
      <c r="U136" s="200">
        <f t="shared" si="681"/>
        <v>0</v>
      </c>
      <c r="V136" s="200">
        <f t="shared" si="681"/>
        <v>0</v>
      </c>
      <c r="W136" s="200">
        <f t="shared" si="681"/>
        <v>0</v>
      </c>
      <c r="X136" s="200">
        <f t="shared" si="681"/>
        <v>0</v>
      </c>
      <c r="Y136" s="200">
        <f t="shared" si="681"/>
        <v>0</v>
      </c>
      <c r="Z136" s="200">
        <f t="shared" si="681"/>
        <v>0</v>
      </c>
      <c r="AA136" s="200">
        <f t="shared" si="681"/>
        <v>0</v>
      </c>
      <c r="AB136" s="200">
        <f t="shared" si="681"/>
        <v>0</v>
      </c>
      <c r="AC136" s="200">
        <f t="shared" si="681"/>
        <v>0</v>
      </c>
      <c r="AD136" s="200">
        <f t="shared" si="11"/>
        <v>0</v>
      </c>
      <c r="AE136" s="200">
        <f t="shared" ref="AE136:AG136" si="682">countif($D136,"*"&amp;AE$2&amp;"*")</f>
        <v>0</v>
      </c>
      <c r="AF136" s="200">
        <f t="shared" si="682"/>
        <v>0</v>
      </c>
      <c r="AG136" s="200">
        <f t="shared" si="682"/>
        <v>0</v>
      </c>
      <c r="AH136" s="171">
        <f t="shared" si="13"/>
        <v>0</v>
      </c>
      <c r="AI136" s="200">
        <f t="shared" si="14"/>
        <v>0</v>
      </c>
      <c r="AJ136" s="200">
        <f t="shared" si="137"/>
        <v>0</v>
      </c>
      <c r="AK136" s="201">
        <f t="shared" ref="AK136:AS136" si="683">countif($D136,"*"&amp;AK$2&amp;"*")</f>
        <v>0</v>
      </c>
      <c r="AL136" s="201">
        <f t="shared" si="683"/>
        <v>0</v>
      </c>
      <c r="AM136" s="201">
        <f t="shared" si="683"/>
        <v>0</v>
      </c>
      <c r="AN136" s="201">
        <f t="shared" si="683"/>
        <v>0</v>
      </c>
      <c r="AO136" s="201">
        <f t="shared" si="683"/>
        <v>0</v>
      </c>
      <c r="AP136" s="201">
        <f t="shared" si="683"/>
        <v>0</v>
      </c>
      <c r="AQ136" s="201">
        <f t="shared" si="683"/>
        <v>0</v>
      </c>
      <c r="AR136" s="200">
        <f t="shared" si="683"/>
        <v>0</v>
      </c>
      <c r="AS136" s="200">
        <f t="shared" si="683"/>
        <v>0</v>
      </c>
      <c r="AT136" s="173">
        <v>0.0</v>
      </c>
      <c r="AU136" s="200">
        <f t="shared" ref="AU136:AX136" si="684">countif($D136,"*"&amp;AU$2&amp;"*")</f>
        <v>0</v>
      </c>
      <c r="AV136" s="200">
        <f t="shared" si="684"/>
        <v>1</v>
      </c>
      <c r="AW136" s="200">
        <f t="shared" si="684"/>
        <v>0</v>
      </c>
      <c r="AX136" s="200">
        <f t="shared" si="684"/>
        <v>0</v>
      </c>
      <c r="AY136" s="202">
        <v>0.0</v>
      </c>
      <c r="AZ136" s="200"/>
      <c r="BA136" s="171" t="str">
        <f t="shared" si="18"/>
        <v/>
      </c>
      <c r="BB136" s="171" t="str">
        <f t="shared" si="19"/>
        <v>Code</v>
      </c>
      <c r="BC136" s="171" t="str">
        <f t="shared" si="20"/>
        <v/>
      </c>
      <c r="BD136" s="171" t="str">
        <f t="shared" si="21"/>
        <v/>
      </c>
      <c r="BE136" s="171" t="str">
        <f t="shared" si="22"/>
        <v/>
      </c>
      <c r="BF136" s="171" t="str">
        <f t="shared" si="23"/>
        <v>Code</v>
      </c>
    </row>
    <row r="137">
      <c r="A137" s="171">
        <f t="array" ref="A137">XLOOKUP(C137,ICSE!A:A,ICSE!C:C,,2,1)</f>
        <v>2022</v>
      </c>
      <c r="B137" s="171" t="s">
        <v>5675</v>
      </c>
      <c r="C137" s="160">
        <v>125.0</v>
      </c>
      <c r="D137" s="161" t="s">
        <v>2594</v>
      </c>
      <c r="E137" s="197" t="str">
        <f t="array" ref="E137">XLOOKUP(C137,ICSE!A:A,ICSE!Z:Z,,0,1)</f>
        <v>Publicly available (1)</v>
      </c>
      <c r="F137" s="198" t="s">
        <v>20</v>
      </c>
      <c r="G137" s="163" t="str">
        <f t="array" ref="G137">IF(B137="ICSE",IF(COUNTIFS(B:B,B137,C:C,C137)=XLOOKUP(C137,ICSE!A:A,ICSE!AA:AA,"ERROR",0,1),"OK","ERROR"),IF(B137="FSE",IF(COUNTIFS(B:B,B137,C:C,C137)=XLOOKUP(C137,FSE!A:A,FSE!AA:AA,"ERROR",0,1),"OK","ERROR")))</f>
        <v>OK</v>
      </c>
      <c r="H137" s="199">
        <f t="shared" ref="H137:O137" si="685">countif($D137,"*"&amp;H$2&amp;"*")</f>
        <v>0</v>
      </c>
      <c r="I137" s="200">
        <f t="shared" si="685"/>
        <v>0</v>
      </c>
      <c r="J137" s="200">
        <f t="shared" si="685"/>
        <v>0</v>
      </c>
      <c r="K137" s="200">
        <f t="shared" si="685"/>
        <v>0</v>
      </c>
      <c r="L137" s="200">
        <f t="shared" si="685"/>
        <v>0</v>
      </c>
      <c r="M137" s="200">
        <f t="shared" si="685"/>
        <v>0</v>
      </c>
      <c r="N137" s="200">
        <f t="shared" si="685"/>
        <v>0</v>
      </c>
      <c r="O137" s="200">
        <f t="shared" si="685"/>
        <v>0</v>
      </c>
      <c r="P137" s="200">
        <f t="shared" si="9"/>
        <v>1</v>
      </c>
      <c r="Q137" s="200">
        <f t="shared" ref="Q137:AC137" si="686">countif($D137,"*"&amp;Q$2&amp;"*")</f>
        <v>0</v>
      </c>
      <c r="R137" s="200">
        <f t="shared" si="686"/>
        <v>0</v>
      </c>
      <c r="S137" s="200">
        <f t="shared" si="686"/>
        <v>0</v>
      </c>
      <c r="T137" s="200">
        <f t="shared" si="686"/>
        <v>0</v>
      </c>
      <c r="U137" s="200">
        <f t="shared" si="686"/>
        <v>0</v>
      </c>
      <c r="V137" s="200">
        <f t="shared" si="686"/>
        <v>0</v>
      </c>
      <c r="W137" s="200">
        <f t="shared" si="686"/>
        <v>0</v>
      </c>
      <c r="X137" s="200">
        <f t="shared" si="686"/>
        <v>0</v>
      </c>
      <c r="Y137" s="200">
        <f t="shared" si="686"/>
        <v>0</v>
      </c>
      <c r="Z137" s="200">
        <f t="shared" si="686"/>
        <v>0</v>
      </c>
      <c r="AA137" s="200">
        <f t="shared" si="686"/>
        <v>0</v>
      </c>
      <c r="AB137" s="200">
        <f t="shared" si="686"/>
        <v>0</v>
      </c>
      <c r="AC137" s="200">
        <f t="shared" si="686"/>
        <v>0</v>
      </c>
      <c r="AD137" s="200">
        <f t="shared" si="11"/>
        <v>0</v>
      </c>
      <c r="AE137" s="200">
        <f t="shared" ref="AE137:AG137" si="687">countif($D137,"*"&amp;AE$2&amp;"*")</f>
        <v>0</v>
      </c>
      <c r="AF137" s="200">
        <f t="shared" si="687"/>
        <v>0</v>
      </c>
      <c r="AG137" s="200">
        <f t="shared" si="687"/>
        <v>0</v>
      </c>
      <c r="AH137" s="171">
        <f t="shared" si="13"/>
        <v>0</v>
      </c>
      <c r="AI137" s="200">
        <f t="shared" si="14"/>
        <v>0</v>
      </c>
      <c r="AJ137" s="200">
        <f t="shared" si="137"/>
        <v>0</v>
      </c>
      <c r="AK137" s="201">
        <f t="shared" ref="AK137:AS137" si="688">countif($D137,"*"&amp;AK$2&amp;"*")</f>
        <v>0</v>
      </c>
      <c r="AL137" s="201">
        <f t="shared" si="688"/>
        <v>0</v>
      </c>
      <c r="AM137" s="201">
        <f t="shared" si="688"/>
        <v>0</v>
      </c>
      <c r="AN137" s="201">
        <f t="shared" si="688"/>
        <v>0</v>
      </c>
      <c r="AO137" s="201">
        <f t="shared" si="688"/>
        <v>0</v>
      </c>
      <c r="AP137" s="201">
        <f t="shared" si="688"/>
        <v>0</v>
      </c>
      <c r="AQ137" s="201">
        <f t="shared" si="688"/>
        <v>0</v>
      </c>
      <c r="AR137" s="200">
        <f t="shared" si="688"/>
        <v>0</v>
      </c>
      <c r="AS137" s="200">
        <f t="shared" si="688"/>
        <v>0</v>
      </c>
      <c r="AT137" s="173">
        <v>0.0</v>
      </c>
      <c r="AU137" s="200">
        <f t="shared" ref="AU137:AX137" si="689">countif($D137,"*"&amp;AU$2&amp;"*")</f>
        <v>0</v>
      </c>
      <c r="AV137" s="200">
        <f t="shared" si="689"/>
        <v>1</v>
      </c>
      <c r="AW137" s="200">
        <f t="shared" si="689"/>
        <v>0</v>
      </c>
      <c r="AX137" s="200">
        <f t="shared" si="689"/>
        <v>0</v>
      </c>
      <c r="AY137" s="202">
        <v>0.0</v>
      </c>
      <c r="AZ137" s="200"/>
      <c r="BA137" s="171" t="str">
        <f t="shared" si="18"/>
        <v/>
      </c>
      <c r="BB137" s="171" t="str">
        <f t="shared" si="19"/>
        <v>Code</v>
      </c>
      <c r="BC137" s="171" t="str">
        <f t="shared" si="20"/>
        <v/>
      </c>
      <c r="BD137" s="171" t="str">
        <f t="shared" si="21"/>
        <v/>
      </c>
      <c r="BE137" s="171" t="str">
        <f t="shared" si="22"/>
        <v/>
      </c>
      <c r="BF137" s="171" t="str">
        <f t="shared" si="23"/>
        <v>Code</v>
      </c>
    </row>
    <row r="138">
      <c r="A138" s="171">
        <f t="array" ref="A138">XLOOKUP(C138,ICSE!A:A,ICSE!C:C,,2,1)</f>
        <v>2022</v>
      </c>
      <c r="B138" s="171" t="s">
        <v>5675</v>
      </c>
      <c r="C138" s="160">
        <v>126.0</v>
      </c>
      <c r="D138" s="161" t="s">
        <v>2597</v>
      </c>
      <c r="E138" s="197" t="str">
        <f t="array" ref="E138">XLOOKUP(C138,ICSE!A:A,ICSE!Z:Z,,0,1)</f>
        <v>Publicly available (1)</v>
      </c>
      <c r="F138" s="198" t="s">
        <v>20</v>
      </c>
      <c r="G138" s="163" t="str">
        <f t="array" ref="G138">IF(B138="ICSE",IF(COUNTIFS(B:B,B138,C:C,C138)=XLOOKUP(C138,ICSE!A:A,ICSE!AA:AA,"ERROR",0,1),"OK","ERROR"),IF(B138="FSE",IF(COUNTIFS(B:B,B138,C:C,C138)=XLOOKUP(C138,FSE!A:A,FSE!AA:AA,"ERROR",0,1),"OK","ERROR")))</f>
        <v>OK</v>
      </c>
      <c r="H138" s="199">
        <f t="shared" ref="H138:O138" si="690">countif($D138,"*"&amp;H$2&amp;"*")</f>
        <v>0</v>
      </c>
      <c r="I138" s="200">
        <f t="shared" si="690"/>
        <v>0</v>
      </c>
      <c r="J138" s="200">
        <f t="shared" si="690"/>
        <v>0</v>
      </c>
      <c r="K138" s="200">
        <f t="shared" si="690"/>
        <v>0</v>
      </c>
      <c r="L138" s="200">
        <f t="shared" si="690"/>
        <v>0</v>
      </c>
      <c r="M138" s="200">
        <f t="shared" si="690"/>
        <v>0</v>
      </c>
      <c r="N138" s="200">
        <f t="shared" si="690"/>
        <v>0</v>
      </c>
      <c r="O138" s="200">
        <f t="shared" si="690"/>
        <v>0</v>
      </c>
      <c r="P138" s="200">
        <f t="shared" si="9"/>
        <v>0</v>
      </c>
      <c r="Q138" s="200">
        <f t="shared" ref="Q138:AC138" si="691">countif($D138,"*"&amp;Q$2&amp;"*")</f>
        <v>0</v>
      </c>
      <c r="R138" s="200">
        <f t="shared" si="691"/>
        <v>0</v>
      </c>
      <c r="S138" s="200">
        <f t="shared" si="691"/>
        <v>0</v>
      </c>
      <c r="T138" s="200">
        <f t="shared" si="691"/>
        <v>0</v>
      </c>
      <c r="U138" s="200">
        <f t="shared" si="691"/>
        <v>0</v>
      </c>
      <c r="V138" s="200">
        <f t="shared" si="691"/>
        <v>0</v>
      </c>
      <c r="W138" s="200">
        <f t="shared" si="691"/>
        <v>0</v>
      </c>
      <c r="X138" s="200">
        <f t="shared" si="691"/>
        <v>0</v>
      </c>
      <c r="Y138" s="200">
        <f t="shared" si="691"/>
        <v>0</v>
      </c>
      <c r="Z138" s="200">
        <f t="shared" si="691"/>
        <v>0</v>
      </c>
      <c r="AA138" s="200">
        <f t="shared" si="691"/>
        <v>0</v>
      </c>
      <c r="AB138" s="200">
        <f t="shared" si="691"/>
        <v>0</v>
      </c>
      <c r="AC138" s="200">
        <f t="shared" si="691"/>
        <v>0</v>
      </c>
      <c r="AD138" s="200">
        <f t="shared" si="11"/>
        <v>0</v>
      </c>
      <c r="AE138" s="200">
        <f t="shared" ref="AE138:AG138" si="692">countif($D138,"*"&amp;AE$2&amp;"*")</f>
        <v>0</v>
      </c>
      <c r="AF138" s="200">
        <f t="shared" si="692"/>
        <v>0</v>
      </c>
      <c r="AG138" s="200">
        <f t="shared" si="692"/>
        <v>0</v>
      </c>
      <c r="AH138" s="171">
        <f t="shared" si="13"/>
        <v>1</v>
      </c>
      <c r="AI138" s="200">
        <f t="shared" si="14"/>
        <v>0</v>
      </c>
      <c r="AJ138" s="200">
        <f t="shared" si="137"/>
        <v>0</v>
      </c>
      <c r="AK138" s="201">
        <f t="shared" ref="AK138:AS138" si="693">countif($D138,"*"&amp;AK$2&amp;"*")</f>
        <v>0</v>
      </c>
      <c r="AL138" s="201">
        <f t="shared" si="693"/>
        <v>0</v>
      </c>
      <c r="AM138" s="201">
        <f t="shared" si="693"/>
        <v>0</v>
      </c>
      <c r="AN138" s="201">
        <f t="shared" si="693"/>
        <v>0</v>
      </c>
      <c r="AO138" s="201">
        <f t="shared" si="693"/>
        <v>0</v>
      </c>
      <c r="AP138" s="201">
        <f t="shared" si="693"/>
        <v>0</v>
      </c>
      <c r="AQ138" s="201">
        <f t="shared" si="693"/>
        <v>0</v>
      </c>
      <c r="AR138" s="200">
        <f t="shared" si="693"/>
        <v>0</v>
      </c>
      <c r="AS138" s="200">
        <f t="shared" si="693"/>
        <v>0</v>
      </c>
      <c r="AT138" s="173">
        <v>0.0</v>
      </c>
      <c r="AU138" s="200">
        <f t="shared" ref="AU138:AX138" si="694">countif($D138,"*"&amp;AU$2&amp;"*")</f>
        <v>0</v>
      </c>
      <c r="AV138" s="200">
        <f t="shared" si="694"/>
        <v>0</v>
      </c>
      <c r="AW138" s="200">
        <f t="shared" si="694"/>
        <v>0</v>
      </c>
      <c r="AX138" s="200">
        <f t="shared" si="694"/>
        <v>0</v>
      </c>
      <c r="AY138" s="202">
        <v>0.0</v>
      </c>
      <c r="AZ138" s="200"/>
      <c r="BA138" s="171" t="str">
        <f t="shared" si="18"/>
        <v/>
      </c>
      <c r="BB138" s="171" t="str">
        <f t="shared" si="19"/>
        <v/>
      </c>
      <c r="BC138" s="171" t="str">
        <f t="shared" si="20"/>
        <v/>
      </c>
      <c r="BD138" s="171" t="str">
        <f t="shared" si="21"/>
        <v/>
      </c>
      <c r="BE138" s="171" t="str">
        <f t="shared" si="22"/>
        <v>Others</v>
      </c>
      <c r="BF138" s="171" t="str">
        <f t="shared" si="23"/>
        <v>Others</v>
      </c>
    </row>
    <row r="139">
      <c r="A139" s="171">
        <f t="array" ref="A139">XLOOKUP(C139,ICSE!A:A,ICSE!C:C,,2,1)</f>
        <v>2022</v>
      </c>
      <c r="B139" s="171" t="s">
        <v>5675</v>
      </c>
      <c r="C139" s="160">
        <v>127.0</v>
      </c>
      <c r="D139" s="161" t="s">
        <v>2600</v>
      </c>
      <c r="E139" s="197" t="str">
        <f t="array" ref="E139">XLOOKUP(C139,ICSE!A:A,ICSE!Z:Z,,0,1)</f>
        <v>Publicly available (1)</v>
      </c>
      <c r="F139" s="198" t="s">
        <v>20</v>
      </c>
      <c r="G139" s="163" t="str">
        <f t="array" ref="G139">IF(B139="ICSE",IF(COUNTIFS(B:B,B139,C:C,C139)=XLOOKUP(C139,ICSE!A:A,ICSE!AA:AA,"ERROR",0,1),"OK","ERROR"),IF(B139="FSE",IF(COUNTIFS(B:B,B139,C:C,C139)=XLOOKUP(C139,FSE!A:A,FSE!AA:AA,"ERROR",0,1),"OK","ERROR")))</f>
        <v>OK</v>
      </c>
      <c r="H139" s="199">
        <f t="shared" ref="H139:O139" si="695">countif($D139,"*"&amp;H$2&amp;"*")</f>
        <v>0</v>
      </c>
      <c r="I139" s="200">
        <f t="shared" si="695"/>
        <v>0</v>
      </c>
      <c r="J139" s="200">
        <f t="shared" si="695"/>
        <v>0</v>
      </c>
      <c r="K139" s="200">
        <f t="shared" si="695"/>
        <v>0</v>
      </c>
      <c r="L139" s="200">
        <f t="shared" si="695"/>
        <v>0</v>
      </c>
      <c r="M139" s="200">
        <f t="shared" si="695"/>
        <v>0</v>
      </c>
      <c r="N139" s="200">
        <f t="shared" si="695"/>
        <v>0</v>
      </c>
      <c r="O139" s="200">
        <f t="shared" si="695"/>
        <v>0</v>
      </c>
      <c r="P139" s="200">
        <f t="shared" si="9"/>
        <v>1</v>
      </c>
      <c r="Q139" s="200">
        <f t="shared" ref="Q139:AC139" si="696">countif($D139,"*"&amp;Q$2&amp;"*")</f>
        <v>0</v>
      </c>
      <c r="R139" s="200">
        <f t="shared" si="696"/>
        <v>0</v>
      </c>
      <c r="S139" s="200">
        <f t="shared" si="696"/>
        <v>0</v>
      </c>
      <c r="T139" s="200">
        <f t="shared" si="696"/>
        <v>0</v>
      </c>
      <c r="U139" s="200">
        <f t="shared" si="696"/>
        <v>0</v>
      </c>
      <c r="V139" s="200">
        <f t="shared" si="696"/>
        <v>0</v>
      </c>
      <c r="W139" s="200">
        <f t="shared" si="696"/>
        <v>0</v>
      </c>
      <c r="X139" s="200">
        <f t="shared" si="696"/>
        <v>0</v>
      </c>
      <c r="Y139" s="200">
        <f t="shared" si="696"/>
        <v>0</v>
      </c>
      <c r="Z139" s="200">
        <f t="shared" si="696"/>
        <v>0</v>
      </c>
      <c r="AA139" s="200">
        <f t="shared" si="696"/>
        <v>0</v>
      </c>
      <c r="AB139" s="200">
        <f t="shared" si="696"/>
        <v>0</v>
      </c>
      <c r="AC139" s="200">
        <f t="shared" si="696"/>
        <v>0</v>
      </c>
      <c r="AD139" s="200">
        <f t="shared" si="11"/>
        <v>0</v>
      </c>
      <c r="AE139" s="200">
        <f t="shared" ref="AE139:AG139" si="697">countif($D139,"*"&amp;AE$2&amp;"*")</f>
        <v>0</v>
      </c>
      <c r="AF139" s="200">
        <f t="shared" si="697"/>
        <v>0</v>
      </c>
      <c r="AG139" s="200">
        <f t="shared" si="697"/>
        <v>0</v>
      </c>
      <c r="AH139" s="171">
        <f t="shared" si="13"/>
        <v>0</v>
      </c>
      <c r="AI139" s="200">
        <f t="shared" si="14"/>
        <v>0</v>
      </c>
      <c r="AJ139" s="200">
        <f t="shared" si="137"/>
        <v>0</v>
      </c>
      <c r="AK139" s="201">
        <f t="shared" ref="AK139:AS139" si="698">countif($D139,"*"&amp;AK$2&amp;"*")</f>
        <v>0</v>
      </c>
      <c r="AL139" s="201">
        <f t="shared" si="698"/>
        <v>0</v>
      </c>
      <c r="AM139" s="201">
        <f t="shared" si="698"/>
        <v>0</v>
      </c>
      <c r="AN139" s="201">
        <f t="shared" si="698"/>
        <v>0</v>
      </c>
      <c r="AO139" s="201">
        <f t="shared" si="698"/>
        <v>0</v>
      </c>
      <c r="AP139" s="201">
        <f t="shared" si="698"/>
        <v>0</v>
      </c>
      <c r="AQ139" s="201">
        <f t="shared" si="698"/>
        <v>0</v>
      </c>
      <c r="AR139" s="200">
        <f t="shared" si="698"/>
        <v>0</v>
      </c>
      <c r="AS139" s="200">
        <f t="shared" si="698"/>
        <v>0</v>
      </c>
      <c r="AT139" s="173">
        <v>0.0</v>
      </c>
      <c r="AU139" s="200">
        <f t="shared" ref="AU139:AX139" si="699">countif($D139,"*"&amp;AU$2&amp;"*")</f>
        <v>0</v>
      </c>
      <c r="AV139" s="200">
        <f t="shared" si="699"/>
        <v>1</v>
      </c>
      <c r="AW139" s="200">
        <f t="shared" si="699"/>
        <v>0</v>
      </c>
      <c r="AX139" s="200">
        <f t="shared" si="699"/>
        <v>0</v>
      </c>
      <c r="AY139" s="202">
        <v>0.0</v>
      </c>
      <c r="AZ139" s="200"/>
      <c r="BA139" s="171" t="str">
        <f t="shared" si="18"/>
        <v/>
      </c>
      <c r="BB139" s="171" t="str">
        <f t="shared" si="19"/>
        <v>Code</v>
      </c>
      <c r="BC139" s="171" t="str">
        <f t="shared" si="20"/>
        <v/>
      </c>
      <c r="BD139" s="171" t="str">
        <f t="shared" si="21"/>
        <v/>
      </c>
      <c r="BE139" s="171" t="str">
        <f t="shared" si="22"/>
        <v/>
      </c>
      <c r="BF139" s="171" t="str">
        <f t="shared" si="23"/>
        <v>Code</v>
      </c>
    </row>
    <row r="140">
      <c r="A140" s="171">
        <f t="array" ref="A140">XLOOKUP(C140,ICSE!A:A,ICSE!C:C,,2,1)</f>
        <v>2022</v>
      </c>
      <c r="B140" s="171" t="s">
        <v>5675</v>
      </c>
      <c r="C140" s="160">
        <v>128.0</v>
      </c>
      <c r="D140" s="161" t="s">
        <v>5783</v>
      </c>
      <c r="E140" s="197" t="str">
        <f t="array" ref="E140">XLOOKUP(C140,ICSE!A:A,ICSE!Z:Z,,0,1)</f>
        <v>Publicly available (1)</v>
      </c>
      <c r="F140" s="198" t="s">
        <v>20</v>
      </c>
      <c r="G140" s="163" t="str">
        <f t="array" ref="G140">IF(B140="ICSE",IF(COUNTIFS(B:B,B140,C:C,C140)=XLOOKUP(C140,ICSE!A:A,ICSE!AA:AA,"ERROR",0,1),"OK","ERROR"),IF(B140="FSE",IF(COUNTIFS(B:B,B140,C:C,C140)=XLOOKUP(C140,FSE!A:A,FSE!AA:AA,"ERROR",0,1),"OK","ERROR")))</f>
        <v>OK</v>
      </c>
      <c r="H140" s="199">
        <f t="shared" ref="H140:O140" si="700">countif($D140,"*"&amp;H$2&amp;"*")</f>
        <v>0</v>
      </c>
      <c r="I140" s="200">
        <f t="shared" si="700"/>
        <v>0</v>
      </c>
      <c r="J140" s="200">
        <f t="shared" si="700"/>
        <v>0</v>
      </c>
      <c r="K140" s="200">
        <f t="shared" si="700"/>
        <v>0</v>
      </c>
      <c r="L140" s="200">
        <f t="shared" si="700"/>
        <v>0</v>
      </c>
      <c r="M140" s="200">
        <f t="shared" si="700"/>
        <v>0</v>
      </c>
      <c r="N140" s="200">
        <f t="shared" si="700"/>
        <v>0</v>
      </c>
      <c r="O140" s="200">
        <f t="shared" si="700"/>
        <v>0</v>
      </c>
      <c r="P140" s="200">
        <f t="shared" si="9"/>
        <v>1</v>
      </c>
      <c r="Q140" s="200">
        <f t="shared" ref="Q140:AC140" si="701">countif($D140,"*"&amp;Q$2&amp;"*")</f>
        <v>0</v>
      </c>
      <c r="R140" s="200">
        <f t="shared" si="701"/>
        <v>0</v>
      </c>
      <c r="S140" s="200">
        <f t="shared" si="701"/>
        <v>0</v>
      </c>
      <c r="T140" s="200">
        <f t="shared" si="701"/>
        <v>0</v>
      </c>
      <c r="U140" s="200">
        <f t="shared" si="701"/>
        <v>0</v>
      </c>
      <c r="V140" s="200">
        <f t="shared" si="701"/>
        <v>0</v>
      </c>
      <c r="W140" s="200">
        <f t="shared" si="701"/>
        <v>0</v>
      </c>
      <c r="X140" s="200">
        <f t="shared" si="701"/>
        <v>0</v>
      </c>
      <c r="Y140" s="200">
        <f t="shared" si="701"/>
        <v>0</v>
      </c>
      <c r="Z140" s="200">
        <f t="shared" si="701"/>
        <v>0</v>
      </c>
      <c r="AA140" s="200">
        <f t="shared" si="701"/>
        <v>0</v>
      </c>
      <c r="AB140" s="200">
        <f t="shared" si="701"/>
        <v>0</v>
      </c>
      <c r="AC140" s="200">
        <f t="shared" si="701"/>
        <v>0</v>
      </c>
      <c r="AD140" s="200">
        <f t="shared" si="11"/>
        <v>0</v>
      </c>
      <c r="AE140" s="200">
        <f t="shared" ref="AE140:AG140" si="702">countif($D140,"*"&amp;AE$2&amp;"*")</f>
        <v>0</v>
      </c>
      <c r="AF140" s="200">
        <f t="shared" si="702"/>
        <v>0</v>
      </c>
      <c r="AG140" s="200">
        <f t="shared" si="702"/>
        <v>0</v>
      </c>
      <c r="AH140" s="171">
        <f t="shared" si="13"/>
        <v>0</v>
      </c>
      <c r="AI140" s="200">
        <f t="shared" si="14"/>
        <v>0</v>
      </c>
      <c r="AJ140" s="200">
        <f t="shared" si="137"/>
        <v>1</v>
      </c>
      <c r="AK140" s="201">
        <f t="shared" ref="AK140:AS140" si="703">countif($D140,"*"&amp;AK$2&amp;"*")</f>
        <v>1</v>
      </c>
      <c r="AL140" s="201">
        <f t="shared" si="703"/>
        <v>0</v>
      </c>
      <c r="AM140" s="201">
        <f t="shared" si="703"/>
        <v>0</v>
      </c>
      <c r="AN140" s="201">
        <f t="shared" si="703"/>
        <v>0</v>
      </c>
      <c r="AO140" s="201">
        <f t="shared" si="703"/>
        <v>0</v>
      </c>
      <c r="AP140" s="201">
        <f t="shared" si="703"/>
        <v>0</v>
      </c>
      <c r="AQ140" s="201">
        <f t="shared" si="703"/>
        <v>0</v>
      </c>
      <c r="AR140" s="200">
        <f t="shared" si="703"/>
        <v>0</v>
      </c>
      <c r="AS140" s="200">
        <f t="shared" si="703"/>
        <v>1</v>
      </c>
      <c r="AT140" s="173">
        <v>0.0</v>
      </c>
      <c r="AU140" s="200">
        <f t="shared" ref="AU140:AX140" si="704">countif($D140,"*"&amp;AU$2&amp;"*")</f>
        <v>0</v>
      </c>
      <c r="AV140" s="200">
        <f t="shared" si="704"/>
        <v>1</v>
      </c>
      <c r="AW140" s="200">
        <f t="shared" si="704"/>
        <v>0</v>
      </c>
      <c r="AX140" s="200">
        <f t="shared" si="704"/>
        <v>0</v>
      </c>
      <c r="AY140" s="202">
        <v>0.0</v>
      </c>
      <c r="AZ140" s="200"/>
      <c r="BA140" s="171" t="str">
        <f t="shared" si="18"/>
        <v/>
      </c>
      <c r="BB140" s="171" t="str">
        <f t="shared" si="19"/>
        <v>Code</v>
      </c>
      <c r="BC140" s="171" t="str">
        <f t="shared" si="20"/>
        <v/>
      </c>
      <c r="BD140" s="171" t="str">
        <f t="shared" si="21"/>
        <v/>
      </c>
      <c r="BE140" s="171" t="str">
        <f t="shared" si="22"/>
        <v/>
      </c>
      <c r="BF140" s="171" t="str">
        <f t="shared" si="23"/>
        <v>Code</v>
      </c>
    </row>
    <row r="141">
      <c r="A141" s="171">
        <f t="array" ref="A141">XLOOKUP(C141,ICSE!A:A,ICSE!C:C,,2,1)</f>
        <v>2022</v>
      </c>
      <c r="B141" s="171" t="s">
        <v>5675</v>
      </c>
      <c r="C141" s="160">
        <v>129.0</v>
      </c>
      <c r="D141" s="161" t="s">
        <v>2607</v>
      </c>
      <c r="E141" s="197" t="str">
        <f t="array" ref="E141">XLOOKUP(C141,ICSE!A:A,ICSE!Z:Z,,0,1)</f>
        <v>Publicly available (1)</v>
      </c>
      <c r="F141" s="198" t="s">
        <v>20</v>
      </c>
      <c r="G141" s="163" t="str">
        <f t="array" ref="G141">IF(B141="ICSE",IF(COUNTIFS(B:B,B141,C:C,C141)=XLOOKUP(C141,ICSE!A:A,ICSE!AA:AA,"ERROR",0,1),"OK","ERROR"),IF(B141="FSE",IF(COUNTIFS(B:B,B141,C:C,C141)=XLOOKUP(C141,FSE!A:A,FSE!AA:AA,"ERROR",0,1),"OK","ERROR")))</f>
        <v>OK</v>
      </c>
      <c r="H141" s="199">
        <f t="shared" ref="H141:O141" si="705">countif($D141,"*"&amp;H$2&amp;"*")</f>
        <v>0</v>
      </c>
      <c r="I141" s="200">
        <f t="shared" si="705"/>
        <v>0</v>
      </c>
      <c r="J141" s="200">
        <f t="shared" si="705"/>
        <v>0</v>
      </c>
      <c r="K141" s="200">
        <f t="shared" si="705"/>
        <v>0</v>
      </c>
      <c r="L141" s="200">
        <f t="shared" si="705"/>
        <v>0</v>
      </c>
      <c r="M141" s="200">
        <f t="shared" si="705"/>
        <v>0</v>
      </c>
      <c r="N141" s="200">
        <f t="shared" si="705"/>
        <v>0</v>
      </c>
      <c r="O141" s="200">
        <f t="shared" si="705"/>
        <v>0</v>
      </c>
      <c r="P141" s="200">
        <f t="shared" si="9"/>
        <v>1</v>
      </c>
      <c r="Q141" s="200">
        <f t="shared" ref="Q141:AC141" si="706">countif($D141,"*"&amp;Q$2&amp;"*")</f>
        <v>0</v>
      </c>
      <c r="R141" s="200">
        <f t="shared" si="706"/>
        <v>0</v>
      </c>
      <c r="S141" s="200">
        <f t="shared" si="706"/>
        <v>0</v>
      </c>
      <c r="T141" s="200">
        <f t="shared" si="706"/>
        <v>0</v>
      </c>
      <c r="U141" s="200">
        <f t="shared" si="706"/>
        <v>0</v>
      </c>
      <c r="V141" s="200">
        <f t="shared" si="706"/>
        <v>0</v>
      </c>
      <c r="W141" s="200">
        <f t="shared" si="706"/>
        <v>0</v>
      </c>
      <c r="X141" s="200">
        <f t="shared" si="706"/>
        <v>0</v>
      </c>
      <c r="Y141" s="200">
        <f t="shared" si="706"/>
        <v>0</v>
      </c>
      <c r="Z141" s="200">
        <f t="shared" si="706"/>
        <v>0</v>
      </c>
      <c r="AA141" s="200">
        <f t="shared" si="706"/>
        <v>0</v>
      </c>
      <c r="AB141" s="200">
        <f t="shared" si="706"/>
        <v>0</v>
      </c>
      <c r="AC141" s="200">
        <f t="shared" si="706"/>
        <v>0</v>
      </c>
      <c r="AD141" s="200">
        <f t="shared" si="11"/>
        <v>0</v>
      </c>
      <c r="AE141" s="200">
        <f t="shared" ref="AE141:AG141" si="707">countif($D141,"*"&amp;AE$2&amp;"*")</f>
        <v>0</v>
      </c>
      <c r="AF141" s="200">
        <f t="shared" si="707"/>
        <v>0</v>
      </c>
      <c r="AG141" s="200">
        <f t="shared" si="707"/>
        <v>0</v>
      </c>
      <c r="AH141" s="171">
        <f t="shared" si="13"/>
        <v>0</v>
      </c>
      <c r="AI141" s="200">
        <f t="shared" si="14"/>
        <v>0</v>
      </c>
      <c r="AJ141" s="200">
        <f t="shared" si="137"/>
        <v>0</v>
      </c>
      <c r="AK141" s="201">
        <f t="shared" ref="AK141:AS141" si="708">countif($D141,"*"&amp;AK$2&amp;"*")</f>
        <v>0</v>
      </c>
      <c r="AL141" s="201">
        <f t="shared" si="708"/>
        <v>0</v>
      </c>
      <c r="AM141" s="201">
        <f t="shared" si="708"/>
        <v>0</v>
      </c>
      <c r="AN141" s="201">
        <f t="shared" si="708"/>
        <v>0</v>
      </c>
      <c r="AO141" s="201">
        <f t="shared" si="708"/>
        <v>0</v>
      </c>
      <c r="AP141" s="201">
        <f t="shared" si="708"/>
        <v>0</v>
      </c>
      <c r="AQ141" s="201">
        <f t="shared" si="708"/>
        <v>0</v>
      </c>
      <c r="AR141" s="200">
        <f t="shared" si="708"/>
        <v>0</v>
      </c>
      <c r="AS141" s="200">
        <f t="shared" si="708"/>
        <v>0</v>
      </c>
      <c r="AT141" s="173">
        <v>0.0</v>
      </c>
      <c r="AU141" s="200">
        <f t="shared" ref="AU141:AX141" si="709">countif($D141,"*"&amp;AU$2&amp;"*")</f>
        <v>0</v>
      </c>
      <c r="AV141" s="200">
        <f t="shared" si="709"/>
        <v>1</v>
      </c>
      <c r="AW141" s="200">
        <f t="shared" si="709"/>
        <v>0</v>
      </c>
      <c r="AX141" s="200">
        <f t="shared" si="709"/>
        <v>0</v>
      </c>
      <c r="AY141" s="202">
        <v>0.0</v>
      </c>
      <c r="AZ141" s="200"/>
      <c r="BA141" s="171" t="str">
        <f t="shared" si="18"/>
        <v/>
      </c>
      <c r="BB141" s="171" t="str">
        <f t="shared" si="19"/>
        <v>Code</v>
      </c>
      <c r="BC141" s="171" t="str">
        <f t="shared" si="20"/>
        <v/>
      </c>
      <c r="BD141" s="171" t="str">
        <f t="shared" si="21"/>
        <v/>
      </c>
      <c r="BE141" s="171" t="str">
        <f t="shared" si="22"/>
        <v/>
      </c>
      <c r="BF141" s="171" t="str">
        <f t="shared" si="23"/>
        <v>Code</v>
      </c>
    </row>
    <row r="142">
      <c r="A142" s="171">
        <f t="array" ref="A142">XLOOKUP(C142,ICSE!A:A,ICSE!C:C,,2,1)</f>
        <v>2022</v>
      </c>
      <c r="B142" s="171" t="s">
        <v>5675</v>
      </c>
      <c r="C142" s="160">
        <v>130.0</v>
      </c>
      <c r="D142" s="161" t="s">
        <v>5784</v>
      </c>
      <c r="E142" s="197" t="str">
        <f t="array" ref="E142">XLOOKUP(C142,ICSE!A:A,ICSE!Z:Z,,0,1)</f>
        <v>Publicly available (2)</v>
      </c>
      <c r="F142" s="198" t="s">
        <v>20</v>
      </c>
      <c r="G142" s="163" t="str">
        <f t="array" ref="G142">IF(B142="ICSE",IF(COUNTIFS(B:B,B142,C:C,C142)=XLOOKUP(C142,ICSE!A:A,ICSE!AA:AA,"ERROR",0,1),"OK","ERROR"),IF(B142="FSE",IF(COUNTIFS(B:B,B142,C:C,C142)=XLOOKUP(C142,FSE!A:A,FSE!AA:AA,"ERROR",0,1),"OK","ERROR")))</f>
        <v>OK</v>
      </c>
      <c r="H142" s="199">
        <f t="shared" ref="H142:O142" si="710">countif($D142,"*"&amp;H$2&amp;"*")</f>
        <v>1</v>
      </c>
      <c r="I142" s="200">
        <f t="shared" si="710"/>
        <v>0</v>
      </c>
      <c r="J142" s="200">
        <f t="shared" si="710"/>
        <v>0</v>
      </c>
      <c r="K142" s="200">
        <f t="shared" si="710"/>
        <v>0</v>
      </c>
      <c r="L142" s="200">
        <f t="shared" si="710"/>
        <v>0</v>
      </c>
      <c r="M142" s="200">
        <f t="shared" si="710"/>
        <v>0</v>
      </c>
      <c r="N142" s="200">
        <f t="shared" si="710"/>
        <v>0</v>
      </c>
      <c r="O142" s="200">
        <f t="shared" si="710"/>
        <v>0</v>
      </c>
      <c r="P142" s="200">
        <f t="shared" si="9"/>
        <v>0</v>
      </c>
      <c r="Q142" s="200">
        <f t="shared" ref="Q142:AC142" si="711">countif($D142,"*"&amp;Q$2&amp;"*")</f>
        <v>0</v>
      </c>
      <c r="R142" s="200">
        <f t="shared" si="711"/>
        <v>0</v>
      </c>
      <c r="S142" s="200">
        <f t="shared" si="711"/>
        <v>0</v>
      </c>
      <c r="T142" s="200">
        <f t="shared" si="711"/>
        <v>0</v>
      </c>
      <c r="U142" s="200">
        <f t="shared" si="711"/>
        <v>0</v>
      </c>
      <c r="V142" s="200">
        <f t="shared" si="711"/>
        <v>0</v>
      </c>
      <c r="W142" s="200">
        <f t="shared" si="711"/>
        <v>0</v>
      </c>
      <c r="X142" s="200">
        <f t="shared" si="711"/>
        <v>0</v>
      </c>
      <c r="Y142" s="200">
        <f t="shared" si="711"/>
        <v>0</v>
      </c>
      <c r="Z142" s="200">
        <f t="shared" si="711"/>
        <v>0</v>
      </c>
      <c r="AA142" s="200">
        <f t="shared" si="711"/>
        <v>0</v>
      </c>
      <c r="AB142" s="200">
        <f t="shared" si="711"/>
        <v>0</v>
      </c>
      <c r="AC142" s="200">
        <f t="shared" si="711"/>
        <v>0</v>
      </c>
      <c r="AD142" s="200">
        <f t="shared" si="11"/>
        <v>0</v>
      </c>
      <c r="AE142" s="200">
        <f t="shared" ref="AE142:AG142" si="712">countif($D142,"*"&amp;AE$2&amp;"*")</f>
        <v>0</v>
      </c>
      <c r="AF142" s="200">
        <f t="shared" si="712"/>
        <v>0</v>
      </c>
      <c r="AG142" s="200">
        <f t="shared" si="712"/>
        <v>0</v>
      </c>
      <c r="AH142" s="171">
        <f t="shared" si="13"/>
        <v>0</v>
      </c>
      <c r="AI142" s="200">
        <f t="shared" si="14"/>
        <v>1</v>
      </c>
      <c r="AJ142" s="200">
        <f t="shared" si="137"/>
        <v>0</v>
      </c>
      <c r="AK142" s="201">
        <f t="shared" ref="AK142:AS142" si="713">countif($D142,"*"&amp;AK$2&amp;"*")</f>
        <v>0</v>
      </c>
      <c r="AL142" s="201">
        <f t="shared" si="713"/>
        <v>0</v>
      </c>
      <c r="AM142" s="201">
        <f t="shared" si="713"/>
        <v>0</v>
      </c>
      <c r="AN142" s="201">
        <f t="shared" si="713"/>
        <v>0</v>
      </c>
      <c r="AO142" s="201">
        <f t="shared" si="713"/>
        <v>0</v>
      </c>
      <c r="AP142" s="201">
        <f t="shared" si="713"/>
        <v>0</v>
      </c>
      <c r="AQ142" s="201">
        <f t="shared" si="713"/>
        <v>0</v>
      </c>
      <c r="AR142" s="200">
        <f t="shared" si="713"/>
        <v>0</v>
      </c>
      <c r="AS142" s="200">
        <f t="shared" si="713"/>
        <v>0</v>
      </c>
      <c r="AT142" s="173">
        <v>0.0</v>
      </c>
      <c r="AU142" s="200">
        <f t="shared" ref="AU142:AX142" si="714">countif($D142,"*"&amp;AU$2&amp;"*")</f>
        <v>0</v>
      </c>
      <c r="AV142" s="200">
        <f t="shared" si="714"/>
        <v>0</v>
      </c>
      <c r="AW142" s="200">
        <f t="shared" si="714"/>
        <v>0</v>
      </c>
      <c r="AX142" s="200">
        <f t="shared" si="714"/>
        <v>1</v>
      </c>
      <c r="AY142" s="202">
        <v>0.0</v>
      </c>
      <c r="AZ142" s="200"/>
      <c r="BA142" s="171" t="str">
        <f t="shared" si="18"/>
        <v>Archival</v>
      </c>
      <c r="BB142" s="171" t="str">
        <f t="shared" si="19"/>
        <v/>
      </c>
      <c r="BC142" s="171" t="str">
        <f t="shared" si="20"/>
        <v/>
      </c>
      <c r="BD142" s="171" t="str">
        <f t="shared" si="21"/>
        <v/>
      </c>
      <c r="BE142" s="171" t="str">
        <f t="shared" si="22"/>
        <v/>
      </c>
      <c r="BF142" s="171" t="str">
        <f t="shared" si="23"/>
        <v>Archival</v>
      </c>
    </row>
    <row r="143">
      <c r="A143" s="171">
        <f t="array" ref="A143">XLOOKUP(C143,ICSE!A:A,ICSE!C:C,,2,1)</f>
        <v>2022</v>
      </c>
      <c r="B143" s="171" t="s">
        <v>5675</v>
      </c>
      <c r="C143" s="203">
        <v>130.0</v>
      </c>
      <c r="D143" s="161" t="s">
        <v>5785</v>
      </c>
      <c r="E143" s="197" t="str">
        <f t="array" ref="E143">XLOOKUP(C143,ICSE!A:A,ICSE!Z:Z,,0,1)</f>
        <v>Publicly available (2)</v>
      </c>
      <c r="F143" s="198" t="s">
        <v>20</v>
      </c>
      <c r="G143" s="163" t="str">
        <f t="array" ref="G143">IF(B143="ICSE",IF(COUNTIFS(B:B,B143,C:C,C143)=XLOOKUP(C143,ICSE!A:A,ICSE!AA:AA,"ERROR",0,1),"OK","ERROR"),IF(B143="FSE",IF(COUNTIFS(B:B,B143,C:C,C143)=XLOOKUP(C143,FSE!A:A,FSE!AA:AA,"ERROR",0,1),"OK","ERROR")))</f>
        <v>OK</v>
      </c>
      <c r="H143" s="199">
        <f t="shared" ref="H143:O143" si="715">countif($D143,"*"&amp;H$2&amp;"*")</f>
        <v>1</v>
      </c>
      <c r="I143" s="200">
        <f t="shared" si="715"/>
        <v>0</v>
      </c>
      <c r="J143" s="200">
        <f t="shared" si="715"/>
        <v>0</v>
      </c>
      <c r="K143" s="200">
        <f t="shared" si="715"/>
        <v>0</v>
      </c>
      <c r="L143" s="200">
        <f t="shared" si="715"/>
        <v>0</v>
      </c>
      <c r="M143" s="200">
        <f t="shared" si="715"/>
        <v>0</v>
      </c>
      <c r="N143" s="200">
        <f t="shared" si="715"/>
        <v>0</v>
      </c>
      <c r="O143" s="200">
        <f t="shared" si="715"/>
        <v>0</v>
      </c>
      <c r="P143" s="200">
        <f t="shared" si="9"/>
        <v>0</v>
      </c>
      <c r="Q143" s="200">
        <f t="shared" ref="Q143:AC143" si="716">countif($D143,"*"&amp;Q$2&amp;"*")</f>
        <v>0</v>
      </c>
      <c r="R143" s="200">
        <f t="shared" si="716"/>
        <v>0</v>
      </c>
      <c r="S143" s="200">
        <f t="shared" si="716"/>
        <v>0</v>
      </c>
      <c r="T143" s="200">
        <f t="shared" si="716"/>
        <v>0</v>
      </c>
      <c r="U143" s="200">
        <f t="shared" si="716"/>
        <v>0</v>
      </c>
      <c r="V143" s="200">
        <f t="shared" si="716"/>
        <v>0</v>
      </c>
      <c r="W143" s="200">
        <f t="shared" si="716"/>
        <v>0</v>
      </c>
      <c r="X143" s="200">
        <f t="shared" si="716"/>
        <v>0</v>
      </c>
      <c r="Y143" s="200">
        <f t="shared" si="716"/>
        <v>0</v>
      </c>
      <c r="Z143" s="200">
        <f t="shared" si="716"/>
        <v>0</v>
      </c>
      <c r="AA143" s="200">
        <f t="shared" si="716"/>
        <v>0</v>
      </c>
      <c r="AB143" s="200">
        <f t="shared" si="716"/>
        <v>0</v>
      </c>
      <c r="AC143" s="200">
        <f t="shared" si="716"/>
        <v>0</v>
      </c>
      <c r="AD143" s="200">
        <f t="shared" si="11"/>
        <v>0</v>
      </c>
      <c r="AE143" s="200">
        <f t="shared" ref="AE143:AG143" si="717">countif($D143,"*"&amp;AE$2&amp;"*")</f>
        <v>0</v>
      </c>
      <c r="AF143" s="200">
        <f t="shared" si="717"/>
        <v>0</v>
      </c>
      <c r="AG143" s="200">
        <f t="shared" si="717"/>
        <v>0</v>
      </c>
      <c r="AH143" s="171">
        <f t="shared" si="13"/>
        <v>0</v>
      </c>
      <c r="AI143" s="200">
        <f t="shared" si="14"/>
        <v>1</v>
      </c>
      <c r="AJ143" s="200">
        <f t="shared" si="137"/>
        <v>0</v>
      </c>
      <c r="AK143" s="201">
        <f t="shared" ref="AK143:AS143" si="718">countif($D143,"*"&amp;AK$2&amp;"*")</f>
        <v>0</v>
      </c>
      <c r="AL143" s="201">
        <f t="shared" si="718"/>
        <v>0</v>
      </c>
      <c r="AM143" s="201">
        <f t="shared" si="718"/>
        <v>0</v>
      </c>
      <c r="AN143" s="201">
        <f t="shared" si="718"/>
        <v>0</v>
      </c>
      <c r="AO143" s="201">
        <f t="shared" si="718"/>
        <v>0</v>
      </c>
      <c r="AP143" s="201">
        <f t="shared" si="718"/>
        <v>0</v>
      </c>
      <c r="AQ143" s="201">
        <f t="shared" si="718"/>
        <v>0</v>
      </c>
      <c r="AR143" s="200">
        <f t="shared" si="718"/>
        <v>0</v>
      </c>
      <c r="AS143" s="200">
        <f t="shared" si="718"/>
        <v>0</v>
      </c>
      <c r="AT143" s="173">
        <v>0.0</v>
      </c>
      <c r="AU143" s="200">
        <f t="shared" ref="AU143:AX143" si="719">countif($D143,"*"&amp;AU$2&amp;"*")</f>
        <v>0</v>
      </c>
      <c r="AV143" s="200">
        <f t="shared" si="719"/>
        <v>0</v>
      </c>
      <c r="AW143" s="200">
        <f t="shared" si="719"/>
        <v>0</v>
      </c>
      <c r="AX143" s="200">
        <f t="shared" si="719"/>
        <v>1</v>
      </c>
      <c r="AY143" s="202">
        <v>0.0</v>
      </c>
      <c r="AZ143" s="200"/>
      <c r="BA143" s="171" t="str">
        <f t="shared" si="18"/>
        <v>Archival</v>
      </c>
      <c r="BB143" s="171" t="str">
        <f t="shared" si="19"/>
        <v/>
      </c>
      <c r="BC143" s="171" t="str">
        <f t="shared" si="20"/>
        <v/>
      </c>
      <c r="BD143" s="171" t="str">
        <f t="shared" si="21"/>
        <v/>
      </c>
      <c r="BE143" s="171" t="str">
        <f t="shared" si="22"/>
        <v/>
      </c>
      <c r="BF143" s="171" t="str">
        <f t="shared" si="23"/>
        <v>Archival</v>
      </c>
    </row>
    <row r="144">
      <c r="A144" s="171">
        <f t="array" ref="A144">XLOOKUP(C144,ICSE!A:A,ICSE!C:C,,2,1)</f>
        <v>2022</v>
      </c>
      <c r="B144" s="171" t="s">
        <v>5675</v>
      </c>
      <c r="C144" s="160">
        <v>131.0</v>
      </c>
      <c r="D144" s="161" t="s">
        <v>2615</v>
      </c>
      <c r="E144" s="197" t="str">
        <f t="array" ref="E144">XLOOKUP(C144,ICSE!A:A,ICSE!Z:Z,,0,1)</f>
        <v>Publicly available (1)</v>
      </c>
      <c r="F144" s="198" t="s">
        <v>20</v>
      </c>
      <c r="G144" s="163" t="str">
        <f t="array" ref="G144">IF(B144="ICSE",IF(COUNTIFS(B:B,B144,C:C,C144)=XLOOKUP(C144,ICSE!A:A,ICSE!AA:AA,"ERROR",0,1),"OK","ERROR"),IF(B144="FSE",IF(COUNTIFS(B:B,B144,C:C,C144)=XLOOKUP(C144,FSE!A:A,FSE!AA:AA,"ERROR",0,1),"OK","ERROR")))</f>
        <v>OK</v>
      </c>
      <c r="H144" s="199">
        <f t="shared" ref="H144:O144" si="720">countif($D144,"*"&amp;H$2&amp;"*")</f>
        <v>1</v>
      </c>
      <c r="I144" s="200">
        <f t="shared" si="720"/>
        <v>0</v>
      </c>
      <c r="J144" s="200">
        <f t="shared" si="720"/>
        <v>0</v>
      </c>
      <c r="K144" s="200">
        <f t="shared" si="720"/>
        <v>0</v>
      </c>
      <c r="L144" s="200">
        <f t="shared" si="720"/>
        <v>0</v>
      </c>
      <c r="M144" s="200">
        <f t="shared" si="720"/>
        <v>0</v>
      </c>
      <c r="N144" s="200">
        <f t="shared" si="720"/>
        <v>0</v>
      </c>
      <c r="O144" s="200">
        <f t="shared" si="720"/>
        <v>0</v>
      </c>
      <c r="P144" s="200">
        <f t="shared" si="9"/>
        <v>0</v>
      </c>
      <c r="Q144" s="200">
        <f t="shared" ref="Q144:AC144" si="721">countif($D144,"*"&amp;Q$2&amp;"*")</f>
        <v>0</v>
      </c>
      <c r="R144" s="200">
        <f t="shared" si="721"/>
        <v>0</v>
      </c>
      <c r="S144" s="200">
        <f t="shared" si="721"/>
        <v>0</v>
      </c>
      <c r="T144" s="200">
        <f t="shared" si="721"/>
        <v>0</v>
      </c>
      <c r="U144" s="200">
        <f t="shared" si="721"/>
        <v>0</v>
      </c>
      <c r="V144" s="200">
        <f t="shared" si="721"/>
        <v>0</v>
      </c>
      <c r="W144" s="200">
        <f t="shared" si="721"/>
        <v>0</v>
      </c>
      <c r="X144" s="200">
        <f t="shared" si="721"/>
        <v>0</v>
      </c>
      <c r="Y144" s="200">
        <f t="shared" si="721"/>
        <v>0</v>
      </c>
      <c r="Z144" s="200">
        <f t="shared" si="721"/>
        <v>0</v>
      </c>
      <c r="AA144" s="200">
        <f t="shared" si="721"/>
        <v>0</v>
      </c>
      <c r="AB144" s="200">
        <f t="shared" si="721"/>
        <v>0</v>
      </c>
      <c r="AC144" s="200">
        <f t="shared" si="721"/>
        <v>0</v>
      </c>
      <c r="AD144" s="200">
        <f t="shared" si="11"/>
        <v>0</v>
      </c>
      <c r="AE144" s="200">
        <f t="shared" ref="AE144:AG144" si="722">countif($D144,"*"&amp;AE$2&amp;"*")</f>
        <v>0</v>
      </c>
      <c r="AF144" s="200">
        <f t="shared" si="722"/>
        <v>0</v>
      </c>
      <c r="AG144" s="200">
        <f t="shared" si="722"/>
        <v>0</v>
      </c>
      <c r="AH144" s="171">
        <f t="shared" si="13"/>
        <v>0</v>
      </c>
      <c r="AI144" s="200">
        <f t="shared" si="14"/>
        <v>1</v>
      </c>
      <c r="AJ144" s="200">
        <f t="shared" si="137"/>
        <v>0</v>
      </c>
      <c r="AK144" s="201">
        <f t="shared" ref="AK144:AS144" si="723">countif($D144,"*"&amp;AK$2&amp;"*")</f>
        <v>0</v>
      </c>
      <c r="AL144" s="201">
        <f t="shared" si="723"/>
        <v>0</v>
      </c>
      <c r="AM144" s="201">
        <f t="shared" si="723"/>
        <v>0</v>
      </c>
      <c r="AN144" s="201">
        <f t="shared" si="723"/>
        <v>0</v>
      </c>
      <c r="AO144" s="201">
        <f t="shared" si="723"/>
        <v>0</v>
      </c>
      <c r="AP144" s="201">
        <f t="shared" si="723"/>
        <v>0</v>
      </c>
      <c r="AQ144" s="201">
        <f t="shared" si="723"/>
        <v>0</v>
      </c>
      <c r="AR144" s="200">
        <f t="shared" si="723"/>
        <v>0</v>
      </c>
      <c r="AS144" s="200">
        <f t="shared" si="723"/>
        <v>0</v>
      </c>
      <c r="AT144" s="173">
        <v>0.0</v>
      </c>
      <c r="AU144" s="200">
        <f t="shared" ref="AU144:AX144" si="724">countif($D144,"*"&amp;AU$2&amp;"*")</f>
        <v>0</v>
      </c>
      <c r="AV144" s="200">
        <f t="shared" si="724"/>
        <v>0</v>
      </c>
      <c r="AW144" s="200">
        <f t="shared" si="724"/>
        <v>0</v>
      </c>
      <c r="AX144" s="200">
        <f t="shared" si="724"/>
        <v>1</v>
      </c>
      <c r="AY144" s="202">
        <v>0.0</v>
      </c>
      <c r="AZ144" s="200"/>
      <c r="BA144" s="171" t="str">
        <f t="shared" si="18"/>
        <v>Archival</v>
      </c>
      <c r="BB144" s="171" t="str">
        <f t="shared" si="19"/>
        <v/>
      </c>
      <c r="BC144" s="171" t="str">
        <f t="shared" si="20"/>
        <v/>
      </c>
      <c r="BD144" s="171" t="str">
        <f t="shared" si="21"/>
        <v/>
      </c>
      <c r="BE144" s="171" t="str">
        <f t="shared" si="22"/>
        <v/>
      </c>
      <c r="BF144" s="171" t="str">
        <f t="shared" si="23"/>
        <v>Archival</v>
      </c>
    </row>
    <row r="145">
      <c r="A145" s="171">
        <f t="array" ref="A145">XLOOKUP(C145,ICSE!A:A,ICSE!C:C,,2,1)</f>
        <v>2022</v>
      </c>
      <c r="B145" s="171" t="s">
        <v>5675</v>
      </c>
      <c r="C145" s="160">
        <v>132.0</v>
      </c>
      <c r="D145" s="161" t="s">
        <v>2619</v>
      </c>
      <c r="E145" s="197" t="str">
        <f t="array" ref="E145">XLOOKUP(C145,ICSE!A:A,ICSE!Z:Z,,0,1)</f>
        <v>Publicly available (1)</v>
      </c>
      <c r="F145" s="198" t="s">
        <v>20</v>
      </c>
      <c r="G145" s="163" t="str">
        <f t="array" ref="G145">IF(B145="ICSE",IF(COUNTIFS(B:B,B145,C:C,C145)=XLOOKUP(C145,ICSE!A:A,ICSE!AA:AA,"ERROR",0,1),"OK","ERROR"),IF(B145="FSE",IF(COUNTIFS(B:B,B145,C:C,C145)=XLOOKUP(C145,FSE!A:A,FSE!AA:AA,"ERROR",0,1),"OK","ERROR")))</f>
        <v>OK</v>
      </c>
      <c r="H145" s="199">
        <f t="shared" ref="H145:O145" si="725">countif($D145,"*"&amp;H$2&amp;"*")</f>
        <v>0</v>
      </c>
      <c r="I145" s="200">
        <f t="shared" si="725"/>
        <v>0</v>
      </c>
      <c r="J145" s="200">
        <f t="shared" si="725"/>
        <v>0</v>
      </c>
      <c r="K145" s="200">
        <f t="shared" si="725"/>
        <v>0</v>
      </c>
      <c r="L145" s="200">
        <f t="shared" si="725"/>
        <v>0</v>
      </c>
      <c r="M145" s="200">
        <f t="shared" si="725"/>
        <v>0</v>
      </c>
      <c r="N145" s="200">
        <f t="shared" si="725"/>
        <v>0</v>
      </c>
      <c r="O145" s="200">
        <f t="shared" si="725"/>
        <v>0</v>
      </c>
      <c r="P145" s="200">
        <f t="shared" si="9"/>
        <v>1</v>
      </c>
      <c r="Q145" s="200">
        <f t="shared" ref="Q145:AC145" si="726">countif($D145,"*"&amp;Q$2&amp;"*")</f>
        <v>0</v>
      </c>
      <c r="R145" s="200">
        <f t="shared" si="726"/>
        <v>0</v>
      </c>
      <c r="S145" s="200">
        <f t="shared" si="726"/>
        <v>0</v>
      </c>
      <c r="T145" s="200">
        <f t="shared" si="726"/>
        <v>0</v>
      </c>
      <c r="U145" s="200">
        <f t="shared" si="726"/>
        <v>0</v>
      </c>
      <c r="V145" s="200">
        <f t="shared" si="726"/>
        <v>0</v>
      </c>
      <c r="W145" s="200">
        <f t="shared" si="726"/>
        <v>0</v>
      </c>
      <c r="X145" s="200">
        <f t="shared" si="726"/>
        <v>0</v>
      </c>
      <c r="Y145" s="200">
        <f t="shared" si="726"/>
        <v>0</v>
      </c>
      <c r="Z145" s="200">
        <f t="shared" si="726"/>
        <v>0</v>
      </c>
      <c r="AA145" s="200">
        <f t="shared" si="726"/>
        <v>0</v>
      </c>
      <c r="AB145" s="200">
        <f t="shared" si="726"/>
        <v>0</v>
      </c>
      <c r="AC145" s="200">
        <f t="shared" si="726"/>
        <v>0</v>
      </c>
      <c r="AD145" s="200">
        <f t="shared" si="11"/>
        <v>0</v>
      </c>
      <c r="AE145" s="200">
        <f t="shared" ref="AE145:AG145" si="727">countif($D145,"*"&amp;AE$2&amp;"*")</f>
        <v>0</v>
      </c>
      <c r="AF145" s="200">
        <f t="shared" si="727"/>
        <v>0</v>
      </c>
      <c r="AG145" s="200">
        <f t="shared" si="727"/>
        <v>0</v>
      </c>
      <c r="AH145" s="171">
        <f t="shared" si="13"/>
        <v>0</v>
      </c>
      <c r="AI145" s="200">
        <f t="shared" si="14"/>
        <v>0</v>
      </c>
      <c r="AJ145" s="200">
        <f t="shared" si="137"/>
        <v>0</v>
      </c>
      <c r="AK145" s="201">
        <f t="shared" ref="AK145:AS145" si="728">countif($D145,"*"&amp;AK$2&amp;"*")</f>
        <v>0</v>
      </c>
      <c r="AL145" s="201">
        <f t="shared" si="728"/>
        <v>0</v>
      </c>
      <c r="AM145" s="201">
        <f t="shared" si="728"/>
        <v>0</v>
      </c>
      <c r="AN145" s="201">
        <f t="shared" si="728"/>
        <v>0</v>
      </c>
      <c r="AO145" s="201">
        <f t="shared" si="728"/>
        <v>0</v>
      </c>
      <c r="AP145" s="201">
        <f t="shared" si="728"/>
        <v>0</v>
      </c>
      <c r="AQ145" s="201">
        <f t="shared" si="728"/>
        <v>0</v>
      </c>
      <c r="AR145" s="200">
        <f t="shared" si="728"/>
        <v>0</v>
      </c>
      <c r="AS145" s="200">
        <f t="shared" si="728"/>
        <v>0</v>
      </c>
      <c r="AT145" s="173">
        <v>0.0</v>
      </c>
      <c r="AU145" s="200">
        <f t="shared" ref="AU145:AX145" si="729">countif($D145,"*"&amp;AU$2&amp;"*")</f>
        <v>0</v>
      </c>
      <c r="AV145" s="200">
        <f t="shared" si="729"/>
        <v>1</v>
      </c>
      <c r="AW145" s="200">
        <f t="shared" si="729"/>
        <v>0</v>
      </c>
      <c r="AX145" s="200">
        <f t="shared" si="729"/>
        <v>0</v>
      </c>
      <c r="AY145" s="202">
        <v>0.0</v>
      </c>
      <c r="AZ145" s="200"/>
      <c r="BA145" s="171" t="str">
        <f t="shared" si="18"/>
        <v/>
      </c>
      <c r="BB145" s="171" t="str">
        <f t="shared" si="19"/>
        <v>Code</v>
      </c>
      <c r="BC145" s="171" t="str">
        <f t="shared" si="20"/>
        <v/>
      </c>
      <c r="BD145" s="171" t="str">
        <f t="shared" si="21"/>
        <v/>
      </c>
      <c r="BE145" s="171" t="str">
        <f t="shared" si="22"/>
        <v/>
      </c>
      <c r="BF145" s="171" t="str">
        <f t="shared" si="23"/>
        <v>Code</v>
      </c>
    </row>
    <row r="146">
      <c r="A146" s="171">
        <f t="array" ref="A146">XLOOKUP(C146,ICSE!A:A,ICSE!C:C,,2,1)</f>
        <v>2022</v>
      </c>
      <c r="B146" s="171" t="s">
        <v>5675</v>
      </c>
      <c r="C146" s="160">
        <v>133.0</v>
      </c>
      <c r="D146" s="161" t="s">
        <v>2621</v>
      </c>
      <c r="E146" s="197" t="str">
        <f t="array" ref="E146">XLOOKUP(C146,ICSE!A:A,ICSE!Z:Z,,0,1)</f>
        <v>Publicly available (1)</v>
      </c>
      <c r="F146" s="198" t="s">
        <v>20</v>
      </c>
      <c r="G146" s="163" t="str">
        <f t="array" ref="G146">IF(B146="ICSE",IF(COUNTIFS(B:B,B146,C:C,C146)=XLOOKUP(C146,ICSE!A:A,ICSE!AA:AA,"ERROR",0,1),"OK","ERROR"),IF(B146="FSE",IF(COUNTIFS(B:B,B146,C:C,C146)=XLOOKUP(C146,FSE!A:A,FSE!AA:AA,"ERROR",0,1),"OK","ERROR")))</f>
        <v>OK</v>
      </c>
      <c r="H146" s="199">
        <f t="shared" ref="H146:O146" si="730">countif($D146,"*"&amp;H$2&amp;"*")</f>
        <v>0</v>
      </c>
      <c r="I146" s="200">
        <f t="shared" si="730"/>
        <v>0</v>
      </c>
      <c r="J146" s="200">
        <f t="shared" si="730"/>
        <v>0</v>
      </c>
      <c r="K146" s="200">
        <f t="shared" si="730"/>
        <v>0</v>
      </c>
      <c r="L146" s="200">
        <f t="shared" si="730"/>
        <v>0</v>
      </c>
      <c r="M146" s="200">
        <f t="shared" si="730"/>
        <v>0</v>
      </c>
      <c r="N146" s="200">
        <f t="shared" si="730"/>
        <v>0</v>
      </c>
      <c r="O146" s="200">
        <f t="shared" si="730"/>
        <v>0</v>
      </c>
      <c r="P146" s="200">
        <f t="shared" si="9"/>
        <v>1</v>
      </c>
      <c r="Q146" s="200">
        <f t="shared" ref="Q146:AC146" si="731">countif($D146,"*"&amp;Q$2&amp;"*")</f>
        <v>0</v>
      </c>
      <c r="R146" s="200">
        <f t="shared" si="731"/>
        <v>0</v>
      </c>
      <c r="S146" s="200">
        <f t="shared" si="731"/>
        <v>0</v>
      </c>
      <c r="T146" s="200">
        <f t="shared" si="731"/>
        <v>0</v>
      </c>
      <c r="U146" s="200">
        <f t="shared" si="731"/>
        <v>0</v>
      </c>
      <c r="V146" s="200">
        <f t="shared" si="731"/>
        <v>0</v>
      </c>
      <c r="W146" s="200">
        <f t="shared" si="731"/>
        <v>0</v>
      </c>
      <c r="X146" s="200">
        <f t="shared" si="731"/>
        <v>0</v>
      </c>
      <c r="Y146" s="200">
        <f t="shared" si="731"/>
        <v>0</v>
      </c>
      <c r="Z146" s="200">
        <f t="shared" si="731"/>
        <v>0</v>
      </c>
      <c r="AA146" s="200">
        <f t="shared" si="731"/>
        <v>0</v>
      </c>
      <c r="AB146" s="200">
        <f t="shared" si="731"/>
        <v>0</v>
      </c>
      <c r="AC146" s="200">
        <f t="shared" si="731"/>
        <v>0</v>
      </c>
      <c r="AD146" s="200">
        <f t="shared" si="11"/>
        <v>0</v>
      </c>
      <c r="AE146" s="200">
        <f t="shared" ref="AE146:AG146" si="732">countif($D146,"*"&amp;AE$2&amp;"*")</f>
        <v>0</v>
      </c>
      <c r="AF146" s="200">
        <f t="shared" si="732"/>
        <v>0</v>
      </c>
      <c r="AG146" s="200">
        <f t="shared" si="732"/>
        <v>0</v>
      </c>
      <c r="AH146" s="171">
        <f t="shared" si="13"/>
        <v>0</v>
      </c>
      <c r="AI146" s="200">
        <f t="shared" si="14"/>
        <v>0</v>
      </c>
      <c r="AJ146" s="200">
        <f t="shared" si="137"/>
        <v>0</v>
      </c>
      <c r="AK146" s="201">
        <f t="shared" ref="AK146:AS146" si="733">countif($D146,"*"&amp;AK$2&amp;"*")</f>
        <v>0</v>
      </c>
      <c r="AL146" s="201">
        <f t="shared" si="733"/>
        <v>0</v>
      </c>
      <c r="AM146" s="201">
        <f t="shared" si="733"/>
        <v>0</v>
      </c>
      <c r="AN146" s="201">
        <f t="shared" si="733"/>
        <v>0</v>
      </c>
      <c r="AO146" s="201">
        <f t="shared" si="733"/>
        <v>0</v>
      </c>
      <c r="AP146" s="201">
        <f t="shared" si="733"/>
        <v>0</v>
      </c>
      <c r="AQ146" s="201">
        <f t="shared" si="733"/>
        <v>0</v>
      </c>
      <c r="AR146" s="200">
        <f t="shared" si="733"/>
        <v>0</v>
      </c>
      <c r="AS146" s="200">
        <f t="shared" si="733"/>
        <v>0</v>
      </c>
      <c r="AT146" s="173">
        <v>0.0</v>
      </c>
      <c r="AU146" s="200">
        <f t="shared" ref="AU146:AX146" si="734">countif($D146,"*"&amp;AU$2&amp;"*")</f>
        <v>0</v>
      </c>
      <c r="AV146" s="200">
        <f t="shared" si="734"/>
        <v>1</v>
      </c>
      <c r="AW146" s="200">
        <f t="shared" si="734"/>
        <v>0</v>
      </c>
      <c r="AX146" s="200">
        <f t="shared" si="734"/>
        <v>0</v>
      </c>
      <c r="AY146" s="202">
        <v>0.0</v>
      </c>
      <c r="AZ146" s="200"/>
      <c r="BA146" s="171" t="str">
        <f t="shared" si="18"/>
        <v/>
      </c>
      <c r="BB146" s="171" t="str">
        <f t="shared" si="19"/>
        <v>Code</v>
      </c>
      <c r="BC146" s="171" t="str">
        <f t="shared" si="20"/>
        <v/>
      </c>
      <c r="BD146" s="171" t="str">
        <f t="shared" si="21"/>
        <v/>
      </c>
      <c r="BE146" s="171" t="str">
        <f t="shared" si="22"/>
        <v/>
      </c>
      <c r="BF146" s="171" t="str">
        <f t="shared" si="23"/>
        <v>Code</v>
      </c>
    </row>
    <row r="147">
      <c r="A147" s="171">
        <f t="array" ref="A147">XLOOKUP(C147,ICSE!A:A,ICSE!C:C,,2,1)</f>
        <v>2022</v>
      </c>
      <c r="B147" s="171" t="s">
        <v>5675</v>
      </c>
      <c r="C147" s="160">
        <v>134.0</v>
      </c>
      <c r="D147" s="161" t="s">
        <v>5786</v>
      </c>
      <c r="E147" s="197" t="str">
        <f t="array" ref="E147">XLOOKUP(C147,ICSE!A:A,ICSE!Z:Z,,0,1)</f>
        <v>Publicly available (5)</v>
      </c>
      <c r="F147" s="198" t="s">
        <v>20</v>
      </c>
      <c r="G147" s="163" t="str">
        <f t="array" ref="G147">IF(B147="ICSE",IF(COUNTIFS(B:B,B147,C:C,C147)=XLOOKUP(C147,ICSE!A:A,ICSE!AA:AA,"ERROR",0,1),"OK","ERROR"),IF(B147="FSE",IF(COUNTIFS(B:B,B147,C:C,C147)=XLOOKUP(C147,FSE!A:A,FSE!AA:AA,"ERROR",0,1),"OK","ERROR")))</f>
        <v>OK</v>
      </c>
      <c r="H147" s="199">
        <f t="shared" ref="H147:O147" si="735">countif($D147,"*"&amp;H$2&amp;"*")</f>
        <v>1</v>
      </c>
      <c r="I147" s="200">
        <f t="shared" si="735"/>
        <v>0</v>
      </c>
      <c r="J147" s="200">
        <f t="shared" si="735"/>
        <v>0</v>
      </c>
      <c r="K147" s="200">
        <f t="shared" si="735"/>
        <v>0</v>
      </c>
      <c r="L147" s="200">
        <f t="shared" si="735"/>
        <v>0</v>
      </c>
      <c r="M147" s="200">
        <f t="shared" si="735"/>
        <v>0</v>
      </c>
      <c r="N147" s="200">
        <f t="shared" si="735"/>
        <v>0</v>
      </c>
      <c r="O147" s="200">
        <f t="shared" si="735"/>
        <v>0</v>
      </c>
      <c r="P147" s="200">
        <f t="shared" si="9"/>
        <v>0</v>
      </c>
      <c r="Q147" s="200">
        <f t="shared" ref="Q147:AC147" si="736">countif($D147,"*"&amp;Q$2&amp;"*")</f>
        <v>0</v>
      </c>
      <c r="R147" s="200">
        <f t="shared" si="736"/>
        <v>0</v>
      </c>
      <c r="S147" s="200">
        <f t="shared" si="736"/>
        <v>0</v>
      </c>
      <c r="T147" s="200">
        <f t="shared" si="736"/>
        <v>0</v>
      </c>
      <c r="U147" s="200">
        <f t="shared" si="736"/>
        <v>0</v>
      </c>
      <c r="V147" s="200">
        <f t="shared" si="736"/>
        <v>0</v>
      </c>
      <c r="W147" s="200">
        <f t="shared" si="736"/>
        <v>0</v>
      </c>
      <c r="X147" s="200">
        <f t="shared" si="736"/>
        <v>0</v>
      </c>
      <c r="Y147" s="200">
        <f t="shared" si="736"/>
        <v>0</v>
      </c>
      <c r="Z147" s="200">
        <f t="shared" si="736"/>
        <v>0</v>
      </c>
      <c r="AA147" s="200">
        <f t="shared" si="736"/>
        <v>0</v>
      </c>
      <c r="AB147" s="200">
        <f t="shared" si="736"/>
        <v>0</v>
      </c>
      <c r="AC147" s="200">
        <f t="shared" si="736"/>
        <v>0</v>
      </c>
      <c r="AD147" s="200">
        <f t="shared" si="11"/>
        <v>0</v>
      </c>
      <c r="AE147" s="200">
        <f t="shared" ref="AE147:AG147" si="737">countif($D147,"*"&amp;AE$2&amp;"*")</f>
        <v>0</v>
      </c>
      <c r="AF147" s="200">
        <f t="shared" si="737"/>
        <v>0</v>
      </c>
      <c r="AG147" s="200">
        <f t="shared" si="737"/>
        <v>0</v>
      </c>
      <c r="AH147" s="171">
        <f t="shared" si="13"/>
        <v>0</v>
      </c>
      <c r="AI147" s="200">
        <f t="shared" si="14"/>
        <v>1</v>
      </c>
      <c r="AJ147" s="200">
        <f t="shared" si="137"/>
        <v>0</v>
      </c>
      <c r="AK147" s="201">
        <f t="shared" ref="AK147:AS147" si="738">countif($D147,"*"&amp;AK$2&amp;"*")</f>
        <v>0</v>
      </c>
      <c r="AL147" s="201">
        <f t="shared" si="738"/>
        <v>0</v>
      </c>
      <c r="AM147" s="201">
        <f t="shared" si="738"/>
        <v>0</v>
      </c>
      <c r="AN147" s="201">
        <f t="shared" si="738"/>
        <v>0</v>
      </c>
      <c r="AO147" s="201">
        <f t="shared" si="738"/>
        <v>0</v>
      </c>
      <c r="AP147" s="201">
        <f t="shared" si="738"/>
        <v>0</v>
      </c>
      <c r="AQ147" s="201">
        <f t="shared" si="738"/>
        <v>0</v>
      </c>
      <c r="AR147" s="200">
        <f t="shared" si="738"/>
        <v>0</v>
      </c>
      <c r="AS147" s="200">
        <f t="shared" si="738"/>
        <v>0</v>
      </c>
      <c r="AT147" s="173">
        <v>0.0</v>
      </c>
      <c r="AU147" s="200">
        <f t="shared" ref="AU147:AX147" si="739">countif($D147,"*"&amp;AU$2&amp;"*")</f>
        <v>0</v>
      </c>
      <c r="AV147" s="200">
        <f t="shared" si="739"/>
        <v>0</v>
      </c>
      <c r="AW147" s="200">
        <f t="shared" si="739"/>
        <v>0</v>
      </c>
      <c r="AX147" s="200">
        <f t="shared" si="739"/>
        <v>1</v>
      </c>
      <c r="AY147" s="202">
        <v>0.0</v>
      </c>
      <c r="AZ147" s="200"/>
      <c r="BA147" s="171" t="str">
        <f t="shared" si="18"/>
        <v>Archival</v>
      </c>
      <c r="BB147" s="171" t="str">
        <f t="shared" si="19"/>
        <v/>
      </c>
      <c r="BC147" s="171" t="str">
        <f t="shared" si="20"/>
        <v/>
      </c>
      <c r="BD147" s="171" t="str">
        <f t="shared" si="21"/>
        <v/>
      </c>
      <c r="BE147" s="171" t="str">
        <f t="shared" si="22"/>
        <v/>
      </c>
      <c r="BF147" s="171" t="str">
        <f t="shared" si="23"/>
        <v>Archival</v>
      </c>
    </row>
    <row r="148">
      <c r="A148" s="171">
        <f t="array" ref="A148">XLOOKUP(C148,ICSE!A:A,ICSE!C:C,,2,1)</f>
        <v>2022</v>
      </c>
      <c r="B148" s="171" t="s">
        <v>5675</v>
      </c>
      <c r="C148" s="160">
        <v>134.0</v>
      </c>
      <c r="D148" s="206" t="s">
        <v>5787</v>
      </c>
      <c r="E148" s="197" t="str">
        <f t="array" ref="E148">XLOOKUP(C148,ICSE!A:A,ICSE!Z:Z,,0,1)</f>
        <v>Publicly available (5)</v>
      </c>
      <c r="F148" s="198" t="s">
        <v>20</v>
      </c>
      <c r="G148" s="163" t="str">
        <f t="array" ref="G148">IF(B148="ICSE",IF(COUNTIFS(B:B,B148,C:C,C148)=XLOOKUP(C148,ICSE!A:A,ICSE!AA:AA,"ERROR",0,1),"OK","ERROR"),IF(B148="FSE",IF(COUNTIFS(B:B,B148,C:C,C148)=XLOOKUP(C148,FSE!A:A,FSE!AA:AA,"ERROR",0,1),"OK","ERROR")))</f>
        <v>OK</v>
      </c>
      <c r="H148" s="199">
        <f t="shared" ref="H148:O148" si="740">countif($D148,"*"&amp;H$2&amp;"*")</f>
        <v>0</v>
      </c>
      <c r="I148" s="200">
        <f t="shared" si="740"/>
        <v>0</v>
      </c>
      <c r="J148" s="200">
        <f t="shared" si="740"/>
        <v>0</v>
      </c>
      <c r="K148" s="200">
        <f t="shared" si="740"/>
        <v>0</v>
      </c>
      <c r="L148" s="200">
        <f t="shared" si="740"/>
        <v>0</v>
      </c>
      <c r="M148" s="200">
        <f t="shared" si="740"/>
        <v>0</v>
      </c>
      <c r="N148" s="200">
        <f t="shared" si="740"/>
        <v>0</v>
      </c>
      <c r="O148" s="200">
        <f t="shared" si="740"/>
        <v>0</v>
      </c>
      <c r="P148" s="200">
        <f t="shared" si="9"/>
        <v>0</v>
      </c>
      <c r="Q148" s="200">
        <f t="shared" ref="Q148:AC148" si="741">countif($D148,"*"&amp;Q$2&amp;"*")</f>
        <v>0</v>
      </c>
      <c r="R148" s="200">
        <f t="shared" si="741"/>
        <v>0</v>
      </c>
      <c r="S148" s="200">
        <f t="shared" si="741"/>
        <v>0</v>
      </c>
      <c r="T148" s="200">
        <f t="shared" si="741"/>
        <v>0</v>
      </c>
      <c r="U148" s="200">
        <f t="shared" si="741"/>
        <v>0</v>
      </c>
      <c r="V148" s="200">
        <f t="shared" si="741"/>
        <v>0</v>
      </c>
      <c r="W148" s="200">
        <f t="shared" si="741"/>
        <v>0</v>
      </c>
      <c r="X148" s="200">
        <f t="shared" si="741"/>
        <v>0</v>
      </c>
      <c r="Y148" s="200">
        <f t="shared" si="741"/>
        <v>0</v>
      </c>
      <c r="Z148" s="200">
        <f t="shared" si="741"/>
        <v>0</v>
      </c>
      <c r="AA148" s="200">
        <f t="shared" si="741"/>
        <v>0</v>
      </c>
      <c r="AB148" s="200">
        <f t="shared" si="741"/>
        <v>0</v>
      </c>
      <c r="AC148" s="200">
        <f t="shared" si="741"/>
        <v>0</v>
      </c>
      <c r="AD148" s="200">
        <f t="shared" si="11"/>
        <v>0</v>
      </c>
      <c r="AE148" s="200">
        <f t="shared" ref="AE148:AG148" si="742">countif($D148,"*"&amp;AE$2&amp;"*")</f>
        <v>0</v>
      </c>
      <c r="AF148" s="200">
        <f t="shared" si="742"/>
        <v>0</v>
      </c>
      <c r="AG148" s="200">
        <f t="shared" si="742"/>
        <v>0</v>
      </c>
      <c r="AH148" s="171">
        <f t="shared" si="13"/>
        <v>1</v>
      </c>
      <c r="AI148" s="200">
        <f t="shared" si="14"/>
        <v>0</v>
      </c>
      <c r="AJ148" s="200">
        <f t="shared" si="137"/>
        <v>0</v>
      </c>
      <c r="AK148" s="201">
        <f t="shared" ref="AK148:AS148" si="743">countif($D148,"*"&amp;AK$2&amp;"*")</f>
        <v>0</v>
      </c>
      <c r="AL148" s="201">
        <f t="shared" si="743"/>
        <v>0</v>
      </c>
      <c r="AM148" s="201">
        <f t="shared" si="743"/>
        <v>0</v>
      </c>
      <c r="AN148" s="201">
        <f t="shared" si="743"/>
        <v>0</v>
      </c>
      <c r="AO148" s="201">
        <f t="shared" si="743"/>
        <v>0</v>
      </c>
      <c r="AP148" s="201">
        <f t="shared" si="743"/>
        <v>0</v>
      </c>
      <c r="AQ148" s="201">
        <f t="shared" si="743"/>
        <v>0</v>
      </c>
      <c r="AR148" s="200">
        <f t="shared" si="743"/>
        <v>0</v>
      </c>
      <c r="AS148" s="200">
        <f t="shared" si="743"/>
        <v>1</v>
      </c>
      <c r="AT148" s="173">
        <v>0.0</v>
      </c>
      <c r="AU148" s="200">
        <f t="shared" ref="AU148:AX148" si="744">countif($D148,"*"&amp;AU$2&amp;"*")</f>
        <v>0</v>
      </c>
      <c r="AV148" s="200">
        <f t="shared" si="744"/>
        <v>0</v>
      </c>
      <c r="AW148" s="200">
        <f t="shared" si="744"/>
        <v>0</v>
      </c>
      <c r="AX148" s="200">
        <f t="shared" si="744"/>
        <v>0</v>
      </c>
      <c r="AY148" s="202">
        <v>0.0</v>
      </c>
      <c r="AZ148" s="200"/>
      <c r="BA148" s="171" t="str">
        <f t="shared" si="18"/>
        <v/>
      </c>
      <c r="BB148" s="171" t="str">
        <f t="shared" si="19"/>
        <v/>
      </c>
      <c r="BC148" s="171" t="str">
        <f t="shared" si="20"/>
        <v/>
      </c>
      <c r="BD148" s="171" t="str">
        <f t="shared" si="21"/>
        <v/>
      </c>
      <c r="BE148" s="171" t="str">
        <f t="shared" si="22"/>
        <v>Others</v>
      </c>
      <c r="BF148" s="171" t="str">
        <f t="shared" si="23"/>
        <v>Others</v>
      </c>
    </row>
    <row r="149">
      <c r="A149" s="171">
        <f t="array" ref="A149">XLOOKUP(C149,ICSE!A:A,ICSE!C:C,,2,1)</f>
        <v>2022</v>
      </c>
      <c r="B149" s="171" t="s">
        <v>5675</v>
      </c>
      <c r="C149" s="160">
        <v>134.0</v>
      </c>
      <c r="D149" s="207" t="s">
        <v>5788</v>
      </c>
      <c r="E149" s="197" t="str">
        <f t="array" ref="E149">XLOOKUP(C149,ICSE!A:A,ICSE!Z:Z,,0,1)</f>
        <v>Publicly available (5)</v>
      </c>
      <c r="F149" s="198" t="s">
        <v>20</v>
      </c>
      <c r="G149" s="163" t="str">
        <f t="array" ref="G149">IF(B149="ICSE",IF(COUNTIFS(B:B,B149,C:C,C149)=XLOOKUP(C149,ICSE!A:A,ICSE!AA:AA,"ERROR",0,1),"OK","ERROR"),IF(B149="FSE",IF(COUNTIFS(B:B,B149,C:C,C149)=XLOOKUP(C149,FSE!A:A,FSE!AA:AA,"ERROR",0,1),"OK","ERROR")))</f>
        <v>OK</v>
      </c>
      <c r="H149" s="199">
        <f t="shared" ref="H149:O149" si="745">countif($D149,"*"&amp;H$2&amp;"*")</f>
        <v>0</v>
      </c>
      <c r="I149" s="200">
        <f t="shared" si="745"/>
        <v>0</v>
      </c>
      <c r="J149" s="200">
        <f t="shared" si="745"/>
        <v>0</v>
      </c>
      <c r="K149" s="200">
        <f t="shared" si="745"/>
        <v>0</v>
      </c>
      <c r="L149" s="200">
        <f t="shared" si="745"/>
        <v>0</v>
      </c>
      <c r="M149" s="200">
        <f t="shared" si="745"/>
        <v>0</v>
      </c>
      <c r="N149" s="200">
        <f t="shared" si="745"/>
        <v>0</v>
      </c>
      <c r="O149" s="200">
        <f t="shared" si="745"/>
        <v>0</v>
      </c>
      <c r="P149" s="200">
        <f t="shared" si="9"/>
        <v>1</v>
      </c>
      <c r="Q149" s="200">
        <f t="shared" ref="Q149:AC149" si="746">countif($D149,"*"&amp;Q$2&amp;"*")</f>
        <v>0</v>
      </c>
      <c r="R149" s="200">
        <f t="shared" si="746"/>
        <v>0</v>
      </c>
      <c r="S149" s="200">
        <f t="shared" si="746"/>
        <v>0</v>
      </c>
      <c r="T149" s="200">
        <f t="shared" si="746"/>
        <v>0</v>
      </c>
      <c r="U149" s="200">
        <f t="shared" si="746"/>
        <v>0</v>
      </c>
      <c r="V149" s="200">
        <f t="shared" si="746"/>
        <v>0</v>
      </c>
      <c r="W149" s="200">
        <f t="shared" si="746"/>
        <v>0</v>
      </c>
      <c r="X149" s="200">
        <f t="shared" si="746"/>
        <v>0</v>
      </c>
      <c r="Y149" s="200">
        <f t="shared" si="746"/>
        <v>0</v>
      </c>
      <c r="Z149" s="200">
        <f t="shared" si="746"/>
        <v>0</v>
      </c>
      <c r="AA149" s="200">
        <f t="shared" si="746"/>
        <v>0</v>
      </c>
      <c r="AB149" s="200">
        <f t="shared" si="746"/>
        <v>0</v>
      </c>
      <c r="AC149" s="200">
        <f t="shared" si="746"/>
        <v>0</v>
      </c>
      <c r="AD149" s="200">
        <f t="shared" si="11"/>
        <v>0</v>
      </c>
      <c r="AE149" s="200">
        <f t="shared" ref="AE149:AG149" si="747">countif($D149,"*"&amp;AE$2&amp;"*")</f>
        <v>0</v>
      </c>
      <c r="AF149" s="200">
        <f t="shared" si="747"/>
        <v>0</v>
      </c>
      <c r="AG149" s="200">
        <f t="shared" si="747"/>
        <v>0</v>
      </c>
      <c r="AH149" s="171">
        <f t="shared" si="13"/>
        <v>0</v>
      </c>
      <c r="AI149" s="200">
        <f t="shared" si="14"/>
        <v>0</v>
      </c>
      <c r="AJ149" s="200">
        <f t="shared" si="137"/>
        <v>0</v>
      </c>
      <c r="AK149" s="201">
        <f t="shared" ref="AK149:AS149" si="748">countif($D149,"*"&amp;AK$2&amp;"*")</f>
        <v>0</v>
      </c>
      <c r="AL149" s="201">
        <f t="shared" si="748"/>
        <v>0</v>
      </c>
      <c r="AM149" s="201">
        <f t="shared" si="748"/>
        <v>0</v>
      </c>
      <c r="AN149" s="201">
        <f t="shared" si="748"/>
        <v>0</v>
      </c>
      <c r="AO149" s="201">
        <f t="shared" si="748"/>
        <v>0</v>
      </c>
      <c r="AP149" s="201">
        <f t="shared" si="748"/>
        <v>0</v>
      </c>
      <c r="AQ149" s="201">
        <f t="shared" si="748"/>
        <v>0</v>
      </c>
      <c r="AR149" s="200">
        <f t="shared" si="748"/>
        <v>0</v>
      </c>
      <c r="AS149" s="200">
        <f t="shared" si="748"/>
        <v>0</v>
      </c>
      <c r="AT149" s="173">
        <v>0.0</v>
      </c>
      <c r="AU149" s="200">
        <f t="shared" ref="AU149:AX149" si="749">countif($D149,"*"&amp;AU$2&amp;"*")</f>
        <v>0</v>
      </c>
      <c r="AV149" s="200">
        <f t="shared" si="749"/>
        <v>1</v>
      </c>
      <c r="AW149" s="200">
        <f t="shared" si="749"/>
        <v>0</v>
      </c>
      <c r="AX149" s="200">
        <f t="shared" si="749"/>
        <v>0</v>
      </c>
      <c r="AY149" s="202">
        <v>0.0</v>
      </c>
      <c r="AZ149" s="200"/>
      <c r="BA149" s="171" t="str">
        <f t="shared" si="18"/>
        <v/>
      </c>
      <c r="BB149" s="171" t="str">
        <f t="shared" si="19"/>
        <v>Code</v>
      </c>
      <c r="BC149" s="171" t="str">
        <f t="shared" si="20"/>
        <v/>
      </c>
      <c r="BD149" s="171" t="str">
        <f t="shared" si="21"/>
        <v/>
      </c>
      <c r="BE149" s="171" t="str">
        <f t="shared" si="22"/>
        <v/>
      </c>
      <c r="BF149" s="171" t="str">
        <f t="shared" si="23"/>
        <v>Code</v>
      </c>
    </row>
    <row r="150">
      <c r="A150" s="171">
        <f t="array" ref="A150">XLOOKUP(C150,ICSE!A:A,ICSE!C:C,,2,1)</f>
        <v>2022</v>
      </c>
      <c r="B150" s="171" t="s">
        <v>5675</v>
      </c>
      <c r="C150" s="160">
        <v>134.0</v>
      </c>
      <c r="D150" s="206" t="s">
        <v>5789</v>
      </c>
      <c r="E150" s="197" t="str">
        <f t="array" ref="E150">XLOOKUP(C150,ICSE!A:A,ICSE!Z:Z,,0,1)</f>
        <v>Publicly available (5)</v>
      </c>
      <c r="F150" s="198" t="s">
        <v>20</v>
      </c>
      <c r="G150" s="163" t="str">
        <f t="array" ref="G150">IF(B150="ICSE",IF(COUNTIFS(B:B,B150,C:C,C150)=XLOOKUP(C150,ICSE!A:A,ICSE!AA:AA,"ERROR",0,1),"OK","ERROR"),IF(B150="FSE",IF(COUNTIFS(B:B,B150,C:C,C150)=XLOOKUP(C150,FSE!A:A,FSE!AA:AA,"ERROR",0,1),"OK","ERROR")))</f>
        <v>OK</v>
      </c>
      <c r="H150" s="199">
        <f t="shared" ref="H150:O150" si="750">countif($D150,"*"&amp;H$2&amp;"*")</f>
        <v>0</v>
      </c>
      <c r="I150" s="200">
        <f t="shared" si="750"/>
        <v>0</v>
      </c>
      <c r="J150" s="200">
        <f t="shared" si="750"/>
        <v>0</v>
      </c>
      <c r="K150" s="200">
        <f t="shared" si="750"/>
        <v>0</v>
      </c>
      <c r="L150" s="200">
        <f t="shared" si="750"/>
        <v>0</v>
      </c>
      <c r="M150" s="200">
        <f t="shared" si="750"/>
        <v>0</v>
      </c>
      <c r="N150" s="200">
        <f t="shared" si="750"/>
        <v>0</v>
      </c>
      <c r="O150" s="200">
        <f t="shared" si="750"/>
        <v>0</v>
      </c>
      <c r="P150" s="200">
        <f t="shared" si="9"/>
        <v>0</v>
      </c>
      <c r="Q150" s="200">
        <f t="shared" ref="Q150:AC150" si="751">countif($D150,"*"&amp;Q$2&amp;"*")</f>
        <v>0</v>
      </c>
      <c r="R150" s="200">
        <f t="shared" si="751"/>
        <v>0</v>
      </c>
      <c r="S150" s="200">
        <f t="shared" si="751"/>
        <v>0</v>
      </c>
      <c r="T150" s="200">
        <f t="shared" si="751"/>
        <v>0</v>
      </c>
      <c r="U150" s="200">
        <f t="shared" si="751"/>
        <v>0</v>
      </c>
      <c r="V150" s="200">
        <f t="shared" si="751"/>
        <v>0</v>
      </c>
      <c r="W150" s="200">
        <f t="shared" si="751"/>
        <v>0</v>
      </c>
      <c r="X150" s="200">
        <f t="shared" si="751"/>
        <v>0</v>
      </c>
      <c r="Y150" s="200">
        <f t="shared" si="751"/>
        <v>0</v>
      </c>
      <c r="Z150" s="200">
        <f t="shared" si="751"/>
        <v>0</v>
      </c>
      <c r="AA150" s="200">
        <f t="shared" si="751"/>
        <v>0</v>
      </c>
      <c r="AB150" s="200">
        <f t="shared" si="751"/>
        <v>0</v>
      </c>
      <c r="AC150" s="200">
        <f t="shared" si="751"/>
        <v>0</v>
      </c>
      <c r="AD150" s="200">
        <f t="shared" si="11"/>
        <v>0</v>
      </c>
      <c r="AE150" s="200">
        <f t="shared" ref="AE150:AG150" si="752">countif($D150,"*"&amp;AE$2&amp;"*")</f>
        <v>0</v>
      </c>
      <c r="AF150" s="200">
        <f t="shared" si="752"/>
        <v>0</v>
      </c>
      <c r="AG150" s="200">
        <f t="shared" si="752"/>
        <v>0</v>
      </c>
      <c r="AH150" s="171">
        <f t="shared" si="13"/>
        <v>1</v>
      </c>
      <c r="AI150" s="200">
        <f t="shared" si="14"/>
        <v>0</v>
      </c>
      <c r="AJ150" s="200">
        <f t="shared" si="137"/>
        <v>0</v>
      </c>
      <c r="AK150" s="201">
        <f t="shared" ref="AK150:AS150" si="753">countif($D150,"*"&amp;AK$2&amp;"*")</f>
        <v>0</v>
      </c>
      <c r="AL150" s="201">
        <f t="shared" si="753"/>
        <v>0</v>
      </c>
      <c r="AM150" s="201">
        <f t="shared" si="753"/>
        <v>0</v>
      </c>
      <c r="AN150" s="201">
        <f t="shared" si="753"/>
        <v>0</v>
      </c>
      <c r="AO150" s="201">
        <f t="shared" si="753"/>
        <v>0</v>
      </c>
      <c r="AP150" s="201">
        <f t="shared" si="753"/>
        <v>0</v>
      </c>
      <c r="AQ150" s="201">
        <f t="shared" si="753"/>
        <v>0</v>
      </c>
      <c r="AR150" s="200">
        <f t="shared" si="753"/>
        <v>0</v>
      </c>
      <c r="AS150" s="200">
        <f t="shared" si="753"/>
        <v>1</v>
      </c>
      <c r="AT150" s="173">
        <v>0.0</v>
      </c>
      <c r="AU150" s="200">
        <f t="shared" ref="AU150:AX150" si="754">countif($D150,"*"&amp;AU$2&amp;"*")</f>
        <v>0</v>
      </c>
      <c r="AV150" s="200">
        <f t="shared" si="754"/>
        <v>0</v>
      </c>
      <c r="AW150" s="200">
        <f t="shared" si="754"/>
        <v>0</v>
      </c>
      <c r="AX150" s="200">
        <f t="shared" si="754"/>
        <v>0</v>
      </c>
      <c r="AY150" s="202">
        <v>0.0</v>
      </c>
      <c r="AZ150" s="200"/>
      <c r="BA150" s="171" t="str">
        <f t="shared" si="18"/>
        <v/>
      </c>
      <c r="BB150" s="171" t="str">
        <f t="shared" si="19"/>
        <v/>
      </c>
      <c r="BC150" s="171" t="str">
        <f t="shared" si="20"/>
        <v/>
      </c>
      <c r="BD150" s="171" t="str">
        <f t="shared" si="21"/>
        <v/>
      </c>
      <c r="BE150" s="171" t="str">
        <f t="shared" si="22"/>
        <v>Others</v>
      </c>
      <c r="BF150" s="171" t="str">
        <f t="shared" si="23"/>
        <v>Others</v>
      </c>
    </row>
    <row r="151">
      <c r="A151" s="171">
        <f t="array" ref="A151">XLOOKUP(C151,ICSE!A:A,ICSE!C:C,,2,1)</f>
        <v>2022</v>
      </c>
      <c r="B151" s="171" t="s">
        <v>5675</v>
      </c>
      <c r="C151" s="160">
        <v>134.0</v>
      </c>
      <c r="D151" s="206" t="s">
        <v>5790</v>
      </c>
      <c r="E151" s="197" t="str">
        <f t="array" ref="E151">XLOOKUP(C151,ICSE!A:A,ICSE!Z:Z,,0,1)</f>
        <v>Publicly available (5)</v>
      </c>
      <c r="F151" s="198" t="s">
        <v>20</v>
      </c>
      <c r="G151" s="163" t="str">
        <f t="array" ref="G151">IF(B151="ICSE",IF(COUNTIFS(B:B,B151,C:C,C151)=XLOOKUP(C151,ICSE!A:A,ICSE!AA:AA,"ERROR",0,1),"OK","ERROR"),IF(B151="FSE",IF(COUNTIFS(B:B,B151,C:C,C151)=XLOOKUP(C151,FSE!A:A,FSE!AA:AA,"ERROR",0,1),"OK","ERROR")))</f>
        <v>OK</v>
      </c>
      <c r="H151" s="199">
        <f t="shared" ref="H151:O151" si="755">countif($D151,"*"&amp;H$2&amp;"*")</f>
        <v>0</v>
      </c>
      <c r="I151" s="200">
        <f t="shared" si="755"/>
        <v>0</v>
      </c>
      <c r="J151" s="200">
        <f t="shared" si="755"/>
        <v>0</v>
      </c>
      <c r="K151" s="200">
        <f t="shared" si="755"/>
        <v>0</v>
      </c>
      <c r="L151" s="200">
        <f t="shared" si="755"/>
        <v>0</v>
      </c>
      <c r="M151" s="200">
        <f t="shared" si="755"/>
        <v>0</v>
      </c>
      <c r="N151" s="200">
        <f t="shared" si="755"/>
        <v>0</v>
      </c>
      <c r="O151" s="200">
        <f t="shared" si="755"/>
        <v>0</v>
      </c>
      <c r="P151" s="200">
        <f t="shared" si="9"/>
        <v>0</v>
      </c>
      <c r="Q151" s="200">
        <f t="shared" ref="Q151:AC151" si="756">countif($D151,"*"&amp;Q$2&amp;"*")</f>
        <v>0</v>
      </c>
      <c r="R151" s="200">
        <f t="shared" si="756"/>
        <v>0</v>
      </c>
      <c r="S151" s="200">
        <f t="shared" si="756"/>
        <v>0</v>
      </c>
      <c r="T151" s="200">
        <f t="shared" si="756"/>
        <v>0</v>
      </c>
      <c r="U151" s="200">
        <f t="shared" si="756"/>
        <v>0</v>
      </c>
      <c r="V151" s="200">
        <f t="shared" si="756"/>
        <v>0</v>
      </c>
      <c r="W151" s="200">
        <f t="shared" si="756"/>
        <v>0</v>
      </c>
      <c r="X151" s="200">
        <f t="shared" si="756"/>
        <v>0</v>
      </c>
      <c r="Y151" s="200">
        <f t="shared" si="756"/>
        <v>0</v>
      </c>
      <c r="Z151" s="200">
        <f t="shared" si="756"/>
        <v>0</v>
      </c>
      <c r="AA151" s="200">
        <f t="shared" si="756"/>
        <v>0</v>
      </c>
      <c r="AB151" s="200">
        <f t="shared" si="756"/>
        <v>0</v>
      </c>
      <c r="AC151" s="200">
        <f t="shared" si="756"/>
        <v>0</v>
      </c>
      <c r="AD151" s="200">
        <f t="shared" si="11"/>
        <v>0</v>
      </c>
      <c r="AE151" s="200">
        <f t="shared" ref="AE151:AG151" si="757">countif($D151,"*"&amp;AE$2&amp;"*")</f>
        <v>0</v>
      </c>
      <c r="AF151" s="200">
        <f t="shared" si="757"/>
        <v>0</v>
      </c>
      <c r="AG151" s="200">
        <f t="shared" si="757"/>
        <v>0</v>
      </c>
      <c r="AH151" s="171">
        <f t="shared" si="13"/>
        <v>1</v>
      </c>
      <c r="AI151" s="200">
        <f t="shared" si="14"/>
        <v>0</v>
      </c>
      <c r="AJ151" s="200">
        <f t="shared" si="137"/>
        <v>0</v>
      </c>
      <c r="AK151" s="201">
        <f t="shared" ref="AK151:AS151" si="758">countif($D151,"*"&amp;AK$2&amp;"*")</f>
        <v>0</v>
      </c>
      <c r="AL151" s="201">
        <f t="shared" si="758"/>
        <v>0</v>
      </c>
      <c r="AM151" s="201">
        <f t="shared" si="758"/>
        <v>0</v>
      </c>
      <c r="AN151" s="201">
        <f t="shared" si="758"/>
        <v>0</v>
      </c>
      <c r="AO151" s="201">
        <f t="shared" si="758"/>
        <v>0</v>
      </c>
      <c r="AP151" s="201">
        <f t="shared" si="758"/>
        <v>0</v>
      </c>
      <c r="AQ151" s="201">
        <f t="shared" si="758"/>
        <v>0</v>
      </c>
      <c r="AR151" s="200">
        <f t="shared" si="758"/>
        <v>0</v>
      </c>
      <c r="AS151" s="200">
        <f t="shared" si="758"/>
        <v>1</v>
      </c>
      <c r="AT151" s="173">
        <v>0.0</v>
      </c>
      <c r="AU151" s="200">
        <f t="shared" ref="AU151:AX151" si="759">countif($D151,"*"&amp;AU$2&amp;"*")</f>
        <v>0</v>
      </c>
      <c r="AV151" s="200">
        <f t="shared" si="759"/>
        <v>0</v>
      </c>
      <c r="AW151" s="200">
        <f t="shared" si="759"/>
        <v>0</v>
      </c>
      <c r="AX151" s="200">
        <f t="shared" si="759"/>
        <v>0</v>
      </c>
      <c r="AY151" s="202">
        <v>0.0</v>
      </c>
      <c r="AZ151" s="200"/>
      <c r="BA151" s="171" t="str">
        <f t="shared" si="18"/>
        <v/>
      </c>
      <c r="BB151" s="171" t="str">
        <f t="shared" si="19"/>
        <v/>
      </c>
      <c r="BC151" s="171" t="str">
        <f t="shared" si="20"/>
        <v/>
      </c>
      <c r="BD151" s="171" t="str">
        <f t="shared" si="21"/>
        <v/>
      </c>
      <c r="BE151" s="171" t="str">
        <f t="shared" si="22"/>
        <v>Others</v>
      </c>
      <c r="BF151" s="171" t="str">
        <f t="shared" si="23"/>
        <v>Others</v>
      </c>
    </row>
    <row r="152">
      <c r="A152" s="171">
        <f t="array" ref="A152">XLOOKUP(C152,ICSE!A:A,ICSE!C:C,,2,1)</f>
        <v>2022</v>
      </c>
      <c r="B152" s="171" t="s">
        <v>5675</v>
      </c>
      <c r="C152" s="160">
        <v>135.0</v>
      </c>
      <c r="D152" s="161" t="s">
        <v>2627</v>
      </c>
      <c r="E152" s="197" t="str">
        <f t="array" ref="E152">XLOOKUP(C152,ICSE!A:A,ICSE!Z:Z,,0,1)</f>
        <v>Publicly available (1)</v>
      </c>
      <c r="F152" s="198" t="s">
        <v>20</v>
      </c>
      <c r="G152" s="163" t="str">
        <f t="array" ref="G152">IF(B152="ICSE",IF(COUNTIFS(B:B,B152,C:C,C152)=XLOOKUP(C152,ICSE!A:A,ICSE!AA:AA,"ERROR",0,1),"OK","ERROR"),IF(B152="FSE",IF(COUNTIFS(B:B,B152,C:C,C152)=XLOOKUP(C152,FSE!A:A,FSE!AA:AA,"ERROR",0,1),"OK","ERROR")))</f>
        <v>OK</v>
      </c>
      <c r="H152" s="199">
        <f t="shared" ref="H152:O152" si="760">countif($D152,"*"&amp;H$2&amp;"*")</f>
        <v>0</v>
      </c>
      <c r="I152" s="200">
        <f t="shared" si="760"/>
        <v>0</v>
      </c>
      <c r="J152" s="200">
        <f t="shared" si="760"/>
        <v>0</v>
      </c>
      <c r="K152" s="200">
        <f t="shared" si="760"/>
        <v>0</v>
      </c>
      <c r="L152" s="200">
        <f t="shared" si="760"/>
        <v>0</v>
      </c>
      <c r="M152" s="200">
        <f t="shared" si="760"/>
        <v>0</v>
      </c>
      <c r="N152" s="200">
        <f t="shared" si="760"/>
        <v>0</v>
      </c>
      <c r="O152" s="200">
        <f t="shared" si="760"/>
        <v>0</v>
      </c>
      <c r="P152" s="200">
        <f t="shared" si="9"/>
        <v>1</v>
      </c>
      <c r="Q152" s="200">
        <f t="shared" ref="Q152:AC152" si="761">countif($D152,"*"&amp;Q$2&amp;"*")</f>
        <v>0</v>
      </c>
      <c r="R152" s="200">
        <f t="shared" si="761"/>
        <v>0</v>
      </c>
      <c r="S152" s="200">
        <f t="shared" si="761"/>
        <v>0</v>
      </c>
      <c r="T152" s="200">
        <f t="shared" si="761"/>
        <v>0</v>
      </c>
      <c r="U152" s="200">
        <f t="shared" si="761"/>
        <v>0</v>
      </c>
      <c r="V152" s="200">
        <f t="shared" si="761"/>
        <v>0</v>
      </c>
      <c r="W152" s="200">
        <f t="shared" si="761"/>
        <v>0</v>
      </c>
      <c r="X152" s="200">
        <f t="shared" si="761"/>
        <v>0</v>
      </c>
      <c r="Y152" s="200">
        <f t="shared" si="761"/>
        <v>0</v>
      </c>
      <c r="Z152" s="200">
        <f t="shared" si="761"/>
        <v>0</v>
      </c>
      <c r="AA152" s="200">
        <f t="shared" si="761"/>
        <v>0</v>
      </c>
      <c r="AB152" s="200">
        <f t="shared" si="761"/>
        <v>0</v>
      </c>
      <c r="AC152" s="200">
        <f t="shared" si="761"/>
        <v>0</v>
      </c>
      <c r="AD152" s="200">
        <f t="shared" si="11"/>
        <v>0</v>
      </c>
      <c r="AE152" s="200">
        <f t="shared" ref="AE152:AG152" si="762">countif($D152,"*"&amp;AE$2&amp;"*")</f>
        <v>0</v>
      </c>
      <c r="AF152" s="200">
        <f t="shared" si="762"/>
        <v>0</v>
      </c>
      <c r="AG152" s="200">
        <f t="shared" si="762"/>
        <v>0</v>
      </c>
      <c r="AH152" s="171">
        <f t="shared" si="13"/>
        <v>0</v>
      </c>
      <c r="AI152" s="200">
        <f t="shared" si="14"/>
        <v>0</v>
      </c>
      <c r="AJ152" s="200">
        <f t="shared" si="137"/>
        <v>0</v>
      </c>
      <c r="AK152" s="201">
        <f t="shared" ref="AK152:AS152" si="763">countif($D152,"*"&amp;AK$2&amp;"*")</f>
        <v>0</v>
      </c>
      <c r="AL152" s="201">
        <f t="shared" si="763"/>
        <v>0</v>
      </c>
      <c r="AM152" s="201">
        <f t="shared" si="763"/>
        <v>0</v>
      </c>
      <c r="AN152" s="201">
        <f t="shared" si="763"/>
        <v>0</v>
      </c>
      <c r="AO152" s="201">
        <f t="shared" si="763"/>
        <v>0</v>
      </c>
      <c r="AP152" s="201">
        <f t="shared" si="763"/>
        <v>0</v>
      </c>
      <c r="AQ152" s="201">
        <f t="shared" si="763"/>
        <v>0</v>
      </c>
      <c r="AR152" s="200">
        <f t="shared" si="763"/>
        <v>0</v>
      </c>
      <c r="AS152" s="200">
        <f t="shared" si="763"/>
        <v>0</v>
      </c>
      <c r="AT152" s="173">
        <v>0.0</v>
      </c>
      <c r="AU152" s="200">
        <f t="shared" ref="AU152:AX152" si="764">countif($D152,"*"&amp;AU$2&amp;"*")</f>
        <v>0</v>
      </c>
      <c r="AV152" s="200">
        <f t="shared" si="764"/>
        <v>1</v>
      </c>
      <c r="AW152" s="200">
        <f t="shared" si="764"/>
        <v>0</v>
      </c>
      <c r="AX152" s="200">
        <f t="shared" si="764"/>
        <v>0</v>
      </c>
      <c r="AY152" s="202">
        <v>0.0</v>
      </c>
      <c r="AZ152" s="200"/>
      <c r="BA152" s="171" t="str">
        <f t="shared" si="18"/>
        <v/>
      </c>
      <c r="BB152" s="171" t="str">
        <f t="shared" si="19"/>
        <v>Code</v>
      </c>
      <c r="BC152" s="171" t="str">
        <f t="shared" si="20"/>
        <v/>
      </c>
      <c r="BD152" s="171" t="str">
        <f t="shared" si="21"/>
        <v/>
      </c>
      <c r="BE152" s="171" t="str">
        <f t="shared" si="22"/>
        <v/>
      </c>
      <c r="BF152" s="171" t="str">
        <f t="shared" si="23"/>
        <v>Code</v>
      </c>
    </row>
    <row r="153">
      <c r="A153" s="171">
        <f t="array" ref="A153">XLOOKUP(C153,ICSE!A:A,ICSE!C:C,,2,1)</f>
        <v>2022</v>
      </c>
      <c r="B153" s="171" t="s">
        <v>5675</v>
      </c>
      <c r="C153" s="160">
        <v>136.0</v>
      </c>
      <c r="D153" s="161" t="s">
        <v>2630</v>
      </c>
      <c r="E153" s="197" t="str">
        <f t="array" ref="E153">XLOOKUP(C153,ICSE!A:A,ICSE!Z:Z,,0,1)</f>
        <v>Publicly available (1)</v>
      </c>
      <c r="F153" s="198" t="s">
        <v>20</v>
      </c>
      <c r="G153" s="163" t="str">
        <f t="array" ref="G153">IF(B153="ICSE",IF(COUNTIFS(B:B,B153,C:C,C153)=XLOOKUP(C153,ICSE!A:A,ICSE!AA:AA,"ERROR",0,1),"OK","ERROR"),IF(B153="FSE",IF(COUNTIFS(B:B,B153,C:C,C153)=XLOOKUP(C153,FSE!A:A,FSE!AA:AA,"ERROR",0,1),"OK","ERROR")))</f>
        <v>OK</v>
      </c>
      <c r="H153" s="199">
        <f t="shared" ref="H153:O153" si="765">countif($D153,"*"&amp;H$2&amp;"*")</f>
        <v>0</v>
      </c>
      <c r="I153" s="200">
        <f t="shared" si="765"/>
        <v>0</v>
      </c>
      <c r="J153" s="200">
        <f t="shared" si="765"/>
        <v>0</v>
      </c>
      <c r="K153" s="200">
        <f t="shared" si="765"/>
        <v>0</v>
      </c>
      <c r="L153" s="200">
        <f t="shared" si="765"/>
        <v>0</v>
      </c>
      <c r="M153" s="200">
        <f t="shared" si="765"/>
        <v>0</v>
      </c>
      <c r="N153" s="200">
        <f t="shared" si="765"/>
        <v>0</v>
      </c>
      <c r="O153" s="200">
        <f t="shared" si="765"/>
        <v>0</v>
      </c>
      <c r="P153" s="200">
        <f t="shared" si="9"/>
        <v>1</v>
      </c>
      <c r="Q153" s="200">
        <f t="shared" ref="Q153:AC153" si="766">countif($D153,"*"&amp;Q$2&amp;"*")</f>
        <v>0</v>
      </c>
      <c r="R153" s="200">
        <f t="shared" si="766"/>
        <v>0</v>
      </c>
      <c r="S153" s="200">
        <f t="shared" si="766"/>
        <v>0</v>
      </c>
      <c r="T153" s="200">
        <f t="shared" si="766"/>
        <v>0</v>
      </c>
      <c r="U153" s="200">
        <f t="shared" si="766"/>
        <v>0</v>
      </c>
      <c r="V153" s="200">
        <f t="shared" si="766"/>
        <v>0</v>
      </c>
      <c r="W153" s="200">
        <f t="shared" si="766"/>
        <v>0</v>
      </c>
      <c r="X153" s="200">
        <f t="shared" si="766"/>
        <v>0</v>
      </c>
      <c r="Y153" s="200">
        <f t="shared" si="766"/>
        <v>0</v>
      </c>
      <c r="Z153" s="200">
        <f t="shared" si="766"/>
        <v>0</v>
      </c>
      <c r="AA153" s="200">
        <f t="shared" si="766"/>
        <v>0</v>
      </c>
      <c r="AB153" s="200">
        <f t="shared" si="766"/>
        <v>0</v>
      </c>
      <c r="AC153" s="200">
        <f t="shared" si="766"/>
        <v>0</v>
      </c>
      <c r="AD153" s="200">
        <f t="shared" si="11"/>
        <v>0</v>
      </c>
      <c r="AE153" s="200">
        <f t="shared" ref="AE153:AG153" si="767">countif($D153,"*"&amp;AE$2&amp;"*")</f>
        <v>0</v>
      </c>
      <c r="AF153" s="200">
        <f t="shared" si="767"/>
        <v>0</v>
      </c>
      <c r="AG153" s="200">
        <f t="shared" si="767"/>
        <v>0</v>
      </c>
      <c r="AH153" s="171">
        <f t="shared" si="13"/>
        <v>0</v>
      </c>
      <c r="AI153" s="200">
        <f t="shared" si="14"/>
        <v>0</v>
      </c>
      <c r="AJ153" s="200">
        <f t="shared" si="137"/>
        <v>0</v>
      </c>
      <c r="AK153" s="201">
        <f t="shared" ref="AK153:AS153" si="768">countif($D153,"*"&amp;AK$2&amp;"*")</f>
        <v>0</v>
      </c>
      <c r="AL153" s="201">
        <f t="shared" si="768"/>
        <v>0</v>
      </c>
      <c r="AM153" s="201">
        <f t="shared" si="768"/>
        <v>0</v>
      </c>
      <c r="AN153" s="201">
        <f t="shared" si="768"/>
        <v>0</v>
      </c>
      <c r="AO153" s="201">
        <f t="shared" si="768"/>
        <v>0</v>
      </c>
      <c r="AP153" s="201">
        <f t="shared" si="768"/>
        <v>0</v>
      </c>
      <c r="AQ153" s="201">
        <f t="shared" si="768"/>
        <v>0</v>
      </c>
      <c r="AR153" s="200">
        <f t="shared" si="768"/>
        <v>0</v>
      </c>
      <c r="AS153" s="200">
        <f t="shared" si="768"/>
        <v>0</v>
      </c>
      <c r="AT153" s="173">
        <v>0.0</v>
      </c>
      <c r="AU153" s="200">
        <f t="shared" ref="AU153:AX153" si="769">countif($D153,"*"&amp;AU$2&amp;"*")</f>
        <v>0</v>
      </c>
      <c r="AV153" s="200">
        <f t="shared" si="769"/>
        <v>1</v>
      </c>
      <c r="AW153" s="200">
        <f t="shared" si="769"/>
        <v>0</v>
      </c>
      <c r="AX153" s="200">
        <f t="shared" si="769"/>
        <v>0</v>
      </c>
      <c r="AY153" s="202">
        <v>0.0</v>
      </c>
      <c r="AZ153" s="200"/>
      <c r="BA153" s="171" t="str">
        <f t="shared" si="18"/>
        <v/>
      </c>
      <c r="BB153" s="171" t="str">
        <f t="shared" si="19"/>
        <v>Code</v>
      </c>
      <c r="BC153" s="171" t="str">
        <f t="shared" si="20"/>
        <v/>
      </c>
      <c r="BD153" s="171" t="str">
        <f t="shared" si="21"/>
        <v/>
      </c>
      <c r="BE153" s="171" t="str">
        <f t="shared" si="22"/>
        <v/>
      </c>
      <c r="BF153" s="171" t="str">
        <f t="shared" si="23"/>
        <v>Code</v>
      </c>
    </row>
    <row r="154">
      <c r="A154" s="171">
        <f t="array" ref="A154">XLOOKUP(C154,ICSE!A:A,ICSE!C:C,,2,1)</f>
        <v>2022</v>
      </c>
      <c r="B154" s="171" t="s">
        <v>5675</v>
      </c>
      <c r="C154" s="160">
        <v>137.0</v>
      </c>
      <c r="D154" s="161" t="s">
        <v>5791</v>
      </c>
      <c r="E154" s="197" t="str">
        <f t="array" ref="E154">XLOOKUP(C154,ICSE!A:A,ICSE!Z:Z,,0,1)</f>
        <v>Publicly available (2)</v>
      </c>
      <c r="F154" s="198" t="s">
        <v>20</v>
      </c>
      <c r="G154" s="163" t="str">
        <f t="array" ref="G154">IF(B154="ICSE",IF(COUNTIFS(B:B,B154,C:C,C154)=XLOOKUP(C154,ICSE!A:A,ICSE!AA:AA,"ERROR",0,1),"OK","ERROR"),IF(B154="FSE",IF(COUNTIFS(B:B,B154,C:C,C154)=XLOOKUP(C154,FSE!A:A,FSE!AA:AA,"ERROR",0,1),"OK","ERROR")))</f>
        <v>OK</v>
      </c>
      <c r="H154" s="199">
        <f t="shared" ref="H154:O154" si="770">countif($D154,"*"&amp;H$2&amp;"*")</f>
        <v>1</v>
      </c>
      <c r="I154" s="200">
        <f t="shared" si="770"/>
        <v>0</v>
      </c>
      <c r="J154" s="200">
        <f t="shared" si="770"/>
        <v>0</v>
      </c>
      <c r="K154" s="200">
        <f t="shared" si="770"/>
        <v>0</v>
      </c>
      <c r="L154" s="200">
        <f t="shared" si="770"/>
        <v>0</v>
      </c>
      <c r="M154" s="200">
        <f t="shared" si="770"/>
        <v>0</v>
      </c>
      <c r="N154" s="200">
        <f t="shared" si="770"/>
        <v>0</v>
      </c>
      <c r="O154" s="200">
        <f t="shared" si="770"/>
        <v>0</v>
      </c>
      <c r="P154" s="200">
        <f t="shared" si="9"/>
        <v>0</v>
      </c>
      <c r="Q154" s="200">
        <f t="shared" ref="Q154:AC154" si="771">countif($D154,"*"&amp;Q$2&amp;"*")</f>
        <v>0</v>
      </c>
      <c r="R154" s="200">
        <f t="shared" si="771"/>
        <v>0</v>
      </c>
      <c r="S154" s="200">
        <f t="shared" si="771"/>
        <v>0</v>
      </c>
      <c r="T154" s="200">
        <f t="shared" si="771"/>
        <v>0</v>
      </c>
      <c r="U154" s="200">
        <f t="shared" si="771"/>
        <v>0</v>
      </c>
      <c r="V154" s="200">
        <f t="shared" si="771"/>
        <v>0</v>
      </c>
      <c r="W154" s="200">
        <f t="shared" si="771"/>
        <v>0</v>
      </c>
      <c r="X154" s="200">
        <f t="shared" si="771"/>
        <v>0</v>
      </c>
      <c r="Y154" s="200">
        <f t="shared" si="771"/>
        <v>0</v>
      </c>
      <c r="Z154" s="200">
        <f t="shared" si="771"/>
        <v>0</v>
      </c>
      <c r="AA154" s="200">
        <f t="shared" si="771"/>
        <v>0</v>
      </c>
      <c r="AB154" s="200">
        <f t="shared" si="771"/>
        <v>0</v>
      </c>
      <c r="AC154" s="200">
        <f t="shared" si="771"/>
        <v>0</v>
      </c>
      <c r="AD154" s="200">
        <f t="shared" si="11"/>
        <v>0</v>
      </c>
      <c r="AE154" s="200">
        <f t="shared" ref="AE154:AG154" si="772">countif($D154,"*"&amp;AE$2&amp;"*")</f>
        <v>0</v>
      </c>
      <c r="AF154" s="200">
        <f t="shared" si="772"/>
        <v>0</v>
      </c>
      <c r="AG154" s="200">
        <f t="shared" si="772"/>
        <v>0</v>
      </c>
      <c r="AH154" s="171">
        <f t="shared" si="13"/>
        <v>0</v>
      </c>
      <c r="AI154" s="200">
        <f t="shared" si="14"/>
        <v>1</v>
      </c>
      <c r="AJ154" s="200">
        <f t="shared" si="137"/>
        <v>0</v>
      </c>
      <c r="AK154" s="201">
        <f t="shared" ref="AK154:AS154" si="773">countif($D154,"*"&amp;AK$2&amp;"*")</f>
        <v>0</v>
      </c>
      <c r="AL154" s="201">
        <f t="shared" si="773"/>
        <v>0</v>
      </c>
      <c r="AM154" s="201">
        <f t="shared" si="773"/>
        <v>0</v>
      </c>
      <c r="AN154" s="201">
        <f t="shared" si="773"/>
        <v>0</v>
      </c>
      <c r="AO154" s="201">
        <f t="shared" si="773"/>
        <v>0</v>
      </c>
      <c r="AP154" s="201">
        <f t="shared" si="773"/>
        <v>0</v>
      </c>
      <c r="AQ154" s="201">
        <f t="shared" si="773"/>
        <v>0</v>
      </c>
      <c r="AR154" s="200">
        <f t="shared" si="773"/>
        <v>0</v>
      </c>
      <c r="AS154" s="200">
        <f t="shared" si="773"/>
        <v>0</v>
      </c>
      <c r="AT154" s="173">
        <v>0.0</v>
      </c>
      <c r="AU154" s="200">
        <f t="shared" ref="AU154:AX154" si="774">countif($D154,"*"&amp;AU$2&amp;"*")</f>
        <v>0</v>
      </c>
      <c r="AV154" s="200">
        <f t="shared" si="774"/>
        <v>0</v>
      </c>
      <c r="AW154" s="200">
        <f t="shared" si="774"/>
        <v>0</v>
      </c>
      <c r="AX154" s="200">
        <f t="shared" si="774"/>
        <v>1</v>
      </c>
      <c r="AY154" s="202">
        <v>0.0</v>
      </c>
      <c r="AZ154" s="200"/>
      <c r="BA154" s="171" t="str">
        <f t="shared" si="18"/>
        <v>Archival</v>
      </c>
      <c r="BB154" s="171" t="str">
        <f t="shared" si="19"/>
        <v/>
      </c>
      <c r="BC154" s="171" t="str">
        <f t="shared" si="20"/>
        <v/>
      </c>
      <c r="BD154" s="171" t="str">
        <f t="shared" si="21"/>
        <v/>
      </c>
      <c r="BE154" s="171" t="str">
        <f t="shared" si="22"/>
        <v/>
      </c>
      <c r="BF154" s="171" t="str">
        <f t="shared" si="23"/>
        <v>Archival</v>
      </c>
    </row>
    <row r="155">
      <c r="A155" s="171">
        <f t="array" ref="A155">XLOOKUP(C155,ICSE!A:A,ICSE!C:C,,2,1)</f>
        <v>2022</v>
      </c>
      <c r="B155" s="171" t="s">
        <v>5675</v>
      </c>
      <c r="C155" s="160">
        <v>137.0</v>
      </c>
      <c r="D155" s="161" t="s">
        <v>5792</v>
      </c>
      <c r="E155" s="197" t="str">
        <f t="array" ref="E155">XLOOKUP(C155,ICSE!A:A,ICSE!Z:Z,,0,1)</f>
        <v>Publicly available (2)</v>
      </c>
      <c r="F155" s="198" t="s">
        <v>20</v>
      </c>
      <c r="G155" s="163" t="str">
        <f t="array" ref="G155">IF(B155="ICSE",IF(COUNTIFS(B:B,B155,C:C,C155)=XLOOKUP(C155,ICSE!A:A,ICSE!AA:AA,"ERROR",0,1),"OK","ERROR"),IF(B155="FSE",IF(COUNTIFS(B:B,B155,C:C,C155)=XLOOKUP(C155,FSE!A:A,FSE!AA:AA,"ERROR",0,1),"OK","ERROR")))</f>
        <v>OK</v>
      </c>
      <c r="H155" s="199">
        <f t="shared" ref="H155:O155" si="775">countif($D155,"*"&amp;H$2&amp;"*")</f>
        <v>0</v>
      </c>
      <c r="I155" s="200">
        <f t="shared" si="775"/>
        <v>0</v>
      </c>
      <c r="J155" s="200">
        <f t="shared" si="775"/>
        <v>0</v>
      </c>
      <c r="K155" s="200">
        <f t="shared" si="775"/>
        <v>0</v>
      </c>
      <c r="L155" s="200">
        <f t="shared" si="775"/>
        <v>0</v>
      </c>
      <c r="M155" s="200">
        <f t="shared" si="775"/>
        <v>0</v>
      </c>
      <c r="N155" s="200">
        <f t="shared" si="775"/>
        <v>0</v>
      </c>
      <c r="O155" s="200">
        <f t="shared" si="775"/>
        <v>0</v>
      </c>
      <c r="P155" s="200">
        <f t="shared" si="9"/>
        <v>1</v>
      </c>
      <c r="Q155" s="200">
        <f t="shared" ref="Q155:AC155" si="776">countif($D155,"*"&amp;Q$2&amp;"*")</f>
        <v>0</v>
      </c>
      <c r="R155" s="200">
        <f t="shared" si="776"/>
        <v>0</v>
      </c>
      <c r="S155" s="200">
        <f t="shared" si="776"/>
        <v>0</v>
      </c>
      <c r="T155" s="200">
        <f t="shared" si="776"/>
        <v>0</v>
      </c>
      <c r="U155" s="200">
        <f t="shared" si="776"/>
        <v>0</v>
      </c>
      <c r="V155" s="200">
        <f t="shared" si="776"/>
        <v>0</v>
      </c>
      <c r="W155" s="200">
        <f t="shared" si="776"/>
        <v>0</v>
      </c>
      <c r="X155" s="200">
        <f t="shared" si="776"/>
        <v>0</v>
      </c>
      <c r="Y155" s="200">
        <f t="shared" si="776"/>
        <v>0</v>
      </c>
      <c r="Z155" s="200">
        <f t="shared" si="776"/>
        <v>0</v>
      </c>
      <c r="AA155" s="200">
        <f t="shared" si="776"/>
        <v>0</v>
      </c>
      <c r="AB155" s="200">
        <f t="shared" si="776"/>
        <v>0</v>
      </c>
      <c r="AC155" s="200">
        <f t="shared" si="776"/>
        <v>0</v>
      </c>
      <c r="AD155" s="200">
        <f t="shared" si="11"/>
        <v>0</v>
      </c>
      <c r="AE155" s="200">
        <f t="shared" ref="AE155:AG155" si="777">countif($D155,"*"&amp;AE$2&amp;"*")</f>
        <v>0</v>
      </c>
      <c r="AF155" s="200">
        <f t="shared" si="777"/>
        <v>0</v>
      </c>
      <c r="AG155" s="200">
        <f t="shared" si="777"/>
        <v>0</v>
      </c>
      <c r="AH155" s="171">
        <f t="shared" si="13"/>
        <v>0</v>
      </c>
      <c r="AI155" s="200">
        <f t="shared" si="14"/>
        <v>0</v>
      </c>
      <c r="AJ155" s="200">
        <f t="shared" si="137"/>
        <v>0</v>
      </c>
      <c r="AK155" s="201">
        <f t="shared" ref="AK155:AS155" si="778">countif($D155,"*"&amp;AK$2&amp;"*")</f>
        <v>0</v>
      </c>
      <c r="AL155" s="201">
        <f t="shared" si="778"/>
        <v>0</v>
      </c>
      <c r="AM155" s="201">
        <f t="shared" si="778"/>
        <v>0</v>
      </c>
      <c r="AN155" s="201">
        <f t="shared" si="778"/>
        <v>0</v>
      </c>
      <c r="AO155" s="201">
        <f t="shared" si="778"/>
        <v>0</v>
      </c>
      <c r="AP155" s="201">
        <f t="shared" si="778"/>
        <v>0</v>
      </c>
      <c r="AQ155" s="201">
        <f t="shared" si="778"/>
        <v>0</v>
      </c>
      <c r="AR155" s="200">
        <f t="shared" si="778"/>
        <v>0</v>
      </c>
      <c r="AS155" s="200">
        <f t="shared" si="778"/>
        <v>0</v>
      </c>
      <c r="AT155" s="173">
        <v>0.0</v>
      </c>
      <c r="AU155" s="200">
        <f t="shared" ref="AU155:AX155" si="779">countif($D155,"*"&amp;AU$2&amp;"*")</f>
        <v>0</v>
      </c>
      <c r="AV155" s="200">
        <f t="shared" si="779"/>
        <v>1</v>
      </c>
      <c r="AW155" s="200">
        <f t="shared" si="779"/>
        <v>0</v>
      </c>
      <c r="AX155" s="200">
        <f t="shared" si="779"/>
        <v>0</v>
      </c>
      <c r="AY155" s="202">
        <v>0.0</v>
      </c>
      <c r="AZ155" s="200"/>
      <c r="BA155" s="171" t="str">
        <f t="shared" si="18"/>
        <v/>
      </c>
      <c r="BB155" s="171" t="str">
        <f t="shared" si="19"/>
        <v>Code</v>
      </c>
      <c r="BC155" s="171" t="str">
        <f t="shared" si="20"/>
        <v/>
      </c>
      <c r="BD155" s="171" t="str">
        <f t="shared" si="21"/>
        <v/>
      </c>
      <c r="BE155" s="171" t="str">
        <f t="shared" si="22"/>
        <v/>
      </c>
      <c r="BF155" s="171" t="str">
        <f t="shared" si="23"/>
        <v>Code</v>
      </c>
    </row>
    <row r="156">
      <c r="A156" s="171">
        <f t="array" ref="A156">XLOOKUP(C156,ICSE!A:A,ICSE!C:C,,2,1)</f>
        <v>2022</v>
      </c>
      <c r="B156" s="171" t="s">
        <v>5675</v>
      </c>
      <c r="C156" s="160">
        <v>138.0</v>
      </c>
      <c r="D156" s="161" t="s">
        <v>2636</v>
      </c>
      <c r="E156" s="197" t="str">
        <f t="array" ref="E156">XLOOKUP(C156,ICSE!A:A,ICSE!Z:Z,,0,1)</f>
        <v>Publicly available (1)</v>
      </c>
      <c r="F156" s="198" t="s">
        <v>20</v>
      </c>
      <c r="G156" s="163" t="str">
        <f t="array" ref="G156">IF(B156="ICSE",IF(COUNTIFS(B:B,B156,C:C,C156)=XLOOKUP(C156,ICSE!A:A,ICSE!AA:AA,"ERROR",0,1),"OK","ERROR"),IF(B156="FSE",IF(COUNTIFS(B:B,B156,C:C,C156)=XLOOKUP(C156,FSE!A:A,FSE!AA:AA,"ERROR",0,1),"OK","ERROR")))</f>
        <v>OK</v>
      </c>
      <c r="H156" s="199">
        <f t="shared" ref="H156:O156" si="780">countif($D156,"*"&amp;H$2&amp;"*")</f>
        <v>0</v>
      </c>
      <c r="I156" s="200">
        <f t="shared" si="780"/>
        <v>0</v>
      </c>
      <c r="J156" s="200">
        <f t="shared" si="780"/>
        <v>0</v>
      </c>
      <c r="K156" s="200">
        <f t="shared" si="780"/>
        <v>0</v>
      </c>
      <c r="L156" s="200">
        <f t="shared" si="780"/>
        <v>0</v>
      </c>
      <c r="M156" s="200">
        <f t="shared" si="780"/>
        <v>0</v>
      </c>
      <c r="N156" s="200">
        <f t="shared" si="780"/>
        <v>0</v>
      </c>
      <c r="O156" s="200">
        <f t="shared" si="780"/>
        <v>0</v>
      </c>
      <c r="P156" s="200">
        <f t="shared" si="9"/>
        <v>1</v>
      </c>
      <c r="Q156" s="200">
        <f t="shared" ref="Q156:AC156" si="781">countif($D156,"*"&amp;Q$2&amp;"*")</f>
        <v>0</v>
      </c>
      <c r="R156" s="200">
        <f t="shared" si="781"/>
        <v>0</v>
      </c>
      <c r="S156" s="200">
        <f t="shared" si="781"/>
        <v>0</v>
      </c>
      <c r="T156" s="200">
        <f t="shared" si="781"/>
        <v>0</v>
      </c>
      <c r="U156" s="200">
        <f t="shared" si="781"/>
        <v>0</v>
      </c>
      <c r="V156" s="200">
        <f t="shared" si="781"/>
        <v>0</v>
      </c>
      <c r="W156" s="200">
        <f t="shared" si="781"/>
        <v>0</v>
      </c>
      <c r="X156" s="200">
        <f t="shared" si="781"/>
        <v>0</v>
      </c>
      <c r="Y156" s="200">
        <f t="shared" si="781"/>
        <v>0</v>
      </c>
      <c r="Z156" s="200">
        <f t="shared" si="781"/>
        <v>0</v>
      </c>
      <c r="AA156" s="200">
        <f t="shared" si="781"/>
        <v>0</v>
      </c>
      <c r="AB156" s="200">
        <f t="shared" si="781"/>
        <v>0</v>
      </c>
      <c r="AC156" s="200">
        <f t="shared" si="781"/>
        <v>0</v>
      </c>
      <c r="AD156" s="200">
        <f t="shared" si="11"/>
        <v>0</v>
      </c>
      <c r="AE156" s="200">
        <f t="shared" ref="AE156:AG156" si="782">countif($D156,"*"&amp;AE$2&amp;"*")</f>
        <v>0</v>
      </c>
      <c r="AF156" s="200">
        <f t="shared" si="782"/>
        <v>0</v>
      </c>
      <c r="AG156" s="200">
        <f t="shared" si="782"/>
        <v>0</v>
      </c>
      <c r="AH156" s="171">
        <f t="shared" si="13"/>
        <v>0</v>
      </c>
      <c r="AI156" s="200">
        <f t="shared" si="14"/>
        <v>0</v>
      </c>
      <c r="AJ156" s="200">
        <f t="shared" si="137"/>
        <v>0</v>
      </c>
      <c r="AK156" s="201">
        <f t="shared" ref="AK156:AS156" si="783">countif($D156,"*"&amp;AK$2&amp;"*")</f>
        <v>0</v>
      </c>
      <c r="AL156" s="201">
        <f t="shared" si="783"/>
        <v>0</v>
      </c>
      <c r="AM156" s="201">
        <f t="shared" si="783"/>
        <v>0</v>
      </c>
      <c r="AN156" s="201">
        <f t="shared" si="783"/>
        <v>0</v>
      </c>
      <c r="AO156" s="201">
        <f t="shared" si="783"/>
        <v>0</v>
      </c>
      <c r="AP156" s="201">
        <f t="shared" si="783"/>
        <v>0</v>
      </c>
      <c r="AQ156" s="201">
        <f t="shared" si="783"/>
        <v>0</v>
      </c>
      <c r="AR156" s="200">
        <f t="shared" si="783"/>
        <v>0</v>
      </c>
      <c r="AS156" s="200">
        <f t="shared" si="783"/>
        <v>0</v>
      </c>
      <c r="AT156" s="173">
        <v>0.0</v>
      </c>
      <c r="AU156" s="200">
        <f t="shared" ref="AU156:AX156" si="784">countif($D156,"*"&amp;AU$2&amp;"*")</f>
        <v>0</v>
      </c>
      <c r="AV156" s="200">
        <f t="shared" si="784"/>
        <v>1</v>
      </c>
      <c r="AW156" s="200">
        <f t="shared" si="784"/>
        <v>0</v>
      </c>
      <c r="AX156" s="200">
        <f t="shared" si="784"/>
        <v>0</v>
      </c>
      <c r="AY156" s="202">
        <v>0.0</v>
      </c>
      <c r="AZ156" s="200"/>
      <c r="BA156" s="171" t="str">
        <f t="shared" si="18"/>
        <v/>
      </c>
      <c r="BB156" s="171" t="str">
        <f t="shared" si="19"/>
        <v>Code</v>
      </c>
      <c r="BC156" s="171" t="str">
        <f t="shared" si="20"/>
        <v/>
      </c>
      <c r="BD156" s="171" t="str">
        <f t="shared" si="21"/>
        <v/>
      </c>
      <c r="BE156" s="171" t="str">
        <f t="shared" si="22"/>
        <v/>
      </c>
      <c r="BF156" s="171" t="str">
        <f t="shared" si="23"/>
        <v>Code</v>
      </c>
    </row>
    <row r="157">
      <c r="A157" s="171">
        <f t="array" ref="A157">XLOOKUP(C157,ICSE!A:A,ICSE!C:C,,2,1)</f>
        <v>2022</v>
      </c>
      <c r="B157" s="171" t="s">
        <v>5675</v>
      </c>
      <c r="C157" s="160">
        <v>139.0</v>
      </c>
      <c r="D157" s="161" t="s">
        <v>2639</v>
      </c>
      <c r="E157" s="197" t="str">
        <f t="array" ref="E157">XLOOKUP(C157,ICSE!A:A,ICSE!Z:Z,,0,1)</f>
        <v>Publicly available (1)</v>
      </c>
      <c r="F157" s="198" t="s">
        <v>20</v>
      </c>
      <c r="G157" s="163" t="str">
        <f t="array" ref="G157">IF(B157="ICSE",IF(COUNTIFS(B:B,B157,C:C,C157)=XLOOKUP(C157,ICSE!A:A,ICSE!AA:AA,"ERROR",0,1),"OK","ERROR"),IF(B157="FSE",IF(COUNTIFS(B:B,B157,C:C,C157)=XLOOKUP(C157,FSE!A:A,FSE!AA:AA,"ERROR",0,1),"OK","ERROR")))</f>
        <v>OK</v>
      </c>
      <c r="H157" s="199">
        <f t="shared" ref="H157:O157" si="785">countif($D157,"*"&amp;H$2&amp;"*")</f>
        <v>1</v>
      </c>
      <c r="I157" s="200">
        <f t="shared" si="785"/>
        <v>0</v>
      </c>
      <c r="J157" s="200">
        <f t="shared" si="785"/>
        <v>0</v>
      </c>
      <c r="K157" s="200">
        <f t="shared" si="785"/>
        <v>0</v>
      </c>
      <c r="L157" s="200">
        <f t="shared" si="785"/>
        <v>0</v>
      </c>
      <c r="M157" s="200">
        <f t="shared" si="785"/>
        <v>0</v>
      </c>
      <c r="N157" s="200">
        <f t="shared" si="785"/>
        <v>0</v>
      </c>
      <c r="O157" s="200">
        <f t="shared" si="785"/>
        <v>0</v>
      </c>
      <c r="P157" s="200">
        <f t="shared" si="9"/>
        <v>0</v>
      </c>
      <c r="Q157" s="200">
        <f t="shared" ref="Q157:AC157" si="786">countif($D157,"*"&amp;Q$2&amp;"*")</f>
        <v>0</v>
      </c>
      <c r="R157" s="200">
        <f t="shared" si="786"/>
        <v>0</v>
      </c>
      <c r="S157" s="200">
        <f t="shared" si="786"/>
        <v>0</v>
      </c>
      <c r="T157" s="200">
        <f t="shared" si="786"/>
        <v>0</v>
      </c>
      <c r="U157" s="200">
        <f t="shared" si="786"/>
        <v>0</v>
      </c>
      <c r="V157" s="200">
        <f t="shared" si="786"/>
        <v>0</v>
      </c>
      <c r="W157" s="200">
        <f t="shared" si="786"/>
        <v>0</v>
      </c>
      <c r="X157" s="200">
        <f t="shared" si="786"/>
        <v>0</v>
      </c>
      <c r="Y157" s="200">
        <f t="shared" si="786"/>
        <v>0</v>
      </c>
      <c r="Z157" s="200">
        <f t="shared" si="786"/>
        <v>0</v>
      </c>
      <c r="AA157" s="200">
        <f t="shared" si="786"/>
        <v>0</v>
      </c>
      <c r="AB157" s="200">
        <f t="shared" si="786"/>
        <v>0</v>
      </c>
      <c r="AC157" s="200">
        <f t="shared" si="786"/>
        <v>0</v>
      </c>
      <c r="AD157" s="200">
        <f t="shared" si="11"/>
        <v>0</v>
      </c>
      <c r="AE157" s="200">
        <f t="shared" ref="AE157:AG157" si="787">countif($D157,"*"&amp;AE$2&amp;"*")</f>
        <v>0</v>
      </c>
      <c r="AF157" s="200">
        <f t="shared" si="787"/>
        <v>0</v>
      </c>
      <c r="AG157" s="200">
        <f t="shared" si="787"/>
        <v>0</v>
      </c>
      <c r="AH157" s="171">
        <f t="shared" si="13"/>
        <v>0</v>
      </c>
      <c r="AI157" s="200">
        <f t="shared" si="14"/>
        <v>1</v>
      </c>
      <c r="AJ157" s="200">
        <f t="shared" si="137"/>
        <v>0</v>
      </c>
      <c r="AK157" s="201">
        <f t="shared" ref="AK157:AS157" si="788">countif($D157,"*"&amp;AK$2&amp;"*")</f>
        <v>0</v>
      </c>
      <c r="AL157" s="201">
        <f t="shared" si="788"/>
        <v>0</v>
      </c>
      <c r="AM157" s="201">
        <f t="shared" si="788"/>
        <v>0</v>
      </c>
      <c r="AN157" s="201">
        <f t="shared" si="788"/>
        <v>0</v>
      </c>
      <c r="AO157" s="201">
        <f t="shared" si="788"/>
        <v>0</v>
      </c>
      <c r="AP157" s="201">
        <f t="shared" si="788"/>
        <v>0</v>
      </c>
      <c r="AQ157" s="201">
        <f t="shared" si="788"/>
        <v>0</v>
      </c>
      <c r="AR157" s="200">
        <f t="shared" si="788"/>
        <v>0</v>
      </c>
      <c r="AS157" s="200">
        <f t="shared" si="788"/>
        <v>0</v>
      </c>
      <c r="AT157" s="173">
        <v>0.0</v>
      </c>
      <c r="AU157" s="200">
        <f t="shared" ref="AU157:AX157" si="789">countif($D157,"*"&amp;AU$2&amp;"*")</f>
        <v>0</v>
      </c>
      <c r="AV157" s="200">
        <f t="shared" si="789"/>
        <v>0</v>
      </c>
      <c r="AW157" s="200">
        <f t="shared" si="789"/>
        <v>0</v>
      </c>
      <c r="AX157" s="200">
        <f t="shared" si="789"/>
        <v>0</v>
      </c>
      <c r="AY157" s="204">
        <v>1.0</v>
      </c>
      <c r="AZ157" s="200"/>
      <c r="BA157" s="171" t="str">
        <f t="shared" si="18"/>
        <v>Archival</v>
      </c>
      <c r="BB157" s="171" t="str">
        <f t="shared" si="19"/>
        <v/>
      </c>
      <c r="BC157" s="171" t="str">
        <f t="shared" si="20"/>
        <v/>
      </c>
      <c r="BD157" s="171" t="str">
        <f t="shared" si="21"/>
        <v/>
      </c>
      <c r="BE157" s="171" t="str">
        <f t="shared" si="22"/>
        <v/>
      </c>
      <c r="BF157" s="171" t="str">
        <f t="shared" si="23"/>
        <v>Archival</v>
      </c>
    </row>
    <row r="158">
      <c r="A158" s="171">
        <f t="array" ref="A158">XLOOKUP(C158,ICSE!A:A,ICSE!C:C,,2,1)</f>
        <v>2022</v>
      </c>
      <c r="B158" s="171" t="s">
        <v>5675</v>
      </c>
      <c r="C158" s="160">
        <v>140.0</v>
      </c>
      <c r="D158" s="161" t="s">
        <v>2642</v>
      </c>
      <c r="E158" s="197" t="str">
        <f t="array" ref="E158">XLOOKUP(C158,ICSE!A:A,ICSE!Z:Z,,0,1)</f>
        <v>Publicly available (1)</v>
      </c>
      <c r="F158" s="198" t="s">
        <v>20</v>
      </c>
      <c r="G158" s="163" t="str">
        <f t="array" ref="G158">IF(B158="ICSE",IF(COUNTIFS(B:B,B158,C:C,C158)=XLOOKUP(C158,ICSE!A:A,ICSE!AA:AA,"ERROR",0,1),"OK","ERROR"),IF(B158="FSE",IF(COUNTIFS(B:B,B158,C:C,C158)=XLOOKUP(C158,FSE!A:A,FSE!AA:AA,"ERROR",0,1),"OK","ERROR")))</f>
        <v>OK</v>
      </c>
      <c r="H158" s="199">
        <f t="shared" ref="H158:O158" si="790">countif($D158,"*"&amp;H$2&amp;"*")</f>
        <v>0</v>
      </c>
      <c r="I158" s="200">
        <f t="shared" si="790"/>
        <v>0</v>
      </c>
      <c r="J158" s="200">
        <f t="shared" si="790"/>
        <v>0</v>
      </c>
      <c r="K158" s="200">
        <f t="shared" si="790"/>
        <v>0</v>
      </c>
      <c r="L158" s="200">
        <f t="shared" si="790"/>
        <v>0</v>
      </c>
      <c r="M158" s="200">
        <f t="shared" si="790"/>
        <v>0</v>
      </c>
      <c r="N158" s="200">
        <f t="shared" si="790"/>
        <v>0</v>
      </c>
      <c r="O158" s="200">
        <f t="shared" si="790"/>
        <v>0</v>
      </c>
      <c r="P158" s="200">
        <f t="shared" si="9"/>
        <v>1</v>
      </c>
      <c r="Q158" s="200">
        <f t="shared" ref="Q158:AC158" si="791">countif($D158,"*"&amp;Q$2&amp;"*")</f>
        <v>0</v>
      </c>
      <c r="R158" s="200">
        <f t="shared" si="791"/>
        <v>0</v>
      </c>
      <c r="S158" s="200">
        <f t="shared" si="791"/>
        <v>0</v>
      </c>
      <c r="T158" s="200">
        <f t="shared" si="791"/>
        <v>0</v>
      </c>
      <c r="U158" s="200">
        <f t="shared" si="791"/>
        <v>0</v>
      </c>
      <c r="V158" s="200">
        <f t="shared" si="791"/>
        <v>0</v>
      </c>
      <c r="W158" s="200">
        <f t="shared" si="791"/>
        <v>0</v>
      </c>
      <c r="X158" s="200">
        <f t="shared" si="791"/>
        <v>0</v>
      </c>
      <c r="Y158" s="200">
        <f t="shared" si="791"/>
        <v>0</v>
      </c>
      <c r="Z158" s="200">
        <f t="shared" si="791"/>
        <v>0</v>
      </c>
      <c r="AA158" s="200">
        <f t="shared" si="791"/>
        <v>0</v>
      </c>
      <c r="AB158" s="200">
        <f t="shared" si="791"/>
        <v>0</v>
      </c>
      <c r="AC158" s="200">
        <f t="shared" si="791"/>
        <v>0</v>
      </c>
      <c r="AD158" s="200">
        <f t="shared" si="11"/>
        <v>0</v>
      </c>
      <c r="AE158" s="200">
        <f t="shared" ref="AE158:AG158" si="792">countif($D158,"*"&amp;AE$2&amp;"*")</f>
        <v>0</v>
      </c>
      <c r="AF158" s="200">
        <f t="shared" si="792"/>
        <v>0</v>
      </c>
      <c r="AG158" s="200">
        <f t="shared" si="792"/>
        <v>0</v>
      </c>
      <c r="AH158" s="171">
        <f t="shared" si="13"/>
        <v>0</v>
      </c>
      <c r="AI158" s="200">
        <f t="shared" si="14"/>
        <v>0</v>
      </c>
      <c r="AJ158" s="200">
        <f t="shared" si="137"/>
        <v>0</v>
      </c>
      <c r="AK158" s="201">
        <f t="shared" ref="AK158:AS158" si="793">countif($D158,"*"&amp;AK$2&amp;"*")</f>
        <v>0</v>
      </c>
      <c r="AL158" s="201">
        <f t="shared" si="793"/>
        <v>0</v>
      </c>
      <c r="AM158" s="201">
        <f t="shared" si="793"/>
        <v>0</v>
      </c>
      <c r="AN158" s="201">
        <f t="shared" si="793"/>
        <v>0</v>
      </c>
      <c r="AO158" s="201">
        <f t="shared" si="793"/>
        <v>0</v>
      </c>
      <c r="AP158" s="201">
        <f t="shared" si="793"/>
        <v>0</v>
      </c>
      <c r="AQ158" s="201">
        <f t="shared" si="793"/>
        <v>0</v>
      </c>
      <c r="AR158" s="200">
        <f t="shared" si="793"/>
        <v>0</v>
      </c>
      <c r="AS158" s="200">
        <f t="shared" si="793"/>
        <v>0</v>
      </c>
      <c r="AT158" s="173">
        <v>0.0</v>
      </c>
      <c r="AU158" s="200">
        <f t="shared" ref="AU158:AX158" si="794">countif($D158,"*"&amp;AU$2&amp;"*")</f>
        <v>0</v>
      </c>
      <c r="AV158" s="200">
        <f t="shared" si="794"/>
        <v>1</v>
      </c>
      <c r="AW158" s="200">
        <f t="shared" si="794"/>
        <v>0</v>
      </c>
      <c r="AX158" s="200">
        <f t="shared" si="794"/>
        <v>0</v>
      </c>
      <c r="AY158" s="202">
        <v>0.0</v>
      </c>
      <c r="AZ158" s="200"/>
      <c r="BA158" s="171" t="str">
        <f t="shared" si="18"/>
        <v/>
      </c>
      <c r="BB158" s="171" t="str">
        <f t="shared" si="19"/>
        <v>Code</v>
      </c>
      <c r="BC158" s="171" t="str">
        <f t="shared" si="20"/>
        <v/>
      </c>
      <c r="BD158" s="171" t="str">
        <f t="shared" si="21"/>
        <v/>
      </c>
      <c r="BE158" s="171" t="str">
        <f t="shared" si="22"/>
        <v/>
      </c>
      <c r="BF158" s="171" t="str">
        <f t="shared" si="23"/>
        <v>Code</v>
      </c>
    </row>
    <row r="159">
      <c r="A159" s="171">
        <f t="array" ref="A159">XLOOKUP(C159,ICSE!A:A,ICSE!C:C,,2,1)</f>
        <v>2022</v>
      </c>
      <c r="B159" s="171" t="s">
        <v>5675</v>
      </c>
      <c r="C159" s="160">
        <v>141.0</v>
      </c>
      <c r="D159" s="161" t="s">
        <v>2645</v>
      </c>
      <c r="E159" s="197" t="str">
        <f t="array" ref="E159">XLOOKUP(C159,ICSE!A:A,ICSE!Z:Z,,0,1)</f>
        <v>Publicly available (1)</v>
      </c>
      <c r="F159" s="198" t="s">
        <v>20</v>
      </c>
      <c r="G159" s="163" t="str">
        <f t="array" ref="G159">IF(B159="ICSE",IF(COUNTIFS(B:B,B159,C:C,C159)=XLOOKUP(C159,ICSE!A:A,ICSE!AA:AA,"ERROR",0,1),"OK","ERROR"),IF(B159="FSE",IF(COUNTIFS(B:B,B159,C:C,C159)=XLOOKUP(C159,FSE!A:A,FSE!AA:AA,"ERROR",0,1),"OK","ERROR")))</f>
        <v>OK</v>
      </c>
      <c r="H159" s="199">
        <f t="shared" ref="H159:O159" si="795">countif($D159,"*"&amp;H$2&amp;"*")</f>
        <v>0</v>
      </c>
      <c r="I159" s="200">
        <f t="shared" si="795"/>
        <v>0</v>
      </c>
      <c r="J159" s="200">
        <f t="shared" si="795"/>
        <v>0</v>
      </c>
      <c r="K159" s="200">
        <f t="shared" si="795"/>
        <v>0</v>
      </c>
      <c r="L159" s="200">
        <f t="shared" si="795"/>
        <v>0</v>
      </c>
      <c r="M159" s="200">
        <f t="shared" si="795"/>
        <v>0</v>
      </c>
      <c r="N159" s="200">
        <f t="shared" si="795"/>
        <v>0</v>
      </c>
      <c r="O159" s="200">
        <f t="shared" si="795"/>
        <v>0</v>
      </c>
      <c r="P159" s="200">
        <f t="shared" si="9"/>
        <v>0</v>
      </c>
      <c r="Q159" s="200">
        <f t="shared" ref="Q159:AC159" si="796">countif($D159,"*"&amp;Q$2&amp;"*")</f>
        <v>0</v>
      </c>
      <c r="R159" s="200">
        <f t="shared" si="796"/>
        <v>0</v>
      </c>
      <c r="S159" s="200">
        <f t="shared" si="796"/>
        <v>0</v>
      </c>
      <c r="T159" s="200">
        <f t="shared" si="796"/>
        <v>0</v>
      </c>
      <c r="U159" s="200">
        <f t="shared" si="796"/>
        <v>0</v>
      </c>
      <c r="V159" s="200">
        <f t="shared" si="796"/>
        <v>0</v>
      </c>
      <c r="W159" s="200">
        <f t="shared" si="796"/>
        <v>0</v>
      </c>
      <c r="X159" s="200">
        <f t="shared" si="796"/>
        <v>0</v>
      </c>
      <c r="Y159" s="200">
        <f t="shared" si="796"/>
        <v>0</v>
      </c>
      <c r="Z159" s="200">
        <f t="shared" si="796"/>
        <v>0</v>
      </c>
      <c r="AA159" s="200">
        <f t="shared" si="796"/>
        <v>1</v>
      </c>
      <c r="AB159" s="200">
        <f t="shared" si="796"/>
        <v>0</v>
      </c>
      <c r="AC159" s="200">
        <f t="shared" si="796"/>
        <v>0</v>
      </c>
      <c r="AD159" s="200">
        <f t="shared" si="11"/>
        <v>0</v>
      </c>
      <c r="AE159" s="200">
        <f t="shared" ref="AE159:AG159" si="797">countif($D159,"*"&amp;AE$2&amp;"*")</f>
        <v>0</v>
      </c>
      <c r="AF159" s="200">
        <f t="shared" si="797"/>
        <v>0</v>
      </c>
      <c r="AG159" s="200">
        <f t="shared" si="797"/>
        <v>0</v>
      </c>
      <c r="AH159" s="171">
        <f t="shared" si="13"/>
        <v>0</v>
      </c>
      <c r="AI159" s="200">
        <f t="shared" si="14"/>
        <v>0</v>
      </c>
      <c r="AJ159" s="200">
        <f t="shared" si="137"/>
        <v>0</v>
      </c>
      <c r="AK159" s="201">
        <f t="shared" ref="AK159:AS159" si="798">countif($D159,"*"&amp;AK$2&amp;"*")</f>
        <v>0</v>
      </c>
      <c r="AL159" s="201">
        <f t="shared" si="798"/>
        <v>0</v>
      </c>
      <c r="AM159" s="201">
        <f t="shared" si="798"/>
        <v>0</v>
      </c>
      <c r="AN159" s="201">
        <f t="shared" si="798"/>
        <v>0</v>
      </c>
      <c r="AO159" s="201">
        <f t="shared" si="798"/>
        <v>0</v>
      </c>
      <c r="AP159" s="201">
        <f t="shared" si="798"/>
        <v>0</v>
      </c>
      <c r="AQ159" s="201">
        <f t="shared" si="798"/>
        <v>0</v>
      </c>
      <c r="AR159" s="200">
        <f t="shared" si="798"/>
        <v>0</v>
      </c>
      <c r="AS159" s="200">
        <f t="shared" si="798"/>
        <v>0</v>
      </c>
      <c r="AT159" s="173">
        <v>0.0</v>
      </c>
      <c r="AU159" s="200">
        <f t="shared" ref="AU159:AX159" si="799">countif($D159,"*"&amp;AU$2&amp;"*")</f>
        <v>0</v>
      </c>
      <c r="AV159" s="200">
        <f t="shared" si="799"/>
        <v>0</v>
      </c>
      <c r="AW159" s="200">
        <f t="shared" si="799"/>
        <v>0</v>
      </c>
      <c r="AX159" s="200">
        <f t="shared" si="799"/>
        <v>0</v>
      </c>
      <c r="AY159" s="202">
        <v>0.0</v>
      </c>
      <c r="AZ159" s="200"/>
      <c r="BA159" s="171" t="str">
        <f t="shared" si="18"/>
        <v/>
      </c>
      <c r="BB159" s="171" t="str">
        <f t="shared" si="19"/>
        <v/>
      </c>
      <c r="BC159" s="171" t="str">
        <f t="shared" si="20"/>
        <v>General-purpose</v>
      </c>
      <c r="BD159" s="171" t="str">
        <f t="shared" si="21"/>
        <v/>
      </c>
      <c r="BE159" s="171" t="str">
        <f t="shared" si="22"/>
        <v/>
      </c>
      <c r="BF159" s="171" t="str">
        <f t="shared" si="23"/>
        <v>General-purpose</v>
      </c>
    </row>
    <row r="160">
      <c r="A160" s="171">
        <f t="array" ref="A160">XLOOKUP(C160,ICSE!A:A,ICSE!C:C,,2,1)</f>
        <v>2022</v>
      </c>
      <c r="B160" s="171" t="s">
        <v>5675</v>
      </c>
      <c r="C160" s="160">
        <v>142.0</v>
      </c>
      <c r="D160" s="161" t="s">
        <v>2648</v>
      </c>
      <c r="E160" s="197" t="str">
        <f t="array" ref="E160">XLOOKUP(C160,ICSE!A:A,ICSE!Z:Z,,0,1)</f>
        <v>Publicly available (1)</v>
      </c>
      <c r="F160" s="198" t="s">
        <v>20</v>
      </c>
      <c r="G160" s="163" t="str">
        <f t="array" ref="G160">IF(B160="ICSE",IF(COUNTIFS(B:B,B160,C:C,C160)=XLOOKUP(C160,ICSE!A:A,ICSE!AA:AA,"ERROR",0,1),"OK","ERROR"),IF(B160="FSE",IF(COUNTIFS(B:B,B160,C:C,C160)=XLOOKUP(C160,FSE!A:A,FSE!AA:AA,"ERROR",0,1),"OK","ERROR")))</f>
        <v>OK</v>
      </c>
      <c r="H160" s="199">
        <f t="shared" ref="H160:O160" si="800">countif($D160,"*"&amp;H$2&amp;"*")</f>
        <v>0</v>
      </c>
      <c r="I160" s="200">
        <f t="shared" si="800"/>
        <v>1</v>
      </c>
      <c r="J160" s="200">
        <f t="shared" si="800"/>
        <v>0</v>
      </c>
      <c r="K160" s="200">
        <f t="shared" si="800"/>
        <v>0</v>
      </c>
      <c r="L160" s="200">
        <f t="shared" si="800"/>
        <v>0</v>
      </c>
      <c r="M160" s="200">
        <f t="shared" si="800"/>
        <v>0</v>
      </c>
      <c r="N160" s="200">
        <f t="shared" si="800"/>
        <v>0</v>
      </c>
      <c r="O160" s="200">
        <f t="shared" si="800"/>
        <v>0</v>
      </c>
      <c r="P160" s="200">
        <f t="shared" si="9"/>
        <v>0</v>
      </c>
      <c r="Q160" s="200">
        <f t="shared" ref="Q160:AC160" si="801">countif($D160,"*"&amp;Q$2&amp;"*")</f>
        <v>0</v>
      </c>
      <c r="R160" s="200">
        <f t="shared" si="801"/>
        <v>0</v>
      </c>
      <c r="S160" s="200">
        <f t="shared" si="801"/>
        <v>0</v>
      </c>
      <c r="T160" s="200">
        <f t="shared" si="801"/>
        <v>0</v>
      </c>
      <c r="U160" s="200">
        <f t="shared" si="801"/>
        <v>0</v>
      </c>
      <c r="V160" s="200">
        <f t="shared" si="801"/>
        <v>0</v>
      </c>
      <c r="W160" s="200">
        <f t="shared" si="801"/>
        <v>0</v>
      </c>
      <c r="X160" s="200">
        <f t="shared" si="801"/>
        <v>0</v>
      </c>
      <c r="Y160" s="200">
        <f t="shared" si="801"/>
        <v>0</v>
      </c>
      <c r="Z160" s="200">
        <f t="shared" si="801"/>
        <v>0</v>
      </c>
      <c r="AA160" s="200">
        <f t="shared" si="801"/>
        <v>0</v>
      </c>
      <c r="AB160" s="200">
        <f t="shared" si="801"/>
        <v>0</v>
      </c>
      <c r="AC160" s="200">
        <f t="shared" si="801"/>
        <v>0</v>
      </c>
      <c r="AD160" s="200">
        <f t="shared" si="11"/>
        <v>0</v>
      </c>
      <c r="AE160" s="200">
        <f t="shared" ref="AE160:AG160" si="802">countif($D160,"*"&amp;AE$2&amp;"*")</f>
        <v>0</v>
      </c>
      <c r="AF160" s="200">
        <f t="shared" si="802"/>
        <v>0</v>
      </c>
      <c r="AG160" s="200">
        <f t="shared" si="802"/>
        <v>0</v>
      </c>
      <c r="AH160" s="171">
        <f t="shared" si="13"/>
        <v>0</v>
      </c>
      <c r="AI160" s="200">
        <f t="shared" si="14"/>
        <v>1</v>
      </c>
      <c r="AJ160" s="200">
        <f t="shared" si="137"/>
        <v>0</v>
      </c>
      <c r="AK160" s="201">
        <f t="shared" ref="AK160:AS160" si="803">countif($D160,"*"&amp;AK$2&amp;"*")</f>
        <v>0</v>
      </c>
      <c r="AL160" s="201">
        <f t="shared" si="803"/>
        <v>0</v>
      </c>
      <c r="AM160" s="201">
        <f t="shared" si="803"/>
        <v>0</v>
      </c>
      <c r="AN160" s="201">
        <f t="shared" si="803"/>
        <v>0</v>
      </c>
      <c r="AO160" s="201">
        <f t="shared" si="803"/>
        <v>0</v>
      </c>
      <c r="AP160" s="201">
        <f t="shared" si="803"/>
        <v>0</v>
      </c>
      <c r="AQ160" s="201">
        <f t="shared" si="803"/>
        <v>0</v>
      </c>
      <c r="AR160" s="200">
        <f t="shared" si="803"/>
        <v>0</v>
      </c>
      <c r="AS160" s="200">
        <f t="shared" si="803"/>
        <v>0</v>
      </c>
      <c r="AT160" s="173">
        <v>0.0</v>
      </c>
      <c r="AU160" s="200">
        <f t="shared" ref="AU160:AX160" si="804">countif($D160,"*"&amp;AU$2&amp;"*")</f>
        <v>0</v>
      </c>
      <c r="AV160" s="200">
        <f t="shared" si="804"/>
        <v>0</v>
      </c>
      <c r="AW160" s="200">
        <f t="shared" si="804"/>
        <v>0</v>
      </c>
      <c r="AX160" s="200">
        <f t="shared" si="804"/>
        <v>1</v>
      </c>
      <c r="AY160" s="202">
        <v>0.0</v>
      </c>
      <c r="AZ160" s="200"/>
      <c r="BA160" s="171" t="str">
        <f t="shared" si="18"/>
        <v>Archival</v>
      </c>
      <c r="BB160" s="171" t="str">
        <f t="shared" si="19"/>
        <v/>
      </c>
      <c r="BC160" s="171" t="str">
        <f t="shared" si="20"/>
        <v/>
      </c>
      <c r="BD160" s="171" t="str">
        <f t="shared" si="21"/>
        <v/>
      </c>
      <c r="BE160" s="171" t="str">
        <f t="shared" si="22"/>
        <v/>
      </c>
      <c r="BF160" s="171" t="str">
        <f t="shared" si="23"/>
        <v>Archival</v>
      </c>
    </row>
    <row r="161">
      <c r="A161" s="171">
        <f t="array" ref="A161">XLOOKUP(C161,ICSE!A:A,ICSE!C:C,,2,1)</f>
        <v>2022</v>
      </c>
      <c r="B161" s="171" t="s">
        <v>5675</v>
      </c>
      <c r="C161" s="160">
        <v>143.0</v>
      </c>
      <c r="D161" s="161" t="s">
        <v>2651</v>
      </c>
      <c r="E161" s="197" t="str">
        <f t="array" ref="E161">XLOOKUP(C161,ICSE!A:A,ICSE!Z:Z,,0,1)</f>
        <v>Publicly available (1)</v>
      </c>
      <c r="F161" s="198" t="s">
        <v>20</v>
      </c>
      <c r="G161" s="163" t="str">
        <f t="array" ref="G161">IF(B161="ICSE",IF(COUNTIFS(B:B,B161,C:C,C161)=XLOOKUP(C161,ICSE!A:A,ICSE!AA:AA,"ERROR",0,1),"OK","ERROR"),IF(B161="FSE",IF(COUNTIFS(B:B,B161,C:C,C161)=XLOOKUP(C161,FSE!A:A,FSE!AA:AA,"ERROR",0,1),"OK","ERROR")))</f>
        <v>OK</v>
      </c>
      <c r="H161" s="199">
        <f t="shared" ref="H161:O161" si="805">countif($D161,"*"&amp;H$2&amp;"*")</f>
        <v>0</v>
      </c>
      <c r="I161" s="200">
        <f t="shared" si="805"/>
        <v>0</v>
      </c>
      <c r="J161" s="200">
        <f t="shared" si="805"/>
        <v>0</v>
      </c>
      <c r="K161" s="200">
        <f t="shared" si="805"/>
        <v>0</v>
      </c>
      <c r="L161" s="200">
        <f t="shared" si="805"/>
        <v>0</v>
      </c>
      <c r="M161" s="200">
        <f t="shared" si="805"/>
        <v>0</v>
      </c>
      <c r="N161" s="200">
        <f t="shared" si="805"/>
        <v>0</v>
      </c>
      <c r="O161" s="200">
        <f t="shared" si="805"/>
        <v>0</v>
      </c>
      <c r="P161" s="200">
        <f t="shared" si="9"/>
        <v>1</v>
      </c>
      <c r="Q161" s="200">
        <f t="shared" ref="Q161:AC161" si="806">countif($D161,"*"&amp;Q$2&amp;"*")</f>
        <v>0</v>
      </c>
      <c r="R161" s="200">
        <f t="shared" si="806"/>
        <v>0</v>
      </c>
      <c r="S161" s="200">
        <f t="shared" si="806"/>
        <v>0</v>
      </c>
      <c r="T161" s="200">
        <f t="shared" si="806"/>
        <v>0</v>
      </c>
      <c r="U161" s="200">
        <f t="shared" si="806"/>
        <v>0</v>
      </c>
      <c r="V161" s="200">
        <f t="shared" si="806"/>
        <v>0</v>
      </c>
      <c r="W161" s="200">
        <f t="shared" si="806"/>
        <v>0</v>
      </c>
      <c r="X161" s="200">
        <f t="shared" si="806"/>
        <v>0</v>
      </c>
      <c r="Y161" s="200">
        <f t="shared" si="806"/>
        <v>0</v>
      </c>
      <c r="Z161" s="200">
        <f t="shared" si="806"/>
        <v>0</v>
      </c>
      <c r="AA161" s="200">
        <f t="shared" si="806"/>
        <v>0</v>
      </c>
      <c r="AB161" s="200">
        <f t="shared" si="806"/>
        <v>0</v>
      </c>
      <c r="AC161" s="200">
        <f t="shared" si="806"/>
        <v>0</v>
      </c>
      <c r="AD161" s="200">
        <f t="shared" si="11"/>
        <v>0</v>
      </c>
      <c r="AE161" s="200">
        <f t="shared" ref="AE161:AG161" si="807">countif($D161,"*"&amp;AE$2&amp;"*")</f>
        <v>0</v>
      </c>
      <c r="AF161" s="200">
        <f t="shared" si="807"/>
        <v>0</v>
      </c>
      <c r="AG161" s="200">
        <f t="shared" si="807"/>
        <v>0</v>
      </c>
      <c r="AH161" s="171">
        <f t="shared" si="13"/>
        <v>0</v>
      </c>
      <c r="AI161" s="200">
        <f t="shared" si="14"/>
        <v>0</v>
      </c>
      <c r="AJ161" s="200">
        <f t="shared" si="137"/>
        <v>0</v>
      </c>
      <c r="AK161" s="201">
        <f t="shared" ref="AK161:AS161" si="808">countif($D161,"*"&amp;AK$2&amp;"*")</f>
        <v>0</v>
      </c>
      <c r="AL161" s="201">
        <f t="shared" si="808"/>
        <v>0</v>
      </c>
      <c r="AM161" s="201">
        <f t="shared" si="808"/>
        <v>0</v>
      </c>
      <c r="AN161" s="201">
        <f t="shared" si="808"/>
        <v>0</v>
      </c>
      <c r="AO161" s="201">
        <f t="shared" si="808"/>
        <v>0</v>
      </c>
      <c r="AP161" s="201">
        <f t="shared" si="808"/>
        <v>0</v>
      </c>
      <c r="AQ161" s="201">
        <f t="shared" si="808"/>
        <v>0</v>
      </c>
      <c r="AR161" s="200">
        <f t="shared" si="808"/>
        <v>0</v>
      </c>
      <c r="AS161" s="200">
        <f t="shared" si="808"/>
        <v>0</v>
      </c>
      <c r="AT161" s="173">
        <v>0.0</v>
      </c>
      <c r="AU161" s="200">
        <f t="shared" ref="AU161:AX161" si="809">countif($D161,"*"&amp;AU$2&amp;"*")</f>
        <v>0</v>
      </c>
      <c r="AV161" s="200">
        <f t="shared" si="809"/>
        <v>1</v>
      </c>
      <c r="AW161" s="200">
        <f t="shared" si="809"/>
        <v>0</v>
      </c>
      <c r="AX161" s="200">
        <f t="shared" si="809"/>
        <v>0</v>
      </c>
      <c r="AY161" s="202">
        <v>0.0</v>
      </c>
      <c r="AZ161" s="200"/>
      <c r="BA161" s="171" t="str">
        <f t="shared" si="18"/>
        <v/>
      </c>
      <c r="BB161" s="171" t="str">
        <f t="shared" si="19"/>
        <v>Code</v>
      </c>
      <c r="BC161" s="171" t="str">
        <f t="shared" si="20"/>
        <v/>
      </c>
      <c r="BD161" s="171" t="str">
        <f t="shared" si="21"/>
        <v/>
      </c>
      <c r="BE161" s="171" t="str">
        <f t="shared" si="22"/>
        <v/>
      </c>
      <c r="BF161" s="171" t="str">
        <f t="shared" si="23"/>
        <v>Code</v>
      </c>
    </row>
    <row r="162">
      <c r="A162" s="171">
        <f t="array" ref="A162">XLOOKUP(C162,ICSE!A:A,ICSE!C:C,,2,1)</f>
        <v>2022</v>
      </c>
      <c r="B162" s="171" t="s">
        <v>5675</v>
      </c>
      <c r="C162" s="160">
        <v>144.0</v>
      </c>
      <c r="D162" s="161" t="s">
        <v>5793</v>
      </c>
      <c r="E162" s="197" t="str">
        <f t="array" ref="E162">XLOOKUP(C162,ICSE!A:A,ICSE!Z:Z,,0,1)</f>
        <v>Publicly available (2)</v>
      </c>
      <c r="F162" s="198" t="s">
        <v>20</v>
      </c>
      <c r="G162" s="163" t="str">
        <f t="array" ref="G162">IF(B162="ICSE",IF(COUNTIFS(B:B,B162,C:C,C162)=XLOOKUP(C162,ICSE!A:A,ICSE!AA:AA,"ERROR",0,1),"OK","ERROR"),IF(B162="FSE",IF(COUNTIFS(B:B,B162,C:C,C162)=XLOOKUP(C162,FSE!A:A,FSE!AA:AA,"ERROR",0,1),"OK","ERROR")))</f>
        <v>OK</v>
      </c>
      <c r="H162" s="199">
        <f t="shared" ref="H162:O162" si="810">countif($D162,"*"&amp;H$2&amp;"*")</f>
        <v>0</v>
      </c>
      <c r="I162" s="200">
        <f t="shared" si="810"/>
        <v>0</v>
      </c>
      <c r="J162" s="200">
        <f t="shared" si="810"/>
        <v>0</v>
      </c>
      <c r="K162" s="200">
        <f t="shared" si="810"/>
        <v>0</v>
      </c>
      <c r="L162" s="200">
        <f t="shared" si="810"/>
        <v>0</v>
      </c>
      <c r="M162" s="200">
        <f t="shared" si="810"/>
        <v>0</v>
      </c>
      <c r="N162" s="200">
        <f t="shared" si="810"/>
        <v>0</v>
      </c>
      <c r="O162" s="200">
        <f t="shared" si="810"/>
        <v>0</v>
      </c>
      <c r="P162" s="200">
        <f t="shared" si="9"/>
        <v>1</v>
      </c>
      <c r="Q162" s="200">
        <f t="shared" ref="Q162:AC162" si="811">countif($D162,"*"&amp;Q$2&amp;"*")</f>
        <v>0</v>
      </c>
      <c r="R162" s="200">
        <f t="shared" si="811"/>
        <v>0</v>
      </c>
      <c r="S162" s="200">
        <f t="shared" si="811"/>
        <v>0</v>
      </c>
      <c r="T162" s="200">
        <f t="shared" si="811"/>
        <v>0</v>
      </c>
      <c r="U162" s="200">
        <f t="shared" si="811"/>
        <v>0</v>
      </c>
      <c r="V162" s="200">
        <f t="shared" si="811"/>
        <v>0</v>
      </c>
      <c r="W162" s="200">
        <f t="shared" si="811"/>
        <v>0</v>
      </c>
      <c r="X162" s="200">
        <f t="shared" si="811"/>
        <v>0</v>
      </c>
      <c r="Y162" s="200">
        <f t="shared" si="811"/>
        <v>0</v>
      </c>
      <c r="Z162" s="200">
        <f t="shared" si="811"/>
        <v>0</v>
      </c>
      <c r="AA162" s="200">
        <f t="shared" si="811"/>
        <v>0</v>
      </c>
      <c r="AB162" s="200">
        <f t="shared" si="811"/>
        <v>0</v>
      </c>
      <c r="AC162" s="200">
        <f t="shared" si="811"/>
        <v>0</v>
      </c>
      <c r="AD162" s="200">
        <f t="shared" si="11"/>
        <v>0</v>
      </c>
      <c r="AE162" s="200">
        <f t="shared" ref="AE162:AG162" si="812">countif($D162,"*"&amp;AE$2&amp;"*")</f>
        <v>0</v>
      </c>
      <c r="AF162" s="200">
        <f t="shared" si="812"/>
        <v>0</v>
      </c>
      <c r="AG162" s="200">
        <f t="shared" si="812"/>
        <v>0</v>
      </c>
      <c r="AH162" s="171">
        <f t="shared" si="13"/>
        <v>0</v>
      </c>
      <c r="AI162" s="200">
        <f t="shared" si="14"/>
        <v>0</v>
      </c>
      <c r="AJ162" s="200">
        <f t="shared" si="137"/>
        <v>0</v>
      </c>
      <c r="AK162" s="201">
        <f t="shared" ref="AK162:AS162" si="813">countif($D162,"*"&amp;AK$2&amp;"*")</f>
        <v>0</v>
      </c>
      <c r="AL162" s="201">
        <f t="shared" si="813"/>
        <v>0</v>
      </c>
      <c r="AM162" s="201">
        <f t="shared" si="813"/>
        <v>0</v>
      </c>
      <c r="AN162" s="201">
        <f t="shared" si="813"/>
        <v>0</v>
      </c>
      <c r="AO162" s="201">
        <f t="shared" si="813"/>
        <v>0</v>
      </c>
      <c r="AP162" s="201">
        <f t="shared" si="813"/>
        <v>0</v>
      </c>
      <c r="AQ162" s="201">
        <f t="shared" si="813"/>
        <v>0</v>
      </c>
      <c r="AR162" s="200">
        <f t="shared" si="813"/>
        <v>0</v>
      </c>
      <c r="AS162" s="200">
        <f t="shared" si="813"/>
        <v>0</v>
      </c>
      <c r="AT162" s="173">
        <v>0.0</v>
      </c>
      <c r="AU162" s="200">
        <f t="shared" ref="AU162:AX162" si="814">countif($D162,"*"&amp;AU$2&amp;"*")</f>
        <v>0</v>
      </c>
      <c r="AV162" s="200">
        <f t="shared" si="814"/>
        <v>1</v>
      </c>
      <c r="AW162" s="200">
        <f t="shared" si="814"/>
        <v>0</v>
      </c>
      <c r="AX162" s="200">
        <f t="shared" si="814"/>
        <v>0</v>
      </c>
      <c r="AY162" s="202">
        <v>0.0</v>
      </c>
      <c r="AZ162" s="200"/>
      <c r="BA162" s="171" t="str">
        <f t="shared" si="18"/>
        <v/>
      </c>
      <c r="BB162" s="171" t="str">
        <f t="shared" si="19"/>
        <v>Code</v>
      </c>
      <c r="BC162" s="171" t="str">
        <f t="shared" si="20"/>
        <v/>
      </c>
      <c r="BD162" s="171" t="str">
        <f t="shared" si="21"/>
        <v/>
      </c>
      <c r="BE162" s="171" t="str">
        <f t="shared" si="22"/>
        <v/>
      </c>
      <c r="BF162" s="171" t="str">
        <f t="shared" si="23"/>
        <v>Code</v>
      </c>
    </row>
    <row r="163">
      <c r="A163" s="171">
        <f t="array" ref="A163">XLOOKUP(C163,ICSE!A:A,ICSE!C:C,,2,1)</f>
        <v>2022</v>
      </c>
      <c r="B163" s="171" t="s">
        <v>5675</v>
      </c>
      <c r="C163" s="160">
        <v>144.0</v>
      </c>
      <c r="D163" s="161" t="s">
        <v>5794</v>
      </c>
      <c r="E163" s="197" t="str">
        <f t="array" ref="E163">XLOOKUP(C163,ICSE!A:A,ICSE!Z:Z,,0,1)</f>
        <v>Publicly available (2)</v>
      </c>
      <c r="F163" s="198" t="s">
        <v>20</v>
      </c>
      <c r="G163" s="163" t="str">
        <f t="array" ref="G163">IF(B163="ICSE",IF(COUNTIFS(B:B,B163,C:C,C163)=XLOOKUP(C163,ICSE!A:A,ICSE!AA:AA,"ERROR",0,1),"OK","ERROR"),IF(B163="FSE",IF(COUNTIFS(B:B,B163,C:C,C163)=XLOOKUP(C163,FSE!A:A,FSE!AA:AA,"ERROR",0,1),"OK","ERROR")))</f>
        <v>OK</v>
      </c>
      <c r="H163" s="199">
        <f t="shared" ref="H163:O163" si="815">countif($D163,"*"&amp;H$2&amp;"*")</f>
        <v>1</v>
      </c>
      <c r="I163" s="200">
        <f t="shared" si="815"/>
        <v>0</v>
      </c>
      <c r="J163" s="200">
        <f t="shared" si="815"/>
        <v>0</v>
      </c>
      <c r="K163" s="200">
        <f t="shared" si="815"/>
        <v>0</v>
      </c>
      <c r="L163" s="200">
        <f t="shared" si="815"/>
        <v>0</v>
      </c>
      <c r="M163" s="200">
        <f t="shared" si="815"/>
        <v>0</v>
      </c>
      <c r="N163" s="200">
        <f t="shared" si="815"/>
        <v>0</v>
      </c>
      <c r="O163" s="200">
        <f t="shared" si="815"/>
        <v>0</v>
      </c>
      <c r="P163" s="200">
        <f t="shared" si="9"/>
        <v>0</v>
      </c>
      <c r="Q163" s="200">
        <f t="shared" ref="Q163:AC163" si="816">countif($D163,"*"&amp;Q$2&amp;"*")</f>
        <v>0</v>
      </c>
      <c r="R163" s="200">
        <f t="shared" si="816"/>
        <v>0</v>
      </c>
      <c r="S163" s="200">
        <f t="shared" si="816"/>
        <v>0</v>
      </c>
      <c r="T163" s="200">
        <f t="shared" si="816"/>
        <v>0</v>
      </c>
      <c r="U163" s="200">
        <f t="shared" si="816"/>
        <v>0</v>
      </c>
      <c r="V163" s="200">
        <f t="shared" si="816"/>
        <v>0</v>
      </c>
      <c r="W163" s="200">
        <f t="shared" si="816"/>
        <v>0</v>
      </c>
      <c r="X163" s="200">
        <f t="shared" si="816"/>
        <v>0</v>
      </c>
      <c r="Y163" s="200">
        <f t="shared" si="816"/>
        <v>0</v>
      </c>
      <c r="Z163" s="200">
        <f t="shared" si="816"/>
        <v>0</v>
      </c>
      <c r="AA163" s="200">
        <f t="shared" si="816"/>
        <v>0</v>
      </c>
      <c r="AB163" s="200">
        <f t="shared" si="816"/>
        <v>0</v>
      </c>
      <c r="AC163" s="200">
        <f t="shared" si="816"/>
        <v>0</v>
      </c>
      <c r="AD163" s="200">
        <f t="shared" si="11"/>
        <v>0</v>
      </c>
      <c r="AE163" s="200">
        <f t="shared" ref="AE163:AG163" si="817">countif($D163,"*"&amp;AE$2&amp;"*")</f>
        <v>0</v>
      </c>
      <c r="AF163" s="200">
        <f t="shared" si="817"/>
        <v>0</v>
      </c>
      <c r="AG163" s="200">
        <f t="shared" si="817"/>
        <v>0</v>
      </c>
      <c r="AH163" s="171">
        <f t="shared" si="13"/>
        <v>0</v>
      </c>
      <c r="AI163" s="200">
        <f t="shared" si="14"/>
        <v>1</v>
      </c>
      <c r="AJ163" s="200">
        <f t="shared" si="137"/>
        <v>0</v>
      </c>
      <c r="AK163" s="201">
        <f t="shared" ref="AK163:AS163" si="818">countif($D163,"*"&amp;AK$2&amp;"*")</f>
        <v>0</v>
      </c>
      <c r="AL163" s="201">
        <f t="shared" si="818"/>
        <v>0</v>
      </c>
      <c r="AM163" s="201">
        <f t="shared" si="818"/>
        <v>0</v>
      </c>
      <c r="AN163" s="201">
        <f t="shared" si="818"/>
        <v>0</v>
      </c>
      <c r="AO163" s="201">
        <f t="shared" si="818"/>
        <v>0</v>
      </c>
      <c r="AP163" s="201">
        <f t="shared" si="818"/>
        <v>0</v>
      </c>
      <c r="AQ163" s="201">
        <f t="shared" si="818"/>
        <v>0</v>
      </c>
      <c r="AR163" s="200">
        <f t="shared" si="818"/>
        <v>0</v>
      </c>
      <c r="AS163" s="200">
        <f t="shared" si="818"/>
        <v>0</v>
      </c>
      <c r="AT163" s="173">
        <v>0.0</v>
      </c>
      <c r="AU163" s="200">
        <f t="shared" ref="AU163:AX163" si="819">countif($D163,"*"&amp;AU$2&amp;"*")</f>
        <v>0</v>
      </c>
      <c r="AV163" s="200">
        <f t="shared" si="819"/>
        <v>0</v>
      </c>
      <c r="AW163" s="200">
        <f t="shared" si="819"/>
        <v>0</v>
      </c>
      <c r="AX163" s="200">
        <f t="shared" si="819"/>
        <v>1</v>
      </c>
      <c r="AY163" s="202">
        <v>0.0</v>
      </c>
      <c r="AZ163" s="200"/>
      <c r="BA163" s="171" t="str">
        <f t="shared" si="18"/>
        <v>Archival</v>
      </c>
      <c r="BB163" s="171" t="str">
        <f t="shared" si="19"/>
        <v/>
      </c>
      <c r="BC163" s="171" t="str">
        <f t="shared" si="20"/>
        <v/>
      </c>
      <c r="BD163" s="171" t="str">
        <f t="shared" si="21"/>
        <v/>
      </c>
      <c r="BE163" s="171" t="str">
        <f t="shared" si="22"/>
        <v/>
      </c>
      <c r="BF163" s="171" t="str">
        <f t="shared" si="23"/>
        <v>Archival</v>
      </c>
    </row>
    <row r="164">
      <c r="A164" s="171">
        <f t="array" ref="A164">XLOOKUP(C164,ICSE!A:A,ICSE!C:C,,2,1)</f>
        <v>2022</v>
      </c>
      <c r="B164" s="171" t="s">
        <v>5675</v>
      </c>
      <c r="C164" s="160">
        <v>146.0</v>
      </c>
      <c r="D164" s="161" t="s">
        <v>2658</v>
      </c>
      <c r="E164" s="197" t="str">
        <f t="array" ref="E164">XLOOKUP(C164,ICSE!A:A,ICSE!Z:Z,,0,1)</f>
        <v>Publicly available (1)</v>
      </c>
      <c r="F164" s="198" t="s">
        <v>20</v>
      </c>
      <c r="G164" s="163" t="str">
        <f t="array" ref="G164">IF(B164="ICSE",IF(COUNTIFS(B:B,B164,C:C,C164)=XLOOKUP(C164,ICSE!A:A,ICSE!AA:AA,"ERROR",0,1),"OK","ERROR"),IF(B164="FSE",IF(COUNTIFS(B:B,B164,C:C,C164)=XLOOKUP(C164,FSE!A:A,FSE!AA:AA,"ERROR",0,1),"OK","ERROR")))</f>
        <v>OK</v>
      </c>
      <c r="H164" s="199">
        <f t="shared" ref="H164:O164" si="820">countif($D164,"*"&amp;H$2&amp;"*")</f>
        <v>0</v>
      </c>
      <c r="I164" s="200">
        <f t="shared" si="820"/>
        <v>0</v>
      </c>
      <c r="J164" s="200">
        <f t="shared" si="820"/>
        <v>0</v>
      </c>
      <c r="K164" s="200">
        <f t="shared" si="820"/>
        <v>0</v>
      </c>
      <c r="L164" s="200">
        <f t="shared" si="820"/>
        <v>0</v>
      </c>
      <c r="M164" s="200">
        <f t="shared" si="820"/>
        <v>0</v>
      </c>
      <c r="N164" s="200">
        <f t="shared" si="820"/>
        <v>0</v>
      </c>
      <c r="O164" s="200">
        <f t="shared" si="820"/>
        <v>0</v>
      </c>
      <c r="P164" s="200">
        <f t="shared" si="9"/>
        <v>0</v>
      </c>
      <c r="Q164" s="200">
        <f t="shared" ref="Q164:AC164" si="821">countif($D164,"*"&amp;Q$2&amp;"*")</f>
        <v>0</v>
      </c>
      <c r="R164" s="200">
        <f t="shared" si="821"/>
        <v>0</v>
      </c>
      <c r="S164" s="200">
        <f t="shared" si="821"/>
        <v>0</v>
      </c>
      <c r="T164" s="200">
        <f t="shared" si="821"/>
        <v>0</v>
      </c>
      <c r="U164" s="200">
        <f t="shared" si="821"/>
        <v>0</v>
      </c>
      <c r="V164" s="200">
        <f t="shared" si="821"/>
        <v>0</v>
      </c>
      <c r="W164" s="200">
        <f t="shared" si="821"/>
        <v>0</v>
      </c>
      <c r="X164" s="200">
        <f t="shared" si="821"/>
        <v>0</v>
      </c>
      <c r="Y164" s="200">
        <f t="shared" si="821"/>
        <v>0</v>
      </c>
      <c r="Z164" s="200">
        <f t="shared" si="821"/>
        <v>0</v>
      </c>
      <c r="AA164" s="200">
        <f t="shared" si="821"/>
        <v>1</v>
      </c>
      <c r="AB164" s="200">
        <f t="shared" si="821"/>
        <v>0</v>
      </c>
      <c r="AC164" s="200">
        <f t="shared" si="821"/>
        <v>0</v>
      </c>
      <c r="AD164" s="200">
        <f t="shared" si="11"/>
        <v>0</v>
      </c>
      <c r="AE164" s="200">
        <f t="shared" ref="AE164:AG164" si="822">countif($D164,"*"&amp;AE$2&amp;"*")</f>
        <v>0</v>
      </c>
      <c r="AF164" s="200">
        <f t="shared" si="822"/>
        <v>0</v>
      </c>
      <c r="AG164" s="200">
        <f t="shared" si="822"/>
        <v>0</v>
      </c>
      <c r="AH164" s="171">
        <f t="shared" si="13"/>
        <v>0</v>
      </c>
      <c r="AI164" s="200">
        <f t="shared" si="14"/>
        <v>0</v>
      </c>
      <c r="AJ164" s="200">
        <f t="shared" si="137"/>
        <v>0</v>
      </c>
      <c r="AK164" s="201">
        <f t="shared" ref="AK164:AS164" si="823">countif($D164,"*"&amp;AK$2&amp;"*")</f>
        <v>0</v>
      </c>
      <c r="AL164" s="201">
        <f t="shared" si="823"/>
        <v>0</v>
      </c>
      <c r="AM164" s="201">
        <f t="shared" si="823"/>
        <v>0</v>
      </c>
      <c r="AN164" s="201">
        <f t="shared" si="823"/>
        <v>0</v>
      </c>
      <c r="AO164" s="201">
        <f t="shared" si="823"/>
        <v>0</v>
      </c>
      <c r="AP164" s="201">
        <f t="shared" si="823"/>
        <v>0</v>
      </c>
      <c r="AQ164" s="201">
        <f t="shared" si="823"/>
        <v>0</v>
      </c>
      <c r="AR164" s="200">
        <f t="shared" si="823"/>
        <v>0</v>
      </c>
      <c r="AS164" s="200">
        <f t="shared" si="823"/>
        <v>0</v>
      </c>
      <c r="AT164" s="173">
        <v>0.0</v>
      </c>
      <c r="AU164" s="200">
        <f t="shared" ref="AU164:AX164" si="824">countif($D164,"*"&amp;AU$2&amp;"*")</f>
        <v>0</v>
      </c>
      <c r="AV164" s="200">
        <f t="shared" si="824"/>
        <v>0</v>
      </c>
      <c r="AW164" s="200">
        <f t="shared" si="824"/>
        <v>0</v>
      </c>
      <c r="AX164" s="200">
        <f t="shared" si="824"/>
        <v>0</v>
      </c>
      <c r="AY164" s="202">
        <v>0.0</v>
      </c>
      <c r="AZ164" s="200"/>
      <c r="BA164" s="171" t="str">
        <f t="shared" si="18"/>
        <v/>
      </c>
      <c r="BB164" s="171" t="str">
        <f t="shared" si="19"/>
        <v/>
      </c>
      <c r="BC164" s="171" t="str">
        <f t="shared" si="20"/>
        <v>General-purpose</v>
      </c>
      <c r="BD164" s="171" t="str">
        <f t="shared" si="21"/>
        <v/>
      </c>
      <c r="BE164" s="171" t="str">
        <f t="shared" si="22"/>
        <v/>
      </c>
      <c r="BF164" s="171" t="str">
        <f t="shared" si="23"/>
        <v>General-purpose</v>
      </c>
    </row>
    <row r="165">
      <c r="A165" s="171">
        <f t="array" ref="A165">XLOOKUP(C165,ICSE!A:A,ICSE!C:C,,2,1)</f>
        <v>2022</v>
      </c>
      <c r="B165" s="171" t="s">
        <v>5675</v>
      </c>
      <c r="C165" s="160">
        <v>147.0</v>
      </c>
      <c r="D165" s="161" t="s">
        <v>2661</v>
      </c>
      <c r="E165" s="197" t="str">
        <f t="array" ref="E165">XLOOKUP(C165,ICSE!A:A,ICSE!Z:Z,,0,1)</f>
        <v>Publicly available (1)</v>
      </c>
      <c r="F165" s="198" t="s">
        <v>20</v>
      </c>
      <c r="G165" s="163" t="str">
        <f t="array" ref="G165">IF(B165="ICSE",IF(COUNTIFS(B:B,B165,C:C,C165)=XLOOKUP(C165,ICSE!A:A,ICSE!AA:AA,"ERROR",0,1),"OK","ERROR"),IF(B165="FSE",IF(COUNTIFS(B:B,B165,C:C,C165)=XLOOKUP(C165,FSE!A:A,FSE!AA:AA,"ERROR",0,1),"OK","ERROR")))</f>
        <v>OK</v>
      </c>
      <c r="H165" s="199">
        <f t="shared" ref="H165:O165" si="825">countif($D165,"*"&amp;H$2&amp;"*")</f>
        <v>0</v>
      </c>
      <c r="I165" s="200">
        <f t="shared" si="825"/>
        <v>0</v>
      </c>
      <c r="J165" s="200">
        <f t="shared" si="825"/>
        <v>0</v>
      </c>
      <c r="K165" s="200">
        <f t="shared" si="825"/>
        <v>0</v>
      </c>
      <c r="L165" s="200">
        <f t="shared" si="825"/>
        <v>0</v>
      </c>
      <c r="M165" s="200">
        <f t="shared" si="825"/>
        <v>0</v>
      </c>
      <c r="N165" s="200">
        <f t="shared" si="825"/>
        <v>0</v>
      </c>
      <c r="O165" s="200">
        <f t="shared" si="825"/>
        <v>0</v>
      </c>
      <c r="P165" s="200">
        <f t="shared" si="9"/>
        <v>1</v>
      </c>
      <c r="Q165" s="200">
        <f t="shared" ref="Q165:AC165" si="826">countif($D165,"*"&amp;Q$2&amp;"*")</f>
        <v>0</v>
      </c>
      <c r="R165" s="200">
        <f t="shared" si="826"/>
        <v>0</v>
      </c>
      <c r="S165" s="200">
        <f t="shared" si="826"/>
        <v>0</v>
      </c>
      <c r="T165" s="200">
        <f t="shared" si="826"/>
        <v>0</v>
      </c>
      <c r="U165" s="200">
        <f t="shared" si="826"/>
        <v>0</v>
      </c>
      <c r="V165" s="200">
        <f t="shared" si="826"/>
        <v>0</v>
      </c>
      <c r="W165" s="200">
        <f t="shared" si="826"/>
        <v>0</v>
      </c>
      <c r="X165" s="200">
        <f t="shared" si="826"/>
        <v>0</v>
      </c>
      <c r="Y165" s="200">
        <f t="shared" si="826"/>
        <v>0</v>
      </c>
      <c r="Z165" s="200">
        <f t="shared" si="826"/>
        <v>0</v>
      </c>
      <c r="AA165" s="200">
        <f t="shared" si="826"/>
        <v>0</v>
      </c>
      <c r="AB165" s="200">
        <f t="shared" si="826"/>
        <v>0</v>
      </c>
      <c r="AC165" s="200">
        <f t="shared" si="826"/>
        <v>0</v>
      </c>
      <c r="AD165" s="200">
        <f t="shared" si="11"/>
        <v>0</v>
      </c>
      <c r="AE165" s="200">
        <f t="shared" ref="AE165:AG165" si="827">countif($D165,"*"&amp;AE$2&amp;"*")</f>
        <v>0</v>
      </c>
      <c r="AF165" s="200">
        <f t="shared" si="827"/>
        <v>0</v>
      </c>
      <c r="AG165" s="200">
        <f t="shared" si="827"/>
        <v>0</v>
      </c>
      <c r="AH165" s="171">
        <f t="shared" si="13"/>
        <v>0</v>
      </c>
      <c r="AI165" s="200">
        <f t="shared" si="14"/>
        <v>0</v>
      </c>
      <c r="AJ165" s="200">
        <f t="shared" si="137"/>
        <v>0</v>
      </c>
      <c r="AK165" s="201">
        <f t="shared" ref="AK165:AS165" si="828">countif($D165,"*"&amp;AK$2&amp;"*")</f>
        <v>0</v>
      </c>
      <c r="AL165" s="201">
        <f t="shared" si="828"/>
        <v>0</v>
      </c>
      <c r="AM165" s="201">
        <f t="shared" si="828"/>
        <v>0</v>
      </c>
      <c r="AN165" s="201">
        <f t="shared" si="828"/>
        <v>0</v>
      </c>
      <c r="AO165" s="201">
        <f t="shared" si="828"/>
        <v>0</v>
      </c>
      <c r="AP165" s="201">
        <f t="shared" si="828"/>
        <v>0</v>
      </c>
      <c r="AQ165" s="201">
        <f t="shared" si="828"/>
        <v>0</v>
      </c>
      <c r="AR165" s="200">
        <f t="shared" si="828"/>
        <v>0</v>
      </c>
      <c r="AS165" s="200">
        <f t="shared" si="828"/>
        <v>0</v>
      </c>
      <c r="AT165" s="173">
        <v>0.0</v>
      </c>
      <c r="AU165" s="200">
        <f t="shared" ref="AU165:AX165" si="829">countif($D165,"*"&amp;AU$2&amp;"*")</f>
        <v>0</v>
      </c>
      <c r="AV165" s="200">
        <f t="shared" si="829"/>
        <v>1</v>
      </c>
      <c r="AW165" s="200">
        <f t="shared" si="829"/>
        <v>0</v>
      </c>
      <c r="AX165" s="200">
        <f t="shared" si="829"/>
        <v>0</v>
      </c>
      <c r="AY165" s="202">
        <v>0.0</v>
      </c>
      <c r="AZ165" s="200"/>
      <c r="BA165" s="171" t="str">
        <f t="shared" si="18"/>
        <v/>
      </c>
      <c r="BB165" s="171" t="str">
        <f t="shared" si="19"/>
        <v>Code</v>
      </c>
      <c r="BC165" s="171" t="str">
        <f t="shared" si="20"/>
        <v/>
      </c>
      <c r="BD165" s="171" t="str">
        <f t="shared" si="21"/>
        <v/>
      </c>
      <c r="BE165" s="171" t="str">
        <f t="shared" si="22"/>
        <v/>
      </c>
      <c r="BF165" s="171" t="str">
        <f t="shared" si="23"/>
        <v>Code</v>
      </c>
    </row>
    <row r="166">
      <c r="A166" s="171">
        <f t="array" ref="A166">XLOOKUP(C166,ICSE!A:A,ICSE!C:C,,2,1)</f>
        <v>2022</v>
      </c>
      <c r="B166" s="171" t="s">
        <v>5675</v>
      </c>
      <c r="C166" s="160">
        <v>148.0</v>
      </c>
      <c r="D166" s="161" t="s">
        <v>2664</v>
      </c>
      <c r="E166" s="197" t="str">
        <f t="array" ref="E166">XLOOKUP(C166,ICSE!A:A,ICSE!Z:Z,,0,1)</f>
        <v>Publicly available (1)</v>
      </c>
      <c r="F166" s="198" t="s">
        <v>20</v>
      </c>
      <c r="G166" s="163" t="str">
        <f t="array" ref="G166">IF(B166="ICSE",IF(COUNTIFS(B:B,B166,C:C,C166)=XLOOKUP(C166,ICSE!A:A,ICSE!AA:AA,"ERROR",0,1),"OK","ERROR"),IF(B166="FSE",IF(COUNTIFS(B:B,B166,C:C,C166)=XLOOKUP(C166,FSE!A:A,FSE!AA:AA,"ERROR",0,1),"OK","ERROR")))</f>
        <v>OK</v>
      </c>
      <c r="H166" s="199">
        <f t="shared" ref="H166:O166" si="830">countif($D166,"*"&amp;H$2&amp;"*")</f>
        <v>0</v>
      </c>
      <c r="I166" s="200">
        <f t="shared" si="830"/>
        <v>1</v>
      </c>
      <c r="J166" s="200">
        <f t="shared" si="830"/>
        <v>0</v>
      </c>
      <c r="K166" s="200">
        <f t="shared" si="830"/>
        <v>0</v>
      </c>
      <c r="L166" s="200">
        <f t="shared" si="830"/>
        <v>0</v>
      </c>
      <c r="M166" s="200">
        <f t="shared" si="830"/>
        <v>0</v>
      </c>
      <c r="N166" s="200">
        <f t="shared" si="830"/>
        <v>0</v>
      </c>
      <c r="O166" s="200">
        <f t="shared" si="830"/>
        <v>0</v>
      </c>
      <c r="P166" s="200">
        <f t="shared" si="9"/>
        <v>0</v>
      </c>
      <c r="Q166" s="200">
        <f t="shared" ref="Q166:AC166" si="831">countif($D166,"*"&amp;Q$2&amp;"*")</f>
        <v>0</v>
      </c>
      <c r="R166" s="200">
        <f t="shared" si="831"/>
        <v>0</v>
      </c>
      <c r="S166" s="200">
        <f t="shared" si="831"/>
        <v>0</v>
      </c>
      <c r="T166" s="200">
        <f t="shared" si="831"/>
        <v>0</v>
      </c>
      <c r="U166" s="200">
        <f t="shared" si="831"/>
        <v>0</v>
      </c>
      <c r="V166" s="200">
        <f t="shared" si="831"/>
        <v>0</v>
      </c>
      <c r="W166" s="200">
        <f t="shared" si="831"/>
        <v>0</v>
      </c>
      <c r="X166" s="200">
        <f t="shared" si="831"/>
        <v>0</v>
      </c>
      <c r="Y166" s="200">
        <f t="shared" si="831"/>
        <v>0</v>
      </c>
      <c r="Z166" s="200">
        <f t="shared" si="831"/>
        <v>0</v>
      </c>
      <c r="AA166" s="200">
        <f t="shared" si="831"/>
        <v>0</v>
      </c>
      <c r="AB166" s="200">
        <f t="shared" si="831"/>
        <v>0</v>
      </c>
      <c r="AC166" s="200">
        <f t="shared" si="831"/>
        <v>0</v>
      </c>
      <c r="AD166" s="200">
        <f t="shared" si="11"/>
        <v>0</v>
      </c>
      <c r="AE166" s="200">
        <f t="shared" ref="AE166:AG166" si="832">countif($D166,"*"&amp;AE$2&amp;"*")</f>
        <v>0</v>
      </c>
      <c r="AF166" s="200">
        <f t="shared" si="832"/>
        <v>0</v>
      </c>
      <c r="AG166" s="200">
        <f t="shared" si="832"/>
        <v>0</v>
      </c>
      <c r="AH166" s="171">
        <f t="shared" si="13"/>
        <v>0</v>
      </c>
      <c r="AI166" s="200">
        <f t="shared" si="14"/>
        <v>1</v>
      </c>
      <c r="AJ166" s="200">
        <f t="shared" si="137"/>
        <v>0</v>
      </c>
      <c r="AK166" s="201">
        <f t="shared" ref="AK166:AS166" si="833">countif($D166,"*"&amp;AK$2&amp;"*")</f>
        <v>0</v>
      </c>
      <c r="AL166" s="201">
        <f t="shared" si="833"/>
        <v>0</v>
      </c>
      <c r="AM166" s="201">
        <f t="shared" si="833"/>
        <v>0</v>
      </c>
      <c r="AN166" s="201">
        <f t="shared" si="833"/>
        <v>0</v>
      </c>
      <c r="AO166" s="201">
        <f t="shared" si="833"/>
        <v>0</v>
      </c>
      <c r="AP166" s="201">
        <f t="shared" si="833"/>
        <v>0</v>
      </c>
      <c r="AQ166" s="201">
        <f t="shared" si="833"/>
        <v>0</v>
      </c>
      <c r="AR166" s="200">
        <f t="shared" si="833"/>
        <v>0</v>
      </c>
      <c r="AS166" s="200">
        <f t="shared" si="833"/>
        <v>0</v>
      </c>
      <c r="AT166" s="173">
        <v>0.0</v>
      </c>
      <c r="AU166" s="200">
        <f t="shared" ref="AU166:AX166" si="834">countif($D166,"*"&amp;AU$2&amp;"*")</f>
        <v>0</v>
      </c>
      <c r="AV166" s="200">
        <f t="shared" si="834"/>
        <v>0</v>
      </c>
      <c r="AW166" s="200">
        <f t="shared" si="834"/>
        <v>0</v>
      </c>
      <c r="AX166" s="200">
        <f t="shared" si="834"/>
        <v>1</v>
      </c>
      <c r="AY166" s="202">
        <v>0.0</v>
      </c>
      <c r="AZ166" s="200"/>
      <c r="BA166" s="171" t="str">
        <f t="shared" si="18"/>
        <v>Archival</v>
      </c>
      <c r="BB166" s="171" t="str">
        <f t="shared" si="19"/>
        <v/>
      </c>
      <c r="BC166" s="171" t="str">
        <f t="shared" si="20"/>
        <v/>
      </c>
      <c r="BD166" s="171" t="str">
        <f t="shared" si="21"/>
        <v/>
      </c>
      <c r="BE166" s="171" t="str">
        <f t="shared" si="22"/>
        <v/>
      </c>
      <c r="BF166" s="171" t="str">
        <f t="shared" si="23"/>
        <v>Archival</v>
      </c>
    </row>
    <row r="167">
      <c r="A167" s="171">
        <f t="array" ref="A167">XLOOKUP(C167,ICSE!A:A,ICSE!C:C,,2,1)</f>
        <v>2022</v>
      </c>
      <c r="B167" s="171" t="s">
        <v>5675</v>
      </c>
      <c r="C167" s="160">
        <v>149.0</v>
      </c>
      <c r="D167" s="161" t="s">
        <v>2666</v>
      </c>
      <c r="E167" s="197" t="str">
        <f t="array" ref="E167">XLOOKUP(C167,ICSE!A:A,ICSE!Z:Z,,0,1)</f>
        <v>Publicly available (1)</v>
      </c>
      <c r="F167" s="198" t="s">
        <v>20</v>
      </c>
      <c r="G167" s="163" t="str">
        <f t="array" ref="G167">IF(B167="ICSE",IF(COUNTIFS(B:B,B167,C:C,C167)=XLOOKUP(C167,ICSE!A:A,ICSE!AA:AA,"ERROR",0,1),"OK","ERROR"),IF(B167="FSE",IF(COUNTIFS(B:B,B167,C:C,C167)=XLOOKUP(C167,FSE!A:A,FSE!AA:AA,"ERROR",0,1),"OK","ERROR")))</f>
        <v>OK</v>
      </c>
      <c r="H167" s="199">
        <f t="shared" ref="H167:O167" si="835">countif($D167,"*"&amp;H$2&amp;"*")</f>
        <v>1</v>
      </c>
      <c r="I167" s="200">
        <f t="shared" si="835"/>
        <v>0</v>
      </c>
      <c r="J167" s="200">
        <f t="shared" si="835"/>
        <v>0</v>
      </c>
      <c r="K167" s="200">
        <f t="shared" si="835"/>
        <v>0</v>
      </c>
      <c r="L167" s="200">
        <f t="shared" si="835"/>
        <v>0</v>
      </c>
      <c r="M167" s="200">
        <f t="shared" si="835"/>
        <v>0</v>
      </c>
      <c r="N167" s="200">
        <f t="shared" si="835"/>
        <v>0</v>
      </c>
      <c r="O167" s="200">
        <f t="shared" si="835"/>
        <v>0</v>
      </c>
      <c r="P167" s="200">
        <f t="shared" si="9"/>
        <v>0</v>
      </c>
      <c r="Q167" s="200">
        <f t="shared" ref="Q167:AC167" si="836">countif($D167,"*"&amp;Q$2&amp;"*")</f>
        <v>0</v>
      </c>
      <c r="R167" s="200">
        <f t="shared" si="836"/>
        <v>0</v>
      </c>
      <c r="S167" s="200">
        <f t="shared" si="836"/>
        <v>0</v>
      </c>
      <c r="T167" s="200">
        <f t="shared" si="836"/>
        <v>0</v>
      </c>
      <c r="U167" s="200">
        <f t="shared" si="836"/>
        <v>0</v>
      </c>
      <c r="V167" s="200">
        <f t="shared" si="836"/>
        <v>0</v>
      </c>
      <c r="W167" s="200">
        <f t="shared" si="836"/>
        <v>0</v>
      </c>
      <c r="X167" s="200">
        <f t="shared" si="836"/>
        <v>0</v>
      </c>
      <c r="Y167" s="200">
        <f t="shared" si="836"/>
        <v>0</v>
      </c>
      <c r="Z167" s="200">
        <f t="shared" si="836"/>
        <v>0</v>
      </c>
      <c r="AA167" s="200">
        <f t="shared" si="836"/>
        <v>0</v>
      </c>
      <c r="AB167" s="200">
        <f t="shared" si="836"/>
        <v>0</v>
      </c>
      <c r="AC167" s="200">
        <f t="shared" si="836"/>
        <v>0</v>
      </c>
      <c r="AD167" s="200">
        <f t="shared" si="11"/>
        <v>0</v>
      </c>
      <c r="AE167" s="200">
        <f t="shared" ref="AE167:AG167" si="837">countif($D167,"*"&amp;AE$2&amp;"*")</f>
        <v>0</v>
      </c>
      <c r="AF167" s="200">
        <f t="shared" si="837"/>
        <v>0</v>
      </c>
      <c r="AG167" s="200">
        <f t="shared" si="837"/>
        <v>0</v>
      </c>
      <c r="AH167" s="171">
        <f t="shared" si="13"/>
        <v>0</v>
      </c>
      <c r="AI167" s="200">
        <f t="shared" si="14"/>
        <v>1</v>
      </c>
      <c r="AJ167" s="200">
        <f t="shared" si="137"/>
        <v>0</v>
      </c>
      <c r="AK167" s="201">
        <f t="shared" ref="AK167:AS167" si="838">countif($D167,"*"&amp;AK$2&amp;"*")</f>
        <v>0</v>
      </c>
      <c r="AL167" s="201">
        <f t="shared" si="838"/>
        <v>0</v>
      </c>
      <c r="AM167" s="201">
        <f t="shared" si="838"/>
        <v>0</v>
      </c>
      <c r="AN167" s="201">
        <f t="shared" si="838"/>
        <v>0</v>
      </c>
      <c r="AO167" s="201">
        <f t="shared" si="838"/>
        <v>0</v>
      </c>
      <c r="AP167" s="201">
        <f t="shared" si="838"/>
        <v>0</v>
      </c>
      <c r="AQ167" s="201">
        <f t="shared" si="838"/>
        <v>0</v>
      </c>
      <c r="AR167" s="200">
        <f t="shared" si="838"/>
        <v>0</v>
      </c>
      <c r="AS167" s="200">
        <f t="shared" si="838"/>
        <v>0</v>
      </c>
      <c r="AT167" s="173">
        <v>0.0</v>
      </c>
      <c r="AU167" s="200">
        <f t="shared" ref="AU167:AX167" si="839">countif($D167,"*"&amp;AU$2&amp;"*")</f>
        <v>0</v>
      </c>
      <c r="AV167" s="200">
        <f t="shared" si="839"/>
        <v>0</v>
      </c>
      <c r="AW167" s="200">
        <f t="shared" si="839"/>
        <v>0</v>
      </c>
      <c r="AX167" s="200">
        <f t="shared" si="839"/>
        <v>0</v>
      </c>
      <c r="AY167" s="204">
        <v>1.0</v>
      </c>
      <c r="AZ167" s="200"/>
      <c r="BA167" s="171" t="str">
        <f t="shared" si="18"/>
        <v>Archival</v>
      </c>
      <c r="BB167" s="171" t="str">
        <f t="shared" si="19"/>
        <v/>
      </c>
      <c r="BC167" s="171" t="str">
        <f t="shared" si="20"/>
        <v/>
      </c>
      <c r="BD167" s="171" t="str">
        <f t="shared" si="21"/>
        <v/>
      </c>
      <c r="BE167" s="171" t="str">
        <f t="shared" si="22"/>
        <v/>
      </c>
      <c r="BF167" s="171" t="str">
        <f t="shared" si="23"/>
        <v>Archival</v>
      </c>
    </row>
    <row r="168">
      <c r="A168" s="171">
        <f t="array" ref="A168">XLOOKUP(C168,ICSE!A:A,ICSE!C:C,,2,1)</f>
        <v>2022</v>
      </c>
      <c r="B168" s="171" t="s">
        <v>5675</v>
      </c>
      <c r="C168" s="160">
        <v>153.0</v>
      </c>
      <c r="D168" s="161" t="s">
        <v>2672</v>
      </c>
      <c r="E168" s="197" t="str">
        <f t="array" ref="E168">XLOOKUP(C168,ICSE!A:A,ICSE!Z:Z,,0,1)</f>
        <v>Publicly available (1)</v>
      </c>
      <c r="F168" s="198" t="s">
        <v>20</v>
      </c>
      <c r="G168" s="163" t="str">
        <f t="array" ref="G168">IF(B168="ICSE",IF(COUNTIFS(B:B,B168,C:C,C168)=XLOOKUP(C168,ICSE!A:A,ICSE!AA:AA,"ERROR",0,1),"OK","ERROR"),IF(B168="FSE",IF(COUNTIFS(B:B,B168,C:C,C168)=XLOOKUP(C168,FSE!A:A,FSE!AA:AA,"ERROR",0,1),"OK","ERROR")))</f>
        <v>OK</v>
      </c>
      <c r="H168" s="199">
        <f t="shared" ref="H168:O168" si="840">countif($D168,"*"&amp;H$2&amp;"*")</f>
        <v>0</v>
      </c>
      <c r="I168" s="200">
        <f t="shared" si="840"/>
        <v>0</v>
      </c>
      <c r="J168" s="200">
        <f t="shared" si="840"/>
        <v>0</v>
      </c>
      <c r="K168" s="200">
        <f t="shared" si="840"/>
        <v>0</v>
      </c>
      <c r="L168" s="200">
        <f t="shared" si="840"/>
        <v>0</v>
      </c>
      <c r="M168" s="200">
        <f t="shared" si="840"/>
        <v>0</v>
      </c>
      <c r="N168" s="200">
        <f t="shared" si="840"/>
        <v>0</v>
      </c>
      <c r="O168" s="200">
        <f t="shared" si="840"/>
        <v>0</v>
      </c>
      <c r="P168" s="200">
        <f t="shared" si="9"/>
        <v>1</v>
      </c>
      <c r="Q168" s="200">
        <f t="shared" ref="Q168:AC168" si="841">countif($D168,"*"&amp;Q$2&amp;"*")</f>
        <v>0</v>
      </c>
      <c r="R168" s="200">
        <f t="shared" si="841"/>
        <v>0</v>
      </c>
      <c r="S168" s="200">
        <f t="shared" si="841"/>
        <v>0</v>
      </c>
      <c r="T168" s="200">
        <f t="shared" si="841"/>
        <v>0</v>
      </c>
      <c r="U168" s="200">
        <f t="shared" si="841"/>
        <v>0</v>
      </c>
      <c r="V168" s="200">
        <f t="shared" si="841"/>
        <v>0</v>
      </c>
      <c r="W168" s="200">
        <f t="shared" si="841"/>
        <v>0</v>
      </c>
      <c r="X168" s="200">
        <f t="shared" si="841"/>
        <v>0</v>
      </c>
      <c r="Y168" s="200">
        <f t="shared" si="841"/>
        <v>0</v>
      </c>
      <c r="Z168" s="200">
        <f t="shared" si="841"/>
        <v>0</v>
      </c>
      <c r="AA168" s="200">
        <f t="shared" si="841"/>
        <v>0</v>
      </c>
      <c r="AB168" s="200">
        <f t="shared" si="841"/>
        <v>0</v>
      </c>
      <c r="AC168" s="200">
        <f t="shared" si="841"/>
        <v>0</v>
      </c>
      <c r="AD168" s="200">
        <f t="shared" si="11"/>
        <v>0</v>
      </c>
      <c r="AE168" s="200">
        <f t="shared" ref="AE168:AG168" si="842">countif($D168,"*"&amp;AE$2&amp;"*")</f>
        <v>0</v>
      </c>
      <c r="AF168" s="200">
        <f t="shared" si="842"/>
        <v>0</v>
      </c>
      <c r="AG168" s="200">
        <f t="shared" si="842"/>
        <v>0</v>
      </c>
      <c r="AH168" s="171">
        <f t="shared" si="13"/>
        <v>0</v>
      </c>
      <c r="AI168" s="200">
        <f t="shared" si="14"/>
        <v>0</v>
      </c>
      <c r="AJ168" s="200">
        <f t="shared" si="137"/>
        <v>0</v>
      </c>
      <c r="AK168" s="201">
        <f t="shared" ref="AK168:AS168" si="843">countif($D168,"*"&amp;AK$2&amp;"*")</f>
        <v>0</v>
      </c>
      <c r="AL168" s="201">
        <f t="shared" si="843"/>
        <v>0</v>
      </c>
      <c r="AM168" s="201">
        <f t="shared" si="843"/>
        <v>0</v>
      </c>
      <c r="AN168" s="201">
        <f t="shared" si="843"/>
        <v>0</v>
      </c>
      <c r="AO168" s="201">
        <f t="shared" si="843"/>
        <v>0</v>
      </c>
      <c r="AP168" s="201">
        <f t="shared" si="843"/>
        <v>0</v>
      </c>
      <c r="AQ168" s="201">
        <f t="shared" si="843"/>
        <v>0</v>
      </c>
      <c r="AR168" s="200">
        <f t="shared" si="843"/>
        <v>0</v>
      </c>
      <c r="AS168" s="200">
        <f t="shared" si="843"/>
        <v>0</v>
      </c>
      <c r="AT168" s="173">
        <v>0.0</v>
      </c>
      <c r="AU168" s="200">
        <f t="shared" ref="AU168:AX168" si="844">countif($D168,"*"&amp;AU$2&amp;"*")</f>
        <v>0</v>
      </c>
      <c r="AV168" s="200">
        <f t="shared" si="844"/>
        <v>1</v>
      </c>
      <c r="AW168" s="200">
        <f t="shared" si="844"/>
        <v>0</v>
      </c>
      <c r="AX168" s="200">
        <f t="shared" si="844"/>
        <v>0</v>
      </c>
      <c r="AY168" s="202">
        <v>0.0</v>
      </c>
      <c r="AZ168" s="200"/>
      <c r="BA168" s="171" t="str">
        <f t="shared" si="18"/>
        <v/>
      </c>
      <c r="BB168" s="171" t="str">
        <f t="shared" si="19"/>
        <v>Code</v>
      </c>
      <c r="BC168" s="171" t="str">
        <f t="shared" si="20"/>
        <v/>
      </c>
      <c r="BD168" s="171" t="str">
        <f t="shared" si="21"/>
        <v/>
      </c>
      <c r="BE168" s="171" t="str">
        <f t="shared" si="22"/>
        <v/>
      </c>
      <c r="BF168" s="171" t="str">
        <f t="shared" si="23"/>
        <v>Code</v>
      </c>
    </row>
    <row r="169">
      <c r="A169" s="171">
        <f t="array" ref="A169">XLOOKUP(C169,ICSE!A:A,ICSE!C:C,,2,1)</f>
        <v>2022</v>
      </c>
      <c r="B169" s="171" t="s">
        <v>5675</v>
      </c>
      <c r="C169" s="160">
        <v>154.0</v>
      </c>
      <c r="D169" s="161" t="s">
        <v>2675</v>
      </c>
      <c r="E169" s="197" t="str">
        <f t="array" ref="E169">XLOOKUP(C169,ICSE!A:A,ICSE!Z:Z,,0,1)</f>
        <v>Publicly available (1)</v>
      </c>
      <c r="F169" s="198" t="s">
        <v>20</v>
      </c>
      <c r="G169" s="163" t="str">
        <f t="array" ref="G169">IF(B169="ICSE",IF(COUNTIFS(B:B,B169,C:C,C169)=XLOOKUP(C169,ICSE!A:A,ICSE!AA:AA,"ERROR",0,1),"OK","ERROR"),IF(B169="FSE",IF(COUNTIFS(B:B,B169,C:C,C169)=XLOOKUP(C169,FSE!A:A,FSE!AA:AA,"ERROR",0,1),"OK","ERROR")))</f>
        <v>OK</v>
      </c>
      <c r="H169" s="199">
        <f t="shared" ref="H169:O169" si="845">countif($D169,"*"&amp;H$2&amp;"*")</f>
        <v>1</v>
      </c>
      <c r="I169" s="200">
        <f t="shared" si="845"/>
        <v>0</v>
      </c>
      <c r="J169" s="200">
        <f t="shared" si="845"/>
        <v>0</v>
      </c>
      <c r="K169" s="200">
        <f t="shared" si="845"/>
        <v>0</v>
      </c>
      <c r="L169" s="200">
        <f t="shared" si="845"/>
        <v>0</v>
      </c>
      <c r="M169" s="200">
        <f t="shared" si="845"/>
        <v>0</v>
      </c>
      <c r="N169" s="200">
        <f t="shared" si="845"/>
        <v>0</v>
      </c>
      <c r="O169" s="200">
        <f t="shared" si="845"/>
        <v>0</v>
      </c>
      <c r="P169" s="200">
        <f t="shared" si="9"/>
        <v>0</v>
      </c>
      <c r="Q169" s="200">
        <f t="shared" ref="Q169:AC169" si="846">countif($D169,"*"&amp;Q$2&amp;"*")</f>
        <v>0</v>
      </c>
      <c r="R169" s="200">
        <f t="shared" si="846"/>
        <v>0</v>
      </c>
      <c r="S169" s="200">
        <f t="shared" si="846"/>
        <v>0</v>
      </c>
      <c r="T169" s="200">
        <f t="shared" si="846"/>
        <v>0</v>
      </c>
      <c r="U169" s="200">
        <f t="shared" si="846"/>
        <v>0</v>
      </c>
      <c r="V169" s="200">
        <f t="shared" si="846"/>
        <v>0</v>
      </c>
      <c r="W169" s="200">
        <f t="shared" si="846"/>
        <v>0</v>
      </c>
      <c r="X169" s="200">
        <f t="shared" si="846"/>
        <v>0</v>
      </c>
      <c r="Y169" s="200">
        <f t="shared" si="846"/>
        <v>0</v>
      </c>
      <c r="Z169" s="200">
        <f t="shared" si="846"/>
        <v>0</v>
      </c>
      <c r="AA169" s="200">
        <f t="shared" si="846"/>
        <v>0</v>
      </c>
      <c r="AB169" s="200">
        <f t="shared" si="846"/>
        <v>0</v>
      </c>
      <c r="AC169" s="200">
        <f t="shared" si="846"/>
        <v>0</v>
      </c>
      <c r="AD169" s="200">
        <f t="shared" si="11"/>
        <v>0</v>
      </c>
      <c r="AE169" s="200">
        <f t="shared" ref="AE169:AG169" si="847">countif($D169,"*"&amp;AE$2&amp;"*")</f>
        <v>0</v>
      </c>
      <c r="AF169" s="200">
        <f t="shared" si="847"/>
        <v>0</v>
      </c>
      <c r="AG169" s="200">
        <f t="shared" si="847"/>
        <v>0</v>
      </c>
      <c r="AH169" s="171">
        <f t="shared" si="13"/>
        <v>0</v>
      </c>
      <c r="AI169" s="200">
        <f t="shared" si="14"/>
        <v>1</v>
      </c>
      <c r="AJ169" s="200">
        <f t="shared" si="137"/>
        <v>0</v>
      </c>
      <c r="AK169" s="201">
        <f t="shared" ref="AK169:AS169" si="848">countif($D169,"*"&amp;AK$2&amp;"*")</f>
        <v>0</v>
      </c>
      <c r="AL169" s="201">
        <f t="shared" si="848"/>
        <v>0</v>
      </c>
      <c r="AM169" s="201">
        <f t="shared" si="848"/>
        <v>0</v>
      </c>
      <c r="AN169" s="201">
        <f t="shared" si="848"/>
        <v>0</v>
      </c>
      <c r="AO169" s="201">
        <f t="shared" si="848"/>
        <v>0</v>
      </c>
      <c r="AP169" s="201">
        <f t="shared" si="848"/>
        <v>0</v>
      </c>
      <c r="AQ169" s="201">
        <f t="shared" si="848"/>
        <v>0</v>
      </c>
      <c r="AR169" s="200">
        <f t="shared" si="848"/>
        <v>0</v>
      </c>
      <c r="AS169" s="200">
        <f t="shared" si="848"/>
        <v>0</v>
      </c>
      <c r="AT169" s="173">
        <v>0.0</v>
      </c>
      <c r="AU169" s="200">
        <f t="shared" ref="AU169:AX169" si="849">countif($D169,"*"&amp;AU$2&amp;"*")</f>
        <v>0</v>
      </c>
      <c r="AV169" s="200">
        <f t="shared" si="849"/>
        <v>0</v>
      </c>
      <c r="AW169" s="200">
        <f t="shared" si="849"/>
        <v>0</v>
      </c>
      <c r="AX169" s="200">
        <f t="shared" si="849"/>
        <v>1</v>
      </c>
      <c r="AY169" s="202">
        <v>0.0</v>
      </c>
      <c r="AZ169" s="200"/>
      <c r="BA169" s="171" t="str">
        <f t="shared" si="18"/>
        <v>Archival</v>
      </c>
      <c r="BB169" s="171" t="str">
        <f t="shared" si="19"/>
        <v/>
      </c>
      <c r="BC169" s="171" t="str">
        <f t="shared" si="20"/>
        <v/>
      </c>
      <c r="BD169" s="171" t="str">
        <f t="shared" si="21"/>
        <v/>
      </c>
      <c r="BE169" s="171" t="str">
        <f t="shared" si="22"/>
        <v/>
      </c>
      <c r="BF169" s="171" t="str">
        <f t="shared" si="23"/>
        <v>Archival</v>
      </c>
    </row>
    <row r="170">
      <c r="A170" s="171">
        <f t="array" ref="A170">XLOOKUP(C170,ICSE!A:A,ICSE!C:C,,2,1)</f>
        <v>2022</v>
      </c>
      <c r="B170" s="171" t="s">
        <v>5675</v>
      </c>
      <c r="C170" s="160">
        <v>155.0</v>
      </c>
      <c r="D170" s="161" t="s">
        <v>2677</v>
      </c>
      <c r="E170" s="197" t="str">
        <f t="array" ref="E170">XLOOKUP(C170,ICSE!A:A,ICSE!Z:Z,,0,1)</f>
        <v>Publicly available (1)</v>
      </c>
      <c r="F170" s="198" t="s">
        <v>20</v>
      </c>
      <c r="G170" s="163" t="str">
        <f t="array" ref="G170">IF(B170="ICSE",IF(COUNTIFS(B:B,B170,C:C,C170)=XLOOKUP(C170,ICSE!A:A,ICSE!AA:AA,"ERROR",0,1),"OK","ERROR"),IF(B170="FSE",IF(COUNTIFS(B:B,B170,C:C,C170)=XLOOKUP(C170,FSE!A:A,FSE!AA:AA,"ERROR",0,1),"OK","ERROR")))</f>
        <v>OK</v>
      </c>
      <c r="H170" s="199">
        <f t="shared" ref="H170:O170" si="850">countif($D170,"*"&amp;H$2&amp;"*")</f>
        <v>0</v>
      </c>
      <c r="I170" s="200">
        <f t="shared" si="850"/>
        <v>0</v>
      </c>
      <c r="J170" s="200">
        <f t="shared" si="850"/>
        <v>0</v>
      </c>
      <c r="K170" s="200">
        <f t="shared" si="850"/>
        <v>0</v>
      </c>
      <c r="L170" s="200">
        <f t="shared" si="850"/>
        <v>0</v>
      </c>
      <c r="M170" s="200">
        <f t="shared" si="850"/>
        <v>0</v>
      </c>
      <c r="N170" s="200">
        <f t="shared" si="850"/>
        <v>0</v>
      </c>
      <c r="O170" s="200">
        <f t="shared" si="850"/>
        <v>0</v>
      </c>
      <c r="P170" s="200">
        <f t="shared" si="9"/>
        <v>1</v>
      </c>
      <c r="Q170" s="200">
        <f t="shared" ref="Q170:AC170" si="851">countif($D170,"*"&amp;Q$2&amp;"*")</f>
        <v>0</v>
      </c>
      <c r="R170" s="200">
        <f t="shared" si="851"/>
        <v>0</v>
      </c>
      <c r="S170" s="200">
        <f t="shared" si="851"/>
        <v>0</v>
      </c>
      <c r="T170" s="200">
        <f t="shared" si="851"/>
        <v>0</v>
      </c>
      <c r="U170" s="200">
        <f t="shared" si="851"/>
        <v>0</v>
      </c>
      <c r="V170" s="200">
        <f t="shared" si="851"/>
        <v>0</v>
      </c>
      <c r="W170" s="200">
        <f t="shared" si="851"/>
        <v>0</v>
      </c>
      <c r="X170" s="200">
        <f t="shared" si="851"/>
        <v>0</v>
      </c>
      <c r="Y170" s="200">
        <f t="shared" si="851"/>
        <v>0</v>
      </c>
      <c r="Z170" s="200">
        <f t="shared" si="851"/>
        <v>0</v>
      </c>
      <c r="AA170" s="200">
        <f t="shared" si="851"/>
        <v>0</v>
      </c>
      <c r="AB170" s="200">
        <f t="shared" si="851"/>
        <v>0</v>
      </c>
      <c r="AC170" s="200">
        <f t="shared" si="851"/>
        <v>0</v>
      </c>
      <c r="AD170" s="200">
        <f t="shared" si="11"/>
        <v>0</v>
      </c>
      <c r="AE170" s="200">
        <f t="shared" ref="AE170:AG170" si="852">countif($D170,"*"&amp;AE$2&amp;"*")</f>
        <v>0</v>
      </c>
      <c r="AF170" s="200">
        <f t="shared" si="852"/>
        <v>0</v>
      </c>
      <c r="AG170" s="200">
        <f t="shared" si="852"/>
        <v>0</v>
      </c>
      <c r="AH170" s="171">
        <f t="shared" si="13"/>
        <v>0</v>
      </c>
      <c r="AI170" s="200">
        <f t="shared" si="14"/>
        <v>0</v>
      </c>
      <c r="AJ170" s="200">
        <f t="shared" si="137"/>
        <v>0</v>
      </c>
      <c r="AK170" s="201">
        <f t="shared" ref="AK170:AS170" si="853">countif($D170,"*"&amp;AK$2&amp;"*")</f>
        <v>0</v>
      </c>
      <c r="AL170" s="201">
        <f t="shared" si="853"/>
        <v>0</v>
      </c>
      <c r="AM170" s="201">
        <f t="shared" si="853"/>
        <v>0</v>
      </c>
      <c r="AN170" s="201">
        <f t="shared" si="853"/>
        <v>0</v>
      </c>
      <c r="AO170" s="201">
        <f t="shared" si="853"/>
        <v>0</v>
      </c>
      <c r="AP170" s="201">
        <f t="shared" si="853"/>
        <v>0</v>
      </c>
      <c r="AQ170" s="201">
        <f t="shared" si="853"/>
        <v>0</v>
      </c>
      <c r="AR170" s="200">
        <f t="shared" si="853"/>
        <v>0</v>
      </c>
      <c r="AS170" s="200">
        <f t="shared" si="853"/>
        <v>0</v>
      </c>
      <c r="AT170" s="173">
        <v>0.0</v>
      </c>
      <c r="AU170" s="200">
        <f t="shared" ref="AU170:AX170" si="854">countif($D170,"*"&amp;AU$2&amp;"*")</f>
        <v>0</v>
      </c>
      <c r="AV170" s="200">
        <f t="shared" si="854"/>
        <v>1</v>
      </c>
      <c r="AW170" s="200">
        <f t="shared" si="854"/>
        <v>0</v>
      </c>
      <c r="AX170" s="200">
        <f t="shared" si="854"/>
        <v>0</v>
      </c>
      <c r="AY170" s="202">
        <v>0.0</v>
      </c>
      <c r="AZ170" s="200"/>
      <c r="BA170" s="171" t="str">
        <f t="shared" si="18"/>
        <v/>
      </c>
      <c r="BB170" s="171" t="str">
        <f t="shared" si="19"/>
        <v>Code</v>
      </c>
      <c r="BC170" s="171" t="str">
        <f t="shared" si="20"/>
        <v/>
      </c>
      <c r="BD170" s="171" t="str">
        <f t="shared" si="21"/>
        <v/>
      </c>
      <c r="BE170" s="171" t="str">
        <f t="shared" si="22"/>
        <v/>
      </c>
      <c r="BF170" s="171" t="str">
        <f t="shared" si="23"/>
        <v>Code</v>
      </c>
    </row>
    <row r="171">
      <c r="A171" s="171">
        <f t="array" ref="A171">XLOOKUP(C171,ICSE!A:A,ICSE!C:C,,2,1)</f>
        <v>2022</v>
      </c>
      <c r="B171" s="171" t="s">
        <v>5675</v>
      </c>
      <c r="C171" s="160">
        <v>156.0</v>
      </c>
      <c r="D171" s="161" t="s">
        <v>5795</v>
      </c>
      <c r="E171" s="197" t="str">
        <f t="array" ref="E171">XLOOKUP(C171,ICSE!A:A,ICSE!Z:Z,,0,1)</f>
        <v>Publicly available (2)</v>
      </c>
      <c r="F171" s="198" t="s">
        <v>20</v>
      </c>
      <c r="G171" s="163" t="str">
        <f t="array" ref="G171">IF(B171="ICSE",IF(COUNTIFS(B:B,B171,C:C,C171)=XLOOKUP(C171,ICSE!A:A,ICSE!AA:AA,"ERROR",0,1),"OK","ERROR"),IF(B171="FSE",IF(COUNTIFS(B:B,B171,C:C,C171)=XLOOKUP(C171,FSE!A:A,FSE!AA:AA,"ERROR",0,1),"OK","ERROR")))</f>
        <v>OK</v>
      </c>
      <c r="H171" s="199">
        <f t="shared" ref="H171:O171" si="855">countif($D171,"*"&amp;H$2&amp;"*")</f>
        <v>0</v>
      </c>
      <c r="I171" s="200">
        <f t="shared" si="855"/>
        <v>0</v>
      </c>
      <c r="J171" s="200">
        <f t="shared" si="855"/>
        <v>0</v>
      </c>
      <c r="K171" s="200">
        <f t="shared" si="855"/>
        <v>0</v>
      </c>
      <c r="L171" s="200">
        <f t="shared" si="855"/>
        <v>0</v>
      </c>
      <c r="M171" s="200">
        <f t="shared" si="855"/>
        <v>0</v>
      </c>
      <c r="N171" s="200">
        <f t="shared" si="855"/>
        <v>0</v>
      </c>
      <c r="O171" s="200">
        <f t="shared" si="855"/>
        <v>0</v>
      </c>
      <c r="P171" s="200">
        <f t="shared" si="9"/>
        <v>1</v>
      </c>
      <c r="Q171" s="200">
        <f t="shared" ref="Q171:AC171" si="856">countif($D171,"*"&amp;Q$2&amp;"*")</f>
        <v>0</v>
      </c>
      <c r="R171" s="200">
        <f t="shared" si="856"/>
        <v>0</v>
      </c>
      <c r="S171" s="200">
        <f t="shared" si="856"/>
        <v>0</v>
      </c>
      <c r="T171" s="200">
        <f t="shared" si="856"/>
        <v>0</v>
      </c>
      <c r="U171" s="200">
        <f t="shared" si="856"/>
        <v>0</v>
      </c>
      <c r="V171" s="200">
        <f t="shared" si="856"/>
        <v>0</v>
      </c>
      <c r="W171" s="200">
        <f t="shared" si="856"/>
        <v>0</v>
      </c>
      <c r="X171" s="200">
        <f t="shared" si="856"/>
        <v>0</v>
      </c>
      <c r="Y171" s="200">
        <f t="shared" si="856"/>
        <v>0</v>
      </c>
      <c r="Z171" s="200">
        <f t="shared" si="856"/>
        <v>0</v>
      </c>
      <c r="AA171" s="200">
        <f t="shared" si="856"/>
        <v>0</v>
      </c>
      <c r="AB171" s="200">
        <f t="shared" si="856"/>
        <v>0</v>
      </c>
      <c r="AC171" s="200">
        <f t="shared" si="856"/>
        <v>0</v>
      </c>
      <c r="AD171" s="200">
        <f t="shared" si="11"/>
        <v>0</v>
      </c>
      <c r="AE171" s="200">
        <f t="shared" ref="AE171:AG171" si="857">countif($D171,"*"&amp;AE$2&amp;"*")</f>
        <v>0</v>
      </c>
      <c r="AF171" s="200">
        <f t="shared" si="857"/>
        <v>0</v>
      </c>
      <c r="AG171" s="200">
        <f t="shared" si="857"/>
        <v>0</v>
      </c>
      <c r="AH171" s="171">
        <f t="shared" si="13"/>
        <v>0</v>
      </c>
      <c r="AI171" s="200">
        <f t="shared" si="14"/>
        <v>0</v>
      </c>
      <c r="AJ171" s="200">
        <f t="shared" si="137"/>
        <v>0</v>
      </c>
      <c r="AK171" s="201">
        <f t="shared" ref="AK171:AS171" si="858">countif($D171,"*"&amp;AK$2&amp;"*")</f>
        <v>0</v>
      </c>
      <c r="AL171" s="201">
        <f t="shared" si="858"/>
        <v>0</v>
      </c>
      <c r="AM171" s="201">
        <f t="shared" si="858"/>
        <v>0</v>
      </c>
      <c r="AN171" s="201">
        <f t="shared" si="858"/>
        <v>0</v>
      </c>
      <c r="AO171" s="201">
        <f t="shared" si="858"/>
        <v>0</v>
      </c>
      <c r="AP171" s="201">
        <f t="shared" si="858"/>
        <v>0</v>
      </c>
      <c r="AQ171" s="201">
        <f t="shared" si="858"/>
        <v>0</v>
      </c>
      <c r="AR171" s="200">
        <f t="shared" si="858"/>
        <v>0</v>
      </c>
      <c r="AS171" s="200">
        <f t="shared" si="858"/>
        <v>0</v>
      </c>
      <c r="AT171" s="173">
        <v>0.0</v>
      </c>
      <c r="AU171" s="200">
        <f t="shared" ref="AU171:AX171" si="859">countif($D171,"*"&amp;AU$2&amp;"*")</f>
        <v>0</v>
      </c>
      <c r="AV171" s="200">
        <f t="shared" si="859"/>
        <v>1</v>
      </c>
      <c r="AW171" s="200">
        <f t="shared" si="859"/>
        <v>0</v>
      </c>
      <c r="AX171" s="200">
        <f t="shared" si="859"/>
        <v>0</v>
      </c>
      <c r="AY171" s="202">
        <v>0.0</v>
      </c>
      <c r="AZ171" s="200"/>
      <c r="BA171" s="171" t="str">
        <f t="shared" si="18"/>
        <v/>
      </c>
      <c r="BB171" s="171" t="str">
        <f t="shared" si="19"/>
        <v>Code</v>
      </c>
      <c r="BC171" s="171" t="str">
        <f t="shared" si="20"/>
        <v/>
      </c>
      <c r="BD171" s="171" t="str">
        <f t="shared" si="21"/>
        <v/>
      </c>
      <c r="BE171" s="171" t="str">
        <f t="shared" si="22"/>
        <v/>
      </c>
      <c r="BF171" s="171" t="str">
        <f t="shared" si="23"/>
        <v>Code</v>
      </c>
    </row>
    <row r="172">
      <c r="A172" s="171">
        <f t="array" ref="A172">XLOOKUP(C172,ICSE!A:A,ICSE!C:C,,2,1)</f>
        <v>2022</v>
      </c>
      <c r="B172" s="171" t="s">
        <v>5675</v>
      </c>
      <c r="C172" s="160">
        <v>156.0</v>
      </c>
      <c r="D172" s="161" t="s">
        <v>5796</v>
      </c>
      <c r="E172" s="197" t="str">
        <f t="array" ref="E172">XLOOKUP(C172,ICSE!A:A,ICSE!Z:Z,,0,1)</f>
        <v>Publicly available (2)</v>
      </c>
      <c r="F172" s="198" t="s">
        <v>20</v>
      </c>
      <c r="G172" s="163" t="str">
        <f t="array" ref="G172">IF(B172="ICSE",IF(COUNTIFS(B:B,B172,C:C,C172)=XLOOKUP(C172,ICSE!A:A,ICSE!AA:AA,"ERROR",0,1),"OK","ERROR"),IF(B172="FSE",IF(COUNTIFS(B:B,B172,C:C,C172)=XLOOKUP(C172,FSE!A:A,FSE!AA:AA,"ERROR",0,1),"OK","ERROR")))</f>
        <v>OK</v>
      </c>
      <c r="H172" s="199">
        <f t="shared" ref="H172:O172" si="860">countif($D172,"*"&amp;H$2&amp;"*")</f>
        <v>1</v>
      </c>
      <c r="I172" s="200">
        <f t="shared" si="860"/>
        <v>0</v>
      </c>
      <c r="J172" s="200">
        <f t="shared" si="860"/>
        <v>0</v>
      </c>
      <c r="K172" s="200">
        <f t="shared" si="860"/>
        <v>0</v>
      </c>
      <c r="L172" s="200">
        <f t="shared" si="860"/>
        <v>0</v>
      </c>
      <c r="M172" s="200">
        <f t="shared" si="860"/>
        <v>0</v>
      </c>
      <c r="N172" s="200">
        <f t="shared" si="860"/>
        <v>0</v>
      </c>
      <c r="O172" s="200">
        <f t="shared" si="860"/>
        <v>0</v>
      </c>
      <c r="P172" s="200">
        <f t="shared" si="9"/>
        <v>0</v>
      </c>
      <c r="Q172" s="200">
        <f t="shared" ref="Q172:AC172" si="861">countif($D172,"*"&amp;Q$2&amp;"*")</f>
        <v>0</v>
      </c>
      <c r="R172" s="200">
        <f t="shared" si="861"/>
        <v>0</v>
      </c>
      <c r="S172" s="200">
        <f t="shared" si="861"/>
        <v>0</v>
      </c>
      <c r="T172" s="200">
        <f t="shared" si="861"/>
        <v>0</v>
      </c>
      <c r="U172" s="200">
        <f t="shared" si="861"/>
        <v>0</v>
      </c>
      <c r="V172" s="200">
        <f t="shared" si="861"/>
        <v>0</v>
      </c>
      <c r="W172" s="200">
        <f t="shared" si="861"/>
        <v>0</v>
      </c>
      <c r="X172" s="200">
        <f t="shared" si="861"/>
        <v>0</v>
      </c>
      <c r="Y172" s="200">
        <f t="shared" si="861"/>
        <v>0</v>
      </c>
      <c r="Z172" s="200">
        <f t="shared" si="861"/>
        <v>0</v>
      </c>
      <c r="AA172" s="200">
        <f t="shared" si="861"/>
        <v>0</v>
      </c>
      <c r="AB172" s="200">
        <f t="shared" si="861"/>
        <v>0</v>
      </c>
      <c r="AC172" s="200">
        <f t="shared" si="861"/>
        <v>0</v>
      </c>
      <c r="AD172" s="200">
        <f t="shared" si="11"/>
        <v>0</v>
      </c>
      <c r="AE172" s="200">
        <f t="shared" ref="AE172:AG172" si="862">countif($D172,"*"&amp;AE$2&amp;"*")</f>
        <v>0</v>
      </c>
      <c r="AF172" s="200">
        <f t="shared" si="862"/>
        <v>0</v>
      </c>
      <c r="AG172" s="200">
        <f t="shared" si="862"/>
        <v>0</v>
      </c>
      <c r="AH172" s="171">
        <f t="shared" si="13"/>
        <v>0</v>
      </c>
      <c r="AI172" s="200">
        <f t="shared" si="14"/>
        <v>1</v>
      </c>
      <c r="AJ172" s="200">
        <f t="shared" si="137"/>
        <v>0</v>
      </c>
      <c r="AK172" s="201">
        <f t="shared" ref="AK172:AS172" si="863">countif($D172,"*"&amp;AK$2&amp;"*")</f>
        <v>0</v>
      </c>
      <c r="AL172" s="201">
        <f t="shared" si="863"/>
        <v>0</v>
      </c>
      <c r="AM172" s="201">
        <f t="shared" si="863"/>
        <v>0</v>
      </c>
      <c r="AN172" s="201">
        <f t="shared" si="863"/>
        <v>0</v>
      </c>
      <c r="AO172" s="201">
        <f t="shared" si="863"/>
        <v>0</v>
      </c>
      <c r="AP172" s="201">
        <f t="shared" si="863"/>
        <v>0</v>
      </c>
      <c r="AQ172" s="201">
        <f t="shared" si="863"/>
        <v>0</v>
      </c>
      <c r="AR172" s="200">
        <f t="shared" si="863"/>
        <v>0</v>
      </c>
      <c r="AS172" s="200">
        <f t="shared" si="863"/>
        <v>0</v>
      </c>
      <c r="AT172" s="173">
        <v>0.0</v>
      </c>
      <c r="AU172" s="200">
        <f t="shared" ref="AU172:AX172" si="864">countif($D172,"*"&amp;AU$2&amp;"*")</f>
        <v>0</v>
      </c>
      <c r="AV172" s="200">
        <f t="shared" si="864"/>
        <v>0</v>
      </c>
      <c r="AW172" s="200">
        <f t="shared" si="864"/>
        <v>0</v>
      </c>
      <c r="AX172" s="200">
        <f t="shared" si="864"/>
        <v>1</v>
      </c>
      <c r="AY172" s="202">
        <v>0.0</v>
      </c>
      <c r="AZ172" s="200"/>
      <c r="BA172" s="171" t="str">
        <f t="shared" si="18"/>
        <v>Archival</v>
      </c>
      <c r="BB172" s="171" t="str">
        <f t="shared" si="19"/>
        <v/>
      </c>
      <c r="BC172" s="171" t="str">
        <f t="shared" si="20"/>
        <v/>
      </c>
      <c r="BD172" s="171" t="str">
        <f t="shared" si="21"/>
        <v/>
      </c>
      <c r="BE172" s="171" t="str">
        <f t="shared" si="22"/>
        <v/>
      </c>
      <c r="BF172" s="171" t="str">
        <f t="shared" si="23"/>
        <v>Archival</v>
      </c>
    </row>
    <row r="173">
      <c r="A173" s="171">
        <f t="array" ref="A173">XLOOKUP(C173,ICSE!A:A,ICSE!C:C,,2,1)</f>
        <v>2022</v>
      </c>
      <c r="B173" s="171" t="s">
        <v>5675</v>
      </c>
      <c r="C173" s="160">
        <v>158.0</v>
      </c>
      <c r="D173" s="161" t="s">
        <v>5797</v>
      </c>
      <c r="E173" s="197" t="str">
        <f t="array" ref="E173">XLOOKUP(C173,ICSE!A:A,ICSE!Z:Z,,0,1)</f>
        <v>Publicly available (2)</v>
      </c>
      <c r="F173" s="198" t="s">
        <v>20</v>
      </c>
      <c r="G173" s="163" t="str">
        <f t="array" ref="G173">IF(B173="ICSE",IF(COUNTIFS(B:B,B173,C:C,C173)=XLOOKUP(C173,ICSE!A:A,ICSE!AA:AA,"ERROR",0,1),"OK","ERROR"),IF(B173="FSE",IF(COUNTIFS(B:B,B173,C:C,C173)=XLOOKUP(C173,FSE!A:A,FSE!AA:AA,"ERROR",0,1),"OK","ERROR")))</f>
        <v>OK</v>
      </c>
      <c r="H173" s="199">
        <f t="shared" ref="H173:O173" si="865">countif($D173,"*"&amp;H$2&amp;"*")</f>
        <v>1</v>
      </c>
      <c r="I173" s="200">
        <f t="shared" si="865"/>
        <v>0</v>
      </c>
      <c r="J173" s="200">
        <f t="shared" si="865"/>
        <v>0</v>
      </c>
      <c r="K173" s="200">
        <f t="shared" si="865"/>
        <v>0</v>
      </c>
      <c r="L173" s="200">
        <f t="shared" si="865"/>
        <v>0</v>
      </c>
      <c r="M173" s="200">
        <f t="shared" si="865"/>
        <v>0</v>
      </c>
      <c r="N173" s="200">
        <f t="shared" si="865"/>
        <v>0</v>
      </c>
      <c r="O173" s="200">
        <f t="shared" si="865"/>
        <v>0</v>
      </c>
      <c r="P173" s="200">
        <f t="shared" si="9"/>
        <v>0</v>
      </c>
      <c r="Q173" s="200">
        <f t="shared" ref="Q173:AC173" si="866">countif($D173,"*"&amp;Q$2&amp;"*")</f>
        <v>0</v>
      </c>
      <c r="R173" s="200">
        <f t="shared" si="866"/>
        <v>0</v>
      </c>
      <c r="S173" s="200">
        <f t="shared" si="866"/>
        <v>0</v>
      </c>
      <c r="T173" s="200">
        <f t="shared" si="866"/>
        <v>0</v>
      </c>
      <c r="U173" s="200">
        <f t="shared" si="866"/>
        <v>0</v>
      </c>
      <c r="V173" s="200">
        <f t="shared" si="866"/>
        <v>0</v>
      </c>
      <c r="W173" s="200">
        <f t="shared" si="866"/>
        <v>0</v>
      </c>
      <c r="X173" s="200">
        <f t="shared" si="866"/>
        <v>0</v>
      </c>
      <c r="Y173" s="200">
        <f t="shared" si="866"/>
        <v>0</v>
      </c>
      <c r="Z173" s="200">
        <f t="shared" si="866"/>
        <v>0</v>
      </c>
      <c r="AA173" s="200">
        <f t="shared" si="866"/>
        <v>0</v>
      </c>
      <c r="AB173" s="200">
        <f t="shared" si="866"/>
        <v>0</v>
      </c>
      <c r="AC173" s="200">
        <f t="shared" si="866"/>
        <v>0</v>
      </c>
      <c r="AD173" s="200">
        <f t="shared" si="11"/>
        <v>0</v>
      </c>
      <c r="AE173" s="200">
        <f t="shared" ref="AE173:AG173" si="867">countif($D173,"*"&amp;AE$2&amp;"*")</f>
        <v>0</v>
      </c>
      <c r="AF173" s="200">
        <f t="shared" si="867"/>
        <v>0</v>
      </c>
      <c r="AG173" s="200">
        <f t="shared" si="867"/>
        <v>0</v>
      </c>
      <c r="AH173" s="171">
        <f t="shared" si="13"/>
        <v>0</v>
      </c>
      <c r="AI173" s="200">
        <f t="shared" si="14"/>
        <v>1</v>
      </c>
      <c r="AJ173" s="200">
        <f t="shared" si="137"/>
        <v>0</v>
      </c>
      <c r="AK173" s="201">
        <f t="shared" ref="AK173:AS173" si="868">countif($D173,"*"&amp;AK$2&amp;"*")</f>
        <v>0</v>
      </c>
      <c r="AL173" s="201">
        <f t="shared" si="868"/>
        <v>0</v>
      </c>
      <c r="AM173" s="201">
        <f t="shared" si="868"/>
        <v>0</v>
      </c>
      <c r="AN173" s="201">
        <f t="shared" si="868"/>
        <v>0</v>
      </c>
      <c r="AO173" s="201">
        <f t="shared" si="868"/>
        <v>0</v>
      </c>
      <c r="AP173" s="201">
        <f t="shared" si="868"/>
        <v>0</v>
      </c>
      <c r="AQ173" s="201">
        <f t="shared" si="868"/>
        <v>0</v>
      </c>
      <c r="AR173" s="200">
        <f t="shared" si="868"/>
        <v>0</v>
      </c>
      <c r="AS173" s="200">
        <f t="shared" si="868"/>
        <v>0</v>
      </c>
      <c r="AT173" s="173">
        <v>0.0</v>
      </c>
      <c r="AU173" s="200">
        <f t="shared" ref="AU173:AX173" si="869">countif($D173,"*"&amp;AU$2&amp;"*")</f>
        <v>0</v>
      </c>
      <c r="AV173" s="200">
        <f t="shared" si="869"/>
        <v>0</v>
      </c>
      <c r="AW173" s="200">
        <f t="shared" si="869"/>
        <v>0</v>
      </c>
      <c r="AX173" s="200">
        <f t="shared" si="869"/>
        <v>1</v>
      </c>
      <c r="AY173" s="202">
        <v>0.0</v>
      </c>
      <c r="AZ173" s="200"/>
      <c r="BA173" s="171" t="str">
        <f t="shared" si="18"/>
        <v>Archival</v>
      </c>
      <c r="BB173" s="171" t="str">
        <f t="shared" si="19"/>
        <v/>
      </c>
      <c r="BC173" s="171" t="str">
        <f t="shared" si="20"/>
        <v/>
      </c>
      <c r="BD173" s="171" t="str">
        <f t="shared" si="21"/>
        <v/>
      </c>
      <c r="BE173" s="171" t="str">
        <f t="shared" si="22"/>
        <v/>
      </c>
      <c r="BF173" s="171" t="str">
        <f t="shared" si="23"/>
        <v>Archival</v>
      </c>
    </row>
    <row r="174">
      <c r="A174" s="171">
        <f t="array" ref="A174">XLOOKUP(C174,ICSE!A:A,ICSE!C:C,,2,1)</f>
        <v>2022</v>
      </c>
      <c r="B174" s="171" t="s">
        <v>5675</v>
      </c>
      <c r="C174" s="160">
        <v>158.0</v>
      </c>
      <c r="D174" s="161" t="s">
        <v>5798</v>
      </c>
      <c r="E174" s="197" t="str">
        <f t="array" ref="E174">XLOOKUP(C174,ICSE!A:A,ICSE!Z:Z,,0,1)</f>
        <v>Publicly available (2)</v>
      </c>
      <c r="F174" s="198" t="s">
        <v>20</v>
      </c>
      <c r="G174" s="163" t="str">
        <f t="array" ref="G174">IF(B174="ICSE",IF(COUNTIFS(B:B,B174,C:C,C174)=XLOOKUP(C174,ICSE!A:A,ICSE!AA:AA,"ERROR",0,1),"OK","ERROR"),IF(B174="FSE",IF(COUNTIFS(B:B,B174,C:C,C174)=XLOOKUP(C174,FSE!A:A,FSE!AA:AA,"ERROR",0,1),"OK","ERROR")))</f>
        <v>OK</v>
      </c>
      <c r="H174" s="199">
        <f t="shared" ref="H174:O174" si="870">countif($D174,"*"&amp;H$2&amp;"*")</f>
        <v>0</v>
      </c>
      <c r="I174" s="200">
        <f t="shared" si="870"/>
        <v>0</v>
      </c>
      <c r="J174" s="200">
        <f t="shared" si="870"/>
        <v>0</v>
      </c>
      <c r="K174" s="200">
        <f t="shared" si="870"/>
        <v>0</v>
      </c>
      <c r="L174" s="200">
        <f t="shared" si="870"/>
        <v>0</v>
      </c>
      <c r="M174" s="200">
        <f t="shared" si="870"/>
        <v>0</v>
      </c>
      <c r="N174" s="200">
        <f t="shared" si="870"/>
        <v>0</v>
      </c>
      <c r="O174" s="200">
        <f t="shared" si="870"/>
        <v>0</v>
      </c>
      <c r="P174" s="200">
        <f t="shared" si="9"/>
        <v>1</v>
      </c>
      <c r="Q174" s="200">
        <f t="shared" ref="Q174:AC174" si="871">countif($D174,"*"&amp;Q$2&amp;"*")</f>
        <v>0</v>
      </c>
      <c r="R174" s="200">
        <f t="shared" si="871"/>
        <v>0</v>
      </c>
      <c r="S174" s="200">
        <f t="shared" si="871"/>
        <v>0</v>
      </c>
      <c r="T174" s="200">
        <f t="shared" si="871"/>
        <v>0</v>
      </c>
      <c r="U174" s="200">
        <f t="shared" si="871"/>
        <v>0</v>
      </c>
      <c r="V174" s="200">
        <f t="shared" si="871"/>
        <v>0</v>
      </c>
      <c r="W174" s="200">
        <f t="shared" si="871"/>
        <v>0</v>
      </c>
      <c r="X174" s="200">
        <f t="shared" si="871"/>
        <v>0</v>
      </c>
      <c r="Y174" s="200">
        <f t="shared" si="871"/>
        <v>0</v>
      </c>
      <c r="Z174" s="200">
        <f t="shared" si="871"/>
        <v>0</v>
      </c>
      <c r="AA174" s="200">
        <f t="shared" si="871"/>
        <v>0</v>
      </c>
      <c r="AB174" s="200">
        <f t="shared" si="871"/>
        <v>0</v>
      </c>
      <c r="AC174" s="200">
        <f t="shared" si="871"/>
        <v>0</v>
      </c>
      <c r="AD174" s="200">
        <f t="shared" si="11"/>
        <v>0</v>
      </c>
      <c r="AE174" s="200">
        <f t="shared" ref="AE174:AG174" si="872">countif($D174,"*"&amp;AE$2&amp;"*")</f>
        <v>0</v>
      </c>
      <c r="AF174" s="200">
        <f t="shared" si="872"/>
        <v>0</v>
      </c>
      <c r="AG174" s="200">
        <f t="shared" si="872"/>
        <v>0</v>
      </c>
      <c r="AH174" s="171">
        <f t="shared" si="13"/>
        <v>0</v>
      </c>
      <c r="AI174" s="200">
        <f t="shared" si="14"/>
        <v>0</v>
      </c>
      <c r="AJ174" s="200">
        <f t="shared" si="137"/>
        <v>0</v>
      </c>
      <c r="AK174" s="201">
        <f t="shared" ref="AK174:AS174" si="873">countif($D174,"*"&amp;AK$2&amp;"*")</f>
        <v>0</v>
      </c>
      <c r="AL174" s="201">
        <f t="shared" si="873"/>
        <v>0</v>
      </c>
      <c r="AM174" s="201">
        <f t="shared" si="873"/>
        <v>0</v>
      </c>
      <c r="AN174" s="201">
        <f t="shared" si="873"/>
        <v>0</v>
      </c>
      <c r="AO174" s="201">
        <f t="shared" si="873"/>
        <v>0</v>
      </c>
      <c r="AP174" s="201">
        <f t="shared" si="873"/>
        <v>0</v>
      </c>
      <c r="AQ174" s="201">
        <f t="shared" si="873"/>
        <v>0</v>
      </c>
      <c r="AR174" s="200">
        <f t="shared" si="873"/>
        <v>0</v>
      </c>
      <c r="AS174" s="200">
        <f t="shared" si="873"/>
        <v>0</v>
      </c>
      <c r="AT174" s="173">
        <v>0.0</v>
      </c>
      <c r="AU174" s="200">
        <f t="shared" ref="AU174:AX174" si="874">countif($D174,"*"&amp;AU$2&amp;"*")</f>
        <v>0</v>
      </c>
      <c r="AV174" s="200">
        <f t="shared" si="874"/>
        <v>1</v>
      </c>
      <c r="AW174" s="200">
        <f t="shared" si="874"/>
        <v>0</v>
      </c>
      <c r="AX174" s="200">
        <f t="shared" si="874"/>
        <v>0</v>
      </c>
      <c r="AY174" s="202">
        <v>0.0</v>
      </c>
      <c r="AZ174" s="200"/>
      <c r="BA174" s="171" t="str">
        <f t="shared" si="18"/>
        <v/>
      </c>
      <c r="BB174" s="171" t="str">
        <f t="shared" si="19"/>
        <v>Code</v>
      </c>
      <c r="BC174" s="171" t="str">
        <f t="shared" si="20"/>
        <v/>
      </c>
      <c r="BD174" s="171" t="str">
        <f t="shared" si="21"/>
        <v/>
      </c>
      <c r="BE174" s="171" t="str">
        <f t="shared" si="22"/>
        <v/>
      </c>
      <c r="BF174" s="171" t="str">
        <f t="shared" si="23"/>
        <v>Code</v>
      </c>
    </row>
    <row r="175">
      <c r="A175" s="171">
        <f t="array" ref="A175">XLOOKUP(C175,ICSE!A:A,ICSE!C:C,,2,1)</f>
        <v>2022</v>
      </c>
      <c r="B175" s="171" t="s">
        <v>5675</v>
      </c>
      <c r="C175" s="160">
        <v>159.0</v>
      </c>
      <c r="D175" s="161" t="s">
        <v>2688</v>
      </c>
      <c r="E175" s="197" t="str">
        <f t="array" ref="E175">XLOOKUP(C175,ICSE!A:A,ICSE!Z:Z,,0,1)</f>
        <v>Publicly available (1)</v>
      </c>
      <c r="F175" s="198" t="s">
        <v>20</v>
      </c>
      <c r="G175" s="163" t="str">
        <f t="array" ref="G175">IF(B175="ICSE",IF(COUNTIFS(B:B,B175,C:C,C175)=XLOOKUP(C175,ICSE!A:A,ICSE!AA:AA,"ERROR",0,1),"OK","ERROR"),IF(B175="FSE",IF(COUNTIFS(B:B,B175,C:C,C175)=XLOOKUP(C175,FSE!A:A,FSE!AA:AA,"ERROR",0,1),"OK","ERROR")))</f>
        <v>OK</v>
      </c>
      <c r="H175" s="199">
        <f t="shared" ref="H175:O175" si="875">countif($D175,"*"&amp;H$2&amp;"*")</f>
        <v>0</v>
      </c>
      <c r="I175" s="200">
        <f t="shared" si="875"/>
        <v>0</v>
      </c>
      <c r="J175" s="200">
        <f t="shared" si="875"/>
        <v>0</v>
      </c>
      <c r="K175" s="200">
        <f t="shared" si="875"/>
        <v>0</v>
      </c>
      <c r="L175" s="200">
        <f t="shared" si="875"/>
        <v>0</v>
      </c>
      <c r="M175" s="200">
        <f t="shared" si="875"/>
        <v>0</v>
      </c>
      <c r="N175" s="200">
        <f t="shared" si="875"/>
        <v>0</v>
      </c>
      <c r="O175" s="200">
        <f t="shared" si="875"/>
        <v>0</v>
      </c>
      <c r="P175" s="200">
        <f t="shared" si="9"/>
        <v>1</v>
      </c>
      <c r="Q175" s="200">
        <f t="shared" ref="Q175:AC175" si="876">countif($D175,"*"&amp;Q$2&amp;"*")</f>
        <v>0</v>
      </c>
      <c r="R175" s="200">
        <f t="shared" si="876"/>
        <v>0</v>
      </c>
      <c r="S175" s="200">
        <f t="shared" si="876"/>
        <v>0</v>
      </c>
      <c r="T175" s="200">
        <f t="shared" si="876"/>
        <v>0</v>
      </c>
      <c r="U175" s="200">
        <f t="shared" si="876"/>
        <v>0</v>
      </c>
      <c r="V175" s="200">
        <f t="shared" si="876"/>
        <v>0</v>
      </c>
      <c r="W175" s="200">
        <f t="shared" si="876"/>
        <v>0</v>
      </c>
      <c r="X175" s="200">
        <f t="shared" si="876"/>
        <v>0</v>
      </c>
      <c r="Y175" s="200">
        <f t="shared" si="876"/>
        <v>0</v>
      </c>
      <c r="Z175" s="200">
        <f t="shared" si="876"/>
        <v>0</v>
      </c>
      <c r="AA175" s="200">
        <f t="shared" si="876"/>
        <v>0</v>
      </c>
      <c r="AB175" s="200">
        <f t="shared" si="876"/>
        <v>0</v>
      </c>
      <c r="AC175" s="200">
        <f t="shared" si="876"/>
        <v>0</v>
      </c>
      <c r="AD175" s="200">
        <f t="shared" si="11"/>
        <v>0</v>
      </c>
      <c r="AE175" s="200">
        <f t="shared" ref="AE175:AG175" si="877">countif($D175,"*"&amp;AE$2&amp;"*")</f>
        <v>0</v>
      </c>
      <c r="AF175" s="200">
        <f t="shared" si="877"/>
        <v>0</v>
      </c>
      <c r="AG175" s="200">
        <f t="shared" si="877"/>
        <v>0</v>
      </c>
      <c r="AH175" s="171">
        <f t="shared" si="13"/>
        <v>0</v>
      </c>
      <c r="AI175" s="200">
        <f t="shared" si="14"/>
        <v>0</v>
      </c>
      <c r="AJ175" s="200">
        <f t="shared" si="137"/>
        <v>0</v>
      </c>
      <c r="AK175" s="201">
        <f t="shared" ref="AK175:AS175" si="878">countif($D175,"*"&amp;AK$2&amp;"*")</f>
        <v>0</v>
      </c>
      <c r="AL175" s="201">
        <f t="shared" si="878"/>
        <v>0</v>
      </c>
      <c r="AM175" s="201">
        <f t="shared" si="878"/>
        <v>0</v>
      </c>
      <c r="AN175" s="201">
        <f t="shared" si="878"/>
        <v>0</v>
      </c>
      <c r="AO175" s="201">
        <f t="shared" si="878"/>
        <v>0</v>
      </c>
      <c r="AP175" s="201">
        <f t="shared" si="878"/>
        <v>0</v>
      </c>
      <c r="AQ175" s="201">
        <f t="shared" si="878"/>
        <v>0</v>
      </c>
      <c r="AR175" s="200">
        <f t="shared" si="878"/>
        <v>0</v>
      </c>
      <c r="AS175" s="200">
        <f t="shared" si="878"/>
        <v>0</v>
      </c>
      <c r="AT175" s="173">
        <v>0.0</v>
      </c>
      <c r="AU175" s="200">
        <f t="shared" ref="AU175:AX175" si="879">countif($D175,"*"&amp;AU$2&amp;"*")</f>
        <v>0</v>
      </c>
      <c r="AV175" s="200">
        <f t="shared" si="879"/>
        <v>1</v>
      </c>
      <c r="AW175" s="200">
        <f t="shared" si="879"/>
        <v>0</v>
      </c>
      <c r="AX175" s="200">
        <f t="shared" si="879"/>
        <v>0</v>
      </c>
      <c r="AY175" s="202">
        <v>0.0</v>
      </c>
      <c r="AZ175" s="200"/>
      <c r="BA175" s="171" t="str">
        <f t="shared" si="18"/>
        <v/>
      </c>
      <c r="BB175" s="171" t="str">
        <f t="shared" si="19"/>
        <v>Code</v>
      </c>
      <c r="BC175" s="171" t="str">
        <f t="shared" si="20"/>
        <v/>
      </c>
      <c r="BD175" s="171" t="str">
        <f t="shared" si="21"/>
        <v/>
      </c>
      <c r="BE175" s="171" t="str">
        <f t="shared" si="22"/>
        <v/>
      </c>
      <c r="BF175" s="171" t="str">
        <f t="shared" si="23"/>
        <v>Code</v>
      </c>
    </row>
    <row r="176">
      <c r="A176" s="171">
        <f t="array" ref="A176">XLOOKUP(C176,ICSE!A:A,ICSE!C:C,,2,1)</f>
        <v>2022</v>
      </c>
      <c r="B176" s="171" t="s">
        <v>5675</v>
      </c>
      <c r="C176" s="160">
        <v>160.0</v>
      </c>
      <c r="D176" s="161" t="s">
        <v>2691</v>
      </c>
      <c r="E176" s="197" t="str">
        <f t="array" ref="E176">XLOOKUP(C176,ICSE!A:A,ICSE!Z:Z,,0,1)</f>
        <v>Publicly available (1)</v>
      </c>
      <c r="F176" s="198" t="s">
        <v>20</v>
      </c>
      <c r="G176" s="163" t="str">
        <f t="array" ref="G176">IF(B176="ICSE",IF(COUNTIFS(B:B,B176,C:C,C176)=XLOOKUP(C176,ICSE!A:A,ICSE!AA:AA,"ERROR",0,1),"OK","ERROR"),IF(B176="FSE",IF(COUNTIFS(B:B,B176,C:C,C176)=XLOOKUP(C176,FSE!A:A,FSE!AA:AA,"ERROR",0,1),"OK","ERROR")))</f>
        <v>OK</v>
      </c>
      <c r="H176" s="199">
        <f t="shared" ref="H176:O176" si="880">countif($D176,"*"&amp;H$2&amp;"*")</f>
        <v>0</v>
      </c>
      <c r="I176" s="200">
        <f t="shared" si="880"/>
        <v>0</v>
      </c>
      <c r="J176" s="200">
        <f t="shared" si="880"/>
        <v>0</v>
      </c>
      <c r="K176" s="200">
        <f t="shared" si="880"/>
        <v>0</v>
      </c>
      <c r="L176" s="200">
        <f t="shared" si="880"/>
        <v>0</v>
      </c>
      <c r="M176" s="200">
        <f t="shared" si="880"/>
        <v>0</v>
      </c>
      <c r="N176" s="200">
        <f t="shared" si="880"/>
        <v>0</v>
      </c>
      <c r="O176" s="200">
        <f t="shared" si="880"/>
        <v>0</v>
      </c>
      <c r="P176" s="200">
        <f t="shared" si="9"/>
        <v>1</v>
      </c>
      <c r="Q176" s="200">
        <f t="shared" ref="Q176:AC176" si="881">countif($D176,"*"&amp;Q$2&amp;"*")</f>
        <v>0</v>
      </c>
      <c r="R176" s="200">
        <f t="shared" si="881"/>
        <v>0</v>
      </c>
      <c r="S176" s="200">
        <f t="shared" si="881"/>
        <v>0</v>
      </c>
      <c r="T176" s="200">
        <f t="shared" si="881"/>
        <v>0</v>
      </c>
      <c r="U176" s="200">
        <f t="shared" si="881"/>
        <v>0</v>
      </c>
      <c r="V176" s="200">
        <f t="shared" si="881"/>
        <v>0</v>
      </c>
      <c r="W176" s="200">
        <f t="shared" si="881"/>
        <v>0</v>
      </c>
      <c r="X176" s="200">
        <f t="shared" si="881"/>
        <v>0</v>
      </c>
      <c r="Y176" s="200">
        <f t="shared" si="881"/>
        <v>0</v>
      </c>
      <c r="Z176" s="200">
        <f t="shared" si="881"/>
        <v>0</v>
      </c>
      <c r="AA176" s="200">
        <f t="shared" si="881"/>
        <v>0</v>
      </c>
      <c r="AB176" s="200">
        <f t="shared" si="881"/>
        <v>0</v>
      </c>
      <c r="AC176" s="200">
        <f t="shared" si="881"/>
        <v>0</v>
      </c>
      <c r="AD176" s="200">
        <f t="shared" si="11"/>
        <v>0</v>
      </c>
      <c r="AE176" s="200">
        <f t="shared" ref="AE176:AG176" si="882">countif($D176,"*"&amp;AE$2&amp;"*")</f>
        <v>0</v>
      </c>
      <c r="AF176" s="200">
        <f t="shared" si="882"/>
        <v>0</v>
      </c>
      <c r="AG176" s="200">
        <f t="shared" si="882"/>
        <v>0</v>
      </c>
      <c r="AH176" s="171">
        <f t="shared" si="13"/>
        <v>0</v>
      </c>
      <c r="AI176" s="200">
        <f t="shared" si="14"/>
        <v>0</v>
      </c>
      <c r="AJ176" s="200">
        <f t="shared" si="137"/>
        <v>0</v>
      </c>
      <c r="AK176" s="201">
        <f t="shared" ref="AK176:AS176" si="883">countif($D176,"*"&amp;AK$2&amp;"*")</f>
        <v>0</v>
      </c>
      <c r="AL176" s="201">
        <f t="shared" si="883"/>
        <v>0</v>
      </c>
      <c r="AM176" s="201">
        <f t="shared" si="883"/>
        <v>0</v>
      </c>
      <c r="AN176" s="201">
        <f t="shared" si="883"/>
        <v>0</v>
      </c>
      <c r="AO176" s="201">
        <f t="shared" si="883"/>
        <v>0</v>
      </c>
      <c r="AP176" s="201">
        <f t="shared" si="883"/>
        <v>0</v>
      </c>
      <c r="AQ176" s="201">
        <f t="shared" si="883"/>
        <v>0</v>
      </c>
      <c r="AR176" s="200">
        <f t="shared" si="883"/>
        <v>0</v>
      </c>
      <c r="AS176" s="200">
        <f t="shared" si="883"/>
        <v>0</v>
      </c>
      <c r="AT176" s="173">
        <v>0.0</v>
      </c>
      <c r="AU176" s="200">
        <f t="shared" ref="AU176:AX176" si="884">countif($D176,"*"&amp;AU$2&amp;"*")</f>
        <v>0</v>
      </c>
      <c r="AV176" s="200">
        <f t="shared" si="884"/>
        <v>1</v>
      </c>
      <c r="AW176" s="200">
        <f t="shared" si="884"/>
        <v>0</v>
      </c>
      <c r="AX176" s="200">
        <f t="shared" si="884"/>
        <v>0</v>
      </c>
      <c r="AY176" s="202">
        <v>0.0</v>
      </c>
      <c r="AZ176" s="200"/>
      <c r="BA176" s="171" t="str">
        <f t="shared" si="18"/>
        <v/>
      </c>
      <c r="BB176" s="171" t="str">
        <f t="shared" si="19"/>
        <v>Code</v>
      </c>
      <c r="BC176" s="171" t="str">
        <f t="shared" si="20"/>
        <v/>
      </c>
      <c r="BD176" s="171" t="str">
        <f t="shared" si="21"/>
        <v/>
      </c>
      <c r="BE176" s="171" t="str">
        <f t="shared" si="22"/>
        <v/>
      </c>
      <c r="BF176" s="171" t="str">
        <f t="shared" si="23"/>
        <v>Code</v>
      </c>
    </row>
    <row r="177">
      <c r="A177" s="171">
        <f t="array" ref="A177">XLOOKUP(C177,ICSE!A:A,ICSE!C:C,,2,1)</f>
        <v>2022</v>
      </c>
      <c r="B177" s="171" t="s">
        <v>5675</v>
      </c>
      <c r="C177" s="160">
        <v>161.0</v>
      </c>
      <c r="D177" s="161" t="s">
        <v>2694</v>
      </c>
      <c r="E177" s="197" t="str">
        <f t="array" ref="E177">XLOOKUP(C177,ICSE!A:A,ICSE!Z:Z,,0,1)</f>
        <v>Publicly available (1)</v>
      </c>
      <c r="F177" s="198" t="s">
        <v>20</v>
      </c>
      <c r="G177" s="163" t="str">
        <f t="array" ref="G177">IF(B177="ICSE",IF(COUNTIFS(B:B,B177,C:C,C177)=XLOOKUP(C177,ICSE!A:A,ICSE!AA:AA,"ERROR",0,1),"OK","ERROR"),IF(B177="FSE",IF(COUNTIFS(B:B,B177,C:C,C177)=XLOOKUP(C177,FSE!A:A,FSE!AA:AA,"ERROR",0,1),"OK","ERROR")))</f>
        <v>OK</v>
      </c>
      <c r="H177" s="199">
        <f t="shared" ref="H177:O177" si="885">countif($D177,"*"&amp;H$2&amp;"*")</f>
        <v>1</v>
      </c>
      <c r="I177" s="200">
        <f t="shared" si="885"/>
        <v>0</v>
      </c>
      <c r="J177" s="200">
        <f t="shared" si="885"/>
        <v>0</v>
      </c>
      <c r="K177" s="200">
        <f t="shared" si="885"/>
        <v>0</v>
      </c>
      <c r="L177" s="200">
        <f t="shared" si="885"/>
        <v>0</v>
      </c>
      <c r="M177" s="200">
        <f t="shared" si="885"/>
        <v>0</v>
      </c>
      <c r="N177" s="200">
        <f t="shared" si="885"/>
        <v>0</v>
      </c>
      <c r="O177" s="200">
        <f t="shared" si="885"/>
        <v>0</v>
      </c>
      <c r="P177" s="200">
        <f t="shared" si="9"/>
        <v>0</v>
      </c>
      <c r="Q177" s="200">
        <f t="shared" ref="Q177:AC177" si="886">countif($D177,"*"&amp;Q$2&amp;"*")</f>
        <v>0</v>
      </c>
      <c r="R177" s="200">
        <f t="shared" si="886"/>
        <v>0</v>
      </c>
      <c r="S177" s="200">
        <f t="shared" si="886"/>
        <v>0</v>
      </c>
      <c r="T177" s="200">
        <f t="shared" si="886"/>
        <v>0</v>
      </c>
      <c r="U177" s="200">
        <f t="shared" si="886"/>
        <v>0</v>
      </c>
      <c r="V177" s="200">
        <f t="shared" si="886"/>
        <v>0</v>
      </c>
      <c r="W177" s="200">
        <f t="shared" si="886"/>
        <v>0</v>
      </c>
      <c r="X177" s="200">
        <f t="shared" si="886"/>
        <v>0</v>
      </c>
      <c r="Y177" s="200">
        <f t="shared" si="886"/>
        <v>0</v>
      </c>
      <c r="Z177" s="200">
        <f t="shared" si="886"/>
        <v>0</v>
      </c>
      <c r="AA177" s="200">
        <f t="shared" si="886"/>
        <v>0</v>
      </c>
      <c r="AB177" s="200">
        <f t="shared" si="886"/>
        <v>0</v>
      </c>
      <c r="AC177" s="200">
        <f t="shared" si="886"/>
        <v>0</v>
      </c>
      <c r="AD177" s="200">
        <f t="shared" si="11"/>
        <v>0</v>
      </c>
      <c r="AE177" s="200">
        <f t="shared" ref="AE177:AG177" si="887">countif($D177,"*"&amp;AE$2&amp;"*")</f>
        <v>0</v>
      </c>
      <c r="AF177" s="200">
        <f t="shared" si="887"/>
        <v>0</v>
      </c>
      <c r="AG177" s="200">
        <f t="shared" si="887"/>
        <v>0</v>
      </c>
      <c r="AH177" s="171">
        <f t="shared" si="13"/>
        <v>0</v>
      </c>
      <c r="AI177" s="200">
        <f t="shared" si="14"/>
        <v>1</v>
      </c>
      <c r="AJ177" s="200">
        <f t="shared" si="137"/>
        <v>0</v>
      </c>
      <c r="AK177" s="201">
        <f t="shared" ref="AK177:AS177" si="888">countif($D177,"*"&amp;AK$2&amp;"*")</f>
        <v>0</v>
      </c>
      <c r="AL177" s="201">
        <f t="shared" si="888"/>
        <v>0</v>
      </c>
      <c r="AM177" s="201">
        <f t="shared" si="888"/>
        <v>0</v>
      </c>
      <c r="AN177" s="201">
        <f t="shared" si="888"/>
        <v>0</v>
      </c>
      <c r="AO177" s="201">
        <f t="shared" si="888"/>
        <v>0</v>
      </c>
      <c r="AP177" s="201">
        <f t="shared" si="888"/>
        <v>0</v>
      </c>
      <c r="AQ177" s="201">
        <f t="shared" si="888"/>
        <v>0</v>
      </c>
      <c r="AR177" s="200">
        <f t="shared" si="888"/>
        <v>0</v>
      </c>
      <c r="AS177" s="200">
        <f t="shared" si="888"/>
        <v>0</v>
      </c>
      <c r="AT177" s="173">
        <v>0.0</v>
      </c>
      <c r="AU177" s="200">
        <f t="shared" ref="AU177:AX177" si="889">countif($D177,"*"&amp;AU$2&amp;"*")</f>
        <v>0</v>
      </c>
      <c r="AV177" s="200">
        <f t="shared" si="889"/>
        <v>0</v>
      </c>
      <c r="AW177" s="200">
        <f t="shared" si="889"/>
        <v>0</v>
      </c>
      <c r="AX177" s="200">
        <f t="shared" si="889"/>
        <v>1</v>
      </c>
      <c r="AY177" s="202">
        <v>0.0</v>
      </c>
      <c r="AZ177" s="200"/>
      <c r="BA177" s="171" t="str">
        <f t="shared" si="18"/>
        <v>Archival</v>
      </c>
      <c r="BB177" s="171" t="str">
        <f t="shared" si="19"/>
        <v/>
      </c>
      <c r="BC177" s="171" t="str">
        <f t="shared" si="20"/>
        <v/>
      </c>
      <c r="BD177" s="171" t="str">
        <f t="shared" si="21"/>
        <v/>
      </c>
      <c r="BE177" s="171" t="str">
        <f t="shared" si="22"/>
        <v/>
      </c>
      <c r="BF177" s="171" t="str">
        <f t="shared" si="23"/>
        <v>Archival</v>
      </c>
    </row>
    <row r="178">
      <c r="A178" s="171">
        <f t="array" ref="A178">XLOOKUP(C178,ICSE!A:A,ICSE!C:C,,2,1)</f>
        <v>2022</v>
      </c>
      <c r="B178" s="171" t="s">
        <v>5675</v>
      </c>
      <c r="C178" s="160">
        <v>162.0</v>
      </c>
      <c r="D178" s="161" t="s">
        <v>2696</v>
      </c>
      <c r="E178" s="197" t="str">
        <f t="array" ref="E178">XLOOKUP(C178,ICSE!A:A,ICSE!Z:Z,,0,1)</f>
        <v>Publicly available (1)</v>
      </c>
      <c r="F178" s="198" t="s">
        <v>20</v>
      </c>
      <c r="G178" s="163" t="str">
        <f t="array" ref="G178">IF(B178="ICSE",IF(COUNTIFS(B:B,B178,C:C,C178)=XLOOKUP(C178,ICSE!A:A,ICSE!AA:AA,"ERROR",0,1),"OK","ERROR"),IF(B178="FSE",IF(COUNTIFS(B:B,B178,C:C,C178)=XLOOKUP(C178,FSE!A:A,FSE!AA:AA,"ERROR",0,1),"OK","ERROR")))</f>
        <v>OK</v>
      </c>
      <c r="H178" s="199">
        <f t="shared" ref="H178:O178" si="890">countif($D178,"*"&amp;H$2&amp;"*")</f>
        <v>1</v>
      </c>
      <c r="I178" s="200">
        <f t="shared" si="890"/>
        <v>0</v>
      </c>
      <c r="J178" s="200">
        <f t="shared" si="890"/>
        <v>0</v>
      </c>
      <c r="K178" s="200">
        <f t="shared" si="890"/>
        <v>0</v>
      </c>
      <c r="L178" s="200">
        <f t="shared" si="890"/>
        <v>0</v>
      </c>
      <c r="M178" s="200">
        <f t="shared" si="890"/>
        <v>0</v>
      </c>
      <c r="N178" s="200">
        <f t="shared" si="890"/>
        <v>0</v>
      </c>
      <c r="O178" s="200">
        <f t="shared" si="890"/>
        <v>0</v>
      </c>
      <c r="P178" s="200">
        <f t="shared" si="9"/>
        <v>0</v>
      </c>
      <c r="Q178" s="200">
        <f t="shared" ref="Q178:AC178" si="891">countif($D178,"*"&amp;Q$2&amp;"*")</f>
        <v>0</v>
      </c>
      <c r="R178" s="200">
        <f t="shared" si="891"/>
        <v>0</v>
      </c>
      <c r="S178" s="200">
        <f t="shared" si="891"/>
        <v>0</v>
      </c>
      <c r="T178" s="200">
        <f t="shared" si="891"/>
        <v>0</v>
      </c>
      <c r="U178" s="200">
        <f t="shared" si="891"/>
        <v>0</v>
      </c>
      <c r="V178" s="200">
        <f t="shared" si="891"/>
        <v>0</v>
      </c>
      <c r="W178" s="200">
        <f t="shared" si="891"/>
        <v>0</v>
      </c>
      <c r="X178" s="200">
        <f t="shared" si="891"/>
        <v>0</v>
      </c>
      <c r="Y178" s="200">
        <f t="shared" si="891"/>
        <v>0</v>
      </c>
      <c r="Z178" s="200">
        <f t="shared" si="891"/>
        <v>0</v>
      </c>
      <c r="AA178" s="200">
        <f t="shared" si="891"/>
        <v>0</v>
      </c>
      <c r="AB178" s="200">
        <f t="shared" si="891"/>
        <v>0</v>
      </c>
      <c r="AC178" s="200">
        <f t="shared" si="891"/>
        <v>0</v>
      </c>
      <c r="AD178" s="200">
        <f t="shared" si="11"/>
        <v>0</v>
      </c>
      <c r="AE178" s="200">
        <f t="shared" ref="AE178:AG178" si="892">countif($D178,"*"&amp;AE$2&amp;"*")</f>
        <v>0</v>
      </c>
      <c r="AF178" s="200">
        <f t="shared" si="892"/>
        <v>0</v>
      </c>
      <c r="AG178" s="200">
        <f t="shared" si="892"/>
        <v>0</v>
      </c>
      <c r="AH178" s="171">
        <f t="shared" si="13"/>
        <v>0</v>
      </c>
      <c r="AI178" s="200">
        <f t="shared" si="14"/>
        <v>1</v>
      </c>
      <c r="AJ178" s="200">
        <f t="shared" si="137"/>
        <v>0</v>
      </c>
      <c r="AK178" s="201">
        <f t="shared" ref="AK178:AS178" si="893">countif($D178,"*"&amp;AK$2&amp;"*")</f>
        <v>0</v>
      </c>
      <c r="AL178" s="201">
        <f t="shared" si="893"/>
        <v>0</v>
      </c>
      <c r="AM178" s="201">
        <f t="shared" si="893"/>
        <v>0</v>
      </c>
      <c r="AN178" s="201">
        <f t="shared" si="893"/>
        <v>0</v>
      </c>
      <c r="AO178" s="201">
        <f t="shared" si="893"/>
        <v>0</v>
      </c>
      <c r="AP178" s="201">
        <f t="shared" si="893"/>
        <v>0</v>
      </c>
      <c r="AQ178" s="201">
        <f t="shared" si="893"/>
        <v>0</v>
      </c>
      <c r="AR178" s="200">
        <f t="shared" si="893"/>
        <v>0</v>
      </c>
      <c r="AS178" s="200">
        <f t="shared" si="893"/>
        <v>0</v>
      </c>
      <c r="AT178" s="173">
        <v>0.0</v>
      </c>
      <c r="AU178" s="200">
        <f t="shared" ref="AU178:AX178" si="894">countif($D178,"*"&amp;AU$2&amp;"*")</f>
        <v>0</v>
      </c>
      <c r="AV178" s="200">
        <f t="shared" si="894"/>
        <v>0</v>
      </c>
      <c r="AW178" s="200">
        <f t="shared" si="894"/>
        <v>0</v>
      </c>
      <c r="AX178" s="200">
        <f t="shared" si="894"/>
        <v>1</v>
      </c>
      <c r="AY178" s="202">
        <v>0.0</v>
      </c>
      <c r="AZ178" s="200"/>
      <c r="BA178" s="171" t="str">
        <f t="shared" si="18"/>
        <v>Archival</v>
      </c>
      <c r="BB178" s="171" t="str">
        <f t="shared" si="19"/>
        <v/>
      </c>
      <c r="BC178" s="171" t="str">
        <f t="shared" si="20"/>
        <v/>
      </c>
      <c r="BD178" s="171" t="str">
        <f t="shared" si="21"/>
        <v/>
      </c>
      <c r="BE178" s="171" t="str">
        <f t="shared" si="22"/>
        <v/>
      </c>
      <c r="BF178" s="171" t="str">
        <f t="shared" si="23"/>
        <v>Archival</v>
      </c>
    </row>
    <row r="179">
      <c r="A179" s="171">
        <f t="array" ref="A179">XLOOKUP(C179,ICSE!A:A,ICSE!C:C,,2,1)</f>
        <v>2022</v>
      </c>
      <c r="B179" s="171" t="s">
        <v>5675</v>
      </c>
      <c r="C179" s="160">
        <v>163.0</v>
      </c>
      <c r="D179" s="161" t="s">
        <v>2698</v>
      </c>
      <c r="E179" s="197" t="str">
        <f t="array" ref="E179">XLOOKUP(C179,ICSE!A:A,ICSE!Z:Z,,0,1)</f>
        <v>Publicly available (1)</v>
      </c>
      <c r="F179" s="198" t="s">
        <v>20</v>
      </c>
      <c r="G179" s="163" t="str">
        <f t="array" ref="G179">IF(B179="ICSE",IF(COUNTIFS(B:B,B179,C:C,C179)=XLOOKUP(C179,ICSE!A:A,ICSE!AA:AA,"ERROR",0,1),"OK","ERROR"),IF(B179="FSE",IF(COUNTIFS(B:B,B179,C:C,C179)=XLOOKUP(C179,FSE!A:A,FSE!AA:AA,"ERROR",0,1),"OK","ERROR")))</f>
        <v>OK</v>
      </c>
      <c r="H179" s="199">
        <f t="shared" ref="H179:O179" si="895">countif($D179,"*"&amp;H$2&amp;"*")</f>
        <v>0</v>
      </c>
      <c r="I179" s="200">
        <f t="shared" si="895"/>
        <v>0</v>
      </c>
      <c r="J179" s="200">
        <f t="shared" si="895"/>
        <v>0</v>
      </c>
      <c r="K179" s="200">
        <f t="shared" si="895"/>
        <v>0</v>
      </c>
      <c r="L179" s="200">
        <f t="shared" si="895"/>
        <v>0</v>
      </c>
      <c r="M179" s="200">
        <f t="shared" si="895"/>
        <v>0</v>
      </c>
      <c r="N179" s="200">
        <f t="shared" si="895"/>
        <v>0</v>
      </c>
      <c r="O179" s="200">
        <f t="shared" si="895"/>
        <v>0</v>
      </c>
      <c r="P179" s="200">
        <f t="shared" si="9"/>
        <v>1</v>
      </c>
      <c r="Q179" s="200">
        <f t="shared" ref="Q179:AC179" si="896">countif($D179,"*"&amp;Q$2&amp;"*")</f>
        <v>0</v>
      </c>
      <c r="R179" s="200">
        <f t="shared" si="896"/>
        <v>0</v>
      </c>
      <c r="S179" s="200">
        <f t="shared" si="896"/>
        <v>0</v>
      </c>
      <c r="T179" s="200">
        <f t="shared" si="896"/>
        <v>0</v>
      </c>
      <c r="U179" s="200">
        <f t="shared" si="896"/>
        <v>0</v>
      </c>
      <c r="V179" s="200">
        <f t="shared" si="896"/>
        <v>0</v>
      </c>
      <c r="W179" s="200">
        <f t="shared" si="896"/>
        <v>0</v>
      </c>
      <c r="X179" s="200">
        <f t="shared" si="896"/>
        <v>0</v>
      </c>
      <c r="Y179" s="200">
        <f t="shared" si="896"/>
        <v>0</v>
      </c>
      <c r="Z179" s="200">
        <f t="shared" si="896"/>
        <v>0</v>
      </c>
      <c r="AA179" s="200">
        <f t="shared" si="896"/>
        <v>0</v>
      </c>
      <c r="AB179" s="200">
        <f t="shared" si="896"/>
        <v>0</v>
      </c>
      <c r="AC179" s="200">
        <f t="shared" si="896"/>
        <v>0</v>
      </c>
      <c r="AD179" s="200">
        <f t="shared" si="11"/>
        <v>0</v>
      </c>
      <c r="AE179" s="200">
        <f t="shared" ref="AE179:AG179" si="897">countif($D179,"*"&amp;AE$2&amp;"*")</f>
        <v>0</v>
      </c>
      <c r="AF179" s="200">
        <f t="shared" si="897"/>
        <v>0</v>
      </c>
      <c r="AG179" s="200">
        <f t="shared" si="897"/>
        <v>0</v>
      </c>
      <c r="AH179" s="171">
        <f t="shared" si="13"/>
        <v>0</v>
      </c>
      <c r="AI179" s="200">
        <f t="shared" si="14"/>
        <v>0</v>
      </c>
      <c r="AJ179" s="200">
        <f t="shared" si="137"/>
        <v>0</v>
      </c>
      <c r="AK179" s="201">
        <f t="shared" ref="AK179:AS179" si="898">countif($D179,"*"&amp;AK$2&amp;"*")</f>
        <v>0</v>
      </c>
      <c r="AL179" s="201">
        <f t="shared" si="898"/>
        <v>0</v>
      </c>
      <c r="AM179" s="201">
        <f t="shared" si="898"/>
        <v>0</v>
      </c>
      <c r="AN179" s="201">
        <f t="shared" si="898"/>
        <v>0</v>
      </c>
      <c r="AO179" s="201">
        <f t="shared" si="898"/>
        <v>0</v>
      </c>
      <c r="AP179" s="201">
        <f t="shared" si="898"/>
        <v>0</v>
      </c>
      <c r="AQ179" s="201">
        <f t="shared" si="898"/>
        <v>0</v>
      </c>
      <c r="AR179" s="200">
        <f t="shared" si="898"/>
        <v>0</v>
      </c>
      <c r="AS179" s="200">
        <f t="shared" si="898"/>
        <v>0</v>
      </c>
      <c r="AT179" s="173">
        <v>0.0</v>
      </c>
      <c r="AU179" s="200">
        <f t="shared" ref="AU179:AX179" si="899">countif($D179,"*"&amp;AU$2&amp;"*")</f>
        <v>0</v>
      </c>
      <c r="AV179" s="200">
        <f t="shared" si="899"/>
        <v>1</v>
      </c>
      <c r="AW179" s="200">
        <f t="shared" si="899"/>
        <v>0</v>
      </c>
      <c r="AX179" s="200">
        <f t="shared" si="899"/>
        <v>0</v>
      </c>
      <c r="AY179" s="202">
        <v>0.0</v>
      </c>
      <c r="AZ179" s="200"/>
      <c r="BA179" s="171" t="str">
        <f t="shared" si="18"/>
        <v/>
      </c>
      <c r="BB179" s="171" t="str">
        <f t="shared" si="19"/>
        <v>Code</v>
      </c>
      <c r="BC179" s="171" t="str">
        <f t="shared" si="20"/>
        <v/>
      </c>
      <c r="BD179" s="171" t="str">
        <f t="shared" si="21"/>
        <v/>
      </c>
      <c r="BE179" s="171" t="str">
        <f t="shared" si="22"/>
        <v/>
      </c>
      <c r="BF179" s="171" t="str">
        <f t="shared" si="23"/>
        <v>Code</v>
      </c>
    </row>
    <row r="180">
      <c r="A180" s="171">
        <f t="array" ref="A180">XLOOKUP(C180,ICSE!A:A,ICSE!C:C,,2,1)</f>
        <v>2022</v>
      </c>
      <c r="B180" s="171" t="s">
        <v>5675</v>
      </c>
      <c r="C180" s="160">
        <v>164.0</v>
      </c>
      <c r="D180" s="161" t="s">
        <v>2700</v>
      </c>
      <c r="E180" s="197" t="str">
        <f t="array" ref="E180">XLOOKUP(C180,ICSE!A:A,ICSE!Z:Z,,0,1)</f>
        <v>Publicly available (1)</v>
      </c>
      <c r="F180" s="198" t="s">
        <v>20</v>
      </c>
      <c r="G180" s="163" t="str">
        <f t="array" ref="G180">IF(B180="ICSE",IF(COUNTIFS(B:B,B180,C:C,C180)=XLOOKUP(C180,ICSE!A:A,ICSE!AA:AA,"ERROR",0,1),"OK","ERROR"),IF(B180="FSE",IF(COUNTIFS(B:B,B180,C:C,C180)=XLOOKUP(C180,FSE!A:A,FSE!AA:AA,"ERROR",0,1),"OK","ERROR")))</f>
        <v>OK</v>
      </c>
      <c r="H180" s="199">
        <f t="shared" ref="H180:O180" si="900">countif($D180,"*"&amp;H$2&amp;"*")</f>
        <v>0</v>
      </c>
      <c r="I180" s="200">
        <f t="shared" si="900"/>
        <v>0</v>
      </c>
      <c r="J180" s="200">
        <f t="shared" si="900"/>
        <v>0</v>
      </c>
      <c r="K180" s="200">
        <f t="shared" si="900"/>
        <v>0</v>
      </c>
      <c r="L180" s="200">
        <f t="shared" si="900"/>
        <v>0</v>
      </c>
      <c r="M180" s="200">
        <f t="shared" si="900"/>
        <v>0</v>
      </c>
      <c r="N180" s="200">
        <f t="shared" si="900"/>
        <v>0</v>
      </c>
      <c r="O180" s="200">
        <f t="shared" si="900"/>
        <v>0</v>
      </c>
      <c r="P180" s="200">
        <f t="shared" si="9"/>
        <v>1</v>
      </c>
      <c r="Q180" s="200">
        <f t="shared" ref="Q180:AC180" si="901">countif($D180,"*"&amp;Q$2&amp;"*")</f>
        <v>0</v>
      </c>
      <c r="R180" s="200">
        <f t="shared" si="901"/>
        <v>0</v>
      </c>
      <c r="S180" s="200">
        <f t="shared" si="901"/>
        <v>0</v>
      </c>
      <c r="T180" s="200">
        <f t="shared" si="901"/>
        <v>0</v>
      </c>
      <c r="U180" s="200">
        <f t="shared" si="901"/>
        <v>0</v>
      </c>
      <c r="V180" s="200">
        <f t="shared" si="901"/>
        <v>0</v>
      </c>
      <c r="W180" s="200">
        <f t="shared" si="901"/>
        <v>0</v>
      </c>
      <c r="X180" s="200">
        <f t="shared" si="901"/>
        <v>0</v>
      </c>
      <c r="Y180" s="200">
        <f t="shared" si="901"/>
        <v>0</v>
      </c>
      <c r="Z180" s="200">
        <f t="shared" si="901"/>
        <v>0</v>
      </c>
      <c r="AA180" s="200">
        <f t="shared" si="901"/>
        <v>0</v>
      </c>
      <c r="AB180" s="200">
        <f t="shared" si="901"/>
        <v>0</v>
      </c>
      <c r="AC180" s="200">
        <f t="shared" si="901"/>
        <v>0</v>
      </c>
      <c r="AD180" s="200">
        <f t="shared" si="11"/>
        <v>0</v>
      </c>
      <c r="AE180" s="200">
        <f t="shared" ref="AE180:AG180" si="902">countif($D180,"*"&amp;AE$2&amp;"*")</f>
        <v>0</v>
      </c>
      <c r="AF180" s="200">
        <f t="shared" si="902"/>
        <v>0</v>
      </c>
      <c r="AG180" s="200">
        <f t="shared" si="902"/>
        <v>0</v>
      </c>
      <c r="AH180" s="171">
        <f t="shared" si="13"/>
        <v>0</v>
      </c>
      <c r="AI180" s="200">
        <f t="shared" si="14"/>
        <v>0</v>
      </c>
      <c r="AJ180" s="200">
        <f t="shared" si="137"/>
        <v>0</v>
      </c>
      <c r="AK180" s="201">
        <f t="shared" ref="AK180:AS180" si="903">countif($D180,"*"&amp;AK$2&amp;"*")</f>
        <v>0</v>
      </c>
      <c r="AL180" s="201">
        <f t="shared" si="903"/>
        <v>0</v>
      </c>
      <c r="AM180" s="201">
        <f t="shared" si="903"/>
        <v>0</v>
      </c>
      <c r="AN180" s="201">
        <f t="shared" si="903"/>
        <v>0</v>
      </c>
      <c r="AO180" s="201">
        <f t="shared" si="903"/>
        <v>0</v>
      </c>
      <c r="AP180" s="201">
        <f t="shared" si="903"/>
        <v>0</v>
      </c>
      <c r="AQ180" s="201">
        <f t="shared" si="903"/>
        <v>0</v>
      </c>
      <c r="AR180" s="200">
        <f t="shared" si="903"/>
        <v>0</v>
      </c>
      <c r="AS180" s="200">
        <f t="shared" si="903"/>
        <v>0</v>
      </c>
      <c r="AT180" s="173">
        <v>0.0</v>
      </c>
      <c r="AU180" s="200">
        <f t="shared" ref="AU180:AX180" si="904">countif($D180,"*"&amp;AU$2&amp;"*")</f>
        <v>0</v>
      </c>
      <c r="AV180" s="200">
        <f t="shared" si="904"/>
        <v>1</v>
      </c>
      <c r="AW180" s="200">
        <f t="shared" si="904"/>
        <v>0</v>
      </c>
      <c r="AX180" s="200">
        <f t="shared" si="904"/>
        <v>0</v>
      </c>
      <c r="AY180" s="202">
        <v>0.0</v>
      </c>
      <c r="AZ180" s="200"/>
      <c r="BA180" s="171" t="str">
        <f t="shared" si="18"/>
        <v/>
      </c>
      <c r="BB180" s="171" t="str">
        <f t="shared" si="19"/>
        <v>Code</v>
      </c>
      <c r="BC180" s="171" t="str">
        <f t="shared" si="20"/>
        <v/>
      </c>
      <c r="BD180" s="171" t="str">
        <f t="shared" si="21"/>
        <v/>
      </c>
      <c r="BE180" s="171" t="str">
        <f t="shared" si="22"/>
        <v/>
      </c>
      <c r="BF180" s="171" t="str">
        <f t="shared" si="23"/>
        <v>Code</v>
      </c>
    </row>
    <row r="181">
      <c r="A181" s="171">
        <f t="array" ref="A181">XLOOKUP(C181,ICSE!A:A,ICSE!C:C,,2,1)</f>
        <v>2022</v>
      </c>
      <c r="B181" s="171" t="s">
        <v>5675</v>
      </c>
      <c r="C181" s="160">
        <v>165.0</v>
      </c>
      <c r="D181" s="161" t="s">
        <v>2703</v>
      </c>
      <c r="E181" s="197" t="str">
        <f t="array" ref="E181">XLOOKUP(C181,ICSE!A:A,ICSE!Z:Z,,0,1)</f>
        <v>Publicly available (1)</v>
      </c>
      <c r="F181" s="198" t="s">
        <v>20</v>
      </c>
      <c r="G181" s="163" t="str">
        <f t="array" ref="G181">IF(B181="ICSE",IF(COUNTIFS(B:B,B181,C:C,C181)=XLOOKUP(C181,ICSE!A:A,ICSE!AA:AA,"ERROR",0,1),"OK","ERROR"),IF(B181="FSE",IF(COUNTIFS(B:B,B181,C:C,C181)=XLOOKUP(C181,FSE!A:A,FSE!AA:AA,"ERROR",0,1),"OK","ERROR")))</f>
        <v>OK</v>
      </c>
      <c r="H181" s="199">
        <f t="shared" ref="H181:O181" si="905">countif($D181,"*"&amp;H$2&amp;"*")</f>
        <v>1</v>
      </c>
      <c r="I181" s="200">
        <f t="shared" si="905"/>
        <v>0</v>
      </c>
      <c r="J181" s="200">
        <f t="shared" si="905"/>
        <v>0</v>
      </c>
      <c r="K181" s="200">
        <f t="shared" si="905"/>
        <v>0</v>
      </c>
      <c r="L181" s="200">
        <f t="shared" si="905"/>
        <v>0</v>
      </c>
      <c r="M181" s="200">
        <f t="shared" si="905"/>
        <v>0</v>
      </c>
      <c r="N181" s="200">
        <f t="shared" si="905"/>
        <v>0</v>
      </c>
      <c r="O181" s="200">
        <f t="shared" si="905"/>
        <v>0</v>
      </c>
      <c r="P181" s="200">
        <f t="shared" si="9"/>
        <v>0</v>
      </c>
      <c r="Q181" s="200">
        <f t="shared" ref="Q181:AC181" si="906">countif($D181,"*"&amp;Q$2&amp;"*")</f>
        <v>0</v>
      </c>
      <c r="R181" s="200">
        <f t="shared" si="906"/>
        <v>0</v>
      </c>
      <c r="S181" s="200">
        <f t="shared" si="906"/>
        <v>0</v>
      </c>
      <c r="T181" s="200">
        <f t="shared" si="906"/>
        <v>0</v>
      </c>
      <c r="U181" s="200">
        <f t="shared" si="906"/>
        <v>0</v>
      </c>
      <c r="V181" s="200">
        <f t="shared" si="906"/>
        <v>0</v>
      </c>
      <c r="W181" s="200">
        <f t="shared" si="906"/>
        <v>0</v>
      </c>
      <c r="X181" s="200">
        <f t="shared" si="906"/>
        <v>0</v>
      </c>
      <c r="Y181" s="200">
        <f t="shared" si="906"/>
        <v>0</v>
      </c>
      <c r="Z181" s="200">
        <f t="shared" si="906"/>
        <v>0</v>
      </c>
      <c r="AA181" s="200">
        <f t="shared" si="906"/>
        <v>0</v>
      </c>
      <c r="AB181" s="200">
        <f t="shared" si="906"/>
        <v>0</v>
      </c>
      <c r="AC181" s="200">
        <f t="shared" si="906"/>
        <v>0</v>
      </c>
      <c r="AD181" s="200">
        <f t="shared" si="11"/>
        <v>0</v>
      </c>
      <c r="AE181" s="200">
        <f t="shared" ref="AE181:AG181" si="907">countif($D181,"*"&amp;AE$2&amp;"*")</f>
        <v>0</v>
      </c>
      <c r="AF181" s="200">
        <f t="shared" si="907"/>
        <v>0</v>
      </c>
      <c r="AG181" s="200">
        <f t="shared" si="907"/>
        <v>0</v>
      </c>
      <c r="AH181" s="171">
        <f t="shared" si="13"/>
        <v>0</v>
      </c>
      <c r="AI181" s="200">
        <f t="shared" si="14"/>
        <v>1</v>
      </c>
      <c r="AJ181" s="200">
        <f t="shared" si="137"/>
        <v>0</v>
      </c>
      <c r="AK181" s="201">
        <f t="shared" ref="AK181:AS181" si="908">countif($D181,"*"&amp;AK$2&amp;"*")</f>
        <v>0</v>
      </c>
      <c r="AL181" s="201">
        <f t="shared" si="908"/>
        <v>0</v>
      </c>
      <c r="AM181" s="201">
        <f t="shared" si="908"/>
        <v>0</v>
      </c>
      <c r="AN181" s="201">
        <f t="shared" si="908"/>
        <v>0</v>
      </c>
      <c r="AO181" s="201">
        <f t="shared" si="908"/>
        <v>0</v>
      </c>
      <c r="AP181" s="201">
        <f t="shared" si="908"/>
        <v>0</v>
      </c>
      <c r="AQ181" s="201">
        <f t="shared" si="908"/>
        <v>0</v>
      </c>
      <c r="AR181" s="200">
        <f t="shared" si="908"/>
        <v>0</v>
      </c>
      <c r="AS181" s="200">
        <f t="shared" si="908"/>
        <v>0</v>
      </c>
      <c r="AT181" s="173">
        <v>0.0</v>
      </c>
      <c r="AU181" s="200">
        <f t="shared" ref="AU181:AX181" si="909">countif($D181,"*"&amp;AU$2&amp;"*")</f>
        <v>0</v>
      </c>
      <c r="AV181" s="200">
        <f t="shared" si="909"/>
        <v>0</v>
      </c>
      <c r="AW181" s="200">
        <f t="shared" si="909"/>
        <v>0</v>
      </c>
      <c r="AX181" s="200">
        <f t="shared" si="909"/>
        <v>1</v>
      </c>
      <c r="AY181" s="202">
        <v>0.0</v>
      </c>
      <c r="AZ181" s="200"/>
      <c r="BA181" s="171" t="str">
        <f t="shared" si="18"/>
        <v>Archival</v>
      </c>
      <c r="BB181" s="171" t="str">
        <f t="shared" si="19"/>
        <v/>
      </c>
      <c r="BC181" s="171" t="str">
        <f t="shared" si="20"/>
        <v/>
      </c>
      <c r="BD181" s="171" t="str">
        <f t="shared" si="21"/>
        <v/>
      </c>
      <c r="BE181" s="171" t="str">
        <f t="shared" si="22"/>
        <v/>
      </c>
      <c r="BF181" s="171" t="str">
        <f t="shared" si="23"/>
        <v>Archival</v>
      </c>
    </row>
    <row r="182">
      <c r="A182" s="171">
        <f t="array" ref="A182">XLOOKUP(C182,ICSE!A:A,ICSE!C:C,,2,1)</f>
        <v>2022</v>
      </c>
      <c r="B182" s="171" t="s">
        <v>5675</v>
      </c>
      <c r="C182" s="160">
        <v>166.0</v>
      </c>
      <c r="D182" s="161" t="s">
        <v>2706</v>
      </c>
      <c r="E182" s="197" t="str">
        <f t="array" ref="E182">XLOOKUP(C182,ICSE!A:A,ICSE!Z:Z,,0,1)</f>
        <v>Publicly available (1)</v>
      </c>
      <c r="F182" s="198" t="s">
        <v>20</v>
      </c>
      <c r="G182" s="163" t="str">
        <f t="array" ref="G182">IF(B182="ICSE",IF(COUNTIFS(B:B,B182,C:C,C182)=XLOOKUP(C182,ICSE!A:A,ICSE!AA:AA,"ERROR",0,1),"OK","ERROR"),IF(B182="FSE",IF(COUNTIFS(B:B,B182,C:C,C182)=XLOOKUP(C182,FSE!A:A,FSE!AA:AA,"ERROR",0,1),"OK","ERROR")))</f>
        <v>OK</v>
      </c>
      <c r="H182" s="199">
        <f t="shared" ref="H182:O182" si="910">countif($D182,"*"&amp;H$2&amp;"*")</f>
        <v>1</v>
      </c>
      <c r="I182" s="200">
        <f t="shared" si="910"/>
        <v>0</v>
      </c>
      <c r="J182" s="200">
        <f t="shared" si="910"/>
        <v>0</v>
      </c>
      <c r="K182" s="200">
        <f t="shared" si="910"/>
        <v>0</v>
      </c>
      <c r="L182" s="200">
        <f t="shared" si="910"/>
        <v>0</v>
      </c>
      <c r="M182" s="200">
        <f t="shared" si="910"/>
        <v>0</v>
      </c>
      <c r="N182" s="200">
        <f t="shared" si="910"/>
        <v>0</v>
      </c>
      <c r="O182" s="200">
        <f t="shared" si="910"/>
        <v>0</v>
      </c>
      <c r="P182" s="200">
        <f t="shared" si="9"/>
        <v>0</v>
      </c>
      <c r="Q182" s="200">
        <f t="shared" ref="Q182:AC182" si="911">countif($D182,"*"&amp;Q$2&amp;"*")</f>
        <v>0</v>
      </c>
      <c r="R182" s="200">
        <f t="shared" si="911"/>
        <v>0</v>
      </c>
      <c r="S182" s="200">
        <f t="shared" si="911"/>
        <v>0</v>
      </c>
      <c r="T182" s="200">
        <f t="shared" si="911"/>
        <v>0</v>
      </c>
      <c r="U182" s="200">
        <f t="shared" si="911"/>
        <v>0</v>
      </c>
      <c r="V182" s="200">
        <f t="shared" si="911"/>
        <v>0</v>
      </c>
      <c r="W182" s="200">
        <f t="shared" si="911"/>
        <v>0</v>
      </c>
      <c r="X182" s="200">
        <f t="shared" si="911"/>
        <v>0</v>
      </c>
      <c r="Y182" s="200">
        <f t="shared" si="911"/>
        <v>0</v>
      </c>
      <c r="Z182" s="200">
        <f t="shared" si="911"/>
        <v>0</v>
      </c>
      <c r="AA182" s="200">
        <f t="shared" si="911"/>
        <v>0</v>
      </c>
      <c r="AB182" s="200">
        <f t="shared" si="911"/>
        <v>0</v>
      </c>
      <c r="AC182" s="200">
        <f t="shared" si="911"/>
        <v>0</v>
      </c>
      <c r="AD182" s="200">
        <f t="shared" si="11"/>
        <v>0</v>
      </c>
      <c r="AE182" s="200">
        <f t="shared" ref="AE182:AG182" si="912">countif($D182,"*"&amp;AE$2&amp;"*")</f>
        <v>0</v>
      </c>
      <c r="AF182" s="200">
        <f t="shared" si="912"/>
        <v>0</v>
      </c>
      <c r="AG182" s="200">
        <f t="shared" si="912"/>
        <v>0</v>
      </c>
      <c r="AH182" s="171">
        <f t="shared" si="13"/>
        <v>0</v>
      </c>
      <c r="AI182" s="200">
        <f t="shared" si="14"/>
        <v>1</v>
      </c>
      <c r="AJ182" s="200">
        <f t="shared" si="137"/>
        <v>0</v>
      </c>
      <c r="AK182" s="201">
        <f t="shared" ref="AK182:AS182" si="913">countif($D182,"*"&amp;AK$2&amp;"*")</f>
        <v>0</v>
      </c>
      <c r="AL182" s="201">
        <f t="shared" si="913"/>
        <v>0</v>
      </c>
      <c r="AM182" s="201">
        <f t="shared" si="913"/>
        <v>0</v>
      </c>
      <c r="AN182" s="201">
        <f t="shared" si="913"/>
        <v>0</v>
      </c>
      <c r="AO182" s="201">
        <f t="shared" si="913"/>
        <v>0</v>
      </c>
      <c r="AP182" s="201">
        <f t="shared" si="913"/>
        <v>0</v>
      </c>
      <c r="AQ182" s="201">
        <f t="shared" si="913"/>
        <v>0</v>
      </c>
      <c r="AR182" s="200">
        <f t="shared" si="913"/>
        <v>0</v>
      </c>
      <c r="AS182" s="200">
        <f t="shared" si="913"/>
        <v>0</v>
      </c>
      <c r="AT182" s="173">
        <v>0.0</v>
      </c>
      <c r="AU182" s="200">
        <f t="shared" ref="AU182:AX182" si="914">countif($D182,"*"&amp;AU$2&amp;"*")</f>
        <v>0</v>
      </c>
      <c r="AV182" s="200">
        <f t="shared" si="914"/>
        <v>0</v>
      </c>
      <c r="AW182" s="200">
        <f t="shared" si="914"/>
        <v>0</v>
      </c>
      <c r="AX182" s="200">
        <f t="shared" si="914"/>
        <v>0</v>
      </c>
      <c r="AY182" s="204">
        <v>1.0</v>
      </c>
      <c r="AZ182" s="200"/>
      <c r="BA182" s="171" t="str">
        <f t="shared" si="18"/>
        <v>Archival</v>
      </c>
      <c r="BB182" s="171" t="str">
        <f t="shared" si="19"/>
        <v/>
      </c>
      <c r="BC182" s="171" t="str">
        <f t="shared" si="20"/>
        <v/>
      </c>
      <c r="BD182" s="171" t="str">
        <f t="shared" si="21"/>
        <v/>
      </c>
      <c r="BE182" s="171" t="str">
        <f t="shared" si="22"/>
        <v/>
      </c>
      <c r="BF182" s="171" t="str">
        <f t="shared" si="23"/>
        <v>Archival</v>
      </c>
    </row>
    <row r="183">
      <c r="A183" s="171">
        <f t="array" ref="A183">XLOOKUP(C183,ICSE!A:A,ICSE!C:C,,2,1)</f>
        <v>2022</v>
      </c>
      <c r="B183" s="171" t="s">
        <v>5675</v>
      </c>
      <c r="C183" s="160">
        <v>167.0</v>
      </c>
      <c r="D183" s="161" t="s">
        <v>2708</v>
      </c>
      <c r="E183" s="197" t="str">
        <f t="array" ref="E183">XLOOKUP(C183,ICSE!A:A,ICSE!Z:Z,,0,1)</f>
        <v>Publicly available (1)</v>
      </c>
      <c r="F183" s="198" t="s">
        <v>20</v>
      </c>
      <c r="G183" s="163" t="str">
        <f t="array" ref="G183">IF(B183="ICSE",IF(COUNTIFS(B:B,B183,C:C,C183)=XLOOKUP(C183,ICSE!A:A,ICSE!AA:AA,"ERROR",0,1),"OK","ERROR"),IF(B183="FSE",IF(COUNTIFS(B:B,B183,C:C,C183)=XLOOKUP(C183,FSE!A:A,FSE!AA:AA,"ERROR",0,1),"OK","ERROR")))</f>
        <v>OK</v>
      </c>
      <c r="H183" s="199">
        <f t="shared" ref="H183:O183" si="915">countif($D183,"*"&amp;H$2&amp;"*")</f>
        <v>0</v>
      </c>
      <c r="I183" s="200">
        <f t="shared" si="915"/>
        <v>0</v>
      </c>
      <c r="J183" s="200">
        <f t="shared" si="915"/>
        <v>0</v>
      </c>
      <c r="K183" s="200">
        <f t="shared" si="915"/>
        <v>0</v>
      </c>
      <c r="L183" s="200">
        <f t="shared" si="915"/>
        <v>0</v>
      </c>
      <c r="M183" s="200">
        <f t="shared" si="915"/>
        <v>0</v>
      </c>
      <c r="N183" s="200">
        <f t="shared" si="915"/>
        <v>0</v>
      </c>
      <c r="O183" s="200">
        <f t="shared" si="915"/>
        <v>0</v>
      </c>
      <c r="P183" s="200">
        <f t="shared" si="9"/>
        <v>1</v>
      </c>
      <c r="Q183" s="200">
        <f t="shared" ref="Q183:AC183" si="916">countif($D183,"*"&amp;Q$2&amp;"*")</f>
        <v>0</v>
      </c>
      <c r="R183" s="200">
        <f t="shared" si="916"/>
        <v>0</v>
      </c>
      <c r="S183" s="200">
        <f t="shared" si="916"/>
        <v>0</v>
      </c>
      <c r="T183" s="200">
        <f t="shared" si="916"/>
        <v>0</v>
      </c>
      <c r="U183" s="200">
        <f t="shared" si="916"/>
        <v>0</v>
      </c>
      <c r="V183" s="200">
        <f t="shared" si="916"/>
        <v>0</v>
      </c>
      <c r="W183" s="200">
        <f t="shared" si="916"/>
        <v>0</v>
      </c>
      <c r="X183" s="200">
        <f t="shared" si="916"/>
        <v>0</v>
      </c>
      <c r="Y183" s="200">
        <f t="shared" si="916"/>
        <v>0</v>
      </c>
      <c r="Z183" s="200">
        <f t="shared" si="916"/>
        <v>0</v>
      </c>
      <c r="AA183" s="200">
        <f t="shared" si="916"/>
        <v>0</v>
      </c>
      <c r="AB183" s="200">
        <f t="shared" si="916"/>
        <v>0</v>
      </c>
      <c r="AC183" s="200">
        <f t="shared" si="916"/>
        <v>0</v>
      </c>
      <c r="AD183" s="200">
        <f t="shared" si="11"/>
        <v>0</v>
      </c>
      <c r="AE183" s="200">
        <f t="shared" ref="AE183:AG183" si="917">countif($D183,"*"&amp;AE$2&amp;"*")</f>
        <v>0</v>
      </c>
      <c r="AF183" s="200">
        <f t="shared" si="917"/>
        <v>0</v>
      </c>
      <c r="AG183" s="200">
        <f t="shared" si="917"/>
        <v>0</v>
      </c>
      <c r="AH183" s="171">
        <f t="shared" si="13"/>
        <v>0</v>
      </c>
      <c r="AI183" s="200">
        <f t="shared" si="14"/>
        <v>0</v>
      </c>
      <c r="AJ183" s="200">
        <f t="shared" si="137"/>
        <v>0</v>
      </c>
      <c r="AK183" s="201">
        <f t="shared" ref="AK183:AS183" si="918">countif($D183,"*"&amp;AK$2&amp;"*")</f>
        <v>0</v>
      </c>
      <c r="AL183" s="201">
        <f t="shared" si="918"/>
        <v>0</v>
      </c>
      <c r="AM183" s="201">
        <f t="shared" si="918"/>
        <v>0</v>
      </c>
      <c r="AN183" s="201">
        <f t="shared" si="918"/>
        <v>0</v>
      </c>
      <c r="AO183" s="201">
        <f t="shared" si="918"/>
        <v>0</v>
      </c>
      <c r="AP183" s="201">
        <f t="shared" si="918"/>
        <v>0</v>
      </c>
      <c r="AQ183" s="201">
        <f t="shared" si="918"/>
        <v>0</v>
      </c>
      <c r="AR183" s="200">
        <f t="shared" si="918"/>
        <v>0</v>
      </c>
      <c r="AS183" s="200">
        <f t="shared" si="918"/>
        <v>0</v>
      </c>
      <c r="AT183" s="173">
        <v>0.0</v>
      </c>
      <c r="AU183" s="200">
        <f t="shared" ref="AU183:AX183" si="919">countif($D183,"*"&amp;AU$2&amp;"*")</f>
        <v>0</v>
      </c>
      <c r="AV183" s="200">
        <f t="shared" si="919"/>
        <v>1</v>
      </c>
      <c r="AW183" s="200">
        <f t="shared" si="919"/>
        <v>0</v>
      </c>
      <c r="AX183" s="200">
        <f t="shared" si="919"/>
        <v>0</v>
      </c>
      <c r="AY183" s="202">
        <v>0.0</v>
      </c>
      <c r="AZ183" s="200"/>
      <c r="BA183" s="171" t="str">
        <f t="shared" si="18"/>
        <v/>
      </c>
      <c r="BB183" s="171" t="str">
        <f t="shared" si="19"/>
        <v>Code</v>
      </c>
      <c r="BC183" s="171" t="str">
        <f t="shared" si="20"/>
        <v/>
      </c>
      <c r="BD183" s="171" t="str">
        <f t="shared" si="21"/>
        <v/>
      </c>
      <c r="BE183" s="171" t="str">
        <f t="shared" si="22"/>
        <v/>
      </c>
      <c r="BF183" s="171" t="str">
        <f t="shared" si="23"/>
        <v>Code</v>
      </c>
    </row>
    <row r="184">
      <c r="A184" s="171">
        <f t="array" ref="A184">XLOOKUP(C184,ICSE!A:A,ICSE!C:C,,2,1)</f>
        <v>2022</v>
      </c>
      <c r="B184" s="171" t="s">
        <v>5675</v>
      </c>
      <c r="C184" s="160">
        <v>168.0</v>
      </c>
      <c r="D184" s="161" t="s">
        <v>2710</v>
      </c>
      <c r="E184" s="197" t="str">
        <f t="array" ref="E184">XLOOKUP(C184,ICSE!A:A,ICSE!Z:Z,,0,1)</f>
        <v>Publicly available (1)</v>
      </c>
      <c r="F184" s="198" t="s">
        <v>20</v>
      </c>
      <c r="G184" s="163" t="str">
        <f t="array" ref="G184">IF(B184="ICSE",IF(COUNTIFS(B:B,B184,C:C,C184)=XLOOKUP(C184,ICSE!A:A,ICSE!AA:AA,"ERROR",0,1),"OK","ERROR"),IF(B184="FSE",IF(COUNTIFS(B:B,B184,C:C,C184)=XLOOKUP(C184,FSE!A:A,FSE!AA:AA,"ERROR",0,1),"OK","ERROR")))</f>
        <v>OK</v>
      </c>
      <c r="H184" s="199">
        <f t="shared" ref="H184:O184" si="920">countif($D184,"*"&amp;H$2&amp;"*")</f>
        <v>0</v>
      </c>
      <c r="I184" s="200">
        <f t="shared" si="920"/>
        <v>0</v>
      </c>
      <c r="J184" s="200">
        <f t="shared" si="920"/>
        <v>0</v>
      </c>
      <c r="K184" s="200">
        <f t="shared" si="920"/>
        <v>0</v>
      </c>
      <c r="L184" s="200">
        <f t="shared" si="920"/>
        <v>0</v>
      </c>
      <c r="M184" s="200">
        <f t="shared" si="920"/>
        <v>0</v>
      </c>
      <c r="N184" s="200">
        <f t="shared" si="920"/>
        <v>0</v>
      </c>
      <c r="O184" s="200">
        <f t="shared" si="920"/>
        <v>0</v>
      </c>
      <c r="P184" s="200">
        <f t="shared" si="9"/>
        <v>1</v>
      </c>
      <c r="Q184" s="200">
        <f t="shared" ref="Q184:AC184" si="921">countif($D184,"*"&amp;Q$2&amp;"*")</f>
        <v>0</v>
      </c>
      <c r="R184" s="200">
        <f t="shared" si="921"/>
        <v>0</v>
      </c>
      <c r="S184" s="200">
        <f t="shared" si="921"/>
        <v>0</v>
      </c>
      <c r="T184" s="200">
        <f t="shared" si="921"/>
        <v>0</v>
      </c>
      <c r="U184" s="200">
        <f t="shared" si="921"/>
        <v>0</v>
      </c>
      <c r="V184" s="200">
        <f t="shared" si="921"/>
        <v>0</v>
      </c>
      <c r="W184" s="200">
        <f t="shared" si="921"/>
        <v>0</v>
      </c>
      <c r="X184" s="200">
        <f t="shared" si="921"/>
        <v>0</v>
      </c>
      <c r="Y184" s="200">
        <f t="shared" si="921"/>
        <v>0</v>
      </c>
      <c r="Z184" s="200">
        <f t="shared" si="921"/>
        <v>0</v>
      </c>
      <c r="AA184" s="200">
        <f t="shared" si="921"/>
        <v>0</v>
      </c>
      <c r="AB184" s="200">
        <f t="shared" si="921"/>
        <v>0</v>
      </c>
      <c r="AC184" s="200">
        <f t="shared" si="921"/>
        <v>0</v>
      </c>
      <c r="AD184" s="200">
        <f t="shared" si="11"/>
        <v>0</v>
      </c>
      <c r="AE184" s="200">
        <f t="shared" ref="AE184:AG184" si="922">countif($D184,"*"&amp;AE$2&amp;"*")</f>
        <v>0</v>
      </c>
      <c r="AF184" s="200">
        <f t="shared" si="922"/>
        <v>0</v>
      </c>
      <c r="AG184" s="200">
        <f t="shared" si="922"/>
        <v>0</v>
      </c>
      <c r="AH184" s="171">
        <f t="shared" si="13"/>
        <v>0</v>
      </c>
      <c r="AI184" s="200">
        <f t="shared" si="14"/>
        <v>0</v>
      </c>
      <c r="AJ184" s="200">
        <f t="shared" si="137"/>
        <v>0</v>
      </c>
      <c r="AK184" s="201">
        <f t="shared" ref="AK184:AS184" si="923">countif($D184,"*"&amp;AK$2&amp;"*")</f>
        <v>0</v>
      </c>
      <c r="AL184" s="201">
        <f t="shared" si="923"/>
        <v>0</v>
      </c>
      <c r="AM184" s="201">
        <f t="shared" si="923"/>
        <v>0</v>
      </c>
      <c r="AN184" s="201">
        <f t="shared" si="923"/>
        <v>0</v>
      </c>
      <c r="AO184" s="201">
        <f t="shared" si="923"/>
        <v>0</v>
      </c>
      <c r="AP184" s="201">
        <f t="shared" si="923"/>
        <v>0</v>
      </c>
      <c r="AQ184" s="201">
        <f t="shared" si="923"/>
        <v>0</v>
      </c>
      <c r="AR184" s="200">
        <f t="shared" si="923"/>
        <v>0</v>
      </c>
      <c r="AS184" s="200">
        <f t="shared" si="923"/>
        <v>0</v>
      </c>
      <c r="AT184" s="173">
        <v>0.0</v>
      </c>
      <c r="AU184" s="200">
        <f t="shared" ref="AU184:AX184" si="924">countif($D184,"*"&amp;AU$2&amp;"*")</f>
        <v>0</v>
      </c>
      <c r="AV184" s="200">
        <f t="shared" si="924"/>
        <v>1</v>
      </c>
      <c r="AW184" s="200">
        <f t="shared" si="924"/>
        <v>0</v>
      </c>
      <c r="AX184" s="200">
        <f t="shared" si="924"/>
        <v>0</v>
      </c>
      <c r="AY184" s="202">
        <v>0.0</v>
      </c>
      <c r="AZ184" s="200"/>
      <c r="BA184" s="171" t="str">
        <f t="shared" si="18"/>
        <v/>
      </c>
      <c r="BB184" s="171" t="str">
        <f t="shared" si="19"/>
        <v>Code</v>
      </c>
      <c r="BC184" s="171" t="str">
        <f t="shared" si="20"/>
        <v/>
      </c>
      <c r="BD184" s="171" t="str">
        <f t="shared" si="21"/>
        <v/>
      </c>
      <c r="BE184" s="171" t="str">
        <f t="shared" si="22"/>
        <v/>
      </c>
      <c r="BF184" s="171" t="str">
        <f t="shared" si="23"/>
        <v>Code</v>
      </c>
    </row>
    <row r="185">
      <c r="A185" s="171">
        <f t="array" ref="A185">XLOOKUP(C185,ICSE!A:A,ICSE!C:C,,2,1)</f>
        <v>2022</v>
      </c>
      <c r="B185" s="171" t="s">
        <v>5675</v>
      </c>
      <c r="C185" s="160">
        <v>170.0</v>
      </c>
      <c r="D185" s="161" t="s">
        <v>5799</v>
      </c>
      <c r="E185" s="197" t="str">
        <f t="array" ref="E185">XLOOKUP(C185,ICSE!A:A,ICSE!Z:Z,,0,1)</f>
        <v>Not available (1) - Broken link.
Publicly available (1)</v>
      </c>
      <c r="F185" s="198" t="s">
        <v>20</v>
      </c>
      <c r="G185" s="163" t="str">
        <f t="array" ref="G185">IF(B185="ICSE",IF(COUNTIFS(B:B,B185,C:C,C185)=XLOOKUP(C185,ICSE!A:A,ICSE!AA:AA,"ERROR",0,1),"OK","ERROR"),IF(B185="FSE",IF(COUNTIFS(B:B,B185,C:C,C185)=XLOOKUP(C185,FSE!A:A,FSE!AA:AA,"ERROR",0,1),"OK","ERROR")))</f>
        <v>OK</v>
      </c>
      <c r="H185" s="199">
        <f t="shared" ref="H185:O185" si="925">countif($D185,"*"&amp;H$2&amp;"*")</f>
        <v>0</v>
      </c>
      <c r="I185" s="200">
        <f t="shared" si="925"/>
        <v>0</v>
      </c>
      <c r="J185" s="200">
        <f t="shared" si="925"/>
        <v>0</v>
      </c>
      <c r="K185" s="200">
        <f t="shared" si="925"/>
        <v>0</v>
      </c>
      <c r="L185" s="200">
        <f t="shared" si="925"/>
        <v>0</v>
      </c>
      <c r="M185" s="200">
        <f t="shared" si="925"/>
        <v>0</v>
      </c>
      <c r="N185" s="200">
        <f t="shared" si="925"/>
        <v>0</v>
      </c>
      <c r="O185" s="200">
        <f t="shared" si="925"/>
        <v>0</v>
      </c>
      <c r="P185" s="200">
        <f t="shared" si="9"/>
        <v>1</v>
      </c>
      <c r="Q185" s="200">
        <f t="shared" ref="Q185:AC185" si="926">countif($D185,"*"&amp;Q$2&amp;"*")</f>
        <v>0</v>
      </c>
      <c r="R185" s="200">
        <f t="shared" si="926"/>
        <v>0</v>
      </c>
      <c r="S185" s="200">
        <f t="shared" si="926"/>
        <v>0</v>
      </c>
      <c r="T185" s="200">
        <f t="shared" si="926"/>
        <v>0</v>
      </c>
      <c r="U185" s="200">
        <f t="shared" si="926"/>
        <v>0</v>
      </c>
      <c r="V185" s="200">
        <f t="shared" si="926"/>
        <v>0</v>
      </c>
      <c r="W185" s="200">
        <f t="shared" si="926"/>
        <v>0</v>
      </c>
      <c r="X185" s="200">
        <f t="shared" si="926"/>
        <v>0</v>
      </c>
      <c r="Y185" s="200">
        <f t="shared" si="926"/>
        <v>0</v>
      </c>
      <c r="Z185" s="200">
        <f t="shared" si="926"/>
        <v>0</v>
      </c>
      <c r="AA185" s="200">
        <f t="shared" si="926"/>
        <v>0</v>
      </c>
      <c r="AB185" s="200">
        <f t="shared" si="926"/>
        <v>0</v>
      </c>
      <c r="AC185" s="200">
        <f t="shared" si="926"/>
        <v>0</v>
      </c>
      <c r="AD185" s="200">
        <f t="shared" si="11"/>
        <v>0</v>
      </c>
      <c r="AE185" s="200">
        <f t="shared" ref="AE185:AG185" si="927">countif($D185,"*"&amp;AE$2&amp;"*")</f>
        <v>0</v>
      </c>
      <c r="AF185" s="200">
        <f t="shared" si="927"/>
        <v>0</v>
      </c>
      <c r="AG185" s="200">
        <f t="shared" si="927"/>
        <v>0</v>
      </c>
      <c r="AH185" s="171">
        <f t="shared" si="13"/>
        <v>0</v>
      </c>
      <c r="AI185" s="200">
        <f t="shared" si="14"/>
        <v>0</v>
      </c>
      <c r="AJ185" s="200">
        <f t="shared" si="137"/>
        <v>0</v>
      </c>
      <c r="AK185" s="201">
        <f t="shared" ref="AK185:AS185" si="928">countif($D185,"*"&amp;AK$2&amp;"*")</f>
        <v>0</v>
      </c>
      <c r="AL185" s="201">
        <f t="shared" si="928"/>
        <v>0</v>
      </c>
      <c r="AM185" s="201">
        <f t="shared" si="928"/>
        <v>0</v>
      </c>
      <c r="AN185" s="201">
        <f t="shared" si="928"/>
        <v>0</v>
      </c>
      <c r="AO185" s="201">
        <f t="shared" si="928"/>
        <v>0</v>
      </c>
      <c r="AP185" s="201">
        <f t="shared" si="928"/>
        <v>0</v>
      </c>
      <c r="AQ185" s="201">
        <f t="shared" si="928"/>
        <v>0</v>
      </c>
      <c r="AR185" s="200">
        <f t="shared" si="928"/>
        <v>0</v>
      </c>
      <c r="AS185" s="200">
        <f t="shared" si="928"/>
        <v>0</v>
      </c>
      <c r="AT185" s="173">
        <v>0.0</v>
      </c>
      <c r="AU185" s="200">
        <f t="shared" ref="AU185:AX185" si="929">countif($D185,"*"&amp;AU$2&amp;"*")</f>
        <v>0</v>
      </c>
      <c r="AV185" s="200">
        <f t="shared" si="929"/>
        <v>1</v>
      </c>
      <c r="AW185" s="200">
        <f t="shared" si="929"/>
        <v>0</v>
      </c>
      <c r="AX185" s="200">
        <f t="shared" si="929"/>
        <v>0</v>
      </c>
      <c r="AY185" s="202">
        <v>0.0</v>
      </c>
      <c r="AZ185" s="200"/>
      <c r="BA185" s="171" t="str">
        <f t="shared" si="18"/>
        <v/>
      </c>
      <c r="BB185" s="171" t="str">
        <f t="shared" si="19"/>
        <v>Code</v>
      </c>
      <c r="BC185" s="171" t="str">
        <f t="shared" si="20"/>
        <v/>
      </c>
      <c r="BD185" s="171" t="str">
        <f t="shared" si="21"/>
        <v/>
      </c>
      <c r="BE185" s="171" t="str">
        <f t="shared" si="22"/>
        <v/>
      </c>
      <c r="BF185" s="171" t="str">
        <f t="shared" si="23"/>
        <v>Code</v>
      </c>
    </row>
    <row r="186">
      <c r="A186" s="171">
        <f t="array" ref="A186">XLOOKUP(C186,ICSE!A:A,ICSE!C:C,,2,1)</f>
        <v>2022</v>
      </c>
      <c r="B186" s="171" t="s">
        <v>5675</v>
      </c>
      <c r="C186" s="160">
        <v>170.0</v>
      </c>
      <c r="D186" s="161" t="s">
        <v>5800</v>
      </c>
      <c r="E186" s="197" t="str">
        <f t="array" ref="E186">XLOOKUP(C186,ICSE!A:A,ICSE!Z:Z,,0,1)</f>
        <v>Not available (1) - Broken link.
Publicly available (1)</v>
      </c>
      <c r="F186" s="198" t="s">
        <v>21</v>
      </c>
      <c r="G186" s="163" t="str">
        <f t="array" ref="G186">IF(B186="ICSE",IF(COUNTIFS(B:B,B186,C:C,C186)=XLOOKUP(C186,ICSE!A:A,ICSE!AA:AA,"ERROR",0,1),"OK","ERROR"),IF(B186="FSE",IF(COUNTIFS(B:B,B186,C:C,C186)=XLOOKUP(C186,FSE!A:A,FSE!AA:AA,"ERROR",0,1),"OK","ERROR")))</f>
        <v>OK</v>
      </c>
      <c r="H186" s="199">
        <f t="shared" ref="H186:O186" si="930">countif($D186,"*"&amp;H$2&amp;"*")</f>
        <v>0</v>
      </c>
      <c r="I186" s="200">
        <f t="shared" si="930"/>
        <v>0</v>
      </c>
      <c r="J186" s="200">
        <f t="shared" si="930"/>
        <v>0</v>
      </c>
      <c r="K186" s="200">
        <f t="shared" si="930"/>
        <v>0</v>
      </c>
      <c r="L186" s="200">
        <f t="shared" si="930"/>
        <v>0</v>
      </c>
      <c r="M186" s="200">
        <f t="shared" si="930"/>
        <v>0</v>
      </c>
      <c r="N186" s="200">
        <f t="shared" si="930"/>
        <v>0</v>
      </c>
      <c r="O186" s="200">
        <f t="shared" si="930"/>
        <v>0</v>
      </c>
      <c r="P186" s="200">
        <f t="shared" si="9"/>
        <v>1</v>
      </c>
      <c r="Q186" s="200">
        <f t="shared" ref="Q186:AC186" si="931">countif($D186,"*"&amp;Q$2&amp;"*")</f>
        <v>0</v>
      </c>
      <c r="R186" s="200">
        <f t="shared" si="931"/>
        <v>0</v>
      </c>
      <c r="S186" s="200">
        <f t="shared" si="931"/>
        <v>0</v>
      </c>
      <c r="T186" s="200">
        <f t="shared" si="931"/>
        <v>0</v>
      </c>
      <c r="U186" s="200">
        <f t="shared" si="931"/>
        <v>0</v>
      </c>
      <c r="V186" s="200">
        <f t="shared" si="931"/>
        <v>0</v>
      </c>
      <c r="W186" s="200">
        <f t="shared" si="931"/>
        <v>0</v>
      </c>
      <c r="X186" s="200">
        <f t="shared" si="931"/>
        <v>0</v>
      </c>
      <c r="Y186" s="200">
        <f t="shared" si="931"/>
        <v>0</v>
      </c>
      <c r="Z186" s="200">
        <f t="shared" si="931"/>
        <v>0</v>
      </c>
      <c r="AA186" s="200">
        <f t="shared" si="931"/>
        <v>0</v>
      </c>
      <c r="AB186" s="200">
        <f t="shared" si="931"/>
        <v>0</v>
      </c>
      <c r="AC186" s="200">
        <f t="shared" si="931"/>
        <v>0</v>
      </c>
      <c r="AD186" s="200">
        <f t="shared" si="11"/>
        <v>0</v>
      </c>
      <c r="AE186" s="200">
        <f t="shared" ref="AE186:AG186" si="932">countif($D186,"*"&amp;AE$2&amp;"*")</f>
        <v>0</v>
      </c>
      <c r="AF186" s="200">
        <f t="shared" si="932"/>
        <v>0</v>
      </c>
      <c r="AG186" s="200">
        <f t="shared" si="932"/>
        <v>0</v>
      </c>
      <c r="AH186" s="171">
        <f t="shared" si="13"/>
        <v>0</v>
      </c>
      <c r="AI186" s="200">
        <f t="shared" si="14"/>
        <v>0</v>
      </c>
      <c r="AJ186" s="200">
        <f t="shared" si="137"/>
        <v>0</v>
      </c>
      <c r="AK186" s="201">
        <f t="shared" ref="AK186:AS186" si="933">countif($D186,"*"&amp;AK$2&amp;"*")</f>
        <v>0</v>
      </c>
      <c r="AL186" s="201">
        <f t="shared" si="933"/>
        <v>0</v>
      </c>
      <c r="AM186" s="201">
        <f t="shared" si="933"/>
        <v>0</v>
      </c>
      <c r="AN186" s="201">
        <f t="shared" si="933"/>
        <v>0</v>
      </c>
      <c r="AO186" s="201">
        <f t="shared" si="933"/>
        <v>0</v>
      </c>
      <c r="AP186" s="201">
        <f t="shared" si="933"/>
        <v>0</v>
      </c>
      <c r="AQ186" s="201">
        <f t="shared" si="933"/>
        <v>0</v>
      </c>
      <c r="AR186" s="200">
        <f t="shared" si="933"/>
        <v>0</v>
      </c>
      <c r="AS186" s="200">
        <f t="shared" si="933"/>
        <v>0</v>
      </c>
      <c r="AT186" s="173">
        <v>0.0</v>
      </c>
      <c r="AU186" s="200">
        <f t="shared" ref="AU186:AX186" si="934">countif($D186,"*"&amp;AU$2&amp;"*")</f>
        <v>0</v>
      </c>
      <c r="AV186" s="200">
        <f t="shared" si="934"/>
        <v>1</v>
      </c>
      <c r="AW186" s="200">
        <f t="shared" si="934"/>
        <v>0</v>
      </c>
      <c r="AX186" s="200">
        <f t="shared" si="934"/>
        <v>0</v>
      </c>
      <c r="AY186" s="202">
        <v>0.0</v>
      </c>
      <c r="AZ186" s="200"/>
      <c r="BA186" s="171" t="str">
        <f t="shared" si="18"/>
        <v/>
      </c>
      <c r="BB186" s="171" t="str">
        <f t="shared" si="19"/>
        <v>Code</v>
      </c>
      <c r="BC186" s="171" t="str">
        <f t="shared" si="20"/>
        <v/>
      </c>
      <c r="BD186" s="171" t="str">
        <f t="shared" si="21"/>
        <v/>
      </c>
      <c r="BE186" s="171" t="str">
        <f t="shared" si="22"/>
        <v/>
      </c>
      <c r="BF186" s="171" t="str">
        <f t="shared" si="23"/>
        <v>Code</v>
      </c>
    </row>
    <row r="187">
      <c r="A187" s="171">
        <f t="array" ref="A187">XLOOKUP(C187,ICSE!A:A,ICSE!C:C,,2,1)</f>
        <v>2022</v>
      </c>
      <c r="B187" s="171" t="s">
        <v>5675</v>
      </c>
      <c r="C187" s="160">
        <v>172.0</v>
      </c>
      <c r="D187" s="161" t="s">
        <v>2719</v>
      </c>
      <c r="E187" s="197" t="str">
        <f t="array" ref="E187">XLOOKUP(C187,ICSE!A:A,ICSE!Z:Z,,0,1)</f>
        <v>Publicly available (1)</v>
      </c>
      <c r="F187" s="198" t="s">
        <v>20</v>
      </c>
      <c r="G187" s="163" t="str">
        <f t="array" ref="G187">IF(B187="ICSE",IF(COUNTIFS(B:B,B187,C:C,C187)=XLOOKUP(C187,ICSE!A:A,ICSE!AA:AA,"ERROR",0,1),"OK","ERROR"),IF(B187="FSE",IF(COUNTIFS(B:B,B187,C:C,C187)=XLOOKUP(C187,FSE!A:A,FSE!AA:AA,"ERROR",0,1),"OK","ERROR")))</f>
        <v>OK</v>
      </c>
      <c r="H187" s="199">
        <f t="shared" ref="H187:O187" si="935">countif($D187,"*"&amp;H$2&amp;"*")</f>
        <v>1</v>
      </c>
      <c r="I187" s="200">
        <f t="shared" si="935"/>
        <v>0</v>
      </c>
      <c r="J187" s="200">
        <f t="shared" si="935"/>
        <v>0</v>
      </c>
      <c r="K187" s="200">
        <f t="shared" si="935"/>
        <v>0</v>
      </c>
      <c r="L187" s="200">
        <f t="shared" si="935"/>
        <v>0</v>
      </c>
      <c r="M187" s="200">
        <f t="shared" si="935"/>
        <v>0</v>
      </c>
      <c r="N187" s="200">
        <f t="shared" si="935"/>
        <v>0</v>
      </c>
      <c r="O187" s="200">
        <f t="shared" si="935"/>
        <v>0</v>
      </c>
      <c r="P187" s="200">
        <f t="shared" si="9"/>
        <v>0</v>
      </c>
      <c r="Q187" s="200">
        <f t="shared" ref="Q187:AC187" si="936">countif($D187,"*"&amp;Q$2&amp;"*")</f>
        <v>0</v>
      </c>
      <c r="R187" s="200">
        <f t="shared" si="936"/>
        <v>0</v>
      </c>
      <c r="S187" s="200">
        <f t="shared" si="936"/>
        <v>0</v>
      </c>
      <c r="T187" s="200">
        <f t="shared" si="936"/>
        <v>0</v>
      </c>
      <c r="U187" s="200">
        <f t="shared" si="936"/>
        <v>0</v>
      </c>
      <c r="V187" s="200">
        <f t="shared" si="936"/>
        <v>0</v>
      </c>
      <c r="W187" s="200">
        <f t="shared" si="936"/>
        <v>0</v>
      </c>
      <c r="X187" s="200">
        <f t="shared" si="936"/>
        <v>0</v>
      </c>
      <c r="Y187" s="200">
        <f t="shared" si="936"/>
        <v>0</v>
      </c>
      <c r="Z187" s="200">
        <f t="shared" si="936"/>
        <v>0</v>
      </c>
      <c r="AA187" s="200">
        <f t="shared" si="936"/>
        <v>0</v>
      </c>
      <c r="AB187" s="200">
        <f t="shared" si="936"/>
        <v>0</v>
      </c>
      <c r="AC187" s="200">
        <f t="shared" si="936"/>
        <v>0</v>
      </c>
      <c r="AD187" s="200">
        <f t="shared" si="11"/>
        <v>0</v>
      </c>
      <c r="AE187" s="200">
        <f t="shared" ref="AE187:AG187" si="937">countif($D187,"*"&amp;AE$2&amp;"*")</f>
        <v>0</v>
      </c>
      <c r="AF187" s="200">
        <f t="shared" si="937"/>
        <v>0</v>
      </c>
      <c r="AG187" s="200">
        <f t="shared" si="937"/>
        <v>0</v>
      </c>
      <c r="AH187" s="171">
        <f t="shared" si="13"/>
        <v>0</v>
      </c>
      <c r="AI187" s="200">
        <f t="shared" si="14"/>
        <v>1</v>
      </c>
      <c r="AJ187" s="200">
        <f t="shared" si="137"/>
        <v>0</v>
      </c>
      <c r="AK187" s="201">
        <f t="shared" ref="AK187:AS187" si="938">countif($D187,"*"&amp;AK$2&amp;"*")</f>
        <v>0</v>
      </c>
      <c r="AL187" s="201">
        <f t="shared" si="938"/>
        <v>0</v>
      </c>
      <c r="AM187" s="201">
        <f t="shared" si="938"/>
        <v>0</v>
      </c>
      <c r="AN187" s="201">
        <f t="shared" si="938"/>
        <v>0</v>
      </c>
      <c r="AO187" s="201">
        <f t="shared" si="938"/>
        <v>0</v>
      </c>
      <c r="AP187" s="201">
        <f t="shared" si="938"/>
        <v>0</v>
      </c>
      <c r="AQ187" s="201">
        <f t="shared" si="938"/>
        <v>0</v>
      </c>
      <c r="AR187" s="200">
        <f t="shared" si="938"/>
        <v>0</v>
      </c>
      <c r="AS187" s="200">
        <f t="shared" si="938"/>
        <v>0</v>
      </c>
      <c r="AT187" s="173">
        <v>0.0</v>
      </c>
      <c r="AU187" s="200">
        <f t="shared" ref="AU187:AX187" si="939">countif($D187,"*"&amp;AU$2&amp;"*")</f>
        <v>0</v>
      </c>
      <c r="AV187" s="200">
        <f t="shared" si="939"/>
        <v>0</v>
      </c>
      <c r="AW187" s="200">
        <f t="shared" si="939"/>
        <v>0</v>
      </c>
      <c r="AX187" s="200">
        <f t="shared" si="939"/>
        <v>1</v>
      </c>
      <c r="AY187" s="202">
        <v>0.0</v>
      </c>
      <c r="AZ187" s="200"/>
      <c r="BA187" s="171" t="str">
        <f t="shared" si="18"/>
        <v>Archival</v>
      </c>
      <c r="BB187" s="171" t="str">
        <f t="shared" si="19"/>
        <v/>
      </c>
      <c r="BC187" s="171" t="str">
        <f t="shared" si="20"/>
        <v/>
      </c>
      <c r="BD187" s="171" t="str">
        <f t="shared" si="21"/>
        <v/>
      </c>
      <c r="BE187" s="171" t="str">
        <f t="shared" si="22"/>
        <v/>
      </c>
      <c r="BF187" s="171" t="str">
        <f t="shared" si="23"/>
        <v>Archival</v>
      </c>
    </row>
    <row r="188">
      <c r="A188" s="171">
        <f t="array" ref="A188">XLOOKUP(C188,ICSE!A:A,ICSE!C:C,,2,1)</f>
        <v>2022</v>
      </c>
      <c r="B188" s="171" t="s">
        <v>5675</v>
      </c>
      <c r="C188" s="160">
        <v>173.0</v>
      </c>
      <c r="D188" s="161" t="s">
        <v>2722</v>
      </c>
      <c r="E188" s="197" t="str">
        <f t="array" ref="E188">XLOOKUP(C188,ICSE!A:A,ICSE!Z:Z,,0,1)</f>
        <v>Publicly available (1)</v>
      </c>
      <c r="F188" s="198" t="s">
        <v>20</v>
      </c>
      <c r="G188" s="163" t="str">
        <f t="array" ref="G188">IF(B188="ICSE",IF(COUNTIFS(B:B,B188,C:C,C188)=XLOOKUP(C188,ICSE!A:A,ICSE!AA:AA,"ERROR",0,1),"OK","ERROR"),IF(B188="FSE",IF(COUNTIFS(B:B,B188,C:C,C188)=XLOOKUP(C188,FSE!A:A,FSE!AA:AA,"ERROR",0,1),"OK","ERROR")))</f>
        <v>OK</v>
      </c>
      <c r="H188" s="199">
        <f t="shared" ref="H188:O188" si="940">countif($D188,"*"&amp;H$2&amp;"*")</f>
        <v>0</v>
      </c>
      <c r="I188" s="200">
        <f t="shared" si="940"/>
        <v>0</v>
      </c>
      <c r="J188" s="200">
        <f t="shared" si="940"/>
        <v>0</v>
      </c>
      <c r="K188" s="200">
        <f t="shared" si="940"/>
        <v>0</v>
      </c>
      <c r="L188" s="200">
        <f t="shared" si="940"/>
        <v>0</v>
      </c>
      <c r="M188" s="200">
        <f t="shared" si="940"/>
        <v>0</v>
      </c>
      <c r="N188" s="200">
        <f t="shared" si="940"/>
        <v>0</v>
      </c>
      <c r="O188" s="200">
        <f t="shared" si="940"/>
        <v>0</v>
      </c>
      <c r="P188" s="200">
        <f t="shared" si="9"/>
        <v>1</v>
      </c>
      <c r="Q188" s="200">
        <f t="shared" ref="Q188:AC188" si="941">countif($D188,"*"&amp;Q$2&amp;"*")</f>
        <v>0</v>
      </c>
      <c r="R188" s="200">
        <f t="shared" si="941"/>
        <v>0</v>
      </c>
      <c r="S188" s="200">
        <f t="shared" si="941"/>
        <v>0</v>
      </c>
      <c r="T188" s="200">
        <f t="shared" si="941"/>
        <v>0</v>
      </c>
      <c r="U188" s="200">
        <f t="shared" si="941"/>
        <v>0</v>
      </c>
      <c r="V188" s="200">
        <f t="shared" si="941"/>
        <v>0</v>
      </c>
      <c r="W188" s="200">
        <f t="shared" si="941"/>
        <v>0</v>
      </c>
      <c r="X188" s="200">
        <f t="shared" si="941"/>
        <v>0</v>
      </c>
      <c r="Y188" s="200">
        <f t="shared" si="941"/>
        <v>0</v>
      </c>
      <c r="Z188" s="200">
        <f t="shared" si="941"/>
        <v>0</v>
      </c>
      <c r="AA188" s="200">
        <f t="shared" si="941"/>
        <v>0</v>
      </c>
      <c r="AB188" s="200">
        <f t="shared" si="941"/>
        <v>0</v>
      </c>
      <c r="AC188" s="200">
        <f t="shared" si="941"/>
        <v>0</v>
      </c>
      <c r="AD188" s="200">
        <f t="shared" si="11"/>
        <v>0</v>
      </c>
      <c r="AE188" s="200">
        <f t="shared" ref="AE188:AG188" si="942">countif($D188,"*"&amp;AE$2&amp;"*")</f>
        <v>0</v>
      </c>
      <c r="AF188" s="200">
        <f t="shared" si="942"/>
        <v>0</v>
      </c>
      <c r="AG188" s="200">
        <f t="shared" si="942"/>
        <v>0</v>
      </c>
      <c r="AH188" s="171">
        <f t="shared" si="13"/>
        <v>0</v>
      </c>
      <c r="AI188" s="200">
        <f t="shared" si="14"/>
        <v>0</v>
      </c>
      <c r="AJ188" s="200">
        <f t="shared" si="137"/>
        <v>0</v>
      </c>
      <c r="AK188" s="201">
        <f t="shared" ref="AK188:AS188" si="943">countif($D188,"*"&amp;AK$2&amp;"*")</f>
        <v>0</v>
      </c>
      <c r="AL188" s="201">
        <f t="shared" si="943"/>
        <v>0</v>
      </c>
      <c r="AM188" s="201">
        <f t="shared" si="943"/>
        <v>0</v>
      </c>
      <c r="AN188" s="201">
        <f t="shared" si="943"/>
        <v>0</v>
      </c>
      <c r="AO188" s="201">
        <f t="shared" si="943"/>
        <v>0</v>
      </c>
      <c r="AP188" s="201">
        <f t="shared" si="943"/>
        <v>0</v>
      </c>
      <c r="AQ188" s="201">
        <f t="shared" si="943"/>
        <v>0</v>
      </c>
      <c r="AR188" s="200">
        <f t="shared" si="943"/>
        <v>0</v>
      </c>
      <c r="AS188" s="200">
        <f t="shared" si="943"/>
        <v>0</v>
      </c>
      <c r="AT188" s="173">
        <v>0.0</v>
      </c>
      <c r="AU188" s="200">
        <f t="shared" ref="AU188:AX188" si="944">countif($D188,"*"&amp;AU$2&amp;"*")</f>
        <v>0</v>
      </c>
      <c r="AV188" s="200">
        <f t="shared" si="944"/>
        <v>1</v>
      </c>
      <c r="AW188" s="200">
        <f t="shared" si="944"/>
        <v>0</v>
      </c>
      <c r="AX188" s="200">
        <f t="shared" si="944"/>
        <v>0</v>
      </c>
      <c r="AY188" s="202">
        <v>0.0</v>
      </c>
      <c r="AZ188" s="200"/>
      <c r="BA188" s="171" t="str">
        <f t="shared" si="18"/>
        <v/>
      </c>
      <c r="BB188" s="171" t="str">
        <f t="shared" si="19"/>
        <v>Code</v>
      </c>
      <c r="BC188" s="171" t="str">
        <f t="shared" si="20"/>
        <v/>
      </c>
      <c r="BD188" s="171" t="str">
        <f t="shared" si="21"/>
        <v/>
      </c>
      <c r="BE188" s="171" t="str">
        <f t="shared" si="22"/>
        <v/>
      </c>
      <c r="BF188" s="171" t="str">
        <f t="shared" si="23"/>
        <v>Code</v>
      </c>
    </row>
    <row r="189">
      <c r="A189" s="171">
        <f t="array" ref="A189">XLOOKUP(C189,ICSE!A:A,ICSE!C:C,,2,1)</f>
        <v>2022</v>
      </c>
      <c r="B189" s="171" t="s">
        <v>5675</v>
      </c>
      <c r="C189" s="160">
        <v>174.0</v>
      </c>
      <c r="D189" s="161" t="s">
        <v>2725</v>
      </c>
      <c r="E189" s="197" t="str">
        <f t="array" ref="E189">XLOOKUP(C189,ICSE!A:A,ICSE!Z:Z,,0,1)</f>
        <v>Publicly available (1)</v>
      </c>
      <c r="F189" s="198" t="s">
        <v>20</v>
      </c>
      <c r="G189" s="163" t="str">
        <f t="array" ref="G189">IF(B189="ICSE",IF(COUNTIFS(B:B,B189,C:C,C189)=XLOOKUP(C189,ICSE!A:A,ICSE!AA:AA,"ERROR",0,1),"OK","ERROR"),IF(B189="FSE",IF(COUNTIFS(B:B,B189,C:C,C189)=XLOOKUP(C189,FSE!A:A,FSE!AA:AA,"ERROR",0,1),"OK","ERROR")))</f>
        <v>OK</v>
      </c>
      <c r="H189" s="199">
        <f t="shared" ref="H189:O189" si="945">countif($D189,"*"&amp;H$2&amp;"*")</f>
        <v>1</v>
      </c>
      <c r="I189" s="200">
        <f t="shared" si="945"/>
        <v>0</v>
      </c>
      <c r="J189" s="200">
        <f t="shared" si="945"/>
        <v>0</v>
      </c>
      <c r="K189" s="200">
        <f t="shared" si="945"/>
        <v>0</v>
      </c>
      <c r="L189" s="200">
        <f t="shared" si="945"/>
        <v>0</v>
      </c>
      <c r="M189" s="200">
        <f t="shared" si="945"/>
        <v>0</v>
      </c>
      <c r="N189" s="200">
        <f t="shared" si="945"/>
        <v>0</v>
      </c>
      <c r="O189" s="200">
        <f t="shared" si="945"/>
        <v>0</v>
      </c>
      <c r="P189" s="200">
        <f t="shared" si="9"/>
        <v>0</v>
      </c>
      <c r="Q189" s="200">
        <f t="shared" ref="Q189:AC189" si="946">countif($D189,"*"&amp;Q$2&amp;"*")</f>
        <v>0</v>
      </c>
      <c r="R189" s="200">
        <f t="shared" si="946"/>
        <v>0</v>
      </c>
      <c r="S189" s="200">
        <f t="shared" si="946"/>
        <v>0</v>
      </c>
      <c r="T189" s="200">
        <f t="shared" si="946"/>
        <v>0</v>
      </c>
      <c r="U189" s="200">
        <f t="shared" si="946"/>
        <v>0</v>
      </c>
      <c r="V189" s="200">
        <f t="shared" si="946"/>
        <v>0</v>
      </c>
      <c r="W189" s="200">
        <f t="shared" si="946"/>
        <v>0</v>
      </c>
      <c r="X189" s="200">
        <f t="shared" si="946"/>
        <v>0</v>
      </c>
      <c r="Y189" s="200">
        <f t="shared" si="946"/>
        <v>0</v>
      </c>
      <c r="Z189" s="200">
        <f t="shared" si="946"/>
        <v>0</v>
      </c>
      <c r="AA189" s="200">
        <f t="shared" si="946"/>
        <v>0</v>
      </c>
      <c r="AB189" s="200">
        <f t="shared" si="946"/>
        <v>0</v>
      </c>
      <c r="AC189" s="200">
        <f t="shared" si="946"/>
        <v>0</v>
      </c>
      <c r="AD189" s="200">
        <f t="shared" si="11"/>
        <v>0</v>
      </c>
      <c r="AE189" s="200">
        <f t="shared" ref="AE189:AG189" si="947">countif($D189,"*"&amp;AE$2&amp;"*")</f>
        <v>0</v>
      </c>
      <c r="AF189" s="200">
        <f t="shared" si="947"/>
        <v>0</v>
      </c>
      <c r="AG189" s="200">
        <f t="shared" si="947"/>
        <v>0</v>
      </c>
      <c r="AH189" s="171">
        <f t="shared" si="13"/>
        <v>0</v>
      </c>
      <c r="AI189" s="200">
        <f t="shared" si="14"/>
        <v>1</v>
      </c>
      <c r="AJ189" s="200">
        <f t="shared" si="137"/>
        <v>0</v>
      </c>
      <c r="AK189" s="201">
        <f t="shared" ref="AK189:AS189" si="948">countif($D189,"*"&amp;AK$2&amp;"*")</f>
        <v>0</v>
      </c>
      <c r="AL189" s="201">
        <f t="shared" si="948"/>
        <v>0</v>
      </c>
      <c r="AM189" s="201">
        <f t="shared" si="948"/>
        <v>0</v>
      </c>
      <c r="AN189" s="201">
        <f t="shared" si="948"/>
        <v>0</v>
      </c>
      <c r="AO189" s="201">
        <f t="shared" si="948"/>
        <v>0</v>
      </c>
      <c r="AP189" s="201">
        <f t="shared" si="948"/>
        <v>0</v>
      </c>
      <c r="AQ189" s="201">
        <f t="shared" si="948"/>
        <v>0</v>
      </c>
      <c r="AR189" s="200">
        <f t="shared" si="948"/>
        <v>0</v>
      </c>
      <c r="AS189" s="200">
        <f t="shared" si="948"/>
        <v>0</v>
      </c>
      <c r="AT189" s="173">
        <v>0.0</v>
      </c>
      <c r="AU189" s="200">
        <f t="shared" ref="AU189:AX189" si="949">countif($D189,"*"&amp;AU$2&amp;"*")</f>
        <v>0</v>
      </c>
      <c r="AV189" s="200">
        <f t="shared" si="949"/>
        <v>0</v>
      </c>
      <c r="AW189" s="200">
        <f t="shared" si="949"/>
        <v>0</v>
      </c>
      <c r="AX189" s="200">
        <f t="shared" si="949"/>
        <v>0</v>
      </c>
      <c r="AY189" s="204">
        <v>1.0</v>
      </c>
      <c r="AZ189" s="200"/>
      <c r="BA189" s="171" t="str">
        <f t="shared" si="18"/>
        <v>Archival</v>
      </c>
      <c r="BB189" s="171" t="str">
        <f t="shared" si="19"/>
        <v/>
      </c>
      <c r="BC189" s="171" t="str">
        <f t="shared" si="20"/>
        <v/>
      </c>
      <c r="BD189" s="171" t="str">
        <f t="shared" si="21"/>
        <v/>
      </c>
      <c r="BE189" s="171" t="str">
        <f t="shared" si="22"/>
        <v/>
      </c>
      <c r="BF189" s="171" t="str">
        <f t="shared" si="23"/>
        <v>Archival</v>
      </c>
    </row>
    <row r="190">
      <c r="A190" s="171">
        <f t="array" ref="A190">XLOOKUP(C190,ICSE!A:A,ICSE!C:C,,2,1)</f>
        <v>2022</v>
      </c>
      <c r="B190" s="171" t="s">
        <v>5675</v>
      </c>
      <c r="C190" s="160">
        <v>175.0</v>
      </c>
      <c r="D190" s="161" t="s">
        <v>2727</v>
      </c>
      <c r="E190" s="197" t="str">
        <f t="array" ref="E190">XLOOKUP(C190,ICSE!A:A,ICSE!Z:Z,,0,1)</f>
        <v>Publicly available (1)</v>
      </c>
      <c r="F190" s="198" t="s">
        <v>20</v>
      </c>
      <c r="G190" s="163" t="str">
        <f t="array" ref="G190">IF(B190="ICSE",IF(COUNTIFS(B:B,B190,C:C,C190)=XLOOKUP(C190,ICSE!A:A,ICSE!AA:AA,"ERROR",0,1),"OK","ERROR"),IF(B190="FSE",IF(COUNTIFS(B:B,B190,C:C,C190)=XLOOKUP(C190,FSE!A:A,FSE!AA:AA,"ERROR",0,1),"OK","ERROR")))</f>
        <v>OK</v>
      </c>
      <c r="H190" s="199">
        <f t="shared" ref="H190:O190" si="950">countif($D190,"*"&amp;H$2&amp;"*")</f>
        <v>0</v>
      </c>
      <c r="I190" s="200">
        <f t="shared" si="950"/>
        <v>0</v>
      </c>
      <c r="J190" s="200">
        <f t="shared" si="950"/>
        <v>0</v>
      </c>
      <c r="K190" s="200">
        <f t="shared" si="950"/>
        <v>0</v>
      </c>
      <c r="L190" s="200">
        <f t="shared" si="950"/>
        <v>0</v>
      </c>
      <c r="M190" s="200">
        <f t="shared" si="950"/>
        <v>0</v>
      </c>
      <c r="N190" s="200">
        <f t="shared" si="950"/>
        <v>0</v>
      </c>
      <c r="O190" s="200">
        <f t="shared" si="950"/>
        <v>0</v>
      </c>
      <c r="P190" s="200">
        <f t="shared" si="9"/>
        <v>1</v>
      </c>
      <c r="Q190" s="200">
        <f t="shared" ref="Q190:AC190" si="951">countif($D190,"*"&amp;Q$2&amp;"*")</f>
        <v>0</v>
      </c>
      <c r="R190" s="200">
        <f t="shared" si="951"/>
        <v>0</v>
      </c>
      <c r="S190" s="200">
        <f t="shared" si="951"/>
        <v>0</v>
      </c>
      <c r="T190" s="200">
        <f t="shared" si="951"/>
        <v>0</v>
      </c>
      <c r="U190" s="200">
        <f t="shared" si="951"/>
        <v>0</v>
      </c>
      <c r="V190" s="200">
        <f t="shared" si="951"/>
        <v>0</v>
      </c>
      <c r="W190" s="200">
        <f t="shared" si="951"/>
        <v>0</v>
      </c>
      <c r="X190" s="200">
        <f t="shared" si="951"/>
        <v>0</v>
      </c>
      <c r="Y190" s="200">
        <f t="shared" si="951"/>
        <v>0</v>
      </c>
      <c r="Z190" s="200">
        <f t="shared" si="951"/>
        <v>0</v>
      </c>
      <c r="AA190" s="200">
        <f t="shared" si="951"/>
        <v>0</v>
      </c>
      <c r="AB190" s="200">
        <f t="shared" si="951"/>
        <v>0</v>
      </c>
      <c r="AC190" s="200">
        <f t="shared" si="951"/>
        <v>0</v>
      </c>
      <c r="AD190" s="200">
        <f t="shared" si="11"/>
        <v>0</v>
      </c>
      <c r="AE190" s="200">
        <f t="shared" ref="AE190:AG190" si="952">countif($D190,"*"&amp;AE$2&amp;"*")</f>
        <v>0</v>
      </c>
      <c r="AF190" s="200">
        <f t="shared" si="952"/>
        <v>0</v>
      </c>
      <c r="AG190" s="200">
        <f t="shared" si="952"/>
        <v>0</v>
      </c>
      <c r="AH190" s="171">
        <f t="shared" si="13"/>
        <v>0</v>
      </c>
      <c r="AI190" s="200">
        <f t="shared" si="14"/>
        <v>0</v>
      </c>
      <c r="AJ190" s="200">
        <f t="shared" si="137"/>
        <v>0</v>
      </c>
      <c r="AK190" s="201">
        <f t="shared" ref="AK190:AS190" si="953">countif($D190,"*"&amp;AK$2&amp;"*")</f>
        <v>0</v>
      </c>
      <c r="AL190" s="201">
        <f t="shared" si="953"/>
        <v>0</v>
      </c>
      <c r="AM190" s="201">
        <f t="shared" si="953"/>
        <v>0</v>
      </c>
      <c r="AN190" s="201">
        <f t="shared" si="953"/>
        <v>0</v>
      </c>
      <c r="AO190" s="201">
        <f t="shared" si="953"/>
        <v>0</v>
      </c>
      <c r="AP190" s="201">
        <f t="shared" si="953"/>
        <v>0</v>
      </c>
      <c r="AQ190" s="201">
        <f t="shared" si="953"/>
        <v>0</v>
      </c>
      <c r="AR190" s="200">
        <f t="shared" si="953"/>
        <v>0</v>
      </c>
      <c r="AS190" s="200">
        <f t="shared" si="953"/>
        <v>0</v>
      </c>
      <c r="AT190" s="173">
        <v>0.0</v>
      </c>
      <c r="AU190" s="200">
        <f t="shared" ref="AU190:AX190" si="954">countif($D190,"*"&amp;AU$2&amp;"*")</f>
        <v>0</v>
      </c>
      <c r="AV190" s="200">
        <f t="shared" si="954"/>
        <v>1</v>
      </c>
      <c r="AW190" s="200">
        <f t="shared" si="954"/>
        <v>0</v>
      </c>
      <c r="AX190" s="200">
        <f t="shared" si="954"/>
        <v>0</v>
      </c>
      <c r="AY190" s="202">
        <v>0.0</v>
      </c>
      <c r="AZ190" s="200"/>
      <c r="BA190" s="171" t="str">
        <f t="shared" si="18"/>
        <v/>
      </c>
      <c r="BB190" s="171" t="str">
        <f t="shared" si="19"/>
        <v>Code</v>
      </c>
      <c r="BC190" s="171" t="str">
        <f t="shared" si="20"/>
        <v/>
      </c>
      <c r="BD190" s="171" t="str">
        <f t="shared" si="21"/>
        <v/>
      </c>
      <c r="BE190" s="171" t="str">
        <f t="shared" si="22"/>
        <v/>
      </c>
      <c r="BF190" s="171" t="str">
        <f t="shared" si="23"/>
        <v>Code</v>
      </c>
    </row>
    <row r="191">
      <c r="A191" s="171">
        <f t="array" ref="A191">XLOOKUP(C191,ICSE!A:A,ICSE!C:C,,2,1)</f>
        <v>2022</v>
      </c>
      <c r="B191" s="171" t="s">
        <v>5675</v>
      </c>
      <c r="C191" s="160">
        <v>177.0</v>
      </c>
      <c r="D191" s="161" t="s">
        <v>2731</v>
      </c>
      <c r="E191" s="197" t="str">
        <f t="array" ref="E191">XLOOKUP(C191,ICSE!A:A,ICSE!Z:Z,,0,1)</f>
        <v>Publicly available (1)</v>
      </c>
      <c r="F191" s="198" t="s">
        <v>20</v>
      </c>
      <c r="G191" s="163" t="str">
        <f t="array" ref="G191">IF(B191="ICSE",IF(COUNTIFS(B:B,B191,C:C,C191)=XLOOKUP(C191,ICSE!A:A,ICSE!AA:AA,"ERROR",0,1),"OK","ERROR"),IF(B191="FSE",IF(COUNTIFS(B:B,B191,C:C,C191)=XLOOKUP(C191,FSE!A:A,FSE!AA:AA,"ERROR",0,1),"OK","ERROR")))</f>
        <v>OK</v>
      </c>
      <c r="H191" s="199">
        <f t="shared" ref="H191:O191" si="955">countif($D191,"*"&amp;H$2&amp;"*")</f>
        <v>0</v>
      </c>
      <c r="I191" s="200">
        <f t="shared" si="955"/>
        <v>0</v>
      </c>
      <c r="J191" s="200">
        <f t="shared" si="955"/>
        <v>0</v>
      </c>
      <c r="K191" s="200">
        <f t="shared" si="955"/>
        <v>0</v>
      </c>
      <c r="L191" s="200">
        <f t="shared" si="955"/>
        <v>0</v>
      </c>
      <c r="M191" s="200">
        <f t="shared" si="955"/>
        <v>0</v>
      </c>
      <c r="N191" s="200">
        <f t="shared" si="955"/>
        <v>0</v>
      </c>
      <c r="O191" s="200">
        <f t="shared" si="955"/>
        <v>0</v>
      </c>
      <c r="P191" s="200">
        <f t="shared" si="9"/>
        <v>1</v>
      </c>
      <c r="Q191" s="200">
        <f t="shared" ref="Q191:AC191" si="956">countif($D191,"*"&amp;Q$2&amp;"*")</f>
        <v>0</v>
      </c>
      <c r="R191" s="200">
        <f t="shared" si="956"/>
        <v>0</v>
      </c>
      <c r="S191" s="200">
        <f t="shared" si="956"/>
        <v>0</v>
      </c>
      <c r="T191" s="200">
        <f t="shared" si="956"/>
        <v>0</v>
      </c>
      <c r="U191" s="200">
        <f t="shared" si="956"/>
        <v>0</v>
      </c>
      <c r="V191" s="200">
        <f t="shared" si="956"/>
        <v>0</v>
      </c>
      <c r="W191" s="200">
        <f t="shared" si="956"/>
        <v>0</v>
      </c>
      <c r="X191" s="200">
        <f t="shared" si="956"/>
        <v>0</v>
      </c>
      <c r="Y191" s="200">
        <f t="shared" si="956"/>
        <v>0</v>
      </c>
      <c r="Z191" s="200">
        <f t="shared" si="956"/>
        <v>0</v>
      </c>
      <c r="AA191" s="200">
        <f t="shared" si="956"/>
        <v>0</v>
      </c>
      <c r="AB191" s="200">
        <f t="shared" si="956"/>
        <v>0</v>
      </c>
      <c r="AC191" s="200">
        <f t="shared" si="956"/>
        <v>0</v>
      </c>
      <c r="AD191" s="200">
        <f t="shared" si="11"/>
        <v>0</v>
      </c>
      <c r="AE191" s="200">
        <f t="shared" ref="AE191:AG191" si="957">countif($D191,"*"&amp;AE$2&amp;"*")</f>
        <v>0</v>
      </c>
      <c r="AF191" s="200">
        <f t="shared" si="957"/>
        <v>0</v>
      </c>
      <c r="AG191" s="200">
        <f t="shared" si="957"/>
        <v>0</v>
      </c>
      <c r="AH191" s="171">
        <f t="shared" si="13"/>
        <v>0</v>
      </c>
      <c r="AI191" s="200">
        <f t="shared" si="14"/>
        <v>0</v>
      </c>
      <c r="AJ191" s="200">
        <f t="shared" si="137"/>
        <v>0</v>
      </c>
      <c r="AK191" s="201">
        <f t="shared" ref="AK191:AS191" si="958">countif($D191,"*"&amp;AK$2&amp;"*")</f>
        <v>0</v>
      </c>
      <c r="AL191" s="201">
        <f t="shared" si="958"/>
        <v>0</v>
      </c>
      <c r="AM191" s="201">
        <f t="shared" si="958"/>
        <v>0</v>
      </c>
      <c r="AN191" s="201">
        <f t="shared" si="958"/>
        <v>0</v>
      </c>
      <c r="AO191" s="201">
        <f t="shared" si="958"/>
        <v>0</v>
      </c>
      <c r="AP191" s="201">
        <f t="shared" si="958"/>
        <v>0</v>
      </c>
      <c r="AQ191" s="201">
        <f t="shared" si="958"/>
        <v>0</v>
      </c>
      <c r="AR191" s="200">
        <f t="shared" si="958"/>
        <v>0</v>
      </c>
      <c r="AS191" s="200">
        <f t="shared" si="958"/>
        <v>0</v>
      </c>
      <c r="AT191" s="173">
        <v>0.0</v>
      </c>
      <c r="AU191" s="200">
        <f t="shared" ref="AU191:AX191" si="959">countif($D191,"*"&amp;AU$2&amp;"*")</f>
        <v>0</v>
      </c>
      <c r="AV191" s="200">
        <f t="shared" si="959"/>
        <v>1</v>
      </c>
      <c r="AW191" s="200">
        <f t="shared" si="959"/>
        <v>0</v>
      </c>
      <c r="AX191" s="200">
        <f t="shared" si="959"/>
        <v>0</v>
      </c>
      <c r="AY191" s="202">
        <v>0.0</v>
      </c>
      <c r="AZ191" s="200"/>
      <c r="BA191" s="171" t="str">
        <f t="shared" si="18"/>
        <v/>
      </c>
      <c r="BB191" s="171" t="str">
        <f t="shared" si="19"/>
        <v>Code</v>
      </c>
      <c r="BC191" s="171" t="str">
        <f t="shared" si="20"/>
        <v/>
      </c>
      <c r="BD191" s="171" t="str">
        <f t="shared" si="21"/>
        <v/>
      </c>
      <c r="BE191" s="171" t="str">
        <f t="shared" si="22"/>
        <v/>
      </c>
      <c r="BF191" s="171" t="str">
        <f t="shared" si="23"/>
        <v>Code</v>
      </c>
    </row>
    <row r="192">
      <c r="A192" s="171">
        <f t="array" ref="A192">XLOOKUP(C192,ICSE!A:A,ICSE!C:C,,2,1)</f>
        <v>2022</v>
      </c>
      <c r="B192" s="171" t="s">
        <v>5675</v>
      </c>
      <c r="C192" s="160">
        <v>178.0</v>
      </c>
      <c r="D192" s="161" t="s">
        <v>2734</v>
      </c>
      <c r="E192" s="197" t="str">
        <f t="array" ref="E192">XLOOKUP(C192,ICSE!A:A,ICSE!Z:Z,,0,1)</f>
        <v>Publicly available (1)</v>
      </c>
      <c r="F192" s="198" t="s">
        <v>20</v>
      </c>
      <c r="G192" s="163" t="str">
        <f t="array" ref="G192">IF(B192="ICSE",IF(COUNTIFS(B:B,B192,C:C,C192)=XLOOKUP(C192,ICSE!A:A,ICSE!AA:AA,"ERROR",0,1),"OK","ERROR"),IF(B192="FSE",IF(COUNTIFS(B:B,B192,C:C,C192)=XLOOKUP(C192,FSE!A:A,FSE!AA:AA,"ERROR",0,1),"OK","ERROR")))</f>
        <v>OK</v>
      </c>
      <c r="H192" s="199">
        <f t="shared" ref="H192:O192" si="960">countif($D192,"*"&amp;H$2&amp;"*")</f>
        <v>0</v>
      </c>
      <c r="I192" s="200">
        <f t="shared" si="960"/>
        <v>0</v>
      </c>
      <c r="J192" s="200">
        <f t="shared" si="960"/>
        <v>0</v>
      </c>
      <c r="K192" s="200">
        <f t="shared" si="960"/>
        <v>0</v>
      </c>
      <c r="L192" s="200">
        <f t="shared" si="960"/>
        <v>0</v>
      </c>
      <c r="M192" s="200">
        <f t="shared" si="960"/>
        <v>0</v>
      </c>
      <c r="N192" s="200">
        <f t="shared" si="960"/>
        <v>0</v>
      </c>
      <c r="O192" s="200">
        <f t="shared" si="960"/>
        <v>0</v>
      </c>
      <c r="P192" s="200">
        <f t="shared" si="9"/>
        <v>1</v>
      </c>
      <c r="Q192" s="200">
        <f t="shared" ref="Q192:AC192" si="961">countif($D192,"*"&amp;Q$2&amp;"*")</f>
        <v>0</v>
      </c>
      <c r="R192" s="200">
        <f t="shared" si="961"/>
        <v>0</v>
      </c>
      <c r="S192" s="200">
        <f t="shared" si="961"/>
        <v>0</v>
      </c>
      <c r="T192" s="200">
        <f t="shared" si="961"/>
        <v>0</v>
      </c>
      <c r="U192" s="200">
        <f t="shared" si="961"/>
        <v>0</v>
      </c>
      <c r="V192" s="200">
        <f t="shared" si="961"/>
        <v>0</v>
      </c>
      <c r="W192" s="200">
        <f t="shared" si="961"/>
        <v>0</v>
      </c>
      <c r="X192" s="200">
        <f t="shared" si="961"/>
        <v>0</v>
      </c>
      <c r="Y192" s="200">
        <f t="shared" si="961"/>
        <v>0</v>
      </c>
      <c r="Z192" s="200">
        <f t="shared" si="961"/>
        <v>0</v>
      </c>
      <c r="AA192" s="200">
        <f t="shared" si="961"/>
        <v>0</v>
      </c>
      <c r="AB192" s="200">
        <f t="shared" si="961"/>
        <v>0</v>
      </c>
      <c r="AC192" s="200">
        <f t="shared" si="961"/>
        <v>0</v>
      </c>
      <c r="AD192" s="200">
        <f t="shared" si="11"/>
        <v>0</v>
      </c>
      <c r="AE192" s="200">
        <f t="shared" ref="AE192:AG192" si="962">countif($D192,"*"&amp;AE$2&amp;"*")</f>
        <v>0</v>
      </c>
      <c r="AF192" s="200">
        <f t="shared" si="962"/>
        <v>0</v>
      </c>
      <c r="AG192" s="200">
        <f t="shared" si="962"/>
        <v>0</v>
      </c>
      <c r="AH192" s="171">
        <f t="shared" si="13"/>
        <v>0</v>
      </c>
      <c r="AI192" s="200">
        <f t="shared" si="14"/>
        <v>0</v>
      </c>
      <c r="AJ192" s="200">
        <f t="shared" si="137"/>
        <v>0</v>
      </c>
      <c r="AK192" s="201">
        <f t="shared" ref="AK192:AS192" si="963">countif($D192,"*"&amp;AK$2&amp;"*")</f>
        <v>0</v>
      </c>
      <c r="AL192" s="201">
        <f t="shared" si="963"/>
        <v>0</v>
      </c>
      <c r="AM192" s="201">
        <f t="shared" si="963"/>
        <v>0</v>
      </c>
      <c r="AN192" s="201">
        <f t="shared" si="963"/>
        <v>0</v>
      </c>
      <c r="AO192" s="201">
        <f t="shared" si="963"/>
        <v>0</v>
      </c>
      <c r="AP192" s="201">
        <f t="shared" si="963"/>
        <v>0</v>
      </c>
      <c r="AQ192" s="201">
        <f t="shared" si="963"/>
        <v>0</v>
      </c>
      <c r="AR192" s="200">
        <f t="shared" si="963"/>
        <v>0</v>
      </c>
      <c r="AS192" s="200">
        <f t="shared" si="963"/>
        <v>0</v>
      </c>
      <c r="AT192" s="173">
        <v>0.0</v>
      </c>
      <c r="AU192" s="200">
        <f t="shared" ref="AU192:AX192" si="964">countif($D192,"*"&amp;AU$2&amp;"*")</f>
        <v>0</v>
      </c>
      <c r="AV192" s="200">
        <f t="shared" si="964"/>
        <v>1</v>
      </c>
      <c r="AW192" s="200">
        <f t="shared" si="964"/>
        <v>0</v>
      </c>
      <c r="AX192" s="200">
        <f t="shared" si="964"/>
        <v>0</v>
      </c>
      <c r="AY192" s="202">
        <v>0.0</v>
      </c>
      <c r="AZ192" s="200"/>
      <c r="BA192" s="171" t="str">
        <f t="shared" si="18"/>
        <v/>
      </c>
      <c r="BB192" s="171" t="str">
        <f t="shared" si="19"/>
        <v>Code</v>
      </c>
      <c r="BC192" s="171" t="str">
        <f t="shared" si="20"/>
        <v/>
      </c>
      <c r="BD192" s="171" t="str">
        <f t="shared" si="21"/>
        <v/>
      </c>
      <c r="BE192" s="171" t="str">
        <f t="shared" si="22"/>
        <v/>
      </c>
      <c r="BF192" s="171" t="str">
        <f t="shared" si="23"/>
        <v>Code</v>
      </c>
    </row>
    <row r="193">
      <c r="A193" s="171">
        <f t="array" ref="A193">XLOOKUP(C193,ICSE!A:A,ICSE!C:C,,2,1)</f>
        <v>2022</v>
      </c>
      <c r="B193" s="171" t="s">
        <v>5675</v>
      </c>
      <c r="C193" s="160">
        <v>179.0</v>
      </c>
      <c r="D193" s="161" t="s">
        <v>2737</v>
      </c>
      <c r="E193" s="197" t="str">
        <f t="array" ref="E193">XLOOKUP(C193,ICSE!A:A,ICSE!Z:Z,,0,1)</f>
        <v>Publicly available (1)</v>
      </c>
      <c r="F193" s="198" t="s">
        <v>20</v>
      </c>
      <c r="G193" s="163" t="str">
        <f t="array" ref="G193">IF(B193="ICSE",IF(COUNTIFS(B:B,B193,C:C,C193)=XLOOKUP(C193,ICSE!A:A,ICSE!AA:AA,"ERROR",0,1),"OK","ERROR"),IF(B193="FSE",IF(COUNTIFS(B:B,B193,C:C,C193)=XLOOKUP(C193,FSE!A:A,FSE!AA:AA,"ERROR",0,1),"OK","ERROR")))</f>
        <v>OK</v>
      </c>
      <c r="H193" s="199">
        <f t="shared" ref="H193:O193" si="965">countif($D193,"*"&amp;H$2&amp;"*")</f>
        <v>0</v>
      </c>
      <c r="I193" s="200">
        <f t="shared" si="965"/>
        <v>0</v>
      </c>
      <c r="J193" s="200">
        <f t="shared" si="965"/>
        <v>0</v>
      </c>
      <c r="K193" s="200">
        <f t="shared" si="965"/>
        <v>0</v>
      </c>
      <c r="L193" s="200">
        <f t="shared" si="965"/>
        <v>0</v>
      </c>
      <c r="M193" s="200">
        <f t="shared" si="965"/>
        <v>0</v>
      </c>
      <c r="N193" s="200">
        <f t="shared" si="965"/>
        <v>0</v>
      </c>
      <c r="O193" s="200">
        <f t="shared" si="965"/>
        <v>0</v>
      </c>
      <c r="P193" s="200">
        <f t="shared" si="9"/>
        <v>1</v>
      </c>
      <c r="Q193" s="200">
        <f t="shared" ref="Q193:AC193" si="966">countif($D193,"*"&amp;Q$2&amp;"*")</f>
        <v>0</v>
      </c>
      <c r="R193" s="200">
        <f t="shared" si="966"/>
        <v>0</v>
      </c>
      <c r="S193" s="200">
        <f t="shared" si="966"/>
        <v>0</v>
      </c>
      <c r="T193" s="200">
        <f t="shared" si="966"/>
        <v>0</v>
      </c>
      <c r="U193" s="200">
        <f t="shared" si="966"/>
        <v>0</v>
      </c>
      <c r="V193" s="200">
        <f t="shared" si="966"/>
        <v>0</v>
      </c>
      <c r="W193" s="200">
        <f t="shared" si="966"/>
        <v>0</v>
      </c>
      <c r="X193" s="200">
        <f t="shared" si="966"/>
        <v>0</v>
      </c>
      <c r="Y193" s="200">
        <f t="shared" si="966"/>
        <v>0</v>
      </c>
      <c r="Z193" s="200">
        <f t="shared" si="966"/>
        <v>0</v>
      </c>
      <c r="AA193" s="200">
        <f t="shared" si="966"/>
        <v>0</v>
      </c>
      <c r="AB193" s="200">
        <f t="shared" si="966"/>
        <v>0</v>
      </c>
      <c r="AC193" s="200">
        <f t="shared" si="966"/>
        <v>0</v>
      </c>
      <c r="AD193" s="200">
        <f t="shared" si="11"/>
        <v>0</v>
      </c>
      <c r="AE193" s="200">
        <f t="shared" ref="AE193:AG193" si="967">countif($D193,"*"&amp;AE$2&amp;"*")</f>
        <v>0</v>
      </c>
      <c r="AF193" s="200">
        <f t="shared" si="967"/>
        <v>0</v>
      </c>
      <c r="AG193" s="200">
        <f t="shared" si="967"/>
        <v>0</v>
      </c>
      <c r="AH193" s="171">
        <f t="shared" si="13"/>
        <v>0</v>
      </c>
      <c r="AI193" s="200">
        <f t="shared" si="14"/>
        <v>0</v>
      </c>
      <c r="AJ193" s="200">
        <f t="shared" si="137"/>
        <v>0</v>
      </c>
      <c r="AK193" s="201">
        <f t="shared" ref="AK193:AS193" si="968">countif($D193,"*"&amp;AK$2&amp;"*")</f>
        <v>0</v>
      </c>
      <c r="AL193" s="201">
        <f t="shared" si="968"/>
        <v>0</v>
      </c>
      <c r="AM193" s="201">
        <f t="shared" si="968"/>
        <v>0</v>
      </c>
      <c r="AN193" s="201">
        <f t="shared" si="968"/>
        <v>0</v>
      </c>
      <c r="AO193" s="201">
        <f t="shared" si="968"/>
        <v>0</v>
      </c>
      <c r="AP193" s="201">
        <f t="shared" si="968"/>
        <v>0</v>
      </c>
      <c r="AQ193" s="201">
        <f t="shared" si="968"/>
        <v>0</v>
      </c>
      <c r="AR193" s="200">
        <f t="shared" si="968"/>
        <v>0</v>
      </c>
      <c r="AS193" s="200">
        <f t="shared" si="968"/>
        <v>0</v>
      </c>
      <c r="AT193" s="173">
        <v>0.0</v>
      </c>
      <c r="AU193" s="200">
        <f t="shared" ref="AU193:AX193" si="969">countif($D193,"*"&amp;AU$2&amp;"*")</f>
        <v>0</v>
      </c>
      <c r="AV193" s="200">
        <f t="shared" si="969"/>
        <v>1</v>
      </c>
      <c r="AW193" s="200">
        <f t="shared" si="969"/>
        <v>0</v>
      </c>
      <c r="AX193" s="200">
        <f t="shared" si="969"/>
        <v>0</v>
      </c>
      <c r="AY193" s="202">
        <v>0.0</v>
      </c>
      <c r="AZ193" s="200"/>
      <c r="BA193" s="171" t="str">
        <f t="shared" si="18"/>
        <v/>
      </c>
      <c r="BB193" s="171" t="str">
        <f t="shared" si="19"/>
        <v>Code</v>
      </c>
      <c r="BC193" s="171" t="str">
        <f t="shared" si="20"/>
        <v/>
      </c>
      <c r="BD193" s="171" t="str">
        <f t="shared" si="21"/>
        <v/>
      </c>
      <c r="BE193" s="171" t="str">
        <f t="shared" si="22"/>
        <v/>
      </c>
      <c r="BF193" s="171" t="str">
        <f t="shared" si="23"/>
        <v>Code</v>
      </c>
    </row>
    <row r="194">
      <c r="A194" s="171">
        <f t="array" ref="A194">XLOOKUP(C194,ICSE!A:A,ICSE!C:C,,2,1)</f>
        <v>2022</v>
      </c>
      <c r="B194" s="171" t="s">
        <v>5675</v>
      </c>
      <c r="C194" s="160">
        <v>180.0</v>
      </c>
      <c r="D194" s="161" t="s">
        <v>2741</v>
      </c>
      <c r="E194" s="197" t="str">
        <f t="array" ref="E194">XLOOKUP(C194,ICSE!A:A,ICSE!Z:Z,,0,1)</f>
        <v>Publicly available (1)</v>
      </c>
      <c r="F194" s="198" t="s">
        <v>20</v>
      </c>
      <c r="G194" s="163" t="str">
        <f t="array" ref="G194">IF(B194="ICSE",IF(COUNTIFS(B:B,B194,C:C,C194)=XLOOKUP(C194,ICSE!A:A,ICSE!AA:AA,"ERROR",0,1),"OK","ERROR"),IF(B194="FSE",IF(COUNTIFS(B:B,B194,C:C,C194)=XLOOKUP(C194,FSE!A:A,FSE!AA:AA,"ERROR",0,1),"OK","ERROR")))</f>
        <v>OK</v>
      </c>
      <c r="H194" s="199">
        <f t="shared" ref="H194:O194" si="970">countif($D194,"*"&amp;H$2&amp;"*")</f>
        <v>0</v>
      </c>
      <c r="I194" s="200">
        <f t="shared" si="970"/>
        <v>0</v>
      </c>
      <c r="J194" s="200">
        <f t="shared" si="970"/>
        <v>0</v>
      </c>
      <c r="K194" s="200">
        <f t="shared" si="970"/>
        <v>0</v>
      </c>
      <c r="L194" s="200">
        <f t="shared" si="970"/>
        <v>0</v>
      </c>
      <c r="M194" s="200">
        <f t="shared" si="970"/>
        <v>0</v>
      </c>
      <c r="N194" s="200">
        <f t="shared" si="970"/>
        <v>0</v>
      </c>
      <c r="O194" s="200">
        <f t="shared" si="970"/>
        <v>0</v>
      </c>
      <c r="P194" s="200">
        <f t="shared" si="9"/>
        <v>1</v>
      </c>
      <c r="Q194" s="200">
        <f t="shared" ref="Q194:AC194" si="971">countif($D194,"*"&amp;Q$2&amp;"*")</f>
        <v>0</v>
      </c>
      <c r="R194" s="200">
        <f t="shared" si="971"/>
        <v>0</v>
      </c>
      <c r="S194" s="200">
        <f t="shared" si="971"/>
        <v>0</v>
      </c>
      <c r="T194" s="200">
        <f t="shared" si="971"/>
        <v>0</v>
      </c>
      <c r="U194" s="200">
        <f t="shared" si="971"/>
        <v>0</v>
      </c>
      <c r="V194" s="200">
        <f t="shared" si="971"/>
        <v>0</v>
      </c>
      <c r="W194" s="200">
        <f t="shared" si="971"/>
        <v>0</v>
      </c>
      <c r="X194" s="200">
        <f t="shared" si="971"/>
        <v>0</v>
      </c>
      <c r="Y194" s="200">
        <f t="shared" si="971"/>
        <v>0</v>
      </c>
      <c r="Z194" s="200">
        <f t="shared" si="971"/>
        <v>0</v>
      </c>
      <c r="AA194" s="200">
        <f t="shared" si="971"/>
        <v>0</v>
      </c>
      <c r="AB194" s="200">
        <f t="shared" si="971"/>
        <v>0</v>
      </c>
      <c r="AC194" s="200">
        <f t="shared" si="971"/>
        <v>0</v>
      </c>
      <c r="AD194" s="200">
        <f t="shared" si="11"/>
        <v>0</v>
      </c>
      <c r="AE194" s="200">
        <f t="shared" ref="AE194:AG194" si="972">countif($D194,"*"&amp;AE$2&amp;"*")</f>
        <v>0</v>
      </c>
      <c r="AF194" s="200">
        <f t="shared" si="972"/>
        <v>0</v>
      </c>
      <c r="AG194" s="200">
        <f t="shared" si="972"/>
        <v>0</v>
      </c>
      <c r="AH194" s="171">
        <f t="shared" si="13"/>
        <v>0</v>
      </c>
      <c r="AI194" s="200">
        <f t="shared" si="14"/>
        <v>0</v>
      </c>
      <c r="AJ194" s="200">
        <f t="shared" si="137"/>
        <v>0</v>
      </c>
      <c r="AK194" s="201">
        <f t="shared" ref="AK194:AS194" si="973">countif($D194,"*"&amp;AK$2&amp;"*")</f>
        <v>0</v>
      </c>
      <c r="AL194" s="201">
        <f t="shared" si="973"/>
        <v>0</v>
      </c>
      <c r="AM194" s="201">
        <f t="shared" si="973"/>
        <v>0</v>
      </c>
      <c r="AN194" s="201">
        <f t="shared" si="973"/>
        <v>0</v>
      </c>
      <c r="AO194" s="201">
        <f t="shared" si="973"/>
        <v>0</v>
      </c>
      <c r="AP194" s="201">
        <f t="shared" si="973"/>
        <v>0</v>
      </c>
      <c r="AQ194" s="201">
        <f t="shared" si="973"/>
        <v>0</v>
      </c>
      <c r="AR194" s="200">
        <f t="shared" si="973"/>
        <v>0</v>
      </c>
      <c r="AS194" s="200">
        <f t="shared" si="973"/>
        <v>0</v>
      </c>
      <c r="AT194" s="173">
        <v>0.0</v>
      </c>
      <c r="AU194" s="200">
        <f t="shared" ref="AU194:AX194" si="974">countif($D194,"*"&amp;AU$2&amp;"*")</f>
        <v>0</v>
      </c>
      <c r="AV194" s="200">
        <f t="shared" si="974"/>
        <v>1</v>
      </c>
      <c r="AW194" s="200">
        <f t="shared" si="974"/>
        <v>0</v>
      </c>
      <c r="AX194" s="200">
        <f t="shared" si="974"/>
        <v>0</v>
      </c>
      <c r="AY194" s="202">
        <v>0.0</v>
      </c>
      <c r="AZ194" s="200"/>
      <c r="BA194" s="171" t="str">
        <f t="shared" si="18"/>
        <v/>
      </c>
      <c r="BB194" s="171" t="str">
        <f t="shared" si="19"/>
        <v>Code</v>
      </c>
      <c r="BC194" s="171" t="str">
        <f t="shared" si="20"/>
        <v/>
      </c>
      <c r="BD194" s="171" t="str">
        <f t="shared" si="21"/>
        <v/>
      </c>
      <c r="BE194" s="171" t="str">
        <f t="shared" si="22"/>
        <v/>
      </c>
      <c r="BF194" s="171" t="str">
        <f t="shared" si="23"/>
        <v>Code</v>
      </c>
    </row>
    <row r="195">
      <c r="A195" s="171">
        <f t="array" ref="A195">XLOOKUP(C195,ICSE!A:A,ICSE!C:C,,2,1)</f>
        <v>2022</v>
      </c>
      <c r="B195" s="171" t="s">
        <v>5675</v>
      </c>
      <c r="C195" s="160">
        <v>181.0</v>
      </c>
      <c r="D195" s="161" t="s">
        <v>2745</v>
      </c>
      <c r="E195" s="197" t="str">
        <f t="array" ref="E195">XLOOKUP(C195,ICSE!A:A,ICSE!Z:Z,,0,1)</f>
        <v>Publicly available (1)</v>
      </c>
      <c r="F195" s="198" t="s">
        <v>20</v>
      </c>
      <c r="G195" s="163" t="str">
        <f t="array" ref="G195">IF(B195="ICSE",IF(COUNTIFS(B:B,B195,C:C,C195)=XLOOKUP(C195,ICSE!A:A,ICSE!AA:AA,"ERROR",0,1),"OK","ERROR"),IF(B195="FSE",IF(COUNTIFS(B:B,B195,C:C,C195)=XLOOKUP(C195,FSE!A:A,FSE!AA:AA,"ERROR",0,1),"OK","ERROR")))</f>
        <v>OK</v>
      </c>
      <c r="H195" s="199">
        <f t="shared" ref="H195:O195" si="975">countif($D195,"*"&amp;H$2&amp;"*")</f>
        <v>1</v>
      </c>
      <c r="I195" s="200">
        <f t="shared" si="975"/>
        <v>0</v>
      </c>
      <c r="J195" s="200">
        <f t="shared" si="975"/>
        <v>0</v>
      </c>
      <c r="K195" s="200">
        <f t="shared" si="975"/>
        <v>0</v>
      </c>
      <c r="L195" s="200">
        <f t="shared" si="975"/>
        <v>0</v>
      </c>
      <c r="M195" s="200">
        <f t="shared" si="975"/>
        <v>0</v>
      </c>
      <c r="N195" s="200">
        <f t="shared" si="975"/>
        <v>0</v>
      </c>
      <c r="O195" s="200">
        <f t="shared" si="975"/>
        <v>0</v>
      </c>
      <c r="P195" s="200">
        <f t="shared" si="9"/>
        <v>0</v>
      </c>
      <c r="Q195" s="200">
        <f t="shared" ref="Q195:AC195" si="976">countif($D195,"*"&amp;Q$2&amp;"*")</f>
        <v>0</v>
      </c>
      <c r="R195" s="200">
        <f t="shared" si="976"/>
        <v>0</v>
      </c>
      <c r="S195" s="200">
        <f t="shared" si="976"/>
        <v>0</v>
      </c>
      <c r="T195" s="200">
        <f t="shared" si="976"/>
        <v>0</v>
      </c>
      <c r="U195" s="200">
        <f t="shared" si="976"/>
        <v>0</v>
      </c>
      <c r="V195" s="200">
        <f t="shared" si="976"/>
        <v>0</v>
      </c>
      <c r="W195" s="200">
        <f t="shared" si="976"/>
        <v>0</v>
      </c>
      <c r="X195" s="200">
        <f t="shared" si="976"/>
        <v>0</v>
      </c>
      <c r="Y195" s="200">
        <f t="shared" si="976"/>
        <v>0</v>
      </c>
      <c r="Z195" s="200">
        <f t="shared" si="976"/>
        <v>0</v>
      </c>
      <c r="AA195" s="200">
        <f t="shared" si="976"/>
        <v>0</v>
      </c>
      <c r="AB195" s="200">
        <f t="shared" si="976"/>
        <v>0</v>
      </c>
      <c r="AC195" s="200">
        <f t="shared" si="976"/>
        <v>0</v>
      </c>
      <c r="AD195" s="200">
        <f t="shared" si="11"/>
        <v>0</v>
      </c>
      <c r="AE195" s="200">
        <f t="shared" ref="AE195:AG195" si="977">countif($D195,"*"&amp;AE$2&amp;"*")</f>
        <v>0</v>
      </c>
      <c r="AF195" s="200">
        <f t="shared" si="977"/>
        <v>0</v>
      </c>
      <c r="AG195" s="200">
        <f t="shared" si="977"/>
        <v>0</v>
      </c>
      <c r="AH195" s="171">
        <f t="shared" si="13"/>
        <v>0</v>
      </c>
      <c r="AI195" s="200">
        <f t="shared" si="14"/>
        <v>1</v>
      </c>
      <c r="AJ195" s="200">
        <f t="shared" si="137"/>
        <v>0</v>
      </c>
      <c r="AK195" s="201">
        <f t="shared" ref="AK195:AS195" si="978">countif($D195,"*"&amp;AK$2&amp;"*")</f>
        <v>0</v>
      </c>
      <c r="AL195" s="201">
        <f t="shared" si="978"/>
        <v>0</v>
      </c>
      <c r="AM195" s="201">
        <f t="shared" si="978"/>
        <v>0</v>
      </c>
      <c r="AN195" s="201">
        <f t="shared" si="978"/>
        <v>0</v>
      </c>
      <c r="AO195" s="201">
        <f t="shared" si="978"/>
        <v>0</v>
      </c>
      <c r="AP195" s="201">
        <f t="shared" si="978"/>
        <v>0</v>
      </c>
      <c r="AQ195" s="201">
        <f t="shared" si="978"/>
        <v>0</v>
      </c>
      <c r="AR195" s="200">
        <f t="shared" si="978"/>
        <v>0</v>
      </c>
      <c r="AS195" s="200">
        <f t="shared" si="978"/>
        <v>0</v>
      </c>
      <c r="AT195" s="173">
        <v>0.0</v>
      </c>
      <c r="AU195" s="200">
        <f t="shared" ref="AU195:AX195" si="979">countif($D195,"*"&amp;AU$2&amp;"*")</f>
        <v>0</v>
      </c>
      <c r="AV195" s="200">
        <f t="shared" si="979"/>
        <v>0</v>
      </c>
      <c r="AW195" s="200">
        <f t="shared" si="979"/>
        <v>0</v>
      </c>
      <c r="AX195" s="200">
        <f t="shared" si="979"/>
        <v>1</v>
      </c>
      <c r="AY195" s="202">
        <v>0.0</v>
      </c>
      <c r="AZ195" s="200"/>
      <c r="BA195" s="171" t="str">
        <f t="shared" si="18"/>
        <v>Archival</v>
      </c>
      <c r="BB195" s="171" t="str">
        <f t="shared" si="19"/>
        <v/>
      </c>
      <c r="BC195" s="171" t="str">
        <f t="shared" si="20"/>
        <v/>
      </c>
      <c r="BD195" s="171" t="str">
        <f t="shared" si="21"/>
        <v/>
      </c>
      <c r="BE195" s="171" t="str">
        <f t="shared" si="22"/>
        <v/>
      </c>
      <c r="BF195" s="171" t="str">
        <f t="shared" si="23"/>
        <v>Archival</v>
      </c>
    </row>
    <row r="196">
      <c r="A196" s="171">
        <f t="array" ref="A196">XLOOKUP(C196,ICSE!A:A,ICSE!C:C,,2,1)</f>
        <v>2022</v>
      </c>
      <c r="B196" s="171" t="s">
        <v>5675</v>
      </c>
      <c r="C196" s="160">
        <v>182.0</v>
      </c>
      <c r="D196" s="161" t="s">
        <v>2747</v>
      </c>
      <c r="E196" s="197" t="str">
        <f t="array" ref="E196">XLOOKUP(C196,ICSE!A:A,ICSE!Z:Z,,0,1)</f>
        <v>Publicly available (1)</v>
      </c>
      <c r="F196" s="198" t="s">
        <v>20</v>
      </c>
      <c r="G196" s="163" t="str">
        <f t="array" ref="G196">IF(B196="ICSE",IF(COUNTIFS(B:B,B196,C:C,C196)=XLOOKUP(C196,ICSE!A:A,ICSE!AA:AA,"ERROR",0,1),"OK","ERROR"),IF(B196="FSE",IF(COUNTIFS(B:B,B196,C:C,C196)=XLOOKUP(C196,FSE!A:A,FSE!AA:AA,"ERROR",0,1),"OK","ERROR")))</f>
        <v>OK</v>
      </c>
      <c r="H196" s="199">
        <f t="shared" ref="H196:O196" si="980">countif($D196,"*"&amp;H$2&amp;"*")</f>
        <v>1</v>
      </c>
      <c r="I196" s="200">
        <f t="shared" si="980"/>
        <v>0</v>
      </c>
      <c r="J196" s="200">
        <f t="shared" si="980"/>
        <v>0</v>
      </c>
      <c r="K196" s="200">
        <f t="shared" si="980"/>
        <v>0</v>
      </c>
      <c r="L196" s="200">
        <f t="shared" si="980"/>
        <v>0</v>
      </c>
      <c r="M196" s="200">
        <f t="shared" si="980"/>
        <v>0</v>
      </c>
      <c r="N196" s="200">
        <f t="shared" si="980"/>
        <v>0</v>
      </c>
      <c r="O196" s="200">
        <f t="shared" si="980"/>
        <v>0</v>
      </c>
      <c r="P196" s="200">
        <f t="shared" si="9"/>
        <v>0</v>
      </c>
      <c r="Q196" s="200">
        <f t="shared" ref="Q196:AC196" si="981">countif($D196,"*"&amp;Q$2&amp;"*")</f>
        <v>0</v>
      </c>
      <c r="R196" s="200">
        <f t="shared" si="981"/>
        <v>0</v>
      </c>
      <c r="S196" s="200">
        <f t="shared" si="981"/>
        <v>0</v>
      </c>
      <c r="T196" s="200">
        <f t="shared" si="981"/>
        <v>0</v>
      </c>
      <c r="U196" s="200">
        <f t="shared" si="981"/>
        <v>0</v>
      </c>
      <c r="V196" s="200">
        <f t="shared" si="981"/>
        <v>0</v>
      </c>
      <c r="W196" s="200">
        <f t="shared" si="981"/>
        <v>0</v>
      </c>
      <c r="X196" s="200">
        <f t="shared" si="981"/>
        <v>0</v>
      </c>
      <c r="Y196" s="200">
        <f t="shared" si="981"/>
        <v>0</v>
      </c>
      <c r="Z196" s="200">
        <f t="shared" si="981"/>
        <v>0</v>
      </c>
      <c r="AA196" s="200">
        <f t="shared" si="981"/>
        <v>0</v>
      </c>
      <c r="AB196" s="200">
        <f t="shared" si="981"/>
        <v>0</v>
      </c>
      <c r="AC196" s="200">
        <f t="shared" si="981"/>
        <v>0</v>
      </c>
      <c r="AD196" s="200">
        <f t="shared" si="11"/>
        <v>0</v>
      </c>
      <c r="AE196" s="200">
        <f t="shared" ref="AE196:AG196" si="982">countif($D196,"*"&amp;AE$2&amp;"*")</f>
        <v>0</v>
      </c>
      <c r="AF196" s="200">
        <f t="shared" si="982"/>
        <v>0</v>
      </c>
      <c r="AG196" s="200">
        <f t="shared" si="982"/>
        <v>0</v>
      </c>
      <c r="AH196" s="171">
        <f t="shared" si="13"/>
        <v>0</v>
      </c>
      <c r="AI196" s="200">
        <f t="shared" si="14"/>
        <v>1</v>
      </c>
      <c r="AJ196" s="200">
        <f t="shared" si="137"/>
        <v>0</v>
      </c>
      <c r="AK196" s="201">
        <f t="shared" ref="AK196:AS196" si="983">countif($D196,"*"&amp;AK$2&amp;"*")</f>
        <v>0</v>
      </c>
      <c r="AL196" s="201">
        <f t="shared" si="983"/>
        <v>0</v>
      </c>
      <c r="AM196" s="201">
        <f t="shared" si="983"/>
        <v>0</v>
      </c>
      <c r="AN196" s="201">
        <f t="shared" si="983"/>
        <v>0</v>
      </c>
      <c r="AO196" s="201">
        <f t="shared" si="983"/>
        <v>0</v>
      </c>
      <c r="AP196" s="201">
        <f t="shared" si="983"/>
        <v>0</v>
      </c>
      <c r="AQ196" s="201">
        <f t="shared" si="983"/>
        <v>0</v>
      </c>
      <c r="AR196" s="200">
        <f t="shared" si="983"/>
        <v>0</v>
      </c>
      <c r="AS196" s="200">
        <f t="shared" si="983"/>
        <v>0</v>
      </c>
      <c r="AT196" s="173">
        <v>0.0</v>
      </c>
      <c r="AU196" s="200">
        <f t="shared" ref="AU196:AX196" si="984">countif($D196,"*"&amp;AU$2&amp;"*")</f>
        <v>0</v>
      </c>
      <c r="AV196" s="200">
        <f t="shared" si="984"/>
        <v>0</v>
      </c>
      <c r="AW196" s="200">
        <f t="shared" si="984"/>
        <v>0</v>
      </c>
      <c r="AX196" s="200">
        <f t="shared" si="984"/>
        <v>1</v>
      </c>
      <c r="AY196" s="202">
        <v>0.0</v>
      </c>
      <c r="AZ196" s="200"/>
      <c r="BA196" s="171" t="str">
        <f t="shared" si="18"/>
        <v>Archival</v>
      </c>
      <c r="BB196" s="171" t="str">
        <f t="shared" si="19"/>
        <v/>
      </c>
      <c r="BC196" s="171" t="str">
        <f t="shared" si="20"/>
        <v/>
      </c>
      <c r="BD196" s="171" t="str">
        <f t="shared" si="21"/>
        <v/>
      </c>
      <c r="BE196" s="171" t="str">
        <f t="shared" si="22"/>
        <v/>
      </c>
      <c r="BF196" s="171" t="str">
        <f t="shared" si="23"/>
        <v>Archival</v>
      </c>
    </row>
    <row r="197">
      <c r="A197" s="171">
        <f t="array" ref="A197">XLOOKUP(C197,ICSE!A:A,ICSE!C:C,,2,1)</f>
        <v>2022</v>
      </c>
      <c r="B197" s="171" t="s">
        <v>5675</v>
      </c>
      <c r="C197" s="160">
        <v>183.0</v>
      </c>
      <c r="D197" s="161" t="s">
        <v>2750</v>
      </c>
      <c r="E197" s="197" t="str">
        <f t="array" ref="E197">XLOOKUP(C197,ICSE!A:A,ICSE!Z:Z,,0,1)</f>
        <v>Publicly available (1)</v>
      </c>
      <c r="F197" s="198" t="s">
        <v>20</v>
      </c>
      <c r="G197" s="163" t="str">
        <f t="array" ref="G197">IF(B197="ICSE",IF(COUNTIFS(B:B,B197,C:C,C197)=XLOOKUP(C197,ICSE!A:A,ICSE!AA:AA,"ERROR",0,1),"OK","ERROR"),IF(B197="FSE",IF(COUNTIFS(B:B,B197,C:C,C197)=XLOOKUP(C197,FSE!A:A,FSE!AA:AA,"ERROR",0,1),"OK","ERROR")))</f>
        <v>OK</v>
      </c>
      <c r="H197" s="199">
        <f t="shared" ref="H197:O197" si="985">countif($D197,"*"&amp;H$2&amp;"*")</f>
        <v>0</v>
      </c>
      <c r="I197" s="200">
        <f t="shared" si="985"/>
        <v>0</v>
      </c>
      <c r="J197" s="200">
        <f t="shared" si="985"/>
        <v>0</v>
      </c>
      <c r="K197" s="200">
        <f t="shared" si="985"/>
        <v>0</v>
      </c>
      <c r="L197" s="200">
        <f t="shared" si="985"/>
        <v>0</v>
      </c>
      <c r="M197" s="200">
        <f t="shared" si="985"/>
        <v>0</v>
      </c>
      <c r="N197" s="200">
        <f t="shared" si="985"/>
        <v>0</v>
      </c>
      <c r="O197" s="200">
        <f t="shared" si="985"/>
        <v>0</v>
      </c>
      <c r="P197" s="200">
        <f t="shared" si="9"/>
        <v>0</v>
      </c>
      <c r="Q197" s="200">
        <f t="shared" ref="Q197:AC197" si="986">countif($D197,"*"&amp;Q$2&amp;"*")</f>
        <v>0</v>
      </c>
      <c r="R197" s="200">
        <f t="shared" si="986"/>
        <v>0</v>
      </c>
      <c r="S197" s="200">
        <f t="shared" si="986"/>
        <v>0</v>
      </c>
      <c r="T197" s="200">
        <f t="shared" si="986"/>
        <v>0</v>
      </c>
      <c r="U197" s="200">
        <f t="shared" si="986"/>
        <v>0</v>
      </c>
      <c r="V197" s="200">
        <f t="shared" si="986"/>
        <v>0</v>
      </c>
      <c r="W197" s="200">
        <f t="shared" si="986"/>
        <v>0</v>
      </c>
      <c r="X197" s="200">
        <f t="shared" si="986"/>
        <v>0</v>
      </c>
      <c r="Y197" s="200">
        <f t="shared" si="986"/>
        <v>0</v>
      </c>
      <c r="Z197" s="200">
        <f t="shared" si="986"/>
        <v>0</v>
      </c>
      <c r="AA197" s="200">
        <f t="shared" si="986"/>
        <v>1</v>
      </c>
      <c r="AB197" s="200">
        <f t="shared" si="986"/>
        <v>0</v>
      </c>
      <c r="AC197" s="200">
        <f t="shared" si="986"/>
        <v>0</v>
      </c>
      <c r="AD197" s="200">
        <f t="shared" si="11"/>
        <v>0</v>
      </c>
      <c r="AE197" s="200">
        <f t="shared" ref="AE197:AG197" si="987">countif($D197,"*"&amp;AE$2&amp;"*")</f>
        <v>0</v>
      </c>
      <c r="AF197" s="200">
        <f t="shared" si="987"/>
        <v>0</v>
      </c>
      <c r="AG197" s="200">
        <f t="shared" si="987"/>
        <v>0</v>
      </c>
      <c r="AH197" s="171">
        <f t="shared" si="13"/>
        <v>0</v>
      </c>
      <c r="AI197" s="200">
        <f t="shared" si="14"/>
        <v>0</v>
      </c>
      <c r="AJ197" s="200">
        <f t="shared" si="137"/>
        <v>0</v>
      </c>
      <c r="AK197" s="201">
        <f t="shared" ref="AK197:AS197" si="988">countif($D197,"*"&amp;AK$2&amp;"*")</f>
        <v>0</v>
      </c>
      <c r="AL197" s="201">
        <f t="shared" si="988"/>
        <v>0</v>
      </c>
      <c r="AM197" s="201">
        <f t="shared" si="988"/>
        <v>0</v>
      </c>
      <c r="AN197" s="201">
        <f t="shared" si="988"/>
        <v>0</v>
      </c>
      <c r="AO197" s="201">
        <f t="shared" si="988"/>
        <v>0</v>
      </c>
      <c r="AP197" s="201">
        <f t="shared" si="988"/>
        <v>0</v>
      </c>
      <c r="AQ197" s="201">
        <f t="shared" si="988"/>
        <v>0</v>
      </c>
      <c r="AR197" s="200">
        <f t="shared" si="988"/>
        <v>0</v>
      </c>
      <c r="AS197" s="200">
        <f t="shared" si="988"/>
        <v>0</v>
      </c>
      <c r="AT197" s="173">
        <v>0.0</v>
      </c>
      <c r="AU197" s="200">
        <f t="shared" ref="AU197:AX197" si="989">countif($D197,"*"&amp;AU$2&amp;"*")</f>
        <v>0</v>
      </c>
      <c r="AV197" s="200">
        <f t="shared" si="989"/>
        <v>0</v>
      </c>
      <c r="AW197" s="200">
        <f t="shared" si="989"/>
        <v>0</v>
      </c>
      <c r="AX197" s="200">
        <f t="shared" si="989"/>
        <v>0</v>
      </c>
      <c r="AY197" s="202">
        <v>0.0</v>
      </c>
      <c r="AZ197" s="200"/>
      <c r="BA197" s="171" t="str">
        <f t="shared" si="18"/>
        <v/>
      </c>
      <c r="BB197" s="171" t="str">
        <f t="shared" si="19"/>
        <v/>
      </c>
      <c r="BC197" s="171" t="str">
        <f t="shared" si="20"/>
        <v>General-purpose</v>
      </c>
      <c r="BD197" s="171" t="str">
        <f t="shared" si="21"/>
        <v/>
      </c>
      <c r="BE197" s="171" t="str">
        <f t="shared" si="22"/>
        <v/>
      </c>
      <c r="BF197" s="171" t="str">
        <f t="shared" si="23"/>
        <v>General-purpose</v>
      </c>
    </row>
    <row r="198">
      <c r="A198" s="171">
        <f t="array" ref="A198">XLOOKUP(C198,ICSE!A:A,ICSE!C:C,,2,1)</f>
        <v>2022</v>
      </c>
      <c r="B198" s="171" t="s">
        <v>5675</v>
      </c>
      <c r="C198" s="160">
        <v>184.0</v>
      </c>
      <c r="D198" s="161" t="s">
        <v>2753</v>
      </c>
      <c r="E198" s="197" t="str">
        <f t="array" ref="E198">XLOOKUP(C198,ICSE!A:A,ICSE!Z:Z,,0,1)</f>
        <v>Publicly available (1)</v>
      </c>
      <c r="F198" s="198" t="s">
        <v>20</v>
      </c>
      <c r="G198" s="163" t="str">
        <f t="array" ref="G198">IF(B198="ICSE",IF(COUNTIFS(B:B,B198,C:C,C198)=XLOOKUP(C198,ICSE!A:A,ICSE!AA:AA,"ERROR",0,1),"OK","ERROR"),IF(B198="FSE",IF(COUNTIFS(B:B,B198,C:C,C198)=XLOOKUP(C198,FSE!A:A,FSE!AA:AA,"ERROR",0,1),"OK","ERROR")))</f>
        <v>OK</v>
      </c>
      <c r="H198" s="199">
        <f t="shared" ref="H198:O198" si="990">countif($D198,"*"&amp;H$2&amp;"*")</f>
        <v>1</v>
      </c>
      <c r="I198" s="200">
        <f t="shared" si="990"/>
        <v>0</v>
      </c>
      <c r="J198" s="200">
        <f t="shared" si="990"/>
        <v>0</v>
      </c>
      <c r="K198" s="200">
        <f t="shared" si="990"/>
        <v>0</v>
      </c>
      <c r="L198" s="200">
        <f t="shared" si="990"/>
        <v>0</v>
      </c>
      <c r="M198" s="200">
        <f t="shared" si="990"/>
        <v>0</v>
      </c>
      <c r="N198" s="200">
        <f t="shared" si="990"/>
        <v>0</v>
      </c>
      <c r="O198" s="200">
        <f t="shared" si="990"/>
        <v>0</v>
      </c>
      <c r="P198" s="200">
        <f t="shared" si="9"/>
        <v>0</v>
      </c>
      <c r="Q198" s="200">
        <f t="shared" ref="Q198:AC198" si="991">countif($D198,"*"&amp;Q$2&amp;"*")</f>
        <v>0</v>
      </c>
      <c r="R198" s="200">
        <f t="shared" si="991"/>
        <v>0</v>
      </c>
      <c r="S198" s="200">
        <f t="shared" si="991"/>
        <v>0</v>
      </c>
      <c r="T198" s="200">
        <f t="shared" si="991"/>
        <v>0</v>
      </c>
      <c r="U198" s="200">
        <f t="shared" si="991"/>
        <v>0</v>
      </c>
      <c r="V198" s="200">
        <f t="shared" si="991"/>
        <v>0</v>
      </c>
      <c r="W198" s="200">
        <f t="shared" si="991"/>
        <v>0</v>
      </c>
      <c r="X198" s="200">
        <f t="shared" si="991"/>
        <v>0</v>
      </c>
      <c r="Y198" s="200">
        <f t="shared" si="991"/>
        <v>0</v>
      </c>
      <c r="Z198" s="200">
        <f t="shared" si="991"/>
        <v>0</v>
      </c>
      <c r="AA198" s="200">
        <f t="shared" si="991"/>
        <v>0</v>
      </c>
      <c r="AB198" s="200">
        <f t="shared" si="991"/>
        <v>0</v>
      </c>
      <c r="AC198" s="200">
        <f t="shared" si="991"/>
        <v>0</v>
      </c>
      <c r="AD198" s="200">
        <f t="shared" si="11"/>
        <v>0</v>
      </c>
      <c r="AE198" s="200">
        <f t="shared" ref="AE198:AG198" si="992">countif($D198,"*"&amp;AE$2&amp;"*")</f>
        <v>0</v>
      </c>
      <c r="AF198" s="200">
        <f t="shared" si="992"/>
        <v>0</v>
      </c>
      <c r="AG198" s="200">
        <f t="shared" si="992"/>
        <v>0</v>
      </c>
      <c r="AH198" s="171">
        <f t="shared" si="13"/>
        <v>0</v>
      </c>
      <c r="AI198" s="200">
        <f t="shared" si="14"/>
        <v>1</v>
      </c>
      <c r="AJ198" s="200">
        <f t="shared" si="137"/>
        <v>0</v>
      </c>
      <c r="AK198" s="201">
        <f t="shared" ref="AK198:AS198" si="993">countif($D198,"*"&amp;AK$2&amp;"*")</f>
        <v>0</v>
      </c>
      <c r="AL198" s="201">
        <f t="shared" si="993"/>
        <v>0</v>
      </c>
      <c r="AM198" s="201">
        <f t="shared" si="993"/>
        <v>0</v>
      </c>
      <c r="AN198" s="201">
        <f t="shared" si="993"/>
        <v>0</v>
      </c>
      <c r="AO198" s="201">
        <f t="shared" si="993"/>
        <v>0</v>
      </c>
      <c r="AP198" s="201">
        <f t="shared" si="993"/>
        <v>0</v>
      </c>
      <c r="AQ198" s="201">
        <f t="shared" si="993"/>
        <v>0</v>
      </c>
      <c r="AR198" s="200">
        <f t="shared" si="993"/>
        <v>0</v>
      </c>
      <c r="AS198" s="200">
        <f t="shared" si="993"/>
        <v>0</v>
      </c>
      <c r="AT198" s="173">
        <v>0.0</v>
      </c>
      <c r="AU198" s="200">
        <f t="shared" ref="AU198:AX198" si="994">countif($D198,"*"&amp;AU$2&amp;"*")</f>
        <v>0</v>
      </c>
      <c r="AV198" s="200">
        <f t="shared" si="994"/>
        <v>0</v>
      </c>
      <c r="AW198" s="200">
        <f t="shared" si="994"/>
        <v>0</v>
      </c>
      <c r="AX198" s="200">
        <f t="shared" si="994"/>
        <v>1</v>
      </c>
      <c r="AY198" s="202">
        <v>0.0</v>
      </c>
      <c r="AZ198" s="200"/>
      <c r="BA198" s="171" t="str">
        <f t="shared" si="18"/>
        <v>Archival</v>
      </c>
      <c r="BB198" s="171" t="str">
        <f t="shared" si="19"/>
        <v/>
      </c>
      <c r="BC198" s="171" t="str">
        <f t="shared" si="20"/>
        <v/>
      </c>
      <c r="BD198" s="171" t="str">
        <f t="shared" si="21"/>
        <v/>
      </c>
      <c r="BE198" s="171" t="str">
        <f t="shared" si="22"/>
        <v/>
      </c>
      <c r="BF198" s="171" t="str">
        <f t="shared" si="23"/>
        <v>Archival</v>
      </c>
    </row>
    <row r="199">
      <c r="A199" s="171">
        <f t="array" ref="A199">XLOOKUP(C199,ICSE!A:A,ICSE!C:C,,2,1)</f>
        <v>2022</v>
      </c>
      <c r="B199" s="171" t="s">
        <v>5675</v>
      </c>
      <c r="C199" s="160">
        <v>185.0</v>
      </c>
      <c r="D199" s="161" t="s">
        <v>2756</v>
      </c>
      <c r="E199" s="197" t="str">
        <f t="array" ref="E199">XLOOKUP(C199,ICSE!A:A,ICSE!Z:Z,,0,1)</f>
        <v>Publicly available (1)</v>
      </c>
      <c r="F199" s="198" t="s">
        <v>20</v>
      </c>
      <c r="G199" s="163" t="str">
        <f t="array" ref="G199">IF(B199="ICSE",IF(COUNTIFS(B:B,B199,C:C,C199)=XLOOKUP(C199,ICSE!A:A,ICSE!AA:AA,"ERROR",0,1),"OK","ERROR"),IF(B199="FSE",IF(COUNTIFS(B:B,B199,C:C,C199)=XLOOKUP(C199,FSE!A:A,FSE!AA:AA,"ERROR",0,1),"OK","ERROR")))</f>
        <v>OK</v>
      </c>
      <c r="H199" s="199">
        <f t="shared" ref="H199:O199" si="995">countif($D199,"*"&amp;H$2&amp;"*")</f>
        <v>0</v>
      </c>
      <c r="I199" s="200">
        <f t="shared" si="995"/>
        <v>0</v>
      </c>
      <c r="J199" s="200">
        <f t="shared" si="995"/>
        <v>0</v>
      </c>
      <c r="K199" s="200">
        <f t="shared" si="995"/>
        <v>0</v>
      </c>
      <c r="L199" s="200">
        <f t="shared" si="995"/>
        <v>0</v>
      </c>
      <c r="M199" s="200">
        <f t="shared" si="995"/>
        <v>0</v>
      </c>
      <c r="N199" s="200">
        <f t="shared" si="995"/>
        <v>0</v>
      </c>
      <c r="O199" s="200">
        <f t="shared" si="995"/>
        <v>0</v>
      </c>
      <c r="P199" s="200">
        <f t="shared" si="9"/>
        <v>1</v>
      </c>
      <c r="Q199" s="200">
        <f t="shared" ref="Q199:AC199" si="996">countif($D199,"*"&amp;Q$2&amp;"*")</f>
        <v>0</v>
      </c>
      <c r="R199" s="200">
        <f t="shared" si="996"/>
        <v>0</v>
      </c>
      <c r="S199" s="200">
        <f t="shared" si="996"/>
        <v>0</v>
      </c>
      <c r="T199" s="200">
        <f t="shared" si="996"/>
        <v>0</v>
      </c>
      <c r="U199" s="200">
        <f t="shared" si="996"/>
        <v>0</v>
      </c>
      <c r="V199" s="200">
        <f t="shared" si="996"/>
        <v>0</v>
      </c>
      <c r="W199" s="200">
        <f t="shared" si="996"/>
        <v>0</v>
      </c>
      <c r="X199" s="200">
        <f t="shared" si="996"/>
        <v>0</v>
      </c>
      <c r="Y199" s="200">
        <f t="shared" si="996"/>
        <v>0</v>
      </c>
      <c r="Z199" s="200">
        <f t="shared" si="996"/>
        <v>0</v>
      </c>
      <c r="AA199" s="200">
        <f t="shared" si="996"/>
        <v>0</v>
      </c>
      <c r="AB199" s="200">
        <f t="shared" si="996"/>
        <v>0</v>
      </c>
      <c r="AC199" s="200">
        <f t="shared" si="996"/>
        <v>0</v>
      </c>
      <c r="AD199" s="200">
        <f t="shared" si="11"/>
        <v>0</v>
      </c>
      <c r="AE199" s="200">
        <f t="shared" ref="AE199:AG199" si="997">countif($D199,"*"&amp;AE$2&amp;"*")</f>
        <v>0</v>
      </c>
      <c r="AF199" s="200">
        <f t="shared" si="997"/>
        <v>0</v>
      </c>
      <c r="AG199" s="200">
        <f t="shared" si="997"/>
        <v>0</v>
      </c>
      <c r="AH199" s="171">
        <f t="shared" si="13"/>
        <v>0</v>
      </c>
      <c r="AI199" s="200">
        <f t="shared" si="14"/>
        <v>0</v>
      </c>
      <c r="AJ199" s="200">
        <f t="shared" si="137"/>
        <v>0</v>
      </c>
      <c r="AK199" s="201">
        <f t="shared" ref="AK199:AS199" si="998">countif($D199,"*"&amp;AK$2&amp;"*")</f>
        <v>0</v>
      </c>
      <c r="AL199" s="201">
        <f t="shared" si="998"/>
        <v>0</v>
      </c>
      <c r="AM199" s="201">
        <f t="shared" si="998"/>
        <v>0</v>
      </c>
      <c r="AN199" s="201">
        <f t="shared" si="998"/>
        <v>0</v>
      </c>
      <c r="AO199" s="201">
        <f t="shared" si="998"/>
        <v>0</v>
      </c>
      <c r="AP199" s="201">
        <f t="shared" si="998"/>
        <v>0</v>
      </c>
      <c r="AQ199" s="201">
        <f t="shared" si="998"/>
        <v>0</v>
      </c>
      <c r="AR199" s="200">
        <f t="shared" si="998"/>
        <v>0</v>
      </c>
      <c r="AS199" s="200">
        <f t="shared" si="998"/>
        <v>0</v>
      </c>
      <c r="AT199" s="173">
        <v>0.0</v>
      </c>
      <c r="AU199" s="200">
        <f t="shared" ref="AU199:AX199" si="999">countif($D199,"*"&amp;AU$2&amp;"*")</f>
        <v>0</v>
      </c>
      <c r="AV199" s="200">
        <f t="shared" si="999"/>
        <v>1</v>
      </c>
      <c r="AW199" s="200">
        <f t="shared" si="999"/>
        <v>0</v>
      </c>
      <c r="AX199" s="200">
        <f t="shared" si="999"/>
        <v>0</v>
      </c>
      <c r="AY199" s="202">
        <v>0.0</v>
      </c>
      <c r="AZ199" s="200"/>
      <c r="BA199" s="171" t="str">
        <f t="shared" si="18"/>
        <v/>
      </c>
      <c r="BB199" s="171" t="str">
        <f t="shared" si="19"/>
        <v>Code</v>
      </c>
      <c r="BC199" s="171" t="str">
        <f t="shared" si="20"/>
        <v/>
      </c>
      <c r="BD199" s="171" t="str">
        <f t="shared" si="21"/>
        <v/>
      </c>
      <c r="BE199" s="171" t="str">
        <f t="shared" si="22"/>
        <v/>
      </c>
      <c r="BF199" s="171" t="str">
        <f t="shared" si="23"/>
        <v>Code</v>
      </c>
    </row>
    <row r="200">
      <c r="A200" s="171">
        <f t="array" ref="A200">XLOOKUP(C200,ICSE!A:A,ICSE!C:C,,2,1)</f>
        <v>2022</v>
      </c>
      <c r="B200" s="171" t="s">
        <v>5675</v>
      </c>
      <c r="C200" s="160">
        <v>186.0</v>
      </c>
      <c r="D200" s="161" t="s">
        <v>2759</v>
      </c>
      <c r="E200" s="197" t="str">
        <f t="array" ref="E200">XLOOKUP(C200,ICSE!A:A,ICSE!Z:Z,,0,1)</f>
        <v>Publicly available (1)</v>
      </c>
      <c r="F200" s="198" t="s">
        <v>20</v>
      </c>
      <c r="G200" s="163" t="str">
        <f t="array" ref="G200">IF(B200="ICSE",IF(COUNTIFS(B:B,B200,C:C,C200)=XLOOKUP(C200,ICSE!A:A,ICSE!AA:AA,"ERROR",0,1),"OK","ERROR"),IF(B200="FSE",IF(COUNTIFS(B:B,B200,C:C,C200)=XLOOKUP(C200,FSE!A:A,FSE!AA:AA,"ERROR",0,1),"OK","ERROR")))</f>
        <v>OK</v>
      </c>
      <c r="H200" s="199">
        <f t="shared" ref="H200:O200" si="1000">countif($D200,"*"&amp;H$2&amp;"*")</f>
        <v>0</v>
      </c>
      <c r="I200" s="200">
        <f t="shared" si="1000"/>
        <v>0</v>
      </c>
      <c r="J200" s="200">
        <f t="shared" si="1000"/>
        <v>0</v>
      </c>
      <c r="K200" s="200">
        <f t="shared" si="1000"/>
        <v>0</v>
      </c>
      <c r="L200" s="200">
        <f t="shared" si="1000"/>
        <v>0</v>
      </c>
      <c r="M200" s="200">
        <f t="shared" si="1000"/>
        <v>0</v>
      </c>
      <c r="N200" s="200">
        <f t="shared" si="1000"/>
        <v>0</v>
      </c>
      <c r="O200" s="200">
        <f t="shared" si="1000"/>
        <v>0</v>
      </c>
      <c r="P200" s="200">
        <f t="shared" si="9"/>
        <v>1</v>
      </c>
      <c r="Q200" s="200">
        <f t="shared" ref="Q200:AC200" si="1001">countif($D200,"*"&amp;Q$2&amp;"*")</f>
        <v>0</v>
      </c>
      <c r="R200" s="200">
        <f t="shared" si="1001"/>
        <v>0</v>
      </c>
      <c r="S200" s="200">
        <f t="shared" si="1001"/>
        <v>0</v>
      </c>
      <c r="T200" s="200">
        <f t="shared" si="1001"/>
        <v>0</v>
      </c>
      <c r="U200" s="200">
        <f t="shared" si="1001"/>
        <v>0</v>
      </c>
      <c r="V200" s="200">
        <f t="shared" si="1001"/>
        <v>0</v>
      </c>
      <c r="W200" s="200">
        <f t="shared" si="1001"/>
        <v>0</v>
      </c>
      <c r="X200" s="200">
        <f t="shared" si="1001"/>
        <v>0</v>
      </c>
      <c r="Y200" s="200">
        <f t="shared" si="1001"/>
        <v>0</v>
      </c>
      <c r="Z200" s="200">
        <f t="shared" si="1001"/>
        <v>0</v>
      </c>
      <c r="AA200" s="200">
        <f t="shared" si="1001"/>
        <v>0</v>
      </c>
      <c r="AB200" s="200">
        <f t="shared" si="1001"/>
        <v>0</v>
      </c>
      <c r="AC200" s="200">
        <f t="shared" si="1001"/>
        <v>0</v>
      </c>
      <c r="AD200" s="200">
        <f t="shared" si="11"/>
        <v>0</v>
      </c>
      <c r="AE200" s="200">
        <f t="shared" ref="AE200:AG200" si="1002">countif($D200,"*"&amp;AE$2&amp;"*")</f>
        <v>0</v>
      </c>
      <c r="AF200" s="200">
        <f t="shared" si="1002"/>
        <v>0</v>
      </c>
      <c r="AG200" s="200">
        <f t="shared" si="1002"/>
        <v>0</v>
      </c>
      <c r="AH200" s="171">
        <f t="shared" si="13"/>
        <v>0</v>
      </c>
      <c r="AI200" s="200">
        <f t="shared" si="14"/>
        <v>0</v>
      </c>
      <c r="AJ200" s="200">
        <f t="shared" si="137"/>
        <v>0</v>
      </c>
      <c r="AK200" s="201">
        <f t="shared" ref="AK200:AS200" si="1003">countif($D200,"*"&amp;AK$2&amp;"*")</f>
        <v>0</v>
      </c>
      <c r="AL200" s="201">
        <f t="shared" si="1003"/>
        <v>0</v>
      </c>
      <c r="AM200" s="201">
        <f t="shared" si="1003"/>
        <v>0</v>
      </c>
      <c r="AN200" s="201">
        <f t="shared" si="1003"/>
        <v>0</v>
      </c>
      <c r="AO200" s="201">
        <f t="shared" si="1003"/>
        <v>0</v>
      </c>
      <c r="AP200" s="201">
        <f t="shared" si="1003"/>
        <v>0</v>
      </c>
      <c r="AQ200" s="201">
        <f t="shared" si="1003"/>
        <v>0</v>
      </c>
      <c r="AR200" s="200">
        <f t="shared" si="1003"/>
        <v>0</v>
      </c>
      <c r="AS200" s="200">
        <f t="shared" si="1003"/>
        <v>0</v>
      </c>
      <c r="AT200" s="173">
        <v>0.0</v>
      </c>
      <c r="AU200" s="200">
        <f t="shared" ref="AU200:AX200" si="1004">countif($D200,"*"&amp;AU$2&amp;"*")</f>
        <v>0</v>
      </c>
      <c r="AV200" s="200">
        <f t="shared" si="1004"/>
        <v>1</v>
      </c>
      <c r="AW200" s="200">
        <f t="shared" si="1004"/>
        <v>0</v>
      </c>
      <c r="AX200" s="200">
        <f t="shared" si="1004"/>
        <v>0</v>
      </c>
      <c r="AY200" s="202">
        <v>0.0</v>
      </c>
      <c r="AZ200" s="200"/>
      <c r="BA200" s="171" t="str">
        <f t="shared" si="18"/>
        <v/>
      </c>
      <c r="BB200" s="171" t="str">
        <f t="shared" si="19"/>
        <v>Code</v>
      </c>
      <c r="BC200" s="171" t="str">
        <f t="shared" si="20"/>
        <v/>
      </c>
      <c r="BD200" s="171" t="str">
        <f t="shared" si="21"/>
        <v/>
      </c>
      <c r="BE200" s="171" t="str">
        <f t="shared" si="22"/>
        <v/>
      </c>
      <c r="BF200" s="171" t="str">
        <f t="shared" si="23"/>
        <v>Code</v>
      </c>
    </row>
    <row r="201">
      <c r="A201" s="171">
        <f t="array" ref="A201">XLOOKUP(C201,ICSE!A:A,ICSE!C:C,,2,1)</f>
        <v>2022</v>
      </c>
      <c r="B201" s="171" t="s">
        <v>5675</v>
      </c>
      <c r="C201" s="160">
        <v>187.0</v>
      </c>
      <c r="D201" s="161" t="s">
        <v>2762</v>
      </c>
      <c r="E201" s="197" t="str">
        <f t="array" ref="E201">XLOOKUP(C201,ICSE!A:A,ICSE!Z:Z,,0,1)</f>
        <v>Publicly available (1)</v>
      </c>
      <c r="F201" s="198" t="s">
        <v>20</v>
      </c>
      <c r="G201" s="163" t="str">
        <f t="array" ref="G201">IF(B201="ICSE",IF(COUNTIFS(B:B,B201,C:C,C201)=XLOOKUP(C201,ICSE!A:A,ICSE!AA:AA,"ERROR",0,1),"OK","ERROR"),IF(B201="FSE",IF(COUNTIFS(B:B,B201,C:C,C201)=XLOOKUP(C201,FSE!A:A,FSE!AA:AA,"ERROR",0,1),"OK","ERROR")))</f>
        <v>OK</v>
      </c>
      <c r="H201" s="199">
        <f t="shared" ref="H201:O201" si="1005">countif($D201,"*"&amp;H$2&amp;"*")</f>
        <v>0</v>
      </c>
      <c r="I201" s="200">
        <f t="shared" si="1005"/>
        <v>0</v>
      </c>
      <c r="J201" s="200">
        <f t="shared" si="1005"/>
        <v>0</v>
      </c>
      <c r="K201" s="200">
        <f t="shared" si="1005"/>
        <v>0</v>
      </c>
      <c r="L201" s="200">
        <f t="shared" si="1005"/>
        <v>0</v>
      </c>
      <c r="M201" s="200">
        <f t="shared" si="1005"/>
        <v>0</v>
      </c>
      <c r="N201" s="200">
        <f t="shared" si="1005"/>
        <v>0</v>
      </c>
      <c r="O201" s="200">
        <f t="shared" si="1005"/>
        <v>0</v>
      </c>
      <c r="P201" s="200">
        <f t="shared" si="9"/>
        <v>1</v>
      </c>
      <c r="Q201" s="200">
        <f t="shared" ref="Q201:AC201" si="1006">countif($D201,"*"&amp;Q$2&amp;"*")</f>
        <v>0</v>
      </c>
      <c r="R201" s="200">
        <f t="shared" si="1006"/>
        <v>0</v>
      </c>
      <c r="S201" s="200">
        <f t="shared" si="1006"/>
        <v>0</v>
      </c>
      <c r="T201" s="200">
        <f t="shared" si="1006"/>
        <v>0</v>
      </c>
      <c r="U201" s="200">
        <f t="shared" si="1006"/>
        <v>0</v>
      </c>
      <c r="V201" s="200">
        <f t="shared" si="1006"/>
        <v>0</v>
      </c>
      <c r="W201" s="200">
        <f t="shared" si="1006"/>
        <v>0</v>
      </c>
      <c r="X201" s="200">
        <f t="shared" si="1006"/>
        <v>0</v>
      </c>
      <c r="Y201" s="200">
        <f t="shared" si="1006"/>
        <v>0</v>
      </c>
      <c r="Z201" s="200">
        <f t="shared" si="1006"/>
        <v>0</v>
      </c>
      <c r="AA201" s="200">
        <f t="shared" si="1006"/>
        <v>0</v>
      </c>
      <c r="AB201" s="200">
        <f t="shared" si="1006"/>
        <v>0</v>
      </c>
      <c r="AC201" s="200">
        <f t="shared" si="1006"/>
        <v>0</v>
      </c>
      <c r="AD201" s="200">
        <f t="shared" si="11"/>
        <v>0</v>
      </c>
      <c r="AE201" s="200">
        <f t="shared" ref="AE201:AG201" si="1007">countif($D201,"*"&amp;AE$2&amp;"*")</f>
        <v>0</v>
      </c>
      <c r="AF201" s="200">
        <f t="shared" si="1007"/>
        <v>0</v>
      </c>
      <c r="AG201" s="200">
        <f t="shared" si="1007"/>
        <v>0</v>
      </c>
      <c r="AH201" s="171">
        <f t="shared" si="13"/>
        <v>0</v>
      </c>
      <c r="AI201" s="200">
        <f t="shared" si="14"/>
        <v>0</v>
      </c>
      <c r="AJ201" s="200">
        <f t="shared" si="137"/>
        <v>0</v>
      </c>
      <c r="AK201" s="201">
        <f t="shared" ref="AK201:AS201" si="1008">countif($D201,"*"&amp;AK$2&amp;"*")</f>
        <v>0</v>
      </c>
      <c r="AL201" s="201">
        <f t="shared" si="1008"/>
        <v>0</v>
      </c>
      <c r="AM201" s="201">
        <f t="shared" si="1008"/>
        <v>0</v>
      </c>
      <c r="AN201" s="201">
        <f t="shared" si="1008"/>
        <v>0</v>
      </c>
      <c r="AO201" s="201">
        <f t="shared" si="1008"/>
        <v>0</v>
      </c>
      <c r="AP201" s="201">
        <f t="shared" si="1008"/>
        <v>0</v>
      </c>
      <c r="AQ201" s="201">
        <f t="shared" si="1008"/>
        <v>0</v>
      </c>
      <c r="AR201" s="200">
        <f t="shared" si="1008"/>
        <v>0</v>
      </c>
      <c r="AS201" s="200">
        <f t="shared" si="1008"/>
        <v>0</v>
      </c>
      <c r="AT201" s="173">
        <v>0.0</v>
      </c>
      <c r="AU201" s="200">
        <f t="shared" ref="AU201:AX201" si="1009">countif($D201,"*"&amp;AU$2&amp;"*")</f>
        <v>0</v>
      </c>
      <c r="AV201" s="200">
        <f t="shared" si="1009"/>
        <v>1</v>
      </c>
      <c r="AW201" s="200">
        <f t="shared" si="1009"/>
        <v>0</v>
      </c>
      <c r="AX201" s="200">
        <f t="shared" si="1009"/>
        <v>0</v>
      </c>
      <c r="AY201" s="202">
        <v>0.0</v>
      </c>
      <c r="AZ201" s="200"/>
      <c r="BA201" s="171" t="str">
        <f t="shared" si="18"/>
        <v/>
      </c>
      <c r="BB201" s="171" t="str">
        <f t="shared" si="19"/>
        <v>Code</v>
      </c>
      <c r="BC201" s="171" t="str">
        <f t="shared" si="20"/>
        <v/>
      </c>
      <c r="BD201" s="171" t="str">
        <f t="shared" si="21"/>
        <v/>
      </c>
      <c r="BE201" s="171" t="str">
        <f t="shared" si="22"/>
        <v/>
      </c>
      <c r="BF201" s="171" t="str">
        <f t="shared" si="23"/>
        <v>Code</v>
      </c>
    </row>
    <row r="202">
      <c r="A202" s="171">
        <f t="array" ref="A202">XLOOKUP(C202,ICSE!A:A,ICSE!C:C,,2,1)</f>
        <v>2022</v>
      </c>
      <c r="B202" s="171" t="s">
        <v>5675</v>
      </c>
      <c r="C202" s="160">
        <v>189.0</v>
      </c>
      <c r="D202" s="161" t="s">
        <v>5801</v>
      </c>
      <c r="E202" s="197" t="str">
        <f t="array" ref="E202">XLOOKUP(C202,ICSE!A:A,ICSE!Z:Z,,0,1)</f>
        <v>Publicly available (2)</v>
      </c>
      <c r="F202" s="198" t="s">
        <v>20</v>
      </c>
      <c r="G202" s="163" t="str">
        <f t="array" ref="G202">IF(B202="ICSE",IF(COUNTIFS(B:B,B202,C:C,C202)=XLOOKUP(C202,ICSE!A:A,ICSE!AA:AA,"ERROR",0,1),"OK","ERROR"),IF(B202="FSE",IF(COUNTIFS(B:B,B202,C:C,C202)=XLOOKUP(C202,FSE!A:A,FSE!AA:AA,"ERROR",0,1),"OK","ERROR")))</f>
        <v>OK</v>
      </c>
      <c r="H202" s="199">
        <f t="shared" ref="H202:O202" si="1010">countif($D202,"*"&amp;H$2&amp;"*")</f>
        <v>0</v>
      </c>
      <c r="I202" s="200">
        <f t="shared" si="1010"/>
        <v>0</v>
      </c>
      <c r="J202" s="200">
        <f t="shared" si="1010"/>
        <v>0</v>
      </c>
      <c r="K202" s="200">
        <f t="shared" si="1010"/>
        <v>0</v>
      </c>
      <c r="L202" s="200">
        <f t="shared" si="1010"/>
        <v>0</v>
      </c>
      <c r="M202" s="200">
        <f t="shared" si="1010"/>
        <v>0</v>
      </c>
      <c r="N202" s="200">
        <f t="shared" si="1010"/>
        <v>0</v>
      </c>
      <c r="O202" s="200">
        <f t="shared" si="1010"/>
        <v>0</v>
      </c>
      <c r="P202" s="200">
        <f t="shared" si="9"/>
        <v>1</v>
      </c>
      <c r="Q202" s="200">
        <f t="shared" ref="Q202:AC202" si="1011">countif($D202,"*"&amp;Q$2&amp;"*")</f>
        <v>0</v>
      </c>
      <c r="R202" s="200">
        <f t="shared" si="1011"/>
        <v>0</v>
      </c>
      <c r="S202" s="200">
        <f t="shared" si="1011"/>
        <v>0</v>
      </c>
      <c r="T202" s="200">
        <f t="shared" si="1011"/>
        <v>0</v>
      </c>
      <c r="U202" s="200">
        <f t="shared" si="1011"/>
        <v>0</v>
      </c>
      <c r="V202" s="200">
        <f t="shared" si="1011"/>
        <v>0</v>
      </c>
      <c r="W202" s="200">
        <f t="shared" si="1011"/>
        <v>0</v>
      </c>
      <c r="X202" s="200">
        <f t="shared" si="1011"/>
        <v>0</v>
      </c>
      <c r="Y202" s="200">
        <f t="shared" si="1011"/>
        <v>0</v>
      </c>
      <c r="Z202" s="200">
        <f t="shared" si="1011"/>
        <v>0</v>
      </c>
      <c r="AA202" s="200">
        <f t="shared" si="1011"/>
        <v>0</v>
      </c>
      <c r="AB202" s="200">
        <f t="shared" si="1011"/>
        <v>0</v>
      </c>
      <c r="AC202" s="200">
        <f t="shared" si="1011"/>
        <v>0</v>
      </c>
      <c r="AD202" s="200">
        <f t="shared" si="11"/>
        <v>0</v>
      </c>
      <c r="AE202" s="200">
        <f t="shared" ref="AE202:AG202" si="1012">countif($D202,"*"&amp;AE$2&amp;"*")</f>
        <v>0</v>
      </c>
      <c r="AF202" s="200">
        <f t="shared" si="1012"/>
        <v>0</v>
      </c>
      <c r="AG202" s="200">
        <f t="shared" si="1012"/>
        <v>0</v>
      </c>
      <c r="AH202" s="171">
        <f t="shared" si="13"/>
        <v>0</v>
      </c>
      <c r="AI202" s="200">
        <f t="shared" si="14"/>
        <v>0</v>
      </c>
      <c r="AJ202" s="200">
        <f t="shared" si="137"/>
        <v>0</v>
      </c>
      <c r="AK202" s="201">
        <f t="shared" ref="AK202:AS202" si="1013">countif($D202,"*"&amp;AK$2&amp;"*")</f>
        <v>0</v>
      </c>
      <c r="AL202" s="201">
        <f t="shared" si="1013"/>
        <v>0</v>
      </c>
      <c r="AM202" s="201">
        <f t="shared" si="1013"/>
        <v>0</v>
      </c>
      <c r="AN202" s="201">
        <f t="shared" si="1013"/>
        <v>0</v>
      </c>
      <c r="AO202" s="201">
        <f t="shared" si="1013"/>
        <v>0</v>
      </c>
      <c r="AP202" s="201">
        <f t="shared" si="1013"/>
        <v>0</v>
      </c>
      <c r="AQ202" s="201">
        <f t="shared" si="1013"/>
        <v>0</v>
      </c>
      <c r="AR202" s="200">
        <f t="shared" si="1013"/>
        <v>0</v>
      </c>
      <c r="AS202" s="200">
        <f t="shared" si="1013"/>
        <v>0</v>
      </c>
      <c r="AT202" s="173">
        <v>0.0</v>
      </c>
      <c r="AU202" s="200">
        <f t="shared" ref="AU202:AX202" si="1014">countif($D202,"*"&amp;AU$2&amp;"*")</f>
        <v>0</v>
      </c>
      <c r="AV202" s="200">
        <f t="shared" si="1014"/>
        <v>1</v>
      </c>
      <c r="AW202" s="200">
        <f t="shared" si="1014"/>
        <v>0</v>
      </c>
      <c r="AX202" s="200">
        <f t="shared" si="1014"/>
        <v>0</v>
      </c>
      <c r="AY202" s="202">
        <v>0.0</v>
      </c>
      <c r="AZ202" s="200"/>
      <c r="BA202" s="171" t="str">
        <f t="shared" si="18"/>
        <v/>
      </c>
      <c r="BB202" s="171" t="str">
        <f t="shared" si="19"/>
        <v>Code</v>
      </c>
      <c r="BC202" s="171" t="str">
        <f t="shared" si="20"/>
        <v/>
      </c>
      <c r="BD202" s="171" t="str">
        <f t="shared" si="21"/>
        <v/>
      </c>
      <c r="BE202" s="171" t="str">
        <f t="shared" si="22"/>
        <v/>
      </c>
      <c r="BF202" s="171" t="str">
        <f t="shared" si="23"/>
        <v>Code</v>
      </c>
    </row>
    <row r="203">
      <c r="A203" s="171">
        <f t="array" ref="A203">XLOOKUP(C203,ICSE!A:A,ICSE!C:C,,2,1)</f>
        <v>2022</v>
      </c>
      <c r="B203" s="171" t="s">
        <v>5675</v>
      </c>
      <c r="C203" s="160">
        <v>189.0</v>
      </c>
      <c r="D203" s="161" t="s">
        <v>5802</v>
      </c>
      <c r="E203" s="197" t="str">
        <f t="array" ref="E203">XLOOKUP(C203,ICSE!A:A,ICSE!Z:Z,,0,1)</f>
        <v>Publicly available (2)</v>
      </c>
      <c r="F203" s="198" t="s">
        <v>20</v>
      </c>
      <c r="G203" s="163" t="str">
        <f t="array" ref="G203">IF(B203="ICSE",IF(COUNTIFS(B:B,B203,C:C,C203)=XLOOKUP(C203,ICSE!A:A,ICSE!AA:AA,"ERROR",0,1),"OK","ERROR"),IF(B203="FSE",IF(COUNTIFS(B:B,B203,C:C,C203)=XLOOKUP(C203,FSE!A:A,FSE!AA:AA,"ERROR",0,1),"OK","ERROR")))</f>
        <v>OK</v>
      </c>
      <c r="H203" s="199">
        <f t="shared" ref="H203:O203" si="1015">countif($D203,"*"&amp;H$2&amp;"*")</f>
        <v>0</v>
      </c>
      <c r="I203" s="200">
        <f t="shared" si="1015"/>
        <v>0</v>
      </c>
      <c r="J203" s="200">
        <f t="shared" si="1015"/>
        <v>0</v>
      </c>
      <c r="K203" s="200">
        <f t="shared" si="1015"/>
        <v>0</v>
      </c>
      <c r="L203" s="200">
        <f t="shared" si="1015"/>
        <v>0</v>
      </c>
      <c r="M203" s="200">
        <f t="shared" si="1015"/>
        <v>0</v>
      </c>
      <c r="N203" s="200">
        <f t="shared" si="1015"/>
        <v>0</v>
      </c>
      <c r="O203" s="200">
        <f t="shared" si="1015"/>
        <v>0</v>
      </c>
      <c r="P203" s="200">
        <f t="shared" si="9"/>
        <v>0</v>
      </c>
      <c r="Q203" s="200">
        <f t="shared" ref="Q203:AC203" si="1016">countif($D203,"*"&amp;Q$2&amp;"*")</f>
        <v>0</v>
      </c>
      <c r="R203" s="200">
        <f t="shared" si="1016"/>
        <v>0</v>
      </c>
      <c r="S203" s="200">
        <f t="shared" si="1016"/>
        <v>0</v>
      </c>
      <c r="T203" s="200">
        <f t="shared" si="1016"/>
        <v>0</v>
      </c>
      <c r="U203" s="200">
        <f t="shared" si="1016"/>
        <v>0</v>
      </c>
      <c r="V203" s="200">
        <f t="shared" si="1016"/>
        <v>1</v>
      </c>
      <c r="W203" s="200">
        <f t="shared" si="1016"/>
        <v>0</v>
      </c>
      <c r="X203" s="200">
        <f t="shared" si="1016"/>
        <v>0</v>
      </c>
      <c r="Y203" s="200">
        <f t="shared" si="1016"/>
        <v>0</v>
      </c>
      <c r="Z203" s="200">
        <f t="shared" si="1016"/>
        <v>0</v>
      </c>
      <c r="AA203" s="200">
        <f t="shared" si="1016"/>
        <v>0</v>
      </c>
      <c r="AB203" s="200">
        <f t="shared" si="1016"/>
        <v>0</v>
      </c>
      <c r="AC203" s="200">
        <f t="shared" si="1016"/>
        <v>0</v>
      </c>
      <c r="AD203" s="200">
        <f t="shared" si="11"/>
        <v>0</v>
      </c>
      <c r="AE203" s="200">
        <f t="shared" ref="AE203:AG203" si="1017">countif($D203,"*"&amp;AE$2&amp;"*")</f>
        <v>0</v>
      </c>
      <c r="AF203" s="200">
        <f t="shared" si="1017"/>
        <v>0</v>
      </c>
      <c r="AG203" s="200">
        <f t="shared" si="1017"/>
        <v>0</v>
      </c>
      <c r="AH203" s="171">
        <f t="shared" si="13"/>
        <v>0</v>
      </c>
      <c r="AI203" s="200">
        <f t="shared" si="14"/>
        <v>0</v>
      </c>
      <c r="AJ203" s="200">
        <f t="shared" si="137"/>
        <v>1</v>
      </c>
      <c r="AK203" s="201">
        <f t="shared" ref="AK203:AS203" si="1018">countif($D203,"*"&amp;AK$2&amp;"*")</f>
        <v>1</v>
      </c>
      <c r="AL203" s="201">
        <f t="shared" si="1018"/>
        <v>0</v>
      </c>
      <c r="AM203" s="201">
        <f t="shared" si="1018"/>
        <v>0</v>
      </c>
      <c r="AN203" s="201">
        <f t="shared" si="1018"/>
        <v>0</v>
      </c>
      <c r="AO203" s="201">
        <f t="shared" si="1018"/>
        <v>0</v>
      </c>
      <c r="AP203" s="201">
        <f t="shared" si="1018"/>
        <v>0</v>
      </c>
      <c r="AQ203" s="201">
        <f t="shared" si="1018"/>
        <v>0</v>
      </c>
      <c r="AR203" s="200">
        <f t="shared" si="1018"/>
        <v>0</v>
      </c>
      <c r="AS203" s="200">
        <f t="shared" si="1018"/>
        <v>1</v>
      </c>
      <c r="AT203" s="173">
        <v>0.0</v>
      </c>
      <c r="AU203" s="200">
        <f t="shared" ref="AU203:AX203" si="1019">countif($D203,"*"&amp;AU$2&amp;"*")</f>
        <v>0</v>
      </c>
      <c r="AV203" s="200">
        <f t="shared" si="1019"/>
        <v>0</v>
      </c>
      <c r="AW203" s="200">
        <f t="shared" si="1019"/>
        <v>0</v>
      </c>
      <c r="AX203" s="200">
        <f t="shared" si="1019"/>
        <v>0</v>
      </c>
      <c r="AY203" s="202">
        <v>0.0</v>
      </c>
      <c r="AZ203" s="200"/>
      <c r="BA203" s="171" t="str">
        <f t="shared" si="18"/>
        <v/>
      </c>
      <c r="BB203" s="171" t="str">
        <f t="shared" si="19"/>
        <v/>
      </c>
      <c r="BC203" s="171" t="str">
        <f t="shared" si="20"/>
        <v>General-purpose</v>
      </c>
      <c r="BD203" s="171" t="str">
        <f t="shared" si="21"/>
        <v/>
      </c>
      <c r="BE203" s="171" t="str">
        <f t="shared" si="22"/>
        <v/>
      </c>
      <c r="BF203" s="171" t="str">
        <f t="shared" si="23"/>
        <v>General-purpose</v>
      </c>
    </row>
    <row r="204">
      <c r="A204" s="171">
        <f t="array" ref="A204">XLOOKUP(C204,ICSE!A:A,ICSE!C:C,,2,1)</f>
        <v>2022</v>
      </c>
      <c r="B204" s="171" t="s">
        <v>5675</v>
      </c>
      <c r="C204" s="160">
        <v>190.0</v>
      </c>
      <c r="D204" s="161" t="s">
        <v>2770</v>
      </c>
      <c r="E204" s="197" t="str">
        <f t="array" ref="E204">XLOOKUP(C204,ICSE!A:A,ICSE!Z:Z,,0,1)</f>
        <v>Publicly available (1)</v>
      </c>
      <c r="F204" s="198" t="s">
        <v>20</v>
      </c>
      <c r="G204" s="163" t="str">
        <f t="array" ref="G204">IF(B204="ICSE",IF(COUNTIFS(B:B,B204,C:C,C204)=XLOOKUP(C204,ICSE!A:A,ICSE!AA:AA,"ERROR",0,1),"OK","ERROR"),IF(B204="FSE",IF(COUNTIFS(B:B,B204,C:C,C204)=XLOOKUP(C204,FSE!A:A,FSE!AA:AA,"ERROR",0,1),"OK","ERROR")))</f>
        <v>OK</v>
      </c>
      <c r="H204" s="199">
        <f t="shared" ref="H204:O204" si="1020">countif($D204,"*"&amp;H$2&amp;"*")</f>
        <v>0</v>
      </c>
      <c r="I204" s="200">
        <f t="shared" si="1020"/>
        <v>1</v>
      </c>
      <c r="J204" s="200">
        <f t="shared" si="1020"/>
        <v>0</v>
      </c>
      <c r="K204" s="200">
        <f t="shared" si="1020"/>
        <v>0</v>
      </c>
      <c r="L204" s="200">
        <f t="shared" si="1020"/>
        <v>0</v>
      </c>
      <c r="M204" s="200">
        <f t="shared" si="1020"/>
        <v>0</v>
      </c>
      <c r="N204" s="200">
        <f t="shared" si="1020"/>
        <v>0</v>
      </c>
      <c r="O204" s="200">
        <f t="shared" si="1020"/>
        <v>0</v>
      </c>
      <c r="P204" s="200">
        <f t="shared" si="9"/>
        <v>0</v>
      </c>
      <c r="Q204" s="200">
        <f t="shared" ref="Q204:AC204" si="1021">countif($D204,"*"&amp;Q$2&amp;"*")</f>
        <v>0</v>
      </c>
      <c r="R204" s="200">
        <f t="shared" si="1021"/>
        <v>0</v>
      </c>
      <c r="S204" s="200">
        <f t="shared" si="1021"/>
        <v>0</v>
      </c>
      <c r="T204" s="200">
        <f t="shared" si="1021"/>
        <v>0</v>
      </c>
      <c r="U204" s="200">
        <f t="shared" si="1021"/>
        <v>0</v>
      </c>
      <c r="V204" s="200">
        <f t="shared" si="1021"/>
        <v>0</v>
      </c>
      <c r="W204" s="200">
        <f t="shared" si="1021"/>
        <v>0</v>
      </c>
      <c r="X204" s="200">
        <f t="shared" si="1021"/>
        <v>0</v>
      </c>
      <c r="Y204" s="200">
        <f t="shared" si="1021"/>
        <v>0</v>
      </c>
      <c r="Z204" s="200">
        <f t="shared" si="1021"/>
        <v>0</v>
      </c>
      <c r="AA204" s="200">
        <f t="shared" si="1021"/>
        <v>0</v>
      </c>
      <c r="AB204" s="200">
        <f t="shared" si="1021"/>
        <v>0</v>
      </c>
      <c r="AC204" s="200">
        <f t="shared" si="1021"/>
        <v>0</v>
      </c>
      <c r="AD204" s="200">
        <f t="shared" si="11"/>
        <v>0</v>
      </c>
      <c r="AE204" s="200">
        <f t="shared" ref="AE204:AG204" si="1022">countif($D204,"*"&amp;AE$2&amp;"*")</f>
        <v>0</v>
      </c>
      <c r="AF204" s="200">
        <f t="shared" si="1022"/>
        <v>0</v>
      </c>
      <c r="AG204" s="200">
        <f t="shared" si="1022"/>
        <v>0</v>
      </c>
      <c r="AH204" s="171">
        <f t="shared" si="13"/>
        <v>0</v>
      </c>
      <c r="AI204" s="200">
        <f t="shared" si="14"/>
        <v>1</v>
      </c>
      <c r="AJ204" s="200">
        <f t="shared" si="137"/>
        <v>0</v>
      </c>
      <c r="AK204" s="201">
        <f t="shared" ref="AK204:AS204" si="1023">countif($D204,"*"&amp;AK$2&amp;"*")</f>
        <v>0</v>
      </c>
      <c r="AL204" s="201">
        <f t="shared" si="1023"/>
        <v>0</v>
      </c>
      <c r="AM204" s="201">
        <f t="shared" si="1023"/>
        <v>0</v>
      </c>
      <c r="AN204" s="201">
        <f t="shared" si="1023"/>
        <v>0</v>
      </c>
      <c r="AO204" s="201">
        <f t="shared" si="1023"/>
        <v>0</v>
      </c>
      <c r="AP204" s="201">
        <f t="shared" si="1023"/>
        <v>0</v>
      </c>
      <c r="AQ204" s="201">
        <f t="shared" si="1023"/>
        <v>0</v>
      </c>
      <c r="AR204" s="200">
        <f t="shared" si="1023"/>
        <v>0</v>
      </c>
      <c r="AS204" s="200">
        <f t="shared" si="1023"/>
        <v>0</v>
      </c>
      <c r="AT204" s="173">
        <v>0.0</v>
      </c>
      <c r="AU204" s="200">
        <f t="shared" ref="AU204:AX204" si="1024">countif($D204,"*"&amp;AU$2&amp;"*")</f>
        <v>0</v>
      </c>
      <c r="AV204" s="200">
        <f t="shared" si="1024"/>
        <v>0</v>
      </c>
      <c r="AW204" s="200">
        <f t="shared" si="1024"/>
        <v>0</v>
      </c>
      <c r="AX204" s="200">
        <f t="shared" si="1024"/>
        <v>1</v>
      </c>
      <c r="AY204" s="202">
        <v>0.0</v>
      </c>
      <c r="AZ204" s="200"/>
      <c r="BA204" s="171" t="str">
        <f t="shared" si="18"/>
        <v>Archival</v>
      </c>
      <c r="BB204" s="171" t="str">
        <f t="shared" si="19"/>
        <v/>
      </c>
      <c r="BC204" s="171" t="str">
        <f t="shared" si="20"/>
        <v/>
      </c>
      <c r="BD204" s="171" t="str">
        <f t="shared" si="21"/>
        <v/>
      </c>
      <c r="BE204" s="171" t="str">
        <f t="shared" si="22"/>
        <v/>
      </c>
      <c r="BF204" s="171" t="str">
        <f t="shared" si="23"/>
        <v>Archival</v>
      </c>
    </row>
    <row r="205">
      <c r="A205" s="171">
        <f t="array" ref="A205">XLOOKUP(C205,ICSE!A:A,ICSE!C:C,,2,1)</f>
        <v>2022</v>
      </c>
      <c r="B205" s="171" t="s">
        <v>5675</v>
      </c>
      <c r="C205" s="160">
        <v>191.0</v>
      </c>
      <c r="D205" s="161" t="s">
        <v>2773</v>
      </c>
      <c r="E205" s="197" t="str">
        <f t="array" ref="E205">XLOOKUP(C205,ICSE!A:A,ICSE!Z:Z,,0,1)</f>
        <v>Publicly available (1)</v>
      </c>
      <c r="F205" s="198" t="s">
        <v>20</v>
      </c>
      <c r="G205" s="163" t="str">
        <f t="array" ref="G205">IF(B205="ICSE",IF(COUNTIFS(B:B,B205,C:C,C205)=XLOOKUP(C205,ICSE!A:A,ICSE!AA:AA,"ERROR",0,1),"OK","ERROR"),IF(B205="FSE",IF(COUNTIFS(B:B,B205,C:C,C205)=XLOOKUP(C205,FSE!A:A,FSE!AA:AA,"ERROR",0,1),"OK","ERROR")))</f>
        <v>OK</v>
      </c>
      <c r="H205" s="199">
        <f t="shared" ref="H205:O205" si="1025">countif($D205,"*"&amp;H$2&amp;"*")</f>
        <v>0</v>
      </c>
      <c r="I205" s="200">
        <f t="shared" si="1025"/>
        <v>0</v>
      </c>
      <c r="J205" s="200">
        <f t="shared" si="1025"/>
        <v>0</v>
      </c>
      <c r="K205" s="200">
        <f t="shared" si="1025"/>
        <v>0</v>
      </c>
      <c r="L205" s="200">
        <f t="shared" si="1025"/>
        <v>0</v>
      </c>
      <c r="M205" s="200">
        <f t="shared" si="1025"/>
        <v>0</v>
      </c>
      <c r="N205" s="200">
        <f t="shared" si="1025"/>
        <v>0</v>
      </c>
      <c r="O205" s="200">
        <f t="shared" si="1025"/>
        <v>0</v>
      </c>
      <c r="P205" s="200">
        <f t="shared" si="9"/>
        <v>1</v>
      </c>
      <c r="Q205" s="200">
        <f t="shared" ref="Q205:AC205" si="1026">countif($D205,"*"&amp;Q$2&amp;"*")</f>
        <v>0</v>
      </c>
      <c r="R205" s="200">
        <f t="shared" si="1026"/>
        <v>0</v>
      </c>
      <c r="S205" s="200">
        <f t="shared" si="1026"/>
        <v>0</v>
      </c>
      <c r="T205" s="200">
        <f t="shared" si="1026"/>
        <v>0</v>
      </c>
      <c r="U205" s="200">
        <f t="shared" si="1026"/>
        <v>0</v>
      </c>
      <c r="V205" s="200">
        <f t="shared" si="1026"/>
        <v>0</v>
      </c>
      <c r="W205" s="200">
        <f t="shared" si="1026"/>
        <v>0</v>
      </c>
      <c r="X205" s="200">
        <f t="shared" si="1026"/>
        <v>0</v>
      </c>
      <c r="Y205" s="200">
        <f t="shared" si="1026"/>
        <v>0</v>
      </c>
      <c r="Z205" s="200">
        <f t="shared" si="1026"/>
        <v>0</v>
      </c>
      <c r="AA205" s="200">
        <f t="shared" si="1026"/>
        <v>0</v>
      </c>
      <c r="AB205" s="200">
        <f t="shared" si="1026"/>
        <v>0</v>
      </c>
      <c r="AC205" s="200">
        <f t="shared" si="1026"/>
        <v>0</v>
      </c>
      <c r="AD205" s="200">
        <f t="shared" si="11"/>
        <v>0</v>
      </c>
      <c r="AE205" s="200">
        <f t="shared" ref="AE205:AG205" si="1027">countif($D205,"*"&amp;AE$2&amp;"*")</f>
        <v>0</v>
      </c>
      <c r="AF205" s="200">
        <f t="shared" si="1027"/>
        <v>0</v>
      </c>
      <c r="AG205" s="200">
        <f t="shared" si="1027"/>
        <v>0</v>
      </c>
      <c r="AH205" s="171">
        <f t="shared" si="13"/>
        <v>0</v>
      </c>
      <c r="AI205" s="200">
        <f t="shared" si="14"/>
        <v>0</v>
      </c>
      <c r="AJ205" s="200">
        <f t="shared" si="137"/>
        <v>0</v>
      </c>
      <c r="AK205" s="201">
        <f t="shared" ref="AK205:AS205" si="1028">countif($D205,"*"&amp;AK$2&amp;"*")</f>
        <v>0</v>
      </c>
      <c r="AL205" s="201">
        <f t="shared" si="1028"/>
        <v>0</v>
      </c>
      <c r="AM205" s="201">
        <f t="shared" si="1028"/>
        <v>0</v>
      </c>
      <c r="AN205" s="201">
        <f t="shared" si="1028"/>
        <v>0</v>
      </c>
      <c r="AO205" s="201">
        <f t="shared" si="1028"/>
        <v>0</v>
      </c>
      <c r="AP205" s="201">
        <f t="shared" si="1028"/>
        <v>0</v>
      </c>
      <c r="AQ205" s="201">
        <f t="shared" si="1028"/>
        <v>0</v>
      </c>
      <c r="AR205" s="200">
        <f t="shared" si="1028"/>
        <v>0</v>
      </c>
      <c r="AS205" s="200">
        <f t="shared" si="1028"/>
        <v>0</v>
      </c>
      <c r="AT205" s="173">
        <v>0.0</v>
      </c>
      <c r="AU205" s="200">
        <f t="shared" ref="AU205:AX205" si="1029">countif($D205,"*"&amp;AU$2&amp;"*")</f>
        <v>0</v>
      </c>
      <c r="AV205" s="200">
        <f t="shared" si="1029"/>
        <v>1</v>
      </c>
      <c r="AW205" s="200">
        <f t="shared" si="1029"/>
        <v>0</v>
      </c>
      <c r="AX205" s="200">
        <f t="shared" si="1029"/>
        <v>0</v>
      </c>
      <c r="AY205" s="202">
        <v>0.0</v>
      </c>
      <c r="AZ205" s="200"/>
      <c r="BA205" s="171" t="str">
        <f t="shared" si="18"/>
        <v/>
      </c>
      <c r="BB205" s="171" t="str">
        <f t="shared" si="19"/>
        <v>Code</v>
      </c>
      <c r="BC205" s="171" t="str">
        <f t="shared" si="20"/>
        <v/>
      </c>
      <c r="BD205" s="171" t="str">
        <f t="shared" si="21"/>
        <v/>
      </c>
      <c r="BE205" s="171" t="str">
        <f t="shared" si="22"/>
        <v/>
      </c>
      <c r="BF205" s="171" t="str">
        <f t="shared" si="23"/>
        <v>Code</v>
      </c>
    </row>
    <row r="206">
      <c r="A206" s="171">
        <f t="array" ref="A206">XLOOKUP(C206,ICSE!A:A,ICSE!C:C,,2,1)</f>
        <v>2022</v>
      </c>
      <c r="B206" s="171" t="s">
        <v>5675</v>
      </c>
      <c r="C206" s="160">
        <v>192.0</v>
      </c>
      <c r="D206" s="161" t="s">
        <v>2776</v>
      </c>
      <c r="E206" s="197" t="str">
        <f t="array" ref="E206">XLOOKUP(C206,ICSE!A:A,ICSE!Z:Z,,0,1)</f>
        <v>Publicly available (1)</v>
      </c>
      <c r="F206" s="198" t="s">
        <v>20</v>
      </c>
      <c r="G206" s="163" t="str">
        <f t="array" ref="G206">IF(B206="ICSE",IF(COUNTIFS(B:B,B206,C:C,C206)=XLOOKUP(C206,ICSE!A:A,ICSE!AA:AA,"ERROR",0,1),"OK","ERROR"),IF(B206="FSE",IF(COUNTIFS(B:B,B206,C:C,C206)=XLOOKUP(C206,FSE!A:A,FSE!AA:AA,"ERROR",0,1),"OK","ERROR")))</f>
        <v>OK</v>
      </c>
      <c r="H206" s="199">
        <f t="shared" ref="H206:O206" si="1030">countif($D206,"*"&amp;H$2&amp;"*")</f>
        <v>0</v>
      </c>
      <c r="I206" s="200">
        <f t="shared" si="1030"/>
        <v>0</v>
      </c>
      <c r="J206" s="200">
        <f t="shared" si="1030"/>
        <v>0</v>
      </c>
      <c r="K206" s="200">
        <f t="shared" si="1030"/>
        <v>0</v>
      </c>
      <c r="L206" s="200">
        <f t="shared" si="1030"/>
        <v>0</v>
      </c>
      <c r="M206" s="200">
        <f t="shared" si="1030"/>
        <v>0</v>
      </c>
      <c r="N206" s="200">
        <f t="shared" si="1030"/>
        <v>0</v>
      </c>
      <c r="O206" s="200">
        <f t="shared" si="1030"/>
        <v>0</v>
      </c>
      <c r="P206" s="200">
        <f t="shared" si="9"/>
        <v>1</v>
      </c>
      <c r="Q206" s="200">
        <f t="shared" ref="Q206:AC206" si="1031">countif($D206,"*"&amp;Q$2&amp;"*")</f>
        <v>0</v>
      </c>
      <c r="R206" s="200">
        <f t="shared" si="1031"/>
        <v>0</v>
      </c>
      <c r="S206" s="200">
        <f t="shared" si="1031"/>
        <v>0</v>
      </c>
      <c r="T206" s="200">
        <f t="shared" si="1031"/>
        <v>0</v>
      </c>
      <c r="U206" s="200">
        <f t="shared" si="1031"/>
        <v>0</v>
      </c>
      <c r="V206" s="200">
        <f t="shared" si="1031"/>
        <v>0</v>
      </c>
      <c r="W206" s="200">
        <f t="shared" si="1031"/>
        <v>0</v>
      </c>
      <c r="X206" s="200">
        <f t="shared" si="1031"/>
        <v>0</v>
      </c>
      <c r="Y206" s="200">
        <f t="shared" si="1031"/>
        <v>0</v>
      </c>
      <c r="Z206" s="200">
        <f t="shared" si="1031"/>
        <v>0</v>
      </c>
      <c r="AA206" s="200">
        <f t="shared" si="1031"/>
        <v>0</v>
      </c>
      <c r="AB206" s="200">
        <f t="shared" si="1031"/>
        <v>0</v>
      </c>
      <c r="AC206" s="200">
        <f t="shared" si="1031"/>
        <v>0</v>
      </c>
      <c r="AD206" s="200">
        <f t="shared" si="11"/>
        <v>0</v>
      </c>
      <c r="AE206" s="200">
        <f t="shared" ref="AE206:AG206" si="1032">countif($D206,"*"&amp;AE$2&amp;"*")</f>
        <v>0</v>
      </c>
      <c r="AF206" s="200">
        <f t="shared" si="1032"/>
        <v>0</v>
      </c>
      <c r="AG206" s="200">
        <f t="shared" si="1032"/>
        <v>0</v>
      </c>
      <c r="AH206" s="171">
        <f t="shared" si="13"/>
        <v>0</v>
      </c>
      <c r="AI206" s="200">
        <f t="shared" si="14"/>
        <v>0</v>
      </c>
      <c r="AJ206" s="200">
        <f t="shared" si="137"/>
        <v>0</v>
      </c>
      <c r="AK206" s="201">
        <f t="shared" ref="AK206:AS206" si="1033">countif($D206,"*"&amp;AK$2&amp;"*")</f>
        <v>0</v>
      </c>
      <c r="AL206" s="201">
        <f t="shared" si="1033"/>
        <v>0</v>
      </c>
      <c r="AM206" s="201">
        <f t="shared" si="1033"/>
        <v>0</v>
      </c>
      <c r="AN206" s="201">
        <f t="shared" si="1033"/>
        <v>0</v>
      </c>
      <c r="AO206" s="201">
        <f t="shared" si="1033"/>
        <v>0</v>
      </c>
      <c r="AP206" s="201">
        <f t="shared" si="1033"/>
        <v>0</v>
      </c>
      <c r="AQ206" s="201">
        <f t="shared" si="1033"/>
        <v>0</v>
      </c>
      <c r="AR206" s="200">
        <f t="shared" si="1033"/>
        <v>0</v>
      </c>
      <c r="AS206" s="200">
        <f t="shared" si="1033"/>
        <v>0</v>
      </c>
      <c r="AT206" s="173">
        <v>0.0</v>
      </c>
      <c r="AU206" s="200">
        <f t="shared" ref="AU206:AX206" si="1034">countif($D206,"*"&amp;AU$2&amp;"*")</f>
        <v>0</v>
      </c>
      <c r="AV206" s="200">
        <f t="shared" si="1034"/>
        <v>1</v>
      </c>
      <c r="AW206" s="200">
        <f t="shared" si="1034"/>
        <v>0</v>
      </c>
      <c r="AX206" s="200">
        <f t="shared" si="1034"/>
        <v>0</v>
      </c>
      <c r="AY206" s="202">
        <v>0.0</v>
      </c>
      <c r="AZ206" s="200"/>
      <c r="BA206" s="171" t="str">
        <f t="shared" si="18"/>
        <v/>
      </c>
      <c r="BB206" s="171" t="str">
        <f t="shared" si="19"/>
        <v>Code</v>
      </c>
      <c r="BC206" s="171" t="str">
        <f t="shared" si="20"/>
        <v/>
      </c>
      <c r="BD206" s="171" t="str">
        <f t="shared" si="21"/>
        <v/>
      </c>
      <c r="BE206" s="171" t="str">
        <f t="shared" si="22"/>
        <v/>
      </c>
      <c r="BF206" s="171" t="str">
        <f t="shared" si="23"/>
        <v>Code</v>
      </c>
    </row>
    <row r="207">
      <c r="A207" s="171">
        <f t="array" ref="A207">XLOOKUP(C207,ICSE!A:A,ICSE!C:C,,2,1)</f>
        <v>2022</v>
      </c>
      <c r="B207" s="171" t="s">
        <v>5675</v>
      </c>
      <c r="C207" s="160">
        <v>193.0</v>
      </c>
      <c r="D207" s="161" t="s">
        <v>2779</v>
      </c>
      <c r="E207" s="197" t="str">
        <f t="array" ref="E207">XLOOKUP(C207,ICSE!A:A,ICSE!Z:Z,,0,1)</f>
        <v>Publicly available (1)</v>
      </c>
      <c r="F207" s="198" t="s">
        <v>20</v>
      </c>
      <c r="G207" s="163" t="str">
        <f t="array" ref="G207">IF(B207="ICSE",IF(COUNTIFS(B:B,B207,C:C,C207)=XLOOKUP(C207,ICSE!A:A,ICSE!AA:AA,"ERROR",0,1),"OK","ERROR"),IF(B207="FSE",IF(COUNTIFS(B:B,B207,C:C,C207)=XLOOKUP(C207,FSE!A:A,FSE!AA:AA,"ERROR",0,1),"OK","ERROR")))</f>
        <v>OK</v>
      </c>
      <c r="H207" s="199">
        <f t="shared" ref="H207:O207" si="1035">countif($D207,"*"&amp;H$2&amp;"*")</f>
        <v>1</v>
      </c>
      <c r="I207" s="200">
        <f t="shared" si="1035"/>
        <v>0</v>
      </c>
      <c r="J207" s="200">
        <f t="shared" si="1035"/>
        <v>0</v>
      </c>
      <c r="K207" s="200">
        <f t="shared" si="1035"/>
        <v>0</v>
      </c>
      <c r="L207" s="200">
        <f t="shared" si="1035"/>
        <v>0</v>
      </c>
      <c r="M207" s="200">
        <f t="shared" si="1035"/>
        <v>0</v>
      </c>
      <c r="N207" s="200">
        <f t="shared" si="1035"/>
        <v>0</v>
      </c>
      <c r="O207" s="200">
        <f t="shared" si="1035"/>
        <v>0</v>
      </c>
      <c r="P207" s="200">
        <f t="shared" si="9"/>
        <v>0</v>
      </c>
      <c r="Q207" s="200">
        <f t="shared" ref="Q207:AC207" si="1036">countif($D207,"*"&amp;Q$2&amp;"*")</f>
        <v>0</v>
      </c>
      <c r="R207" s="200">
        <f t="shared" si="1036"/>
        <v>0</v>
      </c>
      <c r="S207" s="200">
        <f t="shared" si="1036"/>
        <v>0</v>
      </c>
      <c r="T207" s="200">
        <f t="shared" si="1036"/>
        <v>0</v>
      </c>
      <c r="U207" s="200">
        <f t="shared" si="1036"/>
        <v>0</v>
      </c>
      <c r="V207" s="200">
        <f t="shared" si="1036"/>
        <v>0</v>
      </c>
      <c r="W207" s="200">
        <f t="shared" si="1036"/>
        <v>0</v>
      </c>
      <c r="X207" s="200">
        <f t="shared" si="1036"/>
        <v>0</v>
      </c>
      <c r="Y207" s="200">
        <f t="shared" si="1036"/>
        <v>0</v>
      </c>
      <c r="Z207" s="200">
        <f t="shared" si="1036"/>
        <v>0</v>
      </c>
      <c r="AA207" s="200">
        <f t="shared" si="1036"/>
        <v>0</v>
      </c>
      <c r="AB207" s="200">
        <f t="shared" si="1036"/>
        <v>0</v>
      </c>
      <c r="AC207" s="200">
        <f t="shared" si="1036"/>
        <v>0</v>
      </c>
      <c r="AD207" s="200">
        <f t="shared" si="11"/>
        <v>0</v>
      </c>
      <c r="AE207" s="200">
        <f t="shared" ref="AE207:AG207" si="1037">countif($D207,"*"&amp;AE$2&amp;"*")</f>
        <v>0</v>
      </c>
      <c r="AF207" s="200">
        <f t="shared" si="1037"/>
        <v>0</v>
      </c>
      <c r="AG207" s="200">
        <f t="shared" si="1037"/>
        <v>0</v>
      </c>
      <c r="AH207" s="171">
        <f t="shared" si="13"/>
        <v>0</v>
      </c>
      <c r="AI207" s="200">
        <f t="shared" si="14"/>
        <v>1</v>
      </c>
      <c r="AJ207" s="200">
        <f t="shared" si="137"/>
        <v>0</v>
      </c>
      <c r="AK207" s="201">
        <f t="shared" ref="AK207:AS207" si="1038">countif($D207,"*"&amp;AK$2&amp;"*")</f>
        <v>0</v>
      </c>
      <c r="AL207" s="201">
        <f t="shared" si="1038"/>
        <v>0</v>
      </c>
      <c r="AM207" s="201">
        <f t="shared" si="1038"/>
        <v>0</v>
      </c>
      <c r="AN207" s="201">
        <f t="shared" si="1038"/>
        <v>0</v>
      </c>
      <c r="AO207" s="201">
        <f t="shared" si="1038"/>
        <v>0</v>
      </c>
      <c r="AP207" s="201">
        <f t="shared" si="1038"/>
        <v>0</v>
      </c>
      <c r="AQ207" s="201">
        <f t="shared" si="1038"/>
        <v>0</v>
      </c>
      <c r="AR207" s="200">
        <f t="shared" si="1038"/>
        <v>0</v>
      </c>
      <c r="AS207" s="200">
        <f t="shared" si="1038"/>
        <v>0</v>
      </c>
      <c r="AT207" s="173">
        <v>0.0</v>
      </c>
      <c r="AU207" s="200">
        <f t="shared" ref="AU207:AX207" si="1039">countif($D207,"*"&amp;AU$2&amp;"*")</f>
        <v>0</v>
      </c>
      <c r="AV207" s="200">
        <f t="shared" si="1039"/>
        <v>0</v>
      </c>
      <c r="AW207" s="200">
        <f t="shared" si="1039"/>
        <v>0</v>
      </c>
      <c r="AX207" s="200">
        <f t="shared" si="1039"/>
        <v>1</v>
      </c>
      <c r="AY207" s="202">
        <v>0.0</v>
      </c>
      <c r="AZ207" s="200"/>
      <c r="BA207" s="171" t="str">
        <f t="shared" si="18"/>
        <v>Archival</v>
      </c>
      <c r="BB207" s="171" t="str">
        <f t="shared" si="19"/>
        <v/>
      </c>
      <c r="BC207" s="171" t="str">
        <f t="shared" si="20"/>
        <v/>
      </c>
      <c r="BD207" s="171" t="str">
        <f t="shared" si="21"/>
        <v/>
      </c>
      <c r="BE207" s="171" t="str">
        <f t="shared" si="22"/>
        <v/>
      </c>
      <c r="BF207" s="171" t="str">
        <f t="shared" si="23"/>
        <v>Archival</v>
      </c>
    </row>
    <row r="208">
      <c r="A208" s="171">
        <f t="array" ref="A208">XLOOKUP(C208,ICSE!A:A,ICSE!C:C,,2,1)</f>
        <v>2022</v>
      </c>
      <c r="B208" s="171" t="s">
        <v>5675</v>
      </c>
      <c r="C208" s="160">
        <v>194.0</v>
      </c>
      <c r="D208" s="161" t="s">
        <v>2781</v>
      </c>
      <c r="E208" s="197" t="str">
        <f t="array" ref="E208">XLOOKUP(C208,ICSE!A:A,ICSE!Z:Z,,0,1)</f>
        <v>Publicly available (1)</v>
      </c>
      <c r="F208" s="198" t="s">
        <v>20</v>
      </c>
      <c r="G208" s="163" t="str">
        <f t="array" ref="G208">IF(B208="ICSE",IF(COUNTIFS(B:B,B208,C:C,C208)=XLOOKUP(C208,ICSE!A:A,ICSE!AA:AA,"ERROR",0,1),"OK","ERROR"),IF(B208="FSE",IF(COUNTIFS(B:B,B208,C:C,C208)=XLOOKUP(C208,FSE!A:A,FSE!AA:AA,"ERROR",0,1),"OK","ERROR")))</f>
        <v>OK</v>
      </c>
      <c r="H208" s="199">
        <f t="shared" ref="H208:O208" si="1040">countif($D208,"*"&amp;H$2&amp;"*")</f>
        <v>1</v>
      </c>
      <c r="I208" s="200">
        <f t="shared" si="1040"/>
        <v>0</v>
      </c>
      <c r="J208" s="200">
        <f t="shared" si="1040"/>
        <v>0</v>
      </c>
      <c r="K208" s="200">
        <f t="shared" si="1040"/>
        <v>0</v>
      </c>
      <c r="L208" s="200">
        <f t="shared" si="1040"/>
        <v>0</v>
      </c>
      <c r="M208" s="200">
        <f t="shared" si="1040"/>
        <v>0</v>
      </c>
      <c r="N208" s="200">
        <f t="shared" si="1040"/>
        <v>0</v>
      </c>
      <c r="O208" s="200">
        <f t="shared" si="1040"/>
        <v>0</v>
      </c>
      <c r="P208" s="200">
        <f t="shared" si="9"/>
        <v>0</v>
      </c>
      <c r="Q208" s="200">
        <f t="shared" ref="Q208:AC208" si="1041">countif($D208,"*"&amp;Q$2&amp;"*")</f>
        <v>0</v>
      </c>
      <c r="R208" s="200">
        <f t="shared" si="1041"/>
        <v>0</v>
      </c>
      <c r="S208" s="200">
        <f t="shared" si="1041"/>
        <v>0</v>
      </c>
      <c r="T208" s="200">
        <f t="shared" si="1041"/>
        <v>0</v>
      </c>
      <c r="U208" s="200">
        <f t="shared" si="1041"/>
        <v>0</v>
      </c>
      <c r="V208" s="200">
        <f t="shared" si="1041"/>
        <v>0</v>
      </c>
      <c r="W208" s="200">
        <f t="shared" si="1041"/>
        <v>0</v>
      </c>
      <c r="X208" s="200">
        <f t="shared" si="1041"/>
        <v>0</v>
      </c>
      <c r="Y208" s="200">
        <f t="shared" si="1041"/>
        <v>0</v>
      </c>
      <c r="Z208" s="200">
        <f t="shared" si="1041"/>
        <v>0</v>
      </c>
      <c r="AA208" s="200">
        <f t="shared" si="1041"/>
        <v>0</v>
      </c>
      <c r="AB208" s="200">
        <f t="shared" si="1041"/>
        <v>0</v>
      </c>
      <c r="AC208" s="200">
        <f t="shared" si="1041"/>
        <v>0</v>
      </c>
      <c r="AD208" s="200">
        <f t="shared" si="11"/>
        <v>0</v>
      </c>
      <c r="AE208" s="200">
        <f t="shared" ref="AE208:AG208" si="1042">countif($D208,"*"&amp;AE$2&amp;"*")</f>
        <v>0</v>
      </c>
      <c r="AF208" s="200">
        <f t="shared" si="1042"/>
        <v>0</v>
      </c>
      <c r="AG208" s="200">
        <f t="shared" si="1042"/>
        <v>0</v>
      </c>
      <c r="AH208" s="171">
        <f t="shared" si="13"/>
        <v>0</v>
      </c>
      <c r="AI208" s="200">
        <f t="shared" si="14"/>
        <v>1</v>
      </c>
      <c r="AJ208" s="200">
        <f t="shared" si="137"/>
        <v>0</v>
      </c>
      <c r="AK208" s="201">
        <f t="shared" ref="AK208:AS208" si="1043">countif($D208,"*"&amp;AK$2&amp;"*")</f>
        <v>0</v>
      </c>
      <c r="AL208" s="201">
        <f t="shared" si="1043"/>
        <v>0</v>
      </c>
      <c r="AM208" s="201">
        <f t="shared" si="1043"/>
        <v>0</v>
      </c>
      <c r="AN208" s="201">
        <f t="shared" si="1043"/>
        <v>0</v>
      </c>
      <c r="AO208" s="201">
        <f t="shared" si="1043"/>
        <v>0</v>
      </c>
      <c r="AP208" s="201">
        <f t="shared" si="1043"/>
        <v>0</v>
      </c>
      <c r="AQ208" s="201">
        <f t="shared" si="1043"/>
        <v>0</v>
      </c>
      <c r="AR208" s="200">
        <f t="shared" si="1043"/>
        <v>0</v>
      </c>
      <c r="AS208" s="200">
        <f t="shared" si="1043"/>
        <v>0</v>
      </c>
      <c r="AT208" s="173">
        <v>0.0</v>
      </c>
      <c r="AU208" s="200">
        <f t="shared" ref="AU208:AX208" si="1044">countif($D208,"*"&amp;AU$2&amp;"*")</f>
        <v>0</v>
      </c>
      <c r="AV208" s="200">
        <f t="shared" si="1044"/>
        <v>0</v>
      </c>
      <c r="AW208" s="200">
        <f t="shared" si="1044"/>
        <v>0</v>
      </c>
      <c r="AX208" s="200">
        <f t="shared" si="1044"/>
        <v>1</v>
      </c>
      <c r="AY208" s="202">
        <v>0.0</v>
      </c>
      <c r="AZ208" s="200"/>
      <c r="BA208" s="171" t="str">
        <f t="shared" si="18"/>
        <v>Archival</v>
      </c>
      <c r="BB208" s="171" t="str">
        <f t="shared" si="19"/>
        <v/>
      </c>
      <c r="BC208" s="171" t="str">
        <f t="shared" si="20"/>
        <v/>
      </c>
      <c r="BD208" s="171" t="str">
        <f t="shared" si="21"/>
        <v/>
      </c>
      <c r="BE208" s="171" t="str">
        <f t="shared" si="22"/>
        <v/>
      </c>
      <c r="BF208" s="171" t="str">
        <f t="shared" si="23"/>
        <v>Archival</v>
      </c>
    </row>
    <row r="209">
      <c r="A209" s="171">
        <f t="array" ref="A209">XLOOKUP(C209,ICSE!A:A,ICSE!C:C,,2,1)</f>
        <v>2022</v>
      </c>
      <c r="B209" s="171" t="s">
        <v>5675</v>
      </c>
      <c r="C209" s="160">
        <v>195.0</v>
      </c>
      <c r="D209" s="161" t="s">
        <v>2784</v>
      </c>
      <c r="E209" s="197" t="str">
        <f t="array" ref="E209">XLOOKUP(C209,ICSE!A:A,ICSE!Z:Z,,0,1)</f>
        <v>Publicly available (1)</v>
      </c>
      <c r="F209" s="198" t="s">
        <v>20</v>
      </c>
      <c r="G209" s="163" t="str">
        <f t="array" ref="G209">IF(B209="ICSE",IF(COUNTIFS(B:B,B209,C:C,C209)=XLOOKUP(C209,ICSE!A:A,ICSE!AA:AA,"ERROR",0,1),"OK","ERROR"),IF(B209="FSE",IF(COUNTIFS(B:B,B209,C:C,C209)=XLOOKUP(C209,FSE!A:A,FSE!AA:AA,"ERROR",0,1),"OK","ERROR")))</f>
        <v>OK</v>
      </c>
      <c r="H209" s="199">
        <f t="shared" ref="H209:O209" si="1045">countif($D209,"*"&amp;H$2&amp;"*")</f>
        <v>0</v>
      </c>
      <c r="I209" s="200">
        <f t="shared" si="1045"/>
        <v>0</v>
      </c>
      <c r="J209" s="200">
        <f t="shared" si="1045"/>
        <v>0</v>
      </c>
      <c r="K209" s="200">
        <f t="shared" si="1045"/>
        <v>1</v>
      </c>
      <c r="L209" s="200">
        <f t="shared" si="1045"/>
        <v>0</v>
      </c>
      <c r="M209" s="200">
        <f t="shared" si="1045"/>
        <v>0</v>
      </c>
      <c r="N209" s="200">
        <f t="shared" si="1045"/>
        <v>0</v>
      </c>
      <c r="O209" s="200">
        <f t="shared" si="1045"/>
        <v>0</v>
      </c>
      <c r="P209" s="200">
        <f t="shared" si="9"/>
        <v>0</v>
      </c>
      <c r="Q209" s="200">
        <f t="shared" ref="Q209:AC209" si="1046">countif($D209,"*"&amp;Q$2&amp;"*")</f>
        <v>0</v>
      </c>
      <c r="R209" s="200">
        <f t="shared" si="1046"/>
        <v>0</v>
      </c>
      <c r="S209" s="200">
        <f t="shared" si="1046"/>
        <v>0</v>
      </c>
      <c r="T209" s="200">
        <f t="shared" si="1046"/>
        <v>0</v>
      </c>
      <c r="U209" s="200">
        <f t="shared" si="1046"/>
        <v>0</v>
      </c>
      <c r="V209" s="200">
        <f t="shared" si="1046"/>
        <v>0</v>
      </c>
      <c r="W209" s="200">
        <f t="shared" si="1046"/>
        <v>0</v>
      </c>
      <c r="X209" s="200">
        <f t="shared" si="1046"/>
        <v>0</v>
      </c>
      <c r="Y209" s="200">
        <f t="shared" si="1046"/>
        <v>0</v>
      </c>
      <c r="Z209" s="200">
        <f t="shared" si="1046"/>
        <v>0</v>
      </c>
      <c r="AA209" s="200">
        <f t="shared" si="1046"/>
        <v>0</v>
      </c>
      <c r="AB209" s="200">
        <f t="shared" si="1046"/>
        <v>0</v>
      </c>
      <c r="AC209" s="200">
        <f t="shared" si="1046"/>
        <v>0</v>
      </c>
      <c r="AD209" s="200">
        <f t="shared" si="11"/>
        <v>0</v>
      </c>
      <c r="AE209" s="200">
        <f t="shared" ref="AE209:AG209" si="1047">countif($D209,"*"&amp;AE$2&amp;"*")</f>
        <v>0</v>
      </c>
      <c r="AF209" s="200">
        <f t="shared" si="1047"/>
        <v>0</v>
      </c>
      <c r="AG209" s="200">
        <f t="shared" si="1047"/>
        <v>0</v>
      </c>
      <c r="AH209" s="171">
        <f t="shared" si="13"/>
        <v>0</v>
      </c>
      <c r="AI209" s="200">
        <f t="shared" si="14"/>
        <v>1</v>
      </c>
      <c r="AJ209" s="200">
        <f t="shared" si="137"/>
        <v>0</v>
      </c>
      <c r="AK209" s="201">
        <f t="shared" ref="AK209:AS209" si="1048">countif($D209,"*"&amp;AK$2&amp;"*")</f>
        <v>0</v>
      </c>
      <c r="AL209" s="201">
        <f t="shared" si="1048"/>
        <v>0</v>
      </c>
      <c r="AM209" s="201">
        <f t="shared" si="1048"/>
        <v>0</v>
      </c>
      <c r="AN209" s="201">
        <f t="shared" si="1048"/>
        <v>0</v>
      </c>
      <c r="AO209" s="201">
        <f t="shared" si="1048"/>
        <v>0</v>
      </c>
      <c r="AP209" s="201">
        <f t="shared" si="1048"/>
        <v>0</v>
      </c>
      <c r="AQ209" s="201">
        <f t="shared" si="1048"/>
        <v>0</v>
      </c>
      <c r="AR209" s="200">
        <f t="shared" si="1048"/>
        <v>0</v>
      </c>
      <c r="AS209" s="200">
        <f t="shared" si="1048"/>
        <v>0</v>
      </c>
      <c r="AT209" s="173">
        <v>0.0</v>
      </c>
      <c r="AU209" s="200">
        <f t="shared" ref="AU209:AX209" si="1049">countif($D209,"*"&amp;AU$2&amp;"*")</f>
        <v>0</v>
      </c>
      <c r="AV209" s="200">
        <f t="shared" si="1049"/>
        <v>0</v>
      </c>
      <c r="AW209" s="200">
        <f t="shared" si="1049"/>
        <v>0</v>
      </c>
      <c r="AX209" s="200">
        <f t="shared" si="1049"/>
        <v>0</v>
      </c>
      <c r="AY209" s="204">
        <v>1.0</v>
      </c>
      <c r="AZ209" s="200"/>
      <c r="BA209" s="171" t="str">
        <f t="shared" si="18"/>
        <v>Archival</v>
      </c>
      <c r="BB209" s="171" t="str">
        <f t="shared" si="19"/>
        <v/>
      </c>
      <c r="BC209" s="171" t="str">
        <f t="shared" si="20"/>
        <v/>
      </c>
      <c r="BD209" s="171" t="str">
        <f t="shared" si="21"/>
        <v/>
      </c>
      <c r="BE209" s="171" t="str">
        <f t="shared" si="22"/>
        <v/>
      </c>
      <c r="BF209" s="171" t="str">
        <f t="shared" si="23"/>
        <v>Archival</v>
      </c>
    </row>
    <row r="210">
      <c r="A210" s="171">
        <f t="array" ref="A210">XLOOKUP(C210,ICSE!A:A,ICSE!C:C,,2,1)</f>
        <v>2022</v>
      </c>
      <c r="B210" s="171" t="s">
        <v>5675</v>
      </c>
      <c r="C210" s="160">
        <v>196.0</v>
      </c>
      <c r="D210" s="161" t="s">
        <v>2787</v>
      </c>
      <c r="E210" s="197" t="str">
        <f t="array" ref="E210">XLOOKUP(C210,ICSE!A:A,ICSE!Z:Z,,0,1)</f>
        <v>Publicly available (1)</v>
      </c>
      <c r="F210" s="198" t="s">
        <v>20</v>
      </c>
      <c r="G210" s="163" t="str">
        <f t="array" ref="G210">IF(B210="ICSE",IF(COUNTIFS(B:B,B210,C:C,C210)=XLOOKUP(C210,ICSE!A:A,ICSE!AA:AA,"ERROR",0,1),"OK","ERROR"),IF(B210="FSE",IF(COUNTIFS(B:B,B210,C:C,C210)=XLOOKUP(C210,FSE!A:A,FSE!AA:AA,"ERROR",0,1),"OK","ERROR")))</f>
        <v>OK</v>
      </c>
      <c r="H210" s="199">
        <f t="shared" ref="H210:O210" si="1050">countif($D210,"*"&amp;H$2&amp;"*")</f>
        <v>0</v>
      </c>
      <c r="I210" s="200">
        <f t="shared" si="1050"/>
        <v>0</v>
      </c>
      <c r="J210" s="200">
        <f t="shared" si="1050"/>
        <v>0</v>
      </c>
      <c r="K210" s="200">
        <f t="shared" si="1050"/>
        <v>0</v>
      </c>
      <c r="L210" s="200">
        <f t="shared" si="1050"/>
        <v>0</v>
      </c>
      <c r="M210" s="200">
        <f t="shared" si="1050"/>
        <v>0</v>
      </c>
      <c r="N210" s="200">
        <f t="shared" si="1050"/>
        <v>0</v>
      </c>
      <c r="O210" s="200">
        <f t="shared" si="1050"/>
        <v>0</v>
      </c>
      <c r="P210" s="200">
        <f t="shared" si="9"/>
        <v>1</v>
      </c>
      <c r="Q210" s="200">
        <f t="shared" ref="Q210:AC210" si="1051">countif($D210,"*"&amp;Q$2&amp;"*")</f>
        <v>0</v>
      </c>
      <c r="R210" s="200">
        <f t="shared" si="1051"/>
        <v>0</v>
      </c>
      <c r="S210" s="200">
        <f t="shared" si="1051"/>
        <v>0</v>
      </c>
      <c r="T210" s="200">
        <f t="shared" si="1051"/>
        <v>0</v>
      </c>
      <c r="U210" s="200">
        <f t="shared" si="1051"/>
        <v>0</v>
      </c>
      <c r="V210" s="200">
        <f t="shared" si="1051"/>
        <v>0</v>
      </c>
      <c r="W210" s="200">
        <f t="shared" si="1051"/>
        <v>0</v>
      </c>
      <c r="X210" s="200">
        <f t="shared" si="1051"/>
        <v>0</v>
      </c>
      <c r="Y210" s="200">
        <f t="shared" si="1051"/>
        <v>0</v>
      </c>
      <c r="Z210" s="200">
        <f t="shared" si="1051"/>
        <v>0</v>
      </c>
      <c r="AA210" s="200">
        <f t="shared" si="1051"/>
        <v>0</v>
      </c>
      <c r="AB210" s="200">
        <f t="shared" si="1051"/>
        <v>0</v>
      </c>
      <c r="AC210" s="200">
        <f t="shared" si="1051"/>
        <v>0</v>
      </c>
      <c r="AD210" s="200">
        <f t="shared" si="11"/>
        <v>0</v>
      </c>
      <c r="AE210" s="200">
        <f t="shared" ref="AE210:AG210" si="1052">countif($D210,"*"&amp;AE$2&amp;"*")</f>
        <v>0</v>
      </c>
      <c r="AF210" s="200">
        <f t="shared" si="1052"/>
        <v>0</v>
      </c>
      <c r="AG210" s="200">
        <f t="shared" si="1052"/>
        <v>0</v>
      </c>
      <c r="AH210" s="171">
        <f t="shared" si="13"/>
        <v>0</v>
      </c>
      <c r="AI210" s="200">
        <f t="shared" si="14"/>
        <v>0</v>
      </c>
      <c r="AJ210" s="200">
        <f t="shared" si="137"/>
        <v>0</v>
      </c>
      <c r="AK210" s="201">
        <f t="shared" ref="AK210:AS210" si="1053">countif($D210,"*"&amp;AK$2&amp;"*")</f>
        <v>0</v>
      </c>
      <c r="AL210" s="201">
        <f t="shared" si="1053"/>
        <v>0</v>
      </c>
      <c r="AM210" s="201">
        <f t="shared" si="1053"/>
        <v>0</v>
      </c>
      <c r="AN210" s="201">
        <f t="shared" si="1053"/>
        <v>0</v>
      </c>
      <c r="AO210" s="201">
        <f t="shared" si="1053"/>
        <v>0</v>
      </c>
      <c r="AP210" s="201">
        <f t="shared" si="1053"/>
        <v>0</v>
      </c>
      <c r="AQ210" s="201">
        <f t="shared" si="1053"/>
        <v>0</v>
      </c>
      <c r="AR210" s="200">
        <f t="shared" si="1053"/>
        <v>0</v>
      </c>
      <c r="AS210" s="200">
        <f t="shared" si="1053"/>
        <v>0</v>
      </c>
      <c r="AT210" s="173">
        <v>0.0</v>
      </c>
      <c r="AU210" s="200">
        <f t="shared" ref="AU210:AX210" si="1054">countif($D210,"*"&amp;AU$2&amp;"*")</f>
        <v>0</v>
      </c>
      <c r="AV210" s="200">
        <f t="shared" si="1054"/>
        <v>1</v>
      </c>
      <c r="AW210" s="200">
        <f t="shared" si="1054"/>
        <v>0</v>
      </c>
      <c r="AX210" s="200">
        <f t="shared" si="1054"/>
        <v>0</v>
      </c>
      <c r="AY210" s="202">
        <v>0.0</v>
      </c>
      <c r="AZ210" s="200"/>
      <c r="BA210" s="171" t="str">
        <f t="shared" si="18"/>
        <v/>
      </c>
      <c r="BB210" s="171" t="str">
        <f t="shared" si="19"/>
        <v>Code</v>
      </c>
      <c r="BC210" s="171" t="str">
        <f t="shared" si="20"/>
        <v/>
      </c>
      <c r="BD210" s="171" t="str">
        <f t="shared" si="21"/>
        <v/>
      </c>
      <c r="BE210" s="171" t="str">
        <f t="shared" si="22"/>
        <v/>
      </c>
      <c r="BF210" s="171" t="str">
        <f t="shared" si="23"/>
        <v>Code</v>
      </c>
    </row>
    <row r="211">
      <c r="A211" s="171">
        <f t="array" ref="A211">XLOOKUP(C211,ICSE!A:A,ICSE!C:C,,2,1)</f>
        <v>2022</v>
      </c>
      <c r="B211" s="171" t="s">
        <v>5675</v>
      </c>
      <c r="C211" s="160">
        <v>197.0</v>
      </c>
      <c r="D211" s="161" t="s">
        <v>2790</v>
      </c>
      <c r="E211" s="197" t="str">
        <f t="array" ref="E211">XLOOKUP(C211,ICSE!A:A,ICSE!Z:Z,,0,1)</f>
        <v>Publicly available (1)</v>
      </c>
      <c r="F211" s="198" t="s">
        <v>20</v>
      </c>
      <c r="G211" s="163" t="str">
        <f t="array" ref="G211">IF(B211="ICSE",IF(COUNTIFS(B:B,B211,C:C,C211)=XLOOKUP(C211,ICSE!A:A,ICSE!AA:AA,"ERROR",0,1),"OK","ERROR"),IF(B211="FSE",IF(COUNTIFS(B:B,B211,C:C,C211)=XLOOKUP(C211,FSE!A:A,FSE!AA:AA,"ERROR",0,1),"OK","ERROR")))</f>
        <v>OK</v>
      </c>
      <c r="H211" s="199">
        <f t="shared" ref="H211:O211" si="1055">countif($D211,"*"&amp;H$2&amp;"*")</f>
        <v>0</v>
      </c>
      <c r="I211" s="200">
        <f t="shared" si="1055"/>
        <v>0</v>
      </c>
      <c r="J211" s="200">
        <f t="shared" si="1055"/>
        <v>0</v>
      </c>
      <c r="K211" s="200">
        <f t="shared" si="1055"/>
        <v>0</v>
      </c>
      <c r="L211" s="200">
        <f t="shared" si="1055"/>
        <v>0</v>
      </c>
      <c r="M211" s="200">
        <f t="shared" si="1055"/>
        <v>0</v>
      </c>
      <c r="N211" s="200">
        <f t="shared" si="1055"/>
        <v>0</v>
      </c>
      <c r="O211" s="200">
        <f t="shared" si="1055"/>
        <v>0</v>
      </c>
      <c r="P211" s="200">
        <f t="shared" si="9"/>
        <v>0</v>
      </c>
      <c r="Q211" s="200">
        <f t="shared" ref="Q211:AC211" si="1056">countif($D211,"*"&amp;Q$2&amp;"*")</f>
        <v>0</v>
      </c>
      <c r="R211" s="200">
        <f t="shared" si="1056"/>
        <v>0</v>
      </c>
      <c r="S211" s="200">
        <f t="shared" si="1056"/>
        <v>0</v>
      </c>
      <c r="T211" s="200">
        <f t="shared" si="1056"/>
        <v>0</v>
      </c>
      <c r="U211" s="200">
        <f t="shared" si="1056"/>
        <v>0</v>
      </c>
      <c r="V211" s="200">
        <f t="shared" si="1056"/>
        <v>0</v>
      </c>
      <c r="W211" s="200">
        <f t="shared" si="1056"/>
        <v>0</v>
      </c>
      <c r="X211" s="200">
        <f t="shared" si="1056"/>
        <v>0</v>
      </c>
      <c r="Y211" s="200">
        <f t="shared" si="1056"/>
        <v>0</v>
      </c>
      <c r="Z211" s="200">
        <f t="shared" si="1056"/>
        <v>0</v>
      </c>
      <c r="AA211" s="200">
        <f t="shared" si="1056"/>
        <v>1</v>
      </c>
      <c r="AB211" s="200">
        <f t="shared" si="1056"/>
        <v>0</v>
      </c>
      <c r="AC211" s="200">
        <f t="shared" si="1056"/>
        <v>0</v>
      </c>
      <c r="AD211" s="200">
        <f t="shared" si="11"/>
        <v>0</v>
      </c>
      <c r="AE211" s="200">
        <f t="shared" ref="AE211:AG211" si="1057">countif($D211,"*"&amp;AE$2&amp;"*")</f>
        <v>0</v>
      </c>
      <c r="AF211" s="200">
        <f t="shared" si="1057"/>
        <v>0</v>
      </c>
      <c r="AG211" s="200">
        <f t="shared" si="1057"/>
        <v>0</v>
      </c>
      <c r="AH211" s="171">
        <f t="shared" si="13"/>
        <v>0</v>
      </c>
      <c r="AI211" s="200">
        <f t="shared" si="14"/>
        <v>0</v>
      </c>
      <c r="AJ211" s="200">
        <f t="shared" si="137"/>
        <v>0</v>
      </c>
      <c r="AK211" s="201">
        <f t="shared" ref="AK211:AS211" si="1058">countif($D211,"*"&amp;AK$2&amp;"*")</f>
        <v>0</v>
      </c>
      <c r="AL211" s="201">
        <f t="shared" si="1058"/>
        <v>0</v>
      </c>
      <c r="AM211" s="201">
        <f t="shared" si="1058"/>
        <v>0</v>
      </c>
      <c r="AN211" s="201">
        <f t="shared" si="1058"/>
        <v>0</v>
      </c>
      <c r="AO211" s="201">
        <f t="shared" si="1058"/>
        <v>0</v>
      </c>
      <c r="AP211" s="201">
        <f t="shared" si="1058"/>
        <v>0</v>
      </c>
      <c r="AQ211" s="201">
        <f t="shared" si="1058"/>
        <v>0</v>
      </c>
      <c r="AR211" s="200">
        <f t="shared" si="1058"/>
        <v>0</v>
      </c>
      <c r="AS211" s="200">
        <f t="shared" si="1058"/>
        <v>0</v>
      </c>
      <c r="AT211" s="173">
        <v>0.0</v>
      </c>
      <c r="AU211" s="200">
        <f t="shared" ref="AU211:AX211" si="1059">countif($D211,"*"&amp;AU$2&amp;"*")</f>
        <v>0</v>
      </c>
      <c r="AV211" s="200">
        <f t="shared" si="1059"/>
        <v>0</v>
      </c>
      <c r="AW211" s="200">
        <f t="shared" si="1059"/>
        <v>0</v>
      </c>
      <c r="AX211" s="200">
        <f t="shared" si="1059"/>
        <v>0</v>
      </c>
      <c r="AY211" s="202">
        <v>0.0</v>
      </c>
      <c r="AZ211" s="200"/>
      <c r="BA211" s="171" t="str">
        <f t="shared" si="18"/>
        <v/>
      </c>
      <c r="BB211" s="171" t="str">
        <f t="shared" si="19"/>
        <v/>
      </c>
      <c r="BC211" s="171" t="str">
        <f t="shared" si="20"/>
        <v>General-purpose</v>
      </c>
      <c r="BD211" s="171" t="str">
        <f t="shared" si="21"/>
        <v/>
      </c>
      <c r="BE211" s="171" t="str">
        <f t="shared" si="22"/>
        <v/>
      </c>
      <c r="BF211" s="171" t="str">
        <f t="shared" si="23"/>
        <v>General-purpose</v>
      </c>
    </row>
    <row r="212">
      <c r="A212" s="171">
        <f t="array" ref="A212">XLOOKUP(C212,ICSE!A:A,ICSE!C:C,,2,1)</f>
        <v>2021</v>
      </c>
      <c r="B212" s="171" t="s">
        <v>5675</v>
      </c>
      <c r="C212" s="160">
        <v>452.0</v>
      </c>
      <c r="D212" s="161" t="s">
        <v>1849</v>
      </c>
      <c r="E212" s="197" t="str">
        <f t="array" ref="E212">XLOOKUP(C212,ICSE!A:A,ICSE!Z:Z,,0,1)</f>
        <v>Publicly available (1)</v>
      </c>
      <c r="F212" s="198" t="s">
        <v>20</v>
      </c>
      <c r="G212" s="163" t="str">
        <f t="array" ref="G212">IF(B212="ICSE",IF(COUNTIFS(B:B,B212,C:C,C212)=XLOOKUP(C212,ICSE!A:A,ICSE!AA:AA,"ERROR",0,1),"OK","ERROR"),IF(B212="FSE",IF(COUNTIFS(B:B,B212,C:C,C212)=XLOOKUP(C212,FSE!A:A,FSE!AA:AA,"ERROR",0,1),"OK","ERROR")))</f>
        <v>OK</v>
      </c>
      <c r="H212" s="199">
        <f t="shared" ref="H212:O212" si="1060">countif($D212,"*"&amp;H$2&amp;"*")</f>
        <v>0</v>
      </c>
      <c r="I212" s="200">
        <f t="shared" si="1060"/>
        <v>0</v>
      </c>
      <c r="J212" s="200">
        <f t="shared" si="1060"/>
        <v>0</v>
      </c>
      <c r="K212" s="200">
        <f t="shared" si="1060"/>
        <v>0</v>
      </c>
      <c r="L212" s="200">
        <f t="shared" si="1060"/>
        <v>0</v>
      </c>
      <c r="M212" s="200">
        <f t="shared" si="1060"/>
        <v>0</v>
      </c>
      <c r="N212" s="200">
        <f t="shared" si="1060"/>
        <v>0</v>
      </c>
      <c r="O212" s="200">
        <f t="shared" si="1060"/>
        <v>0</v>
      </c>
      <c r="P212" s="200">
        <f t="shared" si="9"/>
        <v>1</v>
      </c>
      <c r="Q212" s="200">
        <f t="shared" ref="Q212:AC212" si="1061">countif($D212,"*"&amp;Q$2&amp;"*")</f>
        <v>0</v>
      </c>
      <c r="R212" s="200">
        <f t="shared" si="1061"/>
        <v>0</v>
      </c>
      <c r="S212" s="200">
        <f t="shared" si="1061"/>
        <v>0</v>
      </c>
      <c r="T212" s="200">
        <f t="shared" si="1061"/>
        <v>0</v>
      </c>
      <c r="U212" s="200">
        <f t="shared" si="1061"/>
        <v>0</v>
      </c>
      <c r="V212" s="200">
        <f t="shared" si="1061"/>
        <v>0</v>
      </c>
      <c r="W212" s="200">
        <f t="shared" si="1061"/>
        <v>0</v>
      </c>
      <c r="X212" s="200">
        <f t="shared" si="1061"/>
        <v>0</v>
      </c>
      <c r="Y212" s="200">
        <f t="shared" si="1061"/>
        <v>0</v>
      </c>
      <c r="Z212" s="200">
        <f t="shared" si="1061"/>
        <v>0</v>
      </c>
      <c r="AA212" s="200">
        <f t="shared" si="1061"/>
        <v>0</v>
      </c>
      <c r="AB212" s="200">
        <f t="shared" si="1061"/>
        <v>0</v>
      </c>
      <c r="AC212" s="200">
        <f t="shared" si="1061"/>
        <v>0</v>
      </c>
      <c r="AD212" s="200">
        <f t="shared" si="11"/>
        <v>0</v>
      </c>
      <c r="AE212" s="200">
        <f t="shared" ref="AE212:AG212" si="1062">countif($D212,"*"&amp;AE$2&amp;"*")</f>
        <v>0</v>
      </c>
      <c r="AF212" s="200">
        <f t="shared" si="1062"/>
        <v>0</v>
      </c>
      <c r="AG212" s="200">
        <f t="shared" si="1062"/>
        <v>0</v>
      </c>
      <c r="AH212" s="171">
        <f t="shared" si="13"/>
        <v>0</v>
      </c>
      <c r="AI212" s="200">
        <f t="shared" si="14"/>
        <v>0</v>
      </c>
      <c r="AJ212" s="200">
        <f t="shared" si="137"/>
        <v>0</v>
      </c>
      <c r="AK212" s="201">
        <f t="shared" ref="AK212:AS212" si="1063">countif($D212,"*"&amp;AK$2&amp;"*")</f>
        <v>0</v>
      </c>
      <c r="AL212" s="201">
        <f t="shared" si="1063"/>
        <v>0</v>
      </c>
      <c r="AM212" s="201">
        <f t="shared" si="1063"/>
        <v>0</v>
      </c>
      <c r="AN212" s="201">
        <f t="shared" si="1063"/>
        <v>0</v>
      </c>
      <c r="AO212" s="201">
        <f t="shared" si="1063"/>
        <v>0</v>
      </c>
      <c r="AP212" s="201">
        <f t="shared" si="1063"/>
        <v>0</v>
      </c>
      <c r="AQ212" s="201">
        <f t="shared" si="1063"/>
        <v>0</v>
      </c>
      <c r="AR212" s="200">
        <f t="shared" si="1063"/>
        <v>0</v>
      </c>
      <c r="AS212" s="200">
        <f t="shared" si="1063"/>
        <v>0</v>
      </c>
      <c r="AT212" s="173">
        <v>0.0</v>
      </c>
      <c r="AU212" s="200">
        <f t="shared" ref="AU212:AX212" si="1064">countif($D212,"*"&amp;AU$2&amp;"*")</f>
        <v>0</v>
      </c>
      <c r="AV212" s="200">
        <f t="shared" si="1064"/>
        <v>1</v>
      </c>
      <c r="AW212" s="200">
        <f t="shared" si="1064"/>
        <v>0</v>
      </c>
      <c r="AX212" s="200">
        <f t="shared" si="1064"/>
        <v>0</v>
      </c>
      <c r="AY212" s="202">
        <v>0.0</v>
      </c>
      <c r="AZ212" s="200"/>
      <c r="BA212" s="171" t="str">
        <f t="shared" si="18"/>
        <v/>
      </c>
      <c r="BB212" s="171" t="str">
        <f t="shared" si="19"/>
        <v>Code</v>
      </c>
      <c r="BC212" s="171" t="str">
        <f t="shared" si="20"/>
        <v/>
      </c>
      <c r="BD212" s="171" t="str">
        <f t="shared" si="21"/>
        <v/>
      </c>
      <c r="BE212" s="171" t="str">
        <f t="shared" si="22"/>
        <v/>
      </c>
      <c r="BF212" s="171" t="str">
        <f t="shared" si="23"/>
        <v>Code</v>
      </c>
    </row>
    <row r="213">
      <c r="A213" s="171">
        <f t="array" ref="A213">XLOOKUP(C213,ICSE!A:A,ICSE!C:C,,2,1)</f>
        <v>2021</v>
      </c>
      <c r="B213" s="171" t="s">
        <v>5675</v>
      </c>
      <c r="C213" s="160">
        <v>454.0</v>
      </c>
      <c r="D213" s="161" t="s">
        <v>1853</v>
      </c>
      <c r="E213" s="197" t="str">
        <f t="array" ref="E213">XLOOKUP(C213,ICSE!A:A,ICSE!Z:Z,,0,1)</f>
        <v>Publicly available (1)</v>
      </c>
      <c r="F213" s="198" t="s">
        <v>20</v>
      </c>
      <c r="G213" s="163" t="str">
        <f t="array" ref="G213">IF(B213="ICSE",IF(COUNTIFS(B:B,B213,C:C,C213)=XLOOKUP(C213,ICSE!A:A,ICSE!AA:AA,"ERROR",0,1),"OK","ERROR"),IF(B213="FSE",IF(COUNTIFS(B:B,B213,C:C,C213)=XLOOKUP(C213,FSE!A:A,FSE!AA:AA,"ERROR",0,1),"OK","ERROR")))</f>
        <v>OK</v>
      </c>
      <c r="H213" s="199">
        <f t="shared" ref="H213:O213" si="1065">countif($D213,"*"&amp;H$2&amp;"*")</f>
        <v>0</v>
      </c>
      <c r="I213" s="200">
        <f t="shared" si="1065"/>
        <v>0</v>
      </c>
      <c r="J213" s="200">
        <f t="shared" si="1065"/>
        <v>0</v>
      </c>
      <c r="K213" s="200">
        <f t="shared" si="1065"/>
        <v>0</v>
      </c>
      <c r="L213" s="200">
        <f t="shared" si="1065"/>
        <v>0</v>
      </c>
      <c r="M213" s="200">
        <f t="shared" si="1065"/>
        <v>0</v>
      </c>
      <c r="N213" s="200">
        <f t="shared" si="1065"/>
        <v>0</v>
      </c>
      <c r="O213" s="200">
        <f t="shared" si="1065"/>
        <v>0</v>
      </c>
      <c r="P213" s="200">
        <f t="shared" si="9"/>
        <v>0</v>
      </c>
      <c r="Q213" s="200">
        <f t="shared" ref="Q213:AC213" si="1066">countif($D213,"*"&amp;Q$2&amp;"*")</f>
        <v>0</v>
      </c>
      <c r="R213" s="200">
        <f t="shared" si="1066"/>
        <v>0</v>
      </c>
      <c r="S213" s="200">
        <f t="shared" si="1066"/>
        <v>0</v>
      </c>
      <c r="T213" s="200">
        <f t="shared" si="1066"/>
        <v>0</v>
      </c>
      <c r="U213" s="200">
        <f t="shared" si="1066"/>
        <v>0</v>
      </c>
      <c r="V213" s="200">
        <f t="shared" si="1066"/>
        <v>0</v>
      </c>
      <c r="W213" s="200">
        <f t="shared" si="1066"/>
        <v>0</v>
      </c>
      <c r="X213" s="200">
        <f t="shared" si="1066"/>
        <v>0</v>
      </c>
      <c r="Y213" s="200">
        <f t="shared" si="1066"/>
        <v>0</v>
      </c>
      <c r="Z213" s="200">
        <f t="shared" si="1066"/>
        <v>0</v>
      </c>
      <c r="AA213" s="200">
        <f t="shared" si="1066"/>
        <v>0</v>
      </c>
      <c r="AB213" s="200">
        <f t="shared" si="1066"/>
        <v>0</v>
      </c>
      <c r="AC213" s="200">
        <f t="shared" si="1066"/>
        <v>0</v>
      </c>
      <c r="AD213" s="200">
        <f t="shared" si="11"/>
        <v>1</v>
      </c>
      <c r="AE213" s="200">
        <f t="shared" ref="AE213:AG213" si="1067">countif($D213,"*"&amp;AE$2&amp;"*")</f>
        <v>0</v>
      </c>
      <c r="AF213" s="200">
        <f t="shared" si="1067"/>
        <v>0</v>
      </c>
      <c r="AG213" s="200">
        <f t="shared" si="1067"/>
        <v>0</v>
      </c>
      <c r="AH213" s="171">
        <f t="shared" si="13"/>
        <v>0</v>
      </c>
      <c r="AI213" s="200">
        <f t="shared" si="14"/>
        <v>0</v>
      </c>
      <c r="AJ213" s="200">
        <f t="shared" si="137"/>
        <v>0</v>
      </c>
      <c r="AK213" s="201">
        <f t="shared" ref="AK213:AS213" si="1068">countif($D213,"*"&amp;AK$2&amp;"*")</f>
        <v>0</v>
      </c>
      <c r="AL213" s="201">
        <f t="shared" si="1068"/>
        <v>0</v>
      </c>
      <c r="AM213" s="201">
        <f t="shared" si="1068"/>
        <v>0</v>
      </c>
      <c r="AN213" s="201">
        <f t="shared" si="1068"/>
        <v>0</v>
      </c>
      <c r="AO213" s="201">
        <f t="shared" si="1068"/>
        <v>0</v>
      </c>
      <c r="AP213" s="201">
        <f t="shared" si="1068"/>
        <v>0</v>
      </c>
      <c r="AQ213" s="201">
        <f t="shared" si="1068"/>
        <v>0</v>
      </c>
      <c r="AR213" s="200">
        <f t="shared" si="1068"/>
        <v>0</v>
      </c>
      <c r="AS213" s="200">
        <f t="shared" si="1068"/>
        <v>0</v>
      </c>
      <c r="AT213" s="173">
        <v>1.0</v>
      </c>
      <c r="AU213" s="200">
        <f t="shared" ref="AU213:AX213" si="1069">countif($D213,"*"&amp;AU$2&amp;"*")</f>
        <v>0</v>
      </c>
      <c r="AV213" s="200">
        <f t="shared" si="1069"/>
        <v>0</v>
      </c>
      <c r="AW213" s="200">
        <f t="shared" si="1069"/>
        <v>0</v>
      </c>
      <c r="AX213" s="200">
        <f t="shared" si="1069"/>
        <v>0</v>
      </c>
      <c r="AY213" s="202">
        <v>0.0</v>
      </c>
      <c r="AZ213" s="200"/>
      <c r="BA213" s="171" t="str">
        <f t="shared" si="18"/>
        <v/>
      </c>
      <c r="BB213" s="171" t="str">
        <f t="shared" si="19"/>
        <v/>
      </c>
      <c r="BC213" s="171" t="str">
        <f t="shared" si="20"/>
        <v/>
      </c>
      <c r="BD213" s="171" t="str">
        <f t="shared" si="21"/>
        <v>Institutional</v>
      </c>
      <c r="BE213" s="171" t="str">
        <f t="shared" si="22"/>
        <v/>
      </c>
      <c r="BF213" s="171" t="str">
        <f t="shared" si="23"/>
        <v>Institutional</v>
      </c>
    </row>
    <row r="214">
      <c r="A214" s="171">
        <f t="array" ref="A214">XLOOKUP(C214,ICSE!A:A,ICSE!C:C,,2,1)</f>
        <v>2021</v>
      </c>
      <c r="B214" s="171" t="s">
        <v>5675</v>
      </c>
      <c r="C214" s="160">
        <v>455.0</v>
      </c>
      <c r="D214" s="161" t="s">
        <v>5803</v>
      </c>
      <c r="E214" s="197" t="str">
        <f t="array" ref="E214">XLOOKUP(C214,ICSE!A:A,ICSE!Z:Z,,0,1)</f>
        <v>Publicly available (3)</v>
      </c>
      <c r="F214" s="198" t="s">
        <v>20</v>
      </c>
      <c r="G214" s="163" t="str">
        <f t="array" ref="G214">IF(B214="ICSE",IF(COUNTIFS(B:B,B214,C:C,C214)=XLOOKUP(C214,ICSE!A:A,ICSE!AA:AA,"ERROR",0,1),"OK","ERROR"),IF(B214="FSE",IF(COUNTIFS(B:B,B214,C:C,C214)=XLOOKUP(C214,FSE!A:A,FSE!AA:AA,"ERROR",0,1),"OK","ERROR")))</f>
        <v>OK</v>
      </c>
      <c r="H214" s="199">
        <f t="shared" ref="H214:O214" si="1070">countif($D214,"*"&amp;H$2&amp;"*")</f>
        <v>0</v>
      </c>
      <c r="I214" s="200">
        <f t="shared" si="1070"/>
        <v>0</v>
      </c>
      <c r="J214" s="200">
        <f t="shared" si="1070"/>
        <v>0</v>
      </c>
      <c r="K214" s="200">
        <f t="shared" si="1070"/>
        <v>0</v>
      </c>
      <c r="L214" s="200">
        <f t="shared" si="1070"/>
        <v>0</v>
      </c>
      <c r="M214" s="200">
        <f t="shared" si="1070"/>
        <v>0</v>
      </c>
      <c r="N214" s="200">
        <f t="shared" si="1070"/>
        <v>0</v>
      </c>
      <c r="O214" s="200">
        <f t="shared" si="1070"/>
        <v>0</v>
      </c>
      <c r="P214" s="200">
        <f t="shared" si="9"/>
        <v>1</v>
      </c>
      <c r="Q214" s="200">
        <f t="shared" ref="Q214:AC214" si="1071">countif($D214,"*"&amp;Q$2&amp;"*")</f>
        <v>0</v>
      </c>
      <c r="R214" s="200">
        <f t="shared" si="1071"/>
        <v>0</v>
      </c>
      <c r="S214" s="200">
        <f t="shared" si="1071"/>
        <v>0</v>
      </c>
      <c r="T214" s="200">
        <f t="shared" si="1071"/>
        <v>0</v>
      </c>
      <c r="U214" s="200">
        <f t="shared" si="1071"/>
        <v>0</v>
      </c>
      <c r="V214" s="200">
        <f t="shared" si="1071"/>
        <v>0</v>
      </c>
      <c r="W214" s="200">
        <f t="shared" si="1071"/>
        <v>0</v>
      </c>
      <c r="X214" s="200">
        <f t="shared" si="1071"/>
        <v>0</v>
      </c>
      <c r="Y214" s="200">
        <f t="shared" si="1071"/>
        <v>0</v>
      </c>
      <c r="Z214" s="200">
        <f t="shared" si="1071"/>
        <v>0</v>
      </c>
      <c r="AA214" s="200">
        <f t="shared" si="1071"/>
        <v>0</v>
      </c>
      <c r="AB214" s="200">
        <f t="shared" si="1071"/>
        <v>0</v>
      </c>
      <c r="AC214" s="200">
        <f t="shared" si="1071"/>
        <v>0</v>
      </c>
      <c r="AD214" s="200">
        <f t="shared" si="11"/>
        <v>0</v>
      </c>
      <c r="AE214" s="200">
        <f t="shared" ref="AE214:AG214" si="1072">countif($D214,"*"&amp;AE$2&amp;"*")</f>
        <v>0</v>
      </c>
      <c r="AF214" s="200">
        <f t="shared" si="1072"/>
        <v>0</v>
      </c>
      <c r="AG214" s="200">
        <f t="shared" si="1072"/>
        <v>0</v>
      </c>
      <c r="AH214" s="171">
        <f t="shared" si="13"/>
        <v>0</v>
      </c>
      <c r="AI214" s="200">
        <f t="shared" si="14"/>
        <v>0</v>
      </c>
      <c r="AJ214" s="200">
        <f t="shared" si="137"/>
        <v>0</v>
      </c>
      <c r="AK214" s="201">
        <f t="shared" ref="AK214:AS214" si="1073">countif($D214,"*"&amp;AK$2&amp;"*")</f>
        <v>0</v>
      </c>
      <c r="AL214" s="201">
        <f t="shared" si="1073"/>
        <v>0</v>
      </c>
      <c r="AM214" s="201">
        <f t="shared" si="1073"/>
        <v>0</v>
      </c>
      <c r="AN214" s="201">
        <f t="shared" si="1073"/>
        <v>0</v>
      </c>
      <c r="AO214" s="201">
        <f t="shared" si="1073"/>
        <v>0</v>
      </c>
      <c r="AP214" s="201">
        <f t="shared" si="1073"/>
        <v>0</v>
      </c>
      <c r="AQ214" s="201">
        <f t="shared" si="1073"/>
        <v>0</v>
      </c>
      <c r="AR214" s="200">
        <f t="shared" si="1073"/>
        <v>0</v>
      </c>
      <c r="AS214" s="200">
        <f t="shared" si="1073"/>
        <v>0</v>
      </c>
      <c r="AT214" s="173">
        <v>0.0</v>
      </c>
      <c r="AU214" s="200">
        <f t="shared" ref="AU214:AX214" si="1074">countif($D214,"*"&amp;AU$2&amp;"*")</f>
        <v>0</v>
      </c>
      <c r="AV214" s="200">
        <f t="shared" si="1074"/>
        <v>1</v>
      </c>
      <c r="AW214" s="200">
        <f t="shared" si="1074"/>
        <v>0</v>
      </c>
      <c r="AX214" s="200">
        <f t="shared" si="1074"/>
        <v>0</v>
      </c>
      <c r="AY214" s="202">
        <v>0.0</v>
      </c>
      <c r="AZ214" s="200"/>
      <c r="BA214" s="171" t="str">
        <f t="shared" si="18"/>
        <v/>
      </c>
      <c r="BB214" s="171" t="str">
        <f t="shared" si="19"/>
        <v>Code</v>
      </c>
      <c r="BC214" s="171" t="str">
        <f t="shared" si="20"/>
        <v/>
      </c>
      <c r="BD214" s="171" t="str">
        <f t="shared" si="21"/>
        <v/>
      </c>
      <c r="BE214" s="171" t="str">
        <f t="shared" si="22"/>
        <v/>
      </c>
      <c r="BF214" s="171" t="str">
        <f t="shared" si="23"/>
        <v>Code</v>
      </c>
    </row>
    <row r="215">
      <c r="A215" s="171">
        <f t="array" ref="A215">XLOOKUP(C215,ICSE!A:A,ICSE!C:C,,2,1)</f>
        <v>2021</v>
      </c>
      <c r="B215" s="171" t="s">
        <v>5675</v>
      </c>
      <c r="C215" s="160">
        <v>455.0</v>
      </c>
      <c r="D215" s="161" t="s">
        <v>5804</v>
      </c>
      <c r="E215" s="197" t="str">
        <f t="array" ref="E215">XLOOKUP(C215,ICSE!A:A,ICSE!Z:Z,,0,1)</f>
        <v>Publicly available (3)</v>
      </c>
      <c r="F215" s="198" t="s">
        <v>20</v>
      </c>
      <c r="G215" s="163" t="str">
        <f t="array" ref="G215">IF(B215="ICSE",IF(COUNTIFS(B:B,B215,C:C,C215)=XLOOKUP(C215,ICSE!A:A,ICSE!AA:AA,"ERROR",0,1),"OK","ERROR"),IF(B215="FSE",IF(COUNTIFS(B:B,B215,C:C,C215)=XLOOKUP(C215,FSE!A:A,FSE!AA:AA,"ERROR",0,1),"OK","ERROR")))</f>
        <v>OK</v>
      </c>
      <c r="H215" s="199">
        <f t="shared" ref="H215:O215" si="1075">countif($D215,"*"&amp;H$2&amp;"*")</f>
        <v>1</v>
      </c>
      <c r="I215" s="200">
        <f t="shared" si="1075"/>
        <v>0</v>
      </c>
      <c r="J215" s="200">
        <f t="shared" si="1075"/>
        <v>0</v>
      </c>
      <c r="K215" s="200">
        <f t="shared" si="1075"/>
        <v>0</v>
      </c>
      <c r="L215" s="200">
        <f t="shared" si="1075"/>
        <v>0</v>
      </c>
      <c r="M215" s="200">
        <f t="shared" si="1075"/>
        <v>0</v>
      </c>
      <c r="N215" s="200">
        <f t="shared" si="1075"/>
        <v>0</v>
      </c>
      <c r="O215" s="200">
        <f t="shared" si="1075"/>
        <v>0</v>
      </c>
      <c r="P215" s="200">
        <f t="shared" si="9"/>
        <v>0</v>
      </c>
      <c r="Q215" s="200">
        <f t="shared" ref="Q215:AC215" si="1076">countif($D215,"*"&amp;Q$2&amp;"*")</f>
        <v>0</v>
      </c>
      <c r="R215" s="200">
        <f t="shared" si="1076"/>
        <v>0</v>
      </c>
      <c r="S215" s="200">
        <f t="shared" si="1076"/>
        <v>0</v>
      </c>
      <c r="T215" s="200">
        <f t="shared" si="1076"/>
        <v>0</v>
      </c>
      <c r="U215" s="200">
        <f t="shared" si="1076"/>
        <v>0</v>
      </c>
      <c r="V215" s="200">
        <f t="shared" si="1076"/>
        <v>0</v>
      </c>
      <c r="W215" s="200">
        <f t="shared" si="1076"/>
        <v>0</v>
      </c>
      <c r="X215" s="200">
        <f t="shared" si="1076"/>
        <v>0</v>
      </c>
      <c r="Y215" s="200">
        <f t="shared" si="1076"/>
        <v>0</v>
      </c>
      <c r="Z215" s="200">
        <f t="shared" si="1076"/>
        <v>0</v>
      </c>
      <c r="AA215" s="200">
        <f t="shared" si="1076"/>
        <v>0</v>
      </c>
      <c r="AB215" s="200">
        <f t="shared" si="1076"/>
        <v>0</v>
      </c>
      <c r="AC215" s="200">
        <f t="shared" si="1076"/>
        <v>0</v>
      </c>
      <c r="AD215" s="200">
        <f t="shared" si="11"/>
        <v>0</v>
      </c>
      <c r="AE215" s="200">
        <f t="shared" ref="AE215:AG215" si="1077">countif($D215,"*"&amp;AE$2&amp;"*")</f>
        <v>0</v>
      </c>
      <c r="AF215" s="200">
        <f t="shared" si="1077"/>
        <v>0</v>
      </c>
      <c r="AG215" s="200">
        <f t="shared" si="1077"/>
        <v>0</v>
      </c>
      <c r="AH215" s="171">
        <f t="shared" si="13"/>
        <v>0</v>
      </c>
      <c r="AI215" s="200">
        <f t="shared" si="14"/>
        <v>1</v>
      </c>
      <c r="AJ215" s="200">
        <f t="shared" si="137"/>
        <v>0</v>
      </c>
      <c r="AK215" s="201">
        <f t="shared" ref="AK215:AS215" si="1078">countif($D215,"*"&amp;AK$2&amp;"*")</f>
        <v>0</v>
      </c>
      <c r="AL215" s="201">
        <f t="shared" si="1078"/>
        <v>0</v>
      </c>
      <c r="AM215" s="201">
        <f t="shared" si="1078"/>
        <v>0</v>
      </c>
      <c r="AN215" s="201">
        <f t="shared" si="1078"/>
        <v>0</v>
      </c>
      <c r="AO215" s="201">
        <f t="shared" si="1078"/>
        <v>0</v>
      </c>
      <c r="AP215" s="201">
        <f t="shared" si="1078"/>
        <v>0</v>
      </c>
      <c r="AQ215" s="201">
        <f t="shared" si="1078"/>
        <v>0</v>
      </c>
      <c r="AR215" s="200">
        <f t="shared" si="1078"/>
        <v>0</v>
      </c>
      <c r="AS215" s="200">
        <f t="shared" si="1078"/>
        <v>0</v>
      </c>
      <c r="AT215" s="173">
        <v>0.0</v>
      </c>
      <c r="AU215" s="200">
        <f t="shared" ref="AU215:AX215" si="1079">countif($D215,"*"&amp;AU$2&amp;"*")</f>
        <v>0</v>
      </c>
      <c r="AV215" s="200">
        <f t="shared" si="1079"/>
        <v>0</v>
      </c>
      <c r="AW215" s="200">
        <f t="shared" si="1079"/>
        <v>0</v>
      </c>
      <c r="AX215" s="200">
        <f t="shared" si="1079"/>
        <v>1</v>
      </c>
      <c r="AY215" s="202">
        <v>0.0</v>
      </c>
      <c r="AZ215" s="200"/>
      <c r="BA215" s="171" t="str">
        <f t="shared" si="18"/>
        <v>Archival</v>
      </c>
      <c r="BB215" s="171" t="str">
        <f t="shared" si="19"/>
        <v/>
      </c>
      <c r="BC215" s="171" t="str">
        <f t="shared" si="20"/>
        <v/>
      </c>
      <c r="BD215" s="171" t="str">
        <f t="shared" si="21"/>
        <v/>
      </c>
      <c r="BE215" s="171" t="str">
        <f t="shared" si="22"/>
        <v/>
      </c>
      <c r="BF215" s="171" t="str">
        <f t="shared" si="23"/>
        <v>Archival</v>
      </c>
    </row>
    <row r="216">
      <c r="A216" s="171">
        <f t="array" ref="A216">XLOOKUP(C216,ICSE!A:A,ICSE!C:C,,2,1)</f>
        <v>2021</v>
      </c>
      <c r="B216" s="171" t="s">
        <v>5675</v>
      </c>
      <c r="C216" s="160">
        <v>455.0</v>
      </c>
      <c r="D216" s="161" t="s">
        <v>5805</v>
      </c>
      <c r="E216" s="197" t="str">
        <f t="array" ref="E216">XLOOKUP(C216,ICSE!A:A,ICSE!Z:Z,,0,1)</f>
        <v>Publicly available (3)</v>
      </c>
      <c r="F216" s="198" t="s">
        <v>20</v>
      </c>
      <c r="G216" s="163" t="str">
        <f t="array" ref="G216">IF(B216="ICSE",IF(COUNTIFS(B:B,B216,C:C,C216)=XLOOKUP(C216,ICSE!A:A,ICSE!AA:AA,"ERROR",0,1),"OK","ERROR"),IF(B216="FSE",IF(COUNTIFS(B:B,B216,C:C,C216)=XLOOKUP(C216,FSE!A:A,FSE!AA:AA,"ERROR",0,1),"OK","ERROR")))</f>
        <v>OK</v>
      </c>
      <c r="H216" s="199">
        <f t="shared" ref="H216:O216" si="1080">countif($D216,"*"&amp;H$2&amp;"*")</f>
        <v>0</v>
      </c>
      <c r="I216" s="200">
        <f t="shared" si="1080"/>
        <v>0</v>
      </c>
      <c r="J216" s="200">
        <f t="shared" si="1080"/>
        <v>0</v>
      </c>
      <c r="K216" s="200">
        <f t="shared" si="1080"/>
        <v>0</v>
      </c>
      <c r="L216" s="200">
        <f t="shared" si="1080"/>
        <v>0</v>
      </c>
      <c r="M216" s="200">
        <f t="shared" si="1080"/>
        <v>0</v>
      </c>
      <c r="N216" s="200">
        <f t="shared" si="1080"/>
        <v>0</v>
      </c>
      <c r="O216" s="200">
        <f t="shared" si="1080"/>
        <v>0</v>
      </c>
      <c r="P216" s="200">
        <f t="shared" si="9"/>
        <v>0</v>
      </c>
      <c r="Q216" s="200">
        <f t="shared" ref="Q216:AC216" si="1081">countif($D216,"*"&amp;Q$2&amp;"*")</f>
        <v>0</v>
      </c>
      <c r="R216" s="200">
        <f t="shared" si="1081"/>
        <v>0</v>
      </c>
      <c r="S216" s="200">
        <f t="shared" si="1081"/>
        <v>0</v>
      </c>
      <c r="T216" s="200">
        <f t="shared" si="1081"/>
        <v>0</v>
      </c>
      <c r="U216" s="200">
        <f t="shared" si="1081"/>
        <v>0</v>
      </c>
      <c r="V216" s="200">
        <f t="shared" si="1081"/>
        <v>0</v>
      </c>
      <c r="W216" s="200">
        <f t="shared" si="1081"/>
        <v>0</v>
      </c>
      <c r="X216" s="200">
        <f t="shared" si="1081"/>
        <v>0</v>
      </c>
      <c r="Y216" s="200">
        <f t="shared" si="1081"/>
        <v>0</v>
      </c>
      <c r="Z216" s="200">
        <f t="shared" si="1081"/>
        <v>0</v>
      </c>
      <c r="AA216" s="200">
        <f t="shared" si="1081"/>
        <v>0</v>
      </c>
      <c r="AB216" s="200">
        <f t="shared" si="1081"/>
        <v>0</v>
      </c>
      <c r="AC216" s="200">
        <f t="shared" si="1081"/>
        <v>0</v>
      </c>
      <c r="AD216" s="200">
        <f t="shared" si="11"/>
        <v>1</v>
      </c>
      <c r="AE216" s="200">
        <f t="shared" ref="AE216:AG216" si="1082">countif($D216,"*"&amp;AE$2&amp;"*")</f>
        <v>0</v>
      </c>
      <c r="AF216" s="200">
        <f t="shared" si="1082"/>
        <v>0</v>
      </c>
      <c r="AG216" s="200">
        <f t="shared" si="1082"/>
        <v>0</v>
      </c>
      <c r="AH216" s="171">
        <f t="shared" si="13"/>
        <v>0</v>
      </c>
      <c r="AI216" s="200">
        <f t="shared" si="14"/>
        <v>0</v>
      </c>
      <c r="AJ216" s="200">
        <f>SUM(AK216:AQ216)</f>
        <v>0</v>
      </c>
      <c r="AK216" s="201">
        <f t="shared" ref="AK216:AS216" si="1083">countif($D216,"*"&amp;AK$2&amp;"*")</f>
        <v>0</v>
      </c>
      <c r="AL216" s="201">
        <f t="shared" si="1083"/>
        <v>0</v>
      </c>
      <c r="AM216" s="201">
        <f t="shared" si="1083"/>
        <v>0</v>
      </c>
      <c r="AN216" s="201">
        <f t="shared" si="1083"/>
        <v>0</v>
      </c>
      <c r="AO216" s="201">
        <f t="shared" si="1083"/>
        <v>0</v>
      </c>
      <c r="AP216" s="201">
        <f t="shared" si="1083"/>
        <v>0</v>
      </c>
      <c r="AQ216" s="201">
        <f t="shared" si="1083"/>
        <v>0</v>
      </c>
      <c r="AR216" s="201">
        <f t="shared" si="1083"/>
        <v>0</v>
      </c>
      <c r="AS216" s="200">
        <f t="shared" si="1083"/>
        <v>1</v>
      </c>
      <c r="AT216" s="205">
        <v>0.0</v>
      </c>
      <c r="AU216" s="200">
        <f t="shared" ref="AU216:AX216" si="1084">countif($D216,"*"&amp;AU$2&amp;"*")</f>
        <v>1</v>
      </c>
      <c r="AV216" s="200">
        <f t="shared" si="1084"/>
        <v>0</v>
      </c>
      <c r="AW216" s="200">
        <f t="shared" si="1084"/>
        <v>0</v>
      </c>
      <c r="AX216" s="200">
        <f t="shared" si="1084"/>
        <v>0</v>
      </c>
      <c r="AY216" s="202">
        <v>0.0</v>
      </c>
      <c r="AZ216" s="200"/>
      <c r="BA216" s="171" t="str">
        <f t="shared" si="18"/>
        <v/>
      </c>
      <c r="BB216" s="171" t="str">
        <f t="shared" si="19"/>
        <v/>
      </c>
      <c r="BC216" s="171" t="str">
        <f t="shared" si="20"/>
        <v/>
      </c>
      <c r="BD216" s="171" t="str">
        <f t="shared" si="21"/>
        <v>Institutional</v>
      </c>
      <c r="BE216" s="171" t="str">
        <f t="shared" si="22"/>
        <v/>
      </c>
      <c r="BF216" s="171" t="str">
        <f t="shared" si="23"/>
        <v>Institutional</v>
      </c>
    </row>
    <row r="217">
      <c r="A217" s="171">
        <f t="array" ref="A217">XLOOKUP(C217,ICSE!A:A,ICSE!C:C,,2,1)</f>
        <v>2021</v>
      </c>
      <c r="B217" s="171" t="s">
        <v>5675</v>
      </c>
      <c r="C217" s="160">
        <v>456.0</v>
      </c>
      <c r="D217" s="161" t="s">
        <v>1860</v>
      </c>
      <c r="E217" s="197" t="str">
        <f t="array" ref="E217">XLOOKUP(C217,ICSE!A:A,ICSE!Z:Z,,0,1)</f>
        <v>Publicly available (1)</v>
      </c>
      <c r="F217" s="198" t="s">
        <v>20</v>
      </c>
      <c r="G217" s="163" t="str">
        <f t="array" ref="G217">IF(B217="ICSE",IF(COUNTIFS(B:B,B217,C:C,C217)=XLOOKUP(C217,ICSE!A:A,ICSE!AA:AA,"ERROR",0,1),"OK","ERROR"),IF(B217="FSE",IF(COUNTIFS(B:B,B217,C:C,C217)=XLOOKUP(C217,FSE!A:A,FSE!AA:AA,"ERROR",0,1),"OK","ERROR")))</f>
        <v>OK</v>
      </c>
      <c r="H217" s="199">
        <f t="shared" ref="H217:O217" si="1085">countif($D217,"*"&amp;H$2&amp;"*")</f>
        <v>1</v>
      </c>
      <c r="I217" s="200">
        <f t="shared" si="1085"/>
        <v>0</v>
      </c>
      <c r="J217" s="200">
        <f t="shared" si="1085"/>
        <v>0</v>
      </c>
      <c r="K217" s="200">
        <f t="shared" si="1085"/>
        <v>0</v>
      </c>
      <c r="L217" s="200">
        <f t="shared" si="1085"/>
        <v>0</v>
      </c>
      <c r="M217" s="200">
        <f t="shared" si="1085"/>
        <v>0</v>
      </c>
      <c r="N217" s="200">
        <f t="shared" si="1085"/>
        <v>0</v>
      </c>
      <c r="O217" s="200">
        <f t="shared" si="1085"/>
        <v>0</v>
      </c>
      <c r="P217" s="200">
        <f t="shared" si="9"/>
        <v>0</v>
      </c>
      <c r="Q217" s="200">
        <f t="shared" ref="Q217:AC217" si="1086">countif($D217,"*"&amp;Q$2&amp;"*")</f>
        <v>0</v>
      </c>
      <c r="R217" s="200">
        <f t="shared" si="1086"/>
        <v>0</v>
      </c>
      <c r="S217" s="200">
        <f t="shared" si="1086"/>
        <v>0</v>
      </c>
      <c r="T217" s="200">
        <f t="shared" si="1086"/>
        <v>0</v>
      </c>
      <c r="U217" s="200">
        <f t="shared" si="1086"/>
        <v>0</v>
      </c>
      <c r="V217" s="200">
        <f t="shared" si="1086"/>
        <v>0</v>
      </c>
      <c r="W217" s="200">
        <f t="shared" si="1086"/>
        <v>0</v>
      </c>
      <c r="X217" s="200">
        <f t="shared" si="1086"/>
        <v>0</v>
      </c>
      <c r="Y217" s="200">
        <f t="shared" si="1086"/>
        <v>0</v>
      </c>
      <c r="Z217" s="200">
        <f t="shared" si="1086"/>
        <v>0</v>
      </c>
      <c r="AA217" s="200">
        <f t="shared" si="1086"/>
        <v>0</v>
      </c>
      <c r="AB217" s="200">
        <f t="shared" si="1086"/>
        <v>0</v>
      </c>
      <c r="AC217" s="200">
        <f t="shared" si="1086"/>
        <v>0</v>
      </c>
      <c r="AD217" s="200">
        <f t="shared" si="11"/>
        <v>0</v>
      </c>
      <c r="AE217" s="200">
        <f t="shared" ref="AE217:AG217" si="1087">countif($D217,"*"&amp;AE$2&amp;"*")</f>
        <v>0</v>
      </c>
      <c r="AF217" s="200">
        <f t="shared" si="1087"/>
        <v>0</v>
      </c>
      <c r="AG217" s="200">
        <f t="shared" si="1087"/>
        <v>0</v>
      </c>
      <c r="AH217" s="171">
        <f t="shared" si="13"/>
        <v>0</v>
      </c>
      <c r="AI217" s="200">
        <f t="shared" si="14"/>
        <v>1</v>
      </c>
      <c r="AJ217" s="200">
        <f t="shared" ref="AJ217:AJ222" si="1093">SUM(AK217:AR217)</f>
        <v>0</v>
      </c>
      <c r="AK217" s="201">
        <f t="shared" ref="AK217:AS217" si="1088">countif($D217,"*"&amp;AK$2&amp;"*")</f>
        <v>0</v>
      </c>
      <c r="AL217" s="201">
        <f t="shared" si="1088"/>
        <v>0</v>
      </c>
      <c r="AM217" s="201">
        <f t="shared" si="1088"/>
        <v>0</v>
      </c>
      <c r="AN217" s="201">
        <f t="shared" si="1088"/>
        <v>0</v>
      </c>
      <c r="AO217" s="201">
        <f t="shared" si="1088"/>
        <v>0</v>
      </c>
      <c r="AP217" s="201">
        <f t="shared" si="1088"/>
        <v>0</v>
      </c>
      <c r="AQ217" s="201">
        <f t="shared" si="1088"/>
        <v>0</v>
      </c>
      <c r="AR217" s="200">
        <f t="shared" si="1088"/>
        <v>0</v>
      </c>
      <c r="AS217" s="200">
        <f t="shared" si="1088"/>
        <v>0</v>
      </c>
      <c r="AT217" s="173">
        <v>0.0</v>
      </c>
      <c r="AU217" s="200">
        <f t="shared" ref="AU217:AX217" si="1089">countif($D217,"*"&amp;AU$2&amp;"*")</f>
        <v>0</v>
      </c>
      <c r="AV217" s="200">
        <f t="shared" si="1089"/>
        <v>0</v>
      </c>
      <c r="AW217" s="200">
        <f t="shared" si="1089"/>
        <v>0</v>
      </c>
      <c r="AX217" s="200">
        <f t="shared" si="1089"/>
        <v>1</v>
      </c>
      <c r="AY217" s="202">
        <v>0.0</v>
      </c>
      <c r="AZ217" s="200"/>
      <c r="BA217" s="171" t="str">
        <f t="shared" si="18"/>
        <v>Archival</v>
      </c>
      <c r="BB217" s="171" t="str">
        <f t="shared" si="19"/>
        <v/>
      </c>
      <c r="BC217" s="171" t="str">
        <f t="shared" si="20"/>
        <v/>
      </c>
      <c r="BD217" s="171" t="str">
        <f t="shared" si="21"/>
        <v/>
      </c>
      <c r="BE217" s="171" t="str">
        <f t="shared" si="22"/>
        <v/>
      </c>
      <c r="BF217" s="171" t="str">
        <f t="shared" si="23"/>
        <v>Archival</v>
      </c>
    </row>
    <row r="218">
      <c r="A218" s="171">
        <f t="array" ref="A218">XLOOKUP(C218,ICSE!A:A,ICSE!C:C,,2,1)</f>
        <v>2021</v>
      </c>
      <c r="B218" s="171" t="s">
        <v>5675</v>
      </c>
      <c r="C218" s="160">
        <v>457.0</v>
      </c>
      <c r="D218" s="161" t="s">
        <v>1864</v>
      </c>
      <c r="E218" s="197" t="str">
        <f t="array" ref="E218">XLOOKUP(C218,ICSE!A:A,ICSE!Z:Z,,0,1)</f>
        <v>Publicly available (1)</v>
      </c>
      <c r="F218" s="198" t="s">
        <v>20</v>
      </c>
      <c r="G218" s="163" t="str">
        <f t="array" ref="G218">IF(B218="ICSE",IF(COUNTIFS(B:B,B218,C:C,C218)=XLOOKUP(C218,ICSE!A:A,ICSE!AA:AA,"ERROR",0,1),"OK","ERROR"),IF(B218="FSE",IF(COUNTIFS(B:B,B218,C:C,C218)=XLOOKUP(C218,FSE!A:A,FSE!AA:AA,"ERROR",0,1),"OK","ERROR")))</f>
        <v>OK</v>
      </c>
      <c r="H218" s="199">
        <f t="shared" ref="H218:O218" si="1090">countif($D218,"*"&amp;H$2&amp;"*")</f>
        <v>0</v>
      </c>
      <c r="I218" s="200">
        <f t="shared" si="1090"/>
        <v>0</v>
      </c>
      <c r="J218" s="200">
        <f t="shared" si="1090"/>
        <v>0</v>
      </c>
      <c r="K218" s="200">
        <f t="shared" si="1090"/>
        <v>0</v>
      </c>
      <c r="L218" s="200">
        <f t="shared" si="1090"/>
        <v>0</v>
      </c>
      <c r="M218" s="200">
        <f t="shared" si="1090"/>
        <v>0</v>
      </c>
      <c r="N218" s="200">
        <f t="shared" si="1090"/>
        <v>0</v>
      </c>
      <c r="O218" s="200">
        <f t="shared" si="1090"/>
        <v>0</v>
      </c>
      <c r="P218" s="200">
        <f t="shared" si="9"/>
        <v>1</v>
      </c>
      <c r="Q218" s="200">
        <f t="shared" ref="Q218:AC218" si="1091">countif($D218,"*"&amp;Q$2&amp;"*")</f>
        <v>0</v>
      </c>
      <c r="R218" s="200">
        <f t="shared" si="1091"/>
        <v>0</v>
      </c>
      <c r="S218" s="200">
        <f t="shared" si="1091"/>
        <v>0</v>
      </c>
      <c r="T218" s="200">
        <f t="shared" si="1091"/>
        <v>0</v>
      </c>
      <c r="U218" s="200">
        <f t="shared" si="1091"/>
        <v>0</v>
      </c>
      <c r="V218" s="200">
        <f t="shared" si="1091"/>
        <v>0</v>
      </c>
      <c r="W218" s="200">
        <f t="shared" si="1091"/>
        <v>0</v>
      </c>
      <c r="X218" s="200">
        <f t="shared" si="1091"/>
        <v>0</v>
      </c>
      <c r="Y218" s="200">
        <f t="shared" si="1091"/>
        <v>0</v>
      </c>
      <c r="Z218" s="200">
        <f t="shared" si="1091"/>
        <v>0</v>
      </c>
      <c r="AA218" s="200">
        <f t="shared" si="1091"/>
        <v>0</v>
      </c>
      <c r="AB218" s="200">
        <f t="shared" si="1091"/>
        <v>0</v>
      </c>
      <c r="AC218" s="200">
        <f t="shared" si="1091"/>
        <v>0</v>
      </c>
      <c r="AD218" s="200">
        <f t="shared" si="11"/>
        <v>0</v>
      </c>
      <c r="AE218" s="200">
        <f t="shared" ref="AE218:AG218" si="1092">countif($D218,"*"&amp;AE$2&amp;"*")</f>
        <v>0</v>
      </c>
      <c r="AF218" s="200">
        <f t="shared" si="1092"/>
        <v>0</v>
      </c>
      <c r="AG218" s="200">
        <f t="shared" si="1092"/>
        <v>0</v>
      </c>
      <c r="AH218" s="171">
        <f t="shared" si="13"/>
        <v>0</v>
      </c>
      <c r="AI218" s="200">
        <f t="shared" si="14"/>
        <v>0</v>
      </c>
      <c r="AJ218" s="200">
        <f t="shared" si="1093"/>
        <v>0</v>
      </c>
      <c r="AK218" s="201">
        <f t="shared" ref="AK218:AS218" si="1094">countif($D218,"*"&amp;AK$2&amp;"*")</f>
        <v>0</v>
      </c>
      <c r="AL218" s="201">
        <f t="shared" si="1094"/>
        <v>0</v>
      </c>
      <c r="AM218" s="201">
        <f t="shared" si="1094"/>
        <v>0</v>
      </c>
      <c r="AN218" s="201">
        <f t="shared" si="1094"/>
        <v>0</v>
      </c>
      <c r="AO218" s="201">
        <f t="shared" si="1094"/>
        <v>0</v>
      </c>
      <c r="AP218" s="201">
        <f t="shared" si="1094"/>
        <v>0</v>
      </c>
      <c r="AQ218" s="201">
        <f t="shared" si="1094"/>
        <v>0</v>
      </c>
      <c r="AR218" s="200">
        <f t="shared" si="1094"/>
        <v>0</v>
      </c>
      <c r="AS218" s="200">
        <f t="shared" si="1094"/>
        <v>0</v>
      </c>
      <c r="AT218" s="173">
        <v>0.0</v>
      </c>
      <c r="AU218" s="200">
        <f t="shared" ref="AU218:AX218" si="1095">countif($D218,"*"&amp;AU$2&amp;"*")</f>
        <v>0</v>
      </c>
      <c r="AV218" s="200">
        <f t="shared" si="1095"/>
        <v>1</v>
      </c>
      <c r="AW218" s="200">
        <f t="shared" si="1095"/>
        <v>0</v>
      </c>
      <c r="AX218" s="200">
        <f t="shared" si="1095"/>
        <v>0</v>
      </c>
      <c r="AY218" s="202">
        <v>0.0</v>
      </c>
      <c r="AZ218" s="200"/>
      <c r="BA218" s="171" t="str">
        <f t="shared" si="18"/>
        <v/>
      </c>
      <c r="BB218" s="171" t="str">
        <f t="shared" si="19"/>
        <v>Code</v>
      </c>
      <c r="BC218" s="171" t="str">
        <f t="shared" si="20"/>
        <v/>
      </c>
      <c r="BD218" s="171" t="str">
        <f t="shared" si="21"/>
        <v/>
      </c>
      <c r="BE218" s="171" t="str">
        <f t="shared" si="22"/>
        <v/>
      </c>
      <c r="BF218" s="171" t="str">
        <f t="shared" si="23"/>
        <v>Code</v>
      </c>
    </row>
    <row r="219">
      <c r="A219" s="171">
        <f t="array" ref="A219">XLOOKUP(C219,ICSE!A:A,ICSE!C:C,,2,1)</f>
        <v>2021</v>
      </c>
      <c r="B219" s="171" t="s">
        <v>5675</v>
      </c>
      <c r="C219" s="160">
        <v>458.0</v>
      </c>
      <c r="D219" s="161" t="s">
        <v>1867</v>
      </c>
      <c r="E219" s="197" t="str">
        <f t="array" ref="E219">XLOOKUP(C219,ICSE!A:A,ICSE!Z:Z,,0,1)</f>
        <v>Publicly available (1)</v>
      </c>
      <c r="F219" s="198" t="s">
        <v>20</v>
      </c>
      <c r="G219" s="163" t="str">
        <f t="array" ref="G219">IF(B219="ICSE",IF(COUNTIFS(B:B,B219,C:C,C219)=XLOOKUP(C219,ICSE!A:A,ICSE!AA:AA,"ERROR",0,1),"OK","ERROR"),IF(B219="FSE",IF(COUNTIFS(B:B,B219,C:C,C219)=XLOOKUP(C219,FSE!A:A,FSE!AA:AA,"ERROR",0,1),"OK","ERROR")))</f>
        <v>OK</v>
      </c>
      <c r="H219" s="199">
        <f t="shared" ref="H219:O219" si="1096">countif($D219,"*"&amp;H$2&amp;"*")</f>
        <v>0</v>
      </c>
      <c r="I219" s="200">
        <f t="shared" si="1096"/>
        <v>0</v>
      </c>
      <c r="J219" s="200">
        <f t="shared" si="1096"/>
        <v>0</v>
      </c>
      <c r="K219" s="200">
        <f t="shared" si="1096"/>
        <v>0</v>
      </c>
      <c r="L219" s="200">
        <f t="shared" si="1096"/>
        <v>0</v>
      </c>
      <c r="M219" s="200">
        <f t="shared" si="1096"/>
        <v>0</v>
      </c>
      <c r="N219" s="200">
        <f t="shared" si="1096"/>
        <v>0</v>
      </c>
      <c r="O219" s="200">
        <f t="shared" si="1096"/>
        <v>0</v>
      </c>
      <c r="P219" s="200">
        <f t="shared" si="9"/>
        <v>0</v>
      </c>
      <c r="Q219" s="200">
        <f t="shared" ref="Q219:AC219" si="1097">countif($D219,"*"&amp;Q$2&amp;"*")</f>
        <v>0</v>
      </c>
      <c r="R219" s="200">
        <f t="shared" si="1097"/>
        <v>0</v>
      </c>
      <c r="S219" s="200">
        <f t="shared" si="1097"/>
        <v>0</v>
      </c>
      <c r="T219" s="200">
        <f t="shared" si="1097"/>
        <v>0</v>
      </c>
      <c r="U219" s="200">
        <f t="shared" si="1097"/>
        <v>0</v>
      </c>
      <c r="V219" s="200">
        <f t="shared" si="1097"/>
        <v>0</v>
      </c>
      <c r="W219" s="200">
        <f t="shared" si="1097"/>
        <v>0</v>
      </c>
      <c r="X219" s="200">
        <f t="shared" si="1097"/>
        <v>0</v>
      </c>
      <c r="Y219" s="200">
        <f t="shared" si="1097"/>
        <v>0</v>
      </c>
      <c r="Z219" s="200">
        <f t="shared" si="1097"/>
        <v>0</v>
      </c>
      <c r="AA219" s="200">
        <f t="shared" si="1097"/>
        <v>0</v>
      </c>
      <c r="AB219" s="200">
        <f t="shared" si="1097"/>
        <v>0</v>
      </c>
      <c r="AC219" s="200">
        <f t="shared" si="1097"/>
        <v>0</v>
      </c>
      <c r="AD219" s="200">
        <f t="shared" si="11"/>
        <v>0</v>
      </c>
      <c r="AE219" s="200">
        <f t="shared" ref="AE219:AG219" si="1098">countif($D219,"*"&amp;AE$2&amp;"*")</f>
        <v>0</v>
      </c>
      <c r="AF219" s="200">
        <f t="shared" si="1098"/>
        <v>0</v>
      </c>
      <c r="AG219" s="200">
        <f t="shared" si="1098"/>
        <v>0</v>
      </c>
      <c r="AH219" s="171">
        <f t="shared" si="13"/>
        <v>1</v>
      </c>
      <c r="AI219" s="200">
        <f t="shared" si="14"/>
        <v>0</v>
      </c>
      <c r="AJ219" s="200">
        <f t="shared" si="1093"/>
        <v>0</v>
      </c>
      <c r="AK219" s="201">
        <f t="shared" ref="AK219:AS219" si="1099">countif($D219,"*"&amp;AK$2&amp;"*")</f>
        <v>0</v>
      </c>
      <c r="AL219" s="201">
        <f t="shared" si="1099"/>
        <v>0</v>
      </c>
      <c r="AM219" s="201">
        <f t="shared" si="1099"/>
        <v>0</v>
      </c>
      <c r="AN219" s="201">
        <f t="shared" si="1099"/>
        <v>0</v>
      </c>
      <c r="AO219" s="201">
        <f t="shared" si="1099"/>
        <v>0</v>
      </c>
      <c r="AP219" s="201">
        <f t="shared" si="1099"/>
        <v>0</v>
      </c>
      <c r="AQ219" s="201">
        <f t="shared" si="1099"/>
        <v>0</v>
      </c>
      <c r="AR219" s="200">
        <f t="shared" si="1099"/>
        <v>0</v>
      </c>
      <c r="AS219" s="200">
        <f t="shared" si="1099"/>
        <v>0</v>
      </c>
      <c r="AT219" s="173">
        <v>0.0</v>
      </c>
      <c r="AU219" s="200">
        <f t="shared" ref="AU219:AX219" si="1100">countif($D219,"*"&amp;AU$2&amp;"*")</f>
        <v>0</v>
      </c>
      <c r="AV219" s="200">
        <f t="shared" si="1100"/>
        <v>0</v>
      </c>
      <c r="AW219" s="200">
        <f t="shared" si="1100"/>
        <v>0</v>
      </c>
      <c r="AX219" s="200">
        <f t="shared" si="1100"/>
        <v>0</v>
      </c>
      <c r="AY219" s="202">
        <v>0.0</v>
      </c>
      <c r="AZ219" s="200"/>
      <c r="BA219" s="171" t="str">
        <f t="shared" si="18"/>
        <v/>
      </c>
      <c r="BB219" s="171" t="str">
        <f t="shared" si="19"/>
        <v/>
      </c>
      <c r="BC219" s="171" t="str">
        <f t="shared" si="20"/>
        <v/>
      </c>
      <c r="BD219" s="171" t="str">
        <f t="shared" si="21"/>
        <v/>
      </c>
      <c r="BE219" s="171" t="str">
        <f t="shared" si="22"/>
        <v>Others</v>
      </c>
      <c r="BF219" s="171" t="str">
        <f t="shared" si="23"/>
        <v>Others</v>
      </c>
    </row>
    <row r="220">
      <c r="A220" s="171">
        <f t="array" ref="A220">XLOOKUP(C220,ICSE!A:A,ICSE!C:C,,2,1)</f>
        <v>2021</v>
      </c>
      <c r="B220" s="171" t="s">
        <v>5675</v>
      </c>
      <c r="C220" s="160">
        <v>459.0</v>
      </c>
      <c r="D220" s="161" t="s">
        <v>1870</v>
      </c>
      <c r="E220" s="197" t="str">
        <f t="array" ref="E220">XLOOKUP(C220,ICSE!A:A,ICSE!Z:Z,,0,1)</f>
        <v>Publicly available (1)</v>
      </c>
      <c r="F220" s="198" t="s">
        <v>20</v>
      </c>
      <c r="G220" s="163" t="str">
        <f t="array" ref="G220">IF(B220="ICSE",IF(COUNTIFS(B:B,B220,C:C,C220)=XLOOKUP(C220,ICSE!A:A,ICSE!AA:AA,"ERROR",0,1),"OK","ERROR"),IF(B220="FSE",IF(COUNTIFS(B:B,B220,C:C,C220)=XLOOKUP(C220,FSE!A:A,FSE!AA:AA,"ERROR",0,1),"OK","ERROR")))</f>
        <v>OK</v>
      </c>
      <c r="H220" s="199">
        <f t="shared" ref="H220:O220" si="1101">countif($D220,"*"&amp;H$2&amp;"*")</f>
        <v>0</v>
      </c>
      <c r="I220" s="200">
        <f t="shared" si="1101"/>
        <v>0</v>
      </c>
      <c r="J220" s="200">
        <f t="shared" si="1101"/>
        <v>0</v>
      </c>
      <c r="K220" s="200">
        <f t="shared" si="1101"/>
        <v>0</v>
      </c>
      <c r="L220" s="200">
        <f t="shared" si="1101"/>
        <v>0</v>
      </c>
      <c r="M220" s="200">
        <f t="shared" si="1101"/>
        <v>0</v>
      </c>
      <c r="N220" s="200">
        <f t="shared" si="1101"/>
        <v>0</v>
      </c>
      <c r="O220" s="200">
        <f t="shared" si="1101"/>
        <v>0</v>
      </c>
      <c r="P220" s="200">
        <f t="shared" si="9"/>
        <v>1</v>
      </c>
      <c r="Q220" s="200">
        <f t="shared" ref="Q220:AC220" si="1102">countif($D220,"*"&amp;Q$2&amp;"*")</f>
        <v>0</v>
      </c>
      <c r="R220" s="200">
        <f t="shared" si="1102"/>
        <v>0</v>
      </c>
      <c r="S220" s="200">
        <f t="shared" si="1102"/>
        <v>0</v>
      </c>
      <c r="T220" s="200">
        <f t="shared" si="1102"/>
        <v>0</v>
      </c>
      <c r="U220" s="200">
        <f t="shared" si="1102"/>
        <v>0</v>
      </c>
      <c r="V220" s="200">
        <f t="shared" si="1102"/>
        <v>0</v>
      </c>
      <c r="W220" s="200">
        <f t="shared" si="1102"/>
        <v>0</v>
      </c>
      <c r="X220" s="200">
        <f t="shared" si="1102"/>
        <v>0</v>
      </c>
      <c r="Y220" s="200">
        <f t="shared" si="1102"/>
        <v>0</v>
      </c>
      <c r="Z220" s="200">
        <f t="shared" si="1102"/>
        <v>0</v>
      </c>
      <c r="AA220" s="200">
        <f t="shared" si="1102"/>
        <v>0</v>
      </c>
      <c r="AB220" s="200">
        <f t="shared" si="1102"/>
        <v>0</v>
      </c>
      <c r="AC220" s="200">
        <f t="shared" si="1102"/>
        <v>0</v>
      </c>
      <c r="AD220" s="200">
        <f t="shared" si="11"/>
        <v>0</v>
      </c>
      <c r="AE220" s="200">
        <f t="shared" ref="AE220:AG220" si="1103">countif($D220,"*"&amp;AE$2&amp;"*")</f>
        <v>0</v>
      </c>
      <c r="AF220" s="200">
        <f t="shared" si="1103"/>
        <v>0</v>
      </c>
      <c r="AG220" s="200">
        <f t="shared" si="1103"/>
        <v>0</v>
      </c>
      <c r="AH220" s="171">
        <f t="shared" si="13"/>
        <v>0</v>
      </c>
      <c r="AI220" s="200">
        <f t="shared" si="14"/>
        <v>0</v>
      </c>
      <c r="AJ220" s="200">
        <f t="shared" si="1093"/>
        <v>0</v>
      </c>
      <c r="AK220" s="201">
        <f t="shared" ref="AK220:AS220" si="1104">countif($D220,"*"&amp;AK$2&amp;"*")</f>
        <v>0</v>
      </c>
      <c r="AL220" s="201">
        <f t="shared" si="1104"/>
        <v>0</v>
      </c>
      <c r="AM220" s="201">
        <f t="shared" si="1104"/>
        <v>0</v>
      </c>
      <c r="AN220" s="201">
        <f t="shared" si="1104"/>
        <v>0</v>
      </c>
      <c r="AO220" s="201">
        <f t="shared" si="1104"/>
        <v>0</v>
      </c>
      <c r="AP220" s="201">
        <f t="shared" si="1104"/>
        <v>0</v>
      </c>
      <c r="AQ220" s="201">
        <f t="shared" si="1104"/>
        <v>0</v>
      </c>
      <c r="AR220" s="200">
        <f t="shared" si="1104"/>
        <v>0</v>
      </c>
      <c r="AS220" s="200">
        <f t="shared" si="1104"/>
        <v>0</v>
      </c>
      <c r="AT220" s="173">
        <v>0.0</v>
      </c>
      <c r="AU220" s="200">
        <f t="shared" ref="AU220:AX220" si="1105">countif($D220,"*"&amp;AU$2&amp;"*")</f>
        <v>0</v>
      </c>
      <c r="AV220" s="200">
        <f t="shared" si="1105"/>
        <v>1</v>
      </c>
      <c r="AW220" s="200">
        <f t="shared" si="1105"/>
        <v>0</v>
      </c>
      <c r="AX220" s="200">
        <f t="shared" si="1105"/>
        <v>0</v>
      </c>
      <c r="AY220" s="202">
        <v>0.0</v>
      </c>
      <c r="AZ220" s="200"/>
      <c r="BA220" s="171" t="str">
        <f t="shared" si="18"/>
        <v/>
      </c>
      <c r="BB220" s="171" t="str">
        <f t="shared" si="19"/>
        <v>Code</v>
      </c>
      <c r="BC220" s="171" t="str">
        <f t="shared" si="20"/>
        <v/>
      </c>
      <c r="BD220" s="171" t="str">
        <f t="shared" si="21"/>
        <v/>
      </c>
      <c r="BE220" s="171" t="str">
        <f t="shared" si="22"/>
        <v/>
      </c>
      <c r="BF220" s="171" t="str">
        <f t="shared" si="23"/>
        <v>Code</v>
      </c>
    </row>
    <row r="221">
      <c r="A221" s="171">
        <f t="array" ref="A221">XLOOKUP(C221,ICSE!A:A,ICSE!C:C,,2,1)</f>
        <v>2021</v>
      </c>
      <c r="B221" s="171" t="s">
        <v>5675</v>
      </c>
      <c r="C221" s="160">
        <v>460.0</v>
      </c>
      <c r="D221" s="161" t="s">
        <v>1873</v>
      </c>
      <c r="E221" s="197" t="str">
        <f t="array" ref="E221">XLOOKUP(C221,ICSE!A:A,ICSE!Z:Z,,0,1)</f>
        <v>Publicly available (1)</v>
      </c>
      <c r="F221" s="198" t="s">
        <v>20</v>
      </c>
      <c r="G221" s="163" t="str">
        <f t="array" ref="G221">IF(B221="ICSE",IF(COUNTIFS(B:B,B221,C:C,C221)=XLOOKUP(C221,ICSE!A:A,ICSE!AA:AA,"ERROR",0,1),"OK","ERROR"),IF(B221="FSE",IF(COUNTIFS(B:B,B221,C:C,C221)=XLOOKUP(C221,FSE!A:A,FSE!AA:AA,"ERROR",0,1),"OK","ERROR")))</f>
        <v>OK</v>
      </c>
      <c r="H221" s="199">
        <f t="shared" ref="H221:O221" si="1106">countif($D221,"*"&amp;H$2&amp;"*")</f>
        <v>0</v>
      </c>
      <c r="I221" s="200">
        <f t="shared" si="1106"/>
        <v>0</v>
      </c>
      <c r="J221" s="200">
        <f t="shared" si="1106"/>
        <v>0</v>
      </c>
      <c r="K221" s="200">
        <f t="shared" si="1106"/>
        <v>0</v>
      </c>
      <c r="L221" s="200">
        <f t="shared" si="1106"/>
        <v>0</v>
      </c>
      <c r="M221" s="200">
        <f t="shared" si="1106"/>
        <v>0</v>
      </c>
      <c r="N221" s="200">
        <f t="shared" si="1106"/>
        <v>0</v>
      </c>
      <c r="O221" s="200">
        <f t="shared" si="1106"/>
        <v>0</v>
      </c>
      <c r="P221" s="200">
        <f t="shared" si="9"/>
        <v>0</v>
      </c>
      <c r="Q221" s="200">
        <f t="shared" ref="Q221:AC221" si="1107">countif($D221,"*"&amp;Q$2&amp;"*")</f>
        <v>0</v>
      </c>
      <c r="R221" s="200">
        <f t="shared" si="1107"/>
        <v>0</v>
      </c>
      <c r="S221" s="200">
        <f t="shared" si="1107"/>
        <v>0</v>
      </c>
      <c r="T221" s="200">
        <f t="shared" si="1107"/>
        <v>0</v>
      </c>
      <c r="U221" s="200">
        <f t="shared" si="1107"/>
        <v>0</v>
      </c>
      <c r="V221" s="200">
        <f t="shared" si="1107"/>
        <v>0</v>
      </c>
      <c r="W221" s="200">
        <f t="shared" si="1107"/>
        <v>0</v>
      </c>
      <c r="X221" s="200">
        <f t="shared" si="1107"/>
        <v>0</v>
      </c>
      <c r="Y221" s="200">
        <f t="shared" si="1107"/>
        <v>0</v>
      </c>
      <c r="Z221" s="200">
        <f t="shared" si="1107"/>
        <v>0</v>
      </c>
      <c r="AA221" s="200">
        <f t="shared" si="1107"/>
        <v>0</v>
      </c>
      <c r="AB221" s="200">
        <f t="shared" si="1107"/>
        <v>0</v>
      </c>
      <c r="AC221" s="200">
        <f t="shared" si="1107"/>
        <v>0</v>
      </c>
      <c r="AD221" s="200">
        <f t="shared" si="11"/>
        <v>0</v>
      </c>
      <c r="AE221" s="200">
        <f t="shared" ref="AE221:AG221" si="1108">countif($D221,"*"&amp;AE$2&amp;"*")</f>
        <v>0</v>
      </c>
      <c r="AF221" s="200">
        <f t="shared" si="1108"/>
        <v>0</v>
      </c>
      <c r="AG221" s="200">
        <f t="shared" si="1108"/>
        <v>0</v>
      </c>
      <c r="AH221" s="171">
        <f t="shared" si="13"/>
        <v>1</v>
      </c>
      <c r="AI221" s="200">
        <f t="shared" si="14"/>
        <v>0</v>
      </c>
      <c r="AJ221" s="200">
        <f t="shared" si="1093"/>
        <v>0</v>
      </c>
      <c r="AK221" s="201">
        <f t="shared" ref="AK221:AS221" si="1109">countif($D221,"*"&amp;AK$2&amp;"*")</f>
        <v>0</v>
      </c>
      <c r="AL221" s="201">
        <f t="shared" si="1109"/>
        <v>0</v>
      </c>
      <c r="AM221" s="201">
        <f t="shared" si="1109"/>
        <v>0</v>
      </c>
      <c r="AN221" s="201">
        <f t="shared" si="1109"/>
        <v>0</v>
      </c>
      <c r="AO221" s="201">
        <f t="shared" si="1109"/>
        <v>0</v>
      </c>
      <c r="AP221" s="201">
        <f t="shared" si="1109"/>
        <v>0</v>
      </c>
      <c r="AQ221" s="201">
        <f t="shared" si="1109"/>
        <v>0</v>
      </c>
      <c r="AR221" s="200">
        <f t="shared" si="1109"/>
        <v>0</v>
      </c>
      <c r="AS221" s="200">
        <f t="shared" si="1109"/>
        <v>0</v>
      </c>
      <c r="AT221" s="173">
        <v>0.0</v>
      </c>
      <c r="AU221" s="200">
        <f t="shared" ref="AU221:AX221" si="1110">countif($D221,"*"&amp;AU$2&amp;"*")</f>
        <v>0</v>
      </c>
      <c r="AV221" s="200">
        <f t="shared" si="1110"/>
        <v>0</v>
      </c>
      <c r="AW221" s="200">
        <f t="shared" si="1110"/>
        <v>0</v>
      </c>
      <c r="AX221" s="200">
        <f t="shared" si="1110"/>
        <v>0</v>
      </c>
      <c r="AY221" s="202">
        <v>0.0</v>
      </c>
      <c r="AZ221" s="200"/>
      <c r="BA221" s="171" t="str">
        <f t="shared" si="18"/>
        <v/>
      </c>
      <c r="BB221" s="171" t="str">
        <f t="shared" si="19"/>
        <v/>
      </c>
      <c r="BC221" s="171" t="str">
        <f t="shared" si="20"/>
        <v/>
      </c>
      <c r="BD221" s="171" t="str">
        <f t="shared" si="21"/>
        <v/>
      </c>
      <c r="BE221" s="171" t="str">
        <f t="shared" si="22"/>
        <v>Others</v>
      </c>
      <c r="BF221" s="171" t="str">
        <f t="shared" si="23"/>
        <v>Others</v>
      </c>
    </row>
    <row r="222">
      <c r="A222" s="171">
        <f t="array" ref="A222">XLOOKUP(C222,ICSE!A:A,ICSE!C:C,,2,1)</f>
        <v>2021</v>
      </c>
      <c r="B222" s="171" t="s">
        <v>5675</v>
      </c>
      <c r="C222" s="160">
        <v>461.0</v>
      </c>
      <c r="D222" s="161" t="s">
        <v>1877</v>
      </c>
      <c r="E222" s="197" t="str">
        <f t="array" ref="E222">XLOOKUP(C222,ICSE!A:A,ICSE!Z:Z,,0,1)</f>
        <v>Publicly available (1)</v>
      </c>
      <c r="F222" s="198" t="s">
        <v>20</v>
      </c>
      <c r="G222" s="163" t="str">
        <f t="array" ref="G222">IF(B222="ICSE",IF(COUNTIFS(B:B,B222,C:C,C222)=XLOOKUP(C222,ICSE!A:A,ICSE!AA:AA,"ERROR",0,1),"OK","ERROR"),IF(B222="FSE",IF(COUNTIFS(B:B,B222,C:C,C222)=XLOOKUP(C222,FSE!A:A,FSE!AA:AA,"ERROR",0,1),"OK","ERROR")))</f>
        <v>OK</v>
      </c>
      <c r="H222" s="199">
        <f t="shared" ref="H222:O222" si="1111">countif($D222,"*"&amp;H$2&amp;"*")</f>
        <v>1</v>
      </c>
      <c r="I222" s="200">
        <f t="shared" si="1111"/>
        <v>0</v>
      </c>
      <c r="J222" s="200">
        <f t="shared" si="1111"/>
        <v>0</v>
      </c>
      <c r="K222" s="200">
        <f t="shared" si="1111"/>
        <v>0</v>
      </c>
      <c r="L222" s="200">
        <f t="shared" si="1111"/>
        <v>0</v>
      </c>
      <c r="M222" s="200">
        <f t="shared" si="1111"/>
        <v>0</v>
      </c>
      <c r="N222" s="200">
        <f t="shared" si="1111"/>
        <v>0</v>
      </c>
      <c r="O222" s="200">
        <f t="shared" si="1111"/>
        <v>0</v>
      </c>
      <c r="P222" s="200">
        <f t="shared" si="9"/>
        <v>0</v>
      </c>
      <c r="Q222" s="200">
        <f t="shared" ref="Q222:AC222" si="1112">countif($D222,"*"&amp;Q$2&amp;"*")</f>
        <v>0</v>
      </c>
      <c r="R222" s="200">
        <f t="shared" si="1112"/>
        <v>0</v>
      </c>
      <c r="S222" s="200">
        <f t="shared" si="1112"/>
        <v>0</v>
      </c>
      <c r="T222" s="200">
        <f t="shared" si="1112"/>
        <v>0</v>
      </c>
      <c r="U222" s="200">
        <f t="shared" si="1112"/>
        <v>0</v>
      </c>
      <c r="V222" s="200">
        <f t="shared" si="1112"/>
        <v>0</v>
      </c>
      <c r="W222" s="200">
        <f t="shared" si="1112"/>
        <v>0</v>
      </c>
      <c r="X222" s="200">
        <f t="shared" si="1112"/>
        <v>0</v>
      </c>
      <c r="Y222" s="200">
        <f t="shared" si="1112"/>
        <v>0</v>
      </c>
      <c r="Z222" s="200">
        <f t="shared" si="1112"/>
        <v>0</v>
      </c>
      <c r="AA222" s="200">
        <f t="shared" si="1112"/>
        <v>0</v>
      </c>
      <c r="AB222" s="200">
        <f t="shared" si="1112"/>
        <v>0</v>
      </c>
      <c r="AC222" s="200">
        <f t="shared" si="1112"/>
        <v>0</v>
      </c>
      <c r="AD222" s="200">
        <f t="shared" si="11"/>
        <v>0</v>
      </c>
      <c r="AE222" s="200">
        <f t="shared" ref="AE222:AG222" si="1113">countif($D222,"*"&amp;AE$2&amp;"*")</f>
        <v>0</v>
      </c>
      <c r="AF222" s="200">
        <f t="shared" si="1113"/>
        <v>0</v>
      </c>
      <c r="AG222" s="200">
        <f t="shared" si="1113"/>
        <v>0</v>
      </c>
      <c r="AH222" s="171">
        <f t="shared" si="13"/>
        <v>0</v>
      </c>
      <c r="AI222" s="200">
        <f t="shared" si="14"/>
        <v>1</v>
      </c>
      <c r="AJ222" s="200">
        <f t="shared" si="1093"/>
        <v>0</v>
      </c>
      <c r="AK222" s="201">
        <f t="shared" ref="AK222:AS222" si="1114">countif($D222,"*"&amp;AK$2&amp;"*")</f>
        <v>0</v>
      </c>
      <c r="AL222" s="201">
        <f t="shared" si="1114"/>
        <v>0</v>
      </c>
      <c r="AM222" s="201">
        <f t="shared" si="1114"/>
        <v>0</v>
      </c>
      <c r="AN222" s="201">
        <f t="shared" si="1114"/>
        <v>0</v>
      </c>
      <c r="AO222" s="201">
        <f t="shared" si="1114"/>
        <v>0</v>
      </c>
      <c r="AP222" s="201">
        <f t="shared" si="1114"/>
        <v>0</v>
      </c>
      <c r="AQ222" s="201">
        <f t="shared" si="1114"/>
        <v>0</v>
      </c>
      <c r="AR222" s="200">
        <f t="shared" si="1114"/>
        <v>0</v>
      </c>
      <c r="AS222" s="200">
        <f t="shared" si="1114"/>
        <v>0</v>
      </c>
      <c r="AT222" s="173">
        <v>0.0</v>
      </c>
      <c r="AU222" s="200">
        <f t="shared" ref="AU222:AX222" si="1115">countif($D222,"*"&amp;AU$2&amp;"*")</f>
        <v>0</v>
      </c>
      <c r="AV222" s="200">
        <f t="shared" si="1115"/>
        <v>0</v>
      </c>
      <c r="AW222" s="200">
        <f t="shared" si="1115"/>
        <v>0</v>
      </c>
      <c r="AX222" s="200">
        <f t="shared" si="1115"/>
        <v>0</v>
      </c>
      <c r="AY222" s="204">
        <v>1.0</v>
      </c>
      <c r="AZ222" s="200"/>
      <c r="BA222" s="171" t="str">
        <f t="shared" si="18"/>
        <v>Archival</v>
      </c>
      <c r="BB222" s="171" t="str">
        <f t="shared" si="19"/>
        <v/>
      </c>
      <c r="BC222" s="171" t="str">
        <f t="shared" si="20"/>
        <v/>
      </c>
      <c r="BD222" s="171" t="str">
        <f t="shared" si="21"/>
        <v/>
      </c>
      <c r="BE222" s="171" t="str">
        <f t="shared" si="22"/>
        <v/>
      </c>
      <c r="BF222" s="171" t="str">
        <f t="shared" si="23"/>
        <v>Archival</v>
      </c>
    </row>
    <row r="223">
      <c r="A223" s="171">
        <f t="array" ref="A223">XLOOKUP(C223,ICSE!A:A,ICSE!C:C,,2,1)</f>
        <v>2021</v>
      </c>
      <c r="B223" s="171" t="s">
        <v>5675</v>
      </c>
      <c r="C223" s="160">
        <v>462.0</v>
      </c>
      <c r="D223" s="161" t="s">
        <v>1880</v>
      </c>
      <c r="E223" s="197" t="str">
        <f t="array" ref="E223">XLOOKUP(C223,ICSE!A:A,ICSE!Z:Z,,0,1)</f>
        <v>Publicly available (1)</v>
      </c>
      <c r="F223" s="198" t="s">
        <v>20</v>
      </c>
      <c r="G223" s="163" t="str">
        <f t="array" ref="G223">IF(B223="ICSE",IF(COUNTIFS(B:B,B223,C:C,C223)=XLOOKUP(C223,ICSE!A:A,ICSE!AA:AA,"ERROR",0,1),"OK","ERROR"),IF(B223="FSE",IF(COUNTIFS(B:B,B223,C:C,C223)=XLOOKUP(C223,FSE!A:A,FSE!AA:AA,"ERROR",0,1),"OK","ERROR")))</f>
        <v>OK</v>
      </c>
      <c r="H223" s="199">
        <f t="shared" ref="H223:O223" si="1116">countif($D223,"*"&amp;H$2&amp;"*")</f>
        <v>0</v>
      </c>
      <c r="I223" s="200">
        <f t="shared" si="1116"/>
        <v>0</v>
      </c>
      <c r="J223" s="200">
        <f t="shared" si="1116"/>
        <v>0</v>
      </c>
      <c r="K223" s="200">
        <f t="shared" si="1116"/>
        <v>0</v>
      </c>
      <c r="L223" s="200">
        <f t="shared" si="1116"/>
        <v>0</v>
      </c>
      <c r="M223" s="200">
        <f t="shared" si="1116"/>
        <v>0</v>
      </c>
      <c r="N223" s="200">
        <f t="shared" si="1116"/>
        <v>0</v>
      </c>
      <c r="O223" s="200">
        <f t="shared" si="1116"/>
        <v>0</v>
      </c>
      <c r="P223" s="200">
        <f t="shared" si="9"/>
        <v>0</v>
      </c>
      <c r="Q223" s="200">
        <f t="shared" ref="Q223:AC223" si="1117">countif($D223,"*"&amp;Q$2&amp;"*")</f>
        <v>0</v>
      </c>
      <c r="R223" s="200">
        <f t="shared" si="1117"/>
        <v>0</v>
      </c>
      <c r="S223" s="200">
        <f t="shared" si="1117"/>
        <v>0</v>
      </c>
      <c r="T223" s="200">
        <f t="shared" si="1117"/>
        <v>0</v>
      </c>
      <c r="U223" s="200">
        <f t="shared" si="1117"/>
        <v>0</v>
      </c>
      <c r="V223" s="200">
        <f t="shared" si="1117"/>
        <v>0</v>
      </c>
      <c r="W223" s="200">
        <f t="shared" si="1117"/>
        <v>0</v>
      </c>
      <c r="X223" s="200">
        <f t="shared" si="1117"/>
        <v>0</v>
      </c>
      <c r="Y223" s="200">
        <f t="shared" si="1117"/>
        <v>0</v>
      </c>
      <c r="Z223" s="200">
        <f t="shared" si="1117"/>
        <v>0</v>
      </c>
      <c r="AA223" s="200">
        <f t="shared" si="1117"/>
        <v>0</v>
      </c>
      <c r="AB223" s="200">
        <f t="shared" si="1117"/>
        <v>0</v>
      </c>
      <c r="AC223" s="200">
        <f t="shared" si="1117"/>
        <v>0</v>
      </c>
      <c r="AD223" s="200">
        <f t="shared" si="11"/>
        <v>1</v>
      </c>
      <c r="AE223" s="200">
        <f t="shared" ref="AE223:AG223" si="1118">countif($D223,"*"&amp;AE$2&amp;"*")</f>
        <v>0</v>
      </c>
      <c r="AF223" s="200">
        <f t="shared" si="1118"/>
        <v>0</v>
      </c>
      <c r="AG223" s="200">
        <f t="shared" si="1118"/>
        <v>0</v>
      </c>
      <c r="AH223" s="171">
        <f t="shared" si="13"/>
        <v>0</v>
      </c>
      <c r="AI223" s="200">
        <f t="shared" si="14"/>
        <v>0</v>
      </c>
      <c r="AJ223" s="200">
        <f>SUM(AK223:AQ223)</f>
        <v>0</v>
      </c>
      <c r="AK223" s="201">
        <f t="shared" ref="AK223:AS223" si="1119">countif($D223,"*"&amp;AK$2&amp;"*")</f>
        <v>0</v>
      </c>
      <c r="AL223" s="201">
        <f t="shared" si="1119"/>
        <v>0</v>
      </c>
      <c r="AM223" s="201">
        <f t="shared" si="1119"/>
        <v>0</v>
      </c>
      <c r="AN223" s="201">
        <f t="shared" si="1119"/>
        <v>0</v>
      </c>
      <c r="AO223" s="201">
        <f t="shared" si="1119"/>
        <v>0</v>
      </c>
      <c r="AP223" s="201">
        <f t="shared" si="1119"/>
        <v>0</v>
      </c>
      <c r="AQ223" s="201">
        <f t="shared" si="1119"/>
        <v>0</v>
      </c>
      <c r="AR223" s="201">
        <f t="shared" si="1119"/>
        <v>0</v>
      </c>
      <c r="AS223" s="200">
        <f t="shared" si="1119"/>
        <v>0</v>
      </c>
      <c r="AT223" s="205">
        <v>0.0</v>
      </c>
      <c r="AU223" s="200">
        <f t="shared" ref="AU223:AX223" si="1120">countif($D223,"*"&amp;AU$2&amp;"*")</f>
        <v>1</v>
      </c>
      <c r="AV223" s="200">
        <f t="shared" si="1120"/>
        <v>0</v>
      </c>
      <c r="AW223" s="200">
        <f t="shared" si="1120"/>
        <v>0</v>
      </c>
      <c r="AX223" s="200">
        <f t="shared" si="1120"/>
        <v>0</v>
      </c>
      <c r="AY223" s="202">
        <v>0.0</v>
      </c>
      <c r="AZ223" s="200"/>
      <c r="BA223" s="171" t="str">
        <f t="shared" si="18"/>
        <v/>
      </c>
      <c r="BB223" s="171" t="str">
        <f t="shared" si="19"/>
        <v/>
      </c>
      <c r="BC223" s="171" t="str">
        <f t="shared" si="20"/>
        <v/>
      </c>
      <c r="BD223" s="171" t="str">
        <f t="shared" si="21"/>
        <v>Institutional</v>
      </c>
      <c r="BE223" s="171" t="str">
        <f t="shared" si="22"/>
        <v/>
      </c>
      <c r="BF223" s="171" t="str">
        <f t="shared" si="23"/>
        <v>Institutional</v>
      </c>
    </row>
    <row r="224">
      <c r="A224" s="171">
        <f t="array" ref="A224">XLOOKUP(C224,ICSE!A:A,ICSE!C:C,,2,1)</f>
        <v>2021</v>
      </c>
      <c r="B224" s="171" t="s">
        <v>5675</v>
      </c>
      <c r="C224" s="160">
        <v>463.0</v>
      </c>
      <c r="D224" s="161" t="s">
        <v>1883</v>
      </c>
      <c r="E224" s="197" t="str">
        <f t="array" ref="E224">XLOOKUP(C224,ICSE!A:A,ICSE!Z:Z,,0,1)</f>
        <v>Publicly available (1)</v>
      </c>
      <c r="F224" s="198" t="s">
        <v>20</v>
      </c>
      <c r="G224" s="163" t="str">
        <f t="array" ref="G224">IF(B224="ICSE",IF(COUNTIFS(B:B,B224,C:C,C224)=XLOOKUP(C224,ICSE!A:A,ICSE!AA:AA,"ERROR",0,1),"OK","ERROR"),IF(B224="FSE",IF(COUNTIFS(B:B,B224,C:C,C224)=XLOOKUP(C224,FSE!A:A,FSE!AA:AA,"ERROR",0,1),"OK","ERROR")))</f>
        <v>OK</v>
      </c>
      <c r="H224" s="199">
        <f t="shared" ref="H224:O224" si="1121">countif($D224,"*"&amp;H$2&amp;"*")</f>
        <v>0</v>
      </c>
      <c r="I224" s="200">
        <f t="shared" si="1121"/>
        <v>0</v>
      </c>
      <c r="J224" s="200">
        <f t="shared" si="1121"/>
        <v>0</v>
      </c>
      <c r="K224" s="200">
        <f t="shared" si="1121"/>
        <v>0</v>
      </c>
      <c r="L224" s="200">
        <f t="shared" si="1121"/>
        <v>0</v>
      </c>
      <c r="M224" s="200">
        <f t="shared" si="1121"/>
        <v>0</v>
      </c>
      <c r="N224" s="200">
        <f t="shared" si="1121"/>
        <v>0</v>
      </c>
      <c r="O224" s="200">
        <f t="shared" si="1121"/>
        <v>0</v>
      </c>
      <c r="P224" s="200">
        <f t="shared" si="9"/>
        <v>1</v>
      </c>
      <c r="Q224" s="200">
        <f t="shared" ref="Q224:AC224" si="1122">countif($D224,"*"&amp;Q$2&amp;"*")</f>
        <v>0</v>
      </c>
      <c r="R224" s="200">
        <f t="shared" si="1122"/>
        <v>0</v>
      </c>
      <c r="S224" s="200">
        <f t="shared" si="1122"/>
        <v>0</v>
      </c>
      <c r="T224" s="200">
        <f t="shared" si="1122"/>
        <v>0</v>
      </c>
      <c r="U224" s="200">
        <f t="shared" si="1122"/>
        <v>0</v>
      </c>
      <c r="V224" s="200">
        <f t="shared" si="1122"/>
        <v>0</v>
      </c>
      <c r="W224" s="200">
        <f t="shared" si="1122"/>
        <v>0</v>
      </c>
      <c r="X224" s="200">
        <f t="shared" si="1122"/>
        <v>0</v>
      </c>
      <c r="Y224" s="200">
        <f t="shared" si="1122"/>
        <v>0</v>
      </c>
      <c r="Z224" s="200">
        <f t="shared" si="1122"/>
        <v>0</v>
      </c>
      <c r="AA224" s="200">
        <f t="shared" si="1122"/>
        <v>0</v>
      </c>
      <c r="AB224" s="200">
        <f t="shared" si="1122"/>
        <v>0</v>
      </c>
      <c r="AC224" s="200">
        <f t="shared" si="1122"/>
        <v>0</v>
      </c>
      <c r="AD224" s="200">
        <f t="shared" si="11"/>
        <v>0</v>
      </c>
      <c r="AE224" s="200">
        <f t="shared" ref="AE224:AG224" si="1123">countif($D224,"*"&amp;AE$2&amp;"*")</f>
        <v>0</v>
      </c>
      <c r="AF224" s="200">
        <f t="shared" si="1123"/>
        <v>0</v>
      </c>
      <c r="AG224" s="200">
        <f t="shared" si="1123"/>
        <v>0</v>
      </c>
      <c r="AH224" s="171">
        <f t="shared" si="13"/>
        <v>0</v>
      </c>
      <c r="AI224" s="200">
        <f t="shared" si="14"/>
        <v>0</v>
      </c>
      <c r="AJ224" s="200">
        <f t="shared" ref="AJ224:AJ364" si="1129">SUM(AK224:AR224)</f>
        <v>0</v>
      </c>
      <c r="AK224" s="201">
        <f t="shared" ref="AK224:AS224" si="1124">countif($D224,"*"&amp;AK$2&amp;"*")</f>
        <v>0</v>
      </c>
      <c r="AL224" s="201">
        <f t="shared" si="1124"/>
        <v>0</v>
      </c>
      <c r="AM224" s="201">
        <f t="shared" si="1124"/>
        <v>0</v>
      </c>
      <c r="AN224" s="201">
        <f t="shared" si="1124"/>
        <v>0</v>
      </c>
      <c r="AO224" s="201">
        <f t="shared" si="1124"/>
        <v>0</v>
      </c>
      <c r="AP224" s="201">
        <f t="shared" si="1124"/>
        <v>0</v>
      </c>
      <c r="AQ224" s="201">
        <f t="shared" si="1124"/>
        <v>0</v>
      </c>
      <c r="AR224" s="200">
        <f t="shared" si="1124"/>
        <v>0</v>
      </c>
      <c r="AS224" s="200">
        <f t="shared" si="1124"/>
        <v>0</v>
      </c>
      <c r="AT224" s="173">
        <v>0.0</v>
      </c>
      <c r="AU224" s="200">
        <f t="shared" ref="AU224:AX224" si="1125">countif($D224,"*"&amp;AU$2&amp;"*")</f>
        <v>0</v>
      </c>
      <c r="AV224" s="200">
        <f t="shared" si="1125"/>
        <v>1</v>
      </c>
      <c r="AW224" s="200">
        <f t="shared" si="1125"/>
        <v>0</v>
      </c>
      <c r="AX224" s="200">
        <f t="shared" si="1125"/>
        <v>0</v>
      </c>
      <c r="AY224" s="202">
        <v>0.0</v>
      </c>
      <c r="AZ224" s="200"/>
      <c r="BA224" s="171" t="str">
        <f t="shared" si="18"/>
        <v/>
      </c>
      <c r="BB224" s="171" t="str">
        <f t="shared" si="19"/>
        <v>Code</v>
      </c>
      <c r="BC224" s="171" t="str">
        <f t="shared" si="20"/>
        <v/>
      </c>
      <c r="BD224" s="171" t="str">
        <f t="shared" si="21"/>
        <v/>
      </c>
      <c r="BE224" s="171" t="str">
        <f t="shared" si="22"/>
        <v/>
      </c>
      <c r="BF224" s="171" t="str">
        <f t="shared" si="23"/>
        <v>Code</v>
      </c>
    </row>
    <row r="225">
      <c r="A225" s="171">
        <f t="array" ref="A225">XLOOKUP(C225,ICSE!A:A,ICSE!C:C,,2,1)</f>
        <v>2021</v>
      </c>
      <c r="B225" s="171" t="s">
        <v>5675</v>
      </c>
      <c r="C225" s="160">
        <v>464.0</v>
      </c>
      <c r="D225" s="161" t="s">
        <v>1886</v>
      </c>
      <c r="E225" s="197" t="str">
        <f t="array" ref="E225">XLOOKUP(C225,ICSE!A:A,ICSE!Z:Z,,0,1)</f>
        <v>Publicly available (1)</v>
      </c>
      <c r="F225" s="198" t="s">
        <v>20</v>
      </c>
      <c r="G225" s="163" t="str">
        <f t="array" ref="G225">IF(B225="ICSE",IF(COUNTIFS(B:B,B225,C:C,C225)=XLOOKUP(C225,ICSE!A:A,ICSE!AA:AA,"ERROR",0,1),"OK","ERROR"),IF(B225="FSE",IF(COUNTIFS(B:B,B225,C:C,C225)=XLOOKUP(C225,FSE!A:A,FSE!AA:AA,"ERROR",0,1),"OK","ERROR")))</f>
        <v>OK</v>
      </c>
      <c r="H225" s="199">
        <f t="shared" ref="H225:O225" si="1126">countif($D225,"*"&amp;H$2&amp;"*")</f>
        <v>0</v>
      </c>
      <c r="I225" s="200">
        <f t="shared" si="1126"/>
        <v>0</v>
      </c>
      <c r="J225" s="200">
        <f t="shared" si="1126"/>
        <v>0</v>
      </c>
      <c r="K225" s="200">
        <f t="shared" si="1126"/>
        <v>0</v>
      </c>
      <c r="L225" s="200">
        <f t="shared" si="1126"/>
        <v>0</v>
      </c>
      <c r="M225" s="200">
        <f t="shared" si="1126"/>
        <v>0</v>
      </c>
      <c r="N225" s="200">
        <f t="shared" si="1126"/>
        <v>0</v>
      </c>
      <c r="O225" s="200">
        <f t="shared" si="1126"/>
        <v>0</v>
      </c>
      <c r="P225" s="200">
        <f t="shared" si="9"/>
        <v>1</v>
      </c>
      <c r="Q225" s="200">
        <f t="shared" ref="Q225:AC225" si="1127">countif($D225,"*"&amp;Q$2&amp;"*")</f>
        <v>0</v>
      </c>
      <c r="R225" s="200">
        <f t="shared" si="1127"/>
        <v>0</v>
      </c>
      <c r="S225" s="200">
        <f t="shared" si="1127"/>
        <v>0</v>
      </c>
      <c r="T225" s="200">
        <f t="shared" si="1127"/>
        <v>0</v>
      </c>
      <c r="U225" s="200">
        <f t="shared" si="1127"/>
        <v>0</v>
      </c>
      <c r="V225" s="200">
        <f t="shared" si="1127"/>
        <v>0</v>
      </c>
      <c r="W225" s="200">
        <f t="shared" si="1127"/>
        <v>0</v>
      </c>
      <c r="X225" s="200">
        <f t="shared" si="1127"/>
        <v>0</v>
      </c>
      <c r="Y225" s="200">
        <f t="shared" si="1127"/>
        <v>0</v>
      </c>
      <c r="Z225" s="200">
        <f t="shared" si="1127"/>
        <v>0</v>
      </c>
      <c r="AA225" s="200">
        <f t="shared" si="1127"/>
        <v>0</v>
      </c>
      <c r="AB225" s="200">
        <f t="shared" si="1127"/>
        <v>0</v>
      </c>
      <c r="AC225" s="200">
        <f t="shared" si="1127"/>
        <v>0</v>
      </c>
      <c r="AD225" s="200">
        <f t="shared" si="11"/>
        <v>0</v>
      </c>
      <c r="AE225" s="200">
        <f t="shared" ref="AE225:AG225" si="1128">countif($D225,"*"&amp;AE$2&amp;"*")</f>
        <v>0</v>
      </c>
      <c r="AF225" s="200">
        <f t="shared" si="1128"/>
        <v>0</v>
      </c>
      <c r="AG225" s="200">
        <f t="shared" si="1128"/>
        <v>0</v>
      </c>
      <c r="AH225" s="171">
        <f t="shared" si="13"/>
        <v>0</v>
      </c>
      <c r="AI225" s="200">
        <f t="shared" si="14"/>
        <v>0</v>
      </c>
      <c r="AJ225" s="200">
        <f t="shared" si="1129"/>
        <v>0</v>
      </c>
      <c r="AK225" s="201">
        <f t="shared" ref="AK225:AS225" si="1130">countif($D225,"*"&amp;AK$2&amp;"*")</f>
        <v>0</v>
      </c>
      <c r="AL225" s="201">
        <f t="shared" si="1130"/>
        <v>0</v>
      </c>
      <c r="AM225" s="201">
        <f t="shared" si="1130"/>
        <v>0</v>
      </c>
      <c r="AN225" s="201">
        <f t="shared" si="1130"/>
        <v>0</v>
      </c>
      <c r="AO225" s="201">
        <f t="shared" si="1130"/>
        <v>0</v>
      </c>
      <c r="AP225" s="201">
        <f t="shared" si="1130"/>
        <v>0</v>
      </c>
      <c r="AQ225" s="201">
        <f t="shared" si="1130"/>
        <v>0</v>
      </c>
      <c r="AR225" s="200">
        <f t="shared" si="1130"/>
        <v>0</v>
      </c>
      <c r="AS225" s="200">
        <f t="shared" si="1130"/>
        <v>0</v>
      </c>
      <c r="AT225" s="173">
        <v>0.0</v>
      </c>
      <c r="AU225" s="200">
        <f t="shared" ref="AU225:AX225" si="1131">countif($D225,"*"&amp;AU$2&amp;"*")</f>
        <v>0</v>
      </c>
      <c r="AV225" s="200">
        <f t="shared" si="1131"/>
        <v>1</v>
      </c>
      <c r="AW225" s="200">
        <f t="shared" si="1131"/>
        <v>0</v>
      </c>
      <c r="AX225" s="200">
        <f t="shared" si="1131"/>
        <v>0</v>
      </c>
      <c r="AY225" s="202">
        <v>0.0</v>
      </c>
      <c r="AZ225" s="200"/>
      <c r="BA225" s="171" t="str">
        <f t="shared" si="18"/>
        <v/>
      </c>
      <c r="BB225" s="171" t="str">
        <f t="shared" si="19"/>
        <v>Code</v>
      </c>
      <c r="BC225" s="171" t="str">
        <f t="shared" si="20"/>
        <v/>
      </c>
      <c r="BD225" s="171" t="str">
        <f t="shared" si="21"/>
        <v/>
      </c>
      <c r="BE225" s="171" t="str">
        <f t="shared" si="22"/>
        <v/>
      </c>
      <c r="BF225" s="171" t="str">
        <f t="shared" si="23"/>
        <v>Code</v>
      </c>
    </row>
    <row r="226">
      <c r="A226" s="171">
        <f t="array" ref="A226">XLOOKUP(C226,ICSE!A:A,ICSE!C:C,,2,1)</f>
        <v>2021</v>
      </c>
      <c r="B226" s="171" t="s">
        <v>5675</v>
      </c>
      <c r="C226" s="160">
        <v>465.0</v>
      </c>
      <c r="D226" s="161" t="s">
        <v>1889</v>
      </c>
      <c r="E226" s="197" t="str">
        <f t="array" ref="E226">XLOOKUP(C226,ICSE!A:A,ICSE!Z:Z,,0,1)</f>
        <v>Publicly available (1)</v>
      </c>
      <c r="F226" s="198" t="s">
        <v>20</v>
      </c>
      <c r="G226" s="163" t="str">
        <f t="array" ref="G226">IF(B226="ICSE",IF(COUNTIFS(B:B,B226,C:C,C226)=XLOOKUP(C226,ICSE!A:A,ICSE!AA:AA,"ERROR",0,1),"OK","ERROR"),IF(B226="FSE",IF(COUNTIFS(B:B,B226,C:C,C226)=XLOOKUP(C226,FSE!A:A,FSE!AA:AA,"ERROR",0,1),"OK","ERROR")))</f>
        <v>OK</v>
      </c>
      <c r="H226" s="199">
        <f t="shared" ref="H226:O226" si="1132">countif($D226,"*"&amp;H$2&amp;"*")</f>
        <v>0</v>
      </c>
      <c r="I226" s="200">
        <f t="shared" si="1132"/>
        <v>0</v>
      </c>
      <c r="J226" s="200">
        <f t="shared" si="1132"/>
        <v>0</v>
      </c>
      <c r="K226" s="200">
        <f t="shared" si="1132"/>
        <v>0</v>
      </c>
      <c r="L226" s="200">
        <f t="shared" si="1132"/>
        <v>0</v>
      </c>
      <c r="M226" s="200">
        <f t="shared" si="1132"/>
        <v>0</v>
      </c>
      <c r="N226" s="200">
        <f t="shared" si="1132"/>
        <v>0</v>
      </c>
      <c r="O226" s="200">
        <f t="shared" si="1132"/>
        <v>0</v>
      </c>
      <c r="P226" s="200">
        <f t="shared" si="9"/>
        <v>1</v>
      </c>
      <c r="Q226" s="200">
        <f t="shared" ref="Q226:AC226" si="1133">countif($D226,"*"&amp;Q$2&amp;"*")</f>
        <v>0</v>
      </c>
      <c r="R226" s="200">
        <f t="shared" si="1133"/>
        <v>0</v>
      </c>
      <c r="S226" s="200">
        <f t="shared" si="1133"/>
        <v>0</v>
      </c>
      <c r="T226" s="200">
        <f t="shared" si="1133"/>
        <v>0</v>
      </c>
      <c r="U226" s="200">
        <f t="shared" si="1133"/>
        <v>0</v>
      </c>
      <c r="V226" s="200">
        <f t="shared" si="1133"/>
        <v>0</v>
      </c>
      <c r="W226" s="200">
        <f t="shared" si="1133"/>
        <v>0</v>
      </c>
      <c r="X226" s="200">
        <f t="shared" si="1133"/>
        <v>0</v>
      </c>
      <c r="Y226" s="200">
        <f t="shared" si="1133"/>
        <v>0</v>
      </c>
      <c r="Z226" s="200">
        <f t="shared" si="1133"/>
        <v>0</v>
      </c>
      <c r="AA226" s="200">
        <f t="shared" si="1133"/>
        <v>0</v>
      </c>
      <c r="AB226" s="200">
        <f t="shared" si="1133"/>
        <v>0</v>
      </c>
      <c r="AC226" s="200">
        <f t="shared" si="1133"/>
        <v>0</v>
      </c>
      <c r="AD226" s="200">
        <f t="shared" si="11"/>
        <v>0</v>
      </c>
      <c r="AE226" s="200">
        <f t="shared" ref="AE226:AG226" si="1134">countif($D226,"*"&amp;AE$2&amp;"*")</f>
        <v>0</v>
      </c>
      <c r="AF226" s="200">
        <f t="shared" si="1134"/>
        <v>0</v>
      </c>
      <c r="AG226" s="200">
        <f t="shared" si="1134"/>
        <v>0</v>
      </c>
      <c r="AH226" s="171">
        <f t="shared" si="13"/>
        <v>0</v>
      </c>
      <c r="AI226" s="200">
        <f t="shared" si="14"/>
        <v>0</v>
      </c>
      <c r="AJ226" s="200">
        <f t="shared" si="1129"/>
        <v>0</v>
      </c>
      <c r="AK226" s="201">
        <f t="shared" ref="AK226:AS226" si="1135">countif($D226,"*"&amp;AK$2&amp;"*")</f>
        <v>0</v>
      </c>
      <c r="AL226" s="201">
        <f t="shared" si="1135"/>
        <v>0</v>
      </c>
      <c r="AM226" s="201">
        <f t="shared" si="1135"/>
        <v>0</v>
      </c>
      <c r="AN226" s="201">
        <f t="shared" si="1135"/>
        <v>0</v>
      </c>
      <c r="AO226" s="201">
        <f t="shared" si="1135"/>
        <v>0</v>
      </c>
      <c r="AP226" s="201">
        <f t="shared" si="1135"/>
        <v>0</v>
      </c>
      <c r="AQ226" s="201">
        <f t="shared" si="1135"/>
        <v>0</v>
      </c>
      <c r="AR226" s="200">
        <f t="shared" si="1135"/>
        <v>0</v>
      </c>
      <c r="AS226" s="200">
        <f t="shared" si="1135"/>
        <v>0</v>
      </c>
      <c r="AT226" s="173">
        <v>0.0</v>
      </c>
      <c r="AU226" s="200">
        <f t="shared" ref="AU226:AX226" si="1136">countif($D226,"*"&amp;AU$2&amp;"*")</f>
        <v>0</v>
      </c>
      <c r="AV226" s="200">
        <f t="shared" si="1136"/>
        <v>1</v>
      </c>
      <c r="AW226" s="200">
        <f t="shared" si="1136"/>
        <v>0</v>
      </c>
      <c r="AX226" s="200">
        <f t="shared" si="1136"/>
        <v>0</v>
      </c>
      <c r="AY226" s="202">
        <v>0.0</v>
      </c>
      <c r="AZ226" s="200"/>
      <c r="BA226" s="171" t="str">
        <f t="shared" si="18"/>
        <v/>
      </c>
      <c r="BB226" s="171" t="str">
        <f t="shared" si="19"/>
        <v>Code</v>
      </c>
      <c r="BC226" s="171" t="str">
        <f t="shared" si="20"/>
        <v/>
      </c>
      <c r="BD226" s="171" t="str">
        <f t="shared" si="21"/>
        <v/>
      </c>
      <c r="BE226" s="171" t="str">
        <f t="shared" si="22"/>
        <v/>
      </c>
      <c r="BF226" s="171" t="str">
        <f t="shared" si="23"/>
        <v>Code</v>
      </c>
    </row>
    <row r="227">
      <c r="A227" s="171">
        <f t="array" ref="A227">XLOOKUP(C227,ICSE!A:A,ICSE!C:C,,2,1)</f>
        <v>2021</v>
      </c>
      <c r="B227" s="171" t="s">
        <v>5675</v>
      </c>
      <c r="C227" s="160">
        <v>467.0</v>
      </c>
      <c r="D227" s="161" t="s">
        <v>5806</v>
      </c>
      <c r="E227" s="197" t="str">
        <f t="array" ref="E227">XLOOKUP(C227,ICSE!A:A,ICSE!Z:Z,,0,1)</f>
        <v>Publicly available (2)</v>
      </c>
      <c r="F227" s="198" t="s">
        <v>20</v>
      </c>
      <c r="G227" s="163" t="str">
        <f t="array" ref="G227">IF(B227="ICSE",IF(COUNTIFS(B:B,B227,C:C,C227)=XLOOKUP(C227,ICSE!A:A,ICSE!AA:AA,"ERROR",0,1),"OK","ERROR"),IF(B227="FSE",IF(COUNTIFS(B:B,B227,C:C,C227)=XLOOKUP(C227,FSE!A:A,FSE!AA:AA,"ERROR",0,1),"OK","ERROR")))</f>
        <v>OK</v>
      </c>
      <c r="H227" s="199">
        <f t="shared" ref="H227:O227" si="1137">countif($D227,"*"&amp;H$2&amp;"*")</f>
        <v>0</v>
      </c>
      <c r="I227" s="200">
        <f t="shared" si="1137"/>
        <v>0</v>
      </c>
      <c r="J227" s="200">
        <f t="shared" si="1137"/>
        <v>1</v>
      </c>
      <c r="K227" s="200">
        <f t="shared" si="1137"/>
        <v>0</v>
      </c>
      <c r="L227" s="200">
        <f t="shared" si="1137"/>
        <v>0</v>
      </c>
      <c r="M227" s="200">
        <f t="shared" si="1137"/>
        <v>0</v>
      </c>
      <c r="N227" s="200">
        <f t="shared" si="1137"/>
        <v>0</v>
      </c>
      <c r="O227" s="200">
        <f t="shared" si="1137"/>
        <v>0</v>
      </c>
      <c r="P227" s="200">
        <f t="shared" si="9"/>
        <v>0</v>
      </c>
      <c r="Q227" s="200">
        <f t="shared" ref="Q227:AC227" si="1138">countif($D227,"*"&amp;Q$2&amp;"*")</f>
        <v>0</v>
      </c>
      <c r="R227" s="200">
        <f t="shared" si="1138"/>
        <v>0</v>
      </c>
      <c r="S227" s="200">
        <f t="shared" si="1138"/>
        <v>0</v>
      </c>
      <c r="T227" s="200">
        <f t="shared" si="1138"/>
        <v>0</v>
      </c>
      <c r="U227" s="200">
        <f t="shared" si="1138"/>
        <v>0</v>
      </c>
      <c r="V227" s="200">
        <f t="shared" si="1138"/>
        <v>0</v>
      </c>
      <c r="W227" s="200">
        <f t="shared" si="1138"/>
        <v>0</v>
      </c>
      <c r="X227" s="200">
        <f t="shared" si="1138"/>
        <v>0</v>
      </c>
      <c r="Y227" s="200">
        <f t="shared" si="1138"/>
        <v>0</v>
      </c>
      <c r="Z227" s="200">
        <f t="shared" si="1138"/>
        <v>0</v>
      </c>
      <c r="AA227" s="200">
        <f t="shared" si="1138"/>
        <v>0</v>
      </c>
      <c r="AB227" s="200">
        <f t="shared" si="1138"/>
        <v>0</v>
      </c>
      <c r="AC227" s="200">
        <f t="shared" si="1138"/>
        <v>0</v>
      </c>
      <c r="AD227" s="200">
        <f t="shared" si="11"/>
        <v>0</v>
      </c>
      <c r="AE227" s="200">
        <f t="shared" ref="AE227:AG227" si="1139">countif($D227,"*"&amp;AE$2&amp;"*")</f>
        <v>0</v>
      </c>
      <c r="AF227" s="200">
        <f t="shared" si="1139"/>
        <v>0</v>
      </c>
      <c r="AG227" s="200">
        <f t="shared" si="1139"/>
        <v>0</v>
      </c>
      <c r="AH227" s="171">
        <f t="shared" si="13"/>
        <v>0</v>
      </c>
      <c r="AI227" s="200">
        <f t="shared" si="14"/>
        <v>1</v>
      </c>
      <c r="AJ227" s="200">
        <f t="shared" si="1129"/>
        <v>0</v>
      </c>
      <c r="AK227" s="201">
        <f t="shared" ref="AK227:AS227" si="1140">countif($D227,"*"&amp;AK$2&amp;"*")</f>
        <v>0</v>
      </c>
      <c r="AL227" s="201">
        <f t="shared" si="1140"/>
        <v>0</v>
      </c>
      <c r="AM227" s="201">
        <f t="shared" si="1140"/>
        <v>0</v>
      </c>
      <c r="AN227" s="201">
        <f t="shared" si="1140"/>
        <v>0</v>
      </c>
      <c r="AO227" s="201">
        <f t="shared" si="1140"/>
        <v>0</v>
      </c>
      <c r="AP227" s="201">
        <f t="shared" si="1140"/>
        <v>0</v>
      </c>
      <c r="AQ227" s="201">
        <f t="shared" si="1140"/>
        <v>0</v>
      </c>
      <c r="AR227" s="200">
        <f t="shared" si="1140"/>
        <v>0</v>
      </c>
      <c r="AS227" s="200">
        <f t="shared" si="1140"/>
        <v>1</v>
      </c>
      <c r="AT227" s="173">
        <v>0.0</v>
      </c>
      <c r="AU227" s="200">
        <f t="shared" ref="AU227:AX227" si="1141">countif($D227,"*"&amp;AU$2&amp;"*")</f>
        <v>0</v>
      </c>
      <c r="AV227" s="200">
        <f t="shared" si="1141"/>
        <v>0</v>
      </c>
      <c r="AW227" s="200">
        <f t="shared" si="1141"/>
        <v>0</v>
      </c>
      <c r="AX227" s="200">
        <f t="shared" si="1141"/>
        <v>0</v>
      </c>
      <c r="AY227" s="204">
        <v>1.0</v>
      </c>
      <c r="AZ227" s="200"/>
      <c r="BA227" s="171" t="str">
        <f t="shared" si="18"/>
        <v>Archival</v>
      </c>
      <c r="BB227" s="171" t="str">
        <f t="shared" si="19"/>
        <v/>
      </c>
      <c r="BC227" s="171" t="str">
        <f t="shared" si="20"/>
        <v/>
      </c>
      <c r="BD227" s="171" t="str">
        <f t="shared" si="21"/>
        <v/>
      </c>
      <c r="BE227" s="171" t="str">
        <f t="shared" si="22"/>
        <v/>
      </c>
      <c r="BF227" s="171" t="str">
        <f t="shared" si="23"/>
        <v>Archival</v>
      </c>
    </row>
    <row r="228">
      <c r="A228" s="171">
        <f t="array" ref="A228">XLOOKUP(C228,ICSE!A:A,ICSE!C:C,,2,1)</f>
        <v>2021</v>
      </c>
      <c r="B228" s="171" t="s">
        <v>5675</v>
      </c>
      <c r="C228" s="160">
        <v>467.0</v>
      </c>
      <c r="D228" s="161" t="s">
        <v>5807</v>
      </c>
      <c r="E228" s="197" t="str">
        <f t="array" ref="E228">XLOOKUP(C228,ICSE!A:A,ICSE!Z:Z,,0,1)</f>
        <v>Publicly available (2)</v>
      </c>
      <c r="F228" s="198" t="s">
        <v>20</v>
      </c>
      <c r="G228" s="163" t="str">
        <f t="array" ref="G228">IF(B228="ICSE",IF(COUNTIFS(B:B,B228,C:C,C228)=XLOOKUP(C228,ICSE!A:A,ICSE!AA:AA,"ERROR",0,1),"OK","ERROR"),IF(B228="FSE",IF(COUNTIFS(B:B,B228,C:C,C228)=XLOOKUP(C228,FSE!A:A,FSE!AA:AA,"ERROR",0,1),"OK","ERROR")))</f>
        <v>OK</v>
      </c>
      <c r="H228" s="199">
        <f t="shared" ref="H228:O228" si="1142">countif($D228,"*"&amp;H$2&amp;"*")</f>
        <v>0</v>
      </c>
      <c r="I228" s="200">
        <f t="shared" si="1142"/>
        <v>0</v>
      </c>
      <c r="J228" s="200">
        <f t="shared" si="1142"/>
        <v>0</v>
      </c>
      <c r="K228" s="200">
        <f t="shared" si="1142"/>
        <v>0</v>
      </c>
      <c r="L228" s="200">
        <f t="shared" si="1142"/>
        <v>0</v>
      </c>
      <c r="M228" s="200">
        <f t="shared" si="1142"/>
        <v>0</v>
      </c>
      <c r="N228" s="200">
        <f t="shared" si="1142"/>
        <v>0</v>
      </c>
      <c r="O228" s="200">
        <f t="shared" si="1142"/>
        <v>0</v>
      </c>
      <c r="P228" s="200">
        <f t="shared" si="9"/>
        <v>1</v>
      </c>
      <c r="Q228" s="200">
        <f t="shared" ref="Q228:AC228" si="1143">countif($D228,"*"&amp;Q$2&amp;"*")</f>
        <v>0</v>
      </c>
      <c r="R228" s="200">
        <f t="shared" si="1143"/>
        <v>0</v>
      </c>
      <c r="S228" s="200">
        <f t="shared" si="1143"/>
        <v>0</v>
      </c>
      <c r="T228" s="200">
        <f t="shared" si="1143"/>
        <v>0</v>
      </c>
      <c r="U228" s="200">
        <f t="shared" si="1143"/>
        <v>0</v>
      </c>
      <c r="V228" s="200">
        <f t="shared" si="1143"/>
        <v>0</v>
      </c>
      <c r="W228" s="200">
        <f t="shared" si="1143"/>
        <v>0</v>
      </c>
      <c r="X228" s="200">
        <f t="shared" si="1143"/>
        <v>0</v>
      </c>
      <c r="Y228" s="200">
        <f t="shared" si="1143"/>
        <v>0</v>
      </c>
      <c r="Z228" s="200">
        <f t="shared" si="1143"/>
        <v>0</v>
      </c>
      <c r="AA228" s="200">
        <f t="shared" si="1143"/>
        <v>0</v>
      </c>
      <c r="AB228" s="200">
        <f t="shared" si="1143"/>
        <v>0</v>
      </c>
      <c r="AC228" s="200">
        <f t="shared" si="1143"/>
        <v>0</v>
      </c>
      <c r="AD228" s="200">
        <f t="shared" si="11"/>
        <v>0</v>
      </c>
      <c r="AE228" s="200">
        <f t="shared" ref="AE228:AG228" si="1144">countif($D228,"*"&amp;AE$2&amp;"*")</f>
        <v>0</v>
      </c>
      <c r="AF228" s="200">
        <f t="shared" si="1144"/>
        <v>0</v>
      </c>
      <c r="AG228" s="200">
        <f t="shared" si="1144"/>
        <v>0</v>
      </c>
      <c r="AH228" s="171">
        <f t="shared" si="13"/>
        <v>0</v>
      </c>
      <c r="AI228" s="200">
        <f t="shared" si="14"/>
        <v>0</v>
      </c>
      <c r="AJ228" s="200">
        <f t="shared" si="1129"/>
        <v>0</v>
      </c>
      <c r="AK228" s="201">
        <f t="shared" ref="AK228:AS228" si="1145">countif($D228,"*"&amp;AK$2&amp;"*")</f>
        <v>0</v>
      </c>
      <c r="AL228" s="201">
        <f t="shared" si="1145"/>
        <v>0</v>
      </c>
      <c r="AM228" s="201">
        <f t="shared" si="1145"/>
        <v>0</v>
      </c>
      <c r="AN228" s="201">
        <f t="shared" si="1145"/>
        <v>0</v>
      </c>
      <c r="AO228" s="201">
        <f t="shared" si="1145"/>
        <v>0</v>
      </c>
      <c r="AP228" s="201">
        <f t="shared" si="1145"/>
        <v>0</v>
      </c>
      <c r="AQ228" s="201">
        <f t="shared" si="1145"/>
        <v>0</v>
      </c>
      <c r="AR228" s="200">
        <f t="shared" si="1145"/>
        <v>0</v>
      </c>
      <c r="AS228" s="200">
        <f t="shared" si="1145"/>
        <v>0</v>
      </c>
      <c r="AT228" s="173">
        <v>0.0</v>
      </c>
      <c r="AU228" s="200">
        <f t="shared" ref="AU228:AX228" si="1146">countif($D228,"*"&amp;AU$2&amp;"*")</f>
        <v>0</v>
      </c>
      <c r="AV228" s="200">
        <f t="shared" si="1146"/>
        <v>1</v>
      </c>
      <c r="AW228" s="200">
        <f t="shared" si="1146"/>
        <v>0</v>
      </c>
      <c r="AX228" s="200">
        <f t="shared" si="1146"/>
        <v>0</v>
      </c>
      <c r="AY228" s="202">
        <v>0.0</v>
      </c>
      <c r="AZ228" s="200"/>
      <c r="BA228" s="171" t="str">
        <f t="shared" si="18"/>
        <v/>
      </c>
      <c r="BB228" s="171" t="str">
        <f t="shared" si="19"/>
        <v>Code</v>
      </c>
      <c r="BC228" s="171" t="str">
        <f t="shared" si="20"/>
        <v/>
      </c>
      <c r="BD228" s="171" t="str">
        <f t="shared" si="21"/>
        <v/>
      </c>
      <c r="BE228" s="171" t="str">
        <f t="shared" si="22"/>
        <v/>
      </c>
      <c r="BF228" s="171" t="str">
        <f t="shared" si="23"/>
        <v>Code</v>
      </c>
    </row>
    <row r="229">
      <c r="A229" s="171">
        <f t="array" ref="A229">XLOOKUP(C229,ICSE!A:A,ICSE!C:C,,2,1)</f>
        <v>2021</v>
      </c>
      <c r="B229" s="171" t="s">
        <v>5675</v>
      </c>
      <c r="C229" s="160">
        <v>468.0</v>
      </c>
      <c r="D229" s="161" t="s">
        <v>1897</v>
      </c>
      <c r="E229" s="197" t="str">
        <f t="array" ref="E229">XLOOKUP(C229,ICSE!A:A,ICSE!Z:Z,,0,1)</f>
        <v>Publicly available (1)</v>
      </c>
      <c r="F229" s="198" t="s">
        <v>20</v>
      </c>
      <c r="G229" s="163" t="str">
        <f t="array" ref="G229">IF(B229="ICSE",IF(COUNTIFS(B:B,B229,C:C,C229)=XLOOKUP(C229,ICSE!A:A,ICSE!AA:AA,"ERROR",0,1),"OK","ERROR"),IF(B229="FSE",IF(COUNTIFS(B:B,B229,C:C,C229)=XLOOKUP(C229,FSE!A:A,FSE!AA:AA,"ERROR",0,1),"OK","ERROR")))</f>
        <v>OK</v>
      </c>
      <c r="H229" s="199">
        <f t="shared" ref="H229:O229" si="1147">countif($D229,"*"&amp;H$2&amp;"*")</f>
        <v>0</v>
      </c>
      <c r="I229" s="200">
        <f t="shared" si="1147"/>
        <v>0</v>
      </c>
      <c r="J229" s="200">
        <f t="shared" si="1147"/>
        <v>0</v>
      </c>
      <c r="K229" s="200">
        <f t="shared" si="1147"/>
        <v>0</v>
      </c>
      <c r="L229" s="200">
        <f t="shared" si="1147"/>
        <v>0</v>
      </c>
      <c r="M229" s="200">
        <f t="shared" si="1147"/>
        <v>0</v>
      </c>
      <c r="N229" s="200">
        <f t="shared" si="1147"/>
        <v>0</v>
      </c>
      <c r="O229" s="200">
        <f t="shared" si="1147"/>
        <v>0</v>
      </c>
      <c r="P229" s="200">
        <f t="shared" si="9"/>
        <v>1</v>
      </c>
      <c r="Q229" s="200">
        <f t="shared" ref="Q229:AC229" si="1148">countif($D229,"*"&amp;Q$2&amp;"*")</f>
        <v>0</v>
      </c>
      <c r="R229" s="200">
        <f t="shared" si="1148"/>
        <v>0</v>
      </c>
      <c r="S229" s="200">
        <f t="shared" si="1148"/>
        <v>0</v>
      </c>
      <c r="T229" s="200">
        <f t="shared" si="1148"/>
        <v>0</v>
      </c>
      <c r="U229" s="200">
        <f t="shared" si="1148"/>
        <v>0</v>
      </c>
      <c r="V229" s="200">
        <f t="shared" si="1148"/>
        <v>0</v>
      </c>
      <c r="W229" s="200">
        <f t="shared" si="1148"/>
        <v>0</v>
      </c>
      <c r="X229" s="200">
        <f t="shared" si="1148"/>
        <v>0</v>
      </c>
      <c r="Y229" s="200">
        <f t="shared" si="1148"/>
        <v>0</v>
      </c>
      <c r="Z229" s="200">
        <f t="shared" si="1148"/>
        <v>0</v>
      </c>
      <c r="AA229" s="200">
        <f t="shared" si="1148"/>
        <v>0</v>
      </c>
      <c r="AB229" s="200">
        <f t="shared" si="1148"/>
        <v>0</v>
      </c>
      <c r="AC229" s="200">
        <f t="shared" si="1148"/>
        <v>0</v>
      </c>
      <c r="AD229" s="200">
        <f t="shared" si="11"/>
        <v>0</v>
      </c>
      <c r="AE229" s="200">
        <f t="shared" ref="AE229:AG229" si="1149">countif($D229,"*"&amp;AE$2&amp;"*")</f>
        <v>0</v>
      </c>
      <c r="AF229" s="200">
        <f t="shared" si="1149"/>
        <v>0</v>
      </c>
      <c r="AG229" s="200">
        <f t="shared" si="1149"/>
        <v>0</v>
      </c>
      <c r="AH229" s="171">
        <f t="shared" si="13"/>
        <v>0</v>
      </c>
      <c r="AI229" s="200">
        <f t="shared" si="14"/>
        <v>0</v>
      </c>
      <c r="AJ229" s="200">
        <f t="shared" si="1129"/>
        <v>0</v>
      </c>
      <c r="AK229" s="201">
        <f t="shared" ref="AK229:AS229" si="1150">countif($D229,"*"&amp;AK$2&amp;"*")</f>
        <v>0</v>
      </c>
      <c r="AL229" s="201">
        <f t="shared" si="1150"/>
        <v>0</v>
      </c>
      <c r="AM229" s="201">
        <f t="shared" si="1150"/>
        <v>0</v>
      </c>
      <c r="AN229" s="201">
        <f t="shared" si="1150"/>
        <v>0</v>
      </c>
      <c r="AO229" s="201">
        <f t="shared" si="1150"/>
        <v>0</v>
      </c>
      <c r="AP229" s="201">
        <f t="shared" si="1150"/>
        <v>0</v>
      </c>
      <c r="AQ229" s="201">
        <f t="shared" si="1150"/>
        <v>0</v>
      </c>
      <c r="AR229" s="200">
        <f t="shared" si="1150"/>
        <v>0</v>
      </c>
      <c r="AS229" s="200">
        <f t="shared" si="1150"/>
        <v>0</v>
      </c>
      <c r="AT229" s="173">
        <v>0.0</v>
      </c>
      <c r="AU229" s="200">
        <f t="shared" ref="AU229:AX229" si="1151">countif($D229,"*"&amp;AU$2&amp;"*")</f>
        <v>0</v>
      </c>
      <c r="AV229" s="200">
        <f t="shared" si="1151"/>
        <v>1</v>
      </c>
      <c r="AW229" s="200">
        <f t="shared" si="1151"/>
        <v>0</v>
      </c>
      <c r="AX229" s="200">
        <f t="shared" si="1151"/>
        <v>0</v>
      </c>
      <c r="AY229" s="202">
        <v>0.0</v>
      </c>
      <c r="AZ229" s="200"/>
      <c r="BA229" s="171" t="str">
        <f t="shared" si="18"/>
        <v/>
      </c>
      <c r="BB229" s="171" t="str">
        <f t="shared" si="19"/>
        <v>Code</v>
      </c>
      <c r="BC229" s="171" t="str">
        <f t="shared" si="20"/>
        <v/>
      </c>
      <c r="BD229" s="171" t="str">
        <f t="shared" si="21"/>
        <v/>
      </c>
      <c r="BE229" s="171" t="str">
        <f t="shared" si="22"/>
        <v/>
      </c>
      <c r="BF229" s="171" t="str">
        <f t="shared" si="23"/>
        <v>Code</v>
      </c>
    </row>
    <row r="230">
      <c r="A230" s="171">
        <f t="array" ref="A230">XLOOKUP(C230,ICSE!A:A,ICSE!C:C,,2,1)</f>
        <v>2021</v>
      </c>
      <c r="B230" s="171" t="s">
        <v>5675</v>
      </c>
      <c r="C230" s="160">
        <v>469.0</v>
      </c>
      <c r="D230" s="161" t="s">
        <v>1900</v>
      </c>
      <c r="E230" s="197" t="str">
        <f t="array" ref="E230">XLOOKUP(C230,ICSE!A:A,ICSE!Z:Z,,0,1)</f>
        <v>Publicly available (1)</v>
      </c>
      <c r="F230" s="198" t="s">
        <v>20</v>
      </c>
      <c r="G230" s="163" t="str">
        <f t="array" ref="G230">IF(B230="ICSE",IF(COUNTIFS(B:B,B230,C:C,C230)=XLOOKUP(C230,ICSE!A:A,ICSE!AA:AA,"ERROR",0,1),"OK","ERROR"),IF(B230="FSE",IF(COUNTIFS(B:B,B230,C:C,C230)=XLOOKUP(C230,FSE!A:A,FSE!AA:AA,"ERROR",0,1),"OK","ERROR")))</f>
        <v>OK</v>
      </c>
      <c r="H230" s="199">
        <f t="shared" ref="H230:O230" si="1152">countif($D230,"*"&amp;H$2&amp;"*")</f>
        <v>1</v>
      </c>
      <c r="I230" s="200">
        <f t="shared" si="1152"/>
        <v>0</v>
      </c>
      <c r="J230" s="200">
        <f t="shared" si="1152"/>
        <v>0</v>
      </c>
      <c r="K230" s="200">
        <f t="shared" si="1152"/>
        <v>0</v>
      </c>
      <c r="L230" s="200">
        <f t="shared" si="1152"/>
        <v>0</v>
      </c>
      <c r="M230" s="200">
        <f t="shared" si="1152"/>
        <v>0</v>
      </c>
      <c r="N230" s="200">
        <f t="shared" si="1152"/>
        <v>0</v>
      </c>
      <c r="O230" s="200">
        <f t="shared" si="1152"/>
        <v>0</v>
      </c>
      <c r="P230" s="200">
        <f t="shared" si="9"/>
        <v>0</v>
      </c>
      <c r="Q230" s="200">
        <f t="shared" ref="Q230:AC230" si="1153">countif($D230,"*"&amp;Q$2&amp;"*")</f>
        <v>0</v>
      </c>
      <c r="R230" s="200">
        <f t="shared" si="1153"/>
        <v>0</v>
      </c>
      <c r="S230" s="200">
        <f t="shared" si="1153"/>
        <v>0</v>
      </c>
      <c r="T230" s="200">
        <f t="shared" si="1153"/>
        <v>0</v>
      </c>
      <c r="U230" s="200">
        <f t="shared" si="1153"/>
        <v>0</v>
      </c>
      <c r="V230" s="200">
        <f t="shared" si="1153"/>
        <v>0</v>
      </c>
      <c r="W230" s="200">
        <f t="shared" si="1153"/>
        <v>0</v>
      </c>
      <c r="X230" s="200">
        <f t="shared" si="1153"/>
        <v>0</v>
      </c>
      <c r="Y230" s="200">
        <f t="shared" si="1153"/>
        <v>0</v>
      </c>
      <c r="Z230" s="200">
        <f t="shared" si="1153"/>
        <v>0</v>
      </c>
      <c r="AA230" s="200">
        <f t="shared" si="1153"/>
        <v>0</v>
      </c>
      <c r="AB230" s="200">
        <f t="shared" si="1153"/>
        <v>0</v>
      </c>
      <c r="AC230" s="200">
        <f t="shared" si="1153"/>
        <v>0</v>
      </c>
      <c r="AD230" s="200">
        <f t="shared" si="11"/>
        <v>0</v>
      </c>
      <c r="AE230" s="200">
        <f t="shared" ref="AE230:AG230" si="1154">countif($D230,"*"&amp;AE$2&amp;"*")</f>
        <v>0</v>
      </c>
      <c r="AF230" s="200">
        <f t="shared" si="1154"/>
        <v>0</v>
      </c>
      <c r="AG230" s="200">
        <f t="shared" si="1154"/>
        <v>0</v>
      </c>
      <c r="AH230" s="171">
        <f t="shared" si="13"/>
        <v>0</v>
      </c>
      <c r="AI230" s="200">
        <f t="shared" si="14"/>
        <v>1</v>
      </c>
      <c r="AJ230" s="200">
        <f t="shared" si="1129"/>
        <v>0</v>
      </c>
      <c r="AK230" s="201">
        <f t="shared" ref="AK230:AS230" si="1155">countif($D230,"*"&amp;AK$2&amp;"*")</f>
        <v>0</v>
      </c>
      <c r="AL230" s="201">
        <f t="shared" si="1155"/>
        <v>0</v>
      </c>
      <c r="AM230" s="201">
        <f t="shared" si="1155"/>
        <v>0</v>
      </c>
      <c r="AN230" s="201">
        <f t="shared" si="1155"/>
        <v>0</v>
      </c>
      <c r="AO230" s="201">
        <f t="shared" si="1155"/>
        <v>0</v>
      </c>
      <c r="AP230" s="201">
        <f t="shared" si="1155"/>
        <v>0</v>
      </c>
      <c r="AQ230" s="201">
        <f t="shared" si="1155"/>
        <v>0</v>
      </c>
      <c r="AR230" s="200">
        <f t="shared" si="1155"/>
        <v>0</v>
      </c>
      <c r="AS230" s="200">
        <f t="shared" si="1155"/>
        <v>0</v>
      </c>
      <c r="AT230" s="173">
        <v>0.0</v>
      </c>
      <c r="AU230" s="200">
        <f t="shared" ref="AU230:AX230" si="1156">countif($D230,"*"&amp;AU$2&amp;"*")</f>
        <v>0</v>
      </c>
      <c r="AV230" s="200">
        <f t="shared" si="1156"/>
        <v>0</v>
      </c>
      <c r="AW230" s="200">
        <f t="shared" si="1156"/>
        <v>0</v>
      </c>
      <c r="AX230" s="200">
        <f t="shared" si="1156"/>
        <v>1</v>
      </c>
      <c r="AY230" s="202">
        <v>0.0</v>
      </c>
      <c r="AZ230" s="200"/>
      <c r="BA230" s="171" t="str">
        <f t="shared" si="18"/>
        <v>Archival</v>
      </c>
      <c r="BB230" s="171" t="str">
        <f t="shared" si="19"/>
        <v/>
      </c>
      <c r="BC230" s="171" t="str">
        <f t="shared" si="20"/>
        <v/>
      </c>
      <c r="BD230" s="171" t="str">
        <f t="shared" si="21"/>
        <v/>
      </c>
      <c r="BE230" s="171" t="str">
        <f t="shared" si="22"/>
        <v/>
      </c>
      <c r="BF230" s="171" t="str">
        <f t="shared" si="23"/>
        <v>Archival</v>
      </c>
    </row>
    <row r="231">
      <c r="A231" s="171">
        <f t="array" ref="A231">XLOOKUP(C231,ICSE!A:A,ICSE!C:C,,2,1)</f>
        <v>2021</v>
      </c>
      <c r="B231" s="171" t="s">
        <v>5675</v>
      </c>
      <c r="C231" s="160">
        <v>470.0</v>
      </c>
      <c r="D231" s="161" t="s">
        <v>1903</v>
      </c>
      <c r="E231" s="197" t="str">
        <f t="array" ref="E231">XLOOKUP(C231,ICSE!A:A,ICSE!Z:Z,,0,1)</f>
        <v>Publicly available (1)</v>
      </c>
      <c r="F231" s="198" t="s">
        <v>20</v>
      </c>
      <c r="G231" s="163" t="str">
        <f t="array" ref="G231">IF(B231="ICSE",IF(COUNTIFS(B:B,B231,C:C,C231)=XLOOKUP(C231,ICSE!A:A,ICSE!AA:AA,"ERROR",0,1),"OK","ERROR"),IF(B231="FSE",IF(COUNTIFS(B:B,B231,C:C,C231)=XLOOKUP(C231,FSE!A:A,FSE!AA:AA,"ERROR",0,1),"OK","ERROR")))</f>
        <v>OK</v>
      </c>
      <c r="H231" s="199">
        <f t="shared" ref="H231:O231" si="1157">countif($D231,"*"&amp;H$2&amp;"*")</f>
        <v>0</v>
      </c>
      <c r="I231" s="200">
        <f t="shared" si="1157"/>
        <v>0</v>
      </c>
      <c r="J231" s="200">
        <f t="shared" si="1157"/>
        <v>0</v>
      </c>
      <c r="K231" s="200">
        <f t="shared" si="1157"/>
        <v>0</v>
      </c>
      <c r="L231" s="200">
        <f t="shared" si="1157"/>
        <v>0</v>
      </c>
      <c r="M231" s="200">
        <f t="shared" si="1157"/>
        <v>0</v>
      </c>
      <c r="N231" s="200">
        <f t="shared" si="1157"/>
        <v>0</v>
      </c>
      <c r="O231" s="200">
        <f t="shared" si="1157"/>
        <v>0</v>
      </c>
      <c r="P231" s="200">
        <f t="shared" si="9"/>
        <v>1</v>
      </c>
      <c r="Q231" s="200">
        <f t="shared" ref="Q231:AC231" si="1158">countif($D231,"*"&amp;Q$2&amp;"*")</f>
        <v>0</v>
      </c>
      <c r="R231" s="200">
        <f t="shared" si="1158"/>
        <v>0</v>
      </c>
      <c r="S231" s="200">
        <f t="shared" si="1158"/>
        <v>0</v>
      </c>
      <c r="T231" s="200">
        <f t="shared" si="1158"/>
        <v>0</v>
      </c>
      <c r="U231" s="200">
        <f t="shared" si="1158"/>
        <v>0</v>
      </c>
      <c r="V231" s="200">
        <f t="shared" si="1158"/>
        <v>0</v>
      </c>
      <c r="W231" s="200">
        <f t="shared" si="1158"/>
        <v>0</v>
      </c>
      <c r="X231" s="200">
        <f t="shared" si="1158"/>
        <v>0</v>
      </c>
      <c r="Y231" s="200">
        <f t="shared" si="1158"/>
        <v>0</v>
      </c>
      <c r="Z231" s="200">
        <f t="shared" si="1158"/>
        <v>0</v>
      </c>
      <c r="AA231" s="200">
        <f t="shared" si="1158"/>
        <v>0</v>
      </c>
      <c r="AB231" s="200">
        <f t="shared" si="1158"/>
        <v>0</v>
      </c>
      <c r="AC231" s="200">
        <f t="shared" si="1158"/>
        <v>0</v>
      </c>
      <c r="AD231" s="200">
        <f t="shared" si="11"/>
        <v>0</v>
      </c>
      <c r="AE231" s="200">
        <f t="shared" ref="AE231:AG231" si="1159">countif($D231,"*"&amp;AE$2&amp;"*")</f>
        <v>0</v>
      </c>
      <c r="AF231" s="200">
        <f t="shared" si="1159"/>
        <v>0</v>
      </c>
      <c r="AG231" s="200">
        <f t="shared" si="1159"/>
        <v>0</v>
      </c>
      <c r="AH231" s="171">
        <f t="shared" si="13"/>
        <v>0</v>
      </c>
      <c r="AI231" s="200">
        <f t="shared" si="14"/>
        <v>0</v>
      </c>
      <c r="AJ231" s="200">
        <f t="shared" si="1129"/>
        <v>0</v>
      </c>
      <c r="AK231" s="201">
        <f t="shared" ref="AK231:AS231" si="1160">countif($D231,"*"&amp;AK$2&amp;"*")</f>
        <v>0</v>
      </c>
      <c r="AL231" s="201">
        <f t="shared" si="1160"/>
        <v>0</v>
      </c>
      <c r="AM231" s="201">
        <f t="shared" si="1160"/>
        <v>0</v>
      </c>
      <c r="AN231" s="201">
        <f t="shared" si="1160"/>
        <v>0</v>
      </c>
      <c r="AO231" s="201">
        <f t="shared" si="1160"/>
        <v>0</v>
      </c>
      <c r="AP231" s="201">
        <f t="shared" si="1160"/>
        <v>0</v>
      </c>
      <c r="AQ231" s="201">
        <f t="shared" si="1160"/>
        <v>0</v>
      </c>
      <c r="AR231" s="200">
        <f t="shared" si="1160"/>
        <v>0</v>
      </c>
      <c r="AS231" s="200">
        <f t="shared" si="1160"/>
        <v>0</v>
      </c>
      <c r="AT231" s="173">
        <v>0.0</v>
      </c>
      <c r="AU231" s="200">
        <f t="shared" ref="AU231:AX231" si="1161">countif($D231,"*"&amp;AU$2&amp;"*")</f>
        <v>0</v>
      </c>
      <c r="AV231" s="200">
        <f t="shared" si="1161"/>
        <v>1</v>
      </c>
      <c r="AW231" s="200">
        <f t="shared" si="1161"/>
        <v>0</v>
      </c>
      <c r="AX231" s="200">
        <f t="shared" si="1161"/>
        <v>0</v>
      </c>
      <c r="AY231" s="202">
        <v>0.0</v>
      </c>
      <c r="AZ231" s="200"/>
      <c r="BA231" s="171" t="str">
        <f t="shared" si="18"/>
        <v/>
      </c>
      <c r="BB231" s="171" t="str">
        <f t="shared" si="19"/>
        <v>Code</v>
      </c>
      <c r="BC231" s="171" t="str">
        <f t="shared" si="20"/>
        <v/>
      </c>
      <c r="BD231" s="171" t="str">
        <f t="shared" si="21"/>
        <v/>
      </c>
      <c r="BE231" s="171" t="str">
        <f t="shared" si="22"/>
        <v/>
      </c>
      <c r="BF231" s="171" t="str">
        <f t="shared" si="23"/>
        <v>Code</v>
      </c>
    </row>
    <row r="232">
      <c r="A232" s="171">
        <f t="array" ref="A232">XLOOKUP(C232,ICSE!A:A,ICSE!C:C,,2,1)</f>
        <v>2021</v>
      </c>
      <c r="B232" s="171" t="s">
        <v>5675</v>
      </c>
      <c r="C232" s="160">
        <v>471.0</v>
      </c>
      <c r="D232" s="161" t="s">
        <v>5808</v>
      </c>
      <c r="E232" s="197" t="str">
        <f t="array" ref="E232">XLOOKUP(C232,ICSE!A:A,ICSE!Z:Z,,0,1)</f>
        <v>Publicly available (1)</v>
      </c>
      <c r="F232" s="198" t="s">
        <v>20</v>
      </c>
      <c r="G232" s="163" t="str">
        <f t="array" ref="G232">IF(B232="ICSE",IF(COUNTIFS(B:B,B232,C:C,C232)=XLOOKUP(C232,ICSE!A:A,ICSE!AA:AA,"ERROR",0,1),"OK","ERROR"),IF(B232="FSE",IF(COUNTIFS(B:B,B232,C:C,C232)=XLOOKUP(C232,FSE!A:A,FSE!AA:AA,"ERROR",0,1),"OK","ERROR")))</f>
        <v>OK</v>
      </c>
      <c r="H232" s="199">
        <f t="shared" ref="H232:O232" si="1162">countif($D232,"*"&amp;H$2&amp;"*")</f>
        <v>1</v>
      </c>
      <c r="I232" s="200">
        <f t="shared" si="1162"/>
        <v>0</v>
      </c>
      <c r="J232" s="200">
        <f t="shared" si="1162"/>
        <v>0</v>
      </c>
      <c r="K232" s="200">
        <f t="shared" si="1162"/>
        <v>0</v>
      </c>
      <c r="L232" s="200">
        <f t="shared" si="1162"/>
        <v>0</v>
      </c>
      <c r="M232" s="200">
        <f t="shared" si="1162"/>
        <v>0</v>
      </c>
      <c r="N232" s="200">
        <f t="shared" si="1162"/>
        <v>0</v>
      </c>
      <c r="O232" s="200">
        <f t="shared" si="1162"/>
        <v>0</v>
      </c>
      <c r="P232" s="200">
        <f t="shared" si="9"/>
        <v>0</v>
      </c>
      <c r="Q232" s="200">
        <f t="shared" ref="Q232:AC232" si="1163">countif($D232,"*"&amp;Q$2&amp;"*")</f>
        <v>0</v>
      </c>
      <c r="R232" s="200">
        <f t="shared" si="1163"/>
        <v>0</v>
      </c>
      <c r="S232" s="200">
        <f t="shared" si="1163"/>
        <v>0</v>
      </c>
      <c r="T232" s="200">
        <f t="shared" si="1163"/>
        <v>0</v>
      </c>
      <c r="U232" s="200">
        <f t="shared" si="1163"/>
        <v>0</v>
      </c>
      <c r="V232" s="200">
        <f t="shared" si="1163"/>
        <v>0</v>
      </c>
      <c r="W232" s="200">
        <f t="shared" si="1163"/>
        <v>0</v>
      </c>
      <c r="X232" s="200">
        <f t="shared" si="1163"/>
        <v>0</v>
      </c>
      <c r="Y232" s="200">
        <f t="shared" si="1163"/>
        <v>0</v>
      </c>
      <c r="Z232" s="200">
        <f t="shared" si="1163"/>
        <v>0</v>
      </c>
      <c r="AA232" s="200">
        <f t="shared" si="1163"/>
        <v>0</v>
      </c>
      <c r="AB232" s="200">
        <f t="shared" si="1163"/>
        <v>0</v>
      </c>
      <c r="AC232" s="200">
        <f t="shared" si="1163"/>
        <v>0</v>
      </c>
      <c r="AD232" s="200">
        <f t="shared" si="11"/>
        <v>0</v>
      </c>
      <c r="AE232" s="200">
        <f t="shared" ref="AE232:AG232" si="1164">countif($D232,"*"&amp;AE$2&amp;"*")</f>
        <v>0</v>
      </c>
      <c r="AF232" s="200">
        <f t="shared" si="1164"/>
        <v>0</v>
      </c>
      <c r="AG232" s="200">
        <f t="shared" si="1164"/>
        <v>0</v>
      </c>
      <c r="AH232" s="171">
        <f t="shared" si="13"/>
        <v>0</v>
      </c>
      <c r="AI232" s="200">
        <f t="shared" si="14"/>
        <v>1</v>
      </c>
      <c r="AJ232" s="200">
        <f t="shared" si="1129"/>
        <v>0</v>
      </c>
      <c r="AK232" s="201">
        <f t="shared" ref="AK232:AS232" si="1165">countif($D232,"*"&amp;AK$2&amp;"*")</f>
        <v>0</v>
      </c>
      <c r="AL232" s="201">
        <f t="shared" si="1165"/>
        <v>0</v>
      </c>
      <c r="AM232" s="201">
        <f t="shared" si="1165"/>
        <v>0</v>
      </c>
      <c r="AN232" s="201">
        <f t="shared" si="1165"/>
        <v>0</v>
      </c>
      <c r="AO232" s="201">
        <f t="shared" si="1165"/>
        <v>0</v>
      </c>
      <c r="AP232" s="201">
        <f t="shared" si="1165"/>
        <v>0</v>
      </c>
      <c r="AQ232" s="201">
        <f t="shared" si="1165"/>
        <v>0</v>
      </c>
      <c r="AR232" s="200">
        <f t="shared" si="1165"/>
        <v>0</v>
      </c>
      <c r="AS232" s="200">
        <f t="shared" si="1165"/>
        <v>1</v>
      </c>
      <c r="AT232" s="173">
        <v>0.0</v>
      </c>
      <c r="AU232" s="200">
        <f t="shared" ref="AU232:AX232" si="1166">countif($D232,"*"&amp;AU$2&amp;"*")</f>
        <v>0</v>
      </c>
      <c r="AV232" s="200">
        <f t="shared" si="1166"/>
        <v>0</v>
      </c>
      <c r="AW232" s="200">
        <f t="shared" si="1166"/>
        <v>0</v>
      </c>
      <c r="AX232" s="200">
        <f t="shared" si="1166"/>
        <v>1</v>
      </c>
      <c r="AY232" s="202">
        <v>0.0</v>
      </c>
      <c r="AZ232" s="200"/>
      <c r="BA232" s="171" t="str">
        <f t="shared" si="18"/>
        <v>Archival</v>
      </c>
      <c r="BB232" s="171" t="str">
        <f t="shared" si="19"/>
        <v/>
      </c>
      <c r="BC232" s="171" t="str">
        <f t="shared" si="20"/>
        <v/>
      </c>
      <c r="BD232" s="171" t="str">
        <f t="shared" si="21"/>
        <v/>
      </c>
      <c r="BE232" s="171" t="str">
        <f t="shared" si="22"/>
        <v/>
      </c>
      <c r="BF232" s="171" t="str">
        <f t="shared" si="23"/>
        <v>Archival</v>
      </c>
    </row>
    <row r="233">
      <c r="A233" s="171">
        <f t="array" ref="A233">XLOOKUP(C233,ICSE!A:A,ICSE!C:C,,2,1)</f>
        <v>2021</v>
      </c>
      <c r="B233" s="171" t="s">
        <v>5675</v>
      </c>
      <c r="C233" s="160">
        <v>472.0</v>
      </c>
      <c r="D233" s="161" t="s">
        <v>1910</v>
      </c>
      <c r="E233" s="197" t="str">
        <f t="array" ref="E233">XLOOKUP(C233,ICSE!A:A,ICSE!Z:Z,,0,1)</f>
        <v>Publicly available (1)</v>
      </c>
      <c r="F233" s="198" t="s">
        <v>20</v>
      </c>
      <c r="G233" s="163" t="str">
        <f t="array" ref="G233">IF(B233="ICSE",IF(COUNTIFS(B:B,B233,C:C,C233)=XLOOKUP(C233,ICSE!A:A,ICSE!AA:AA,"ERROR",0,1),"OK","ERROR"),IF(B233="FSE",IF(COUNTIFS(B:B,B233,C:C,C233)=XLOOKUP(C233,FSE!A:A,FSE!AA:AA,"ERROR",0,1),"OK","ERROR")))</f>
        <v>OK</v>
      </c>
      <c r="H233" s="199">
        <f t="shared" ref="H233:O233" si="1167">countif($D233,"*"&amp;H$2&amp;"*")</f>
        <v>0</v>
      </c>
      <c r="I233" s="200">
        <f t="shared" si="1167"/>
        <v>0</v>
      </c>
      <c r="J233" s="200">
        <f t="shared" si="1167"/>
        <v>0</v>
      </c>
      <c r="K233" s="200">
        <f t="shared" si="1167"/>
        <v>0</v>
      </c>
      <c r="L233" s="200">
        <f t="shared" si="1167"/>
        <v>0</v>
      </c>
      <c r="M233" s="200">
        <f t="shared" si="1167"/>
        <v>0</v>
      </c>
      <c r="N233" s="200">
        <f t="shared" si="1167"/>
        <v>0</v>
      </c>
      <c r="O233" s="200">
        <f t="shared" si="1167"/>
        <v>0</v>
      </c>
      <c r="P233" s="200">
        <f t="shared" si="9"/>
        <v>1</v>
      </c>
      <c r="Q233" s="200">
        <f t="shared" ref="Q233:AC233" si="1168">countif($D233,"*"&amp;Q$2&amp;"*")</f>
        <v>0</v>
      </c>
      <c r="R233" s="200">
        <f t="shared" si="1168"/>
        <v>0</v>
      </c>
      <c r="S233" s="200">
        <f t="shared" si="1168"/>
        <v>0</v>
      </c>
      <c r="T233" s="200">
        <f t="shared" si="1168"/>
        <v>0</v>
      </c>
      <c r="U233" s="200">
        <f t="shared" si="1168"/>
        <v>0</v>
      </c>
      <c r="V233" s="200">
        <f t="shared" si="1168"/>
        <v>0</v>
      </c>
      <c r="W233" s="200">
        <f t="shared" si="1168"/>
        <v>0</v>
      </c>
      <c r="X233" s="200">
        <f t="shared" si="1168"/>
        <v>0</v>
      </c>
      <c r="Y233" s="200">
        <f t="shared" si="1168"/>
        <v>0</v>
      </c>
      <c r="Z233" s="200">
        <f t="shared" si="1168"/>
        <v>0</v>
      </c>
      <c r="AA233" s="200">
        <f t="shared" si="1168"/>
        <v>0</v>
      </c>
      <c r="AB233" s="200">
        <f t="shared" si="1168"/>
        <v>0</v>
      </c>
      <c r="AC233" s="200">
        <f t="shared" si="1168"/>
        <v>0</v>
      </c>
      <c r="AD233" s="200">
        <f t="shared" si="11"/>
        <v>0</v>
      </c>
      <c r="AE233" s="200">
        <f t="shared" ref="AE233:AG233" si="1169">countif($D233,"*"&amp;AE$2&amp;"*")</f>
        <v>0</v>
      </c>
      <c r="AF233" s="200">
        <f t="shared" si="1169"/>
        <v>0</v>
      </c>
      <c r="AG233" s="200">
        <f t="shared" si="1169"/>
        <v>0</v>
      </c>
      <c r="AH233" s="171">
        <f t="shared" si="13"/>
        <v>0</v>
      </c>
      <c r="AI233" s="200">
        <f t="shared" si="14"/>
        <v>0</v>
      </c>
      <c r="AJ233" s="200">
        <f t="shared" si="1129"/>
        <v>0</v>
      </c>
      <c r="AK233" s="201">
        <f t="shared" ref="AK233:AS233" si="1170">countif($D233,"*"&amp;AK$2&amp;"*")</f>
        <v>0</v>
      </c>
      <c r="AL233" s="201">
        <f t="shared" si="1170"/>
        <v>0</v>
      </c>
      <c r="AM233" s="201">
        <f t="shared" si="1170"/>
        <v>0</v>
      </c>
      <c r="AN233" s="201">
        <f t="shared" si="1170"/>
        <v>0</v>
      </c>
      <c r="AO233" s="201">
        <f t="shared" si="1170"/>
        <v>0</v>
      </c>
      <c r="AP233" s="201">
        <f t="shared" si="1170"/>
        <v>0</v>
      </c>
      <c r="AQ233" s="201">
        <f t="shared" si="1170"/>
        <v>0</v>
      </c>
      <c r="AR233" s="200">
        <f t="shared" si="1170"/>
        <v>0</v>
      </c>
      <c r="AS233" s="200">
        <f t="shared" si="1170"/>
        <v>0</v>
      </c>
      <c r="AT233" s="173">
        <v>0.0</v>
      </c>
      <c r="AU233" s="200">
        <f t="shared" ref="AU233:AX233" si="1171">countif($D233,"*"&amp;AU$2&amp;"*")</f>
        <v>0</v>
      </c>
      <c r="AV233" s="200">
        <f t="shared" si="1171"/>
        <v>1</v>
      </c>
      <c r="AW233" s="200">
        <f t="shared" si="1171"/>
        <v>0</v>
      </c>
      <c r="AX233" s="200">
        <f t="shared" si="1171"/>
        <v>0</v>
      </c>
      <c r="AY233" s="202">
        <v>0.0</v>
      </c>
      <c r="AZ233" s="200"/>
      <c r="BA233" s="171" t="str">
        <f t="shared" si="18"/>
        <v/>
      </c>
      <c r="BB233" s="171" t="str">
        <f t="shared" si="19"/>
        <v>Code</v>
      </c>
      <c r="BC233" s="171" t="str">
        <f t="shared" si="20"/>
        <v/>
      </c>
      <c r="BD233" s="171" t="str">
        <f t="shared" si="21"/>
        <v/>
      </c>
      <c r="BE233" s="171" t="str">
        <f t="shared" si="22"/>
        <v/>
      </c>
      <c r="BF233" s="171" t="str">
        <f t="shared" si="23"/>
        <v>Code</v>
      </c>
    </row>
    <row r="234">
      <c r="A234" s="171">
        <f t="array" ref="A234">XLOOKUP(C234,ICSE!A:A,ICSE!C:C,,2,1)</f>
        <v>2021</v>
      </c>
      <c r="B234" s="171" t="s">
        <v>5675</v>
      </c>
      <c r="C234" s="160">
        <v>474.0</v>
      </c>
      <c r="D234" s="161" t="s">
        <v>5809</v>
      </c>
      <c r="E234" s="197" t="str">
        <f t="array" ref="E234">XLOOKUP(C234,ICSE!A:A,ICSE!Z:Z,,0,1)</f>
        <v>Publicly available (2)</v>
      </c>
      <c r="F234" s="198" t="s">
        <v>20</v>
      </c>
      <c r="G234" s="163" t="str">
        <f t="array" ref="G234">IF(B234="ICSE",IF(COUNTIFS(B:B,B234,C:C,C234)=XLOOKUP(C234,ICSE!A:A,ICSE!AA:AA,"ERROR",0,1),"OK","ERROR"),IF(B234="FSE",IF(COUNTIFS(B:B,B234,C:C,C234)=XLOOKUP(C234,FSE!A:A,FSE!AA:AA,"ERROR",0,1),"OK","ERROR")))</f>
        <v>OK</v>
      </c>
      <c r="H234" s="199">
        <f t="shared" ref="H234:O234" si="1172">countif($D234,"*"&amp;H$2&amp;"*")</f>
        <v>1</v>
      </c>
      <c r="I234" s="200">
        <f t="shared" si="1172"/>
        <v>0</v>
      </c>
      <c r="J234" s="200">
        <f t="shared" si="1172"/>
        <v>0</v>
      </c>
      <c r="K234" s="200">
        <f t="shared" si="1172"/>
        <v>0</v>
      </c>
      <c r="L234" s="200">
        <f t="shared" si="1172"/>
        <v>0</v>
      </c>
      <c r="M234" s="200">
        <f t="shared" si="1172"/>
        <v>0</v>
      </c>
      <c r="N234" s="200">
        <f t="shared" si="1172"/>
        <v>0</v>
      </c>
      <c r="O234" s="200">
        <f t="shared" si="1172"/>
        <v>0</v>
      </c>
      <c r="P234" s="200">
        <f t="shared" si="9"/>
        <v>0</v>
      </c>
      <c r="Q234" s="200">
        <f t="shared" ref="Q234:AC234" si="1173">countif($D234,"*"&amp;Q$2&amp;"*")</f>
        <v>0</v>
      </c>
      <c r="R234" s="200">
        <f t="shared" si="1173"/>
        <v>0</v>
      </c>
      <c r="S234" s="200">
        <f t="shared" si="1173"/>
        <v>0</v>
      </c>
      <c r="T234" s="200">
        <f t="shared" si="1173"/>
        <v>0</v>
      </c>
      <c r="U234" s="200">
        <f t="shared" si="1173"/>
        <v>0</v>
      </c>
      <c r="V234" s="200">
        <f t="shared" si="1173"/>
        <v>0</v>
      </c>
      <c r="W234" s="200">
        <f t="shared" si="1173"/>
        <v>0</v>
      </c>
      <c r="X234" s="200">
        <f t="shared" si="1173"/>
        <v>0</v>
      </c>
      <c r="Y234" s="200">
        <f t="shared" si="1173"/>
        <v>0</v>
      </c>
      <c r="Z234" s="200">
        <f t="shared" si="1173"/>
        <v>0</v>
      </c>
      <c r="AA234" s="200">
        <f t="shared" si="1173"/>
        <v>0</v>
      </c>
      <c r="AB234" s="200">
        <f t="shared" si="1173"/>
        <v>0</v>
      </c>
      <c r="AC234" s="200">
        <f t="shared" si="1173"/>
        <v>0</v>
      </c>
      <c r="AD234" s="200">
        <f t="shared" si="11"/>
        <v>0</v>
      </c>
      <c r="AE234" s="200">
        <f t="shared" ref="AE234:AG234" si="1174">countif($D234,"*"&amp;AE$2&amp;"*")</f>
        <v>0</v>
      </c>
      <c r="AF234" s="200">
        <f t="shared" si="1174"/>
        <v>0</v>
      </c>
      <c r="AG234" s="200">
        <f t="shared" si="1174"/>
        <v>0</v>
      </c>
      <c r="AH234" s="171">
        <f t="shared" si="13"/>
        <v>0</v>
      </c>
      <c r="AI234" s="200">
        <f t="shared" si="14"/>
        <v>1</v>
      </c>
      <c r="AJ234" s="200">
        <f t="shared" si="1129"/>
        <v>0</v>
      </c>
      <c r="AK234" s="201">
        <f t="shared" ref="AK234:AS234" si="1175">countif($D234,"*"&amp;AK$2&amp;"*")</f>
        <v>0</v>
      </c>
      <c r="AL234" s="201">
        <f t="shared" si="1175"/>
        <v>0</v>
      </c>
      <c r="AM234" s="201">
        <f t="shared" si="1175"/>
        <v>0</v>
      </c>
      <c r="AN234" s="201">
        <f t="shared" si="1175"/>
        <v>0</v>
      </c>
      <c r="AO234" s="201">
        <f t="shared" si="1175"/>
        <v>0</v>
      </c>
      <c r="AP234" s="201">
        <f t="shared" si="1175"/>
        <v>0</v>
      </c>
      <c r="AQ234" s="201">
        <f t="shared" si="1175"/>
        <v>0</v>
      </c>
      <c r="AR234" s="200">
        <f t="shared" si="1175"/>
        <v>0</v>
      </c>
      <c r="AS234" s="200">
        <f t="shared" si="1175"/>
        <v>0</v>
      </c>
      <c r="AT234" s="173">
        <v>0.0</v>
      </c>
      <c r="AU234" s="200">
        <f t="shared" ref="AU234:AX234" si="1176">countif($D234,"*"&amp;AU$2&amp;"*")</f>
        <v>0</v>
      </c>
      <c r="AV234" s="200">
        <f t="shared" si="1176"/>
        <v>0</v>
      </c>
      <c r="AW234" s="200">
        <f t="shared" si="1176"/>
        <v>0</v>
      </c>
      <c r="AX234" s="200">
        <f t="shared" si="1176"/>
        <v>1</v>
      </c>
      <c r="AY234" s="202">
        <v>0.0</v>
      </c>
      <c r="AZ234" s="200"/>
      <c r="BA234" s="171" t="str">
        <f t="shared" si="18"/>
        <v>Archival</v>
      </c>
      <c r="BB234" s="171" t="str">
        <f t="shared" si="19"/>
        <v/>
      </c>
      <c r="BC234" s="171" t="str">
        <f t="shared" si="20"/>
        <v/>
      </c>
      <c r="BD234" s="171" t="str">
        <f t="shared" si="21"/>
        <v/>
      </c>
      <c r="BE234" s="171" t="str">
        <f t="shared" si="22"/>
        <v/>
      </c>
      <c r="BF234" s="171" t="str">
        <f t="shared" si="23"/>
        <v>Archival</v>
      </c>
    </row>
    <row r="235">
      <c r="A235" s="171">
        <f t="array" ref="A235">XLOOKUP(C235,ICSE!A:A,ICSE!C:C,,2,1)</f>
        <v>2021</v>
      </c>
      <c r="B235" s="171" t="s">
        <v>5675</v>
      </c>
      <c r="C235" s="160">
        <v>474.0</v>
      </c>
      <c r="D235" s="161" t="s">
        <v>5810</v>
      </c>
      <c r="E235" s="197" t="str">
        <f t="array" ref="E235">XLOOKUP(C235,ICSE!A:A,ICSE!Z:Z,,0,1)</f>
        <v>Publicly available (2)</v>
      </c>
      <c r="F235" s="198" t="s">
        <v>20</v>
      </c>
      <c r="G235" s="163" t="str">
        <f t="array" ref="G235">IF(B235="ICSE",IF(COUNTIFS(B:B,B235,C:C,C235)=XLOOKUP(C235,ICSE!A:A,ICSE!AA:AA,"ERROR",0,1),"OK","ERROR"),IF(B235="FSE",IF(COUNTIFS(B:B,B235,C:C,C235)=XLOOKUP(C235,FSE!A:A,FSE!AA:AA,"ERROR",0,1),"OK","ERROR")))</f>
        <v>OK</v>
      </c>
      <c r="H235" s="199">
        <f t="shared" ref="H235:O235" si="1177">countif($D235,"*"&amp;H$2&amp;"*")</f>
        <v>0</v>
      </c>
      <c r="I235" s="200">
        <f t="shared" si="1177"/>
        <v>0</v>
      </c>
      <c r="J235" s="200">
        <f t="shared" si="1177"/>
        <v>0</v>
      </c>
      <c r="K235" s="200">
        <f t="shared" si="1177"/>
        <v>0</v>
      </c>
      <c r="L235" s="200">
        <f t="shared" si="1177"/>
        <v>0</v>
      </c>
      <c r="M235" s="200">
        <f t="shared" si="1177"/>
        <v>0</v>
      </c>
      <c r="N235" s="200">
        <f t="shared" si="1177"/>
        <v>0</v>
      </c>
      <c r="O235" s="200">
        <f t="shared" si="1177"/>
        <v>0</v>
      </c>
      <c r="P235" s="200">
        <f t="shared" si="9"/>
        <v>1</v>
      </c>
      <c r="Q235" s="200">
        <f t="shared" ref="Q235:AC235" si="1178">countif($D235,"*"&amp;Q$2&amp;"*")</f>
        <v>0</v>
      </c>
      <c r="R235" s="200">
        <f t="shared" si="1178"/>
        <v>0</v>
      </c>
      <c r="S235" s="200">
        <f t="shared" si="1178"/>
        <v>0</v>
      </c>
      <c r="T235" s="200">
        <f t="shared" si="1178"/>
        <v>0</v>
      </c>
      <c r="U235" s="200">
        <f t="shared" si="1178"/>
        <v>0</v>
      </c>
      <c r="V235" s="200">
        <f t="shared" si="1178"/>
        <v>0</v>
      </c>
      <c r="W235" s="200">
        <f t="shared" si="1178"/>
        <v>0</v>
      </c>
      <c r="X235" s="200">
        <f t="shared" si="1178"/>
        <v>0</v>
      </c>
      <c r="Y235" s="200">
        <f t="shared" si="1178"/>
        <v>0</v>
      </c>
      <c r="Z235" s="200">
        <f t="shared" si="1178"/>
        <v>0</v>
      </c>
      <c r="AA235" s="200">
        <f t="shared" si="1178"/>
        <v>0</v>
      </c>
      <c r="AB235" s="200">
        <f t="shared" si="1178"/>
        <v>0</v>
      </c>
      <c r="AC235" s="200">
        <f t="shared" si="1178"/>
        <v>0</v>
      </c>
      <c r="AD235" s="200">
        <f t="shared" si="11"/>
        <v>0</v>
      </c>
      <c r="AE235" s="200">
        <f t="shared" ref="AE235:AG235" si="1179">countif($D235,"*"&amp;AE$2&amp;"*")</f>
        <v>0</v>
      </c>
      <c r="AF235" s="200">
        <f t="shared" si="1179"/>
        <v>0</v>
      </c>
      <c r="AG235" s="200">
        <f t="shared" si="1179"/>
        <v>0</v>
      </c>
      <c r="AH235" s="171">
        <f t="shared" si="13"/>
        <v>0</v>
      </c>
      <c r="AI235" s="200">
        <f t="shared" si="14"/>
        <v>0</v>
      </c>
      <c r="AJ235" s="200">
        <f t="shared" si="1129"/>
        <v>0</v>
      </c>
      <c r="AK235" s="201">
        <f t="shared" ref="AK235:AS235" si="1180">countif($D235,"*"&amp;AK$2&amp;"*")</f>
        <v>0</v>
      </c>
      <c r="AL235" s="201">
        <f t="shared" si="1180"/>
        <v>0</v>
      </c>
      <c r="AM235" s="201">
        <f t="shared" si="1180"/>
        <v>0</v>
      </c>
      <c r="AN235" s="201">
        <f t="shared" si="1180"/>
        <v>0</v>
      </c>
      <c r="AO235" s="201">
        <f t="shared" si="1180"/>
        <v>0</v>
      </c>
      <c r="AP235" s="201">
        <f t="shared" si="1180"/>
        <v>0</v>
      </c>
      <c r="AQ235" s="201">
        <f t="shared" si="1180"/>
        <v>0</v>
      </c>
      <c r="AR235" s="200">
        <f t="shared" si="1180"/>
        <v>0</v>
      </c>
      <c r="AS235" s="200">
        <f t="shared" si="1180"/>
        <v>0</v>
      </c>
      <c r="AT235" s="173">
        <v>0.0</v>
      </c>
      <c r="AU235" s="200">
        <f t="shared" ref="AU235:AX235" si="1181">countif($D235,"*"&amp;AU$2&amp;"*")</f>
        <v>0</v>
      </c>
      <c r="AV235" s="200">
        <f t="shared" si="1181"/>
        <v>1</v>
      </c>
      <c r="AW235" s="200">
        <f t="shared" si="1181"/>
        <v>0</v>
      </c>
      <c r="AX235" s="200">
        <f t="shared" si="1181"/>
        <v>0</v>
      </c>
      <c r="AY235" s="202">
        <v>0.0</v>
      </c>
      <c r="AZ235" s="200"/>
      <c r="BA235" s="171" t="str">
        <f t="shared" si="18"/>
        <v/>
      </c>
      <c r="BB235" s="171" t="str">
        <f t="shared" si="19"/>
        <v>Code</v>
      </c>
      <c r="BC235" s="171" t="str">
        <f t="shared" si="20"/>
        <v/>
      </c>
      <c r="BD235" s="171" t="str">
        <f t="shared" si="21"/>
        <v/>
      </c>
      <c r="BE235" s="171" t="str">
        <f t="shared" si="22"/>
        <v/>
      </c>
      <c r="BF235" s="171" t="str">
        <f t="shared" si="23"/>
        <v>Code</v>
      </c>
    </row>
    <row r="236">
      <c r="A236" s="171">
        <f t="array" ref="A236">XLOOKUP(C236,ICSE!A:A,ICSE!C:C,,2,1)</f>
        <v>2021</v>
      </c>
      <c r="B236" s="171" t="s">
        <v>5675</v>
      </c>
      <c r="C236" s="160">
        <v>475.0</v>
      </c>
      <c r="D236" s="161" t="s">
        <v>1917</v>
      </c>
      <c r="E236" s="197" t="str">
        <f t="array" ref="E236">XLOOKUP(C236,ICSE!A:A,ICSE!Z:Z,,0,1)</f>
        <v>Publicly available (1)</v>
      </c>
      <c r="F236" s="198" t="s">
        <v>20</v>
      </c>
      <c r="G236" s="163" t="str">
        <f t="array" ref="G236">IF(B236="ICSE",IF(COUNTIFS(B:B,B236,C:C,C236)=XLOOKUP(C236,ICSE!A:A,ICSE!AA:AA,"ERROR",0,1),"OK","ERROR"),IF(B236="FSE",IF(COUNTIFS(B:B,B236,C:C,C236)=XLOOKUP(C236,FSE!A:A,FSE!AA:AA,"ERROR",0,1),"OK","ERROR")))</f>
        <v>OK</v>
      </c>
      <c r="H236" s="199">
        <f t="shared" ref="H236:O236" si="1182">countif($D236,"*"&amp;H$2&amp;"*")</f>
        <v>0</v>
      </c>
      <c r="I236" s="200">
        <f t="shared" si="1182"/>
        <v>0</v>
      </c>
      <c r="J236" s="200">
        <f t="shared" si="1182"/>
        <v>0</v>
      </c>
      <c r="K236" s="200">
        <f t="shared" si="1182"/>
        <v>0</v>
      </c>
      <c r="L236" s="200">
        <f t="shared" si="1182"/>
        <v>0</v>
      </c>
      <c r="M236" s="200">
        <f t="shared" si="1182"/>
        <v>0</v>
      </c>
      <c r="N236" s="200">
        <f t="shared" si="1182"/>
        <v>0</v>
      </c>
      <c r="O236" s="200">
        <f t="shared" si="1182"/>
        <v>0</v>
      </c>
      <c r="P236" s="200">
        <f t="shared" si="9"/>
        <v>1</v>
      </c>
      <c r="Q236" s="200">
        <f t="shared" ref="Q236:AC236" si="1183">countif($D236,"*"&amp;Q$2&amp;"*")</f>
        <v>0</v>
      </c>
      <c r="R236" s="200">
        <f t="shared" si="1183"/>
        <v>0</v>
      </c>
      <c r="S236" s="200">
        <f t="shared" si="1183"/>
        <v>0</v>
      </c>
      <c r="T236" s="200">
        <f t="shared" si="1183"/>
        <v>0</v>
      </c>
      <c r="U236" s="200">
        <f t="shared" si="1183"/>
        <v>0</v>
      </c>
      <c r="V236" s="200">
        <f t="shared" si="1183"/>
        <v>0</v>
      </c>
      <c r="W236" s="200">
        <f t="shared" si="1183"/>
        <v>0</v>
      </c>
      <c r="X236" s="200">
        <f t="shared" si="1183"/>
        <v>0</v>
      </c>
      <c r="Y236" s="200">
        <f t="shared" si="1183"/>
        <v>0</v>
      </c>
      <c r="Z236" s="200">
        <f t="shared" si="1183"/>
        <v>0</v>
      </c>
      <c r="AA236" s="200">
        <f t="shared" si="1183"/>
        <v>0</v>
      </c>
      <c r="AB236" s="200">
        <f t="shared" si="1183"/>
        <v>0</v>
      </c>
      <c r="AC236" s="200">
        <f t="shared" si="1183"/>
        <v>0</v>
      </c>
      <c r="AD236" s="200">
        <f t="shared" si="11"/>
        <v>0</v>
      </c>
      <c r="AE236" s="200">
        <f t="shared" ref="AE236:AG236" si="1184">countif($D236,"*"&amp;AE$2&amp;"*")</f>
        <v>0</v>
      </c>
      <c r="AF236" s="200">
        <f t="shared" si="1184"/>
        <v>0</v>
      </c>
      <c r="AG236" s="200">
        <f t="shared" si="1184"/>
        <v>0</v>
      </c>
      <c r="AH236" s="171">
        <f t="shared" si="13"/>
        <v>0</v>
      </c>
      <c r="AI236" s="200">
        <f t="shared" si="14"/>
        <v>0</v>
      </c>
      <c r="AJ236" s="200">
        <f t="shared" si="1129"/>
        <v>0</v>
      </c>
      <c r="AK236" s="201">
        <f t="shared" ref="AK236:AS236" si="1185">countif($D236,"*"&amp;AK$2&amp;"*")</f>
        <v>0</v>
      </c>
      <c r="AL236" s="201">
        <f t="shared" si="1185"/>
        <v>0</v>
      </c>
      <c r="AM236" s="201">
        <f t="shared" si="1185"/>
        <v>0</v>
      </c>
      <c r="AN236" s="201">
        <f t="shared" si="1185"/>
        <v>0</v>
      </c>
      <c r="AO236" s="201">
        <f t="shared" si="1185"/>
        <v>0</v>
      </c>
      <c r="AP236" s="201">
        <f t="shared" si="1185"/>
        <v>0</v>
      </c>
      <c r="AQ236" s="201">
        <f t="shared" si="1185"/>
        <v>0</v>
      </c>
      <c r="AR236" s="200">
        <f t="shared" si="1185"/>
        <v>0</v>
      </c>
      <c r="AS236" s="200">
        <f t="shared" si="1185"/>
        <v>0</v>
      </c>
      <c r="AT236" s="173">
        <v>0.0</v>
      </c>
      <c r="AU236" s="200">
        <f t="shared" ref="AU236:AX236" si="1186">countif($D236,"*"&amp;AU$2&amp;"*")</f>
        <v>0</v>
      </c>
      <c r="AV236" s="200">
        <f t="shared" si="1186"/>
        <v>1</v>
      </c>
      <c r="AW236" s="200">
        <f t="shared" si="1186"/>
        <v>0</v>
      </c>
      <c r="AX236" s="200">
        <f t="shared" si="1186"/>
        <v>0</v>
      </c>
      <c r="AY236" s="202">
        <v>0.0</v>
      </c>
      <c r="AZ236" s="200"/>
      <c r="BA236" s="171" t="str">
        <f t="shared" si="18"/>
        <v/>
      </c>
      <c r="BB236" s="171" t="str">
        <f t="shared" si="19"/>
        <v>Code</v>
      </c>
      <c r="BC236" s="171" t="str">
        <f t="shared" si="20"/>
        <v/>
      </c>
      <c r="BD236" s="171" t="str">
        <f t="shared" si="21"/>
        <v/>
      </c>
      <c r="BE236" s="171" t="str">
        <f t="shared" si="22"/>
        <v/>
      </c>
      <c r="BF236" s="171" t="str">
        <f t="shared" si="23"/>
        <v>Code</v>
      </c>
    </row>
    <row r="237">
      <c r="A237" s="171">
        <f t="array" ref="A237">XLOOKUP(C237,ICSE!A:A,ICSE!C:C,,2,1)</f>
        <v>2021</v>
      </c>
      <c r="B237" s="171" t="s">
        <v>5675</v>
      </c>
      <c r="C237" s="160">
        <v>476.0</v>
      </c>
      <c r="D237" s="161" t="s">
        <v>1920</v>
      </c>
      <c r="E237" s="197" t="str">
        <f t="array" ref="E237">XLOOKUP(C237,ICSE!A:A,ICSE!Z:Z,,0,1)</f>
        <v>Publicly available (1)</v>
      </c>
      <c r="F237" s="198" t="s">
        <v>20</v>
      </c>
      <c r="G237" s="163" t="str">
        <f t="array" ref="G237">IF(B237="ICSE",IF(COUNTIFS(B:B,B237,C:C,C237)=XLOOKUP(C237,ICSE!A:A,ICSE!AA:AA,"ERROR",0,1),"OK","ERROR"),IF(B237="FSE",IF(COUNTIFS(B:B,B237,C:C,C237)=XLOOKUP(C237,FSE!A:A,FSE!AA:AA,"ERROR",0,1),"OK","ERROR")))</f>
        <v>OK</v>
      </c>
      <c r="H237" s="199">
        <f t="shared" ref="H237:O237" si="1187">countif($D237,"*"&amp;H$2&amp;"*")</f>
        <v>0</v>
      </c>
      <c r="I237" s="200">
        <f t="shared" si="1187"/>
        <v>0</v>
      </c>
      <c r="J237" s="200">
        <f t="shared" si="1187"/>
        <v>0</v>
      </c>
      <c r="K237" s="200">
        <f t="shared" si="1187"/>
        <v>0</v>
      </c>
      <c r="L237" s="200">
        <f t="shared" si="1187"/>
        <v>0</v>
      </c>
      <c r="M237" s="200">
        <f t="shared" si="1187"/>
        <v>0</v>
      </c>
      <c r="N237" s="200">
        <f t="shared" si="1187"/>
        <v>0</v>
      </c>
      <c r="O237" s="200">
        <f t="shared" si="1187"/>
        <v>0</v>
      </c>
      <c r="P237" s="200">
        <f t="shared" si="9"/>
        <v>1</v>
      </c>
      <c r="Q237" s="200">
        <f t="shared" ref="Q237:AC237" si="1188">countif($D237,"*"&amp;Q$2&amp;"*")</f>
        <v>0</v>
      </c>
      <c r="R237" s="200">
        <f t="shared" si="1188"/>
        <v>0</v>
      </c>
      <c r="S237" s="200">
        <f t="shared" si="1188"/>
        <v>0</v>
      </c>
      <c r="T237" s="200">
        <f t="shared" si="1188"/>
        <v>0</v>
      </c>
      <c r="U237" s="200">
        <f t="shared" si="1188"/>
        <v>0</v>
      </c>
      <c r="V237" s="200">
        <f t="shared" si="1188"/>
        <v>0</v>
      </c>
      <c r="W237" s="200">
        <f t="shared" si="1188"/>
        <v>0</v>
      </c>
      <c r="X237" s="200">
        <f t="shared" si="1188"/>
        <v>0</v>
      </c>
      <c r="Y237" s="200">
        <f t="shared" si="1188"/>
        <v>0</v>
      </c>
      <c r="Z237" s="200">
        <f t="shared" si="1188"/>
        <v>0</v>
      </c>
      <c r="AA237" s="200">
        <f t="shared" si="1188"/>
        <v>0</v>
      </c>
      <c r="AB237" s="200">
        <f t="shared" si="1188"/>
        <v>0</v>
      </c>
      <c r="AC237" s="200">
        <f t="shared" si="1188"/>
        <v>0</v>
      </c>
      <c r="AD237" s="200">
        <f t="shared" si="11"/>
        <v>0</v>
      </c>
      <c r="AE237" s="200">
        <f t="shared" ref="AE237:AG237" si="1189">countif($D237,"*"&amp;AE$2&amp;"*")</f>
        <v>0</v>
      </c>
      <c r="AF237" s="200">
        <f t="shared" si="1189"/>
        <v>0</v>
      </c>
      <c r="AG237" s="200">
        <f t="shared" si="1189"/>
        <v>0</v>
      </c>
      <c r="AH237" s="171">
        <f t="shared" si="13"/>
        <v>0</v>
      </c>
      <c r="AI237" s="200">
        <f t="shared" si="14"/>
        <v>0</v>
      </c>
      <c r="AJ237" s="200">
        <f t="shared" si="1129"/>
        <v>0</v>
      </c>
      <c r="AK237" s="201">
        <f t="shared" ref="AK237:AS237" si="1190">countif($D237,"*"&amp;AK$2&amp;"*")</f>
        <v>0</v>
      </c>
      <c r="AL237" s="201">
        <f t="shared" si="1190"/>
        <v>0</v>
      </c>
      <c r="AM237" s="201">
        <f t="shared" si="1190"/>
        <v>0</v>
      </c>
      <c r="AN237" s="201">
        <f t="shared" si="1190"/>
        <v>0</v>
      </c>
      <c r="AO237" s="201">
        <f t="shared" si="1190"/>
        <v>0</v>
      </c>
      <c r="AP237" s="201">
        <f t="shared" si="1190"/>
        <v>0</v>
      </c>
      <c r="AQ237" s="201">
        <f t="shared" si="1190"/>
        <v>0</v>
      </c>
      <c r="AR237" s="200">
        <f t="shared" si="1190"/>
        <v>0</v>
      </c>
      <c r="AS237" s="200">
        <f t="shared" si="1190"/>
        <v>0</v>
      </c>
      <c r="AT237" s="173">
        <v>0.0</v>
      </c>
      <c r="AU237" s="200">
        <f t="shared" ref="AU237:AX237" si="1191">countif($D237,"*"&amp;AU$2&amp;"*")</f>
        <v>0</v>
      </c>
      <c r="AV237" s="200">
        <f t="shared" si="1191"/>
        <v>1</v>
      </c>
      <c r="AW237" s="200">
        <f t="shared" si="1191"/>
        <v>0</v>
      </c>
      <c r="AX237" s="200">
        <f t="shared" si="1191"/>
        <v>0</v>
      </c>
      <c r="AY237" s="202">
        <v>0.0</v>
      </c>
      <c r="AZ237" s="200"/>
      <c r="BA237" s="171" t="str">
        <f t="shared" si="18"/>
        <v/>
      </c>
      <c r="BB237" s="171" t="str">
        <f t="shared" si="19"/>
        <v>Code</v>
      </c>
      <c r="BC237" s="171" t="str">
        <f t="shared" si="20"/>
        <v/>
      </c>
      <c r="BD237" s="171" t="str">
        <f t="shared" si="21"/>
        <v/>
      </c>
      <c r="BE237" s="171" t="str">
        <f t="shared" si="22"/>
        <v/>
      </c>
      <c r="BF237" s="171" t="str">
        <f t="shared" si="23"/>
        <v>Code</v>
      </c>
    </row>
    <row r="238">
      <c r="A238" s="171">
        <f t="array" ref="A238">XLOOKUP(C238,ICSE!A:A,ICSE!C:C,,2,1)</f>
        <v>2021</v>
      </c>
      <c r="B238" s="171" t="s">
        <v>5675</v>
      </c>
      <c r="C238" s="160">
        <v>477.0</v>
      </c>
      <c r="D238" s="161" t="s">
        <v>1922</v>
      </c>
      <c r="E238" s="197" t="str">
        <f t="array" ref="E238">XLOOKUP(C238,ICSE!A:A,ICSE!Z:Z,,0,1)</f>
        <v>Publicly available (1)</v>
      </c>
      <c r="F238" s="198" t="s">
        <v>20</v>
      </c>
      <c r="G238" s="163" t="str">
        <f t="array" ref="G238">IF(B238="ICSE",IF(COUNTIFS(B:B,B238,C:C,C238)=XLOOKUP(C238,ICSE!A:A,ICSE!AA:AA,"ERROR",0,1),"OK","ERROR"),IF(B238="FSE",IF(COUNTIFS(B:B,B238,C:C,C238)=XLOOKUP(C238,FSE!A:A,FSE!AA:AA,"ERROR",0,1),"OK","ERROR")))</f>
        <v>OK</v>
      </c>
      <c r="H238" s="199">
        <f t="shared" ref="H238:O238" si="1192">countif($D238,"*"&amp;H$2&amp;"*")</f>
        <v>0</v>
      </c>
      <c r="I238" s="200">
        <f t="shared" si="1192"/>
        <v>0</v>
      </c>
      <c r="J238" s="200">
        <f t="shared" si="1192"/>
        <v>0</v>
      </c>
      <c r="K238" s="200">
        <f t="shared" si="1192"/>
        <v>0</v>
      </c>
      <c r="L238" s="200">
        <f t="shared" si="1192"/>
        <v>0</v>
      </c>
      <c r="M238" s="200">
        <f t="shared" si="1192"/>
        <v>0</v>
      </c>
      <c r="N238" s="200">
        <f t="shared" si="1192"/>
        <v>0</v>
      </c>
      <c r="O238" s="200">
        <f t="shared" si="1192"/>
        <v>0</v>
      </c>
      <c r="P238" s="200">
        <f t="shared" si="9"/>
        <v>1</v>
      </c>
      <c r="Q238" s="200">
        <f t="shared" ref="Q238:AC238" si="1193">countif($D238,"*"&amp;Q$2&amp;"*")</f>
        <v>0</v>
      </c>
      <c r="R238" s="200">
        <f t="shared" si="1193"/>
        <v>0</v>
      </c>
      <c r="S238" s="200">
        <f t="shared" si="1193"/>
        <v>0</v>
      </c>
      <c r="T238" s="200">
        <f t="shared" si="1193"/>
        <v>0</v>
      </c>
      <c r="U238" s="200">
        <f t="shared" si="1193"/>
        <v>0</v>
      </c>
      <c r="V238" s="200">
        <f t="shared" si="1193"/>
        <v>0</v>
      </c>
      <c r="W238" s="200">
        <f t="shared" si="1193"/>
        <v>0</v>
      </c>
      <c r="X238" s="200">
        <f t="shared" si="1193"/>
        <v>0</v>
      </c>
      <c r="Y238" s="200">
        <f t="shared" si="1193"/>
        <v>0</v>
      </c>
      <c r="Z238" s="200">
        <f t="shared" si="1193"/>
        <v>0</v>
      </c>
      <c r="AA238" s="200">
        <f t="shared" si="1193"/>
        <v>0</v>
      </c>
      <c r="AB238" s="200">
        <f t="shared" si="1193"/>
        <v>0</v>
      </c>
      <c r="AC238" s="200">
        <f t="shared" si="1193"/>
        <v>0</v>
      </c>
      <c r="AD238" s="200">
        <f t="shared" si="11"/>
        <v>0</v>
      </c>
      <c r="AE238" s="200">
        <f t="shared" ref="AE238:AG238" si="1194">countif($D238,"*"&amp;AE$2&amp;"*")</f>
        <v>0</v>
      </c>
      <c r="AF238" s="200">
        <f t="shared" si="1194"/>
        <v>0</v>
      </c>
      <c r="AG238" s="200">
        <f t="shared" si="1194"/>
        <v>0</v>
      </c>
      <c r="AH238" s="171">
        <f t="shared" si="13"/>
        <v>0</v>
      </c>
      <c r="AI238" s="200">
        <f t="shared" si="14"/>
        <v>0</v>
      </c>
      <c r="AJ238" s="200">
        <f t="shared" si="1129"/>
        <v>0</v>
      </c>
      <c r="AK238" s="201">
        <f t="shared" ref="AK238:AS238" si="1195">countif($D238,"*"&amp;AK$2&amp;"*")</f>
        <v>0</v>
      </c>
      <c r="AL238" s="201">
        <f t="shared" si="1195"/>
        <v>0</v>
      </c>
      <c r="AM238" s="201">
        <f t="shared" si="1195"/>
        <v>0</v>
      </c>
      <c r="AN238" s="201">
        <f t="shared" si="1195"/>
        <v>0</v>
      </c>
      <c r="AO238" s="201">
        <f t="shared" si="1195"/>
        <v>0</v>
      </c>
      <c r="AP238" s="201">
        <f t="shared" si="1195"/>
        <v>0</v>
      </c>
      <c r="AQ238" s="201">
        <f t="shared" si="1195"/>
        <v>0</v>
      </c>
      <c r="AR238" s="200">
        <f t="shared" si="1195"/>
        <v>0</v>
      </c>
      <c r="AS238" s="200">
        <f t="shared" si="1195"/>
        <v>0</v>
      </c>
      <c r="AT238" s="173">
        <v>0.0</v>
      </c>
      <c r="AU238" s="200">
        <f t="shared" ref="AU238:AX238" si="1196">countif($D238,"*"&amp;AU$2&amp;"*")</f>
        <v>0</v>
      </c>
      <c r="AV238" s="200">
        <f t="shared" si="1196"/>
        <v>1</v>
      </c>
      <c r="AW238" s="200">
        <f t="shared" si="1196"/>
        <v>0</v>
      </c>
      <c r="AX238" s="200">
        <f t="shared" si="1196"/>
        <v>0</v>
      </c>
      <c r="AY238" s="202">
        <v>0.0</v>
      </c>
      <c r="AZ238" s="200"/>
      <c r="BA238" s="171" t="str">
        <f t="shared" si="18"/>
        <v/>
      </c>
      <c r="BB238" s="171" t="str">
        <f t="shared" si="19"/>
        <v>Code</v>
      </c>
      <c r="BC238" s="171" t="str">
        <f t="shared" si="20"/>
        <v/>
      </c>
      <c r="BD238" s="171" t="str">
        <f t="shared" si="21"/>
        <v/>
      </c>
      <c r="BE238" s="171" t="str">
        <f t="shared" si="22"/>
        <v/>
      </c>
      <c r="BF238" s="171" t="str">
        <f t="shared" si="23"/>
        <v>Code</v>
      </c>
    </row>
    <row r="239">
      <c r="A239" s="171">
        <f t="array" ref="A239">XLOOKUP(C239,ICSE!A:A,ICSE!C:C,,2,1)</f>
        <v>2021</v>
      </c>
      <c r="B239" s="171" t="s">
        <v>5675</v>
      </c>
      <c r="C239" s="160">
        <v>478.0</v>
      </c>
      <c r="D239" s="161" t="s">
        <v>5811</v>
      </c>
      <c r="E239" s="197" t="str">
        <f t="array" ref="E239">XLOOKUP(C239,ICSE!A:A,ICSE!Z:Z,,0,1)</f>
        <v>Publicly available (2)</v>
      </c>
      <c r="F239" s="198" t="s">
        <v>20</v>
      </c>
      <c r="G239" s="163" t="str">
        <f t="array" ref="G239">IF(B239="ICSE",IF(COUNTIFS(B:B,B239,C:C,C239)=XLOOKUP(C239,ICSE!A:A,ICSE!AA:AA,"ERROR",0,1),"OK","ERROR"),IF(B239="FSE",IF(COUNTIFS(B:B,B239,C:C,C239)=XLOOKUP(C239,FSE!A:A,FSE!AA:AA,"ERROR",0,1),"OK","ERROR")))</f>
        <v>OK</v>
      </c>
      <c r="H239" s="199">
        <f t="shared" ref="H239:O239" si="1197">countif($D239,"*"&amp;H$2&amp;"*")</f>
        <v>1</v>
      </c>
      <c r="I239" s="200">
        <f t="shared" si="1197"/>
        <v>0</v>
      </c>
      <c r="J239" s="200">
        <f t="shared" si="1197"/>
        <v>0</v>
      </c>
      <c r="K239" s="200">
        <f t="shared" si="1197"/>
        <v>0</v>
      </c>
      <c r="L239" s="200">
        <f t="shared" si="1197"/>
        <v>0</v>
      </c>
      <c r="M239" s="200">
        <f t="shared" si="1197"/>
        <v>0</v>
      </c>
      <c r="N239" s="200">
        <f t="shared" si="1197"/>
        <v>0</v>
      </c>
      <c r="O239" s="200">
        <f t="shared" si="1197"/>
        <v>0</v>
      </c>
      <c r="P239" s="200">
        <f t="shared" si="9"/>
        <v>0</v>
      </c>
      <c r="Q239" s="200">
        <f t="shared" ref="Q239:AC239" si="1198">countif($D239,"*"&amp;Q$2&amp;"*")</f>
        <v>0</v>
      </c>
      <c r="R239" s="200">
        <f t="shared" si="1198"/>
        <v>0</v>
      </c>
      <c r="S239" s="200">
        <f t="shared" si="1198"/>
        <v>0</v>
      </c>
      <c r="T239" s="200">
        <f t="shared" si="1198"/>
        <v>0</v>
      </c>
      <c r="U239" s="200">
        <f t="shared" si="1198"/>
        <v>0</v>
      </c>
      <c r="V239" s="200">
        <f t="shared" si="1198"/>
        <v>0</v>
      </c>
      <c r="W239" s="200">
        <f t="shared" si="1198"/>
        <v>0</v>
      </c>
      <c r="X239" s="200">
        <f t="shared" si="1198"/>
        <v>0</v>
      </c>
      <c r="Y239" s="200">
        <f t="shared" si="1198"/>
        <v>0</v>
      </c>
      <c r="Z239" s="200">
        <f t="shared" si="1198"/>
        <v>0</v>
      </c>
      <c r="AA239" s="200">
        <f t="shared" si="1198"/>
        <v>0</v>
      </c>
      <c r="AB239" s="200">
        <f t="shared" si="1198"/>
        <v>0</v>
      </c>
      <c r="AC239" s="200">
        <f t="shared" si="1198"/>
        <v>0</v>
      </c>
      <c r="AD239" s="200">
        <f t="shared" si="11"/>
        <v>0</v>
      </c>
      <c r="AE239" s="200">
        <f t="shared" ref="AE239:AG239" si="1199">countif($D239,"*"&amp;AE$2&amp;"*")</f>
        <v>0</v>
      </c>
      <c r="AF239" s="200">
        <f t="shared" si="1199"/>
        <v>0</v>
      </c>
      <c r="AG239" s="200">
        <f t="shared" si="1199"/>
        <v>0</v>
      </c>
      <c r="AH239" s="171">
        <f t="shared" si="13"/>
        <v>0</v>
      </c>
      <c r="AI239" s="200">
        <f t="shared" si="14"/>
        <v>1</v>
      </c>
      <c r="AJ239" s="200">
        <f t="shared" si="1129"/>
        <v>0</v>
      </c>
      <c r="AK239" s="201">
        <f t="shared" ref="AK239:AS239" si="1200">countif($D239,"*"&amp;AK$2&amp;"*")</f>
        <v>0</v>
      </c>
      <c r="AL239" s="201">
        <f t="shared" si="1200"/>
        <v>0</v>
      </c>
      <c r="AM239" s="201">
        <f t="shared" si="1200"/>
        <v>0</v>
      </c>
      <c r="AN239" s="201">
        <f t="shared" si="1200"/>
        <v>0</v>
      </c>
      <c r="AO239" s="201">
        <f t="shared" si="1200"/>
        <v>0</v>
      </c>
      <c r="AP239" s="201">
        <f t="shared" si="1200"/>
        <v>0</v>
      </c>
      <c r="AQ239" s="201">
        <f t="shared" si="1200"/>
        <v>0</v>
      </c>
      <c r="AR239" s="200">
        <f t="shared" si="1200"/>
        <v>0</v>
      </c>
      <c r="AS239" s="200">
        <f t="shared" si="1200"/>
        <v>0</v>
      </c>
      <c r="AT239" s="173">
        <v>0.0</v>
      </c>
      <c r="AU239" s="200">
        <f t="shared" ref="AU239:AX239" si="1201">countif($D239,"*"&amp;AU$2&amp;"*")</f>
        <v>0</v>
      </c>
      <c r="AV239" s="200">
        <f t="shared" si="1201"/>
        <v>0</v>
      </c>
      <c r="AW239" s="200">
        <f t="shared" si="1201"/>
        <v>0</v>
      </c>
      <c r="AX239" s="200">
        <f t="shared" si="1201"/>
        <v>0</v>
      </c>
      <c r="AY239" s="204">
        <v>1.0</v>
      </c>
      <c r="AZ239" s="200"/>
      <c r="BA239" s="171" t="str">
        <f t="shared" si="18"/>
        <v>Archival</v>
      </c>
      <c r="BB239" s="171" t="str">
        <f t="shared" si="19"/>
        <v/>
      </c>
      <c r="BC239" s="171" t="str">
        <f t="shared" si="20"/>
        <v/>
      </c>
      <c r="BD239" s="171" t="str">
        <f t="shared" si="21"/>
        <v/>
      </c>
      <c r="BE239" s="171" t="str">
        <f t="shared" si="22"/>
        <v/>
      </c>
      <c r="BF239" s="171" t="str">
        <f t="shared" si="23"/>
        <v>Archival</v>
      </c>
    </row>
    <row r="240">
      <c r="A240" s="171">
        <f t="array" ref="A240">XLOOKUP(C240,ICSE!A:A,ICSE!C:C,,2,1)</f>
        <v>2021</v>
      </c>
      <c r="B240" s="171" t="s">
        <v>5675</v>
      </c>
      <c r="C240" s="160">
        <v>478.0</v>
      </c>
      <c r="D240" s="161" t="s">
        <v>5812</v>
      </c>
      <c r="E240" s="197" t="str">
        <f t="array" ref="E240">XLOOKUP(C240,ICSE!A:A,ICSE!Z:Z,,0,1)</f>
        <v>Publicly available (2)</v>
      </c>
      <c r="F240" s="198" t="s">
        <v>20</v>
      </c>
      <c r="G240" s="163" t="str">
        <f t="array" ref="G240">IF(B240="ICSE",IF(COUNTIFS(B:B,B240,C:C,C240)=XLOOKUP(C240,ICSE!A:A,ICSE!AA:AA,"ERROR",0,1),"OK","ERROR"),IF(B240="FSE",IF(COUNTIFS(B:B,B240,C:C,C240)=XLOOKUP(C240,FSE!A:A,FSE!AA:AA,"ERROR",0,1),"OK","ERROR")))</f>
        <v>OK</v>
      </c>
      <c r="H240" s="199">
        <f t="shared" ref="H240:O240" si="1202">countif($D240,"*"&amp;H$2&amp;"*")</f>
        <v>0</v>
      </c>
      <c r="I240" s="200">
        <f t="shared" si="1202"/>
        <v>0</v>
      </c>
      <c r="J240" s="200">
        <f t="shared" si="1202"/>
        <v>0</v>
      </c>
      <c r="K240" s="200">
        <f t="shared" si="1202"/>
        <v>0</v>
      </c>
      <c r="L240" s="200">
        <f t="shared" si="1202"/>
        <v>0</v>
      </c>
      <c r="M240" s="200">
        <f t="shared" si="1202"/>
        <v>0</v>
      </c>
      <c r="N240" s="200">
        <f t="shared" si="1202"/>
        <v>0</v>
      </c>
      <c r="O240" s="200">
        <f t="shared" si="1202"/>
        <v>0</v>
      </c>
      <c r="P240" s="200">
        <f t="shared" si="9"/>
        <v>1</v>
      </c>
      <c r="Q240" s="200">
        <f t="shared" ref="Q240:AC240" si="1203">countif($D240,"*"&amp;Q$2&amp;"*")</f>
        <v>0</v>
      </c>
      <c r="R240" s="200">
        <f t="shared" si="1203"/>
        <v>0</v>
      </c>
      <c r="S240" s="200">
        <f t="shared" si="1203"/>
        <v>0</v>
      </c>
      <c r="T240" s="200">
        <f t="shared" si="1203"/>
        <v>0</v>
      </c>
      <c r="U240" s="200">
        <f t="shared" si="1203"/>
        <v>0</v>
      </c>
      <c r="V240" s="200">
        <f t="shared" si="1203"/>
        <v>0</v>
      </c>
      <c r="W240" s="200">
        <f t="shared" si="1203"/>
        <v>0</v>
      </c>
      <c r="X240" s="200">
        <f t="shared" si="1203"/>
        <v>0</v>
      </c>
      <c r="Y240" s="200">
        <f t="shared" si="1203"/>
        <v>0</v>
      </c>
      <c r="Z240" s="200">
        <f t="shared" si="1203"/>
        <v>0</v>
      </c>
      <c r="AA240" s="200">
        <f t="shared" si="1203"/>
        <v>0</v>
      </c>
      <c r="AB240" s="200">
        <f t="shared" si="1203"/>
        <v>0</v>
      </c>
      <c r="AC240" s="200">
        <f t="shared" si="1203"/>
        <v>0</v>
      </c>
      <c r="AD240" s="200">
        <f t="shared" si="11"/>
        <v>0</v>
      </c>
      <c r="AE240" s="200">
        <f t="shared" ref="AE240:AG240" si="1204">countif($D240,"*"&amp;AE$2&amp;"*")</f>
        <v>0</v>
      </c>
      <c r="AF240" s="200">
        <f t="shared" si="1204"/>
        <v>0</v>
      </c>
      <c r="AG240" s="200">
        <f t="shared" si="1204"/>
        <v>0</v>
      </c>
      <c r="AH240" s="171">
        <f t="shared" si="13"/>
        <v>0</v>
      </c>
      <c r="AI240" s="200">
        <f t="shared" si="14"/>
        <v>0</v>
      </c>
      <c r="AJ240" s="200">
        <f t="shared" si="1129"/>
        <v>0</v>
      </c>
      <c r="AK240" s="201">
        <f t="shared" ref="AK240:AS240" si="1205">countif($D240,"*"&amp;AK$2&amp;"*")</f>
        <v>0</v>
      </c>
      <c r="AL240" s="201">
        <f t="shared" si="1205"/>
        <v>0</v>
      </c>
      <c r="AM240" s="201">
        <f t="shared" si="1205"/>
        <v>0</v>
      </c>
      <c r="AN240" s="201">
        <f t="shared" si="1205"/>
        <v>0</v>
      </c>
      <c r="AO240" s="201">
        <f t="shared" si="1205"/>
        <v>0</v>
      </c>
      <c r="AP240" s="201">
        <f t="shared" si="1205"/>
        <v>0</v>
      </c>
      <c r="AQ240" s="201">
        <f t="shared" si="1205"/>
        <v>0</v>
      </c>
      <c r="AR240" s="200">
        <f t="shared" si="1205"/>
        <v>0</v>
      </c>
      <c r="AS240" s="200">
        <f t="shared" si="1205"/>
        <v>0</v>
      </c>
      <c r="AT240" s="173">
        <v>0.0</v>
      </c>
      <c r="AU240" s="200">
        <f t="shared" ref="AU240:AX240" si="1206">countif($D240,"*"&amp;AU$2&amp;"*")</f>
        <v>0</v>
      </c>
      <c r="AV240" s="200">
        <f t="shared" si="1206"/>
        <v>1</v>
      </c>
      <c r="AW240" s="200">
        <f t="shared" si="1206"/>
        <v>0</v>
      </c>
      <c r="AX240" s="200">
        <f t="shared" si="1206"/>
        <v>0</v>
      </c>
      <c r="AY240" s="202">
        <v>0.0</v>
      </c>
      <c r="AZ240" s="200"/>
      <c r="BA240" s="171" t="str">
        <f t="shared" si="18"/>
        <v/>
      </c>
      <c r="BB240" s="171" t="str">
        <f t="shared" si="19"/>
        <v>Code</v>
      </c>
      <c r="BC240" s="171" t="str">
        <f t="shared" si="20"/>
        <v/>
      </c>
      <c r="BD240" s="171" t="str">
        <f t="shared" si="21"/>
        <v/>
      </c>
      <c r="BE240" s="171" t="str">
        <f t="shared" si="22"/>
        <v/>
      </c>
      <c r="BF240" s="171" t="str">
        <f t="shared" si="23"/>
        <v>Code</v>
      </c>
    </row>
    <row r="241">
      <c r="A241" s="171">
        <f t="array" ref="A241">XLOOKUP(C241,ICSE!A:A,ICSE!C:C,,2,1)</f>
        <v>2021</v>
      </c>
      <c r="B241" s="171" t="s">
        <v>5675</v>
      </c>
      <c r="C241" s="160">
        <v>479.0</v>
      </c>
      <c r="D241" s="161" t="s">
        <v>1928</v>
      </c>
      <c r="E241" s="197" t="str">
        <f t="array" ref="E241">XLOOKUP(C241,ICSE!A:A,ICSE!Z:Z,,0,1)</f>
        <v>Publicly available (1)</v>
      </c>
      <c r="F241" s="198" t="s">
        <v>20</v>
      </c>
      <c r="G241" s="163" t="str">
        <f t="array" ref="G241">IF(B241="ICSE",IF(COUNTIFS(B:B,B241,C:C,C241)=XLOOKUP(C241,ICSE!A:A,ICSE!AA:AA,"ERROR",0,1),"OK","ERROR"),IF(B241="FSE",IF(COUNTIFS(B:B,B241,C:C,C241)=XLOOKUP(C241,FSE!A:A,FSE!AA:AA,"ERROR",0,1),"OK","ERROR")))</f>
        <v>OK</v>
      </c>
      <c r="H241" s="199">
        <f t="shared" ref="H241:O241" si="1207">countif($D241,"*"&amp;H$2&amp;"*")</f>
        <v>0</v>
      </c>
      <c r="I241" s="200">
        <f t="shared" si="1207"/>
        <v>0</v>
      </c>
      <c r="J241" s="200">
        <f t="shared" si="1207"/>
        <v>0</v>
      </c>
      <c r="K241" s="200">
        <f t="shared" si="1207"/>
        <v>0</v>
      </c>
      <c r="L241" s="200">
        <f t="shared" si="1207"/>
        <v>0</v>
      </c>
      <c r="M241" s="200">
        <f t="shared" si="1207"/>
        <v>0</v>
      </c>
      <c r="N241" s="200">
        <f t="shared" si="1207"/>
        <v>0</v>
      </c>
      <c r="O241" s="200">
        <f t="shared" si="1207"/>
        <v>0</v>
      </c>
      <c r="P241" s="200">
        <f t="shared" si="9"/>
        <v>1</v>
      </c>
      <c r="Q241" s="200">
        <f t="shared" ref="Q241:AC241" si="1208">countif($D241,"*"&amp;Q$2&amp;"*")</f>
        <v>0</v>
      </c>
      <c r="R241" s="200">
        <f t="shared" si="1208"/>
        <v>0</v>
      </c>
      <c r="S241" s="200">
        <f t="shared" si="1208"/>
        <v>0</v>
      </c>
      <c r="T241" s="200">
        <f t="shared" si="1208"/>
        <v>0</v>
      </c>
      <c r="U241" s="200">
        <f t="shared" si="1208"/>
        <v>0</v>
      </c>
      <c r="V241" s="200">
        <f t="shared" si="1208"/>
        <v>0</v>
      </c>
      <c r="W241" s="200">
        <f t="shared" si="1208"/>
        <v>0</v>
      </c>
      <c r="X241" s="200">
        <f t="shared" si="1208"/>
        <v>0</v>
      </c>
      <c r="Y241" s="200">
        <f t="shared" si="1208"/>
        <v>0</v>
      </c>
      <c r="Z241" s="200">
        <f t="shared" si="1208"/>
        <v>0</v>
      </c>
      <c r="AA241" s="200">
        <f t="shared" si="1208"/>
        <v>0</v>
      </c>
      <c r="AB241" s="200">
        <f t="shared" si="1208"/>
        <v>0</v>
      </c>
      <c r="AC241" s="200">
        <f t="shared" si="1208"/>
        <v>0</v>
      </c>
      <c r="AD241" s="200">
        <f t="shared" si="11"/>
        <v>0</v>
      </c>
      <c r="AE241" s="200">
        <f t="shared" ref="AE241:AG241" si="1209">countif($D241,"*"&amp;AE$2&amp;"*")</f>
        <v>0</v>
      </c>
      <c r="AF241" s="200">
        <f t="shared" si="1209"/>
        <v>0</v>
      </c>
      <c r="AG241" s="200">
        <f t="shared" si="1209"/>
        <v>0</v>
      </c>
      <c r="AH241" s="171">
        <f t="shared" si="13"/>
        <v>0</v>
      </c>
      <c r="AI241" s="200">
        <f t="shared" si="14"/>
        <v>0</v>
      </c>
      <c r="AJ241" s="200">
        <f t="shared" si="1129"/>
        <v>0</v>
      </c>
      <c r="AK241" s="201">
        <f t="shared" ref="AK241:AS241" si="1210">countif($D241,"*"&amp;AK$2&amp;"*")</f>
        <v>0</v>
      </c>
      <c r="AL241" s="201">
        <f t="shared" si="1210"/>
        <v>0</v>
      </c>
      <c r="AM241" s="201">
        <f t="shared" si="1210"/>
        <v>0</v>
      </c>
      <c r="AN241" s="201">
        <f t="shared" si="1210"/>
        <v>0</v>
      </c>
      <c r="AO241" s="201">
        <f t="shared" si="1210"/>
        <v>0</v>
      </c>
      <c r="AP241" s="201">
        <f t="shared" si="1210"/>
        <v>0</v>
      </c>
      <c r="AQ241" s="201">
        <f t="shared" si="1210"/>
        <v>0</v>
      </c>
      <c r="AR241" s="200">
        <f t="shared" si="1210"/>
        <v>0</v>
      </c>
      <c r="AS241" s="200">
        <f t="shared" si="1210"/>
        <v>0</v>
      </c>
      <c r="AT241" s="173">
        <v>0.0</v>
      </c>
      <c r="AU241" s="200">
        <f t="shared" ref="AU241:AX241" si="1211">countif($D241,"*"&amp;AU$2&amp;"*")</f>
        <v>0</v>
      </c>
      <c r="AV241" s="200">
        <f t="shared" si="1211"/>
        <v>1</v>
      </c>
      <c r="AW241" s="200">
        <f t="shared" si="1211"/>
        <v>0</v>
      </c>
      <c r="AX241" s="200">
        <f t="shared" si="1211"/>
        <v>0</v>
      </c>
      <c r="AY241" s="202">
        <v>0.0</v>
      </c>
      <c r="AZ241" s="200"/>
      <c r="BA241" s="171" t="str">
        <f t="shared" si="18"/>
        <v/>
      </c>
      <c r="BB241" s="171" t="str">
        <f t="shared" si="19"/>
        <v>Code</v>
      </c>
      <c r="BC241" s="171" t="str">
        <f t="shared" si="20"/>
        <v/>
      </c>
      <c r="BD241" s="171" t="str">
        <f t="shared" si="21"/>
        <v/>
      </c>
      <c r="BE241" s="171" t="str">
        <f t="shared" si="22"/>
        <v/>
      </c>
      <c r="BF241" s="171" t="str">
        <f t="shared" si="23"/>
        <v>Code</v>
      </c>
    </row>
    <row r="242">
      <c r="A242" s="171">
        <f t="array" ref="A242">XLOOKUP(C242,ICSE!A:A,ICSE!C:C,,2,1)</f>
        <v>2021</v>
      </c>
      <c r="B242" s="171" t="s">
        <v>5675</v>
      </c>
      <c r="C242" s="160">
        <v>480.0</v>
      </c>
      <c r="D242" s="161" t="s">
        <v>1931</v>
      </c>
      <c r="E242" s="197" t="str">
        <f t="array" ref="E242">XLOOKUP(C242,ICSE!A:A,ICSE!Z:Z,,0,1)</f>
        <v>Publicly available (1)</v>
      </c>
      <c r="F242" s="198" t="s">
        <v>20</v>
      </c>
      <c r="G242" s="163" t="str">
        <f t="array" ref="G242">IF(B242="ICSE",IF(COUNTIFS(B:B,B242,C:C,C242)=XLOOKUP(C242,ICSE!A:A,ICSE!AA:AA,"ERROR",0,1),"OK","ERROR"),IF(B242="FSE",IF(COUNTIFS(B:B,B242,C:C,C242)=XLOOKUP(C242,FSE!A:A,FSE!AA:AA,"ERROR",0,1),"OK","ERROR")))</f>
        <v>OK</v>
      </c>
      <c r="H242" s="199">
        <f t="shared" ref="H242:O242" si="1212">countif($D242,"*"&amp;H$2&amp;"*")</f>
        <v>0</v>
      </c>
      <c r="I242" s="200">
        <f t="shared" si="1212"/>
        <v>0</v>
      </c>
      <c r="J242" s="200">
        <f t="shared" si="1212"/>
        <v>0</v>
      </c>
      <c r="K242" s="200">
        <f t="shared" si="1212"/>
        <v>0</v>
      </c>
      <c r="L242" s="200">
        <f t="shared" si="1212"/>
        <v>0</v>
      </c>
      <c r="M242" s="200">
        <f t="shared" si="1212"/>
        <v>0</v>
      </c>
      <c r="N242" s="200">
        <f t="shared" si="1212"/>
        <v>0</v>
      </c>
      <c r="O242" s="200">
        <f t="shared" si="1212"/>
        <v>0</v>
      </c>
      <c r="P242" s="200">
        <f t="shared" si="9"/>
        <v>1</v>
      </c>
      <c r="Q242" s="200">
        <f t="shared" ref="Q242:AC242" si="1213">countif($D242,"*"&amp;Q$2&amp;"*")</f>
        <v>0</v>
      </c>
      <c r="R242" s="200">
        <f t="shared" si="1213"/>
        <v>0</v>
      </c>
      <c r="S242" s="200">
        <f t="shared" si="1213"/>
        <v>0</v>
      </c>
      <c r="T242" s="200">
        <f t="shared" si="1213"/>
        <v>0</v>
      </c>
      <c r="U242" s="200">
        <f t="shared" si="1213"/>
        <v>0</v>
      </c>
      <c r="V242" s="200">
        <f t="shared" si="1213"/>
        <v>0</v>
      </c>
      <c r="W242" s="200">
        <f t="shared" si="1213"/>
        <v>0</v>
      </c>
      <c r="X242" s="200">
        <f t="shared" si="1213"/>
        <v>0</v>
      </c>
      <c r="Y242" s="200">
        <f t="shared" si="1213"/>
        <v>0</v>
      </c>
      <c r="Z242" s="200">
        <f t="shared" si="1213"/>
        <v>0</v>
      </c>
      <c r="AA242" s="200">
        <f t="shared" si="1213"/>
        <v>0</v>
      </c>
      <c r="AB242" s="200">
        <f t="shared" si="1213"/>
        <v>0</v>
      </c>
      <c r="AC242" s="200">
        <f t="shared" si="1213"/>
        <v>0</v>
      </c>
      <c r="AD242" s="200">
        <f t="shared" si="11"/>
        <v>0</v>
      </c>
      <c r="AE242" s="200">
        <f t="shared" ref="AE242:AG242" si="1214">countif($D242,"*"&amp;AE$2&amp;"*")</f>
        <v>0</v>
      </c>
      <c r="AF242" s="200">
        <f t="shared" si="1214"/>
        <v>0</v>
      </c>
      <c r="AG242" s="200">
        <f t="shared" si="1214"/>
        <v>0</v>
      </c>
      <c r="AH242" s="171">
        <f t="shared" si="13"/>
        <v>0</v>
      </c>
      <c r="AI242" s="200">
        <f t="shared" si="14"/>
        <v>0</v>
      </c>
      <c r="AJ242" s="200">
        <f t="shared" si="1129"/>
        <v>0</v>
      </c>
      <c r="AK242" s="201">
        <f t="shared" ref="AK242:AS242" si="1215">countif($D242,"*"&amp;AK$2&amp;"*")</f>
        <v>0</v>
      </c>
      <c r="AL242" s="201">
        <f t="shared" si="1215"/>
        <v>0</v>
      </c>
      <c r="AM242" s="201">
        <f t="shared" si="1215"/>
        <v>0</v>
      </c>
      <c r="AN242" s="201">
        <f t="shared" si="1215"/>
        <v>0</v>
      </c>
      <c r="AO242" s="201">
        <f t="shared" si="1215"/>
        <v>0</v>
      </c>
      <c r="AP242" s="201">
        <f t="shared" si="1215"/>
        <v>0</v>
      </c>
      <c r="AQ242" s="201">
        <f t="shared" si="1215"/>
        <v>0</v>
      </c>
      <c r="AR242" s="200">
        <f t="shared" si="1215"/>
        <v>0</v>
      </c>
      <c r="AS242" s="200">
        <f t="shared" si="1215"/>
        <v>0</v>
      </c>
      <c r="AT242" s="173">
        <v>0.0</v>
      </c>
      <c r="AU242" s="200">
        <f t="shared" ref="AU242:AX242" si="1216">countif($D242,"*"&amp;AU$2&amp;"*")</f>
        <v>0</v>
      </c>
      <c r="AV242" s="200">
        <f t="shared" si="1216"/>
        <v>1</v>
      </c>
      <c r="AW242" s="200">
        <f t="shared" si="1216"/>
        <v>0</v>
      </c>
      <c r="AX242" s="200">
        <f t="shared" si="1216"/>
        <v>0</v>
      </c>
      <c r="AY242" s="202">
        <v>0.0</v>
      </c>
      <c r="AZ242" s="200"/>
      <c r="BA242" s="171" t="str">
        <f t="shared" si="18"/>
        <v/>
      </c>
      <c r="BB242" s="171" t="str">
        <f t="shared" si="19"/>
        <v>Code</v>
      </c>
      <c r="BC242" s="171" t="str">
        <f t="shared" si="20"/>
        <v/>
      </c>
      <c r="BD242" s="171" t="str">
        <f t="shared" si="21"/>
        <v/>
      </c>
      <c r="BE242" s="171" t="str">
        <f t="shared" si="22"/>
        <v/>
      </c>
      <c r="BF242" s="171" t="str">
        <f t="shared" si="23"/>
        <v>Code</v>
      </c>
    </row>
    <row r="243">
      <c r="A243" s="171">
        <f t="array" ref="A243">XLOOKUP(C243,ICSE!A:A,ICSE!C:C,,2,1)</f>
        <v>2021</v>
      </c>
      <c r="B243" s="171" t="s">
        <v>5675</v>
      </c>
      <c r="C243" s="160">
        <v>481.0</v>
      </c>
      <c r="D243" s="161" t="s">
        <v>1934</v>
      </c>
      <c r="E243" s="197" t="str">
        <f t="array" ref="E243">XLOOKUP(C243,ICSE!A:A,ICSE!Z:Z,,0,1)</f>
        <v>Publicly available (1)</v>
      </c>
      <c r="F243" s="198" t="s">
        <v>20</v>
      </c>
      <c r="G243" s="163" t="str">
        <f t="array" ref="G243">IF(B243="ICSE",IF(COUNTIFS(B:B,B243,C:C,C243)=XLOOKUP(C243,ICSE!A:A,ICSE!AA:AA,"ERROR",0,1),"OK","ERROR"),IF(B243="FSE",IF(COUNTIFS(B:B,B243,C:C,C243)=XLOOKUP(C243,FSE!A:A,FSE!AA:AA,"ERROR",0,1),"OK","ERROR")))</f>
        <v>OK</v>
      </c>
      <c r="H243" s="199">
        <f t="shared" ref="H243:O243" si="1217">countif($D243,"*"&amp;H$2&amp;"*")</f>
        <v>0</v>
      </c>
      <c r="I243" s="200">
        <f t="shared" si="1217"/>
        <v>0</v>
      </c>
      <c r="J243" s="200">
        <f t="shared" si="1217"/>
        <v>0</v>
      </c>
      <c r="K243" s="200">
        <f t="shared" si="1217"/>
        <v>0</v>
      </c>
      <c r="L243" s="200">
        <f t="shared" si="1217"/>
        <v>0</v>
      </c>
      <c r="M243" s="200">
        <f t="shared" si="1217"/>
        <v>0</v>
      </c>
      <c r="N243" s="200">
        <f t="shared" si="1217"/>
        <v>0</v>
      </c>
      <c r="O243" s="200">
        <f t="shared" si="1217"/>
        <v>0</v>
      </c>
      <c r="P243" s="200">
        <f t="shared" si="9"/>
        <v>1</v>
      </c>
      <c r="Q243" s="200">
        <f t="shared" ref="Q243:AC243" si="1218">countif($D243,"*"&amp;Q$2&amp;"*")</f>
        <v>0</v>
      </c>
      <c r="R243" s="200">
        <f t="shared" si="1218"/>
        <v>0</v>
      </c>
      <c r="S243" s="200">
        <f t="shared" si="1218"/>
        <v>0</v>
      </c>
      <c r="T243" s="200">
        <f t="shared" si="1218"/>
        <v>0</v>
      </c>
      <c r="U243" s="200">
        <f t="shared" si="1218"/>
        <v>0</v>
      </c>
      <c r="V243" s="200">
        <f t="shared" si="1218"/>
        <v>0</v>
      </c>
      <c r="W243" s="200">
        <f t="shared" si="1218"/>
        <v>0</v>
      </c>
      <c r="X243" s="200">
        <f t="shared" si="1218"/>
        <v>0</v>
      </c>
      <c r="Y243" s="200">
        <f t="shared" si="1218"/>
        <v>0</v>
      </c>
      <c r="Z243" s="200">
        <f t="shared" si="1218"/>
        <v>0</v>
      </c>
      <c r="AA243" s="200">
        <f t="shared" si="1218"/>
        <v>0</v>
      </c>
      <c r="AB243" s="200">
        <f t="shared" si="1218"/>
        <v>0</v>
      </c>
      <c r="AC243" s="200">
        <f t="shared" si="1218"/>
        <v>0</v>
      </c>
      <c r="AD243" s="200">
        <f t="shared" si="11"/>
        <v>0</v>
      </c>
      <c r="AE243" s="200">
        <f t="shared" ref="AE243:AG243" si="1219">countif($D243,"*"&amp;AE$2&amp;"*")</f>
        <v>0</v>
      </c>
      <c r="AF243" s="200">
        <f t="shared" si="1219"/>
        <v>0</v>
      </c>
      <c r="AG243" s="200">
        <f t="shared" si="1219"/>
        <v>0</v>
      </c>
      <c r="AH243" s="171">
        <f t="shared" si="13"/>
        <v>0</v>
      </c>
      <c r="AI243" s="200">
        <f t="shared" si="14"/>
        <v>0</v>
      </c>
      <c r="AJ243" s="200">
        <f t="shared" si="1129"/>
        <v>0</v>
      </c>
      <c r="AK243" s="201">
        <f t="shared" ref="AK243:AS243" si="1220">countif($D243,"*"&amp;AK$2&amp;"*")</f>
        <v>0</v>
      </c>
      <c r="AL243" s="201">
        <f t="shared" si="1220"/>
        <v>0</v>
      </c>
      <c r="AM243" s="201">
        <f t="shared" si="1220"/>
        <v>0</v>
      </c>
      <c r="AN243" s="201">
        <f t="shared" si="1220"/>
        <v>0</v>
      </c>
      <c r="AO243" s="201">
        <f t="shared" si="1220"/>
        <v>0</v>
      </c>
      <c r="AP243" s="201">
        <f t="shared" si="1220"/>
        <v>0</v>
      </c>
      <c r="AQ243" s="201">
        <f t="shared" si="1220"/>
        <v>0</v>
      </c>
      <c r="AR243" s="200">
        <f t="shared" si="1220"/>
        <v>0</v>
      </c>
      <c r="AS243" s="200">
        <f t="shared" si="1220"/>
        <v>0</v>
      </c>
      <c r="AT243" s="173">
        <v>0.0</v>
      </c>
      <c r="AU243" s="200">
        <f t="shared" ref="AU243:AX243" si="1221">countif($D243,"*"&amp;AU$2&amp;"*")</f>
        <v>0</v>
      </c>
      <c r="AV243" s="200">
        <f t="shared" si="1221"/>
        <v>1</v>
      </c>
      <c r="AW243" s="200">
        <f t="shared" si="1221"/>
        <v>0</v>
      </c>
      <c r="AX243" s="200">
        <f t="shared" si="1221"/>
        <v>0</v>
      </c>
      <c r="AY243" s="202">
        <v>0.0</v>
      </c>
      <c r="AZ243" s="200"/>
      <c r="BA243" s="171" t="str">
        <f t="shared" si="18"/>
        <v/>
      </c>
      <c r="BB243" s="171" t="str">
        <f t="shared" si="19"/>
        <v>Code</v>
      </c>
      <c r="BC243" s="171" t="str">
        <f t="shared" si="20"/>
        <v/>
      </c>
      <c r="BD243" s="171" t="str">
        <f t="shared" si="21"/>
        <v/>
      </c>
      <c r="BE243" s="171" t="str">
        <f t="shared" si="22"/>
        <v/>
      </c>
      <c r="BF243" s="171" t="str">
        <f t="shared" si="23"/>
        <v>Code</v>
      </c>
    </row>
    <row r="244">
      <c r="A244" s="171">
        <f t="array" ref="A244">XLOOKUP(C244,ICSE!A:A,ICSE!C:C,,2,1)</f>
        <v>2021</v>
      </c>
      <c r="B244" s="171" t="s">
        <v>5675</v>
      </c>
      <c r="C244" s="160">
        <v>482.0</v>
      </c>
      <c r="D244" s="161" t="s">
        <v>1937</v>
      </c>
      <c r="E244" s="197" t="str">
        <f t="array" ref="E244">XLOOKUP(C244,ICSE!A:A,ICSE!Z:Z,,0,1)</f>
        <v>Publicly available (1)</v>
      </c>
      <c r="F244" s="198" t="s">
        <v>20</v>
      </c>
      <c r="G244" s="163" t="str">
        <f t="array" ref="G244">IF(B244="ICSE",IF(COUNTIFS(B:B,B244,C:C,C244)=XLOOKUP(C244,ICSE!A:A,ICSE!AA:AA,"ERROR",0,1),"OK","ERROR"),IF(B244="FSE",IF(COUNTIFS(B:B,B244,C:C,C244)=XLOOKUP(C244,FSE!A:A,FSE!AA:AA,"ERROR",0,1),"OK","ERROR")))</f>
        <v>OK</v>
      </c>
      <c r="H244" s="199">
        <f t="shared" ref="H244:O244" si="1222">countif($D244,"*"&amp;H$2&amp;"*")</f>
        <v>0</v>
      </c>
      <c r="I244" s="200">
        <f t="shared" si="1222"/>
        <v>0</v>
      </c>
      <c r="J244" s="200">
        <f t="shared" si="1222"/>
        <v>0</v>
      </c>
      <c r="K244" s="200">
        <f t="shared" si="1222"/>
        <v>0</v>
      </c>
      <c r="L244" s="200">
        <f t="shared" si="1222"/>
        <v>0</v>
      </c>
      <c r="M244" s="200">
        <f t="shared" si="1222"/>
        <v>0</v>
      </c>
      <c r="N244" s="200">
        <f t="shared" si="1222"/>
        <v>0</v>
      </c>
      <c r="O244" s="200">
        <f t="shared" si="1222"/>
        <v>0</v>
      </c>
      <c r="P244" s="200">
        <f t="shared" si="9"/>
        <v>1</v>
      </c>
      <c r="Q244" s="200">
        <f t="shared" ref="Q244:AC244" si="1223">countif($D244,"*"&amp;Q$2&amp;"*")</f>
        <v>0</v>
      </c>
      <c r="R244" s="200">
        <f t="shared" si="1223"/>
        <v>0</v>
      </c>
      <c r="S244" s="200">
        <f t="shared" si="1223"/>
        <v>0</v>
      </c>
      <c r="T244" s="200">
        <f t="shared" si="1223"/>
        <v>0</v>
      </c>
      <c r="U244" s="200">
        <f t="shared" si="1223"/>
        <v>0</v>
      </c>
      <c r="V244" s="200">
        <f t="shared" si="1223"/>
        <v>0</v>
      </c>
      <c r="W244" s="200">
        <f t="shared" si="1223"/>
        <v>0</v>
      </c>
      <c r="X244" s="200">
        <f t="shared" si="1223"/>
        <v>0</v>
      </c>
      <c r="Y244" s="200">
        <f t="shared" si="1223"/>
        <v>0</v>
      </c>
      <c r="Z244" s="200">
        <f t="shared" si="1223"/>
        <v>0</v>
      </c>
      <c r="AA244" s="200">
        <f t="shared" si="1223"/>
        <v>0</v>
      </c>
      <c r="AB244" s="200">
        <f t="shared" si="1223"/>
        <v>0</v>
      </c>
      <c r="AC244" s="200">
        <f t="shared" si="1223"/>
        <v>0</v>
      </c>
      <c r="AD244" s="200">
        <f t="shared" si="11"/>
        <v>0</v>
      </c>
      <c r="AE244" s="200">
        <f t="shared" ref="AE244:AG244" si="1224">countif($D244,"*"&amp;AE$2&amp;"*")</f>
        <v>0</v>
      </c>
      <c r="AF244" s="200">
        <f t="shared" si="1224"/>
        <v>0</v>
      </c>
      <c r="AG244" s="200">
        <f t="shared" si="1224"/>
        <v>0</v>
      </c>
      <c r="AH244" s="171">
        <f t="shared" si="13"/>
        <v>0</v>
      </c>
      <c r="AI244" s="200">
        <f t="shared" si="14"/>
        <v>0</v>
      </c>
      <c r="AJ244" s="200">
        <f t="shared" si="1129"/>
        <v>0</v>
      </c>
      <c r="AK244" s="201">
        <f t="shared" ref="AK244:AS244" si="1225">countif($D244,"*"&amp;AK$2&amp;"*")</f>
        <v>0</v>
      </c>
      <c r="AL244" s="201">
        <f t="shared" si="1225"/>
        <v>0</v>
      </c>
      <c r="AM244" s="201">
        <f t="shared" si="1225"/>
        <v>0</v>
      </c>
      <c r="AN244" s="201">
        <f t="shared" si="1225"/>
        <v>0</v>
      </c>
      <c r="AO244" s="201">
        <f t="shared" si="1225"/>
        <v>0</v>
      </c>
      <c r="AP244" s="201">
        <f t="shared" si="1225"/>
        <v>0</v>
      </c>
      <c r="AQ244" s="201">
        <f t="shared" si="1225"/>
        <v>0</v>
      </c>
      <c r="AR244" s="200">
        <f t="shared" si="1225"/>
        <v>0</v>
      </c>
      <c r="AS244" s="200">
        <f t="shared" si="1225"/>
        <v>0</v>
      </c>
      <c r="AT244" s="173">
        <v>0.0</v>
      </c>
      <c r="AU244" s="200">
        <f t="shared" ref="AU244:AX244" si="1226">countif($D244,"*"&amp;AU$2&amp;"*")</f>
        <v>0</v>
      </c>
      <c r="AV244" s="200">
        <f t="shared" si="1226"/>
        <v>1</v>
      </c>
      <c r="AW244" s="200">
        <f t="shared" si="1226"/>
        <v>0</v>
      </c>
      <c r="AX244" s="200">
        <f t="shared" si="1226"/>
        <v>0</v>
      </c>
      <c r="AY244" s="202">
        <v>0.0</v>
      </c>
      <c r="AZ244" s="200"/>
      <c r="BA244" s="171" t="str">
        <f t="shared" si="18"/>
        <v/>
      </c>
      <c r="BB244" s="171" t="str">
        <f t="shared" si="19"/>
        <v>Code</v>
      </c>
      <c r="BC244" s="171" t="str">
        <f t="shared" si="20"/>
        <v/>
      </c>
      <c r="BD244" s="171" t="str">
        <f t="shared" si="21"/>
        <v/>
      </c>
      <c r="BE244" s="171" t="str">
        <f t="shared" si="22"/>
        <v/>
      </c>
      <c r="BF244" s="171" t="str">
        <f t="shared" si="23"/>
        <v>Code</v>
      </c>
    </row>
    <row r="245">
      <c r="A245" s="171">
        <f t="array" ref="A245">XLOOKUP(C245,ICSE!A:A,ICSE!C:C,,2,1)</f>
        <v>2021</v>
      </c>
      <c r="B245" s="171" t="s">
        <v>5675</v>
      </c>
      <c r="C245" s="160">
        <v>483.0</v>
      </c>
      <c r="D245" s="161" t="s">
        <v>1940</v>
      </c>
      <c r="E245" s="197" t="str">
        <f t="array" ref="E245">XLOOKUP(C245,ICSE!A:A,ICSE!Z:Z,,0,1)</f>
        <v>Publicly available (1)</v>
      </c>
      <c r="F245" s="198" t="s">
        <v>20</v>
      </c>
      <c r="G245" s="163" t="str">
        <f t="array" ref="G245">IF(B245="ICSE",IF(COUNTIFS(B:B,B245,C:C,C245)=XLOOKUP(C245,ICSE!A:A,ICSE!AA:AA,"ERROR",0,1),"OK","ERROR"),IF(B245="FSE",IF(COUNTIFS(B:B,B245,C:C,C245)=XLOOKUP(C245,FSE!A:A,FSE!AA:AA,"ERROR",0,1),"OK","ERROR")))</f>
        <v>OK</v>
      </c>
      <c r="H245" s="199">
        <f t="shared" ref="H245:O245" si="1227">countif($D245,"*"&amp;H$2&amp;"*")</f>
        <v>0</v>
      </c>
      <c r="I245" s="200">
        <f t="shared" si="1227"/>
        <v>0</v>
      </c>
      <c r="J245" s="200">
        <f t="shared" si="1227"/>
        <v>0</v>
      </c>
      <c r="K245" s="200">
        <f t="shared" si="1227"/>
        <v>0</v>
      </c>
      <c r="L245" s="200">
        <f t="shared" si="1227"/>
        <v>0</v>
      </c>
      <c r="M245" s="200">
        <f t="shared" si="1227"/>
        <v>0</v>
      </c>
      <c r="N245" s="200">
        <f t="shared" si="1227"/>
        <v>0</v>
      </c>
      <c r="O245" s="200">
        <f t="shared" si="1227"/>
        <v>0</v>
      </c>
      <c r="P245" s="200">
        <f t="shared" si="9"/>
        <v>1</v>
      </c>
      <c r="Q245" s="200">
        <f t="shared" ref="Q245:AC245" si="1228">countif($D245,"*"&amp;Q$2&amp;"*")</f>
        <v>0</v>
      </c>
      <c r="R245" s="200">
        <f t="shared" si="1228"/>
        <v>0</v>
      </c>
      <c r="S245" s="200">
        <f t="shared" si="1228"/>
        <v>0</v>
      </c>
      <c r="T245" s="200">
        <f t="shared" si="1228"/>
        <v>0</v>
      </c>
      <c r="U245" s="200">
        <f t="shared" si="1228"/>
        <v>0</v>
      </c>
      <c r="V245" s="200">
        <f t="shared" si="1228"/>
        <v>0</v>
      </c>
      <c r="W245" s="200">
        <f t="shared" si="1228"/>
        <v>0</v>
      </c>
      <c r="X245" s="200">
        <f t="shared" si="1228"/>
        <v>0</v>
      </c>
      <c r="Y245" s="200">
        <f t="shared" si="1228"/>
        <v>0</v>
      </c>
      <c r="Z245" s="200">
        <f t="shared" si="1228"/>
        <v>0</v>
      </c>
      <c r="AA245" s="200">
        <f t="shared" si="1228"/>
        <v>0</v>
      </c>
      <c r="AB245" s="200">
        <f t="shared" si="1228"/>
        <v>0</v>
      </c>
      <c r="AC245" s="200">
        <f t="shared" si="1228"/>
        <v>0</v>
      </c>
      <c r="AD245" s="200">
        <f t="shared" si="11"/>
        <v>0</v>
      </c>
      <c r="AE245" s="200">
        <f t="shared" ref="AE245:AG245" si="1229">countif($D245,"*"&amp;AE$2&amp;"*")</f>
        <v>0</v>
      </c>
      <c r="AF245" s="200">
        <f t="shared" si="1229"/>
        <v>0</v>
      </c>
      <c r="AG245" s="200">
        <f t="shared" si="1229"/>
        <v>0</v>
      </c>
      <c r="AH245" s="171">
        <f t="shared" si="13"/>
        <v>0</v>
      </c>
      <c r="AI245" s="200">
        <f t="shared" si="14"/>
        <v>0</v>
      </c>
      <c r="AJ245" s="200">
        <f t="shared" si="1129"/>
        <v>0</v>
      </c>
      <c r="AK245" s="201">
        <f t="shared" ref="AK245:AS245" si="1230">countif($D245,"*"&amp;AK$2&amp;"*")</f>
        <v>0</v>
      </c>
      <c r="AL245" s="201">
        <f t="shared" si="1230"/>
        <v>0</v>
      </c>
      <c r="AM245" s="201">
        <f t="shared" si="1230"/>
        <v>0</v>
      </c>
      <c r="AN245" s="201">
        <f t="shared" si="1230"/>
        <v>0</v>
      </c>
      <c r="AO245" s="201">
        <f t="shared" si="1230"/>
        <v>0</v>
      </c>
      <c r="AP245" s="201">
        <f t="shared" si="1230"/>
        <v>0</v>
      </c>
      <c r="AQ245" s="201">
        <f t="shared" si="1230"/>
        <v>0</v>
      </c>
      <c r="AR245" s="200">
        <f t="shared" si="1230"/>
        <v>0</v>
      </c>
      <c r="AS245" s="200">
        <f t="shared" si="1230"/>
        <v>0</v>
      </c>
      <c r="AT245" s="173">
        <v>0.0</v>
      </c>
      <c r="AU245" s="200">
        <f t="shared" ref="AU245:AX245" si="1231">countif($D245,"*"&amp;AU$2&amp;"*")</f>
        <v>0</v>
      </c>
      <c r="AV245" s="200">
        <f t="shared" si="1231"/>
        <v>1</v>
      </c>
      <c r="AW245" s="200">
        <f t="shared" si="1231"/>
        <v>0</v>
      </c>
      <c r="AX245" s="200">
        <f t="shared" si="1231"/>
        <v>0</v>
      </c>
      <c r="AY245" s="202">
        <v>0.0</v>
      </c>
      <c r="AZ245" s="200"/>
      <c r="BA245" s="171" t="str">
        <f t="shared" si="18"/>
        <v/>
      </c>
      <c r="BB245" s="171" t="str">
        <f t="shared" si="19"/>
        <v>Code</v>
      </c>
      <c r="BC245" s="171" t="str">
        <f t="shared" si="20"/>
        <v/>
      </c>
      <c r="BD245" s="171" t="str">
        <f t="shared" si="21"/>
        <v/>
      </c>
      <c r="BE245" s="171" t="str">
        <f t="shared" si="22"/>
        <v/>
      </c>
      <c r="BF245" s="171" t="str">
        <f t="shared" si="23"/>
        <v>Code</v>
      </c>
    </row>
    <row r="246">
      <c r="A246" s="171">
        <f t="array" ref="A246">XLOOKUP(C246,ICSE!A:A,ICSE!C:C,,2,1)</f>
        <v>2021</v>
      </c>
      <c r="B246" s="171" t="s">
        <v>5675</v>
      </c>
      <c r="C246" s="160">
        <v>484.0</v>
      </c>
      <c r="D246" s="161" t="s">
        <v>1943</v>
      </c>
      <c r="E246" s="197" t="str">
        <f t="array" ref="E246">XLOOKUP(C246,ICSE!A:A,ICSE!Z:Z,,0,1)</f>
        <v>Publicly available (1)</v>
      </c>
      <c r="F246" s="198" t="s">
        <v>20</v>
      </c>
      <c r="G246" s="163" t="str">
        <f t="array" ref="G246">IF(B246="ICSE",IF(COUNTIFS(B:B,B246,C:C,C246)=XLOOKUP(C246,ICSE!A:A,ICSE!AA:AA,"ERROR",0,1),"OK","ERROR"),IF(B246="FSE",IF(COUNTIFS(B:B,B246,C:C,C246)=XLOOKUP(C246,FSE!A:A,FSE!AA:AA,"ERROR",0,1),"OK","ERROR")))</f>
        <v>OK</v>
      </c>
      <c r="H246" s="199">
        <f t="shared" ref="H246:O246" si="1232">countif($D246,"*"&amp;H$2&amp;"*")</f>
        <v>0</v>
      </c>
      <c r="I246" s="200">
        <f t="shared" si="1232"/>
        <v>0</v>
      </c>
      <c r="J246" s="200">
        <f t="shared" si="1232"/>
        <v>0</v>
      </c>
      <c r="K246" s="200">
        <f t="shared" si="1232"/>
        <v>0</v>
      </c>
      <c r="L246" s="200">
        <f t="shared" si="1232"/>
        <v>0</v>
      </c>
      <c r="M246" s="200">
        <f t="shared" si="1232"/>
        <v>0</v>
      </c>
      <c r="N246" s="200">
        <f t="shared" si="1232"/>
        <v>0</v>
      </c>
      <c r="O246" s="200">
        <f t="shared" si="1232"/>
        <v>0</v>
      </c>
      <c r="P246" s="200">
        <f t="shared" si="9"/>
        <v>1</v>
      </c>
      <c r="Q246" s="200">
        <f t="shared" ref="Q246:AC246" si="1233">countif($D246,"*"&amp;Q$2&amp;"*")</f>
        <v>0</v>
      </c>
      <c r="R246" s="200">
        <f t="shared" si="1233"/>
        <v>0</v>
      </c>
      <c r="S246" s="200">
        <f t="shared" si="1233"/>
        <v>0</v>
      </c>
      <c r="T246" s="200">
        <f t="shared" si="1233"/>
        <v>0</v>
      </c>
      <c r="U246" s="200">
        <f t="shared" si="1233"/>
        <v>0</v>
      </c>
      <c r="V246" s="200">
        <f t="shared" si="1233"/>
        <v>0</v>
      </c>
      <c r="W246" s="200">
        <f t="shared" si="1233"/>
        <v>0</v>
      </c>
      <c r="X246" s="200">
        <f t="shared" si="1233"/>
        <v>0</v>
      </c>
      <c r="Y246" s="200">
        <f t="shared" si="1233"/>
        <v>0</v>
      </c>
      <c r="Z246" s="200">
        <f t="shared" si="1233"/>
        <v>0</v>
      </c>
      <c r="AA246" s="200">
        <f t="shared" si="1233"/>
        <v>0</v>
      </c>
      <c r="AB246" s="200">
        <f t="shared" si="1233"/>
        <v>0</v>
      </c>
      <c r="AC246" s="200">
        <f t="shared" si="1233"/>
        <v>0</v>
      </c>
      <c r="AD246" s="200">
        <f t="shared" si="11"/>
        <v>0</v>
      </c>
      <c r="AE246" s="200">
        <f t="shared" ref="AE246:AG246" si="1234">countif($D246,"*"&amp;AE$2&amp;"*")</f>
        <v>0</v>
      </c>
      <c r="AF246" s="200">
        <f t="shared" si="1234"/>
        <v>0</v>
      </c>
      <c r="AG246" s="200">
        <f t="shared" si="1234"/>
        <v>0</v>
      </c>
      <c r="AH246" s="171">
        <f t="shared" si="13"/>
        <v>0</v>
      </c>
      <c r="AI246" s="200">
        <f t="shared" si="14"/>
        <v>0</v>
      </c>
      <c r="AJ246" s="200">
        <f t="shared" si="1129"/>
        <v>0</v>
      </c>
      <c r="AK246" s="201">
        <f t="shared" ref="AK246:AS246" si="1235">countif($D246,"*"&amp;AK$2&amp;"*")</f>
        <v>0</v>
      </c>
      <c r="AL246" s="201">
        <f t="shared" si="1235"/>
        <v>0</v>
      </c>
      <c r="AM246" s="201">
        <f t="shared" si="1235"/>
        <v>0</v>
      </c>
      <c r="AN246" s="201">
        <f t="shared" si="1235"/>
        <v>0</v>
      </c>
      <c r="AO246" s="201">
        <f t="shared" si="1235"/>
        <v>0</v>
      </c>
      <c r="AP246" s="201">
        <f t="shared" si="1235"/>
        <v>0</v>
      </c>
      <c r="AQ246" s="201">
        <f t="shared" si="1235"/>
        <v>0</v>
      </c>
      <c r="AR246" s="200">
        <f t="shared" si="1235"/>
        <v>0</v>
      </c>
      <c r="AS246" s="200">
        <f t="shared" si="1235"/>
        <v>0</v>
      </c>
      <c r="AT246" s="173">
        <v>0.0</v>
      </c>
      <c r="AU246" s="200">
        <f t="shared" ref="AU246:AX246" si="1236">countif($D246,"*"&amp;AU$2&amp;"*")</f>
        <v>0</v>
      </c>
      <c r="AV246" s="200">
        <f t="shared" si="1236"/>
        <v>1</v>
      </c>
      <c r="AW246" s="200">
        <f t="shared" si="1236"/>
        <v>0</v>
      </c>
      <c r="AX246" s="200">
        <f t="shared" si="1236"/>
        <v>0</v>
      </c>
      <c r="AY246" s="202">
        <v>0.0</v>
      </c>
      <c r="AZ246" s="200"/>
      <c r="BA246" s="171" t="str">
        <f t="shared" si="18"/>
        <v/>
      </c>
      <c r="BB246" s="171" t="str">
        <f t="shared" si="19"/>
        <v>Code</v>
      </c>
      <c r="BC246" s="171" t="str">
        <f t="shared" si="20"/>
        <v/>
      </c>
      <c r="BD246" s="171" t="str">
        <f t="shared" si="21"/>
        <v/>
      </c>
      <c r="BE246" s="171" t="str">
        <f t="shared" si="22"/>
        <v/>
      </c>
      <c r="BF246" s="171" t="str">
        <f t="shared" si="23"/>
        <v>Code</v>
      </c>
    </row>
    <row r="247">
      <c r="A247" s="171">
        <f t="array" ref="A247">XLOOKUP(C247,ICSE!A:A,ICSE!C:C,,2,1)</f>
        <v>2021</v>
      </c>
      <c r="B247" s="171" t="s">
        <v>5675</v>
      </c>
      <c r="C247" s="160">
        <v>486.0</v>
      </c>
      <c r="D247" s="161" t="s">
        <v>1948</v>
      </c>
      <c r="E247" s="197" t="str">
        <f t="array" ref="E247">XLOOKUP(C247,ICSE!A:A,ICSE!Z:Z,,0,1)</f>
        <v>Publicly available (1)</v>
      </c>
      <c r="F247" s="198" t="s">
        <v>20</v>
      </c>
      <c r="G247" s="163" t="str">
        <f t="array" ref="G247">IF(B247="ICSE",IF(COUNTIFS(B:B,B247,C:C,C247)=XLOOKUP(C247,ICSE!A:A,ICSE!AA:AA,"ERROR",0,1),"OK","ERROR"),IF(B247="FSE",IF(COUNTIFS(B:B,B247,C:C,C247)=XLOOKUP(C247,FSE!A:A,FSE!AA:AA,"ERROR",0,1),"OK","ERROR")))</f>
        <v>OK</v>
      </c>
      <c r="H247" s="199">
        <f t="shared" ref="H247:O247" si="1237">countif($D247,"*"&amp;H$2&amp;"*")</f>
        <v>0</v>
      </c>
      <c r="I247" s="200">
        <f t="shared" si="1237"/>
        <v>0</v>
      </c>
      <c r="J247" s="200">
        <f t="shared" si="1237"/>
        <v>0</v>
      </c>
      <c r="K247" s="200">
        <f t="shared" si="1237"/>
        <v>0</v>
      </c>
      <c r="L247" s="200">
        <f t="shared" si="1237"/>
        <v>0</v>
      </c>
      <c r="M247" s="200">
        <f t="shared" si="1237"/>
        <v>0</v>
      </c>
      <c r="N247" s="200">
        <f t="shared" si="1237"/>
        <v>0</v>
      </c>
      <c r="O247" s="200">
        <f t="shared" si="1237"/>
        <v>0</v>
      </c>
      <c r="P247" s="200">
        <f t="shared" si="9"/>
        <v>0</v>
      </c>
      <c r="Q247" s="200">
        <f t="shared" ref="Q247:AC247" si="1238">countif($D247,"*"&amp;Q$2&amp;"*")</f>
        <v>0</v>
      </c>
      <c r="R247" s="200">
        <f t="shared" si="1238"/>
        <v>0</v>
      </c>
      <c r="S247" s="200">
        <f t="shared" si="1238"/>
        <v>0</v>
      </c>
      <c r="T247" s="200">
        <f t="shared" si="1238"/>
        <v>0</v>
      </c>
      <c r="U247" s="200">
        <f t="shared" si="1238"/>
        <v>0</v>
      </c>
      <c r="V247" s="200">
        <f t="shared" si="1238"/>
        <v>0</v>
      </c>
      <c r="W247" s="200">
        <f t="shared" si="1238"/>
        <v>0</v>
      </c>
      <c r="X247" s="200">
        <f t="shared" si="1238"/>
        <v>0</v>
      </c>
      <c r="Y247" s="200">
        <f t="shared" si="1238"/>
        <v>0</v>
      </c>
      <c r="Z247" s="200">
        <f t="shared" si="1238"/>
        <v>0</v>
      </c>
      <c r="AA247" s="200">
        <f t="shared" si="1238"/>
        <v>1</v>
      </c>
      <c r="AB247" s="200">
        <f t="shared" si="1238"/>
        <v>0</v>
      </c>
      <c r="AC247" s="200">
        <f t="shared" si="1238"/>
        <v>0</v>
      </c>
      <c r="AD247" s="200">
        <f t="shared" si="11"/>
        <v>0</v>
      </c>
      <c r="AE247" s="200">
        <f t="shared" ref="AE247:AG247" si="1239">countif($D247,"*"&amp;AE$2&amp;"*")</f>
        <v>0</v>
      </c>
      <c r="AF247" s="200">
        <f t="shared" si="1239"/>
        <v>0</v>
      </c>
      <c r="AG247" s="200">
        <f t="shared" si="1239"/>
        <v>0</v>
      </c>
      <c r="AH247" s="171">
        <f t="shared" si="13"/>
        <v>0</v>
      </c>
      <c r="AI247" s="200">
        <f t="shared" si="14"/>
        <v>0</v>
      </c>
      <c r="AJ247" s="200">
        <f t="shared" si="1129"/>
        <v>0</v>
      </c>
      <c r="AK247" s="201">
        <f t="shared" ref="AK247:AS247" si="1240">countif($D247,"*"&amp;AK$2&amp;"*")</f>
        <v>0</v>
      </c>
      <c r="AL247" s="201">
        <f t="shared" si="1240"/>
        <v>0</v>
      </c>
      <c r="AM247" s="201">
        <f t="shared" si="1240"/>
        <v>0</v>
      </c>
      <c r="AN247" s="201">
        <f t="shared" si="1240"/>
        <v>0</v>
      </c>
      <c r="AO247" s="201">
        <f t="shared" si="1240"/>
        <v>0</v>
      </c>
      <c r="AP247" s="201">
        <f t="shared" si="1240"/>
        <v>0</v>
      </c>
      <c r="AQ247" s="201">
        <f t="shared" si="1240"/>
        <v>0</v>
      </c>
      <c r="AR247" s="200">
        <f t="shared" si="1240"/>
        <v>0</v>
      </c>
      <c r="AS247" s="200">
        <f t="shared" si="1240"/>
        <v>0</v>
      </c>
      <c r="AT247" s="173">
        <v>0.0</v>
      </c>
      <c r="AU247" s="200">
        <f t="shared" ref="AU247:AX247" si="1241">countif($D247,"*"&amp;AU$2&amp;"*")</f>
        <v>0</v>
      </c>
      <c r="AV247" s="200">
        <f t="shared" si="1241"/>
        <v>0</v>
      </c>
      <c r="AW247" s="200">
        <f t="shared" si="1241"/>
        <v>0</v>
      </c>
      <c r="AX247" s="200">
        <f t="shared" si="1241"/>
        <v>0</v>
      </c>
      <c r="AY247" s="202">
        <v>0.0</v>
      </c>
      <c r="AZ247" s="200"/>
      <c r="BA247" s="171" t="str">
        <f t="shared" si="18"/>
        <v/>
      </c>
      <c r="BB247" s="171" t="str">
        <f t="shared" si="19"/>
        <v/>
      </c>
      <c r="BC247" s="171" t="str">
        <f t="shared" si="20"/>
        <v>General-purpose</v>
      </c>
      <c r="BD247" s="171" t="str">
        <f t="shared" si="21"/>
        <v/>
      </c>
      <c r="BE247" s="171" t="str">
        <f t="shared" si="22"/>
        <v/>
      </c>
      <c r="BF247" s="171" t="str">
        <f t="shared" si="23"/>
        <v>General-purpose</v>
      </c>
    </row>
    <row r="248">
      <c r="A248" s="171">
        <f t="array" ref="A248">XLOOKUP(C248,ICSE!A:A,ICSE!C:C,,2,1)</f>
        <v>2021</v>
      </c>
      <c r="B248" s="171" t="s">
        <v>5675</v>
      </c>
      <c r="C248" s="160">
        <v>487.0</v>
      </c>
      <c r="D248" s="161" t="s">
        <v>1951</v>
      </c>
      <c r="E248" s="197" t="str">
        <f t="array" ref="E248">XLOOKUP(C248,ICSE!A:A,ICSE!Z:Z,,0,1)</f>
        <v>Publicly available (1)</v>
      </c>
      <c r="F248" s="198" t="s">
        <v>20</v>
      </c>
      <c r="G248" s="163" t="str">
        <f t="array" ref="G248">IF(B248="ICSE",IF(COUNTIFS(B:B,B248,C:C,C248)=XLOOKUP(C248,ICSE!A:A,ICSE!AA:AA,"ERROR",0,1),"OK","ERROR"),IF(B248="FSE",IF(COUNTIFS(B:B,B248,C:C,C248)=XLOOKUP(C248,FSE!A:A,FSE!AA:AA,"ERROR",0,1),"OK","ERROR")))</f>
        <v>OK</v>
      </c>
      <c r="H248" s="199">
        <f t="shared" ref="H248:O248" si="1242">countif($D248,"*"&amp;H$2&amp;"*")</f>
        <v>0</v>
      </c>
      <c r="I248" s="200">
        <f t="shared" si="1242"/>
        <v>0</v>
      </c>
      <c r="J248" s="200">
        <f t="shared" si="1242"/>
        <v>0</v>
      </c>
      <c r="K248" s="200">
        <f t="shared" si="1242"/>
        <v>0</v>
      </c>
      <c r="L248" s="200">
        <f t="shared" si="1242"/>
        <v>0</v>
      </c>
      <c r="M248" s="200">
        <f t="shared" si="1242"/>
        <v>0</v>
      </c>
      <c r="N248" s="200">
        <f t="shared" si="1242"/>
        <v>0</v>
      </c>
      <c r="O248" s="200">
        <f t="shared" si="1242"/>
        <v>0</v>
      </c>
      <c r="P248" s="200">
        <f t="shared" si="9"/>
        <v>1</v>
      </c>
      <c r="Q248" s="200">
        <f t="shared" ref="Q248:AC248" si="1243">countif($D248,"*"&amp;Q$2&amp;"*")</f>
        <v>0</v>
      </c>
      <c r="R248" s="200">
        <f t="shared" si="1243"/>
        <v>0</v>
      </c>
      <c r="S248" s="200">
        <f t="shared" si="1243"/>
        <v>0</v>
      </c>
      <c r="T248" s="200">
        <f t="shared" si="1243"/>
        <v>0</v>
      </c>
      <c r="U248" s="200">
        <f t="shared" si="1243"/>
        <v>0</v>
      </c>
      <c r="V248" s="200">
        <f t="shared" si="1243"/>
        <v>0</v>
      </c>
      <c r="W248" s="200">
        <f t="shared" si="1243"/>
        <v>0</v>
      </c>
      <c r="X248" s="200">
        <f t="shared" si="1243"/>
        <v>0</v>
      </c>
      <c r="Y248" s="200">
        <f t="shared" si="1243"/>
        <v>0</v>
      </c>
      <c r="Z248" s="200">
        <f t="shared" si="1243"/>
        <v>0</v>
      </c>
      <c r="AA248" s="200">
        <f t="shared" si="1243"/>
        <v>0</v>
      </c>
      <c r="AB248" s="200">
        <f t="shared" si="1243"/>
        <v>0</v>
      </c>
      <c r="AC248" s="200">
        <f t="shared" si="1243"/>
        <v>0</v>
      </c>
      <c r="AD248" s="200">
        <f t="shared" si="11"/>
        <v>0</v>
      </c>
      <c r="AE248" s="200">
        <f t="shared" ref="AE248:AG248" si="1244">countif($D248,"*"&amp;AE$2&amp;"*")</f>
        <v>0</v>
      </c>
      <c r="AF248" s="200">
        <f t="shared" si="1244"/>
        <v>0</v>
      </c>
      <c r="AG248" s="200">
        <f t="shared" si="1244"/>
        <v>0</v>
      </c>
      <c r="AH248" s="171">
        <f t="shared" si="13"/>
        <v>0</v>
      </c>
      <c r="AI248" s="200">
        <f t="shared" si="14"/>
        <v>0</v>
      </c>
      <c r="AJ248" s="200">
        <f t="shared" si="1129"/>
        <v>0</v>
      </c>
      <c r="AK248" s="201">
        <f t="shared" ref="AK248:AS248" si="1245">countif($D248,"*"&amp;AK$2&amp;"*")</f>
        <v>0</v>
      </c>
      <c r="AL248" s="201">
        <f t="shared" si="1245"/>
        <v>0</v>
      </c>
      <c r="AM248" s="201">
        <f t="shared" si="1245"/>
        <v>0</v>
      </c>
      <c r="AN248" s="201">
        <f t="shared" si="1245"/>
        <v>0</v>
      </c>
      <c r="AO248" s="201">
        <f t="shared" si="1245"/>
        <v>0</v>
      </c>
      <c r="AP248" s="201">
        <f t="shared" si="1245"/>
        <v>0</v>
      </c>
      <c r="AQ248" s="201">
        <f t="shared" si="1245"/>
        <v>0</v>
      </c>
      <c r="AR248" s="200">
        <f t="shared" si="1245"/>
        <v>0</v>
      </c>
      <c r="AS248" s="200">
        <f t="shared" si="1245"/>
        <v>0</v>
      </c>
      <c r="AT248" s="173">
        <v>0.0</v>
      </c>
      <c r="AU248" s="200">
        <f t="shared" ref="AU248:AX248" si="1246">countif($D248,"*"&amp;AU$2&amp;"*")</f>
        <v>0</v>
      </c>
      <c r="AV248" s="200">
        <f t="shared" si="1246"/>
        <v>1</v>
      </c>
      <c r="AW248" s="200">
        <f t="shared" si="1246"/>
        <v>0</v>
      </c>
      <c r="AX248" s="200">
        <f t="shared" si="1246"/>
        <v>0</v>
      </c>
      <c r="AY248" s="202">
        <v>0.0</v>
      </c>
      <c r="AZ248" s="200"/>
      <c r="BA248" s="171" t="str">
        <f t="shared" si="18"/>
        <v/>
      </c>
      <c r="BB248" s="171" t="str">
        <f t="shared" si="19"/>
        <v>Code</v>
      </c>
      <c r="BC248" s="171" t="str">
        <f t="shared" si="20"/>
        <v/>
      </c>
      <c r="BD248" s="171" t="str">
        <f t="shared" si="21"/>
        <v/>
      </c>
      <c r="BE248" s="171" t="str">
        <f t="shared" si="22"/>
        <v/>
      </c>
      <c r="BF248" s="171" t="str">
        <f t="shared" si="23"/>
        <v>Code</v>
      </c>
    </row>
    <row r="249">
      <c r="A249" s="171">
        <f t="array" ref="A249">XLOOKUP(C249,ICSE!A:A,ICSE!C:C,,2,1)</f>
        <v>2021</v>
      </c>
      <c r="B249" s="171" t="s">
        <v>5675</v>
      </c>
      <c r="C249" s="160">
        <v>488.0</v>
      </c>
      <c r="D249" s="161" t="s">
        <v>5813</v>
      </c>
      <c r="E249" s="197" t="str">
        <f t="array" ref="E249">XLOOKUP(C249,ICSE!A:A,ICSE!Z:Z,,0,1)</f>
        <v>Publicly available (1)</v>
      </c>
      <c r="F249" s="198" t="s">
        <v>20</v>
      </c>
      <c r="G249" s="163" t="str">
        <f t="array" ref="G249">IF(B249="ICSE",IF(COUNTIFS(B:B,B249,C:C,C249)=XLOOKUP(C249,ICSE!A:A,ICSE!AA:AA,"ERROR",0,1),"OK","ERROR"),IF(B249="FSE",IF(COUNTIFS(B:B,B249,C:C,C249)=XLOOKUP(C249,FSE!A:A,FSE!AA:AA,"ERROR",0,1),"OK","ERROR")))</f>
        <v>OK</v>
      </c>
      <c r="H249" s="199">
        <f t="shared" ref="H249:O249" si="1247">countif($D249,"*"&amp;H$2&amp;"*")</f>
        <v>1</v>
      </c>
      <c r="I249" s="200">
        <f t="shared" si="1247"/>
        <v>0</v>
      </c>
      <c r="J249" s="200">
        <f t="shared" si="1247"/>
        <v>0</v>
      </c>
      <c r="K249" s="200">
        <f t="shared" si="1247"/>
        <v>0</v>
      </c>
      <c r="L249" s="200">
        <f t="shared" si="1247"/>
        <v>0</v>
      </c>
      <c r="M249" s="200">
        <f t="shared" si="1247"/>
        <v>0</v>
      </c>
      <c r="N249" s="200">
        <f t="shared" si="1247"/>
        <v>0</v>
      </c>
      <c r="O249" s="200">
        <f t="shared" si="1247"/>
        <v>0</v>
      </c>
      <c r="P249" s="200">
        <f t="shared" si="9"/>
        <v>0</v>
      </c>
      <c r="Q249" s="200">
        <f t="shared" ref="Q249:AC249" si="1248">countif($D249,"*"&amp;Q$2&amp;"*")</f>
        <v>0</v>
      </c>
      <c r="R249" s="200">
        <f t="shared" si="1248"/>
        <v>0</v>
      </c>
      <c r="S249" s="200">
        <f t="shared" si="1248"/>
        <v>0</v>
      </c>
      <c r="T249" s="200">
        <f t="shared" si="1248"/>
        <v>0</v>
      </c>
      <c r="U249" s="200">
        <f t="shared" si="1248"/>
        <v>0</v>
      </c>
      <c r="V249" s="200">
        <f t="shared" si="1248"/>
        <v>0</v>
      </c>
      <c r="W249" s="200">
        <f t="shared" si="1248"/>
        <v>0</v>
      </c>
      <c r="X249" s="200">
        <f t="shared" si="1248"/>
        <v>0</v>
      </c>
      <c r="Y249" s="200">
        <f t="shared" si="1248"/>
        <v>0</v>
      </c>
      <c r="Z249" s="200">
        <f t="shared" si="1248"/>
        <v>0</v>
      </c>
      <c r="AA249" s="200">
        <f t="shared" si="1248"/>
        <v>0</v>
      </c>
      <c r="AB249" s="200">
        <f t="shared" si="1248"/>
        <v>0</v>
      </c>
      <c r="AC249" s="200">
        <f t="shared" si="1248"/>
        <v>0</v>
      </c>
      <c r="AD249" s="200">
        <f t="shared" si="11"/>
        <v>0</v>
      </c>
      <c r="AE249" s="200">
        <f t="shared" ref="AE249:AG249" si="1249">countif($D249,"*"&amp;AE$2&amp;"*")</f>
        <v>0</v>
      </c>
      <c r="AF249" s="200">
        <f t="shared" si="1249"/>
        <v>0</v>
      </c>
      <c r="AG249" s="200">
        <f t="shared" si="1249"/>
        <v>0</v>
      </c>
      <c r="AH249" s="171">
        <f t="shared" si="13"/>
        <v>0</v>
      </c>
      <c r="AI249" s="200">
        <f t="shared" si="14"/>
        <v>1</v>
      </c>
      <c r="AJ249" s="200">
        <f t="shared" si="1129"/>
        <v>0</v>
      </c>
      <c r="AK249" s="201">
        <f t="shared" ref="AK249:AS249" si="1250">countif($D249,"*"&amp;AK$2&amp;"*")</f>
        <v>0</v>
      </c>
      <c r="AL249" s="201">
        <f t="shared" si="1250"/>
        <v>0</v>
      </c>
      <c r="AM249" s="201">
        <f t="shared" si="1250"/>
        <v>0</v>
      </c>
      <c r="AN249" s="201">
        <f t="shared" si="1250"/>
        <v>0</v>
      </c>
      <c r="AO249" s="201">
        <f t="shared" si="1250"/>
        <v>0</v>
      </c>
      <c r="AP249" s="201">
        <f t="shared" si="1250"/>
        <v>0</v>
      </c>
      <c r="AQ249" s="201">
        <f t="shared" si="1250"/>
        <v>0</v>
      </c>
      <c r="AR249" s="200">
        <f t="shared" si="1250"/>
        <v>0</v>
      </c>
      <c r="AS249" s="200">
        <f t="shared" si="1250"/>
        <v>0</v>
      </c>
      <c r="AT249" s="173">
        <v>0.0</v>
      </c>
      <c r="AU249" s="200">
        <f t="shared" ref="AU249:AX249" si="1251">countif($D249,"*"&amp;AU$2&amp;"*")</f>
        <v>0</v>
      </c>
      <c r="AV249" s="200">
        <f t="shared" si="1251"/>
        <v>0</v>
      </c>
      <c r="AW249" s="200">
        <f t="shared" si="1251"/>
        <v>0</v>
      </c>
      <c r="AX249" s="200">
        <f t="shared" si="1251"/>
        <v>1</v>
      </c>
      <c r="AY249" s="202">
        <v>0.0</v>
      </c>
      <c r="AZ249" s="200"/>
      <c r="BA249" s="171" t="str">
        <f t="shared" si="18"/>
        <v>Archival</v>
      </c>
      <c r="BB249" s="171" t="str">
        <f t="shared" si="19"/>
        <v/>
      </c>
      <c r="BC249" s="171" t="str">
        <f t="shared" si="20"/>
        <v/>
      </c>
      <c r="BD249" s="171" t="str">
        <f t="shared" si="21"/>
        <v/>
      </c>
      <c r="BE249" s="171" t="str">
        <f t="shared" si="22"/>
        <v/>
      </c>
      <c r="BF249" s="171" t="str">
        <f t="shared" si="23"/>
        <v>Archival</v>
      </c>
    </row>
    <row r="250">
      <c r="A250" s="171">
        <f t="array" ref="A250">XLOOKUP(C250,ICSE!A:A,ICSE!C:C,,2,1)</f>
        <v>2021</v>
      </c>
      <c r="B250" s="171" t="s">
        <v>5675</v>
      </c>
      <c r="C250" s="160">
        <v>489.0</v>
      </c>
      <c r="D250" s="161" t="s">
        <v>1957</v>
      </c>
      <c r="E250" s="197" t="str">
        <f t="array" ref="E250">XLOOKUP(C250,ICSE!A:A,ICSE!Z:Z,,0,1)</f>
        <v>Publicly available (1)</v>
      </c>
      <c r="F250" s="198" t="s">
        <v>20</v>
      </c>
      <c r="G250" s="163" t="str">
        <f t="array" ref="G250">IF(B250="ICSE",IF(COUNTIFS(B:B,B250,C:C,C250)=XLOOKUP(C250,ICSE!A:A,ICSE!AA:AA,"ERROR",0,1),"OK","ERROR"),IF(B250="FSE",IF(COUNTIFS(B:B,B250,C:C,C250)=XLOOKUP(C250,FSE!A:A,FSE!AA:AA,"ERROR",0,1),"OK","ERROR")))</f>
        <v>OK</v>
      </c>
      <c r="H250" s="199">
        <f t="shared" ref="H250:O250" si="1252">countif($D250,"*"&amp;H$2&amp;"*")</f>
        <v>0</v>
      </c>
      <c r="I250" s="200">
        <f t="shared" si="1252"/>
        <v>0</v>
      </c>
      <c r="J250" s="200">
        <f t="shared" si="1252"/>
        <v>0</v>
      </c>
      <c r="K250" s="200">
        <f t="shared" si="1252"/>
        <v>0</v>
      </c>
      <c r="L250" s="200">
        <f t="shared" si="1252"/>
        <v>0</v>
      </c>
      <c r="M250" s="200">
        <f t="shared" si="1252"/>
        <v>0</v>
      </c>
      <c r="N250" s="200">
        <f t="shared" si="1252"/>
        <v>0</v>
      </c>
      <c r="O250" s="200">
        <f t="shared" si="1252"/>
        <v>0</v>
      </c>
      <c r="P250" s="200">
        <f t="shared" si="9"/>
        <v>1</v>
      </c>
      <c r="Q250" s="200">
        <f t="shared" ref="Q250:AC250" si="1253">countif($D250,"*"&amp;Q$2&amp;"*")</f>
        <v>0</v>
      </c>
      <c r="R250" s="200">
        <f t="shared" si="1253"/>
        <v>0</v>
      </c>
      <c r="S250" s="200">
        <f t="shared" si="1253"/>
        <v>0</v>
      </c>
      <c r="T250" s="200">
        <f t="shared" si="1253"/>
        <v>0</v>
      </c>
      <c r="U250" s="200">
        <f t="shared" si="1253"/>
        <v>0</v>
      </c>
      <c r="V250" s="200">
        <f t="shared" si="1253"/>
        <v>0</v>
      </c>
      <c r="W250" s="200">
        <f t="shared" si="1253"/>
        <v>0</v>
      </c>
      <c r="X250" s="200">
        <f t="shared" si="1253"/>
        <v>0</v>
      </c>
      <c r="Y250" s="200">
        <f t="shared" si="1253"/>
        <v>0</v>
      </c>
      <c r="Z250" s="200">
        <f t="shared" si="1253"/>
        <v>0</v>
      </c>
      <c r="AA250" s="200">
        <f t="shared" si="1253"/>
        <v>0</v>
      </c>
      <c r="AB250" s="200">
        <f t="shared" si="1253"/>
        <v>0</v>
      </c>
      <c r="AC250" s="200">
        <f t="shared" si="1253"/>
        <v>0</v>
      </c>
      <c r="AD250" s="200">
        <f t="shared" si="11"/>
        <v>0</v>
      </c>
      <c r="AE250" s="200">
        <f t="shared" ref="AE250:AG250" si="1254">countif($D250,"*"&amp;AE$2&amp;"*")</f>
        <v>0</v>
      </c>
      <c r="AF250" s="200">
        <f t="shared" si="1254"/>
        <v>0</v>
      </c>
      <c r="AG250" s="200">
        <f t="shared" si="1254"/>
        <v>0</v>
      </c>
      <c r="AH250" s="171">
        <f t="shared" si="13"/>
        <v>0</v>
      </c>
      <c r="AI250" s="200">
        <f t="shared" si="14"/>
        <v>0</v>
      </c>
      <c r="AJ250" s="200">
        <f t="shared" si="1129"/>
        <v>0</v>
      </c>
      <c r="AK250" s="201">
        <f t="shared" ref="AK250:AS250" si="1255">countif($D250,"*"&amp;AK$2&amp;"*")</f>
        <v>0</v>
      </c>
      <c r="AL250" s="201">
        <f t="shared" si="1255"/>
        <v>0</v>
      </c>
      <c r="AM250" s="201">
        <f t="shared" si="1255"/>
        <v>0</v>
      </c>
      <c r="AN250" s="201">
        <f t="shared" si="1255"/>
        <v>0</v>
      </c>
      <c r="AO250" s="201">
        <f t="shared" si="1255"/>
        <v>0</v>
      </c>
      <c r="AP250" s="201">
        <f t="shared" si="1255"/>
        <v>0</v>
      </c>
      <c r="AQ250" s="201">
        <f t="shared" si="1255"/>
        <v>0</v>
      </c>
      <c r="AR250" s="200">
        <f t="shared" si="1255"/>
        <v>0</v>
      </c>
      <c r="AS250" s="200">
        <f t="shared" si="1255"/>
        <v>0</v>
      </c>
      <c r="AT250" s="173">
        <v>0.0</v>
      </c>
      <c r="AU250" s="200">
        <f t="shared" ref="AU250:AX250" si="1256">countif($D250,"*"&amp;AU$2&amp;"*")</f>
        <v>0</v>
      </c>
      <c r="AV250" s="200">
        <f t="shared" si="1256"/>
        <v>1</v>
      </c>
      <c r="AW250" s="200">
        <f t="shared" si="1256"/>
        <v>0</v>
      </c>
      <c r="AX250" s="200">
        <f t="shared" si="1256"/>
        <v>0</v>
      </c>
      <c r="AY250" s="202">
        <v>0.0</v>
      </c>
      <c r="AZ250" s="200"/>
      <c r="BA250" s="171" t="str">
        <f t="shared" si="18"/>
        <v/>
      </c>
      <c r="BB250" s="171" t="str">
        <f t="shared" si="19"/>
        <v>Code</v>
      </c>
      <c r="BC250" s="171" t="str">
        <f t="shared" si="20"/>
        <v/>
      </c>
      <c r="BD250" s="171" t="str">
        <f t="shared" si="21"/>
        <v/>
      </c>
      <c r="BE250" s="171" t="str">
        <f t="shared" si="22"/>
        <v/>
      </c>
      <c r="BF250" s="171" t="str">
        <f t="shared" si="23"/>
        <v>Code</v>
      </c>
    </row>
    <row r="251">
      <c r="A251" s="171">
        <f t="array" ref="A251">XLOOKUP(C251,ICSE!A:A,ICSE!C:C,,2,1)</f>
        <v>2021</v>
      </c>
      <c r="B251" s="171" t="s">
        <v>5675</v>
      </c>
      <c r="C251" s="160">
        <v>490.0</v>
      </c>
      <c r="D251" s="161" t="s">
        <v>1960</v>
      </c>
      <c r="E251" s="197" t="str">
        <f t="array" ref="E251">XLOOKUP(C251,ICSE!A:A,ICSE!Z:Z,,0,1)</f>
        <v>Publicly available (1)</v>
      </c>
      <c r="F251" s="198" t="s">
        <v>20</v>
      </c>
      <c r="G251" s="163" t="str">
        <f t="array" ref="G251">IF(B251="ICSE",IF(COUNTIFS(B:B,B251,C:C,C251)=XLOOKUP(C251,ICSE!A:A,ICSE!AA:AA,"ERROR",0,1),"OK","ERROR"),IF(B251="FSE",IF(COUNTIFS(B:B,B251,C:C,C251)=XLOOKUP(C251,FSE!A:A,FSE!AA:AA,"ERROR",0,1),"OK","ERROR")))</f>
        <v>OK</v>
      </c>
      <c r="H251" s="199">
        <f t="shared" ref="H251:O251" si="1257">countif($D251,"*"&amp;H$2&amp;"*")</f>
        <v>0</v>
      </c>
      <c r="I251" s="200">
        <f t="shared" si="1257"/>
        <v>0</v>
      </c>
      <c r="J251" s="200">
        <f t="shared" si="1257"/>
        <v>0</v>
      </c>
      <c r="K251" s="200">
        <f t="shared" si="1257"/>
        <v>0</v>
      </c>
      <c r="L251" s="200">
        <f t="shared" si="1257"/>
        <v>0</v>
      </c>
      <c r="M251" s="200">
        <f t="shared" si="1257"/>
        <v>0</v>
      </c>
      <c r="N251" s="200">
        <f t="shared" si="1257"/>
        <v>0</v>
      </c>
      <c r="O251" s="200">
        <f t="shared" si="1257"/>
        <v>0</v>
      </c>
      <c r="P251" s="200">
        <f t="shared" si="9"/>
        <v>0</v>
      </c>
      <c r="Q251" s="200">
        <f t="shared" ref="Q251:AC251" si="1258">countif($D251,"*"&amp;Q$2&amp;"*")</f>
        <v>0</v>
      </c>
      <c r="R251" s="200">
        <f t="shared" si="1258"/>
        <v>0</v>
      </c>
      <c r="S251" s="200">
        <f t="shared" si="1258"/>
        <v>0</v>
      </c>
      <c r="T251" s="200">
        <f t="shared" si="1258"/>
        <v>0</v>
      </c>
      <c r="U251" s="200">
        <f t="shared" si="1258"/>
        <v>0</v>
      </c>
      <c r="V251" s="200">
        <f t="shared" si="1258"/>
        <v>0</v>
      </c>
      <c r="W251" s="200">
        <f t="shared" si="1258"/>
        <v>0</v>
      </c>
      <c r="X251" s="200">
        <f t="shared" si="1258"/>
        <v>0</v>
      </c>
      <c r="Y251" s="200">
        <f t="shared" si="1258"/>
        <v>0</v>
      </c>
      <c r="Z251" s="200">
        <f t="shared" si="1258"/>
        <v>0</v>
      </c>
      <c r="AA251" s="200">
        <f t="shared" si="1258"/>
        <v>1</v>
      </c>
      <c r="AB251" s="200">
        <f t="shared" si="1258"/>
        <v>0</v>
      </c>
      <c r="AC251" s="200">
        <f t="shared" si="1258"/>
        <v>0</v>
      </c>
      <c r="AD251" s="200">
        <f t="shared" si="11"/>
        <v>0</v>
      </c>
      <c r="AE251" s="200">
        <f t="shared" ref="AE251:AG251" si="1259">countif($D251,"*"&amp;AE$2&amp;"*")</f>
        <v>0</v>
      </c>
      <c r="AF251" s="200">
        <f t="shared" si="1259"/>
        <v>0</v>
      </c>
      <c r="AG251" s="200">
        <f t="shared" si="1259"/>
        <v>0</v>
      </c>
      <c r="AH251" s="171">
        <f t="shared" si="13"/>
        <v>0</v>
      </c>
      <c r="AI251" s="200">
        <f t="shared" si="14"/>
        <v>0</v>
      </c>
      <c r="AJ251" s="200">
        <f t="shared" si="1129"/>
        <v>0</v>
      </c>
      <c r="AK251" s="201">
        <f t="shared" ref="AK251:AS251" si="1260">countif($D251,"*"&amp;AK$2&amp;"*")</f>
        <v>0</v>
      </c>
      <c r="AL251" s="201">
        <f t="shared" si="1260"/>
        <v>0</v>
      </c>
      <c r="AM251" s="201">
        <f t="shared" si="1260"/>
        <v>0</v>
      </c>
      <c r="AN251" s="201">
        <f t="shared" si="1260"/>
        <v>0</v>
      </c>
      <c r="AO251" s="201">
        <f t="shared" si="1260"/>
        <v>0</v>
      </c>
      <c r="AP251" s="201">
        <f t="shared" si="1260"/>
        <v>0</v>
      </c>
      <c r="AQ251" s="201">
        <f t="shared" si="1260"/>
        <v>0</v>
      </c>
      <c r="AR251" s="200">
        <f t="shared" si="1260"/>
        <v>0</v>
      </c>
      <c r="AS251" s="200">
        <f t="shared" si="1260"/>
        <v>0</v>
      </c>
      <c r="AT251" s="173">
        <v>0.0</v>
      </c>
      <c r="AU251" s="200">
        <f t="shared" ref="AU251:AX251" si="1261">countif($D251,"*"&amp;AU$2&amp;"*")</f>
        <v>0</v>
      </c>
      <c r="AV251" s="200">
        <f t="shared" si="1261"/>
        <v>0</v>
      </c>
      <c r="AW251" s="200">
        <f t="shared" si="1261"/>
        <v>0</v>
      </c>
      <c r="AX251" s="200">
        <f t="shared" si="1261"/>
        <v>0</v>
      </c>
      <c r="AY251" s="202">
        <v>0.0</v>
      </c>
      <c r="AZ251" s="200"/>
      <c r="BA251" s="171" t="str">
        <f t="shared" si="18"/>
        <v/>
      </c>
      <c r="BB251" s="171" t="str">
        <f t="shared" si="19"/>
        <v/>
      </c>
      <c r="BC251" s="171" t="str">
        <f t="shared" si="20"/>
        <v>General-purpose</v>
      </c>
      <c r="BD251" s="171" t="str">
        <f t="shared" si="21"/>
        <v/>
      </c>
      <c r="BE251" s="171" t="str">
        <f t="shared" si="22"/>
        <v/>
      </c>
      <c r="BF251" s="171" t="str">
        <f t="shared" si="23"/>
        <v>General-purpose</v>
      </c>
    </row>
    <row r="252">
      <c r="A252" s="171">
        <f t="array" ref="A252">XLOOKUP(C252,ICSE!A:A,ICSE!C:C,,2,1)</f>
        <v>2021</v>
      </c>
      <c r="B252" s="171" t="s">
        <v>5675</v>
      </c>
      <c r="C252" s="160">
        <v>492.0</v>
      </c>
      <c r="D252" s="161" t="s">
        <v>1965</v>
      </c>
      <c r="E252" s="197" t="str">
        <f t="array" ref="E252">XLOOKUP(C252,ICSE!A:A,ICSE!Z:Z,,0,1)</f>
        <v>Publicly available (1)</v>
      </c>
      <c r="F252" s="198" t="s">
        <v>20</v>
      </c>
      <c r="G252" s="163" t="str">
        <f t="array" ref="G252">IF(B252="ICSE",IF(COUNTIFS(B:B,B252,C:C,C252)=XLOOKUP(C252,ICSE!A:A,ICSE!AA:AA,"ERROR",0,1),"OK","ERROR"),IF(B252="FSE",IF(COUNTIFS(B:B,B252,C:C,C252)=XLOOKUP(C252,FSE!A:A,FSE!AA:AA,"ERROR",0,1),"OK","ERROR")))</f>
        <v>OK</v>
      </c>
      <c r="H252" s="199">
        <f t="shared" ref="H252:O252" si="1262">countif($D252,"*"&amp;H$2&amp;"*")</f>
        <v>1</v>
      </c>
      <c r="I252" s="200">
        <f t="shared" si="1262"/>
        <v>0</v>
      </c>
      <c r="J252" s="200">
        <f t="shared" si="1262"/>
        <v>0</v>
      </c>
      <c r="K252" s="200">
        <f t="shared" si="1262"/>
        <v>0</v>
      </c>
      <c r="L252" s="200">
        <f t="shared" si="1262"/>
        <v>0</v>
      </c>
      <c r="M252" s="200">
        <f t="shared" si="1262"/>
        <v>0</v>
      </c>
      <c r="N252" s="200">
        <f t="shared" si="1262"/>
        <v>0</v>
      </c>
      <c r="O252" s="200">
        <f t="shared" si="1262"/>
        <v>0</v>
      </c>
      <c r="P252" s="200">
        <f t="shared" si="9"/>
        <v>0</v>
      </c>
      <c r="Q252" s="200">
        <f t="shared" ref="Q252:AC252" si="1263">countif($D252,"*"&amp;Q$2&amp;"*")</f>
        <v>0</v>
      </c>
      <c r="R252" s="200">
        <f t="shared" si="1263"/>
        <v>0</v>
      </c>
      <c r="S252" s="200">
        <f t="shared" si="1263"/>
        <v>0</v>
      </c>
      <c r="T252" s="200">
        <f t="shared" si="1263"/>
        <v>0</v>
      </c>
      <c r="U252" s="200">
        <f t="shared" si="1263"/>
        <v>0</v>
      </c>
      <c r="V252" s="200">
        <f t="shared" si="1263"/>
        <v>0</v>
      </c>
      <c r="W252" s="200">
        <f t="shared" si="1263"/>
        <v>0</v>
      </c>
      <c r="X252" s="200">
        <f t="shared" si="1263"/>
        <v>0</v>
      </c>
      <c r="Y252" s="200">
        <f t="shared" si="1263"/>
        <v>0</v>
      </c>
      <c r="Z252" s="200">
        <f t="shared" si="1263"/>
        <v>0</v>
      </c>
      <c r="AA252" s="200">
        <f t="shared" si="1263"/>
        <v>0</v>
      </c>
      <c r="AB252" s="200">
        <f t="shared" si="1263"/>
        <v>0</v>
      </c>
      <c r="AC252" s="200">
        <f t="shared" si="1263"/>
        <v>0</v>
      </c>
      <c r="AD252" s="200">
        <f t="shared" si="11"/>
        <v>0</v>
      </c>
      <c r="AE252" s="200">
        <f t="shared" ref="AE252:AG252" si="1264">countif($D252,"*"&amp;AE$2&amp;"*")</f>
        <v>0</v>
      </c>
      <c r="AF252" s="200">
        <f t="shared" si="1264"/>
        <v>0</v>
      </c>
      <c r="AG252" s="200">
        <f t="shared" si="1264"/>
        <v>0</v>
      </c>
      <c r="AH252" s="171">
        <f t="shared" si="13"/>
        <v>0</v>
      </c>
      <c r="AI252" s="200">
        <f t="shared" si="14"/>
        <v>1</v>
      </c>
      <c r="AJ252" s="200">
        <f t="shared" si="1129"/>
        <v>0</v>
      </c>
      <c r="AK252" s="201">
        <f t="shared" ref="AK252:AS252" si="1265">countif($D252,"*"&amp;AK$2&amp;"*")</f>
        <v>0</v>
      </c>
      <c r="AL252" s="201">
        <f t="shared" si="1265"/>
        <v>0</v>
      </c>
      <c r="AM252" s="201">
        <f t="shared" si="1265"/>
        <v>0</v>
      </c>
      <c r="AN252" s="201">
        <f t="shared" si="1265"/>
        <v>0</v>
      </c>
      <c r="AO252" s="201">
        <f t="shared" si="1265"/>
        <v>0</v>
      </c>
      <c r="AP252" s="201">
        <f t="shared" si="1265"/>
        <v>0</v>
      </c>
      <c r="AQ252" s="201">
        <f t="shared" si="1265"/>
        <v>0</v>
      </c>
      <c r="AR252" s="200">
        <f t="shared" si="1265"/>
        <v>0</v>
      </c>
      <c r="AS252" s="200">
        <f t="shared" si="1265"/>
        <v>0</v>
      </c>
      <c r="AT252" s="173">
        <v>0.0</v>
      </c>
      <c r="AU252" s="200">
        <f t="shared" ref="AU252:AX252" si="1266">countif($D252,"*"&amp;AU$2&amp;"*")</f>
        <v>0</v>
      </c>
      <c r="AV252" s="200">
        <f t="shared" si="1266"/>
        <v>0</v>
      </c>
      <c r="AW252" s="200">
        <f t="shared" si="1266"/>
        <v>0</v>
      </c>
      <c r="AX252" s="200">
        <f t="shared" si="1266"/>
        <v>1</v>
      </c>
      <c r="AY252" s="202">
        <v>0.0</v>
      </c>
      <c r="AZ252" s="200"/>
      <c r="BA252" s="171" t="str">
        <f t="shared" si="18"/>
        <v>Archival</v>
      </c>
      <c r="BB252" s="171" t="str">
        <f t="shared" si="19"/>
        <v/>
      </c>
      <c r="BC252" s="171" t="str">
        <f t="shared" si="20"/>
        <v/>
      </c>
      <c r="BD252" s="171" t="str">
        <f t="shared" si="21"/>
        <v/>
      </c>
      <c r="BE252" s="171" t="str">
        <f t="shared" si="22"/>
        <v/>
      </c>
      <c r="BF252" s="171" t="str">
        <f t="shared" si="23"/>
        <v>Archival</v>
      </c>
    </row>
    <row r="253">
      <c r="A253" s="171">
        <f t="array" ref="A253">XLOOKUP(C253,ICSE!A:A,ICSE!C:C,,2,1)</f>
        <v>2021</v>
      </c>
      <c r="B253" s="171" t="s">
        <v>5675</v>
      </c>
      <c r="C253" s="160">
        <v>493.0</v>
      </c>
      <c r="D253" s="161" t="s">
        <v>1968</v>
      </c>
      <c r="E253" s="197" t="str">
        <f t="array" ref="E253">XLOOKUP(C253,ICSE!A:A,ICSE!Z:Z,,0,1)</f>
        <v>Publicly available (1)</v>
      </c>
      <c r="F253" s="198" t="s">
        <v>20</v>
      </c>
      <c r="G253" s="163" t="str">
        <f t="array" ref="G253">IF(B253="ICSE",IF(COUNTIFS(B:B,B253,C:C,C253)=XLOOKUP(C253,ICSE!A:A,ICSE!AA:AA,"ERROR",0,1),"OK","ERROR"),IF(B253="FSE",IF(COUNTIFS(B:B,B253,C:C,C253)=XLOOKUP(C253,FSE!A:A,FSE!AA:AA,"ERROR",0,1),"OK","ERROR")))</f>
        <v>OK</v>
      </c>
      <c r="H253" s="199">
        <f t="shared" ref="H253:O253" si="1267">countif($D253,"*"&amp;H$2&amp;"*")</f>
        <v>1</v>
      </c>
      <c r="I253" s="200">
        <f t="shared" si="1267"/>
        <v>0</v>
      </c>
      <c r="J253" s="200">
        <f t="shared" si="1267"/>
        <v>0</v>
      </c>
      <c r="K253" s="200">
        <f t="shared" si="1267"/>
        <v>0</v>
      </c>
      <c r="L253" s="200">
        <f t="shared" si="1267"/>
        <v>0</v>
      </c>
      <c r="M253" s="200">
        <f t="shared" si="1267"/>
        <v>0</v>
      </c>
      <c r="N253" s="200">
        <f t="shared" si="1267"/>
        <v>0</v>
      </c>
      <c r="O253" s="200">
        <f t="shared" si="1267"/>
        <v>0</v>
      </c>
      <c r="P253" s="200">
        <f t="shared" si="9"/>
        <v>0</v>
      </c>
      <c r="Q253" s="200">
        <f t="shared" ref="Q253:AC253" si="1268">countif($D253,"*"&amp;Q$2&amp;"*")</f>
        <v>0</v>
      </c>
      <c r="R253" s="200">
        <f t="shared" si="1268"/>
        <v>0</v>
      </c>
      <c r="S253" s="200">
        <f t="shared" si="1268"/>
        <v>0</v>
      </c>
      <c r="T253" s="200">
        <f t="shared" si="1268"/>
        <v>0</v>
      </c>
      <c r="U253" s="200">
        <f t="shared" si="1268"/>
        <v>0</v>
      </c>
      <c r="V253" s="200">
        <f t="shared" si="1268"/>
        <v>0</v>
      </c>
      <c r="W253" s="200">
        <f t="shared" si="1268"/>
        <v>0</v>
      </c>
      <c r="X253" s="200">
        <f t="shared" si="1268"/>
        <v>0</v>
      </c>
      <c r="Y253" s="200">
        <f t="shared" si="1268"/>
        <v>0</v>
      </c>
      <c r="Z253" s="200">
        <f t="shared" si="1268"/>
        <v>0</v>
      </c>
      <c r="AA253" s="200">
        <f t="shared" si="1268"/>
        <v>0</v>
      </c>
      <c r="AB253" s="200">
        <f t="shared" si="1268"/>
        <v>0</v>
      </c>
      <c r="AC253" s="200">
        <f t="shared" si="1268"/>
        <v>0</v>
      </c>
      <c r="AD253" s="200">
        <f t="shared" si="11"/>
        <v>0</v>
      </c>
      <c r="AE253" s="200">
        <f t="shared" ref="AE253:AG253" si="1269">countif($D253,"*"&amp;AE$2&amp;"*")</f>
        <v>0</v>
      </c>
      <c r="AF253" s="200">
        <f t="shared" si="1269"/>
        <v>0</v>
      </c>
      <c r="AG253" s="200">
        <f t="shared" si="1269"/>
        <v>0</v>
      </c>
      <c r="AH253" s="171">
        <f t="shared" si="13"/>
        <v>0</v>
      </c>
      <c r="AI253" s="200">
        <f t="shared" si="14"/>
        <v>1</v>
      </c>
      <c r="AJ253" s="200">
        <f t="shared" si="1129"/>
        <v>0</v>
      </c>
      <c r="AK253" s="201">
        <f t="shared" ref="AK253:AS253" si="1270">countif($D253,"*"&amp;AK$2&amp;"*")</f>
        <v>0</v>
      </c>
      <c r="AL253" s="201">
        <f t="shared" si="1270"/>
        <v>0</v>
      </c>
      <c r="AM253" s="201">
        <f t="shared" si="1270"/>
        <v>0</v>
      </c>
      <c r="AN253" s="201">
        <f t="shared" si="1270"/>
        <v>0</v>
      </c>
      <c r="AO253" s="201">
        <f t="shared" si="1270"/>
        <v>0</v>
      </c>
      <c r="AP253" s="201">
        <f t="shared" si="1270"/>
        <v>0</v>
      </c>
      <c r="AQ253" s="201">
        <f t="shared" si="1270"/>
        <v>0</v>
      </c>
      <c r="AR253" s="200">
        <f t="shared" si="1270"/>
        <v>0</v>
      </c>
      <c r="AS253" s="200">
        <f t="shared" si="1270"/>
        <v>0</v>
      </c>
      <c r="AT253" s="173">
        <v>0.0</v>
      </c>
      <c r="AU253" s="200">
        <f t="shared" ref="AU253:AX253" si="1271">countif($D253,"*"&amp;AU$2&amp;"*")</f>
        <v>0</v>
      </c>
      <c r="AV253" s="200">
        <f t="shared" si="1271"/>
        <v>0</v>
      </c>
      <c r="AW253" s="200">
        <f t="shared" si="1271"/>
        <v>0</v>
      </c>
      <c r="AX253" s="200">
        <f t="shared" si="1271"/>
        <v>1</v>
      </c>
      <c r="AY253" s="202">
        <v>0.0</v>
      </c>
      <c r="AZ253" s="200"/>
      <c r="BA253" s="171" t="str">
        <f t="shared" si="18"/>
        <v>Archival</v>
      </c>
      <c r="BB253" s="171" t="str">
        <f t="shared" si="19"/>
        <v/>
      </c>
      <c r="BC253" s="171" t="str">
        <f t="shared" si="20"/>
        <v/>
      </c>
      <c r="BD253" s="171" t="str">
        <f t="shared" si="21"/>
        <v/>
      </c>
      <c r="BE253" s="171" t="str">
        <f t="shared" si="22"/>
        <v/>
      </c>
      <c r="BF253" s="171" t="str">
        <f t="shared" si="23"/>
        <v>Archival</v>
      </c>
    </row>
    <row r="254">
      <c r="A254" s="171">
        <f t="array" ref="A254">XLOOKUP(C254,ICSE!A:A,ICSE!C:C,,2,1)</f>
        <v>2021</v>
      </c>
      <c r="B254" s="171" t="s">
        <v>5675</v>
      </c>
      <c r="C254" s="160">
        <v>494.0</v>
      </c>
      <c r="D254" s="161" t="s">
        <v>5814</v>
      </c>
      <c r="E254" s="197" t="str">
        <f t="array" ref="E254">XLOOKUP(C254,ICSE!A:A,ICSE!Z:Z,,0,1)</f>
        <v>Publicly available (1)</v>
      </c>
      <c r="F254" s="198" t="s">
        <v>20</v>
      </c>
      <c r="G254" s="163" t="str">
        <f t="array" ref="G254">IF(B254="ICSE",IF(COUNTIFS(B:B,B254,C:C,C254)=XLOOKUP(C254,ICSE!A:A,ICSE!AA:AA,"ERROR",0,1),"OK","ERROR"),IF(B254="FSE",IF(COUNTIFS(B:B,B254,C:C,C254)=XLOOKUP(C254,FSE!A:A,FSE!AA:AA,"ERROR",0,1),"OK","ERROR")))</f>
        <v>OK</v>
      </c>
      <c r="H254" s="199">
        <f t="shared" ref="H254:O254" si="1272">countif($D254,"*"&amp;H$2&amp;"*")</f>
        <v>0</v>
      </c>
      <c r="I254" s="200">
        <f t="shared" si="1272"/>
        <v>0</v>
      </c>
      <c r="J254" s="200">
        <f t="shared" si="1272"/>
        <v>0</v>
      </c>
      <c r="K254" s="200">
        <f t="shared" si="1272"/>
        <v>0</v>
      </c>
      <c r="L254" s="200">
        <f t="shared" si="1272"/>
        <v>0</v>
      </c>
      <c r="M254" s="200">
        <f t="shared" si="1272"/>
        <v>0</v>
      </c>
      <c r="N254" s="200">
        <f t="shared" si="1272"/>
        <v>0</v>
      </c>
      <c r="O254" s="200">
        <f t="shared" si="1272"/>
        <v>0</v>
      </c>
      <c r="P254" s="200">
        <f t="shared" si="9"/>
        <v>1</v>
      </c>
      <c r="Q254" s="200">
        <f t="shared" ref="Q254:AC254" si="1273">countif($D254,"*"&amp;Q$2&amp;"*")</f>
        <v>0</v>
      </c>
      <c r="R254" s="200">
        <f t="shared" si="1273"/>
        <v>0</v>
      </c>
      <c r="S254" s="200">
        <f t="shared" si="1273"/>
        <v>0</v>
      </c>
      <c r="T254" s="200">
        <f t="shared" si="1273"/>
        <v>0</v>
      </c>
      <c r="U254" s="200">
        <f t="shared" si="1273"/>
        <v>0</v>
      </c>
      <c r="V254" s="200">
        <f t="shared" si="1273"/>
        <v>0</v>
      </c>
      <c r="W254" s="200">
        <f t="shared" si="1273"/>
        <v>0</v>
      </c>
      <c r="X254" s="200">
        <f t="shared" si="1273"/>
        <v>0</v>
      </c>
      <c r="Y254" s="200">
        <f t="shared" si="1273"/>
        <v>0</v>
      </c>
      <c r="Z254" s="200">
        <f t="shared" si="1273"/>
        <v>0</v>
      </c>
      <c r="AA254" s="200">
        <f t="shared" si="1273"/>
        <v>0</v>
      </c>
      <c r="AB254" s="200">
        <f t="shared" si="1273"/>
        <v>0</v>
      </c>
      <c r="AC254" s="200">
        <f t="shared" si="1273"/>
        <v>0</v>
      </c>
      <c r="AD254" s="200">
        <f t="shared" si="11"/>
        <v>0</v>
      </c>
      <c r="AE254" s="200">
        <f t="shared" ref="AE254:AG254" si="1274">countif($D254,"*"&amp;AE$2&amp;"*")</f>
        <v>0</v>
      </c>
      <c r="AF254" s="200">
        <f t="shared" si="1274"/>
        <v>0</v>
      </c>
      <c r="AG254" s="200">
        <f t="shared" si="1274"/>
        <v>0</v>
      </c>
      <c r="AH254" s="171">
        <f t="shared" si="13"/>
        <v>0</v>
      </c>
      <c r="AI254" s="200">
        <f t="shared" si="14"/>
        <v>0</v>
      </c>
      <c r="AJ254" s="200">
        <f t="shared" si="1129"/>
        <v>0</v>
      </c>
      <c r="AK254" s="201">
        <f t="shared" ref="AK254:AS254" si="1275">countif($D254,"*"&amp;AK$2&amp;"*")</f>
        <v>0</v>
      </c>
      <c r="AL254" s="201">
        <f t="shared" si="1275"/>
        <v>0</v>
      </c>
      <c r="AM254" s="201">
        <f t="shared" si="1275"/>
        <v>0</v>
      </c>
      <c r="AN254" s="201">
        <f t="shared" si="1275"/>
        <v>0</v>
      </c>
      <c r="AO254" s="201">
        <f t="shared" si="1275"/>
        <v>0</v>
      </c>
      <c r="AP254" s="201">
        <f t="shared" si="1275"/>
        <v>0</v>
      </c>
      <c r="AQ254" s="201">
        <f t="shared" si="1275"/>
        <v>0</v>
      </c>
      <c r="AR254" s="200">
        <f t="shared" si="1275"/>
        <v>0</v>
      </c>
      <c r="AS254" s="200">
        <f t="shared" si="1275"/>
        <v>0</v>
      </c>
      <c r="AT254" s="173">
        <v>0.0</v>
      </c>
      <c r="AU254" s="200">
        <f t="shared" ref="AU254:AX254" si="1276">countif($D254,"*"&amp;AU$2&amp;"*")</f>
        <v>0</v>
      </c>
      <c r="AV254" s="200">
        <f t="shared" si="1276"/>
        <v>1</v>
      </c>
      <c r="AW254" s="200">
        <f t="shared" si="1276"/>
        <v>0</v>
      </c>
      <c r="AX254" s="200">
        <f t="shared" si="1276"/>
        <v>0</v>
      </c>
      <c r="AY254" s="202">
        <v>0.0</v>
      </c>
      <c r="AZ254" s="200"/>
      <c r="BA254" s="171" t="str">
        <f t="shared" si="18"/>
        <v/>
      </c>
      <c r="BB254" s="171" t="str">
        <f t="shared" si="19"/>
        <v>Code</v>
      </c>
      <c r="BC254" s="171" t="str">
        <f t="shared" si="20"/>
        <v/>
      </c>
      <c r="BD254" s="171" t="str">
        <f t="shared" si="21"/>
        <v/>
      </c>
      <c r="BE254" s="171" t="str">
        <f t="shared" si="22"/>
        <v/>
      </c>
      <c r="BF254" s="171" t="str">
        <f t="shared" si="23"/>
        <v>Code</v>
      </c>
    </row>
    <row r="255">
      <c r="A255" s="171">
        <f t="array" ref="A255">XLOOKUP(C255,ICSE!A:A,ICSE!C:C,,2,1)</f>
        <v>2021</v>
      </c>
      <c r="B255" s="171" t="s">
        <v>5675</v>
      </c>
      <c r="C255" s="160">
        <v>496.0</v>
      </c>
      <c r="D255" s="161" t="s">
        <v>1975</v>
      </c>
      <c r="E255" s="197" t="str">
        <f t="array" ref="E255">XLOOKUP(C255,ICSE!A:A,ICSE!Z:Z,,0,1)</f>
        <v>Publicly available (1)</v>
      </c>
      <c r="F255" s="198" t="s">
        <v>20</v>
      </c>
      <c r="G255" s="163" t="str">
        <f t="array" ref="G255">IF(B255="ICSE",IF(COUNTIFS(B:B,B255,C:C,C255)=XLOOKUP(C255,ICSE!A:A,ICSE!AA:AA,"ERROR",0,1),"OK","ERROR"),IF(B255="FSE",IF(COUNTIFS(B:B,B255,C:C,C255)=XLOOKUP(C255,FSE!A:A,FSE!AA:AA,"ERROR",0,1),"OK","ERROR")))</f>
        <v>OK</v>
      </c>
      <c r="H255" s="199">
        <f t="shared" ref="H255:O255" si="1277">countif($D255,"*"&amp;H$2&amp;"*")</f>
        <v>0</v>
      </c>
      <c r="I255" s="200">
        <f t="shared" si="1277"/>
        <v>0</v>
      </c>
      <c r="J255" s="200">
        <f t="shared" si="1277"/>
        <v>0</v>
      </c>
      <c r="K255" s="200">
        <f t="shared" si="1277"/>
        <v>0</v>
      </c>
      <c r="L255" s="200">
        <f t="shared" si="1277"/>
        <v>0</v>
      </c>
      <c r="M255" s="200">
        <f t="shared" si="1277"/>
        <v>0</v>
      </c>
      <c r="N255" s="200">
        <f t="shared" si="1277"/>
        <v>0</v>
      </c>
      <c r="O255" s="200">
        <f t="shared" si="1277"/>
        <v>0</v>
      </c>
      <c r="P255" s="200">
        <f t="shared" si="9"/>
        <v>1</v>
      </c>
      <c r="Q255" s="200">
        <f t="shared" ref="Q255:AC255" si="1278">countif($D255,"*"&amp;Q$2&amp;"*")</f>
        <v>0</v>
      </c>
      <c r="R255" s="200">
        <f t="shared" si="1278"/>
        <v>0</v>
      </c>
      <c r="S255" s="200">
        <f t="shared" si="1278"/>
        <v>0</v>
      </c>
      <c r="T255" s="200">
        <f t="shared" si="1278"/>
        <v>0</v>
      </c>
      <c r="U255" s="200">
        <f t="shared" si="1278"/>
        <v>0</v>
      </c>
      <c r="V255" s="200">
        <f t="shared" si="1278"/>
        <v>0</v>
      </c>
      <c r="W255" s="200">
        <f t="shared" si="1278"/>
        <v>0</v>
      </c>
      <c r="X255" s="200">
        <f t="shared" si="1278"/>
        <v>0</v>
      </c>
      <c r="Y255" s="200">
        <f t="shared" si="1278"/>
        <v>0</v>
      </c>
      <c r="Z255" s="200">
        <f t="shared" si="1278"/>
        <v>0</v>
      </c>
      <c r="AA255" s="200">
        <f t="shared" si="1278"/>
        <v>0</v>
      </c>
      <c r="AB255" s="200">
        <f t="shared" si="1278"/>
        <v>0</v>
      </c>
      <c r="AC255" s="200">
        <f t="shared" si="1278"/>
        <v>0</v>
      </c>
      <c r="AD255" s="200">
        <f t="shared" si="11"/>
        <v>0</v>
      </c>
      <c r="AE255" s="200">
        <f t="shared" ref="AE255:AG255" si="1279">countif($D255,"*"&amp;AE$2&amp;"*")</f>
        <v>0</v>
      </c>
      <c r="AF255" s="200">
        <f t="shared" si="1279"/>
        <v>0</v>
      </c>
      <c r="AG255" s="200">
        <f t="shared" si="1279"/>
        <v>0</v>
      </c>
      <c r="AH255" s="171">
        <f t="shared" si="13"/>
        <v>0</v>
      </c>
      <c r="AI255" s="200">
        <f t="shared" si="14"/>
        <v>0</v>
      </c>
      <c r="AJ255" s="200">
        <f t="shared" si="1129"/>
        <v>0</v>
      </c>
      <c r="AK255" s="201">
        <f t="shared" ref="AK255:AS255" si="1280">countif($D255,"*"&amp;AK$2&amp;"*")</f>
        <v>0</v>
      </c>
      <c r="AL255" s="201">
        <f t="shared" si="1280"/>
        <v>0</v>
      </c>
      <c r="AM255" s="201">
        <f t="shared" si="1280"/>
        <v>0</v>
      </c>
      <c r="AN255" s="201">
        <f t="shared" si="1280"/>
        <v>0</v>
      </c>
      <c r="AO255" s="201">
        <f t="shared" si="1280"/>
        <v>0</v>
      </c>
      <c r="AP255" s="201">
        <f t="shared" si="1280"/>
        <v>0</v>
      </c>
      <c r="AQ255" s="201">
        <f t="shared" si="1280"/>
        <v>0</v>
      </c>
      <c r="AR255" s="200">
        <f t="shared" si="1280"/>
        <v>0</v>
      </c>
      <c r="AS255" s="200">
        <f t="shared" si="1280"/>
        <v>0</v>
      </c>
      <c r="AT255" s="173">
        <v>0.0</v>
      </c>
      <c r="AU255" s="200">
        <f t="shared" ref="AU255:AX255" si="1281">countif($D255,"*"&amp;AU$2&amp;"*")</f>
        <v>0</v>
      </c>
      <c r="AV255" s="200">
        <f t="shared" si="1281"/>
        <v>1</v>
      </c>
      <c r="AW255" s="200">
        <f t="shared" si="1281"/>
        <v>0</v>
      </c>
      <c r="AX255" s="200">
        <f t="shared" si="1281"/>
        <v>0</v>
      </c>
      <c r="AY255" s="202">
        <v>0.0</v>
      </c>
      <c r="AZ255" s="200"/>
      <c r="BA255" s="171" t="str">
        <f t="shared" si="18"/>
        <v/>
      </c>
      <c r="BB255" s="171" t="str">
        <f t="shared" si="19"/>
        <v>Code</v>
      </c>
      <c r="BC255" s="171" t="str">
        <f t="shared" si="20"/>
        <v/>
      </c>
      <c r="BD255" s="171" t="str">
        <f t="shared" si="21"/>
        <v/>
      </c>
      <c r="BE255" s="171" t="str">
        <f t="shared" si="22"/>
        <v/>
      </c>
      <c r="BF255" s="171" t="str">
        <f t="shared" si="23"/>
        <v>Code</v>
      </c>
    </row>
    <row r="256">
      <c r="A256" s="171">
        <f t="array" ref="A256">XLOOKUP(C256,ICSE!A:A,ICSE!C:C,,2,1)</f>
        <v>2021</v>
      </c>
      <c r="B256" s="171" t="s">
        <v>5675</v>
      </c>
      <c r="C256" s="160">
        <v>497.0</v>
      </c>
      <c r="D256" s="161" t="s">
        <v>1977</v>
      </c>
      <c r="E256" s="197" t="str">
        <f t="array" ref="E256">XLOOKUP(C256,ICSE!A:A,ICSE!Z:Z,,0,1)</f>
        <v>Publicly available (1)</v>
      </c>
      <c r="F256" s="198" t="s">
        <v>20</v>
      </c>
      <c r="G256" s="163" t="str">
        <f t="array" ref="G256">IF(B256="ICSE",IF(COUNTIFS(B:B,B256,C:C,C256)=XLOOKUP(C256,ICSE!A:A,ICSE!AA:AA,"ERROR",0,1),"OK","ERROR"),IF(B256="FSE",IF(COUNTIFS(B:B,B256,C:C,C256)=XLOOKUP(C256,FSE!A:A,FSE!AA:AA,"ERROR",0,1),"OK","ERROR")))</f>
        <v>OK</v>
      </c>
      <c r="H256" s="199">
        <f t="shared" ref="H256:O256" si="1282">countif($D256,"*"&amp;H$2&amp;"*")</f>
        <v>0</v>
      </c>
      <c r="I256" s="200">
        <f t="shared" si="1282"/>
        <v>0</v>
      </c>
      <c r="J256" s="200">
        <f t="shared" si="1282"/>
        <v>0</v>
      </c>
      <c r="K256" s="200">
        <f t="shared" si="1282"/>
        <v>0</v>
      </c>
      <c r="L256" s="200">
        <f t="shared" si="1282"/>
        <v>0</v>
      </c>
      <c r="M256" s="200">
        <f t="shared" si="1282"/>
        <v>0</v>
      </c>
      <c r="N256" s="200">
        <f t="shared" si="1282"/>
        <v>0</v>
      </c>
      <c r="O256" s="200">
        <f t="shared" si="1282"/>
        <v>0</v>
      </c>
      <c r="P256" s="200">
        <f t="shared" si="9"/>
        <v>1</v>
      </c>
      <c r="Q256" s="200">
        <f t="shared" ref="Q256:AC256" si="1283">countif($D256,"*"&amp;Q$2&amp;"*")</f>
        <v>0</v>
      </c>
      <c r="R256" s="200">
        <f t="shared" si="1283"/>
        <v>0</v>
      </c>
      <c r="S256" s="200">
        <f t="shared" si="1283"/>
        <v>0</v>
      </c>
      <c r="T256" s="200">
        <f t="shared" si="1283"/>
        <v>0</v>
      </c>
      <c r="U256" s="200">
        <f t="shared" si="1283"/>
        <v>0</v>
      </c>
      <c r="V256" s="200">
        <f t="shared" si="1283"/>
        <v>0</v>
      </c>
      <c r="W256" s="200">
        <f t="shared" si="1283"/>
        <v>0</v>
      </c>
      <c r="X256" s="200">
        <f t="shared" si="1283"/>
        <v>0</v>
      </c>
      <c r="Y256" s="200">
        <f t="shared" si="1283"/>
        <v>0</v>
      </c>
      <c r="Z256" s="200">
        <f t="shared" si="1283"/>
        <v>0</v>
      </c>
      <c r="AA256" s="200">
        <f t="shared" si="1283"/>
        <v>0</v>
      </c>
      <c r="AB256" s="200">
        <f t="shared" si="1283"/>
        <v>0</v>
      </c>
      <c r="AC256" s="200">
        <f t="shared" si="1283"/>
        <v>0</v>
      </c>
      <c r="AD256" s="200">
        <f t="shared" si="11"/>
        <v>0</v>
      </c>
      <c r="AE256" s="200">
        <f t="shared" ref="AE256:AG256" si="1284">countif($D256,"*"&amp;AE$2&amp;"*")</f>
        <v>0</v>
      </c>
      <c r="AF256" s="200">
        <f t="shared" si="1284"/>
        <v>0</v>
      </c>
      <c r="AG256" s="200">
        <f t="shared" si="1284"/>
        <v>0</v>
      </c>
      <c r="AH256" s="171">
        <f t="shared" si="13"/>
        <v>0</v>
      </c>
      <c r="AI256" s="200">
        <f t="shared" si="14"/>
        <v>0</v>
      </c>
      <c r="AJ256" s="200">
        <f t="shared" si="1129"/>
        <v>0</v>
      </c>
      <c r="AK256" s="201">
        <f t="shared" ref="AK256:AS256" si="1285">countif($D256,"*"&amp;AK$2&amp;"*")</f>
        <v>0</v>
      </c>
      <c r="AL256" s="201">
        <f t="shared" si="1285"/>
        <v>0</v>
      </c>
      <c r="AM256" s="201">
        <f t="shared" si="1285"/>
        <v>0</v>
      </c>
      <c r="AN256" s="201">
        <f t="shared" si="1285"/>
        <v>0</v>
      </c>
      <c r="AO256" s="201">
        <f t="shared" si="1285"/>
        <v>0</v>
      </c>
      <c r="AP256" s="201">
        <f t="shared" si="1285"/>
        <v>0</v>
      </c>
      <c r="AQ256" s="201">
        <f t="shared" si="1285"/>
        <v>0</v>
      </c>
      <c r="AR256" s="200">
        <f t="shared" si="1285"/>
        <v>0</v>
      </c>
      <c r="AS256" s="200">
        <f t="shared" si="1285"/>
        <v>0</v>
      </c>
      <c r="AT256" s="173">
        <v>0.0</v>
      </c>
      <c r="AU256" s="200">
        <f t="shared" ref="AU256:AX256" si="1286">countif($D256,"*"&amp;AU$2&amp;"*")</f>
        <v>0</v>
      </c>
      <c r="AV256" s="200">
        <f t="shared" si="1286"/>
        <v>1</v>
      </c>
      <c r="AW256" s="200">
        <f t="shared" si="1286"/>
        <v>0</v>
      </c>
      <c r="AX256" s="200">
        <f t="shared" si="1286"/>
        <v>0</v>
      </c>
      <c r="AY256" s="202">
        <v>0.0</v>
      </c>
      <c r="AZ256" s="200"/>
      <c r="BA256" s="171" t="str">
        <f t="shared" si="18"/>
        <v/>
      </c>
      <c r="BB256" s="171" t="str">
        <f t="shared" si="19"/>
        <v>Code</v>
      </c>
      <c r="BC256" s="171" t="str">
        <f t="shared" si="20"/>
        <v/>
      </c>
      <c r="BD256" s="171" t="str">
        <f t="shared" si="21"/>
        <v/>
      </c>
      <c r="BE256" s="171" t="str">
        <f t="shared" si="22"/>
        <v/>
      </c>
      <c r="BF256" s="171" t="str">
        <f t="shared" si="23"/>
        <v>Code</v>
      </c>
    </row>
    <row r="257">
      <c r="A257" s="171">
        <f t="array" ref="A257">XLOOKUP(C257,ICSE!A:A,ICSE!C:C,,2,1)</f>
        <v>2021</v>
      </c>
      <c r="B257" s="171" t="s">
        <v>5675</v>
      </c>
      <c r="C257" s="160">
        <v>498.0</v>
      </c>
      <c r="D257" s="161" t="s">
        <v>1980</v>
      </c>
      <c r="E257" s="197" t="str">
        <f t="array" ref="E257">XLOOKUP(C257,ICSE!A:A,ICSE!Z:Z,,0,1)</f>
        <v>Publicly available (1)</v>
      </c>
      <c r="F257" s="198" t="s">
        <v>20</v>
      </c>
      <c r="G257" s="163" t="str">
        <f t="array" ref="G257">IF(B257="ICSE",IF(COUNTIFS(B:B,B257,C:C,C257)=XLOOKUP(C257,ICSE!A:A,ICSE!AA:AA,"ERROR",0,1),"OK","ERROR"),IF(B257="FSE",IF(COUNTIFS(B:B,B257,C:C,C257)=XLOOKUP(C257,FSE!A:A,FSE!AA:AA,"ERROR",0,1),"OK","ERROR")))</f>
        <v>OK</v>
      </c>
      <c r="H257" s="199">
        <f t="shared" ref="H257:O257" si="1287">countif($D257,"*"&amp;H$2&amp;"*")</f>
        <v>0</v>
      </c>
      <c r="I257" s="200">
        <f t="shared" si="1287"/>
        <v>0</v>
      </c>
      <c r="J257" s="200">
        <f t="shared" si="1287"/>
        <v>0</v>
      </c>
      <c r="K257" s="200">
        <f t="shared" si="1287"/>
        <v>0</v>
      </c>
      <c r="L257" s="200">
        <f t="shared" si="1287"/>
        <v>0</v>
      </c>
      <c r="M257" s="200">
        <f t="shared" si="1287"/>
        <v>0</v>
      </c>
      <c r="N257" s="200">
        <f t="shared" si="1287"/>
        <v>0</v>
      </c>
      <c r="O257" s="200">
        <f t="shared" si="1287"/>
        <v>0</v>
      </c>
      <c r="P257" s="200">
        <f t="shared" si="9"/>
        <v>1</v>
      </c>
      <c r="Q257" s="200">
        <f t="shared" ref="Q257:AC257" si="1288">countif($D257,"*"&amp;Q$2&amp;"*")</f>
        <v>0</v>
      </c>
      <c r="R257" s="200">
        <f t="shared" si="1288"/>
        <v>0</v>
      </c>
      <c r="S257" s="200">
        <f t="shared" si="1288"/>
        <v>0</v>
      </c>
      <c r="T257" s="200">
        <f t="shared" si="1288"/>
        <v>0</v>
      </c>
      <c r="U257" s="200">
        <f t="shared" si="1288"/>
        <v>0</v>
      </c>
      <c r="V257" s="200">
        <f t="shared" si="1288"/>
        <v>0</v>
      </c>
      <c r="W257" s="200">
        <f t="shared" si="1288"/>
        <v>0</v>
      </c>
      <c r="X257" s="200">
        <f t="shared" si="1288"/>
        <v>0</v>
      </c>
      <c r="Y257" s="200">
        <f t="shared" si="1288"/>
        <v>0</v>
      </c>
      <c r="Z257" s="200">
        <f t="shared" si="1288"/>
        <v>0</v>
      </c>
      <c r="AA257" s="200">
        <f t="shared" si="1288"/>
        <v>0</v>
      </c>
      <c r="AB257" s="200">
        <f t="shared" si="1288"/>
        <v>0</v>
      </c>
      <c r="AC257" s="200">
        <f t="shared" si="1288"/>
        <v>0</v>
      </c>
      <c r="AD257" s="200">
        <f t="shared" si="11"/>
        <v>0</v>
      </c>
      <c r="AE257" s="200">
        <f t="shared" ref="AE257:AG257" si="1289">countif($D257,"*"&amp;AE$2&amp;"*")</f>
        <v>0</v>
      </c>
      <c r="AF257" s="200">
        <f t="shared" si="1289"/>
        <v>0</v>
      </c>
      <c r="AG257" s="200">
        <f t="shared" si="1289"/>
        <v>0</v>
      </c>
      <c r="AH257" s="171">
        <f t="shared" si="13"/>
        <v>0</v>
      </c>
      <c r="AI257" s="200">
        <f t="shared" si="14"/>
        <v>0</v>
      </c>
      <c r="AJ257" s="200">
        <f t="shared" si="1129"/>
        <v>0</v>
      </c>
      <c r="AK257" s="201">
        <f t="shared" ref="AK257:AS257" si="1290">countif($D257,"*"&amp;AK$2&amp;"*")</f>
        <v>0</v>
      </c>
      <c r="AL257" s="201">
        <f t="shared" si="1290"/>
        <v>0</v>
      </c>
      <c r="AM257" s="201">
        <f t="shared" si="1290"/>
        <v>0</v>
      </c>
      <c r="AN257" s="201">
        <f t="shared" si="1290"/>
        <v>0</v>
      </c>
      <c r="AO257" s="201">
        <f t="shared" si="1290"/>
        <v>0</v>
      </c>
      <c r="AP257" s="201">
        <f t="shared" si="1290"/>
        <v>0</v>
      </c>
      <c r="AQ257" s="201">
        <f t="shared" si="1290"/>
        <v>0</v>
      </c>
      <c r="AR257" s="200">
        <f t="shared" si="1290"/>
        <v>0</v>
      </c>
      <c r="AS257" s="200">
        <f t="shared" si="1290"/>
        <v>0</v>
      </c>
      <c r="AT257" s="173">
        <v>0.0</v>
      </c>
      <c r="AU257" s="200">
        <f t="shared" ref="AU257:AX257" si="1291">countif($D257,"*"&amp;AU$2&amp;"*")</f>
        <v>0</v>
      </c>
      <c r="AV257" s="200">
        <f t="shared" si="1291"/>
        <v>1</v>
      </c>
      <c r="AW257" s="200">
        <f t="shared" si="1291"/>
        <v>0</v>
      </c>
      <c r="AX257" s="200">
        <f t="shared" si="1291"/>
        <v>0</v>
      </c>
      <c r="AY257" s="202">
        <v>0.0</v>
      </c>
      <c r="AZ257" s="200"/>
      <c r="BA257" s="171" t="str">
        <f t="shared" si="18"/>
        <v/>
      </c>
      <c r="BB257" s="171" t="str">
        <f t="shared" si="19"/>
        <v>Code</v>
      </c>
      <c r="BC257" s="171" t="str">
        <f t="shared" si="20"/>
        <v/>
      </c>
      <c r="BD257" s="171" t="str">
        <f t="shared" si="21"/>
        <v/>
      </c>
      <c r="BE257" s="171" t="str">
        <f t="shared" si="22"/>
        <v/>
      </c>
      <c r="BF257" s="171" t="str">
        <f t="shared" si="23"/>
        <v>Code</v>
      </c>
    </row>
    <row r="258">
      <c r="A258" s="171">
        <f t="array" ref="A258">XLOOKUP(C258,ICSE!A:A,ICSE!C:C,,2,1)</f>
        <v>2021</v>
      </c>
      <c r="B258" s="171" t="s">
        <v>5675</v>
      </c>
      <c r="C258" s="160">
        <v>499.0</v>
      </c>
      <c r="D258" s="161" t="s">
        <v>5815</v>
      </c>
      <c r="E258" s="197" t="str">
        <f t="array" ref="E258">XLOOKUP(C258,ICSE!A:A,ICSE!Z:Z,,0,1)</f>
        <v>Publicly available (2)</v>
      </c>
      <c r="F258" s="198" t="s">
        <v>20</v>
      </c>
      <c r="G258" s="163" t="str">
        <f t="array" ref="G258">IF(B258="ICSE",IF(COUNTIFS(B:B,B258,C:C,C258)=XLOOKUP(C258,ICSE!A:A,ICSE!AA:AA,"ERROR",0,1),"OK","ERROR"),IF(B258="FSE",IF(COUNTIFS(B:B,B258,C:C,C258)=XLOOKUP(C258,FSE!A:A,FSE!AA:AA,"ERROR",0,1),"OK","ERROR")))</f>
        <v>OK</v>
      </c>
      <c r="H258" s="199">
        <f t="shared" ref="H258:O258" si="1292">countif($D258,"*"&amp;H$2&amp;"*")</f>
        <v>0</v>
      </c>
      <c r="I258" s="200">
        <f t="shared" si="1292"/>
        <v>0</v>
      </c>
      <c r="J258" s="200">
        <f t="shared" si="1292"/>
        <v>0</v>
      </c>
      <c r="K258" s="200">
        <f t="shared" si="1292"/>
        <v>0</v>
      </c>
      <c r="L258" s="200">
        <f t="shared" si="1292"/>
        <v>0</v>
      </c>
      <c r="M258" s="200">
        <f t="shared" si="1292"/>
        <v>0</v>
      </c>
      <c r="N258" s="200">
        <f t="shared" si="1292"/>
        <v>0</v>
      </c>
      <c r="O258" s="200">
        <f t="shared" si="1292"/>
        <v>0</v>
      </c>
      <c r="P258" s="200">
        <f t="shared" si="9"/>
        <v>1</v>
      </c>
      <c r="Q258" s="200">
        <f t="shared" ref="Q258:AC258" si="1293">countif($D258,"*"&amp;Q$2&amp;"*")</f>
        <v>0</v>
      </c>
      <c r="R258" s="200">
        <f t="shared" si="1293"/>
        <v>0</v>
      </c>
      <c r="S258" s="200">
        <f t="shared" si="1293"/>
        <v>0</v>
      </c>
      <c r="T258" s="200">
        <f t="shared" si="1293"/>
        <v>0</v>
      </c>
      <c r="U258" s="200">
        <f t="shared" si="1293"/>
        <v>0</v>
      </c>
      <c r="V258" s="200">
        <f t="shared" si="1293"/>
        <v>0</v>
      </c>
      <c r="W258" s="200">
        <f t="shared" si="1293"/>
        <v>0</v>
      </c>
      <c r="X258" s="200">
        <f t="shared" si="1293"/>
        <v>0</v>
      </c>
      <c r="Y258" s="200">
        <f t="shared" si="1293"/>
        <v>0</v>
      </c>
      <c r="Z258" s="200">
        <f t="shared" si="1293"/>
        <v>0</v>
      </c>
      <c r="AA258" s="200">
        <f t="shared" si="1293"/>
        <v>0</v>
      </c>
      <c r="AB258" s="200">
        <f t="shared" si="1293"/>
        <v>0</v>
      </c>
      <c r="AC258" s="200">
        <f t="shared" si="1293"/>
        <v>0</v>
      </c>
      <c r="AD258" s="200">
        <f t="shared" si="11"/>
        <v>0</v>
      </c>
      <c r="AE258" s="200">
        <f t="shared" ref="AE258:AG258" si="1294">countif($D258,"*"&amp;AE$2&amp;"*")</f>
        <v>0</v>
      </c>
      <c r="AF258" s="200">
        <f t="shared" si="1294"/>
        <v>0</v>
      </c>
      <c r="AG258" s="200">
        <f t="shared" si="1294"/>
        <v>0</v>
      </c>
      <c r="AH258" s="171">
        <f t="shared" si="13"/>
        <v>0</v>
      </c>
      <c r="AI258" s="200">
        <f t="shared" si="14"/>
        <v>0</v>
      </c>
      <c r="AJ258" s="200">
        <f t="shared" si="1129"/>
        <v>0</v>
      </c>
      <c r="AK258" s="201">
        <f t="shared" ref="AK258:AS258" si="1295">countif($D258,"*"&amp;AK$2&amp;"*")</f>
        <v>0</v>
      </c>
      <c r="AL258" s="201">
        <f t="shared" si="1295"/>
        <v>0</v>
      </c>
      <c r="AM258" s="201">
        <f t="shared" si="1295"/>
        <v>0</v>
      </c>
      <c r="AN258" s="201">
        <f t="shared" si="1295"/>
        <v>0</v>
      </c>
      <c r="AO258" s="201">
        <f t="shared" si="1295"/>
        <v>0</v>
      </c>
      <c r="AP258" s="201">
        <f t="shared" si="1295"/>
        <v>0</v>
      </c>
      <c r="AQ258" s="201">
        <f t="shared" si="1295"/>
        <v>0</v>
      </c>
      <c r="AR258" s="200">
        <f t="shared" si="1295"/>
        <v>0</v>
      </c>
      <c r="AS258" s="200">
        <f t="shared" si="1295"/>
        <v>0</v>
      </c>
      <c r="AT258" s="173">
        <v>0.0</v>
      </c>
      <c r="AU258" s="200">
        <f t="shared" ref="AU258:AX258" si="1296">countif($D258,"*"&amp;AU$2&amp;"*")</f>
        <v>0</v>
      </c>
      <c r="AV258" s="200">
        <f t="shared" si="1296"/>
        <v>1</v>
      </c>
      <c r="AW258" s="200">
        <f t="shared" si="1296"/>
        <v>0</v>
      </c>
      <c r="AX258" s="200">
        <f t="shared" si="1296"/>
        <v>0</v>
      </c>
      <c r="AY258" s="202">
        <v>0.0</v>
      </c>
      <c r="AZ258" s="200"/>
      <c r="BA258" s="171" t="str">
        <f t="shared" si="18"/>
        <v/>
      </c>
      <c r="BB258" s="171" t="str">
        <f t="shared" si="19"/>
        <v>Code</v>
      </c>
      <c r="BC258" s="171" t="str">
        <f t="shared" si="20"/>
        <v/>
      </c>
      <c r="BD258" s="171" t="str">
        <f t="shared" si="21"/>
        <v/>
      </c>
      <c r="BE258" s="171" t="str">
        <f t="shared" si="22"/>
        <v/>
      </c>
      <c r="BF258" s="171" t="str">
        <f t="shared" si="23"/>
        <v>Code</v>
      </c>
    </row>
    <row r="259">
      <c r="A259" s="171">
        <f t="array" ref="A259">XLOOKUP(C259,ICSE!A:A,ICSE!C:C,,2,1)</f>
        <v>2021</v>
      </c>
      <c r="B259" s="171" t="s">
        <v>5675</v>
      </c>
      <c r="C259" s="160">
        <v>499.0</v>
      </c>
      <c r="D259" s="161" t="s">
        <v>5816</v>
      </c>
      <c r="E259" s="197" t="str">
        <f t="array" ref="E259">XLOOKUP(C259,ICSE!A:A,ICSE!Z:Z,,0,1)</f>
        <v>Publicly available (2)</v>
      </c>
      <c r="F259" s="198" t="s">
        <v>20</v>
      </c>
      <c r="G259" s="163" t="str">
        <f t="array" ref="G259">IF(B259="ICSE",IF(COUNTIFS(B:B,B259,C:C,C259)=XLOOKUP(C259,ICSE!A:A,ICSE!AA:AA,"ERROR",0,1),"OK","ERROR"),IF(B259="FSE",IF(COUNTIFS(B:B,B259,C:C,C259)=XLOOKUP(C259,FSE!A:A,FSE!AA:AA,"ERROR",0,1),"OK","ERROR")))</f>
        <v>OK</v>
      </c>
      <c r="H259" s="199">
        <f t="shared" ref="H259:O259" si="1297">countif($D259,"*"&amp;H$2&amp;"*")</f>
        <v>0</v>
      </c>
      <c r="I259" s="200">
        <f t="shared" si="1297"/>
        <v>0</v>
      </c>
      <c r="J259" s="200">
        <f t="shared" si="1297"/>
        <v>0</v>
      </c>
      <c r="K259" s="200">
        <f t="shared" si="1297"/>
        <v>0</v>
      </c>
      <c r="L259" s="200">
        <f t="shared" si="1297"/>
        <v>0</v>
      </c>
      <c r="M259" s="200">
        <f t="shared" si="1297"/>
        <v>0</v>
      </c>
      <c r="N259" s="200">
        <f t="shared" si="1297"/>
        <v>0</v>
      </c>
      <c r="O259" s="200">
        <f t="shared" si="1297"/>
        <v>1</v>
      </c>
      <c r="P259" s="200">
        <f t="shared" si="9"/>
        <v>0</v>
      </c>
      <c r="Q259" s="200">
        <f t="shared" ref="Q259:AC259" si="1298">countif($D259,"*"&amp;Q$2&amp;"*")</f>
        <v>0</v>
      </c>
      <c r="R259" s="200">
        <f t="shared" si="1298"/>
        <v>0</v>
      </c>
      <c r="S259" s="200">
        <f t="shared" si="1298"/>
        <v>0</v>
      </c>
      <c r="T259" s="200">
        <f t="shared" si="1298"/>
        <v>0</v>
      </c>
      <c r="U259" s="200">
        <f t="shared" si="1298"/>
        <v>0</v>
      </c>
      <c r="V259" s="200">
        <f t="shared" si="1298"/>
        <v>0</v>
      </c>
      <c r="W259" s="200">
        <f t="shared" si="1298"/>
        <v>0</v>
      </c>
      <c r="X259" s="200">
        <f t="shared" si="1298"/>
        <v>0</v>
      </c>
      <c r="Y259" s="200">
        <f t="shared" si="1298"/>
        <v>0</v>
      </c>
      <c r="Z259" s="200">
        <f t="shared" si="1298"/>
        <v>0</v>
      </c>
      <c r="AA259" s="200">
        <f t="shared" si="1298"/>
        <v>0</v>
      </c>
      <c r="AB259" s="200">
        <f t="shared" si="1298"/>
        <v>0</v>
      </c>
      <c r="AC259" s="200">
        <f t="shared" si="1298"/>
        <v>0</v>
      </c>
      <c r="AD259" s="200">
        <f t="shared" si="11"/>
        <v>0</v>
      </c>
      <c r="AE259" s="200">
        <f t="shared" ref="AE259:AG259" si="1299">countif($D259,"*"&amp;AE$2&amp;"*")</f>
        <v>0</v>
      </c>
      <c r="AF259" s="200">
        <f t="shared" si="1299"/>
        <v>0</v>
      </c>
      <c r="AG259" s="200">
        <f t="shared" si="1299"/>
        <v>0</v>
      </c>
      <c r="AH259" s="171">
        <f t="shared" si="13"/>
        <v>0</v>
      </c>
      <c r="AI259" s="200">
        <f t="shared" si="14"/>
        <v>1</v>
      </c>
      <c r="AJ259" s="200">
        <f t="shared" si="1129"/>
        <v>0</v>
      </c>
      <c r="AK259" s="201">
        <f t="shared" ref="AK259:AS259" si="1300">countif($D259,"*"&amp;AK$2&amp;"*")</f>
        <v>0</v>
      </c>
      <c r="AL259" s="201">
        <f t="shared" si="1300"/>
        <v>0</v>
      </c>
      <c r="AM259" s="201">
        <f t="shared" si="1300"/>
        <v>0</v>
      </c>
      <c r="AN259" s="201">
        <f t="shared" si="1300"/>
        <v>0</v>
      </c>
      <c r="AO259" s="201">
        <f t="shared" si="1300"/>
        <v>0</v>
      </c>
      <c r="AP259" s="201">
        <f t="shared" si="1300"/>
        <v>0</v>
      </c>
      <c r="AQ259" s="201">
        <f t="shared" si="1300"/>
        <v>0</v>
      </c>
      <c r="AR259" s="200">
        <f t="shared" si="1300"/>
        <v>0</v>
      </c>
      <c r="AS259" s="200">
        <f t="shared" si="1300"/>
        <v>1</v>
      </c>
      <c r="AT259" s="173">
        <v>0.0</v>
      </c>
      <c r="AU259" s="200">
        <f t="shared" ref="AU259:AX259" si="1301">countif($D259,"*"&amp;AU$2&amp;"*")</f>
        <v>0</v>
      </c>
      <c r="AV259" s="200">
        <f t="shared" si="1301"/>
        <v>0</v>
      </c>
      <c r="AW259" s="200">
        <f t="shared" si="1301"/>
        <v>0</v>
      </c>
      <c r="AX259" s="200">
        <f t="shared" si="1301"/>
        <v>1</v>
      </c>
      <c r="AY259" s="202">
        <v>0.0</v>
      </c>
      <c r="AZ259" s="200"/>
      <c r="BA259" s="171" t="str">
        <f t="shared" si="18"/>
        <v>Archival</v>
      </c>
      <c r="BB259" s="171" t="str">
        <f t="shared" si="19"/>
        <v/>
      </c>
      <c r="BC259" s="171" t="str">
        <f t="shared" si="20"/>
        <v/>
      </c>
      <c r="BD259" s="171" t="str">
        <f t="shared" si="21"/>
        <v/>
      </c>
      <c r="BE259" s="171" t="str">
        <f t="shared" si="22"/>
        <v/>
      </c>
      <c r="BF259" s="171" t="str">
        <f t="shared" si="23"/>
        <v>Archival</v>
      </c>
    </row>
    <row r="260">
      <c r="A260" s="171">
        <f t="array" ref="A260">XLOOKUP(C260,ICSE!A:A,ICSE!C:C,,2,1)</f>
        <v>2021</v>
      </c>
      <c r="B260" s="171" t="s">
        <v>5675</v>
      </c>
      <c r="C260" s="160">
        <v>500.0</v>
      </c>
      <c r="D260" s="161" t="s">
        <v>1987</v>
      </c>
      <c r="E260" s="197" t="str">
        <f t="array" ref="E260">XLOOKUP(C260,ICSE!A:A,ICSE!Z:Z,,0,1)</f>
        <v>Publicly available (1)</v>
      </c>
      <c r="F260" s="198" t="s">
        <v>20</v>
      </c>
      <c r="G260" s="163" t="str">
        <f t="array" ref="G260">IF(B260="ICSE",IF(COUNTIFS(B:B,B260,C:C,C260)=XLOOKUP(C260,ICSE!A:A,ICSE!AA:AA,"ERROR",0,1),"OK","ERROR"),IF(B260="FSE",IF(COUNTIFS(B:B,B260,C:C,C260)=XLOOKUP(C260,FSE!A:A,FSE!AA:AA,"ERROR",0,1),"OK","ERROR")))</f>
        <v>OK</v>
      </c>
      <c r="H260" s="199">
        <f t="shared" ref="H260:O260" si="1302">countif($D260,"*"&amp;H$2&amp;"*")</f>
        <v>0</v>
      </c>
      <c r="I260" s="200">
        <f t="shared" si="1302"/>
        <v>0</v>
      </c>
      <c r="J260" s="200">
        <f t="shared" si="1302"/>
        <v>0</v>
      </c>
      <c r="K260" s="200">
        <f t="shared" si="1302"/>
        <v>0</v>
      </c>
      <c r="L260" s="200">
        <f t="shared" si="1302"/>
        <v>0</v>
      </c>
      <c r="M260" s="200">
        <f t="shared" si="1302"/>
        <v>0</v>
      </c>
      <c r="N260" s="200">
        <f t="shared" si="1302"/>
        <v>0</v>
      </c>
      <c r="O260" s="200">
        <f t="shared" si="1302"/>
        <v>0</v>
      </c>
      <c r="P260" s="200">
        <f t="shared" si="9"/>
        <v>1</v>
      </c>
      <c r="Q260" s="200">
        <f t="shared" ref="Q260:AC260" si="1303">countif($D260,"*"&amp;Q$2&amp;"*")</f>
        <v>0</v>
      </c>
      <c r="R260" s="200">
        <f t="shared" si="1303"/>
        <v>0</v>
      </c>
      <c r="S260" s="200">
        <f t="shared" si="1303"/>
        <v>0</v>
      </c>
      <c r="T260" s="200">
        <f t="shared" si="1303"/>
        <v>0</v>
      </c>
      <c r="U260" s="200">
        <f t="shared" si="1303"/>
        <v>0</v>
      </c>
      <c r="V260" s="200">
        <f t="shared" si="1303"/>
        <v>0</v>
      </c>
      <c r="W260" s="200">
        <f t="shared" si="1303"/>
        <v>0</v>
      </c>
      <c r="X260" s="200">
        <f t="shared" si="1303"/>
        <v>0</v>
      </c>
      <c r="Y260" s="200">
        <f t="shared" si="1303"/>
        <v>0</v>
      </c>
      <c r="Z260" s="200">
        <f t="shared" si="1303"/>
        <v>0</v>
      </c>
      <c r="AA260" s="200">
        <f t="shared" si="1303"/>
        <v>0</v>
      </c>
      <c r="AB260" s="200">
        <f t="shared" si="1303"/>
        <v>0</v>
      </c>
      <c r="AC260" s="200">
        <f t="shared" si="1303"/>
        <v>0</v>
      </c>
      <c r="AD260" s="200">
        <f t="shared" si="11"/>
        <v>0</v>
      </c>
      <c r="AE260" s="200">
        <f t="shared" ref="AE260:AG260" si="1304">countif($D260,"*"&amp;AE$2&amp;"*")</f>
        <v>0</v>
      </c>
      <c r="AF260" s="200">
        <f t="shared" si="1304"/>
        <v>0</v>
      </c>
      <c r="AG260" s="200">
        <f t="shared" si="1304"/>
        <v>0</v>
      </c>
      <c r="AH260" s="171">
        <f t="shared" si="13"/>
        <v>0</v>
      </c>
      <c r="AI260" s="200">
        <f t="shared" si="14"/>
        <v>0</v>
      </c>
      <c r="AJ260" s="200">
        <f t="shared" si="1129"/>
        <v>0</v>
      </c>
      <c r="AK260" s="201">
        <f t="shared" ref="AK260:AS260" si="1305">countif($D260,"*"&amp;AK$2&amp;"*")</f>
        <v>0</v>
      </c>
      <c r="AL260" s="201">
        <f t="shared" si="1305"/>
        <v>0</v>
      </c>
      <c r="AM260" s="201">
        <f t="shared" si="1305"/>
        <v>0</v>
      </c>
      <c r="AN260" s="201">
        <f t="shared" si="1305"/>
        <v>0</v>
      </c>
      <c r="AO260" s="201">
        <f t="shared" si="1305"/>
        <v>0</v>
      </c>
      <c r="AP260" s="201">
        <f t="shared" si="1305"/>
        <v>0</v>
      </c>
      <c r="AQ260" s="201">
        <f t="shared" si="1305"/>
        <v>0</v>
      </c>
      <c r="AR260" s="200">
        <f t="shared" si="1305"/>
        <v>0</v>
      </c>
      <c r="AS260" s="200">
        <f t="shared" si="1305"/>
        <v>0</v>
      </c>
      <c r="AT260" s="173">
        <v>0.0</v>
      </c>
      <c r="AU260" s="200">
        <f t="shared" ref="AU260:AX260" si="1306">countif($D260,"*"&amp;AU$2&amp;"*")</f>
        <v>0</v>
      </c>
      <c r="AV260" s="200">
        <f t="shared" si="1306"/>
        <v>1</v>
      </c>
      <c r="AW260" s="200">
        <f t="shared" si="1306"/>
        <v>0</v>
      </c>
      <c r="AX260" s="200">
        <f t="shared" si="1306"/>
        <v>0</v>
      </c>
      <c r="AY260" s="202">
        <v>0.0</v>
      </c>
      <c r="AZ260" s="200"/>
      <c r="BA260" s="171" t="str">
        <f t="shared" si="18"/>
        <v/>
      </c>
      <c r="BB260" s="171" t="str">
        <f t="shared" si="19"/>
        <v>Code</v>
      </c>
      <c r="BC260" s="171" t="str">
        <f t="shared" si="20"/>
        <v/>
      </c>
      <c r="BD260" s="171" t="str">
        <f t="shared" si="21"/>
        <v/>
      </c>
      <c r="BE260" s="171" t="str">
        <f t="shared" si="22"/>
        <v/>
      </c>
      <c r="BF260" s="171" t="str">
        <f t="shared" si="23"/>
        <v>Code</v>
      </c>
    </row>
    <row r="261">
      <c r="A261" s="171">
        <f t="array" ref="A261">XLOOKUP(C261,ICSE!A:A,ICSE!C:C,,2,1)</f>
        <v>2021</v>
      </c>
      <c r="B261" s="171" t="s">
        <v>5675</v>
      </c>
      <c r="C261" s="160">
        <v>501.0</v>
      </c>
      <c r="D261" s="161" t="s">
        <v>1990</v>
      </c>
      <c r="E261" s="197" t="str">
        <f t="array" ref="E261">XLOOKUP(C261,ICSE!A:A,ICSE!Z:Z,,0,1)</f>
        <v>Publicly available (1)</v>
      </c>
      <c r="F261" s="198" t="s">
        <v>20</v>
      </c>
      <c r="G261" s="163" t="str">
        <f t="array" ref="G261">IF(B261="ICSE",IF(COUNTIFS(B:B,B261,C:C,C261)=XLOOKUP(C261,ICSE!A:A,ICSE!AA:AA,"ERROR",0,1),"OK","ERROR"),IF(B261="FSE",IF(COUNTIFS(B:B,B261,C:C,C261)=XLOOKUP(C261,FSE!A:A,FSE!AA:AA,"ERROR",0,1),"OK","ERROR")))</f>
        <v>OK</v>
      </c>
      <c r="H261" s="199">
        <f t="shared" ref="H261:O261" si="1307">countif($D261,"*"&amp;H$2&amp;"*")</f>
        <v>1</v>
      </c>
      <c r="I261" s="200">
        <f t="shared" si="1307"/>
        <v>0</v>
      </c>
      <c r="J261" s="200">
        <f t="shared" si="1307"/>
        <v>0</v>
      </c>
      <c r="K261" s="200">
        <f t="shared" si="1307"/>
        <v>0</v>
      </c>
      <c r="L261" s="200">
        <f t="shared" si="1307"/>
        <v>0</v>
      </c>
      <c r="M261" s="200">
        <f t="shared" si="1307"/>
        <v>0</v>
      </c>
      <c r="N261" s="200">
        <f t="shared" si="1307"/>
        <v>0</v>
      </c>
      <c r="O261" s="200">
        <f t="shared" si="1307"/>
        <v>0</v>
      </c>
      <c r="P261" s="200">
        <f t="shared" si="9"/>
        <v>0</v>
      </c>
      <c r="Q261" s="200">
        <f t="shared" ref="Q261:AC261" si="1308">countif($D261,"*"&amp;Q$2&amp;"*")</f>
        <v>0</v>
      </c>
      <c r="R261" s="200">
        <f t="shared" si="1308"/>
        <v>0</v>
      </c>
      <c r="S261" s="200">
        <f t="shared" si="1308"/>
        <v>0</v>
      </c>
      <c r="T261" s="200">
        <f t="shared" si="1308"/>
        <v>0</v>
      </c>
      <c r="U261" s="200">
        <f t="shared" si="1308"/>
        <v>0</v>
      </c>
      <c r="V261" s="200">
        <f t="shared" si="1308"/>
        <v>0</v>
      </c>
      <c r="W261" s="200">
        <f t="shared" si="1308"/>
        <v>0</v>
      </c>
      <c r="X261" s="200">
        <f t="shared" si="1308"/>
        <v>0</v>
      </c>
      <c r="Y261" s="200">
        <f t="shared" si="1308"/>
        <v>0</v>
      </c>
      <c r="Z261" s="200">
        <f t="shared" si="1308"/>
        <v>0</v>
      </c>
      <c r="AA261" s="200">
        <f t="shared" si="1308"/>
        <v>0</v>
      </c>
      <c r="AB261" s="200">
        <f t="shared" si="1308"/>
        <v>0</v>
      </c>
      <c r="AC261" s="200">
        <f t="shared" si="1308"/>
        <v>0</v>
      </c>
      <c r="AD261" s="200">
        <f t="shared" si="11"/>
        <v>0</v>
      </c>
      <c r="AE261" s="200">
        <f t="shared" ref="AE261:AG261" si="1309">countif($D261,"*"&amp;AE$2&amp;"*")</f>
        <v>0</v>
      </c>
      <c r="AF261" s="200">
        <f t="shared" si="1309"/>
        <v>0</v>
      </c>
      <c r="AG261" s="200">
        <f t="shared" si="1309"/>
        <v>0</v>
      </c>
      <c r="AH261" s="171">
        <f t="shared" si="13"/>
        <v>0</v>
      </c>
      <c r="AI261" s="200">
        <f t="shared" si="14"/>
        <v>1</v>
      </c>
      <c r="AJ261" s="200">
        <f t="shared" si="1129"/>
        <v>0</v>
      </c>
      <c r="AK261" s="201">
        <f t="shared" ref="AK261:AS261" si="1310">countif($D261,"*"&amp;AK$2&amp;"*")</f>
        <v>0</v>
      </c>
      <c r="AL261" s="201">
        <f t="shared" si="1310"/>
        <v>0</v>
      </c>
      <c r="AM261" s="201">
        <f t="shared" si="1310"/>
        <v>0</v>
      </c>
      <c r="AN261" s="201">
        <f t="shared" si="1310"/>
        <v>0</v>
      </c>
      <c r="AO261" s="201">
        <f t="shared" si="1310"/>
        <v>0</v>
      </c>
      <c r="AP261" s="201">
        <f t="shared" si="1310"/>
        <v>0</v>
      </c>
      <c r="AQ261" s="201">
        <f t="shared" si="1310"/>
        <v>0</v>
      </c>
      <c r="AR261" s="200">
        <f t="shared" si="1310"/>
        <v>0</v>
      </c>
      <c r="AS261" s="200">
        <f t="shared" si="1310"/>
        <v>0</v>
      </c>
      <c r="AT261" s="173">
        <v>0.0</v>
      </c>
      <c r="AU261" s="200">
        <f t="shared" ref="AU261:AX261" si="1311">countif($D261,"*"&amp;AU$2&amp;"*")</f>
        <v>0</v>
      </c>
      <c r="AV261" s="200">
        <f t="shared" si="1311"/>
        <v>0</v>
      </c>
      <c r="AW261" s="200">
        <f t="shared" si="1311"/>
        <v>0</v>
      </c>
      <c r="AX261" s="200">
        <f t="shared" si="1311"/>
        <v>0</v>
      </c>
      <c r="AY261" s="204">
        <v>1.0</v>
      </c>
      <c r="AZ261" s="200"/>
      <c r="BA261" s="171" t="str">
        <f t="shared" si="18"/>
        <v>Archival</v>
      </c>
      <c r="BB261" s="171" t="str">
        <f t="shared" si="19"/>
        <v/>
      </c>
      <c r="BC261" s="171" t="str">
        <f t="shared" si="20"/>
        <v/>
      </c>
      <c r="BD261" s="171" t="str">
        <f t="shared" si="21"/>
        <v/>
      </c>
      <c r="BE261" s="171" t="str">
        <f t="shared" si="22"/>
        <v/>
      </c>
      <c r="BF261" s="171" t="str">
        <f t="shared" si="23"/>
        <v>Archival</v>
      </c>
    </row>
    <row r="262">
      <c r="A262" s="171">
        <f t="array" ref="A262">XLOOKUP(C262,ICSE!A:A,ICSE!C:C,,2,1)</f>
        <v>2021</v>
      </c>
      <c r="B262" s="171" t="s">
        <v>5675</v>
      </c>
      <c r="C262" s="160">
        <v>502.0</v>
      </c>
      <c r="D262" s="161" t="s">
        <v>1994</v>
      </c>
      <c r="E262" s="197" t="str">
        <f t="array" ref="E262">XLOOKUP(C262,ICSE!A:A,ICSE!Z:Z,,0,1)</f>
        <v>Publicly available (1)</v>
      </c>
      <c r="F262" s="198" t="s">
        <v>20</v>
      </c>
      <c r="G262" s="163" t="str">
        <f t="array" ref="G262">IF(B262="ICSE",IF(COUNTIFS(B:B,B262,C:C,C262)=XLOOKUP(C262,ICSE!A:A,ICSE!AA:AA,"ERROR",0,1),"OK","ERROR"),IF(B262="FSE",IF(COUNTIFS(B:B,B262,C:C,C262)=XLOOKUP(C262,FSE!A:A,FSE!AA:AA,"ERROR",0,1),"OK","ERROR")))</f>
        <v>OK</v>
      </c>
      <c r="H262" s="199">
        <f t="shared" ref="H262:O262" si="1312">countif($D262,"*"&amp;H$2&amp;"*")</f>
        <v>1</v>
      </c>
      <c r="I262" s="200">
        <f t="shared" si="1312"/>
        <v>0</v>
      </c>
      <c r="J262" s="200">
        <f t="shared" si="1312"/>
        <v>0</v>
      </c>
      <c r="K262" s="200">
        <f t="shared" si="1312"/>
        <v>0</v>
      </c>
      <c r="L262" s="200">
        <f t="shared" si="1312"/>
        <v>0</v>
      </c>
      <c r="M262" s="200">
        <f t="shared" si="1312"/>
        <v>0</v>
      </c>
      <c r="N262" s="200">
        <f t="shared" si="1312"/>
        <v>0</v>
      </c>
      <c r="O262" s="200">
        <f t="shared" si="1312"/>
        <v>0</v>
      </c>
      <c r="P262" s="200">
        <f t="shared" si="9"/>
        <v>0</v>
      </c>
      <c r="Q262" s="200">
        <f t="shared" ref="Q262:AC262" si="1313">countif($D262,"*"&amp;Q$2&amp;"*")</f>
        <v>0</v>
      </c>
      <c r="R262" s="200">
        <f t="shared" si="1313"/>
        <v>0</v>
      </c>
      <c r="S262" s="200">
        <f t="shared" si="1313"/>
        <v>0</v>
      </c>
      <c r="T262" s="200">
        <f t="shared" si="1313"/>
        <v>0</v>
      </c>
      <c r="U262" s="200">
        <f t="shared" si="1313"/>
        <v>0</v>
      </c>
      <c r="V262" s="200">
        <f t="shared" si="1313"/>
        <v>0</v>
      </c>
      <c r="W262" s="200">
        <f t="shared" si="1313"/>
        <v>0</v>
      </c>
      <c r="X262" s="200">
        <f t="shared" si="1313"/>
        <v>0</v>
      </c>
      <c r="Y262" s="200">
        <f t="shared" si="1313"/>
        <v>0</v>
      </c>
      <c r="Z262" s="200">
        <f t="shared" si="1313"/>
        <v>0</v>
      </c>
      <c r="AA262" s="200">
        <f t="shared" si="1313"/>
        <v>0</v>
      </c>
      <c r="AB262" s="200">
        <f t="shared" si="1313"/>
        <v>0</v>
      </c>
      <c r="AC262" s="200">
        <f t="shared" si="1313"/>
        <v>0</v>
      </c>
      <c r="AD262" s="200">
        <f t="shared" si="11"/>
        <v>0</v>
      </c>
      <c r="AE262" s="200">
        <f t="shared" ref="AE262:AG262" si="1314">countif($D262,"*"&amp;AE$2&amp;"*")</f>
        <v>0</v>
      </c>
      <c r="AF262" s="200">
        <f t="shared" si="1314"/>
        <v>0</v>
      </c>
      <c r="AG262" s="200">
        <f t="shared" si="1314"/>
        <v>0</v>
      </c>
      <c r="AH262" s="171">
        <f t="shared" si="13"/>
        <v>0</v>
      </c>
      <c r="AI262" s="200">
        <f t="shared" si="14"/>
        <v>1</v>
      </c>
      <c r="AJ262" s="200">
        <f t="shared" si="1129"/>
        <v>0</v>
      </c>
      <c r="AK262" s="201">
        <f t="shared" ref="AK262:AS262" si="1315">countif($D262,"*"&amp;AK$2&amp;"*")</f>
        <v>0</v>
      </c>
      <c r="AL262" s="201">
        <f t="shared" si="1315"/>
        <v>0</v>
      </c>
      <c r="AM262" s="201">
        <f t="shared" si="1315"/>
        <v>0</v>
      </c>
      <c r="AN262" s="201">
        <f t="shared" si="1315"/>
        <v>0</v>
      </c>
      <c r="AO262" s="201">
        <f t="shared" si="1315"/>
        <v>0</v>
      </c>
      <c r="AP262" s="201">
        <f t="shared" si="1315"/>
        <v>0</v>
      </c>
      <c r="AQ262" s="201">
        <f t="shared" si="1315"/>
        <v>0</v>
      </c>
      <c r="AR262" s="200">
        <f t="shared" si="1315"/>
        <v>0</v>
      </c>
      <c r="AS262" s="200">
        <f t="shared" si="1315"/>
        <v>0</v>
      </c>
      <c r="AT262" s="173">
        <v>0.0</v>
      </c>
      <c r="AU262" s="200">
        <f t="shared" ref="AU262:AX262" si="1316">countif($D262,"*"&amp;AU$2&amp;"*")</f>
        <v>0</v>
      </c>
      <c r="AV262" s="200">
        <f t="shared" si="1316"/>
        <v>0</v>
      </c>
      <c r="AW262" s="200">
        <f t="shared" si="1316"/>
        <v>0</v>
      </c>
      <c r="AX262" s="200">
        <f t="shared" si="1316"/>
        <v>1</v>
      </c>
      <c r="AY262" s="202">
        <v>0.0</v>
      </c>
      <c r="AZ262" s="200"/>
      <c r="BA262" s="171" t="str">
        <f t="shared" si="18"/>
        <v>Archival</v>
      </c>
      <c r="BB262" s="171" t="str">
        <f t="shared" si="19"/>
        <v/>
      </c>
      <c r="BC262" s="171" t="str">
        <f t="shared" si="20"/>
        <v/>
      </c>
      <c r="BD262" s="171" t="str">
        <f t="shared" si="21"/>
        <v/>
      </c>
      <c r="BE262" s="171" t="str">
        <f t="shared" si="22"/>
        <v/>
      </c>
      <c r="BF262" s="171" t="str">
        <f t="shared" si="23"/>
        <v>Archival</v>
      </c>
    </row>
    <row r="263">
      <c r="A263" s="171">
        <f t="array" ref="A263">XLOOKUP(C263,ICSE!A:A,ICSE!C:C,,2,1)</f>
        <v>2021</v>
      </c>
      <c r="B263" s="171" t="s">
        <v>5675</v>
      </c>
      <c r="C263" s="160">
        <v>503.0</v>
      </c>
      <c r="D263" s="161" t="s">
        <v>1997</v>
      </c>
      <c r="E263" s="197" t="str">
        <f t="array" ref="E263">XLOOKUP(C263,ICSE!A:A,ICSE!Z:Z,,0,1)</f>
        <v>Publicly available (1)</v>
      </c>
      <c r="F263" s="198" t="s">
        <v>20</v>
      </c>
      <c r="G263" s="163" t="str">
        <f t="array" ref="G263">IF(B263="ICSE",IF(COUNTIFS(B:B,B263,C:C,C263)=XLOOKUP(C263,ICSE!A:A,ICSE!AA:AA,"ERROR",0,1),"OK","ERROR"),IF(B263="FSE",IF(COUNTIFS(B:B,B263,C:C,C263)=XLOOKUP(C263,FSE!A:A,FSE!AA:AA,"ERROR",0,1),"OK","ERROR")))</f>
        <v>OK</v>
      </c>
      <c r="H263" s="199">
        <f t="shared" ref="H263:O263" si="1317">countif($D263,"*"&amp;H$2&amp;"*")</f>
        <v>0</v>
      </c>
      <c r="I263" s="200">
        <f t="shared" si="1317"/>
        <v>1</v>
      </c>
      <c r="J263" s="200">
        <f t="shared" si="1317"/>
        <v>0</v>
      </c>
      <c r="K263" s="200">
        <f t="shared" si="1317"/>
        <v>0</v>
      </c>
      <c r="L263" s="200">
        <f t="shared" si="1317"/>
        <v>0</v>
      </c>
      <c r="M263" s="200">
        <f t="shared" si="1317"/>
        <v>0</v>
      </c>
      <c r="N263" s="200">
        <f t="shared" si="1317"/>
        <v>0</v>
      </c>
      <c r="O263" s="200">
        <f t="shared" si="1317"/>
        <v>0</v>
      </c>
      <c r="P263" s="200">
        <f t="shared" si="9"/>
        <v>0</v>
      </c>
      <c r="Q263" s="200">
        <f t="shared" ref="Q263:AC263" si="1318">countif($D263,"*"&amp;Q$2&amp;"*")</f>
        <v>0</v>
      </c>
      <c r="R263" s="200">
        <f t="shared" si="1318"/>
        <v>0</v>
      </c>
      <c r="S263" s="200">
        <f t="shared" si="1318"/>
        <v>0</v>
      </c>
      <c r="T263" s="200">
        <f t="shared" si="1318"/>
        <v>0</v>
      </c>
      <c r="U263" s="200">
        <f t="shared" si="1318"/>
        <v>0</v>
      </c>
      <c r="V263" s="200">
        <f t="shared" si="1318"/>
        <v>0</v>
      </c>
      <c r="W263" s="200">
        <f t="shared" si="1318"/>
        <v>0</v>
      </c>
      <c r="X263" s="200">
        <f t="shared" si="1318"/>
        <v>0</v>
      </c>
      <c r="Y263" s="200">
        <f t="shared" si="1318"/>
        <v>0</v>
      </c>
      <c r="Z263" s="200">
        <f t="shared" si="1318"/>
        <v>0</v>
      </c>
      <c r="AA263" s="200">
        <f t="shared" si="1318"/>
        <v>0</v>
      </c>
      <c r="AB263" s="200">
        <f t="shared" si="1318"/>
        <v>0</v>
      </c>
      <c r="AC263" s="200">
        <f t="shared" si="1318"/>
        <v>0</v>
      </c>
      <c r="AD263" s="200">
        <f t="shared" si="11"/>
        <v>0</v>
      </c>
      <c r="AE263" s="200">
        <f t="shared" ref="AE263:AG263" si="1319">countif($D263,"*"&amp;AE$2&amp;"*")</f>
        <v>0</v>
      </c>
      <c r="AF263" s="200">
        <f t="shared" si="1319"/>
        <v>0</v>
      </c>
      <c r="AG263" s="200">
        <f t="shared" si="1319"/>
        <v>0</v>
      </c>
      <c r="AH263" s="171">
        <f t="shared" si="13"/>
        <v>0</v>
      </c>
      <c r="AI263" s="200">
        <f t="shared" si="14"/>
        <v>1</v>
      </c>
      <c r="AJ263" s="200">
        <f t="shared" si="1129"/>
        <v>0</v>
      </c>
      <c r="AK263" s="201">
        <f t="shared" ref="AK263:AS263" si="1320">countif($D263,"*"&amp;AK$2&amp;"*")</f>
        <v>0</v>
      </c>
      <c r="AL263" s="201">
        <f t="shared" si="1320"/>
        <v>0</v>
      </c>
      <c r="AM263" s="201">
        <f t="shared" si="1320"/>
        <v>0</v>
      </c>
      <c r="AN263" s="201">
        <f t="shared" si="1320"/>
        <v>0</v>
      </c>
      <c r="AO263" s="201">
        <f t="shared" si="1320"/>
        <v>0</v>
      </c>
      <c r="AP263" s="201">
        <f t="shared" si="1320"/>
        <v>0</v>
      </c>
      <c r="AQ263" s="201">
        <f t="shared" si="1320"/>
        <v>0</v>
      </c>
      <c r="AR263" s="200">
        <f t="shared" si="1320"/>
        <v>0</v>
      </c>
      <c r="AS263" s="200">
        <f t="shared" si="1320"/>
        <v>0</v>
      </c>
      <c r="AT263" s="173">
        <v>0.0</v>
      </c>
      <c r="AU263" s="200">
        <f t="shared" ref="AU263:AX263" si="1321">countif($D263,"*"&amp;AU$2&amp;"*")</f>
        <v>0</v>
      </c>
      <c r="AV263" s="200">
        <f t="shared" si="1321"/>
        <v>0</v>
      </c>
      <c r="AW263" s="200">
        <f t="shared" si="1321"/>
        <v>0</v>
      </c>
      <c r="AX263" s="200">
        <f t="shared" si="1321"/>
        <v>1</v>
      </c>
      <c r="AY263" s="202">
        <v>0.0</v>
      </c>
      <c r="AZ263" s="200"/>
      <c r="BA263" s="171" t="str">
        <f t="shared" si="18"/>
        <v>Archival</v>
      </c>
      <c r="BB263" s="171" t="str">
        <f t="shared" si="19"/>
        <v/>
      </c>
      <c r="BC263" s="171" t="str">
        <f t="shared" si="20"/>
        <v/>
      </c>
      <c r="BD263" s="171" t="str">
        <f t="shared" si="21"/>
        <v/>
      </c>
      <c r="BE263" s="171" t="str">
        <f t="shared" si="22"/>
        <v/>
      </c>
      <c r="BF263" s="171" t="str">
        <f t="shared" si="23"/>
        <v>Archival</v>
      </c>
    </row>
    <row r="264">
      <c r="A264" s="171">
        <f t="array" ref="A264">XLOOKUP(C264,ICSE!A:A,ICSE!C:C,,2,1)</f>
        <v>2021</v>
      </c>
      <c r="B264" s="171" t="s">
        <v>5675</v>
      </c>
      <c r="C264" s="160">
        <v>504.0</v>
      </c>
      <c r="D264" s="161" t="s">
        <v>2000</v>
      </c>
      <c r="E264" s="197" t="str">
        <f t="array" ref="E264">XLOOKUP(C264,ICSE!A:A,ICSE!Z:Z,,0,1)</f>
        <v>Publicly available (1)</v>
      </c>
      <c r="F264" s="198" t="s">
        <v>20</v>
      </c>
      <c r="G264" s="163" t="str">
        <f t="array" ref="G264">IF(B264="ICSE",IF(COUNTIFS(B:B,B264,C:C,C264)=XLOOKUP(C264,ICSE!A:A,ICSE!AA:AA,"ERROR",0,1),"OK","ERROR"),IF(B264="FSE",IF(COUNTIFS(B:B,B264,C:C,C264)=XLOOKUP(C264,FSE!A:A,FSE!AA:AA,"ERROR",0,1),"OK","ERROR")))</f>
        <v>OK</v>
      </c>
      <c r="H264" s="199">
        <f t="shared" ref="H264:O264" si="1322">countif($D264,"*"&amp;H$2&amp;"*")</f>
        <v>1</v>
      </c>
      <c r="I264" s="200">
        <f t="shared" si="1322"/>
        <v>0</v>
      </c>
      <c r="J264" s="200">
        <f t="shared" si="1322"/>
        <v>0</v>
      </c>
      <c r="K264" s="200">
        <f t="shared" si="1322"/>
        <v>0</v>
      </c>
      <c r="L264" s="200">
        <f t="shared" si="1322"/>
        <v>0</v>
      </c>
      <c r="M264" s="200">
        <f t="shared" si="1322"/>
        <v>0</v>
      </c>
      <c r="N264" s="200">
        <f t="shared" si="1322"/>
        <v>0</v>
      </c>
      <c r="O264" s="200">
        <f t="shared" si="1322"/>
        <v>0</v>
      </c>
      <c r="P264" s="200">
        <f t="shared" si="9"/>
        <v>0</v>
      </c>
      <c r="Q264" s="200">
        <f t="shared" ref="Q264:AC264" si="1323">countif($D264,"*"&amp;Q$2&amp;"*")</f>
        <v>0</v>
      </c>
      <c r="R264" s="200">
        <f t="shared" si="1323"/>
        <v>0</v>
      </c>
      <c r="S264" s="200">
        <f t="shared" si="1323"/>
        <v>0</v>
      </c>
      <c r="T264" s="200">
        <f t="shared" si="1323"/>
        <v>0</v>
      </c>
      <c r="U264" s="200">
        <f t="shared" si="1323"/>
        <v>0</v>
      </c>
      <c r="V264" s="200">
        <f t="shared" si="1323"/>
        <v>0</v>
      </c>
      <c r="W264" s="200">
        <f t="shared" si="1323"/>
        <v>0</v>
      </c>
      <c r="X264" s="200">
        <f t="shared" si="1323"/>
        <v>0</v>
      </c>
      <c r="Y264" s="200">
        <f t="shared" si="1323"/>
        <v>0</v>
      </c>
      <c r="Z264" s="200">
        <f t="shared" si="1323"/>
        <v>0</v>
      </c>
      <c r="AA264" s="200">
        <f t="shared" si="1323"/>
        <v>0</v>
      </c>
      <c r="AB264" s="200">
        <f t="shared" si="1323"/>
        <v>0</v>
      </c>
      <c r="AC264" s="200">
        <f t="shared" si="1323"/>
        <v>0</v>
      </c>
      <c r="AD264" s="200">
        <f t="shared" si="11"/>
        <v>0</v>
      </c>
      <c r="AE264" s="200">
        <f t="shared" ref="AE264:AG264" si="1324">countif($D264,"*"&amp;AE$2&amp;"*")</f>
        <v>0</v>
      </c>
      <c r="AF264" s="200">
        <f t="shared" si="1324"/>
        <v>0</v>
      </c>
      <c r="AG264" s="200">
        <f t="shared" si="1324"/>
        <v>0</v>
      </c>
      <c r="AH264" s="171">
        <f t="shared" si="13"/>
        <v>0</v>
      </c>
      <c r="AI264" s="200">
        <f t="shared" si="14"/>
        <v>1</v>
      </c>
      <c r="AJ264" s="200">
        <f t="shared" si="1129"/>
        <v>0</v>
      </c>
      <c r="AK264" s="201">
        <f t="shared" ref="AK264:AS264" si="1325">countif($D264,"*"&amp;AK$2&amp;"*")</f>
        <v>0</v>
      </c>
      <c r="AL264" s="201">
        <f t="shared" si="1325"/>
        <v>0</v>
      </c>
      <c r="AM264" s="201">
        <f t="shared" si="1325"/>
        <v>0</v>
      </c>
      <c r="AN264" s="201">
        <f t="shared" si="1325"/>
        <v>0</v>
      </c>
      <c r="AO264" s="201">
        <f t="shared" si="1325"/>
        <v>0</v>
      </c>
      <c r="AP264" s="201">
        <f t="shared" si="1325"/>
        <v>0</v>
      </c>
      <c r="AQ264" s="201">
        <f t="shared" si="1325"/>
        <v>0</v>
      </c>
      <c r="AR264" s="200">
        <f t="shared" si="1325"/>
        <v>0</v>
      </c>
      <c r="AS264" s="200">
        <f t="shared" si="1325"/>
        <v>0</v>
      </c>
      <c r="AT264" s="173">
        <v>0.0</v>
      </c>
      <c r="AU264" s="200">
        <f t="shared" ref="AU264:AX264" si="1326">countif($D264,"*"&amp;AU$2&amp;"*")</f>
        <v>0</v>
      </c>
      <c r="AV264" s="200">
        <f t="shared" si="1326"/>
        <v>0</v>
      </c>
      <c r="AW264" s="200">
        <f t="shared" si="1326"/>
        <v>0</v>
      </c>
      <c r="AX264" s="200">
        <f t="shared" si="1326"/>
        <v>1</v>
      </c>
      <c r="AY264" s="202">
        <v>0.0</v>
      </c>
      <c r="AZ264" s="200"/>
      <c r="BA264" s="171" t="str">
        <f t="shared" si="18"/>
        <v>Archival</v>
      </c>
      <c r="BB264" s="171" t="str">
        <f t="shared" si="19"/>
        <v/>
      </c>
      <c r="BC264" s="171" t="str">
        <f t="shared" si="20"/>
        <v/>
      </c>
      <c r="BD264" s="171" t="str">
        <f t="shared" si="21"/>
        <v/>
      </c>
      <c r="BE264" s="171" t="str">
        <f t="shared" si="22"/>
        <v/>
      </c>
      <c r="BF264" s="171" t="str">
        <f t="shared" si="23"/>
        <v>Archival</v>
      </c>
    </row>
    <row r="265">
      <c r="A265" s="171">
        <f t="array" ref="A265">XLOOKUP(C265,ICSE!A:A,ICSE!C:C,,2,1)</f>
        <v>2021</v>
      </c>
      <c r="B265" s="171" t="s">
        <v>5675</v>
      </c>
      <c r="C265" s="160">
        <v>505.0</v>
      </c>
      <c r="D265" s="161" t="s">
        <v>2003</v>
      </c>
      <c r="E265" s="197" t="str">
        <f t="array" ref="E265">XLOOKUP(C265,ICSE!A:A,ICSE!Z:Z,,0,1)</f>
        <v>Not available (1) - Broken link.</v>
      </c>
      <c r="F265" s="198" t="s">
        <v>21</v>
      </c>
      <c r="G265" s="163" t="str">
        <f t="array" ref="G265">IF(B265="ICSE",IF(COUNTIFS(B:B,B265,C:C,C265)=XLOOKUP(C265,ICSE!A:A,ICSE!AA:AA,"ERROR",0,1),"OK","ERROR"),IF(B265="FSE",IF(COUNTIFS(B:B,B265,C:C,C265)=XLOOKUP(C265,FSE!A:A,FSE!AA:AA,"ERROR",0,1),"OK","ERROR")))</f>
        <v>OK</v>
      </c>
      <c r="H265" s="199">
        <f t="shared" ref="H265:O265" si="1327">countif($D265,"*"&amp;H$2&amp;"*")</f>
        <v>0</v>
      </c>
      <c r="I265" s="200">
        <f t="shared" si="1327"/>
        <v>0</v>
      </c>
      <c r="J265" s="200">
        <f t="shared" si="1327"/>
        <v>0</v>
      </c>
      <c r="K265" s="200">
        <f t="shared" si="1327"/>
        <v>0</v>
      </c>
      <c r="L265" s="200">
        <f t="shared" si="1327"/>
        <v>0</v>
      </c>
      <c r="M265" s="200">
        <f t="shared" si="1327"/>
        <v>0</v>
      </c>
      <c r="N265" s="200">
        <f t="shared" si="1327"/>
        <v>0</v>
      </c>
      <c r="O265" s="200">
        <f t="shared" si="1327"/>
        <v>0</v>
      </c>
      <c r="P265" s="200">
        <f t="shared" si="9"/>
        <v>1</v>
      </c>
      <c r="Q265" s="200">
        <f t="shared" ref="Q265:AC265" si="1328">countif($D265,"*"&amp;Q$2&amp;"*")</f>
        <v>0</v>
      </c>
      <c r="R265" s="200">
        <f t="shared" si="1328"/>
        <v>0</v>
      </c>
      <c r="S265" s="200">
        <f t="shared" si="1328"/>
        <v>0</v>
      </c>
      <c r="T265" s="200">
        <f t="shared" si="1328"/>
        <v>0</v>
      </c>
      <c r="U265" s="200">
        <f t="shared" si="1328"/>
        <v>0</v>
      </c>
      <c r="V265" s="200">
        <f t="shared" si="1328"/>
        <v>0</v>
      </c>
      <c r="W265" s="200">
        <f t="shared" si="1328"/>
        <v>0</v>
      </c>
      <c r="X265" s="200">
        <f t="shared" si="1328"/>
        <v>0</v>
      </c>
      <c r="Y265" s="200">
        <f t="shared" si="1328"/>
        <v>0</v>
      </c>
      <c r="Z265" s="200">
        <f t="shared" si="1328"/>
        <v>0</v>
      </c>
      <c r="AA265" s="200">
        <f t="shared" si="1328"/>
        <v>0</v>
      </c>
      <c r="AB265" s="200">
        <f t="shared" si="1328"/>
        <v>0</v>
      </c>
      <c r="AC265" s="200">
        <f t="shared" si="1328"/>
        <v>0</v>
      </c>
      <c r="AD265" s="200">
        <f t="shared" si="11"/>
        <v>0</v>
      </c>
      <c r="AE265" s="200">
        <f t="shared" ref="AE265:AG265" si="1329">countif($D265,"*"&amp;AE$2&amp;"*")</f>
        <v>0</v>
      </c>
      <c r="AF265" s="200">
        <f t="shared" si="1329"/>
        <v>0</v>
      </c>
      <c r="AG265" s="200">
        <f t="shared" si="1329"/>
        <v>0</v>
      </c>
      <c r="AH265" s="171">
        <f t="shared" si="13"/>
        <v>0</v>
      </c>
      <c r="AI265" s="200">
        <f t="shared" si="14"/>
        <v>0</v>
      </c>
      <c r="AJ265" s="200">
        <f t="shared" si="1129"/>
        <v>0</v>
      </c>
      <c r="AK265" s="201">
        <f t="shared" ref="AK265:AS265" si="1330">countif($D265,"*"&amp;AK$2&amp;"*")</f>
        <v>0</v>
      </c>
      <c r="AL265" s="201">
        <f t="shared" si="1330"/>
        <v>0</v>
      </c>
      <c r="AM265" s="201">
        <f t="shared" si="1330"/>
        <v>0</v>
      </c>
      <c r="AN265" s="201">
        <f t="shared" si="1330"/>
        <v>0</v>
      </c>
      <c r="AO265" s="201">
        <f t="shared" si="1330"/>
        <v>0</v>
      </c>
      <c r="AP265" s="201">
        <f t="shared" si="1330"/>
        <v>0</v>
      </c>
      <c r="AQ265" s="201">
        <f t="shared" si="1330"/>
        <v>0</v>
      </c>
      <c r="AR265" s="200">
        <f t="shared" si="1330"/>
        <v>0</v>
      </c>
      <c r="AS265" s="200">
        <f t="shared" si="1330"/>
        <v>0</v>
      </c>
      <c r="AT265" s="173">
        <v>0.0</v>
      </c>
      <c r="AU265" s="200">
        <f t="shared" ref="AU265:AX265" si="1331">countif($D265,"*"&amp;AU$2&amp;"*")</f>
        <v>0</v>
      </c>
      <c r="AV265" s="200">
        <f t="shared" si="1331"/>
        <v>1</v>
      </c>
      <c r="AW265" s="200">
        <f t="shared" si="1331"/>
        <v>0</v>
      </c>
      <c r="AX265" s="200">
        <f t="shared" si="1331"/>
        <v>0</v>
      </c>
      <c r="AY265" s="202">
        <v>0.0</v>
      </c>
      <c r="AZ265" s="200"/>
      <c r="BA265" s="171" t="str">
        <f t="shared" si="18"/>
        <v/>
      </c>
      <c r="BB265" s="171" t="str">
        <f t="shared" si="19"/>
        <v>Code</v>
      </c>
      <c r="BC265" s="171" t="str">
        <f t="shared" si="20"/>
        <v/>
      </c>
      <c r="BD265" s="171" t="str">
        <f t="shared" si="21"/>
        <v/>
      </c>
      <c r="BE265" s="171" t="str">
        <f t="shared" si="22"/>
        <v/>
      </c>
      <c r="BF265" s="171" t="str">
        <f t="shared" si="23"/>
        <v>Code</v>
      </c>
    </row>
    <row r="266">
      <c r="A266" s="171">
        <f t="array" ref="A266">XLOOKUP(C266,ICSE!A:A,ICSE!C:C,,2,1)</f>
        <v>2021</v>
      </c>
      <c r="B266" s="171" t="s">
        <v>5675</v>
      </c>
      <c r="C266" s="160">
        <v>506.0</v>
      </c>
      <c r="D266" s="161" t="s">
        <v>2006</v>
      </c>
      <c r="E266" s="197" t="str">
        <f t="array" ref="E266">XLOOKUP(C266,ICSE!A:A,ICSE!Z:Z,,0,1)</f>
        <v>Publicly available (1)</v>
      </c>
      <c r="F266" s="198" t="s">
        <v>20</v>
      </c>
      <c r="G266" s="163" t="str">
        <f t="array" ref="G266">IF(B266="ICSE",IF(COUNTIFS(B:B,B266,C:C,C266)=XLOOKUP(C266,ICSE!A:A,ICSE!AA:AA,"ERROR",0,1),"OK","ERROR"),IF(B266="FSE",IF(COUNTIFS(B:B,B266,C:C,C266)=XLOOKUP(C266,FSE!A:A,FSE!AA:AA,"ERROR",0,1),"OK","ERROR")))</f>
        <v>OK</v>
      </c>
      <c r="H266" s="199">
        <f t="shared" ref="H266:O266" si="1332">countif($D266,"*"&amp;H$2&amp;"*")</f>
        <v>0</v>
      </c>
      <c r="I266" s="200">
        <f t="shared" si="1332"/>
        <v>0</v>
      </c>
      <c r="J266" s="200">
        <f t="shared" si="1332"/>
        <v>0</v>
      </c>
      <c r="K266" s="200">
        <f t="shared" si="1332"/>
        <v>0</v>
      </c>
      <c r="L266" s="200">
        <f t="shared" si="1332"/>
        <v>0</v>
      </c>
      <c r="M266" s="200">
        <f t="shared" si="1332"/>
        <v>0</v>
      </c>
      <c r="N266" s="200">
        <f t="shared" si="1332"/>
        <v>0</v>
      </c>
      <c r="O266" s="200">
        <f t="shared" si="1332"/>
        <v>0</v>
      </c>
      <c r="P266" s="200">
        <f t="shared" si="9"/>
        <v>1</v>
      </c>
      <c r="Q266" s="200">
        <f t="shared" ref="Q266:AC266" si="1333">countif($D266,"*"&amp;Q$2&amp;"*")</f>
        <v>0</v>
      </c>
      <c r="R266" s="200">
        <f t="shared" si="1333"/>
        <v>0</v>
      </c>
      <c r="S266" s="200">
        <f t="shared" si="1333"/>
        <v>0</v>
      </c>
      <c r="T266" s="200">
        <f t="shared" si="1333"/>
        <v>0</v>
      </c>
      <c r="U266" s="200">
        <f t="shared" si="1333"/>
        <v>0</v>
      </c>
      <c r="V266" s="200">
        <f t="shared" si="1333"/>
        <v>0</v>
      </c>
      <c r="W266" s="200">
        <f t="shared" si="1333"/>
        <v>0</v>
      </c>
      <c r="X266" s="200">
        <f t="shared" si="1333"/>
        <v>0</v>
      </c>
      <c r="Y266" s="200">
        <f t="shared" si="1333"/>
        <v>0</v>
      </c>
      <c r="Z266" s="200">
        <f t="shared" si="1333"/>
        <v>0</v>
      </c>
      <c r="AA266" s="200">
        <f t="shared" si="1333"/>
        <v>0</v>
      </c>
      <c r="AB266" s="200">
        <f t="shared" si="1333"/>
        <v>0</v>
      </c>
      <c r="AC266" s="200">
        <f t="shared" si="1333"/>
        <v>0</v>
      </c>
      <c r="AD266" s="200">
        <f t="shared" si="11"/>
        <v>0</v>
      </c>
      <c r="AE266" s="200">
        <f t="shared" ref="AE266:AG266" si="1334">countif($D266,"*"&amp;AE$2&amp;"*")</f>
        <v>0</v>
      </c>
      <c r="AF266" s="200">
        <f t="shared" si="1334"/>
        <v>0</v>
      </c>
      <c r="AG266" s="200">
        <f t="shared" si="1334"/>
        <v>0</v>
      </c>
      <c r="AH266" s="171">
        <f t="shared" si="13"/>
        <v>0</v>
      </c>
      <c r="AI266" s="200">
        <f t="shared" si="14"/>
        <v>0</v>
      </c>
      <c r="AJ266" s="200">
        <f t="shared" si="1129"/>
        <v>0</v>
      </c>
      <c r="AK266" s="201">
        <f t="shared" ref="AK266:AS266" si="1335">countif($D266,"*"&amp;AK$2&amp;"*")</f>
        <v>0</v>
      </c>
      <c r="AL266" s="201">
        <f t="shared" si="1335"/>
        <v>0</v>
      </c>
      <c r="AM266" s="201">
        <f t="shared" si="1335"/>
        <v>0</v>
      </c>
      <c r="AN266" s="201">
        <f t="shared" si="1335"/>
        <v>0</v>
      </c>
      <c r="AO266" s="201">
        <f t="shared" si="1335"/>
        <v>0</v>
      </c>
      <c r="AP266" s="201">
        <f t="shared" si="1335"/>
        <v>0</v>
      </c>
      <c r="AQ266" s="201">
        <f t="shared" si="1335"/>
        <v>0</v>
      </c>
      <c r="AR266" s="200">
        <f t="shared" si="1335"/>
        <v>0</v>
      </c>
      <c r="AS266" s="200">
        <f t="shared" si="1335"/>
        <v>0</v>
      </c>
      <c r="AT266" s="173">
        <v>0.0</v>
      </c>
      <c r="AU266" s="200">
        <f t="shared" ref="AU266:AX266" si="1336">countif($D266,"*"&amp;AU$2&amp;"*")</f>
        <v>0</v>
      </c>
      <c r="AV266" s="200">
        <f t="shared" si="1336"/>
        <v>1</v>
      </c>
      <c r="AW266" s="200">
        <f t="shared" si="1336"/>
        <v>0</v>
      </c>
      <c r="AX266" s="200">
        <f t="shared" si="1336"/>
        <v>0</v>
      </c>
      <c r="AY266" s="202">
        <v>0.0</v>
      </c>
      <c r="AZ266" s="200"/>
      <c r="BA266" s="171" t="str">
        <f t="shared" si="18"/>
        <v/>
      </c>
      <c r="BB266" s="171" t="str">
        <f t="shared" si="19"/>
        <v>Code</v>
      </c>
      <c r="BC266" s="171" t="str">
        <f t="shared" si="20"/>
        <v/>
      </c>
      <c r="BD266" s="171" t="str">
        <f t="shared" si="21"/>
        <v/>
      </c>
      <c r="BE266" s="171" t="str">
        <f t="shared" si="22"/>
        <v/>
      </c>
      <c r="BF266" s="171" t="str">
        <f t="shared" si="23"/>
        <v>Code</v>
      </c>
    </row>
    <row r="267">
      <c r="A267" s="171">
        <f t="array" ref="A267">XLOOKUP(C267,ICSE!A:A,ICSE!C:C,,2,1)</f>
        <v>2021</v>
      </c>
      <c r="B267" s="171" t="s">
        <v>5675</v>
      </c>
      <c r="C267" s="160">
        <v>507.0</v>
      </c>
      <c r="D267" s="161" t="s">
        <v>2009</v>
      </c>
      <c r="E267" s="197" t="str">
        <f t="array" ref="E267">XLOOKUP(C267,ICSE!A:A,ICSE!Z:Z,,0,1)</f>
        <v>Publicly available (1)</v>
      </c>
      <c r="F267" s="198" t="s">
        <v>20</v>
      </c>
      <c r="G267" s="163" t="str">
        <f t="array" ref="G267">IF(B267="ICSE",IF(COUNTIFS(B:B,B267,C:C,C267)=XLOOKUP(C267,ICSE!A:A,ICSE!AA:AA,"ERROR",0,1),"OK","ERROR"),IF(B267="FSE",IF(COUNTIFS(B:B,B267,C:C,C267)=XLOOKUP(C267,FSE!A:A,FSE!AA:AA,"ERROR",0,1),"OK","ERROR")))</f>
        <v>OK</v>
      </c>
      <c r="H267" s="199">
        <f t="shared" ref="H267:O267" si="1337">countif($D267,"*"&amp;H$2&amp;"*")</f>
        <v>0</v>
      </c>
      <c r="I267" s="200">
        <f t="shared" si="1337"/>
        <v>0</v>
      </c>
      <c r="J267" s="200">
        <f t="shared" si="1337"/>
        <v>0</v>
      </c>
      <c r="K267" s="200">
        <f t="shared" si="1337"/>
        <v>0</v>
      </c>
      <c r="L267" s="200">
        <f t="shared" si="1337"/>
        <v>0</v>
      </c>
      <c r="M267" s="200">
        <f t="shared" si="1337"/>
        <v>0</v>
      </c>
      <c r="N267" s="200">
        <f t="shared" si="1337"/>
        <v>0</v>
      </c>
      <c r="O267" s="200">
        <f t="shared" si="1337"/>
        <v>0</v>
      </c>
      <c r="P267" s="200">
        <f t="shared" si="9"/>
        <v>1</v>
      </c>
      <c r="Q267" s="200">
        <f t="shared" ref="Q267:AC267" si="1338">countif($D267,"*"&amp;Q$2&amp;"*")</f>
        <v>0</v>
      </c>
      <c r="R267" s="200">
        <f t="shared" si="1338"/>
        <v>0</v>
      </c>
      <c r="S267" s="200">
        <f t="shared" si="1338"/>
        <v>0</v>
      </c>
      <c r="T267" s="200">
        <f t="shared" si="1338"/>
        <v>0</v>
      </c>
      <c r="U267" s="200">
        <f t="shared" si="1338"/>
        <v>0</v>
      </c>
      <c r="V267" s="200">
        <f t="shared" si="1338"/>
        <v>0</v>
      </c>
      <c r="W267" s="200">
        <f t="shared" si="1338"/>
        <v>0</v>
      </c>
      <c r="X267" s="200">
        <f t="shared" si="1338"/>
        <v>0</v>
      </c>
      <c r="Y267" s="200">
        <f t="shared" si="1338"/>
        <v>0</v>
      </c>
      <c r="Z267" s="200">
        <f t="shared" si="1338"/>
        <v>0</v>
      </c>
      <c r="AA267" s="200">
        <f t="shared" si="1338"/>
        <v>0</v>
      </c>
      <c r="AB267" s="200">
        <f t="shared" si="1338"/>
        <v>0</v>
      </c>
      <c r="AC267" s="200">
        <f t="shared" si="1338"/>
        <v>0</v>
      </c>
      <c r="AD267" s="200">
        <f t="shared" si="11"/>
        <v>0</v>
      </c>
      <c r="AE267" s="200">
        <f t="shared" ref="AE267:AG267" si="1339">countif($D267,"*"&amp;AE$2&amp;"*")</f>
        <v>0</v>
      </c>
      <c r="AF267" s="200">
        <f t="shared" si="1339"/>
        <v>0</v>
      </c>
      <c r="AG267" s="200">
        <f t="shared" si="1339"/>
        <v>0</v>
      </c>
      <c r="AH267" s="171">
        <f t="shared" si="13"/>
        <v>0</v>
      </c>
      <c r="AI267" s="200">
        <f t="shared" si="14"/>
        <v>0</v>
      </c>
      <c r="AJ267" s="200">
        <f t="shared" si="1129"/>
        <v>0</v>
      </c>
      <c r="AK267" s="201">
        <f t="shared" ref="AK267:AS267" si="1340">countif($D267,"*"&amp;AK$2&amp;"*")</f>
        <v>0</v>
      </c>
      <c r="AL267" s="201">
        <f t="shared" si="1340"/>
        <v>0</v>
      </c>
      <c r="AM267" s="201">
        <f t="shared" si="1340"/>
        <v>0</v>
      </c>
      <c r="AN267" s="201">
        <f t="shared" si="1340"/>
        <v>0</v>
      </c>
      <c r="AO267" s="201">
        <f t="shared" si="1340"/>
        <v>0</v>
      </c>
      <c r="AP267" s="201">
        <f t="shared" si="1340"/>
        <v>0</v>
      </c>
      <c r="AQ267" s="201">
        <f t="shared" si="1340"/>
        <v>0</v>
      </c>
      <c r="AR267" s="200">
        <f t="shared" si="1340"/>
        <v>0</v>
      </c>
      <c r="AS267" s="200">
        <f t="shared" si="1340"/>
        <v>0</v>
      </c>
      <c r="AT267" s="173">
        <v>0.0</v>
      </c>
      <c r="AU267" s="200">
        <f t="shared" ref="AU267:AX267" si="1341">countif($D267,"*"&amp;AU$2&amp;"*")</f>
        <v>0</v>
      </c>
      <c r="AV267" s="200">
        <f t="shared" si="1341"/>
        <v>1</v>
      </c>
      <c r="AW267" s="200">
        <f t="shared" si="1341"/>
        <v>0</v>
      </c>
      <c r="AX267" s="200">
        <f t="shared" si="1341"/>
        <v>0</v>
      </c>
      <c r="AY267" s="202">
        <v>0.0</v>
      </c>
      <c r="AZ267" s="200"/>
      <c r="BA267" s="171" t="str">
        <f t="shared" si="18"/>
        <v/>
      </c>
      <c r="BB267" s="171" t="str">
        <f t="shared" si="19"/>
        <v>Code</v>
      </c>
      <c r="BC267" s="171" t="str">
        <f t="shared" si="20"/>
        <v/>
      </c>
      <c r="BD267" s="171" t="str">
        <f t="shared" si="21"/>
        <v/>
      </c>
      <c r="BE267" s="171" t="str">
        <f t="shared" si="22"/>
        <v/>
      </c>
      <c r="BF267" s="171" t="str">
        <f t="shared" si="23"/>
        <v>Code</v>
      </c>
    </row>
    <row r="268">
      <c r="A268" s="171">
        <f t="array" ref="A268">XLOOKUP(C268,ICSE!A:A,ICSE!C:C,,2,1)</f>
        <v>2021</v>
      </c>
      <c r="B268" s="171" t="s">
        <v>5675</v>
      </c>
      <c r="C268" s="160">
        <v>508.0</v>
      </c>
      <c r="D268" s="161" t="s">
        <v>5817</v>
      </c>
      <c r="E268" s="197" t="str">
        <f t="array" ref="E268">XLOOKUP(C268,ICSE!A:A,ICSE!Z:Z,,0,1)</f>
        <v>Publicly available (2)</v>
      </c>
      <c r="F268" s="198" t="s">
        <v>20</v>
      </c>
      <c r="G268" s="163" t="str">
        <f t="array" ref="G268">IF(B268="ICSE",IF(COUNTIFS(B:B,B268,C:C,C268)=XLOOKUP(C268,ICSE!A:A,ICSE!AA:AA,"ERROR",0,1),"OK","ERROR"),IF(B268="FSE",IF(COUNTIFS(B:B,B268,C:C,C268)=XLOOKUP(C268,FSE!A:A,FSE!AA:AA,"ERROR",0,1),"OK","ERROR")))</f>
        <v>OK</v>
      </c>
      <c r="H268" s="199">
        <f t="shared" ref="H268:O268" si="1342">countif($D268,"*"&amp;H$2&amp;"*")</f>
        <v>1</v>
      </c>
      <c r="I268" s="200">
        <f t="shared" si="1342"/>
        <v>0</v>
      </c>
      <c r="J268" s="200">
        <f t="shared" si="1342"/>
        <v>0</v>
      </c>
      <c r="K268" s="200">
        <f t="shared" si="1342"/>
        <v>0</v>
      </c>
      <c r="L268" s="200">
        <f t="shared" si="1342"/>
        <v>0</v>
      </c>
      <c r="M268" s="200">
        <f t="shared" si="1342"/>
        <v>0</v>
      </c>
      <c r="N268" s="200">
        <f t="shared" si="1342"/>
        <v>0</v>
      </c>
      <c r="O268" s="200">
        <f t="shared" si="1342"/>
        <v>0</v>
      </c>
      <c r="P268" s="200">
        <f t="shared" si="9"/>
        <v>0</v>
      </c>
      <c r="Q268" s="200">
        <f t="shared" ref="Q268:AC268" si="1343">countif($D268,"*"&amp;Q$2&amp;"*")</f>
        <v>0</v>
      </c>
      <c r="R268" s="200">
        <f t="shared" si="1343"/>
        <v>0</v>
      </c>
      <c r="S268" s="200">
        <f t="shared" si="1343"/>
        <v>0</v>
      </c>
      <c r="T268" s="200">
        <f t="shared" si="1343"/>
        <v>0</v>
      </c>
      <c r="U268" s="200">
        <f t="shared" si="1343"/>
        <v>0</v>
      </c>
      <c r="V268" s="200">
        <f t="shared" si="1343"/>
        <v>0</v>
      </c>
      <c r="W268" s="200">
        <f t="shared" si="1343"/>
        <v>0</v>
      </c>
      <c r="X268" s="200">
        <f t="shared" si="1343"/>
        <v>0</v>
      </c>
      <c r="Y268" s="200">
        <f t="shared" si="1343"/>
        <v>0</v>
      </c>
      <c r="Z268" s="200">
        <f t="shared" si="1343"/>
        <v>0</v>
      </c>
      <c r="AA268" s="200">
        <f t="shared" si="1343"/>
        <v>0</v>
      </c>
      <c r="AB268" s="200">
        <f t="shared" si="1343"/>
        <v>0</v>
      </c>
      <c r="AC268" s="200">
        <f t="shared" si="1343"/>
        <v>0</v>
      </c>
      <c r="AD268" s="200">
        <f t="shared" si="11"/>
        <v>0</v>
      </c>
      <c r="AE268" s="200">
        <f t="shared" ref="AE268:AG268" si="1344">countif($D268,"*"&amp;AE$2&amp;"*")</f>
        <v>0</v>
      </c>
      <c r="AF268" s="200">
        <f t="shared" si="1344"/>
        <v>0</v>
      </c>
      <c r="AG268" s="200">
        <f t="shared" si="1344"/>
        <v>0</v>
      </c>
      <c r="AH268" s="171">
        <f t="shared" si="13"/>
        <v>0</v>
      </c>
      <c r="AI268" s="200">
        <f t="shared" si="14"/>
        <v>1</v>
      </c>
      <c r="AJ268" s="200">
        <f t="shared" si="1129"/>
        <v>0</v>
      </c>
      <c r="AK268" s="201">
        <f t="shared" ref="AK268:AS268" si="1345">countif($D268,"*"&amp;AK$2&amp;"*")</f>
        <v>0</v>
      </c>
      <c r="AL268" s="201">
        <f t="shared" si="1345"/>
        <v>0</v>
      </c>
      <c r="AM268" s="201">
        <f t="shared" si="1345"/>
        <v>0</v>
      </c>
      <c r="AN268" s="201">
        <f t="shared" si="1345"/>
        <v>0</v>
      </c>
      <c r="AO268" s="201">
        <f t="shared" si="1345"/>
        <v>0</v>
      </c>
      <c r="AP268" s="201">
        <f t="shared" si="1345"/>
        <v>0</v>
      </c>
      <c r="AQ268" s="201">
        <f t="shared" si="1345"/>
        <v>0</v>
      </c>
      <c r="AR268" s="200">
        <f t="shared" si="1345"/>
        <v>0</v>
      </c>
      <c r="AS268" s="200">
        <f t="shared" si="1345"/>
        <v>1</v>
      </c>
      <c r="AT268" s="173">
        <v>0.0</v>
      </c>
      <c r="AU268" s="200">
        <f t="shared" ref="AU268:AX268" si="1346">countif($D268,"*"&amp;AU$2&amp;"*")</f>
        <v>0</v>
      </c>
      <c r="AV268" s="200">
        <f t="shared" si="1346"/>
        <v>0</v>
      </c>
      <c r="AW268" s="200">
        <f t="shared" si="1346"/>
        <v>0</v>
      </c>
      <c r="AX268" s="200">
        <f t="shared" si="1346"/>
        <v>1</v>
      </c>
      <c r="AY268" s="202">
        <v>0.0</v>
      </c>
      <c r="AZ268" s="200"/>
      <c r="BA268" s="171" t="str">
        <f t="shared" si="18"/>
        <v>Archival</v>
      </c>
      <c r="BB268" s="171" t="str">
        <f t="shared" si="19"/>
        <v/>
      </c>
      <c r="BC268" s="171" t="str">
        <f t="shared" si="20"/>
        <v/>
      </c>
      <c r="BD268" s="171" t="str">
        <f t="shared" si="21"/>
        <v/>
      </c>
      <c r="BE268" s="171" t="str">
        <f t="shared" si="22"/>
        <v/>
      </c>
      <c r="BF268" s="171" t="str">
        <f t="shared" si="23"/>
        <v>Archival</v>
      </c>
    </row>
    <row r="269">
      <c r="A269" s="171">
        <f t="array" ref="A269">XLOOKUP(C269,ICSE!A:A,ICSE!C:C,,2,1)</f>
        <v>2021</v>
      </c>
      <c r="B269" s="171" t="s">
        <v>5675</v>
      </c>
      <c r="C269" s="160">
        <v>508.0</v>
      </c>
      <c r="D269" s="161" t="s">
        <v>5818</v>
      </c>
      <c r="E269" s="197" t="str">
        <f t="array" ref="E269">XLOOKUP(C269,ICSE!A:A,ICSE!Z:Z,,0,1)</f>
        <v>Publicly available (2)</v>
      </c>
      <c r="F269" s="198" t="s">
        <v>20</v>
      </c>
      <c r="G269" s="163" t="str">
        <f t="array" ref="G269">IF(B269="ICSE",IF(COUNTIFS(B:B,B269,C:C,C269)=XLOOKUP(C269,ICSE!A:A,ICSE!AA:AA,"ERROR",0,1),"OK","ERROR"),IF(B269="FSE",IF(COUNTIFS(B:B,B269,C:C,C269)=XLOOKUP(C269,FSE!A:A,FSE!AA:AA,"ERROR",0,1),"OK","ERROR")))</f>
        <v>OK</v>
      </c>
      <c r="H269" s="199">
        <f t="shared" ref="H269:O269" si="1347">countif($D269,"*"&amp;H$2&amp;"*")</f>
        <v>0</v>
      </c>
      <c r="I269" s="200">
        <f t="shared" si="1347"/>
        <v>0</v>
      </c>
      <c r="J269" s="200">
        <f t="shared" si="1347"/>
        <v>0</v>
      </c>
      <c r="K269" s="200">
        <f t="shared" si="1347"/>
        <v>0</v>
      </c>
      <c r="L269" s="200">
        <f t="shared" si="1347"/>
        <v>0</v>
      </c>
      <c r="M269" s="200">
        <f t="shared" si="1347"/>
        <v>0</v>
      </c>
      <c r="N269" s="200">
        <f t="shared" si="1347"/>
        <v>0</v>
      </c>
      <c r="O269" s="200">
        <f t="shared" si="1347"/>
        <v>0</v>
      </c>
      <c r="P269" s="200">
        <f t="shared" si="9"/>
        <v>1</v>
      </c>
      <c r="Q269" s="200">
        <f t="shared" ref="Q269:AC269" si="1348">countif($D269,"*"&amp;Q$2&amp;"*")</f>
        <v>0</v>
      </c>
      <c r="R269" s="200">
        <f t="shared" si="1348"/>
        <v>0</v>
      </c>
      <c r="S269" s="200">
        <f t="shared" si="1348"/>
        <v>0</v>
      </c>
      <c r="T269" s="200">
        <f t="shared" si="1348"/>
        <v>0</v>
      </c>
      <c r="U269" s="200">
        <f t="shared" si="1348"/>
        <v>0</v>
      </c>
      <c r="V269" s="200">
        <f t="shared" si="1348"/>
        <v>0</v>
      </c>
      <c r="W269" s="200">
        <f t="shared" si="1348"/>
        <v>0</v>
      </c>
      <c r="X269" s="200">
        <f t="shared" si="1348"/>
        <v>0</v>
      </c>
      <c r="Y269" s="200">
        <f t="shared" si="1348"/>
        <v>0</v>
      </c>
      <c r="Z269" s="200">
        <f t="shared" si="1348"/>
        <v>0</v>
      </c>
      <c r="AA269" s="200">
        <f t="shared" si="1348"/>
        <v>0</v>
      </c>
      <c r="AB269" s="200">
        <f t="shared" si="1348"/>
        <v>0</v>
      </c>
      <c r="AC269" s="200">
        <f t="shared" si="1348"/>
        <v>0</v>
      </c>
      <c r="AD269" s="200">
        <f t="shared" si="11"/>
        <v>0</v>
      </c>
      <c r="AE269" s="200">
        <f t="shared" ref="AE269:AG269" si="1349">countif($D269,"*"&amp;AE$2&amp;"*")</f>
        <v>0</v>
      </c>
      <c r="AF269" s="200">
        <f t="shared" si="1349"/>
        <v>0</v>
      </c>
      <c r="AG269" s="200">
        <f t="shared" si="1349"/>
        <v>0</v>
      </c>
      <c r="AH269" s="171">
        <f t="shared" si="13"/>
        <v>0</v>
      </c>
      <c r="AI269" s="200">
        <f t="shared" si="14"/>
        <v>0</v>
      </c>
      <c r="AJ269" s="200">
        <f t="shared" si="1129"/>
        <v>0</v>
      </c>
      <c r="AK269" s="201">
        <f t="shared" ref="AK269:AS269" si="1350">countif($D269,"*"&amp;AK$2&amp;"*")</f>
        <v>0</v>
      </c>
      <c r="AL269" s="201">
        <f t="shared" si="1350"/>
        <v>0</v>
      </c>
      <c r="AM269" s="201">
        <f t="shared" si="1350"/>
        <v>0</v>
      </c>
      <c r="AN269" s="201">
        <f t="shared" si="1350"/>
        <v>0</v>
      </c>
      <c r="AO269" s="201">
        <f t="shared" si="1350"/>
        <v>0</v>
      </c>
      <c r="AP269" s="201">
        <f t="shared" si="1350"/>
        <v>0</v>
      </c>
      <c r="AQ269" s="201">
        <f t="shared" si="1350"/>
        <v>0</v>
      </c>
      <c r="AR269" s="200">
        <f t="shared" si="1350"/>
        <v>0</v>
      </c>
      <c r="AS269" s="200">
        <f t="shared" si="1350"/>
        <v>0</v>
      </c>
      <c r="AT269" s="173">
        <v>0.0</v>
      </c>
      <c r="AU269" s="200">
        <f t="shared" ref="AU269:AX269" si="1351">countif($D269,"*"&amp;AU$2&amp;"*")</f>
        <v>0</v>
      </c>
      <c r="AV269" s="200">
        <f t="shared" si="1351"/>
        <v>1</v>
      </c>
      <c r="AW269" s="200">
        <f t="shared" si="1351"/>
        <v>0</v>
      </c>
      <c r="AX269" s="200">
        <f t="shared" si="1351"/>
        <v>0</v>
      </c>
      <c r="AY269" s="202">
        <v>0.0</v>
      </c>
      <c r="AZ269" s="200"/>
      <c r="BA269" s="171" t="str">
        <f t="shared" si="18"/>
        <v/>
      </c>
      <c r="BB269" s="171" t="str">
        <f t="shared" si="19"/>
        <v>Code</v>
      </c>
      <c r="BC269" s="171" t="str">
        <f t="shared" si="20"/>
        <v/>
      </c>
      <c r="BD269" s="171" t="str">
        <f t="shared" si="21"/>
        <v/>
      </c>
      <c r="BE269" s="171" t="str">
        <f t="shared" si="22"/>
        <v/>
      </c>
      <c r="BF269" s="171" t="str">
        <f t="shared" si="23"/>
        <v>Code</v>
      </c>
    </row>
    <row r="270">
      <c r="A270" s="171">
        <f t="array" ref="A270">XLOOKUP(C270,ICSE!A:A,ICSE!C:C,,2,1)</f>
        <v>2021</v>
      </c>
      <c r="B270" s="171" t="s">
        <v>5675</v>
      </c>
      <c r="C270" s="160">
        <v>509.0</v>
      </c>
      <c r="D270" s="161" t="s">
        <v>2016</v>
      </c>
      <c r="E270" s="197" t="str">
        <f t="array" ref="E270">XLOOKUP(C270,ICSE!A:A,ICSE!Z:Z,,0,1)</f>
        <v>Publicly available (1)</v>
      </c>
      <c r="F270" s="198" t="s">
        <v>20</v>
      </c>
      <c r="G270" s="163" t="str">
        <f t="array" ref="G270">IF(B270="ICSE",IF(COUNTIFS(B:B,B270,C:C,C270)=XLOOKUP(C270,ICSE!A:A,ICSE!AA:AA,"ERROR",0,1),"OK","ERROR"),IF(B270="FSE",IF(COUNTIFS(B:B,B270,C:C,C270)=XLOOKUP(C270,FSE!A:A,FSE!AA:AA,"ERROR",0,1),"OK","ERROR")))</f>
        <v>OK</v>
      </c>
      <c r="H270" s="199">
        <f t="shared" ref="H270:O270" si="1352">countif($D270,"*"&amp;H$2&amp;"*")</f>
        <v>0</v>
      </c>
      <c r="I270" s="200">
        <f t="shared" si="1352"/>
        <v>0</v>
      </c>
      <c r="J270" s="200">
        <f t="shared" si="1352"/>
        <v>0</v>
      </c>
      <c r="K270" s="200">
        <f t="shared" si="1352"/>
        <v>0</v>
      </c>
      <c r="L270" s="200">
        <f t="shared" si="1352"/>
        <v>0</v>
      </c>
      <c r="M270" s="200">
        <f t="shared" si="1352"/>
        <v>0</v>
      </c>
      <c r="N270" s="200">
        <f t="shared" si="1352"/>
        <v>0</v>
      </c>
      <c r="O270" s="200">
        <f t="shared" si="1352"/>
        <v>0</v>
      </c>
      <c r="P270" s="200">
        <f t="shared" si="9"/>
        <v>1</v>
      </c>
      <c r="Q270" s="200">
        <f t="shared" ref="Q270:AC270" si="1353">countif($D270,"*"&amp;Q$2&amp;"*")</f>
        <v>0</v>
      </c>
      <c r="R270" s="200">
        <f t="shared" si="1353"/>
        <v>0</v>
      </c>
      <c r="S270" s="200">
        <f t="shared" si="1353"/>
        <v>0</v>
      </c>
      <c r="T270" s="200">
        <f t="shared" si="1353"/>
        <v>0</v>
      </c>
      <c r="U270" s="200">
        <f t="shared" si="1353"/>
        <v>0</v>
      </c>
      <c r="V270" s="200">
        <f t="shared" si="1353"/>
        <v>0</v>
      </c>
      <c r="W270" s="200">
        <f t="shared" si="1353"/>
        <v>0</v>
      </c>
      <c r="X270" s="200">
        <f t="shared" si="1353"/>
        <v>0</v>
      </c>
      <c r="Y270" s="200">
        <f t="shared" si="1353"/>
        <v>0</v>
      </c>
      <c r="Z270" s="200">
        <f t="shared" si="1353"/>
        <v>0</v>
      </c>
      <c r="AA270" s="200">
        <f t="shared" si="1353"/>
        <v>0</v>
      </c>
      <c r="AB270" s="200">
        <f t="shared" si="1353"/>
        <v>0</v>
      </c>
      <c r="AC270" s="200">
        <f t="shared" si="1353"/>
        <v>0</v>
      </c>
      <c r="AD270" s="200">
        <f t="shared" si="11"/>
        <v>0</v>
      </c>
      <c r="AE270" s="200">
        <f t="shared" ref="AE270:AG270" si="1354">countif($D270,"*"&amp;AE$2&amp;"*")</f>
        <v>0</v>
      </c>
      <c r="AF270" s="200">
        <f t="shared" si="1354"/>
        <v>0</v>
      </c>
      <c r="AG270" s="200">
        <f t="shared" si="1354"/>
        <v>0</v>
      </c>
      <c r="AH270" s="171">
        <f t="shared" si="13"/>
        <v>0</v>
      </c>
      <c r="AI270" s="200">
        <f t="shared" si="14"/>
        <v>0</v>
      </c>
      <c r="AJ270" s="200">
        <f t="shared" si="1129"/>
        <v>0</v>
      </c>
      <c r="AK270" s="201">
        <f t="shared" ref="AK270:AS270" si="1355">countif($D270,"*"&amp;AK$2&amp;"*")</f>
        <v>0</v>
      </c>
      <c r="AL270" s="201">
        <f t="shared" si="1355"/>
        <v>0</v>
      </c>
      <c r="AM270" s="201">
        <f t="shared" si="1355"/>
        <v>0</v>
      </c>
      <c r="AN270" s="201">
        <f t="shared" si="1355"/>
        <v>0</v>
      </c>
      <c r="AO270" s="201">
        <f t="shared" si="1355"/>
        <v>0</v>
      </c>
      <c r="AP270" s="201">
        <f t="shared" si="1355"/>
        <v>0</v>
      </c>
      <c r="AQ270" s="201">
        <f t="shared" si="1355"/>
        <v>0</v>
      </c>
      <c r="AR270" s="200">
        <f t="shared" si="1355"/>
        <v>0</v>
      </c>
      <c r="AS270" s="200">
        <f t="shared" si="1355"/>
        <v>0</v>
      </c>
      <c r="AT270" s="173">
        <v>0.0</v>
      </c>
      <c r="AU270" s="200">
        <f t="shared" ref="AU270:AX270" si="1356">countif($D270,"*"&amp;AU$2&amp;"*")</f>
        <v>0</v>
      </c>
      <c r="AV270" s="200">
        <f t="shared" si="1356"/>
        <v>1</v>
      </c>
      <c r="AW270" s="200">
        <f t="shared" si="1356"/>
        <v>0</v>
      </c>
      <c r="AX270" s="200">
        <f t="shared" si="1356"/>
        <v>0</v>
      </c>
      <c r="AY270" s="202">
        <v>0.0</v>
      </c>
      <c r="AZ270" s="200"/>
      <c r="BA270" s="171" t="str">
        <f t="shared" si="18"/>
        <v/>
      </c>
      <c r="BB270" s="171" t="str">
        <f t="shared" si="19"/>
        <v>Code</v>
      </c>
      <c r="BC270" s="171" t="str">
        <f t="shared" si="20"/>
        <v/>
      </c>
      <c r="BD270" s="171" t="str">
        <f t="shared" si="21"/>
        <v/>
      </c>
      <c r="BE270" s="171" t="str">
        <f t="shared" si="22"/>
        <v/>
      </c>
      <c r="BF270" s="171" t="str">
        <f t="shared" si="23"/>
        <v>Code</v>
      </c>
    </row>
    <row r="271">
      <c r="A271" s="171">
        <f t="array" ref="A271">XLOOKUP(C271,ICSE!A:A,ICSE!C:C,,2,1)</f>
        <v>2021</v>
      </c>
      <c r="B271" s="171" t="s">
        <v>5675</v>
      </c>
      <c r="C271" s="160">
        <v>510.0</v>
      </c>
      <c r="D271" s="161" t="s">
        <v>2018</v>
      </c>
      <c r="E271" s="197" t="str">
        <f t="array" ref="E271">XLOOKUP(C271,ICSE!A:A,ICSE!Z:Z,,0,1)</f>
        <v>Publicly available (1)</v>
      </c>
      <c r="F271" s="198" t="s">
        <v>20</v>
      </c>
      <c r="G271" s="163" t="str">
        <f t="array" ref="G271">IF(B271="ICSE",IF(COUNTIFS(B:B,B271,C:C,C271)=XLOOKUP(C271,ICSE!A:A,ICSE!AA:AA,"ERROR",0,1),"OK","ERROR"),IF(B271="FSE",IF(COUNTIFS(B:B,B271,C:C,C271)=XLOOKUP(C271,FSE!A:A,FSE!AA:AA,"ERROR",0,1),"OK","ERROR")))</f>
        <v>OK</v>
      </c>
      <c r="H271" s="199">
        <f t="shared" ref="H271:O271" si="1357">countif($D271,"*"&amp;H$2&amp;"*")</f>
        <v>0</v>
      </c>
      <c r="I271" s="200">
        <f t="shared" si="1357"/>
        <v>0</v>
      </c>
      <c r="J271" s="200">
        <f t="shared" si="1357"/>
        <v>0</v>
      </c>
      <c r="K271" s="200">
        <f t="shared" si="1357"/>
        <v>0</v>
      </c>
      <c r="L271" s="200">
        <f t="shared" si="1357"/>
        <v>0</v>
      </c>
      <c r="M271" s="200">
        <f t="shared" si="1357"/>
        <v>0</v>
      </c>
      <c r="N271" s="200">
        <f t="shared" si="1357"/>
        <v>0</v>
      </c>
      <c r="O271" s="200">
        <f t="shared" si="1357"/>
        <v>0</v>
      </c>
      <c r="P271" s="200">
        <f t="shared" si="9"/>
        <v>1</v>
      </c>
      <c r="Q271" s="200">
        <f t="shared" ref="Q271:AC271" si="1358">countif($D271,"*"&amp;Q$2&amp;"*")</f>
        <v>0</v>
      </c>
      <c r="R271" s="200">
        <f t="shared" si="1358"/>
        <v>0</v>
      </c>
      <c r="S271" s="200">
        <f t="shared" si="1358"/>
        <v>0</v>
      </c>
      <c r="T271" s="200">
        <f t="shared" si="1358"/>
        <v>0</v>
      </c>
      <c r="U271" s="200">
        <f t="shared" si="1358"/>
        <v>0</v>
      </c>
      <c r="V271" s="200">
        <f t="shared" si="1358"/>
        <v>0</v>
      </c>
      <c r="W271" s="200">
        <f t="shared" si="1358"/>
        <v>0</v>
      </c>
      <c r="X271" s="200">
        <f t="shared" si="1358"/>
        <v>0</v>
      </c>
      <c r="Y271" s="200">
        <f t="shared" si="1358"/>
        <v>0</v>
      </c>
      <c r="Z271" s="200">
        <f t="shared" si="1358"/>
        <v>0</v>
      </c>
      <c r="AA271" s="200">
        <f t="shared" si="1358"/>
        <v>0</v>
      </c>
      <c r="AB271" s="200">
        <f t="shared" si="1358"/>
        <v>0</v>
      </c>
      <c r="AC271" s="200">
        <f t="shared" si="1358"/>
        <v>0</v>
      </c>
      <c r="AD271" s="200">
        <f t="shared" si="11"/>
        <v>0</v>
      </c>
      <c r="AE271" s="200">
        <f t="shared" ref="AE271:AG271" si="1359">countif($D271,"*"&amp;AE$2&amp;"*")</f>
        <v>0</v>
      </c>
      <c r="AF271" s="200">
        <f t="shared" si="1359"/>
        <v>0</v>
      </c>
      <c r="AG271" s="200">
        <f t="shared" si="1359"/>
        <v>0</v>
      </c>
      <c r="AH271" s="171">
        <f t="shared" si="13"/>
        <v>0</v>
      </c>
      <c r="AI271" s="200">
        <f t="shared" si="14"/>
        <v>0</v>
      </c>
      <c r="AJ271" s="200">
        <f t="shared" si="1129"/>
        <v>0</v>
      </c>
      <c r="AK271" s="201">
        <f t="shared" ref="AK271:AS271" si="1360">countif($D271,"*"&amp;AK$2&amp;"*")</f>
        <v>0</v>
      </c>
      <c r="AL271" s="201">
        <f t="shared" si="1360"/>
        <v>0</v>
      </c>
      <c r="AM271" s="201">
        <f t="shared" si="1360"/>
        <v>0</v>
      </c>
      <c r="AN271" s="201">
        <f t="shared" si="1360"/>
        <v>0</v>
      </c>
      <c r="AO271" s="201">
        <f t="shared" si="1360"/>
        <v>0</v>
      </c>
      <c r="AP271" s="201">
        <f t="shared" si="1360"/>
        <v>0</v>
      </c>
      <c r="AQ271" s="201">
        <f t="shared" si="1360"/>
        <v>0</v>
      </c>
      <c r="AR271" s="200">
        <f t="shared" si="1360"/>
        <v>0</v>
      </c>
      <c r="AS271" s="200">
        <f t="shared" si="1360"/>
        <v>0</v>
      </c>
      <c r="AT271" s="173">
        <v>0.0</v>
      </c>
      <c r="AU271" s="200">
        <f t="shared" ref="AU271:AX271" si="1361">countif($D271,"*"&amp;AU$2&amp;"*")</f>
        <v>0</v>
      </c>
      <c r="AV271" s="200">
        <f t="shared" si="1361"/>
        <v>1</v>
      </c>
      <c r="AW271" s="200">
        <f t="shared" si="1361"/>
        <v>0</v>
      </c>
      <c r="AX271" s="200">
        <f t="shared" si="1361"/>
        <v>0</v>
      </c>
      <c r="AY271" s="202">
        <v>0.0</v>
      </c>
      <c r="AZ271" s="200"/>
      <c r="BA271" s="171" t="str">
        <f t="shared" si="18"/>
        <v/>
      </c>
      <c r="BB271" s="171" t="str">
        <f t="shared" si="19"/>
        <v>Code</v>
      </c>
      <c r="BC271" s="171" t="str">
        <f t="shared" si="20"/>
        <v/>
      </c>
      <c r="BD271" s="171" t="str">
        <f t="shared" si="21"/>
        <v/>
      </c>
      <c r="BE271" s="171" t="str">
        <f t="shared" si="22"/>
        <v/>
      </c>
      <c r="BF271" s="171" t="str">
        <f t="shared" si="23"/>
        <v>Code</v>
      </c>
    </row>
    <row r="272">
      <c r="A272" s="171">
        <f t="array" ref="A272">XLOOKUP(C272,ICSE!A:A,ICSE!C:C,,2,1)</f>
        <v>2021</v>
      </c>
      <c r="B272" s="171" t="s">
        <v>5675</v>
      </c>
      <c r="C272" s="160">
        <v>511.0</v>
      </c>
      <c r="D272" s="161" t="s">
        <v>2021</v>
      </c>
      <c r="E272" s="197" t="str">
        <f t="array" ref="E272">XLOOKUP(C272,ICSE!A:A,ICSE!Z:Z,,0,1)</f>
        <v>Publicly available (1)</v>
      </c>
      <c r="F272" s="198" t="s">
        <v>20</v>
      </c>
      <c r="G272" s="163" t="str">
        <f t="array" ref="G272">IF(B272="ICSE",IF(COUNTIFS(B:B,B272,C:C,C272)=XLOOKUP(C272,ICSE!A:A,ICSE!AA:AA,"ERROR",0,1),"OK","ERROR"),IF(B272="FSE",IF(COUNTIFS(B:B,B272,C:C,C272)=XLOOKUP(C272,FSE!A:A,FSE!AA:AA,"ERROR",0,1),"OK","ERROR")))</f>
        <v>OK</v>
      </c>
      <c r="H272" s="199">
        <f t="shared" ref="H272:O272" si="1362">countif($D272,"*"&amp;H$2&amp;"*")</f>
        <v>0</v>
      </c>
      <c r="I272" s="200">
        <f t="shared" si="1362"/>
        <v>0</v>
      </c>
      <c r="J272" s="200">
        <f t="shared" si="1362"/>
        <v>0</v>
      </c>
      <c r="K272" s="200">
        <f t="shared" si="1362"/>
        <v>0</v>
      </c>
      <c r="L272" s="200">
        <f t="shared" si="1362"/>
        <v>0</v>
      </c>
      <c r="M272" s="200">
        <f t="shared" si="1362"/>
        <v>0</v>
      </c>
      <c r="N272" s="200">
        <f t="shared" si="1362"/>
        <v>0</v>
      </c>
      <c r="O272" s="200">
        <f t="shared" si="1362"/>
        <v>0</v>
      </c>
      <c r="P272" s="200">
        <f t="shared" si="9"/>
        <v>1</v>
      </c>
      <c r="Q272" s="200">
        <f t="shared" ref="Q272:AC272" si="1363">countif($D272,"*"&amp;Q$2&amp;"*")</f>
        <v>0</v>
      </c>
      <c r="R272" s="200">
        <f t="shared" si="1363"/>
        <v>0</v>
      </c>
      <c r="S272" s="200">
        <f t="shared" si="1363"/>
        <v>0</v>
      </c>
      <c r="T272" s="200">
        <f t="shared" si="1363"/>
        <v>0</v>
      </c>
      <c r="U272" s="200">
        <f t="shared" si="1363"/>
        <v>0</v>
      </c>
      <c r="V272" s="200">
        <f t="shared" si="1363"/>
        <v>0</v>
      </c>
      <c r="W272" s="200">
        <f t="shared" si="1363"/>
        <v>0</v>
      </c>
      <c r="X272" s="200">
        <f t="shared" si="1363"/>
        <v>0</v>
      </c>
      <c r="Y272" s="200">
        <f t="shared" si="1363"/>
        <v>0</v>
      </c>
      <c r="Z272" s="200">
        <f t="shared" si="1363"/>
        <v>0</v>
      </c>
      <c r="AA272" s="200">
        <f t="shared" si="1363"/>
        <v>0</v>
      </c>
      <c r="AB272" s="200">
        <f t="shared" si="1363"/>
        <v>0</v>
      </c>
      <c r="AC272" s="200">
        <f t="shared" si="1363"/>
        <v>0</v>
      </c>
      <c r="AD272" s="200">
        <f t="shared" si="11"/>
        <v>0</v>
      </c>
      <c r="AE272" s="200">
        <f t="shared" ref="AE272:AG272" si="1364">countif($D272,"*"&amp;AE$2&amp;"*")</f>
        <v>0</v>
      </c>
      <c r="AF272" s="200">
        <f t="shared" si="1364"/>
        <v>0</v>
      </c>
      <c r="AG272" s="200">
        <f t="shared" si="1364"/>
        <v>0</v>
      </c>
      <c r="AH272" s="171">
        <f t="shared" si="13"/>
        <v>0</v>
      </c>
      <c r="AI272" s="200">
        <f t="shared" si="14"/>
        <v>0</v>
      </c>
      <c r="AJ272" s="200">
        <f t="shared" si="1129"/>
        <v>0</v>
      </c>
      <c r="AK272" s="201">
        <f t="shared" ref="AK272:AS272" si="1365">countif($D272,"*"&amp;AK$2&amp;"*")</f>
        <v>0</v>
      </c>
      <c r="AL272" s="201">
        <f t="shared" si="1365"/>
        <v>0</v>
      </c>
      <c r="AM272" s="201">
        <f t="shared" si="1365"/>
        <v>0</v>
      </c>
      <c r="AN272" s="201">
        <f t="shared" si="1365"/>
        <v>0</v>
      </c>
      <c r="AO272" s="201">
        <f t="shared" si="1365"/>
        <v>0</v>
      </c>
      <c r="AP272" s="201">
        <f t="shared" si="1365"/>
        <v>0</v>
      </c>
      <c r="AQ272" s="201">
        <f t="shared" si="1365"/>
        <v>0</v>
      </c>
      <c r="AR272" s="200">
        <f t="shared" si="1365"/>
        <v>0</v>
      </c>
      <c r="AS272" s="200">
        <f t="shared" si="1365"/>
        <v>0</v>
      </c>
      <c r="AT272" s="173">
        <v>0.0</v>
      </c>
      <c r="AU272" s="200">
        <f t="shared" ref="AU272:AX272" si="1366">countif($D272,"*"&amp;AU$2&amp;"*")</f>
        <v>0</v>
      </c>
      <c r="AV272" s="200">
        <f t="shared" si="1366"/>
        <v>1</v>
      </c>
      <c r="AW272" s="200">
        <f t="shared" si="1366"/>
        <v>0</v>
      </c>
      <c r="AX272" s="200">
        <f t="shared" si="1366"/>
        <v>0</v>
      </c>
      <c r="AY272" s="202">
        <v>0.0</v>
      </c>
      <c r="AZ272" s="200"/>
      <c r="BA272" s="171" t="str">
        <f t="shared" si="18"/>
        <v/>
      </c>
      <c r="BB272" s="171" t="str">
        <f t="shared" si="19"/>
        <v>Code</v>
      </c>
      <c r="BC272" s="171" t="str">
        <f t="shared" si="20"/>
        <v/>
      </c>
      <c r="BD272" s="171" t="str">
        <f t="shared" si="21"/>
        <v/>
      </c>
      <c r="BE272" s="171" t="str">
        <f t="shared" si="22"/>
        <v/>
      </c>
      <c r="BF272" s="171" t="str">
        <f t="shared" si="23"/>
        <v>Code</v>
      </c>
    </row>
    <row r="273">
      <c r="A273" s="171">
        <f t="array" ref="A273">XLOOKUP(C273,ICSE!A:A,ICSE!C:C,,2,1)</f>
        <v>2021</v>
      </c>
      <c r="B273" s="171" t="s">
        <v>5675</v>
      </c>
      <c r="C273" s="160">
        <v>512.0</v>
      </c>
      <c r="D273" s="161" t="s">
        <v>2025</v>
      </c>
      <c r="E273" s="197" t="str">
        <f t="array" ref="E273">XLOOKUP(C273,ICSE!A:A,ICSE!Z:Z,,0,1)</f>
        <v>Publicly available (1)</v>
      </c>
      <c r="F273" s="198" t="s">
        <v>20</v>
      </c>
      <c r="G273" s="163" t="str">
        <f t="array" ref="G273">IF(B273="ICSE",IF(COUNTIFS(B:B,B273,C:C,C273)=XLOOKUP(C273,ICSE!A:A,ICSE!AA:AA,"ERROR",0,1),"OK","ERROR"),IF(B273="FSE",IF(COUNTIFS(B:B,B273,C:C,C273)=XLOOKUP(C273,FSE!A:A,FSE!AA:AA,"ERROR",0,1),"OK","ERROR")))</f>
        <v>OK</v>
      </c>
      <c r="H273" s="199">
        <f t="shared" ref="H273:O273" si="1367">countif($D273,"*"&amp;H$2&amp;"*")</f>
        <v>0</v>
      </c>
      <c r="I273" s="200">
        <f t="shared" si="1367"/>
        <v>0</v>
      </c>
      <c r="J273" s="200">
        <f t="shared" si="1367"/>
        <v>0</v>
      </c>
      <c r="K273" s="200">
        <f t="shared" si="1367"/>
        <v>0</v>
      </c>
      <c r="L273" s="200">
        <f t="shared" si="1367"/>
        <v>0</v>
      </c>
      <c r="M273" s="200">
        <f t="shared" si="1367"/>
        <v>0</v>
      </c>
      <c r="N273" s="200">
        <f t="shared" si="1367"/>
        <v>0</v>
      </c>
      <c r="O273" s="200">
        <f t="shared" si="1367"/>
        <v>0</v>
      </c>
      <c r="P273" s="200">
        <f t="shared" si="9"/>
        <v>1</v>
      </c>
      <c r="Q273" s="200">
        <f t="shared" ref="Q273:AC273" si="1368">countif($D273,"*"&amp;Q$2&amp;"*")</f>
        <v>0</v>
      </c>
      <c r="R273" s="200">
        <f t="shared" si="1368"/>
        <v>0</v>
      </c>
      <c r="S273" s="200">
        <f t="shared" si="1368"/>
        <v>0</v>
      </c>
      <c r="T273" s="200">
        <f t="shared" si="1368"/>
        <v>0</v>
      </c>
      <c r="U273" s="200">
        <f t="shared" si="1368"/>
        <v>0</v>
      </c>
      <c r="V273" s="200">
        <f t="shared" si="1368"/>
        <v>0</v>
      </c>
      <c r="W273" s="200">
        <f t="shared" si="1368"/>
        <v>0</v>
      </c>
      <c r="X273" s="200">
        <f t="shared" si="1368"/>
        <v>0</v>
      </c>
      <c r="Y273" s="200">
        <f t="shared" si="1368"/>
        <v>0</v>
      </c>
      <c r="Z273" s="200">
        <f t="shared" si="1368"/>
        <v>0</v>
      </c>
      <c r="AA273" s="200">
        <f t="shared" si="1368"/>
        <v>0</v>
      </c>
      <c r="AB273" s="200">
        <f t="shared" si="1368"/>
        <v>0</v>
      </c>
      <c r="AC273" s="200">
        <f t="shared" si="1368"/>
        <v>0</v>
      </c>
      <c r="AD273" s="200">
        <f t="shared" si="11"/>
        <v>0</v>
      </c>
      <c r="AE273" s="200">
        <f t="shared" ref="AE273:AG273" si="1369">countif($D273,"*"&amp;AE$2&amp;"*")</f>
        <v>0</v>
      </c>
      <c r="AF273" s="200">
        <f t="shared" si="1369"/>
        <v>0</v>
      </c>
      <c r="AG273" s="200">
        <f t="shared" si="1369"/>
        <v>0</v>
      </c>
      <c r="AH273" s="171">
        <f t="shared" si="13"/>
        <v>0</v>
      </c>
      <c r="AI273" s="200">
        <f t="shared" si="14"/>
        <v>0</v>
      </c>
      <c r="AJ273" s="200">
        <f t="shared" si="1129"/>
        <v>0</v>
      </c>
      <c r="AK273" s="201">
        <f t="shared" ref="AK273:AS273" si="1370">countif($D273,"*"&amp;AK$2&amp;"*")</f>
        <v>0</v>
      </c>
      <c r="AL273" s="201">
        <f t="shared" si="1370"/>
        <v>0</v>
      </c>
      <c r="AM273" s="201">
        <f t="shared" si="1370"/>
        <v>0</v>
      </c>
      <c r="AN273" s="201">
        <f t="shared" si="1370"/>
        <v>0</v>
      </c>
      <c r="AO273" s="201">
        <f t="shared" si="1370"/>
        <v>0</v>
      </c>
      <c r="AP273" s="201">
        <f t="shared" si="1370"/>
        <v>0</v>
      </c>
      <c r="AQ273" s="201">
        <f t="shared" si="1370"/>
        <v>0</v>
      </c>
      <c r="AR273" s="200">
        <f t="shared" si="1370"/>
        <v>0</v>
      </c>
      <c r="AS273" s="200">
        <f t="shared" si="1370"/>
        <v>0</v>
      </c>
      <c r="AT273" s="173">
        <v>0.0</v>
      </c>
      <c r="AU273" s="200">
        <f t="shared" ref="AU273:AX273" si="1371">countif($D273,"*"&amp;AU$2&amp;"*")</f>
        <v>0</v>
      </c>
      <c r="AV273" s="200">
        <f t="shared" si="1371"/>
        <v>1</v>
      </c>
      <c r="AW273" s="200">
        <f t="shared" si="1371"/>
        <v>0</v>
      </c>
      <c r="AX273" s="200">
        <f t="shared" si="1371"/>
        <v>0</v>
      </c>
      <c r="AY273" s="202">
        <v>0.0</v>
      </c>
      <c r="AZ273" s="200"/>
      <c r="BA273" s="171" t="str">
        <f t="shared" si="18"/>
        <v/>
      </c>
      <c r="BB273" s="171" t="str">
        <f t="shared" si="19"/>
        <v>Code</v>
      </c>
      <c r="BC273" s="171" t="str">
        <f t="shared" si="20"/>
        <v/>
      </c>
      <c r="BD273" s="171" t="str">
        <f t="shared" si="21"/>
        <v/>
      </c>
      <c r="BE273" s="171" t="str">
        <f t="shared" si="22"/>
        <v/>
      </c>
      <c r="BF273" s="171" t="str">
        <f t="shared" si="23"/>
        <v>Code</v>
      </c>
    </row>
    <row r="274">
      <c r="A274" s="171">
        <f t="array" ref="A274">XLOOKUP(C274,ICSE!A:A,ICSE!C:C,,2,1)</f>
        <v>2021</v>
      </c>
      <c r="B274" s="171" t="s">
        <v>5675</v>
      </c>
      <c r="C274" s="160">
        <v>514.0</v>
      </c>
      <c r="D274" s="161" t="s">
        <v>2030</v>
      </c>
      <c r="E274" s="197" t="str">
        <f t="array" ref="E274">XLOOKUP(C274,ICSE!A:A,ICSE!Z:Z,,0,1)</f>
        <v>Publicly available (1)</v>
      </c>
      <c r="F274" s="198" t="s">
        <v>20</v>
      </c>
      <c r="G274" s="163" t="str">
        <f t="array" ref="G274">IF(B274="ICSE",IF(COUNTIFS(B:B,B274,C:C,C274)=XLOOKUP(C274,ICSE!A:A,ICSE!AA:AA,"ERROR",0,1),"OK","ERROR"),IF(B274="FSE",IF(COUNTIFS(B:B,B274,C:C,C274)=XLOOKUP(C274,FSE!A:A,FSE!AA:AA,"ERROR",0,1),"OK","ERROR")))</f>
        <v>OK</v>
      </c>
      <c r="H274" s="199">
        <f t="shared" ref="H274:O274" si="1372">countif($D274,"*"&amp;H$2&amp;"*")</f>
        <v>0</v>
      </c>
      <c r="I274" s="200">
        <f t="shared" si="1372"/>
        <v>0</v>
      </c>
      <c r="J274" s="200">
        <f t="shared" si="1372"/>
        <v>0</v>
      </c>
      <c r="K274" s="200">
        <f t="shared" si="1372"/>
        <v>0</v>
      </c>
      <c r="L274" s="200">
        <f t="shared" si="1372"/>
        <v>0</v>
      </c>
      <c r="M274" s="200">
        <f t="shared" si="1372"/>
        <v>0</v>
      </c>
      <c r="N274" s="200">
        <f t="shared" si="1372"/>
        <v>0</v>
      </c>
      <c r="O274" s="200">
        <f t="shared" si="1372"/>
        <v>0</v>
      </c>
      <c r="P274" s="200">
        <f t="shared" si="9"/>
        <v>1</v>
      </c>
      <c r="Q274" s="200">
        <f t="shared" ref="Q274:AC274" si="1373">countif($D274,"*"&amp;Q$2&amp;"*")</f>
        <v>0</v>
      </c>
      <c r="R274" s="200">
        <f t="shared" si="1373"/>
        <v>0</v>
      </c>
      <c r="S274" s="200">
        <f t="shared" si="1373"/>
        <v>0</v>
      </c>
      <c r="T274" s="200">
        <f t="shared" si="1373"/>
        <v>0</v>
      </c>
      <c r="U274" s="200">
        <f t="shared" si="1373"/>
        <v>0</v>
      </c>
      <c r="V274" s="200">
        <f t="shared" si="1373"/>
        <v>0</v>
      </c>
      <c r="W274" s="200">
        <f t="shared" si="1373"/>
        <v>0</v>
      </c>
      <c r="X274" s="200">
        <f t="shared" si="1373"/>
        <v>0</v>
      </c>
      <c r="Y274" s="200">
        <f t="shared" si="1373"/>
        <v>0</v>
      </c>
      <c r="Z274" s="200">
        <f t="shared" si="1373"/>
        <v>0</v>
      </c>
      <c r="AA274" s="200">
        <f t="shared" si="1373"/>
        <v>0</v>
      </c>
      <c r="AB274" s="200">
        <f t="shared" si="1373"/>
        <v>0</v>
      </c>
      <c r="AC274" s="200">
        <f t="shared" si="1373"/>
        <v>0</v>
      </c>
      <c r="AD274" s="200">
        <f t="shared" si="11"/>
        <v>0</v>
      </c>
      <c r="AE274" s="200">
        <f t="shared" ref="AE274:AG274" si="1374">countif($D274,"*"&amp;AE$2&amp;"*")</f>
        <v>0</v>
      </c>
      <c r="AF274" s="200">
        <f t="shared" si="1374"/>
        <v>0</v>
      </c>
      <c r="AG274" s="200">
        <f t="shared" si="1374"/>
        <v>0</v>
      </c>
      <c r="AH274" s="171">
        <f t="shared" si="13"/>
        <v>0</v>
      </c>
      <c r="AI274" s="200">
        <f t="shared" si="14"/>
        <v>0</v>
      </c>
      <c r="AJ274" s="200">
        <f t="shared" si="1129"/>
        <v>0</v>
      </c>
      <c r="AK274" s="201">
        <f t="shared" ref="AK274:AS274" si="1375">countif($D274,"*"&amp;AK$2&amp;"*")</f>
        <v>0</v>
      </c>
      <c r="AL274" s="201">
        <f t="shared" si="1375"/>
        <v>0</v>
      </c>
      <c r="AM274" s="201">
        <f t="shared" si="1375"/>
        <v>0</v>
      </c>
      <c r="AN274" s="201">
        <f t="shared" si="1375"/>
        <v>0</v>
      </c>
      <c r="AO274" s="201">
        <f t="shared" si="1375"/>
        <v>0</v>
      </c>
      <c r="AP274" s="201">
        <f t="shared" si="1375"/>
        <v>0</v>
      </c>
      <c r="AQ274" s="201">
        <f t="shared" si="1375"/>
        <v>0</v>
      </c>
      <c r="AR274" s="200">
        <f t="shared" si="1375"/>
        <v>0</v>
      </c>
      <c r="AS274" s="200">
        <f t="shared" si="1375"/>
        <v>0</v>
      </c>
      <c r="AT274" s="173">
        <v>0.0</v>
      </c>
      <c r="AU274" s="200">
        <f t="shared" ref="AU274:AX274" si="1376">countif($D274,"*"&amp;AU$2&amp;"*")</f>
        <v>0</v>
      </c>
      <c r="AV274" s="200">
        <f t="shared" si="1376"/>
        <v>1</v>
      </c>
      <c r="AW274" s="200">
        <f t="shared" si="1376"/>
        <v>0</v>
      </c>
      <c r="AX274" s="200">
        <f t="shared" si="1376"/>
        <v>0</v>
      </c>
      <c r="AY274" s="202">
        <v>0.0</v>
      </c>
      <c r="AZ274" s="200"/>
      <c r="BA274" s="171" t="str">
        <f t="shared" si="18"/>
        <v/>
      </c>
      <c r="BB274" s="171" t="str">
        <f t="shared" si="19"/>
        <v>Code</v>
      </c>
      <c r="BC274" s="171" t="str">
        <f t="shared" si="20"/>
        <v/>
      </c>
      <c r="BD274" s="171" t="str">
        <f t="shared" si="21"/>
        <v/>
      </c>
      <c r="BE274" s="171" t="str">
        <f t="shared" si="22"/>
        <v/>
      </c>
      <c r="BF274" s="171" t="str">
        <f t="shared" si="23"/>
        <v>Code</v>
      </c>
    </row>
    <row r="275">
      <c r="A275" s="171">
        <f t="array" ref="A275">XLOOKUP(C275,ICSE!A:A,ICSE!C:C,,2,1)</f>
        <v>2021</v>
      </c>
      <c r="B275" s="171" t="s">
        <v>5675</v>
      </c>
      <c r="C275" s="160">
        <v>516.0</v>
      </c>
      <c r="D275" s="161" t="s">
        <v>2034</v>
      </c>
      <c r="E275" s="197" t="str">
        <f t="array" ref="E275">XLOOKUP(C275,ICSE!A:A,ICSE!Z:Z,,0,1)</f>
        <v>Publicly available (1)</v>
      </c>
      <c r="F275" s="198" t="s">
        <v>20</v>
      </c>
      <c r="G275" s="163" t="str">
        <f t="array" ref="G275">IF(B275="ICSE",IF(COUNTIFS(B:B,B275,C:C,C275)=XLOOKUP(C275,ICSE!A:A,ICSE!AA:AA,"ERROR",0,1),"OK","ERROR"),IF(B275="FSE",IF(COUNTIFS(B:B,B275,C:C,C275)=XLOOKUP(C275,FSE!A:A,FSE!AA:AA,"ERROR",0,1),"OK","ERROR")))</f>
        <v>OK</v>
      </c>
      <c r="H275" s="199">
        <f t="shared" ref="H275:O275" si="1377">countif($D275,"*"&amp;H$2&amp;"*")</f>
        <v>0</v>
      </c>
      <c r="I275" s="200">
        <f t="shared" si="1377"/>
        <v>0</v>
      </c>
      <c r="J275" s="200">
        <f t="shared" si="1377"/>
        <v>0</v>
      </c>
      <c r="K275" s="200">
        <f t="shared" si="1377"/>
        <v>0</v>
      </c>
      <c r="L275" s="200">
        <f t="shared" si="1377"/>
        <v>0</v>
      </c>
      <c r="M275" s="200">
        <f t="shared" si="1377"/>
        <v>0</v>
      </c>
      <c r="N275" s="200">
        <f t="shared" si="1377"/>
        <v>0</v>
      </c>
      <c r="O275" s="200">
        <f t="shared" si="1377"/>
        <v>0</v>
      </c>
      <c r="P275" s="200">
        <f t="shared" si="9"/>
        <v>1</v>
      </c>
      <c r="Q275" s="200">
        <f t="shared" ref="Q275:AC275" si="1378">countif($D275,"*"&amp;Q$2&amp;"*")</f>
        <v>0</v>
      </c>
      <c r="R275" s="200">
        <f t="shared" si="1378"/>
        <v>0</v>
      </c>
      <c r="S275" s="200">
        <f t="shared" si="1378"/>
        <v>0</v>
      </c>
      <c r="T275" s="200">
        <f t="shared" si="1378"/>
        <v>0</v>
      </c>
      <c r="U275" s="200">
        <f t="shared" si="1378"/>
        <v>0</v>
      </c>
      <c r="V275" s="200">
        <f t="shared" si="1378"/>
        <v>0</v>
      </c>
      <c r="W275" s="200">
        <f t="shared" si="1378"/>
        <v>0</v>
      </c>
      <c r="X275" s="200">
        <f t="shared" si="1378"/>
        <v>0</v>
      </c>
      <c r="Y275" s="200">
        <f t="shared" si="1378"/>
        <v>0</v>
      </c>
      <c r="Z275" s="200">
        <f t="shared" si="1378"/>
        <v>0</v>
      </c>
      <c r="AA275" s="200">
        <f t="shared" si="1378"/>
        <v>0</v>
      </c>
      <c r="AB275" s="200">
        <f t="shared" si="1378"/>
        <v>0</v>
      </c>
      <c r="AC275" s="200">
        <f t="shared" si="1378"/>
        <v>0</v>
      </c>
      <c r="AD275" s="200">
        <f t="shared" si="11"/>
        <v>0</v>
      </c>
      <c r="AE275" s="200">
        <f t="shared" ref="AE275:AG275" si="1379">countif($D275,"*"&amp;AE$2&amp;"*")</f>
        <v>0</v>
      </c>
      <c r="AF275" s="200">
        <f t="shared" si="1379"/>
        <v>0</v>
      </c>
      <c r="AG275" s="200">
        <f t="shared" si="1379"/>
        <v>0</v>
      </c>
      <c r="AH275" s="171">
        <f t="shared" si="13"/>
        <v>0</v>
      </c>
      <c r="AI275" s="200">
        <f t="shared" si="14"/>
        <v>0</v>
      </c>
      <c r="AJ275" s="200">
        <f t="shared" si="1129"/>
        <v>0</v>
      </c>
      <c r="AK275" s="201">
        <f t="shared" ref="AK275:AS275" si="1380">countif($D275,"*"&amp;AK$2&amp;"*")</f>
        <v>0</v>
      </c>
      <c r="AL275" s="201">
        <f t="shared" si="1380"/>
        <v>0</v>
      </c>
      <c r="AM275" s="201">
        <f t="shared" si="1380"/>
        <v>0</v>
      </c>
      <c r="AN275" s="201">
        <f t="shared" si="1380"/>
        <v>0</v>
      </c>
      <c r="AO275" s="201">
        <f t="shared" si="1380"/>
        <v>0</v>
      </c>
      <c r="AP275" s="201">
        <f t="shared" si="1380"/>
        <v>0</v>
      </c>
      <c r="AQ275" s="201">
        <f t="shared" si="1380"/>
        <v>0</v>
      </c>
      <c r="AR275" s="200">
        <f t="shared" si="1380"/>
        <v>0</v>
      </c>
      <c r="AS275" s="200">
        <f t="shared" si="1380"/>
        <v>0</v>
      </c>
      <c r="AT275" s="173">
        <v>0.0</v>
      </c>
      <c r="AU275" s="200">
        <f t="shared" ref="AU275:AX275" si="1381">countif($D275,"*"&amp;AU$2&amp;"*")</f>
        <v>0</v>
      </c>
      <c r="AV275" s="200">
        <f t="shared" si="1381"/>
        <v>1</v>
      </c>
      <c r="AW275" s="200">
        <f t="shared" si="1381"/>
        <v>0</v>
      </c>
      <c r="AX275" s="200">
        <f t="shared" si="1381"/>
        <v>0</v>
      </c>
      <c r="AY275" s="202">
        <v>0.0</v>
      </c>
      <c r="AZ275" s="200"/>
      <c r="BA275" s="171" t="str">
        <f t="shared" si="18"/>
        <v/>
      </c>
      <c r="BB275" s="171" t="str">
        <f t="shared" si="19"/>
        <v>Code</v>
      </c>
      <c r="BC275" s="171" t="str">
        <f t="shared" si="20"/>
        <v/>
      </c>
      <c r="BD275" s="171" t="str">
        <f t="shared" si="21"/>
        <v/>
      </c>
      <c r="BE275" s="171" t="str">
        <f t="shared" si="22"/>
        <v/>
      </c>
      <c r="BF275" s="171" t="str">
        <f t="shared" si="23"/>
        <v>Code</v>
      </c>
    </row>
    <row r="276">
      <c r="A276" s="171">
        <f t="array" ref="A276">XLOOKUP(C276,ICSE!A:A,ICSE!C:C,,2,1)</f>
        <v>2021</v>
      </c>
      <c r="B276" s="171" t="s">
        <v>5675</v>
      </c>
      <c r="C276" s="160">
        <v>518.0</v>
      </c>
      <c r="D276" s="161" t="s">
        <v>5819</v>
      </c>
      <c r="E276" s="197" t="str">
        <f t="array" ref="E276">XLOOKUP(C276,ICSE!A:A,ICSE!Z:Z,,0,1)</f>
        <v>Publicly available (3)</v>
      </c>
      <c r="F276" s="198" t="s">
        <v>20</v>
      </c>
      <c r="G276" s="163" t="str">
        <f t="array" ref="G276">IF(B276="ICSE",IF(COUNTIFS(B:B,B276,C:C,C276)=XLOOKUP(C276,ICSE!A:A,ICSE!AA:AA,"ERROR",0,1),"OK","ERROR"),IF(B276="FSE",IF(COUNTIFS(B:B,B276,C:C,C276)=XLOOKUP(C276,FSE!A:A,FSE!AA:AA,"ERROR",0,1),"OK","ERROR")))</f>
        <v>OK</v>
      </c>
      <c r="H276" s="199">
        <f t="shared" ref="H276:O276" si="1382">countif($D276,"*"&amp;H$2&amp;"*")</f>
        <v>0</v>
      </c>
      <c r="I276" s="200">
        <f t="shared" si="1382"/>
        <v>0</v>
      </c>
      <c r="J276" s="200">
        <f t="shared" si="1382"/>
        <v>0</v>
      </c>
      <c r="K276" s="200">
        <f t="shared" si="1382"/>
        <v>0</v>
      </c>
      <c r="L276" s="200">
        <f t="shared" si="1382"/>
        <v>0</v>
      </c>
      <c r="M276" s="200">
        <f t="shared" si="1382"/>
        <v>0</v>
      </c>
      <c r="N276" s="200">
        <f t="shared" si="1382"/>
        <v>0</v>
      </c>
      <c r="O276" s="200">
        <f t="shared" si="1382"/>
        <v>0</v>
      </c>
      <c r="P276" s="200">
        <f t="shared" si="9"/>
        <v>1</v>
      </c>
      <c r="Q276" s="200">
        <f t="shared" ref="Q276:AC276" si="1383">countif($D276,"*"&amp;Q$2&amp;"*")</f>
        <v>0</v>
      </c>
      <c r="R276" s="200">
        <f t="shared" si="1383"/>
        <v>0</v>
      </c>
      <c r="S276" s="200">
        <f t="shared" si="1383"/>
        <v>0</v>
      </c>
      <c r="T276" s="200">
        <f t="shared" si="1383"/>
        <v>0</v>
      </c>
      <c r="U276" s="200">
        <f t="shared" si="1383"/>
        <v>0</v>
      </c>
      <c r="V276" s="200">
        <f t="shared" si="1383"/>
        <v>0</v>
      </c>
      <c r="W276" s="200">
        <f t="shared" si="1383"/>
        <v>0</v>
      </c>
      <c r="X276" s="200">
        <f t="shared" si="1383"/>
        <v>0</v>
      </c>
      <c r="Y276" s="200">
        <f t="shared" si="1383"/>
        <v>0</v>
      </c>
      <c r="Z276" s="200">
        <f t="shared" si="1383"/>
        <v>0</v>
      </c>
      <c r="AA276" s="200">
        <f t="shared" si="1383"/>
        <v>0</v>
      </c>
      <c r="AB276" s="200">
        <f t="shared" si="1383"/>
        <v>0</v>
      </c>
      <c r="AC276" s="200">
        <f t="shared" si="1383"/>
        <v>0</v>
      </c>
      <c r="AD276" s="200">
        <f t="shared" si="11"/>
        <v>0</v>
      </c>
      <c r="AE276" s="200">
        <f t="shared" ref="AE276:AG276" si="1384">countif($D276,"*"&amp;AE$2&amp;"*")</f>
        <v>0</v>
      </c>
      <c r="AF276" s="200">
        <f t="shared" si="1384"/>
        <v>0</v>
      </c>
      <c r="AG276" s="200">
        <f t="shared" si="1384"/>
        <v>0</v>
      </c>
      <c r="AH276" s="171">
        <f t="shared" si="13"/>
        <v>0</v>
      </c>
      <c r="AI276" s="200">
        <f t="shared" si="14"/>
        <v>0</v>
      </c>
      <c r="AJ276" s="200">
        <f t="shared" si="1129"/>
        <v>0</v>
      </c>
      <c r="AK276" s="201">
        <f t="shared" ref="AK276:AS276" si="1385">countif($D276,"*"&amp;AK$2&amp;"*")</f>
        <v>0</v>
      </c>
      <c r="AL276" s="201">
        <f t="shared" si="1385"/>
        <v>0</v>
      </c>
      <c r="AM276" s="201">
        <f t="shared" si="1385"/>
        <v>0</v>
      </c>
      <c r="AN276" s="201">
        <f t="shared" si="1385"/>
        <v>0</v>
      </c>
      <c r="AO276" s="201">
        <f t="shared" si="1385"/>
        <v>0</v>
      </c>
      <c r="AP276" s="201">
        <f t="shared" si="1385"/>
        <v>0</v>
      </c>
      <c r="AQ276" s="201">
        <f t="shared" si="1385"/>
        <v>0</v>
      </c>
      <c r="AR276" s="200">
        <f t="shared" si="1385"/>
        <v>0</v>
      </c>
      <c r="AS276" s="200">
        <f t="shared" si="1385"/>
        <v>0</v>
      </c>
      <c r="AT276" s="173">
        <v>0.0</v>
      </c>
      <c r="AU276" s="200">
        <f t="shared" ref="AU276:AX276" si="1386">countif($D276,"*"&amp;AU$2&amp;"*")</f>
        <v>0</v>
      </c>
      <c r="AV276" s="200">
        <f t="shared" si="1386"/>
        <v>1</v>
      </c>
      <c r="AW276" s="200">
        <f t="shared" si="1386"/>
        <v>0</v>
      </c>
      <c r="AX276" s="200">
        <f t="shared" si="1386"/>
        <v>0</v>
      </c>
      <c r="AY276" s="202">
        <v>0.0</v>
      </c>
      <c r="AZ276" s="200"/>
      <c r="BA276" s="171" t="str">
        <f t="shared" si="18"/>
        <v/>
      </c>
      <c r="BB276" s="171" t="str">
        <f t="shared" si="19"/>
        <v>Code</v>
      </c>
      <c r="BC276" s="171" t="str">
        <f t="shared" si="20"/>
        <v/>
      </c>
      <c r="BD276" s="171" t="str">
        <f t="shared" si="21"/>
        <v/>
      </c>
      <c r="BE276" s="171" t="str">
        <f t="shared" si="22"/>
        <v/>
      </c>
      <c r="BF276" s="171" t="str">
        <f t="shared" si="23"/>
        <v>Code</v>
      </c>
    </row>
    <row r="277">
      <c r="A277" s="171">
        <f t="array" ref="A277">XLOOKUP(C277,ICSE!A:A,ICSE!C:C,,2,1)</f>
        <v>2021</v>
      </c>
      <c r="B277" s="171" t="s">
        <v>5675</v>
      </c>
      <c r="C277" s="160">
        <v>518.0</v>
      </c>
      <c r="D277" s="161" t="s">
        <v>5820</v>
      </c>
      <c r="E277" s="197" t="str">
        <f t="array" ref="E277">XLOOKUP(C277,ICSE!A:A,ICSE!Z:Z,,0,1)</f>
        <v>Publicly available (3)</v>
      </c>
      <c r="F277" s="198" t="s">
        <v>20</v>
      </c>
      <c r="G277" s="163" t="str">
        <f t="array" ref="G277">IF(B277="ICSE",IF(COUNTIFS(B:B,B277,C:C,C277)=XLOOKUP(C277,ICSE!A:A,ICSE!AA:AA,"ERROR",0,1),"OK","ERROR"),IF(B277="FSE",IF(COUNTIFS(B:B,B277,C:C,C277)=XLOOKUP(C277,FSE!A:A,FSE!AA:AA,"ERROR",0,1),"OK","ERROR")))</f>
        <v>OK</v>
      </c>
      <c r="H277" s="199">
        <f t="shared" ref="H277:O277" si="1387">countif($D277,"*"&amp;H$2&amp;"*")</f>
        <v>1</v>
      </c>
      <c r="I277" s="200">
        <f t="shared" si="1387"/>
        <v>0</v>
      </c>
      <c r="J277" s="200">
        <f t="shared" si="1387"/>
        <v>0</v>
      </c>
      <c r="K277" s="200">
        <f t="shared" si="1387"/>
        <v>0</v>
      </c>
      <c r="L277" s="200">
        <f t="shared" si="1387"/>
        <v>0</v>
      </c>
      <c r="M277" s="200">
        <f t="shared" si="1387"/>
        <v>0</v>
      </c>
      <c r="N277" s="200">
        <f t="shared" si="1387"/>
        <v>0</v>
      </c>
      <c r="O277" s="200">
        <f t="shared" si="1387"/>
        <v>0</v>
      </c>
      <c r="P277" s="200">
        <f t="shared" si="9"/>
        <v>0</v>
      </c>
      <c r="Q277" s="200">
        <f t="shared" ref="Q277:AC277" si="1388">countif($D277,"*"&amp;Q$2&amp;"*")</f>
        <v>0</v>
      </c>
      <c r="R277" s="200">
        <f t="shared" si="1388"/>
        <v>0</v>
      </c>
      <c r="S277" s="200">
        <f t="shared" si="1388"/>
        <v>0</v>
      </c>
      <c r="T277" s="200">
        <f t="shared" si="1388"/>
        <v>0</v>
      </c>
      <c r="U277" s="200">
        <f t="shared" si="1388"/>
        <v>0</v>
      </c>
      <c r="V277" s="200">
        <f t="shared" si="1388"/>
        <v>0</v>
      </c>
      <c r="W277" s="200">
        <f t="shared" si="1388"/>
        <v>0</v>
      </c>
      <c r="X277" s="200">
        <f t="shared" si="1388"/>
        <v>0</v>
      </c>
      <c r="Y277" s="200">
        <f t="shared" si="1388"/>
        <v>0</v>
      </c>
      <c r="Z277" s="200">
        <f t="shared" si="1388"/>
        <v>0</v>
      </c>
      <c r="AA277" s="200">
        <f t="shared" si="1388"/>
        <v>0</v>
      </c>
      <c r="AB277" s="200">
        <f t="shared" si="1388"/>
        <v>0</v>
      </c>
      <c r="AC277" s="200">
        <f t="shared" si="1388"/>
        <v>0</v>
      </c>
      <c r="AD277" s="200">
        <f t="shared" si="11"/>
        <v>0</v>
      </c>
      <c r="AE277" s="200">
        <f t="shared" ref="AE277:AG277" si="1389">countif($D277,"*"&amp;AE$2&amp;"*")</f>
        <v>0</v>
      </c>
      <c r="AF277" s="200">
        <f t="shared" si="1389"/>
        <v>0</v>
      </c>
      <c r="AG277" s="200">
        <f t="shared" si="1389"/>
        <v>0</v>
      </c>
      <c r="AH277" s="171">
        <f t="shared" si="13"/>
        <v>0</v>
      </c>
      <c r="AI277" s="200">
        <f t="shared" si="14"/>
        <v>1</v>
      </c>
      <c r="AJ277" s="200">
        <f t="shared" si="1129"/>
        <v>0</v>
      </c>
      <c r="AK277" s="201">
        <f t="shared" ref="AK277:AS277" si="1390">countif($D277,"*"&amp;AK$2&amp;"*")</f>
        <v>0</v>
      </c>
      <c r="AL277" s="201">
        <f t="shared" si="1390"/>
        <v>0</v>
      </c>
      <c r="AM277" s="201">
        <f t="shared" si="1390"/>
        <v>0</v>
      </c>
      <c r="AN277" s="201">
        <f t="shared" si="1390"/>
        <v>0</v>
      </c>
      <c r="AO277" s="201">
        <f t="shared" si="1390"/>
        <v>0</v>
      </c>
      <c r="AP277" s="201">
        <f t="shared" si="1390"/>
        <v>0</v>
      </c>
      <c r="AQ277" s="201">
        <f t="shared" si="1390"/>
        <v>0</v>
      </c>
      <c r="AR277" s="200">
        <f t="shared" si="1390"/>
        <v>0</v>
      </c>
      <c r="AS277" s="200">
        <f t="shared" si="1390"/>
        <v>0</v>
      </c>
      <c r="AT277" s="173">
        <v>0.0</v>
      </c>
      <c r="AU277" s="200">
        <f t="shared" ref="AU277:AX277" si="1391">countif($D277,"*"&amp;AU$2&amp;"*")</f>
        <v>0</v>
      </c>
      <c r="AV277" s="200">
        <f t="shared" si="1391"/>
        <v>0</v>
      </c>
      <c r="AW277" s="200">
        <f t="shared" si="1391"/>
        <v>0</v>
      </c>
      <c r="AX277" s="200">
        <f t="shared" si="1391"/>
        <v>0</v>
      </c>
      <c r="AY277" s="204">
        <v>1.0</v>
      </c>
      <c r="AZ277" s="200"/>
      <c r="BA277" s="171" t="str">
        <f t="shared" si="18"/>
        <v>Archival</v>
      </c>
      <c r="BB277" s="171" t="str">
        <f t="shared" si="19"/>
        <v/>
      </c>
      <c r="BC277" s="171" t="str">
        <f t="shared" si="20"/>
        <v/>
      </c>
      <c r="BD277" s="171" t="str">
        <f t="shared" si="21"/>
        <v/>
      </c>
      <c r="BE277" s="171" t="str">
        <f t="shared" si="22"/>
        <v/>
      </c>
      <c r="BF277" s="171" t="str">
        <f t="shared" si="23"/>
        <v>Archival</v>
      </c>
    </row>
    <row r="278">
      <c r="A278" s="171">
        <f t="array" ref="A278">XLOOKUP(C278,ICSE!A:A,ICSE!C:C,,2,1)</f>
        <v>2021</v>
      </c>
      <c r="B278" s="171" t="s">
        <v>5675</v>
      </c>
      <c r="C278" s="160">
        <v>518.0</v>
      </c>
      <c r="D278" s="161" t="s">
        <v>5821</v>
      </c>
      <c r="E278" s="197" t="str">
        <f t="array" ref="E278">XLOOKUP(C278,ICSE!A:A,ICSE!Z:Z,,0,1)</f>
        <v>Publicly available (3)</v>
      </c>
      <c r="F278" s="198" t="s">
        <v>20</v>
      </c>
      <c r="G278" s="163" t="str">
        <f t="array" ref="G278">IF(B278="ICSE",IF(COUNTIFS(B:B,B278,C:C,C278)=XLOOKUP(C278,ICSE!A:A,ICSE!AA:AA,"ERROR",0,1),"OK","ERROR"),IF(B278="FSE",IF(COUNTIFS(B:B,B278,C:C,C278)=XLOOKUP(C278,FSE!A:A,FSE!AA:AA,"ERROR",0,1),"OK","ERROR")))</f>
        <v>OK</v>
      </c>
      <c r="H278" s="199">
        <f t="shared" ref="H278:O278" si="1392">countif($D278,"*"&amp;H$2&amp;"*")</f>
        <v>1</v>
      </c>
      <c r="I278" s="200">
        <f t="shared" si="1392"/>
        <v>0</v>
      </c>
      <c r="J278" s="200">
        <f t="shared" si="1392"/>
        <v>0</v>
      </c>
      <c r="K278" s="200">
        <f t="shared" si="1392"/>
        <v>0</v>
      </c>
      <c r="L278" s="200">
        <f t="shared" si="1392"/>
        <v>0</v>
      </c>
      <c r="M278" s="200">
        <f t="shared" si="1392"/>
        <v>0</v>
      </c>
      <c r="N278" s="200">
        <f t="shared" si="1392"/>
        <v>0</v>
      </c>
      <c r="O278" s="200">
        <f t="shared" si="1392"/>
        <v>0</v>
      </c>
      <c r="P278" s="200">
        <f t="shared" si="9"/>
        <v>0</v>
      </c>
      <c r="Q278" s="200">
        <f t="shared" ref="Q278:AC278" si="1393">countif($D278,"*"&amp;Q$2&amp;"*")</f>
        <v>0</v>
      </c>
      <c r="R278" s="200">
        <f t="shared" si="1393"/>
        <v>0</v>
      </c>
      <c r="S278" s="200">
        <f t="shared" si="1393"/>
        <v>0</v>
      </c>
      <c r="T278" s="200">
        <f t="shared" si="1393"/>
        <v>0</v>
      </c>
      <c r="U278" s="200">
        <f t="shared" si="1393"/>
        <v>0</v>
      </c>
      <c r="V278" s="200">
        <f t="shared" si="1393"/>
        <v>0</v>
      </c>
      <c r="W278" s="200">
        <f t="shared" si="1393"/>
        <v>0</v>
      </c>
      <c r="X278" s="200">
        <f t="shared" si="1393"/>
        <v>0</v>
      </c>
      <c r="Y278" s="200">
        <f t="shared" si="1393"/>
        <v>0</v>
      </c>
      <c r="Z278" s="200">
        <f t="shared" si="1393"/>
        <v>0</v>
      </c>
      <c r="AA278" s="200">
        <f t="shared" si="1393"/>
        <v>0</v>
      </c>
      <c r="AB278" s="200">
        <f t="shared" si="1393"/>
        <v>0</v>
      </c>
      <c r="AC278" s="200">
        <f t="shared" si="1393"/>
        <v>0</v>
      </c>
      <c r="AD278" s="200">
        <f t="shared" si="11"/>
        <v>0</v>
      </c>
      <c r="AE278" s="200">
        <f t="shared" ref="AE278:AG278" si="1394">countif($D278,"*"&amp;AE$2&amp;"*")</f>
        <v>0</v>
      </c>
      <c r="AF278" s="200">
        <f t="shared" si="1394"/>
        <v>0</v>
      </c>
      <c r="AG278" s="200">
        <f t="shared" si="1394"/>
        <v>0</v>
      </c>
      <c r="AH278" s="171">
        <f t="shared" si="13"/>
        <v>0</v>
      </c>
      <c r="AI278" s="200">
        <f t="shared" si="14"/>
        <v>1</v>
      </c>
      <c r="AJ278" s="200">
        <f t="shared" si="1129"/>
        <v>0</v>
      </c>
      <c r="AK278" s="201">
        <f t="shared" ref="AK278:AS278" si="1395">countif($D278,"*"&amp;AK$2&amp;"*")</f>
        <v>0</v>
      </c>
      <c r="AL278" s="201">
        <f t="shared" si="1395"/>
        <v>0</v>
      </c>
      <c r="AM278" s="201">
        <f t="shared" si="1395"/>
        <v>0</v>
      </c>
      <c r="AN278" s="201">
        <f t="shared" si="1395"/>
        <v>0</v>
      </c>
      <c r="AO278" s="201">
        <f t="shared" si="1395"/>
        <v>0</v>
      </c>
      <c r="AP278" s="201">
        <f t="shared" si="1395"/>
        <v>0</v>
      </c>
      <c r="AQ278" s="201">
        <f t="shared" si="1395"/>
        <v>0</v>
      </c>
      <c r="AR278" s="200">
        <f t="shared" si="1395"/>
        <v>0</v>
      </c>
      <c r="AS278" s="200">
        <f t="shared" si="1395"/>
        <v>0</v>
      </c>
      <c r="AT278" s="173">
        <v>0.0</v>
      </c>
      <c r="AU278" s="200">
        <f t="shared" ref="AU278:AX278" si="1396">countif($D278,"*"&amp;AU$2&amp;"*")</f>
        <v>0</v>
      </c>
      <c r="AV278" s="200">
        <f t="shared" si="1396"/>
        <v>0</v>
      </c>
      <c r="AW278" s="200">
        <f t="shared" si="1396"/>
        <v>0</v>
      </c>
      <c r="AX278" s="200">
        <f t="shared" si="1396"/>
        <v>0</v>
      </c>
      <c r="AY278" s="204">
        <v>1.0</v>
      </c>
      <c r="AZ278" s="200"/>
      <c r="BA278" s="171" t="str">
        <f t="shared" si="18"/>
        <v>Archival</v>
      </c>
      <c r="BB278" s="171" t="str">
        <f t="shared" si="19"/>
        <v/>
      </c>
      <c r="BC278" s="171" t="str">
        <f t="shared" si="20"/>
        <v/>
      </c>
      <c r="BD278" s="171" t="str">
        <f t="shared" si="21"/>
        <v/>
      </c>
      <c r="BE278" s="171" t="str">
        <f t="shared" si="22"/>
        <v/>
      </c>
      <c r="BF278" s="171" t="str">
        <f t="shared" si="23"/>
        <v>Archival</v>
      </c>
    </row>
    <row r="279">
      <c r="A279" s="171">
        <f t="array" ref="A279">XLOOKUP(C279,ICSE!A:A,ICSE!C:C,,2,1)</f>
        <v>2021</v>
      </c>
      <c r="B279" s="171" t="s">
        <v>5675</v>
      </c>
      <c r="C279" s="160">
        <v>519.0</v>
      </c>
      <c r="D279" s="161" t="s">
        <v>2042</v>
      </c>
      <c r="E279" s="197" t="str">
        <f t="array" ref="E279">XLOOKUP(C279,ICSE!A:A,ICSE!Z:Z,,0,1)</f>
        <v>Publicly available (1)</v>
      </c>
      <c r="F279" s="198" t="s">
        <v>20</v>
      </c>
      <c r="G279" s="163" t="str">
        <f t="array" ref="G279">IF(B279="ICSE",IF(COUNTIFS(B:B,B279,C:C,C279)=XLOOKUP(C279,ICSE!A:A,ICSE!AA:AA,"ERROR",0,1),"OK","ERROR"),IF(B279="FSE",IF(COUNTIFS(B:B,B279,C:C,C279)=XLOOKUP(C279,FSE!A:A,FSE!AA:AA,"ERROR",0,1),"OK","ERROR")))</f>
        <v>OK</v>
      </c>
      <c r="H279" s="199">
        <f t="shared" ref="H279:O279" si="1397">countif($D279,"*"&amp;H$2&amp;"*")</f>
        <v>0</v>
      </c>
      <c r="I279" s="200">
        <f t="shared" si="1397"/>
        <v>0</v>
      </c>
      <c r="J279" s="200">
        <f t="shared" si="1397"/>
        <v>0</v>
      </c>
      <c r="K279" s="200">
        <f t="shared" si="1397"/>
        <v>0</v>
      </c>
      <c r="L279" s="200">
        <f t="shared" si="1397"/>
        <v>0</v>
      </c>
      <c r="M279" s="200">
        <f t="shared" si="1397"/>
        <v>0</v>
      </c>
      <c r="N279" s="200">
        <f t="shared" si="1397"/>
        <v>0</v>
      </c>
      <c r="O279" s="200">
        <f t="shared" si="1397"/>
        <v>0</v>
      </c>
      <c r="P279" s="200">
        <f t="shared" si="9"/>
        <v>1</v>
      </c>
      <c r="Q279" s="200">
        <f t="shared" ref="Q279:AC279" si="1398">countif($D279,"*"&amp;Q$2&amp;"*")</f>
        <v>0</v>
      </c>
      <c r="R279" s="200">
        <f t="shared" si="1398"/>
        <v>0</v>
      </c>
      <c r="S279" s="200">
        <f t="shared" si="1398"/>
        <v>0</v>
      </c>
      <c r="T279" s="200">
        <f t="shared" si="1398"/>
        <v>0</v>
      </c>
      <c r="U279" s="200">
        <f t="shared" si="1398"/>
        <v>0</v>
      </c>
      <c r="V279" s="200">
        <f t="shared" si="1398"/>
        <v>0</v>
      </c>
      <c r="W279" s="200">
        <f t="shared" si="1398"/>
        <v>0</v>
      </c>
      <c r="X279" s="200">
        <f t="shared" si="1398"/>
        <v>0</v>
      </c>
      <c r="Y279" s="200">
        <f t="shared" si="1398"/>
        <v>0</v>
      </c>
      <c r="Z279" s="200">
        <f t="shared" si="1398"/>
        <v>0</v>
      </c>
      <c r="AA279" s="200">
        <f t="shared" si="1398"/>
        <v>0</v>
      </c>
      <c r="AB279" s="200">
        <f t="shared" si="1398"/>
        <v>0</v>
      </c>
      <c r="AC279" s="200">
        <f t="shared" si="1398"/>
        <v>0</v>
      </c>
      <c r="AD279" s="200">
        <f t="shared" si="11"/>
        <v>0</v>
      </c>
      <c r="AE279" s="200">
        <f t="shared" ref="AE279:AG279" si="1399">countif($D279,"*"&amp;AE$2&amp;"*")</f>
        <v>0</v>
      </c>
      <c r="AF279" s="200">
        <f t="shared" si="1399"/>
        <v>0</v>
      </c>
      <c r="AG279" s="200">
        <f t="shared" si="1399"/>
        <v>0</v>
      </c>
      <c r="AH279" s="171">
        <f t="shared" si="13"/>
        <v>0</v>
      </c>
      <c r="AI279" s="200">
        <f t="shared" si="14"/>
        <v>0</v>
      </c>
      <c r="AJ279" s="200">
        <f t="shared" si="1129"/>
        <v>0</v>
      </c>
      <c r="AK279" s="201">
        <f t="shared" ref="AK279:AS279" si="1400">countif($D279,"*"&amp;AK$2&amp;"*")</f>
        <v>0</v>
      </c>
      <c r="AL279" s="201">
        <f t="shared" si="1400"/>
        <v>0</v>
      </c>
      <c r="AM279" s="201">
        <f t="shared" si="1400"/>
        <v>0</v>
      </c>
      <c r="AN279" s="201">
        <f t="shared" si="1400"/>
        <v>0</v>
      </c>
      <c r="AO279" s="201">
        <f t="shared" si="1400"/>
        <v>0</v>
      </c>
      <c r="AP279" s="201">
        <f t="shared" si="1400"/>
        <v>0</v>
      </c>
      <c r="AQ279" s="201">
        <f t="shared" si="1400"/>
        <v>0</v>
      </c>
      <c r="AR279" s="200">
        <f t="shared" si="1400"/>
        <v>0</v>
      </c>
      <c r="AS279" s="200">
        <f t="shared" si="1400"/>
        <v>0</v>
      </c>
      <c r="AT279" s="173">
        <v>0.0</v>
      </c>
      <c r="AU279" s="200">
        <f t="shared" ref="AU279:AX279" si="1401">countif($D279,"*"&amp;AU$2&amp;"*")</f>
        <v>0</v>
      </c>
      <c r="AV279" s="200">
        <f t="shared" si="1401"/>
        <v>1</v>
      </c>
      <c r="AW279" s="200">
        <f t="shared" si="1401"/>
        <v>0</v>
      </c>
      <c r="AX279" s="200">
        <f t="shared" si="1401"/>
        <v>0</v>
      </c>
      <c r="AY279" s="202">
        <v>0.0</v>
      </c>
      <c r="AZ279" s="200"/>
      <c r="BA279" s="171" t="str">
        <f t="shared" si="18"/>
        <v/>
      </c>
      <c r="BB279" s="171" t="str">
        <f t="shared" si="19"/>
        <v>Code</v>
      </c>
      <c r="BC279" s="171" t="str">
        <f t="shared" si="20"/>
        <v/>
      </c>
      <c r="BD279" s="171" t="str">
        <f t="shared" si="21"/>
        <v/>
      </c>
      <c r="BE279" s="171" t="str">
        <f t="shared" si="22"/>
        <v/>
      </c>
      <c r="BF279" s="171" t="str">
        <f t="shared" si="23"/>
        <v>Code</v>
      </c>
    </row>
    <row r="280">
      <c r="A280" s="171">
        <f t="array" ref="A280">XLOOKUP(C280,ICSE!A:A,ICSE!C:C,,2,1)</f>
        <v>2021</v>
      </c>
      <c r="B280" s="171" t="s">
        <v>5675</v>
      </c>
      <c r="C280" s="160">
        <v>520.0</v>
      </c>
      <c r="D280" s="161" t="s">
        <v>5822</v>
      </c>
      <c r="E280" s="197" t="str">
        <f t="array" ref="E280">XLOOKUP(C280,ICSE!A:A,ICSE!Z:Z,,0,1)</f>
        <v>Publicly available (2)</v>
      </c>
      <c r="F280" s="198" t="s">
        <v>20</v>
      </c>
      <c r="G280" s="163" t="str">
        <f t="array" ref="G280">IF(B280="ICSE",IF(COUNTIFS(B:B,B280,C:C,C280)=XLOOKUP(C280,ICSE!A:A,ICSE!AA:AA,"ERROR",0,1),"OK","ERROR"),IF(B280="FSE",IF(COUNTIFS(B:B,B280,C:C,C280)=XLOOKUP(C280,FSE!A:A,FSE!AA:AA,"ERROR",0,1),"OK","ERROR")))</f>
        <v>OK</v>
      </c>
      <c r="H280" s="199">
        <f t="shared" ref="H280:O280" si="1402">countif($D280,"*"&amp;H$2&amp;"*")</f>
        <v>0</v>
      </c>
      <c r="I280" s="200">
        <f t="shared" si="1402"/>
        <v>0</v>
      </c>
      <c r="J280" s="200">
        <f t="shared" si="1402"/>
        <v>0</v>
      </c>
      <c r="K280" s="200">
        <f t="shared" si="1402"/>
        <v>0</v>
      </c>
      <c r="L280" s="200">
        <f t="shared" si="1402"/>
        <v>0</v>
      </c>
      <c r="M280" s="200">
        <f t="shared" si="1402"/>
        <v>0</v>
      </c>
      <c r="N280" s="200">
        <f t="shared" si="1402"/>
        <v>0</v>
      </c>
      <c r="O280" s="200">
        <f t="shared" si="1402"/>
        <v>0</v>
      </c>
      <c r="P280" s="200">
        <f t="shared" si="9"/>
        <v>1</v>
      </c>
      <c r="Q280" s="200">
        <f t="shared" ref="Q280:AC280" si="1403">countif($D280,"*"&amp;Q$2&amp;"*")</f>
        <v>0</v>
      </c>
      <c r="R280" s="200">
        <f t="shared" si="1403"/>
        <v>0</v>
      </c>
      <c r="S280" s="200">
        <f t="shared" si="1403"/>
        <v>0</v>
      </c>
      <c r="T280" s="200">
        <f t="shared" si="1403"/>
        <v>0</v>
      </c>
      <c r="U280" s="200">
        <f t="shared" si="1403"/>
        <v>0</v>
      </c>
      <c r="V280" s="200">
        <f t="shared" si="1403"/>
        <v>0</v>
      </c>
      <c r="W280" s="200">
        <f t="shared" si="1403"/>
        <v>0</v>
      </c>
      <c r="X280" s="200">
        <f t="shared" si="1403"/>
        <v>0</v>
      </c>
      <c r="Y280" s="200">
        <f t="shared" si="1403"/>
        <v>0</v>
      </c>
      <c r="Z280" s="200">
        <f t="shared" si="1403"/>
        <v>0</v>
      </c>
      <c r="AA280" s="200">
        <f t="shared" si="1403"/>
        <v>0</v>
      </c>
      <c r="AB280" s="200">
        <f t="shared" si="1403"/>
        <v>0</v>
      </c>
      <c r="AC280" s="200">
        <f t="shared" si="1403"/>
        <v>0</v>
      </c>
      <c r="AD280" s="200">
        <f t="shared" si="11"/>
        <v>0</v>
      </c>
      <c r="AE280" s="200">
        <f t="shared" ref="AE280:AG280" si="1404">countif($D280,"*"&amp;AE$2&amp;"*")</f>
        <v>0</v>
      </c>
      <c r="AF280" s="200">
        <f t="shared" si="1404"/>
        <v>0</v>
      </c>
      <c r="AG280" s="200">
        <f t="shared" si="1404"/>
        <v>0</v>
      </c>
      <c r="AH280" s="171">
        <f t="shared" si="13"/>
        <v>0</v>
      </c>
      <c r="AI280" s="200">
        <f t="shared" si="14"/>
        <v>0</v>
      </c>
      <c r="AJ280" s="200">
        <f t="shared" si="1129"/>
        <v>0</v>
      </c>
      <c r="AK280" s="201">
        <f t="shared" ref="AK280:AS280" si="1405">countif($D280,"*"&amp;AK$2&amp;"*")</f>
        <v>0</v>
      </c>
      <c r="AL280" s="201">
        <f t="shared" si="1405"/>
        <v>0</v>
      </c>
      <c r="AM280" s="201">
        <f t="shared" si="1405"/>
        <v>0</v>
      </c>
      <c r="AN280" s="201">
        <f t="shared" si="1405"/>
        <v>0</v>
      </c>
      <c r="AO280" s="201">
        <f t="shared" si="1405"/>
        <v>0</v>
      </c>
      <c r="AP280" s="201">
        <f t="shared" si="1405"/>
        <v>0</v>
      </c>
      <c r="AQ280" s="201">
        <f t="shared" si="1405"/>
        <v>0</v>
      </c>
      <c r="AR280" s="200">
        <f t="shared" si="1405"/>
        <v>0</v>
      </c>
      <c r="AS280" s="200">
        <f t="shared" si="1405"/>
        <v>0</v>
      </c>
      <c r="AT280" s="173">
        <v>0.0</v>
      </c>
      <c r="AU280" s="200">
        <f t="shared" ref="AU280:AX280" si="1406">countif($D280,"*"&amp;AU$2&amp;"*")</f>
        <v>0</v>
      </c>
      <c r="AV280" s="200">
        <f t="shared" si="1406"/>
        <v>1</v>
      </c>
      <c r="AW280" s="200">
        <f t="shared" si="1406"/>
        <v>0</v>
      </c>
      <c r="AX280" s="200">
        <f t="shared" si="1406"/>
        <v>0</v>
      </c>
      <c r="AY280" s="202">
        <v>0.0</v>
      </c>
      <c r="AZ280" s="200"/>
      <c r="BA280" s="171" t="str">
        <f t="shared" si="18"/>
        <v/>
      </c>
      <c r="BB280" s="171" t="str">
        <f t="shared" si="19"/>
        <v>Code</v>
      </c>
      <c r="BC280" s="171" t="str">
        <f t="shared" si="20"/>
        <v/>
      </c>
      <c r="BD280" s="171" t="str">
        <f t="shared" si="21"/>
        <v/>
      </c>
      <c r="BE280" s="171" t="str">
        <f t="shared" si="22"/>
        <v/>
      </c>
      <c r="BF280" s="171" t="str">
        <f t="shared" si="23"/>
        <v>Code</v>
      </c>
    </row>
    <row r="281">
      <c r="A281" s="171">
        <f t="array" ref="A281">XLOOKUP(C281,ICSE!A:A,ICSE!C:C,,2,1)</f>
        <v>2021</v>
      </c>
      <c r="B281" s="171" t="s">
        <v>5675</v>
      </c>
      <c r="C281" s="160">
        <v>520.0</v>
      </c>
      <c r="D281" s="161" t="s">
        <v>5823</v>
      </c>
      <c r="E281" s="197" t="str">
        <f t="array" ref="E281">XLOOKUP(C281,ICSE!A:A,ICSE!Z:Z,,0,1)</f>
        <v>Publicly available (2)</v>
      </c>
      <c r="F281" s="198" t="s">
        <v>20</v>
      </c>
      <c r="G281" s="163" t="str">
        <f t="array" ref="G281">IF(B281="ICSE",IF(COUNTIFS(B:B,B281,C:C,C281)=XLOOKUP(C281,ICSE!A:A,ICSE!AA:AA,"ERROR",0,1),"OK","ERROR"),IF(B281="FSE",IF(COUNTIFS(B:B,B281,C:C,C281)=XLOOKUP(C281,FSE!A:A,FSE!AA:AA,"ERROR",0,1),"OK","ERROR")))</f>
        <v>OK</v>
      </c>
      <c r="H281" s="199">
        <f t="shared" ref="H281:O281" si="1407">countif($D281,"*"&amp;H$2&amp;"*")</f>
        <v>1</v>
      </c>
      <c r="I281" s="200">
        <f t="shared" si="1407"/>
        <v>0</v>
      </c>
      <c r="J281" s="200">
        <f t="shared" si="1407"/>
        <v>0</v>
      </c>
      <c r="K281" s="200">
        <f t="shared" si="1407"/>
        <v>0</v>
      </c>
      <c r="L281" s="200">
        <f t="shared" si="1407"/>
        <v>0</v>
      </c>
      <c r="M281" s="200">
        <f t="shared" si="1407"/>
        <v>0</v>
      </c>
      <c r="N281" s="200">
        <f t="shared" si="1407"/>
        <v>0</v>
      </c>
      <c r="O281" s="200">
        <f t="shared" si="1407"/>
        <v>0</v>
      </c>
      <c r="P281" s="200">
        <f t="shared" si="9"/>
        <v>0</v>
      </c>
      <c r="Q281" s="200">
        <f t="shared" ref="Q281:AC281" si="1408">countif($D281,"*"&amp;Q$2&amp;"*")</f>
        <v>0</v>
      </c>
      <c r="R281" s="200">
        <f t="shared" si="1408"/>
        <v>0</v>
      </c>
      <c r="S281" s="200">
        <f t="shared" si="1408"/>
        <v>0</v>
      </c>
      <c r="T281" s="200">
        <f t="shared" si="1408"/>
        <v>0</v>
      </c>
      <c r="U281" s="200">
        <f t="shared" si="1408"/>
        <v>0</v>
      </c>
      <c r="V281" s="200">
        <f t="shared" si="1408"/>
        <v>0</v>
      </c>
      <c r="W281" s="200">
        <f t="shared" si="1408"/>
        <v>0</v>
      </c>
      <c r="X281" s="200">
        <f t="shared" si="1408"/>
        <v>0</v>
      </c>
      <c r="Y281" s="200">
        <f t="shared" si="1408"/>
        <v>0</v>
      </c>
      <c r="Z281" s="200">
        <f t="shared" si="1408"/>
        <v>0</v>
      </c>
      <c r="AA281" s="200">
        <f t="shared" si="1408"/>
        <v>0</v>
      </c>
      <c r="AB281" s="200">
        <f t="shared" si="1408"/>
        <v>0</v>
      </c>
      <c r="AC281" s="200">
        <f t="shared" si="1408"/>
        <v>0</v>
      </c>
      <c r="AD281" s="200">
        <f t="shared" si="11"/>
        <v>0</v>
      </c>
      <c r="AE281" s="200">
        <f t="shared" ref="AE281:AG281" si="1409">countif($D281,"*"&amp;AE$2&amp;"*")</f>
        <v>0</v>
      </c>
      <c r="AF281" s="200">
        <f t="shared" si="1409"/>
        <v>0</v>
      </c>
      <c r="AG281" s="200">
        <f t="shared" si="1409"/>
        <v>0</v>
      </c>
      <c r="AH281" s="171">
        <f t="shared" si="13"/>
        <v>0</v>
      </c>
      <c r="AI281" s="200">
        <f t="shared" si="14"/>
        <v>1</v>
      </c>
      <c r="AJ281" s="200">
        <f t="shared" si="1129"/>
        <v>0</v>
      </c>
      <c r="AK281" s="201">
        <f t="shared" ref="AK281:AS281" si="1410">countif($D281,"*"&amp;AK$2&amp;"*")</f>
        <v>0</v>
      </c>
      <c r="AL281" s="201">
        <f t="shared" si="1410"/>
        <v>0</v>
      </c>
      <c r="AM281" s="201">
        <f t="shared" si="1410"/>
        <v>0</v>
      </c>
      <c r="AN281" s="201">
        <f t="shared" si="1410"/>
        <v>0</v>
      </c>
      <c r="AO281" s="201">
        <f t="shared" si="1410"/>
        <v>0</v>
      </c>
      <c r="AP281" s="201">
        <f t="shared" si="1410"/>
        <v>0</v>
      </c>
      <c r="AQ281" s="201">
        <f t="shared" si="1410"/>
        <v>0</v>
      </c>
      <c r="AR281" s="200">
        <f t="shared" si="1410"/>
        <v>0</v>
      </c>
      <c r="AS281" s="200">
        <f t="shared" si="1410"/>
        <v>0</v>
      </c>
      <c r="AT281" s="173">
        <v>0.0</v>
      </c>
      <c r="AU281" s="200">
        <f t="shared" ref="AU281:AX281" si="1411">countif($D281,"*"&amp;AU$2&amp;"*")</f>
        <v>0</v>
      </c>
      <c r="AV281" s="200">
        <f t="shared" si="1411"/>
        <v>0</v>
      </c>
      <c r="AW281" s="200">
        <f t="shared" si="1411"/>
        <v>0</v>
      </c>
      <c r="AX281" s="200">
        <f t="shared" si="1411"/>
        <v>1</v>
      </c>
      <c r="AY281" s="202">
        <v>0.0</v>
      </c>
      <c r="AZ281" s="200"/>
      <c r="BA281" s="171" t="str">
        <f t="shared" si="18"/>
        <v>Archival</v>
      </c>
      <c r="BB281" s="171" t="str">
        <f t="shared" si="19"/>
        <v/>
      </c>
      <c r="BC281" s="171" t="str">
        <f t="shared" si="20"/>
        <v/>
      </c>
      <c r="BD281" s="171" t="str">
        <f t="shared" si="21"/>
        <v/>
      </c>
      <c r="BE281" s="171" t="str">
        <f t="shared" si="22"/>
        <v/>
      </c>
      <c r="BF281" s="171" t="str">
        <f t="shared" si="23"/>
        <v>Archival</v>
      </c>
    </row>
    <row r="282">
      <c r="A282" s="171">
        <f t="array" ref="A282">XLOOKUP(C282,ICSE!A:A,ICSE!C:C,,2,1)</f>
        <v>2021</v>
      </c>
      <c r="B282" s="171" t="s">
        <v>5675</v>
      </c>
      <c r="C282" s="160">
        <v>521.0</v>
      </c>
      <c r="D282" s="161" t="s">
        <v>2050</v>
      </c>
      <c r="E282" s="197" t="str">
        <f t="array" ref="E282">XLOOKUP(C282,ICSE!A:A,ICSE!Z:Z,,0,1)</f>
        <v>Publicly available (1)</v>
      </c>
      <c r="F282" s="198" t="s">
        <v>20</v>
      </c>
      <c r="G282" s="163" t="str">
        <f t="array" ref="G282">IF(B282="ICSE",IF(COUNTIFS(B:B,B282,C:C,C282)=XLOOKUP(C282,ICSE!A:A,ICSE!AA:AA,"ERROR",0,1),"OK","ERROR"),IF(B282="FSE",IF(COUNTIFS(B:B,B282,C:C,C282)=XLOOKUP(C282,FSE!A:A,FSE!AA:AA,"ERROR",0,1),"OK","ERROR")))</f>
        <v>OK</v>
      </c>
      <c r="H282" s="199">
        <f t="shared" ref="H282:O282" si="1412">countif($D282,"*"&amp;H$2&amp;"*")</f>
        <v>0</v>
      </c>
      <c r="I282" s="200">
        <f t="shared" si="1412"/>
        <v>0</v>
      </c>
      <c r="J282" s="200">
        <f t="shared" si="1412"/>
        <v>0</v>
      </c>
      <c r="K282" s="200">
        <f t="shared" si="1412"/>
        <v>0</v>
      </c>
      <c r="L282" s="200">
        <f t="shared" si="1412"/>
        <v>0</v>
      </c>
      <c r="M282" s="200">
        <f t="shared" si="1412"/>
        <v>0</v>
      </c>
      <c r="N282" s="200">
        <f t="shared" si="1412"/>
        <v>0</v>
      </c>
      <c r="O282" s="200">
        <f t="shared" si="1412"/>
        <v>0</v>
      </c>
      <c r="P282" s="200">
        <f t="shared" si="9"/>
        <v>1</v>
      </c>
      <c r="Q282" s="200">
        <f t="shared" ref="Q282:AC282" si="1413">countif($D282,"*"&amp;Q$2&amp;"*")</f>
        <v>0</v>
      </c>
      <c r="R282" s="200">
        <f t="shared" si="1413"/>
        <v>0</v>
      </c>
      <c r="S282" s="200">
        <f t="shared" si="1413"/>
        <v>0</v>
      </c>
      <c r="T282" s="200">
        <f t="shared" si="1413"/>
        <v>0</v>
      </c>
      <c r="U282" s="200">
        <f t="shared" si="1413"/>
        <v>0</v>
      </c>
      <c r="V282" s="200">
        <f t="shared" si="1413"/>
        <v>0</v>
      </c>
      <c r="W282" s="200">
        <f t="shared" si="1413"/>
        <v>0</v>
      </c>
      <c r="X282" s="200">
        <f t="shared" si="1413"/>
        <v>0</v>
      </c>
      <c r="Y282" s="200">
        <f t="shared" si="1413"/>
        <v>0</v>
      </c>
      <c r="Z282" s="200">
        <f t="shared" si="1413"/>
        <v>0</v>
      </c>
      <c r="AA282" s="200">
        <f t="shared" si="1413"/>
        <v>0</v>
      </c>
      <c r="AB282" s="200">
        <f t="shared" si="1413"/>
        <v>0</v>
      </c>
      <c r="AC282" s="200">
        <f t="shared" si="1413"/>
        <v>0</v>
      </c>
      <c r="AD282" s="200">
        <f t="shared" si="11"/>
        <v>0</v>
      </c>
      <c r="AE282" s="200">
        <f t="shared" ref="AE282:AG282" si="1414">countif($D282,"*"&amp;AE$2&amp;"*")</f>
        <v>0</v>
      </c>
      <c r="AF282" s="200">
        <f t="shared" si="1414"/>
        <v>0</v>
      </c>
      <c r="AG282" s="200">
        <f t="shared" si="1414"/>
        <v>0</v>
      </c>
      <c r="AH282" s="171">
        <f t="shared" si="13"/>
        <v>0</v>
      </c>
      <c r="AI282" s="200">
        <f t="shared" si="14"/>
        <v>0</v>
      </c>
      <c r="AJ282" s="200">
        <f t="shared" si="1129"/>
        <v>0</v>
      </c>
      <c r="AK282" s="201">
        <f t="shared" ref="AK282:AS282" si="1415">countif($D282,"*"&amp;AK$2&amp;"*")</f>
        <v>0</v>
      </c>
      <c r="AL282" s="201">
        <f t="shared" si="1415"/>
        <v>0</v>
      </c>
      <c r="AM282" s="201">
        <f t="shared" si="1415"/>
        <v>0</v>
      </c>
      <c r="AN282" s="201">
        <f t="shared" si="1415"/>
        <v>0</v>
      </c>
      <c r="AO282" s="201">
        <f t="shared" si="1415"/>
        <v>0</v>
      </c>
      <c r="AP282" s="201">
        <f t="shared" si="1415"/>
        <v>0</v>
      </c>
      <c r="AQ282" s="201">
        <f t="shared" si="1415"/>
        <v>0</v>
      </c>
      <c r="AR282" s="200">
        <f t="shared" si="1415"/>
        <v>0</v>
      </c>
      <c r="AS282" s="200">
        <f t="shared" si="1415"/>
        <v>0</v>
      </c>
      <c r="AT282" s="173">
        <v>0.0</v>
      </c>
      <c r="AU282" s="200">
        <f t="shared" ref="AU282:AX282" si="1416">countif($D282,"*"&amp;AU$2&amp;"*")</f>
        <v>0</v>
      </c>
      <c r="AV282" s="200">
        <f t="shared" si="1416"/>
        <v>1</v>
      </c>
      <c r="AW282" s="200">
        <f t="shared" si="1416"/>
        <v>0</v>
      </c>
      <c r="AX282" s="200">
        <f t="shared" si="1416"/>
        <v>0</v>
      </c>
      <c r="AY282" s="202">
        <v>0.0</v>
      </c>
      <c r="AZ282" s="200"/>
      <c r="BA282" s="171" t="str">
        <f t="shared" si="18"/>
        <v/>
      </c>
      <c r="BB282" s="171" t="str">
        <f t="shared" si="19"/>
        <v>Code</v>
      </c>
      <c r="BC282" s="171" t="str">
        <f t="shared" si="20"/>
        <v/>
      </c>
      <c r="BD282" s="171" t="str">
        <f t="shared" si="21"/>
        <v/>
      </c>
      <c r="BE282" s="171" t="str">
        <f t="shared" si="22"/>
        <v/>
      </c>
      <c r="BF282" s="171" t="str">
        <f t="shared" si="23"/>
        <v>Code</v>
      </c>
    </row>
    <row r="283">
      <c r="A283" s="171">
        <f t="array" ref="A283">XLOOKUP(C283,ICSE!A:A,ICSE!C:C,,2,1)</f>
        <v>2021</v>
      </c>
      <c r="B283" s="171" t="s">
        <v>5675</v>
      </c>
      <c r="C283" s="160">
        <v>522.0</v>
      </c>
      <c r="D283" s="161" t="s">
        <v>2053</v>
      </c>
      <c r="E283" s="197" t="str">
        <f t="array" ref="E283">XLOOKUP(C283,ICSE!A:A,ICSE!Z:Z,,0,1)</f>
        <v>Publicly available (1)</v>
      </c>
      <c r="F283" s="198" t="s">
        <v>20</v>
      </c>
      <c r="G283" s="163" t="str">
        <f t="array" ref="G283">IF(B283="ICSE",IF(COUNTIFS(B:B,B283,C:C,C283)=XLOOKUP(C283,ICSE!A:A,ICSE!AA:AA,"ERROR",0,1),"OK","ERROR"),IF(B283="FSE",IF(COUNTIFS(B:B,B283,C:C,C283)=XLOOKUP(C283,FSE!A:A,FSE!AA:AA,"ERROR",0,1),"OK","ERROR")))</f>
        <v>OK</v>
      </c>
      <c r="H283" s="199">
        <f t="shared" ref="H283:O283" si="1417">countif($D283,"*"&amp;H$2&amp;"*")</f>
        <v>0</v>
      </c>
      <c r="I283" s="200">
        <f t="shared" si="1417"/>
        <v>0</v>
      </c>
      <c r="J283" s="200">
        <f t="shared" si="1417"/>
        <v>0</v>
      </c>
      <c r="K283" s="200">
        <f t="shared" si="1417"/>
        <v>0</v>
      </c>
      <c r="L283" s="200">
        <f t="shared" si="1417"/>
        <v>0</v>
      </c>
      <c r="M283" s="200">
        <f t="shared" si="1417"/>
        <v>0</v>
      </c>
      <c r="N283" s="200">
        <f t="shared" si="1417"/>
        <v>0</v>
      </c>
      <c r="O283" s="200">
        <f t="shared" si="1417"/>
        <v>0</v>
      </c>
      <c r="P283" s="200">
        <f t="shared" si="9"/>
        <v>1</v>
      </c>
      <c r="Q283" s="200">
        <f t="shared" ref="Q283:AC283" si="1418">countif($D283,"*"&amp;Q$2&amp;"*")</f>
        <v>0</v>
      </c>
      <c r="R283" s="200">
        <f t="shared" si="1418"/>
        <v>0</v>
      </c>
      <c r="S283" s="200">
        <f t="shared" si="1418"/>
        <v>0</v>
      </c>
      <c r="T283" s="200">
        <f t="shared" si="1418"/>
        <v>0</v>
      </c>
      <c r="U283" s="200">
        <f t="shared" si="1418"/>
        <v>0</v>
      </c>
      <c r="V283" s="200">
        <f t="shared" si="1418"/>
        <v>0</v>
      </c>
      <c r="W283" s="200">
        <f t="shared" si="1418"/>
        <v>0</v>
      </c>
      <c r="X283" s="200">
        <f t="shared" si="1418"/>
        <v>0</v>
      </c>
      <c r="Y283" s="200">
        <f t="shared" si="1418"/>
        <v>0</v>
      </c>
      <c r="Z283" s="200">
        <f t="shared" si="1418"/>
        <v>0</v>
      </c>
      <c r="AA283" s="200">
        <f t="shared" si="1418"/>
        <v>0</v>
      </c>
      <c r="AB283" s="200">
        <f t="shared" si="1418"/>
        <v>0</v>
      </c>
      <c r="AC283" s="200">
        <f t="shared" si="1418"/>
        <v>0</v>
      </c>
      <c r="AD283" s="200">
        <f t="shared" si="11"/>
        <v>0</v>
      </c>
      <c r="AE283" s="200">
        <f t="shared" ref="AE283:AG283" si="1419">countif($D283,"*"&amp;AE$2&amp;"*")</f>
        <v>0</v>
      </c>
      <c r="AF283" s="200">
        <f t="shared" si="1419"/>
        <v>0</v>
      </c>
      <c r="AG283" s="200">
        <f t="shared" si="1419"/>
        <v>0</v>
      </c>
      <c r="AH283" s="171">
        <f t="shared" si="13"/>
        <v>0</v>
      </c>
      <c r="AI283" s="200">
        <f t="shared" si="14"/>
        <v>0</v>
      </c>
      <c r="AJ283" s="200">
        <f t="shared" si="1129"/>
        <v>0</v>
      </c>
      <c r="AK283" s="201">
        <f t="shared" ref="AK283:AS283" si="1420">countif($D283,"*"&amp;AK$2&amp;"*")</f>
        <v>0</v>
      </c>
      <c r="AL283" s="201">
        <f t="shared" si="1420"/>
        <v>0</v>
      </c>
      <c r="AM283" s="201">
        <f t="shared" si="1420"/>
        <v>0</v>
      </c>
      <c r="AN283" s="201">
        <f t="shared" si="1420"/>
        <v>0</v>
      </c>
      <c r="AO283" s="201">
        <f t="shared" si="1420"/>
        <v>0</v>
      </c>
      <c r="AP283" s="201">
        <f t="shared" si="1420"/>
        <v>0</v>
      </c>
      <c r="AQ283" s="201">
        <f t="shared" si="1420"/>
        <v>0</v>
      </c>
      <c r="AR283" s="200">
        <f t="shared" si="1420"/>
        <v>0</v>
      </c>
      <c r="AS283" s="200">
        <f t="shared" si="1420"/>
        <v>0</v>
      </c>
      <c r="AT283" s="173">
        <v>0.0</v>
      </c>
      <c r="AU283" s="200">
        <f t="shared" ref="AU283:AX283" si="1421">countif($D283,"*"&amp;AU$2&amp;"*")</f>
        <v>0</v>
      </c>
      <c r="AV283" s="200">
        <f t="shared" si="1421"/>
        <v>1</v>
      </c>
      <c r="AW283" s="200">
        <f t="shared" si="1421"/>
        <v>0</v>
      </c>
      <c r="AX283" s="200">
        <f t="shared" si="1421"/>
        <v>0</v>
      </c>
      <c r="AY283" s="202">
        <v>0.0</v>
      </c>
      <c r="AZ283" s="200"/>
      <c r="BA283" s="171" t="str">
        <f t="shared" si="18"/>
        <v/>
      </c>
      <c r="BB283" s="171" t="str">
        <f t="shared" si="19"/>
        <v>Code</v>
      </c>
      <c r="BC283" s="171" t="str">
        <f t="shared" si="20"/>
        <v/>
      </c>
      <c r="BD283" s="171" t="str">
        <f t="shared" si="21"/>
        <v/>
      </c>
      <c r="BE283" s="171" t="str">
        <f t="shared" si="22"/>
        <v/>
      </c>
      <c r="BF283" s="171" t="str">
        <f t="shared" si="23"/>
        <v>Code</v>
      </c>
    </row>
    <row r="284">
      <c r="A284" s="171">
        <f t="array" ref="A284">XLOOKUP(C284,ICSE!A:A,ICSE!C:C,,2,1)</f>
        <v>2021</v>
      </c>
      <c r="B284" s="171" t="s">
        <v>5675</v>
      </c>
      <c r="C284" s="160">
        <v>524.0</v>
      </c>
      <c r="D284" s="161" t="s">
        <v>2057</v>
      </c>
      <c r="E284" s="197" t="str">
        <f t="array" ref="E284">XLOOKUP(C284,ICSE!A:A,ICSE!Z:Z,,0,1)</f>
        <v>Publicly available (1)</v>
      </c>
      <c r="F284" s="198" t="s">
        <v>20</v>
      </c>
      <c r="G284" s="163" t="str">
        <f t="array" ref="G284">IF(B284="ICSE",IF(COUNTIFS(B:B,B284,C:C,C284)=XLOOKUP(C284,ICSE!A:A,ICSE!AA:AA,"ERROR",0,1),"OK","ERROR"),IF(B284="FSE",IF(COUNTIFS(B:B,B284,C:C,C284)=XLOOKUP(C284,FSE!A:A,FSE!AA:AA,"ERROR",0,1),"OK","ERROR")))</f>
        <v>OK</v>
      </c>
      <c r="H284" s="199">
        <f t="shared" ref="H284:O284" si="1422">countif($D284,"*"&amp;H$2&amp;"*")</f>
        <v>0</v>
      </c>
      <c r="I284" s="200">
        <f t="shared" si="1422"/>
        <v>0</v>
      </c>
      <c r="J284" s="200">
        <f t="shared" si="1422"/>
        <v>0</v>
      </c>
      <c r="K284" s="200">
        <f t="shared" si="1422"/>
        <v>0</v>
      </c>
      <c r="L284" s="200">
        <f t="shared" si="1422"/>
        <v>0</v>
      </c>
      <c r="M284" s="200">
        <f t="shared" si="1422"/>
        <v>0</v>
      </c>
      <c r="N284" s="200">
        <f t="shared" si="1422"/>
        <v>0</v>
      </c>
      <c r="O284" s="200">
        <f t="shared" si="1422"/>
        <v>0</v>
      </c>
      <c r="P284" s="200">
        <f t="shared" si="9"/>
        <v>1</v>
      </c>
      <c r="Q284" s="200">
        <f t="shared" ref="Q284:AC284" si="1423">countif($D284,"*"&amp;Q$2&amp;"*")</f>
        <v>0</v>
      </c>
      <c r="R284" s="200">
        <f t="shared" si="1423"/>
        <v>0</v>
      </c>
      <c r="S284" s="200">
        <f t="shared" si="1423"/>
        <v>0</v>
      </c>
      <c r="T284" s="200">
        <f t="shared" si="1423"/>
        <v>0</v>
      </c>
      <c r="U284" s="200">
        <f t="shared" si="1423"/>
        <v>0</v>
      </c>
      <c r="V284" s="200">
        <f t="shared" si="1423"/>
        <v>0</v>
      </c>
      <c r="W284" s="200">
        <f t="shared" si="1423"/>
        <v>0</v>
      </c>
      <c r="X284" s="200">
        <f t="shared" si="1423"/>
        <v>0</v>
      </c>
      <c r="Y284" s="200">
        <f t="shared" si="1423"/>
        <v>0</v>
      </c>
      <c r="Z284" s="200">
        <f t="shared" si="1423"/>
        <v>0</v>
      </c>
      <c r="AA284" s="200">
        <f t="shared" si="1423"/>
        <v>0</v>
      </c>
      <c r="AB284" s="200">
        <f t="shared" si="1423"/>
        <v>0</v>
      </c>
      <c r="AC284" s="200">
        <f t="shared" si="1423"/>
        <v>0</v>
      </c>
      <c r="AD284" s="200">
        <f t="shared" si="11"/>
        <v>0</v>
      </c>
      <c r="AE284" s="200">
        <f t="shared" ref="AE284:AG284" si="1424">countif($D284,"*"&amp;AE$2&amp;"*")</f>
        <v>0</v>
      </c>
      <c r="AF284" s="200">
        <f t="shared" si="1424"/>
        <v>0</v>
      </c>
      <c r="AG284" s="200">
        <f t="shared" si="1424"/>
        <v>0</v>
      </c>
      <c r="AH284" s="171">
        <f t="shared" si="13"/>
        <v>0</v>
      </c>
      <c r="AI284" s="200">
        <f t="shared" si="14"/>
        <v>0</v>
      </c>
      <c r="AJ284" s="200">
        <f t="shared" si="1129"/>
        <v>0</v>
      </c>
      <c r="AK284" s="201">
        <f t="shared" ref="AK284:AS284" si="1425">countif($D284,"*"&amp;AK$2&amp;"*")</f>
        <v>0</v>
      </c>
      <c r="AL284" s="201">
        <f t="shared" si="1425"/>
        <v>0</v>
      </c>
      <c r="AM284" s="201">
        <f t="shared" si="1425"/>
        <v>0</v>
      </c>
      <c r="AN284" s="201">
        <f t="shared" si="1425"/>
        <v>0</v>
      </c>
      <c r="AO284" s="201">
        <f t="shared" si="1425"/>
        <v>0</v>
      </c>
      <c r="AP284" s="201">
        <f t="shared" si="1425"/>
        <v>0</v>
      </c>
      <c r="AQ284" s="201">
        <f t="shared" si="1425"/>
        <v>0</v>
      </c>
      <c r="AR284" s="200">
        <f t="shared" si="1425"/>
        <v>0</v>
      </c>
      <c r="AS284" s="200">
        <f t="shared" si="1425"/>
        <v>0</v>
      </c>
      <c r="AT284" s="173">
        <v>0.0</v>
      </c>
      <c r="AU284" s="200">
        <f t="shared" ref="AU284:AX284" si="1426">countif($D284,"*"&amp;AU$2&amp;"*")</f>
        <v>0</v>
      </c>
      <c r="AV284" s="200">
        <f t="shared" si="1426"/>
        <v>1</v>
      </c>
      <c r="AW284" s="200">
        <f t="shared" si="1426"/>
        <v>0</v>
      </c>
      <c r="AX284" s="200">
        <f t="shared" si="1426"/>
        <v>0</v>
      </c>
      <c r="AY284" s="202">
        <v>0.0</v>
      </c>
      <c r="AZ284" s="200"/>
      <c r="BA284" s="171" t="str">
        <f t="shared" si="18"/>
        <v/>
      </c>
      <c r="BB284" s="171" t="str">
        <f t="shared" si="19"/>
        <v>Code</v>
      </c>
      <c r="BC284" s="171" t="str">
        <f t="shared" si="20"/>
        <v/>
      </c>
      <c r="BD284" s="171" t="str">
        <f t="shared" si="21"/>
        <v/>
      </c>
      <c r="BE284" s="171" t="str">
        <f t="shared" si="22"/>
        <v/>
      </c>
      <c r="BF284" s="171" t="str">
        <f t="shared" si="23"/>
        <v>Code</v>
      </c>
    </row>
    <row r="285">
      <c r="A285" s="171">
        <f t="array" ref="A285">XLOOKUP(C285,ICSE!A:A,ICSE!C:C,,2,1)</f>
        <v>2021</v>
      </c>
      <c r="B285" s="171" t="s">
        <v>5675</v>
      </c>
      <c r="C285" s="160">
        <v>526.0</v>
      </c>
      <c r="D285" s="161" t="s">
        <v>2061</v>
      </c>
      <c r="E285" s="197" t="str">
        <f t="array" ref="E285">XLOOKUP(C285,ICSE!A:A,ICSE!Z:Z,,0,1)</f>
        <v>Publicly available (1)</v>
      </c>
      <c r="F285" s="198" t="s">
        <v>20</v>
      </c>
      <c r="G285" s="163" t="str">
        <f t="array" ref="G285">IF(B285="ICSE",IF(COUNTIFS(B:B,B285,C:C,C285)=XLOOKUP(C285,ICSE!A:A,ICSE!AA:AA,"ERROR",0,1),"OK","ERROR"),IF(B285="FSE",IF(COUNTIFS(B:B,B285,C:C,C285)=XLOOKUP(C285,FSE!A:A,FSE!AA:AA,"ERROR",0,1),"OK","ERROR")))</f>
        <v>OK</v>
      </c>
      <c r="H285" s="199">
        <f t="shared" ref="H285:O285" si="1427">countif($D285,"*"&amp;H$2&amp;"*")</f>
        <v>0</v>
      </c>
      <c r="I285" s="200">
        <f t="shared" si="1427"/>
        <v>0</v>
      </c>
      <c r="J285" s="200">
        <f t="shared" si="1427"/>
        <v>0</v>
      </c>
      <c r="K285" s="200">
        <f t="shared" si="1427"/>
        <v>0</v>
      </c>
      <c r="L285" s="200">
        <f t="shared" si="1427"/>
        <v>0</v>
      </c>
      <c r="M285" s="200">
        <f t="shared" si="1427"/>
        <v>0</v>
      </c>
      <c r="N285" s="200">
        <f t="shared" si="1427"/>
        <v>0</v>
      </c>
      <c r="O285" s="200">
        <f t="shared" si="1427"/>
        <v>0</v>
      </c>
      <c r="P285" s="200">
        <f t="shared" si="9"/>
        <v>1</v>
      </c>
      <c r="Q285" s="200">
        <f t="shared" ref="Q285:AC285" si="1428">countif($D285,"*"&amp;Q$2&amp;"*")</f>
        <v>0</v>
      </c>
      <c r="R285" s="200">
        <f t="shared" si="1428"/>
        <v>0</v>
      </c>
      <c r="S285" s="200">
        <f t="shared" si="1428"/>
        <v>0</v>
      </c>
      <c r="T285" s="200">
        <f t="shared" si="1428"/>
        <v>0</v>
      </c>
      <c r="U285" s="200">
        <f t="shared" si="1428"/>
        <v>0</v>
      </c>
      <c r="V285" s="200">
        <f t="shared" si="1428"/>
        <v>0</v>
      </c>
      <c r="W285" s="200">
        <f t="shared" si="1428"/>
        <v>0</v>
      </c>
      <c r="X285" s="200">
        <f t="shared" si="1428"/>
        <v>0</v>
      </c>
      <c r="Y285" s="200">
        <f t="shared" si="1428"/>
        <v>0</v>
      </c>
      <c r="Z285" s="200">
        <f t="shared" si="1428"/>
        <v>0</v>
      </c>
      <c r="AA285" s="200">
        <f t="shared" si="1428"/>
        <v>0</v>
      </c>
      <c r="AB285" s="200">
        <f t="shared" si="1428"/>
        <v>0</v>
      </c>
      <c r="AC285" s="200">
        <f t="shared" si="1428"/>
        <v>0</v>
      </c>
      <c r="AD285" s="200">
        <f t="shared" si="11"/>
        <v>0</v>
      </c>
      <c r="AE285" s="200">
        <f t="shared" ref="AE285:AG285" si="1429">countif($D285,"*"&amp;AE$2&amp;"*")</f>
        <v>0</v>
      </c>
      <c r="AF285" s="200">
        <f t="shared" si="1429"/>
        <v>0</v>
      </c>
      <c r="AG285" s="200">
        <f t="shared" si="1429"/>
        <v>0</v>
      </c>
      <c r="AH285" s="171">
        <f t="shared" si="13"/>
        <v>0</v>
      </c>
      <c r="AI285" s="200">
        <f t="shared" si="14"/>
        <v>0</v>
      </c>
      <c r="AJ285" s="200">
        <f t="shared" si="1129"/>
        <v>0</v>
      </c>
      <c r="AK285" s="201">
        <f t="shared" ref="AK285:AS285" si="1430">countif($D285,"*"&amp;AK$2&amp;"*")</f>
        <v>0</v>
      </c>
      <c r="AL285" s="201">
        <f t="shared" si="1430"/>
        <v>0</v>
      </c>
      <c r="AM285" s="201">
        <f t="shared" si="1430"/>
        <v>0</v>
      </c>
      <c r="AN285" s="201">
        <f t="shared" si="1430"/>
        <v>0</v>
      </c>
      <c r="AO285" s="201">
        <f t="shared" si="1430"/>
        <v>0</v>
      </c>
      <c r="AP285" s="201">
        <f t="shared" si="1430"/>
        <v>0</v>
      </c>
      <c r="AQ285" s="201">
        <f t="shared" si="1430"/>
        <v>0</v>
      </c>
      <c r="AR285" s="200">
        <f t="shared" si="1430"/>
        <v>0</v>
      </c>
      <c r="AS285" s="200">
        <f t="shared" si="1430"/>
        <v>0</v>
      </c>
      <c r="AT285" s="173">
        <v>0.0</v>
      </c>
      <c r="AU285" s="200">
        <f t="shared" ref="AU285:AX285" si="1431">countif($D285,"*"&amp;AU$2&amp;"*")</f>
        <v>0</v>
      </c>
      <c r="AV285" s="200">
        <f t="shared" si="1431"/>
        <v>1</v>
      </c>
      <c r="AW285" s="200">
        <f t="shared" si="1431"/>
        <v>0</v>
      </c>
      <c r="AX285" s="200">
        <f t="shared" si="1431"/>
        <v>0</v>
      </c>
      <c r="AY285" s="202">
        <v>0.0</v>
      </c>
      <c r="AZ285" s="200"/>
      <c r="BA285" s="171" t="str">
        <f t="shared" si="18"/>
        <v/>
      </c>
      <c r="BB285" s="171" t="str">
        <f t="shared" si="19"/>
        <v>Code</v>
      </c>
      <c r="BC285" s="171" t="str">
        <f t="shared" si="20"/>
        <v/>
      </c>
      <c r="BD285" s="171" t="str">
        <f t="shared" si="21"/>
        <v/>
      </c>
      <c r="BE285" s="171" t="str">
        <f t="shared" si="22"/>
        <v/>
      </c>
      <c r="BF285" s="171" t="str">
        <f t="shared" si="23"/>
        <v>Code</v>
      </c>
    </row>
    <row r="286">
      <c r="A286" s="171">
        <f t="array" ref="A286">XLOOKUP(C286,ICSE!A:A,ICSE!C:C,,2,1)</f>
        <v>2021</v>
      </c>
      <c r="B286" s="171" t="s">
        <v>5675</v>
      </c>
      <c r="C286" s="160">
        <v>527.0</v>
      </c>
      <c r="D286" s="161" t="s">
        <v>2064</v>
      </c>
      <c r="E286" s="197" t="str">
        <f t="array" ref="E286">XLOOKUP(C286,ICSE!A:A,ICSE!Z:Z,,0,1)</f>
        <v>Publicly available (1)</v>
      </c>
      <c r="F286" s="198" t="s">
        <v>20</v>
      </c>
      <c r="G286" s="163" t="str">
        <f t="array" ref="G286">IF(B286="ICSE",IF(COUNTIFS(B:B,B286,C:C,C286)=XLOOKUP(C286,ICSE!A:A,ICSE!AA:AA,"ERROR",0,1),"OK","ERROR"),IF(B286="FSE",IF(COUNTIFS(B:B,B286,C:C,C286)=XLOOKUP(C286,FSE!A:A,FSE!AA:AA,"ERROR",0,1),"OK","ERROR")))</f>
        <v>OK</v>
      </c>
      <c r="H286" s="199">
        <f t="shared" ref="H286:O286" si="1432">countif($D286,"*"&amp;H$2&amp;"*")</f>
        <v>0</v>
      </c>
      <c r="I286" s="200">
        <f t="shared" si="1432"/>
        <v>0</v>
      </c>
      <c r="J286" s="200">
        <f t="shared" si="1432"/>
        <v>0</v>
      </c>
      <c r="K286" s="200">
        <f t="shared" si="1432"/>
        <v>0</v>
      </c>
      <c r="L286" s="200">
        <f t="shared" si="1432"/>
        <v>0</v>
      </c>
      <c r="M286" s="200">
        <f t="shared" si="1432"/>
        <v>0</v>
      </c>
      <c r="N286" s="200">
        <f t="shared" si="1432"/>
        <v>0</v>
      </c>
      <c r="O286" s="200">
        <f t="shared" si="1432"/>
        <v>0</v>
      </c>
      <c r="P286" s="200">
        <f t="shared" si="9"/>
        <v>1</v>
      </c>
      <c r="Q286" s="200">
        <f t="shared" ref="Q286:AC286" si="1433">countif($D286,"*"&amp;Q$2&amp;"*")</f>
        <v>0</v>
      </c>
      <c r="R286" s="200">
        <f t="shared" si="1433"/>
        <v>0</v>
      </c>
      <c r="S286" s="200">
        <f t="shared" si="1433"/>
        <v>0</v>
      </c>
      <c r="T286" s="200">
        <f t="shared" si="1433"/>
        <v>0</v>
      </c>
      <c r="U286" s="200">
        <f t="shared" si="1433"/>
        <v>0</v>
      </c>
      <c r="V286" s="200">
        <f t="shared" si="1433"/>
        <v>0</v>
      </c>
      <c r="W286" s="200">
        <f t="shared" si="1433"/>
        <v>0</v>
      </c>
      <c r="X286" s="200">
        <f t="shared" si="1433"/>
        <v>0</v>
      </c>
      <c r="Y286" s="200">
        <f t="shared" si="1433"/>
        <v>0</v>
      </c>
      <c r="Z286" s="200">
        <f t="shared" si="1433"/>
        <v>0</v>
      </c>
      <c r="AA286" s="200">
        <f t="shared" si="1433"/>
        <v>0</v>
      </c>
      <c r="AB286" s="200">
        <f t="shared" si="1433"/>
        <v>0</v>
      </c>
      <c r="AC286" s="200">
        <f t="shared" si="1433"/>
        <v>0</v>
      </c>
      <c r="AD286" s="200">
        <f t="shared" si="11"/>
        <v>0</v>
      </c>
      <c r="AE286" s="200">
        <f t="shared" ref="AE286:AG286" si="1434">countif($D286,"*"&amp;AE$2&amp;"*")</f>
        <v>0</v>
      </c>
      <c r="AF286" s="200">
        <f t="shared" si="1434"/>
        <v>0</v>
      </c>
      <c r="AG286" s="200">
        <f t="shared" si="1434"/>
        <v>0</v>
      </c>
      <c r="AH286" s="171">
        <f t="shared" si="13"/>
        <v>0</v>
      </c>
      <c r="AI286" s="200">
        <f t="shared" si="14"/>
        <v>0</v>
      </c>
      <c r="AJ286" s="200">
        <f t="shared" si="1129"/>
        <v>0</v>
      </c>
      <c r="AK286" s="201">
        <f t="shared" ref="AK286:AS286" si="1435">countif($D286,"*"&amp;AK$2&amp;"*")</f>
        <v>0</v>
      </c>
      <c r="AL286" s="201">
        <f t="shared" si="1435"/>
        <v>0</v>
      </c>
      <c r="AM286" s="201">
        <f t="shared" si="1435"/>
        <v>0</v>
      </c>
      <c r="AN286" s="201">
        <f t="shared" si="1435"/>
        <v>0</v>
      </c>
      <c r="AO286" s="201">
        <f t="shared" si="1435"/>
        <v>0</v>
      </c>
      <c r="AP286" s="201">
        <f t="shared" si="1435"/>
        <v>0</v>
      </c>
      <c r="AQ286" s="201">
        <f t="shared" si="1435"/>
        <v>0</v>
      </c>
      <c r="AR286" s="200">
        <f t="shared" si="1435"/>
        <v>0</v>
      </c>
      <c r="AS286" s="200">
        <f t="shared" si="1435"/>
        <v>0</v>
      </c>
      <c r="AT286" s="173">
        <v>0.0</v>
      </c>
      <c r="AU286" s="200">
        <f t="shared" ref="AU286:AX286" si="1436">countif($D286,"*"&amp;AU$2&amp;"*")</f>
        <v>0</v>
      </c>
      <c r="AV286" s="200">
        <f t="shared" si="1436"/>
        <v>1</v>
      </c>
      <c r="AW286" s="200">
        <f t="shared" si="1436"/>
        <v>0</v>
      </c>
      <c r="AX286" s="200">
        <f t="shared" si="1436"/>
        <v>0</v>
      </c>
      <c r="AY286" s="202">
        <v>0.0</v>
      </c>
      <c r="AZ286" s="200"/>
      <c r="BA286" s="171" t="str">
        <f t="shared" si="18"/>
        <v/>
      </c>
      <c r="BB286" s="171" t="str">
        <f t="shared" si="19"/>
        <v>Code</v>
      </c>
      <c r="BC286" s="171" t="str">
        <f t="shared" si="20"/>
        <v/>
      </c>
      <c r="BD286" s="171" t="str">
        <f t="shared" si="21"/>
        <v/>
      </c>
      <c r="BE286" s="171" t="str">
        <f t="shared" si="22"/>
        <v/>
      </c>
      <c r="BF286" s="171" t="str">
        <f t="shared" si="23"/>
        <v>Code</v>
      </c>
    </row>
    <row r="287">
      <c r="A287" s="171">
        <f t="array" ref="A287">XLOOKUP(C287,ICSE!A:A,ICSE!C:C,,2,1)</f>
        <v>2021</v>
      </c>
      <c r="B287" s="171" t="s">
        <v>5675</v>
      </c>
      <c r="C287" s="160">
        <v>528.0</v>
      </c>
      <c r="D287" s="161" t="s">
        <v>2066</v>
      </c>
      <c r="E287" s="197" t="str">
        <f t="array" ref="E287">XLOOKUP(C287,ICSE!A:A,ICSE!Z:Z,,0,1)</f>
        <v>Not available (1) - Broken link.</v>
      </c>
      <c r="F287" s="198" t="s">
        <v>21</v>
      </c>
      <c r="G287" s="163" t="str">
        <f t="array" ref="G287">IF(B287="ICSE",IF(COUNTIFS(B:B,B287,C:C,C287)=XLOOKUP(C287,ICSE!A:A,ICSE!AA:AA,"ERROR",0,1),"OK","ERROR"),IF(B287="FSE",IF(COUNTIFS(B:B,B287,C:C,C287)=XLOOKUP(C287,FSE!A:A,FSE!AA:AA,"ERROR",0,1),"OK","ERROR")))</f>
        <v>OK</v>
      </c>
      <c r="H287" s="199">
        <f t="shared" ref="H287:O287" si="1437">countif($D287,"*"&amp;H$2&amp;"*")</f>
        <v>0</v>
      </c>
      <c r="I287" s="200">
        <f t="shared" si="1437"/>
        <v>0</v>
      </c>
      <c r="J287" s="200">
        <f t="shared" si="1437"/>
        <v>0</v>
      </c>
      <c r="K287" s="200">
        <f t="shared" si="1437"/>
        <v>0</v>
      </c>
      <c r="L287" s="200">
        <f t="shared" si="1437"/>
        <v>0</v>
      </c>
      <c r="M287" s="200">
        <f t="shared" si="1437"/>
        <v>0</v>
      </c>
      <c r="N287" s="200">
        <f t="shared" si="1437"/>
        <v>0</v>
      </c>
      <c r="O287" s="200">
        <f t="shared" si="1437"/>
        <v>0</v>
      </c>
      <c r="P287" s="200">
        <f t="shared" si="9"/>
        <v>0</v>
      </c>
      <c r="Q287" s="200">
        <f t="shared" ref="Q287:AC287" si="1438">countif($D287,"*"&amp;Q$2&amp;"*")</f>
        <v>0</v>
      </c>
      <c r="R287" s="200">
        <f t="shared" si="1438"/>
        <v>0</v>
      </c>
      <c r="S287" s="200">
        <f t="shared" si="1438"/>
        <v>0</v>
      </c>
      <c r="T287" s="200">
        <f t="shared" si="1438"/>
        <v>0</v>
      </c>
      <c r="U287" s="200">
        <f t="shared" si="1438"/>
        <v>0</v>
      </c>
      <c r="V287" s="200">
        <f t="shared" si="1438"/>
        <v>0</v>
      </c>
      <c r="W287" s="200">
        <f t="shared" si="1438"/>
        <v>0</v>
      </c>
      <c r="X287" s="200">
        <f t="shared" si="1438"/>
        <v>0</v>
      </c>
      <c r="Y287" s="200">
        <f t="shared" si="1438"/>
        <v>0</v>
      </c>
      <c r="Z287" s="200">
        <f t="shared" si="1438"/>
        <v>0</v>
      </c>
      <c r="AA287" s="200">
        <f t="shared" si="1438"/>
        <v>1</v>
      </c>
      <c r="AB287" s="200">
        <f t="shared" si="1438"/>
        <v>0</v>
      </c>
      <c r="AC287" s="200">
        <f t="shared" si="1438"/>
        <v>0</v>
      </c>
      <c r="AD287" s="200">
        <f t="shared" si="11"/>
        <v>0</v>
      </c>
      <c r="AE287" s="200">
        <f t="shared" ref="AE287:AG287" si="1439">countif($D287,"*"&amp;AE$2&amp;"*")</f>
        <v>0</v>
      </c>
      <c r="AF287" s="200">
        <f t="shared" si="1439"/>
        <v>0</v>
      </c>
      <c r="AG287" s="200">
        <f t="shared" si="1439"/>
        <v>0</v>
      </c>
      <c r="AH287" s="171">
        <f t="shared" si="13"/>
        <v>0</v>
      </c>
      <c r="AI287" s="200">
        <f t="shared" si="14"/>
        <v>0</v>
      </c>
      <c r="AJ287" s="200">
        <f t="shared" si="1129"/>
        <v>0</v>
      </c>
      <c r="AK287" s="201">
        <f t="shared" ref="AK287:AS287" si="1440">countif($D287,"*"&amp;AK$2&amp;"*")</f>
        <v>0</v>
      </c>
      <c r="AL287" s="201">
        <f t="shared" si="1440"/>
        <v>0</v>
      </c>
      <c r="AM287" s="201">
        <f t="shared" si="1440"/>
        <v>0</v>
      </c>
      <c r="AN287" s="201">
        <f t="shared" si="1440"/>
        <v>0</v>
      </c>
      <c r="AO287" s="201">
        <f t="shared" si="1440"/>
        <v>0</v>
      </c>
      <c r="AP287" s="201">
        <f t="shared" si="1440"/>
        <v>0</v>
      </c>
      <c r="AQ287" s="201">
        <f t="shared" si="1440"/>
        <v>0</v>
      </c>
      <c r="AR287" s="200">
        <f t="shared" si="1440"/>
        <v>0</v>
      </c>
      <c r="AS287" s="200">
        <f t="shared" si="1440"/>
        <v>0</v>
      </c>
      <c r="AT287" s="173">
        <v>0.0</v>
      </c>
      <c r="AU287" s="200">
        <f t="shared" ref="AU287:AX287" si="1441">countif($D287,"*"&amp;AU$2&amp;"*")</f>
        <v>0</v>
      </c>
      <c r="AV287" s="200">
        <f t="shared" si="1441"/>
        <v>0</v>
      </c>
      <c r="AW287" s="200">
        <f t="shared" si="1441"/>
        <v>0</v>
      </c>
      <c r="AX287" s="200">
        <f t="shared" si="1441"/>
        <v>0</v>
      </c>
      <c r="AY287" s="202">
        <v>0.0</v>
      </c>
      <c r="AZ287" s="200"/>
      <c r="BA287" s="171" t="str">
        <f t="shared" si="18"/>
        <v/>
      </c>
      <c r="BB287" s="171" t="str">
        <f t="shared" si="19"/>
        <v/>
      </c>
      <c r="BC287" s="171" t="str">
        <f t="shared" si="20"/>
        <v>General-purpose</v>
      </c>
      <c r="BD287" s="171" t="str">
        <f t="shared" si="21"/>
        <v/>
      </c>
      <c r="BE287" s="171" t="str">
        <f t="shared" si="22"/>
        <v/>
      </c>
      <c r="BF287" s="171" t="str">
        <f t="shared" si="23"/>
        <v>General-purpose</v>
      </c>
    </row>
    <row r="288">
      <c r="A288" s="171">
        <f t="array" ref="A288">XLOOKUP(C288,ICSE!A:A,ICSE!C:C,,2,1)</f>
        <v>2021</v>
      </c>
      <c r="B288" s="171" t="s">
        <v>5675</v>
      </c>
      <c r="C288" s="160">
        <v>529.0</v>
      </c>
      <c r="D288" s="161" t="s">
        <v>2069</v>
      </c>
      <c r="E288" s="197" t="str">
        <f t="array" ref="E288">XLOOKUP(C288,ICSE!A:A,ICSE!Z:Z,,0,1)</f>
        <v>Publicly available (1)</v>
      </c>
      <c r="F288" s="198" t="s">
        <v>20</v>
      </c>
      <c r="G288" s="163" t="str">
        <f t="array" ref="G288">IF(B288="ICSE",IF(COUNTIFS(B:B,B288,C:C,C288)=XLOOKUP(C288,ICSE!A:A,ICSE!AA:AA,"ERROR",0,1),"OK","ERROR"),IF(B288="FSE",IF(COUNTIFS(B:B,B288,C:C,C288)=XLOOKUP(C288,FSE!A:A,FSE!AA:AA,"ERROR",0,1),"OK","ERROR")))</f>
        <v>OK</v>
      </c>
      <c r="H288" s="199">
        <f t="shared" ref="H288:O288" si="1442">countif($D288,"*"&amp;H$2&amp;"*")</f>
        <v>0</v>
      </c>
      <c r="I288" s="200">
        <f t="shared" si="1442"/>
        <v>0</v>
      </c>
      <c r="J288" s="200">
        <f t="shared" si="1442"/>
        <v>0</v>
      </c>
      <c r="K288" s="200">
        <f t="shared" si="1442"/>
        <v>0</v>
      </c>
      <c r="L288" s="200">
        <f t="shared" si="1442"/>
        <v>0</v>
      </c>
      <c r="M288" s="200">
        <f t="shared" si="1442"/>
        <v>0</v>
      </c>
      <c r="N288" s="200">
        <f t="shared" si="1442"/>
        <v>0</v>
      </c>
      <c r="O288" s="200">
        <f t="shared" si="1442"/>
        <v>0</v>
      </c>
      <c r="P288" s="200">
        <f t="shared" si="9"/>
        <v>1</v>
      </c>
      <c r="Q288" s="200">
        <f t="shared" ref="Q288:AC288" si="1443">countif($D288,"*"&amp;Q$2&amp;"*")</f>
        <v>0</v>
      </c>
      <c r="R288" s="200">
        <f t="shared" si="1443"/>
        <v>0</v>
      </c>
      <c r="S288" s="200">
        <f t="shared" si="1443"/>
        <v>0</v>
      </c>
      <c r="T288" s="200">
        <f t="shared" si="1443"/>
        <v>0</v>
      </c>
      <c r="U288" s="200">
        <f t="shared" si="1443"/>
        <v>0</v>
      </c>
      <c r="V288" s="200">
        <f t="shared" si="1443"/>
        <v>0</v>
      </c>
      <c r="W288" s="200">
        <f t="shared" si="1443"/>
        <v>0</v>
      </c>
      <c r="X288" s="200">
        <f t="shared" si="1443"/>
        <v>0</v>
      </c>
      <c r="Y288" s="200">
        <f t="shared" si="1443"/>
        <v>0</v>
      </c>
      <c r="Z288" s="200">
        <f t="shared" si="1443"/>
        <v>0</v>
      </c>
      <c r="AA288" s="200">
        <f t="shared" si="1443"/>
        <v>0</v>
      </c>
      <c r="AB288" s="200">
        <f t="shared" si="1443"/>
        <v>0</v>
      </c>
      <c r="AC288" s="200">
        <f t="shared" si="1443"/>
        <v>0</v>
      </c>
      <c r="AD288" s="200">
        <f t="shared" si="11"/>
        <v>0</v>
      </c>
      <c r="AE288" s="200">
        <f t="shared" ref="AE288:AG288" si="1444">countif($D288,"*"&amp;AE$2&amp;"*")</f>
        <v>0</v>
      </c>
      <c r="AF288" s="200">
        <f t="shared" si="1444"/>
        <v>0</v>
      </c>
      <c r="AG288" s="200">
        <f t="shared" si="1444"/>
        <v>0</v>
      </c>
      <c r="AH288" s="171">
        <f t="shared" si="13"/>
        <v>0</v>
      </c>
      <c r="AI288" s="200">
        <f t="shared" si="14"/>
        <v>0</v>
      </c>
      <c r="AJ288" s="200">
        <f t="shared" si="1129"/>
        <v>0</v>
      </c>
      <c r="AK288" s="201">
        <f t="shared" ref="AK288:AS288" si="1445">countif($D288,"*"&amp;AK$2&amp;"*")</f>
        <v>0</v>
      </c>
      <c r="AL288" s="201">
        <f t="shared" si="1445"/>
        <v>0</v>
      </c>
      <c r="AM288" s="201">
        <f t="shared" si="1445"/>
        <v>0</v>
      </c>
      <c r="AN288" s="201">
        <f t="shared" si="1445"/>
        <v>0</v>
      </c>
      <c r="AO288" s="201">
        <f t="shared" si="1445"/>
        <v>0</v>
      </c>
      <c r="AP288" s="201">
        <f t="shared" si="1445"/>
        <v>0</v>
      </c>
      <c r="AQ288" s="201">
        <f t="shared" si="1445"/>
        <v>0</v>
      </c>
      <c r="AR288" s="200">
        <f t="shared" si="1445"/>
        <v>0</v>
      </c>
      <c r="AS288" s="200">
        <f t="shared" si="1445"/>
        <v>0</v>
      </c>
      <c r="AT288" s="173">
        <v>0.0</v>
      </c>
      <c r="AU288" s="200">
        <f t="shared" ref="AU288:AX288" si="1446">countif($D288,"*"&amp;AU$2&amp;"*")</f>
        <v>0</v>
      </c>
      <c r="AV288" s="200">
        <f t="shared" si="1446"/>
        <v>1</v>
      </c>
      <c r="AW288" s="200">
        <f t="shared" si="1446"/>
        <v>0</v>
      </c>
      <c r="AX288" s="200">
        <f t="shared" si="1446"/>
        <v>0</v>
      </c>
      <c r="AY288" s="202">
        <v>0.0</v>
      </c>
      <c r="AZ288" s="200"/>
      <c r="BA288" s="171" t="str">
        <f t="shared" si="18"/>
        <v/>
      </c>
      <c r="BB288" s="171" t="str">
        <f t="shared" si="19"/>
        <v>Code</v>
      </c>
      <c r="BC288" s="171" t="str">
        <f t="shared" si="20"/>
        <v/>
      </c>
      <c r="BD288" s="171" t="str">
        <f t="shared" si="21"/>
        <v/>
      </c>
      <c r="BE288" s="171" t="str">
        <f t="shared" si="22"/>
        <v/>
      </c>
      <c r="BF288" s="171" t="str">
        <f t="shared" si="23"/>
        <v>Code</v>
      </c>
    </row>
    <row r="289">
      <c r="A289" s="171">
        <f t="array" ref="A289">XLOOKUP(C289,ICSE!A:A,ICSE!C:C,,2,1)</f>
        <v>2021</v>
      </c>
      <c r="B289" s="171" t="s">
        <v>5675</v>
      </c>
      <c r="C289" s="160">
        <v>530.0</v>
      </c>
      <c r="D289" s="161" t="s">
        <v>2071</v>
      </c>
      <c r="E289" s="197" t="str">
        <f t="array" ref="E289">XLOOKUP(C289,ICSE!A:A,ICSE!Z:Z,,0,1)</f>
        <v>Not available (1) - Broken link.</v>
      </c>
      <c r="F289" s="198" t="s">
        <v>21</v>
      </c>
      <c r="G289" s="163" t="str">
        <f t="array" ref="G289">IF(B289="ICSE",IF(COUNTIFS(B:B,B289,C:C,C289)=XLOOKUP(C289,ICSE!A:A,ICSE!AA:AA,"ERROR",0,1),"OK","ERROR"),IF(B289="FSE",IF(COUNTIFS(B:B,B289,C:C,C289)=XLOOKUP(C289,FSE!A:A,FSE!AA:AA,"ERROR",0,1),"OK","ERROR")))</f>
        <v>OK</v>
      </c>
      <c r="H289" s="199">
        <f t="shared" ref="H289:O289" si="1447">countif($D289,"*"&amp;H$2&amp;"*")</f>
        <v>0</v>
      </c>
      <c r="I289" s="200">
        <f t="shared" si="1447"/>
        <v>0</v>
      </c>
      <c r="J289" s="200">
        <f t="shared" si="1447"/>
        <v>0</v>
      </c>
      <c r="K289" s="200">
        <f t="shared" si="1447"/>
        <v>0</v>
      </c>
      <c r="L289" s="200">
        <f t="shared" si="1447"/>
        <v>0</v>
      </c>
      <c r="M289" s="200">
        <f t="shared" si="1447"/>
        <v>0</v>
      </c>
      <c r="N289" s="200">
        <f t="shared" si="1447"/>
        <v>0</v>
      </c>
      <c r="O289" s="200">
        <f t="shared" si="1447"/>
        <v>0</v>
      </c>
      <c r="P289" s="200">
        <f t="shared" si="9"/>
        <v>0</v>
      </c>
      <c r="Q289" s="200">
        <f t="shared" ref="Q289:AC289" si="1448">countif($D289,"*"&amp;Q$2&amp;"*")</f>
        <v>0</v>
      </c>
      <c r="R289" s="200">
        <f t="shared" si="1448"/>
        <v>0</v>
      </c>
      <c r="S289" s="200">
        <f t="shared" si="1448"/>
        <v>0</v>
      </c>
      <c r="T289" s="200">
        <f t="shared" si="1448"/>
        <v>0</v>
      </c>
      <c r="U289" s="200">
        <f t="shared" si="1448"/>
        <v>0</v>
      </c>
      <c r="V289" s="200">
        <f t="shared" si="1448"/>
        <v>0</v>
      </c>
      <c r="W289" s="200">
        <f t="shared" si="1448"/>
        <v>0</v>
      </c>
      <c r="X289" s="200">
        <f t="shared" si="1448"/>
        <v>0</v>
      </c>
      <c r="Y289" s="200">
        <f t="shared" si="1448"/>
        <v>0</v>
      </c>
      <c r="Z289" s="200">
        <f t="shared" si="1448"/>
        <v>0</v>
      </c>
      <c r="AA289" s="200">
        <f t="shared" si="1448"/>
        <v>0</v>
      </c>
      <c r="AB289" s="200">
        <f t="shared" si="1448"/>
        <v>0</v>
      </c>
      <c r="AC289" s="200">
        <f t="shared" si="1448"/>
        <v>0</v>
      </c>
      <c r="AD289" s="200">
        <f t="shared" si="11"/>
        <v>1</v>
      </c>
      <c r="AE289" s="200">
        <f t="shared" ref="AE289:AG289" si="1449">countif($D289,"*"&amp;AE$2&amp;"*")</f>
        <v>0</v>
      </c>
      <c r="AF289" s="200">
        <f t="shared" si="1449"/>
        <v>0</v>
      </c>
      <c r="AG289" s="200">
        <f t="shared" si="1449"/>
        <v>0</v>
      </c>
      <c r="AH289" s="171">
        <f t="shared" si="13"/>
        <v>0</v>
      </c>
      <c r="AI289" s="200">
        <f t="shared" si="14"/>
        <v>0</v>
      </c>
      <c r="AJ289" s="200">
        <f t="shared" si="1129"/>
        <v>0</v>
      </c>
      <c r="AK289" s="201">
        <f t="shared" ref="AK289:AS289" si="1450">countif($D289,"*"&amp;AK$2&amp;"*")</f>
        <v>0</v>
      </c>
      <c r="AL289" s="201">
        <f t="shared" si="1450"/>
        <v>0</v>
      </c>
      <c r="AM289" s="201">
        <f t="shared" si="1450"/>
        <v>0</v>
      </c>
      <c r="AN289" s="201">
        <f t="shared" si="1450"/>
        <v>0</v>
      </c>
      <c r="AO289" s="201">
        <f t="shared" si="1450"/>
        <v>0</v>
      </c>
      <c r="AP289" s="201">
        <f t="shared" si="1450"/>
        <v>0</v>
      </c>
      <c r="AQ289" s="201">
        <f t="shared" si="1450"/>
        <v>0</v>
      </c>
      <c r="AR289" s="200">
        <f t="shared" si="1450"/>
        <v>0</v>
      </c>
      <c r="AS289" s="200">
        <f t="shared" si="1450"/>
        <v>0</v>
      </c>
      <c r="AT289" s="173">
        <v>1.0</v>
      </c>
      <c r="AU289" s="200">
        <f t="shared" ref="AU289:AX289" si="1451">countif($D289,"*"&amp;AU$2&amp;"*")</f>
        <v>0</v>
      </c>
      <c r="AV289" s="200">
        <f t="shared" si="1451"/>
        <v>0</v>
      </c>
      <c r="AW289" s="200">
        <f t="shared" si="1451"/>
        <v>0</v>
      </c>
      <c r="AX289" s="200">
        <f t="shared" si="1451"/>
        <v>0</v>
      </c>
      <c r="AY289" s="202">
        <v>0.0</v>
      </c>
      <c r="AZ289" s="200"/>
      <c r="BA289" s="171" t="str">
        <f t="shared" si="18"/>
        <v/>
      </c>
      <c r="BB289" s="171" t="str">
        <f t="shared" si="19"/>
        <v/>
      </c>
      <c r="BC289" s="171" t="str">
        <f t="shared" si="20"/>
        <v/>
      </c>
      <c r="BD289" s="171" t="str">
        <f t="shared" si="21"/>
        <v>Institutional</v>
      </c>
      <c r="BE289" s="171" t="str">
        <f t="shared" si="22"/>
        <v/>
      </c>
      <c r="BF289" s="171" t="str">
        <f t="shared" si="23"/>
        <v>Institutional</v>
      </c>
    </row>
    <row r="290">
      <c r="A290" s="171">
        <f t="array" ref="A290">XLOOKUP(C290,ICSE!A:A,ICSE!C:C,,2,1)</f>
        <v>2021</v>
      </c>
      <c r="B290" s="171" t="s">
        <v>5675</v>
      </c>
      <c r="C290" s="160">
        <v>531.0</v>
      </c>
      <c r="D290" s="161" t="s">
        <v>2074</v>
      </c>
      <c r="E290" s="197" t="str">
        <f t="array" ref="E290">XLOOKUP(C290,ICSE!A:A,ICSE!Z:Z,,0,1)</f>
        <v>Publicly available (1)</v>
      </c>
      <c r="F290" s="198" t="s">
        <v>20</v>
      </c>
      <c r="G290" s="163" t="str">
        <f t="array" ref="G290">IF(B290="ICSE",IF(COUNTIFS(B:B,B290,C:C,C290)=XLOOKUP(C290,ICSE!A:A,ICSE!AA:AA,"ERROR",0,1),"OK","ERROR"),IF(B290="FSE",IF(COUNTIFS(B:B,B290,C:C,C290)=XLOOKUP(C290,FSE!A:A,FSE!AA:AA,"ERROR",0,1),"OK","ERROR")))</f>
        <v>OK</v>
      </c>
      <c r="H290" s="199">
        <f t="shared" ref="H290:O290" si="1452">countif($D290,"*"&amp;H$2&amp;"*")</f>
        <v>0</v>
      </c>
      <c r="I290" s="200">
        <f t="shared" si="1452"/>
        <v>1</v>
      </c>
      <c r="J290" s="200">
        <f t="shared" si="1452"/>
        <v>0</v>
      </c>
      <c r="K290" s="200">
        <f t="shared" si="1452"/>
        <v>0</v>
      </c>
      <c r="L290" s="200">
        <f t="shared" si="1452"/>
        <v>0</v>
      </c>
      <c r="M290" s="200">
        <f t="shared" si="1452"/>
        <v>0</v>
      </c>
      <c r="N290" s="200">
        <f t="shared" si="1452"/>
        <v>0</v>
      </c>
      <c r="O290" s="200">
        <f t="shared" si="1452"/>
        <v>0</v>
      </c>
      <c r="P290" s="200">
        <f t="shared" si="9"/>
        <v>0</v>
      </c>
      <c r="Q290" s="200">
        <f t="shared" ref="Q290:AC290" si="1453">countif($D290,"*"&amp;Q$2&amp;"*")</f>
        <v>0</v>
      </c>
      <c r="R290" s="200">
        <f t="shared" si="1453"/>
        <v>0</v>
      </c>
      <c r="S290" s="200">
        <f t="shared" si="1453"/>
        <v>0</v>
      </c>
      <c r="T290" s="200">
        <f t="shared" si="1453"/>
        <v>0</v>
      </c>
      <c r="U290" s="200">
        <f t="shared" si="1453"/>
        <v>0</v>
      </c>
      <c r="V290" s="200">
        <f t="shared" si="1453"/>
        <v>0</v>
      </c>
      <c r="W290" s="200">
        <f t="shared" si="1453"/>
        <v>0</v>
      </c>
      <c r="X290" s="200">
        <f t="shared" si="1453"/>
        <v>0</v>
      </c>
      <c r="Y290" s="200">
        <f t="shared" si="1453"/>
        <v>0</v>
      </c>
      <c r="Z290" s="200">
        <f t="shared" si="1453"/>
        <v>0</v>
      </c>
      <c r="AA290" s="200">
        <f t="shared" si="1453"/>
        <v>0</v>
      </c>
      <c r="AB290" s="200">
        <f t="shared" si="1453"/>
        <v>0</v>
      </c>
      <c r="AC290" s="200">
        <f t="shared" si="1453"/>
        <v>0</v>
      </c>
      <c r="AD290" s="200">
        <f t="shared" si="11"/>
        <v>0</v>
      </c>
      <c r="AE290" s="200">
        <f t="shared" ref="AE290:AG290" si="1454">countif($D290,"*"&amp;AE$2&amp;"*")</f>
        <v>0</v>
      </c>
      <c r="AF290" s="200">
        <f t="shared" si="1454"/>
        <v>0</v>
      </c>
      <c r="AG290" s="200">
        <f t="shared" si="1454"/>
        <v>0</v>
      </c>
      <c r="AH290" s="171">
        <f t="shared" si="13"/>
        <v>0</v>
      </c>
      <c r="AI290" s="200">
        <f t="shared" si="14"/>
        <v>1</v>
      </c>
      <c r="AJ290" s="200">
        <f t="shared" si="1129"/>
        <v>0</v>
      </c>
      <c r="AK290" s="201">
        <f t="shared" ref="AK290:AS290" si="1455">countif($D290,"*"&amp;AK$2&amp;"*")</f>
        <v>0</v>
      </c>
      <c r="AL290" s="201">
        <f t="shared" si="1455"/>
        <v>0</v>
      </c>
      <c r="AM290" s="201">
        <f t="shared" si="1455"/>
        <v>0</v>
      </c>
      <c r="AN290" s="201">
        <f t="shared" si="1455"/>
        <v>0</v>
      </c>
      <c r="AO290" s="201">
        <f t="shared" si="1455"/>
        <v>0</v>
      </c>
      <c r="AP290" s="201">
        <f t="shared" si="1455"/>
        <v>0</v>
      </c>
      <c r="AQ290" s="201">
        <f t="shared" si="1455"/>
        <v>0</v>
      </c>
      <c r="AR290" s="200">
        <f t="shared" si="1455"/>
        <v>0</v>
      </c>
      <c r="AS290" s="200">
        <f t="shared" si="1455"/>
        <v>0</v>
      </c>
      <c r="AT290" s="173">
        <v>0.0</v>
      </c>
      <c r="AU290" s="200">
        <f t="shared" ref="AU290:AX290" si="1456">countif($D290,"*"&amp;AU$2&amp;"*")</f>
        <v>0</v>
      </c>
      <c r="AV290" s="200">
        <f t="shared" si="1456"/>
        <v>0</v>
      </c>
      <c r="AW290" s="200">
        <f t="shared" si="1456"/>
        <v>0</v>
      </c>
      <c r="AX290" s="200">
        <f t="shared" si="1456"/>
        <v>1</v>
      </c>
      <c r="AY290" s="202">
        <v>0.0</v>
      </c>
      <c r="AZ290" s="200"/>
      <c r="BA290" s="171" t="str">
        <f t="shared" si="18"/>
        <v>Archival</v>
      </c>
      <c r="BB290" s="171" t="str">
        <f t="shared" si="19"/>
        <v/>
      </c>
      <c r="BC290" s="171" t="str">
        <f t="shared" si="20"/>
        <v/>
      </c>
      <c r="BD290" s="171" t="str">
        <f t="shared" si="21"/>
        <v/>
      </c>
      <c r="BE290" s="171" t="str">
        <f t="shared" si="22"/>
        <v/>
      </c>
      <c r="BF290" s="171" t="str">
        <f t="shared" si="23"/>
        <v>Archival</v>
      </c>
    </row>
    <row r="291">
      <c r="A291" s="171">
        <f t="array" ref="A291">XLOOKUP(C291,ICSE!A:A,ICSE!C:C,,2,1)</f>
        <v>2021</v>
      </c>
      <c r="B291" s="171" t="s">
        <v>5675</v>
      </c>
      <c r="C291" s="160">
        <v>532.0</v>
      </c>
      <c r="D291" s="161" t="s">
        <v>2077</v>
      </c>
      <c r="E291" s="197" t="str">
        <f t="array" ref="E291">XLOOKUP(C291,ICSE!A:A,ICSE!Z:Z,,0,1)</f>
        <v>Publicly available (1)</v>
      </c>
      <c r="F291" s="198" t="s">
        <v>20</v>
      </c>
      <c r="G291" s="163" t="str">
        <f t="array" ref="G291">IF(B291="ICSE",IF(COUNTIFS(B:B,B291,C:C,C291)=XLOOKUP(C291,ICSE!A:A,ICSE!AA:AA,"ERROR",0,1),"OK","ERROR"),IF(B291="FSE",IF(COUNTIFS(B:B,B291,C:C,C291)=XLOOKUP(C291,FSE!A:A,FSE!AA:AA,"ERROR",0,1),"OK","ERROR")))</f>
        <v>OK</v>
      </c>
      <c r="H291" s="199">
        <f t="shared" ref="H291:O291" si="1457">countif($D291,"*"&amp;H$2&amp;"*")</f>
        <v>1</v>
      </c>
      <c r="I291" s="200">
        <f t="shared" si="1457"/>
        <v>0</v>
      </c>
      <c r="J291" s="200">
        <f t="shared" si="1457"/>
        <v>0</v>
      </c>
      <c r="K291" s="200">
        <f t="shared" si="1457"/>
        <v>0</v>
      </c>
      <c r="L291" s="200">
        <f t="shared" si="1457"/>
        <v>0</v>
      </c>
      <c r="M291" s="200">
        <f t="shared" si="1457"/>
        <v>0</v>
      </c>
      <c r="N291" s="200">
        <f t="shared" si="1457"/>
        <v>0</v>
      </c>
      <c r="O291" s="200">
        <f t="shared" si="1457"/>
        <v>0</v>
      </c>
      <c r="P291" s="200">
        <f t="shared" si="9"/>
        <v>0</v>
      </c>
      <c r="Q291" s="200">
        <f t="shared" ref="Q291:AC291" si="1458">countif($D291,"*"&amp;Q$2&amp;"*")</f>
        <v>0</v>
      </c>
      <c r="R291" s="200">
        <f t="shared" si="1458"/>
        <v>0</v>
      </c>
      <c r="S291" s="200">
        <f t="shared" si="1458"/>
        <v>0</v>
      </c>
      <c r="T291" s="200">
        <f t="shared" si="1458"/>
        <v>0</v>
      </c>
      <c r="U291" s="200">
        <f t="shared" si="1458"/>
        <v>0</v>
      </c>
      <c r="V291" s="200">
        <f t="shared" si="1458"/>
        <v>0</v>
      </c>
      <c r="W291" s="200">
        <f t="shared" si="1458"/>
        <v>0</v>
      </c>
      <c r="X291" s="200">
        <f t="shared" si="1458"/>
        <v>0</v>
      </c>
      <c r="Y291" s="200">
        <f t="shared" si="1458"/>
        <v>0</v>
      </c>
      <c r="Z291" s="200">
        <f t="shared" si="1458"/>
        <v>0</v>
      </c>
      <c r="AA291" s="200">
        <f t="shared" si="1458"/>
        <v>0</v>
      </c>
      <c r="AB291" s="200">
        <f t="shared" si="1458"/>
        <v>0</v>
      </c>
      <c r="AC291" s="200">
        <f t="shared" si="1458"/>
        <v>0</v>
      </c>
      <c r="AD291" s="200">
        <f t="shared" si="11"/>
        <v>0</v>
      </c>
      <c r="AE291" s="200">
        <f t="shared" ref="AE291:AG291" si="1459">countif($D291,"*"&amp;AE$2&amp;"*")</f>
        <v>0</v>
      </c>
      <c r="AF291" s="200">
        <f t="shared" si="1459"/>
        <v>0</v>
      </c>
      <c r="AG291" s="200">
        <f t="shared" si="1459"/>
        <v>0</v>
      </c>
      <c r="AH291" s="171">
        <f t="shared" si="13"/>
        <v>0</v>
      </c>
      <c r="AI291" s="200">
        <f t="shared" si="14"/>
        <v>1</v>
      </c>
      <c r="AJ291" s="200">
        <f t="shared" si="1129"/>
        <v>0</v>
      </c>
      <c r="AK291" s="201">
        <f t="shared" ref="AK291:AS291" si="1460">countif($D291,"*"&amp;AK$2&amp;"*")</f>
        <v>0</v>
      </c>
      <c r="AL291" s="201">
        <f t="shared" si="1460"/>
        <v>0</v>
      </c>
      <c r="AM291" s="201">
        <f t="shared" si="1460"/>
        <v>0</v>
      </c>
      <c r="AN291" s="201">
        <f t="shared" si="1460"/>
        <v>0</v>
      </c>
      <c r="AO291" s="201">
        <f t="shared" si="1460"/>
        <v>0</v>
      </c>
      <c r="AP291" s="201">
        <f t="shared" si="1460"/>
        <v>0</v>
      </c>
      <c r="AQ291" s="201">
        <f t="shared" si="1460"/>
        <v>0</v>
      </c>
      <c r="AR291" s="200">
        <f t="shared" si="1460"/>
        <v>0</v>
      </c>
      <c r="AS291" s="200">
        <f t="shared" si="1460"/>
        <v>0</v>
      </c>
      <c r="AT291" s="173">
        <v>0.0</v>
      </c>
      <c r="AU291" s="200">
        <f t="shared" ref="AU291:AX291" si="1461">countif($D291,"*"&amp;AU$2&amp;"*")</f>
        <v>0</v>
      </c>
      <c r="AV291" s="200">
        <f t="shared" si="1461"/>
        <v>0</v>
      </c>
      <c r="AW291" s="200">
        <f t="shared" si="1461"/>
        <v>0</v>
      </c>
      <c r="AX291" s="200">
        <f t="shared" si="1461"/>
        <v>1</v>
      </c>
      <c r="AY291" s="202">
        <v>0.0</v>
      </c>
      <c r="AZ291" s="200"/>
      <c r="BA291" s="171" t="str">
        <f t="shared" si="18"/>
        <v>Archival</v>
      </c>
      <c r="BB291" s="171" t="str">
        <f t="shared" si="19"/>
        <v/>
      </c>
      <c r="BC291" s="171" t="str">
        <f t="shared" si="20"/>
        <v/>
      </c>
      <c r="BD291" s="171" t="str">
        <f t="shared" si="21"/>
        <v/>
      </c>
      <c r="BE291" s="171" t="str">
        <f t="shared" si="22"/>
        <v/>
      </c>
      <c r="BF291" s="171" t="str">
        <f t="shared" si="23"/>
        <v>Archival</v>
      </c>
    </row>
    <row r="292">
      <c r="A292" s="171">
        <f t="array" ref="A292">XLOOKUP(C292,ICSE!A:A,ICSE!C:C,,2,1)</f>
        <v>2021</v>
      </c>
      <c r="B292" s="171" t="s">
        <v>5675</v>
      </c>
      <c r="C292" s="160">
        <v>533.0</v>
      </c>
      <c r="D292" s="161" t="s">
        <v>5824</v>
      </c>
      <c r="E292" s="197" t="str">
        <f t="array" ref="E292">XLOOKUP(C292,ICSE!A:A,ICSE!Z:Z,,0,1)</f>
        <v>Publicly available (6)</v>
      </c>
      <c r="F292" s="198" t="s">
        <v>20</v>
      </c>
      <c r="G292" s="163" t="str">
        <f t="array" ref="G292">IF(B292="ICSE",IF(COUNTIFS(B:B,B292,C:C,C292)=XLOOKUP(C292,ICSE!A:A,ICSE!AA:AA,"ERROR",0,1),"OK","ERROR"),IF(B292="FSE",IF(COUNTIFS(B:B,B292,C:C,C292)=XLOOKUP(C292,FSE!A:A,FSE!AA:AA,"ERROR",0,1),"OK","ERROR")))</f>
        <v>OK</v>
      </c>
      <c r="H292" s="199">
        <f t="shared" ref="H292:O292" si="1462">countif($D292,"*"&amp;H$2&amp;"*")</f>
        <v>0</v>
      </c>
      <c r="I292" s="200">
        <f t="shared" si="1462"/>
        <v>1</v>
      </c>
      <c r="J292" s="200">
        <f t="shared" si="1462"/>
        <v>0</v>
      </c>
      <c r="K292" s="200">
        <f t="shared" si="1462"/>
        <v>0</v>
      </c>
      <c r="L292" s="200">
        <f t="shared" si="1462"/>
        <v>0</v>
      </c>
      <c r="M292" s="200">
        <f t="shared" si="1462"/>
        <v>0</v>
      </c>
      <c r="N292" s="200">
        <f t="shared" si="1462"/>
        <v>0</v>
      </c>
      <c r="O292" s="200">
        <f t="shared" si="1462"/>
        <v>0</v>
      </c>
      <c r="P292" s="200">
        <f t="shared" si="9"/>
        <v>0</v>
      </c>
      <c r="Q292" s="200">
        <f t="shared" ref="Q292:AC292" si="1463">countif($D292,"*"&amp;Q$2&amp;"*")</f>
        <v>0</v>
      </c>
      <c r="R292" s="200">
        <f t="shared" si="1463"/>
        <v>0</v>
      </c>
      <c r="S292" s="200">
        <f t="shared" si="1463"/>
        <v>0</v>
      </c>
      <c r="T292" s="200">
        <f t="shared" si="1463"/>
        <v>0</v>
      </c>
      <c r="U292" s="200">
        <f t="shared" si="1463"/>
        <v>0</v>
      </c>
      <c r="V292" s="200">
        <f t="shared" si="1463"/>
        <v>0</v>
      </c>
      <c r="W292" s="200">
        <f t="shared" si="1463"/>
        <v>0</v>
      </c>
      <c r="X292" s="200">
        <f t="shared" si="1463"/>
        <v>0</v>
      </c>
      <c r="Y292" s="200">
        <f t="shared" si="1463"/>
        <v>0</v>
      </c>
      <c r="Z292" s="200">
        <f t="shared" si="1463"/>
        <v>0</v>
      </c>
      <c r="AA292" s="200">
        <f t="shared" si="1463"/>
        <v>0</v>
      </c>
      <c r="AB292" s="200">
        <f t="shared" si="1463"/>
        <v>0</v>
      </c>
      <c r="AC292" s="200">
        <f t="shared" si="1463"/>
        <v>0</v>
      </c>
      <c r="AD292" s="200">
        <f t="shared" si="11"/>
        <v>0</v>
      </c>
      <c r="AE292" s="200">
        <f t="shared" ref="AE292:AG292" si="1464">countif($D292,"*"&amp;AE$2&amp;"*")</f>
        <v>0</v>
      </c>
      <c r="AF292" s="200">
        <f t="shared" si="1464"/>
        <v>0</v>
      </c>
      <c r="AG292" s="200">
        <f t="shared" si="1464"/>
        <v>0</v>
      </c>
      <c r="AH292" s="171">
        <f t="shared" si="13"/>
        <v>0</v>
      </c>
      <c r="AI292" s="200">
        <f t="shared" si="14"/>
        <v>1</v>
      </c>
      <c r="AJ292" s="200">
        <f t="shared" si="1129"/>
        <v>0</v>
      </c>
      <c r="AK292" s="201">
        <f t="shared" ref="AK292:AS292" si="1465">countif($D292,"*"&amp;AK$2&amp;"*")</f>
        <v>0</v>
      </c>
      <c r="AL292" s="201">
        <f t="shared" si="1465"/>
        <v>0</v>
      </c>
      <c r="AM292" s="201">
        <f t="shared" si="1465"/>
        <v>0</v>
      </c>
      <c r="AN292" s="201">
        <f t="shared" si="1465"/>
        <v>0</v>
      </c>
      <c r="AO292" s="201">
        <f t="shared" si="1465"/>
        <v>0</v>
      </c>
      <c r="AP292" s="201">
        <f t="shared" si="1465"/>
        <v>0</v>
      </c>
      <c r="AQ292" s="201">
        <f t="shared" si="1465"/>
        <v>0</v>
      </c>
      <c r="AR292" s="200">
        <f t="shared" si="1465"/>
        <v>0</v>
      </c>
      <c r="AS292" s="200">
        <f t="shared" si="1465"/>
        <v>0</v>
      </c>
      <c r="AT292" s="173">
        <v>0.0</v>
      </c>
      <c r="AU292" s="200">
        <f t="shared" ref="AU292:AX292" si="1466">countif($D292,"*"&amp;AU$2&amp;"*")</f>
        <v>0</v>
      </c>
      <c r="AV292" s="200">
        <f t="shared" si="1466"/>
        <v>0</v>
      </c>
      <c r="AW292" s="200">
        <f t="shared" si="1466"/>
        <v>0</v>
      </c>
      <c r="AX292" s="200">
        <f t="shared" si="1466"/>
        <v>1</v>
      </c>
      <c r="AY292" s="202">
        <v>0.0</v>
      </c>
      <c r="AZ292" s="200"/>
      <c r="BA292" s="171" t="str">
        <f t="shared" si="18"/>
        <v>Archival</v>
      </c>
      <c r="BB292" s="171" t="str">
        <f t="shared" si="19"/>
        <v/>
      </c>
      <c r="BC292" s="171" t="str">
        <f t="shared" si="20"/>
        <v/>
      </c>
      <c r="BD292" s="171" t="str">
        <f t="shared" si="21"/>
        <v/>
      </c>
      <c r="BE292" s="171" t="str">
        <f t="shared" si="22"/>
        <v/>
      </c>
      <c r="BF292" s="171" t="str">
        <f t="shared" si="23"/>
        <v>Archival</v>
      </c>
    </row>
    <row r="293">
      <c r="A293" s="171">
        <f t="array" ref="A293">XLOOKUP(C293,ICSE!A:A,ICSE!C:C,,2,1)</f>
        <v>2021</v>
      </c>
      <c r="B293" s="171" t="s">
        <v>5675</v>
      </c>
      <c r="C293" s="160">
        <v>533.0</v>
      </c>
      <c r="D293" s="161" t="s">
        <v>5825</v>
      </c>
      <c r="E293" s="197" t="str">
        <f t="array" ref="E293">XLOOKUP(C293,ICSE!A:A,ICSE!Z:Z,,0,1)</f>
        <v>Publicly available (6)</v>
      </c>
      <c r="F293" s="198" t="s">
        <v>20</v>
      </c>
      <c r="G293" s="163" t="str">
        <f t="array" ref="G293">IF(B293="ICSE",IF(COUNTIFS(B:B,B293,C:C,C293)=XLOOKUP(C293,ICSE!A:A,ICSE!AA:AA,"ERROR",0,1),"OK","ERROR"),IF(B293="FSE",IF(COUNTIFS(B:B,B293,C:C,C293)=XLOOKUP(C293,FSE!A:A,FSE!AA:AA,"ERROR",0,1),"OK","ERROR")))</f>
        <v>OK</v>
      </c>
      <c r="H293" s="199">
        <f t="shared" ref="H293:O293" si="1467">countif($D293,"*"&amp;H$2&amp;"*")</f>
        <v>0</v>
      </c>
      <c r="I293" s="200">
        <f t="shared" si="1467"/>
        <v>1</v>
      </c>
      <c r="J293" s="200">
        <f t="shared" si="1467"/>
        <v>0</v>
      </c>
      <c r="K293" s="200">
        <f t="shared" si="1467"/>
        <v>0</v>
      </c>
      <c r="L293" s="200">
        <f t="shared" si="1467"/>
        <v>0</v>
      </c>
      <c r="M293" s="200">
        <f t="shared" si="1467"/>
        <v>0</v>
      </c>
      <c r="N293" s="200">
        <f t="shared" si="1467"/>
        <v>0</v>
      </c>
      <c r="O293" s="200">
        <f t="shared" si="1467"/>
        <v>0</v>
      </c>
      <c r="P293" s="200">
        <f t="shared" si="9"/>
        <v>0</v>
      </c>
      <c r="Q293" s="200">
        <f t="shared" ref="Q293:AC293" si="1468">countif($D293,"*"&amp;Q$2&amp;"*")</f>
        <v>0</v>
      </c>
      <c r="R293" s="200">
        <f t="shared" si="1468"/>
        <v>0</v>
      </c>
      <c r="S293" s="200">
        <f t="shared" si="1468"/>
        <v>0</v>
      </c>
      <c r="T293" s="200">
        <f t="shared" si="1468"/>
        <v>0</v>
      </c>
      <c r="U293" s="200">
        <f t="shared" si="1468"/>
        <v>0</v>
      </c>
      <c r="V293" s="200">
        <f t="shared" si="1468"/>
        <v>0</v>
      </c>
      <c r="W293" s="200">
        <f t="shared" si="1468"/>
        <v>0</v>
      </c>
      <c r="X293" s="200">
        <f t="shared" si="1468"/>
        <v>0</v>
      </c>
      <c r="Y293" s="200">
        <f t="shared" si="1468"/>
        <v>0</v>
      </c>
      <c r="Z293" s="200">
        <f t="shared" si="1468"/>
        <v>0</v>
      </c>
      <c r="AA293" s="200">
        <f t="shared" si="1468"/>
        <v>0</v>
      </c>
      <c r="AB293" s="200">
        <f t="shared" si="1468"/>
        <v>0</v>
      </c>
      <c r="AC293" s="200">
        <f t="shared" si="1468"/>
        <v>0</v>
      </c>
      <c r="AD293" s="200">
        <f t="shared" si="11"/>
        <v>0</v>
      </c>
      <c r="AE293" s="200">
        <f t="shared" ref="AE293:AG293" si="1469">countif($D293,"*"&amp;AE$2&amp;"*")</f>
        <v>0</v>
      </c>
      <c r="AF293" s="200">
        <f t="shared" si="1469"/>
        <v>0</v>
      </c>
      <c r="AG293" s="200">
        <f t="shared" si="1469"/>
        <v>0</v>
      </c>
      <c r="AH293" s="171">
        <f t="shared" si="13"/>
        <v>0</v>
      </c>
      <c r="AI293" s="200">
        <f t="shared" si="14"/>
        <v>1</v>
      </c>
      <c r="AJ293" s="200">
        <f t="shared" si="1129"/>
        <v>0</v>
      </c>
      <c r="AK293" s="201">
        <f t="shared" ref="AK293:AS293" si="1470">countif($D293,"*"&amp;AK$2&amp;"*")</f>
        <v>0</v>
      </c>
      <c r="AL293" s="201">
        <f t="shared" si="1470"/>
        <v>0</v>
      </c>
      <c r="AM293" s="201">
        <f t="shared" si="1470"/>
        <v>0</v>
      </c>
      <c r="AN293" s="201">
        <f t="shared" si="1470"/>
        <v>0</v>
      </c>
      <c r="AO293" s="201">
        <f t="shared" si="1470"/>
        <v>0</v>
      </c>
      <c r="AP293" s="201">
        <f t="shared" si="1470"/>
        <v>0</v>
      </c>
      <c r="AQ293" s="201">
        <f t="shared" si="1470"/>
        <v>0</v>
      </c>
      <c r="AR293" s="200">
        <f t="shared" si="1470"/>
        <v>0</v>
      </c>
      <c r="AS293" s="200">
        <f t="shared" si="1470"/>
        <v>0</v>
      </c>
      <c r="AT293" s="173">
        <v>0.0</v>
      </c>
      <c r="AU293" s="200">
        <f t="shared" ref="AU293:AX293" si="1471">countif($D293,"*"&amp;AU$2&amp;"*")</f>
        <v>0</v>
      </c>
      <c r="AV293" s="200">
        <f t="shared" si="1471"/>
        <v>0</v>
      </c>
      <c r="AW293" s="200">
        <f t="shared" si="1471"/>
        <v>0</v>
      </c>
      <c r="AX293" s="200">
        <f t="shared" si="1471"/>
        <v>1</v>
      </c>
      <c r="AY293" s="202">
        <v>0.0</v>
      </c>
      <c r="AZ293" s="200"/>
      <c r="BA293" s="171" t="str">
        <f t="shared" si="18"/>
        <v>Archival</v>
      </c>
      <c r="BB293" s="171" t="str">
        <f t="shared" si="19"/>
        <v/>
      </c>
      <c r="BC293" s="171" t="str">
        <f t="shared" si="20"/>
        <v/>
      </c>
      <c r="BD293" s="171" t="str">
        <f t="shared" si="21"/>
        <v/>
      </c>
      <c r="BE293" s="171" t="str">
        <f t="shared" si="22"/>
        <v/>
      </c>
      <c r="BF293" s="171" t="str">
        <f t="shared" si="23"/>
        <v>Archival</v>
      </c>
    </row>
    <row r="294">
      <c r="A294" s="171">
        <f t="array" ref="A294">XLOOKUP(C294,ICSE!A:A,ICSE!C:C,,2,1)</f>
        <v>2021</v>
      </c>
      <c r="B294" s="171" t="s">
        <v>5675</v>
      </c>
      <c r="C294" s="160">
        <v>533.0</v>
      </c>
      <c r="D294" s="161" t="s">
        <v>5826</v>
      </c>
      <c r="E294" s="197" t="str">
        <f t="array" ref="E294">XLOOKUP(C294,ICSE!A:A,ICSE!Z:Z,,0,1)</f>
        <v>Publicly available (6)</v>
      </c>
      <c r="F294" s="198" t="s">
        <v>20</v>
      </c>
      <c r="G294" s="163" t="str">
        <f t="array" ref="G294">IF(B294="ICSE",IF(COUNTIFS(B:B,B294,C:C,C294)=XLOOKUP(C294,ICSE!A:A,ICSE!AA:AA,"ERROR",0,1),"OK","ERROR"),IF(B294="FSE",IF(COUNTIFS(B:B,B294,C:C,C294)=XLOOKUP(C294,FSE!A:A,FSE!AA:AA,"ERROR",0,1),"OK","ERROR")))</f>
        <v>OK</v>
      </c>
      <c r="H294" s="199">
        <f t="shared" ref="H294:O294" si="1472">countif($D294,"*"&amp;H$2&amp;"*")</f>
        <v>0</v>
      </c>
      <c r="I294" s="200">
        <f t="shared" si="1472"/>
        <v>1</v>
      </c>
      <c r="J294" s="200">
        <f t="shared" si="1472"/>
        <v>0</v>
      </c>
      <c r="K294" s="200">
        <f t="shared" si="1472"/>
        <v>0</v>
      </c>
      <c r="L294" s="200">
        <f t="shared" si="1472"/>
        <v>0</v>
      </c>
      <c r="M294" s="200">
        <f t="shared" si="1472"/>
        <v>0</v>
      </c>
      <c r="N294" s="200">
        <f t="shared" si="1472"/>
        <v>0</v>
      </c>
      <c r="O294" s="200">
        <f t="shared" si="1472"/>
        <v>0</v>
      </c>
      <c r="P294" s="200">
        <f t="shared" si="9"/>
        <v>0</v>
      </c>
      <c r="Q294" s="200">
        <f t="shared" ref="Q294:AC294" si="1473">countif($D294,"*"&amp;Q$2&amp;"*")</f>
        <v>0</v>
      </c>
      <c r="R294" s="200">
        <f t="shared" si="1473"/>
        <v>0</v>
      </c>
      <c r="S294" s="200">
        <f t="shared" si="1473"/>
        <v>0</v>
      </c>
      <c r="T294" s="200">
        <f t="shared" si="1473"/>
        <v>0</v>
      </c>
      <c r="U294" s="200">
        <f t="shared" si="1473"/>
        <v>0</v>
      </c>
      <c r="V294" s="200">
        <f t="shared" si="1473"/>
        <v>0</v>
      </c>
      <c r="W294" s="200">
        <f t="shared" si="1473"/>
        <v>0</v>
      </c>
      <c r="X294" s="200">
        <f t="shared" si="1473"/>
        <v>0</v>
      </c>
      <c r="Y294" s="200">
        <f t="shared" si="1473"/>
        <v>0</v>
      </c>
      <c r="Z294" s="200">
        <f t="shared" si="1473"/>
        <v>0</v>
      </c>
      <c r="AA294" s="200">
        <f t="shared" si="1473"/>
        <v>0</v>
      </c>
      <c r="AB294" s="200">
        <f t="shared" si="1473"/>
        <v>0</v>
      </c>
      <c r="AC294" s="200">
        <f t="shared" si="1473"/>
        <v>0</v>
      </c>
      <c r="AD294" s="200">
        <f t="shared" si="11"/>
        <v>0</v>
      </c>
      <c r="AE294" s="200">
        <f t="shared" ref="AE294:AG294" si="1474">countif($D294,"*"&amp;AE$2&amp;"*")</f>
        <v>0</v>
      </c>
      <c r="AF294" s="200">
        <f t="shared" si="1474"/>
        <v>0</v>
      </c>
      <c r="AG294" s="200">
        <f t="shared" si="1474"/>
        <v>0</v>
      </c>
      <c r="AH294" s="171">
        <f t="shared" si="13"/>
        <v>0</v>
      </c>
      <c r="AI294" s="200">
        <f t="shared" si="14"/>
        <v>1</v>
      </c>
      <c r="AJ294" s="200">
        <f t="shared" si="1129"/>
        <v>0</v>
      </c>
      <c r="AK294" s="201">
        <f t="shared" ref="AK294:AS294" si="1475">countif($D294,"*"&amp;AK$2&amp;"*")</f>
        <v>0</v>
      </c>
      <c r="AL294" s="201">
        <f t="shared" si="1475"/>
        <v>0</v>
      </c>
      <c r="AM294" s="201">
        <f t="shared" si="1475"/>
        <v>0</v>
      </c>
      <c r="AN294" s="201">
        <f t="shared" si="1475"/>
        <v>0</v>
      </c>
      <c r="AO294" s="201">
        <f t="shared" si="1475"/>
        <v>0</v>
      </c>
      <c r="AP294" s="201">
        <f t="shared" si="1475"/>
        <v>0</v>
      </c>
      <c r="AQ294" s="201">
        <f t="shared" si="1475"/>
        <v>0</v>
      </c>
      <c r="AR294" s="200">
        <f t="shared" si="1475"/>
        <v>0</v>
      </c>
      <c r="AS294" s="200">
        <f t="shared" si="1475"/>
        <v>0</v>
      </c>
      <c r="AT294" s="173">
        <v>0.0</v>
      </c>
      <c r="AU294" s="200">
        <f t="shared" ref="AU294:AX294" si="1476">countif($D294,"*"&amp;AU$2&amp;"*")</f>
        <v>0</v>
      </c>
      <c r="AV294" s="200">
        <f t="shared" si="1476"/>
        <v>0</v>
      </c>
      <c r="AW294" s="200">
        <f t="shared" si="1476"/>
        <v>0</v>
      </c>
      <c r="AX294" s="200">
        <f t="shared" si="1476"/>
        <v>1</v>
      </c>
      <c r="AY294" s="202">
        <v>0.0</v>
      </c>
      <c r="AZ294" s="200"/>
      <c r="BA294" s="171" t="str">
        <f t="shared" si="18"/>
        <v>Archival</v>
      </c>
      <c r="BB294" s="171" t="str">
        <f t="shared" si="19"/>
        <v/>
      </c>
      <c r="BC294" s="171" t="str">
        <f t="shared" si="20"/>
        <v/>
      </c>
      <c r="BD294" s="171" t="str">
        <f t="shared" si="21"/>
        <v/>
      </c>
      <c r="BE294" s="171" t="str">
        <f t="shared" si="22"/>
        <v/>
      </c>
      <c r="BF294" s="171" t="str">
        <f t="shared" si="23"/>
        <v>Archival</v>
      </c>
    </row>
    <row r="295">
      <c r="A295" s="171">
        <f t="array" ref="A295">XLOOKUP(C295,ICSE!A:A,ICSE!C:C,,2,1)</f>
        <v>2021</v>
      </c>
      <c r="B295" s="171" t="s">
        <v>5675</v>
      </c>
      <c r="C295" s="160">
        <v>533.0</v>
      </c>
      <c r="D295" s="161" t="s">
        <v>5827</v>
      </c>
      <c r="E295" s="197" t="str">
        <f t="array" ref="E295">XLOOKUP(C295,ICSE!A:A,ICSE!Z:Z,,0,1)</f>
        <v>Publicly available (6)</v>
      </c>
      <c r="F295" s="198" t="s">
        <v>20</v>
      </c>
      <c r="G295" s="163" t="str">
        <f t="array" ref="G295">IF(B295="ICSE",IF(COUNTIFS(B:B,B295,C:C,C295)=XLOOKUP(C295,ICSE!A:A,ICSE!AA:AA,"ERROR",0,1),"OK","ERROR"),IF(B295="FSE",IF(COUNTIFS(B:B,B295,C:C,C295)=XLOOKUP(C295,FSE!A:A,FSE!AA:AA,"ERROR",0,1),"OK","ERROR")))</f>
        <v>OK</v>
      </c>
      <c r="H295" s="199">
        <f t="shared" ref="H295:O295" si="1477">countif($D295,"*"&amp;H$2&amp;"*")</f>
        <v>0</v>
      </c>
      <c r="I295" s="200">
        <f t="shared" si="1477"/>
        <v>1</v>
      </c>
      <c r="J295" s="200">
        <f t="shared" si="1477"/>
        <v>0</v>
      </c>
      <c r="K295" s="200">
        <f t="shared" si="1477"/>
        <v>0</v>
      </c>
      <c r="L295" s="200">
        <f t="shared" si="1477"/>
        <v>0</v>
      </c>
      <c r="M295" s="200">
        <f t="shared" si="1477"/>
        <v>0</v>
      </c>
      <c r="N295" s="200">
        <f t="shared" si="1477"/>
        <v>0</v>
      </c>
      <c r="O295" s="200">
        <f t="shared" si="1477"/>
        <v>0</v>
      </c>
      <c r="P295" s="200">
        <f t="shared" si="9"/>
        <v>0</v>
      </c>
      <c r="Q295" s="200">
        <f t="shared" ref="Q295:AC295" si="1478">countif($D295,"*"&amp;Q$2&amp;"*")</f>
        <v>0</v>
      </c>
      <c r="R295" s="200">
        <f t="shared" si="1478"/>
        <v>0</v>
      </c>
      <c r="S295" s="200">
        <f t="shared" si="1478"/>
        <v>0</v>
      </c>
      <c r="T295" s="200">
        <f t="shared" si="1478"/>
        <v>0</v>
      </c>
      <c r="U295" s="200">
        <f t="shared" si="1478"/>
        <v>0</v>
      </c>
      <c r="V295" s="200">
        <f t="shared" si="1478"/>
        <v>0</v>
      </c>
      <c r="W295" s="200">
        <f t="shared" si="1478"/>
        <v>0</v>
      </c>
      <c r="X295" s="200">
        <f t="shared" si="1478"/>
        <v>0</v>
      </c>
      <c r="Y295" s="200">
        <f t="shared" si="1478"/>
        <v>0</v>
      </c>
      <c r="Z295" s="200">
        <f t="shared" si="1478"/>
        <v>0</v>
      </c>
      <c r="AA295" s="200">
        <f t="shared" si="1478"/>
        <v>0</v>
      </c>
      <c r="AB295" s="200">
        <f t="shared" si="1478"/>
        <v>0</v>
      </c>
      <c r="AC295" s="200">
        <f t="shared" si="1478"/>
        <v>0</v>
      </c>
      <c r="AD295" s="200">
        <f t="shared" si="11"/>
        <v>0</v>
      </c>
      <c r="AE295" s="200">
        <f t="shared" ref="AE295:AG295" si="1479">countif($D295,"*"&amp;AE$2&amp;"*")</f>
        <v>0</v>
      </c>
      <c r="AF295" s="200">
        <f t="shared" si="1479"/>
        <v>0</v>
      </c>
      <c r="AG295" s="200">
        <f t="shared" si="1479"/>
        <v>0</v>
      </c>
      <c r="AH295" s="171">
        <f t="shared" si="13"/>
        <v>0</v>
      </c>
      <c r="AI295" s="200">
        <f t="shared" si="14"/>
        <v>1</v>
      </c>
      <c r="AJ295" s="200">
        <f t="shared" si="1129"/>
        <v>0</v>
      </c>
      <c r="AK295" s="201">
        <f t="shared" ref="AK295:AS295" si="1480">countif($D295,"*"&amp;AK$2&amp;"*")</f>
        <v>0</v>
      </c>
      <c r="AL295" s="201">
        <f t="shared" si="1480"/>
        <v>0</v>
      </c>
      <c r="AM295" s="201">
        <f t="shared" si="1480"/>
        <v>0</v>
      </c>
      <c r="AN295" s="201">
        <f t="shared" si="1480"/>
        <v>0</v>
      </c>
      <c r="AO295" s="201">
        <f t="shared" si="1480"/>
        <v>0</v>
      </c>
      <c r="AP295" s="201">
        <f t="shared" si="1480"/>
        <v>0</v>
      </c>
      <c r="AQ295" s="201">
        <f t="shared" si="1480"/>
        <v>0</v>
      </c>
      <c r="AR295" s="200">
        <f t="shared" si="1480"/>
        <v>0</v>
      </c>
      <c r="AS295" s="200">
        <f t="shared" si="1480"/>
        <v>0</v>
      </c>
      <c r="AT295" s="173">
        <v>0.0</v>
      </c>
      <c r="AU295" s="200">
        <f t="shared" ref="AU295:AX295" si="1481">countif($D295,"*"&amp;AU$2&amp;"*")</f>
        <v>0</v>
      </c>
      <c r="AV295" s="200">
        <f t="shared" si="1481"/>
        <v>0</v>
      </c>
      <c r="AW295" s="200">
        <f t="shared" si="1481"/>
        <v>0</v>
      </c>
      <c r="AX295" s="200">
        <f t="shared" si="1481"/>
        <v>1</v>
      </c>
      <c r="AY295" s="202">
        <v>0.0</v>
      </c>
      <c r="AZ295" s="200"/>
      <c r="BA295" s="171" t="str">
        <f t="shared" si="18"/>
        <v>Archival</v>
      </c>
      <c r="BB295" s="171" t="str">
        <f t="shared" si="19"/>
        <v/>
      </c>
      <c r="BC295" s="171" t="str">
        <f t="shared" si="20"/>
        <v/>
      </c>
      <c r="BD295" s="171" t="str">
        <f t="shared" si="21"/>
        <v/>
      </c>
      <c r="BE295" s="171" t="str">
        <f t="shared" si="22"/>
        <v/>
      </c>
      <c r="BF295" s="171" t="str">
        <f t="shared" si="23"/>
        <v>Archival</v>
      </c>
    </row>
    <row r="296">
      <c r="A296" s="171">
        <f t="array" ref="A296">XLOOKUP(C296,ICSE!A:A,ICSE!C:C,,2,1)</f>
        <v>2021</v>
      </c>
      <c r="B296" s="171" t="s">
        <v>5675</v>
      </c>
      <c r="C296" s="160">
        <v>533.0</v>
      </c>
      <c r="D296" s="161" t="s">
        <v>5828</v>
      </c>
      <c r="E296" s="197" t="str">
        <f t="array" ref="E296">XLOOKUP(C296,ICSE!A:A,ICSE!Z:Z,,0,1)</f>
        <v>Publicly available (6)</v>
      </c>
      <c r="F296" s="198" t="s">
        <v>20</v>
      </c>
      <c r="G296" s="163" t="str">
        <f t="array" ref="G296">IF(B296="ICSE",IF(COUNTIFS(B:B,B296,C:C,C296)=XLOOKUP(C296,ICSE!A:A,ICSE!AA:AA,"ERROR",0,1),"OK","ERROR"),IF(B296="FSE",IF(COUNTIFS(B:B,B296,C:C,C296)=XLOOKUP(C296,FSE!A:A,FSE!AA:AA,"ERROR",0,1),"OK","ERROR")))</f>
        <v>OK</v>
      </c>
      <c r="H296" s="199">
        <f t="shared" ref="H296:O296" si="1482">countif($D296,"*"&amp;H$2&amp;"*")</f>
        <v>0</v>
      </c>
      <c r="I296" s="200">
        <f t="shared" si="1482"/>
        <v>1</v>
      </c>
      <c r="J296" s="200">
        <f t="shared" si="1482"/>
        <v>0</v>
      </c>
      <c r="K296" s="200">
        <f t="shared" si="1482"/>
        <v>0</v>
      </c>
      <c r="L296" s="200">
        <f t="shared" si="1482"/>
        <v>0</v>
      </c>
      <c r="M296" s="200">
        <f t="shared" si="1482"/>
        <v>0</v>
      </c>
      <c r="N296" s="200">
        <f t="shared" si="1482"/>
        <v>0</v>
      </c>
      <c r="O296" s="200">
        <f t="shared" si="1482"/>
        <v>0</v>
      </c>
      <c r="P296" s="200">
        <f t="shared" si="9"/>
        <v>0</v>
      </c>
      <c r="Q296" s="200">
        <f t="shared" ref="Q296:AC296" si="1483">countif($D296,"*"&amp;Q$2&amp;"*")</f>
        <v>0</v>
      </c>
      <c r="R296" s="200">
        <f t="shared" si="1483"/>
        <v>0</v>
      </c>
      <c r="S296" s="200">
        <f t="shared" si="1483"/>
        <v>0</v>
      </c>
      <c r="T296" s="200">
        <f t="shared" si="1483"/>
        <v>0</v>
      </c>
      <c r="U296" s="200">
        <f t="shared" si="1483"/>
        <v>0</v>
      </c>
      <c r="V296" s="200">
        <f t="shared" si="1483"/>
        <v>0</v>
      </c>
      <c r="W296" s="200">
        <f t="shared" si="1483"/>
        <v>0</v>
      </c>
      <c r="X296" s="200">
        <f t="shared" si="1483"/>
        <v>0</v>
      </c>
      <c r="Y296" s="200">
        <f t="shared" si="1483"/>
        <v>0</v>
      </c>
      <c r="Z296" s="200">
        <f t="shared" si="1483"/>
        <v>0</v>
      </c>
      <c r="AA296" s="200">
        <f t="shared" si="1483"/>
        <v>0</v>
      </c>
      <c r="AB296" s="200">
        <f t="shared" si="1483"/>
        <v>0</v>
      </c>
      <c r="AC296" s="200">
        <f t="shared" si="1483"/>
        <v>0</v>
      </c>
      <c r="AD296" s="200">
        <f t="shared" si="11"/>
        <v>0</v>
      </c>
      <c r="AE296" s="200">
        <f t="shared" ref="AE296:AG296" si="1484">countif($D296,"*"&amp;AE$2&amp;"*")</f>
        <v>0</v>
      </c>
      <c r="AF296" s="200">
        <f t="shared" si="1484"/>
        <v>0</v>
      </c>
      <c r="AG296" s="200">
        <f t="shared" si="1484"/>
        <v>0</v>
      </c>
      <c r="AH296" s="171">
        <f t="shared" si="13"/>
        <v>0</v>
      </c>
      <c r="AI296" s="200">
        <f t="shared" si="14"/>
        <v>1</v>
      </c>
      <c r="AJ296" s="200">
        <f t="shared" si="1129"/>
        <v>0</v>
      </c>
      <c r="AK296" s="201">
        <f t="shared" ref="AK296:AS296" si="1485">countif($D296,"*"&amp;AK$2&amp;"*")</f>
        <v>0</v>
      </c>
      <c r="AL296" s="201">
        <f t="shared" si="1485"/>
        <v>0</v>
      </c>
      <c r="AM296" s="201">
        <f t="shared" si="1485"/>
        <v>0</v>
      </c>
      <c r="AN296" s="201">
        <f t="shared" si="1485"/>
        <v>0</v>
      </c>
      <c r="AO296" s="201">
        <f t="shared" si="1485"/>
        <v>0</v>
      </c>
      <c r="AP296" s="201">
        <f t="shared" si="1485"/>
        <v>0</v>
      </c>
      <c r="AQ296" s="201">
        <f t="shared" si="1485"/>
        <v>0</v>
      </c>
      <c r="AR296" s="200">
        <f t="shared" si="1485"/>
        <v>0</v>
      </c>
      <c r="AS296" s="200">
        <f t="shared" si="1485"/>
        <v>0</v>
      </c>
      <c r="AT296" s="173">
        <v>0.0</v>
      </c>
      <c r="AU296" s="200">
        <f t="shared" ref="AU296:AX296" si="1486">countif($D296,"*"&amp;AU$2&amp;"*")</f>
        <v>0</v>
      </c>
      <c r="AV296" s="200">
        <f t="shared" si="1486"/>
        <v>0</v>
      </c>
      <c r="AW296" s="200">
        <f t="shared" si="1486"/>
        <v>0</v>
      </c>
      <c r="AX296" s="200">
        <f t="shared" si="1486"/>
        <v>1</v>
      </c>
      <c r="AY296" s="202">
        <v>0.0</v>
      </c>
      <c r="AZ296" s="200"/>
      <c r="BA296" s="171" t="str">
        <f t="shared" si="18"/>
        <v>Archival</v>
      </c>
      <c r="BB296" s="171" t="str">
        <f t="shared" si="19"/>
        <v/>
      </c>
      <c r="BC296" s="171" t="str">
        <f t="shared" si="20"/>
        <v/>
      </c>
      <c r="BD296" s="171" t="str">
        <f t="shared" si="21"/>
        <v/>
      </c>
      <c r="BE296" s="171" t="str">
        <f t="shared" si="22"/>
        <v/>
      </c>
      <c r="BF296" s="171" t="str">
        <f t="shared" si="23"/>
        <v>Archival</v>
      </c>
    </row>
    <row r="297">
      <c r="A297" s="171">
        <f t="array" ref="A297">XLOOKUP(C297,ICSE!A:A,ICSE!C:C,,2,1)</f>
        <v>2021</v>
      </c>
      <c r="B297" s="171" t="s">
        <v>5675</v>
      </c>
      <c r="C297" s="160">
        <v>533.0</v>
      </c>
      <c r="D297" s="161" t="s">
        <v>5829</v>
      </c>
      <c r="E297" s="197" t="str">
        <f t="array" ref="E297">XLOOKUP(C297,ICSE!A:A,ICSE!Z:Z,,0,1)</f>
        <v>Publicly available (6)</v>
      </c>
      <c r="F297" s="198" t="s">
        <v>20</v>
      </c>
      <c r="G297" s="163" t="str">
        <f t="array" ref="G297">IF(B297="ICSE",IF(COUNTIFS(B:B,B297,C:C,C297)=XLOOKUP(C297,ICSE!A:A,ICSE!AA:AA,"ERROR",0,1),"OK","ERROR"),IF(B297="FSE",IF(COUNTIFS(B:B,B297,C:C,C297)=XLOOKUP(C297,FSE!A:A,FSE!AA:AA,"ERROR",0,1),"OK","ERROR")))</f>
        <v>OK</v>
      </c>
      <c r="H297" s="199">
        <f t="shared" ref="H297:O297" si="1487">countif($D297,"*"&amp;H$2&amp;"*")</f>
        <v>0</v>
      </c>
      <c r="I297" s="200">
        <f t="shared" si="1487"/>
        <v>0</v>
      </c>
      <c r="J297" s="200">
        <f t="shared" si="1487"/>
        <v>0</v>
      </c>
      <c r="K297" s="200">
        <f t="shared" si="1487"/>
        <v>0</v>
      </c>
      <c r="L297" s="200">
        <f t="shared" si="1487"/>
        <v>0</v>
      </c>
      <c r="M297" s="200">
        <f t="shared" si="1487"/>
        <v>0</v>
      </c>
      <c r="N297" s="200">
        <f t="shared" si="1487"/>
        <v>0</v>
      </c>
      <c r="O297" s="200">
        <f t="shared" si="1487"/>
        <v>0</v>
      </c>
      <c r="P297" s="200">
        <f t="shared" si="9"/>
        <v>0</v>
      </c>
      <c r="Q297" s="200">
        <f t="shared" ref="Q297:AC297" si="1488">countif($D297,"*"&amp;Q$2&amp;"*")</f>
        <v>0</v>
      </c>
      <c r="R297" s="200">
        <f t="shared" si="1488"/>
        <v>0</v>
      </c>
      <c r="S297" s="200">
        <f t="shared" si="1488"/>
        <v>0</v>
      </c>
      <c r="T297" s="200">
        <f t="shared" si="1488"/>
        <v>0</v>
      </c>
      <c r="U297" s="200">
        <f t="shared" si="1488"/>
        <v>0</v>
      </c>
      <c r="V297" s="200">
        <f t="shared" si="1488"/>
        <v>0</v>
      </c>
      <c r="W297" s="200">
        <f t="shared" si="1488"/>
        <v>0</v>
      </c>
      <c r="X297" s="200">
        <f t="shared" si="1488"/>
        <v>0</v>
      </c>
      <c r="Y297" s="200">
        <f t="shared" si="1488"/>
        <v>0</v>
      </c>
      <c r="Z297" s="200">
        <f t="shared" si="1488"/>
        <v>0</v>
      </c>
      <c r="AA297" s="200">
        <f t="shared" si="1488"/>
        <v>0</v>
      </c>
      <c r="AB297" s="200">
        <f t="shared" si="1488"/>
        <v>1</v>
      </c>
      <c r="AC297" s="200">
        <f t="shared" si="1488"/>
        <v>0</v>
      </c>
      <c r="AD297" s="200">
        <f t="shared" si="11"/>
        <v>0</v>
      </c>
      <c r="AE297" s="200">
        <f t="shared" ref="AE297:AG297" si="1489">countif($D297,"*"&amp;AE$2&amp;"*")</f>
        <v>0</v>
      </c>
      <c r="AF297" s="200">
        <f t="shared" si="1489"/>
        <v>0</v>
      </c>
      <c r="AG297" s="200">
        <f t="shared" si="1489"/>
        <v>0</v>
      </c>
      <c r="AH297" s="171">
        <f t="shared" si="13"/>
        <v>0</v>
      </c>
      <c r="AI297" s="200">
        <f t="shared" si="14"/>
        <v>0</v>
      </c>
      <c r="AJ297" s="200">
        <f t="shared" si="1129"/>
        <v>1</v>
      </c>
      <c r="AK297" s="201">
        <f t="shared" ref="AK297:AS297" si="1490">countif($D297,"*"&amp;AK$2&amp;"*")</f>
        <v>0</v>
      </c>
      <c r="AL297" s="201">
        <f t="shared" si="1490"/>
        <v>0</v>
      </c>
      <c r="AM297" s="201">
        <f t="shared" si="1490"/>
        <v>0</v>
      </c>
      <c r="AN297" s="201">
        <f t="shared" si="1490"/>
        <v>0</v>
      </c>
      <c r="AO297" s="201">
        <f t="shared" si="1490"/>
        <v>0</v>
      </c>
      <c r="AP297" s="201">
        <f t="shared" si="1490"/>
        <v>0</v>
      </c>
      <c r="AQ297" s="201">
        <f t="shared" si="1490"/>
        <v>0</v>
      </c>
      <c r="AR297" s="200">
        <f t="shared" si="1490"/>
        <v>1</v>
      </c>
      <c r="AS297" s="200">
        <f t="shared" si="1490"/>
        <v>1</v>
      </c>
      <c r="AT297" s="173">
        <v>0.0</v>
      </c>
      <c r="AU297" s="200">
        <f t="shared" ref="AU297:AX297" si="1491">countif($D297,"*"&amp;AU$2&amp;"*")</f>
        <v>0</v>
      </c>
      <c r="AV297" s="200">
        <f t="shared" si="1491"/>
        <v>0</v>
      </c>
      <c r="AW297" s="200">
        <f t="shared" si="1491"/>
        <v>0</v>
      </c>
      <c r="AX297" s="200">
        <f t="shared" si="1491"/>
        <v>0</v>
      </c>
      <c r="AY297" s="202">
        <v>0.0</v>
      </c>
      <c r="AZ297" s="200"/>
      <c r="BA297" s="171" t="str">
        <f t="shared" si="18"/>
        <v/>
      </c>
      <c r="BB297" s="171" t="str">
        <f t="shared" si="19"/>
        <v/>
      </c>
      <c r="BC297" s="171" t="str">
        <f t="shared" si="20"/>
        <v>General-purpose</v>
      </c>
      <c r="BD297" s="171" t="str">
        <f t="shared" si="21"/>
        <v/>
      </c>
      <c r="BE297" s="171" t="str">
        <f t="shared" si="22"/>
        <v/>
      </c>
      <c r="BF297" s="171" t="str">
        <f t="shared" si="23"/>
        <v>General-purpose</v>
      </c>
    </row>
    <row r="298">
      <c r="A298" s="171">
        <f t="array" ref="A298">XLOOKUP(C298,ICSE!A:A,ICSE!C:C,,2,1)</f>
        <v>2021</v>
      </c>
      <c r="B298" s="171" t="s">
        <v>5675</v>
      </c>
      <c r="C298" s="160">
        <v>534.0</v>
      </c>
      <c r="D298" s="161" t="s">
        <v>2086</v>
      </c>
      <c r="E298" s="197" t="str">
        <f t="array" ref="E298">XLOOKUP(C298,ICSE!A:A,ICSE!Z:Z,,0,1)</f>
        <v>Publicly available (1)</v>
      </c>
      <c r="F298" s="198" t="s">
        <v>20</v>
      </c>
      <c r="G298" s="163" t="str">
        <f t="array" ref="G298">IF(B298="ICSE",IF(COUNTIFS(B:B,B298,C:C,C298)=XLOOKUP(C298,ICSE!A:A,ICSE!AA:AA,"ERROR",0,1),"OK","ERROR"),IF(B298="FSE",IF(COUNTIFS(B:B,B298,C:C,C298)=XLOOKUP(C298,FSE!A:A,FSE!AA:AA,"ERROR",0,1),"OK","ERROR")))</f>
        <v>OK</v>
      </c>
      <c r="H298" s="199">
        <f t="shared" ref="H298:O298" si="1492">countif($D298,"*"&amp;H$2&amp;"*")</f>
        <v>1</v>
      </c>
      <c r="I298" s="200">
        <f t="shared" si="1492"/>
        <v>0</v>
      </c>
      <c r="J298" s="200">
        <f t="shared" si="1492"/>
        <v>0</v>
      </c>
      <c r="K298" s="200">
        <f t="shared" si="1492"/>
        <v>0</v>
      </c>
      <c r="L298" s="200">
        <f t="shared" si="1492"/>
        <v>0</v>
      </c>
      <c r="M298" s="200">
        <f t="shared" si="1492"/>
        <v>0</v>
      </c>
      <c r="N298" s="200">
        <f t="shared" si="1492"/>
        <v>0</v>
      </c>
      <c r="O298" s="200">
        <f t="shared" si="1492"/>
        <v>0</v>
      </c>
      <c r="P298" s="200">
        <f t="shared" si="9"/>
        <v>0</v>
      </c>
      <c r="Q298" s="200">
        <f t="shared" ref="Q298:AC298" si="1493">countif($D298,"*"&amp;Q$2&amp;"*")</f>
        <v>0</v>
      </c>
      <c r="R298" s="200">
        <f t="shared" si="1493"/>
        <v>0</v>
      </c>
      <c r="S298" s="200">
        <f t="shared" si="1493"/>
        <v>0</v>
      </c>
      <c r="T298" s="200">
        <f t="shared" si="1493"/>
        <v>0</v>
      </c>
      <c r="U298" s="200">
        <f t="shared" si="1493"/>
        <v>0</v>
      </c>
      <c r="V298" s="200">
        <f t="shared" si="1493"/>
        <v>0</v>
      </c>
      <c r="W298" s="200">
        <f t="shared" si="1493"/>
        <v>0</v>
      </c>
      <c r="X298" s="200">
        <f t="shared" si="1493"/>
        <v>0</v>
      </c>
      <c r="Y298" s="200">
        <f t="shared" si="1493"/>
        <v>0</v>
      </c>
      <c r="Z298" s="200">
        <f t="shared" si="1493"/>
        <v>0</v>
      </c>
      <c r="AA298" s="200">
        <f t="shared" si="1493"/>
        <v>0</v>
      </c>
      <c r="AB298" s="200">
        <f t="shared" si="1493"/>
        <v>0</v>
      </c>
      <c r="AC298" s="200">
        <f t="shared" si="1493"/>
        <v>0</v>
      </c>
      <c r="AD298" s="200">
        <f t="shared" si="11"/>
        <v>0</v>
      </c>
      <c r="AE298" s="200">
        <f t="shared" ref="AE298:AG298" si="1494">countif($D298,"*"&amp;AE$2&amp;"*")</f>
        <v>0</v>
      </c>
      <c r="AF298" s="200">
        <f t="shared" si="1494"/>
        <v>0</v>
      </c>
      <c r="AG298" s="200">
        <f t="shared" si="1494"/>
        <v>0</v>
      </c>
      <c r="AH298" s="171">
        <f t="shared" si="13"/>
        <v>0</v>
      </c>
      <c r="AI298" s="200">
        <f t="shared" si="14"/>
        <v>1</v>
      </c>
      <c r="AJ298" s="200">
        <f t="shared" si="1129"/>
        <v>0</v>
      </c>
      <c r="AK298" s="201">
        <f t="shared" ref="AK298:AS298" si="1495">countif($D298,"*"&amp;AK$2&amp;"*")</f>
        <v>0</v>
      </c>
      <c r="AL298" s="201">
        <f t="shared" si="1495"/>
        <v>0</v>
      </c>
      <c r="AM298" s="201">
        <f t="shared" si="1495"/>
        <v>0</v>
      </c>
      <c r="AN298" s="201">
        <f t="shared" si="1495"/>
        <v>0</v>
      </c>
      <c r="AO298" s="201">
        <f t="shared" si="1495"/>
        <v>0</v>
      </c>
      <c r="AP298" s="201">
        <f t="shared" si="1495"/>
        <v>0</v>
      </c>
      <c r="AQ298" s="201">
        <f t="shared" si="1495"/>
        <v>0</v>
      </c>
      <c r="AR298" s="200">
        <f t="shared" si="1495"/>
        <v>0</v>
      </c>
      <c r="AS298" s="200">
        <f t="shared" si="1495"/>
        <v>0</v>
      </c>
      <c r="AT298" s="173">
        <v>0.0</v>
      </c>
      <c r="AU298" s="200">
        <f t="shared" ref="AU298:AX298" si="1496">countif($D298,"*"&amp;AU$2&amp;"*")</f>
        <v>0</v>
      </c>
      <c r="AV298" s="200">
        <f t="shared" si="1496"/>
        <v>0</v>
      </c>
      <c r="AW298" s="200">
        <f t="shared" si="1496"/>
        <v>0</v>
      </c>
      <c r="AX298" s="200">
        <f t="shared" si="1496"/>
        <v>1</v>
      </c>
      <c r="AY298" s="202">
        <v>0.0</v>
      </c>
      <c r="AZ298" s="200"/>
      <c r="BA298" s="171" t="str">
        <f t="shared" si="18"/>
        <v>Archival</v>
      </c>
      <c r="BB298" s="171" t="str">
        <f t="shared" si="19"/>
        <v/>
      </c>
      <c r="BC298" s="171" t="str">
        <f t="shared" si="20"/>
        <v/>
      </c>
      <c r="BD298" s="171" t="str">
        <f t="shared" si="21"/>
        <v/>
      </c>
      <c r="BE298" s="171" t="str">
        <f t="shared" si="22"/>
        <v/>
      </c>
      <c r="BF298" s="171" t="str">
        <f t="shared" si="23"/>
        <v>Archival</v>
      </c>
    </row>
    <row r="299">
      <c r="A299" s="171">
        <f t="array" ref="A299">XLOOKUP(C299,ICSE!A:A,ICSE!C:C,,2,1)</f>
        <v>2021</v>
      </c>
      <c r="B299" s="171" t="s">
        <v>5675</v>
      </c>
      <c r="C299" s="160">
        <v>535.0</v>
      </c>
      <c r="D299" s="161" t="s">
        <v>2089</v>
      </c>
      <c r="E299" s="197" t="str">
        <f t="array" ref="E299">XLOOKUP(C299,ICSE!A:A,ICSE!Z:Z,,0,1)</f>
        <v>Publicly available (1)</v>
      </c>
      <c r="F299" s="198" t="s">
        <v>20</v>
      </c>
      <c r="G299" s="163" t="str">
        <f t="array" ref="G299">IF(B299="ICSE",IF(COUNTIFS(B:B,B299,C:C,C299)=XLOOKUP(C299,ICSE!A:A,ICSE!AA:AA,"ERROR",0,1),"OK","ERROR"),IF(B299="FSE",IF(COUNTIFS(B:B,B299,C:C,C299)=XLOOKUP(C299,FSE!A:A,FSE!AA:AA,"ERROR",0,1),"OK","ERROR")))</f>
        <v>OK</v>
      </c>
      <c r="H299" s="199">
        <f t="shared" ref="H299:O299" si="1497">countif($D299,"*"&amp;H$2&amp;"*")</f>
        <v>1</v>
      </c>
      <c r="I299" s="200">
        <f t="shared" si="1497"/>
        <v>0</v>
      </c>
      <c r="J299" s="200">
        <f t="shared" si="1497"/>
        <v>0</v>
      </c>
      <c r="K299" s="200">
        <f t="shared" si="1497"/>
        <v>0</v>
      </c>
      <c r="L299" s="200">
        <f t="shared" si="1497"/>
        <v>0</v>
      </c>
      <c r="M299" s="200">
        <f t="shared" si="1497"/>
        <v>0</v>
      </c>
      <c r="N299" s="200">
        <f t="shared" si="1497"/>
        <v>0</v>
      </c>
      <c r="O299" s="200">
        <f t="shared" si="1497"/>
        <v>0</v>
      </c>
      <c r="P299" s="200">
        <f t="shared" si="9"/>
        <v>0</v>
      </c>
      <c r="Q299" s="200">
        <f t="shared" ref="Q299:AC299" si="1498">countif($D299,"*"&amp;Q$2&amp;"*")</f>
        <v>0</v>
      </c>
      <c r="R299" s="200">
        <f t="shared" si="1498"/>
        <v>0</v>
      </c>
      <c r="S299" s="200">
        <f t="shared" si="1498"/>
        <v>0</v>
      </c>
      <c r="T299" s="200">
        <f t="shared" si="1498"/>
        <v>0</v>
      </c>
      <c r="U299" s="200">
        <f t="shared" si="1498"/>
        <v>0</v>
      </c>
      <c r="V299" s="200">
        <f t="shared" si="1498"/>
        <v>0</v>
      </c>
      <c r="W299" s="200">
        <f t="shared" si="1498"/>
        <v>0</v>
      </c>
      <c r="X299" s="200">
        <f t="shared" si="1498"/>
        <v>0</v>
      </c>
      <c r="Y299" s="200">
        <f t="shared" si="1498"/>
        <v>0</v>
      </c>
      <c r="Z299" s="200">
        <f t="shared" si="1498"/>
        <v>0</v>
      </c>
      <c r="AA299" s="200">
        <f t="shared" si="1498"/>
        <v>0</v>
      </c>
      <c r="AB299" s="200">
        <f t="shared" si="1498"/>
        <v>0</v>
      </c>
      <c r="AC299" s="200">
        <f t="shared" si="1498"/>
        <v>0</v>
      </c>
      <c r="AD299" s="200">
        <f t="shared" si="11"/>
        <v>0</v>
      </c>
      <c r="AE299" s="200">
        <f t="shared" ref="AE299:AG299" si="1499">countif($D299,"*"&amp;AE$2&amp;"*")</f>
        <v>0</v>
      </c>
      <c r="AF299" s="200">
        <f t="shared" si="1499"/>
        <v>0</v>
      </c>
      <c r="AG299" s="200">
        <f t="shared" si="1499"/>
        <v>0</v>
      </c>
      <c r="AH299" s="171">
        <f t="shared" si="13"/>
        <v>0</v>
      </c>
      <c r="AI299" s="200">
        <f t="shared" si="14"/>
        <v>1</v>
      </c>
      <c r="AJ299" s="200">
        <f t="shared" si="1129"/>
        <v>0</v>
      </c>
      <c r="AK299" s="201">
        <f t="shared" ref="AK299:AS299" si="1500">countif($D299,"*"&amp;AK$2&amp;"*")</f>
        <v>0</v>
      </c>
      <c r="AL299" s="201">
        <f t="shared" si="1500"/>
        <v>0</v>
      </c>
      <c r="AM299" s="201">
        <f t="shared" si="1500"/>
        <v>0</v>
      </c>
      <c r="AN299" s="201">
        <f t="shared" si="1500"/>
        <v>0</v>
      </c>
      <c r="AO299" s="201">
        <f t="shared" si="1500"/>
        <v>0</v>
      </c>
      <c r="AP299" s="201">
        <f t="shared" si="1500"/>
        <v>0</v>
      </c>
      <c r="AQ299" s="201">
        <f t="shared" si="1500"/>
        <v>0</v>
      </c>
      <c r="AR299" s="200">
        <f t="shared" si="1500"/>
        <v>0</v>
      </c>
      <c r="AS299" s="200">
        <f t="shared" si="1500"/>
        <v>0</v>
      </c>
      <c r="AT299" s="173">
        <v>0.0</v>
      </c>
      <c r="AU299" s="200">
        <f t="shared" ref="AU299:AX299" si="1501">countif($D299,"*"&amp;AU$2&amp;"*")</f>
        <v>0</v>
      </c>
      <c r="AV299" s="200">
        <f t="shared" si="1501"/>
        <v>0</v>
      </c>
      <c r="AW299" s="200">
        <f t="shared" si="1501"/>
        <v>0</v>
      </c>
      <c r="AX299" s="200">
        <f t="shared" si="1501"/>
        <v>1</v>
      </c>
      <c r="AY299" s="202">
        <v>0.0</v>
      </c>
      <c r="AZ299" s="200"/>
      <c r="BA299" s="171" t="str">
        <f t="shared" si="18"/>
        <v>Archival</v>
      </c>
      <c r="BB299" s="171" t="str">
        <f t="shared" si="19"/>
        <v/>
      </c>
      <c r="BC299" s="171" t="str">
        <f t="shared" si="20"/>
        <v/>
      </c>
      <c r="BD299" s="171" t="str">
        <f t="shared" si="21"/>
        <v/>
      </c>
      <c r="BE299" s="171" t="str">
        <f t="shared" si="22"/>
        <v/>
      </c>
      <c r="BF299" s="171" t="str">
        <f t="shared" si="23"/>
        <v>Archival</v>
      </c>
    </row>
    <row r="300">
      <c r="A300" s="171">
        <f t="array" ref="A300">XLOOKUP(C300,ICSE!A:A,ICSE!C:C,,2,1)</f>
        <v>2021</v>
      </c>
      <c r="B300" s="171" t="s">
        <v>5675</v>
      </c>
      <c r="C300" s="160">
        <v>536.0</v>
      </c>
      <c r="D300" s="161" t="s">
        <v>2093</v>
      </c>
      <c r="E300" s="197" t="str">
        <f t="array" ref="E300">XLOOKUP(C300,ICSE!A:A,ICSE!Z:Z,,0,1)</f>
        <v>Publicly available (1)</v>
      </c>
      <c r="F300" s="198" t="s">
        <v>20</v>
      </c>
      <c r="G300" s="163" t="str">
        <f t="array" ref="G300">IF(B300="ICSE",IF(COUNTIFS(B:B,B300,C:C,C300)=XLOOKUP(C300,ICSE!A:A,ICSE!AA:AA,"ERROR",0,1),"OK","ERROR"),IF(B300="FSE",IF(COUNTIFS(B:B,B300,C:C,C300)=XLOOKUP(C300,FSE!A:A,FSE!AA:AA,"ERROR",0,1),"OK","ERROR")))</f>
        <v>OK</v>
      </c>
      <c r="H300" s="199">
        <f t="shared" ref="H300:O300" si="1502">countif($D300,"*"&amp;H$2&amp;"*")</f>
        <v>1</v>
      </c>
      <c r="I300" s="200">
        <f t="shared" si="1502"/>
        <v>0</v>
      </c>
      <c r="J300" s="200">
        <f t="shared" si="1502"/>
        <v>0</v>
      </c>
      <c r="K300" s="200">
        <f t="shared" si="1502"/>
        <v>0</v>
      </c>
      <c r="L300" s="200">
        <f t="shared" si="1502"/>
        <v>0</v>
      </c>
      <c r="M300" s="200">
        <f t="shared" si="1502"/>
        <v>0</v>
      </c>
      <c r="N300" s="200">
        <f t="shared" si="1502"/>
        <v>0</v>
      </c>
      <c r="O300" s="200">
        <f t="shared" si="1502"/>
        <v>0</v>
      </c>
      <c r="P300" s="200">
        <f t="shared" si="9"/>
        <v>0</v>
      </c>
      <c r="Q300" s="200">
        <f t="shared" ref="Q300:AC300" si="1503">countif($D300,"*"&amp;Q$2&amp;"*")</f>
        <v>0</v>
      </c>
      <c r="R300" s="200">
        <f t="shared" si="1503"/>
        <v>0</v>
      </c>
      <c r="S300" s="200">
        <f t="shared" si="1503"/>
        <v>0</v>
      </c>
      <c r="T300" s="200">
        <f t="shared" si="1503"/>
        <v>0</v>
      </c>
      <c r="U300" s="200">
        <f t="shared" si="1503"/>
        <v>0</v>
      </c>
      <c r="V300" s="200">
        <f t="shared" si="1503"/>
        <v>0</v>
      </c>
      <c r="W300" s="200">
        <f t="shared" si="1503"/>
        <v>0</v>
      </c>
      <c r="X300" s="200">
        <f t="shared" si="1503"/>
        <v>0</v>
      </c>
      <c r="Y300" s="200">
        <f t="shared" si="1503"/>
        <v>0</v>
      </c>
      <c r="Z300" s="200">
        <f t="shared" si="1503"/>
        <v>0</v>
      </c>
      <c r="AA300" s="200">
        <f t="shared" si="1503"/>
        <v>0</v>
      </c>
      <c r="AB300" s="200">
        <f t="shared" si="1503"/>
        <v>0</v>
      </c>
      <c r="AC300" s="200">
        <f t="shared" si="1503"/>
        <v>0</v>
      </c>
      <c r="AD300" s="200">
        <f t="shared" si="11"/>
        <v>0</v>
      </c>
      <c r="AE300" s="200">
        <f t="shared" ref="AE300:AG300" si="1504">countif($D300,"*"&amp;AE$2&amp;"*")</f>
        <v>0</v>
      </c>
      <c r="AF300" s="200">
        <f t="shared" si="1504"/>
        <v>0</v>
      </c>
      <c r="AG300" s="200">
        <f t="shared" si="1504"/>
        <v>0</v>
      </c>
      <c r="AH300" s="171">
        <f t="shared" si="13"/>
        <v>0</v>
      </c>
      <c r="AI300" s="200">
        <f t="shared" si="14"/>
        <v>1</v>
      </c>
      <c r="AJ300" s="200">
        <f t="shared" si="1129"/>
        <v>0</v>
      </c>
      <c r="AK300" s="201">
        <f t="shared" ref="AK300:AS300" si="1505">countif($D300,"*"&amp;AK$2&amp;"*")</f>
        <v>0</v>
      </c>
      <c r="AL300" s="201">
        <f t="shared" si="1505"/>
        <v>0</v>
      </c>
      <c r="AM300" s="201">
        <f t="shared" si="1505"/>
        <v>0</v>
      </c>
      <c r="AN300" s="201">
        <f t="shared" si="1505"/>
        <v>0</v>
      </c>
      <c r="AO300" s="201">
        <f t="shared" si="1505"/>
        <v>0</v>
      </c>
      <c r="AP300" s="201">
        <f t="shared" si="1505"/>
        <v>0</v>
      </c>
      <c r="AQ300" s="201">
        <f t="shared" si="1505"/>
        <v>0</v>
      </c>
      <c r="AR300" s="200">
        <f t="shared" si="1505"/>
        <v>0</v>
      </c>
      <c r="AS300" s="200">
        <f t="shared" si="1505"/>
        <v>0</v>
      </c>
      <c r="AT300" s="173">
        <v>0.0</v>
      </c>
      <c r="AU300" s="200">
        <f t="shared" ref="AU300:AX300" si="1506">countif($D300,"*"&amp;AU$2&amp;"*")</f>
        <v>0</v>
      </c>
      <c r="AV300" s="200">
        <f t="shared" si="1506"/>
        <v>0</v>
      </c>
      <c r="AW300" s="200">
        <f t="shared" si="1506"/>
        <v>0</v>
      </c>
      <c r="AX300" s="200">
        <f t="shared" si="1506"/>
        <v>1</v>
      </c>
      <c r="AY300" s="202">
        <v>0.0</v>
      </c>
      <c r="AZ300" s="200"/>
      <c r="BA300" s="171" t="str">
        <f t="shared" si="18"/>
        <v>Archival</v>
      </c>
      <c r="BB300" s="171" t="str">
        <f t="shared" si="19"/>
        <v/>
      </c>
      <c r="BC300" s="171" t="str">
        <f t="shared" si="20"/>
        <v/>
      </c>
      <c r="BD300" s="171" t="str">
        <f t="shared" si="21"/>
        <v/>
      </c>
      <c r="BE300" s="171" t="str">
        <f t="shared" si="22"/>
        <v/>
      </c>
      <c r="BF300" s="171" t="str">
        <f t="shared" si="23"/>
        <v>Archival</v>
      </c>
    </row>
    <row r="301">
      <c r="A301" s="171">
        <f t="array" ref="A301">XLOOKUP(C301,ICSE!A:A,ICSE!C:C,,2,1)</f>
        <v>2021</v>
      </c>
      <c r="B301" s="171" t="s">
        <v>5675</v>
      </c>
      <c r="C301" s="160">
        <v>537.0</v>
      </c>
      <c r="D301" s="161" t="s">
        <v>5830</v>
      </c>
      <c r="E301" s="197" t="str">
        <f t="array" ref="E301">XLOOKUP(C301,ICSE!A:A,ICSE!Z:Z,,0,1)</f>
        <v>Publicly available (2)</v>
      </c>
      <c r="F301" s="198" t="s">
        <v>20</v>
      </c>
      <c r="G301" s="163" t="str">
        <f t="array" ref="G301">IF(B301="ICSE",IF(COUNTIFS(B:B,B301,C:C,C301)=XLOOKUP(C301,ICSE!A:A,ICSE!AA:AA,"ERROR",0,1),"OK","ERROR"),IF(B301="FSE",IF(COUNTIFS(B:B,B301,C:C,C301)=XLOOKUP(C301,FSE!A:A,FSE!AA:AA,"ERROR",0,1),"OK","ERROR")))</f>
        <v>OK</v>
      </c>
      <c r="H301" s="199">
        <f t="shared" ref="H301:O301" si="1507">countif($D301,"*"&amp;H$2&amp;"*")</f>
        <v>0</v>
      </c>
      <c r="I301" s="200">
        <f t="shared" si="1507"/>
        <v>0</v>
      </c>
      <c r="J301" s="200">
        <f t="shared" si="1507"/>
        <v>0</v>
      </c>
      <c r="K301" s="200">
        <f t="shared" si="1507"/>
        <v>0</v>
      </c>
      <c r="L301" s="200">
        <f t="shared" si="1507"/>
        <v>0</v>
      </c>
      <c r="M301" s="200">
        <f t="shared" si="1507"/>
        <v>0</v>
      </c>
      <c r="N301" s="200">
        <f t="shared" si="1507"/>
        <v>0</v>
      </c>
      <c r="O301" s="200">
        <f t="shared" si="1507"/>
        <v>0</v>
      </c>
      <c r="P301" s="200">
        <f t="shared" si="9"/>
        <v>1</v>
      </c>
      <c r="Q301" s="200">
        <f t="shared" ref="Q301:AC301" si="1508">countif($D301,"*"&amp;Q$2&amp;"*")</f>
        <v>0</v>
      </c>
      <c r="R301" s="200">
        <f t="shared" si="1508"/>
        <v>0</v>
      </c>
      <c r="S301" s="200">
        <f t="shared" si="1508"/>
        <v>0</v>
      </c>
      <c r="T301" s="200">
        <f t="shared" si="1508"/>
        <v>0</v>
      </c>
      <c r="U301" s="200">
        <f t="shared" si="1508"/>
        <v>0</v>
      </c>
      <c r="V301" s="200">
        <f t="shared" si="1508"/>
        <v>0</v>
      </c>
      <c r="W301" s="200">
        <f t="shared" si="1508"/>
        <v>0</v>
      </c>
      <c r="X301" s="200">
        <f t="shared" si="1508"/>
        <v>0</v>
      </c>
      <c r="Y301" s="200">
        <f t="shared" si="1508"/>
        <v>0</v>
      </c>
      <c r="Z301" s="200">
        <f t="shared" si="1508"/>
        <v>0</v>
      </c>
      <c r="AA301" s="200">
        <f t="shared" si="1508"/>
        <v>0</v>
      </c>
      <c r="AB301" s="200">
        <f t="shared" si="1508"/>
        <v>0</v>
      </c>
      <c r="AC301" s="200">
        <f t="shared" si="1508"/>
        <v>0</v>
      </c>
      <c r="AD301" s="200">
        <f t="shared" si="11"/>
        <v>0</v>
      </c>
      <c r="AE301" s="200">
        <f t="shared" ref="AE301:AG301" si="1509">countif($D301,"*"&amp;AE$2&amp;"*")</f>
        <v>0</v>
      </c>
      <c r="AF301" s="200">
        <f t="shared" si="1509"/>
        <v>0</v>
      </c>
      <c r="AG301" s="200">
        <f t="shared" si="1509"/>
        <v>0</v>
      </c>
      <c r="AH301" s="171">
        <f t="shared" si="13"/>
        <v>0</v>
      </c>
      <c r="AI301" s="200">
        <f t="shared" si="14"/>
        <v>0</v>
      </c>
      <c r="AJ301" s="200">
        <f t="shared" si="1129"/>
        <v>0</v>
      </c>
      <c r="AK301" s="201">
        <f t="shared" ref="AK301:AS301" si="1510">countif($D301,"*"&amp;AK$2&amp;"*")</f>
        <v>0</v>
      </c>
      <c r="AL301" s="201">
        <f t="shared" si="1510"/>
        <v>0</v>
      </c>
      <c r="AM301" s="201">
        <f t="shared" si="1510"/>
        <v>0</v>
      </c>
      <c r="AN301" s="201">
        <f t="shared" si="1510"/>
        <v>0</v>
      </c>
      <c r="AO301" s="201">
        <f t="shared" si="1510"/>
        <v>0</v>
      </c>
      <c r="AP301" s="201">
        <f t="shared" si="1510"/>
        <v>0</v>
      </c>
      <c r="AQ301" s="201">
        <f t="shared" si="1510"/>
        <v>0</v>
      </c>
      <c r="AR301" s="200">
        <f t="shared" si="1510"/>
        <v>0</v>
      </c>
      <c r="AS301" s="200">
        <f t="shared" si="1510"/>
        <v>1</v>
      </c>
      <c r="AT301" s="173">
        <v>0.0</v>
      </c>
      <c r="AU301" s="200">
        <f t="shared" ref="AU301:AX301" si="1511">countif($D301,"*"&amp;AU$2&amp;"*")</f>
        <v>0</v>
      </c>
      <c r="AV301" s="200">
        <f t="shared" si="1511"/>
        <v>1</v>
      </c>
      <c r="AW301" s="200">
        <f t="shared" si="1511"/>
        <v>0</v>
      </c>
      <c r="AX301" s="200">
        <f t="shared" si="1511"/>
        <v>0</v>
      </c>
      <c r="AY301" s="202">
        <v>0.0</v>
      </c>
      <c r="AZ301" s="200"/>
      <c r="BA301" s="171" t="str">
        <f t="shared" si="18"/>
        <v/>
      </c>
      <c r="BB301" s="171" t="str">
        <f t="shared" si="19"/>
        <v>Code</v>
      </c>
      <c r="BC301" s="171" t="str">
        <f t="shared" si="20"/>
        <v/>
      </c>
      <c r="BD301" s="171" t="str">
        <f t="shared" si="21"/>
        <v/>
      </c>
      <c r="BE301" s="171" t="str">
        <f t="shared" si="22"/>
        <v/>
      </c>
      <c r="BF301" s="171" t="str">
        <f t="shared" si="23"/>
        <v>Code</v>
      </c>
    </row>
    <row r="302">
      <c r="A302" s="171">
        <f t="array" ref="A302">XLOOKUP(C302,ICSE!A:A,ICSE!C:C,,2,1)</f>
        <v>2021</v>
      </c>
      <c r="B302" s="171" t="s">
        <v>5675</v>
      </c>
      <c r="C302" s="160">
        <v>537.0</v>
      </c>
      <c r="D302" s="161" t="s">
        <v>5831</v>
      </c>
      <c r="E302" s="197" t="str">
        <f t="array" ref="E302">XLOOKUP(C302,ICSE!A:A,ICSE!Z:Z,,0,1)</f>
        <v>Publicly available (2)</v>
      </c>
      <c r="F302" s="198" t="s">
        <v>20</v>
      </c>
      <c r="G302" s="163" t="str">
        <f t="array" ref="G302">IF(B302="ICSE",IF(COUNTIFS(B:B,B302,C:C,C302)=XLOOKUP(C302,ICSE!A:A,ICSE!AA:AA,"ERROR",0,1),"OK","ERROR"),IF(B302="FSE",IF(COUNTIFS(B:B,B302,C:C,C302)=XLOOKUP(C302,FSE!A:A,FSE!AA:AA,"ERROR",0,1),"OK","ERROR")))</f>
        <v>OK</v>
      </c>
      <c r="H302" s="199">
        <f t="shared" ref="H302:O302" si="1512">countif($D302,"*"&amp;H$2&amp;"*")</f>
        <v>0</v>
      </c>
      <c r="I302" s="200">
        <f t="shared" si="1512"/>
        <v>0</v>
      </c>
      <c r="J302" s="200">
        <f t="shared" si="1512"/>
        <v>0</v>
      </c>
      <c r="K302" s="200">
        <f t="shared" si="1512"/>
        <v>0</v>
      </c>
      <c r="L302" s="200">
        <f t="shared" si="1512"/>
        <v>0</v>
      </c>
      <c r="M302" s="200">
        <f t="shared" si="1512"/>
        <v>0</v>
      </c>
      <c r="N302" s="200">
        <f t="shared" si="1512"/>
        <v>1</v>
      </c>
      <c r="O302" s="200">
        <f t="shared" si="1512"/>
        <v>0</v>
      </c>
      <c r="P302" s="200">
        <f t="shared" si="9"/>
        <v>0</v>
      </c>
      <c r="Q302" s="200">
        <f t="shared" ref="Q302:AC302" si="1513">countif($D302,"*"&amp;Q$2&amp;"*")</f>
        <v>0</v>
      </c>
      <c r="R302" s="200">
        <f t="shared" si="1513"/>
        <v>0</v>
      </c>
      <c r="S302" s="200">
        <f t="shared" si="1513"/>
        <v>0</v>
      </c>
      <c r="T302" s="200">
        <f t="shared" si="1513"/>
        <v>0</v>
      </c>
      <c r="U302" s="200">
        <f t="shared" si="1513"/>
        <v>0</v>
      </c>
      <c r="V302" s="200">
        <f t="shared" si="1513"/>
        <v>0</v>
      </c>
      <c r="W302" s="200">
        <f t="shared" si="1513"/>
        <v>0</v>
      </c>
      <c r="X302" s="200">
        <f t="shared" si="1513"/>
        <v>0</v>
      </c>
      <c r="Y302" s="200">
        <f t="shared" si="1513"/>
        <v>0</v>
      </c>
      <c r="Z302" s="200">
        <f t="shared" si="1513"/>
        <v>0</v>
      </c>
      <c r="AA302" s="200">
        <f t="shared" si="1513"/>
        <v>0</v>
      </c>
      <c r="AB302" s="200">
        <f t="shared" si="1513"/>
        <v>0</v>
      </c>
      <c r="AC302" s="200">
        <f t="shared" si="1513"/>
        <v>0</v>
      </c>
      <c r="AD302" s="200">
        <f t="shared" si="11"/>
        <v>0</v>
      </c>
      <c r="AE302" s="200">
        <f t="shared" ref="AE302:AG302" si="1514">countif($D302,"*"&amp;AE$2&amp;"*")</f>
        <v>0</v>
      </c>
      <c r="AF302" s="200">
        <f t="shared" si="1514"/>
        <v>0</v>
      </c>
      <c r="AG302" s="200">
        <f t="shared" si="1514"/>
        <v>0</v>
      </c>
      <c r="AH302" s="171">
        <f t="shared" si="13"/>
        <v>0</v>
      </c>
      <c r="AI302" s="200">
        <f t="shared" si="14"/>
        <v>1</v>
      </c>
      <c r="AJ302" s="200">
        <f t="shared" si="1129"/>
        <v>0</v>
      </c>
      <c r="AK302" s="201">
        <f t="shared" ref="AK302:AS302" si="1515">countif($D302,"*"&amp;AK$2&amp;"*")</f>
        <v>0</v>
      </c>
      <c r="AL302" s="201">
        <f t="shared" si="1515"/>
        <v>0</v>
      </c>
      <c r="AM302" s="201">
        <f t="shared" si="1515"/>
        <v>0</v>
      </c>
      <c r="AN302" s="201">
        <f t="shared" si="1515"/>
        <v>0</v>
      </c>
      <c r="AO302" s="201">
        <f t="shared" si="1515"/>
        <v>0</v>
      </c>
      <c r="AP302" s="201">
        <f t="shared" si="1515"/>
        <v>0</v>
      </c>
      <c r="AQ302" s="201">
        <f t="shared" si="1515"/>
        <v>0</v>
      </c>
      <c r="AR302" s="200">
        <f t="shared" si="1515"/>
        <v>0</v>
      </c>
      <c r="AS302" s="200">
        <f t="shared" si="1515"/>
        <v>0</v>
      </c>
      <c r="AT302" s="173">
        <v>0.0</v>
      </c>
      <c r="AU302" s="200">
        <f t="shared" ref="AU302:AX302" si="1516">countif($D302,"*"&amp;AU$2&amp;"*")</f>
        <v>0</v>
      </c>
      <c r="AV302" s="200">
        <f t="shared" si="1516"/>
        <v>0</v>
      </c>
      <c r="AW302" s="200">
        <f t="shared" si="1516"/>
        <v>0</v>
      </c>
      <c r="AX302" s="200">
        <f t="shared" si="1516"/>
        <v>0</v>
      </c>
      <c r="AY302" s="204">
        <v>1.0</v>
      </c>
      <c r="AZ302" s="200"/>
      <c r="BA302" s="171" t="str">
        <f t="shared" si="18"/>
        <v>Archival</v>
      </c>
      <c r="BB302" s="171" t="str">
        <f t="shared" si="19"/>
        <v/>
      </c>
      <c r="BC302" s="171" t="str">
        <f t="shared" si="20"/>
        <v/>
      </c>
      <c r="BD302" s="171" t="str">
        <f t="shared" si="21"/>
        <v/>
      </c>
      <c r="BE302" s="171" t="str">
        <f t="shared" si="22"/>
        <v/>
      </c>
      <c r="BF302" s="171" t="str">
        <f t="shared" si="23"/>
        <v>Archival</v>
      </c>
    </row>
    <row r="303">
      <c r="A303" s="171">
        <f t="array" ref="A303">XLOOKUP(C303,ICSE!A:A,ICSE!C:C,,2,1)</f>
        <v>2021</v>
      </c>
      <c r="B303" s="171" t="s">
        <v>5675</v>
      </c>
      <c r="C303" s="160">
        <v>538.0</v>
      </c>
      <c r="D303" s="161" t="s">
        <v>5832</v>
      </c>
      <c r="E303" s="197" t="str">
        <f t="array" ref="E303">XLOOKUP(C303,ICSE!A:A,ICSE!Z:Z,,0,1)</f>
        <v>Publicly available (1)</v>
      </c>
      <c r="F303" s="198" t="s">
        <v>20</v>
      </c>
      <c r="G303" s="163" t="str">
        <f t="array" ref="G303">IF(B303="ICSE",IF(COUNTIFS(B:B,B303,C:C,C303)=XLOOKUP(C303,ICSE!A:A,ICSE!AA:AA,"ERROR",0,1),"OK","ERROR"),IF(B303="FSE",IF(COUNTIFS(B:B,B303,C:C,C303)=XLOOKUP(C303,FSE!A:A,FSE!AA:AA,"ERROR",0,1),"OK","ERROR")))</f>
        <v>OK</v>
      </c>
      <c r="H303" s="199">
        <f t="shared" ref="H303:O303" si="1517">countif($D303,"*"&amp;H$2&amp;"*")</f>
        <v>0</v>
      </c>
      <c r="I303" s="200">
        <f t="shared" si="1517"/>
        <v>0</v>
      </c>
      <c r="J303" s="200">
        <f t="shared" si="1517"/>
        <v>0</v>
      </c>
      <c r="K303" s="200">
        <f t="shared" si="1517"/>
        <v>0</v>
      </c>
      <c r="L303" s="200">
        <f t="shared" si="1517"/>
        <v>0</v>
      </c>
      <c r="M303" s="200">
        <f t="shared" si="1517"/>
        <v>0</v>
      </c>
      <c r="N303" s="200">
        <f t="shared" si="1517"/>
        <v>0</v>
      </c>
      <c r="O303" s="200">
        <f t="shared" si="1517"/>
        <v>0</v>
      </c>
      <c r="P303" s="200">
        <f t="shared" si="9"/>
        <v>1</v>
      </c>
      <c r="Q303" s="200">
        <f t="shared" ref="Q303:AC303" si="1518">countif($D303,"*"&amp;Q$2&amp;"*")</f>
        <v>0</v>
      </c>
      <c r="R303" s="200">
        <f t="shared" si="1518"/>
        <v>0</v>
      </c>
      <c r="S303" s="200">
        <f t="shared" si="1518"/>
        <v>0</v>
      </c>
      <c r="T303" s="200">
        <f t="shared" si="1518"/>
        <v>0</v>
      </c>
      <c r="U303" s="200">
        <f t="shared" si="1518"/>
        <v>0</v>
      </c>
      <c r="V303" s="200">
        <f t="shared" si="1518"/>
        <v>0</v>
      </c>
      <c r="W303" s="200">
        <f t="shared" si="1518"/>
        <v>0</v>
      </c>
      <c r="X303" s="200">
        <f t="shared" si="1518"/>
        <v>0</v>
      </c>
      <c r="Y303" s="200">
        <f t="shared" si="1518"/>
        <v>0</v>
      </c>
      <c r="Z303" s="200">
        <f t="shared" si="1518"/>
        <v>0</v>
      </c>
      <c r="AA303" s="200">
        <f t="shared" si="1518"/>
        <v>0</v>
      </c>
      <c r="AB303" s="200">
        <f t="shared" si="1518"/>
        <v>0</v>
      </c>
      <c r="AC303" s="200">
        <f t="shared" si="1518"/>
        <v>0</v>
      </c>
      <c r="AD303" s="200">
        <f t="shared" si="11"/>
        <v>0</v>
      </c>
      <c r="AE303" s="200">
        <f t="shared" ref="AE303:AG303" si="1519">countif($D303,"*"&amp;AE$2&amp;"*")</f>
        <v>0</v>
      </c>
      <c r="AF303" s="200">
        <f t="shared" si="1519"/>
        <v>0</v>
      </c>
      <c r="AG303" s="200">
        <f t="shared" si="1519"/>
        <v>0</v>
      </c>
      <c r="AH303" s="171">
        <f t="shared" si="13"/>
        <v>0</v>
      </c>
      <c r="AI303" s="200">
        <f t="shared" si="14"/>
        <v>0</v>
      </c>
      <c r="AJ303" s="200">
        <f t="shared" si="1129"/>
        <v>1</v>
      </c>
      <c r="AK303" s="201">
        <f t="shared" ref="AK303:AS303" si="1520">countif($D303,"*"&amp;AK$2&amp;"*")</f>
        <v>1</v>
      </c>
      <c r="AL303" s="201">
        <f t="shared" si="1520"/>
        <v>0</v>
      </c>
      <c r="AM303" s="201">
        <f t="shared" si="1520"/>
        <v>0</v>
      </c>
      <c r="AN303" s="201">
        <f t="shared" si="1520"/>
        <v>0</v>
      </c>
      <c r="AO303" s="201">
        <f t="shared" si="1520"/>
        <v>0</v>
      </c>
      <c r="AP303" s="201">
        <f t="shared" si="1520"/>
        <v>0</v>
      </c>
      <c r="AQ303" s="201">
        <f t="shared" si="1520"/>
        <v>0</v>
      </c>
      <c r="AR303" s="200">
        <f t="shared" si="1520"/>
        <v>0</v>
      </c>
      <c r="AS303" s="200">
        <f t="shared" si="1520"/>
        <v>1</v>
      </c>
      <c r="AT303" s="173">
        <v>0.0</v>
      </c>
      <c r="AU303" s="200">
        <f t="shared" ref="AU303:AX303" si="1521">countif($D303,"*"&amp;AU$2&amp;"*")</f>
        <v>0</v>
      </c>
      <c r="AV303" s="200">
        <f t="shared" si="1521"/>
        <v>1</v>
      </c>
      <c r="AW303" s="200">
        <f t="shared" si="1521"/>
        <v>0</v>
      </c>
      <c r="AX303" s="200">
        <f t="shared" si="1521"/>
        <v>0</v>
      </c>
      <c r="AY303" s="202">
        <v>0.0</v>
      </c>
      <c r="AZ303" s="200"/>
      <c r="BA303" s="171" t="str">
        <f t="shared" si="18"/>
        <v/>
      </c>
      <c r="BB303" s="171" t="str">
        <f t="shared" si="19"/>
        <v>Code</v>
      </c>
      <c r="BC303" s="171" t="str">
        <f t="shared" si="20"/>
        <v/>
      </c>
      <c r="BD303" s="171" t="str">
        <f t="shared" si="21"/>
        <v/>
      </c>
      <c r="BE303" s="171" t="str">
        <f t="shared" si="22"/>
        <v/>
      </c>
      <c r="BF303" s="171" t="str">
        <f t="shared" si="23"/>
        <v>Code</v>
      </c>
    </row>
    <row r="304">
      <c r="A304" s="171">
        <f t="array" ref="A304">XLOOKUP(C304,ICSE!A:A,ICSE!C:C,,2,1)</f>
        <v>2021</v>
      </c>
      <c r="B304" s="171" t="s">
        <v>5675</v>
      </c>
      <c r="C304" s="160">
        <v>539.0</v>
      </c>
      <c r="D304" s="161" t="s">
        <v>2103</v>
      </c>
      <c r="E304" s="197" t="str">
        <f t="array" ref="E304">XLOOKUP(C304,ICSE!A:A,ICSE!Z:Z,,0,1)</f>
        <v>Publicly available (1)</v>
      </c>
      <c r="F304" s="198" t="s">
        <v>20</v>
      </c>
      <c r="G304" s="163" t="str">
        <f t="array" ref="G304">IF(B304="ICSE",IF(COUNTIFS(B:B,B304,C:C,C304)=XLOOKUP(C304,ICSE!A:A,ICSE!AA:AA,"ERROR",0,1),"OK","ERROR"),IF(B304="FSE",IF(COUNTIFS(B:B,B304,C:C,C304)=XLOOKUP(C304,FSE!A:A,FSE!AA:AA,"ERROR",0,1),"OK","ERROR")))</f>
        <v>OK</v>
      </c>
      <c r="H304" s="199">
        <f t="shared" ref="H304:O304" si="1522">countif($D304,"*"&amp;H$2&amp;"*")</f>
        <v>0</v>
      </c>
      <c r="I304" s="200">
        <f t="shared" si="1522"/>
        <v>0</v>
      </c>
      <c r="J304" s="200">
        <f t="shared" si="1522"/>
        <v>0</v>
      </c>
      <c r="K304" s="200">
        <f t="shared" si="1522"/>
        <v>0</v>
      </c>
      <c r="L304" s="200">
        <f t="shared" si="1522"/>
        <v>0</v>
      </c>
      <c r="M304" s="200">
        <f t="shared" si="1522"/>
        <v>0</v>
      </c>
      <c r="N304" s="200">
        <f t="shared" si="1522"/>
        <v>0</v>
      </c>
      <c r="O304" s="200">
        <f t="shared" si="1522"/>
        <v>0</v>
      </c>
      <c r="P304" s="200">
        <f t="shared" si="9"/>
        <v>1</v>
      </c>
      <c r="Q304" s="200">
        <f t="shared" ref="Q304:AC304" si="1523">countif($D304,"*"&amp;Q$2&amp;"*")</f>
        <v>0</v>
      </c>
      <c r="R304" s="200">
        <f t="shared" si="1523"/>
        <v>0</v>
      </c>
      <c r="S304" s="200">
        <f t="shared" si="1523"/>
        <v>0</v>
      </c>
      <c r="T304" s="200">
        <f t="shared" si="1523"/>
        <v>0</v>
      </c>
      <c r="U304" s="200">
        <f t="shared" si="1523"/>
        <v>0</v>
      </c>
      <c r="V304" s="200">
        <f t="shared" si="1523"/>
        <v>0</v>
      </c>
      <c r="W304" s="200">
        <f t="shared" si="1523"/>
        <v>0</v>
      </c>
      <c r="X304" s="200">
        <f t="shared" si="1523"/>
        <v>0</v>
      </c>
      <c r="Y304" s="200">
        <f t="shared" si="1523"/>
        <v>0</v>
      </c>
      <c r="Z304" s="200">
        <f t="shared" si="1523"/>
        <v>0</v>
      </c>
      <c r="AA304" s="200">
        <f t="shared" si="1523"/>
        <v>0</v>
      </c>
      <c r="AB304" s="200">
        <f t="shared" si="1523"/>
        <v>0</v>
      </c>
      <c r="AC304" s="200">
        <f t="shared" si="1523"/>
        <v>0</v>
      </c>
      <c r="AD304" s="200">
        <f t="shared" si="11"/>
        <v>0</v>
      </c>
      <c r="AE304" s="200">
        <f t="shared" ref="AE304:AG304" si="1524">countif($D304,"*"&amp;AE$2&amp;"*")</f>
        <v>0</v>
      </c>
      <c r="AF304" s="200">
        <f t="shared" si="1524"/>
        <v>0</v>
      </c>
      <c r="AG304" s="200">
        <f t="shared" si="1524"/>
        <v>0</v>
      </c>
      <c r="AH304" s="171">
        <f t="shared" si="13"/>
        <v>0</v>
      </c>
      <c r="AI304" s="200">
        <f t="shared" si="14"/>
        <v>0</v>
      </c>
      <c r="AJ304" s="200">
        <f t="shared" si="1129"/>
        <v>0</v>
      </c>
      <c r="AK304" s="201">
        <f t="shared" ref="AK304:AS304" si="1525">countif($D304,"*"&amp;AK$2&amp;"*")</f>
        <v>0</v>
      </c>
      <c r="AL304" s="201">
        <f t="shared" si="1525"/>
        <v>0</v>
      </c>
      <c r="AM304" s="201">
        <f t="shared" si="1525"/>
        <v>0</v>
      </c>
      <c r="AN304" s="201">
        <f t="shared" si="1525"/>
        <v>0</v>
      </c>
      <c r="AO304" s="201">
        <f t="shared" si="1525"/>
        <v>0</v>
      </c>
      <c r="AP304" s="201">
        <f t="shared" si="1525"/>
        <v>0</v>
      </c>
      <c r="AQ304" s="201">
        <f t="shared" si="1525"/>
        <v>0</v>
      </c>
      <c r="AR304" s="200">
        <f t="shared" si="1525"/>
        <v>0</v>
      </c>
      <c r="AS304" s="200">
        <f t="shared" si="1525"/>
        <v>0</v>
      </c>
      <c r="AT304" s="173">
        <v>0.0</v>
      </c>
      <c r="AU304" s="200">
        <f t="shared" ref="AU304:AX304" si="1526">countif($D304,"*"&amp;AU$2&amp;"*")</f>
        <v>0</v>
      </c>
      <c r="AV304" s="200">
        <f t="shared" si="1526"/>
        <v>1</v>
      </c>
      <c r="AW304" s="200">
        <f t="shared" si="1526"/>
        <v>0</v>
      </c>
      <c r="AX304" s="200">
        <f t="shared" si="1526"/>
        <v>0</v>
      </c>
      <c r="AY304" s="202">
        <v>0.0</v>
      </c>
      <c r="AZ304" s="200"/>
      <c r="BA304" s="171" t="str">
        <f t="shared" si="18"/>
        <v/>
      </c>
      <c r="BB304" s="171" t="str">
        <f t="shared" si="19"/>
        <v>Code</v>
      </c>
      <c r="BC304" s="171" t="str">
        <f t="shared" si="20"/>
        <v/>
      </c>
      <c r="BD304" s="171" t="str">
        <f t="shared" si="21"/>
        <v/>
      </c>
      <c r="BE304" s="171" t="str">
        <f t="shared" si="22"/>
        <v/>
      </c>
      <c r="BF304" s="171" t="str">
        <f t="shared" si="23"/>
        <v>Code</v>
      </c>
    </row>
    <row r="305">
      <c r="A305" s="171">
        <f t="array" ref="A305">XLOOKUP(C305,ICSE!A:A,ICSE!C:C,,2,1)</f>
        <v>2021</v>
      </c>
      <c r="B305" s="171" t="s">
        <v>5675</v>
      </c>
      <c r="C305" s="160">
        <v>541.0</v>
      </c>
      <c r="D305" s="161" t="s">
        <v>5833</v>
      </c>
      <c r="E305" s="197" t="str">
        <f t="array" ref="E305">XLOOKUP(C305,ICSE!A:A,ICSE!Z:Z,,0,1)</f>
        <v>Publicly available (1)</v>
      </c>
      <c r="F305" s="198" t="s">
        <v>20</v>
      </c>
      <c r="G305" s="163" t="str">
        <f t="array" ref="G305">IF(B305="ICSE",IF(COUNTIFS(B:B,B305,C:C,C305)=XLOOKUP(C305,ICSE!A:A,ICSE!AA:AA,"ERROR",0,1),"OK","ERROR"),IF(B305="FSE",IF(COUNTIFS(B:B,B305,C:C,C305)=XLOOKUP(C305,FSE!A:A,FSE!AA:AA,"ERROR",0,1),"OK","ERROR")))</f>
        <v>OK</v>
      </c>
      <c r="H305" s="199">
        <f t="shared" ref="H305:O305" si="1527">countif($D305,"*"&amp;H$2&amp;"*")</f>
        <v>0</v>
      </c>
      <c r="I305" s="200">
        <f t="shared" si="1527"/>
        <v>0</v>
      </c>
      <c r="J305" s="200">
        <f t="shared" si="1527"/>
        <v>0</v>
      </c>
      <c r="K305" s="200">
        <f t="shared" si="1527"/>
        <v>0</v>
      </c>
      <c r="L305" s="200">
        <f t="shared" si="1527"/>
        <v>0</v>
      </c>
      <c r="M305" s="200">
        <f t="shared" si="1527"/>
        <v>0</v>
      </c>
      <c r="N305" s="200">
        <f t="shared" si="1527"/>
        <v>0</v>
      </c>
      <c r="O305" s="200">
        <f t="shared" si="1527"/>
        <v>0</v>
      </c>
      <c r="P305" s="200">
        <f t="shared" si="9"/>
        <v>1</v>
      </c>
      <c r="Q305" s="200">
        <f t="shared" ref="Q305:AC305" si="1528">countif($D305,"*"&amp;Q$2&amp;"*")</f>
        <v>0</v>
      </c>
      <c r="R305" s="200">
        <f t="shared" si="1528"/>
        <v>0</v>
      </c>
      <c r="S305" s="200">
        <f t="shared" si="1528"/>
        <v>0</v>
      </c>
      <c r="T305" s="200">
        <f t="shared" si="1528"/>
        <v>0</v>
      </c>
      <c r="U305" s="200">
        <f t="shared" si="1528"/>
        <v>0</v>
      </c>
      <c r="V305" s="200">
        <f t="shared" si="1528"/>
        <v>0</v>
      </c>
      <c r="W305" s="200">
        <f t="shared" si="1528"/>
        <v>0</v>
      </c>
      <c r="X305" s="200">
        <f t="shared" si="1528"/>
        <v>0</v>
      </c>
      <c r="Y305" s="200">
        <f t="shared" si="1528"/>
        <v>0</v>
      </c>
      <c r="Z305" s="200">
        <f t="shared" si="1528"/>
        <v>0</v>
      </c>
      <c r="AA305" s="200">
        <f t="shared" si="1528"/>
        <v>0</v>
      </c>
      <c r="AB305" s="200">
        <f t="shared" si="1528"/>
        <v>0</v>
      </c>
      <c r="AC305" s="200">
        <f t="shared" si="1528"/>
        <v>0</v>
      </c>
      <c r="AD305" s="200">
        <f t="shared" si="11"/>
        <v>0</v>
      </c>
      <c r="AE305" s="200">
        <f t="shared" ref="AE305:AG305" si="1529">countif($D305,"*"&amp;AE$2&amp;"*")</f>
        <v>0</v>
      </c>
      <c r="AF305" s="200">
        <f t="shared" si="1529"/>
        <v>0</v>
      </c>
      <c r="AG305" s="200">
        <f t="shared" si="1529"/>
        <v>0</v>
      </c>
      <c r="AH305" s="171">
        <f t="shared" si="13"/>
        <v>0</v>
      </c>
      <c r="AI305" s="200">
        <f t="shared" si="14"/>
        <v>0</v>
      </c>
      <c r="AJ305" s="200">
        <f t="shared" si="1129"/>
        <v>0</v>
      </c>
      <c r="AK305" s="201">
        <f t="shared" ref="AK305:AS305" si="1530">countif($D305,"*"&amp;AK$2&amp;"*")</f>
        <v>0</v>
      </c>
      <c r="AL305" s="201">
        <f t="shared" si="1530"/>
        <v>0</v>
      </c>
      <c r="AM305" s="201">
        <f t="shared" si="1530"/>
        <v>0</v>
      </c>
      <c r="AN305" s="201">
        <f t="shared" si="1530"/>
        <v>0</v>
      </c>
      <c r="AO305" s="201">
        <f t="shared" si="1530"/>
        <v>0</v>
      </c>
      <c r="AP305" s="201">
        <f t="shared" si="1530"/>
        <v>0</v>
      </c>
      <c r="AQ305" s="201">
        <f t="shared" si="1530"/>
        <v>0</v>
      </c>
      <c r="AR305" s="200">
        <f t="shared" si="1530"/>
        <v>0</v>
      </c>
      <c r="AS305" s="200">
        <f t="shared" si="1530"/>
        <v>0</v>
      </c>
      <c r="AT305" s="173">
        <v>0.0</v>
      </c>
      <c r="AU305" s="200">
        <f t="shared" ref="AU305:AX305" si="1531">countif($D305,"*"&amp;AU$2&amp;"*")</f>
        <v>0</v>
      </c>
      <c r="AV305" s="200">
        <f t="shared" si="1531"/>
        <v>1</v>
      </c>
      <c r="AW305" s="200">
        <f t="shared" si="1531"/>
        <v>0</v>
      </c>
      <c r="AX305" s="200">
        <f t="shared" si="1531"/>
        <v>0</v>
      </c>
      <c r="AY305" s="202">
        <v>0.0</v>
      </c>
      <c r="AZ305" s="200"/>
      <c r="BA305" s="171" t="str">
        <f t="shared" si="18"/>
        <v/>
      </c>
      <c r="BB305" s="171" t="str">
        <f t="shared" si="19"/>
        <v>Code</v>
      </c>
      <c r="BC305" s="171" t="str">
        <f t="shared" si="20"/>
        <v/>
      </c>
      <c r="BD305" s="171" t="str">
        <f t="shared" si="21"/>
        <v/>
      </c>
      <c r="BE305" s="171" t="str">
        <f t="shared" si="22"/>
        <v/>
      </c>
      <c r="BF305" s="171" t="str">
        <f t="shared" si="23"/>
        <v>Code</v>
      </c>
    </row>
    <row r="306">
      <c r="A306" s="171">
        <f t="array" ref="A306">XLOOKUP(C306,ICSE!A:A,ICSE!C:C,,2,1)</f>
        <v>2021</v>
      </c>
      <c r="B306" s="171" t="s">
        <v>5675</v>
      </c>
      <c r="C306" s="160">
        <v>542.0</v>
      </c>
      <c r="D306" s="161" t="s">
        <v>2110</v>
      </c>
      <c r="E306" s="197" t="str">
        <f t="array" ref="E306">XLOOKUP(C306,ICSE!A:A,ICSE!Z:Z,,0,1)</f>
        <v>Publicly available (1)</v>
      </c>
      <c r="F306" s="198" t="s">
        <v>20</v>
      </c>
      <c r="G306" s="163" t="str">
        <f t="array" ref="G306">IF(B306="ICSE",IF(COUNTIFS(B:B,B306,C:C,C306)=XLOOKUP(C306,ICSE!A:A,ICSE!AA:AA,"ERROR",0,1),"OK","ERROR"),IF(B306="FSE",IF(COUNTIFS(B:B,B306,C:C,C306)=XLOOKUP(C306,FSE!A:A,FSE!AA:AA,"ERROR",0,1),"OK","ERROR")))</f>
        <v>OK</v>
      </c>
      <c r="H306" s="199">
        <f t="shared" ref="H306:O306" si="1532">countif($D306,"*"&amp;H$2&amp;"*")</f>
        <v>0</v>
      </c>
      <c r="I306" s="200">
        <f t="shared" si="1532"/>
        <v>0</v>
      </c>
      <c r="J306" s="200">
        <f t="shared" si="1532"/>
        <v>0</v>
      </c>
      <c r="K306" s="200">
        <f t="shared" si="1532"/>
        <v>0</v>
      </c>
      <c r="L306" s="200">
        <f t="shared" si="1532"/>
        <v>0</v>
      </c>
      <c r="M306" s="200">
        <f t="shared" si="1532"/>
        <v>0</v>
      </c>
      <c r="N306" s="200">
        <f t="shared" si="1532"/>
        <v>0</v>
      </c>
      <c r="O306" s="200">
        <f t="shared" si="1532"/>
        <v>0</v>
      </c>
      <c r="P306" s="200">
        <f t="shared" si="9"/>
        <v>1</v>
      </c>
      <c r="Q306" s="200">
        <f t="shared" ref="Q306:AC306" si="1533">countif($D306,"*"&amp;Q$2&amp;"*")</f>
        <v>0</v>
      </c>
      <c r="R306" s="200">
        <f t="shared" si="1533"/>
        <v>0</v>
      </c>
      <c r="S306" s="200">
        <f t="shared" si="1533"/>
        <v>0</v>
      </c>
      <c r="T306" s="200">
        <f t="shared" si="1533"/>
        <v>0</v>
      </c>
      <c r="U306" s="200">
        <f t="shared" si="1533"/>
        <v>0</v>
      </c>
      <c r="V306" s="200">
        <f t="shared" si="1533"/>
        <v>0</v>
      </c>
      <c r="W306" s="200">
        <f t="shared" si="1533"/>
        <v>0</v>
      </c>
      <c r="X306" s="200">
        <f t="shared" si="1533"/>
        <v>0</v>
      </c>
      <c r="Y306" s="200">
        <f t="shared" si="1533"/>
        <v>0</v>
      </c>
      <c r="Z306" s="200">
        <f t="shared" si="1533"/>
        <v>0</v>
      </c>
      <c r="AA306" s="200">
        <f t="shared" si="1533"/>
        <v>0</v>
      </c>
      <c r="AB306" s="200">
        <f t="shared" si="1533"/>
        <v>0</v>
      </c>
      <c r="AC306" s="200">
        <f t="shared" si="1533"/>
        <v>0</v>
      </c>
      <c r="AD306" s="200">
        <f t="shared" si="11"/>
        <v>0</v>
      </c>
      <c r="AE306" s="200">
        <f t="shared" ref="AE306:AG306" si="1534">countif($D306,"*"&amp;AE$2&amp;"*")</f>
        <v>0</v>
      </c>
      <c r="AF306" s="200">
        <f t="shared" si="1534"/>
        <v>0</v>
      </c>
      <c r="AG306" s="200">
        <f t="shared" si="1534"/>
        <v>0</v>
      </c>
      <c r="AH306" s="171">
        <f t="shared" si="13"/>
        <v>0</v>
      </c>
      <c r="AI306" s="200">
        <f t="shared" si="14"/>
        <v>0</v>
      </c>
      <c r="AJ306" s="200">
        <f t="shared" si="1129"/>
        <v>0</v>
      </c>
      <c r="AK306" s="201">
        <f t="shared" ref="AK306:AS306" si="1535">countif($D306,"*"&amp;AK$2&amp;"*")</f>
        <v>0</v>
      </c>
      <c r="AL306" s="201">
        <f t="shared" si="1535"/>
        <v>0</v>
      </c>
      <c r="AM306" s="201">
        <f t="shared" si="1535"/>
        <v>0</v>
      </c>
      <c r="AN306" s="201">
        <f t="shared" si="1535"/>
        <v>0</v>
      </c>
      <c r="AO306" s="201">
        <f t="shared" si="1535"/>
        <v>0</v>
      </c>
      <c r="AP306" s="201">
        <f t="shared" si="1535"/>
        <v>0</v>
      </c>
      <c r="AQ306" s="201">
        <f t="shared" si="1535"/>
        <v>0</v>
      </c>
      <c r="AR306" s="200">
        <f t="shared" si="1535"/>
        <v>0</v>
      </c>
      <c r="AS306" s="200">
        <f t="shared" si="1535"/>
        <v>0</v>
      </c>
      <c r="AT306" s="173">
        <v>0.0</v>
      </c>
      <c r="AU306" s="200">
        <f t="shared" ref="AU306:AX306" si="1536">countif($D306,"*"&amp;AU$2&amp;"*")</f>
        <v>0</v>
      </c>
      <c r="AV306" s="200">
        <f t="shared" si="1536"/>
        <v>1</v>
      </c>
      <c r="AW306" s="200">
        <f t="shared" si="1536"/>
        <v>0</v>
      </c>
      <c r="AX306" s="200">
        <f t="shared" si="1536"/>
        <v>0</v>
      </c>
      <c r="AY306" s="202">
        <v>0.0</v>
      </c>
      <c r="AZ306" s="200"/>
      <c r="BA306" s="171" t="str">
        <f t="shared" si="18"/>
        <v/>
      </c>
      <c r="BB306" s="171" t="str">
        <f t="shared" si="19"/>
        <v>Code</v>
      </c>
      <c r="BC306" s="171" t="str">
        <f t="shared" si="20"/>
        <v/>
      </c>
      <c r="BD306" s="171" t="str">
        <f t="shared" si="21"/>
        <v/>
      </c>
      <c r="BE306" s="171" t="str">
        <f t="shared" si="22"/>
        <v/>
      </c>
      <c r="BF306" s="171" t="str">
        <f t="shared" si="23"/>
        <v>Code</v>
      </c>
    </row>
    <row r="307">
      <c r="A307" s="171">
        <f t="array" ref="A307">XLOOKUP(C307,ICSE!A:A,ICSE!C:C,,2,1)</f>
        <v>2021</v>
      </c>
      <c r="B307" s="171" t="s">
        <v>5675</v>
      </c>
      <c r="C307" s="160">
        <v>543.0</v>
      </c>
      <c r="D307" s="161" t="s">
        <v>5834</v>
      </c>
      <c r="E307" s="197" t="str">
        <f t="array" ref="E307">XLOOKUP(C307,ICSE!A:A,ICSE!Z:Z,,0,1)</f>
        <v>Publicly available (2)</v>
      </c>
      <c r="F307" s="198" t="s">
        <v>20</v>
      </c>
      <c r="G307" s="163" t="str">
        <f t="array" ref="G307">IF(B307="ICSE",IF(COUNTIFS(B:B,B307,C:C,C307)=XLOOKUP(C307,ICSE!A:A,ICSE!AA:AA,"ERROR",0,1),"OK","ERROR"),IF(B307="FSE",IF(COUNTIFS(B:B,B307,C:C,C307)=XLOOKUP(C307,FSE!A:A,FSE!AA:AA,"ERROR",0,1),"OK","ERROR")))</f>
        <v>OK</v>
      </c>
      <c r="H307" s="199">
        <f t="shared" ref="H307:O307" si="1537">countif($D307,"*"&amp;H$2&amp;"*")</f>
        <v>0</v>
      </c>
      <c r="I307" s="200">
        <f t="shared" si="1537"/>
        <v>0</v>
      </c>
      <c r="J307" s="200">
        <f t="shared" si="1537"/>
        <v>0</v>
      </c>
      <c r="K307" s="200">
        <f t="shared" si="1537"/>
        <v>0</v>
      </c>
      <c r="L307" s="200">
        <f t="shared" si="1537"/>
        <v>0</v>
      </c>
      <c r="M307" s="200">
        <f t="shared" si="1537"/>
        <v>0</v>
      </c>
      <c r="N307" s="200">
        <f t="shared" si="1537"/>
        <v>0</v>
      </c>
      <c r="O307" s="200">
        <f t="shared" si="1537"/>
        <v>0</v>
      </c>
      <c r="P307" s="200">
        <f t="shared" si="9"/>
        <v>0</v>
      </c>
      <c r="Q307" s="200">
        <f t="shared" ref="Q307:AC307" si="1538">countif($D307,"*"&amp;Q$2&amp;"*")</f>
        <v>0</v>
      </c>
      <c r="R307" s="200">
        <f t="shared" si="1538"/>
        <v>0</v>
      </c>
      <c r="S307" s="200">
        <f t="shared" si="1538"/>
        <v>0</v>
      </c>
      <c r="T307" s="200">
        <f t="shared" si="1538"/>
        <v>0</v>
      </c>
      <c r="U307" s="200">
        <f t="shared" si="1538"/>
        <v>0</v>
      </c>
      <c r="V307" s="200">
        <f t="shared" si="1538"/>
        <v>0</v>
      </c>
      <c r="W307" s="200">
        <f t="shared" si="1538"/>
        <v>0</v>
      </c>
      <c r="X307" s="200">
        <f t="shared" si="1538"/>
        <v>0</v>
      </c>
      <c r="Y307" s="200">
        <f t="shared" si="1538"/>
        <v>0</v>
      </c>
      <c r="Z307" s="200">
        <f t="shared" si="1538"/>
        <v>0</v>
      </c>
      <c r="AA307" s="200">
        <f t="shared" si="1538"/>
        <v>1</v>
      </c>
      <c r="AB307" s="200">
        <f t="shared" si="1538"/>
        <v>0</v>
      </c>
      <c r="AC307" s="200">
        <f t="shared" si="1538"/>
        <v>0</v>
      </c>
      <c r="AD307" s="200">
        <f t="shared" si="11"/>
        <v>0</v>
      </c>
      <c r="AE307" s="200">
        <f t="shared" ref="AE307:AG307" si="1539">countif($D307,"*"&amp;AE$2&amp;"*")</f>
        <v>0</v>
      </c>
      <c r="AF307" s="200">
        <f t="shared" si="1539"/>
        <v>0</v>
      </c>
      <c r="AG307" s="200">
        <f t="shared" si="1539"/>
        <v>0</v>
      </c>
      <c r="AH307" s="171">
        <f t="shared" si="13"/>
        <v>0</v>
      </c>
      <c r="AI307" s="200">
        <f t="shared" si="14"/>
        <v>0</v>
      </c>
      <c r="AJ307" s="200">
        <f t="shared" si="1129"/>
        <v>0</v>
      </c>
      <c r="AK307" s="201">
        <f t="shared" ref="AK307:AS307" si="1540">countif($D307,"*"&amp;AK$2&amp;"*")</f>
        <v>0</v>
      </c>
      <c r="AL307" s="201">
        <f t="shared" si="1540"/>
        <v>0</v>
      </c>
      <c r="AM307" s="201">
        <f t="shared" si="1540"/>
        <v>0</v>
      </c>
      <c r="AN307" s="201">
        <f t="shared" si="1540"/>
        <v>0</v>
      </c>
      <c r="AO307" s="201">
        <f t="shared" si="1540"/>
        <v>0</v>
      </c>
      <c r="AP307" s="201">
        <f t="shared" si="1540"/>
        <v>0</v>
      </c>
      <c r="AQ307" s="201">
        <f t="shared" si="1540"/>
        <v>0</v>
      </c>
      <c r="AR307" s="200">
        <f t="shared" si="1540"/>
        <v>0</v>
      </c>
      <c r="AS307" s="200">
        <f t="shared" si="1540"/>
        <v>0</v>
      </c>
      <c r="AT307" s="173">
        <v>0.0</v>
      </c>
      <c r="AU307" s="200">
        <f t="shared" ref="AU307:AX307" si="1541">countif($D307,"*"&amp;AU$2&amp;"*")</f>
        <v>0</v>
      </c>
      <c r="AV307" s="200">
        <f t="shared" si="1541"/>
        <v>0</v>
      </c>
      <c r="AW307" s="200">
        <f t="shared" si="1541"/>
        <v>0</v>
      </c>
      <c r="AX307" s="200">
        <f t="shared" si="1541"/>
        <v>0</v>
      </c>
      <c r="AY307" s="202">
        <v>0.0</v>
      </c>
      <c r="AZ307" s="200"/>
      <c r="BA307" s="171" t="str">
        <f t="shared" si="18"/>
        <v/>
      </c>
      <c r="BB307" s="171" t="str">
        <f t="shared" si="19"/>
        <v/>
      </c>
      <c r="BC307" s="171" t="str">
        <f t="shared" si="20"/>
        <v>General-purpose</v>
      </c>
      <c r="BD307" s="171" t="str">
        <f t="shared" si="21"/>
        <v/>
      </c>
      <c r="BE307" s="171" t="str">
        <f t="shared" si="22"/>
        <v/>
      </c>
      <c r="BF307" s="171" t="str">
        <f t="shared" si="23"/>
        <v>General-purpose</v>
      </c>
    </row>
    <row r="308">
      <c r="A308" s="171">
        <f t="array" ref="A308">XLOOKUP(C308,ICSE!A:A,ICSE!C:C,,2,1)</f>
        <v>2021</v>
      </c>
      <c r="B308" s="171" t="s">
        <v>5675</v>
      </c>
      <c r="C308" s="160">
        <v>543.0</v>
      </c>
      <c r="D308" s="161" t="s">
        <v>5835</v>
      </c>
      <c r="E308" s="197" t="str">
        <f t="array" ref="E308">XLOOKUP(C308,ICSE!A:A,ICSE!Z:Z,,0,1)</f>
        <v>Publicly available (2)</v>
      </c>
      <c r="F308" s="198" t="s">
        <v>20</v>
      </c>
      <c r="G308" s="163" t="str">
        <f t="array" ref="G308">IF(B308="ICSE",IF(COUNTIFS(B:B,B308,C:C,C308)=XLOOKUP(C308,ICSE!A:A,ICSE!AA:AA,"ERROR",0,1),"OK","ERROR"),IF(B308="FSE",IF(COUNTIFS(B:B,B308,C:C,C308)=XLOOKUP(C308,FSE!A:A,FSE!AA:AA,"ERROR",0,1),"OK","ERROR")))</f>
        <v>OK</v>
      </c>
      <c r="H308" s="199">
        <f t="shared" ref="H308:O308" si="1542">countif($D308,"*"&amp;H$2&amp;"*")</f>
        <v>0</v>
      </c>
      <c r="I308" s="200">
        <f t="shared" si="1542"/>
        <v>1</v>
      </c>
      <c r="J308" s="200">
        <f t="shared" si="1542"/>
        <v>0</v>
      </c>
      <c r="K308" s="200">
        <f t="shared" si="1542"/>
        <v>0</v>
      </c>
      <c r="L308" s="200">
        <f t="shared" si="1542"/>
        <v>0</v>
      </c>
      <c r="M308" s="200">
        <f t="shared" si="1542"/>
        <v>0</v>
      </c>
      <c r="N308" s="200">
        <f t="shared" si="1542"/>
        <v>0</v>
      </c>
      <c r="O308" s="200">
        <f t="shared" si="1542"/>
        <v>0</v>
      </c>
      <c r="P308" s="200">
        <f t="shared" si="9"/>
        <v>0</v>
      </c>
      <c r="Q308" s="200">
        <f t="shared" ref="Q308:AC308" si="1543">countif($D308,"*"&amp;Q$2&amp;"*")</f>
        <v>0</v>
      </c>
      <c r="R308" s="200">
        <f t="shared" si="1543"/>
        <v>0</v>
      </c>
      <c r="S308" s="200">
        <f t="shared" si="1543"/>
        <v>0</v>
      </c>
      <c r="T308" s="200">
        <f t="shared" si="1543"/>
        <v>0</v>
      </c>
      <c r="U308" s="200">
        <f t="shared" si="1543"/>
        <v>0</v>
      </c>
      <c r="V308" s="200">
        <f t="shared" si="1543"/>
        <v>0</v>
      </c>
      <c r="W308" s="200">
        <f t="shared" si="1543"/>
        <v>0</v>
      </c>
      <c r="X308" s="200">
        <f t="shared" si="1543"/>
        <v>0</v>
      </c>
      <c r="Y308" s="200">
        <f t="shared" si="1543"/>
        <v>0</v>
      </c>
      <c r="Z308" s="200">
        <f t="shared" si="1543"/>
        <v>0</v>
      </c>
      <c r="AA308" s="200">
        <f t="shared" si="1543"/>
        <v>0</v>
      </c>
      <c r="AB308" s="200">
        <f t="shared" si="1543"/>
        <v>0</v>
      </c>
      <c r="AC308" s="200">
        <f t="shared" si="1543"/>
        <v>0</v>
      </c>
      <c r="AD308" s="200">
        <f t="shared" si="11"/>
        <v>0</v>
      </c>
      <c r="AE308" s="200">
        <f t="shared" ref="AE308:AG308" si="1544">countif($D308,"*"&amp;AE$2&amp;"*")</f>
        <v>0</v>
      </c>
      <c r="AF308" s="200">
        <f t="shared" si="1544"/>
        <v>0</v>
      </c>
      <c r="AG308" s="200">
        <f t="shared" si="1544"/>
        <v>0</v>
      </c>
      <c r="AH308" s="171">
        <f t="shared" si="13"/>
        <v>0</v>
      </c>
      <c r="AI308" s="200">
        <f t="shared" si="14"/>
        <v>1</v>
      </c>
      <c r="AJ308" s="200">
        <f t="shared" si="1129"/>
        <v>0</v>
      </c>
      <c r="AK308" s="201">
        <f t="shared" ref="AK308:AS308" si="1545">countif($D308,"*"&amp;AK$2&amp;"*")</f>
        <v>0</v>
      </c>
      <c r="AL308" s="201">
        <f t="shared" si="1545"/>
        <v>0</v>
      </c>
      <c r="AM308" s="201">
        <f t="shared" si="1545"/>
        <v>0</v>
      </c>
      <c r="AN308" s="201">
        <f t="shared" si="1545"/>
        <v>0</v>
      </c>
      <c r="AO308" s="201">
        <f t="shared" si="1545"/>
        <v>0</v>
      </c>
      <c r="AP308" s="201">
        <f t="shared" si="1545"/>
        <v>0</v>
      </c>
      <c r="AQ308" s="201">
        <f t="shared" si="1545"/>
        <v>0</v>
      </c>
      <c r="AR308" s="200">
        <f t="shared" si="1545"/>
        <v>0</v>
      </c>
      <c r="AS308" s="200">
        <f t="shared" si="1545"/>
        <v>0</v>
      </c>
      <c r="AT308" s="173">
        <v>0.0</v>
      </c>
      <c r="AU308" s="200">
        <f t="shared" ref="AU308:AX308" si="1546">countif($D308,"*"&amp;AU$2&amp;"*")</f>
        <v>0</v>
      </c>
      <c r="AV308" s="200">
        <f t="shared" si="1546"/>
        <v>0</v>
      </c>
      <c r="AW308" s="200">
        <f t="shared" si="1546"/>
        <v>0</v>
      </c>
      <c r="AX308" s="200">
        <f t="shared" si="1546"/>
        <v>1</v>
      </c>
      <c r="AY308" s="202">
        <v>0.0</v>
      </c>
      <c r="AZ308" s="200"/>
      <c r="BA308" s="171" t="str">
        <f t="shared" si="18"/>
        <v>Archival</v>
      </c>
      <c r="BB308" s="171" t="str">
        <f t="shared" si="19"/>
        <v/>
      </c>
      <c r="BC308" s="171" t="str">
        <f t="shared" si="20"/>
        <v/>
      </c>
      <c r="BD308" s="171" t="str">
        <f t="shared" si="21"/>
        <v/>
      </c>
      <c r="BE308" s="171" t="str">
        <f t="shared" si="22"/>
        <v/>
      </c>
      <c r="BF308" s="171" t="str">
        <f t="shared" si="23"/>
        <v>Archival</v>
      </c>
    </row>
    <row r="309">
      <c r="A309" s="171">
        <f t="array" ref="A309">XLOOKUP(C309,ICSE!A:A,ICSE!C:C,,2,1)</f>
        <v>2021</v>
      </c>
      <c r="B309" s="171" t="s">
        <v>5675</v>
      </c>
      <c r="C309" s="160">
        <v>544.0</v>
      </c>
      <c r="D309" s="161" t="s">
        <v>2116</v>
      </c>
      <c r="E309" s="197" t="str">
        <f t="array" ref="E309">XLOOKUP(C309,ICSE!A:A,ICSE!Z:Z,,0,1)</f>
        <v>Publicly available (1)</v>
      </c>
      <c r="F309" s="198" t="s">
        <v>20</v>
      </c>
      <c r="G309" s="163" t="str">
        <f t="array" ref="G309">IF(B309="ICSE",IF(COUNTIFS(B:B,B309,C:C,C309)=XLOOKUP(C309,ICSE!A:A,ICSE!AA:AA,"ERROR",0,1),"OK","ERROR"),IF(B309="FSE",IF(COUNTIFS(B:B,B309,C:C,C309)=XLOOKUP(C309,FSE!A:A,FSE!AA:AA,"ERROR",0,1),"OK","ERROR")))</f>
        <v>OK</v>
      </c>
      <c r="H309" s="199">
        <f t="shared" ref="H309:O309" si="1547">countif($D309,"*"&amp;H$2&amp;"*")</f>
        <v>0</v>
      </c>
      <c r="I309" s="200">
        <f t="shared" si="1547"/>
        <v>0</v>
      </c>
      <c r="J309" s="200">
        <f t="shared" si="1547"/>
        <v>0</v>
      </c>
      <c r="K309" s="200">
        <f t="shared" si="1547"/>
        <v>0</v>
      </c>
      <c r="L309" s="200">
        <f t="shared" si="1547"/>
        <v>0</v>
      </c>
      <c r="M309" s="200">
        <f t="shared" si="1547"/>
        <v>0</v>
      </c>
      <c r="N309" s="200">
        <f t="shared" si="1547"/>
        <v>0</v>
      </c>
      <c r="O309" s="200">
        <f t="shared" si="1547"/>
        <v>0</v>
      </c>
      <c r="P309" s="200">
        <f t="shared" si="9"/>
        <v>1</v>
      </c>
      <c r="Q309" s="200">
        <f t="shared" ref="Q309:AC309" si="1548">countif($D309,"*"&amp;Q$2&amp;"*")</f>
        <v>0</v>
      </c>
      <c r="R309" s="200">
        <f t="shared" si="1548"/>
        <v>0</v>
      </c>
      <c r="S309" s="200">
        <f t="shared" si="1548"/>
        <v>0</v>
      </c>
      <c r="T309" s="200">
        <f t="shared" si="1548"/>
        <v>0</v>
      </c>
      <c r="U309" s="200">
        <f t="shared" si="1548"/>
        <v>0</v>
      </c>
      <c r="V309" s="200">
        <f t="shared" si="1548"/>
        <v>0</v>
      </c>
      <c r="W309" s="200">
        <f t="shared" si="1548"/>
        <v>0</v>
      </c>
      <c r="X309" s="200">
        <f t="shared" si="1548"/>
        <v>0</v>
      </c>
      <c r="Y309" s="200">
        <f t="shared" si="1548"/>
        <v>0</v>
      </c>
      <c r="Z309" s="200">
        <f t="shared" si="1548"/>
        <v>0</v>
      </c>
      <c r="AA309" s="200">
        <f t="shared" si="1548"/>
        <v>0</v>
      </c>
      <c r="AB309" s="200">
        <f t="shared" si="1548"/>
        <v>0</v>
      </c>
      <c r="AC309" s="200">
        <f t="shared" si="1548"/>
        <v>0</v>
      </c>
      <c r="AD309" s="200">
        <f t="shared" si="11"/>
        <v>0</v>
      </c>
      <c r="AE309" s="200">
        <f t="shared" ref="AE309:AG309" si="1549">countif($D309,"*"&amp;AE$2&amp;"*")</f>
        <v>0</v>
      </c>
      <c r="AF309" s="200">
        <f t="shared" si="1549"/>
        <v>0</v>
      </c>
      <c r="AG309" s="200">
        <f t="shared" si="1549"/>
        <v>0</v>
      </c>
      <c r="AH309" s="171">
        <f t="shared" si="13"/>
        <v>0</v>
      </c>
      <c r="AI309" s="200">
        <f t="shared" si="14"/>
        <v>0</v>
      </c>
      <c r="AJ309" s="200">
        <f t="shared" si="1129"/>
        <v>0</v>
      </c>
      <c r="AK309" s="201">
        <f t="shared" ref="AK309:AS309" si="1550">countif($D309,"*"&amp;AK$2&amp;"*")</f>
        <v>0</v>
      </c>
      <c r="AL309" s="201">
        <f t="shared" si="1550"/>
        <v>0</v>
      </c>
      <c r="AM309" s="201">
        <f t="shared" si="1550"/>
        <v>0</v>
      </c>
      <c r="AN309" s="201">
        <f t="shared" si="1550"/>
        <v>0</v>
      </c>
      <c r="AO309" s="201">
        <f t="shared" si="1550"/>
        <v>0</v>
      </c>
      <c r="AP309" s="201">
        <f t="shared" si="1550"/>
        <v>0</v>
      </c>
      <c r="AQ309" s="201">
        <f t="shared" si="1550"/>
        <v>0</v>
      </c>
      <c r="AR309" s="200">
        <f t="shared" si="1550"/>
        <v>0</v>
      </c>
      <c r="AS309" s="200">
        <f t="shared" si="1550"/>
        <v>0</v>
      </c>
      <c r="AT309" s="173">
        <v>0.0</v>
      </c>
      <c r="AU309" s="200">
        <f t="shared" ref="AU309:AX309" si="1551">countif($D309,"*"&amp;AU$2&amp;"*")</f>
        <v>0</v>
      </c>
      <c r="AV309" s="200">
        <f t="shared" si="1551"/>
        <v>1</v>
      </c>
      <c r="AW309" s="200">
        <f t="shared" si="1551"/>
        <v>0</v>
      </c>
      <c r="AX309" s="200">
        <f t="shared" si="1551"/>
        <v>0</v>
      </c>
      <c r="AY309" s="202">
        <v>0.0</v>
      </c>
      <c r="AZ309" s="200"/>
      <c r="BA309" s="171" t="str">
        <f t="shared" si="18"/>
        <v/>
      </c>
      <c r="BB309" s="171" t="str">
        <f t="shared" si="19"/>
        <v>Code</v>
      </c>
      <c r="BC309" s="171" t="str">
        <f t="shared" si="20"/>
        <v/>
      </c>
      <c r="BD309" s="171" t="str">
        <f t="shared" si="21"/>
        <v/>
      </c>
      <c r="BE309" s="171" t="str">
        <f t="shared" si="22"/>
        <v/>
      </c>
      <c r="BF309" s="171" t="str">
        <f t="shared" si="23"/>
        <v>Code</v>
      </c>
    </row>
    <row r="310">
      <c r="A310" s="171">
        <f t="array" ref="A310">XLOOKUP(C310,ICSE!A:A,ICSE!C:C,,2,1)</f>
        <v>2021</v>
      </c>
      <c r="B310" s="171" t="s">
        <v>5675</v>
      </c>
      <c r="C310" s="160">
        <v>545.0</v>
      </c>
      <c r="D310" s="161" t="s">
        <v>2119</v>
      </c>
      <c r="E310" s="197" t="str">
        <f t="array" ref="E310">XLOOKUP(C310,ICSE!A:A,ICSE!Z:Z,,0,1)</f>
        <v>Publicly available (1)</v>
      </c>
      <c r="F310" s="198" t="s">
        <v>20</v>
      </c>
      <c r="G310" s="163" t="str">
        <f t="array" ref="G310">IF(B310="ICSE",IF(COUNTIFS(B:B,B310,C:C,C310)=XLOOKUP(C310,ICSE!A:A,ICSE!AA:AA,"ERROR",0,1),"OK","ERROR"),IF(B310="FSE",IF(COUNTIFS(B:B,B310,C:C,C310)=XLOOKUP(C310,FSE!A:A,FSE!AA:AA,"ERROR",0,1),"OK","ERROR")))</f>
        <v>OK</v>
      </c>
      <c r="H310" s="199">
        <f t="shared" ref="H310:O310" si="1552">countif($D310,"*"&amp;H$2&amp;"*")</f>
        <v>0</v>
      </c>
      <c r="I310" s="200">
        <f t="shared" si="1552"/>
        <v>0</v>
      </c>
      <c r="J310" s="200">
        <f t="shared" si="1552"/>
        <v>0</v>
      </c>
      <c r="K310" s="200">
        <f t="shared" si="1552"/>
        <v>0</v>
      </c>
      <c r="L310" s="200">
        <f t="shared" si="1552"/>
        <v>0</v>
      </c>
      <c r="M310" s="200">
        <f t="shared" si="1552"/>
        <v>0</v>
      </c>
      <c r="N310" s="200">
        <f t="shared" si="1552"/>
        <v>0</v>
      </c>
      <c r="O310" s="200">
        <f t="shared" si="1552"/>
        <v>0</v>
      </c>
      <c r="P310" s="200">
        <f t="shared" si="9"/>
        <v>1</v>
      </c>
      <c r="Q310" s="200">
        <f t="shared" ref="Q310:AC310" si="1553">countif($D310,"*"&amp;Q$2&amp;"*")</f>
        <v>0</v>
      </c>
      <c r="R310" s="200">
        <f t="shared" si="1553"/>
        <v>0</v>
      </c>
      <c r="S310" s="200">
        <f t="shared" si="1553"/>
        <v>0</v>
      </c>
      <c r="T310" s="200">
        <f t="shared" si="1553"/>
        <v>0</v>
      </c>
      <c r="U310" s="200">
        <f t="shared" si="1553"/>
        <v>0</v>
      </c>
      <c r="V310" s="200">
        <f t="shared" si="1553"/>
        <v>0</v>
      </c>
      <c r="W310" s="200">
        <f t="shared" si="1553"/>
        <v>0</v>
      </c>
      <c r="X310" s="200">
        <f t="shared" si="1553"/>
        <v>0</v>
      </c>
      <c r="Y310" s="200">
        <f t="shared" si="1553"/>
        <v>0</v>
      </c>
      <c r="Z310" s="200">
        <f t="shared" si="1553"/>
        <v>0</v>
      </c>
      <c r="AA310" s="200">
        <f t="shared" si="1553"/>
        <v>0</v>
      </c>
      <c r="AB310" s="200">
        <f t="shared" si="1553"/>
        <v>0</v>
      </c>
      <c r="AC310" s="200">
        <f t="shared" si="1553"/>
        <v>0</v>
      </c>
      <c r="AD310" s="200">
        <f t="shared" si="11"/>
        <v>0</v>
      </c>
      <c r="AE310" s="200">
        <f t="shared" ref="AE310:AG310" si="1554">countif($D310,"*"&amp;AE$2&amp;"*")</f>
        <v>0</v>
      </c>
      <c r="AF310" s="200">
        <f t="shared" si="1554"/>
        <v>0</v>
      </c>
      <c r="AG310" s="200">
        <f t="shared" si="1554"/>
        <v>0</v>
      </c>
      <c r="AH310" s="171">
        <f t="shared" si="13"/>
        <v>0</v>
      </c>
      <c r="AI310" s="200">
        <f t="shared" si="14"/>
        <v>0</v>
      </c>
      <c r="AJ310" s="200">
        <f t="shared" si="1129"/>
        <v>0</v>
      </c>
      <c r="AK310" s="201">
        <f t="shared" ref="AK310:AS310" si="1555">countif($D310,"*"&amp;AK$2&amp;"*")</f>
        <v>0</v>
      </c>
      <c r="AL310" s="201">
        <f t="shared" si="1555"/>
        <v>0</v>
      </c>
      <c r="AM310" s="201">
        <f t="shared" si="1555"/>
        <v>0</v>
      </c>
      <c r="AN310" s="201">
        <f t="shared" si="1555"/>
        <v>0</v>
      </c>
      <c r="AO310" s="201">
        <f t="shared" si="1555"/>
        <v>0</v>
      </c>
      <c r="AP310" s="201">
        <f t="shared" si="1555"/>
        <v>0</v>
      </c>
      <c r="AQ310" s="201">
        <f t="shared" si="1555"/>
        <v>0</v>
      </c>
      <c r="AR310" s="200">
        <f t="shared" si="1555"/>
        <v>0</v>
      </c>
      <c r="AS310" s="200">
        <f t="shared" si="1555"/>
        <v>0</v>
      </c>
      <c r="AT310" s="173">
        <v>0.0</v>
      </c>
      <c r="AU310" s="200">
        <f t="shared" ref="AU310:AX310" si="1556">countif($D310,"*"&amp;AU$2&amp;"*")</f>
        <v>0</v>
      </c>
      <c r="AV310" s="200">
        <f t="shared" si="1556"/>
        <v>1</v>
      </c>
      <c r="AW310" s="200">
        <f t="shared" si="1556"/>
        <v>0</v>
      </c>
      <c r="AX310" s="200">
        <f t="shared" si="1556"/>
        <v>0</v>
      </c>
      <c r="AY310" s="202">
        <v>0.0</v>
      </c>
      <c r="AZ310" s="200"/>
      <c r="BA310" s="171" t="str">
        <f t="shared" si="18"/>
        <v/>
      </c>
      <c r="BB310" s="171" t="str">
        <f t="shared" si="19"/>
        <v>Code</v>
      </c>
      <c r="BC310" s="171" t="str">
        <f t="shared" si="20"/>
        <v/>
      </c>
      <c r="BD310" s="171" t="str">
        <f t="shared" si="21"/>
        <v/>
      </c>
      <c r="BE310" s="171" t="str">
        <f t="shared" si="22"/>
        <v/>
      </c>
      <c r="BF310" s="171" t="str">
        <f t="shared" si="23"/>
        <v>Code</v>
      </c>
    </row>
    <row r="311">
      <c r="A311" s="171">
        <f t="array" ref="A311">XLOOKUP(C311,ICSE!A:A,ICSE!C:C,,2,1)</f>
        <v>2021</v>
      </c>
      <c r="B311" s="171" t="s">
        <v>5675</v>
      </c>
      <c r="C311" s="160">
        <v>546.0</v>
      </c>
      <c r="D311" s="161" t="s">
        <v>2122</v>
      </c>
      <c r="E311" s="197" t="str">
        <f t="array" ref="E311">XLOOKUP(C311,ICSE!A:A,ICSE!Z:Z,,0,1)</f>
        <v>Publicly available (1)</v>
      </c>
      <c r="F311" s="198" t="s">
        <v>20</v>
      </c>
      <c r="G311" s="163" t="str">
        <f t="array" ref="G311">IF(B311="ICSE",IF(COUNTIFS(B:B,B311,C:C,C311)=XLOOKUP(C311,ICSE!A:A,ICSE!AA:AA,"ERROR",0,1),"OK","ERROR"),IF(B311="FSE",IF(COUNTIFS(B:B,B311,C:C,C311)=XLOOKUP(C311,FSE!A:A,FSE!AA:AA,"ERROR",0,1),"OK","ERROR")))</f>
        <v>OK</v>
      </c>
      <c r="H311" s="199">
        <f t="shared" ref="H311:O311" si="1557">countif($D311,"*"&amp;H$2&amp;"*")</f>
        <v>1</v>
      </c>
      <c r="I311" s="200">
        <f t="shared" si="1557"/>
        <v>0</v>
      </c>
      <c r="J311" s="200">
        <f t="shared" si="1557"/>
        <v>0</v>
      </c>
      <c r="K311" s="200">
        <f t="shared" si="1557"/>
        <v>0</v>
      </c>
      <c r="L311" s="200">
        <f t="shared" si="1557"/>
        <v>0</v>
      </c>
      <c r="M311" s="200">
        <f t="shared" si="1557"/>
        <v>0</v>
      </c>
      <c r="N311" s="200">
        <f t="shared" si="1557"/>
        <v>0</v>
      </c>
      <c r="O311" s="200">
        <f t="shared" si="1557"/>
        <v>0</v>
      </c>
      <c r="P311" s="200">
        <f t="shared" si="9"/>
        <v>0</v>
      </c>
      <c r="Q311" s="200">
        <f t="shared" ref="Q311:AC311" si="1558">countif($D311,"*"&amp;Q$2&amp;"*")</f>
        <v>0</v>
      </c>
      <c r="R311" s="200">
        <f t="shared" si="1558"/>
        <v>0</v>
      </c>
      <c r="S311" s="200">
        <f t="shared" si="1558"/>
        <v>0</v>
      </c>
      <c r="T311" s="200">
        <f t="shared" si="1558"/>
        <v>0</v>
      </c>
      <c r="U311" s="200">
        <f t="shared" si="1558"/>
        <v>0</v>
      </c>
      <c r="V311" s="200">
        <f t="shared" si="1558"/>
        <v>0</v>
      </c>
      <c r="W311" s="200">
        <f t="shared" si="1558"/>
        <v>0</v>
      </c>
      <c r="X311" s="200">
        <f t="shared" si="1558"/>
        <v>0</v>
      </c>
      <c r="Y311" s="200">
        <f t="shared" si="1558"/>
        <v>0</v>
      </c>
      <c r="Z311" s="200">
        <f t="shared" si="1558"/>
        <v>0</v>
      </c>
      <c r="AA311" s="200">
        <f t="shared" si="1558"/>
        <v>0</v>
      </c>
      <c r="AB311" s="200">
        <f t="shared" si="1558"/>
        <v>0</v>
      </c>
      <c r="AC311" s="200">
        <f t="shared" si="1558"/>
        <v>0</v>
      </c>
      <c r="AD311" s="200">
        <f t="shared" si="11"/>
        <v>0</v>
      </c>
      <c r="AE311" s="200">
        <f t="shared" ref="AE311:AG311" si="1559">countif($D311,"*"&amp;AE$2&amp;"*")</f>
        <v>0</v>
      </c>
      <c r="AF311" s="200">
        <f t="shared" si="1559"/>
        <v>0</v>
      </c>
      <c r="AG311" s="200">
        <f t="shared" si="1559"/>
        <v>0</v>
      </c>
      <c r="AH311" s="171">
        <f t="shared" si="13"/>
        <v>0</v>
      </c>
      <c r="AI311" s="200">
        <f t="shared" si="14"/>
        <v>1</v>
      </c>
      <c r="AJ311" s="200">
        <f t="shared" si="1129"/>
        <v>0</v>
      </c>
      <c r="AK311" s="201">
        <f t="shared" ref="AK311:AS311" si="1560">countif($D311,"*"&amp;AK$2&amp;"*")</f>
        <v>0</v>
      </c>
      <c r="AL311" s="201">
        <f t="shared" si="1560"/>
        <v>0</v>
      </c>
      <c r="AM311" s="201">
        <f t="shared" si="1560"/>
        <v>0</v>
      </c>
      <c r="AN311" s="201">
        <f t="shared" si="1560"/>
        <v>0</v>
      </c>
      <c r="AO311" s="201">
        <f t="shared" si="1560"/>
        <v>0</v>
      </c>
      <c r="AP311" s="201">
        <f t="shared" si="1560"/>
        <v>0</v>
      </c>
      <c r="AQ311" s="201">
        <f t="shared" si="1560"/>
        <v>0</v>
      </c>
      <c r="AR311" s="200">
        <f t="shared" si="1560"/>
        <v>0</v>
      </c>
      <c r="AS311" s="200">
        <f t="shared" si="1560"/>
        <v>0</v>
      </c>
      <c r="AT311" s="173">
        <v>0.0</v>
      </c>
      <c r="AU311" s="200">
        <f t="shared" ref="AU311:AX311" si="1561">countif($D311,"*"&amp;AU$2&amp;"*")</f>
        <v>0</v>
      </c>
      <c r="AV311" s="200">
        <f t="shared" si="1561"/>
        <v>0</v>
      </c>
      <c r="AW311" s="200">
        <f t="shared" si="1561"/>
        <v>0</v>
      </c>
      <c r="AX311" s="200">
        <f t="shared" si="1561"/>
        <v>1</v>
      </c>
      <c r="AY311" s="202">
        <v>0.0</v>
      </c>
      <c r="AZ311" s="200"/>
      <c r="BA311" s="171" t="str">
        <f t="shared" si="18"/>
        <v>Archival</v>
      </c>
      <c r="BB311" s="171" t="str">
        <f t="shared" si="19"/>
        <v/>
      </c>
      <c r="BC311" s="171" t="str">
        <f t="shared" si="20"/>
        <v/>
      </c>
      <c r="BD311" s="171" t="str">
        <f t="shared" si="21"/>
        <v/>
      </c>
      <c r="BE311" s="171" t="str">
        <f t="shared" si="22"/>
        <v/>
      </c>
      <c r="BF311" s="171" t="str">
        <f t="shared" si="23"/>
        <v>Archival</v>
      </c>
    </row>
    <row r="312">
      <c r="A312" s="171">
        <f t="array" ref="A312">XLOOKUP(C312,ICSE!A:A,ICSE!C:C,,2,1)</f>
        <v>2021</v>
      </c>
      <c r="B312" s="171" t="s">
        <v>5675</v>
      </c>
      <c r="C312" s="160">
        <v>547.0</v>
      </c>
      <c r="D312" s="161" t="s">
        <v>2125</v>
      </c>
      <c r="E312" s="197" t="str">
        <f t="array" ref="E312">XLOOKUP(C312,ICSE!A:A,ICSE!Z:Z,,0,1)</f>
        <v>Publicly available (1)</v>
      </c>
      <c r="F312" s="198" t="s">
        <v>20</v>
      </c>
      <c r="G312" s="163" t="str">
        <f t="array" ref="G312">IF(B312="ICSE",IF(COUNTIFS(B:B,B312,C:C,C312)=XLOOKUP(C312,ICSE!A:A,ICSE!AA:AA,"ERROR",0,1),"OK","ERROR"),IF(B312="FSE",IF(COUNTIFS(B:B,B312,C:C,C312)=XLOOKUP(C312,FSE!A:A,FSE!AA:AA,"ERROR",0,1),"OK","ERROR")))</f>
        <v>OK</v>
      </c>
      <c r="H312" s="199">
        <f t="shared" ref="H312:O312" si="1562">countif($D312,"*"&amp;H$2&amp;"*")</f>
        <v>0</v>
      </c>
      <c r="I312" s="200">
        <f t="shared" si="1562"/>
        <v>0</v>
      </c>
      <c r="J312" s="200">
        <f t="shared" si="1562"/>
        <v>0</v>
      </c>
      <c r="K312" s="200">
        <f t="shared" si="1562"/>
        <v>0</v>
      </c>
      <c r="L312" s="200">
        <f t="shared" si="1562"/>
        <v>0</v>
      </c>
      <c r="M312" s="200">
        <f t="shared" si="1562"/>
        <v>0</v>
      </c>
      <c r="N312" s="200">
        <f t="shared" si="1562"/>
        <v>0</v>
      </c>
      <c r="O312" s="200">
        <f t="shared" si="1562"/>
        <v>0</v>
      </c>
      <c r="P312" s="200">
        <f t="shared" si="9"/>
        <v>1</v>
      </c>
      <c r="Q312" s="200">
        <f t="shared" ref="Q312:AC312" si="1563">countif($D312,"*"&amp;Q$2&amp;"*")</f>
        <v>0</v>
      </c>
      <c r="R312" s="200">
        <f t="shared" si="1563"/>
        <v>0</v>
      </c>
      <c r="S312" s="200">
        <f t="shared" si="1563"/>
        <v>0</v>
      </c>
      <c r="T312" s="200">
        <f t="shared" si="1563"/>
        <v>0</v>
      </c>
      <c r="U312" s="200">
        <f t="shared" si="1563"/>
        <v>0</v>
      </c>
      <c r="V312" s="200">
        <f t="shared" si="1563"/>
        <v>0</v>
      </c>
      <c r="W312" s="200">
        <f t="shared" si="1563"/>
        <v>0</v>
      </c>
      <c r="X312" s="200">
        <f t="shared" si="1563"/>
        <v>0</v>
      </c>
      <c r="Y312" s="200">
        <f t="shared" si="1563"/>
        <v>0</v>
      </c>
      <c r="Z312" s="200">
        <f t="shared" si="1563"/>
        <v>0</v>
      </c>
      <c r="AA312" s="200">
        <f t="shared" si="1563"/>
        <v>0</v>
      </c>
      <c r="AB312" s="200">
        <f t="shared" si="1563"/>
        <v>0</v>
      </c>
      <c r="AC312" s="200">
        <f t="shared" si="1563"/>
        <v>0</v>
      </c>
      <c r="AD312" s="200">
        <f t="shared" si="11"/>
        <v>0</v>
      </c>
      <c r="AE312" s="200">
        <f t="shared" ref="AE312:AG312" si="1564">countif($D312,"*"&amp;AE$2&amp;"*")</f>
        <v>0</v>
      </c>
      <c r="AF312" s="200">
        <f t="shared" si="1564"/>
        <v>0</v>
      </c>
      <c r="AG312" s="200">
        <f t="shared" si="1564"/>
        <v>0</v>
      </c>
      <c r="AH312" s="171">
        <f t="shared" si="13"/>
        <v>0</v>
      </c>
      <c r="AI312" s="200">
        <f t="shared" si="14"/>
        <v>0</v>
      </c>
      <c r="AJ312" s="200">
        <f t="shared" si="1129"/>
        <v>0</v>
      </c>
      <c r="AK312" s="201">
        <f t="shared" ref="AK312:AS312" si="1565">countif($D312,"*"&amp;AK$2&amp;"*")</f>
        <v>0</v>
      </c>
      <c r="AL312" s="201">
        <f t="shared" si="1565"/>
        <v>0</v>
      </c>
      <c r="AM312" s="201">
        <f t="shared" si="1565"/>
        <v>0</v>
      </c>
      <c r="AN312" s="201">
        <f t="shared" si="1565"/>
        <v>0</v>
      </c>
      <c r="AO312" s="201">
        <f t="shared" si="1565"/>
        <v>0</v>
      </c>
      <c r="AP312" s="201">
        <f t="shared" si="1565"/>
        <v>0</v>
      </c>
      <c r="AQ312" s="201">
        <f t="shared" si="1565"/>
        <v>0</v>
      </c>
      <c r="AR312" s="200">
        <f t="shared" si="1565"/>
        <v>0</v>
      </c>
      <c r="AS312" s="200">
        <f t="shared" si="1565"/>
        <v>0</v>
      </c>
      <c r="AT312" s="173">
        <v>0.0</v>
      </c>
      <c r="AU312" s="200">
        <f t="shared" ref="AU312:AX312" si="1566">countif($D312,"*"&amp;AU$2&amp;"*")</f>
        <v>0</v>
      </c>
      <c r="AV312" s="200">
        <f t="shared" si="1566"/>
        <v>1</v>
      </c>
      <c r="AW312" s="200">
        <f t="shared" si="1566"/>
        <v>0</v>
      </c>
      <c r="AX312" s="200">
        <f t="shared" si="1566"/>
        <v>0</v>
      </c>
      <c r="AY312" s="202">
        <v>0.0</v>
      </c>
      <c r="AZ312" s="200"/>
      <c r="BA312" s="171" t="str">
        <f t="shared" si="18"/>
        <v/>
      </c>
      <c r="BB312" s="171" t="str">
        <f t="shared" si="19"/>
        <v>Code</v>
      </c>
      <c r="BC312" s="171" t="str">
        <f t="shared" si="20"/>
        <v/>
      </c>
      <c r="BD312" s="171" t="str">
        <f t="shared" si="21"/>
        <v/>
      </c>
      <c r="BE312" s="171" t="str">
        <f t="shared" si="22"/>
        <v/>
      </c>
      <c r="BF312" s="171" t="str">
        <f t="shared" si="23"/>
        <v>Code</v>
      </c>
    </row>
    <row r="313">
      <c r="A313" s="171">
        <f t="array" ref="A313">XLOOKUP(C313,ICSE!A:A,ICSE!C:C,,2,1)</f>
        <v>2021</v>
      </c>
      <c r="B313" s="171" t="s">
        <v>5675</v>
      </c>
      <c r="C313" s="160">
        <v>548.0</v>
      </c>
      <c r="D313" s="161" t="s">
        <v>2128</v>
      </c>
      <c r="E313" s="197" t="str">
        <f t="array" ref="E313">XLOOKUP(C313,ICSE!A:A,ICSE!Z:Z,,0,1)</f>
        <v>Publicly available (1)</v>
      </c>
      <c r="F313" s="198" t="s">
        <v>20</v>
      </c>
      <c r="G313" s="163" t="str">
        <f t="array" ref="G313">IF(B313="ICSE",IF(COUNTIFS(B:B,B313,C:C,C313)=XLOOKUP(C313,ICSE!A:A,ICSE!AA:AA,"ERROR",0,1),"OK","ERROR"),IF(B313="FSE",IF(COUNTIFS(B:B,B313,C:C,C313)=XLOOKUP(C313,FSE!A:A,FSE!AA:AA,"ERROR",0,1),"OK","ERROR")))</f>
        <v>OK</v>
      </c>
      <c r="H313" s="199">
        <f t="shared" ref="H313:O313" si="1567">countif($D313,"*"&amp;H$2&amp;"*")</f>
        <v>0</v>
      </c>
      <c r="I313" s="200">
        <f t="shared" si="1567"/>
        <v>0</v>
      </c>
      <c r="J313" s="200">
        <f t="shared" si="1567"/>
        <v>0</v>
      </c>
      <c r="K313" s="200">
        <f t="shared" si="1567"/>
        <v>0</v>
      </c>
      <c r="L313" s="200">
        <f t="shared" si="1567"/>
        <v>0</v>
      </c>
      <c r="M313" s="200">
        <f t="shared" si="1567"/>
        <v>0</v>
      </c>
      <c r="N313" s="200">
        <f t="shared" si="1567"/>
        <v>0</v>
      </c>
      <c r="O313" s="200">
        <f t="shared" si="1567"/>
        <v>0</v>
      </c>
      <c r="P313" s="200">
        <f t="shared" si="9"/>
        <v>1</v>
      </c>
      <c r="Q313" s="200">
        <f t="shared" ref="Q313:AC313" si="1568">countif($D313,"*"&amp;Q$2&amp;"*")</f>
        <v>0</v>
      </c>
      <c r="R313" s="200">
        <f t="shared" si="1568"/>
        <v>0</v>
      </c>
      <c r="S313" s="200">
        <f t="shared" si="1568"/>
        <v>0</v>
      </c>
      <c r="T313" s="200">
        <f t="shared" si="1568"/>
        <v>0</v>
      </c>
      <c r="U313" s="200">
        <f t="shared" si="1568"/>
        <v>0</v>
      </c>
      <c r="V313" s="200">
        <f t="shared" si="1568"/>
        <v>0</v>
      </c>
      <c r="W313" s="200">
        <f t="shared" si="1568"/>
        <v>0</v>
      </c>
      <c r="X313" s="200">
        <f t="shared" si="1568"/>
        <v>0</v>
      </c>
      <c r="Y313" s="200">
        <f t="shared" si="1568"/>
        <v>0</v>
      </c>
      <c r="Z313" s="200">
        <f t="shared" si="1568"/>
        <v>0</v>
      </c>
      <c r="AA313" s="200">
        <f t="shared" si="1568"/>
        <v>0</v>
      </c>
      <c r="AB313" s="200">
        <f t="shared" si="1568"/>
        <v>0</v>
      </c>
      <c r="AC313" s="200">
        <f t="shared" si="1568"/>
        <v>0</v>
      </c>
      <c r="AD313" s="200">
        <f t="shared" si="11"/>
        <v>0</v>
      </c>
      <c r="AE313" s="200">
        <f t="shared" ref="AE313:AG313" si="1569">countif($D313,"*"&amp;AE$2&amp;"*")</f>
        <v>0</v>
      </c>
      <c r="AF313" s="200">
        <f t="shared" si="1569"/>
        <v>0</v>
      </c>
      <c r="AG313" s="200">
        <f t="shared" si="1569"/>
        <v>0</v>
      </c>
      <c r="AH313" s="171">
        <f t="shared" si="13"/>
        <v>0</v>
      </c>
      <c r="AI313" s="200">
        <f t="shared" si="14"/>
        <v>0</v>
      </c>
      <c r="AJ313" s="200">
        <f t="shared" si="1129"/>
        <v>0</v>
      </c>
      <c r="AK313" s="201">
        <f t="shared" ref="AK313:AS313" si="1570">countif($D313,"*"&amp;AK$2&amp;"*")</f>
        <v>0</v>
      </c>
      <c r="AL313" s="201">
        <f t="shared" si="1570"/>
        <v>0</v>
      </c>
      <c r="AM313" s="201">
        <f t="shared" si="1570"/>
        <v>0</v>
      </c>
      <c r="AN313" s="201">
        <f t="shared" si="1570"/>
        <v>0</v>
      </c>
      <c r="AO313" s="201">
        <f t="shared" si="1570"/>
        <v>0</v>
      </c>
      <c r="AP313" s="201">
        <f t="shared" si="1570"/>
        <v>0</v>
      </c>
      <c r="AQ313" s="201">
        <f t="shared" si="1570"/>
        <v>0</v>
      </c>
      <c r="AR313" s="200">
        <f t="shared" si="1570"/>
        <v>0</v>
      </c>
      <c r="AS313" s="200">
        <f t="shared" si="1570"/>
        <v>0</v>
      </c>
      <c r="AT313" s="173">
        <v>0.0</v>
      </c>
      <c r="AU313" s="200">
        <f t="shared" ref="AU313:AX313" si="1571">countif($D313,"*"&amp;AU$2&amp;"*")</f>
        <v>0</v>
      </c>
      <c r="AV313" s="200">
        <f t="shared" si="1571"/>
        <v>1</v>
      </c>
      <c r="AW313" s="200">
        <f t="shared" si="1571"/>
        <v>0</v>
      </c>
      <c r="AX313" s="200">
        <f t="shared" si="1571"/>
        <v>0</v>
      </c>
      <c r="AY313" s="202">
        <v>0.0</v>
      </c>
      <c r="AZ313" s="200"/>
      <c r="BA313" s="171" t="str">
        <f t="shared" si="18"/>
        <v/>
      </c>
      <c r="BB313" s="171" t="str">
        <f t="shared" si="19"/>
        <v>Code</v>
      </c>
      <c r="BC313" s="171" t="str">
        <f t="shared" si="20"/>
        <v/>
      </c>
      <c r="BD313" s="171" t="str">
        <f t="shared" si="21"/>
        <v/>
      </c>
      <c r="BE313" s="171" t="str">
        <f t="shared" si="22"/>
        <v/>
      </c>
      <c r="BF313" s="171" t="str">
        <f t="shared" si="23"/>
        <v>Code</v>
      </c>
    </row>
    <row r="314">
      <c r="A314" s="171">
        <f t="array" ref="A314">XLOOKUP(C314,ICSE!A:A,ICSE!C:C,,2,1)</f>
        <v>2021</v>
      </c>
      <c r="B314" s="171" t="s">
        <v>5675</v>
      </c>
      <c r="C314" s="160">
        <v>550.0</v>
      </c>
      <c r="D314" s="161" t="s">
        <v>2132</v>
      </c>
      <c r="E314" s="197" t="str">
        <f t="array" ref="E314">XLOOKUP(C314,ICSE!A:A,ICSE!Z:Z,,0,1)</f>
        <v>Publicly available (1)</v>
      </c>
      <c r="F314" s="198" t="s">
        <v>20</v>
      </c>
      <c r="G314" s="163" t="str">
        <f t="array" ref="G314">IF(B314="ICSE",IF(COUNTIFS(B:B,B314,C:C,C314)=XLOOKUP(C314,ICSE!A:A,ICSE!AA:AA,"ERROR",0,1),"OK","ERROR"),IF(B314="FSE",IF(COUNTIFS(B:B,B314,C:C,C314)=XLOOKUP(C314,FSE!A:A,FSE!AA:AA,"ERROR",0,1),"OK","ERROR")))</f>
        <v>OK</v>
      </c>
      <c r="H314" s="199">
        <f t="shared" ref="H314:O314" si="1572">countif($D314,"*"&amp;H$2&amp;"*")</f>
        <v>0</v>
      </c>
      <c r="I314" s="200">
        <f t="shared" si="1572"/>
        <v>0</v>
      </c>
      <c r="J314" s="200">
        <f t="shared" si="1572"/>
        <v>0</v>
      </c>
      <c r="K314" s="200">
        <f t="shared" si="1572"/>
        <v>0</v>
      </c>
      <c r="L314" s="200">
        <f t="shared" si="1572"/>
        <v>0</v>
      </c>
      <c r="M314" s="200">
        <f t="shared" si="1572"/>
        <v>0</v>
      </c>
      <c r="N314" s="200">
        <f t="shared" si="1572"/>
        <v>0</v>
      </c>
      <c r="O314" s="200">
        <f t="shared" si="1572"/>
        <v>0</v>
      </c>
      <c r="P314" s="200">
        <f t="shared" si="9"/>
        <v>0</v>
      </c>
      <c r="Q314" s="200">
        <f t="shared" ref="Q314:AC314" si="1573">countif($D314,"*"&amp;Q$2&amp;"*")</f>
        <v>0</v>
      </c>
      <c r="R314" s="200">
        <f t="shared" si="1573"/>
        <v>0</v>
      </c>
      <c r="S314" s="200">
        <f t="shared" si="1573"/>
        <v>0</v>
      </c>
      <c r="T314" s="200">
        <f t="shared" si="1573"/>
        <v>0</v>
      </c>
      <c r="U314" s="200">
        <f t="shared" si="1573"/>
        <v>0</v>
      </c>
      <c r="V314" s="200">
        <f t="shared" si="1573"/>
        <v>0</v>
      </c>
      <c r="W314" s="200">
        <f t="shared" si="1573"/>
        <v>0</v>
      </c>
      <c r="X314" s="200">
        <f t="shared" si="1573"/>
        <v>0</v>
      </c>
      <c r="Y314" s="200">
        <f t="shared" si="1573"/>
        <v>0</v>
      </c>
      <c r="Z314" s="200">
        <f t="shared" si="1573"/>
        <v>0</v>
      </c>
      <c r="AA314" s="200">
        <f t="shared" si="1573"/>
        <v>1</v>
      </c>
      <c r="AB314" s="200">
        <f t="shared" si="1573"/>
        <v>0</v>
      </c>
      <c r="AC314" s="200">
        <f t="shared" si="1573"/>
        <v>0</v>
      </c>
      <c r="AD314" s="200">
        <f t="shared" si="11"/>
        <v>0</v>
      </c>
      <c r="AE314" s="200">
        <f t="shared" ref="AE314:AG314" si="1574">countif($D314,"*"&amp;AE$2&amp;"*")</f>
        <v>0</v>
      </c>
      <c r="AF314" s="200">
        <f t="shared" si="1574"/>
        <v>0</v>
      </c>
      <c r="AG314" s="200">
        <f t="shared" si="1574"/>
        <v>0</v>
      </c>
      <c r="AH314" s="171">
        <f t="shared" si="13"/>
        <v>0</v>
      </c>
      <c r="AI314" s="200">
        <f t="shared" si="14"/>
        <v>0</v>
      </c>
      <c r="AJ314" s="200">
        <f t="shared" si="1129"/>
        <v>0</v>
      </c>
      <c r="AK314" s="201">
        <f t="shared" ref="AK314:AS314" si="1575">countif($D314,"*"&amp;AK$2&amp;"*")</f>
        <v>0</v>
      </c>
      <c r="AL314" s="201">
        <f t="shared" si="1575"/>
        <v>0</v>
      </c>
      <c r="AM314" s="201">
        <f t="shared" si="1575"/>
        <v>0</v>
      </c>
      <c r="AN314" s="201">
        <f t="shared" si="1575"/>
        <v>0</v>
      </c>
      <c r="AO314" s="201">
        <f t="shared" si="1575"/>
        <v>0</v>
      </c>
      <c r="AP314" s="201">
        <f t="shared" si="1575"/>
        <v>0</v>
      </c>
      <c r="AQ314" s="201">
        <f t="shared" si="1575"/>
        <v>0</v>
      </c>
      <c r="AR314" s="200">
        <f t="shared" si="1575"/>
        <v>0</v>
      </c>
      <c r="AS314" s="200">
        <f t="shared" si="1575"/>
        <v>0</v>
      </c>
      <c r="AT314" s="173">
        <v>0.0</v>
      </c>
      <c r="AU314" s="200">
        <f t="shared" ref="AU314:AX314" si="1576">countif($D314,"*"&amp;AU$2&amp;"*")</f>
        <v>0</v>
      </c>
      <c r="AV314" s="200">
        <f t="shared" si="1576"/>
        <v>0</v>
      </c>
      <c r="AW314" s="200">
        <f t="shared" si="1576"/>
        <v>0</v>
      </c>
      <c r="AX314" s="200">
        <f t="shared" si="1576"/>
        <v>0</v>
      </c>
      <c r="AY314" s="202">
        <v>0.0</v>
      </c>
      <c r="AZ314" s="200"/>
      <c r="BA314" s="171" t="str">
        <f t="shared" si="18"/>
        <v/>
      </c>
      <c r="BB314" s="171" t="str">
        <f t="shared" si="19"/>
        <v/>
      </c>
      <c r="BC314" s="171" t="str">
        <f t="shared" si="20"/>
        <v>General-purpose</v>
      </c>
      <c r="BD314" s="171" t="str">
        <f t="shared" si="21"/>
        <v/>
      </c>
      <c r="BE314" s="171" t="str">
        <f t="shared" si="22"/>
        <v/>
      </c>
      <c r="BF314" s="171" t="str">
        <f t="shared" si="23"/>
        <v>General-purpose</v>
      </c>
    </row>
    <row r="315">
      <c r="A315" s="171">
        <f t="array" ref="A315">XLOOKUP(C315,ICSE!A:A,ICSE!C:C,,2,1)</f>
        <v>2021</v>
      </c>
      <c r="B315" s="171" t="s">
        <v>5675</v>
      </c>
      <c r="C315" s="160">
        <v>551.0</v>
      </c>
      <c r="D315" s="161" t="s">
        <v>2135</v>
      </c>
      <c r="E315" s="197" t="str">
        <f t="array" ref="E315">XLOOKUP(C315,ICSE!A:A,ICSE!Z:Z,,0,1)</f>
        <v>Publicly available (1)</v>
      </c>
      <c r="F315" s="198" t="s">
        <v>20</v>
      </c>
      <c r="G315" s="163" t="str">
        <f t="array" ref="G315">IF(B315="ICSE",IF(COUNTIFS(B:B,B315,C:C,C315)=XLOOKUP(C315,ICSE!A:A,ICSE!AA:AA,"ERROR",0,1),"OK","ERROR"),IF(B315="FSE",IF(COUNTIFS(B:B,B315,C:C,C315)=XLOOKUP(C315,FSE!A:A,FSE!AA:AA,"ERROR",0,1),"OK","ERROR")))</f>
        <v>OK</v>
      </c>
      <c r="H315" s="199">
        <f t="shared" ref="H315:O315" si="1577">countif($D315,"*"&amp;H$2&amp;"*")</f>
        <v>0</v>
      </c>
      <c r="I315" s="200">
        <f t="shared" si="1577"/>
        <v>0</v>
      </c>
      <c r="J315" s="200">
        <f t="shared" si="1577"/>
        <v>0</v>
      </c>
      <c r="K315" s="200">
        <f t="shared" si="1577"/>
        <v>0</v>
      </c>
      <c r="L315" s="200">
        <f t="shared" si="1577"/>
        <v>0</v>
      </c>
      <c r="M315" s="200">
        <f t="shared" si="1577"/>
        <v>0</v>
      </c>
      <c r="N315" s="200">
        <f t="shared" si="1577"/>
        <v>0</v>
      </c>
      <c r="O315" s="200">
        <f t="shared" si="1577"/>
        <v>0</v>
      </c>
      <c r="P315" s="200">
        <f t="shared" si="9"/>
        <v>1</v>
      </c>
      <c r="Q315" s="200">
        <f t="shared" ref="Q315:AC315" si="1578">countif($D315,"*"&amp;Q$2&amp;"*")</f>
        <v>0</v>
      </c>
      <c r="R315" s="200">
        <f t="shared" si="1578"/>
        <v>0</v>
      </c>
      <c r="S315" s="200">
        <f t="shared" si="1578"/>
        <v>0</v>
      </c>
      <c r="T315" s="200">
        <f t="shared" si="1578"/>
        <v>0</v>
      </c>
      <c r="U315" s="200">
        <f t="shared" si="1578"/>
        <v>0</v>
      </c>
      <c r="V315" s="200">
        <f t="shared" si="1578"/>
        <v>0</v>
      </c>
      <c r="W315" s="200">
        <f t="shared" si="1578"/>
        <v>0</v>
      </c>
      <c r="X315" s="200">
        <f t="shared" si="1578"/>
        <v>0</v>
      </c>
      <c r="Y315" s="200">
        <f t="shared" si="1578"/>
        <v>0</v>
      </c>
      <c r="Z315" s="200">
        <f t="shared" si="1578"/>
        <v>0</v>
      </c>
      <c r="AA315" s="200">
        <f t="shared" si="1578"/>
        <v>0</v>
      </c>
      <c r="AB315" s="200">
        <f t="shared" si="1578"/>
        <v>0</v>
      </c>
      <c r="AC315" s="200">
        <f t="shared" si="1578"/>
        <v>0</v>
      </c>
      <c r="AD315" s="200">
        <f t="shared" si="11"/>
        <v>0</v>
      </c>
      <c r="AE315" s="200">
        <f t="shared" ref="AE315:AG315" si="1579">countif($D315,"*"&amp;AE$2&amp;"*")</f>
        <v>0</v>
      </c>
      <c r="AF315" s="200">
        <f t="shared" si="1579"/>
        <v>0</v>
      </c>
      <c r="AG315" s="200">
        <f t="shared" si="1579"/>
        <v>0</v>
      </c>
      <c r="AH315" s="171">
        <f t="shared" si="13"/>
        <v>0</v>
      </c>
      <c r="AI315" s="200">
        <f t="shared" si="14"/>
        <v>0</v>
      </c>
      <c r="AJ315" s="200">
        <f t="shared" si="1129"/>
        <v>0</v>
      </c>
      <c r="AK315" s="201">
        <f t="shared" ref="AK315:AS315" si="1580">countif($D315,"*"&amp;AK$2&amp;"*")</f>
        <v>0</v>
      </c>
      <c r="AL315" s="201">
        <f t="shared" si="1580"/>
        <v>0</v>
      </c>
      <c r="AM315" s="201">
        <f t="shared" si="1580"/>
        <v>0</v>
      </c>
      <c r="AN315" s="201">
        <f t="shared" si="1580"/>
        <v>0</v>
      </c>
      <c r="AO315" s="201">
        <f t="shared" si="1580"/>
        <v>0</v>
      </c>
      <c r="AP315" s="201">
        <f t="shared" si="1580"/>
        <v>0</v>
      </c>
      <c r="AQ315" s="201">
        <f t="shared" si="1580"/>
        <v>0</v>
      </c>
      <c r="AR315" s="200">
        <f t="shared" si="1580"/>
        <v>0</v>
      </c>
      <c r="AS315" s="200">
        <f t="shared" si="1580"/>
        <v>0</v>
      </c>
      <c r="AT315" s="173">
        <v>0.0</v>
      </c>
      <c r="AU315" s="200">
        <f t="shared" ref="AU315:AX315" si="1581">countif($D315,"*"&amp;AU$2&amp;"*")</f>
        <v>0</v>
      </c>
      <c r="AV315" s="200">
        <f t="shared" si="1581"/>
        <v>1</v>
      </c>
      <c r="AW315" s="200">
        <f t="shared" si="1581"/>
        <v>0</v>
      </c>
      <c r="AX315" s="200">
        <f t="shared" si="1581"/>
        <v>0</v>
      </c>
      <c r="AY315" s="202">
        <v>0.0</v>
      </c>
      <c r="AZ315" s="200"/>
      <c r="BA315" s="171" t="str">
        <f t="shared" si="18"/>
        <v/>
      </c>
      <c r="BB315" s="171" t="str">
        <f t="shared" si="19"/>
        <v>Code</v>
      </c>
      <c r="BC315" s="171" t="str">
        <f t="shared" si="20"/>
        <v/>
      </c>
      <c r="BD315" s="171" t="str">
        <f t="shared" si="21"/>
        <v/>
      </c>
      <c r="BE315" s="171" t="str">
        <f t="shared" si="22"/>
        <v/>
      </c>
      <c r="BF315" s="171" t="str">
        <f t="shared" si="23"/>
        <v>Code</v>
      </c>
    </row>
    <row r="316">
      <c r="A316" s="171">
        <f t="array" ref="A316">XLOOKUP(C316,ICSE!A:A,ICSE!C:C,,2,1)</f>
        <v>2021</v>
      </c>
      <c r="B316" s="171" t="s">
        <v>5675</v>
      </c>
      <c r="C316" s="160">
        <v>553.0</v>
      </c>
      <c r="D316" s="161" t="s">
        <v>5836</v>
      </c>
      <c r="E316" s="197" t="str">
        <f t="array" ref="E316">XLOOKUP(C316,ICSE!A:A,ICSE!Z:Z,,0,1)</f>
        <v>Publicly available (1)</v>
      </c>
      <c r="F316" s="198" t="s">
        <v>20</v>
      </c>
      <c r="G316" s="163" t="str">
        <f t="array" ref="G316">IF(B316="ICSE",IF(COUNTIFS(B:B,B316,C:C,C316)=XLOOKUP(C316,ICSE!A:A,ICSE!AA:AA,"ERROR",0,1),"OK","ERROR"),IF(B316="FSE",IF(COUNTIFS(B:B,B316,C:C,C316)=XLOOKUP(C316,FSE!A:A,FSE!AA:AA,"ERROR",0,1),"OK","ERROR")))</f>
        <v>OK</v>
      </c>
      <c r="H316" s="199">
        <f t="shared" ref="H316:O316" si="1582">countif($D316,"*"&amp;H$2&amp;"*")</f>
        <v>0</v>
      </c>
      <c r="I316" s="200">
        <f t="shared" si="1582"/>
        <v>0</v>
      </c>
      <c r="J316" s="200">
        <f t="shared" si="1582"/>
        <v>0</v>
      </c>
      <c r="K316" s="200">
        <f t="shared" si="1582"/>
        <v>0</v>
      </c>
      <c r="L316" s="200">
        <f t="shared" si="1582"/>
        <v>0</v>
      </c>
      <c r="M316" s="200">
        <f t="shared" si="1582"/>
        <v>0</v>
      </c>
      <c r="N316" s="200">
        <f t="shared" si="1582"/>
        <v>0</v>
      </c>
      <c r="O316" s="200">
        <f t="shared" si="1582"/>
        <v>0</v>
      </c>
      <c r="P316" s="200">
        <f t="shared" si="9"/>
        <v>0</v>
      </c>
      <c r="Q316" s="200">
        <f t="shared" ref="Q316:AC316" si="1583">countif($D316,"*"&amp;Q$2&amp;"*")</f>
        <v>0</v>
      </c>
      <c r="R316" s="200">
        <f t="shared" si="1583"/>
        <v>0</v>
      </c>
      <c r="S316" s="200">
        <f t="shared" si="1583"/>
        <v>0</v>
      </c>
      <c r="T316" s="200">
        <f t="shared" si="1583"/>
        <v>0</v>
      </c>
      <c r="U316" s="200">
        <f t="shared" si="1583"/>
        <v>0</v>
      </c>
      <c r="V316" s="200">
        <f t="shared" si="1583"/>
        <v>0</v>
      </c>
      <c r="W316" s="200">
        <f t="shared" si="1583"/>
        <v>1</v>
      </c>
      <c r="X316" s="200">
        <f t="shared" si="1583"/>
        <v>0</v>
      </c>
      <c r="Y316" s="200">
        <f t="shared" si="1583"/>
        <v>0</v>
      </c>
      <c r="Z316" s="200">
        <f t="shared" si="1583"/>
        <v>0</v>
      </c>
      <c r="AA316" s="200">
        <f t="shared" si="1583"/>
        <v>0</v>
      </c>
      <c r="AB316" s="200">
        <f t="shared" si="1583"/>
        <v>0</v>
      </c>
      <c r="AC316" s="200">
        <f t="shared" si="1583"/>
        <v>0</v>
      </c>
      <c r="AD316" s="200">
        <f t="shared" si="11"/>
        <v>0</v>
      </c>
      <c r="AE316" s="200">
        <f t="shared" ref="AE316:AG316" si="1584">countif($D316,"*"&amp;AE$2&amp;"*")</f>
        <v>0</v>
      </c>
      <c r="AF316" s="200">
        <f t="shared" si="1584"/>
        <v>0</v>
      </c>
      <c r="AG316" s="200">
        <f t="shared" si="1584"/>
        <v>0</v>
      </c>
      <c r="AH316" s="171">
        <f t="shared" si="13"/>
        <v>0</v>
      </c>
      <c r="AI316" s="200">
        <f t="shared" si="14"/>
        <v>0</v>
      </c>
      <c r="AJ316" s="200">
        <f t="shared" si="1129"/>
        <v>1</v>
      </c>
      <c r="AK316" s="201">
        <f t="shared" ref="AK316:AS316" si="1585">countif($D316,"*"&amp;AK$2&amp;"*")</f>
        <v>0</v>
      </c>
      <c r="AL316" s="201">
        <f t="shared" si="1585"/>
        <v>0</v>
      </c>
      <c r="AM316" s="201">
        <f t="shared" si="1585"/>
        <v>1</v>
      </c>
      <c r="AN316" s="201">
        <f t="shared" si="1585"/>
        <v>0</v>
      </c>
      <c r="AO316" s="201">
        <f t="shared" si="1585"/>
        <v>0</v>
      </c>
      <c r="AP316" s="201">
        <f t="shared" si="1585"/>
        <v>0</v>
      </c>
      <c r="AQ316" s="201">
        <f t="shared" si="1585"/>
        <v>0</v>
      </c>
      <c r="AR316" s="200">
        <f t="shared" si="1585"/>
        <v>0</v>
      </c>
      <c r="AS316" s="200">
        <f t="shared" si="1585"/>
        <v>1</v>
      </c>
      <c r="AT316" s="173">
        <v>0.0</v>
      </c>
      <c r="AU316" s="200">
        <f t="shared" ref="AU316:AX316" si="1586">countif($D316,"*"&amp;AU$2&amp;"*")</f>
        <v>0</v>
      </c>
      <c r="AV316" s="200">
        <f t="shared" si="1586"/>
        <v>0</v>
      </c>
      <c r="AW316" s="200">
        <f t="shared" si="1586"/>
        <v>0</v>
      </c>
      <c r="AX316" s="200">
        <f t="shared" si="1586"/>
        <v>0</v>
      </c>
      <c r="AY316" s="202">
        <v>0.0</v>
      </c>
      <c r="AZ316" s="200"/>
      <c r="BA316" s="171" t="str">
        <f t="shared" si="18"/>
        <v/>
      </c>
      <c r="BB316" s="171" t="str">
        <f t="shared" si="19"/>
        <v/>
      </c>
      <c r="BC316" s="171" t="str">
        <f t="shared" si="20"/>
        <v>General-purpose</v>
      </c>
      <c r="BD316" s="171" t="str">
        <f t="shared" si="21"/>
        <v/>
      </c>
      <c r="BE316" s="171" t="str">
        <f t="shared" si="22"/>
        <v/>
      </c>
      <c r="BF316" s="171" t="str">
        <f t="shared" si="23"/>
        <v>General-purpose</v>
      </c>
    </row>
    <row r="317">
      <c r="A317" s="171">
        <f t="array" ref="A317">XLOOKUP(C317,ICSE!A:A,ICSE!C:C,,2,1)</f>
        <v>2021</v>
      </c>
      <c r="B317" s="171" t="s">
        <v>5675</v>
      </c>
      <c r="C317" s="160">
        <v>554.0</v>
      </c>
      <c r="D317" s="161" t="s">
        <v>2144</v>
      </c>
      <c r="E317" s="197" t="str">
        <f t="array" ref="E317">XLOOKUP(C317,ICSE!A:A,ICSE!Z:Z,,0,1)</f>
        <v>Publicly available (1)</v>
      </c>
      <c r="F317" s="198" t="s">
        <v>20</v>
      </c>
      <c r="G317" s="163" t="str">
        <f t="array" ref="G317">IF(B317="ICSE",IF(COUNTIFS(B:B,B317,C:C,C317)=XLOOKUP(C317,ICSE!A:A,ICSE!AA:AA,"ERROR",0,1),"OK","ERROR"),IF(B317="FSE",IF(COUNTIFS(B:B,B317,C:C,C317)=XLOOKUP(C317,FSE!A:A,FSE!AA:AA,"ERROR",0,1),"OK","ERROR")))</f>
        <v>OK</v>
      </c>
      <c r="H317" s="199">
        <f t="shared" ref="H317:O317" si="1587">countif($D317,"*"&amp;H$2&amp;"*")</f>
        <v>0</v>
      </c>
      <c r="I317" s="200">
        <f t="shared" si="1587"/>
        <v>0</v>
      </c>
      <c r="J317" s="200">
        <f t="shared" si="1587"/>
        <v>0</v>
      </c>
      <c r="K317" s="200">
        <f t="shared" si="1587"/>
        <v>0</v>
      </c>
      <c r="L317" s="200">
        <f t="shared" si="1587"/>
        <v>0</v>
      </c>
      <c r="M317" s="200">
        <f t="shared" si="1587"/>
        <v>0</v>
      </c>
      <c r="N317" s="200">
        <f t="shared" si="1587"/>
        <v>0</v>
      </c>
      <c r="O317" s="200">
        <f t="shared" si="1587"/>
        <v>0</v>
      </c>
      <c r="P317" s="200">
        <f t="shared" si="9"/>
        <v>1</v>
      </c>
      <c r="Q317" s="200">
        <f t="shared" ref="Q317:AC317" si="1588">countif($D317,"*"&amp;Q$2&amp;"*")</f>
        <v>0</v>
      </c>
      <c r="R317" s="200">
        <f t="shared" si="1588"/>
        <v>0</v>
      </c>
      <c r="S317" s="200">
        <f t="shared" si="1588"/>
        <v>0</v>
      </c>
      <c r="T317" s="200">
        <f t="shared" si="1588"/>
        <v>0</v>
      </c>
      <c r="U317" s="200">
        <f t="shared" si="1588"/>
        <v>0</v>
      </c>
      <c r="V317" s="200">
        <f t="shared" si="1588"/>
        <v>0</v>
      </c>
      <c r="W317" s="200">
        <f t="shared" si="1588"/>
        <v>0</v>
      </c>
      <c r="X317" s="200">
        <f t="shared" si="1588"/>
        <v>0</v>
      </c>
      <c r="Y317" s="200">
        <f t="shared" si="1588"/>
        <v>0</v>
      </c>
      <c r="Z317" s="200">
        <f t="shared" si="1588"/>
        <v>0</v>
      </c>
      <c r="AA317" s="200">
        <f t="shared" si="1588"/>
        <v>0</v>
      </c>
      <c r="AB317" s="200">
        <f t="shared" si="1588"/>
        <v>0</v>
      </c>
      <c r="AC317" s="200">
        <f t="shared" si="1588"/>
        <v>0</v>
      </c>
      <c r="AD317" s="200">
        <f t="shared" si="11"/>
        <v>0</v>
      </c>
      <c r="AE317" s="200">
        <f t="shared" ref="AE317:AG317" si="1589">countif($D317,"*"&amp;AE$2&amp;"*")</f>
        <v>0</v>
      </c>
      <c r="AF317" s="200">
        <f t="shared" si="1589"/>
        <v>0</v>
      </c>
      <c r="AG317" s="200">
        <f t="shared" si="1589"/>
        <v>0</v>
      </c>
      <c r="AH317" s="171">
        <f t="shared" si="13"/>
        <v>0</v>
      </c>
      <c r="AI317" s="200">
        <f t="shared" si="14"/>
        <v>0</v>
      </c>
      <c r="AJ317" s="200">
        <f t="shared" si="1129"/>
        <v>0</v>
      </c>
      <c r="AK317" s="201">
        <f t="shared" ref="AK317:AS317" si="1590">countif($D317,"*"&amp;AK$2&amp;"*")</f>
        <v>0</v>
      </c>
      <c r="AL317" s="201">
        <f t="shared" si="1590"/>
        <v>0</v>
      </c>
      <c r="AM317" s="201">
        <f t="shared" si="1590"/>
        <v>0</v>
      </c>
      <c r="AN317" s="201">
        <f t="shared" si="1590"/>
        <v>0</v>
      </c>
      <c r="AO317" s="201">
        <f t="shared" si="1590"/>
        <v>0</v>
      </c>
      <c r="AP317" s="201">
        <f t="shared" si="1590"/>
        <v>0</v>
      </c>
      <c r="AQ317" s="201">
        <f t="shared" si="1590"/>
        <v>0</v>
      </c>
      <c r="AR317" s="200">
        <f t="shared" si="1590"/>
        <v>0</v>
      </c>
      <c r="AS317" s="200">
        <f t="shared" si="1590"/>
        <v>0</v>
      </c>
      <c r="AT317" s="173">
        <v>0.0</v>
      </c>
      <c r="AU317" s="200">
        <f t="shared" ref="AU317:AX317" si="1591">countif($D317,"*"&amp;AU$2&amp;"*")</f>
        <v>0</v>
      </c>
      <c r="AV317" s="200">
        <f t="shared" si="1591"/>
        <v>1</v>
      </c>
      <c r="AW317" s="200">
        <f t="shared" si="1591"/>
        <v>0</v>
      </c>
      <c r="AX317" s="200">
        <f t="shared" si="1591"/>
        <v>0</v>
      </c>
      <c r="AY317" s="202">
        <v>0.0</v>
      </c>
      <c r="AZ317" s="200"/>
      <c r="BA317" s="171" t="str">
        <f t="shared" si="18"/>
        <v/>
      </c>
      <c r="BB317" s="171" t="str">
        <f t="shared" si="19"/>
        <v>Code</v>
      </c>
      <c r="BC317" s="171" t="str">
        <f t="shared" si="20"/>
        <v/>
      </c>
      <c r="BD317" s="171" t="str">
        <f t="shared" si="21"/>
        <v/>
      </c>
      <c r="BE317" s="171" t="str">
        <f t="shared" si="22"/>
        <v/>
      </c>
      <c r="BF317" s="171" t="str">
        <f t="shared" si="23"/>
        <v>Code</v>
      </c>
    </row>
    <row r="318">
      <c r="A318" s="171">
        <f t="array" ref="A318">XLOOKUP(C318,ICSE!A:A,ICSE!C:C,,2,1)</f>
        <v>2021</v>
      </c>
      <c r="B318" s="171" t="s">
        <v>5675</v>
      </c>
      <c r="C318" s="160">
        <v>555.0</v>
      </c>
      <c r="D318" s="161" t="s">
        <v>2147</v>
      </c>
      <c r="E318" s="197" t="str">
        <f t="array" ref="E318">XLOOKUP(C318,ICSE!A:A,ICSE!Z:Z,,0,1)</f>
        <v>Not available (1) - Broken link.</v>
      </c>
      <c r="F318" s="198" t="s">
        <v>21</v>
      </c>
      <c r="G318" s="163" t="str">
        <f t="array" ref="G318">IF(B318="ICSE",IF(COUNTIFS(B:B,B318,C:C,C318)=XLOOKUP(C318,ICSE!A:A,ICSE!AA:AA,"ERROR",0,1),"OK","ERROR"),IF(B318="FSE",IF(COUNTIFS(B:B,B318,C:C,C318)=XLOOKUP(C318,FSE!A:A,FSE!AA:AA,"ERROR",0,1),"OK","ERROR")))</f>
        <v>OK</v>
      </c>
      <c r="H318" s="199">
        <f t="shared" ref="H318:O318" si="1592">countif($D318,"*"&amp;H$2&amp;"*")</f>
        <v>0</v>
      </c>
      <c r="I318" s="200">
        <f t="shared" si="1592"/>
        <v>0</v>
      </c>
      <c r="J318" s="200">
        <f t="shared" si="1592"/>
        <v>0</v>
      </c>
      <c r="K318" s="200">
        <f t="shared" si="1592"/>
        <v>0</v>
      </c>
      <c r="L318" s="200">
        <f t="shared" si="1592"/>
        <v>0</v>
      </c>
      <c r="M318" s="200">
        <f t="shared" si="1592"/>
        <v>0</v>
      </c>
      <c r="N318" s="200">
        <f t="shared" si="1592"/>
        <v>0</v>
      </c>
      <c r="O318" s="200">
        <f t="shared" si="1592"/>
        <v>0</v>
      </c>
      <c r="P318" s="200">
        <f t="shared" si="9"/>
        <v>0</v>
      </c>
      <c r="Q318" s="200">
        <f t="shared" ref="Q318:AC318" si="1593">countif($D318,"*"&amp;Q$2&amp;"*")</f>
        <v>0</v>
      </c>
      <c r="R318" s="200">
        <f t="shared" si="1593"/>
        <v>0</v>
      </c>
      <c r="S318" s="200">
        <f t="shared" si="1593"/>
        <v>0</v>
      </c>
      <c r="T318" s="200">
        <f t="shared" si="1593"/>
        <v>0</v>
      </c>
      <c r="U318" s="200">
        <f t="shared" si="1593"/>
        <v>0</v>
      </c>
      <c r="V318" s="200">
        <f t="shared" si="1593"/>
        <v>0</v>
      </c>
      <c r="W318" s="200">
        <f t="shared" si="1593"/>
        <v>0</v>
      </c>
      <c r="X318" s="200">
        <f t="shared" si="1593"/>
        <v>0</v>
      </c>
      <c r="Y318" s="200">
        <f t="shared" si="1593"/>
        <v>0</v>
      </c>
      <c r="Z318" s="200">
        <f t="shared" si="1593"/>
        <v>0</v>
      </c>
      <c r="AA318" s="200">
        <f t="shared" si="1593"/>
        <v>0</v>
      </c>
      <c r="AB318" s="200">
        <f t="shared" si="1593"/>
        <v>0</v>
      </c>
      <c r="AC318" s="200">
        <f t="shared" si="1593"/>
        <v>0</v>
      </c>
      <c r="AD318" s="200">
        <f t="shared" si="11"/>
        <v>0</v>
      </c>
      <c r="AE318" s="200">
        <f t="shared" ref="AE318:AG318" si="1594">countif($D318,"*"&amp;AE$2&amp;"*")</f>
        <v>0</v>
      </c>
      <c r="AF318" s="200">
        <f t="shared" si="1594"/>
        <v>0</v>
      </c>
      <c r="AG318" s="200">
        <f t="shared" si="1594"/>
        <v>0</v>
      </c>
      <c r="AH318" s="171">
        <f t="shared" si="13"/>
        <v>1</v>
      </c>
      <c r="AI318" s="200">
        <f t="shared" si="14"/>
        <v>0</v>
      </c>
      <c r="AJ318" s="200">
        <f t="shared" si="1129"/>
        <v>1</v>
      </c>
      <c r="AK318" s="201">
        <f t="shared" ref="AK318:AS318" si="1595">countif($D318,"*"&amp;AK$2&amp;"*")</f>
        <v>0</v>
      </c>
      <c r="AL318" s="201">
        <f t="shared" si="1595"/>
        <v>0</v>
      </c>
      <c r="AM318" s="201">
        <f t="shared" si="1595"/>
        <v>0</v>
      </c>
      <c r="AN318" s="201">
        <f t="shared" si="1595"/>
        <v>1</v>
      </c>
      <c r="AO318" s="201">
        <f t="shared" si="1595"/>
        <v>0</v>
      </c>
      <c r="AP318" s="201">
        <f t="shared" si="1595"/>
        <v>0</v>
      </c>
      <c r="AQ318" s="201">
        <f t="shared" si="1595"/>
        <v>0</v>
      </c>
      <c r="AR318" s="200">
        <f t="shared" si="1595"/>
        <v>0</v>
      </c>
      <c r="AS318" s="200">
        <f t="shared" si="1595"/>
        <v>0</v>
      </c>
      <c r="AT318" s="173">
        <v>0.0</v>
      </c>
      <c r="AU318" s="200">
        <f t="shared" ref="AU318:AX318" si="1596">countif($D318,"*"&amp;AU$2&amp;"*")</f>
        <v>0</v>
      </c>
      <c r="AV318" s="200">
        <f t="shared" si="1596"/>
        <v>0</v>
      </c>
      <c r="AW318" s="200">
        <f t="shared" si="1596"/>
        <v>0</v>
      </c>
      <c r="AX318" s="200">
        <f t="shared" si="1596"/>
        <v>0</v>
      </c>
      <c r="AY318" s="202">
        <v>0.0</v>
      </c>
      <c r="AZ318" s="200"/>
      <c r="BA318" s="171" t="str">
        <f t="shared" si="18"/>
        <v/>
      </c>
      <c r="BB318" s="171" t="str">
        <f t="shared" si="19"/>
        <v/>
      </c>
      <c r="BC318" s="171" t="str">
        <f t="shared" si="20"/>
        <v/>
      </c>
      <c r="BD318" s="171" t="str">
        <f t="shared" si="21"/>
        <v/>
      </c>
      <c r="BE318" s="171" t="str">
        <f t="shared" si="22"/>
        <v>Others</v>
      </c>
      <c r="BF318" s="171" t="str">
        <f t="shared" si="23"/>
        <v>Others</v>
      </c>
    </row>
    <row r="319">
      <c r="A319" s="171">
        <f t="array" ref="A319">XLOOKUP(C319,ICSE!A:A,ICSE!C:C,,2,1)</f>
        <v>2021</v>
      </c>
      <c r="B319" s="171" t="s">
        <v>5675</v>
      </c>
      <c r="C319" s="160">
        <v>556.0</v>
      </c>
      <c r="D319" s="161" t="s">
        <v>5837</v>
      </c>
      <c r="E319" s="197" t="str">
        <f t="array" ref="E319">XLOOKUP(C319,ICSE!A:A,ICSE!Z:Z,,0,1)</f>
        <v>Publicly available (3)</v>
      </c>
      <c r="F319" s="198" t="s">
        <v>20</v>
      </c>
      <c r="G319" s="163" t="str">
        <f t="array" ref="G319">IF(B319="ICSE",IF(COUNTIFS(B:B,B319,C:C,C319)=XLOOKUP(C319,ICSE!A:A,ICSE!AA:AA,"ERROR",0,1),"OK","ERROR"),IF(B319="FSE",IF(COUNTIFS(B:B,B319,C:C,C319)=XLOOKUP(C319,FSE!A:A,FSE!AA:AA,"ERROR",0,1),"OK","ERROR")))</f>
        <v>OK</v>
      </c>
      <c r="H319" s="199">
        <f t="shared" ref="H319:O319" si="1597">countif($D319,"*"&amp;H$2&amp;"*")</f>
        <v>0</v>
      </c>
      <c r="I319" s="200">
        <f t="shared" si="1597"/>
        <v>1</v>
      </c>
      <c r="J319" s="200">
        <f t="shared" si="1597"/>
        <v>0</v>
      </c>
      <c r="K319" s="200">
        <f t="shared" si="1597"/>
        <v>0</v>
      </c>
      <c r="L319" s="200">
        <f t="shared" si="1597"/>
        <v>0</v>
      </c>
      <c r="M319" s="200">
        <f t="shared" si="1597"/>
        <v>0</v>
      </c>
      <c r="N319" s="200">
        <f t="shared" si="1597"/>
        <v>0</v>
      </c>
      <c r="O319" s="200">
        <f t="shared" si="1597"/>
        <v>0</v>
      </c>
      <c r="P319" s="200">
        <f t="shared" si="9"/>
        <v>0</v>
      </c>
      <c r="Q319" s="200">
        <f t="shared" ref="Q319:AC319" si="1598">countif($D319,"*"&amp;Q$2&amp;"*")</f>
        <v>0</v>
      </c>
      <c r="R319" s="200">
        <f t="shared" si="1598"/>
        <v>0</v>
      </c>
      <c r="S319" s="200">
        <f t="shared" si="1598"/>
        <v>0</v>
      </c>
      <c r="T319" s="200">
        <f t="shared" si="1598"/>
        <v>0</v>
      </c>
      <c r="U319" s="200">
        <f t="shared" si="1598"/>
        <v>0</v>
      </c>
      <c r="V319" s="200">
        <f t="shared" si="1598"/>
        <v>0</v>
      </c>
      <c r="W319" s="200">
        <f t="shared" si="1598"/>
        <v>0</v>
      </c>
      <c r="X319" s="200">
        <f t="shared" si="1598"/>
        <v>0</v>
      </c>
      <c r="Y319" s="200">
        <f t="shared" si="1598"/>
        <v>0</v>
      </c>
      <c r="Z319" s="200">
        <f t="shared" si="1598"/>
        <v>0</v>
      </c>
      <c r="AA319" s="200">
        <f t="shared" si="1598"/>
        <v>0</v>
      </c>
      <c r="AB319" s="200">
        <f t="shared" si="1598"/>
        <v>0</v>
      </c>
      <c r="AC319" s="200">
        <f t="shared" si="1598"/>
        <v>0</v>
      </c>
      <c r="AD319" s="200">
        <f t="shared" si="11"/>
        <v>0</v>
      </c>
      <c r="AE319" s="200">
        <f t="shared" ref="AE319:AG319" si="1599">countif($D319,"*"&amp;AE$2&amp;"*")</f>
        <v>0</v>
      </c>
      <c r="AF319" s="200">
        <f t="shared" si="1599"/>
        <v>0</v>
      </c>
      <c r="AG319" s="200">
        <f t="shared" si="1599"/>
        <v>0</v>
      </c>
      <c r="AH319" s="171">
        <f t="shared" si="13"/>
        <v>0</v>
      </c>
      <c r="AI319" s="200">
        <f t="shared" si="14"/>
        <v>1</v>
      </c>
      <c r="AJ319" s="200">
        <f t="shared" si="1129"/>
        <v>0</v>
      </c>
      <c r="AK319" s="201">
        <f t="shared" ref="AK319:AS319" si="1600">countif($D319,"*"&amp;AK$2&amp;"*")</f>
        <v>0</v>
      </c>
      <c r="AL319" s="201">
        <f t="shared" si="1600"/>
        <v>0</v>
      </c>
      <c r="AM319" s="201">
        <f t="shared" si="1600"/>
        <v>0</v>
      </c>
      <c r="AN319" s="201">
        <f t="shared" si="1600"/>
        <v>0</v>
      </c>
      <c r="AO319" s="201">
        <f t="shared" si="1600"/>
        <v>0</v>
      </c>
      <c r="AP319" s="201">
        <f t="shared" si="1600"/>
        <v>0</v>
      </c>
      <c r="AQ319" s="201">
        <f t="shared" si="1600"/>
        <v>0</v>
      </c>
      <c r="AR319" s="200">
        <f t="shared" si="1600"/>
        <v>0</v>
      </c>
      <c r="AS319" s="200">
        <f t="shared" si="1600"/>
        <v>0</v>
      </c>
      <c r="AT319" s="173">
        <v>0.0</v>
      </c>
      <c r="AU319" s="200">
        <f t="shared" ref="AU319:AX319" si="1601">countif($D319,"*"&amp;AU$2&amp;"*")</f>
        <v>0</v>
      </c>
      <c r="AV319" s="200">
        <f t="shared" si="1601"/>
        <v>0</v>
      </c>
      <c r="AW319" s="200">
        <f t="shared" si="1601"/>
        <v>0</v>
      </c>
      <c r="AX319" s="200">
        <f t="shared" si="1601"/>
        <v>1</v>
      </c>
      <c r="AY319" s="202">
        <v>0.0</v>
      </c>
      <c r="AZ319" s="200"/>
      <c r="BA319" s="171" t="str">
        <f t="shared" si="18"/>
        <v>Archival</v>
      </c>
      <c r="BB319" s="171" t="str">
        <f t="shared" si="19"/>
        <v/>
      </c>
      <c r="BC319" s="171" t="str">
        <f t="shared" si="20"/>
        <v/>
      </c>
      <c r="BD319" s="171" t="str">
        <f t="shared" si="21"/>
        <v/>
      </c>
      <c r="BE319" s="171" t="str">
        <f t="shared" si="22"/>
        <v/>
      </c>
      <c r="BF319" s="171" t="str">
        <f t="shared" si="23"/>
        <v>Archival</v>
      </c>
    </row>
    <row r="320">
      <c r="A320" s="171">
        <f t="array" ref="A320">XLOOKUP(C320,ICSE!A:A,ICSE!C:C,,2,1)</f>
        <v>2021</v>
      </c>
      <c r="B320" s="171" t="s">
        <v>5675</v>
      </c>
      <c r="C320" s="160">
        <v>556.0</v>
      </c>
      <c r="D320" s="161" t="s">
        <v>5838</v>
      </c>
      <c r="E320" s="197" t="str">
        <f t="array" ref="E320">XLOOKUP(C320,ICSE!A:A,ICSE!Z:Z,,0,1)</f>
        <v>Publicly available (3)</v>
      </c>
      <c r="F320" s="198" t="s">
        <v>20</v>
      </c>
      <c r="G320" s="163" t="str">
        <f t="array" ref="G320">IF(B320="ICSE",IF(COUNTIFS(B:B,B320,C:C,C320)=XLOOKUP(C320,ICSE!A:A,ICSE!AA:AA,"ERROR",0,1),"OK","ERROR"),IF(B320="FSE",IF(COUNTIFS(B:B,B320,C:C,C320)=XLOOKUP(C320,FSE!A:A,FSE!AA:AA,"ERROR",0,1),"OK","ERROR")))</f>
        <v>OK</v>
      </c>
      <c r="H320" s="199">
        <f t="shared" ref="H320:O320" si="1602">countif($D320,"*"&amp;H$2&amp;"*")</f>
        <v>0</v>
      </c>
      <c r="I320" s="200">
        <f t="shared" si="1602"/>
        <v>1</v>
      </c>
      <c r="J320" s="200">
        <f t="shared" si="1602"/>
        <v>0</v>
      </c>
      <c r="K320" s="200">
        <f t="shared" si="1602"/>
        <v>0</v>
      </c>
      <c r="L320" s="200">
        <f t="shared" si="1602"/>
        <v>0</v>
      </c>
      <c r="M320" s="200">
        <f t="shared" si="1602"/>
        <v>0</v>
      </c>
      <c r="N320" s="200">
        <f t="shared" si="1602"/>
        <v>0</v>
      </c>
      <c r="O320" s="200">
        <f t="shared" si="1602"/>
        <v>0</v>
      </c>
      <c r="P320" s="200">
        <f t="shared" si="9"/>
        <v>0</v>
      </c>
      <c r="Q320" s="200">
        <f t="shared" ref="Q320:AC320" si="1603">countif($D320,"*"&amp;Q$2&amp;"*")</f>
        <v>0</v>
      </c>
      <c r="R320" s="200">
        <f t="shared" si="1603"/>
        <v>0</v>
      </c>
      <c r="S320" s="200">
        <f t="shared" si="1603"/>
        <v>0</v>
      </c>
      <c r="T320" s="200">
        <f t="shared" si="1603"/>
        <v>0</v>
      </c>
      <c r="U320" s="200">
        <f t="shared" si="1603"/>
        <v>0</v>
      </c>
      <c r="V320" s="200">
        <f t="shared" si="1603"/>
        <v>0</v>
      </c>
      <c r="W320" s="200">
        <f t="shared" si="1603"/>
        <v>0</v>
      </c>
      <c r="X320" s="200">
        <f t="shared" si="1603"/>
        <v>0</v>
      </c>
      <c r="Y320" s="200">
        <f t="shared" si="1603"/>
        <v>0</v>
      </c>
      <c r="Z320" s="200">
        <f t="shared" si="1603"/>
        <v>0</v>
      </c>
      <c r="AA320" s="200">
        <f t="shared" si="1603"/>
        <v>0</v>
      </c>
      <c r="AB320" s="200">
        <f t="shared" si="1603"/>
        <v>0</v>
      </c>
      <c r="AC320" s="200">
        <f t="shared" si="1603"/>
        <v>0</v>
      </c>
      <c r="AD320" s="200">
        <f t="shared" si="11"/>
        <v>0</v>
      </c>
      <c r="AE320" s="200">
        <f t="shared" ref="AE320:AG320" si="1604">countif($D320,"*"&amp;AE$2&amp;"*")</f>
        <v>0</v>
      </c>
      <c r="AF320" s="200">
        <f t="shared" si="1604"/>
        <v>0</v>
      </c>
      <c r="AG320" s="200">
        <f t="shared" si="1604"/>
        <v>0</v>
      </c>
      <c r="AH320" s="171">
        <f t="shared" si="13"/>
        <v>0</v>
      </c>
      <c r="AI320" s="200">
        <f t="shared" si="14"/>
        <v>1</v>
      </c>
      <c r="AJ320" s="200">
        <f t="shared" si="1129"/>
        <v>0</v>
      </c>
      <c r="AK320" s="201">
        <f t="shared" ref="AK320:AS320" si="1605">countif($D320,"*"&amp;AK$2&amp;"*")</f>
        <v>0</v>
      </c>
      <c r="AL320" s="201">
        <f t="shared" si="1605"/>
        <v>0</v>
      </c>
      <c r="AM320" s="201">
        <f t="shared" si="1605"/>
        <v>0</v>
      </c>
      <c r="AN320" s="201">
        <f t="shared" si="1605"/>
        <v>0</v>
      </c>
      <c r="AO320" s="201">
        <f t="shared" si="1605"/>
        <v>0</v>
      </c>
      <c r="AP320" s="201">
        <f t="shared" si="1605"/>
        <v>0</v>
      </c>
      <c r="AQ320" s="201">
        <f t="shared" si="1605"/>
        <v>0</v>
      </c>
      <c r="AR320" s="200">
        <f t="shared" si="1605"/>
        <v>0</v>
      </c>
      <c r="AS320" s="200">
        <f t="shared" si="1605"/>
        <v>0</v>
      </c>
      <c r="AT320" s="173">
        <v>0.0</v>
      </c>
      <c r="AU320" s="200">
        <f t="shared" ref="AU320:AX320" si="1606">countif($D320,"*"&amp;AU$2&amp;"*")</f>
        <v>0</v>
      </c>
      <c r="AV320" s="200">
        <f t="shared" si="1606"/>
        <v>0</v>
      </c>
      <c r="AW320" s="200">
        <f t="shared" si="1606"/>
        <v>0</v>
      </c>
      <c r="AX320" s="200">
        <f t="shared" si="1606"/>
        <v>0</v>
      </c>
      <c r="AY320" s="204">
        <v>1.0</v>
      </c>
      <c r="AZ320" s="200"/>
      <c r="BA320" s="171" t="str">
        <f t="shared" si="18"/>
        <v>Archival</v>
      </c>
      <c r="BB320" s="171" t="str">
        <f t="shared" si="19"/>
        <v/>
      </c>
      <c r="BC320" s="171" t="str">
        <f t="shared" si="20"/>
        <v/>
      </c>
      <c r="BD320" s="171" t="str">
        <f t="shared" si="21"/>
        <v/>
      </c>
      <c r="BE320" s="171" t="str">
        <f t="shared" si="22"/>
        <v/>
      </c>
      <c r="BF320" s="171" t="str">
        <f t="shared" si="23"/>
        <v>Archival</v>
      </c>
    </row>
    <row r="321">
      <c r="A321" s="171">
        <f t="array" ref="A321">XLOOKUP(C321,ICSE!A:A,ICSE!C:C,,2,1)</f>
        <v>2021</v>
      </c>
      <c r="B321" s="171" t="s">
        <v>5675</v>
      </c>
      <c r="C321" s="160">
        <v>556.0</v>
      </c>
      <c r="D321" s="161" t="s">
        <v>5839</v>
      </c>
      <c r="E321" s="197" t="str">
        <f t="array" ref="E321">XLOOKUP(C321,ICSE!A:A,ICSE!Z:Z,,0,1)</f>
        <v>Publicly available (3)</v>
      </c>
      <c r="F321" s="198" t="s">
        <v>20</v>
      </c>
      <c r="G321" s="163" t="str">
        <f t="array" ref="G321">IF(B321="ICSE",IF(COUNTIFS(B:B,B321,C:C,C321)=XLOOKUP(C321,ICSE!A:A,ICSE!AA:AA,"ERROR",0,1),"OK","ERROR"),IF(B321="FSE",IF(COUNTIFS(B:B,B321,C:C,C321)=XLOOKUP(C321,FSE!A:A,FSE!AA:AA,"ERROR",0,1),"OK","ERROR")))</f>
        <v>OK</v>
      </c>
      <c r="H321" s="199">
        <f t="shared" ref="H321:O321" si="1607">countif($D321,"*"&amp;H$2&amp;"*")</f>
        <v>0</v>
      </c>
      <c r="I321" s="200">
        <f t="shared" si="1607"/>
        <v>0</v>
      </c>
      <c r="J321" s="200">
        <f t="shared" si="1607"/>
        <v>0</v>
      </c>
      <c r="K321" s="200">
        <f t="shared" si="1607"/>
        <v>0</v>
      </c>
      <c r="L321" s="200">
        <f t="shared" si="1607"/>
        <v>0</v>
      </c>
      <c r="M321" s="200">
        <f t="shared" si="1607"/>
        <v>1</v>
      </c>
      <c r="N321" s="200">
        <f t="shared" si="1607"/>
        <v>0</v>
      </c>
      <c r="O321" s="200">
        <f t="shared" si="1607"/>
        <v>0</v>
      </c>
      <c r="P321" s="200">
        <f t="shared" si="9"/>
        <v>0</v>
      </c>
      <c r="Q321" s="200">
        <f t="shared" ref="Q321:AC321" si="1608">countif($D321,"*"&amp;Q$2&amp;"*")</f>
        <v>0</v>
      </c>
      <c r="R321" s="200">
        <f t="shared" si="1608"/>
        <v>0</v>
      </c>
      <c r="S321" s="200">
        <f t="shared" si="1608"/>
        <v>0</v>
      </c>
      <c r="T321" s="200">
        <f t="shared" si="1608"/>
        <v>0</v>
      </c>
      <c r="U321" s="200">
        <f t="shared" si="1608"/>
        <v>0</v>
      </c>
      <c r="V321" s="200">
        <f t="shared" si="1608"/>
        <v>0</v>
      </c>
      <c r="W321" s="200">
        <f t="shared" si="1608"/>
        <v>0</v>
      </c>
      <c r="X321" s="200">
        <f t="shared" si="1608"/>
        <v>0</v>
      </c>
      <c r="Y321" s="200">
        <f t="shared" si="1608"/>
        <v>0</v>
      </c>
      <c r="Z321" s="200">
        <f t="shared" si="1608"/>
        <v>0</v>
      </c>
      <c r="AA321" s="200">
        <f t="shared" si="1608"/>
        <v>0</v>
      </c>
      <c r="AB321" s="200">
        <f t="shared" si="1608"/>
        <v>0</v>
      </c>
      <c r="AC321" s="200">
        <f t="shared" si="1608"/>
        <v>0</v>
      </c>
      <c r="AD321" s="200">
        <f t="shared" si="11"/>
        <v>0</v>
      </c>
      <c r="AE321" s="200">
        <f t="shared" ref="AE321:AG321" si="1609">countif($D321,"*"&amp;AE$2&amp;"*")</f>
        <v>0</v>
      </c>
      <c r="AF321" s="200">
        <f t="shared" si="1609"/>
        <v>0</v>
      </c>
      <c r="AG321" s="200">
        <f t="shared" si="1609"/>
        <v>0</v>
      </c>
      <c r="AH321" s="171">
        <f t="shared" si="13"/>
        <v>0</v>
      </c>
      <c r="AI321" s="200">
        <f t="shared" si="14"/>
        <v>1</v>
      </c>
      <c r="AJ321" s="200">
        <f t="shared" si="1129"/>
        <v>0</v>
      </c>
      <c r="AK321" s="201">
        <f t="shared" ref="AK321:AS321" si="1610">countif($D321,"*"&amp;AK$2&amp;"*")</f>
        <v>0</v>
      </c>
      <c r="AL321" s="201">
        <f t="shared" si="1610"/>
        <v>0</v>
      </c>
      <c r="AM321" s="201">
        <f t="shared" si="1610"/>
        <v>0</v>
      </c>
      <c r="AN321" s="201">
        <f t="shared" si="1610"/>
        <v>0</v>
      </c>
      <c r="AO321" s="201">
        <f t="shared" si="1610"/>
        <v>0</v>
      </c>
      <c r="AP321" s="201">
        <f t="shared" si="1610"/>
        <v>0</v>
      </c>
      <c r="AQ321" s="201">
        <f t="shared" si="1610"/>
        <v>0</v>
      </c>
      <c r="AR321" s="200">
        <f t="shared" si="1610"/>
        <v>0</v>
      </c>
      <c r="AS321" s="200">
        <f t="shared" si="1610"/>
        <v>1</v>
      </c>
      <c r="AT321" s="173">
        <v>0.0</v>
      </c>
      <c r="AU321" s="200">
        <f t="shared" ref="AU321:AX321" si="1611">countif($D321,"*"&amp;AU$2&amp;"*")</f>
        <v>0</v>
      </c>
      <c r="AV321" s="200">
        <f t="shared" si="1611"/>
        <v>0</v>
      </c>
      <c r="AW321" s="200">
        <f t="shared" si="1611"/>
        <v>0</v>
      </c>
      <c r="AX321" s="200">
        <f t="shared" si="1611"/>
        <v>1</v>
      </c>
      <c r="AY321" s="202">
        <v>0.0</v>
      </c>
      <c r="AZ321" s="200"/>
      <c r="BA321" s="171" t="str">
        <f t="shared" si="18"/>
        <v>Archival</v>
      </c>
      <c r="BB321" s="171" t="str">
        <f t="shared" si="19"/>
        <v/>
      </c>
      <c r="BC321" s="171" t="str">
        <f t="shared" si="20"/>
        <v/>
      </c>
      <c r="BD321" s="171" t="str">
        <f t="shared" si="21"/>
        <v/>
      </c>
      <c r="BE321" s="171" t="str">
        <f t="shared" si="22"/>
        <v/>
      </c>
      <c r="BF321" s="171" t="str">
        <f t="shared" si="23"/>
        <v>Archival</v>
      </c>
    </row>
    <row r="322">
      <c r="A322" s="171">
        <f t="array" ref="A322">XLOOKUP(C322,ICSE!A:A,ICSE!C:C,,2,1)</f>
        <v>2021</v>
      </c>
      <c r="B322" s="171" t="s">
        <v>5675</v>
      </c>
      <c r="C322" s="160">
        <v>557.0</v>
      </c>
      <c r="D322" s="161" t="s">
        <v>2154</v>
      </c>
      <c r="E322" s="197" t="str">
        <f t="array" ref="E322">XLOOKUP(C322,ICSE!A:A,ICSE!Z:Z,,0,1)</f>
        <v>Publicly available (1)</v>
      </c>
      <c r="F322" s="198" t="s">
        <v>20</v>
      </c>
      <c r="G322" s="163" t="str">
        <f t="array" ref="G322">IF(B322="ICSE",IF(COUNTIFS(B:B,B322,C:C,C322)=XLOOKUP(C322,ICSE!A:A,ICSE!AA:AA,"ERROR",0,1),"OK","ERROR"),IF(B322="FSE",IF(COUNTIFS(B:B,B322,C:C,C322)=XLOOKUP(C322,FSE!A:A,FSE!AA:AA,"ERROR",0,1),"OK","ERROR")))</f>
        <v>OK</v>
      </c>
      <c r="H322" s="199">
        <f t="shared" ref="H322:O322" si="1612">countif($D322,"*"&amp;H$2&amp;"*")</f>
        <v>0</v>
      </c>
      <c r="I322" s="200">
        <f t="shared" si="1612"/>
        <v>0</v>
      </c>
      <c r="J322" s="200">
        <f t="shared" si="1612"/>
        <v>0</v>
      </c>
      <c r="K322" s="200">
        <f t="shared" si="1612"/>
        <v>0</v>
      </c>
      <c r="L322" s="200">
        <f t="shared" si="1612"/>
        <v>0</v>
      </c>
      <c r="M322" s="200">
        <f t="shared" si="1612"/>
        <v>0</v>
      </c>
      <c r="N322" s="200">
        <f t="shared" si="1612"/>
        <v>0</v>
      </c>
      <c r="O322" s="200">
        <f t="shared" si="1612"/>
        <v>0</v>
      </c>
      <c r="P322" s="200">
        <f t="shared" si="9"/>
        <v>1</v>
      </c>
      <c r="Q322" s="200">
        <f t="shared" ref="Q322:AC322" si="1613">countif($D322,"*"&amp;Q$2&amp;"*")</f>
        <v>0</v>
      </c>
      <c r="R322" s="200">
        <f t="shared" si="1613"/>
        <v>0</v>
      </c>
      <c r="S322" s="200">
        <f t="shared" si="1613"/>
        <v>0</v>
      </c>
      <c r="T322" s="200">
        <f t="shared" si="1613"/>
        <v>0</v>
      </c>
      <c r="U322" s="200">
        <f t="shared" si="1613"/>
        <v>0</v>
      </c>
      <c r="V322" s="200">
        <f t="shared" si="1613"/>
        <v>0</v>
      </c>
      <c r="W322" s="200">
        <f t="shared" si="1613"/>
        <v>0</v>
      </c>
      <c r="X322" s="200">
        <f t="shared" si="1613"/>
        <v>0</v>
      </c>
      <c r="Y322" s="200">
        <f t="shared" si="1613"/>
        <v>0</v>
      </c>
      <c r="Z322" s="200">
        <f t="shared" si="1613"/>
        <v>0</v>
      </c>
      <c r="AA322" s="200">
        <f t="shared" si="1613"/>
        <v>0</v>
      </c>
      <c r="AB322" s="200">
        <f t="shared" si="1613"/>
        <v>0</v>
      </c>
      <c r="AC322" s="200">
        <f t="shared" si="1613"/>
        <v>0</v>
      </c>
      <c r="AD322" s="200">
        <f t="shared" si="11"/>
        <v>0</v>
      </c>
      <c r="AE322" s="200">
        <f t="shared" ref="AE322:AG322" si="1614">countif($D322,"*"&amp;AE$2&amp;"*")</f>
        <v>0</v>
      </c>
      <c r="AF322" s="200">
        <f t="shared" si="1614"/>
        <v>0</v>
      </c>
      <c r="AG322" s="200">
        <f t="shared" si="1614"/>
        <v>0</v>
      </c>
      <c r="AH322" s="171">
        <f t="shared" si="13"/>
        <v>0</v>
      </c>
      <c r="AI322" s="200">
        <f t="shared" si="14"/>
        <v>0</v>
      </c>
      <c r="AJ322" s="200">
        <f t="shared" si="1129"/>
        <v>0</v>
      </c>
      <c r="AK322" s="201">
        <f t="shared" ref="AK322:AS322" si="1615">countif($D322,"*"&amp;AK$2&amp;"*")</f>
        <v>0</v>
      </c>
      <c r="AL322" s="201">
        <f t="shared" si="1615"/>
        <v>0</v>
      </c>
      <c r="AM322" s="201">
        <f t="shared" si="1615"/>
        <v>0</v>
      </c>
      <c r="AN322" s="201">
        <f t="shared" si="1615"/>
        <v>0</v>
      </c>
      <c r="AO322" s="201">
        <f t="shared" si="1615"/>
        <v>0</v>
      </c>
      <c r="AP322" s="201">
        <f t="shared" si="1615"/>
        <v>0</v>
      </c>
      <c r="AQ322" s="201">
        <f t="shared" si="1615"/>
        <v>0</v>
      </c>
      <c r="AR322" s="200">
        <f t="shared" si="1615"/>
        <v>0</v>
      </c>
      <c r="AS322" s="200">
        <f t="shared" si="1615"/>
        <v>0</v>
      </c>
      <c r="AT322" s="173">
        <v>0.0</v>
      </c>
      <c r="AU322" s="200">
        <f t="shared" ref="AU322:AX322" si="1616">countif($D322,"*"&amp;AU$2&amp;"*")</f>
        <v>0</v>
      </c>
      <c r="AV322" s="200">
        <f t="shared" si="1616"/>
        <v>1</v>
      </c>
      <c r="AW322" s="200">
        <f t="shared" si="1616"/>
        <v>0</v>
      </c>
      <c r="AX322" s="200">
        <f t="shared" si="1616"/>
        <v>0</v>
      </c>
      <c r="AY322" s="202">
        <v>0.0</v>
      </c>
      <c r="AZ322" s="200"/>
      <c r="BA322" s="171" t="str">
        <f t="shared" si="18"/>
        <v/>
      </c>
      <c r="BB322" s="171" t="str">
        <f t="shared" si="19"/>
        <v>Code</v>
      </c>
      <c r="BC322" s="171" t="str">
        <f t="shared" si="20"/>
        <v/>
      </c>
      <c r="BD322" s="171" t="str">
        <f t="shared" si="21"/>
        <v/>
      </c>
      <c r="BE322" s="171" t="str">
        <f t="shared" si="22"/>
        <v/>
      </c>
      <c r="BF322" s="171" t="str">
        <f t="shared" si="23"/>
        <v>Code</v>
      </c>
    </row>
    <row r="323">
      <c r="A323" s="171">
        <f t="array" ref="A323">XLOOKUP(C323,ICSE!A:A,ICSE!C:C,,2,1)</f>
        <v>2021</v>
      </c>
      <c r="B323" s="171" t="s">
        <v>5675</v>
      </c>
      <c r="C323" s="160">
        <v>558.0</v>
      </c>
      <c r="D323" s="161" t="s">
        <v>5840</v>
      </c>
      <c r="E323" s="197" t="str">
        <f t="array" ref="E323">XLOOKUP(C323,ICSE!A:A,ICSE!Z:Z,,0,1)</f>
        <v>Publicly available (1)</v>
      </c>
      <c r="F323" s="198" t="s">
        <v>20</v>
      </c>
      <c r="G323" s="163" t="str">
        <f t="array" ref="G323">IF(B323="ICSE",IF(COUNTIFS(B:B,B323,C:C,C323)=XLOOKUP(C323,ICSE!A:A,ICSE!AA:AA,"ERROR",0,1),"OK","ERROR"),IF(B323="FSE",IF(COUNTIFS(B:B,B323,C:C,C323)=XLOOKUP(C323,FSE!A:A,FSE!AA:AA,"ERROR",0,1),"OK","ERROR")))</f>
        <v>OK</v>
      </c>
      <c r="H323" s="199">
        <f t="shared" ref="H323:O323" si="1617">countif($D323,"*"&amp;H$2&amp;"*")</f>
        <v>0</v>
      </c>
      <c r="I323" s="200">
        <f t="shared" si="1617"/>
        <v>0</v>
      </c>
      <c r="J323" s="200">
        <f t="shared" si="1617"/>
        <v>0</v>
      </c>
      <c r="K323" s="200">
        <f t="shared" si="1617"/>
        <v>0</v>
      </c>
      <c r="L323" s="200">
        <f t="shared" si="1617"/>
        <v>0</v>
      </c>
      <c r="M323" s="200">
        <f t="shared" si="1617"/>
        <v>0</v>
      </c>
      <c r="N323" s="200">
        <f t="shared" si="1617"/>
        <v>0</v>
      </c>
      <c r="O323" s="200">
        <f t="shared" si="1617"/>
        <v>0</v>
      </c>
      <c r="P323" s="200">
        <f t="shared" si="9"/>
        <v>0</v>
      </c>
      <c r="Q323" s="200">
        <f t="shared" ref="Q323:AC323" si="1618">countif($D323,"*"&amp;Q$2&amp;"*")</f>
        <v>0</v>
      </c>
      <c r="R323" s="200">
        <f t="shared" si="1618"/>
        <v>0</v>
      </c>
      <c r="S323" s="200">
        <f t="shared" si="1618"/>
        <v>0</v>
      </c>
      <c r="T323" s="200">
        <f t="shared" si="1618"/>
        <v>0</v>
      </c>
      <c r="U323" s="200">
        <f t="shared" si="1618"/>
        <v>0</v>
      </c>
      <c r="V323" s="200">
        <f t="shared" si="1618"/>
        <v>0</v>
      </c>
      <c r="W323" s="200">
        <f t="shared" si="1618"/>
        <v>0</v>
      </c>
      <c r="X323" s="200">
        <f t="shared" si="1618"/>
        <v>0</v>
      </c>
      <c r="Y323" s="200">
        <f t="shared" si="1618"/>
        <v>0</v>
      </c>
      <c r="Z323" s="200">
        <f t="shared" si="1618"/>
        <v>0</v>
      </c>
      <c r="AA323" s="200">
        <f t="shared" si="1618"/>
        <v>0</v>
      </c>
      <c r="AB323" s="200">
        <f t="shared" si="1618"/>
        <v>0</v>
      </c>
      <c r="AC323" s="200">
        <f t="shared" si="1618"/>
        <v>0</v>
      </c>
      <c r="AD323" s="200">
        <f t="shared" si="11"/>
        <v>1</v>
      </c>
      <c r="AE323" s="200">
        <f t="shared" ref="AE323:AG323" si="1619">countif($D323,"*"&amp;AE$2&amp;"*")</f>
        <v>0</v>
      </c>
      <c r="AF323" s="200">
        <f t="shared" si="1619"/>
        <v>0</v>
      </c>
      <c r="AG323" s="200">
        <f t="shared" si="1619"/>
        <v>0</v>
      </c>
      <c r="AH323" s="171">
        <f t="shared" si="13"/>
        <v>0</v>
      </c>
      <c r="AI323" s="200">
        <f t="shared" si="14"/>
        <v>1</v>
      </c>
      <c r="AJ323" s="200">
        <f t="shared" si="1129"/>
        <v>0</v>
      </c>
      <c r="AK323" s="201">
        <f t="shared" ref="AK323:AS323" si="1620">countif($D323,"*"&amp;AK$2&amp;"*")</f>
        <v>0</v>
      </c>
      <c r="AL323" s="201">
        <f t="shared" si="1620"/>
        <v>0</v>
      </c>
      <c r="AM323" s="201">
        <f t="shared" si="1620"/>
        <v>0</v>
      </c>
      <c r="AN323" s="201">
        <f t="shared" si="1620"/>
        <v>0</v>
      </c>
      <c r="AO323" s="201">
        <f t="shared" si="1620"/>
        <v>0</v>
      </c>
      <c r="AP323" s="201">
        <f t="shared" si="1620"/>
        <v>0</v>
      </c>
      <c r="AQ323" s="201">
        <f t="shared" si="1620"/>
        <v>0</v>
      </c>
      <c r="AR323" s="200">
        <f t="shared" si="1620"/>
        <v>0</v>
      </c>
      <c r="AS323" s="200">
        <f t="shared" si="1620"/>
        <v>1</v>
      </c>
      <c r="AT323" s="173">
        <v>1.0</v>
      </c>
      <c r="AU323" s="200">
        <f t="shared" ref="AU323:AX323" si="1621">countif($D323,"*"&amp;AU$2&amp;"*")</f>
        <v>0</v>
      </c>
      <c r="AV323" s="200">
        <f t="shared" si="1621"/>
        <v>0</v>
      </c>
      <c r="AW323" s="200">
        <f t="shared" si="1621"/>
        <v>0</v>
      </c>
      <c r="AX323" s="200">
        <f t="shared" si="1621"/>
        <v>1</v>
      </c>
      <c r="AY323" s="202">
        <v>0.0</v>
      </c>
      <c r="AZ323" s="200"/>
      <c r="BA323" s="171" t="str">
        <f t="shared" si="18"/>
        <v/>
      </c>
      <c r="BB323" s="171" t="str">
        <f t="shared" si="19"/>
        <v/>
      </c>
      <c r="BC323" s="171" t="str">
        <f t="shared" si="20"/>
        <v/>
      </c>
      <c r="BD323" s="171" t="str">
        <f t="shared" si="21"/>
        <v>Institutional</v>
      </c>
      <c r="BE323" s="171" t="str">
        <f t="shared" si="22"/>
        <v/>
      </c>
      <c r="BF323" s="171" t="str">
        <f t="shared" si="23"/>
        <v>Institutional</v>
      </c>
    </row>
    <row r="324">
      <c r="A324" s="171">
        <f t="array" ref="A324">XLOOKUP(C324,ICSE!A:A,ICSE!C:C,,2,1)</f>
        <v>2021</v>
      </c>
      <c r="B324" s="171" t="s">
        <v>5675</v>
      </c>
      <c r="C324" s="160">
        <v>559.0</v>
      </c>
      <c r="D324" s="161" t="s">
        <v>2161</v>
      </c>
      <c r="E324" s="197" t="str">
        <f t="array" ref="E324">XLOOKUP(C324,ICSE!A:A,ICSE!Z:Z,,0,1)</f>
        <v>Publicly available (1)</v>
      </c>
      <c r="F324" s="198" t="s">
        <v>20</v>
      </c>
      <c r="G324" s="163" t="str">
        <f t="array" ref="G324">IF(B324="ICSE",IF(COUNTIFS(B:B,B324,C:C,C324)=XLOOKUP(C324,ICSE!A:A,ICSE!AA:AA,"ERROR",0,1),"OK","ERROR"),IF(B324="FSE",IF(COUNTIFS(B:B,B324,C:C,C324)=XLOOKUP(C324,FSE!A:A,FSE!AA:AA,"ERROR",0,1),"OK","ERROR")))</f>
        <v>OK</v>
      </c>
      <c r="H324" s="199">
        <f t="shared" ref="H324:O324" si="1622">countif($D324,"*"&amp;H$2&amp;"*")</f>
        <v>0</v>
      </c>
      <c r="I324" s="200">
        <f t="shared" si="1622"/>
        <v>0</v>
      </c>
      <c r="J324" s="200">
        <f t="shared" si="1622"/>
        <v>0</v>
      </c>
      <c r="K324" s="200">
        <f t="shared" si="1622"/>
        <v>0</v>
      </c>
      <c r="L324" s="200">
        <f t="shared" si="1622"/>
        <v>0</v>
      </c>
      <c r="M324" s="200">
        <f t="shared" si="1622"/>
        <v>0</v>
      </c>
      <c r="N324" s="200">
        <f t="shared" si="1622"/>
        <v>0</v>
      </c>
      <c r="O324" s="200">
        <f t="shared" si="1622"/>
        <v>0</v>
      </c>
      <c r="P324" s="200">
        <f t="shared" si="9"/>
        <v>1</v>
      </c>
      <c r="Q324" s="200">
        <f t="shared" ref="Q324:AC324" si="1623">countif($D324,"*"&amp;Q$2&amp;"*")</f>
        <v>0</v>
      </c>
      <c r="R324" s="200">
        <f t="shared" si="1623"/>
        <v>0</v>
      </c>
      <c r="S324" s="200">
        <f t="shared" si="1623"/>
        <v>0</v>
      </c>
      <c r="T324" s="200">
        <f t="shared" si="1623"/>
        <v>0</v>
      </c>
      <c r="U324" s="200">
        <f t="shared" si="1623"/>
        <v>0</v>
      </c>
      <c r="V324" s="200">
        <f t="shared" si="1623"/>
        <v>0</v>
      </c>
      <c r="W324" s="200">
        <f t="shared" si="1623"/>
        <v>0</v>
      </c>
      <c r="X324" s="200">
        <f t="shared" si="1623"/>
        <v>0</v>
      </c>
      <c r="Y324" s="200">
        <f t="shared" si="1623"/>
        <v>0</v>
      </c>
      <c r="Z324" s="200">
        <f t="shared" si="1623"/>
        <v>0</v>
      </c>
      <c r="AA324" s="200">
        <f t="shared" si="1623"/>
        <v>0</v>
      </c>
      <c r="AB324" s="200">
        <f t="shared" si="1623"/>
        <v>0</v>
      </c>
      <c r="AC324" s="200">
        <f t="shared" si="1623"/>
        <v>0</v>
      </c>
      <c r="AD324" s="200">
        <f t="shared" si="11"/>
        <v>0</v>
      </c>
      <c r="AE324" s="200">
        <f t="shared" ref="AE324:AG324" si="1624">countif($D324,"*"&amp;AE$2&amp;"*")</f>
        <v>0</v>
      </c>
      <c r="AF324" s="200">
        <f t="shared" si="1624"/>
        <v>0</v>
      </c>
      <c r="AG324" s="200">
        <f t="shared" si="1624"/>
        <v>0</v>
      </c>
      <c r="AH324" s="171">
        <f t="shared" si="13"/>
        <v>0</v>
      </c>
      <c r="AI324" s="200">
        <f t="shared" si="14"/>
        <v>0</v>
      </c>
      <c r="AJ324" s="200">
        <f t="shared" si="1129"/>
        <v>0</v>
      </c>
      <c r="AK324" s="201">
        <f t="shared" ref="AK324:AS324" si="1625">countif($D324,"*"&amp;AK$2&amp;"*")</f>
        <v>0</v>
      </c>
      <c r="AL324" s="201">
        <f t="shared" si="1625"/>
        <v>0</v>
      </c>
      <c r="AM324" s="201">
        <f t="shared" si="1625"/>
        <v>0</v>
      </c>
      <c r="AN324" s="201">
        <f t="shared" si="1625"/>
        <v>0</v>
      </c>
      <c r="AO324" s="201">
        <f t="shared" si="1625"/>
        <v>0</v>
      </c>
      <c r="AP324" s="201">
        <f t="shared" si="1625"/>
        <v>0</v>
      </c>
      <c r="AQ324" s="201">
        <f t="shared" si="1625"/>
        <v>0</v>
      </c>
      <c r="AR324" s="200">
        <f t="shared" si="1625"/>
        <v>0</v>
      </c>
      <c r="AS324" s="200">
        <f t="shared" si="1625"/>
        <v>0</v>
      </c>
      <c r="AT324" s="173">
        <v>0.0</v>
      </c>
      <c r="AU324" s="200">
        <f t="shared" ref="AU324:AX324" si="1626">countif($D324,"*"&amp;AU$2&amp;"*")</f>
        <v>0</v>
      </c>
      <c r="AV324" s="200">
        <f t="shared" si="1626"/>
        <v>1</v>
      </c>
      <c r="AW324" s="200">
        <f t="shared" si="1626"/>
        <v>0</v>
      </c>
      <c r="AX324" s="200">
        <f t="shared" si="1626"/>
        <v>0</v>
      </c>
      <c r="AY324" s="202">
        <v>0.0</v>
      </c>
      <c r="AZ324" s="200"/>
      <c r="BA324" s="171" t="str">
        <f t="shared" si="18"/>
        <v/>
      </c>
      <c r="BB324" s="171" t="str">
        <f t="shared" si="19"/>
        <v>Code</v>
      </c>
      <c r="BC324" s="171" t="str">
        <f t="shared" si="20"/>
        <v/>
      </c>
      <c r="BD324" s="171" t="str">
        <f t="shared" si="21"/>
        <v/>
      </c>
      <c r="BE324" s="171" t="str">
        <f t="shared" si="22"/>
        <v/>
      </c>
      <c r="BF324" s="171" t="str">
        <f t="shared" si="23"/>
        <v>Code</v>
      </c>
    </row>
    <row r="325">
      <c r="A325" s="171">
        <f t="array" ref="A325">XLOOKUP(C325,ICSE!A:A,ICSE!C:C,,2,1)</f>
        <v>2021</v>
      </c>
      <c r="B325" s="171" t="s">
        <v>5675</v>
      </c>
      <c r="C325" s="160">
        <v>560.0</v>
      </c>
      <c r="D325" s="161" t="s">
        <v>2164</v>
      </c>
      <c r="E325" s="197" t="str">
        <f t="array" ref="E325">XLOOKUP(C325,ICSE!A:A,ICSE!Z:Z,,0,1)</f>
        <v>Publicly available (1)</v>
      </c>
      <c r="F325" s="198" t="s">
        <v>20</v>
      </c>
      <c r="G325" s="163" t="str">
        <f t="array" ref="G325">IF(B325="ICSE",IF(COUNTIFS(B:B,B325,C:C,C325)=XLOOKUP(C325,ICSE!A:A,ICSE!AA:AA,"ERROR",0,1),"OK","ERROR"),IF(B325="FSE",IF(COUNTIFS(B:B,B325,C:C,C325)=XLOOKUP(C325,FSE!A:A,FSE!AA:AA,"ERROR",0,1),"OK","ERROR")))</f>
        <v>OK</v>
      </c>
      <c r="H325" s="199">
        <f t="shared" ref="H325:O325" si="1627">countif($D325,"*"&amp;H$2&amp;"*")</f>
        <v>0</v>
      </c>
      <c r="I325" s="200">
        <f t="shared" si="1627"/>
        <v>0</v>
      </c>
      <c r="J325" s="200">
        <f t="shared" si="1627"/>
        <v>0</v>
      </c>
      <c r="K325" s="200">
        <f t="shared" si="1627"/>
        <v>0</v>
      </c>
      <c r="L325" s="200">
        <f t="shared" si="1627"/>
        <v>0</v>
      </c>
      <c r="M325" s="200">
        <f t="shared" si="1627"/>
        <v>0</v>
      </c>
      <c r="N325" s="200">
        <f t="shared" si="1627"/>
        <v>0</v>
      </c>
      <c r="O325" s="200">
        <f t="shared" si="1627"/>
        <v>0</v>
      </c>
      <c r="P325" s="200">
        <f t="shared" si="9"/>
        <v>1</v>
      </c>
      <c r="Q325" s="200">
        <f t="shared" ref="Q325:AC325" si="1628">countif($D325,"*"&amp;Q$2&amp;"*")</f>
        <v>0</v>
      </c>
      <c r="R325" s="200">
        <f t="shared" si="1628"/>
        <v>0</v>
      </c>
      <c r="S325" s="200">
        <f t="shared" si="1628"/>
        <v>0</v>
      </c>
      <c r="T325" s="200">
        <f t="shared" si="1628"/>
        <v>0</v>
      </c>
      <c r="U325" s="200">
        <f t="shared" si="1628"/>
        <v>0</v>
      </c>
      <c r="V325" s="200">
        <f t="shared" si="1628"/>
        <v>0</v>
      </c>
      <c r="W325" s="200">
        <f t="shared" si="1628"/>
        <v>0</v>
      </c>
      <c r="X325" s="200">
        <f t="shared" si="1628"/>
        <v>0</v>
      </c>
      <c r="Y325" s="200">
        <f t="shared" si="1628"/>
        <v>0</v>
      </c>
      <c r="Z325" s="200">
        <f t="shared" si="1628"/>
        <v>0</v>
      </c>
      <c r="AA325" s="200">
        <f t="shared" si="1628"/>
        <v>0</v>
      </c>
      <c r="AB325" s="200">
        <f t="shared" si="1628"/>
        <v>0</v>
      </c>
      <c r="AC325" s="200">
        <f t="shared" si="1628"/>
        <v>0</v>
      </c>
      <c r="AD325" s="200">
        <f t="shared" si="11"/>
        <v>0</v>
      </c>
      <c r="AE325" s="200">
        <f t="shared" ref="AE325:AG325" si="1629">countif($D325,"*"&amp;AE$2&amp;"*")</f>
        <v>0</v>
      </c>
      <c r="AF325" s="200">
        <f t="shared" si="1629"/>
        <v>0</v>
      </c>
      <c r="AG325" s="200">
        <f t="shared" si="1629"/>
        <v>0</v>
      </c>
      <c r="AH325" s="171">
        <f t="shared" si="13"/>
        <v>0</v>
      </c>
      <c r="AI325" s="200">
        <f t="shared" si="14"/>
        <v>0</v>
      </c>
      <c r="AJ325" s="200">
        <f t="shared" si="1129"/>
        <v>0</v>
      </c>
      <c r="AK325" s="201">
        <f t="shared" ref="AK325:AS325" si="1630">countif($D325,"*"&amp;AK$2&amp;"*")</f>
        <v>0</v>
      </c>
      <c r="AL325" s="201">
        <f t="shared" si="1630"/>
        <v>0</v>
      </c>
      <c r="AM325" s="201">
        <f t="shared" si="1630"/>
        <v>0</v>
      </c>
      <c r="AN325" s="201">
        <f t="shared" si="1630"/>
        <v>0</v>
      </c>
      <c r="AO325" s="201">
        <f t="shared" si="1630"/>
        <v>0</v>
      </c>
      <c r="AP325" s="201">
        <f t="shared" si="1630"/>
        <v>0</v>
      </c>
      <c r="AQ325" s="201">
        <f t="shared" si="1630"/>
        <v>0</v>
      </c>
      <c r="AR325" s="200">
        <f t="shared" si="1630"/>
        <v>0</v>
      </c>
      <c r="AS325" s="200">
        <f t="shared" si="1630"/>
        <v>0</v>
      </c>
      <c r="AT325" s="173">
        <v>0.0</v>
      </c>
      <c r="AU325" s="200">
        <f t="shared" ref="AU325:AX325" si="1631">countif($D325,"*"&amp;AU$2&amp;"*")</f>
        <v>0</v>
      </c>
      <c r="AV325" s="200">
        <f t="shared" si="1631"/>
        <v>1</v>
      </c>
      <c r="AW325" s="200">
        <f t="shared" si="1631"/>
        <v>0</v>
      </c>
      <c r="AX325" s="200">
        <f t="shared" si="1631"/>
        <v>0</v>
      </c>
      <c r="AY325" s="202">
        <v>0.0</v>
      </c>
      <c r="AZ325" s="200"/>
      <c r="BA325" s="171" t="str">
        <f t="shared" si="18"/>
        <v/>
      </c>
      <c r="BB325" s="171" t="str">
        <f t="shared" si="19"/>
        <v>Code</v>
      </c>
      <c r="BC325" s="171" t="str">
        <f t="shared" si="20"/>
        <v/>
      </c>
      <c r="BD325" s="171" t="str">
        <f t="shared" si="21"/>
        <v/>
      </c>
      <c r="BE325" s="171" t="str">
        <f t="shared" si="22"/>
        <v/>
      </c>
      <c r="BF325" s="171" t="str">
        <f t="shared" si="23"/>
        <v>Code</v>
      </c>
    </row>
    <row r="326">
      <c r="A326" s="171">
        <f t="array" ref="A326">XLOOKUP(C326,ICSE!A:A,ICSE!C:C,,2,1)</f>
        <v>2021</v>
      </c>
      <c r="B326" s="171" t="s">
        <v>5675</v>
      </c>
      <c r="C326" s="160">
        <v>562.0</v>
      </c>
      <c r="D326" s="161" t="s">
        <v>2168</v>
      </c>
      <c r="E326" s="197" t="str">
        <f t="array" ref="E326">XLOOKUP(C326,ICSE!A:A,ICSE!Z:Z,,0,1)</f>
        <v>Publicly available (1)</v>
      </c>
      <c r="F326" s="198" t="s">
        <v>20</v>
      </c>
      <c r="G326" s="163" t="str">
        <f t="array" ref="G326">IF(B326="ICSE",IF(COUNTIFS(B:B,B326,C:C,C326)=XLOOKUP(C326,ICSE!A:A,ICSE!AA:AA,"ERROR",0,1),"OK","ERROR"),IF(B326="FSE",IF(COUNTIFS(B:B,B326,C:C,C326)=XLOOKUP(C326,FSE!A:A,FSE!AA:AA,"ERROR",0,1),"OK","ERROR")))</f>
        <v>OK</v>
      </c>
      <c r="H326" s="199">
        <f t="shared" ref="H326:O326" si="1632">countif($D326,"*"&amp;H$2&amp;"*")</f>
        <v>1</v>
      </c>
      <c r="I326" s="200">
        <f t="shared" si="1632"/>
        <v>0</v>
      </c>
      <c r="J326" s="200">
        <f t="shared" si="1632"/>
        <v>0</v>
      </c>
      <c r="K326" s="200">
        <f t="shared" si="1632"/>
        <v>0</v>
      </c>
      <c r="L326" s="200">
        <f t="shared" si="1632"/>
        <v>0</v>
      </c>
      <c r="M326" s="200">
        <f t="shared" si="1632"/>
        <v>0</v>
      </c>
      <c r="N326" s="200">
        <f t="shared" si="1632"/>
        <v>0</v>
      </c>
      <c r="O326" s="200">
        <f t="shared" si="1632"/>
        <v>0</v>
      </c>
      <c r="P326" s="200">
        <f t="shared" si="9"/>
        <v>0</v>
      </c>
      <c r="Q326" s="200">
        <f t="shared" ref="Q326:AC326" si="1633">countif($D326,"*"&amp;Q$2&amp;"*")</f>
        <v>0</v>
      </c>
      <c r="R326" s="200">
        <f t="shared" si="1633"/>
        <v>0</v>
      </c>
      <c r="S326" s="200">
        <f t="shared" si="1633"/>
        <v>0</v>
      </c>
      <c r="T326" s="200">
        <f t="shared" si="1633"/>
        <v>0</v>
      </c>
      <c r="U326" s="200">
        <f t="shared" si="1633"/>
        <v>0</v>
      </c>
      <c r="V326" s="200">
        <f t="shared" si="1633"/>
        <v>0</v>
      </c>
      <c r="W326" s="200">
        <f t="shared" si="1633"/>
        <v>0</v>
      </c>
      <c r="X326" s="200">
        <f t="shared" si="1633"/>
        <v>0</v>
      </c>
      <c r="Y326" s="200">
        <f t="shared" si="1633"/>
        <v>0</v>
      </c>
      <c r="Z326" s="200">
        <f t="shared" si="1633"/>
        <v>0</v>
      </c>
      <c r="AA326" s="200">
        <f t="shared" si="1633"/>
        <v>0</v>
      </c>
      <c r="AB326" s="200">
        <f t="shared" si="1633"/>
        <v>0</v>
      </c>
      <c r="AC326" s="200">
        <f t="shared" si="1633"/>
        <v>0</v>
      </c>
      <c r="AD326" s="200">
        <f t="shared" si="11"/>
        <v>0</v>
      </c>
      <c r="AE326" s="200">
        <f t="shared" ref="AE326:AG326" si="1634">countif($D326,"*"&amp;AE$2&amp;"*")</f>
        <v>0</v>
      </c>
      <c r="AF326" s="200">
        <f t="shared" si="1634"/>
        <v>0</v>
      </c>
      <c r="AG326" s="200">
        <f t="shared" si="1634"/>
        <v>0</v>
      </c>
      <c r="AH326" s="171">
        <f t="shared" si="13"/>
        <v>0</v>
      </c>
      <c r="AI326" s="200">
        <f t="shared" si="14"/>
        <v>1</v>
      </c>
      <c r="AJ326" s="200">
        <f t="shared" si="1129"/>
        <v>0</v>
      </c>
      <c r="AK326" s="201">
        <f t="shared" ref="AK326:AS326" si="1635">countif($D326,"*"&amp;AK$2&amp;"*")</f>
        <v>0</v>
      </c>
      <c r="AL326" s="201">
        <f t="shared" si="1635"/>
        <v>0</v>
      </c>
      <c r="AM326" s="201">
        <f t="shared" si="1635"/>
        <v>0</v>
      </c>
      <c r="AN326" s="201">
        <f t="shared" si="1635"/>
        <v>0</v>
      </c>
      <c r="AO326" s="201">
        <f t="shared" si="1635"/>
        <v>0</v>
      </c>
      <c r="AP326" s="201">
        <f t="shared" si="1635"/>
        <v>0</v>
      </c>
      <c r="AQ326" s="201">
        <f t="shared" si="1635"/>
        <v>0</v>
      </c>
      <c r="AR326" s="200">
        <f t="shared" si="1635"/>
        <v>0</v>
      </c>
      <c r="AS326" s="200">
        <f t="shared" si="1635"/>
        <v>0</v>
      </c>
      <c r="AT326" s="173">
        <v>0.0</v>
      </c>
      <c r="AU326" s="200">
        <f t="shared" ref="AU326:AX326" si="1636">countif($D326,"*"&amp;AU$2&amp;"*")</f>
        <v>0</v>
      </c>
      <c r="AV326" s="200">
        <f t="shared" si="1636"/>
        <v>0</v>
      </c>
      <c r="AW326" s="200">
        <f t="shared" si="1636"/>
        <v>0</v>
      </c>
      <c r="AX326" s="200">
        <f t="shared" si="1636"/>
        <v>0</v>
      </c>
      <c r="AY326" s="204">
        <v>1.0</v>
      </c>
      <c r="AZ326" s="200"/>
      <c r="BA326" s="171" t="str">
        <f t="shared" si="18"/>
        <v>Archival</v>
      </c>
      <c r="BB326" s="171" t="str">
        <f t="shared" si="19"/>
        <v/>
      </c>
      <c r="BC326" s="171" t="str">
        <f t="shared" si="20"/>
        <v/>
      </c>
      <c r="BD326" s="171" t="str">
        <f t="shared" si="21"/>
        <v/>
      </c>
      <c r="BE326" s="171" t="str">
        <f t="shared" si="22"/>
        <v/>
      </c>
      <c r="BF326" s="171" t="str">
        <f t="shared" si="23"/>
        <v>Archival</v>
      </c>
    </row>
    <row r="327">
      <c r="A327" s="171">
        <f t="array" ref="A327">XLOOKUP(C327,ICSE!A:A,ICSE!C:C,,2,1)</f>
        <v>2021</v>
      </c>
      <c r="B327" s="171" t="s">
        <v>5675</v>
      </c>
      <c r="C327" s="160">
        <v>563.0</v>
      </c>
      <c r="D327" s="161" t="s">
        <v>2171</v>
      </c>
      <c r="E327" s="197" t="str">
        <f t="array" ref="E327">XLOOKUP(C327,ICSE!A:A,ICSE!Z:Z,,0,1)</f>
        <v>Publicly available (1)</v>
      </c>
      <c r="F327" s="198" t="s">
        <v>20</v>
      </c>
      <c r="G327" s="163" t="str">
        <f t="array" ref="G327">IF(B327="ICSE",IF(COUNTIFS(B:B,B327,C:C,C327)=XLOOKUP(C327,ICSE!A:A,ICSE!AA:AA,"ERROR",0,1),"OK","ERROR"),IF(B327="FSE",IF(COUNTIFS(B:B,B327,C:C,C327)=XLOOKUP(C327,FSE!A:A,FSE!AA:AA,"ERROR",0,1),"OK","ERROR")))</f>
        <v>OK</v>
      </c>
      <c r="H327" s="199">
        <f t="shared" ref="H327:O327" si="1637">countif($D327,"*"&amp;H$2&amp;"*")</f>
        <v>0</v>
      </c>
      <c r="I327" s="200">
        <f t="shared" si="1637"/>
        <v>0</v>
      </c>
      <c r="J327" s="200">
        <f t="shared" si="1637"/>
        <v>0</v>
      </c>
      <c r="K327" s="200">
        <f t="shared" si="1637"/>
        <v>0</v>
      </c>
      <c r="L327" s="200">
        <f t="shared" si="1637"/>
        <v>0</v>
      </c>
      <c r="M327" s="200">
        <f t="shared" si="1637"/>
        <v>0</v>
      </c>
      <c r="N327" s="200">
        <f t="shared" si="1637"/>
        <v>0</v>
      </c>
      <c r="O327" s="200">
        <f t="shared" si="1637"/>
        <v>0</v>
      </c>
      <c r="P327" s="200">
        <f t="shared" si="9"/>
        <v>0</v>
      </c>
      <c r="Q327" s="200">
        <f t="shared" ref="Q327:AC327" si="1638">countif($D327,"*"&amp;Q$2&amp;"*")</f>
        <v>0</v>
      </c>
      <c r="R327" s="200">
        <f t="shared" si="1638"/>
        <v>0</v>
      </c>
      <c r="S327" s="200">
        <f t="shared" si="1638"/>
        <v>0</v>
      </c>
      <c r="T327" s="200">
        <f t="shared" si="1638"/>
        <v>0</v>
      </c>
      <c r="U327" s="200">
        <f t="shared" si="1638"/>
        <v>0</v>
      </c>
      <c r="V327" s="200">
        <f t="shared" si="1638"/>
        <v>0</v>
      </c>
      <c r="W327" s="200">
        <f t="shared" si="1638"/>
        <v>0</v>
      </c>
      <c r="X327" s="200">
        <f t="shared" si="1638"/>
        <v>0</v>
      </c>
      <c r="Y327" s="200">
        <f t="shared" si="1638"/>
        <v>0</v>
      </c>
      <c r="Z327" s="200">
        <f t="shared" si="1638"/>
        <v>0</v>
      </c>
      <c r="AA327" s="200">
        <f t="shared" si="1638"/>
        <v>0</v>
      </c>
      <c r="AB327" s="200">
        <f t="shared" si="1638"/>
        <v>0</v>
      </c>
      <c r="AC327" s="200">
        <f t="shared" si="1638"/>
        <v>0</v>
      </c>
      <c r="AD327" s="200">
        <f t="shared" si="11"/>
        <v>0</v>
      </c>
      <c r="AE327" s="200">
        <f t="shared" ref="AE327:AG327" si="1639">countif($D327,"*"&amp;AE$2&amp;"*")</f>
        <v>0</v>
      </c>
      <c r="AF327" s="200">
        <f t="shared" si="1639"/>
        <v>0</v>
      </c>
      <c r="AG327" s="200">
        <f t="shared" si="1639"/>
        <v>0</v>
      </c>
      <c r="AH327" s="171">
        <f t="shared" si="13"/>
        <v>1</v>
      </c>
      <c r="AI327" s="200">
        <f t="shared" si="14"/>
        <v>0</v>
      </c>
      <c r="AJ327" s="200">
        <f t="shared" si="1129"/>
        <v>0</v>
      </c>
      <c r="AK327" s="201">
        <f t="shared" ref="AK327:AS327" si="1640">countif($D327,"*"&amp;AK$2&amp;"*")</f>
        <v>0</v>
      </c>
      <c r="AL327" s="201">
        <f t="shared" si="1640"/>
        <v>0</v>
      </c>
      <c r="AM327" s="201">
        <f t="shared" si="1640"/>
        <v>0</v>
      </c>
      <c r="AN327" s="201">
        <f t="shared" si="1640"/>
        <v>0</v>
      </c>
      <c r="AO327" s="201">
        <f t="shared" si="1640"/>
        <v>0</v>
      </c>
      <c r="AP327" s="201">
        <f t="shared" si="1640"/>
        <v>0</v>
      </c>
      <c r="AQ327" s="201">
        <f t="shared" si="1640"/>
        <v>0</v>
      </c>
      <c r="AR327" s="200">
        <f t="shared" si="1640"/>
        <v>0</v>
      </c>
      <c r="AS327" s="200">
        <f t="shared" si="1640"/>
        <v>0</v>
      </c>
      <c r="AT327" s="173">
        <v>0.0</v>
      </c>
      <c r="AU327" s="200">
        <f t="shared" ref="AU327:AX327" si="1641">countif($D327,"*"&amp;AU$2&amp;"*")</f>
        <v>0</v>
      </c>
      <c r="AV327" s="200">
        <f t="shared" si="1641"/>
        <v>0</v>
      </c>
      <c r="AW327" s="200">
        <f t="shared" si="1641"/>
        <v>0</v>
      </c>
      <c r="AX327" s="200">
        <f t="shared" si="1641"/>
        <v>0</v>
      </c>
      <c r="AY327" s="202">
        <v>0.0</v>
      </c>
      <c r="AZ327" s="200"/>
      <c r="BA327" s="171" t="str">
        <f t="shared" si="18"/>
        <v/>
      </c>
      <c r="BB327" s="171" t="str">
        <f t="shared" si="19"/>
        <v/>
      </c>
      <c r="BC327" s="171" t="str">
        <f t="shared" si="20"/>
        <v/>
      </c>
      <c r="BD327" s="171" t="str">
        <f t="shared" si="21"/>
        <v/>
      </c>
      <c r="BE327" s="171" t="str">
        <f t="shared" si="22"/>
        <v>Others</v>
      </c>
      <c r="BF327" s="171" t="str">
        <f t="shared" si="23"/>
        <v>Others</v>
      </c>
    </row>
    <row r="328">
      <c r="A328" s="171">
        <f t="array" ref="A328">XLOOKUP(C328,ICSE!A:A,ICSE!C:C,,2,1)</f>
        <v>2021</v>
      </c>
      <c r="B328" s="171" t="s">
        <v>5675</v>
      </c>
      <c r="C328" s="160">
        <v>564.0</v>
      </c>
      <c r="D328" s="161" t="s">
        <v>2174</v>
      </c>
      <c r="E328" s="197" t="str">
        <f t="array" ref="E328">XLOOKUP(C328,ICSE!A:A,ICSE!Z:Z,,0,1)</f>
        <v>Publicly available (1)</v>
      </c>
      <c r="F328" s="198" t="s">
        <v>20</v>
      </c>
      <c r="G328" s="163" t="str">
        <f t="array" ref="G328">IF(B328="ICSE",IF(COUNTIFS(B:B,B328,C:C,C328)=XLOOKUP(C328,ICSE!A:A,ICSE!AA:AA,"ERROR",0,1),"OK","ERROR"),IF(B328="FSE",IF(COUNTIFS(B:B,B328,C:C,C328)=XLOOKUP(C328,FSE!A:A,FSE!AA:AA,"ERROR",0,1),"OK","ERROR")))</f>
        <v>OK</v>
      </c>
      <c r="H328" s="199">
        <f t="shared" ref="H328:O328" si="1642">countif($D328,"*"&amp;H$2&amp;"*")</f>
        <v>0</v>
      </c>
      <c r="I328" s="200">
        <f t="shared" si="1642"/>
        <v>0</v>
      </c>
      <c r="J328" s="200">
        <f t="shared" si="1642"/>
        <v>0</v>
      </c>
      <c r="K328" s="200">
        <f t="shared" si="1642"/>
        <v>0</v>
      </c>
      <c r="L328" s="200">
        <f t="shared" si="1642"/>
        <v>0</v>
      </c>
      <c r="M328" s="200">
        <f t="shared" si="1642"/>
        <v>0</v>
      </c>
      <c r="N328" s="200">
        <f t="shared" si="1642"/>
        <v>0</v>
      </c>
      <c r="O328" s="200">
        <f t="shared" si="1642"/>
        <v>0</v>
      </c>
      <c r="P328" s="200">
        <f t="shared" si="9"/>
        <v>1</v>
      </c>
      <c r="Q328" s="200">
        <f t="shared" ref="Q328:AC328" si="1643">countif($D328,"*"&amp;Q$2&amp;"*")</f>
        <v>0</v>
      </c>
      <c r="R328" s="200">
        <f t="shared" si="1643"/>
        <v>0</v>
      </c>
      <c r="S328" s="200">
        <f t="shared" si="1643"/>
        <v>0</v>
      </c>
      <c r="T328" s="200">
        <f t="shared" si="1643"/>
        <v>0</v>
      </c>
      <c r="U328" s="200">
        <f t="shared" si="1643"/>
        <v>0</v>
      </c>
      <c r="V328" s="200">
        <f t="shared" si="1643"/>
        <v>0</v>
      </c>
      <c r="W328" s="200">
        <f t="shared" si="1643"/>
        <v>0</v>
      </c>
      <c r="X328" s="200">
        <f t="shared" si="1643"/>
        <v>0</v>
      </c>
      <c r="Y328" s="200">
        <f t="shared" si="1643"/>
        <v>0</v>
      </c>
      <c r="Z328" s="200">
        <f t="shared" si="1643"/>
        <v>0</v>
      </c>
      <c r="AA328" s="200">
        <f t="shared" si="1643"/>
        <v>0</v>
      </c>
      <c r="AB328" s="200">
        <f t="shared" si="1643"/>
        <v>0</v>
      </c>
      <c r="AC328" s="200">
        <f t="shared" si="1643"/>
        <v>0</v>
      </c>
      <c r="AD328" s="200">
        <f t="shared" si="11"/>
        <v>0</v>
      </c>
      <c r="AE328" s="200">
        <f t="shared" ref="AE328:AG328" si="1644">countif($D328,"*"&amp;AE$2&amp;"*")</f>
        <v>0</v>
      </c>
      <c r="AF328" s="200">
        <f t="shared" si="1644"/>
        <v>0</v>
      </c>
      <c r="AG328" s="200">
        <f t="shared" si="1644"/>
        <v>0</v>
      </c>
      <c r="AH328" s="171">
        <f t="shared" si="13"/>
        <v>0</v>
      </c>
      <c r="AI328" s="200">
        <f t="shared" si="14"/>
        <v>0</v>
      </c>
      <c r="AJ328" s="200">
        <f t="shared" si="1129"/>
        <v>0</v>
      </c>
      <c r="AK328" s="201">
        <f t="shared" ref="AK328:AS328" si="1645">countif($D328,"*"&amp;AK$2&amp;"*")</f>
        <v>0</v>
      </c>
      <c r="AL328" s="201">
        <f t="shared" si="1645"/>
        <v>0</v>
      </c>
      <c r="AM328" s="201">
        <f t="shared" si="1645"/>
        <v>0</v>
      </c>
      <c r="AN328" s="201">
        <f t="shared" si="1645"/>
        <v>0</v>
      </c>
      <c r="AO328" s="201">
        <f t="shared" si="1645"/>
        <v>0</v>
      </c>
      <c r="AP328" s="201">
        <f t="shared" si="1645"/>
        <v>0</v>
      </c>
      <c r="AQ328" s="201">
        <f t="shared" si="1645"/>
        <v>0</v>
      </c>
      <c r="AR328" s="200">
        <f t="shared" si="1645"/>
        <v>0</v>
      </c>
      <c r="AS328" s="200">
        <f t="shared" si="1645"/>
        <v>0</v>
      </c>
      <c r="AT328" s="173">
        <v>0.0</v>
      </c>
      <c r="AU328" s="200">
        <f t="shared" ref="AU328:AX328" si="1646">countif($D328,"*"&amp;AU$2&amp;"*")</f>
        <v>0</v>
      </c>
      <c r="AV328" s="200">
        <f t="shared" si="1646"/>
        <v>1</v>
      </c>
      <c r="AW328" s="200">
        <f t="shared" si="1646"/>
        <v>0</v>
      </c>
      <c r="AX328" s="200">
        <f t="shared" si="1646"/>
        <v>0</v>
      </c>
      <c r="AY328" s="202">
        <v>0.0</v>
      </c>
      <c r="AZ328" s="200"/>
      <c r="BA328" s="171" t="str">
        <f t="shared" si="18"/>
        <v/>
      </c>
      <c r="BB328" s="171" t="str">
        <f t="shared" si="19"/>
        <v>Code</v>
      </c>
      <c r="BC328" s="171" t="str">
        <f t="shared" si="20"/>
        <v/>
      </c>
      <c r="BD328" s="171" t="str">
        <f t="shared" si="21"/>
        <v/>
      </c>
      <c r="BE328" s="171" t="str">
        <f t="shared" si="22"/>
        <v/>
      </c>
      <c r="BF328" s="171" t="str">
        <f t="shared" si="23"/>
        <v>Code</v>
      </c>
    </row>
    <row r="329">
      <c r="A329" s="171">
        <f t="array" ref="A329">XLOOKUP(C329,ICSE!A:A,ICSE!C:C,,2,1)</f>
        <v>2021</v>
      </c>
      <c r="B329" s="171" t="s">
        <v>5675</v>
      </c>
      <c r="C329" s="160">
        <v>565.0</v>
      </c>
      <c r="D329" s="161" t="s">
        <v>2177</v>
      </c>
      <c r="E329" s="197" t="str">
        <f t="array" ref="E329">XLOOKUP(C329,ICSE!A:A,ICSE!Z:Z,,0,1)</f>
        <v>Publicly available (1)</v>
      </c>
      <c r="F329" s="198" t="s">
        <v>20</v>
      </c>
      <c r="G329" s="163" t="str">
        <f t="array" ref="G329">IF(B329="ICSE",IF(COUNTIFS(B:B,B329,C:C,C329)=XLOOKUP(C329,ICSE!A:A,ICSE!AA:AA,"ERROR",0,1),"OK","ERROR"),IF(B329="FSE",IF(COUNTIFS(B:B,B329,C:C,C329)=XLOOKUP(C329,FSE!A:A,FSE!AA:AA,"ERROR",0,1),"OK","ERROR")))</f>
        <v>OK</v>
      </c>
      <c r="H329" s="199">
        <f t="shared" ref="H329:O329" si="1647">countif($D329,"*"&amp;H$2&amp;"*")</f>
        <v>1</v>
      </c>
      <c r="I329" s="200">
        <f t="shared" si="1647"/>
        <v>0</v>
      </c>
      <c r="J329" s="200">
        <f t="shared" si="1647"/>
        <v>0</v>
      </c>
      <c r="K329" s="200">
        <f t="shared" si="1647"/>
        <v>0</v>
      </c>
      <c r="L329" s="200">
        <f t="shared" si="1647"/>
        <v>0</v>
      </c>
      <c r="M329" s="200">
        <f t="shared" si="1647"/>
        <v>0</v>
      </c>
      <c r="N329" s="200">
        <f t="shared" si="1647"/>
        <v>0</v>
      </c>
      <c r="O329" s="200">
        <f t="shared" si="1647"/>
        <v>0</v>
      </c>
      <c r="P329" s="200">
        <f t="shared" si="9"/>
        <v>0</v>
      </c>
      <c r="Q329" s="200">
        <f t="shared" ref="Q329:AC329" si="1648">countif($D329,"*"&amp;Q$2&amp;"*")</f>
        <v>0</v>
      </c>
      <c r="R329" s="200">
        <f t="shared" si="1648"/>
        <v>0</v>
      </c>
      <c r="S329" s="200">
        <f t="shared" si="1648"/>
        <v>0</v>
      </c>
      <c r="T329" s="200">
        <f t="shared" si="1648"/>
        <v>0</v>
      </c>
      <c r="U329" s="200">
        <f t="shared" si="1648"/>
        <v>0</v>
      </c>
      <c r="V329" s="200">
        <f t="shared" si="1648"/>
        <v>0</v>
      </c>
      <c r="W329" s="200">
        <f t="shared" si="1648"/>
        <v>0</v>
      </c>
      <c r="X329" s="200">
        <f t="shared" si="1648"/>
        <v>0</v>
      </c>
      <c r="Y329" s="200">
        <f t="shared" si="1648"/>
        <v>0</v>
      </c>
      <c r="Z329" s="200">
        <f t="shared" si="1648"/>
        <v>0</v>
      </c>
      <c r="AA329" s="200">
        <f t="shared" si="1648"/>
        <v>0</v>
      </c>
      <c r="AB329" s="200">
        <f t="shared" si="1648"/>
        <v>0</v>
      </c>
      <c r="AC329" s="200">
        <f t="shared" si="1648"/>
        <v>0</v>
      </c>
      <c r="AD329" s="200">
        <f t="shared" si="11"/>
        <v>0</v>
      </c>
      <c r="AE329" s="200">
        <f t="shared" ref="AE329:AG329" si="1649">countif($D329,"*"&amp;AE$2&amp;"*")</f>
        <v>0</v>
      </c>
      <c r="AF329" s="200">
        <f t="shared" si="1649"/>
        <v>0</v>
      </c>
      <c r="AG329" s="200">
        <f t="shared" si="1649"/>
        <v>0</v>
      </c>
      <c r="AH329" s="171">
        <f t="shared" si="13"/>
        <v>0</v>
      </c>
      <c r="AI329" s="200">
        <f t="shared" si="14"/>
        <v>1</v>
      </c>
      <c r="AJ329" s="200">
        <f t="shared" si="1129"/>
        <v>0</v>
      </c>
      <c r="AK329" s="201">
        <f t="shared" ref="AK329:AS329" si="1650">countif($D329,"*"&amp;AK$2&amp;"*")</f>
        <v>0</v>
      </c>
      <c r="AL329" s="201">
        <f t="shared" si="1650"/>
        <v>0</v>
      </c>
      <c r="AM329" s="201">
        <f t="shared" si="1650"/>
        <v>0</v>
      </c>
      <c r="AN329" s="201">
        <f t="shared" si="1650"/>
        <v>0</v>
      </c>
      <c r="AO329" s="201">
        <f t="shared" si="1650"/>
        <v>0</v>
      </c>
      <c r="AP329" s="201">
        <f t="shared" si="1650"/>
        <v>0</v>
      </c>
      <c r="AQ329" s="201">
        <f t="shared" si="1650"/>
        <v>0</v>
      </c>
      <c r="AR329" s="200">
        <f t="shared" si="1650"/>
        <v>0</v>
      </c>
      <c r="AS329" s="200">
        <f t="shared" si="1650"/>
        <v>0</v>
      </c>
      <c r="AT329" s="173">
        <v>0.0</v>
      </c>
      <c r="AU329" s="200">
        <f t="shared" ref="AU329:AX329" si="1651">countif($D329,"*"&amp;AU$2&amp;"*")</f>
        <v>0</v>
      </c>
      <c r="AV329" s="200">
        <f t="shared" si="1651"/>
        <v>0</v>
      </c>
      <c r="AW329" s="200">
        <f t="shared" si="1651"/>
        <v>0</v>
      </c>
      <c r="AX329" s="200">
        <f t="shared" si="1651"/>
        <v>1</v>
      </c>
      <c r="AY329" s="202">
        <v>0.0</v>
      </c>
      <c r="AZ329" s="200"/>
      <c r="BA329" s="171" t="str">
        <f t="shared" si="18"/>
        <v>Archival</v>
      </c>
      <c r="BB329" s="171" t="str">
        <f t="shared" si="19"/>
        <v/>
      </c>
      <c r="BC329" s="171" t="str">
        <f t="shared" si="20"/>
        <v/>
      </c>
      <c r="BD329" s="171" t="str">
        <f t="shared" si="21"/>
        <v/>
      </c>
      <c r="BE329" s="171" t="str">
        <f t="shared" si="22"/>
        <v/>
      </c>
      <c r="BF329" s="171" t="str">
        <f t="shared" si="23"/>
        <v>Archival</v>
      </c>
    </row>
    <row r="330">
      <c r="A330" s="171">
        <f t="array" ref="A330">XLOOKUP(C330,ICSE!A:A,ICSE!C:C,,2,1)</f>
        <v>2021</v>
      </c>
      <c r="B330" s="171" t="s">
        <v>5675</v>
      </c>
      <c r="C330" s="160">
        <v>566.0</v>
      </c>
      <c r="D330" s="161" t="s">
        <v>2180</v>
      </c>
      <c r="E330" s="197" t="str">
        <f t="array" ref="E330">XLOOKUP(C330,ICSE!A:A,ICSE!Z:Z,,0,1)</f>
        <v>Publicly available (1)</v>
      </c>
      <c r="F330" s="198" t="s">
        <v>20</v>
      </c>
      <c r="G330" s="163" t="str">
        <f t="array" ref="G330">IF(B330="ICSE",IF(COUNTIFS(B:B,B330,C:C,C330)=XLOOKUP(C330,ICSE!A:A,ICSE!AA:AA,"ERROR",0,1),"OK","ERROR"),IF(B330="FSE",IF(COUNTIFS(B:B,B330,C:C,C330)=XLOOKUP(C330,FSE!A:A,FSE!AA:AA,"ERROR",0,1),"OK","ERROR")))</f>
        <v>OK</v>
      </c>
      <c r="H330" s="199">
        <f t="shared" ref="H330:O330" si="1652">countif($D330,"*"&amp;H$2&amp;"*")</f>
        <v>1</v>
      </c>
      <c r="I330" s="200">
        <f t="shared" si="1652"/>
        <v>0</v>
      </c>
      <c r="J330" s="200">
        <f t="shared" si="1652"/>
        <v>0</v>
      </c>
      <c r="K330" s="200">
        <f t="shared" si="1652"/>
        <v>0</v>
      </c>
      <c r="L330" s="200">
        <f t="shared" si="1652"/>
        <v>0</v>
      </c>
      <c r="M330" s="200">
        <f t="shared" si="1652"/>
        <v>0</v>
      </c>
      <c r="N330" s="200">
        <f t="shared" si="1652"/>
        <v>0</v>
      </c>
      <c r="O330" s="200">
        <f t="shared" si="1652"/>
        <v>0</v>
      </c>
      <c r="P330" s="200">
        <f t="shared" si="9"/>
        <v>0</v>
      </c>
      <c r="Q330" s="200">
        <f t="shared" ref="Q330:AC330" si="1653">countif($D330,"*"&amp;Q$2&amp;"*")</f>
        <v>0</v>
      </c>
      <c r="R330" s="200">
        <f t="shared" si="1653"/>
        <v>0</v>
      </c>
      <c r="S330" s="200">
        <f t="shared" si="1653"/>
        <v>0</v>
      </c>
      <c r="T330" s="200">
        <f t="shared" si="1653"/>
        <v>0</v>
      </c>
      <c r="U330" s="200">
        <f t="shared" si="1653"/>
        <v>0</v>
      </c>
      <c r="V330" s="200">
        <f t="shared" si="1653"/>
        <v>0</v>
      </c>
      <c r="W330" s="200">
        <f t="shared" si="1653"/>
        <v>0</v>
      </c>
      <c r="X330" s="200">
        <f t="shared" si="1653"/>
        <v>0</v>
      </c>
      <c r="Y330" s="200">
        <f t="shared" si="1653"/>
        <v>0</v>
      </c>
      <c r="Z330" s="200">
        <f t="shared" si="1653"/>
        <v>0</v>
      </c>
      <c r="AA330" s="200">
        <f t="shared" si="1653"/>
        <v>0</v>
      </c>
      <c r="AB330" s="200">
        <f t="shared" si="1653"/>
        <v>0</v>
      </c>
      <c r="AC330" s="200">
        <f t="shared" si="1653"/>
        <v>0</v>
      </c>
      <c r="AD330" s="200">
        <f t="shared" si="11"/>
        <v>0</v>
      </c>
      <c r="AE330" s="200">
        <f t="shared" ref="AE330:AG330" si="1654">countif($D330,"*"&amp;AE$2&amp;"*")</f>
        <v>0</v>
      </c>
      <c r="AF330" s="200">
        <f t="shared" si="1654"/>
        <v>0</v>
      </c>
      <c r="AG330" s="200">
        <f t="shared" si="1654"/>
        <v>0</v>
      </c>
      <c r="AH330" s="171">
        <f t="shared" si="13"/>
        <v>0</v>
      </c>
      <c r="AI330" s="200">
        <f t="shared" si="14"/>
        <v>1</v>
      </c>
      <c r="AJ330" s="200">
        <f t="shared" si="1129"/>
        <v>0</v>
      </c>
      <c r="AK330" s="201">
        <f t="shared" ref="AK330:AS330" si="1655">countif($D330,"*"&amp;AK$2&amp;"*")</f>
        <v>0</v>
      </c>
      <c r="AL330" s="201">
        <f t="shared" si="1655"/>
        <v>0</v>
      </c>
      <c r="AM330" s="201">
        <f t="shared" si="1655"/>
        <v>0</v>
      </c>
      <c r="AN330" s="201">
        <f t="shared" si="1655"/>
        <v>0</v>
      </c>
      <c r="AO330" s="201">
        <f t="shared" si="1655"/>
        <v>0</v>
      </c>
      <c r="AP330" s="201">
        <f t="shared" si="1655"/>
        <v>0</v>
      </c>
      <c r="AQ330" s="201">
        <f t="shared" si="1655"/>
        <v>0</v>
      </c>
      <c r="AR330" s="200">
        <f t="shared" si="1655"/>
        <v>0</v>
      </c>
      <c r="AS330" s="200">
        <f t="shared" si="1655"/>
        <v>0</v>
      </c>
      <c r="AT330" s="173">
        <v>0.0</v>
      </c>
      <c r="AU330" s="200">
        <f t="shared" ref="AU330:AX330" si="1656">countif($D330,"*"&amp;AU$2&amp;"*")</f>
        <v>0</v>
      </c>
      <c r="AV330" s="200">
        <f t="shared" si="1656"/>
        <v>0</v>
      </c>
      <c r="AW330" s="200">
        <f t="shared" si="1656"/>
        <v>0</v>
      </c>
      <c r="AX330" s="200">
        <f t="shared" si="1656"/>
        <v>1</v>
      </c>
      <c r="AY330" s="202">
        <v>0.0</v>
      </c>
      <c r="AZ330" s="200"/>
      <c r="BA330" s="171" t="str">
        <f t="shared" si="18"/>
        <v>Archival</v>
      </c>
      <c r="BB330" s="171" t="str">
        <f t="shared" si="19"/>
        <v/>
      </c>
      <c r="BC330" s="171" t="str">
        <f t="shared" si="20"/>
        <v/>
      </c>
      <c r="BD330" s="171" t="str">
        <f t="shared" si="21"/>
        <v/>
      </c>
      <c r="BE330" s="171" t="str">
        <f t="shared" si="22"/>
        <v/>
      </c>
      <c r="BF330" s="171" t="str">
        <f t="shared" si="23"/>
        <v>Archival</v>
      </c>
    </row>
    <row r="331">
      <c r="A331" s="171">
        <f t="array" ref="A331">XLOOKUP(C331,ICSE!A:A,ICSE!C:C,,2,1)</f>
        <v>2021</v>
      </c>
      <c r="B331" s="171" t="s">
        <v>5675</v>
      </c>
      <c r="C331" s="160">
        <v>567.0</v>
      </c>
      <c r="D331" s="161" t="s">
        <v>5841</v>
      </c>
      <c r="E331" s="197" t="str">
        <f t="array" ref="E331">XLOOKUP(C331,ICSE!A:A,ICSE!Z:Z,,0,1)</f>
        <v>Publicly available (1)</v>
      </c>
      <c r="F331" s="198" t="s">
        <v>20</v>
      </c>
      <c r="G331" s="163" t="str">
        <f t="array" ref="G331">IF(B331="ICSE",IF(COUNTIFS(B:B,B331,C:C,C331)=XLOOKUP(C331,ICSE!A:A,ICSE!AA:AA,"ERROR",0,1),"OK","ERROR"),IF(B331="FSE",IF(COUNTIFS(B:B,B331,C:C,C331)=XLOOKUP(C331,FSE!A:A,FSE!AA:AA,"ERROR",0,1),"OK","ERROR")))</f>
        <v>OK</v>
      </c>
      <c r="H331" s="199">
        <f t="shared" ref="H331:O331" si="1657">countif($D331,"*"&amp;H$2&amp;"*")</f>
        <v>0</v>
      </c>
      <c r="I331" s="200">
        <f t="shared" si="1657"/>
        <v>1</v>
      </c>
      <c r="J331" s="200">
        <f t="shared" si="1657"/>
        <v>0</v>
      </c>
      <c r="K331" s="200">
        <f t="shared" si="1657"/>
        <v>0</v>
      </c>
      <c r="L331" s="200">
        <f t="shared" si="1657"/>
        <v>0</v>
      </c>
      <c r="M331" s="200">
        <f t="shared" si="1657"/>
        <v>0</v>
      </c>
      <c r="N331" s="200">
        <f t="shared" si="1657"/>
        <v>0</v>
      </c>
      <c r="O331" s="200">
        <f t="shared" si="1657"/>
        <v>0</v>
      </c>
      <c r="P331" s="200">
        <f t="shared" si="9"/>
        <v>0</v>
      </c>
      <c r="Q331" s="200">
        <f t="shared" ref="Q331:AC331" si="1658">countif($D331,"*"&amp;Q$2&amp;"*")</f>
        <v>0</v>
      </c>
      <c r="R331" s="200">
        <f t="shared" si="1658"/>
        <v>0</v>
      </c>
      <c r="S331" s="200">
        <f t="shared" si="1658"/>
        <v>0</v>
      </c>
      <c r="T331" s="200">
        <f t="shared" si="1658"/>
        <v>0</v>
      </c>
      <c r="U331" s="200">
        <f t="shared" si="1658"/>
        <v>0</v>
      </c>
      <c r="V331" s="200">
        <f t="shared" si="1658"/>
        <v>0</v>
      </c>
      <c r="W331" s="200">
        <f t="shared" si="1658"/>
        <v>0</v>
      </c>
      <c r="X331" s="200">
        <f t="shared" si="1658"/>
        <v>0</v>
      </c>
      <c r="Y331" s="200">
        <f t="shared" si="1658"/>
        <v>0</v>
      </c>
      <c r="Z331" s="200">
        <f t="shared" si="1658"/>
        <v>0</v>
      </c>
      <c r="AA331" s="200">
        <f t="shared" si="1658"/>
        <v>0</v>
      </c>
      <c r="AB331" s="200">
        <f t="shared" si="1658"/>
        <v>0</v>
      </c>
      <c r="AC331" s="200">
        <f t="shared" si="1658"/>
        <v>0</v>
      </c>
      <c r="AD331" s="200">
        <f t="shared" si="11"/>
        <v>0</v>
      </c>
      <c r="AE331" s="200">
        <f t="shared" ref="AE331:AG331" si="1659">countif($D331,"*"&amp;AE$2&amp;"*")</f>
        <v>0</v>
      </c>
      <c r="AF331" s="200">
        <f t="shared" si="1659"/>
        <v>0</v>
      </c>
      <c r="AG331" s="200">
        <f t="shared" si="1659"/>
        <v>0</v>
      </c>
      <c r="AH331" s="171">
        <f t="shared" si="13"/>
        <v>0</v>
      </c>
      <c r="AI331" s="200">
        <f t="shared" si="14"/>
        <v>1</v>
      </c>
      <c r="AJ331" s="200">
        <f t="shared" si="1129"/>
        <v>0</v>
      </c>
      <c r="AK331" s="201">
        <f t="shared" ref="AK331:AS331" si="1660">countif($D331,"*"&amp;AK$2&amp;"*")</f>
        <v>0</v>
      </c>
      <c r="AL331" s="201">
        <f t="shared" si="1660"/>
        <v>0</v>
      </c>
      <c r="AM331" s="201">
        <f t="shared" si="1660"/>
        <v>0</v>
      </c>
      <c r="AN331" s="201">
        <f t="shared" si="1660"/>
        <v>0</v>
      </c>
      <c r="AO331" s="201">
        <f t="shared" si="1660"/>
        <v>0</v>
      </c>
      <c r="AP331" s="201">
        <f t="shared" si="1660"/>
        <v>0</v>
      </c>
      <c r="AQ331" s="201">
        <f t="shared" si="1660"/>
        <v>0</v>
      </c>
      <c r="AR331" s="200">
        <f t="shared" si="1660"/>
        <v>0</v>
      </c>
      <c r="AS331" s="200">
        <f t="shared" si="1660"/>
        <v>0</v>
      </c>
      <c r="AT331" s="173">
        <v>0.0</v>
      </c>
      <c r="AU331" s="200">
        <f t="shared" ref="AU331:AX331" si="1661">countif($D331,"*"&amp;AU$2&amp;"*")</f>
        <v>0</v>
      </c>
      <c r="AV331" s="200">
        <f t="shared" si="1661"/>
        <v>0</v>
      </c>
      <c r="AW331" s="200">
        <f t="shared" si="1661"/>
        <v>0</v>
      </c>
      <c r="AX331" s="200">
        <f t="shared" si="1661"/>
        <v>1</v>
      </c>
      <c r="AY331" s="202">
        <v>0.0</v>
      </c>
      <c r="AZ331" s="200"/>
      <c r="BA331" s="171" t="str">
        <f t="shared" si="18"/>
        <v>Archival</v>
      </c>
      <c r="BB331" s="171" t="str">
        <f t="shared" si="19"/>
        <v/>
      </c>
      <c r="BC331" s="171" t="str">
        <f t="shared" si="20"/>
        <v/>
      </c>
      <c r="BD331" s="171" t="str">
        <f t="shared" si="21"/>
        <v/>
      </c>
      <c r="BE331" s="171" t="str">
        <f t="shared" si="22"/>
        <v/>
      </c>
      <c r="BF331" s="171" t="str">
        <f t="shared" si="23"/>
        <v>Archival</v>
      </c>
    </row>
    <row r="332">
      <c r="A332" s="171">
        <f t="array" ref="A332">XLOOKUP(C332,ICSE!A:A,ICSE!C:C,,2,1)</f>
        <v>2021</v>
      </c>
      <c r="B332" s="171" t="s">
        <v>5675</v>
      </c>
      <c r="C332" s="160">
        <v>568.0</v>
      </c>
      <c r="D332" s="161" t="s">
        <v>2186</v>
      </c>
      <c r="E332" s="197" t="str">
        <f t="array" ref="E332">XLOOKUP(C332,ICSE!A:A,ICSE!Z:Z,,0,1)</f>
        <v>Publicly available (1)</v>
      </c>
      <c r="F332" s="198" t="s">
        <v>20</v>
      </c>
      <c r="G332" s="163" t="str">
        <f t="array" ref="G332">IF(B332="ICSE",IF(COUNTIFS(B:B,B332,C:C,C332)=XLOOKUP(C332,ICSE!A:A,ICSE!AA:AA,"ERROR",0,1),"OK","ERROR"),IF(B332="FSE",IF(COUNTIFS(B:B,B332,C:C,C332)=XLOOKUP(C332,FSE!A:A,FSE!AA:AA,"ERROR",0,1),"OK","ERROR")))</f>
        <v>OK</v>
      </c>
      <c r="H332" s="199">
        <f t="shared" ref="H332:O332" si="1662">countif($D332,"*"&amp;H$2&amp;"*")</f>
        <v>0</v>
      </c>
      <c r="I332" s="200">
        <f t="shared" si="1662"/>
        <v>0</v>
      </c>
      <c r="J332" s="200">
        <f t="shared" si="1662"/>
        <v>0</v>
      </c>
      <c r="K332" s="200">
        <f t="shared" si="1662"/>
        <v>0</v>
      </c>
      <c r="L332" s="200">
        <f t="shared" si="1662"/>
        <v>0</v>
      </c>
      <c r="M332" s="200">
        <f t="shared" si="1662"/>
        <v>0</v>
      </c>
      <c r="N332" s="200">
        <f t="shared" si="1662"/>
        <v>0</v>
      </c>
      <c r="O332" s="200">
        <f t="shared" si="1662"/>
        <v>0</v>
      </c>
      <c r="P332" s="200">
        <f t="shared" si="9"/>
        <v>1</v>
      </c>
      <c r="Q332" s="200">
        <f t="shared" ref="Q332:AC332" si="1663">countif($D332,"*"&amp;Q$2&amp;"*")</f>
        <v>0</v>
      </c>
      <c r="R332" s="200">
        <f t="shared" si="1663"/>
        <v>0</v>
      </c>
      <c r="S332" s="200">
        <f t="shared" si="1663"/>
        <v>0</v>
      </c>
      <c r="T332" s="200">
        <f t="shared" si="1663"/>
        <v>0</v>
      </c>
      <c r="U332" s="200">
        <f t="shared" si="1663"/>
        <v>0</v>
      </c>
      <c r="V332" s="200">
        <f t="shared" si="1663"/>
        <v>0</v>
      </c>
      <c r="W332" s="200">
        <f t="shared" si="1663"/>
        <v>0</v>
      </c>
      <c r="X332" s="200">
        <f t="shared" si="1663"/>
        <v>0</v>
      </c>
      <c r="Y332" s="200">
        <f t="shared" si="1663"/>
        <v>0</v>
      </c>
      <c r="Z332" s="200">
        <f t="shared" si="1663"/>
        <v>0</v>
      </c>
      <c r="AA332" s="200">
        <f t="shared" si="1663"/>
        <v>0</v>
      </c>
      <c r="AB332" s="200">
        <f t="shared" si="1663"/>
        <v>0</v>
      </c>
      <c r="AC332" s="200">
        <f t="shared" si="1663"/>
        <v>0</v>
      </c>
      <c r="AD332" s="200">
        <f t="shared" si="11"/>
        <v>0</v>
      </c>
      <c r="AE332" s="200">
        <f t="shared" ref="AE332:AG332" si="1664">countif($D332,"*"&amp;AE$2&amp;"*")</f>
        <v>0</v>
      </c>
      <c r="AF332" s="200">
        <f t="shared" si="1664"/>
        <v>0</v>
      </c>
      <c r="AG332" s="200">
        <f t="shared" si="1664"/>
        <v>0</v>
      </c>
      <c r="AH332" s="171">
        <f t="shared" si="13"/>
        <v>0</v>
      </c>
      <c r="AI332" s="200">
        <f t="shared" si="14"/>
        <v>0</v>
      </c>
      <c r="AJ332" s="200">
        <f t="shared" si="1129"/>
        <v>0</v>
      </c>
      <c r="AK332" s="201">
        <f t="shared" ref="AK332:AS332" si="1665">countif($D332,"*"&amp;AK$2&amp;"*")</f>
        <v>0</v>
      </c>
      <c r="AL332" s="201">
        <f t="shared" si="1665"/>
        <v>0</v>
      </c>
      <c r="AM332" s="201">
        <f t="shared" si="1665"/>
        <v>0</v>
      </c>
      <c r="AN332" s="201">
        <f t="shared" si="1665"/>
        <v>0</v>
      </c>
      <c r="AO332" s="201">
        <f t="shared" si="1665"/>
        <v>0</v>
      </c>
      <c r="AP332" s="201">
        <f t="shared" si="1665"/>
        <v>0</v>
      </c>
      <c r="AQ332" s="201">
        <f t="shared" si="1665"/>
        <v>0</v>
      </c>
      <c r="AR332" s="200">
        <f t="shared" si="1665"/>
        <v>0</v>
      </c>
      <c r="AS332" s="200">
        <f t="shared" si="1665"/>
        <v>0</v>
      </c>
      <c r="AT332" s="173">
        <v>0.0</v>
      </c>
      <c r="AU332" s="200">
        <f t="shared" ref="AU332:AX332" si="1666">countif($D332,"*"&amp;AU$2&amp;"*")</f>
        <v>0</v>
      </c>
      <c r="AV332" s="200">
        <f t="shared" si="1666"/>
        <v>1</v>
      </c>
      <c r="AW332" s="200">
        <f t="shared" si="1666"/>
        <v>0</v>
      </c>
      <c r="AX332" s="200">
        <f t="shared" si="1666"/>
        <v>0</v>
      </c>
      <c r="AY332" s="202">
        <v>0.0</v>
      </c>
      <c r="AZ332" s="200"/>
      <c r="BA332" s="171" t="str">
        <f t="shared" si="18"/>
        <v/>
      </c>
      <c r="BB332" s="171" t="str">
        <f t="shared" si="19"/>
        <v>Code</v>
      </c>
      <c r="BC332" s="171" t="str">
        <f t="shared" si="20"/>
        <v/>
      </c>
      <c r="BD332" s="171" t="str">
        <f t="shared" si="21"/>
        <v/>
      </c>
      <c r="BE332" s="171" t="str">
        <f t="shared" si="22"/>
        <v/>
      </c>
      <c r="BF332" s="171" t="str">
        <f t="shared" si="23"/>
        <v>Code</v>
      </c>
    </row>
    <row r="333">
      <c r="A333" s="171">
        <f t="array" ref="A333">XLOOKUP(C333,ICSE!A:A,ICSE!C:C,,2,1)</f>
        <v>2021</v>
      </c>
      <c r="B333" s="171" t="s">
        <v>5675</v>
      </c>
      <c r="C333" s="160">
        <v>569.0</v>
      </c>
      <c r="D333" s="161" t="s">
        <v>2188</v>
      </c>
      <c r="E333" s="197" t="str">
        <f t="array" ref="E333">XLOOKUP(C333,ICSE!A:A,ICSE!Z:Z,,0,1)</f>
        <v>Publicly available (1)</v>
      </c>
      <c r="F333" s="198" t="s">
        <v>20</v>
      </c>
      <c r="G333" s="163" t="str">
        <f t="array" ref="G333">IF(B333="ICSE",IF(COUNTIFS(B:B,B333,C:C,C333)=XLOOKUP(C333,ICSE!A:A,ICSE!AA:AA,"ERROR",0,1),"OK","ERROR"),IF(B333="FSE",IF(COUNTIFS(B:B,B333,C:C,C333)=XLOOKUP(C333,FSE!A:A,FSE!AA:AA,"ERROR",0,1),"OK","ERROR")))</f>
        <v>OK</v>
      </c>
      <c r="H333" s="199">
        <f t="shared" ref="H333:O333" si="1667">countif($D333,"*"&amp;H$2&amp;"*")</f>
        <v>0</v>
      </c>
      <c r="I333" s="200">
        <f t="shared" si="1667"/>
        <v>0</v>
      </c>
      <c r="J333" s="200">
        <f t="shared" si="1667"/>
        <v>0</v>
      </c>
      <c r="K333" s="200">
        <f t="shared" si="1667"/>
        <v>0</v>
      </c>
      <c r="L333" s="200">
        <f t="shared" si="1667"/>
        <v>0</v>
      </c>
      <c r="M333" s="200">
        <f t="shared" si="1667"/>
        <v>0</v>
      </c>
      <c r="N333" s="200">
        <f t="shared" si="1667"/>
        <v>0</v>
      </c>
      <c r="O333" s="200">
        <f t="shared" si="1667"/>
        <v>0</v>
      </c>
      <c r="P333" s="200">
        <f t="shared" si="9"/>
        <v>1</v>
      </c>
      <c r="Q333" s="200">
        <f t="shared" ref="Q333:AC333" si="1668">countif($D333,"*"&amp;Q$2&amp;"*")</f>
        <v>0</v>
      </c>
      <c r="R333" s="200">
        <f t="shared" si="1668"/>
        <v>0</v>
      </c>
      <c r="S333" s="200">
        <f t="shared" si="1668"/>
        <v>0</v>
      </c>
      <c r="T333" s="200">
        <f t="shared" si="1668"/>
        <v>0</v>
      </c>
      <c r="U333" s="200">
        <f t="shared" si="1668"/>
        <v>0</v>
      </c>
      <c r="V333" s="200">
        <f t="shared" si="1668"/>
        <v>0</v>
      </c>
      <c r="W333" s="200">
        <f t="shared" si="1668"/>
        <v>0</v>
      </c>
      <c r="X333" s="200">
        <f t="shared" si="1668"/>
        <v>0</v>
      </c>
      <c r="Y333" s="200">
        <f t="shared" si="1668"/>
        <v>0</v>
      </c>
      <c r="Z333" s="200">
        <f t="shared" si="1668"/>
        <v>0</v>
      </c>
      <c r="AA333" s="200">
        <f t="shared" si="1668"/>
        <v>0</v>
      </c>
      <c r="AB333" s="200">
        <f t="shared" si="1668"/>
        <v>0</v>
      </c>
      <c r="AC333" s="200">
        <f t="shared" si="1668"/>
        <v>0</v>
      </c>
      <c r="AD333" s="200">
        <f t="shared" si="11"/>
        <v>0</v>
      </c>
      <c r="AE333" s="200">
        <f t="shared" ref="AE333:AG333" si="1669">countif($D333,"*"&amp;AE$2&amp;"*")</f>
        <v>0</v>
      </c>
      <c r="AF333" s="200">
        <f t="shared" si="1669"/>
        <v>0</v>
      </c>
      <c r="AG333" s="200">
        <f t="shared" si="1669"/>
        <v>0</v>
      </c>
      <c r="AH333" s="171">
        <f t="shared" si="13"/>
        <v>0</v>
      </c>
      <c r="AI333" s="200">
        <f t="shared" si="14"/>
        <v>0</v>
      </c>
      <c r="AJ333" s="200">
        <f t="shared" si="1129"/>
        <v>0</v>
      </c>
      <c r="AK333" s="201">
        <f t="shared" ref="AK333:AS333" si="1670">countif($D333,"*"&amp;AK$2&amp;"*")</f>
        <v>0</v>
      </c>
      <c r="AL333" s="201">
        <f t="shared" si="1670"/>
        <v>0</v>
      </c>
      <c r="AM333" s="201">
        <f t="shared" si="1670"/>
        <v>0</v>
      </c>
      <c r="AN333" s="201">
        <f t="shared" si="1670"/>
        <v>0</v>
      </c>
      <c r="AO333" s="201">
        <f t="shared" si="1670"/>
        <v>0</v>
      </c>
      <c r="AP333" s="201">
        <f t="shared" si="1670"/>
        <v>0</v>
      </c>
      <c r="AQ333" s="201">
        <f t="shared" si="1670"/>
        <v>0</v>
      </c>
      <c r="AR333" s="200">
        <f t="shared" si="1670"/>
        <v>0</v>
      </c>
      <c r="AS333" s="200">
        <f t="shared" si="1670"/>
        <v>0</v>
      </c>
      <c r="AT333" s="173">
        <v>0.0</v>
      </c>
      <c r="AU333" s="200">
        <f t="shared" ref="AU333:AX333" si="1671">countif($D333,"*"&amp;AU$2&amp;"*")</f>
        <v>0</v>
      </c>
      <c r="AV333" s="200">
        <f t="shared" si="1671"/>
        <v>1</v>
      </c>
      <c r="AW333" s="200">
        <f t="shared" si="1671"/>
        <v>0</v>
      </c>
      <c r="AX333" s="200">
        <f t="shared" si="1671"/>
        <v>0</v>
      </c>
      <c r="AY333" s="202">
        <v>0.0</v>
      </c>
      <c r="AZ333" s="200"/>
      <c r="BA333" s="171" t="str">
        <f t="shared" si="18"/>
        <v/>
      </c>
      <c r="BB333" s="171" t="str">
        <f t="shared" si="19"/>
        <v>Code</v>
      </c>
      <c r="BC333" s="171" t="str">
        <f t="shared" si="20"/>
        <v/>
      </c>
      <c r="BD333" s="171" t="str">
        <f t="shared" si="21"/>
        <v/>
      </c>
      <c r="BE333" s="171" t="str">
        <f t="shared" si="22"/>
        <v/>
      </c>
      <c r="BF333" s="171" t="str">
        <f t="shared" si="23"/>
        <v>Code</v>
      </c>
    </row>
    <row r="334">
      <c r="A334" s="171">
        <f t="array" ref="A334">XLOOKUP(C334,ICSE!A:A,ICSE!C:C,,2,1)</f>
        <v>2021</v>
      </c>
      <c r="B334" s="171" t="s">
        <v>5675</v>
      </c>
      <c r="C334" s="160">
        <v>571.0</v>
      </c>
      <c r="D334" s="161" t="s">
        <v>5842</v>
      </c>
      <c r="E334" s="197" t="str">
        <f t="array" ref="E334">XLOOKUP(C334,ICSE!A:A,ICSE!Z:Z,,0,1)</f>
        <v>Publicly available (1)</v>
      </c>
      <c r="F334" s="198" t="s">
        <v>20</v>
      </c>
      <c r="G334" s="163" t="str">
        <f t="array" ref="G334">IF(B334="ICSE",IF(COUNTIFS(B:B,B334,C:C,C334)=XLOOKUP(C334,ICSE!A:A,ICSE!AA:AA,"ERROR",0,1),"OK","ERROR"),IF(B334="FSE",IF(COUNTIFS(B:B,B334,C:C,C334)=XLOOKUP(C334,FSE!A:A,FSE!AA:AA,"ERROR",0,1),"OK","ERROR")))</f>
        <v>OK</v>
      </c>
      <c r="H334" s="199">
        <f t="shared" ref="H334:O334" si="1672">countif($D334,"*"&amp;H$2&amp;"*")</f>
        <v>0</v>
      </c>
      <c r="I334" s="200">
        <f t="shared" si="1672"/>
        <v>0</v>
      </c>
      <c r="J334" s="200">
        <f t="shared" si="1672"/>
        <v>0</v>
      </c>
      <c r="K334" s="200">
        <f t="shared" si="1672"/>
        <v>0</v>
      </c>
      <c r="L334" s="200">
        <f t="shared" si="1672"/>
        <v>0</v>
      </c>
      <c r="M334" s="200">
        <f t="shared" si="1672"/>
        <v>0</v>
      </c>
      <c r="N334" s="200">
        <f t="shared" si="1672"/>
        <v>0</v>
      </c>
      <c r="O334" s="200">
        <f t="shared" si="1672"/>
        <v>0</v>
      </c>
      <c r="P334" s="200">
        <f t="shared" si="9"/>
        <v>1</v>
      </c>
      <c r="Q334" s="200">
        <f t="shared" ref="Q334:AC334" si="1673">countif($D334,"*"&amp;Q$2&amp;"*")</f>
        <v>0</v>
      </c>
      <c r="R334" s="200">
        <f t="shared" si="1673"/>
        <v>0</v>
      </c>
      <c r="S334" s="200">
        <f t="shared" si="1673"/>
        <v>0</v>
      </c>
      <c r="T334" s="200">
        <f t="shared" si="1673"/>
        <v>0</v>
      </c>
      <c r="U334" s="200">
        <f t="shared" si="1673"/>
        <v>0</v>
      </c>
      <c r="V334" s="200">
        <f t="shared" si="1673"/>
        <v>0</v>
      </c>
      <c r="W334" s="200">
        <f t="shared" si="1673"/>
        <v>0</v>
      </c>
      <c r="X334" s="200">
        <f t="shared" si="1673"/>
        <v>0</v>
      </c>
      <c r="Y334" s="200">
        <f t="shared" si="1673"/>
        <v>0</v>
      </c>
      <c r="Z334" s="200">
        <f t="shared" si="1673"/>
        <v>0</v>
      </c>
      <c r="AA334" s="200">
        <f t="shared" si="1673"/>
        <v>0</v>
      </c>
      <c r="AB334" s="200">
        <f t="shared" si="1673"/>
        <v>0</v>
      </c>
      <c r="AC334" s="200">
        <f t="shared" si="1673"/>
        <v>0</v>
      </c>
      <c r="AD334" s="200">
        <f t="shared" si="11"/>
        <v>0</v>
      </c>
      <c r="AE334" s="200">
        <f t="shared" ref="AE334:AG334" si="1674">countif($D334,"*"&amp;AE$2&amp;"*")</f>
        <v>0</v>
      </c>
      <c r="AF334" s="200">
        <f t="shared" si="1674"/>
        <v>0</v>
      </c>
      <c r="AG334" s="200">
        <f t="shared" si="1674"/>
        <v>0</v>
      </c>
      <c r="AH334" s="171">
        <f t="shared" si="13"/>
        <v>0</v>
      </c>
      <c r="AI334" s="200">
        <f t="shared" si="14"/>
        <v>0</v>
      </c>
      <c r="AJ334" s="200">
        <f t="shared" si="1129"/>
        <v>0</v>
      </c>
      <c r="AK334" s="201">
        <f t="shared" ref="AK334:AS334" si="1675">countif($D334,"*"&amp;AK$2&amp;"*")</f>
        <v>0</v>
      </c>
      <c r="AL334" s="201">
        <f t="shared" si="1675"/>
        <v>0</v>
      </c>
      <c r="AM334" s="201">
        <f t="shared" si="1675"/>
        <v>0</v>
      </c>
      <c r="AN334" s="201">
        <f t="shared" si="1675"/>
        <v>0</v>
      </c>
      <c r="AO334" s="201">
        <f t="shared" si="1675"/>
        <v>0</v>
      </c>
      <c r="AP334" s="201">
        <f t="shared" si="1675"/>
        <v>0</v>
      </c>
      <c r="AQ334" s="201">
        <f t="shared" si="1675"/>
        <v>0</v>
      </c>
      <c r="AR334" s="200">
        <f t="shared" si="1675"/>
        <v>0</v>
      </c>
      <c r="AS334" s="200">
        <f t="shared" si="1675"/>
        <v>0</v>
      </c>
      <c r="AT334" s="173">
        <v>0.0</v>
      </c>
      <c r="AU334" s="200">
        <f t="shared" ref="AU334:AX334" si="1676">countif($D334,"*"&amp;AU$2&amp;"*")</f>
        <v>0</v>
      </c>
      <c r="AV334" s="200">
        <f t="shared" si="1676"/>
        <v>1</v>
      </c>
      <c r="AW334" s="200">
        <f t="shared" si="1676"/>
        <v>0</v>
      </c>
      <c r="AX334" s="200">
        <f t="shared" si="1676"/>
        <v>0</v>
      </c>
      <c r="AY334" s="202">
        <v>0.0</v>
      </c>
      <c r="AZ334" s="200"/>
      <c r="BA334" s="171" t="str">
        <f t="shared" si="18"/>
        <v/>
      </c>
      <c r="BB334" s="171" t="str">
        <f t="shared" si="19"/>
        <v>Code</v>
      </c>
      <c r="BC334" s="171" t="str">
        <f t="shared" si="20"/>
        <v/>
      </c>
      <c r="BD334" s="171" t="str">
        <f t="shared" si="21"/>
        <v/>
      </c>
      <c r="BE334" s="171" t="str">
        <f t="shared" si="22"/>
        <v/>
      </c>
      <c r="BF334" s="171" t="str">
        <f t="shared" si="23"/>
        <v>Code</v>
      </c>
    </row>
    <row r="335">
      <c r="A335" s="171">
        <f t="array" ref="A335">XLOOKUP(C335,ICSE!A:A,ICSE!C:C,,2,1)</f>
        <v>2021</v>
      </c>
      <c r="B335" s="171" t="s">
        <v>5675</v>
      </c>
      <c r="C335" s="160">
        <v>572.0</v>
      </c>
      <c r="D335" s="161" t="s">
        <v>2194</v>
      </c>
      <c r="E335" s="197" t="str">
        <f t="array" ref="E335">XLOOKUP(C335,ICSE!A:A,ICSE!Z:Z,,0,1)</f>
        <v>Publicly available (1)</v>
      </c>
      <c r="F335" s="198" t="s">
        <v>20</v>
      </c>
      <c r="G335" s="163" t="str">
        <f t="array" ref="G335">IF(B335="ICSE",IF(COUNTIFS(B:B,B335,C:C,C335)=XLOOKUP(C335,ICSE!A:A,ICSE!AA:AA,"ERROR",0,1),"OK","ERROR"),IF(B335="FSE",IF(COUNTIFS(B:B,B335,C:C,C335)=XLOOKUP(C335,FSE!A:A,FSE!AA:AA,"ERROR",0,1),"OK","ERROR")))</f>
        <v>OK</v>
      </c>
      <c r="H335" s="199">
        <f t="shared" ref="H335:O335" si="1677">countif($D335,"*"&amp;H$2&amp;"*")</f>
        <v>0</v>
      </c>
      <c r="I335" s="200">
        <f t="shared" si="1677"/>
        <v>0</v>
      </c>
      <c r="J335" s="200">
        <f t="shared" si="1677"/>
        <v>0</v>
      </c>
      <c r="K335" s="200">
        <f t="shared" si="1677"/>
        <v>0</v>
      </c>
      <c r="L335" s="200">
        <f t="shared" si="1677"/>
        <v>0</v>
      </c>
      <c r="M335" s="200">
        <f t="shared" si="1677"/>
        <v>0</v>
      </c>
      <c r="N335" s="200">
        <f t="shared" si="1677"/>
        <v>0</v>
      </c>
      <c r="O335" s="200">
        <f t="shared" si="1677"/>
        <v>0</v>
      </c>
      <c r="P335" s="200">
        <f t="shared" si="9"/>
        <v>1</v>
      </c>
      <c r="Q335" s="200">
        <f t="shared" ref="Q335:AC335" si="1678">countif($D335,"*"&amp;Q$2&amp;"*")</f>
        <v>0</v>
      </c>
      <c r="R335" s="200">
        <f t="shared" si="1678"/>
        <v>0</v>
      </c>
      <c r="S335" s="200">
        <f t="shared" si="1678"/>
        <v>0</v>
      </c>
      <c r="T335" s="200">
        <f t="shared" si="1678"/>
        <v>0</v>
      </c>
      <c r="U335" s="200">
        <f t="shared" si="1678"/>
        <v>0</v>
      </c>
      <c r="V335" s="200">
        <f t="shared" si="1678"/>
        <v>0</v>
      </c>
      <c r="W335" s="200">
        <f t="shared" si="1678"/>
        <v>0</v>
      </c>
      <c r="X335" s="200">
        <f t="shared" si="1678"/>
        <v>0</v>
      </c>
      <c r="Y335" s="200">
        <f t="shared" si="1678"/>
        <v>0</v>
      </c>
      <c r="Z335" s="200">
        <f t="shared" si="1678"/>
        <v>0</v>
      </c>
      <c r="AA335" s="200">
        <f t="shared" si="1678"/>
        <v>0</v>
      </c>
      <c r="AB335" s="200">
        <f t="shared" si="1678"/>
        <v>0</v>
      </c>
      <c r="AC335" s="200">
        <f t="shared" si="1678"/>
        <v>0</v>
      </c>
      <c r="AD335" s="200">
        <f t="shared" si="11"/>
        <v>0</v>
      </c>
      <c r="AE335" s="200">
        <f t="shared" ref="AE335:AG335" si="1679">countif($D335,"*"&amp;AE$2&amp;"*")</f>
        <v>0</v>
      </c>
      <c r="AF335" s="200">
        <f t="shared" si="1679"/>
        <v>0</v>
      </c>
      <c r="AG335" s="200">
        <f t="shared" si="1679"/>
        <v>0</v>
      </c>
      <c r="AH335" s="171">
        <f t="shared" si="13"/>
        <v>0</v>
      </c>
      <c r="AI335" s="200">
        <f t="shared" si="14"/>
        <v>0</v>
      </c>
      <c r="AJ335" s="200">
        <f t="shared" si="1129"/>
        <v>0</v>
      </c>
      <c r="AK335" s="201">
        <f t="shared" ref="AK335:AS335" si="1680">countif($D335,"*"&amp;AK$2&amp;"*")</f>
        <v>0</v>
      </c>
      <c r="AL335" s="201">
        <f t="shared" si="1680"/>
        <v>0</v>
      </c>
      <c r="AM335" s="201">
        <f t="shared" si="1680"/>
        <v>0</v>
      </c>
      <c r="AN335" s="201">
        <f t="shared" si="1680"/>
        <v>0</v>
      </c>
      <c r="AO335" s="201">
        <f t="shared" si="1680"/>
        <v>0</v>
      </c>
      <c r="AP335" s="201">
        <f t="shared" si="1680"/>
        <v>0</v>
      </c>
      <c r="AQ335" s="201">
        <f t="shared" si="1680"/>
        <v>0</v>
      </c>
      <c r="AR335" s="200">
        <f t="shared" si="1680"/>
        <v>0</v>
      </c>
      <c r="AS335" s="200">
        <f t="shared" si="1680"/>
        <v>0</v>
      </c>
      <c r="AT335" s="173">
        <v>0.0</v>
      </c>
      <c r="AU335" s="200">
        <f t="shared" ref="AU335:AX335" si="1681">countif($D335,"*"&amp;AU$2&amp;"*")</f>
        <v>0</v>
      </c>
      <c r="AV335" s="200">
        <f t="shared" si="1681"/>
        <v>1</v>
      </c>
      <c r="AW335" s="200">
        <f t="shared" si="1681"/>
        <v>0</v>
      </c>
      <c r="AX335" s="200">
        <f t="shared" si="1681"/>
        <v>0</v>
      </c>
      <c r="AY335" s="202">
        <v>0.0</v>
      </c>
      <c r="AZ335" s="200"/>
      <c r="BA335" s="171" t="str">
        <f t="shared" si="18"/>
        <v/>
      </c>
      <c r="BB335" s="171" t="str">
        <f t="shared" si="19"/>
        <v>Code</v>
      </c>
      <c r="BC335" s="171" t="str">
        <f t="shared" si="20"/>
        <v/>
      </c>
      <c r="BD335" s="171" t="str">
        <f t="shared" si="21"/>
        <v/>
      </c>
      <c r="BE335" s="171" t="str">
        <f t="shared" si="22"/>
        <v/>
      </c>
      <c r="BF335" s="171" t="str">
        <f t="shared" si="23"/>
        <v>Code</v>
      </c>
    </row>
    <row r="336">
      <c r="A336" s="171">
        <f t="array" ref="A336">XLOOKUP(C336,ICSE!A:A,ICSE!C:C,,2,1)</f>
        <v>2021</v>
      </c>
      <c r="B336" s="171" t="s">
        <v>5675</v>
      </c>
      <c r="C336" s="160">
        <v>573.0</v>
      </c>
      <c r="D336" s="161" t="s">
        <v>5843</v>
      </c>
      <c r="E336" s="197" t="str">
        <f t="array" ref="E336">XLOOKUP(C336,ICSE!A:A,ICSE!Z:Z,,0,1)</f>
        <v>Publicly available (2)</v>
      </c>
      <c r="F336" s="198" t="s">
        <v>20</v>
      </c>
      <c r="G336" s="163" t="str">
        <f t="array" ref="G336">IF(B336="ICSE",IF(COUNTIFS(B:B,B336,C:C,C336)=XLOOKUP(C336,ICSE!A:A,ICSE!AA:AA,"ERROR",0,1),"OK","ERROR"),IF(B336="FSE",IF(COUNTIFS(B:B,B336,C:C,C336)=XLOOKUP(C336,FSE!A:A,FSE!AA:AA,"ERROR",0,1),"OK","ERROR")))</f>
        <v>OK</v>
      </c>
      <c r="H336" s="199">
        <f t="shared" ref="H336:O336" si="1682">countif($D336,"*"&amp;H$2&amp;"*")</f>
        <v>0</v>
      </c>
      <c r="I336" s="200">
        <f t="shared" si="1682"/>
        <v>0</v>
      </c>
      <c r="J336" s="200">
        <f t="shared" si="1682"/>
        <v>0</v>
      </c>
      <c r="K336" s="200">
        <f t="shared" si="1682"/>
        <v>0</v>
      </c>
      <c r="L336" s="200">
        <f t="shared" si="1682"/>
        <v>0</v>
      </c>
      <c r="M336" s="200">
        <f t="shared" si="1682"/>
        <v>0</v>
      </c>
      <c r="N336" s="200">
        <f t="shared" si="1682"/>
        <v>0</v>
      </c>
      <c r="O336" s="200">
        <f t="shared" si="1682"/>
        <v>0</v>
      </c>
      <c r="P336" s="200">
        <f t="shared" si="9"/>
        <v>0</v>
      </c>
      <c r="Q336" s="200">
        <f t="shared" ref="Q336:AC336" si="1683">countif($D336,"*"&amp;Q$2&amp;"*")</f>
        <v>0</v>
      </c>
      <c r="R336" s="200">
        <f t="shared" si="1683"/>
        <v>0</v>
      </c>
      <c r="S336" s="200">
        <f t="shared" si="1683"/>
        <v>0</v>
      </c>
      <c r="T336" s="200">
        <f t="shared" si="1683"/>
        <v>0</v>
      </c>
      <c r="U336" s="200">
        <f t="shared" si="1683"/>
        <v>0</v>
      </c>
      <c r="V336" s="200">
        <f t="shared" si="1683"/>
        <v>0</v>
      </c>
      <c r="W336" s="200">
        <f t="shared" si="1683"/>
        <v>0</v>
      </c>
      <c r="X336" s="200">
        <f t="shared" si="1683"/>
        <v>0</v>
      </c>
      <c r="Y336" s="200">
        <f t="shared" si="1683"/>
        <v>0</v>
      </c>
      <c r="Z336" s="200">
        <f t="shared" si="1683"/>
        <v>0</v>
      </c>
      <c r="AA336" s="200">
        <f t="shared" si="1683"/>
        <v>0</v>
      </c>
      <c r="AB336" s="200">
        <f t="shared" si="1683"/>
        <v>0</v>
      </c>
      <c r="AC336" s="200">
        <f t="shared" si="1683"/>
        <v>0</v>
      </c>
      <c r="AD336" s="200">
        <f t="shared" si="11"/>
        <v>1</v>
      </c>
      <c r="AE336" s="200">
        <f t="shared" ref="AE336:AG336" si="1684">countif($D336,"*"&amp;AE$2&amp;"*")</f>
        <v>0</v>
      </c>
      <c r="AF336" s="200">
        <f t="shared" si="1684"/>
        <v>0</v>
      </c>
      <c r="AG336" s="200">
        <f t="shared" si="1684"/>
        <v>0</v>
      </c>
      <c r="AH336" s="171">
        <f t="shared" si="13"/>
        <v>0</v>
      </c>
      <c r="AI336" s="200">
        <f t="shared" si="14"/>
        <v>0</v>
      </c>
      <c r="AJ336" s="200">
        <f t="shared" si="1129"/>
        <v>0</v>
      </c>
      <c r="AK336" s="201">
        <f t="shared" ref="AK336:AS336" si="1685">countif($D336,"*"&amp;AK$2&amp;"*")</f>
        <v>0</v>
      </c>
      <c r="AL336" s="201">
        <f t="shared" si="1685"/>
        <v>0</v>
      </c>
      <c r="AM336" s="201">
        <f t="shared" si="1685"/>
        <v>0</v>
      </c>
      <c r="AN336" s="201">
        <f t="shared" si="1685"/>
        <v>0</v>
      </c>
      <c r="AO336" s="201">
        <f t="shared" si="1685"/>
        <v>0</v>
      </c>
      <c r="AP336" s="201">
        <f t="shared" si="1685"/>
        <v>0</v>
      </c>
      <c r="AQ336" s="201">
        <f t="shared" si="1685"/>
        <v>0</v>
      </c>
      <c r="AR336" s="200">
        <f t="shared" si="1685"/>
        <v>0</v>
      </c>
      <c r="AS336" s="200">
        <f t="shared" si="1685"/>
        <v>0</v>
      </c>
      <c r="AT336" s="173">
        <v>1.0</v>
      </c>
      <c r="AU336" s="200">
        <f t="shared" ref="AU336:AX336" si="1686">countif($D336,"*"&amp;AU$2&amp;"*")</f>
        <v>0</v>
      </c>
      <c r="AV336" s="200">
        <f t="shared" si="1686"/>
        <v>0</v>
      </c>
      <c r="AW336" s="200">
        <f t="shared" si="1686"/>
        <v>0</v>
      </c>
      <c r="AX336" s="200">
        <f t="shared" si="1686"/>
        <v>0</v>
      </c>
      <c r="AY336" s="202">
        <v>0.0</v>
      </c>
      <c r="AZ336" s="200"/>
      <c r="BA336" s="171" t="str">
        <f t="shared" si="18"/>
        <v/>
      </c>
      <c r="BB336" s="171" t="str">
        <f t="shared" si="19"/>
        <v/>
      </c>
      <c r="BC336" s="171" t="str">
        <f t="shared" si="20"/>
        <v/>
      </c>
      <c r="BD336" s="171" t="str">
        <f t="shared" si="21"/>
        <v>Institutional</v>
      </c>
      <c r="BE336" s="171" t="str">
        <f t="shared" si="22"/>
        <v/>
      </c>
      <c r="BF336" s="171" t="str">
        <f t="shared" si="23"/>
        <v>Institutional</v>
      </c>
    </row>
    <row r="337">
      <c r="A337" s="171">
        <f t="array" ref="A337">XLOOKUP(C337,ICSE!A:A,ICSE!C:C,,2,1)</f>
        <v>2021</v>
      </c>
      <c r="B337" s="171" t="s">
        <v>5675</v>
      </c>
      <c r="C337" s="160">
        <v>573.0</v>
      </c>
      <c r="D337" s="161" t="s">
        <v>5844</v>
      </c>
      <c r="E337" s="197" t="str">
        <f t="array" ref="E337">XLOOKUP(C337,ICSE!A:A,ICSE!Z:Z,,0,1)</f>
        <v>Publicly available (2)</v>
      </c>
      <c r="F337" s="198" t="s">
        <v>20</v>
      </c>
      <c r="G337" s="163" t="str">
        <f t="array" ref="G337">IF(B337="ICSE",IF(COUNTIFS(B:B,B337,C:C,C337)=XLOOKUP(C337,ICSE!A:A,ICSE!AA:AA,"ERROR",0,1),"OK","ERROR"),IF(B337="FSE",IF(COUNTIFS(B:B,B337,C:C,C337)=XLOOKUP(C337,FSE!A:A,FSE!AA:AA,"ERROR",0,1),"OK","ERROR")))</f>
        <v>OK</v>
      </c>
      <c r="H337" s="199">
        <f t="shared" ref="H337:O337" si="1687">countif($D337,"*"&amp;H$2&amp;"*")</f>
        <v>0</v>
      </c>
      <c r="I337" s="200">
        <f t="shared" si="1687"/>
        <v>0</v>
      </c>
      <c r="J337" s="200">
        <f t="shared" si="1687"/>
        <v>0</v>
      </c>
      <c r="K337" s="200">
        <f t="shared" si="1687"/>
        <v>0</v>
      </c>
      <c r="L337" s="200">
        <f t="shared" si="1687"/>
        <v>0</v>
      </c>
      <c r="M337" s="200">
        <f t="shared" si="1687"/>
        <v>0</v>
      </c>
      <c r="N337" s="200">
        <f t="shared" si="1687"/>
        <v>0</v>
      </c>
      <c r="O337" s="200">
        <f t="shared" si="1687"/>
        <v>0</v>
      </c>
      <c r="P337" s="200">
        <f t="shared" si="9"/>
        <v>1</v>
      </c>
      <c r="Q337" s="200">
        <f t="shared" ref="Q337:AC337" si="1688">countif($D337,"*"&amp;Q$2&amp;"*")</f>
        <v>0</v>
      </c>
      <c r="R337" s="200">
        <f t="shared" si="1688"/>
        <v>0</v>
      </c>
      <c r="S337" s="200">
        <f t="shared" si="1688"/>
        <v>0</v>
      </c>
      <c r="T337" s="200">
        <f t="shared" si="1688"/>
        <v>0</v>
      </c>
      <c r="U337" s="200">
        <f t="shared" si="1688"/>
        <v>0</v>
      </c>
      <c r="V337" s="200">
        <f t="shared" si="1688"/>
        <v>0</v>
      </c>
      <c r="W337" s="200">
        <f t="shared" si="1688"/>
        <v>0</v>
      </c>
      <c r="X337" s="200">
        <f t="shared" si="1688"/>
        <v>0</v>
      </c>
      <c r="Y337" s="200">
        <f t="shared" si="1688"/>
        <v>0</v>
      </c>
      <c r="Z337" s="200">
        <f t="shared" si="1688"/>
        <v>0</v>
      </c>
      <c r="AA337" s="200">
        <f t="shared" si="1688"/>
        <v>0</v>
      </c>
      <c r="AB337" s="200">
        <f t="shared" si="1688"/>
        <v>0</v>
      </c>
      <c r="AC337" s="200">
        <f t="shared" si="1688"/>
        <v>0</v>
      </c>
      <c r="AD337" s="200">
        <f t="shared" si="11"/>
        <v>0</v>
      </c>
      <c r="AE337" s="200">
        <f t="shared" ref="AE337:AG337" si="1689">countif($D337,"*"&amp;AE$2&amp;"*")</f>
        <v>0</v>
      </c>
      <c r="AF337" s="200">
        <f t="shared" si="1689"/>
        <v>0</v>
      </c>
      <c r="AG337" s="200">
        <f t="shared" si="1689"/>
        <v>0</v>
      </c>
      <c r="AH337" s="171">
        <f t="shared" si="13"/>
        <v>0</v>
      </c>
      <c r="AI337" s="200">
        <f t="shared" si="14"/>
        <v>0</v>
      </c>
      <c r="AJ337" s="200">
        <f t="shared" si="1129"/>
        <v>0</v>
      </c>
      <c r="AK337" s="201">
        <f t="shared" ref="AK337:AS337" si="1690">countif($D337,"*"&amp;AK$2&amp;"*")</f>
        <v>0</v>
      </c>
      <c r="AL337" s="201">
        <f t="shared" si="1690"/>
        <v>0</v>
      </c>
      <c r="AM337" s="201">
        <f t="shared" si="1690"/>
        <v>0</v>
      </c>
      <c r="AN337" s="201">
        <f t="shared" si="1690"/>
        <v>0</v>
      </c>
      <c r="AO337" s="201">
        <f t="shared" si="1690"/>
        <v>0</v>
      </c>
      <c r="AP337" s="201">
        <f t="shared" si="1690"/>
        <v>0</v>
      </c>
      <c r="AQ337" s="201">
        <f t="shared" si="1690"/>
        <v>0</v>
      </c>
      <c r="AR337" s="200">
        <f t="shared" si="1690"/>
        <v>0</v>
      </c>
      <c r="AS337" s="200">
        <f t="shared" si="1690"/>
        <v>0</v>
      </c>
      <c r="AT337" s="173">
        <v>0.0</v>
      </c>
      <c r="AU337" s="200">
        <f t="shared" ref="AU337:AX337" si="1691">countif($D337,"*"&amp;AU$2&amp;"*")</f>
        <v>0</v>
      </c>
      <c r="AV337" s="200">
        <f t="shared" si="1691"/>
        <v>1</v>
      </c>
      <c r="AW337" s="200">
        <f t="shared" si="1691"/>
        <v>0</v>
      </c>
      <c r="AX337" s="200">
        <f t="shared" si="1691"/>
        <v>0</v>
      </c>
      <c r="AY337" s="202">
        <v>0.0</v>
      </c>
      <c r="AZ337" s="200"/>
      <c r="BA337" s="171" t="str">
        <f t="shared" si="18"/>
        <v/>
      </c>
      <c r="BB337" s="171" t="str">
        <f t="shared" si="19"/>
        <v>Code</v>
      </c>
      <c r="BC337" s="171" t="str">
        <f t="shared" si="20"/>
        <v/>
      </c>
      <c r="BD337" s="171" t="str">
        <f t="shared" si="21"/>
        <v/>
      </c>
      <c r="BE337" s="171" t="str">
        <f t="shared" si="22"/>
        <v/>
      </c>
      <c r="BF337" s="171" t="str">
        <f t="shared" si="23"/>
        <v>Code</v>
      </c>
    </row>
    <row r="338">
      <c r="A338" s="171">
        <f t="array" ref="A338">XLOOKUP(C338,ICSE!A:A,ICSE!C:C,,2,1)</f>
        <v>2021</v>
      </c>
      <c r="B338" s="171" t="s">
        <v>5675</v>
      </c>
      <c r="C338" s="160">
        <v>574.0</v>
      </c>
      <c r="D338" s="161" t="s">
        <v>5845</v>
      </c>
      <c r="E338" s="197" t="str">
        <f t="array" ref="E338">XLOOKUP(C338,ICSE!A:A,ICSE!Z:Z,,0,1)</f>
        <v>Not available (1) - Broken link.</v>
      </c>
      <c r="F338" s="198" t="s">
        <v>21</v>
      </c>
      <c r="G338" s="163" t="str">
        <f t="array" ref="G338">IF(B338="ICSE",IF(COUNTIFS(B:B,B338,C:C,C338)=XLOOKUP(C338,ICSE!A:A,ICSE!AA:AA,"ERROR",0,1),"OK","ERROR"),IF(B338="FSE",IF(COUNTIFS(B:B,B338,C:C,C338)=XLOOKUP(C338,FSE!A:A,FSE!AA:AA,"ERROR",0,1),"OK","ERROR")))</f>
        <v>OK</v>
      </c>
      <c r="H338" s="199">
        <f t="shared" ref="H338:O338" si="1692">countif($D338,"*"&amp;H$2&amp;"*")</f>
        <v>0</v>
      </c>
      <c r="I338" s="200">
        <f t="shared" si="1692"/>
        <v>0</v>
      </c>
      <c r="J338" s="200">
        <f t="shared" si="1692"/>
        <v>0</v>
      </c>
      <c r="K338" s="200">
        <f t="shared" si="1692"/>
        <v>0</v>
      </c>
      <c r="L338" s="200">
        <f t="shared" si="1692"/>
        <v>0</v>
      </c>
      <c r="M338" s="200">
        <f t="shared" si="1692"/>
        <v>0</v>
      </c>
      <c r="N338" s="200">
        <f t="shared" si="1692"/>
        <v>0</v>
      </c>
      <c r="O338" s="200">
        <f t="shared" si="1692"/>
        <v>0</v>
      </c>
      <c r="P338" s="200">
        <f t="shared" si="9"/>
        <v>0</v>
      </c>
      <c r="Q338" s="200">
        <f t="shared" ref="Q338:AC338" si="1693">countif($D338,"*"&amp;Q$2&amp;"*")</f>
        <v>0</v>
      </c>
      <c r="R338" s="200">
        <f t="shared" si="1693"/>
        <v>0</v>
      </c>
      <c r="S338" s="200">
        <f t="shared" si="1693"/>
        <v>0</v>
      </c>
      <c r="T338" s="200">
        <f t="shared" si="1693"/>
        <v>0</v>
      </c>
      <c r="U338" s="200">
        <f t="shared" si="1693"/>
        <v>0</v>
      </c>
      <c r="V338" s="200">
        <f t="shared" si="1693"/>
        <v>1</v>
      </c>
      <c r="W338" s="200">
        <f t="shared" si="1693"/>
        <v>0</v>
      </c>
      <c r="X338" s="200">
        <f t="shared" si="1693"/>
        <v>0</v>
      </c>
      <c r="Y338" s="200">
        <f t="shared" si="1693"/>
        <v>0</v>
      </c>
      <c r="Z338" s="200">
        <f t="shared" si="1693"/>
        <v>0</v>
      </c>
      <c r="AA338" s="200">
        <f t="shared" si="1693"/>
        <v>0</v>
      </c>
      <c r="AB338" s="200">
        <f t="shared" si="1693"/>
        <v>0</v>
      </c>
      <c r="AC338" s="200">
        <f t="shared" si="1693"/>
        <v>0</v>
      </c>
      <c r="AD338" s="200">
        <f t="shared" si="11"/>
        <v>0</v>
      </c>
      <c r="AE338" s="200">
        <f t="shared" ref="AE338:AG338" si="1694">countif($D338,"*"&amp;AE$2&amp;"*")</f>
        <v>0</v>
      </c>
      <c r="AF338" s="200">
        <f t="shared" si="1694"/>
        <v>0</v>
      </c>
      <c r="AG338" s="200">
        <f t="shared" si="1694"/>
        <v>0</v>
      </c>
      <c r="AH338" s="171">
        <f t="shared" si="13"/>
        <v>0</v>
      </c>
      <c r="AI338" s="200">
        <f t="shared" si="14"/>
        <v>0</v>
      </c>
      <c r="AJ338" s="200">
        <f t="shared" si="1129"/>
        <v>1</v>
      </c>
      <c r="AK338" s="201">
        <f t="shared" ref="AK338:AS338" si="1695">countif($D338,"*"&amp;AK$2&amp;"*")</f>
        <v>0</v>
      </c>
      <c r="AL338" s="201">
        <f t="shared" si="1695"/>
        <v>0</v>
      </c>
      <c r="AM338" s="201">
        <f t="shared" si="1695"/>
        <v>1</v>
      </c>
      <c r="AN338" s="201">
        <f t="shared" si="1695"/>
        <v>0</v>
      </c>
      <c r="AO338" s="201">
        <f t="shared" si="1695"/>
        <v>0</v>
      </c>
      <c r="AP338" s="201">
        <f t="shared" si="1695"/>
        <v>0</v>
      </c>
      <c r="AQ338" s="201">
        <f t="shared" si="1695"/>
        <v>0</v>
      </c>
      <c r="AR338" s="200">
        <f t="shared" si="1695"/>
        <v>0</v>
      </c>
      <c r="AS338" s="200">
        <f t="shared" si="1695"/>
        <v>1</v>
      </c>
      <c r="AT338" s="173">
        <v>0.0</v>
      </c>
      <c r="AU338" s="200">
        <f t="shared" ref="AU338:AX338" si="1696">countif($D338,"*"&amp;AU$2&amp;"*")</f>
        <v>0</v>
      </c>
      <c r="AV338" s="200">
        <f t="shared" si="1696"/>
        <v>0</v>
      </c>
      <c r="AW338" s="200">
        <f t="shared" si="1696"/>
        <v>0</v>
      </c>
      <c r="AX338" s="200">
        <f t="shared" si="1696"/>
        <v>0</v>
      </c>
      <c r="AY338" s="202">
        <v>0.0</v>
      </c>
      <c r="AZ338" s="200"/>
      <c r="BA338" s="171" t="str">
        <f t="shared" si="18"/>
        <v/>
      </c>
      <c r="BB338" s="171" t="str">
        <f t="shared" si="19"/>
        <v/>
      </c>
      <c r="BC338" s="171" t="str">
        <f t="shared" si="20"/>
        <v>General-purpose</v>
      </c>
      <c r="BD338" s="171" t="str">
        <f t="shared" si="21"/>
        <v/>
      </c>
      <c r="BE338" s="171" t="str">
        <f t="shared" si="22"/>
        <v/>
      </c>
      <c r="BF338" s="171" t="str">
        <f t="shared" si="23"/>
        <v>General-purpose</v>
      </c>
    </row>
    <row r="339">
      <c r="A339" s="171">
        <f t="array" ref="A339">XLOOKUP(C339,ICSE!A:A,ICSE!C:C,,2,1)</f>
        <v>2021</v>
      </c>
      <c r="B339" s="171" t="s">
        <v>5675</v>
      </c>
      <c r="C339" s="160">
        <v>575.0</v>
      </c>
      <c r="D339" s="161" t="s">
        <v>5846</v>
      </c>
      <c r="E339" s="197" t="str">
        <f t="array" ref="E339">XLOOKUP(C339,ICSE!A:A,ICSE!Z:Z,,0,1)</f>
        <v>Publicly available (2)</v>
      </c>
      <c r="F339" s="198" t="s">
        <v>20</v>
      </c>
      <c r="G339" s="163" t="str">
        <f t="array" ref="G339">IF(B339="ICSE",IF(COUNTIFS(B:B,B339,C:C,C339)=XLOOKUP(C339,ICSE!A:A,ICSE!AA:AA,"ERROR",0,1),"OK","ERROR"),IF(B339="FSE",IF(COUNTIFS(B:B,B339,C:C,C339)=XLOOKUP(C339,FSE!A:A,FSE!AA:AA,"ERROR",0,1),"OK","ERROR")))</f>
        <v>OK</v>
      </c>
      <c r="H339" s="199">
        <f t="shared" ref="H339:O339" si="1697">countif($D339,"*"&amp;H$2&amp;"*")</f>
        <v>0</v>
      </c>
      <c r="I339" s="200">
        <f t="shared" si="1697"/>
        <v>0</v>
      </c>
      <c r="J339" s="200">
        <f t="shared" si="1697"/>
        <v>0</v>
      </c>
      <c r="K339" s="200">
        <f t="shared" si="1697"/>
        <v>0</v>
      </c>
      <c r="L339" s="200">
        <f t="shared" si="1697"/>
        <v>0</v>
      </c>
      <c r="M339" s="200">
        <f t="shared" si="1697"/>
        <v>0</v>
      </c>
      <c r="N339" s="200">
        <f t="shared" si="1697"/>
        <v>0</v>
      </c>
      <c r="O339" s="200">
        <f t="shared" si="1697"/>
        <v>0</v>
      </c>
      <c r="P339" s="200">
        <f t="shared" si="9"/>
        <v>1</v>
      </c>
      <c r="Q339" s="200">
        <f t="shared" ref="Q339:AC339" si="1698">countif($D339,"*"&amp;Q$2&amp;"*")</f>
        <v>0</v>
      </c>
      <c r="R339" s="200">
        <f t="shared" si="1698"/>
        <v>0</v>
      </c>
      <c r="S339" s="200">
        <f t="shared" si="1698"/>
        <v>0</v>
      </c>
      <c r="T339" s="200">
        <f t="shared" si="1698"/>
        <v>0</v>
      </c>
      <c r="U339" s="200">
        <f t="shared" si="1698"/>
        <v>0</v>
      </c>
      <c r="V339" s="200">
        <f t="shared" si="1698"/>
        <v>0</v>
      </c>
      <c r="W339" s="200">
        <f t="shared" si="1698"/>
        <v>0</v>
      </c>
      <c r="X339" s="200">
        <f t="shared" si="1698"/>
        <v>0</v>
      </c>
      <c r="Y339" s="200">
        <f t="shared" si="1698"/>
        <v>0</v>
      </c>
      <c r="Z339" s="200">
        <f t="shared" si="1698"/>
        <v>0</v>
      </c>
      <c r="AA339" s="200">
        <f t="shared" si="1698"/>
        <v>0</v>
      </c>
      <c r="AB339" s="200">
        <f t="shared" si="1698"/>
        <v>0</v>
      </c>
      <c r="AC339" s="200">
        <f t="shared" si="1698"/>
        <v>0</v>
      </c>
      <c r="AD339" s="200">
        <f t="shared" si="11"/>
        <v>0</v>
      </c>
      <c r="AE339" s="200">
        <f t="shared" ref="AE339:AG339" si="1699">countif($D339,"*"&amp;AE$2&amp;"*")</f>
        <v>0</v>
      </c>
      <c r="AF339" s="200">
        <f t="shared" si="1699"/>
        <v>0</v>
      </c>
      <c r="AG339" s="200">
        <f t="shared" si="1699"/>
        <v>0</v>
      </c>
      <c r="AH339" s="171">
        <f t="shared" si="13"/>
        <v>0</v>
      </c>
      <c r="AI339" s="200">
        <f t="shared" si="14"/>
        <v>0</v>
      </c>
      <c r="AJ339" s="200">
        <f t="shared" si="1129"/>
        <v>0</v>
      </c>
      <c r="AK339" s="201">
        <f t="shared" ref="AK339:AS339" si="1700">countif($D339,"*"&amp;AK$2&amp;"*")</f>
        <v>0</v>
      </c>
      <c r="AL339" s="201">
        <f t="shared" si="1700"/>
        <v>0</v>
      </c>
      <c r="AM339" s="201">
        <f t="shared" si="1700"/>
        <v>0</v>
      </c>
      <c r="AN339" s="201">
        <f t="shared" si="1700"/>
        <v>0</v>
      </c>
      <c r="AO339" s="201">
        <f t="shared" si="1700"/>
        <v>0</v>
      </c>
      <c r="AP339" s="201">
        <f t="shared" si="1700"/>
        <v>0</v>
      </c>
      <c r="AQ339" s="201">
        <f t="shared" si="1700"/>
        <v>0</v>
      </c>
      <c r="AR339" s="200">
        <f t="shared" si="1700"/>
        <v>0</v>
      </c>
      <c r="AS339" s="200">
        <f t="shared" si="1700"/>
        <v>0</v>
      </c>
      <c r="AT339" s="173">
        <v>0.0</v>
      </c>
      <c r="AU339" s="200">
        <f t="shared" ref="AU339:AX339" si="1701">countif($D339,"*"&amp;AU$2&amp;"*")</f>
        <v>0</v>
      </c>
      <c r="AV339" s="200">
        <f t="shared" si="1701"/>
        <v>1</v>
      </c>
      <c r="AW339" s="200">
        <f t="shared" si="1701"/>
        <v>0</v>
      </c>
      <c r="AX339" s="200">
        <f t="shared" si="1701"/>
        <v>0</v>
      </c>
      <c r="AY339" s="202">
        <v>0.0</v>
      </c>
      <c r="AZ339" s="200"/>
      <c r="BA339" s="171" t="str">
        <f t="shared" si="18"/>
        <v/>
      </c>
      <c r="BB339" s="171" t="str">
        <f t="shared" si="19"/>
        <v>Code</v>
      </c>
      <c r="BC339" s="171" t="str">
        <f t="shared" si="20"/>
        <v/>
      </c>
      <c r="BD339" s="171" t="str">
        <f t="shared" si="21"/>
        <v/>
      </c>
      <c r="BE339" s="171" t="str">
        <f t="shared" si="22"/>
        <v/>
      </c>
      <c r="BF339" s="171" t="str">
        <f t="shared" si="23"/>
        <v>Code</v>
      </c>
    </row>
    <row r="340">
      <c r="A340" s="171">
        <f t="array" ref="A340">XLOOKUP(C340,ICSE!A:A,ICSE!C:C,,2,1)</f>
        <v>2021</v>
      </c>
      <c r="B340" s="171" t="s">
        <v>5675</v>
      </c>
      <c r="C340" s="160">
        <v>575.0</v>
      </c>
      <c r="D340" s="161" t="s">
        <v>5847</v>
      </c>
      <c r="E340" s="197" t="str">
        <f t="array" ref="E340">XLOOKUP(C340,ICSE!A:A,ICSE!Z:Z,,0,1)</f>
        <v>Publicly available (2)</v>
      </c>
      <c r="F340" s="198" t="s">
        <v>20</v>
      </c>
      <c r="G340" s="163" t="str">
        <f t="array" ref="G340">IF(B340="ICSE",IF(COUNTIFS(B:B,B340,C:C,C340)=XLOOKUP(C340,ICSE!A:A,ICSE!AA:AA,"ERROR",0,1),"OK","ERROR"),IF(B340="FSE",IF(COUNTIFS(B:B,B340,C:C,C340)=XLOOKUP(C340,FSE!A:A,FSE!AA:AA,"ERROR",0,1),"OK","ERROR")))</f>
        <v>OK</v>
      </c>
      <c r="H340" s="199">
        <f t="shared" ref="H340:O340" si="1702">countif($D340,"*"&amp;H$2&amp;"*")</f>
        <v>1</v>
      </c>
      <c r="I340" s="200">
        <f t="shared" si="1702"/>
        <v>0</v>
      </c>
      <c r="J340" s="200">
        <f t="shared" si="1702"/>
        <v>0</v>
      </c>
      <c r="K340" s="200">
        <f t="shared" si="1702"/>
        <v>0</v>
      </c>
      <c r="L340" s="200">
        <f t="shared" si="1702"/>
        <v>0</v>
      </c>
      <c r="M340" s="200">
        <f t="shared" si="1702"/>
        <v>0</v>
      </c>
      <c r="N340" s="200">
        <f t="shared" si="1702"/>
        <v>0</v>
      </c>
      <c r="O340" s="200">
        <f t="shared" si="1702"/>
        <v>0</v>
      </c>
      <c r="P340" s="200">
        <f t="shared" si="9"/>
        <v>0</v>
      </c>
      <c r="Q340" s="200">
        <f t="shared" ref="Q340:AC340" si="1703">countif($D340,"*"&amp;Q$2&amp;"*")</f>
        <v>0</v>
      </c>
      <c r="R340" s="200">
        <f t="shared" si="1703"/>
        <v>0</v>
      </c>
      <c r="S340" s="200">
        <f t="shared" si="1703"/>
        <v>0</v>
      </c>
      <c r="T340" s="200">
        <f t="shared" si="1703"/>
        <v>0</v>
      </c>
      <c r="U340" s="200">
        <f t="shared" si="1703"/>
        <v>0</v>
      </c>
      <c r="V340" s="200">
        <f t="shared" si="1703"/>
        <v>0</v>
      </c>
      <c r="W340" s="200">
        <f t="shared" si="1703"/>
        <v>0</v>
      </c>
      <c r="X340" s="200">
        <f t="shared" si="1703"/>
        <v>0</v>
      </c>
      <c r="Y340" s="200">
        <f t="shared" si="1703"/>
        <v>0</v>
      </c>
      <c r="Z340" s="200">
        <f t="shared" si="1703"/>
        <v>0</v>
      </c>
      <c r="AA340" s="200">
        <f t="shared" si="1703"/>
        <v>0</v>
      </c>
      <c r="AB340" s="200">
        <f t="shared" si="1703"/>
        <v>0</v>
      </c>
      <c r="AC340" s="200">
        <f t="shared" si="1703"/>
        <v>0</v>
      </c>
      <c r="AD340" s="200">
        <f t="shared" si="11"/>
        <v>0</v>
      </c>
      <c r="AE340" s="200">
        <f t="shared" ref="AE340:AG340" si="1704">countif($D340,"*"&amp;AE$2&amp;"*")</f>
        <v>0</v>
      </c>
      <c r="AF340" s="200">
        <f t="shared" si="1704"/>
        <v>0</v>
      </c>
      <c r="AG340" s="200">
        <f t="shared" si="1704"/>
        <v>0</v>
      </c>
      <c r="AH340" s="171">
        <f t="shared" si="13"/>
        <v>0</v>
      </c>
      <c r="AI340" s="200">
        <f t="shared" si="14"/>
        <v>1</v>
      </c>
      <c r="AJ340" s="200">
        <f t="shared" si="1129"/>
        <v>0</v>
      </c>
      <c r="AK340" s="201">
        <f t="shared" ref="AK340:AS340" si="1705">countif($D340,"*"&amp;AK$2&amp;"*")</f>
        <v>0</v>
      </c>
      <c r="AL340" s="201">
        <f t="shared" si="1705"/>
        <v>0</v>
      </c>
      <c r="AM340" s="201">
        <f t="shared" si="1705"/>
        <v>0</v>
      </c>
      <c r="AN340" s="201">
        <f t="shared" si="1705"/>
        <v>0</v>
      </c>
      <c r="AO340" s="201">
        <f t="shared" si="1705"/>
        <v>0</v>
      </c>
      <c r="AP340" s="201">
        <f t="shared" si="1705"/>
        <v>0</v>
      </c>
      <c r="AQ340" s="201">
        <f t="shared" si="1705"/>
        <v>0</v>
      </c>
      <c r="AR340" s="200">
        <f t="shared" si="1705"/>
        <v>0</v>
      </c>
      <c r="AS340" s="200">
        <f t="shared" si="1705"/>
        <v>0</v>
      </c>
      <c r="AT340" s="173">
        <v>0.0</v>
      </c>
      <c r="AU340" s="200">
        <f t="shared" ref="AU340:AX340" si="1706">countif($D340,"*"&amp;AU$2&amp;"*")</f>
        <v>0</v>
      </c>
      <c r="AV340" s="200">
        <f t="shared" si="1706"/>
        <v>0</v>
      </c>
      <c r="AW340" s="200">
        <f t="shared" si="1706"/>
        <v>0</v>
      </c>
      <c r="AX340" s="200">
        <f t="shared" si="1706"/>
        <v>1</v>
      </c>
      <c r="AY340" s="202">
        <v>0.0</v>
      </c>
      <c r="AZ340" s="200"/>
      <c r="BA340" s="171" t="str">
        <f t="shared" si="18"/>
        <v>Archival</v>
      </c>
      <c r="BB340" s="171" t="str">
        <f t="shared" si="19"/>
        <v/>
      </c>
      <c r="BC340" s="171" t="str">
        <f t="shared" si="20"/>
        <v/>
      </c>
      <c r="BD340" s="171" t="str">
        <f t="shared" si="21"/>
        <v/>
      </c>
      <c r="BE340" s="171" t="str">
        <f t="shared" si="22"/>
        <v/>
      </c>
      <c r="BF340" s="171" t="str">
        <f t="shared" si="23"/>
        <v>Archival</v>
      </c>
    </row>
    <row r="341">
      <c r="A341" s="171">
        <f t="array" ref="A341">XLOOKUP(C341,ICSE!A:A,ICSE!C:C,,2,1)</f>
        <v>2021</v>
      </c>
      <c r="B341" s="171" t="s">
        <v>5675</v>
      </c>
      <c r="C341" s="160">
        <v>577.0</v>
      </c>
      <c r="D341" s="161" t="s">
        <v>2210</v>
      </c>
      <c r="E341" s="197" t="str">
        <f t="array" ref="E341">XLOOKUP(C341,ICSE!A:A,ICSE!Z:Z,,0,1)</f>
        <v>Not available (1) - Broken link.</v>
      </c>
      <c r="F341" s="198" t="s">
        <v>21</v>
      </c>
      <c r="G341" s="163" t="str">
        <f t="array" ref="G341">IF(B341="ICSE",IF(COUNTIFS(B:B,B341,C:C,C341)=XLOOKUP(C341,ICSE!A:A,ICSE!AA:AA,"ERROR",0,1),"OK","ERROR"),IF(B341="FSE",IF(COUNTIFS(B:B,B341,C:C,C341)=XLOOKUP(C341,FSE!A:A,FSE!AA:AA,"ERROR",0,1),"OK","ERROR")))</f>
        <v>OK</v>
      </c>
      <c r="H341" s="199">
        <f t="shared" ref="H341:O341" si="1707">countif($D341,"*"&amp;H$2&amp;"*")</f>
        <v>0</v>
      </c>
      <c r="I341" s="200">
        <f t="shared" si="1707"/>
        <v>0</v>
      </c>
      <c r="J341" s="200">
        <f t="shared" si="1707"/>
        <v>0</v>
      </c>
      <c r="K341" s="200">
        <f t="shared" si="1707"/>
        <v>0</v>
      </c>
      <c r="L341" s="200">
        <f t="shared" si="1707"/>
        <v>0</v>
      </c>
      <c r="M341" s="200">
        <f t="shared" si="1707"/>
        <v>0</v>
      </c>
      <c r="N341" s="200">
        <f t="shared" si="1707"/>
        <v>0</v>
      </c>
      <c r="O341" s="200">
        <f t="shared" si="1707"/>
        <v>0</v>
      </c>
      <c r="P341" s="200">
        <f t="shared" si="9"/>
        <v>0</v>
      </c>
      <c r="Q341" s="200">
        <f t="shared" ref="Q341:AC341" si="1708">countif($D341,"*"&amp;Q$2&amp;"*")</f>
        <v>0</v>
      </c>
      <c r="R341" s="200">
        <f t="shared" si="1708"/>
        <v>0</v>
      </c>
      <c r="S341" s="200">
        <f t="shared" si="1708"/>
        <v>0</v>
      </c>
      <c r="T341" s="200">
        <f t="shared" si="1708"/>
        <v>0</v>
      </c>
      <c r="U341" s="200">
        <f t="shared" si="1708"/>
        <v>0</v>
      </c>
      <c r="V341" s="200">
        <f t="shared" si="1708"/>
        <v>0</v>
      </c>
      <c r="W341" s="200">
        <f t="shared" si="1708"/>
        <v>0</v>
      </c>
      <c r="X341" s="200">
        <f t="shared" si="1708"/>
        <v>0</v>
      </c>
      <c r="Y341" s="200">
        <f t="shared" si="1708"/>
        <v>0</v>
      </c>
      <c r="Z341" s="200">
        <f t="shared" si="1708"/>
        <v>0</v>
      </c>
      <c r="AA341" s="200">
        <f t="shared" si="1708"/>
        <v>1</v>
      </c>
      <c r="AB341" s="200">
        <f t="shared" si="1708"/>
        <v>0</v>
      </c>
      <c r="AC341" s="200">
        <f t="shared" si="1708"/>
        <v>0</v>
      </c>
      <c r="AD341" s="200">
        <f t="shared" si="11"/>
        <v>0</v>
      </c>
      <c r="AE341" s="200">
        <f t="shared" ref="AE341:AG341" si="1709">countif($D341,"*"&amp;AE$2&amp;"*")</f>
        <v>0</v>
      </c>
      <c r="AF341" s="200">
        <f t="shared" si="1709"/>
        <v>0</v>
      </c>
      <c r="AG341" s="200">
        <f t="shared" si="1709"/>
        <v>0</v>
      </c>
      <c r="AH341" s="171">
        <f t="shared" si="13"/>
        <v>0</v>
      </c>
      <c r="AI341" s="200">
        <f t="shared" si="14"/>
        <v>0</v>
      </c>
      <c r="AJ341" s="200">
        <f t="shared" si="1129"/>
        <v>0</v>
      </c>
      <c r="AK341" s="201">
        <f t="shared" ref="AK341:AS341" si="1710">countif($D341,"*"&amp;AK$2&amp;"*")</f>
        <v>0</v>
      </c>
      <c r="AL341" s="201">
        <f t="shared" si="1710"/>
        <v>0</v>
      </c>
      <c r="AM341" s="201">
        <f t="shared" si="1710"/>
        <v>0</v>
      </c>
      <c r="AN341" s="201">
        <f t="shared" si="1710"/>
        <v>0</v>
      </c>
      <c r="AO341" s="201">
        <f t="shared" si="1710"/>
        <v>0</v>
      </c>
      <c r="AP341" s="201">
        <f t="shared" si="1710"/>
        <v>0</v>
      </c>
      <c r="AQ341" s="201">
        <f t="shared" si="1710"/>
        <v>0</v>
      </c>
      <c r="AR341" s="200">
        <f t="shared" si="1710"/>
        <v>0</v>
      </c>
      <c r="AS341" s="200">
        <f t="shared" si="1710"/>
        <v>0</v>
      </c>
      <c r="AT341" s="173">
        <v>0.0</v>
      </c>
      <c r="AU341" s="200">
        <f t="shared" ref="AU341:AX341" si="1711">countif($D341,"*"&amp;AU$2&amp;"*")</f>
        <v>0</v>
      </c>
      <c r="AV341" s="200">
        <f t="shared" si="1711"/>
        <v>0</v>
      </c>
      <c r="AW341" s="200">
        <f t="shared" si="1711"/>
        <v>0</v>
      </c>
      <c r="AX341" s="200">
        <f t="shared" si="1711"/>
        <v>0</v>
      </c>
      <c r="AY341" s="202">
        <v>0.0</v>
      </c>
      <c r="AZ341" s="200"/>
      <c r="BA341" s="171" t="str">
        <f t="shared" si="18"/>
        <v/>
      </c>
      <c r="BB341" s="171" t="str">
        <f t="shared" si="19"/>
        <v/>
      </c>
      <c r="BC341" s="171" t="str">
        <f t="shared" si="20"/>
        <v>General-purpose</v>
      </c>
      <c r="BD341" s="171" t="str">
        <f t="shared" si="21"/>
        <v/>
      </c>
      <c r="BE341" s="171" t="str">
        <f t="shared" si="22"/>
        <v/>
      </c>
      <c r="BF341" s="171" t="str">
        <f t="shared" si="23"/>
        <v>General-purpose</v>
      </c>
    </row>
    <row r="342">
      <c r="A342" s="171">
        <f t="array" ref="A342">XLOOKUP(C342,ICSE!A:A,ICSE!C:C,,2,1)</f>
        <v>2021</v>
      </c>
      <c r="B342" s="171" t="s">
        <v>5675</v>
      </c>
      <c r="C342" s="160">
        <v>578.0</v>
      </c>
      <c r="D342" s="161" t="s">
        <v>5848</v>
      </c>
      <c r="E342" s="197" t="str">
        <f t="array" ref="E342">XLOOKUP(C342,ICSE!A:A,ICSE!Z:Z,,0,1)</f>
        <v>Publicly available (2)</v>
      </c>
      <c r="F342" s="198" t="s">
        <v>20</v>
      </c>
      <c r="G342" s="163" t="str">
        <f t="array" ref="G342">IF(B342="ICSE",IF(COUNTIFS(B:B,B342,C:C,C342)=XLOOKUP(C342,ICSE!A:A,ICSE!AA:AA,"ERROR",0,1),"OK","ERROR"),IF(B342="FSE",IF(COUNTIFS(B:B,B342,C:C,C342)=XLOOKUP(C342,FSE!A:A,FSE!AA:AA,"ERROR",0,1),"OK","ERROR")))</f>
        <v>OK</v>
      </c>
      <c r="H342" s="199">
        <f t="shared" ref="H342:O342" si="1712">countif($D342,"*"&amp;H$2&amp;"*")</f>
        <v>1</v>
      </c>
      <c r="I342" s="200">
        <f t="shared" si="1712"/>
        <v>0</v>
      </c>
      <c r="J342" s="200">
        <f t="shared" si="1712"/>
        <v>0</v>
      </c>
      <c r="K342" s="200">
        <f t="shared" si="1712"/>
        <v>0</v>
      </c>
      <c r="L342" s="200">
        <f t="shared" si="1712"/>
        <v>0</v>
      </c>
      <c r="M342" s="200">
        <f t="shared" si="1712"/>
        <v>0</v>
      </c>
      <c r="N342" s="200">
        <f t="shared" si="1712"/>
        <v>0</v>
      </c>
      <c r="O342" s="200">
        <f t="shared" si="1712"/>
        <v>0</v>
      </c>
      <c r="P342" s="200">
        <f t="shared" si="9"/>
        <v>0</v>
      </c>
      <c r="Q342" s="200">
        <f t="shared" ref="Q342:AC342" si="1713">countif($D342,"*"&amp;Q$2&amp;"*")</f>
        <v>0</v>
      </c>
      <c r="R342" s="200">
        <f t="shared" si="1713"/>
        <v>0</v>
      </c>
      <c r="S342" s="200">
        <f t="shared" si="1713"/>
        <v>0</v>
      </c>
      <c r="T342" s="200">
        <f t="shared" si="1713"/>
        <v>0</v>
      </c>
      <c r="U342" s="200">
        <f t="shared" si="1713"/>
        <v>0</v>
      </c>
      <c r="V342" s="200">
        <f t="shared" si="1713"/>
        <v>0</v>
      </c>
      <c r="W342" s="200">
        <f t="shared" si="1713"/>
        <v>0</v>
      </c>
      <c r="X342" s="200">
        <f t="shared" si="1713"/>
        <v>0</v>
      </c>
      <c r="Y342" s="200">
        <f t="shared" si="1713"/>
        <v>0</v>
      </c>
      <c r="Z342" s="200">
        <f t="shared" si="1713"/>
        <v>0</v>
      </c>
      <c r="AA342" s="200">
        <f t="shared" si="1713"/>
        <v>0</v>
      </c>
      <c r="AB342" s="200">
        <f t="shared" si="1713"/>
        <v>0</v>
      </c>
      <c r="AC342" s="200">
        <f t="shared" si="1713"/>
        <v>0</v>
      </c>
      <c r="AD342" s="200">
        <f t="shared" si="11"/>
        <v>0</v>
      </c>
      <c r="AE342" s="200">
        <f t="shared" ref="AE342:AG342" si="1714">countif($D342,"*"&amp;AE$2&amp;"*")</f>
        <v>0</v>
      </c>
      <c r="AF342" s="200">
        <f t="shared" si="1714"/>
        <v>0</v>
      </c>
      <c r="AG342" s="200">
        <f t="shared" si="1714"/>
        <v>0</v>
      </c>
      <c r="AH342" s="171">
        <f t="shared" si="13"/>
        <v>0</v>
      </c>
      <c r="AI342" s="200">
        <f t="shared" si="14"/>
        <v>1</v>
      </c>
      <c r="AJ342" s="200">
        <f t="shared" si="1129"/>
        <v>0</v>
      </c>
      <c r="AK342" s="201">
        <f t="shared" ref="AK342:AS342" si="1715">countif($D342,"*"&amp;AK$2&amp;"*")</f>
        <v>0</v>
      </c>
      <c r="AL342" s="201">
        <f t="shared" si="1715"/>
        <v>0</v>
      </c>
      <c r="AM342" s="201">
        <f t="shared" si="1715"/>
        <v>0</v>
      </c>
      <c r="AN342" s="201">
        <f t="shared" si="1715"/>
        <v>0</v>
      </c>
      <c r="AO342" s="201">
        <f t="shared" si="1715"/>
        <v>0</v>
      </c>
      <c r="AP342" s="201">
        <f t="shared" si="1715"/>
        <v>0</v>
      </c>
      <c r="AQ342" s="201">
        <f t="shared" si="1715"/>
        <v>0</v>
      </c>
      <c r="AR342" s="200">
        <f t="shared" si="1715"/>
        <v>0</v>
      </c>
      <c r="AS342" s="200">
        <f t="shared" si="1715"/>
        <v>0</v>
      </c>
      <c r="AT342" s="173">
        <v>0.0</v>
      </c>
      <c r="AU342" s="200">
        <f t="shared" ref="AU342:AX342" si="1716">countif($D342,"*"&amp;AU$2&amp;"*")</f>
        <v>0</v>
      </c>
      <c r="AV342" s="200">
        <f t="shared" si="1716"/>
        <v>0</v>
      </c>
      <c r="AW342" s="200">
        <f t="shared" si="1716"/>
        <v>0</v>
      </c>
      <c r="AX342" s="200">
        <f t="shared" si="1716"/>
        <v>1</v>
      </c>
      <c r="AY342" s="202">
        <v>0.0</v>
      </c>
      <c r="AZ342" s="200"/>
      <c r="BA342" s="171" t="str">
        <f t="shared" si="18"/>
        <v>Archival</v>
      </c>
      <c r="BB342" s="171" t="str">
        <f t="shared" si="19"/>
        <v/>
      </c>
      <c r="BC342" s="171" t="str">
        <f t="shared" si="20"/>
        <v/>
      </c>
      <c r="BD342" s="171" t="str">
        <f t="shared" si="21"/>
        <v/>
      </c>
      <c r="BE342" s="171" t="str">
        <f t="shared" si="22"/>
        <v/>
      </c>
      <c r="BF342" s="171" t="str">
        <f t="shared" si="23"/>
        <v>Archival</v>
      </c>
    </row>
    <row r="343">
      <c r="A343" s="171">
        <f t="array" ref="A343">XLOOKUP(C343,ICSE!A:A,ICSE!C:C,,2,1)</f>
        <v>2021</v>
      </c>
      <c r="B343" s="171" t="s">
        <v>5675</v>
      </c>
      <c r="C343" s="160">
        <v>578.0</v>
      </c>
      <c r="D343" s="161" t="s">
        <v>5849</v>
      </c>
      <c r="E343" s="197" t="str">
        <f t="array" ref="E343">XLOOKUP(C343,ICSE!A:A,ICSE!Z:Z,,0,1)</f>
        <v>Publicly available (2)</v>
      </c>
      <c r="F343" s="198" t="s">
        <v>20</v>
      </c>
      <c r="G343" s="163" t="str">
        <f t="array" ref="G343">IF(B343="ICSE",IF(COUNTIFS(B:B,B343,C:C,C343)=XLOOKUP(C343,ICSE!A:A,ICSE!AA:AA,"ERROR",0,1),"OK","ERROR"),IF(B343="FSE",IF(COUNTIFS(B:B,B343,C:C,C343)=XLOOKUP(C343,FSE!A:A,FSE!AA:AA,"ERROR",0,1),"OK","ERROR")))</f>
        <v>OK</v>
      </c>
      <c r="H343" s="199">
        <f t="shared" ref="H343:O343" si="1717">countif($D343,"*"&amp;H$2&amp;"*")</f>
        <v>0</v>
      </c>
      <c r="I343" s="200">
        <f t="shared" si="1717"/>
        <v>0</v>
      </c>
      <c r="J343" s="200">
        <f t="shared" si="1717"/>
        <v>0</v>
      </c>
      <c r="K343" s="200">
        <f t="shared" si="1717"/>
        <v>0</v>
      </c>
      <c r="L343" s="200">
        <f t="shared" si="1717"/>
        <v>0</v>
      </c>
      <c r="M343" s="200">
        <f t="shared" si="1717"/>
        <v>0</v>
      </c>
      <c r="N343" s="200">
        <f t="shared" si="1717"/>
        <v>0</v>
      </c>
      <c r="O343" s="200">
        <f t="shared" si="1717"/>
        <v>0</v>
      </c>
      <c r="P343" s="200">
        <f t="shared" si="9"/>
        <v>1</v>
      </c>
      <c r="Q343" s="200">
        <f t="shared" ref="Q343:AC343" si="1718">countif($D343,"*"&amp;Q$2&amp;"*")</f>
        <v>0</v>
      </c>
      <c r="R343" s="200">
        <f t="shared" si="1718"/>
        <v>0</v>
      </c>
      <c r="S343" s="200">
        <f t="shared" si="1718"/>
        <v>0</v>
      </c>
      <c r="T343" s="200">
        <f t="shared" si="1718"/>
        <v>0</v>
      </c>
      <c r="U343" s="200">
        <f t="shared" si="1718"/>
        <v>0</v>
      </c>
      <c r="V343" s="200">
        <f t="shared" si="1718"/>
        <v>0</v>
      </c>
      <c r="W343" s="200">
        <f t="shared" si="1718"/>
        <v>0</v>
      </c>
      <c r="X343" s="200">
        <f t="shared" si="1718"/>
        <v>0</v>
      </c>
      <c r="Y343" s="200">
        <f t="shared" si="1718"/>
        <v>0</v>
      </c>
      <c r="Z343" s="200">
        <f t="shared" si="1718"/>
        <v>0</v>
      </c>
      <c r="AA343" s="200">
        <f t="shared" si="1718"/>
        <v>0</v>
      </c>
      <c r="AB343" s="200">
        <f t="shared" si="1718"/>
        <v>0</v>
      </c>
      <c r="AC343" s="200">
        <f t="shared" si="1718"/>
        <v>0</v>
      </c>
      <c r="AD343" s="200">
        <f t="shared" si="11"/>
        <v>0</v>
      </c>
      <c r="AE343" s="200">
        <f t="shared" ref="AE343:AG343" si="1719">countif($D343,"*"&amp;AE$2&amp;"*")</f>
        <v>0</v>
      </c>
      <c r="AF343" s="200">
        <f t="shared" si="1719"/>
        <v>0</v>
      </c>
      <c r="AG343" s="200">
        <f t="shared" si="1719"/>
        <v>0</v>
      </c>
      <c r="AH343" s="171">
        <f t="shared" si="13"/>
        <v>0</v>
      </c>
      <c r="AI343" s="200">
        <f t="shared" si="14"/>
        <v>0</v>
      </c>
      <c r="AJ343" s="200">
        <f t="shared" si="1129"/>
        <v>0</v>
      </c>
      <c r="AK343" s="201">
        <f t="shared" ref="AK343:AS343" si="1720">countif($D343,"*"&amp;AK$2&amp;"*")</f>
        <v>0</v>
      </c>
      <c r="AL343" s="201">
        <f t="shared" si="1720"/>
        <v>0</v>
      </c>
      <c r="AM343" s="201">
        <f t="shared" si="1720"/>
        <v>0</v>
      </c>
      <c r="AN343" s="201">
        <f t="shared" si="1720"/>
        <v>0</v>
      </c>
      <c r="AO343" s="201">
        <f t="shared" si="1720"/>
        <v>0</v>
      </c>
      <c r="AP343" s="201">
        <f t="shared" si="1720"/>
        <v>0</v>
      </c>
      <c r="AQ343" s="201">
        <f t="shared" si="1720"/>
        <v>0</v>
      </c>
      <c r="AR343" s="200">
        <f t="shared" si="1720"/>
        <v>0</v>
      </c>
      <c r="AS343" s="200">
        <f t="shared" si="1720"/>
        <v>0</v>
      </c>
      <c r="AT343" s="173">
        <v>0.0</v>
      </c>
      <c r="AU343" s="200">
        <f t="shared" ref="AU343:AX343" si="1721">countif($D343,"*"&amp;AU$2&amp;"*")</f>
        <v>0</v>
      </c>
      <c r="AV343" s="200">
        <f t="shared" si="1721"/>
        <v>1</v>
      </c>
      <c r="AW343" s="200">
        <f t="shared" si="1721"/>
        <v>0</v>
      </c>
      <c r="AX343" s="200">
        <f t="shared" si="1721"/>
        <v>0</v>
      </c>
      <c r="AY343" s="202">
        <v>0.0</v>
      </c>
      <c r="AZ343" s="200"/>
      <c r="BA343" s="171" t="str">
        <f t="shared" si="18"/>
        <v/>
      </c>
      <c r="BB343" s="171" t="str">
        <f t="shared" si="19"/>
        <v>Code</v>
      </c>
      <c r="BC343" s="171" t="str">
        <f t="shared" si="20"/>
        <v/>
      </c>
      <c r="BD343" s="171" t="str">
        <f t="shared" si="21"/>
        <v/>
      </c>
      <c r="BE343" s="171" t="str">
        <f t="shared" si="22"/>
        <v/>
      </c>
      <c r="BF343" s="171" t="str">
        <f t="shared" si="23"/>
        <v>Code</v>
      </c>
    </row>
    <row r="344">
      <c r="A344" s="171">
        <f t="array" ref="A344">XLOOKUP(C344,ICSE!A:A,ICSE!C:C,,2,1)</f>
        <v>2021</v>
      </c>
      <c r="B344" s="171" t="s">
        <v>5675</v>
      </c>
      <c r="C344" s="160">
        <v>579.0</v>
      </c>
      <c r="D344" s="161" t="s">
        <v>2217</v>
      </c>
      <c r="E344" s="197" t="str">
        <f t="array" ref="E344">XLOOKUP(C344,ICSE!A:A,ICSE!Z:Z,,0,1)</f>
        <v>Publicly available (1)</v>
      </c>
      <c r="F344" s="198" t="s">
        <v>20</v>
      </c>
      <c r="G344" s="163" t="str">
        <f t="array" ref="G344">IF(B344="ICSE",IF(COUNTIFS(B:B,B344,C:C,C344)=XLOOKUP(C344,ICSE!A:A,ICSE!AA:AA,"ERROR",0,1),"OK","ERROR"),IF(B344="FSE",IF(COUNTIFS(B:B,B344,C:C,C344)=XLOOKUP(C344,FSE!A:A,FSE!AA:AA,"ERROR",0,1),"OK","ERROR")))</f>
        <v>OK</v>
      </c>
      <c r="H344" s="199">
        <f t="shared" ref="H344:O344" si="1722">countif($D344,"*"&amp;H$2&amp;"*")</f>
        <v>0</v>
      </c>
      <c r="I344" s="200">
        <f t="shared" si="1722"/>
        <v>0</v>
      </c>
      <c r="J344" s="200">
        <f t="shared" si="1722"/>
        <v>0</v>
      </c>
      <c r="K344" s="200">
        <f t="shared" si="1722"/>
        <v>0</v>
      </c>
      <c r="L344" s="200">
        <f t="shared" si="1722"/>
        <v>0</v>
      </c>
      <c r="M344" s="200">
        <f t="shared" si="1722"/>
        <v>0</v>
      </c>
      <c r="N344" s="200">
        <f t="shared" si="1722"/>
        <v>0</v>
      </c>
      <c r="O344" s="200">
        <f t="shared" si="1722"/>
        <v>0</v>
      </c>
      <c r="P344" s="200">
        <f t="shared" si="9"/>
        <v>1</v>
      </c>
      <c r="Q344" s="200">
        <f t="shared" ref="Q344:AC344" si="1723">countif($D344,"*"&amp;Q$2&amp;"*")</f>
        <v>0</v>
      </c>
      <c r="R344" s="200">
        <f t="shared" si="1723"/>
        <v>0</v>
      </c>
      <c r="S344" s="200">
        <f t="shared" si="1723"/>
        <v>0</v>
      </c>
      <c r="T344" s="200">
        <f t="shared" si="1723"/>
        <v>0</v>
      </c>
      <c r="U344" s="200">
        <f t="shared" si="1723"/>
        <v>0</v>
      </c>
      <c r="V344" s="200">
        <f t="shared" si="1723"/>
        <v>0</v>
      </c>
      <c r="W344" s="200">
        <f t="shared" si="1723"/>
        <v>0</v>
      </c>
      <c r="X344" s="200">
        <f t="shared" si="1723"/>
        <v>0</v>
      </c>
      <c r="Y344" s="200">
        <f t="shared" si="1723"/>
        <v>0</v>
      </c>
      <c r="Z344" s="200">
        <f t="shared" si="1723"/>
        <v>0</v>
      </c>
      <c r="AA344" s="200">
        <f t="shared" si="1723"/>
        <v>0</v>
      </c>
      <c r="AB344" s="200">
        <f t="shared" si="1723"/>
        <v>0</v>
      </c>
      <c r="AC344" s="200">
        <f t="shared" si="1723"/>
        <v>0</v>
      </c>
      <c r="AD344" s="200">
        <f t="shared" si="11"/>
        <v>0</v>
      </c>
      <c r="AE344" s="200">
        <f t="shared" ref="AE344:AG344" si="1724">countif($D344,"*"&amp;AE$2&amp;"*")</f>
        <v>0</v>
      </c>
      <c r="AF344" s="200">
        <f t="shared" si="1724"/>
        <v>0</v>
      </c>
      <c r="AG344" s="200">
        <f t="shared" si="1724"/>
        <v>0</v>
      </c>
      <c r="AH344" s="171">
        <f t="shared" si="13"/>
        <v>0</v>
      </c>
      <c r="AI344" s="200">
        <f t="shared" si="14"/>
        <v>0</v>
      </c>
      <c r="AJ344" s="200">
        <f t="shared" si="1129"/>
        <v>0</v>
      </c>
      <c r="AK344" s="201">
        <f t="shared" ref="AK344:AS344" si="1725">countif($D344,"*"&amp;AK$2&amp;"*")</f>
        <v>0</v>
      </c>
      <c r="AL344" s="201">
        <f t="shared" si="1725"/>
        <v>0</v>
      </c>
      <c r="AM344" s="201">
        <f t="shared" si="1725"/>
        <v>0</v>
      </c>
      <c r="AN344" s="201">
        <f t="shared" si="1725"/>
        <v>0</v>
      </c>
      <c r="AO344" s="201">
        <f t="shared" si="1725"/>
        <v>0</v>
      </c>
      <c r="AP344" s="201">
        <f t="shared" si="1725"/>
        <v>0</v>
      </c>
      <c r="AQ344" s="201">
        <f t="shared" si="1725"/>
        <v>0</v>
      </c>
      <c r="AR344" s="200">
        <f t="shared" si="1725"/>
        <v>0</v>
      </c>
      <c r="AS344" s="200">
        <f t="shared" si="1725"/>
        <v>0</v>
      </c>
      <c r="AT344" s="173">
        <v>0.0</v>
      </c>
      <c r="AU344" s="200">
        <f t="shared" ref="AU344:AX344" si="1726">countif($D344,"*"&amp;AU$2&amp;"*")</f>
        <v>0</v>
      </c>
      <c r="AV344" s="200">
        <f t="shared" si="1726"/>
        <v>1</v>
      </c>
      <c r="AW344" s="200">
        <f t="shared" si="1726"/>
        <v>0</v>
      </c>
      <c r="AX344" s="200">
        <f t="shared" si="1726"/>
        <v>0</v>
      </c>
      <c r="AY344" s="202">
        <v>0.0</v>
      </c>
      <c r="AZ344" s="200"/>
      <c r="BA344" s="171" t="str">
        <f t="shared" si="18"/>
        <v/>
      </c>
      <c r="BB344" s="171" t="str">
        <f t="shared" si="19"/>
        <v>Code</v>
      </c>
      <c r="BC344" s="171" t="str">
        <f t="shared" si="20"/>
        <v/>
      </c>
      <c r="BD344" s="171" t="str">
        <f t="shared" si="21"/>
        <v/>
      </c>
      <c r="BE344" s="171" t="str">
        <f t="shared" si="22"/>
        <v/>
      </c>
      <c r="BF344" s="171" t="str">
        <f t="shared" si="23"/>
        <v>Code</v>
      </c>
    </row>
    <row r="345">
      <c r="A345" s="171">
        <f t="array" ref="A345">XLOOKUP(C345,ICSE!A:A,ICSE!C:C,,2,1)</f>
        <v>2021</v>
      </c>
      <c r="B345" s="171" t="s">
        <v>5675</v>
      </c>
      <c r="C345" s="160">
        <v>580.0</v>
      </c>
      <c r="D345" s="161" t="s">
        <v>5850</v>
      </c>
      <c r="E345" s="197" t="str">
        <f t="array" ref="E345">XLOOKUP(C345,ICSE!A:A,ICSE!Z:Z,,0,1)</f>
        <v>Publicly available (2)</v>
      </c>
      <c r="F345" s="198" t="s">
        <v>20</v>
      </c>
      <c r="G345" s="163" t="str">
        <f t="array" ref="G345">IF(B345="ICSE",IF(COUNTIFS(B:B,B345,C:C,C345)=XLOOKUP(C345,ICSE!A:A,ICSE!AA:AA,"ERROR",0,1),"OK","ERROR"),IF(B345="FSE",IF(COUNTIFS(B:B,B345,C:C,C345)=XLOOKUP(C345,FSE!A:A,FSE!AA:AA,"ERROR",0,1),"OK","ERROR")))</f>
        <v>OK</v>
      </c>
      <c r="H345" s="199">
        <f t="shared" ref="H345:O345" si="1727">countif($D345,"*"&amp;H$2&amp;"*")</f>
        <v>0</v>
      </c>
      <c r="I345" s="200">
        <f t="shared" si="1727"/>
        <v>0</v>
      </c>
      <c r="J345" s="200">
        <f t="shared" si="1727"/>
        <v>0</v>
      </c>
      <c r="K345" s="200">
        <f t="shared" si="1727"/>
        <v>0</v>
      </c>
      <c r="L345" s="200">
        <f t="shared" si="1727"/>
        <v>0</v>
      </c>
      <c r="M345" s="200">
        <f t="shared" si="1727"/>
        <v>0</v>
      </c>
      <c r="N345" s="200">
        <f t="shared" si="1727"/>
        <v>0</v>
      </c>
      <c r="O345" s="200">
        <f t="shared" si="1727"/>
        <v>0</v>
      </c>
      <c r="P345" s="200">
        <f t="shared" si="9"/>
        <v>1</v>
      </c>
      <c r="Q345" s="200">
        <f t="shared" ref="Q345:AC345" si="1728">countif($D345,"*"&amp;Q$2&amp;"*")</f>
        <v>0</v>
      </c>
      <c r="R345" s="200">
        <f t="shared" si="1728"/>
        <v>0</v>
      </c>
      <c r="S345" s="200">
        <f t="shared" si="1728"/>
        <v>0</v>
      </c>
      <c r="T345" s="200">
        <f t="shared" si="1728"/>
        <v>0</v>
      </c>
      <c r="U345" s="200">
        <f t="shared" si="1728"/>
        <v>0</v>
      </c>
      <c r="V345" s="200">
        <f t="shared" si="1728"/>
        <v>0</v>
      </c>
      <c r="W345" s="200">
        <f t="shared" si="1728"/>
        <v>0</v>
      </c>
      <c r="X345" s="200">
        <f t="shared" si="1728"/>
        <v>0</v>
      </c>
      <c r="Y345" s="200">
        <f t="shared" si="1728"/>
        <v>0</v>
      </c>
      <c r="Z345" s="200">
        <f t="shared" si="1728"/>
        <v>0</v>
      </c>
      <c r="AA345" s="200">
        <f t="shared" si="1728"/>
        <v>0</v>
      </c>
      <c r="AB345" s="200">
        <f t="shared" si="1728"/>
        <v>0</v>
      </c>
      <c r="AC345" s="200">
        <f t="shared" si="1728"/>
        <v>0</v>
      </c>
      <c r="AD345" s="200">
        <f t="shared" si="11"/>
        <v>0</v>
      </c>
      <c r="AE345" s="200">
        <f t="shared" ref="AE345:AG345" si="1729">countif($D345,"*"&amp;AE$2&amp;"*")</f>
        <v>0</v>
      </c>
      <c r="AF345" s="200">
        <f t="shared" si="1729"/>
        <v>0</v>
      </c>
      <c r="AG345" s="200">
        <f t="shared" si="1729"/>
        <v>0</v>
      </c>
      <c r="AH345" s="171">
        <f t="shared" si="13"/>
        <v>0</v>
      </c>
      <c r="AI345" s="200">
        <f t="shared" si="14"/>
        <v>0</v>
      </c>
      <c r="AJ345" s="200">
        <f t="shared" si="1129"/>
        <v>0</v>
      </c>
      <c r="AK345" s="201">
        <f t="shared" ref="AK345:AS345" si="1730">countif($D345,"*"&amp;AK$2&amp;"*")</f>
        <v>0</v>
      </c>
      <c r="AL345" s="201">
        <f t="shared" si="1730"/>
        <v>0</v>
      </c>
      <c r="AM345" s="201">
        <f t="shared" si="1730"/>
        <v>0</v>
      </c>
      <c r="AN345" s="201">
        <f t="shared" si="1730"/>
        <v>0</v>
      </c>
      <c r="AO345" s="201">
        <f t="shared" si="1730"/>
        <v>0</v>
      </c>
      <c r="AP345" s="201">
        <f t="shared" si="1730"/>
        <v>0</v>
      </c>
      <c r="AQ345" s="201">
        <f t="shared" si="1730"/>
        <v>0</v>
      </c>
      <c r="AR345" s="200">
        <f t="shared" si="1730"/>
        <v>0</v>
      </c>
      <c r="AS345" s="200">
        <f t="shared" si="1730"/>
        <v>0</v>
      </c>
      <c r="AT345" s="173">
        <v>0.0</v>
      </c>
      <c r="AU345" s="200">
        <f t="shared" ref="AU345:AX345" si="1731">countif($D345,"*"&amp;AU$2&amp;"*")</f>
        <v>0</v>
      </c>
      <c r="AV345" s="200">
        <f t="shared" si="1731"/>
        <v>1</v>
      </c>
      <c r="AW345" s="200">
        <f t="shared" si="1731"/>
        <v>0</v>
      </c>
      <c r="AX345" s="200">
        <f t="shared" si="1731"/>
        <v>0</v>
      </c>
      <c r="AY345" s="202">
        <v>0.0</v>
      </c>
      <c r="AZ345" s="200"/>
      <c r="BA345" s="171" t="str">
        <f t="shared" si="18"/>
        <v/>
      </c>
      <c r="BB345" s="171" t="str">
        <f t="shared" si="19"/>
        <v>Code</v>
      </c>
      <c r="BC345" s="171" t="str">
        <f t="shared" si="20"/>
        <v/>
      </c>
      <c r="BD345" s="171" t="str">
        <f t="shared" si="21"/>
        <v/>
      </c>
      <c r="BE345" s="171" t="str">
        <f t="shared" si="22"/>
        <v/>
      </c>
      <c r="BF345" s="171" t="str">
        <f t="shared" si="23"/>
        <v>Code</v>
      </c>
    </row>
    <row r="346">
      <c r="A346" s="171">
        <f t="array" ref="A346">XLOOKUP(C346,ICSE!A:A,ICSE!C:C,,2,1)</f>
        <v>2021</v>
      </c>
      <c r="B346" s="171" t="s">
        <v>5675</v>
      </c>
      <c r="C346" s="160">
        <v>580.0</v>
      </c>
      <c r="D346" s="161" t="s">
        <v>5851</v>
      </c>
      <c r="E346" s="197" t="str">
        <f t="array" ref="E346">XLOOKUP(C346,ICSE!A:A,ICSE!Z:Z,,0,1)</f>
        <v>Publicly available (2)</v>
      </c>
      <c r="F346" s="198" t="s">
        <v>20</v>
      </c>
      <c r="G346" s="163" t="str">
        <f t="array" ref="G346">IF(B346="ICSE",IF(COUNTIFS(B:B,B346,C:C,C346)=XLOOKUP(C346,ICSE!A:A,ICSE!AA:AA,"ERROR",0,1),"OK","ERROR"),IF(B346="FSE",IF(COUNTIFS(B:B,B346,C:C,C346)=XLOOKUP(C346,FSE!A:A,FSE!AA:AA,"ERROR",0,1),"OK","ERROR")))</f>
        <v>OK</v>
      </c>
      <c r="H346" s="199">
        <f t="shared" ref="H346:O346" si="1732">countif($D346,"*"&amp;H$2&amp;"*")</f>
        <v>1</v>
      </c>
      <c r="I346" s="200">
        <f t="shared" si="1732"/>
        <v>0</v>
      </c>
      <c r="J346" s="200">
        <f t="shared" si="1732"/>
        <v>0</v>
      </c>
      <c r="K346" s="200">
        <f t="shared" si="1732"/>
        <v>0</v>
      </c>
      <c r="L346" s="200">
        <f t="shared" si="1732"/>
        <v>0</v>
      </c>
      <c r="M346" s="200">
        <f t="shared" si="1732"/>
        <v>0</v>
      </c>
      <c r="N346" s="200">
        <f t="shared" si="1732"/>
        <v>0</v>
      </c>
      <c r="O346" s="200">
        <f t="shared" si="1732"/>
        <v>0</v>
      </c>
      <c r="P346" s="200">
        <f t="shared" si="9"/>
        <v>0</v>
      </c>
      <c r="Q346" s="200">
        <f t="shared" ref="Q346:AC346" si="1733">countif($D346,"*"&amp;Q$2&amp;"*")</f>
        <v>0</v>
      </c>
      <c r="R346" s="200">
        <f t="shared" si="1733"/>
        <v>0</v>
      </c>
      <c r="S346" s="200">
        <f t="shared" si="1733"/>
        <v>0</v>
      </c>
      <c r="T346" s="200">
        <f t="shared" si="1733"/>
        <v>0</v>
      </c>
      <c r="U346" s="200">
        <f t="shared" si="1733"/>
        <v>0</v>
      </c>
      <c r="V346" s="200">
        <f t="shared" si="1733"/>
        <v>0</v>
      </c>
      <c r="W346" s="200">
        <f t="shared" si="1733"/>
        <v>0</v>
      </c>
      <c r="X346" s="200">
        <f t="shared" si="1733"/>
        <v>0</v>
      </c>
      <c r="Y346" s="200">
        <f t="shared" si="1733"/>
        <v>0</v>
      </c>
      <c r="Z346" s="200">
        <f t="shared" si="1733"/>
        <v>0</v>
      </c>
      <c r="AA346" s="200">
        <f t="shared" si="1733"/>
        <v>0</v>
      </c>
      <c r="AB346" s="200">
        <f t="shared" si="1733"/>
        <v>0</v>
      </c>
      <c r="AC346" s="200">
        <f t="shared" si="1733"/>
        <v>0</v>
      </c>
      <c r="AD346" s="200">
        <f t="shared" si="11"/>
        <v>0</v>
      </c>
      <c r="AE346" s="200">
        <f t="shared" ref="AE346:AG346" si="1734">countif($D346,"*"&amp;AE$2&amp;"*")</f>
        <v>0</v>
      </c>
      <c r="AF346" s="200">
        <f t="shared" si="1734"/>
        <v>0</v>
      </c>
      <c r="AG346" s="200">
        <f t="shared" si="1734"/>
        <v>0</v>
      </c>
      <c r="AH346" s="171">
        <f t="shared" si="13"/>
        <v>0</v>
      </c>
      <c r="AI346" s="200">
        <f t="shared" si="14"/>
        <v>1</v>
      </c>
      <c r="AJ346" s="200">
        <f t="shared" si="1129"/>
        <v>0</v>
      </c>
      <c r="AK346" s="201">
        <f t="shared" ref="AK346:AS346" si="1735">countif($D346,"*"&amp;AK$2&amp;"*")</f>
        <v>0</v>
      </c>
      <c r="AL346" s="201">
        <f t="shared" si="1735"/>
        <v>0</v>
      </c>
      <c r="AM346" s="201">
        <f t="shared" si="1735"/>
        <v>0</v>
      </c>
      <c r="AN346" s="201">
        <f t="shared" si="1735"/>
        <v>0</v>
      </c>
      <c r="AO346" s="201">
        <f t="shared" si="1735"/>
        <v>0</v>
      </c>
      <c r="AP346" s="201">
        <f t="shared" si="1735"/>
        <v>0</v>
      </c>
      <c r="AQ346" s="201">
        <f t="shared" si="1735"/>
        <v>0</v>
      </c>
      <c r="AR346" s="200">
        <f t="shared" si="1735"/>
        <v>0</v>
      </c>
      <c r="AS346" s="200">
        <f t="shared" si="1735"/>
        <v>0</v>
      </c>
      <c r="AT346" s="173">
        <v>0.0</v>
      </c>
      <c r="AU346" s="200">
        <f t="shared" ref="AU346:AX346" si="1736">countif($D346,"*"&amp;AU$2&amp;"*")</f>
        <v>0</v>
      </c>
      <c r="AV346" s="200">
        <f t="shared" si="1736"/>
        <v>0</v>
      </c>
      <c r="AW346" s="200">
        <f t="shared" si="1736"/>
        <v>0</v>
      </c>
      <c r="AX346" s="200">
        <f t="shared" si="1736"/>
        <v>1</v>
      </c>
      <c r="AY346" s="202">
        <v>0.0</v>
      </c>
      <c r="AZ346" s="200"/>
      <c r="BA346" s="171" t="str">
        <f t="shared" si="18"/>
        <v>Archival</v>
      </c>
      <c r="BB346" s="171" t="str">
        <f t="shared" si="19"/>
        <v/>
      </c>
      <c r="BC346" s="171" t="str">
        <f t="shared" si="20"/>
        <v/>
      </c>
      <c r="BD346" s="171" t="str">
        <f t="shared" si="21"/>
        <v/>
      </c>
      <c r="BE346" s="171" t="str">
        <f t="shared" si="22"/>
        <v/>
      </c>
      <c r="BF346" s="171" t="str">
        <f t="shared" si="23"/>
        <v>Archival</v>
      </c>
    </row>
    <row r="347">
      <c r="A347" s="171">
        <f t="array" ref="A347">XLOOKUP(C347,ICSE!A:A,ICSE!C:C,,2,1)</f>
        <v>2021</v>
      </c>
      <c r="B347" s="171" t="s">
        <v>5675</v>
      </c>
      <c r="C347" s="160">
        <v>581.0</v>
      </c>
      <c r="D347" s="161" t="s">
        <v>2224</v>
      </c>
      <c r="E347" s="197" t="str">
        <f t="array" ref="E347">XLOOKUP(C347,ICSE!A:A,ICSE!Z:Z,,0,1)</f>
        <v>Publicly available (1)</v>
      </c>
      <c r="F347" s="198" t="s">
        <v>20</v>
      </c>
      <c r="G347" s="163" t="str">
        <f t="array" ref="G347">IF(B347="ICSE",IF(COUNTIFS(B:B,B347,C:C,C347)=XLOOKUP(C347,ICSE!A:A,ICSE!AA:AA,"ERROR",0,1),"OK","ERROR"),IF(B347="FSE",IF(COUNTIFS(B:B,B347,C:C,C347)=XLOOKUP(C347,FSE!A:A,FSE!AA:AA,"ERROR",0,1),"OK","ERROR")))</f>
        <v>OK</v>
      </c>
      <c r="H347" s="199">
        <f t="shared" ref="H347:O347" si="1737">countif($D347,"*"&amp;H$2&amp;"*")</f>
        <v>0</v>
      </c>
      <c r="I347" s="200">
        <f t="shared" si="1737"/>
        <v>0</v>
      </c>
      <c r="J347" s="200">
        <f t="shared" si="1737"/>
        <v>0</v>
      </c>
      <c r="K347" s="200">
        <f t="shared" si="1737"/>
        <v>0</v>
      </c>
      <c r="L347" s="200">
        <f t="shared" si="1737"/>
        <v>0</v>
      </c>
      <c r="M347" s="200">
        <f t="shared" si="1737"/>
        <v>0</v>
      </c>
      <c r="N347" s="200">
        <f t="shared" si="1737"/>
        <v>0</v>
      </c>
      <c r="O347" s="200">
        <f t="shared" si="1737"/>
        <v>0</v>
      </c>
      <c r="P347" s="200">
        <f t="shared" si="9"/>
        <v>1</v>
      </c>
      <c r="Q347" s="200">
        <f t="shared" ref="Q347:AC347" si="1738">countif($D347,"*"&amp;Q$2&amp;"*")</f>
        <v>0</v>
      </c>
      <c r="R347" s="200">
        <f t="shared" si="1738"/>
        <v>0</v>
      </c>
      <c r="S347" s="200">
        <f t="shared" si="1738"/>
        <v>0</v>
      </c>
      <c r="T347" s="200">
        <f t="shared" si="1738"/>
        <v>0</v>
      </c>
      <c r="U347" s="200">
        <f t="shared" si="1738"/>
        <v>0</v>
      </c>
      <c r="V347" s="200">
        <f t="shared" si="1738"/>
        <v>0</v>
      </c>
      <c r="W347" s="200">
        <f t="shared" si="1738"/>
        <v>0</v>
      </c>
      <c r="X347" s="200">
        <f t="shared" si="1738"/>
        <v>0</v>
      </c>
      <c r="Y347" s="200">
        <f t="shared" si="1738"/>
        <v>0</v>
      </c>
      <c r="Z347" s="200">
        <f t="shared" si="1738"/>
        <v>0</v>
      </c>
      <c r="AA347" s="200">
        <f t="shared" si="1738"/>
        <v>0</v>
      </c>
      <c r="AB347" s="200">
        <f t="shared" si="1738"/>
        <v>0</v>
      </c>
      <c r="AC347" s="200">
        <f t="shared" si="1738"/>
        <v>0</v>
      </c>
      <c r="AD347" s="200">
        <f t="shared" si="11"/>
        <v>0</v>
      </c>
      <c r="AE347" s="200">
        <f t="shared" ref="AE347:AG347" si="1739">countif($D347,"*"&amp;AE$2&amp;"*")</f>
        <v>0</v>
      </c>
      <c r="AF347" s="200">
        <f t="shared" si="1739"/>
        <v>0</v>
      </c>
      <c r="AG347" s="200">
        <f t="shared" si="1739"/>
        <v>0</v>
      </c>
      <c r="AH347" s="171">
        <f t="shared" si="13"/>
        <v>0</v>
      </c>
      <c r="AI347" s="200">
        <f t="shared" si="14"/>
        <v>0</v>
      </c>
      <c r="AJ347" s="200">
        <f t="shared" si="1129"/>
        <v>0</v>
      </c>
      <c r="AK347" s="201">
        <f t="shared" ref="AK347:AS347" si="1740">countif($D347,"*"&amp;AK$2&amp;"*")</f>
        <v>0</v>
      </c>
      <c r="AL347" s="201">
        <f t="shared" si="1740"/>
        <v>0</v>
      </c>
      <c r="AM347" s="201">
        <f t="shared" si="1740"/>
        <v>0</v>
      </c>
      <c r="AN347" s="201">
        <f t="shared" si="1740"/>
        <v>0</v>
      </c>
      <c r="AO347" s="201">
        <f t="shared" si="1740"/>
        <v>0</v>
      </c>
      <c r="AP347" s="201">
        <f t="shared" si="1740"/>
        <v>0</v>
      </c>
      <c r="AQ347" s="201">
        <f t="shared" si="1740"/>
        <v>0</v>
      </c>
      <c r="AR347" s="200">
        <f t="shared" si="1740"/>
        <v>0</v>
      </c>
      <c r="AS347" s="200">
        <f t="shared" si="1740"/>
        <v>0</v>
      </c>
      <c r="AT347" s="173">
        <v>0.0</v>
      </c>
      <c r="AU347" s="200">
        <f t="shared" ref="AU347:AX347" si="1741">countif($D347,"*"&amp;AU$2&amp;"*")</f>
        <v>0</v>
      </c>
      <c r="AV347" s="200">
        <f t="shared" si="1741"/>
        <v>1</v>
      </c>
      <c r="AW347" s="200">
        <f t="shared" si="1741"/>
        <v>0</v>
      </c>
      <c r="AX347" s="200">
        <f t="shared" si="1741"/>
        <v>0</v>
      </c>
      <c r="AY347" s="202">
        <v>0.0</v>
      </c>
      <c r="AZ347" s="200"/>
      <c r="BA347" s="171" t="str">
        <f t="shared" si="18"/>
        <v/>
      </c>
      <c r="BB347" s="171" t="str">
        <f t="shared" si="19"/>
        <v>Code</v>
      </c>
      <c r="BC347" s="171" t="str">
        <f t="shared" si="20"/>
        <v/>
      </c>
      <c r="BD347" s="171" t="str">
        <f t="shared" si="21"/>
        <v/>
      </c>
      <c r="BE347" s="171" t="str">
        <f t="shared" si="22"/>
        <v/>
      </c>
      <c r="BF347" s="171" t="str">
        <f t="shared" si="23"/>
        <v>Code</v>
      </c>
    </row>
    <row r="348">
      <c r="A348" s="171">
        <f t="array" ref="A348">XLOOKUP(C348,ICSE!A:A,ICSE!C:C,,2,1)</f>
        <v>2021</v>
      </c>
      <c r="B348" s="171" t="s">
        <v>5675</v>
      </c>
      <c r="C348" s="160">
        <v>582.0</v>
      </c>
      <c r="D348" s="161" t="s">
        <v>2227</v>
      </c>
      <c r="E348" s="197" t="str">
        <f t="array" ref="E348">XLOOKUP(C348,ICSE!A:A,ICSE!Z:Z,,0,1)</f>
        <v>Publicly available (1)</v>
      </c>
      <c r="F348" s="198" t="s">
        <v>20</v>
      </c>
      <c r="G348" s="163" t="str">
        <f t="array" ref="G348">IF(B348="ICSE",IF(COUNTIFS(B:B,B348,C:C,C348)=XLOOKUP(C348,ICSE!A:A,ICSE!AA:AA,"ERROR",0,1),"OK","ERROR"),IF(B348="FSE",IF(COUNTIFS(B:B,B348,C:C,C348)=XLOOKUP(C348,FSE!A:A,FSE!AA:AA,"ERROR",0,1),"OK","ERROR")))</f>
        <v>OK</v>
      </c>
      <c r="H348" s="199">
        <f t="shared" ref="H348:O348" si="1742">countif($D348,"*"&amp;H$2&amp;"*")</f>
        <v>0</v>
      </c>
      <c r="I348" s="200">
        <f t="shared" si="1742"/>
        <v>0</v>
      </c>
      <c r="J348" s="200">
        <f t="shared" si="1742"/>
        <v>0</v>
      </c>
      <c r="K348" s="200">
        <f t="shared" si="1742"/>
        <v>0</v>
      </c>
      <c r="L348" s="200">
        <f t="shared" si="1742"/>
        <v>0</v>
      </c>
      <c r="M348" s="200">
        <f t="shared" si="1742"/>
        <v>0</v>
      </c>
      <c r="N348" s="200">
        <f t="shared" si="1742"/>
        <v>0</v>
      </c>
      <c r="O348" s="200">
        <f t="shared" si="1742"/>
        <v>0</v>
      </c>
      <c r="P348" s="200">
        <f t="shared" si="9"/>
        <v>1</v>
      </c>
      <c r="Q348" s="200">
        <f t="shared" ref="Q348:AC348" si="1743">countif($D348,"*"&amp;Q$2&amp;"*")</f>
        <v>0</v>
      </c>
      <c r="R348" s="200">
        <f t="shared" si="1743"/>
        <v>0</v>
      </c>
      <c r="S348" s="200">
        <f t="shared" si="1743"/>
        <v>0</v>
      </c>
      <c r="T348" s="200">
        <f t="shared" si="1743"/>
        <v>0</v>
      </c>
      <c r="U348" s="200">
        <f t="shared" si="1743"/>
        <v>0</v>
      </c>
      <c r="V348" s="200">
        <f t="shared" si="1743"/>
        <v>0</v>
      </c>
      <c r="W348" s="200">
        <f t="shared" si="1743"/>
        <v>0</v>
      </c>
      <c r="X348" s="200">
        <f t="shared" si="1743"/>
        <v>0</v>
      </c>
      <c r="Y348" s="200">
        <f t="shared" si="1743"/>
        <v>0</v>
      </c>
      <c r="Z348" s="200">
        <f t="shared" si="1743"/>
        <v>0</v>
      </c>
      <c r="AA348" s="200">
        <f t="shared" si="1743"/>
        <v>0</v>
      </c>
      <c r="AB348" s="200">
        <f t="shared" si="1743"/>
        <v>0</v>
      </c>
      <c r="AC348" s="200">
        <f t="shared" si="1743"/>
        <v>0</v>
      </c>
      <c r="AD348" s="200">
        <f t="shared" si="11"/>
        <v>0</v>
      </c>
      <c r="AE348" s="200">
        <f t="shared" ref="AE348:AG348" si="1744">countif($D348,"*"&amp;AE$2&amp;"*")</f>
        <v>0</v>
      </c>
      <c r="AF348" s="200">
        <f t="shared" si="1744"/>
        <v>0</v>
      </c>
      <c r="AG348" s="200">
        <f t="shared" si="1744"/>
        <v>0</v>
      </c>
      <c r="AH348" s="171">
        <f t="shared" si="13"/>
        <v>0</v>
      </c>
      <c r="AI348" s="200">
        <f t="shared" si="14"/>
        <v>0</v>
      </c>
      <c r="AJ348" s="200">
        <f t="shared" si="1129"/>
        <v>0</v>
      </c>
      <c r="AK348" s="201">
        <f t="shared" ref="AK348:AS348" si="1745">countif($D348,"*"&amp;AK$2&amp;"*")</f>
        <v>0</v>
      </c>
      <c r="AL348" s="201">
        <f t="shared" si="1745"/>
        <v>0</v>
      </c>
      <c r="AM348" s="201">
        <f t="shared" si="1745"/>
        <v>0</v>
      </c>
      <c r="AN348" s="201">
        <f t="shared" si="1745"/>
        <v>0</v>
      </c>
      <c r="AO348" s="201">
        <f t="shared" si="1745"/>
        <v>0</v>
      </c>
      <c r="AP348" s="201">
        <f t="shared" si="1745"/>
        <v>0</v>
      </c>
      <c r="AQ348" s="201">
        <f t="shared" si="1745"/>
        <v>0</v>
      </c>
      <c r="AR348" s="200">
        <f t="shared" si="1745"/>
        <v>0</v>
      </c>
      <c r="AS348" s="200">
        <f t="shared" si="1745"/>
        <v>0</v>
      </c>
      <c r="AT348" s="173">
        <v>0.0</v>
      </c>
      <c r="AU348" s="200">
        <f t="shared" ref="AU348:AX348" si="1746">countif($D348,"*"&amp;AU$2&amp;"*")</f>
        <v>0</v>
      </c>
      <c r="AV348" s="200">
        <f t="shared" si="1746"/>
        <v>1</v>
      </c>
      <c r="AW348" s="200">
        <f t="shared" si="1746"/>
        <v>0</v>
      </c>
      <c r="AX348" s="200">
        <f t="shared" si="1746"/>
        <v>0</v>
      </c>
      <c r="AY348" s="202">
        <v>0.0</v>
      </c>
      <c r="AZ348" s="200"/>
      <c r="BA348" s="171" t="str">
        <f t="shared" si="18"/>
        <v/>
      </c>
      <c r="BB348" s="171" t="str">
        <f t="shared" si="19"/>
        <v>Code</v>
      </c>
      <c r="BC348" s="171" t="str">
        <f t="shared" si="20"/>
        <v/>
      </c>
      <c r="BD348" s="171" t="str">
        <f t="shared" si="21"/>
        <v/>
      </c>
      <c r="BE348" s="171" t="str">
        <f t="shared" si="22"/>
        <v/>
      </c>
      <c r="BF348" s="171" t="str">
        <f t="shared" si="23"/>
        <v>Code</v>
      </c>
    </row>
    <row r="349">
      <c r="A349" s="171">
        <f t="array" ref="A349">XLOOKUP(C349,ICSE!A:A,ICSE!C:C,,2,1)</f>
        <v>2021</v>
      </c>
      <c r="B349" s="171" t="s">
        <v>5675</v>
      </c>
      <c r="C349" s="160">
        <v>583.0</v>
      </c>
      <c r="D349" s="161" t="s">
        <v>2230</v>
      </c>
      <c r="E349" s="197" t="str">
        <f t="array" ref="E349">XLOOKUP(C349,ICSE!A:A,ICSE!Z:Z,,0,1)</f>
        <v>Publicly available (1)</v>
      </c>
      <c r="F349" s="198" t="s">
        <v>20</v>
      </c>
      <c r="G349" s="163" t="str">
        <f t="array" ref="G349">IF(B349="ICSE",IF(COUNTIFS(B:B,B349,C:C,C349)=XLOOKUP(C349,ICSE!A:A,ICSE!AA:AA,"ERROR",0,1),"OK","ERROR"),IF(B349="FSE",IF(COUNTIFS(B:B,B349,C:C,C349)=XLOOKUP(C349,FSE!A:A,FSE!AA:AA,"ERROR",0,1),"OK","ERROR")))</f>
        <v>OK</v>
      </c>
      <c r="H349" s="199">
        <f t="shared" ref="H349:O349" si="1747">countif($D349,"*"&amp;H$2&amp;"*")</f>
        <v>0</v>
      </c>
      <c r="I349" s="200">
        <f t="shared" si="1747"/>
        <v>0</v>
      </c>
      <c r="J349" s="200">
        <f t="shared" si="1747"/>
        <v>0</v>
      </c>
      <c r="K349" s="200">
        <f t="shared" si="1747"/>
        <v>0</v>
      </c>
      <c r="L349" s="200">
        <f t="shared" si="1747"/>
        <v>0</v>
      </c>
      <c r="M349" s="200">
        <f t="shared" si="1747"/>
        <v>0</v>
      </c>
      <c r="N349" s="200">
        <f t="shared" si="1747"/>
        <v>0</v>
      </c>
      <c r="O349" s="200">
        <f t="shared" si="1747"/>
        <v>0</v>
      </c>
      <c r="P349" s="200">
        <f t="shared" si="9"/>
        <v>1</v>
      </c>
      <c r="Q349" s="200">
        <f t="shared" ref="Q349:AC349" si="1748">countif($D349,"*"&amp;Q$2&amp;"*")</f>
        <v>0</v>
      </c>
      <c r="R349" s="200">
        <f t="shared" si="1748"/>
        <v>0</v>
      </c>
      <c r="S349" s="200">
        <f t="shared" si="1748"/>
        <v>0</v>
      </c>
      <c r="T349" s="200">
        <f t="shared" si="1748"/>
        <v>0</v>
      </c>
      <c r="U349" s="200">
        <f t="shared" si="1748"/>
        <v>0</v>
      </c>
      <c r="V349" s="200">
        <f t="shared" si="1748"/>
        <v>0</v>
      </c>
      <c r="W349" s="200">
        <f t="shared" si="1748"/>
        <v>0</v>
      </c>
      <c r="X349" s="200">
        <f t="shared" si="1748"/>
        <v>0</v>
      </c>
      <c r="Y349" s="200">
        <f t="shared" si="1748"/>
        <v>0</v>
      </c>
      <c r="Z349" s="200">
        <f t="shared" si="1748"/>
        <v>0</v>
      </c>
      <c r="AA349" s="200">
        <f t="shared" si="1748"/>
        <v>0</v>
      </c>
      <c r="AB349" s="200">
        <f t="shared" si="1748"/>
        <v>0</v>
      </c>
      <c r="AC349" s="200">
        <f t="shared" si="1748"/>
        <v>0</v>
      </c>
      <c r="AD349" s="200">
        <f t="shared" si="11"/>
        <v>0</v>
      </c>
      <c r="AE349" s="200">
        <f t="shared" ref="AE349:AG349" si="1749">countif($D349,"*"&amp;AE$2&amp;"*")</f>
        <v>0</v>
      </c>
      <c r="AF349" s="200">
        <f t="shared" si="1749"/>
        <v>0</v>
      </c>
      <c r="AG349" s="200">
        <f t="shared" si="1749"/>
        <v>0</v>
      </c>
      <c r="AH349" s="171">
        <f t="shared" si="13"/>
        <v>0</v>
      </c>
      <c r="AI349" s="200">
        <f t="shared" si="14"/>
        <v>0</v>
      </c>
      <c r="AJ349" s="200">
        <f t="shared" si="1129"/>
        <v>0</v>
      </c>
      <c r="AK349" s="201">
        <f t="shared" ref="AK349:AS349" si="1750">countif($D349,"*"&amp;AK$2&amp;"*")</f>
        <v>0</v>
      </c>
      <c r="AL349" s="201">
        <f t="shared" si="1750"/>
        <v>0</v>
      </c>
      <c r="AM349" s="201">
        <f t="shared" si="1750"/>
        <v>0</v>
      </c>
      <c r="AN349" s="201">
        <f t="shared" si="1750"/>
        <v>0</v>
      </c>
      <c r="AO349" s="201">
        <f t="shared" si="1750"/>
        <v>0</v>
      </c>
      <c r="AP349" s="201">
        <f t="shared" si="1750"/>
        <v>0</v>
      </c>
      <c r="AQ349" s="201">
        <f t="shared" si="1750"/>
        <v>0</v>
      </c>
      <c r="AR349" s="200">
        <f t="shared" si="1750"/>
        <v>0</v>
      </c>
      <c r="AS349" s="200">
        <f t="shared" si="1750"/>
        <v>0</v>
      </c>
      <c r="AT349" s="173">
        <v>0.0</v>
      </c>
      <c r="AU349" s="200">
        <f t="shared" ref="AU349:AX349" si="1751">countif($D349,"*"&amp;AU$2&amp;"*")</f>
        <v>0</v>
      </c>
      <c r="AV349" s="200">
        <f t="shared" si="1751"/>
        <v>1</v>
      </c>
      <c r="AW349" s="200">
        <f t="shared" si="1751"/>
        <v>0</v>
      </c>
      <c r="AX349" s="200">
        <f t="shared" si="1751"/>
        <v>0</v>
      </c>
      <c r="AY349" s="202">
        <v>0.0</v>
      </c>
      <c r="AZ349" s="200"/>
      <c r="BA349" s="171" t="str">
        <f t="shared" si="18"/>
        <v/>
      </c>
      <c r="BB349" s="171" t="str">
        <f t="shared" si="19"/>
        <v>Code</v>
      </c>
      <c r="BC349" s="171" t="str">
        <f t="shared" si="20"/>
        <v/>
      </c>
      <c r="BD349" s="171" t="str">
        <f t="shared" si="21"/>
        <v/>
      </c>
      <c r="BE349" s="171" t="str">
        <f t="shared" si="22"/>
        <v/>
      </c>
      <c r="BF349" s="171" t="str">
        <f t="shared" si="23"/>
        <v>Code</v>
      </c>
    </row>
    <row r="350">
      <c r="A350" s="171">
        <f t="array" ref="A350">XLOOKUP(C350,ICSE!A:A,ICSE!C:C,,2,1)</f>
        <v>2021</v>
      </c>
      <c r="B350" s="171" t="s">
        <v>5675</v>
      </c>
      <c r="C350" s="160">
        <v>584.0</v>
      </c>
      <c r="D350" s="161" t="s">
        <v>5852</v>
      </c>
      <c r="E350" s="197" t="str">
        <f t="array" ref="E350">XLOOKUP(C350,ICSE!A:A,ICSE!Z:Z,,0,1)</f>
        <v>Publicly available (2)</v>
      </c>
      <c r="F350" s="198" t="s">
        <v>20</v>
      </c>
      <c r="G350" s="163" t="str">
        <f t="array" ref="G350">IF(B350="ICSE",IF(COUNTIFS(B:B,B350,C:C,C350)=XLOOKUP(C350,ICSE!A:A,ICSE!AA:AA,"ERROR",0,1),"OK","ERROR"),IF(B350="FSE",IF(COUNTIFS(B:B,B350,C:C,C350)=XLOOKUP(C350,FSE!A:A,FSE!AA:AA,"ERROR",0,1),"OK","ERROR")))</f>
        <v>OK</v>
      </c>
      <c r="H350" s="199">
        <f t="shared" ref="H350:O350" si="1752">countif($D350,"*"&amp;H$2&amp;"*")</f>
        <v>0</v>
      </c>
      <c r="I350" s="200">
        <f t="shared" si="1752"/>
        <v>0</v>
      </c>
      <c r="J350" s="200">
        <f t="shared" si="1752"/>
        <v>0</v>
      </c>
      <c r="K350" s="200">
        <f t="shared" si="1752"/>
        <v>0</v>
      </c>
      <c r="L350" s="200">
        <f t="shared" si="1752"/>
        <v>0</v>
      </c>
      <c r="M350" s="200">
        <f t="shared" si="1752"/>
        <v>0</v>
      </c>
      <c r="N350" s="200">
        <f t="shared" si="1752"/>
        <v>0</v>
      </c>
      <c r="O350" s="200">
        <f t="shared" si="1752"/>
        <v>0</v>
      </c>
      <c r="P350" s="200">
        <f t="shared" si="9"/>
        <v>1</v>
      </c>
      <c r="Q350" s="200">
        <f t="shared" ref="Q350:AC350" si="1753">countif($D350,"*"&amp;Q$2&amp;"*")</f>
        <v>0</v>
      </c>
      <c r="R350" s="200">
        <f t="shared" si="1753"/>
        <v>0</v>
      </c>
      <c r="S350" s="200">
        <f t="shared" si="1753"/>
        <v>0</v>
      </c>
      <c r="T350" s="200">
        <f t="shared" si="1753"/>
        <v>0</v>
      </c>
      <c r="U350" s="200">
        <f t="shared" si="1753"/>
        <v>0</v>
      </c>
      <c r="V350" s="200">
        <f t="shared" si="1753"/>
        <v>0</v>
      </c>
      <c r="W350" s="200">
        <f t="shared" si="1753"/>
        <v>0</v>
      </c>
      <c r="X350" s="200">
        <f t="shared" si="1753"/>
        <v>0</v>
      </c>
      <c r="Y350" s="200">
        <f t="shared" si="1753"/>
        <v>0</v>
      </c>
      <c r="Z350" s="200">
        <f t="shared" si="1753"/>
        <v>0</v>
      </c>
      <c r="AA350" s="200">
        <f t="shared" si="1753"/>
        <v>0</v>
      </c>
      <c r="AB350" s="200">
        <f t="shared" si="1753"/>
        <v>0</v>
      </c>
      <c r="AC350" s="200">
        <f t="shared" si="1753"/>
        <v>0</v>
      </c>
      <c r="AD350" s="200">
        <f t="shared" si="11"/>
        <v>0</v>
      </c>
      <c r="AE350" s="200">
        <f t="shared" ref="AE350:AG350" si="1754">countif($D350,"*"&amp;AE$2&amp;"*")</f>
        <v>0</v>
      </c>
      <c r="AF350" s="200">
        <f t="shared" si="1754"/>
        <v>0</v>
      </c>
      <c r="AG350" s="200">
        <f t="shared" si="1754"/>
        <v>0</v>
      </c>
      <c r="AH350" s="171">
        <f t="shared" si="13"/>
        <v>0</v>
      </c>
      <c r="AI350" s="200">
        <f t="shared" si="14"/>
        <v>0</v>
      </c>
      <c r="AJ350" s="200">
        <f t="shared" si="1129"/>
        <v>0</v>
      </c>
      <c r="AK350" s="201">
        <f t="shared" ref="AK350:AS350" si="1755">countif($D350,"*"&amp;AK$2&amp;"*")</f>
        <v>0</v>
      </c>
      <c r="AL350" s="201">
        <f t="shared" si="1755"/>
        <v>0</v>
      </c>
      <c r="AM350" s="201">
        <f t="shared" si="1755"/>
        <v>0</v>
      </c>
      <c r="AN350" s="201">
        <f t="shared" si="1755"/>
        <v>0</v>
      </c>
      <c r="AO350" s="201">
        <f t="shared" si="1755"/>
        <v>0</v>
      </c>
      <c r="AP350" s="201">
        <f t="shared" si="1755"/>
        <v>0</v>
      </c>
      <c r="AQ350" s="201">
        <f t="shared" si="1755"/>
        <v>0</v>
      </c>
      <c r="AR350" s="200">
        <f t="shared" si="1755"/>
        <v>0</v>
      </c>
      <c r="AS350" s="200">
        <f t="shared" si="1755"/>
        <v>0</v>
      </c>
      <c r="AT350" s="173">
        <v>0.0</v>
      </c>
      <c r="AU350" s="200">
        <f t="shared" ref="AU350:AX350" si="1756">countif($D350,"*"&amp;AU$2&amp;"*")</f>
        <v>0</v>
      </c>
      <c r="AV350" s="200">
        <f t="shared" si="1756"/>
        <v>1</v>
      </c>
      <c r="AW350" s="200">
        <f t="shared" si="1756"/>
        <v>0</v>
      </c>
      <c r="AX350" s="200">
        <f t="shared" si="1756"/>
        <v>0</v>
      </c>
      <c r="AY350" s="202">
        <v>0.0</v>
      </c>
      <c r="AZ350" s="200"/>
      <c r="BA350" s="171" t="str">
        <f t="shared" si="18"/>
        <v/>
      </c>
      <c r="BB350" s="171" t="str">
        <f t="shared" si="19"/>
        <v>Code</v>
      </c>
      <c r="BC350" s="171" t="str">
        <f t="shared" si="20"/>
        <v/>
      </c>
      <c r="BD350" s="171" t="str">
        <f t="shared" si="21"/>
        <v/>
      </c>
      <c r="BE350" s="171" t="str">
        <f t="shared" si="22"/>
        <v/>
      </c>
      <c r="BF350" s="171" t="str">
        <f t="shared" si="23"/>
        <v>Code</v>
      </c>
    </row>
    <row r="351">
      <c r="A351" s="171">
        <f t="array" ref="A351">XLOOKUP(C351,ICSE!A:A,ICSE!C:C,,2,1)</f>
        <v>2021</v>
      </c>
      <c r="B351" s="171" t="s">
        <v>5675</v>
      </c>
      <c r="C351" s="160">
        <v>584.0</v>
      </c>
      <c r="D351" s="161" t="s">
        <v>5853</v>
      </c>
      <c r="E351" s="197" t="str">
        <f t="array" ref="E351">XLOOKUP(C351,ICSE!A:A,ICSE!Z:Z,,0,1)</f>
        <v>Publicly available (2)</v>
      </c>
      <c r="F351" s="198" t="s">
        <v>20</v>
      </c>
      <c r="G351" s="163" t="str">
        <f t="array" ref="G351">IF(B351="ICSE",IF(COUNTIFS(B:B,B351,C:C,C351)=XLOOKUP(C351,ICSE!A:A,ICSE!AA:AA,"ERROR",0,1),"OK","ERROR"),IF(B351="FSE",IF(COUNTIFS(B:B,B351,C:C,C351)=XLOOKUP(C351,FSE!A:A,FSE!AA:AA,"ERROR",0,1),"OK","ERROR")))</f>
        <v>OK</v>
      </c>
      <c r="H351" s="199">
        <f t="shared" ref="H351:O351" si="1757">countif($D351,"*"&amp;H$2&amp;"*")</f>
        <v>1</v>
      </c>
      <c r="I351" s="200">
        <f t="shared" si="1757"/>
        <v>0</v>
      </c>
      <c r="J351" s="200">
        <f t="shared" si="1757"/>
        <v>0</v>
      </c>
      <c r="K351" s="200">
        <f t="shared" si="1757"/>
        <v>0</v>
      </c>
      <c r="L351" s="200">
        <f t="shared" si="1757"/>
        <v>0</v>
      </c>
      <c r="M351" s="200">
        <f t="shared" si="1757"/>
        <v>0</v>
      </c>
      <c r="N351" s="200">
        <f t="shared" si="1757"/>
        <v>0</v>
      </c>
      <c r="O351" s="200">
        <f t="shared" si="1757"/>
        <v>0</v>
      </c>
      <c r="P351" s="200">
        <f t="shared" si="9"/>
        <v>0</v>
      </c>
      <c r="Q351" s="200">
        <f t="shared" ref="Q351:AC351" si="1758">countif($D351,"*"&amp;Q$2&amp;"*")</f>
        <v>0</v>
      </c>
      <c r="R351" s="200">
        <f t="shared" si="1758"/>
        <v>0</v>
      </c>
      <c r="S351" s="200">
        <f t="shared" si="1758"/>
        <v>0</v>
      </c>
      <c r="T351" s="200">
        <f t="shared" si="1758"/>
        <v>0</v>
      </c>
      <c r="U351" s="200">
        <f t="shared" si="1758"/>
        <v>0</v>
      </c>
      <c r="V351" s="200">
        <f t="shared" si="1758"/>
        <v>0</v>
      </c>
      <c r="W351" s="200">
        <f t="shared" si="1758"/>
        <v>0</v>
      </c>
      <c r="X351" s="200">
        <f t="shared" si="1758"/>
        <v>0</v>
      </c>
      <c r="Y351" s="200">
        <f t="shared" si="1758"/>
        <v>0</v>
      </c>
      <c r="Z351" s="200">
        <f t="shared" si="1758"/>
        <v>0</v>
      </c>
      <c r="AA351" s="200">
        <f t="shared" si="1758"/>
        <v>0</v>
      </c>
      <c r="AB351" s="200">
        <f t="shared" si="1758"/>
        <v>0</v>
      </c>
      <c r="AC351" s="200">
        <f t="shared" si="1758"/>
        <v>0</v>
      </c>
      <c r="AD351" s="200">
        <f t="shared" si="11"/>
        <v>0</v>
      </c>
      <c r="AE351" s="200">
        <f t="shared" ref="AE351:AG351" si="1759">countif($D351,"*"&amp;AE$2&amp;"*")</f>
        <v>0</v>
      </c>
      <c r="AF351" s="200">
        <f t="shared" si="1759"/>
        <v>0</v>
      </c>
      <c r="AG351" s="200">
        <f t="shared" si="1759"/>
        <v>0</v>
      </c>
      <c r="AH351" s="171">
        <f t="shared" si="13"/>
        <v>0</v>
      </c>
      <c r="AI351" s="200">
        <f t="shared" si="14"/>
        <v>1</v>
      </c>
      <c r="AJ351" s="200">
        <f t="shared" si="1129"/>
        <v>0</v>
      </c>
      <c r="AK351" s="201">
        <f t="shared" ref="AK351:AS351" si="1760">countif($D351,"*"&amp;AK$2&amp;"*")</f>
        <v>0</v>
      </c>
      <c r="AL351" s="201">
        <f t="shared" si="1760"/>
        <v>0</v>
      </c>
      <c r="AM351" s="201">
        <f t="shared" si="1760"/>
        <v>0</v>
      </c>
      <c r="AN351" s="201">
        <f t="shared" si="1760"/>
        <v>0</v>
      </c>
      <c r="AO351" s="201">
        <f t="shared" si="1760"/>
        <v>0</v>
      </c>
      <c r="AP351" s="201">
        <f t="shared" si="1760"/>
        <v>0</v>
      </c>
      <c r="AQ351" s="201">
        <f t="shared" si="1760"/>
        <v>0</v>
      </c>
      <c r="AR351" s="200">
        <f t="shared" si="1760"/>
        <v>0</v>
      </c>
      <c r="AS351" s="200">
        <f t="shared" si="1760"/>
        <v>0</v>
      </c>
      <c r="AT351" s="173">
        <v>0.0</v>
      </c>
      <c r="AU351" s="200">
        <f t="shared" ref="AU351:AX351" si="1761">countif($D351,"*"&amp;AU$2&amp;"*")</f>
        <v>0</v>
      </c>
      <c r="AV351" s="200">
        <f t="shared" si="1761"/>
        <v>0</v>
      </c>
      <c r="AW351" s="200">
        <f t="shared" si="1761"/>
        <v>0</v>
      </c>
      <c r="AX351" s="200">
        <f t="shared" si="1761"/>
        <v>1</v>
      </c>
      <c r="AY351" s="202">
        <v>0.0</v>
      </c>
      <c r="AZ351" s="200"/>
      <c r="BA351" s="171" t="str">
        <f t="shared" si="18"/>
        <v>Archival</v>
      </c>
      <c r="BB351" s="171" t="str">
        <f t="shared" si="19"/>
        <v/>
      </c>
      <c r="BC351" s="171" t="str">
        <f t="shared" si="20"/>
        <v/>
      </c>
      <c r="BD351" s="171" t="str">
        <f t="shared" si="21"/>
        <v/>
      </c>
      <c r="BE351" s="171" t="str">
        <f t="shared" si="22"/>
        <v/>
      </c>
      <c r="BF351" s="171" t="str">
        <f t="shared" si="23"/>
        <v>Archival</v>
      </c>
    </row>
    <row r="352">
      <c r="A352" s="171">
        <f t="array" ref="A352">XLOOKUP(C352,ICSE!A:A,ICSE!C:C,,2,1)</f>
        <v>2021</v>
      </c>
      <c r="B352" s="171" t="s">
        <v>5675</v>
      </c>
      <c r="C352" s="160">
        <v>585.0</v>
      </c>
      <c r="D352" s="161" t="s">
        <v>2237</v>
      </c>
      <c r="E352" s="197" t="str">
        <f t="array" ref="E352">XLOOKUP(C352,ICSE!A:A,ICSE!Z:Z,,0,1)</f>
        <v>Publicly available (1)</v>
      </c>
      <c r="F352" s="198" t="s">
        <v>20</v>
      </c>
      <c r="G352" s="163" t="str">
        <f t="array" ref="G352">IF(B352="ICSE",IF(COUNTIFS(B:B,B352,C:C,C352)=XLOOKUP(C352,ICSE!A:A,ICSE!AA:AA,"ERROR",0,1),"OK","ERROR"),IF(B352="FSE",IF(COUNTIFS(B:B,B352,C:C,C352)=XLOOKUP(C352,FSE!A:A,FSE!AA:AA,"ERROR",0,1),"OK","ERROR")))</f>
        <v>OK</v>
      </c>
      <c r="H352" s="199">
        <f t="shared" ref="H352:O352" si="1762">countif($D352,"*"&amp;H$2&amp;"*")</f>
        <v>0</v>
      </c>
      <c r="I352" s="200">
        <f t="shared" si="1762"/>
        <v>0</v>
      </c>
      <c r="J352" s="200">
        <f t="shared" si="1762"/>
        <v>0</v>
      </c>
      <c r="K352" s="200">
        <f t="shared" si="1762"/>
        <v>0</v>
      </c>
      <c r="L352" s="200">
        <f t="shared" si="1762"/>
        <v>0</v>
      </c>
      <c r="M352" s="200">
        <f t="shared" si="1762"/>
        <v>0</v>
      </c>
      <c r="N352" s="200">
        <f t="shared" si="1762"/>
        <v>0</v>
      </c>
      <c r="O352" s="200">
        <f t="shared" si="1762"/>
        <v>0</v>
      </c>
      <c r="P352" s="200">
        <f t="shared" si="9"/>
        <v>0</v>
      </c>
      <c r="Q352" s="200">
        <f t="shared" ref="Q352:AC352" si="1763">countif($D352,"*"&amp;Q$2&amp;"*")</f>
        <v>0</v>
      </c>
      <c r="R352" s="200">
        <f t="shared" si="1763"/>
        <v>1</v>
      </c>
      <c r="S352" s="200">
        <f t="shared" si="1763"/>
        <v>0</v>
      </c>
      <c r="T352" s="200">
        <f t="shared" si="1763"/>
        <v>0</v>
      </c>
      <c r="U352" s="200">
        <f t="shared" si="1763"/>
        <v>0</v>
      </c>
      <c r="V352" s="200">
        <f t="shared" si="1763"/>
        <v>0</v>
      </c>
      <c r="W352" s="200">
        <f t="shared" si="1763"/>
        <v>0</v>
      </c>
      <c r="X352" s="200">
        <f t="shared" si="1763"/>
        <v>0</v>
      </c>
      <c r="Y352" s="200">
        <f t="shared" si="1763"/>
        <v>0</v>
      </c>
      <c r="Z352" s="200">
        <f t="shared" si="1763"/>
        <v>0</v>
      </c>
      <c r="AA352" s="200">
        <f t="shared" si="1763"/>
        <v>0</v>
      </c>
      <c r="AB352" s="200">
        <f t="shared" si="1763"/>
        <v>0</v>
      </c>
      <c r="AC352" s="200">
        <f t="shared" si="1763"/>
        <v>0</v>
      </c>
      <c r="AD352" s="200">
        <f t="shared" si="11"/>
        <v>0</v>
      </c>
      <c r="AE352" s="200">
        <f t="shared" ref="AE352:AG352" si="1764">countif($D352,"*"&amp;AE$2&amp;"*")</f>
        <v>0</v>
      </c>
      <c r="AF352" s="200">
        <f t="shared" si="1764"/>
        <v>0</v>
      </c>
      <c r="AG352" s="200">
        <f t="shared" si="1764"/>
        <v>0</v>
      </c>
      <c r="AH352" s="171">
        <f t="shared" si="13"/>
        <v>0</v>
      </c>
      <c r="AI352" s="200">
        <f t="shared" si="14"/>
        <v>0</v>
      </c>
      <c r="AJ352" s="200">
        <f t="shared" si="1129"/>
        <v>0</v>
      </c>
      <c r="AK352" s="201">
        <f t="shared" ref="AK352:AS352" si="1765">countif($D352,"*"&amp;AK$2&amp;"*")</f>
        <v>0</v>
      </c>
      <c r="AL352" s="201">
        <f t="shared" si="1765"/>
        <v>0</v>
      </c>
      <c r="AM352" s="201">
        <f t="shared" si="1765"/>
        <v>0</v>
      </c>
      <c r="AN352" s="201">
        <f t="shared" si="1765"/>
        <v>0</v>
      </c>
      <c r="AO352" s="201">
        <f t="shared" si="1765"/>
        <v>0</v>
      </c>
      <c r="AP352" s="201">
        <f t="shared" si="1765"/>
        <v>0</v>
      </c>
      <c r="AQ352" s="201">
        <f t="shared" si="1765"/>
        <v>0</v>
      </c>
      <c r="AR352" s="200">
        <f t="shared" si="1765"/>
        <v>0</v>
      </c>
      <c r="AS352" s="200">
        <f t="shared" si="1765"/>
        <v>0</v>
      </c>
      <c r="AT352" s="173">
        <v>0.0</v>
      </c>
      <c r="AU352" s="200">
        <f t="shared" ref="AU352:AX352" si="1766">countif($D352,"*"&amp;AU$2&amp;"*")</f>
        <v>0</v>
      </c>
      <c r="AV352" s="200">
        <f t="shared" si="1766"/>
        <v>0</v>
      </c>
      <c r="AW352" s="200">
        <f t="shared" si="1766"/>
        <v>0</v>
      </c>
      <c r="AX352" s="200">
        <f t="shared" si="1766"/>
        <v>0</v>
      </c>
      <c r="AY352" s="202">
        <v>0.0</v>
      </c>
      <c r="AZ352" s="200"/>
      <c r="BA352" s="171" t="str">
        <f t="shared" si="18"/>
        <v/>
      </c>
      <c r="BB352" s="171" t="str">
        <f t="shared" si="19"/>
        <v>Code</v>
      </c>
      <c r="BC352" s="171" t="str">
        <f t="shared" si="20"/>
        <v/>
      </c>
      <c r="BD352" s="171" t="str">
        <f t="shared" si="21"/>
        <v/>
      </c>
      <c r="BE352" s="171" t="str">
        <f t="shared" si="22"/>
        <v/>
      </c>
      <c r="BF352" s="171" t="str">
        <f t="shared" si="23"/>
        <v>Code</v>
      </c>
    </row>
    <row r="353">
      <c r="A353" s="171">
        <f t="array" ref="A353">XLOOKUP(C353,ICSE!A:A,ICSE!C:C,,2,1)</f>
        <v>2021</v>
      </c>
      <c r="B353" s="171" t="s">
        <v>5675</v>
      </c>
      <c r="C353" s="160">
        <v>587.0</v>
      </c>
      <c r="D353" s="161" t="s">
        <v>5854</v>
      </c>
      <c r="E353" s="197" t="str">
        <f t="array" ref="E353">XLOOKUP(C353,ICSE!A:A,ICSE!Z:Z,,0,1)</f>
        <v>Publicly available (2)</v>
      </c>
      <c r="F353" s="198" t="s">
        <v>20</v>
      </c>
      <c r="G353" s="163" t="str">
        <f t="array" ref="G353">IF(B353="ICSE",IF(COUNTIFS(B:B,B353,C:C,C353)=XLOOKUP(C353,ICSE!A:A,ICSE!AA:AA,"ERROR",0,1),"OK","ERROR"),IF(B353="FSE",IF(COUNTIFS(B:B,B353,C:C,C353)=XLOOKUP(C353,FSE!A:A,FSE!AA:AA,"ERROR",0,1),"OK","ERROR")))</f>
        <v>OK</v>
      </c>
      <c r="H353" s="199">
        <f t="shared" ref="H353:O353" si="1767">countif($D353,"*"&amp;H$2&amp;"*")</f>
        <v>0</v>
      </c>
      <c r="I353" s="200">
        <f t="shared" si="1767"/>
        <v>0</v>
      </c>
      <c r="J353" s="200">
        <f t="shared" si="1767"/>
        <v>0</v>
      </c>
      <c r="K353" s="200">
        <f t="shared" si="1767"/>
        <v>0</v>
      </c>
      <c r="L353" s="200">
        <f t="shared" si="1767"/>
        <v>0</v>
      </c>
      <c r="M353" s="200">
        <f t="shared" si="1767"/>
        <v>0</v>
      </c>
      <c r="N353" s="200">
        <f t="shared" si="1767"/>
        <v>0</v>
      </c>
      <c r="O353" s="200">
        <f t="shared" si="1767"/>
        <v>0</v>
      </c>
      <c r="P353" s="200">
        <f t="shared" si="9"/>
        <v>0</v>
      </c>
      <c r="Q353" s="200">
        <f t="shared" ref="Q353:AC353" si="1768">countif($D353,"*"&amp;Q$2&amp;"*")</f>
        <v>0</v>
      </c>
      <c r="R353" s="200">
        <f t="shared" si="1768"/>
        <v>0</v>
      </c>
      <c r="S353" s="200">
        <f t="shared" si="1768"/>
        <v>0</v>
      </c>
      <c r="T353" s="200">
        <f t="shared" si="1768"/>
        <v>0</v>
      </c>
      <c r="U353" s="200">
        <f t="shared" si="1768"/>
        <v>0</v>
      </c>
      <c r="V353" s="200">
        <f t="shared" si="1768"/>
        <v>0</v>
      </c>
      <c r="W353" s="200">
        <f t="shared" si="1768"/>
        <v>0</v>
      </c>
      <c r="X353" s="200">
        <f t="shared" si="1768"/>
        <v>0</v>
      </c>
      <c r="Y353" s="200">
        <f t="shared" si="1768"/>
        <v>0</v>
      </c>
      <c r="Z353" s="200">
        <f t="shared" si="1768"/>
        <v>0</v>
      </c>
      <c r="AA353" s="200">
        <f t="shared" si="1768"/>
        <v>0</v>
      </c>
      <c r="AB353" s="200">
        <f t="shared" si="1768"/>
        <v>1</v>
      </c>
      <c r="AC353" s="200">
        <f t="shared" si="1768"/>
        <v>0</v>
      </c>
      <c r="AD353" s="200">
        <f t="shared" si="11"/>
        <v>0</v>
      </c>
      <c r="AE353" s="200">
        <f t="shared" ref="AE353:AG353" si="1769">countif($D353,"*"&amp;AE$2&amp;"*")</f>
        <v>0</v>
      </c>
      <c r="AF353" s="200">
        <f t="shared" si="1769"/>
        <v>0</v>
      </c>
      <c r="AG353" s="200">
        <f t="shared" si="1769"/>
        <v>0</v>
      </c>
      <c r="AH353" s="171">
        <f t="shared" si="13"/>
        <v>0</v>
      </c>
      <c r="AI353" s="200">
        <f t="shared" si="14"/>
        <v>0</v>
      </c>
      <c r="AJ353" s="200">
        <f t="shared" si="1129"/>
        <v>1</v>
      </c>
      <c r="AK353" s="201">
        <f t="shared" ref="AK353:AS353" si="1770">countif($D353,"*"&amp;AK$2&amp;"*")</f>
        <v>0</v>
      </c>
      <c r="AL353" s="201">
        <f t="shared" si="1770"/>
        <v>0</v>
      </c>
      <c r="AM353" s="201">
        <f t="shared" si="1770"/>
        <v>0</v>
      </c>
      <c r="AN353" s="201">
        <f t="shared" si="1770"/>
        <v>0</v>
      </c>
      <c r="AO353" s="201">
        <f t="shared" si="1770"/>
        <v>0</v>
      </c>
      <c r="AP353" s="201">
        <f t="shared" si="1770"/>
        <v>0</v>
      </c>
      <c r="AQ353" s="201">
        <f t="shared" si="1770"/>
        <v>0</v>
      </c>
      <c r="AR353" s="200">
        <f t="shared" si="1770"/>
        <v>1</v>
      </c>
      <c r="AS353" s="200">
        <f t="shared" si="1770"/>
        <v>1</v>
      </c>
      <c r="AT353" s="173">
        <v>0.0</v>
      </c>
      <c r="AU353" s="200">
        <f t="shared" ref="AU353:AX353" si="1771">countif($D353,"*"&amp;AU$2&amp;"*")</f>
        <v>0</v>
      </c>
      <c r="AV353" s="200">
        <f t="shared" si="1771"/>
        <v>0</v>
      </c>
      <c r="AW353" s="200">
        <f t="shared" si="1771"/>
        <v>0</v>
      </c>
      <c r="AX353" s="200">
        <f t="shared" si="1771"/>
        <v>0</v>
      </c>
      <c r="AY353" s="202">
        <v>0.0</v>
      </c>
      <c r="AZ353" s="200"/>
      <c r="BA353" s="171" t="str">
        <f t="shared" si="18"/>
        <v/>
      </c>
      <c r="BB353" s="171" t="str">
        <f t="shared" si="19"/>
        <v/>
      </c>
      <c r="BC353" s="171" t="str">
        <f t="shared" si="20"/>
        <v>General-purpose</v>
      </c>
      <c r="BD353" s="171" t="str">
        <f t="shared" si="21"/>
        <v/>
      </c>
      <c r="BE353" s="171" t="str">
        <f t="shared" si="22"/>
        <v/>
      </c>
      <c r="BF353" s="171" t="str">
        <f t="shared" si="23"/>
        <v>General-purpose</v>
      </c>
    </row>
    <row r="354">
      <c r="A354" s="171">
        <f t="array" ref="A354">XLOOKUP(C354,ICSE!A:A,ICSE!C:C,,2,1)</f>
        <v>2021</v>
      </c>
      <c r="B354" s="171" t="s">
        <v>5675</v>
      </c>
      <c r="C354" s="160">
        <v>587.0</v>
      </c>
      <c r="D354" s="161" t="s">
        <v>5855</v>
      </c>
      <c r="E354" s="197" t="str">
        <f t="array" ref="E354">XLOOKUP(C354,ICSE!A:A,ICSE!Z:Z,,0,1)</f>
        <v>Publicly available (2)</v>
      </c>
      <c r="F354" s="198" t="s">
        <v>20</v>
      </c>
      <c r="G354" s="163" t="str">
        <f t="array" ref="G354">IF(B354="ICSE",IF(COUNTIFS(B:B,B354,C:C,C354)=XLOOKUP(C354,ICSE!A:A,ICSE!AA:AA,"ERROR",0,1),"OK","ERROR"),IF(B354="FSE",IF(COUNTIFS(B:B,B354,C:C,C354)=XLOOKUP(C354,FSE!A:A,FSE!AA:AA,"ERROR",0,1),"OK","ERROR")))</f>
        <v>OK</v>
      </c>
      <c r="H354" s="199">
        <f t="shared" ref="H354:O354" si="1772">countif($D354,"*"&amp;H$2&amp;"*")</f>
        <v>0</v>
      </c>
      <c r="I354" s="200">
        <f t="shared" si="1772"/>
        <v>0</v>
      </c>
      <c r="J354" s="200">
        <f t="shared" si="1772"/>
        <v>0</v>
      </c>
      <c r="K354" s="200">
        <f t="shared" si="1772"/>
        <v>0</v>
      </c>
      <c r="L354" s="200">
        <f t="shared" si="1772"/>
        <v>0</v>
      </c>
      <c r="M354" s="200">
        <f t="shared" si="1772"/>
        <v>0</v>
      </c>
      <c r="N354" s="200">
        <f t="shared" si="1772"/>
        <v>0</v>
      </c>
      <c r="O354" s="200">
        <f t="shared" si="1772"/>
        <v>0</v>
      </c>
      <c r="P354" s="200">
        <f t="shared" si="9"/>
        <v>1</v>
      </c>
      <c r="Q354" s="200">
        <f t="shared" ref="Q354:AC354" si="1773">countif($D354,"*"&amp;Q$2&amp;"*")</f>
        <v>0</v>
      </c>
      <c r="R354" s="200">
        <f t="shared" si="1773"/>
        <v>0</v>
      </c>
      <c r="S354" s="200">
        <f t="shared" si="1773"/>
        <v>0</v>
      </c>
      <c r="T354" s="200">
        <f t="shared" si="1773"/>
        <v>0</v>
      </c>
      <c r="U354" s="200">
        <f t="shared" si="1773"/>
        <v>0</v>
      </c>
      <c r="V354" s="200">
        <f t="shared" si="1773"/>
        <v>0</v>
      </c>
      <c r="W354" s="200">
        <f t="shared" si="1773"/>
        <v>0</v>
      </c>
      <c r="X354" s="200">
        <f t="shared" si="1773"/>
        <v>0</v>
      </c>
      <c r="Y354" s="200">
        <f t="shared" si="1773"/>
        <v>0</v>
      </c>
      <c r="Z354" s="200">
        <f t="shared" si="1773"/>
        <v>0</v>
      </c>
      <c r="AA354" s="200">
        <f t="shared" si="1773"/>
        <v>0</v>
      </c>
      <c r="AB354" s="200">
        <f t="shared" si="1773"/>
        <v>0</v>
      </c>
      <c r="AC354" s="200">
        <f t="shared" si="1773"/>
        <v>0</v>
      </c>
      <c r="AD354" s="200">
        <f t="shared" si="11"/>
        <v>0</v>
      </c>
      <c r="AE354" s="200">
        <f t="shared" ref="AE354:AG354" si="1774">countif($D354,"*"&amp;AE$2&amp;"*")</f>
        <v>0</v>
      </c>
      <c r="AF354" s="200">
        <f t="shared" si="1774"/>
        <v>0</v>
      </c>
      <c r="AG354" s="200">
        <f t="shared" si="1774"/>
        <v>0</v>
      </c>
      <c r="AH354" s="171">
        <f t="shared" si="13"/>
        <v>0</v>
      </c>
      <c r="AI354" s="200">
        <f t="shared" si="14"/>
        <v>0</v>
      </c>
      <c r="AJ354" s="200">
        <f t="shared" si="1129"/>
        <v>0</v>
      </c>
      <c r="AK354" s="201">
        <f t="shared" ref="AK354:AS354" si="1775">countif($D354,"*"&amp;AK$2&amp;"*")</f>
        <v>0</v>
      </c>
      <c r="AL354" s="201">
        <f t="shared" si="1775"/>
        <v>0</v>
      </c>
      <c r="AM354" s="201">
        <f t="shared" si="1775"/>
        <v>0</v>
      </c>
      <c r="AN354" s="201">
        <f t="shared" si="1775"/>
        <v>0</v>
      </c>
      <c r="AO354" s="201">
        <f t="shared" si="1775"/>
        <v>0</v>
      </c>
      <c r="AP354" s="201">
        <f t="shared" si="1775"/>
        <v>0</v>
      </c>
      <c r="AQ354" s="201">
        <f t="shared" si="1775"/>
        <v>0</v>
      </c>
      <c r="AR354" s="200">
        <f t="shared" si="1775"/>
        <v>0</v>
      </c>
      <c r="AS354" s="200">
        <f t="shared" si="1775"/>
        <v>0</v>
      </c>
      <c r="AT354" s="173">
        <v>0.0</v>
      </c>
      <c r="AU354" s="200">
        <f t="shared" ref="AU354:AX354" si="1776">countif($D354,"*"&amp;AU$2&amp;"*")</f>
        <v>0</v>
      </c>
      <c r="AV354" s="200">
        <f t="shared" si="1776"/>
        <v>1</v>
      </c>
      <c r="AW354" s="200">
        <f t="shared" si="1776"/>
        <v>0</v>
      </c>
      <c r="AX354" s="200">
        <f t="shared" si="1776"/>
        <v>0</v>
      </c>
      <c r="AY354" s="202">
        <v>0.0</v>
      </c>
      <c r="AZ354" s="200"/>
      <c r="BA354" s="171" t="str">
        <f t="shared" si="18"/>
        <v/>
      </c>
      <c r="BB354" s="171" t="str">
        <f t="shared" si="19"/>
        <v>Code</v>
      </c>
      <c r="BC354" s="171" t="str">
        <f t="shared" si="20"/>
        <v/>
      </c>
      <c r="BD354" s="171" t="str">
        <f t="shared" si="21"/>
        <v/>
      </c>
      <c r="BE354" s="171" t="str">
        <f t="shared" si="22"/>
        <v/>
      </c>
      <c r="BF354" s="171" t="str">
        <f t="shared" si="23"/>
        <v>Code</v>
      </c>
    </row>
    <row r="355">
      <c r="A355" s="171">
        <f t="array" ref="A355">XLOOKUP(C355,ICSE!A:A,ICSE!C:C,,2,1)</f>
        <v>2021</v>
      </c>
      <c r="B355" s="171" t="s">
        <v>5675</v>
      </c>
      <c r="C355" s="160">
        <v>588.0</v>
      </c>
      <c r="D355" s="161" t="s">
        <v>2245</v>
      </c>
      <c r="E355" s="197" t="str">
        <f t="array" ref="E355">XLOOKUP(C355,ICSE!A:A,ICSE!Z:Z,,0,1)</f>
        <v>Publicly available (1)</v>
      </c>
      <c r="F355" s="198" t="s">
        <v>20</v>
      </c>
      <c r="G355" s="163" t="str">
        <f t="array" ref="G355">IF(B355="ICSE",IF(COUNTIFS(B:B,B355,C:C,C355)=XLOOKUP(C355,ICSE!A:A,ICSE!AA:AA,"ERROR",0,1),"OK","ERROR"),IF(B355="FSE",IF(COUNTIFS(B:B,B355,C:C,C355)=XLOOKUP(C355,FSE!A:A,FSE!AA:AA,"ERROR",0,1),"OK","ERROR")))</f>
        <v>OK</v>
      </c>
      <c r="H355" s="199">
        <f t="shared" ref="H355:O355" si="1777">countif($D355,"*"&amp;H$2&amp;"*")</f>
        <v>0</v>
      </c>
      <c r="I355" s="200">
        <f t="shared" si="1777"/>
        <v>0</v>
      </c>
      <c r="J355" s="200">
        <f t="shared" si="1777"/>
        <v>0</v>
      </c>
      <c r="K355" s="200">
        <f t="shared" si="1777"/>
        <v>0</v>
      </c>
      <c r="L355" s="200">
        <f t="shared" si="1777"/>
        <v>0</v>
      </c>
      <c r="M355" s="200">
        <f t="shared" si="1777"/>
        <v>0</v>
      </c>
      <c r="N355" s="200">
        <f t="shared" si="1777"/>
        <v>0</v>
      </c>
      <c r="O355" s="200">
        <f t="shared" si="1777"/>
        <v>0</v>
      </c>
      <c r="P355" s="200">
        <f t="shared" si="9"/>
        <v>0</v>
      </c>
      <c r="Q355" s="200">
        <f t="shared" ref="Q355:AC355" si="1778">countif($D355,"*"&amp;Q$2&amp;"*")</f>
        <v>0</v>
      </c>
      <c r="R355" s="200">
        <f t="shared" si="1778"/>
        <v>0</v>
      </c>
      <c r="S355" s="200">
        <f t="shared" si="1778"/>
        <v>0</v>
      </c>
      <c r="T355" s="200">
        <f t="shared" si="1778"/>
        <v>0</v>
      </c>
      <c r="U355" s="200">
        <f t="shared" si="1778"/>
        <v>0</v>
      </c>
      <c r="V355" s="200">
        <f t="shared" si="1778"/>
        <v>0</v>
      </c>
      <c r="W355" s="200">
        <f t="shared" si="1778"/>
        <v>0</v>
      </c>
      <c r="X355" s="200">
        <f t="shared" si="1778"/>
        <v>0</v>
      </c>
      <c r="Y355" s="200">
        <f t="shared" si="1778"/>
        <v>0</v>
      </c>
      <c r="Z355" s="200">
        <f t="shared" si="1778"/>
        <v>0</v>
      </c>
      <c r="AA355" s="200">
        <f t="shared" si="1778"/>
        <v>1</v>
      </c>
      <c r="AB355" s="200">
        <f t="shared" si="1778"/>
        <v>0</v>
      </c>
      <c r="AC355" s="200">
        <f t="shared" si="1778"/>
        <v>0</v>
      </c>
      <c r="AD355" s="200">
        <f t="shared" si="11"/>
        <v>0</v>
      </c>
      <c r="AE355" s="200">
        <f t="shared" ref="AE355:AG355" si="1779">countif($D355,"*"&amp;AE$2&amp;"*")</f>
        <v>0</v>
      </c>
      <c r="AF355" s="200">
        <f t="shared" si="1779"/>
        <v>0</v>
      </c>
      <c r="AG355" s="200">
        <f t="shared" si="1779"/>
        <v>0</v>
      </c>
      <c r="AH355" s="171">
        <f t="shared" si="13"/>
        <v>0</v>
      </c>
      <c r="AI355" s="200">
        <f t="shared" si="14"/>
        <v>0</v>
      </c>
      <c r="AJ355" s="200">
        <f t="shared" si="1129"/>
        <v>0</v>
      </c>
      <c r="AK355" s="201">
        <f t="shared" ref="AK355:AS355" si="1780">countif($D355,"*"&amp;AK$2&amp;"*")</f>
        <v>0</v>
      </c>
      <c r="AL355" s="201">
        <f t="shared" si="1780"/>
        <v>0</v>
      </c>
      <c r="AM355" s="201">
        <f t="shared" si="1780"/>
        <v>0</v>
      </c>
      <c r="AN355" s="201">
        <f t="shared" si="1780"/>
        <v>0</v>
      </c>
      <c r="AO355" s="201">
        <f t="shared" si="1780"/>
        <v>0</v>
      </c>
      <c r="AP355" s="201">
        <f t="shared" si="1780"/>
        <v>0</v>
      </c>
      <c r="AQ355" s="201">
        <f t="shared" si="1780"/>
        <v>0</v>
      </c>
      <c r="AR355" s="200">
        <f t="shared" si="1780"/>
        <v>0</v>
      </c>
      <c r="AS355" s="200">
        <f t="shared" si="1780"/>
        <v>0</v>
      </c>
      <c r="AT355" s="173">
        <v>0.0</v>
      </c>
      <c r="AU355" s="200">
        <f t="shared" ref="AU355:AX355" si="1781">countif($D355,"*"&amp;AU$2&amp;"*")</f>
        <v>0</v>
      </c>
      <c r="AV355" s="200">
        <f t="shared" si="1781"/>
        <v>0</v>
      </c>
      <c r="AW355" s="200">
        <f t="shared" si="1781"/>
        <v>0</v>
      </c>
      <c r="AX355" s="200">
        <f t="shared" si="1781"/>
        <v>0</v>
      </c>
      <c r="AY355" s="202">
        <v>0.0</v>
      </c>
      <c r="AZ355" s="200"/>
      <c r="BA355" s="171" t="str">
        <f t="shared" si="18"/>
        <v/>
      </c>
      <c r="BB355" s="171" t="str">
        <f t="shared" si="19"/>
        <v/>
      </c>
      <c r="BC355" s="171" t="str">
        <f t="shared" si="20"/>
        <v>General-purpose</v>
      </c>
      <c r="BD355" s="171" t="str">
        <f t="shared" si="21"/>
        <v/>
      </c>
      <c r="BE355" s="171" t="str">
        <f t="shared" si="22"/>
        <v/>
      </c>
      <c r="BF355" s="171" t="str">
        <f t="shared" si="23"/>
        <v>General-purpose</v>
      </c>
    </row>
    <row r="356">
      <c r="A356" s="171">
        <f t="array" ref="A356">XLOOKUP(C356,ICSE!A:A,ICSE!C:C,,2,1)</f>
        <v>2021</v>
      </c>
      <c r="B356" s="171" t="s">
        <v>5675</v>
      </c>
      <c r="C356" s="160">
        <v>589.0</v>
      </c>
      <c r="D356" s="161" t="s">
        <v>2249</v>
      </c>
      <c r="E356" s="197" t="str">
        <f t="array" ref="E356">XLOOKUP(C356,ICSE!A:A,ICSE!Z:Z,,0,1)</f>
        <v>Publicly available (1)</v>
      </c>
      <c r="F356" s="198" t="s">
        <v>20</v>
      </c>
      <c r="G356" s="163" t="str">
        <f t="array" ref="G356">IF(B356="ICSE",IF(COUNTIFS(B:B,B356,C:C,C356)=XLOOKUP(C356,ICSE!A:A,ICSE!AA:AA,"ERROR",0,1),"OK","ERROR"),IF(B356="FSE",IF(COUNTIFS(B:B,B356,C:C,C356)=XLOOKUP(C356,FSE!A:A,FSE!AA:AA,"ERROR",0,1),"OK","ERROR")))</f>
        <v>OK</v>
      </c>
      <c r="H356" s="199">
        <f t="shared" ref="H356:O356" si="1782">countif($D356,"*"&amp;H$2&amp;"*")</f>
        <v>0</v>
      </c>
      <c r="I356" s="200">
        <f t="shared" si="1782"/>
        <v>0</v>
      </c>
      <c r="J356" s="200">
        <f t="shared" si="1782"/>
        <v>0</v>
      </c>
      <c r="K356" s="200">
        <f t="shared" si="1782"/>
        <v>0</v>
      </c>
      <c r="L356" s="200">
        <f t="shared" si="1782"/>
        <v>0</v>
      </c>
      <c r="M356" s="200">
        <f t="shared" si="1782"/>
        <v>0</v>
      </c>
      <c r="N356" s="200">
        <f t="shared" si="1782"/>
        <v>0</v>
      </c>
      <c r="O356" s="200">
        <f t="shared" si="1782"/>
        <v>0</v>
      </c>
      <c r="P356" s="200">
        <f t="shared" si="9"/>
        <v>1</v>
      </c>
      <c r="Q356" s="200">
        <f t="shared" ref="Q356:AC356" si="1783">countif($D356,"*"&amp;Q$2&amp;"*")</f>
        <v>0</v>
      </c>
      <c r="R356" s="200">
        <f t="shared" si="1783"/>
        <v>0</v>
      </c>
      <c r="S356" s="200">
        <f t="shared" si="1783"/>
        <v>0</v>
      </c>
      <c r="T356" s="200">
        <f t="shared" si="1783"/>
        <v>0</v>
      </c>
      <c r="U356" s="200">
        <f t="shared" si="1783"/>
        <v>0</v>
      </c>
      <c r="V356" s="200">
        <f t="shared" si="1783"/>
        <v>0</v>
      </c>
      <c r="W356" s="200">
        <f t="shared" si="1783"/>
        <v>0</v>
      </c>
      <c r="X356" s="200">
        <f t="shared" si="1783"/>
        <v>0</v>
      </c>
      <c r="Y356" s="200">
        <f t="shared" si="1783"/>
        <v>0</v>
      </c>
      <c r="Z356" s="200">
        <f t="shared" si="1783"/>
        <v>0</v>
      </c>
      <c r="AA356" s="200">
        <f t="shared" si="1783"/>
        <v>0</v>
      </c>
      <c r="AB356" s="200">
        <f t="shared" si="1783"/>
        <v>0</v>
      </c>
      <c r="AC356" s="200">
        <f t="shared" si="1783"/>
        <v>0</v>
      </c>
      <c r="AD356" s="200">
        <f t="shared" si="11"/>
        <v>0</v>
      </c>
      <c r="AE356" s="200">
        <f t="shared" ref="AE356:AG356" si="1784">countif($D356,"*"&amp;AE$2&amp;"*")</f>
        <v>0</v>
      </c>
      <c r="AF356" s="200">
        <f t="shared" si="1784"/>
        <v>0</v>
      </c>
      <c r="AG356" s="200">
        <f t="shared" si="1784"/>
        <v>0</v>
      </c>
      <c r="AH356" s="171">
        <f t="shared" si="13"/>
        <v>0</v>
      </c>
      <c r="AI356" s="200">
        <f t="shared" si="14"/>
        <v>0</v>
      </c>
      <c r="AJ356" s="200">
        <f t="shared" si="1129"/>
        <v>0</v>
      </c>
      <c r="AK356" s="201">
        <f t="shared" ref="AK356:AS356" si="1785">countif($D356,"*"&amp;AK$2&amp;"*")</f>
        <v>0</v>
      </c>
      <c r="AL356" s="201">
        <f t="shared" si="1785"/>
        <v>0</v>
      </c>
      <c r="AM356" s="201">
        <f t="shared" si="1785"/>
        <v>0</v>
      </c>
      <c r="AN356" s="201">
        <f t="shared" si="1785"/>
        <v>0</v>
      </c>
      <c r="AO356" s="201">
        <f t="shared" si="1785"/>
        <v>0</v>
      </c>
      <c r="AP356" s="201">
        <f t="shared" si="1785"/>
        <v>0</v>
      </c>
      <c r="AQ356" s="201">
        <f t="shared" si="1785"/>
        <v>0</v>
      </c>
      <c r="AR356" s="200">
        <f t="shared" si="1785"/>
        <v>0</v>
      </c>
      <c r="AS356" s="200">
        <f t="shared" si="1785"/>
        <v>0</v>
      </c>
      <c r="AT356" s="173">
        <v>0.0</v>
      </c>
      <c r="AU356" s="200">
        <f t="shared" ref="AU356:AX356" si="1786">countif($D356,"*"&amp;AU$2&amp;"*")</f>
        <v>0</v>
      </c>
      <c r="AV356" s="200">
        <f t="shared" si="1786"/>
        <v>1</v>
      </c>
      <c r="AW356" s="200">
        <f t="shared" si="1786"/>
        <v>0</v>
      </c>
      <c r="AX356" s="200">
        <f t="shared" si="1786"/>
        <v>0</v>
      </c>
      <c r="AY356" s="202">
        <v>0.0</v>
      </c>
      <c r="AZ356" s="200"/>
      <c r="BA356" s="171" t="str">
        <f t="shared" si="18"/>
        <v/>
      </c>
      <c r="BB356" s="171" t="str">
        <f t="shared" si="19"/>
        <v>Code</v>
      </c>
      <c r="BC356" s="171" t="str">
        <f t="shared" si="20"/>
        <v/>
      </c>
      <c r="BD356" s="171" t="str">
        <f t="shared" si="21"/>
        <v/>
      </c>
      <c r="BE356" s="171" t="str">
        <f t="shared" si="22"/>
        <v/>
      </c>
      <c r="BF356" s="171" t="str">
        <f t="shared" si="23"/>
        <v>Code</v>
      </c>
    </row>
    <row r="357">
      <c r="A357" s="171">
        <f t="array" ref="A357">XLOOKUP(C357,ICSE!A:A,ICSE!C:C,,2,1)</f>
        <v>2020</v>
      </c>
      <c r="B357" s="171" t="s">
        <v>5675</v>
      </c>
      <c r="C357" s="160">
        <v>695.0</v>
      </c>
      <c r="D357" s="161" t="s">
        <v>1488</v>
      </c>
      <c r="E357" s="197" t="str">
        <f t="array" ref="E357">XLOOKUP(C357,ICSE!A:A,ICSE!Z:Z,,0,1)</f>
        <v>Publicly available (1)</v>
      </c>
      <c r="F357" s="198" t="s">
        <v>20</v>
      </c>
      <c r="G357" s="163" t="str">
        <f t="array" ref="G357">IF(B357="ICSE",IF(COUNTIFS(B:B,B357,C:C,C357)=XLOOKUP(C357,ICSE!A:A,ICSE!AA:AA,"ERROR",0,1),"OK","ERROR"),IF(B357="FSE",IF(COUNTIFS(B:B,B357,C:C,C357)=XLOOKUP(C357,FSE!A:A,FSE!AA:AA,"ERROR",0,1),"OK","ERROR")))</f>
        <v>OK</v>
      </c>
      <c r="H357" s="199">
        <f t="shared" ref="H357:O357" si="1787">countif($D357,"*"&amp;H$2&amp;"*")</f>
        <v>0</v>
      </c>
      <c r="I357" s="200">
        <f t="shared" si="1787"/>
        <v>0</v>
      </c>
      <c r="J357" s="200">
        <f t="shared" si="1787"/>
        <v>0</v>
      </c>
      <c r="K357" s="200">
        <f t="shared" si="1787"/>
        <v>0</v>
      </c>
      <c r="L357" s="200">
        <f t="shared" si="1787"/>
        <v>0</v>
      </c>
      <c r="M357" s="200">
        <f t="shared" si="1787"/>
        <v>0</v>
      </c>
      <c r="N357" s="200">
        <f t="shared" si="1787"/>
        <v>0</v>
      </c>
      <c r="O357" s="200">
        <f t="shared" si="1787"/>
        <v>0</v>
      </c>
      <c r="P357" s="200">
        <f t="shared" si="9"/>
        <v>1</v>
      </c>
      <c r="Q357" s="200">
        <f t="shared" ref="Q357:AC357" si="1788">countif($D357,"*"&amp;Q$2&amp;"*")</f>
        <v>0</v>
      </c>
      <c r="R357" s="200">
        <f t="shared" si="1788"/>
        <v>0</v>
      </c>
      <c r="S357" s="200">
        <f t="shared" si="1788"/>
        <v>0</v>
      </c>
      <c r="T357" s="200">
        <f t="shared" si="1788"/>
        <v>0</v>
      </c>
      <c r="U357" s="200">
        <f t="shared" si="1788"/>
        <v>0</v>
      </c>
      <c r="V357" s="200">
        <f t="shared" si="1788"/>
        <v>0</v>
      </c>
      <c r="W357" s="200">
        <f t="shared" si="1788"/>
        <v>0</v>
      </c>
      <c r="X357" s="200">
        <f t="shared" si="1788"/>
        <v>0</v>
      </c>
      <c r="Y357" s="200">
        <f t="shared" si="1788"/>
        <v>0</v>
      </c>
      <c r="Z357" s="200">
        <f t="shared" si="1788"/>
        <v>0</v>
      </c>
      <c r="AA357" s="200">
        <f t="shared" si="1788"/>
        <v>0</v>
      </c>
      <c r="AB357" s="200">
        <f t="shared" si="1788"/>
        <v>0</v>
      </c>
      <c r="AC357" s="200">
        <f t="shared" si="1788"/>
        <v>0</v>
      </c>
      <c r="AD357" s="200">
        <f t="shared" si="11"/>
        <v>0</v>
      </c>
      <c r="AE357" s="200">
        <f t="shared" ref="AE357:AG357" si="1789">countif($D357,"*"&amp;AE$2&amp;"*")</f>
        <v>0</v>
      </c>
      <c r="AF357" s="200">
        <f t="shared" si="1789"/>
        <v>0</v>
      </c>
      <c r="AG357" s="200">
        <f t="shared" si="1789"/>
        <v>0</v>
      </c>
      <c r="AH357" s="171">
        <f t="shared" si="13"/>
        <v>0</v>
      </c>
      <c r="AI357" s="200">
        <f t="shared" si="14"/>
        <v>0</v>
      </c>
      <c r="AJ357" s="200">
        <f t="shared" si="1129"/>
        <v>0</v>
      </c>
      <c r="AK357" s="201">
        <f t="shared" ref="AK357:AS357" si="1790">countif($D357,"*"&amp;AK$2&amp;"*")</f>
        <v>0</v>
      </c>
      <c r="AL357" s="201">
        <f t="shared" si="1790"/>
        <v>0</v>
      </c>
      <c r="AM357" s="201">
        <f t="shared" si="1790"/>
        <v>0</v>
      </c>
      <c r="AN357" s="201">
        <f t="shared" si="1790"/>
        <v>0</v>
      </c>
      <c r="AO357" s="201">
        <f t="shared" si="1790"/>
        <v>0</v>
      </c>
      <c r="AP357" s="201">
        <f t="shared" si="1790"/>
        <v>0</v>
      </c>
      <c r="AQ357" s="201">
        <f t="shared" si="1790"/>
        <v>0</v>
      </c>
      <c r="AR357" s="200">
        <f t="shared" si="1790"/>
        <v>0</v>
      </c>
      <c r="AS357" s="200">
        <f t="shared" si="1790"/>
        <v>0</v>
      </c>
      <c r="AT357" s="173">
        <v>0.0</v>
      </c>
      <c r="AU357" s="200">
        <f t="shared" ref="AU357:AX357" si="1791">countif($D357,"*"&amp;AU$2&amp;"*")</f>
        <v>0</v>
      </c>
      <c r="AV357" s="200">
        <f t="shared" si="1791"/>
        <v>1</v>
      </c>
      <c r="AW357" s="200">
        <f t="shared" si="1791"/>
        <v>0</v>
      </c>
      <c r="AX357" s="200">
        <f t="shared" si="1791"/>
        <v>0</v>
      </c>
      <c r="AY357" s="202">
        <v>0.0</v>
      </c>
      <c r="AZ357" s="200"/>
      <c r="BA357" s="171" t="str">
        <f t="shared" si="18"/>
        <v/>
      </c>
      <c r="BB357" s="171" t="str">
        <f t="shared" si="19"/>
        <v>Code</v>
      </c>
      <c r="BC357" s="171" t="str">
        <f t="shared" si="20"/>
        <v/>
      </c>
      <c r="BD357" s="171" t="str">
        <f t="shared" si="21"/>
        <v/>
      </c>
      <c r="BE357" s="171" t="str">
        <f t="shared" si="22"/>
        <v/>
      </c>
      <c r="BF357" s="171" t="str">
        <f t="shared" si="23"/>
        <v>Code</v>
      </c>
    </row>
    <row r="358">
      <c r="A358" s="171">
        <f t="array" ref="A358">XLOOKUP(C358,ICSE!A:A,ICSE!C:C,,2,1)</f>
        <v>2020</v>
      </c>
      <c r="B358" s="171" t="s">
        <v>5675</v>
      </c>
      <c r="C358" s="160">
        <v>696.0</v>
      </c>
      <c r="D358" s="161" t="s">
        <v>1491</v>
      </c>
      <c r="E358" s="197" t="str">
        <f t="array" ref="E358">XLOOKUP(C358,ICSE!A:A,ICSE!Z:Z,,0,1)</f>
        <v>Publicly available (1)</v>
      </c>
      <c r="F358" s="198" t="s">
        <v>20</v>
      </c>
      <c r="G358" s="163" t="str">
        <f t="array" ref="G358">IF(B358="ICSE",IF(COUNTIFS(B:B,B358,C:C,C358)=XLOOKUP(C358,ICSE!A:A,ICSE!AA:AA,"ERROR",0,1),"OK","ERROR"),IF(B358="FSE",IF(COUNTIFS(B:B,B358,C:C,C358)=XLOOKUP(C358,FSE!A:A,FSE!AA:AA,"ERROR",0,1),"OK","ERROR")))</f>
        <v>OK</v>
      </c>
      <c r="H358" s="199">
        <f t="shared" ref="H358:O358" si="1792">countif($D358,"*"&amp;H$2&amp;"*")</f>
        <v>1</v>
      </c>
      <c r="I358" s="200">
        <f t="shared" si="1792"/>
        <v>0</v>
      </c>
      <c r="J358" s="200">
        <f t="shared" si="1792"/>
        <v>0</v>
      </c>
      <c r="K358" s="200">
        <f t="shared" si="1792"/>
        <v>0</v>
      </c>
      <c r="L358" s="200">
        <f t="shared" si="1792"/>
        <v>0</v>
      </c>
      <c r="M358" s="200">
        <f t="shared" si="1792"/>
        <v>0</v>
      </c>
      <c r="N358" s="200">
        <f t="shared" si="1792"/>
        <v>0</v>
      </c>
      <c r="O358" s="200">
        <f t="shared" si="1792"/>
        <v>0</v>
      </c>
      <c r="P358" s="200">
        <f t="shared" si="9"/>
        <v>0</v>
      </c>
      <c r="Q358" s="200">
        <f t="shared" ref="Q358:AC358" si="1793">countif($D358,"*"&amp;Q$2&amp;"*")</f>
        <v>0</v>
      </c>
      <c r="R358" s="200">
        <f t="shared" si="1793"/>
        <v>0</v>
      </c>
      <c r="S358" s="200">
        <f t="shared" si="1793"/>
        <v>0</v>
      </c>
      <c r="T358" s="200">
        <f t="shared" si="1793"/>
        <v>0</v>
      </c>
      <c r="U358" s="200">
        <f t="shared" si="1793"/>
        <v>0</v>
      </c>
      <c r="V358" s="200">
        <f t="shared" si="1793"/>
        <v>0</v>
      </c>
      <c r="W358" s="200">
        <f t="shared" si="1793"/>
        <v>0</v>
      </c>
      <c r="X358" s="200">
        <f t="shared" si="1793"/>
        <v>0</v>
      </c>
      <c r="Y358" s="200">
        <f t="shared" si="1793"/>
        <v>0</v>
      </c>
      <c r="Z358" s="200">
        <f t="shared" si="1793"/>
        <v>0</v>
      </c>
      <c r="AA358" s="200">
        <f t="shared" si="1793"/>
        <v>0</v>
      </c>
      <c r="AB358" s="200">
        <f t="shared" si="1793"/>
        <v>0</v>
      </c>
      <c r="AC358" s="200">
        <f t="shared" si="1793"/>
        <v>0</v>
      </c>
      <c r="AD358" s="200">
        <f t="shared" si="11"/>
        <v>0</v>
      </c>
      <c r="AE358" s="200">
        <f t="shared" ref="AE358:AG358" si="1794">countif($D358,"*"&amp;AE$2&amp;"*")</f>
        <v>0</v>
      </c>
      <c r="AF358" s="200">
        <f t="shared" si="1794"/>
        <v>0</v>
      </c>
      <c r="AG358" s="200">
        <f t="shared" si="1794"/>
        <v>0</v>
      </c>
      <c r="AH358" s="171">
        <f t="shared" si="13"/>
        <v>0</v>
      </c>
      <c r="AI358" s="200">
        <f t="shared" si="14"/>
        <v>1</v>
      </c>
      <c r="AJ358" s="200">
        <f t="shared" si="1129"/>
        <v>0</v>
      </c>
      <c r="AK358" s="201">
        <f t="shared" ref="AK358:AS358" si="1795">countif($D358,"*"&amp;AK$2&amp;"*")</f>
        <v>0</v>
      </c>
      <c r="AL358" s="201">
        <f t="shared" si="1795"/>
        <v>0</v>
      </c>
      <c r="AM358" s="201">
        <f t="shared" si="1795"/>
        <v>0</v>
      </c>
      <c r="AN358" s="201">
        <f t="shared" si="1795"/>
        <v>0</v>
      </c>
      <c r="AO358" s="201">
        <f t="shared" si="1795"/>
        <v>0</v>
      </c>
      <c r="AP358" s="201">
        <f t="shared" si="1795"/>
        <v>0</v>
      </c>
      <c r="AQ358" s="201">
        <f t="shared" si="1795"/>
        <v>0</v>
      </c>
      <c r="AR358" s="200">
        <f t="shared" si="1795"/>
        <v>0</v>
      </c>
      <c r="AS358" s="200">
        <f t="shared" si="1795"/>
        <v>0</v>
      </c>
      <c r="AT358" s="173">
        <v>0.0</v>
      </c>
      <c r="AU358" s="200">
        <f t="shared" ref="AU358:AX358" si="1796">countif($D358,"*"&amp;AU$2&amp;"*")</f>
        <v>0</v>
      </c>
      <c r="AV358" s="200">
        <f t="shared" si="1796"/>
        <v>0</v>
      </c>
      <c r="AW358" s="200">
        <f t="shared" si="1796"/>
        <v>0</v>
      </c>
      <c r="AX358" s="200">
        <f t="shared" si="1796"/>
        <v>1</v>
      </c>
      <c r="AY358" s="202">
        <v>0.0</v>
      </c>
      <c r="AZ358" s="200"/>
      <c r="BA358" s="171" t="str">
        <f t="shared" si="18"/>
        <v>Archival</v>
      </c>
      <c r="BB358" s="171" t="str">
        <f t="shared" si="19"/>
        <v/>
      </c>
      <c r="BC358" s="171" t="str">
        <f t="shared" si="20"/>
        <v/>
      </c>
      <c r="BD358" s="171" t="str">
        <f t="shared" si="21"/>
        <v/>
      </c>
      <c r="BE358" s="171" t="str">
        <f t="shared" si="22"/>
        <v/>
      </c>
      <c r="BF358" s="171" t="str">
        <f t="shared" si="23"/>
        <v>Archival</v>
      </c>
    </row>
    <row r="359">
      <c r="A359" s="171">
        <f t="array" ref="A359">XLOOKUP(C359,ICSE!A:A,ICSE!C:C,,2,1)</f>
        <v>2020</v>
      </c>
      <c r="B359" s="171" t="s">
        <v>5675</v>
      </c>
      <c r="C359" s="160">
        <v>697.0</v>
      </c>
      <c r="D359" s="161" t="s">
        <v>5856</v>
      </c>
      <c r="E359" s="197" t="str">
        <f t="array" ref="E359">XLOOKUP(C359,ICSE!A:A,ICSE!Z:Z,,0,1)</f>
        <v>Publicly available (2)</v>
      </c>
      <c r="F359" s="198" t="s">
        <v>20</v>
      </c>
      <c r="G359" s="163" t="str">
        <f t="array" ref="G359">IF(B359="ICSE",IF(COUNTIFS(B:B,B359,C:C,C359)=XLOOKUP(C359,ICSE!A:A,ICSE!AA:AA,"ERROR",0,1),"OK","ERROR"),IF(B359="FSE",IF(COUNTIFS(B:B,B359,C:C,C359)=XLOOKUP(C359,FSE!A:A,FSE!AA:AA,"ERROR",0,1),"OK","ERROR")))</f>
        <v>OK</v>
      </c>
      <c r="H359" s="199">
        <f t="shared" ref="H359:O359" si="1797">countif($D359,"*"&amp;H$2&amp;"*")</f>
        <v>0</v>
      </c>
      <c r="I359" s="200">
        <f t="shared" si="1797"/>
        <v>0</v>
      </c>
      <c r="J359" s="200">
        <f t="shared" si="1797"/>
        <v>0</v>
      </c>
      <c r="K359" s="200">
        <f t="shared" si="1797"/>
        <v>0</v>
      </c>
      <c r="L359" s="200">
        <f t="shared" si="1797"/>
        <v>0</v>
      </c>
      <c r="M359" s="200">
        <f t="shared" si="1797"/>
        <v>0</v>
      </c>
      <c r="N359" s="200">
        <f t="shared" si="1797"/>
        <v>0</v>
      </c>
      <c r="O359" s="200">
        <f t="shared" si="1797"/>
        <v>0</v>
      </c>
      <c r="P359" s="200">
        <f t="shared" si="9"/>
        <v>1</v>
      </c>
      <c r="Q359" s="200">
        <f t="shared" ref="Q359:AC359" si="1798">countif($D359,"*"&amp;Q$2&amp;"*")</f>
        <v>0</v>
      </c>
      <c r="R359" s="200">
        <f t="shared" si="1798"/>
        <v>0</v>
      </c>
      <c r="S359" s="200">
        <f t="shared" si="1798"/>
        <v>0</v>
      </c>
      <c r="T359" s="200">
        <f t="shared" si="1798"/>
        <v>0</v>
      </c>
      <c r="U359" s="200">
        <f t="shared" si="1798"/>
        <v>0</v>
      </c>
      <c r="V359" s="200">
        <f t="shared" si="1798"/>
        <v>0</v>
      </c>
      <c r="W359" s="200">
        <f t="shared" si="1798"/>
        <v>0</v>
      </c>
      <c r="X359" s="200">
        <f t="shared" si="1798"/>
        <v>0</v>
      </c>
      <c r="Y359" s="200">
        <f t="shared" si="1798"/>
        <v>0</v>
      </c>
      <c r="Z359" s="200">
        <f t="shared" si="1798"/>
        <v>0</v>
      </c>
      <c r="AA359" s="200">
        <f t="shared" si="1798"/>
        <v>0</v>
      </c>
      <c r="AB359" s="200">
        <f t="shared" si="1798"/>
        <v>0</v>
      </c>
      <c r="AC359" s="200">
        <f t="shared" si="1798"/>
        <v>0</v>
      </c>
      <c r="AD359" s="200">
        <f t="shared" si="11"/>
        <v>0</v>
      </c>
      <c r="AE359" s="200">
        <f t="shared" ref="AE359:AG359" si="1799">countif($D359,"*"&amp;AE$2&amp;"*")</f>
        <v>0</v>
      </c>
      <c r="AF359" s="200">
        <f t="shared" si="1799"/>
        <v>0</v>
      </c>
      <c r="AG359" s="200">
        <f t="shared" si="1799"/>
        <v>0</v>
      </c>
      <c r="AH359" s="171">
        <f t="shared" si="13"/>
        <v>0</v>
      </c>
      <c r="AI359" s="200">
        <f t="shared" si="14"/>
        <v>0</v>
      </c>
      <c r="AJ359" s="200">
        <f t="shared" si="1129"/>
        <v>0</v>
      </c>
      <c r="AK359" s="201">
        <f t="shared" ref="AK359:AS359" si="1800">countif($D359,"*"&amp;AK$2&amp;"*")</f>
        <v>0</v>
      </c>
      <c r="AL359" s="201">
        <f t="shared" si="1800"/>
        <v>0</v>
      </c>
      <c r="AM359" s="201">
        <f t="shared" si="1800"/>
        <v>0</v>
      </c>
      <c r="AN359" s="201">
        <f t="shared" si="1800"/>
        <v>0</v>
      </c>
      <c r="AO359" s="201">
        <f t="shared" si="1800"/>
        <v>0</v>
      </c>
      <c r="AP359" s="201">
        <f t="shared" si="1800"/>
        <v>0</v>
      </c>
      <c r="AQ359" s="201">
        <f t="shared" si="1800"/>
        <v>0</v>
      </c>
      <c r="AR359" s="200">
        <f t="shared" si="1800"/>
        <v>0</v>
      </c>
      <c r="AS359" s="200">
        <f t="shared" si="1800"/>
        <v>0</v>
      </c>
      <c r="AT359" s="173">
        <v>0.0</v>
      </c>
      <c r="AU359" s="200">
        <f t="shared" ref="AU359:AX359" si="1801">countif($D359,"*"&amp;AU$2&amp;"*")</f>
        <v>0</v>
      </c>
      <c r="AV359" s="200">
        <f t="shared" si="1801"/>
        <v>1</v>
      </c>
      <c r="AW359" s="200">
        <f t="shared" si="1801"/>
        <v>0</v>
      </c>
      <c r="AX359" s="200">
        <f t="shared" si="1801"/>
        <v>0</v>
      </c>
      <c r="AY359" s="202">
        <v>0.0</v>
      </c>
      <c r="AZ359" s="200"/>
      <c r="BA359" s="171" t="str">
        <f t="shared" si="18"/>
        <v/>
      </c>
      <c r="BB359" s="171" t="str">
        <f t="shared" si="19"/>
        <v>Code</v>
      </c>
      <c r="BC359" s="171" t="str">
        <f t="shared" si="20"/>
        <v/>
      </c>
      <c r="BD359" s="171" t="str">
        <f t="shared" si="21"/>
        <v/>
      </c>
      <c r="BE359" s="171" t="str">
        <f t="shared" si="22"/>
        <v/>
      </c>
      <c r="BF359" s="171" t="str">
        <f t="shared" si="23"/>
        <v>Code</v>
      </c>
    </row>
    <row r="360">
      <c r="A360" s="171">
        <f t="array" ref="A360">XLOOKUP(C360,ICSE!A:A,ICSE!C:C,,2,1)</f>
        <v>2020</v>
      </c>
      <c r="B360" s="171" t="s">
        <v>5675</v>
      </c>
      <c r="C360" s="160">
        <v>697.0</v>
      </c>
      <c r="D360" s="161" t="s">
        <v>5857</v>
      </c>
      <c r="E360" s="197" t="str">
        <f t="array" ref="E360">XLOOKUP(C360,ICSE!A:A,ICSE!Z:Z,,0,1)</f>
        <v>Publicly available (2)</v>
      </c>
      <c r="F360" s="198" t="s">
        <v>20</v>
      </c>
      <c r="G360" s="163" t="str">
        <f t="array" ref="G360">IF(B360="ICSE",IF(COUNTIFS(B:B,B360,C:C,C360)=XLOOKUP(C360,ICSE!A:A,ICSE!AA:AA,"ERROR",0,1),"OK","ERROR"),IF(B360="FSE",IF(COUNTIFS(B:B,B360,C:C,C360)=XLOOKUP(C360,FSE!A:A,FSE!AA:AA,"ERROR",0,1),"OK","ERROR")))</f>
        <v>OK</v>
      </c>
      <c r="H360" s="199">
        <f t="shared" ref="H360:O360" si="1802">countif($D360,"*"&amp;H$2&amp;"*")</f>
        <v>1</v>
      </c>
      <c r="I360" s="200">
        <f t="shared" si="1802"/>
        <v>0</v>
      </c>
      <c r="J360" s="200">
        <f t="shared" si="1802"/>
        <v>0</v>
      </c>
      <c r="K360" s="200">
        <f t="shared" si="1802"/>
        <v>0</v>
      </c>
      <c r="L360" s="200">
        <f t="shared" si="1802"/>
        <v>0</v>
      </c>
      <c r="M360" s="200">
        <f t="shared" si="1802"/>
        <v>0</v>
      </c>
      <c r="N360" s="200">
        <f t="shared" si="1802"/>
        <v>0</v>
      </c>
      <c r="O360" s="200">
        <f t="shared" si="1802"/>
        <v>0</v>
      </c>
      <c r="P360" s="200">
        <f t="shared" si="9"/>
        <v>0</v>
      </c>
      <c r="Q360" s="200">
        <f t="shared" ref="Q360:AC360" si="1803">countif($D360,"*"&amp;Q$2&amp;"*")</f>
        <v>0</v>
      </c>
      <c r="R360" s="200">
        <f t="shared" si="1803"/>
        <v>0</v>
      </c>
      <c r="S360" s="200">
        <f t="shared" si="1803"/>
        <v>0</v>
      </c>
      <c r="T360" s="200">
        <f t="shared" si="1803"/>
        <v>0</v>
      </c>
      <c r="U360" s="200">
        <f t="shared" si="1803"/>
        <v>0</v>
      </c>
      <c r="V360" s="200">
        <f t="shared" si="1803"/>
        <v>0</v>
      </c>
      <c r="W360" s="200">
        <f t="shared" si="1803"/>
        <v>0</v>
      </c>
      <c r="X360" s="200">
        <f t="shared" si="1803"/>
        <v>0</v>
      </c>
      <c r="Y360" s="200">
        <f t="shared" si="1803"/>
        <v>0</v>
      </c>
      <c r="Z360" s="200">
        <f t="shared" si="1803"/>
        <v>0</v>
      </c>
      <c r="AA360" s="200">
        <f t="shared" si="1803"/>
        <v>0</v>
      </c>
      <c r="AB360" s="200">
        <f t="shared" si="1803"/>
        <v>0</v>
      </c>
      <c r="AC360" s="200">
        <f t="shared" si="1803"/>
        <v>0</v>
      </c>
      <c r="AD360" s="200">
        <f t="shared" si="11"/>
        <v>0</v>
      </c>
      <c r="AE360" s="200">
        <f t="shared" ref="AE360:AG360" si="1804">countif($D360,"*"&amp;AE$2&amp;"*")</f>
        <v>0</v>
      </c>
      <c r="AF360" s="200">
        <f t="shared" si="1804"/>
        <v>0</v>
      </c>
      <c r="AG360" s="200">
        <f t="shared" si="1804"/>
        <v>0</v>
      </c>
      <c r="AH360" s="171">
        <f t="shared" si="13"/>
        <v>0</v>
      </c>
      <c r="AI360" s="200">
        <f t="shared" si="14"/>
        <v>1</v>
      </c>
      <c r="AJ360" s="200">
        <f t="shared" si="1129"/>
        <v>0</v>
      </c>
      <c r="AK360" s="201">
        <f t="shared" ref="AK360:AS360" si="1805">countif($D360,"*"&amp;AK$2&amp;"*")</f>
        <v>0</v>
      </c>
      <c r="AL360" s="201">
        <f t="shared" si="1805"/>
        <v>0</v>
      </c>
      <c r="AM360" s="201">
        <f t="shared" si="1805"/>
        <v>0</v>
      </c>
      <c r="AN360" s="201">
        <f t="shared" si="1805"/>
        <v>0</v>
      </c>
      <c r="AO360" s="201">
        <f t="shared" si="1805"/>
        <v>0</v>
      </c>
      <c r="AP360" s="201">
        <f t="shared" si="1805"/>
        <v>0</v>
      </c>
      <c r="AQ360" s="201">
        <f t="shared" si="1805"/>
        <v>0</v>
      </c>
      <c r="AR360" s="200">
        <f t="shared" si="1805"/>
        <v>0</v>
      </c>
      <c r="AS360" s="200">
        <f t="shared" si="1805"/>
        <v>0</v>
      </c>
      <c r="AT360" s="173">
        <v>0.0</v>
      </c>
      <c r="AU360" s="200">
        <f t="shared" ref="AU360:AX360" si="1806">countif($D360,"*"&amp;AU$2&amp;"*")</f>
        <v>0</v>
      </c>
      <c r="AV360" s="200">
        <f t="shared" si="1806"/>
        <v>0</v>
      </c>
      <c r="AW360" s="200">
        <f t="shared" si="1806"/>
        <v>0</v>
      </c>
      <c r="AX360" s="200">
        <f t="shared" si="1806"/>
        <v>1</v>
      </c>
      <c r="AY360" s="202">
        <v>0.0</v>
      </c>
      <c r="AZ360" s="200"/>
      <c r="BA360" s="171" t="str">
        <f t="shared" si="18"/>
        <v>Archival</v>
      </c>
      <c r="BB360" s="171" t="str">
        <f t="shared" si="19"/>
        <v/>
      </c>
      <c r="BC360" s="171" t="str">
        <f t="shared" si="20"/>
        <v/>
      </c>
      <c r="BD360" s="171" t="str">
        <f t="shared" si="21"/>
        <v/>
      </c>
      <c r="BE360" s="171" t="str">
        <f t="shared" si="22"/>
        <v/>
      </c>
      <c r="BF360" s="171" t="str">
        <f t="shared" si="23"/>
        <v>Archival</v>
      </c>
    </row>
    <row r="361">
      <c r="A361" s="171">
        <f t="array" ref="A361">XLOOKUP(C361,ICSE!A:A,ICSE!C:C,,2,1)</f>
        <v>2020</v>
      </c>
      <c r="B361" s="171" t="s">
        <v>5675</v>
      </c>
      <c r="C361" s="160">
        <v>698.0</v>
      </c>
      <c r="D361" s="161" t="s">
        <v>1498</v>
      </c>
      <c r="E361" s="197" t="str">
        <f t="array" ref="E361">XLOOKUP(C361,ICSE!A:A,ICSE!Z:Z,,0,1)</f>
        <v>Publicly available (1)</v>
      </c>
      <c r="F361" s="198" t="s">
        <v>20</v>
      </c>
      <c r="G361" s="163" t="str">
        <f t="array" ref="G361">IF(B361="ICSE",IF(COUNTIFS(B:B,B361,C:C,C361)=XLOOKUP(C361,ICSE!A:A,ICSE!AA:AA,"ERROR",0,1),"OK","ERROR"),IF(B361="FSE",IF(COUNTIFS(B:B,B361,C:C,C361)=XLOOKUP(C361,FSE!A:A,FSE!AA:AA,"ERROR",0,1),"OK","ERROR")))</f>
        <v>OK</v>
      </c>
      <c r="H361" s="199">
        <f t="shared" ref="H361:O361" si="1807">countif($D361,"*"&amp;H$2&amp;"*")</f>
        <v>0</v>
      </c>
      <c r="I361" s="200">
        <f t="shared" si="1807"/>
        <v>0</v>
      </c>
      <c r="J361" s="200">
        <f t="shared" si="1807"/>
        <v>0</v>
      </c>
      <c r="K361" s="200">
        <f t="shared" si="1807"/>
        <v>0</v>
      </c>
      <c r="L361" s="200">
        <f t="shared" si="1807"/>
        <v>0</v>
      </c>
      <c r="M361" s="200">
        <f t="shared" si="1807"/>
        <v>0</v>
      </c>
      <c r="N361" s="200">
        <f t="shared" si="1807"/>
        <v>0</v>
      </c>
      <c r="O361" s="200">
        <f t="shared" si="1807"/>
        <v>0</v>
      </c>
      <c r="P361" s="200">
        <f t="shared" si="9"/>
        <v>1</v>
      </c>
      <c r="Q361" s="200">
        <f t="shared" ref="Q361:AC361" si="1808">countif($D361,"*"&amp;Q$2&amp;"*")</f>
        <v>0</v>
      </c>
      <c r="R361" s="200">
        <f t="shared" si="1808"/>
        <v>0</v>
      </c>
      <c r="S361" s="200">
        <f t="shared" si="1808"/>
        <v>0</v>
      </c>
      <c r="T361" s="200">
        <f t="shared" si="1808"/>
        <v>0</v>
      </c>
      <c r="U361" s="200">
        <f t="shared" si="1808"/>
        <v>0</v>
      </c>
      <c r="V361" s="200">
        <f t="shared" si="1808"/>
        <v>0</v>
      </c>
      <c r="W361" s="200">
        <f t="shared" si="1808"/>
        <v>0</v>
      </c>
      <c r="X361" s="200">
        <f t="shared" si="1808"/>
        <v>0</v>
      </c>
      <c r="Y361" s="200">
        <f t="shared" si="1808"/>
        <v>0</v>
      </c>
      <c r="Z361" s="200">
        <f t="shared" si="1808"/>
        <v>0</v>
      </c>
      <c r="AA361" s="200">
        <f t="shared" si="1808"/>
        <v>0</v>
      </c>
      <c r="AB361" s="200">
        <f t="shared" si="1808"/>
        <v>0</v>
      </c>
      <c r="AC361" s="200">
        <f t="shared" si="1808"/>
        <v>0</v>
      </c>
      <c r="AD361" s="200">
        <f t="shared" si="11"/>
        <v>0</v>
      </c>
      <c r="AE361" s="200">
        <f t="shared" ref="AE361:AG361" si="1809">countif($D361,"*"&amp;AE$2&amp;"*")</f>
        <v>0</v>
      </c>
      <c r="AF361" s="200">
        <f t="shared" si="1809"/>
        <v>0</v>
      </c>
      <c r="AG361" s="200">
        <f t="shared" si="1809"/>
        <v>0</v>
      </c>
      <c r="AH361" s="171">
        <f t="shared" si="13"/>
        <v>0</v>
      </c>
      <c r="AI361" s="200">
        <f t="shared" si="14"/>
        <v>0</v>
      </c>
      <c r="AJ361" s="200">
        <f t="shared" si="1129"/>
        <v>0</v>
      </c>
      <c r="AK361" s="201">
        <f t="shared" ref="AK361:AS361" si="1810">countif($D361,"*"&amp;AK$2&amp;"*")</f>
        <v>0</v>
      </c>
      <c r="AL361" s="201">
        <f t="shared" si="1810"/>
        <v>0</v>
      </c>
      <c r="AM361" s="201">
        <f t="shared" si="1810"/>
        <v>0</v>
      </c>
      <c r="AN361" s="201">
        <f t="shared" si="1810"/>
        <v>0</v>
      </c>
      <c r="AO361" s="201">
        <f t="shared" si="1810"/>
        <v>0</v>
      </c>
      <c r="AP361" s="201">
        <f t="shared" si="1810"/>
        <v>0</v>
      </c>
      <c r="AQ361" s="201">
        <f t="shared" si="1810"/>
        <v>0</v>
      </c>
      <c r="AR361" s="200">
        <f t="shared" si="1810"/>
        <v>0</v>
      </c>
      <c r="AS361" s="200">
        <f t="shared" si="1810"/>
        <v>0</v>
      </c>
      <c r="AT361" s="173">
        <v>0.0</v>
      </c>
      <c r="AU361" s="200">
        <f t="shared" ref="AU361:AX361" si="1811">countif($D361,"*"&amp;AU$2&amp;"*")</f>
        <v>0</v>
      </c>
      <c r="AV361" s="200">
        <f t="shared" si="1811"/>
        <v>1</v>
      </c>
      <c r="AW361" s="200">
        <f t="shared" si="1811"/>
        <v>0</v>
      </c>
      <c r="AX361" s="200">
        <f t="shared" si="1811"/>
        <v>0</v>
      </c>
      <c r="AY361" s="202">
        <v>0.0</v>
      </c>
      <c r="AZ361" s="200"/>
      <c r="BA361" s="171" t="str">
        <f t="shared" si="18"/>
        <v/>
      </c>
      <c r="BB361" s="171" t="str">
        <f t="shared" si="19"/>
        <v>Code</v>
      </c>
      <c r="BC361" s="171" t="str">
        <f t="shared" si="20"/>
        <v/>
      </c>
      <c r="BD361" s="171" t="str">
        <f t="shared" si="21"/>
        <v/>
      </c>
      <c r="BE361" s="171" t="str">
        <f t="shared" si="22"/>
        <v/>
      </c>
      <c r="BF361" s="171" t="str">
        <f t="shared" si="23"/>
        <v>Code</v>
      </c>
    </row>
    <row r="362">
      <c r="A362" s="171">
        <f t="array" ref="A362">XLOOKUP(C362,ICSE!A:A,ICSE!C:C,,2,1)</f>
        <v>2020</v>
      </c>
      <c r="B362" s="171" t="s">
        <v>5675</v>
      </c>
      <c r="C362" s="160">
        <v>699.0</v>
      </c>
      <c r="D362" s="161" t="s">
        <v>1501</v>
      </c>
      <c r="E362" s="197" t="str">
        <f t="array" ref="E362">XLOOKUP(C362,ICSE!A:A,ICSE!Z:Z,,0,1)</f>
        <v>Publicly available (1)</v>
      </c>
      <c r="F362" s="198" t="s">
        <v>20</v>
      </c>
      <c r="G362" s="163" t="str">
        <f t="array" ref="G362">IF(B362="ICSE",IF(COUNTIFS(B:B,B362,C:C,C362)=XLOOKUP(C362,ICSE!A:A,ICSE!AA:AA,"ERROR",0,1),"OK","ERROR"),IF(B362="FSE",IF(COUNTIFS(B:B,B362,C:C,C362)=XLOOKUP(C362,FSE!A:A,FSE!AA:AA,"ERROR",0,1),"OK","ERROR")))</f>
        <v>OK</v>
      </c>
      <c r="H362" s="199">
        <f t="shared" ref="H362:O362" si="1812">countif($D362,"*"&amp;H$2&amp;"*")</f>
        <v>0</v>
      </c>
      <c r="I362" s="200">
        <f t="shared" si="1812"/>
        <v>0</v>
      </c>
      <c r="J362" s="200">
        <f t="shared" si="1812"/>
        <v>0</v>
      </c>
      <c r="K362" s="200">
        <f t="shared" si="1812"/>
        <v>0</v>
      </c>
      <c r="L362" s="200">
        <f t="shared" si="1812"/>
        <v>0</v>
      </c>
      <c r="M362" s="200">
        <f t="shared" si="1812"/>
        <v>0</v>
      </c>
      <c r="N362" s="200">
        <f t="shared" si="1812"/>
        <v>0</v>
      </c>
      <c r="O362" s="200">
        <f t="shared" si="1812"/>
        <v>0</v>
      </c>
      <c r="P362" s="200">
        <f t="shared" si="9"/>
        <v>0</v>
      </c>
      <c r="Q362" s="200">
        <f t="shared" ref="Q362:AC362" si="1813">countif($D362,"*"&amp;Q$2&amp;"*")</f>
        <v>0</v>
      </c>
      <c r="R362" s="200">
        <f t="shared" si="1813"/>
        <v>0</v>
      </c>
      <c r="S362" s="200">
        <f t="shared" si="1813"/>
        <v>0</v>
      </c>
      <c r="T362" s="200">
        <f t="shared" si="1813"/>
        <v>0</v>
      </c>
      <c r="U362" s="200">
        <f t="shared" si="1813"/>
        <v>0</v>
      </c>
      <c r="V362" s="200">
        <f t="shared" si="1813"/>
        <v>0</v>
      </c>
      <c r="W362" s="200">
        <f t="shared" si="1813"/>
        <v>1</v>
      </c>
      <c r="X362" s="200">
        <f t="shared" si="1813"/>
        <v>0</v>
      </c>
      <c r="Y362" s="200">
        <f t="shared" si="1813"/>
        <v>0</v>
      </c>
      <c r="Z362" s="200">
        <f t="shared" si="1813"/>
        <v>0</v>
      </c>
      <c r="AA362" s="200">
        <f t="shared" si="1813"/>
        <v>0</v>
      </c>
      <c r="AB362" s="200">
        <f t="shared" si="1813"/>
        <v>0</v>
      </c>
      <c r="AC362" s="200">
        <f t="shared" si="1813"/>
        <v>0</v>
      </c>
      <c r="AD362" s="200">
        <f t="shared" si="11"/>
        <v>0</v>
      </c>
      <c r="AE362" s="200">
        <f t="shared" ref="AE362:AG362" si="1814">countif($D362,"*"&amp;AE$2&amp;"*")</f>
        <v>0</v>
      </c>
      <c r="AF362" s="200">
        <f t="shared" si="1814"/>
        <v>0</v>
      </c>
      <c r="AG362" s="200">
        <f t="shared" si="1814"/>
        <v>0</v>
      </c>
      <c r="AH362" s="171">
        <f t="shared" si="13"/>
        <v>0</v>
      </c>
      <c r="AI362" s="200">
        <f t="shared" si="14"/>
        <v>0</v>
      </c>
      <c r="AJ362" s="200">
        <f t="shared" si="1129"/>
        <v>0</v>
      </c>
      <c r="AK362" s="201">
        <f t="shared" ref="AK362:AS362" si="1815">countif($D362,"*"&amp;AK$2&amp;"*")</f>
        <v>0</v>
      </c>
      <c r="AL362" s="201">
        <f t="shared" si="1815"/>
        <v>0</v>
      </c>
      <c r="AM362" s="201">
        <f t="shared" si="1815"/>
        <v>0</v>
      </c>
      <c r="AN362" s="201">
        <f t="shared" si="1815"/>
        <v>0</v>
      </c>
      <c r="AO362" s="201">
        <f t="shared" si="1815"/>
        <v>0</v>
      </c>
      <c r="AP362" s="201">
        <f t="shared" si="1815"/>
        <v>0</v>
      </c>
      <c r="AQ362" s="201">
        <f t="shared" si="1815"/>
        <v>0</v>
      </c>
      <c r="AR362" s="200">
        <f t="shared" si="1815"/>
        <v>0</v>
      </c>
      <c r="AS362" s="200">
        <f t="shared" si="1815"/>
        <v>0</v>
      </c>
      <c r="AT362" s="173">
        <v>0.0</v>
      </c>
      <c r="AU362" s="200">
        <f t="shared" ref="AU362:AX362" si="1816">countif($D362,"*"&amp;AU$2&amp;"*")</f>
        <v>0</v>
      </c>
      <c r="AV362" s="200">
        <f t="shared" si="1816"/>
        <v>0</v>
      </c>
      <c r="AW362" s="200">
        <f t="shared" si="1816"/>
        <v>0</v>
      </c>
      <c r="AX362" s="200">
        <f t="shared" si="1816"/>
        <v>0</v>
      </c>
      <c r="AY362" s="202">
        <v>0.0</v>
      </c>
      <c r="AZ362" s="200"/>
      <c r="BA362" s="171" t="str">
        <f t="shared" si="18"/>
        <v/>
      </c>
      <c r="BB362" s="171" t="str">
        <f t="shared" si="19"/>
        <v/>
      </c>
      <c r="BC362" s="171" t="str">
        <f t="shared" si="20"/>
        <v>General-purpose</v>
      </c>
      <c r="BD362" s="171" t="str">
        <f t="shared" si="21"/>
        <v/>
      </c>
      <c r="BE362" s="171" t="str">
        <f t="shared" si="22"/>
        <v/>
      </c>
      <c r="BF362" s="171" t="str">
        <f t="shared" si="23"/>
        <v>General-purpose</v>
      </c>
    </row>
    <row r="363">
      <c r="A363" s="171">
        <f t="array" ref="A363">XLOOKUP(C363,ICSE!A:A,ICSE!C:C,,2,1)</f>
        <v>2020</v>
      </c>
      <c r="B363" s="171" t="s">
        <v>5675</v>
      </c>
      <c r="C363" s="160">
        <v>700.0</v>
      </c>
      <c r="D363" s="161" t="s">
        <v>1504</v>
      </c>
      <c r="E363" s="197" t="str">
        <f t="array" ref="E363">XLOOKUP(C363,ICSE!A:A,ICSE!Z:Z,,0,1)</f>
        <v>Publicly available (1)</v>
      </c>
      <c r="F363" s="198" t="s">
        <v>20</v>
      </c>
      <c r="G363" s="163" t="str">
        <f t="array" ref="G363">IF(B363="ICSE",IF(COUNTIFS(B:B,B363,C:C,C363)=XLOOKUP(C363,ICSE!A:A,ICSE!AA:AA,"ERROR",0,1),"OK","ERROR"),IF(B363="FSE",IF(COUNTIFS(B:B,B363,C:C,C363)=XLOOKUP(C363,FSE!A:A,FSE!AA:AA,"ERROR",0,1),"OK","ERROR")))</f>
        <v>OK</v>
      </c>
      <c r="H363" s="199">
        <f t="shared" ref="H363:O363" si="1817">countif($D363,"*"&amp;H$2&amp;"*")</f>
        <v>1</v>
      </c>
      <c r="I363" s="200">
        <f t="shared" si="1817"/>
        <v>0</v>
      </c>
      <c r="J363" s="200">
        <f t="shared" si="1817"/>
        <v>0</v>
      </c>
      <c r="K363" s="200">
        <f t="shared" si="1817"/>
        <v>0</v>
      </c>
      <c r="L363" s="200">
        <f t="shared" si="1817"/>
        <v>0</v>
      </c>
      <c r="M363" s="200">
        <f t="shared" si="1817"/>
        <v>0</v>
      </c>
      <c r="N363" s="200">
        <f t="shared" si="1817"/>
        <v>0</v>
      </c>
      <c r="O363" s="200">
        <f t="shared" si="1817"/>
        <v>0</v>
      </c>
      <c r="P363" s="200">
        <f t="shared" si="9"/>
        <v>0</v>
      </c>
      <c r="Q363" s="200">
        <f t="shared" ref="Q363:AC363" si="1818">countif($D363,"*"&amp;Q$2&amp;"*")</f>
        <v>0</v>
      </c>
      <c r="R363" s="200">
        <f t="shared" si="1818"/>
        <v>0</v>
      </c>
      <c r="S363" s="200">
        <f t="shared" si="1818"/>
        <v>0</v>
      </c>
      <c r="T363" s="200">
        <f t="shared" si="1818"/>
        <v>0</v>
      </c>
      <c r="U363" s="200">
        <f t="shared" si="1818"/>
        <v>0</v>
      </c>
      <c r="V363" s="200">
        <f t="shared" si="1818"/>
        <v>0</v>
      </c>
      <c r="W363" s="200">
        <f t="shared" si="1818"/>
        <v>0</v>
      </c>
      <c r="X363" s="200">
        <f t="shared" si="1818"/>
        <v>0</v>
      </c>
      <c r="Y363" s="200">
        <f t="shared" si="1818"/>
        <v>0</v>
      </c>
      <c r="Z363" s="200">
        <f t="shared" si="1818"/>
        <v>0</v>
      </c>
      <c r="AA363" s="200">
        <f t="shared" si="1818"/>
        <v>0</v>
      </c>
      <c r="AB363" s="200">
        <f t="shared" si="1818"/>
        <v>0</v>
      </c>
      <c r="AC363" s="200">
        <f t="shared" si="1818"/>
        <v>0</v>
      </c>
      <c r="AD363" s="200">
        <f t="shared" si="11"/>
        <v>0</v>
      </c>
      <c r="AE363" s="200">
        <f t="shared" ref="AE363:AG363" si="1819">countif($D363,"*"&amp;AE$2&amp;"*")</f>
        <v>0</v>
      </c>
      <c r="AF363" s="200">
        <f t="shared" si="1819"/>
        <v>0</v>
      </c>
      <c r="AG363" s="200">
        <f t="shared" si="1819"/>
        <v>0</v>
      </c>
      <c r="AH363" s="171">
        <f t="shared" si="13"/>
        <v>0</v>
      </c>
      <c r="AI363" s="200">
        <f t="shared" si="14"/>
        <v>1</v>
      </c>
      <c r="AJ363" s="200">
        <f t="shared" si="1129"/>
        <v>0</v>
      </c>
      <c r="AK363" s="201">
        <f t="shared" ref="AK363:AS363" si="1820">countif($D363,"*"&amp;AK$2&amp;"*")</f>
        <v>0</v>
      </c>
      <c r="AL363" s="201">
        <f t="shared" si="1820"/>
        <v>0</v>
      </c>
      <c r="AM363" s="201">
        <f t="shared" si="1820"/>
        <v>0</v>
      </c>
      <c r="AN363" s="201">
        <f t="shared" si="1820"/>
        <v>0</v>
      </c>
      <c r="AO363" s="201">
        <f t="shared" si="1820"/>
        <v>0</v>
      </c>
      <c r="AP363" s="201">
        <f t="shared" si="1820"/>
        <v>0</v>
      </c>
      <c r="AQ363" s="201">
        <f t="shared" si="1820"/>
        <v>0</v>
      </c>
      <c r="AR363" s="200">
        <f t="shared" si="1820"/>
        <v>0</v>
      </c>
      <c r="AS363" s="200">
        <f t="shared" si="1820"/>
        <v>0</v>
      </c>
      <c r="AT363" s="173">
        <v>0.0</v>
      </c>
      <c r="AU363" s="200">
        <f t="shared" ref="AU363:AX363" si="1821">countif($D363,"*"&amp;AU$2&amp;"*")</f>
        <v>0</v>
      </c>
      <c r="AV363" s="200">
        <f t="shared" si="1821"/>
        <v>0</v>
      </c>
      <c r="AW363" s="200">
        <f t="shared" si="1821"/>
        <v>0</v>
      </c>
      <c r="AX363" s="200">
        <f t="shared" si="1821"/>
        <v>1</v>
      </c>
      <c r="AY363" s="202">
        <v>0.0</v>
      </c>
      <c r="AZ363" s="200"/>
      <c r="BA363" s="171" t="str">
        <f t="shared" si="18"/>
        <v>Archival</v>
      </c>
      <c r="BB363" s="171" t="str">
        <f t="shared" si="19"/>
        <v/>
      </c>
      <c r="BC363" s="171" t="str">
        <f t="shared" si="20"/>
        <v/>
      </c>
      <c r="BD363" s="171" t="str">
        <f t="shared" si="21"/>
        <v/>
      </c>
      <c r="BE363" s="171" t="str">
        <f t="shared" si="22"/>
        <v/>
      </c>
      <c r="BF363" s="171" t="str">
        <f t="shared" si="23"/>
        <v>Archival</v>
      </c>
    </row>
    <row r="364">
      <c r="A364" s="171">
        <f t="array" ref="A364">XLOOKUP(C364,ICSE!A:A,ICSE!C:C,,2,1)</f>
        <v>2020</v>
      </c>
      <c r="B364" s="171" t="s">
        <v>5675</v>
      </c>
      <c r="C364" s="160">
        <v>701.0</v>
      </c>
      <c r="D364" s="161" t="s">
        <v>5858</v>
      </c>
      <c r="E364" s="197" t="str">
        <f t="array" ref="E364">XLOOKUP(C364,ICSE!A:A,ICSE!Z:Z,,0,1)</f>
        <v>Publicly available (1)</v>
      </c>
      <c r="F364" s="198" t="s">
        <v>20</v>
      </c>
      <c r="G364" s="163" t="str">
        <f t="array" ref="G364">IF(B364="ICSE",IF(COUNTIFS(B:B,B364,C:C,C364)=XLOOKUP(C364,ICSE!A:A,ICSE!AA:AA,"ERROR",0,1),"OK","ERROR"),IF(B364="FSE",IF(COUNTIFS(B:B,B364,C:C,C364)=XLOOKUP(C364,FSE!A:A,FSE!AA:AA,"ERROR",0,1),"OK","ERROR")))</f>
        <v>OK</v>
      </c>
      <c r="H364" s="199">
        <f t="shared" ref="H364:O364" si="1822">countif($D364,"*"&amp;H$2&amp;"*")</f>
        <v>0</v>
      </c>
      <c r="I364" s="200">
        <f t="shared" si="1822"/>
        <v>1</v>
      </c>
      <c r="J364" s="200">
        <f t="shared" si="1822"/>
        <v>0</v>
      </c>
      <c r="K364" s="200">
        <f t="shared" si="1822"/>
        <v>0</v>
      </c>
      <c r="L364" s="200">
        <f t="shared" si="1822"/>
        <v>0</v>
      </c>
      <c r="M364" s="200">
        <f t="shared" si="1822"/>
        <v>0</v>
      </c>
      <c r="N364" s="200">
        <f t="shared" si="1822"/>
        <v>0</v>
      </c>
      <c r="O364" s="200">
        <f t="shared" si="1822"/>
        <v>0</v>
      </c>
      <c r="P364" s="200">
        <f t="shared" si="9"/>
        <v>0</v>
      </c>
      <c r="Q364" s="200">
        <f t="shared" ref="Q364:AC364" si="1823">countif($D364,"*"&amp;Q$2&amp;"*")</f>
        <v>0</v>
      </c>
      <c r="R364" s="200">
        <f t="shared" si="1823"/>
        <v>0</v>
      </c>
      <c r="S364" s="200">
        <f t="shared" si="1823"/>
        <v>0</v>
      </c>
      <c r="T364" s="200">
        <f t="shared" si="1823"/>
        <v>0</v>
      </c>
      <c r="U364" s="200">
        <f t="shared" si="1823"/>
        <v>0</v>
      </c>
      <c r="V364" s="200">
        <f t="shared" si="1823"/>
        <v>0</v>
      </c>
      <c r="W364" s="200">
        <f t="shared" si="1823"/>
        <v>0</v>
      </c>
      <c r="X364" s="200">
        <f t="shared" si="1823"/>
        <v>0</v>
      </c>
      <c r="Y364" s="200">
        <f t="shared" si="1823"/>
        <v>0</v>
      </c>
      <c r="Z364" s="200">
        <f t="shared" si="1823"/>
        <v>0</v>
      </c>
      <c r="AA364" s="200">
        <f t="shared" si="1823"/>
        <v>0</v>
      </c>
      <c r="AB364" s="200">
        <f t="shared" si="1823"/>
        <v>0</v>
      </c>
      <c r="AC364" s="200">
        <f t="shared" si="1823"/>
        <v>0</v>
      </c>
      <c r="AD364" s="200">
        <f t="shared" si="11"/>
        <v>0</v>
      </c>
      <c r="AE364" s="200">
        <f t="shared" ref="AE364:AG364" si="1824">countif($D364,"*"&amp;AE$2&amp;"*")</f>
        <v>0</v>
      </c>
      <c r="AF364" s="200">
        <f t="shared" si="1824"/>
        <v>0</v>
      </c>
      <c r="AG364" s="200">
        <f t="shared" si="1824"/>
        <v>0</v>
      </c>
      <c r="AH364" s="171">
        <f t="shared" si="13"/>
        <v>0</v>
      </c>
      <c r="AI364" s="200">
        <f t="shared" si="14"/>
        <v>0</v>
      </c>
      <c r="AJ364" s="200">
        <f t="shared" si="1129"/>
        <v>1</v>
      </c>
      <c r="AK364" s="201">
        <f t="shared" ref="AK364:AS364" si="1825">countif($D364,"*"&amp;AK$2&amp;"*")</f>
        <v>0</v>
      </c>
      <c r="AL364" s="201">
        <f t="shared" si="1825"/>
        <v>0</v>
      </c>
      <c r="AM364" s="201">
        <f t="shared" si="1825"/>
        <v>1</v>
      </c>
      <c r="AN364" s="201">
        <f t="shared" si="1825"/>
        <v>0</v>
      </c>
      <c r="AO364" s="201">
        <f t="shared" si="1825"/>
        <v>0</v>
      </c>
      <c r="AP364" s="201">
        <f t="shared" si="1825"/>
        <v>0</v>
      </c>
      <c r="AQ364" s="201">
        <f t="shared" si="1825"/>
        <v>0</v>
      </c>
      <c r="AR364" s="200">
        <f t="shared" si="1825"/>
        <v>0</v>
      </c>
      <c r="AS364" s="200">
        <f t="shared" si="1825"/>
        <v>1</v>
      </c>
      <c r="AT364" s="173">
        <v>0.0</v>
      </c>
      <c r="AU364" s="200">
        <f t="shared" ref="AU364:AX364" si="1826">countif($D364,"*"&amp;AU$2&amp;"*")</f>
        <v>0</v>
      </c>
      <c r="AV364" s="200">
        <f t="shared" si="1826"/>
        <v>0</v>
      </c>
      <c r="AW364" s="200">
        <f t="shared" si="1826"/>
        <v>0</v>
      </c>
      <c r="AX364" s="200">
        <f t="shared" si="1826"/>
        <v>0</v>
      </c>
      <c r="AY364" s="202">
        <v>0.0</v>
      </c>
      <c r="AZ364" s="200"/>
      <c r="BA364" s="171" t="str">
        <f t="shared" si="18"/>
        <v>Archival</v>
      </c>
      <c r="BB364" s="171" t="str">
        <f t="shared" si="19"/>
        <v/>
      </c>
      <c r="BC364" s="171" t="str">
        <f t="shared" si="20"/>
        <v/>
      </c>
      <c r="BD364" s="171" t="str">
        <f t="shared" si="21"/>
        <v/>
      </c>
      <c r="BE364" s="171" t="str">
        <f t="shared" si="22"/>
        <v/>
      </c>
      <c r="BF364" s="171" t="str">
        <f t="shared" si="23"/>
        <v>Archival</v>
      </c>
    </row>
    <row r="365">
      <c r="A365" s="171">
        <f t="array" ref="A365">XLOOKUP(C365,ICSE!A:A,ICSE!C:C,,2,1)</f>
        <v>2020</v>
      </c>
      <c r="B365" s="171" t="s">
        <v>5675</v>
      </c>
      <c r="C365" s="160">
        <v>702.0</v>
      </c>
      <c r="D365" s="161" t="s">
        <v>1511</v>
      </c>
      <c r="E365" s="197" t="str">
        <f t="array" ref="E365">XLOOKUP(C365,ICSE!A:A,ICSE!Z:Z,,0,1)</f>
        <v>Publicly available (1)</v>
      </c>
      <c r="F365" s="198" t="s">
        <v>20</v>
      </c>
      <c r="G365" s="163" t="str">
        <f t="array" ref="G365">IF(B365="ICSE",IF(COUNTIFS(B:B,B365,C:C,C365)=XLOOKUP(C365,ICSE!A:A,ICSE!AA:AA,"ERROR",0,1),"OK","ERROR"),IF(B365="FSE",IF(COUNTIFS(B:B,B365,C:C,C365)=XLOOKUP(C365,FSE!A:A,FSE!AA:AA,"ERROR",0,1),"OK","ERROR")))</f>
        <v>OK</v>
      </c>
      <c r="H365" s="199">
        <f t="shared" ref="H365:O365" si="1827">countif($D365,"*"&amp;H$2&amp;"*")</f>
        <v>0</v>
      </c>
      <c r="I365" s="200">
        <f t="shared" si="1827"/>
        <v>0</v>
      </c>
      <c r="J365" s="200">
        <f t="shared" si="1827"/>
        <v>0</v>
      </c>
      <c r="K365" s="200">
        <f t="shared" si="1827"/>
        <v>0</v>
      </c>
      <c r="L365" s="200">
        <f t="shared" si="1827"/>
        <v>0</v>
      </c>
      <c r="M365" s="200">
        <f t="shared" si="1827"/>
        <v>0</v>
      </c>
      <c r="N365" s="200">
        <f t="shared" si="1827"/>
        <v>0</v>
      </c>
      <c r="O365" s="200">
        <f t="shared" si="1827"/>
        <v>0</v>
      </c>
      <c r="P365" s="200">
        <f t="shared" si="9"/>
        <v>0</v>
      </c>
      <c r="Q365" s="200">
        <f t="shared" ref="Q365:AC365" si="1828">countif($D365,"*"&amp;Q$2&amp;"*")</f>
        <v>0</v>
      </c>
      <c r="R365" s="200">
        <f t="shared" si="1828"/>
        <v>0</v>
      </c>
      <c r="S365" s="200">
        <f t="shared" si="1828"/>
        <v>0</v>
      </c>
      <c r="T365" s="200">
        <f t="shared" si="1828"/>
        <v>0</v>
      </c>
      <c r="U365" s="200">
        <f t="shared" si="1828"/>
        <v>0</v>
      </c>
      <c r="V365" s="200">
        <f t="shared" si="1828"/>
        <v>0</v>
      </c>
      <c r="W365" s="200">
        <f t="shared" si="1828"/>
        <v>0</v>
      </c>
      <c r="X365" s="200">
        <f t="shared" si="1828"/>
        <v>0</v>
      </c>
      <c r="Y365" s="200">
        <f t="shared" si="1828"/>
        <v>0</v>
      </c>
      <c r="Z365" s="200">
        <f t="shared" si="1828"/>
        <v>0</v>
      </c>
      <c r="AA365" s="200">
        <f t="shared" si="1828"/>
        <v>0</v>
      </c>
      <c r="AB365" s="200">
        <f t="shared" si="1828"/>
        <v>0</v>
      </c>
      <c r="AC365" s="200">
        <f t="shared" si="1828"/>
        <v>0</v>
      </c>
      <c r="AD365" s="200">
        <f t="shared" si="11"/>
        <v>1</v>
      </c>
      <c r="AE365" s="200">
        <f t="shared" ref="AE365:AG365" si="1829">countif($D365,"*"&amp;AE$2&amp;"*")</f>
        <v>0</v>
      </c>
      <c r="AF365" s="200">
        <f t="shared" si="1829"/>
        <v>0</v>
      </c>
      <c r="AG365" s="200">
        <f t="shared" si="1829"/>
        <v>0</v>
      </c>
      <c r="AH365" s="171">
        <f t="shared" si="13"/>
        <v>0</v>
      </c>
      <c r="AI365" s="200">
        <f t="shared" si="14"/>
        <v>0</v>
      </c>
      <c r="AJ365" s="200">
        <f>SUM(AK365:AQ365)</f>
        <v>0</v>
      </c>
      <c r="AK365" s="201">
        <f t="shared" ref="AK365:AS365" si="1830">countif($D365,"*"&amp;AK$2&amp;"*")</f>
        <v>0</v>
      </c>
      <c r="AL365" s="201">
        <f t="shared" si="1830"/>
        <v>0</v>
      </c>
      <c r="AM365" s="201">
        <f t="shared" si="1830"/>
        <v>0</v>
      </c>
      <c r="AN365" s="201">
        <f t="shared" si="1830"/>
        <v>0</v>
      </c>
      <c r="AO365" s="201">
        <f t="shared" si="1830"/>
        <v>0</v>
      </c>
      <c r="AP365" s="201">
        <f t="shared" si="1830"/>
        <v>0</v>
      </c>
      <c r="AQ365" s="201">
        <f t="shared" si="1830"/>
        <v>0</v>
      </c>
      <c r="AR365" s="201">
        <f t="shared" si="1830"/>
        <v>0</v>
      </c>
      <c r="AS365" s="200">
        <f t="shared" si="1830"/>
        <v>0</v>
      </c>
      <c r="AT365" s="205">
        <v>0.0</v>
      </c>
      <c r="AU365" s="200">
        <f t="shared" ref="AU365:AX365" si="1831">countif($D365,"*"&amp;AU$2&amp;"*")</f>
        <v>1</v>
      </c>
      <c r="AV365" s="200">
        <f t="shared" si="1831"/>
        <v>0</v>
      </c>
      <c r="AW365" s="200">
        <f t="shared" si="1831"/>
        <v>0</v>
      </c>
      <c r="AX365" s="200">
        <f t="shared" si="1831"/>
        <v>0</v>
      </c>
      <c r="AY365" s="202">
        <v>0.0</v>
      </c>
      <c r="AZ365" s="200"/>
      <c r="BA365" s="171" t="str">
        <f t="shared" si="18"/>
        <v/>
      </c>
      <c r="BB365" s="171" t="str">
        <f t="shared" si="19"/>
        <v/>
      </c>
      <c r="BC365" s="171" t="str">
        <f t="shared" si="20"/>
        <v/>
      </c>
      <c r="BD365" s="171" t="str">
        <f t="shared" si="21"/>
        <v>Institutional</v>
      </c>
      <c r="BE365" s="171" t="str">
        <f t="shared" si="22"/>
        <v/>
      </c>
      <c r="BF365" s="171" t="str">
        <f t="shared" si="23"/>
        <v>Institutional</v>
      </c>
    </row>
    <row r="366">
      <c r="A366" s="171">
        <f t="array" ref="A366">XLOOKUP(C366,ICSE!A:A,ICSE!C:C,,2,1)</f>
        <v>2020</v>
      </c>
      <c r="B366" s="171" t="s">
        <v>5675</v>
      </c>
      <c r="C366" s="160">
        <v>705.0</v>
      </c>
      <c r="D366" s="161" t="s">
        <v>1517</v>
      </c>
      <c r="E366" s="197" t="str">
        <f t="array" ref="E366">XLOOKUP(C366,ICSE!A:A,ICSE!Z:Z,,0,1)</f>
        <v>Publicly available (1)</v>
      </c>
      <c r="F366" s="198" t="s">
        <v>20</v>
      </c>
      <c r="G366" s="163" t="str">
        <f t="array" ref="G366">IF(B366="ICSE",IF(COUNTIFS(B:B,B366,C:C,C366)=XLOOKUP(C366,ICSE!A:A,ICSE!AA:AA,"ERROR",0,1),"OK","ERROR"),IF(B366="FSE",IF(COUNTIFS(B:B,B366,C:C,C366)=XLOOKUP(C366,FSE!A:A,FSE!AA:AA,"ERROR",0,1),"OK","ERROR")))</f>
        <v>OK</v>
      </c>
      <c r="H366" s="199">
        <f t="shared" ref="H366:O366" si="1832">countif($D366,"*"&amp;H$2&amp;"*")</f>
        <v>0</v>
      </c>
      <c r="I366" s="200">
        <f t="shared" si="1832"/>
        <v>0</v>
      </c>
      <c r="J366" s="200">
        <f t="shared" si="1832"/>
        <v>0</v>
      </c>
      <c r="K366" s="200">
        <f t="shared" si="1832"/>
        <v>0</v>
      </c>
      <c r="L366" s="200">
        <f t="shared" si="1832"/>
        <v>0</v>
      </c>
      <c r="M366" s="200">
        <f t="shared" si="1832"/>
        <v>0</v>
      </c>
      <c r="N366" s="200">
        <f t="shared" si="1832"/>
        <v>0</v>
      </c>
      <c r="O366" s="200">
        <f t="shared" si="1832"/>
        <v>0</v>
      </c>
      <c r="P366" s="200">
        <f t="shared" si="9"/>
        <v>0</v>
      </c>
      <c r="Q366" s="200">
        <f t="shared" ref="Q366:AC366" si="1833">countif($D366,"*"&amp;Q$2&amp;"*")</f>
        <v>0</v>
      </c>
      <c r="R366" s="200">
        <f t="shared" si="1833"/>
        <v>0</v>
      </c>
      <c r="S366" s="200">
        <f t="shared" si="1833"/>
        <v>0</v>
      </c>
      <c r="T366" s="200">
        <f t="shared" si="1833"/>
        <v>0</v>
      </c>
      <c r="U366" s="200">
        <f t="shared" si="1833"/>
        <v>0</v>
      </c>
      <c r="V366" s="200">
        <f t="shared" si="1833"/>
        <v>0</v>
      </c>
      <c r="W366" s="200">
        <f t="shared" si="1833"/>
        <v>0</v>
      </c>
      <c r="X366" s="200">
        <f t="shared" si="1833"/>
        <v>0</v>
      </c>
      <c r="Y366" s="200">
        <f t="shared" si="1833"/>
        <v>0</v>
      </c>
      <c r="Z366" s="200">
        <f t="shared" si="1833"/>
        <v>0</v>
      </c>
      <c r="AA366" s="200">
        <f t="shared" si="1833"/>
        <v>0</v>
      </c>
      <c r="AB366" s="200">
        <f t="shared" si="1833"/>
        <v>0</v>
      </c>
      <c r="AC366" s="200">
        <f t="shared" si="1833"/>
        <v>0</v>
      </c>
      <c r="AD366" s="200">
        <f t="shared" si="11"/>
        <v>0</v>
      </c>
      <c r="AE366" s="200">
        <f t="shared" ref="AE366:AG366" si="1834">countif($D366,"*"&amp;AE$2&amp;"*")</f>
        <v>0</v>
      </c>
      <c r="AF366" s="200">
        <f t="shared" si="1834"/>
        <v>0</v>
      </c>
      <c r="AG366" s="200">
        <f t="shared" si="1834"/>
        <v>0</v>
      </c>
      <c r="AH366" s="171">
        <f t="shared" si="13"/>
        <v>1</v>
      </c>
      <c r="AI366" s="200">
        <f t="shared" si="14"/>
        <v>0</v>
      </c>
      <c r="AJ366" s="200">
        <f t="shared" ref="AJ366:AJ411" si="1840">SUM(AK366:AR366)</f>
        <v>0</v>
      </c>
      <c r="AK366" s="201">
        <f t="shared" ref="AK366:AS366" si="1835">countif($D366,"*"&amp;AK$2&amp;"*")</f>
        <v>0</v>
      </c>
      <c r="AL366" s="201">
        <f t="shared" si="1835"/>
        <v>0</v>
      </c>
      <c r="AM366" s="201">
        <f t="shared" si="1835"/>
        <v>0</v>
      </c>
      <c r="AN366" s="201">
        <f t="shared" si="1835"/>
        <v>0</v>
      </c>
      <c r="AO366" s="201">
        <f t="shared" si="1835"/>
        <v>0</v>
      </c>
      <c r="AP366" s="201">
        <f t="shared" si="1835"/>
        <v>0</v>
      </c>
      <c r="AQ366" s="201">
        <f t="shared" si="1835"/>
        <v>0</v>
      </c>
      <c r="AR366" s="200">
        <f t="shared" si="1835"/>
        <v>0</v>
      </c>
      <c r="AS366" s="200">
        <f t="shared" si="1835"/>
        <v>0</v>
      </c>
      <c r="AT366" s="173">
        <v>0.0</v>
      </c>
      <c r="AU366" s="200">
        <f t="shared" ref="AU366:AX366" si="1836">countif($D366,"*"&amp;AU$2&amp;"*")</f>
        <v>0</v>
      </c>
      <c r="AV366" s="200">
        <f t="shared" si="1836"/>
        <v>0</v>
      </c>
      <c r="AW366" s="200">
        <f t="shared" si="1836"/>
        <v>0</v>
      </c>
      <c r="AX366" s="200">
        <f t="shared" si="1836"/>
        <v>0</v>
      </c>
      <c r="AY366" s="202">
        <v>0.0</v>
      </c>
      <c r="AZ366" s="200"/>
      <c r="BA366" s="171" t="str">
        <f t="shared" si="18"/>
        <v/>
      </c>
      <c r="BB366" s="171" t="str">
        <f t="shared" si="19"/>
        <v/>
      </c>
      <c r="BC366" s="171" t="str">
        <f t="shared" si="20"/>
        <v/>
      </c>
      <c r="BD366" s="171" t="str">
        <f t="shared" si="21"/>
        <v/>
      </c>
      <c r="BE366" s="171" t="str">
        <f t="shared" si="22"/>
        <v>Others</v>
      </c>
      <c r="BF366" s="171" t="str">
        <f t="shared" si="23"/>
        <v>Others</v>
      </c>
    </row>
    <row r="367">
      <c r="A367" s="171">
        <f t="array" ref="A367">XLOOKUP(C367,ICSE!A:A,ICSE!C:C,,2,1)</f>
        <v>2020</v>
      </c>
      <c r="B367" s="171" t="s">
        <v>5675</v>
      </c>
      <c r="C367" s="160">
        <v>707.0</v>
      </c>
      <c r="D367" s="161" t="s">
        <v>1521</v>
      </c>
      <c r="E367" s="197" t="str">
        <f t="array" ref="E367">XLOOKUP(C367,ICSE!A:A,ICSE!Z:Z,,0,1)</f>
        <v>Publicly available (1)</v>
      </c>
      <c r="F367" s="198" t="s">
        <v>20</v>
      </c>
      <c r="G367" s="163" t="str">
        <f t="array" ref="G367">IF(B367="ICSE",IF(COUNTIFS(B:B,B367,C:C,C367)=XLOOKUP(C367,ICSE!A:A,ICSE!AA:AA,"ERROR",0,1),"OK","ERROR"),IF(B367="FSE",IF(COUNTIFS(B:B,B367,C:C,C367)=XLOOKUP(C367,FSE!A:A,FSE!AA:AA,"ERROR",0,1),"OK","ERROR")))</f>
        <v>OK</v>
      </c>
      <c r="H367" s="199">
        <f t="shared" ref="H367:O367" si="1837">countif($D367,"*"&amp;H$2&amp;"*")</f>
        <v>0</v>
      </c>
      <c r="I367" s="200">
        <f t="shared" si="1837"/>
        <v>0</v>
      </c>
      <c r="J367" s="200">
        <f t="shared" si="1837"/>
        <v>0</v>
      </c>
      <c r="K367" s="200">
        <f t="shared" si="1837"/>
        <v>0</v>
      </c>
      <c r="L367" s="200">
        <f t="shared" si="1837"/>
        <v>0</v>
      </c>
      <c r="M367" s="200">
        <f t="shared" si="1837"/>
        <v>0</v>
      </c>
      <c r="N367" s="200">
        <f t="shared" si="1837"/>
        <v>0</v>
      </c>
      <c r="O367" s="200">
        <f t="shared" si="1837"/>
        <v>0</v>
      </c>
      <c r="P367" s="200">
        <f t="shared" si="9"/>
        <v>0</v>
      </c>
      <c r="Q367" s="200">
        <f t="shared" ref="Q367:AC367" si="1838">countif($D367,"*"&amp;Q$2&amp;"*")</f>
        <v>0</v>
      </c>
      <c r="R367" s="200">
        <f t="shared" si="1838"/>
        <v>0</v>
      </c>
      <c r="S367" s="200">
        <f t="shared" si="1838"/>
        <v>0</v>
      </c>
      <c r="T367" s="200">
        <f t="shared" si="1838"/>
        <v>0</v>
      </c>
      <c r="U367" s="200">
        <f t="shared" si="1838"/>
        <v>0</v>
      </c>
      <c r="V367" s="200">
        <f t="shared" si="1838"/>
        <v>0</v>
      </c>
      <c r="W367" s="200">
        <f t="shared" si="1838"/>
        <v>0</v>
      </c>
      <c r="X367" s="200">
        <f t="shared" si="1838"/>
        <v>0</v>
      </c>
      <c r="Y367" s="200">
        <f t="shared" si="1838"/>
        <v>0</v>
      </c>
      <c r="Z367" s="200">
        <f t="shared" si="1838"/>
        <v>0</v>
      </c>
      <c r="AA367" s="200">
        <f t="shared" si="1838"/>
        <v>0</v>
      </c>
      <c r="AB367" s="200">
        <f t="shared" si="1838"/>
        <v>0</v>
      </c>
      <c r="AC367" s="200">
        <f t="shared" si="1838"/>
        <v>0</v>
      </c>
      <c r="AD367" s="200">
        <f t="shared" si="11"/>
        <v>0</v>
      </c>
      <c r="AE367" s="200">
        <f t="shared" ref="AE367:AG367" si="1839">countif($D367,"*"&amp;AE$2&amp;"*")</f>
        <v>0</v>
      </c>
      <c r="AF367" s="200">
        <f t="shared" si="1839"/>
        <v>0</v>
      </c>
      <c r="AG367" s="200">
        <f t="shared" si="1839"/>
        <v>0</v>
      </c>
      <c r="AH367" s="171">
        <f t="shared" si="13"/>
        <v>1</v>
      </c>
      <c r="AI367" s="200">
        <f t="shared" si="14"/>
        <v>0</v>
      </c>
      <c r="AJ367" s="200">
        <f t="shared" si="1840"/>
        <v>0</v>
      </c>
      <c r="AK367" s="201">
        <f t="shared" ref="AK367:AS367" si="1841">countif($D367,"*"&amp;AK$2&amp;"*")</f>
        <v>0</v>
      </c>
      <c r="AL367" s="201">
        <f t="shared" si="1841"/>
        <v>0</v>
      </c>
      <c r="AM367" s="201">
        <f t="shared" si="1841"/>
        <v>0</v>
      </c>
      <c r="AN367" s="201">
        <f t="shared" si="1841"/>
        <v>0</v>
      </c>
      <c r="AO367" s="201">
        <f t="shared" si="1841"/>
        <v>0</v>
      </c>
      <c r="AP367" s="201">
        <f t="shared" si="1841"/>
        <v>0</v>
      </c>
      <c r="AQ367" s="201">
        <f t="shared" si="1841"/>
        <v>0</v>
      </c>
      <c r="AR367" s="200">
        <f t="shared" si="1841"/>
        <v>0</v>
      </c>
      <c r="AS367" s="200">
        <f t="shared" si="1841"/>
        <v>0</v>
      </c>
      <c r="AT367" s="173">
        <v>0.0</v>
      </c>
      <c r="AU367" s="200">
        <f t="shared" ref="AU367:AX367" si="1842">countif($D367,"*"&amp;AU$2&amp;"*")</f>
        <v>0</v>
      </c>
      <c r="AV367" s="200">
        <f t="shared" si="1842"/>
        <v>0</v>
      </c>
      <c r="AW367" s="200">
        <f t="shared" si="1842"/>
        <v>0</v>
      </c>
      <c r="AX367" s="200">
        <f t="shared" si="1842"/>
        <v>0</v>
      </c>
      <c r="AY367" s="202">
        <v>0.0</v>
      </c>
      <c r="AZ367" s="200"/>
      <c r="BA367" s="171" t="str">
        <f t="shared" si="18"/>
        <v/>
      </c>
      <c r="BB367" s="171" t="str">
        <f t="shared" si="19"/>
        <v/>
      </c>
      <c r="BC367" s="171" t="str">
        <f t="shared" si="20"/>
        <v/>
      </c>
      <c r="BD367" s="171" t="str">
        <f t="shared" si="21"/>
        <v/>
      </c>
      <c r="BE367" s="171" t="str">
        <f t="shared" si="22"/>
        <v>Others</v>
      </c>
      <c r="BF367" s="171" t="str">
        <f t="shared" si="23"/>
        <v>Others</v>
      </c>
    </row>
    <row r="368">
      <c r="A368" s="171">
        <f t="array" ref="A368">XLOOKUP(C368,ICSE!A:A,ICSE!C:C,,2,1)</f>
        <v>2020</v>
      </c>
      <c r="B368" s="171" t="s">
        <v>5675</v>
      </c>
      <c r="C368" s="160">
        <v>708.0</v>
      </c>
      <c r="D368" s="161" t="s">
        <v>1525</v>
      </c>
      <c r="E368" s="197" t="str">
        <f t="array" ref="E368">XLOOKUP(C368,ICSE!A:A,ICSE!Z:Z,,0,1)</f>
        <v>Publicly available (1)</v>
      </c>
      <c r="F368" s="198" t="s">
        <v>20</v>
      </c>
      <c r="G368" s="163" t="str">
        <f t="array" ref="G368">IF(B368="ICSE",IF(COUNTIFS(B:B,B368,C:C,C368)=XLOOKUP(C368,ICSE!A:A,ICSE!AA:AA,"ERROR",0,1),"OK","ERROR"),IF(B368="FSE",IF(COUNTIFS(B:B,B368,C:C,C368)=XLOOKUP(C368,FSE!A:A,FSE!AA:AA,"ERROR",0,1),"OK","ERROR")))</f>
        <v>OK</v>
      </c>
      <c r="H368" s="199">
        <f t="shared" ref="H368:O368" si="1843">countif($D368,"*"&amp;H$2&amp;"*")</f>
        <v>0</v>
      </c>
      <c r="I368" s="200">
        <f t="shared" si="1843"/>
        <v>1</v>
      </c>
      <c r="J368" s="200">
        <f t="shared" si="1843"/>
        <v>0</v>
      </c>
      <c r="K368" s="200">
        <f t="shared" si="1843"/>
        <v>0</v>
      </c>
      <c r="L368" s="200">
        <f t="shared" si="1843"/>
        <v>0</v>
      </c>
      <c r="M368" s="200">
        <f t="shared" si="1843"/>
        <v>0</v>
      </c>
      <c r="N368" s="200">
        <f t="shared" si="1843"/>
        <v>0</v>
      </c>
      <c r="O368" s="200">
        <f t="shared" si="1843"/>
        <v>0</v>
      </c>
      <c r="P368" s="200">
        <f t="shared" si="9"/>
        <v>0</v>
      </c>
      <c r="Q368" s="200">
        <f t="shared" ref="Q368:AC368" si="1844">countif($D368,"*"&amp;Q$2&amp;"*")</f>
        <v>0</v>
      </c>
      <c r="R368" s="200">
        <f t="shared" si="1844"/>
        <v>0</v>
      </c>
      <c r="S368" s="200">
        <f t="shared" si="1844"/>
        <v>0</v>
      </c>
      <c r="T368" s="200">
        <f t="shared" si="1844"/>
        <v>0</v>
      </c>
      <c r="U368" s="200">
        <f t="shared" si="1844"/>
        <v>0</v>
      </c>
      <c r="V368" s="200">
        <f t="shared" si="1844"/>
        <v>0</v>
      </c>
      <c r="W368" s="200">
        <f t="shared" si="1844"/>
        <v>0</v>
      </c>
      <c r="X368" s="200">
        <f t="shared" si="1844"/>
        <v>0</v>
      </c>
      <c r="Y368" s="200">
        <f t="shared" si="1844"/>
        <v>0</v>
      </c>
      <c r="Z368" s="200">
        <f t="shared" si="1844"/>
        <v>0</v>
      </c>
      <c r="AA368" s="200">
        <f t="shared" si="1844"/>
        <v>0</v>
      </c>
      <c r="AB368" s="200">
        <f t="shared" si="1844"/>
        <v>0</v>
      </c>
      <c r="AC368" s="200">
        <f t="shared" si="1844"/>
        <v>0</v>
      </c>
      <c r="AD368" s="200">
        <f t="shared" si="11"/>
        <v>0</v>
      </c>
      <c r="AE368" s="200">
        <f t="shared" ref="AE368:AG368" si="1845">countif($D368,"*"&amp;AE$2&amp;"*")</f>
        <v>0</v>
      </c>
      <c r="AF368" s="200">
        <f t="shared" si="1845"/>
        <v>0</v>
      </c>
      <c r="AG368" s="200">
        <f t="shared" si="1845"/>
        <v>0</v>
      </c>
      <c r="AH368" s="171">
        <f t="shared" si="13"/>
        <v>0</v>
      </c>
      <c r="AI368" s="200">
        <f t="shared" si="14"/>
        <v>1</v>
      </c>
      <c r="AJ368" s="200">
        <f t="shared" si="1840"/>
        <v>0</v>
      </c>
      <c r="AK368" s="201">
        <f t="shared" ref="AK368:AS368" si="1846">countif($D368,"*"&amp;AK$2&amp;"*")</f>
        <v>0</v>
      </c>
      <c r="AL368" s="201">
        <f t="shared" si="1846"/>
        <v>0</v>
      </c>
      <c r="AM368" s="201">
        <f t="shared" si="1846"/>
        <v>0</v>
      </c>
      <c r="AN368" s="201">
        <f t="shared" si="1846"/>
        <v>0</v>
      </c>
      <c r="AO368" s="201">
        <f t="shared" si="1846"/>
        <v>0</v>
      </c>
      <c r="AP368" s="201">
        <f t="shared" si="1846"/>
        <v>0</v>
      </c>
      <c r="AQ368" s="201">
        <f t="shared" si="1846"/>
        <v>0</v>
      </c>
      <c r="AR368" s="200">
        <f t="shared" si="1846"/>
        <v>0</v>
      </c>
      <c r="AS368" s="200">
        <f t="shared" si="1846"/>
        <v>0</v>
      </c>
      <c r="AT368" s="173">
        <v>0.0</v>
      </c>
      <c r="AU368" s="200">
        <f t="shared" ref="AU368:AX368" si="1847">countif($D368,"*"&amp;AU$2&amp;"*")</f>
        <v>0</v>
      </c>
      <c r="AV368" s="200">
        <f t="shared" si="1847"/>
        <v>0</v>
      </c>
      <c r="AW368" s="200">
        <f t="shared" si="1847"/>
        <v>0</v>
      </c>
      <c r="AX368" s="200">
        <f t="shared" si="1847"/>
        <v>1</v>
      </c>
      <c r="AY368" s="202">
        <v>0.0</v>
      </c>
      <c r="AZ368" s="200"/>
      <c r="BA368" s="171" t="str">
        <f t="shared" si="18"/>
        <v>Archival</v>
      </c>
      <c r="BB368" s="171" t="str">
        <f t="shared" si="19"/>
        <v/>
      </c>
      <c r="BC368" s="171" t="str">
        <f t="shared" si="20"/>
        <v/>
      </c>
      <c r="BD368" s="171" t="str">
        <f t="shared" si="21"/>
        <v/>
      </c>
      <c r="BE368" s="171" t="str">
        <f t="shared" si="22"/>
        <v/>
      </c>
      <c r="BF368" s="171" t="str">
        <f t="shared" si="23"/>
        <v>Archival</v>
      </c>
    </row>
    <row r="369">
      <c r="A369" s="171">
        <f t="array" ref="A369">XLOOKUP(C369,ICSE!A:A,ICSE!C:C,,2,1)</f>
        <v>2020</v>
      </c>
      <c r="B369" s="171" t="s">
        <v>5675</v>
      </c>
      <c r="C369" s="160">
        <v>710.0</v>
      </c>
      <c r="D369" s="161" t="s">
        <v>1529</v>
      </c>
      <c r="E369" s="197" t="str">
        <f t="array" ref="E369">XLOOKUP(C369,ICSE!A:A,ICSE!Z:Z,,0,1)</f>
        <v>Publicly available (1)</v>
      </c>
      <c r="F369" s="198" t="s">
        <v>20</v>
      </c>
      <c r="G369" s="163" t="str">
        <f t="array" ref="G369">IF(B369="ICSE",IF(COUNTIFS(B:B,B369,C:C,C369)=XLOOKUP(C369,ICSE!A:A,ICSE!AA:AA,"ERROR",0,1),"OK","ERROR"),IF(B369="FSE",IF(COUNTIFS(B:B,B369,C:C,C369)=XLOOKUP(C369,FSE!A:A,FSE!AA:AA,"ERROR",0,1),"OK","ERROR")))</f>
        <v>OK</v>
      </c>
      <c r="H369" s="199">
        <f t="shared" ref="H369:O369" si="1848">countif($D369,"*"&amp;H$2&amp;"*")</f>
        <v>0</v>
      </c>
      <c r="I369" s="200">
        <f t="shared" si="1848"/>
        <v>0</v>
      </c>
      <c r="J369" s="200">
        <f t="shared" si="1848"/>
        <v>0</v>
      </c>
      <c r="K369" s="200">
        <f t="shared" si="1848"/>
        <v>0</v>
      </c>
      <c r="L369" s="200">
        <f t="shared" si="1848"/>
        <v>0</v>
      </c>
      <c r="M369" s="200">
        <f t="shared" si="1848"/>
        <v>0</v>
      </c>
      <c r="N369" s="200">
        <f t="shared" si="1848"/>
        <v>0</v>
      </c>
      <c r="O369" s="200">
        <f t="shared" si="1848"/>
        <v>0</v>
      </c>
      <c r="P369" s="200">
        <f t="shared" si="9"/>
        <v>1</v>
      </c>
      <c r="Q369" s="200">
        <f t="shared" ref="Q369:AC369" si="1849">countif($D369,"*"&amp;Q$2&amp;"*")</f>
        <v>0</v>
      </c>
      <c r="R369" s="200">
        <f t="shared" si="1849"/>
        <v>0</v>
      </c>
      <c r="S369" s="200">
        <f t="shared" si="1849"/>
        <v>0</v>
      </c>
      <c r="T369" s="200">
        <f t="shared" si="1849"/>
        <v>0</v>
      </c>
      <c r="U369" s="200">
        <f t="shared" si="1849"/>
        <v>0</v>
      </c>
      <c r="V369" s="200">
        <f t="shared" si="1849"/>
        <v>0</v>
      </c>
      <c r="W369" s="200">
        <f t="shared" si="1849"/>
        <v>0</v>
      </c>
      <c r="X369" s="200">
        <f t="shared" si="1849"/>
        <v>0</v>
      </c>
      <c r="Y369" s="200">
        <f t="shared" si="1849"/>
        <v>0</v>
      </c>
      <c r="Z369" s="200">
        <f t="shared" si="1849"/>
        <v>0</v>
      </c>
      <c r="AA369" s="200">
        <f t="shared" si="1849"/>
        <v>0</v>
      </c>
      <c r="AB369" s="200">
        <f t="shared" si="1849"/>
        <v>0</v>
      </c>
      <c r="AC369" s="200">
        <f t="shared" si="1849"/>
        <v>0</v>
      </c>
      <c r="AD369" s="200">
        <f t="shared" si="11"/>
        <v>0</v>
      </c>
      <c r="AE369" s="200">
        <f t="shared" ref="AE369:AG369" si="1850">countif($D369,"*"&amp;AE$2&amp;"*")</f>
        <v>0</v>
      </c>
      <c r="AF369" s="200">
        <f t="shared" si="1850"/>
        <v>0</v>
      </c>
      <c r="AG369" s="200">
        <f t="shared" si="1850"/>
        <v>0</v>
      </c>
      <c r="AH369" s="171">
        <f t="shared" si="13"/>
        <v>0</v>
      </c>
      <c r="AI369" s="200">
        <f t="shared" si="14"/>
        <v>0</v>
      </c>
      <c r="AJ369" s="200">
        <f t="shared" si="1840"/>
        <v>0</v>
      </c>
      <c r="AK369" s="201">
        <f t="shared" ref="AK369:AS369" si="1851">countif($D369,"*"&amp;AK$2&amp;"*")</f>
        <v>0</v>
      </c>
      <c r="AL369" s="201">
        <f t="shared" si="1851"/>
        <v>0</v>
      </c>
      <c r="AM369" s="201">
        <f t="shared" si="1851"/>
        <v>0</v>
      </c>
      <c r="AN369" s="201">
        <f t="shared" si="1851"/>
        <v>0</v>
      </c>
      <c r="AO369" s="201">
        <f t="shared" si="1851"/>
        <v>0</v>
      </c>
      <c r="AP369" s="201">
        <f t="shared" si="1851"/>
        <v>0</v>
      </c>
      <c r="AQ369" s="201">
        <f t="shared" si="1851"/>
        <v>0</v>
      </c>
      <c r="AR369" s="200">
        <f t="shared" si="1851"/>
        <v>0</v>
      </c>
      <c r="AS369" s="200">
        <f t="shared" si="1851"/>
        <v>0</v>
      </c>
      <c r="AT369" s="173">
        <v>0.0</v>
      </c>
      <c r="AU369" s="200">
        <f t="shared" ref="AU369:AX369" si="1852">countif($D369,"*"&amp;AU$2&amp;"*")</f>
        <v>0</v>
      </c>
      <c r="AV369" s="200">
        <f t="shared" si="1852"/>
        <v>1</v>
      </c>
      <c r="AW369" s="200">
        <f t="shared" si="1852"/>
        <v>0</v>
      </c>
      <c r="AX369" s="200">
        <f t="shared" si="1852"/>
        <v>0</v>
      </c>
      <c r="AY369" s="202">
        <v>0.0</v>
      </c>
      <c r="AZ369" s="200"/>
      <c r="BA369" s="171" t="str">
        <f t="shared" si="18"/>
        <v/>
      </c>
      <c r="BB369" s="171" t="str">
        <f t="shared" si="19"/>
        <v>Code</v>
      </c>
      <c r="BC369" s="171" t="str">
        <f t="shared" si="20"/>
        <v/>
      </c>
      <c r="BD369" s="171" t="str">
        <f t="shared" si="21"/>
        <v/>
      </c>
      <c r="BE369" s="171" t="str">
        <f t="shared" si="22"/>
        <v/>
      </c>
      <c r="BF369" s="171" t="str">
        <f t="shared" si="23"/>
        <v>Code</v>
      </c>
    </row>
    <row r="370">
      <c r="A370" s="171">
        <f t="array" ref="A370">XLOOKUP(C370,ICSE!A:A,ICSE!C:C,,2,1)</f>
        <v>2020</v>
      </c>
      <c r="B370" s="171" t="s">
        <v>5675</v>
      </c>
      <c r="C370" s="160">
        <v>711.0</v>
      </c>
      <c r="D370" s="161" t="s">
        <v>1532</v>
      </c>
      <c r="E370" s="197" t="str">
        <f t="array" ref="E370">XLOOKUP(C370,ICSE!A:A,ICSE!Z:Z,,0,1)</f>
        <v>Publicly available (1)</v>
      </c>
      <c r="F370" s="198" t="s">
        <v>20</v>
      </c>
      <c r="G370" s="163" t="str">
        <f t="array" ref="G370">IF(B370="ICSE",IF(COUNTIFS(B:B,B370,C:C,C370)=XLOOKUP(C370,ICSE!A:A,ICSE!AA:AA,"ERROR",0,1),"OK","ERROR"),IF(B370="FSE",IF(COUNTIFS(B:B,B370,C:C,C370)=XLOOKUP(C370,FSE!A:A,FSE!AA:AA,"ERROR",0,1),"OK","ERROR")))</f>
        <v>OK</v>
      </c>
      <c r="H370" s="199">
        <f t="shared" ref="H370:O370" si="1853">countif($D370,"*"&amp;H$2&amp;"*")</f>
        <v>0</v>
      </c>
      <c r="I370" s="200">
        <f t="shared" si="1853"/>
        <v>0</v>
      </c>
      <c r="J370" s="200">
        <f t="shared" si="1853"/>
        <v>0</v>
      </c>
      <c r="K370" s="200">
        <f t="shared" si="1853"/>
        <v>0</v>
      </c>
      <c r="L370" s="200">
        <f t="shared" si="1853"/>
        <v>0</v>
      </c>
      <c r="M370" s="200">
        <f t="shared" si="1853"/>
        <v>0</v>
      </c>
      <c r="N370" s="200">
        <f t="shared" si="1853"/>
        <v>0</v>
      </c>
      <c r="O370" s="200">
        <f t="shared" si="1853"/>
        <v>0</v>
      </c>
      <c r="P370" s="200">
        <f t="shared" si="9"/>
        <v>0</v>
      </c>
      <c r="Q370" s="200">
        <f t="shared" ref="Q370:AC370" si="1854">countif($D370,"*"&amp;Q$2&amp;"*")</f>
        <v>0</v>
      </c>
      <c r="R370" s="200">
        <f t="shared" si="1854"/>
        <v>0</v>
      </c>
      <c r="S370" s="200">
        <f t="shared" si="1854"/>
        <v>0</v>
      </c>
      <c r="T370" s="200">
        <f t="shared" si="1854"/>
        <v>0</v>
      </c>
      <c r="U370" s="200">
        <f t="shared" si="1854"/>
        <v>0</v>
      </c>
      <c r="V370" s="200">
        <f t="shared" si="1854"/>
        <v>0</v>
      </c>
      <c r="W370" s="200">
        <f t="shared" si="1854"/>
        <v>0</v>
      </c>
      <c r="X370" s="200">
        <f t="shared" si="1854"/>
        <v>0</v>
      </c>
      <c r="Y370" s="200">
        <f t="shared" si="1854"/>
        <v>0</v>
      </c>
      <c r="Z370" s="200">
        <f t="shared" si="1854"/>
        <v>0</v>
      </c>
      <c r="AA370" s="200">
        <f t="shared" si="1854"/>
        <v>0</v>
      </c>
      <c r="AB370" s="200">
        <f t="shared" si="1854"/>
        <v>0</v>
      </c>
      <c r="AC370" s="200">
        <f t="shared" si="1854"/>
        <v>0</v>
      </c>
      <c r="AD370" s="200">
        <f t="shared" si="11"/>
        <v>0</v>
      </c>
      <c r="AE370" s="200">
        <f t="shared" ref="AE370:AG370" si="1855">countif($D370,"*"&amp;AE$2&amp;"*")</f>
        <v>0</v>
      </c>
      <c r="AF370" s="200">
        <f t="shared" si="1855"/>
        <v>0</v>
      </c>
      <c r="AG370" s="200">
        <f t="shared" si="1855"/>
        <v>0</v>
      </c>
      <c r="AH370" s="171">
        <f t="shared" si="13"/>
        <v>1</v>
      </c>
      <c r="AI370" s="200">
        <f t="shared" si="14"/>
        <v>0</v>
      </c>
      <c r="AJ370" s="200">
        <f t="shared" si="1840"/>
        <v>0</v>
      </c>
      <c r="AK370" s="201">
        <f t="shared" ref="AK370:AS370" si="1856">countif($D370,"*"&amp;AK$2&amp;"*")</f>
        <v>0</v>
      </c>
      <c r="AL370" s="201">
        <f t="shared" si="1856"/>
        <v>0</v>
      </c>
      <c r="AM370" s="201">
        <f t="shared" si="1856"/>
        <v>0</v>
      </c>
      <c r="AN370" s="201">
        <f t="shared" si="1856"/>
        <v>0</v>
      </c>
      <c r="AO370" s="201">
        <f t="shared" si="1856"/>
        <v>0</v>
      </c>
      <c r="AP370" s="201">
        <f t="shared" si="1856"/>
        <v>0</v>
      </c>
      <c r="AQ370" s="201">
        <f t="shared" si="1856"/>
        <v>0</v>
      </c>
      <c r="AR370" s="200">
        <f t="shared" si="1856"/>
        <v>0</v>
      </c>
      <c r="AS370" s="200">
        <f t="shared" si="1856"/>
        <v>0</v>
      </c>
      <c r="AT370" s="173">
        <v>0.0</v>
      </c>
      <c r="AU370" s="200">
        <f t="shared" ref="AU370:AX370" si="1857">countif($D370,"*"&amp;AU$2&amp;"*")</f>
        <v>0</v>
      </c>
      <c r="AV370" s="200">
        <f t="shared" si="1857"/>
        <v>0</v>
      </c>
      <c r="AW370" s="200">
        <f t="shared" si="1857"/>
        <v>0</v>
      </c>
      <c r="AX370" s="200">
        <f t="shared" si="1857"/>
        <v>0</v>
      </c>
      <c r="AY370" s="202">
        <v>0.0</v>
      </c>
      <c r="AZ370" s="200"/>
      <c r="BA370" s="171" t="str">
        <f t="shared" si="18"/>
        <v/>
      </c>
      <c r="BB370" s="171" t="str">
        <f t="shared" si="19"/>
        <v/>
      </c>
      <c r="BC370" s="171" t="str">
        <f t="shared" si="20"/>
        <v/>
      </c>
      <c r="BD370" s="171" t="str">
        <f t="shared" si="21"/>
        <v/>
      </c>
      <c r="BE370" s="171" t="str">
        <f t="shared" si="22"/>
        <v>Others</v>
      </c>
      <c r="BF370" s="171" t="str">
        <f t="shared" si="23"/>
        <v>Others</v>
      </c>
    </row>
    <row r="371">
      <c r="A371" s="171">
        <f t="array" ref="A371">XLOOKUP(C371,ICSE!A:A,ICSE!C:C,,2,1)</f>
        <v>2020</v>
      </c>
      <c r="B371" s="171" t="s">
        <v>5675</v>
      </c>
      <c r="C371" s="160">
        <v>712.0</v>
      </c>
      <c r="D371" s="161" t="s">
        <v>1535</v>
      </c>
      <c r="E371" s="197" t="str">
        <f t="array" ref="E371">XLOOKUP(C371,ICSE!A:A,ICSE!Z:Z,,0,1)</f>
        <v>Publicly available (1)</v>
      </c>
      <c r="F371" s="198" t="s">
        <v>20</v>
      </c>
      <c r="G371" s="163" t="str">
        <f t="array" ref="G371">IF(B371="ICSE",IF(COUNTIFS(B:B,B371,C:C,C371)=XLOOKUP(C371,ICSE!A:A,ICSE!AA:AA,"ERROR",0,1),"OK","ERROR"),IF(B371="FSE",IF(COUNTIFS(B:B,B371,C:C,C371)=XLOOKUP(C371,FSE!A:A,FSE!AA:AA,"ERROR",0,1),"OK","ERROR")))</f>
        <v>OK</v>
      </c>
      <c r="H371" s="199">
        <f t="shared" ref="H371:O371" si="1858">countif($D371,"*"&amp;H$2&amp;"*")</f>
        <v>0</v>
      </c>
      <c r="I371" s="200">
        <f t="shared" si="1858"/>
        <v>0</v>
      </c>
      <c r="J371" s="200">
        <f t="shared" si="1858"/>
        <v>0</v>
      </c>
      <c r="K371" s="200">
        <f t="shared" si="1858"/>
        <v>0</v>
      </c>
      <c r="L371" s="200">
        <f t="shared" si="1858"/>
        <v>0</v>
      </c>
      <c r="M371" s="200">
        <f t="shared" si="1858"/>
        <v>0</v>
      </c>
      <c r="N371" s="200">
        <f t="shared" si="1858"/>
        <v>0</v>
      </c>
      <c r="O371" s="200">
        <f t="shared" si="1858"/>
        <v>0</v>
      </c>
      <c r="P371" s="200">
        <f t="shared" si="9"/>
        <v>1</v>
      </c>
      <c r="Q371" s="200">
        <f t="shared" ref="Q371:AC371" si="1859">countif($D371,"*"&amp;Q$2&amp;"*")</f>
        <v>0</v>
      </c>
      <c r="R371" s="200">
        <f t="shared" si="1859"/>
        <v>0</v>
      </c>
      <c r="S371" s="200">
        <f t="shared" si="1859"/>
        <v>0</v>
      </c>
      <c r="T371" s="200">
        <f t="shared" si="1859"/>
        <v>0</v>
      </c>
      <c r="U371" s="200">
        <f t="shared" si="1859"/>
        <v>0</v>
      </c>
      <c r="V371" s="200">
        <f t="shared" si="1859"/>
        <v>0</v>
      </c>
      <c r="W371" s="200">
        <f t="shared" si="1859"/>
        <v>0</v>
      </c>
      <c r="X371" s="200">
        <f t="shared" si="1859"/>
        <v>0</v>
      </c>
      <c r="Y371" s="200">
        <f t="shared" si="1859"/>
        <v>0</v>
      </c>
      <c r="Z371" s="200">
        <f t="shared" si="1859"/>
        <v>0</v>
      </c>
      <c r="AA371" s="200">
        <f t="shared" si="1859"/>
        <v>0</v>
      </c>
      <c r="AB371" s="200">
        <f t="shared" si="1859"/>
        <v>0</v>
      </c>
      <c r="AC371" s="200">
        <f t="shared" si="1859"/>
        <v>0</v>
      </c>
      <c r="AD371" s="200">
        <f t="shared" si="11"/>
        <v>0</v>
      </c>
      <c r="AE371" s="200">
        <f t="shared" ref="AE371:AG371" si="1860">countif($D371,"*"&amp;AE$2&amp;"*")</f>
        <v>0</v>
      </c>
      <c r="AF371" s="200">
        <f t="shared" si="1860"/>
        <v>0</v>
      </c>
      <c r="AG371" s="200">
        <f t="shared" si="1860"/>
        <v>0</v>
      </c>
      <c r="AH371" s="171">
        <f t="shared" si="13"/>
        <v>0</v>
      </c>
      <c r="AI371" s="200">
        <f t="shared" si="14"/>
        <v>0</v>
      </c>
      <c r="AJ371" s="200">
        <f t="shared" si="1840"/>
        <v>0</v>
      </c>
      <c r="AK371" s="201">
        <f t="shared" ref="AK371:AS371" si="1861">countif($D371,"*"&amp;AK$2&amp;"*")</f>
        <v>0</v>
      </c>
      <c r="AL371" s="201">
        <f t="shared" si="1861"/>
        <v>0</v>
      </c>
      <c r="AM371" s="201">
        <f t="shared" si="1861"/>
        <v>0</v>
      </c>
      <c r="AN371" s="201">
        <f t="shared" si="1861"/>
        <v>0</v>
      </c>
      <c r="AO371" s="201">
        <f t="shared" si="1861"/>
        <v>0</v>
      </c>
      <c r="AP371" s="201">
        <f t="shared" si="1861"/>
        <v>0</v>
      </c>
      <c r="AQ371" s="201">
        <f t="shared" si="1861"/>
        <v>0</v>
      </c>
      <c r="AR371" s="200">
        <f t="shared" si="1861"/>
        <v>0</v>
      </c>
      <c r="AS371" s="200">
        <f t="shared" si="1861"/>
        <v>0</v>
      </c>
      <c r="AT371" s="173">
        <v>0.0</v>
      </c>
      <c r="AU371" s="200">
        <f t="shared" ref="AU371:AX371" si="1862">countif($D371,"*"&amp;AU$2&amp;"*")</f>
        <v>0</v>
      </c>
      <c r="AV371" s="200">
        <f t="shared" si="1862"/>
        <v>1</v>
      </c>
      <c r="AW371" s="200">
        <f t="shared" si="1862"/>
        <v>0</v>
      </c>
      <c r="AX371" s="200">
        <f t="shared" si="1862"/>
        <v>0</v>
      </c>
      <c r="AY371" s="202">
        <v>0.0</v>
      </c>
      <c r="AZ371" s="200"/>
      <c r="BA371" s="171" t="str">
        <f t="shared" si="18"/>
        <v/>
      </c>
      <c r="BB371" s="171" t="str">
        <f t="shared" si="19"/>
        <v>Code</v>
      </c>
      <c r="BC371" s="171" t="str">
        <f t="shared" si="20"/>
        <v/>
      </c>
      <c r="BD371" s="171" t="str">
        <f t="shared" si="21"/>
        <v/>
      </c>
      <c r="BE371" s="171" t="str">
        <f t="shared" si="22"/>
        <v/>
      </c>
      <c r="BF371" s="171" t="str">
        <f t="shared" si="23"/>
        <v>Code</v>
      </c>
    </row>
    <row r="372">
      <c r="A372" s="171">
        <f t="array" ref="A372">XLOOKUP(C372,ICSE!A:A,ICSE!C:C,,2,1)</f>
        <v>2020</v>
      </c>
      <c r="B372" s="171" t="s">
        <v>5675</v>
      </c>
      <c r="C372" s="160">
        <v>713.0</v>
      </c>
      <c r="D372" s="161" t="s">
        <v>5859</v>
      </c>
      <c r="E372" s="197" t="str">
        <f t="array" ref="E372">XLOOKUP(C372,ICSE!A:A,ICSE!Z:Z,,0,1)</f>
        <v>Publicly available (2)</v>
      </c>
      <c r="F372" s="198" t="s">
        <v>20</v>
      </c>
      <c r="G372" s="163" t="str">
        <f t="array" ref="G372">IF(B372="ICSE",IF(COUNTIFS(B:B,B372,C:C,C372)=XLOOKUP(C372,ICSE!A:A,ICSE!AA:AA,"ERROR",0,1),"OK","ERROR"),IF(B372="FSE",IF(COUNTIFS(B:B,B372,C:C,C372)=XLOOKUP(C372,FSE!A:A,FSE!AA:AA,"ERROR",0,1),"OK","ERROR")))</f>
        <v>OK</v>
      </c>
      <c r="H372" s="199">
        <f t="shared" ref="H372:O372" si="1863">countif($D372,"*"&amp;H$2&amp;"*")</f>
        <v>0</v>
      </c>
      <c r="I372" s="200">
        <f t="shared" si="1863"/>
        <v>0</v>
      </c>
      <c r="J372" s="200">
        <f t="shared" si="1863"/>
        <v>0</v>
      </c>
      <c r="K372" s="200">
        <f t="shared" si="1863"/>
        <v>0</v>
      </c>
      <c r="L372" s="200">
        <f t="shared" si="1863"/>
        <v>0</v>
      </c>
      <c r="M372" s="200">
        <f t="shared" si="1863"/>
        <v>0</v>
      </c>
      <c r="N372" s="200">
        <f t="shared" si="1863"/>
        <v>0</v>
      </c>
      <c r="O372" s="200">
        <f t="shared" si="1863"/>
        <v>0</v>
      </c>
      <c r="P372" s="200">
        <f t="shared" si="9"/>
        <v>1</v>
      </c>
      <c r="Q372" s="200">
        <f t="shared" ref="Q372:AC372" si="1864">countif($D372,"*"&amp;Q$2&amp;"*")</f>
        <v>0</v>
      </c>
      <c r="R372" s="200">
        <f t="shared" si="1864"/>
        <v>0</v>
      </c>
      <c r="S372" s="200">
        <f t="shared" si="1864"/>
        <v>0</v>
      </c>
      <c r="T372" s="200">
        <f t="shared" si="1864"/>
        <v>0</v>
      </c>
      <c r="U372" s="200">
        <f t="shared" si="1864"/>
        <v>0</v>
      </c>
      <c r="V372" s="200">
        <f t="shared" si="1864"/>
        <v>0</v>
      </c>
      <c r="W372" s="200">
        <f t="shared" si="1864"/>
        <v>0</v>
      </c>
      <c r="X372" s="200">
        <f t="shared" si="1864"/>
        <v>0</v>
      </c>
      <c r="Y372" s="200">
        <f t="shared" si="1864"/>
        <v>0</v>
      </c>
      <c r="Z372" s="200">
        <f t="shared" si="1864"/>
        <v>0</v>
      </c>
      <c r="AA372" s="200">
        <f t="shared" si="1864"/>
        <v>0</v>
      </c>
      <c r="AB372" s="200">
        <f t="shared" si="1864"/>
        <v>0</v>
      </c>
      <c r="AC372" s="200">
        <f t="shared" si="1864"/>
        <v>0</v>
      </c>
      <c r="AD372" s="200">
        <f t="shared" si="11"/>
        <v>0</v>
      </c>
      <c r="AE372" s="200">
        <f t="shared" ref="AE372:AG372" si="1865">countif($D372,"*"&amp;AE$2&amp;"*")</f>
        <v>0</v>
      </c>
      <c r="AF372" s="200">
        <f t="shared" si="1865"/>
        <v>0</v>
      </c>
      <c r="AG372" s="200">
        <f t="shared" si="1865"/>
        <v>0</v>
      </c>
      <c r="AH372" s="171">
        <f t="shared" si="13"/>
        <v>0</v>
      </c>
      <c r="AI372" s="200">
        <f t="shared" si="14"/>
        <v>0</v>
      </c>
      <c r="AJ372" s="200">
        <f t="shared" si="1840"/>
        <v>0</v>
      </c>
      <c r="AK372" s="201">
        <f t="shared" ref="AK372:AS372" si="1866">countif($D372,"*"&amp;AK$2&amp;"*")</f>
        <v>0</v>
      </c>
      <c r="AL372" s="201">
        <f t="shared" si="1866"/>
        <v>0</v>
      </c>
      <c r="AM372" s="201">
        <f t="shared" si="1866"/>
        <v>0</v>
      </c>
      <c r="AN372" s="201">
        <f t="shared" si="1866"/>
        <v>0</v>
      </c>
      <c r="AO372" s="201">
        <f t="shared" si="1866"/>
        <v>0</v>
      </c>
      <c r="AP372" s="201">
        <f t="shared" si="1866"/>
        <v>0</v>
      </c>
      <c r="AQ372" s="201">
        <f t="shared" si="1866"/>
        <v>0</v>
      </c>
      <c r="AR372" s="200">
        <f t="shared" si="1866"/>
        <v>0</v>
      </c>
      <c r="AS372" s="200">
        <f t="shared" si="1866"/>
        <v>0</v>
      </c>
      <c r="AT372" s="173">
        <v>0.0</v>
      </c>
      <c r="AU372" s="200">
        <f t="shared" ref="AU372:AX372" si="1867">countif($D372,"*"&amp;AU$2&amp;"*")</f>
        <v>0</v>
      </c>
      <c r="AV372" s="200">
        <f t="shared" si="1867"/>
        <v>1</v>
      </c>
      <c r="AW372" s="200">
        <f t="shared" si="1867"/>
        <v>0</v>
      </c>
      <c r="AX372" s="200">
        <f t="shared" si="1867"/>
        <v>0</v>
      </c>
      <c r="AY372" s="202">
        <v>0.0</v>
      </c>
      <c r="AZ372" s="200"/>
      <c r="BA372" s="171" t="str">
        <f t="shared" si="18"/>
        <v/>
      </c>
      <c r="BB372" s="171" t="str">
        <f t="shared" si="19"/>
        <v>Code</v>
      </c>
      <c r="BC372" s="171" t="str">
        <f t="shared" si="20"/>
        <v/>
      </c>
      <c r="BD372" s="171" t="str">
        <f t="shared" si="21"/>
        <v/>
      </c>
      <c r="BE372" s="171" t="str">
        <f t="shared" si="22"/>
        <v/>
      </c>
      <c r="BF372" s="171" t="str">
        <f t="shared" si="23"/>
        <v>Code</v>
      </c>
    </row>
    <row r="373">
      <c r="A373" s="171">
        <f t="array" ref="A373">XLOOKUP(C373,ICSE!A:A,ICSE!C:C,,2,1)</f>
        <v>2020</v>
      </c>
      <c r="B373" s="171" t="s">
        <v>5675</v>
      </c>
      <c r="C373" s="160">
        <v>713.0</v>
      </c>
      <c r="D373" s="161" t="s">
        <v>5860</v>
      </c>
      <c r="E373" s="197" t="str">
        <f t="array" ref="E373">XLOOKUP(C373,ICSE!A:A,ICSE!Z:Z,,0,1)</f>
        <v>Publicly available (2)</v>
      </c>
      <c r="F373" s="198" t="s">
        <v>20</v>
      </c>
      <c r="G373" s="163" t="str">
        <f t="array" ref="G373">IF(B373="ICSE",IF(COUNTIFS(B:B,B373,C:C,C373)=XLOOKUP(C373,ICSE!A:A,ICSE!AA:AA,"ERROR",0,1),"OK","ERROR"),IF(B373="FSE",IF(COUNTIFS(B:B,B373,C:C,C373)=XLOOKUP(C373,FSE!A:A,FSE!AA:AA,"ERROR",0,1),"OK","ERROR")))</f>
        <v>OK</v>
      </c>
      <c r="H373" s="199">
        <f t="shared" ref="H373:O373" si="1868">countif($D373,"*"&amp;H$2&amp;"*")</f>
        <v>0</v>
      </c>
      <c r="I373" s="200">
        <f t="shared" si="1868"/>
        <v>0</v>
      </c>
      <c r="J373" s="200">
        <f t="shared" si="1868"/>
        <v>0</v>
      </c>
      <c r="K373" s="200">
        <f t="shared" si="1868"/>
        <v>0</v>
      </c>
      <c r="L373" s="200">
        <f t="shared" si="1868"/>
        <v>0</v>
      </c>
      <c r="M373" s="200">
        <f t="shared" si="1868"/>
        <v>0</v>
      </c>
      <c r="N373" s="200">
        <f t="shared" si="1868"/>
        <v>0</v>
      </c>
      <c r="O373" s="200">
        <f t="shared" si="1868"/>
        <v>0</v>
      </c>
      <c r="P373" s="200">
        <f t="shared" si="9"/>
        <v>0</v>
      </c>
      <c r="Q373" s="200">
        <f t="shared" ref="Q373:AC373" si="1869">countif($D373,"*"&amp;Q$2&amp;"*")</f>
        <v>0</v>
      </c>
      <c r="R373" s="200">
        <f t="shared" si="1869"/>
        <v>0</v>
      </c>
      <c r="S373" s="200">
        <f t="shared" si="1869"/>
        <v>0</v>
      </c>
      <c r="T373" s="200">
        <f t="shared" si="1869"/>
        <v>0</v>
      </c>
      <c r="U373" s="200">
        <f t="shared" si="1869"/>
        <v>0</v>
      </c>
      <c r="V373" s="200">
        <f t="shared" si="1869"/>
        <v>0</v>
      </c>
      <c r="W373" s="200">
        <f t="shared" si="1869"/>
        <v>0</v>
      </c>
      <c r="X373" s="200">
        <f t="shared" si="1869"/>
        <v>0</v>
      </c>
      <c r="Y373" s="200">
        <f t="shared" si="1869"/>
        <v>0</v>
      </c>
      <c r="Z373" s="200">
        <f t="shared" si="1869"/>
        <v>0</v>
      </c>
      <c r="AA373" s="200">
        <f t="shared" si="1869"/>
        <v>1</v>
      </c>
      <c r="AB373" s="200">
        <f t="shared" si="1869"/>
        <v>0</v>
      </c>
      <c r="AC373" s="200">
        <f t="shared" si="1869"/>
        <v>0</v>
      </c>
      <c r="AD373" s="200">
        <f t="shared" si="11"/>
        <v>0</v>
      </c>
      <c r="AE373" s="200">
        <f t="shared" ref="AE373:AG373" si="1870">countif($D373,"*"&amp;AE$2&amp;"*")</f>
        <v>0</v>
      </c>
      <c r="AF373" s="200">
        <f t="shared" si="1870"/>
        <v>0</v>
      </c>
      <c r="AG373" s="200">
        <f t="shared" si="1870"/>
        <v>0</v>
      </c>
      <c r="AH373" s="171">
        <f t="shared" si="13"/>
        <v>0</v>
      </c>
      <c r="AI373" s="200">
        <f t="shared" si="14"/>
        <v>0</v>
      </c>
      <c r="AJ373" s="200">
        <f t="shared" si="1840"/>
        <v>0</v>
      </c>
      <c r="AK373" s="201">
        <f t="shared" ref="AK373:AS373" si="1871">countif($D373,"*"&amp;AK$2&amp;"*")</f>
        <v>0</v>
      </c>
      <c r="AL373" s="201">
        <f t="shared" si="1871"/>
        <v>0</v>
      </c>
      <c r="AM373" s="201">
        <f t="shared" si="1871"/>
        <v>0</v>
      </c>
      <c r="AN373" s="201">
        <f t="shared" si="1871"/>
        <v>0</v>
      </c>
      <c r="AO373" s="201">
        <f t="shared" si="1871"/>
        <v>0</v>
      </c>
      <c r="AP373" s="201">
        <f t="shared" si="1871"/>
        <v>0</v>
      </c>
      <c r="AQ373" s="201">
        <f t="shared" si="1871"/>
        <v>0</v>
      </c>
      <c r="AR373" s="200">
        <f t="shared" si="1871"/>
        <v>0</v>
      </c>
      <c r="AS373" s="200">
        <f t="shared" si="1871"/>
        <v>0</v>
      </c>
      <c r="AT373" s="173">
        <v>0.0</v>
      </c>
      <c r="AU373" s="200">
        <f t="shared" ref="AU373:AX373" si="1872">countif($D373,"*"&amp;AU$2&amp;"*")</f>
        <v>0</v>
      </c>
      <c r="AV373" s="200">
        <f t="shared" si="1872"/>
        <v>0</v>
      </c>
      <c r="AW373" s="200">
        <f t="shared" si="1872"/>
        <v>0</v>
      </c>
      <c r="AX373" s="200">
        <f t="shared" si="1872"/>
        <v>0</v>
      </c>
      <c r="AY373" s="202">
        <v>0.0</v>
      </c>
      <c r="AZ373" s="200"/>
      <c r="BA373" s="171" t="str">
        <f t="shared" si="18"/>
        <v/>
      </c>
      <c r="BB373" s="171" t="str">
        <f t="shared" si="19"/>
        <v/>
      </c>
      <c r="BC373" s="171" t="str">
        <f t="shared" si="20"/>
        <v>General-purpose</v>
      </c>
      <c r="BD373" s="171" t="str">
        <f t="shared" si="21"/>
        <v/>
      </c>
      <c r="BE373" s="171" t="str">
        <f t="shared" si="22"/>
        <v/>
      </c>
      <c r="BF373" s="171" t="str">
        <f t="shared" si="23"/>
        <v>General-purpose</v>
      </c>
    </row>
    <row r="374">
      <c r="A374" s="171">
        <f t="array" ref="A374">XLOOKUP(C374,ICSE!A:A,ICSE!C:C,,2,1)</f>
        <v>2020</v>
      </c>
      <c r="B374" s="171" t="s">
        <v>5675</v>
      </c>
      <c r="C374" s="160">
        <v>714.0</v>
      </c>
      <c r="D374" s="161" t="s">
        <v>5861</v>
      </c>
      <c r="E374" s="197" t="str">
        <f t="array" ref="E374">XLOOKUP(C374,ICSE!A:A,ICSE!Z:Z,,0,1)</f>
        <v>Publicly available (1)
Not available (1) - Broken link.</v>
      </c>
      <c r="F374" s="198" t="s">
        <v>20</v>
      </c>
      <c r="G374" s="163" t="str">
        <f t="array" ref="G374">IF(B374="ICSE",IF(COUNTIFS(B:B,B374,C:C,C374)=XLOOKUP(C374,ICSE!A:A,ICSE!AA:AA,"ERROR",0,1),"OK","ERROR"),IF(B374="FSE",IF(COUNTIFS(B:B,B374,C:C,C374)=XLOOKUP(C374,FSE!A:A,FSE!AA:AA,"ERROR",0,1),"OK","ERROR")))</f>
        <v>OK</v>
      </c>
      <c r="H374" s="199">
        <f t="shared" ref="H374:O374" si="1873">countif($D374,"*"&amp;H$2&amp;"*")</f>
        <v>0</v>
      </c>
      <c r="I374" s="200">
        <f t="shared" si="1873"/>
        <v>0</v>
      </c>
      <c r="J374" s="200">
        <f t="shared" si="1873"/>
        <v>0</v>
      </c>
      <c r="K374" s="200">
        <f t="shared" si="1873"/>
        <v>0</v>
      </c>
      <c r="L374" s="200">
        <f t="shared" si="1873"/>
        <v>0</v>
      </c>
      <c r="M374" s="200">
        <f t="shared" si="1873"/>
        <v>0</v>
      </c>
      <c r="N374" s="200">
        <f t="shared" si="1873"/>
        <v>0</v>
      </c>
      <c r="O374" s="200">
        <f t="shared" si="1873"/>
        <v>0</v>
      </c>
      <c r="P374" s="200">
        <f t="shared" si="9"/>
        <v>1</v>
      </c>
      <c r="Q374" s="200">
        <f t="shared" ref="Q374:AC374" si="1874">countif($D374,"*"&amp;Q$2&amp;"*")</f>
        <v>0</v>
      </c>
      <c r="R374" s="200">
        <f t="shared" si="1874"/>
        <v>0</v>
      </c>
      <c r="S374" s="200">
        <f t="shared" si="1874"/>
        <v>0</v>
      </c>
      <c r="T374" s="200">
        <f t="shared" si="1874"/>
        <v>0</v>
      </c>
      <c r="U374" s="200">
        <f t="shared" si="1874"/>
        <v>0</v>
      </c>
      <c r="V374" s="200">
        <f t="shared" si="1874"/>
        <v>0</v>
      </c>
      <c r="W374" s="200">
        <f t="shared" si="1874"/>
        <v>0</v>
      </c>
      <c r="X374" s="200">
        <f t="shared" si="1874"/>
        <v>0</v>
      </c>
      <c r="Y374" s="200">
        <f t="shared" si="1874"/>
        <v>0</v>
      </c>
      <c r="Z374" s="200">
        <f t="shared" si="1874"/>
        <v>0</v>
      </c>
      <c r="AA374" s="200">
        <f t="shared" si="1874"/>
        <v>0</v>
      </c>
      <c r="AB374" s="200">
        <f t="shared" si="1874"/>
        <v>0</v>
      </c>
      <c r="AC374" s="200">
        <f t="shared" si="1874"/>
        <v>0</v>
      </c>
      <c r="AD374" s="200">
        <f t="shared" si="11"/>
        <v>0</v>
      </c>
      <c r="AE374" s="200">
        <f t="shared" ref="AE374:AG374" si="1875">countif($D374,"*"&amp;AE$2&amp;"*")</f>
        <v>0</v>
      </c>
      <c r="AF374" s="200">
        <f t="shared" si="1875"/>
        <v>0</v>
      </c>
      <c r="AG374" s="200">
        <f t="shared" si="1875"/>
        <v>0</v>
      </c>
      <c r="AH374" s="171">
        <f t="shared" si="13"/>
        <v>0</v>
      </c>
      <c r="AI374" s="200">
        <f t="shared" si="14"/>
        <v>0</v>
      </c>
      <c r="AJ374" s="200">
        <f t="shared" si="1840"/>
        <v>0</v>
      </c>
      <c r="AK374" s="201">
        <f t="shared" ref="AK374:AS374" si="1876">countif($D374,"*"&amp;AK$2&amp;"*")</f>
        <v>0</v>
      </c>
      <c r="AL374" s="201">
        <f t="shared" si="1876"/>
        <v>0</v>
      </c>
      <c r="AM374" s="201">
        <f t="shared" si="1876"/>
        <v>0</v>
      </c>
      <c r="AN374" s="201">
        <f t="shared" si="1876"/>
        <v>0</v>
      </c>
      <c r="AO374" s="201">
        <f t="shared" si="1876"/>
        <v>0</v>
      </c>
      <c r="AP374" s="201">
        <f t="shared" si="1876"/>
        <v>0</v>
      </c>
      <c r="AQ374" s="201">
        <f t="shared" si="1876"/>
        <v>0</v>
      </c>
      <c r="AR374" s="200">
        <f t="shared" si="1876"/>
        <v>0</v>
      </c>
      <c r="AS374" s="200">
        <f t="shared" si="1876"/>
        <v>0</v>
      </c>
      <c r="AT374" s="173">
        <v>0.0</v>
      </c>
      <c r="AU374" s="200">
        <f t="shared" ref="AU374:AX374" si="1877">countif($D374,"*"&amp;AU$2&amp;"*")</f>
        <v>0</v>
      </c>
      <c r="AV374" s="200">
        <f t="shared" si="1877"/>
        <v>1</v>
      </c>
      <c r="AW374" s="200">
        <f t="shared" si="1877"/>
        <v>0</v>
      </c>
      <c r="AX374" s="200">
        <f t="shared" si="1877"/>
        <v>0</v>
      </c>
      <c r="AY374" s="202">
        <v>0.0</v>
      </c>
      <c r="AZ374" s="200"/>
      <c r="BA374" s="171" t="str">
        <f t="shared" si="18"/>
        <v/>
      </c>
      <c r="BB374" s="171" t="str">
        <f t="shared" si="19"/>
        <v>Code</v>
      </c>
      <c r="BC374" s="171" t="str">
        <f t="shared" si="20"/>
        <v/>
      </c>
      <c r="BD374" s="171" t="str">
        <f t="shared" si="21"/>
        <v/>
      </c>
      <c r="BE374" s="171" t="str">
        <f t="shared" si="22"/>
        <v/>
      </c>
      <c r="BF374" s="171" t="str">
        <f t="shared" si="23"/>
        <v>Code</v>
      </c>
    </row>
    <row r="375">
      <c r="A375" s="171">
        <f t="array" ref="A375">XLOOKUP(C375,ICSE!A:A,ICSE!C:C,,2,1)</f>
        <v>2020</v>
      </c>
      <c r="B375" s="171" t="s">
        <v>5675</v>
      </c>
      <c r="C375" s="160">
        <v>714.0</v>
      </c>
      <c r="D375" s="161" t="s">
        <v>5862</v>
      </c>
      <c r="E375" s="197" t="str">
        <f t="array" ref="E375">XLOOKUP(C375,ICSE!A:A,ICSE!Z:Z,,0,1)</f>
        <v>Publicly available (1)
Not available (1) - Broken link.</v>
      </c>
      <c r="F375" s="198" t="s">
        <v>21</v>
      </c>
      <c r="G375" s="163" t="str">
        <f t="array" ref="G375">IF(B375="ICSE",IF(COUNTIFS(B:B,B375,C:C,C375)=XLOOKUP(C375,ICSE!A:A,ICSE!AA:AA,"ERROR",0,1),"OK","ERROR"),IF(B375="FSE",IF(COUNTIFS(B:B,B375,C:C,C375)=XLOOKUP(C375,FSE!A:A,FSE!AA:AA,"ERROR",0,1),"OK","ERROR")))</f>
        <v>OK</v>
      </c>
      <c r="H375" s="199">
        <f t="shared" ref="H375:O375" si="1878">countif($D375,"*"&amp;H$2&amp;"*")</f>
        <v>0</v>
      </c>
      <c r="I375" s="200">
        <f t="shared" si="1878"/>
        <v>0</v>
      </c>
      <c r="J375" s="200">
        <f t="shared" si="1878"/>
        <v>0</v>
      </c>
      <c r="K375" s="200">
        <f t="shared" si="1878"/>
        <v>0</v>
      </c>
      <c r="L375" s="200">
        <f t="shared" si="1878"/>
        <v>0</v>
      </c>
      <c r="M375" s="200">
        <f t="shared" si="1878"/>
        <v>0</v>
      </c>
      <c r="N375" s="200">
        <f t="shared" si="1878"/>
        <v>0</v>
      </c>
      <c r="O375" s="200">
        <f t="shared" si="1878"/>
        <v>0</v>
      </c>
      <c r="P375" s="200">
        <f t="shared" si="9"/>
        <v>0</v>
      </c>
      <c r="Q375" s="200">
        <f t="shared" ref="Q375:AC375" si="1879">countif($D375,"*"&amp;Q$2&amp;"*")</f>
        <v>0</v>
      </c>
      <c r="R375" s="200">
        <f t="shared" si="1879"/>
        <v>0</v>
      </c>
      <c r="S375" s="200">
        <f t="shared" si="1879"/>
        <v>1</v>
      </c>
      <c r="T375" s="200">
        <f t="shared" si="1879"/>
        <v>0</v>
      </c>
      <c r="U375" s="200">
        <f t="shared" si="1879"/>
        <v>0</v>
      </c>
      <c r="V375" s="200">
        <f t="shared" si="1879"/>
        <v>0</v>
      </c>
      <c r="W375" s="200">
        <f t="shared" si="1879"/>
        <v>0</v>
      </c>
      <c r="X375" s="200">
        <f t="shared" si="1879"/>
        <v>0</v>
      </c>
      <c r="Y375" s="200">
        <f t="shared" si="1879"/>
        <v>0</v>
      </c>
      <c r="Z375" s="200">
        <f t="shared" si="1879"/>
        <v>0</v>
      </c>
      <c r="AA375" s="200">
        <f t="shared" si="1879"/>
        <v>0</v>
      </c>
      <c r="AB375" s="200">
        <f t="shared" si="1879"/>
        <v>0</v>
      </c>
      <c r="AC375" s="200">
        <f t="shared" si="1879"/>
        <v>0</v>
      </c>
      <c r="AD375" s="200">
        <f t="shared" si="11"/>
        <v>0</v>
      </c>
      <c r="AE375" s="200">
        <f t="shared" ref="AE375:AG375" si="1880">countif($D375,"*"&amp;AE$2&amp;"*")</f>
        <v>0</v>
      </c>
      <c r="AF375" s="200">
        <f t="shared" si="1880"/>
        <v>0</v>
      </c>
      <c r="AG375" s="200">
        <f t="shared" si="1880"/>
        <v>0</v>
      </c>
      <c r="AH375" s="171">
        <f t="shared" si="13"/>
        <v>0</v>
      </c>
      <c r="AI375" s="200">
        <f t="shared" si="14"/>
        <v>0</v>
      </c>
      <c r="AJ375" s="200">
        <f t="shared" si="1840"/>
        <v>0</v>
      </c>
      <c r="AK375" s="201">
        <f t="shared" ref="AK375:AS375" si="1881">countif($D375,"*"&amp;AK$2&amp;"*")</f>
        <v>0</v>
      </c>
      <c r="AL375" s="201">
        <f t="shared" si="1881"/>
        <v>0</v>
      </c>
      <c r="AM375" s="201">
        <f t="shared" si="1881"/>
        <v>0</v>
      </c>
      <c r="AN375" s="201">
        <f t="shared" si="1881"/>
        <v>0</v>
      </c>
      <c r="AO375" s="201">
        <f t="shared" si="1881"/>
        <v>0</v>
      </c>
      <c r="AP375" s="201">
        <f t="shared" si="1881"/>
        <v>0</v>
      </c>
      <c r="AQ375" s="201">
        <f t="shared" si="1881"/>
        <v>0</v>
      </c>
      <c r="AR375" s="200">
        <f t="shared" si="1881"/>
        <v>0</v>
      </c>
      <c r="AS375" s="200">
        <f t="shared" si="1881"/>
        <v>0</v>
      </c>
      <c r="AT375" s="173">
        <v>0.0</v>
      </c>
      <c r="AU375" s="200">
        <f t="shared" ref="AU375:AX375" si="1882">countif($D375,"*"&amp;AU$2&amp;"*")</f>
        <v>0</v>
      </c>
      <c r="AV375" s="200">
        <f t="shared" si="1882"/>
        <v>0</v>
      </c>
      <c r="AW375" s="200">
        <f t="shared" si="1882"/>
        <v>0</v>
      </c>
      <c r="AX375" s="200">
        <f t="shared" si="1882"/>
        <v>0</v>
      </c>
      <c r="AY375" s="202">
        <v>0.0</v>
      </c>
      <c r="AZ375" s="200"/>
      <c r="BA375" s="171" t="str">
        <f t="shared" si="18"/>
        <v/>
      </c>
      <c r="BB375" s="171" t="str">
        <f t="shared" si="19"/>
        <v>Code</v>
      </c>
      <c r="BC375" s="171" t="str">
        <f t="shared" si="20"/>
        <v/>
      </c>
      <c r="BD375" s="171" t="str">
        <f t="shared" si="21"/>
        <v/>
      </c>
      <c r="BE375" s="171" t="str">
        <f t="shared" si="22"/>
        <v/>
      </c>
      <c r="BF375" s="171" t="str">
        <f t="shared" si="23"/>
        <v>Code</v>
      </c>
    </row>
    <row r="376">
      <c r="A376" s="171">
        <f t="array" ref="A376">XLOOKUP(C376,ICSE!A:A,ICSE!C:C,,2,1)</f>
        <v>2020</v>
      </c>
      <c r="B376" s="171" t="s">
        <v>5675</v>
      </c>
      <c r="C376" s="160">
        <v>715.0</v>
      </c>
      <c r="D376" s="161" t="s">
        <v>1546</v>
      </c>
      <c r="E376" s="197" t="str">
        <f t="array" ref="E376">XLOOKUP(C376,ICSE!A:A,ICSE!Z:Z,,0,1)</f>
        <v>Publicly available (1)</v>
      </c>
      <c r="F376" s="198" t="s">
        <v>20</v>
      </c>
      <c r="G376" s="163" t="str">
        <f t="array" ref="G376">IF(B376="ICSE",IF(COUNTIFS(B:B,B376,C:C,C376)=XLOOKUP(C376,ICSE!A:A,ICSE!AA:AA,"ERROR",0,1),"OK","ERROR"),IF(B376="FSE",IF(COUNTIFS(B:B,B376,C:C,C376)=XLOOKUP(C376,FSE!A:A,FSE!AA:AA,"ERROR",0,1),"OK","ERROR")))</f>
        <v>OK</v>
      </c>
      <c r="H376" s="199">
        <f t="shared" ref="H376:O376" si="1883">countif($D376,"*"&amp;H$2&amp;"*")</f>
        <v>0</v>
      </c>
      <c r="I376" s="200">
        <f t="shared" si="1883"/>
        <v>0</v>
      </c>
      <c r="J376" s="200">
        <f t="shared" si="1883"/>
        <v>0</v>
      </c>
      <c r="K376" s="200">
        <f t="shared" si="1883"/>
        <v>0</v>
      </c>
      <c r="L376" s="200">
        <f t="shared" si="1883"/>
        <v>0</v>
      </c>
      <c r="M376" s="200">
        <f t="shared" si="1883"/>
        <v>0</v>
      </c>
      <c r="N376" s="200">
        <f t="shared" si="1883"/>
        <v>0</v>
      </c>
      <c r="O376" s="200">
        <f t="shared" si="1883"/>
        <v>0</v>
      </c>
      <c r="P376" s="200">
        <f t="shared" si="9"/>
        <v>1</v>
      </c>
      <c r="Q376" s="200">
        <f t="shared" ref="Q376:AC376" si="1884">countif($D376,"*"&amp;Q$2&amp;"*")</f>
        <v>0</v>
      </c>
      <c r="R376" s="200">
        <f t="shared" si="1884"/>
        <v>0</v>
      </c>
      <c r="S376" s="200">
        <f t="shared" si="1884"/>
        <v>0</v>
      </c>
      <c r="T376" s="200">
        <f t="shared" si="1884"/>
        <v>0</v>
      </c>
      <c r="U376" s="200">
        <f t="shared" si="1884"/>
        <v>0</v>
      </c>
      <c r="V376" s="200">
        <f t="shared" si="1884"/>
        <v>0</v>
      </c>
      <c r="W376" s="200">
        <f t="shared" si="1884"/>
        <v>0</v>
      </c>
      <c r="X376" s="200">
        <f t="shared" si="1884"/>
        <v>0</v>
      </c>
      <c r="Y376" s="200">
        <f t="shared" si="1884"/>
        <v>0</v>
      </c>
      <c r="Z376" s="200">
        <f t="shared" si="1884"/>
        <v>0</v>
      </c>
      <c r="AA376" s="200">
        <f t="shared" si="1884"/>
        <v>0</v>
      </c>
      <c r="AB376" s="200">
        <f t="shared" si="1884"/>
        <v>0</v>
      </c>
      <c r="AC376" s="200">
        <f t="shared" si="1884"/>
        <v>0</v>
      </c>
      <c r="AD376" s="200">
        <f t="shared" si="11"/>
        <v>0</v>
      </c>
      <c r="AE376" s="200">
        <f t="shared" ref="AE376:AG376" si="1885">countif($D376,"*"&amp;AE$2&amp;"*")</f>
        <v>0</v>
      </c>
      <c r="AF376" s="200">
        <f t="shared" si="1885"/>
        <v>0</v>
      </c>
      <c r="AG376" s="200">
        <f t="shared" si="1885"/>
        <v>0</v>
      </c>
      <c r="AH376" s="171">
        <f t="shared" si="13"/>
        <v>0</v>
      </c>
      <c r="AI376" s="200">
        <f t="shared" si="14"/>
        <v>0</v>
      </c>
      <c r="AJ376" s="200">
        <f t="shared" si="1840"/>
        <v>0</v>
      </c>
      <c r="AK376" s="201">
        <f t="shared" ref="AK376:AS376" si="1886">countif($D376,"*"&amp;AK$2&amp;"*")</f>
        <v>0</v>
      </c>
      <c r="AL376" s="201">
        <f t="shared" si="1886"/>
        <v>0</v>
      </c>
      <c r="AM376" s="201">
        <f t="shared" si="1886"/>
        <v>0</v>
      </c>
      <c r="AN376" s="201">
        <f t="shared" si="1886"/>
        <v>0</v>
      </c>
      <c r="AO376" s="201">
        <f t="shared" si="1886"/>
        <v>0</v>
      </c>
      <c r="AP376" s="201">
        <f t="shared" si="1886"/>
        <v>0</v>
      </c>
      <c r="AQ376" s="201">
        <f t="shared" si="1886"/>
        <v>0</v>
      </c>
      <c r="AR376" s="200">
        <f t="shared" si="1886"/>
        <v>0</v>
      </c>
      <c r="AS376" s="200">
        <f t="shared" si="1886"/>
        <v>0</v>
      </c>
      <c r="AT376" s="173">
        <v>0.0</v>
      </c>
      <c r="AU376" s="200">
        <f t="shared" ref="AU376:AX376" si="1887">countif($D376,"*"&amp;AU$2&amp;"*")</f>
        <v>0</v>
      </c>
      <c r="AV376" s="200">
        <f t="shared" si="1887"/>
        <v>1</v>
      </c>
      <c r="AW376" s="200">
        <f t="shared" si="1887"/>
        <v>0</v>
      </c>
      <c r="AX376" s="200">
        <f t="shared" si="1887"/>
        <v>0</v>
      </c>
      <c r="AY376" s="202">
        <v>0.0</v>
      </c>
      <c r="AZ376" s="200"/>
      <c r="BA376" s="171" t="str">
        <f t="shared" si="18"/>
        <v/>
      </c>
      <c r="BB376" s="171" t="str">
        <f t="shared" si="19"/>
        <v>Code</v>
      </c>
      <c r="BC376" s="171" t="str">
        <f t="shared" si="20"/>
        <v/>
      </c>
      <c r="BD376" s="171" t="str">
        <f t="shared" si="21"/>
        <v/>
      </c>
      <c r="BE376" s="171" t="str">
        <f t="shared" si="22"/>
        <v/>
      </c>
      <c r="BF376" s="171" t="str">
        <f t="shared" si="23"/>
        <v>Code</v>
      </c>
    </row>
    <row r="377">
      <c r="A377" s="171">
        <f t="array" ref="A377">XLOOKUP(C377,ICSE!A:A,ICSE!C:C,,2,1)</f>
        <v>2020</v>
      </c>
      <c r="B377" s="171" t="s">
        <v>5675</v>
      </c>
      <c r="C377" s="160">
        <v>717.0</v>
      </c>
      <c r="D377" s="161" t="s">
        <v>1549</v>
      </c>
      <c r="E377" s="197" t="str">
        <f t="array" ref="E377">XLOOKUP(C377,ICSE!A:A,ICSE!Z:Z,,0,1)</f>
        <v>Publicly available (1)</v>
      </c>
      <c r="F377" s="198" t="s">
        <v>20</v>
      </c>
      <c r="G377" s="163" t="str">
        <f t="array" ref="G377">IF(B377="ICSE",IF(COUNTIFS(B:B,B377,C:C,C377)=XLOOKUP(C377,ICSE!A:A,ICSE!AA:AA,"ERROR",0,1),"OK","ERROR"),IF(B377="FSE",IF(COUNTIFS(B:B,B377,C:C,C377)=XLOOKUP(C377,FSE!A:A,FSE!AA:AA,"ERROR",0,1),"OK","ERROR")))</f>
        <v>OK</v>
      </c>
      <c r="H377" s="199">
        <f t="shared" ref="H377:O377" si="1888">countif($D377,"*"&amp;H$2&amp;"*")</f>
        <v>0</v>
      </c>
      <c r="I377" s="200">
        <f t="shared" si="1888"/>
        <v>0</v>
      </c>
      <c r="J377" s="200">
        <f t="shared" si="1888"/>
        <v>0</v>
      </c>
      <c r="K377" s="200">
        <f t="shared" si="1888"/>
        <v>0</v>
      </c>
      <c r="L377" s="200">
        <f t="shared" si="1888"/>
        <v>0</v>
      </c>
      <c r="M377" s="200">
        <f t="shared" si="1888"/>
        <v>0</v>
      </c>
      <c r="N377" s="200">
        <f t="shared" si="1888"/>
        <v>0</v>
      </c>
      <c r="O377" s="200">
        <f t="shared" si="1888"/>
        <v>0</v>
      </c>
      <c r="P377" s="200">
        <f t="shared" si="9"/>
        <v>1</v>
      </c>
      <c r="Q377" s="200">
        <f t="shared" ref="Q377:AC377" si="1889">countif($D377,"*"&amp;Q$2&amp;"*")</f>
        <v>0</v>
      </c>
      <c r="R377" s="200">
        <f t="shared" si="1889"/>
        <v>0</v>
      </c>
      <c r="S377" s="200">
        <f t="shared" si="1889"/>
        <v>0</v>
      </c>
      <c r="T377" s="200">
        <f t="shared" si="1889"/>
        <v>0</v>
      </c>
      <c r="U377" s="200">
        <f t="shared" si="1889"/>
        <v>0</v>
      </c>
      <c r="V377" s="200">
        <f t="shared" si="1889"/>
        <v>0</v>
      </c>
      <c r="W377" s="200">
        <f t="shared" si="1889"/>
        <v>0</v>
      </c>
      <c r="X377" s="200">
        <f t="shared" si="1889"/>
        <v>0</v>
      </c>
      <c r="Y377" s="200">
        <f t="shared" si="1889"/>
        <v>0</v>
      </c>
      <c r="Z377" s="200">
        <f t="shared" si="1889"/>
        <v>0</v>
      </c>
      <c r="AA377" s="200">
        <f t="shared" si="1889"/>
        <v>0</v>
      </c>
      <c r="AB377" s="200">
        <f t="shared" si="1889"/>
        <v>0</v>
      </c>
      <c r="AC377" s="200">
        <f t="shared" si="1889"/>
        <v>0</v>
      </c>
      <c r="AD377" s="200">
        <f t="shared" si="11"/>
        <v>0</v>
      </c>
      <c r="AE377" s="200">
        <f t="shared" ref="AE377:AG377" si="1890">countif($D377,"*"&amp;AE$2&amp;"*")</f>
        <v>0</v>
      </c>
      <c r="AF377" s="200">
        <f t="shared" si="1890"/>
        <v>0</v>
      </c>
      <c r="AG377" s="200">
        <f t="shared" si="1890"/>
        <v>0</v>
      </c>
      <c r="AH377" s="171">
        <f t="shared" si="13"/>
        <v>0</v>
      </c>
      <c r="AI377" s="200">
        <f t="shared" si="14"/>
        <v>0</v>
      </c>
      <c r="AJ377" s="200">
        <f t="shared" si="1840"/>
        <v>0</v>
      </c>
      <c r="AK377" s="201">
        <f t="shared" ref="AK377:AS377" si="1891">countif($D377,"*"&amp;AK$2&amp;"*")</f>
        <v>0</v>
      </c>
      <c r="AL377" s="201">
        <f t="shared" si="1891"/>
        <v>0</v>
      </c>
      <c r="AM377" s="201">
        <f t="shared" si="1891"/>
        <v>0</v>
      </c>
      <c r="AN377" s="201">
        <f t="shared" si="1891"/>
        <v>0</v>
      </c>
      <c r="AO377" s="201">
        <f t="shared" si="1891"/>
        <v>0</v>
      </c>
      <c r="AP377" s="201">
        <f t="shared" si="1891"/>
        <v>0</v>
      </c>
      <c r="AQ377" s="201">
        <f t="shared" si="1891"/>
        <v>0</v>
      </c>
      <c r="AR377" s="200">
        <f t="shared" si="1891"/>
        <v>0</v>
      </c>
      <c r="AS377" s="200">
        <f t="shared" si="1891"/>
        <v>0</v>
      </c>
      <c r="AT377" s="173">
        <v>0.0</v>
      </c>
      <c r="AU377" s="200">
        <f t="shared" ref="AU377:AX377" si="1892">countif($D377,"*"&amp;AU$2&amp;"*")</f>
        <v>0</v>
      </c>
      <c r="AV377" s="200">
        <f t="shared" si="1892"/>
        <v>1</v>
      </c>
      <c r="AW377" s="200">
        <f t="shared" si="1892"/>
        <v>0</v>
      </c>
      <c r="AX377" s="200">
        <f t="shared" si="1892"/>
        <v>0</v>
      </c>
      <c r="AY377" s="202">
        <v>0.0</v>
      </c>
      <c r="AZ377" s="200"/>
      <c r="BA377" s="171" t="str">
        <f t="shared" si="18"/>
        <v/>
      </c>
      <c r="BB377" s="171" t="str">
        <f t="shared" si="19"/>
        <v>Code</v>
      </c>
      <c r="BC377" s="171" t="str">
        <f t="shared" si="20"/>
        <v/>
      </c>
      <c r="BD377" s="171" t="str">
        <f t="shared" si="21"/>
        <v/>
      </c>
      <c r="BE377" s="171" t="str">
        <f t="shared" si="22"/>
        <v/>
      </c>
      <c r="BF377" s="171" t="str">
        <f t="shared" si="23"/>
        <v>Code</v>
      </c>
    </row>
    <row r="378">
      <c r="A378" s="171">
        <f t="array" ref="A378">XLOOKUP(C378,ICSE!A:A,ICSE!C:C,,2,1)</f>
        <v>2020</v>
      </c>
      <c r="B378" s="171" t="s">
        <v>5675</v>
      </c>
      <c r="C378" s="160">
        <v>718.0</v>
      </c>
      <c r="D378" s="161" t="s">
        <v>5863</v>
      </c>
      <c r="E378" s="197" t="str">
        <f t="array" ref="E378">XLOOKUP(C378,ICSE!A:A,ICSE!Z:Z,,0,1)</f>
        <v>Publicly available (2)</v>
      </c>
      <c r="F378" s="198" t="s">
        <v>20</v>
      </c>
      <c r="G378" s="163" t="str">
        <f t="array" ref="G378">IF(B378="ICSE",IF(COUNTIFS(B:B,B378,C:C,C378)=XLOOKUP(C378,ICSE!A:A,ICSE!AA:AA,"ERROR",0,1),"OK","ERROR"),IF(B378="FSE",IF(COUNTIFS(B:B,B378,C:C,C378)=XLOOKUP(C378,FSE!A:A,FSE!AA:AA,"ERROR",0,1),"OK","ERROR")))</f>
        <v>OK</v>
      </c>
      <c r="H378" s="199">
        <f t="shared" ref="H378:O378" si="1893">countif($D378,"*"&amp;H$2&amp;"*")</f>
        <v>0</v>
      </c>
      <c r="I378" s="200">
        <f t="shared" si="1893"/>
        <v>1</v>
      </c>
      <c r="J378" s="200">
        <f t="shared" si="1893"/>
        <v>0</v>
      </c>
      <c r="K378" s="200">
        <f t="shared" si="1893"/>
        <v>0</v>
      </c>
      <c r="L378" s="200">
        <f t="shared" si="1893"/>
        <v>0</v>
      </c>
      <c r="M378" s="200">
        <f t="shared" si="1893"/>
        <v>0</v>
      </c>
      <c r="N378" s="200">
        <f t="shared" si="1893"/>
        <v>0</v>
      </c>
      <c r="O378" s="200">
        <f t="shared" si="1893"/>
        <v>0</v>
      </c>
      <c r="P378" s="200">
        <f t="shared" si="9"/>
        <v>0</v>
      </c>
      <c r="Q378" s="200">
        <f t="shared" ref="Q378:AC378" si="1894">countif($D378,"*"&amp;Q$2&amp;"*")</f>
        <v>0</v>
      </c>
      <c r="R378" s="200">
        <f t="shared" si="1894"/>
        <v>0</v>
      </c>
      <c r="S378" s="200">
        <f t="shared" si="1894"/>
        <v>0</v>
      </c>
      <c r="T378" s="200">
        <f t="shared" si="1894"/>
        <v>0</v>
      </c>
      <c r="U378" s="200">
        <f t="shared" si="1894"/>
        <v>0</v>
      </c>
      <c r="V378" s="200">
        <f t="shared" si="1894"/>
        <v>0</v>
      </c>
      <c r="W378" s="200">
        <f t="shared" si="1894"/>
        <v>0</v>
      </c>
      <c r="X378" s="200">
        <f t="shared" si="1894"/>
        <v>0</v>
      </c>
      <c r="Y378" s="200">
        <f t="shared" si="1894"/>
        <v>0</v>
      </c>
      <c r="Z378" s="200">
        <f t="shared" si="1894"/>
        <v>0</v>
      </c>
      <c r="AA378" s="200">
        <f t="shared" si="1894"/>
        <v>0</v>
      </c>
      <c r="AB378" s="200">
        <f t="shared" si="1894"/>
        <v>0</v>
      </c>
      <c r="AC378" s="200">
        <f t="shared" si="1894"/>
        <v>0</v>
      </c>
      <c r="AD378" s="200">
        <f t="shared" si="11"/>
        <v>0</v>
      </c>
      <c r="AE378" s="200">
        <f t="shared" ref="AE378:AG378" si="1895">countif($D378,"*"&amp;AE$2&amp;"*")</f>
        <v>0</v>
      </c>
      <c r="AF378" s="200">
        <f t="shared" si="1895"/>
        <v>0</v>
      </c>
      <c r="AG378" s="200">
        <f t="shared" si="1895"/>
        <v>0</v>
      </c>
      <c r="AH378" s="171">
        <f t="shared" si="13"/>
        <v>0</v>
      </c>
      <c r="AI378" s="200">
        <f t="shared" si="14"/>
        <v>1</v>
      </c>
      <c r="AJ378" s="200">
        <f t="shared" si="1840"/>
        <v>0</v>
      </c>
      <c r="AK378" s="201">
        <f t="shared" ref="AK378:AS378" si="1896">countif($D378,"*"&amp;AK$2&amp;"*")</f>
        <v>0</v>
      </c>
      <c r="AL378" s="201">
        <f t="shared" si="1896"/>
        <v>0</v>
      </c>
      <c r="AM378" s="201">
        <f t="shared" si="1896"/>
        <v>0</v>
      </c>
      <c r="AN378" s="201">
        <f t="shared" si="1896"/>
        <v>0</v>
      </c>
      <c r="AO378" s="201">
        <f t="shared" si="1896"/>
        <v>0</v>
      </c>
      <c r="AP378" s="201">
        <f t="shared" si="1896"/>
        <v>0</v>
      </c>
      <c r="AQ378" s="201">
        <f t="shared" si="1896"/>
        <v>0</v>
      </c>
      <c r="AR378" s="200">
        <f t="shared" si="1896"/>
        <v>0</v>
      </c>
      <c r="AS378" s="200">
        <f t="shared" si="1896"/>
        <v>0</v>
      </c>
      <c r="AT378" s="173">
        <v>0.0</v>
      </c>
      <c r="AU378" s="200">
        <f t="shared" ref="AU378:AX378" si="1897">countif($D378,"*"&amp;AU$2&amp;"*")</f>
        <v>0</v>
      </c>
      <c r="AV378" s="200">
        <f t="shared" si="1897"/>
        <v>0</v>
      </c>
      <c r="AW378" s="200">
        <f t="shared" si="1897"/>
        <v>0</v>
      </c>
      <c r="AX378" s="200">
        <f t="shared" si="1897"/>
        <v>1</v>
      </c>
      <c r="AY378" s="202">
        <v>0.0</v>
      </c>
      <c r="AZ378" s="200"/>
      <c r="BA378" s="171" t="str">
        <f t="shared" si="18"/>
        <v>Archival</v>
      </c>
      <c r="BB378" s="171" t="str">
        <f t="shared" si="19"/>
        <v/>
      </c>
      <c r="BC378" s="171" t="str">
        <f t="shared" si="20"/>
        <v/>
      </c>
      <c r="BD378" s="171" t="str">
        <f t="shared" si="21"/>
        <v/>
      </c>
      <c r="BE378" s="171" t="str">
        <f t="shared" si="22"/>
        <v/>
      </c>
      <c r="BF378" s="171" t="str">
        <f t="shared" si="23"/>
        <v>Archival</v>
      </c>
    </row>
    <row r="379">
      <c r="A379" s="171">
        <f t="array" ref="A379">XLOOKUP(C379,ICSE!A:A,ICSE!C:C,,2,1)</f>
        <v>2020</v>
      </c>
      <c r="B379" s="171" t="s">
        <v>5675</v>
      </c>
      <c r="C379" s="160">
        <v>718.0</v>
      </c>
      <c r="D379" s="161" t="s">
        <v>5864</v>
      </c>
      <c r="E379" s="197" t="str">
        <f t="array" ref="E379">XLOOKUP(C379,ICSE!A:A,ICSE!Z:Z,,0,1)</f>
        <v>Publicly available (2)</v>
      </c>
      <c r="F379" s="198" t="s">
        <v>20</v>
      </c>
      <c r="G379" s="163" t="str">
        <f t="array" ref="G379">IF(B379="ICSE",IF(COUNTIFS(B:B,B379,C:C,C379)=XLOOKUP(C379,ICSE!A:A,ICSE!AA:AA,"ERROR",0,1),"OK","ERROR"),IF(B379="FSE",IF(COUNTIFS(B:B,B379,C:C,C379)=XLOOKUP(C379,FSE!A:A,FSE!AA:AA,"ERROR",0,1),"OK","ERROR")))</f>
        <v>OK</v>
      </c>
      <c r="H379" s="199">
        <f t="shared" ref="H379:O379" si="1898">countif($D379,"*"&amp;H$2&amp;"*")</f>
        <v>0</v>
      </c>
      <c r="I379" s="200">
        <f t="shared" si="1898"/>
        <v>0</v>
      </c>
      <c r="J379" s="200">
        <f t="shared" si="1898"/>
        <v>0</v>
      </c>
      <c r="K379" s="200">
        <f t="shared" si="1898"/>
        <v>0</v>
      </c>
      <c r="L379" s="200">
        <f t="shared" si="1898"/>
        <v>0</v>
      </c>
      <c r="M379" s="200">
        <f t="shared" si="1898"/>
        <v>0</v>
      </c>
      <c r="N379" s="200">
        <f t="shared" si="1898"/>
        <v>0</v>
      </c>
      <c r="O379" s="200">
        <f t="shared" si="1898"/>
        <v>0</v>
      </c>
      <c r="P379" s="200">
        <f t="shared" si="9"/>
        <v>1</v>
      </c>
      <c r="Q379" s="200">
        <f t="shared" ref="Q379:AC379" si="1899">countif($D379,"*"&amp;Q$2&amp;"*")</f>
        <v>0</v>
      </c>
      <c r="R379" s="200">
        <f t="shared" si="1899"/>
        <v>0</v>
      </c>
      <c r="S379" s="200">
        <f t="shared" si="1899"/>
        <v>0</v>
      </c>
      <c r="T379" s="200">
        <f t="shared" si="1899"/>
        <v>0</v>
      </c>
      <c r="U379" s="200">
        <f t="shared" si="1899"/>
        <v>0</v>
      </c>
      <c r="V379" s="200">
        <f t="shared" si="1899"/>
        <v>0</v>
      </c>
      <c r="W379" s="200">
        <f t="shared" si="1899"/>
        <v>0</v>
      </c>
      <c r="X379" s="200">
        <f t="shared" si="1899"/>
        <v>0</v>
      </c>
      <c r="Y379" s="200">
        <f t="shared" si="1899"/>
        <v>0</v>
      </c>
      <c r="Z379" s="200">
        <f t="shared" si="1899"/>
        <v>0</v>
      </c>
      <c r="AA379" s="200">
        <f t="shared" si="1899"/>
        <v>0</v>
      </c>
      <c r="AB379" s="200">
        <f t="shared" si="1899"/>
        <v>0</v>
      </c>
      <c r="AC379" s="200">
        <f t="shared" si="1899"/>
        <v>0</v>
      </c>
      <c r="AD379" s="200">
        <f t="shared" si="11"/>
        <v>0</v>
      </c>
      <c r="AE379" s="200">
        <f t="shared" ref="AE379:AG379" si="1900">countif($D379,"*"&amp;AE$2&amp;"*")</f>
        <v>0</v>
      </c>
      <c r="AF379" s="200">
        <f t="shared" si="1900"/>
        <v>0</v>
      </c>
      <c r="AG379" s="200">
        <f t="shared" si="1900"/>
        <v>0</v>
      </c>
      <c r="AH379" s="171">
        <f t="shared" si="13"/>
        <v>0</v>
      </c>
      <c r="AI379" s="200">
        <f t="shared" si="14"/>
        <v>0</v>
      </c>
      <c r="AJ379" s="200">
        <f t="shared" si="1840"/>
        <v>0</v>
      </c>
      <c r="AK379" s="201">
        <f t="shared" ref="AK379:AS379" si="1901">countif($D379,"*"&amp;AK$2&amp;"*")</f>
        <v>0</v>
      </c>
      <c r="AL379" s="201">
        <f t="shared" si="1901"/>
        <v>0</v>
      </c>
      <c r="AM379" s="201">
        <f t="shared" si="1901"/>
        <v>0</v>
      </c>
      <c r="AN379" s="201">
        <f t="shared" si="1901"/>
        <v>0</v>
      </c>
      <c r="AO379" s="201">
        <f t="shared" si="1901"/>
        <v>0</v>
      </c>
      <c r="AP379" s="201">
        <f t="shared" si="1901"/>
        <v>0</v>
      </c>
      <c r="AQ379" s="201">
        <f t="shared" si="1901"/>
        <v>0</v>
      </c>
      <c r="AR379" s="200">
        <f t="shared" si="1901"/>
        <v>0</v>
      </c>
      <c r="AS379" s="200">
        <f t="shared" si="1901"/>
        <v>0</v>
      </c>
      <c r="AT379" s="173">
        <v>0.0</v>
      </c>
      <c r="AU379" s="200">
        <f t="shared" ref="AU379:AX379" si="1902">countif($D379,"*"&amp;AU$2&amp;"*")</f>
        <v>0</v>
      </c>
      <c r="AV379" s="200">
        <f t="shared" si="1902"/>
        <v>1</v>
      </c>
      <c r="AW379" s="200">
        <f t="shared" si="1902"/>
        <v>0</v>
      </c>
      <c r="AX379" s="200">
        <f t="shared" si="1902"/>
        <v>0</v>
      </c>
      <c r="AY379" s="202">
        <v>0.0</v>
      </c>
      <c r="AZ379" s="200"/>
      <c r="BA379" s="171" t="str">
        <f t="shared" si="18"/>
        <v/>
      </c>
      <c r="BB379" s="171" t="str">
        <f t="shared" si="19"/>
        <v>Code</v>
      </c>
      <c r="BC379" s="171" t="str">
        <f t="shared" si="20"/>
        <v/>
      </c>
      <c r="BD379" s="171" t="str">
        <f t="shared" si="21"/>
        <v/>
      </c>
      <c r="BE379" s="171" t="str">
        <f t="shared" si="22"/>
        <v/>
      </c>
      <c r="BF379" s="171" t="str">
        <f t="shared" si="23"/>
        <v>Code</v>
      </c>
    </row>
    <row r="380">
      <c r="A380" s="171">
        <f t="array" ref="A380">XLOOKUP(C380,ICSE!A:A,ICSE!C:C,,2,1)</f>
        <v>2020</v>
      </c>
      <c r="B380" s="171" t="s">
        <v>5675</v>
      </c>
      <c r="C380" s="160">
        <v>719.0</v>
      </c>
      <c r="D380" s="161" t="s">
        <v>1555</v>
      </c>
      <c r="E380" s="197" t="str">
        <f t="array" ref="E380">XLOOKUP(C380,ICSE!A:A,ICSE!Z:Z,,0,1)</f>
        <v>Publicly available (1)</v>
      </c>
      <c r="F380" s="198" t="s">
        <v>20</v>
      </c>
      <c r="G380" s="163" t="str">
        <f t="array" ref="G380">IF(B380="ICSE",IF(COUNTIFS(B:B,B380,C:C,C380)=XLOOKUP(C380,ICSE!A:A,ICSE!AA:AA,"ERROR",0,1),"OK","ERROR"),IF(B380="FSE",IF(COUNTIFS(B:B,B380,C:C,C380)=XLOOKUP(C380,FSE!A:A,FSE!AA:AA,"ERROR",0,1),"OK","ERROR")))</f>
        <v>OK</v>
      </c>
      <c r="H380" s="199">
        <f t="shared" ref="H380:O380" si="1903">countif($D380,"*"&amp;H$2&amp;"*")</f>
        <v>0</v>
      </c>
      <c r="I380" s="200">
        <f t="shared" si="1903"/>
        <v>0</v>
      </c>
      <c r="J380" s="200">
        <f t="shared" si="1903"/>
        <v>0</v>
      </c>
      <c r="K380" s="200">
        <f t="shared" si="1903"/>
        <v>0</v>
      </c>
      <c r="L380" s="200">
        <f t="shared" si="1903"/>
        <v>0</v>
      </c>
      <c r="M380" s="200">
        <f t="shared" si="1903"/>
        <v>0</v>
      </c>
      <c r="N380" s="200">
        <f t="shared" si="1903"/>
        <v>0</v>
      </c>
      <c r="O380" s="200">
        <f t="shared" si="1903"/>
        <v>0</v>
      </c>
      <c r="P380" s="200">
        <f t="shared" si="9"/>
        <v>1</v>
      </c>
      <c r="Q380" s="200">
        <f t="shared" ref="Q380:AC380" si="1904">countif($D380,"*"&amp;Q$2&amp;"*")</f>
        <v>0</v>
      </c>
      <c r="R380" s="200">
        <f t="shared" si="1904"/>
        <v>0</v>
      </c>
      <c r="S380" s="200">
        <f t="shared" si="1904"/>
        <v>0</v>
      </c>
      <c r="T380" s="200">
        <f t="shared" si="1904"/>
        <v>0</v>
      </c>
      <c r="U380" s="200">
        <f t="shared" si="1904"/>
        <v>0</v>
      </c>
      <c r="V380" s="200">
        <f t="shared" si="1904"/>
        <v>0</v>
      </c>
      <c r="W380" s="200">
        <f t="shared" si="1904"/>
        <v>0</v>
      </c>
      <c r="X380" s="200">
        <f t="shared" si="1904"/>
        <v>0</v>
      </c>
      <c r="Y380" s="200">
        <f t="shared" si="1904"/>
        <v>0</v>
      </c>
      <c r="Z380" s="200">
        <f t="shared" si="1904"/>
        <v>0</v>
      </c>
      <c r="AA380" s="200">
        <f t="shared" si="1904"/>
        <v>0</v>
      </c>
      <c r="AB380" s="200">
        <f t="shared" si="1904"/>
        <v>0</v>
      </c>
      <c r="AC380" s="200">
        <f t="shared" si="1904"/>
        <v>0</v>
      </c>
      <c r="AD380" s="200">
        <f t="shared" si="11"/>
        <v>0</v>
      </c>
      <c r="AE380" s="200">
        <f t="shared" ref="AE380:AG380" si="1905">countif($D380,"*"&amp;AE$2&amp;"*")</f>
        <v>0</v>
      </c>
      <c r="AF380" s="200">
        <f t="shared" si="1905"/>
        <v>0</v>
      </c>
      <c r="AG380" s="200">
        <f t="shared" si="1905"/>
        <v>0</v>
      </c>
      <c r="AH380" s="171">
        <f t="shared" si="13"/>
        <v>0</v>
      </c>
      <c r="AI380" s="200">
        <f t="shared" si="14"/>
        <v>0</v>
      </c>
      <c r="AJ380" s="200">
        <f t="shared" si="1840"/>
        <v>0</v>
      </c>
      <c r="AK380" s="201">
        <f t="shared" ref="AK380:AS380" si="1906">countif($D380,"*"&amp;AK$2&amp;"*")</f>
        <v>0</v>
      </c>
      <c r="AL380" s="201">
        <f t="shared" si="1906"/>
        <v>0</v>
      </c>
      <c r="AM380" s="201">
        <f t="shared" si="1906"/>
        <v>0</v>
      </c>
      <c r="AN380" s="201">
        <f t="shared" si="1906"/>
        <v>0</v>
      </c>
      <c r="AO380" s="201">
        <f t="shared" si="1906"/>
        <v>0</v>
      </c>
      <c r="AP380" s="201">
        <f t="shared" si="1906"/>
        <v>0</v>
      </c>
      <c r="AQ380" s="201">
        <f t="shared" si="1906"/>
        <v>0</v>
      </c>
      <c r="AR380" s="200">
        <f t="shared" si="1906"/>
        <v>0</v>
      </c>
      <c r="AS380" s="200">
        <f t="shared" si="1906"/>
        <v>0</v>
      </c>
      <c r="AT380" s="173">
        <v>0.0</v>
      </c>
      <c r="AU380" s="200">
        <f t="shared" ref="AU380:AX380" si="1907">countif($D380,"*"&amp;AU$2&amp;"*")</f>
        <v>0</v>
      </c>
      <c r="AV380" s="200">
        <f t="shared" si="1907"/>
        <v>1</v>
      </c>
      <c r="AW380" s="200">
        <f t="shared" si="1907"/>
        <v>0</v>
      </c>
      <c r="AX380" s="200">
        <f t="shared" si="1907"/>
        <v>0</v>
      </c>
      <c r="AY380" s="202">
        <v>0.0</v>
      </c>
      <c r="AZ380" s="200"/>
      <c r="BA380" s="171" t="str">
        <f t="shared" si="18"/>
        <v/>
      </c>
      <c r="BB380" s="171" t="str">
        <f t="shared" si="19"/>
        <v>Code</v>
      </c>
      <c r="BC380" s="171" t="str">
        <f t="shared" si="20"/>
        <v/>
      </c>
      <c r="BD380" s="171" t="str">
        <f t="shared" si="21"/>
        <v/>
      </c>
      <c r="BE380" s="171" t="str">
        <f t="shared" si="22"/>
        <v/>
      </c>
      <c r="BF380" s="171" t="str">
        <f t="shared" si="23"/>
        <v>Code</v>
      </c>
    </row>
    <row r="381">
      <c r="A381" s="171">
        <f t="array" ref="A381">XLOOKUP(C381,ICSE!A:A,ICSE!C:C,,2,1)</f>
        <v>2020</v>
      </c>
      <c r="B381" s="171" t="s">
        <v>5675</v>
      </c>
      <c r="C381" s="160">
        <v>720.0</v>
      </c>
      <c r="D381" s="161" t="s">
        <v>1558</v>
      </c>
      <c r="E381" s="197" t="str">
        <f t="array" ref="E381">XLOOKUP(C381,ICSE!A:A,ICSE!Z:Z,,0,1)</f>
        <v>Publicly available (1)</v>
      </c>
      <c r="F381" s="198" t="s">
        <v>20</v>
      </c>
      <c r="G381" s="163" t="str">
        <f t="array" ref="G381">IF(B381="ICSE",IF(COUNTIFS(B:B,B381,C:C,C381)=XLOOKUP(C381,ICSE!A:A,ICSE!AA:AA,"ERROR",0,1),"OK","ERROR"),IF(B381="FSE",IF(COUNTIFS(B:B,B381,C:C,C381)=XLOOKUP(C381,FSE!A:A,FSE!AA:AA,"ERROR",0,1),"OK","ERROR")))</f>
        <v>OK</v>
      </c>
      <c r="H381" s="199">
        <f t="shared" ref="H381:O381" si="1908">countif($D381,"*"&amp;H$2&amp;"*")</f>
        <v>0</v>
      </c>
      <c r="I381" s="200">
        <f t="shared" si="1908"/>
        <v>0</v>
      </c>
      <c r="J381" s="200">
        <f t="shared" si="1908"/>
        <v>0</v>
      </c>
      <c r="K381" s="200">
        <f t="shared" si="1908"/>
        <v>0</v>
      </c>
      <c r="L381" s="200">
        <f t="shared" si="1908"/>
        <v>0</v>
      </c>
      <c r="M381" s="200">
        <f t="shared" si="1908"/>
        <v>0</v>
      </c>
      <c r="N381" s="200">
        <f t="shared" si="1908"/>
        <v>0</v>
      </c>
      <c r="O381" s="200">
        <f t="shared" si="1908"/>
        <v>0</v>
      </c>
      <c r="P381" s="200">
        <f t="shared" si="9"/>
        <v>0</v>
      </c>
      <c r="Q381" s="200">
        <f t="shared" ref="Q381:AC381" si="1909">countif($D381,"*"&amp;Q$2&amp;"*")</f>
        <v>0</v>
      </c>
      <c r="R381" s="200">
        <f t="shared" si="1909"/>
        <v>0</v>
      </c>
      <c r="S381" s="200">
        <f t="shared" si="1909"/>
        <v>0</v>
      </c>
      <c r="T381" s="200">
        <f t="shared" si="1909"/>
        <v>0</v>
      </c>
      <c r="U381" s="200">
        <f t="shared" si="1909"/>
        <v>0</v>
      </c>
      <c r="V381" s="200">
        <f t="shared" si="1909"/>
        <v>0</v>
      </c>
      <c r="W381" s="200">
        <f t="shared" si="1909"/>
        <v>0</v>
      </c>
      <c r="X381" s="200">
        <f t="shared" si="1909"/>
        <v>0</v>
      </c>
      <c r="Y381" s="200">
        <f t="shared" si="1909"/>
        <v>0</v>
      </c>
      <c r="Z381" s="200">
        <f t="shared" si="1909"/>
        <v>0</v>
      </c>
      <c r="AA381" s="200">
        <f t="shared" si="1909"/>
        <v>1</v>
      </c>
      <c r="AB381" s="200">
        <f t="shared" si="1909"/>
        <v>0</v>
      </c>
      <c r="AC381" s="200">
        <f t="shared" si="1909"/>
        <v>0</v>
      </c>
      <c r="AD381" s="200">
        <f t="shared" si="11"/>
        <v>0</v>
      </c>
      <c r="AE381" s="200">
        <f t="shared" ref="AE381:AG381" si="1910">countif($D381,"*"&amp;AE$2&amp;"*")</f>
        <v>0</v>
      </c>
      <c r="AF381" s="200">
        <f t="shared" si="1910"/>
        <v>0</v>
      </c>
      <c r="AG381" s="200">
        <f t="shared" si="1910"/>
        <v>0</v>
      </c>
      <c r="AH381" s="171">
        <f t="shared" si="13"/>
        <v>0</v>
      </c>
      <c r="AI381" s="200">
        <f t="shared" si="14"/>
        <v>0</v>
      </c>
      <c r="AJ381" s="200">
        <f t="shared" si="1840"/>
        <v>0</v>
      </c>
      <c r="AK381" s="201">
        <f t="shared" ref="AK381:AS381" si="1911">countif($D381,"*"&amp;AK$2&amp;"*")</f>
        <v>0</v>
      </c>
      <c r="AL381" s="201">
        <f t="shared" si="1911"/>
        <v>0</v>
      </c>
      <c r="AM381" s="201">
        <f t="shared" si="1911"/>
        <v>0</v>
      </c>
      <c r="AN381" s="201">
        <f t="shared" si="1911"/>
        <v>0</v>
      </c>
      <c r="AO381" s="201">
        <f t="shared" si="1911"/>
        <v>0</v>
      </c>
      <c r="AP381" s="201">
        <f t="shared" si="1911"/>
        <v>0</v>
      </c>
      <c r="AQ381" s="201">
        <f t="shared" si="1911"/>
        <v>0</v>
      </c>
      <c r="AR381" s="200">
        <f t="shared" si="1911"/>
        <v>0</v>
      </c>
      <c r="AS381" s="200">
        <f t="shared" si="1911"/>
        <v>0</v>
      </c>
      <c r="AT381" s="173">
        <v>0.0</v>
      </c>
      <c r="AU381" s="200">
        <f t="shared" ref="AU381:AX381" si="1912">countif($D381,"*"&amp;AU$2&amp;"*")</f>
        <v>0</v>
      </c>
      <c r="AV381" s="200">
        <f t="shared" si="1912"/>
        <v>0</v>
      </c>
      <c r="AW381" s="200">
        <f t="shared" si="1912"/>
        <v>0</v>
      </c>
      <c r="AX381" s="200">
        <f t="shared" si="1912"/>
        <v>0</v>
      </c>
      <c r="AY381" s="202">
        <v>0.0</v>
      </c>
      <c r="AZ381" s="200"/>
      <c r="BA381" s="171" t="str">
        <f t="shared" si="18"/>
        <v/>
      </c>
      <c r="BB381" s="171" t="str">
        <f t="shared" si="19"/>
        <v/>
      </c>
      <c r="BC381" s="171" t="str">
        <f t="shared" si="20"/>
        <v>General-purpose</v>
      </c>
      <c r="BD381" s="171" t="str">
        <f t="shared" si="21"/>
        <v/>
      </c>
      <c r="BE381" s="171" t="str">
        <f t="shared" si="22"/>
        <v/>
      </c>
      <c r="BF381" s="171" t="str">
        <f t="shared" si="23"/>
        <v>General-purpose</v>
      </c>
    </row>
    <row r="382">
      <c r="A382" s="171">
        <f t="array" ref="A382">XLOOKUP(C382,ICSE!A:A,ICSE!C:C,,2,1)</f>
        <v>2020</v>
      </c>
      <c r="B382" s="171" t="s">
        <v>5675</v>
      </c>
      <c r="C382" s="160">
        <v>721.0</v>
      </c>
      <c r="D382" s="161" t="s">
        <v>1561</v>
      </c>
      <c r="E382" s="197" t="str">
        <f t="array" ref="E382">XLOOKUP(C382,ICSE!A:A,ICSE!Z:Z,,0,1)</f>
        <v>Publicly available (1)</v>
      </c>
      <c r="F382" s="198" t="s">
        <v>20</v>
      </c>
      <c r="G382" s="163" t="str">
        <f t="array" ref="G382">IF(B382="ICSE",IF(COUNTIFS(B:B,B382,C:C,C382)=XLOOKUP(C382,ICSE!A:A,ICSE!AA:AA,"ERROR",0,1),"OK","ERROR"),IF(B382="FSE",IF(COUNTIFS(B:B,B382,C:C,C382)=XLOOKUP(C382,FSE!A:A,FSE!AA:AA,"ERROR",0,1),"OK","ERROR")))</f>
        <v>OK</v>
      </c>
      <c r="H382" s="199">
        <f t="shared" ref="H382:O382" si="1913">countif($D382,"*"&amp;H$2&amp;"*")</f>
        <v>0</v>
      </c>
      <c r="I382" s="200">
        <f t="shared" si="1913"/>
        <v>0</v>
      </c>
      <c r="J382" s="200">
        <f t="shared" si="1913"/>
        <v>0</v>
      </c>
      <c r="K382" s="200">
        <f t="shared" si="1913"/>
        <v>0</v>
      </c>
      <c r="L382" s="200">
        <f t="shared" si="1913"/>
        <v>0</v>
      </c>
      <c r="M382" s="200">
        <f t="shared" si="1913"/>
        <v>0</v>
      </c>
      <c r="N382" s="200">
        <f t="shared" si="1913"/>
        <v>0</v>
      </c>
      <c r="O382" s="200">
        <f t="shared" si="1913"/>
        <v>0</v>
      </c>
      <c r="P382" s="200">
        <f t="shared" si="9"/>
        <v>1</v>
      </c>
      <c r="Q382" s="200">
        <f t="shared" ref="Q382:AC382" si="1914">countif($D382,"*"&amp;Q$2&amp;"*")</f>
        <v>0</v>
      </c>
      <c r="R382" s="200">
        <f t="shared" si="1914"/>
        <v>0</v>
      </c>
      <c r="S382" s="200">
        <f t="shared" si="1914"/>
        <v>0</v>
      </c>
      <c r="T382" s="200">
        <f t="shared" si="1914"/>
        <v>0</v>
      </c>
      <c r="U382" s="200">
        <f t="shared" si="1914"/>
        <v>0</v>
      </c>
      <c r="V382" s="200">
        <f t="shared" si="1914"/>
        <v>0</v>
      </c>
      <c r="W382" s="200">
        <f t="shared" si="1914"/>
        <v>0</v>
      </c>
      <c r="X382" s="200">
        <f t="shared" si="1914"/>
        <v>0</v>
      </c>
      <c r="Y382" s="200">
        <f t="shared" si="1914"/>
        <v>0</v>
      </c>
      <c r="Z382" s="200">
        <f t="shared" si="1914"/>
        <v>0</v>
      </c>
      <c r="AA382" s="200">
        <f t="shared" si="1914"/>
        <v>0</v>
      </c>
      <c r="AB382" s="200">
        <f t="shared" si="1914"/>
        <v>0</v>
      </c>
      <c r="AC382" s="200">
        <f t="shared" si="1914"/>
        <v>0</v>
      </c>
      <c r="AD382" s="200">
        <f t="shared" si="11"/>
        <v>0</v>
      </c>
      <c r="AE382" s="200">
        <f t="shared" ref="AE382:AG382" si="1915">countif($D382,"*"&amp;AE$2&amp;"*")</f>
        <v>0</v>
      </c>
      <c r="AF382" s="200">
        <f t="shared" si="1915"/>
        <v>0</v>
      </c>
      <c r="AG382" s="200">
        <f t="shared" si="1915"/>
        <v>0</v>
      </c>
      <c r="AH382" s="171">
        <f t="shared" si="13"/>
        <v>0</v>
      </c>
      <c r="AI382" s="200">
        <f t="shared" si="14"/>
        <v>0</v>
      </c>
      <c r="AJ382" s="200">
        <f t="shared" si="1840"/>
        <v>0</v>
      </c>
      <c r="AK382" s="201">
        <f t="shared" ref="AK382:AS382" si="1916">countif($D382,"*"&amp;AK$2&amp;"*")</f>
        <v>0</v>
      </c>
      <c r="AL382" s="201">
        <f t="shared" si="1916"/>
        <v>0</v>
      </c>
      <c r="AM382" s="201">
        <f t="shared" si="1916"/>
        <v>0</v>
      </c>
      <c r="AN382" s="201">
        <f t="shared" si="1916"/>
        <v>0</v>
      </c>
      <c r="AO382" s="201">
        <f t="shared" si="1916"/>
        <v>0</v>
      </c>
      <c r="AP382" s="201">
        <f t="shared" si="1916"/>
        <v>0</v>
      </c>
      <c r="AQ382" s="201">
        <f t="shared" si="1916"/>
        <v>0</v>
      </c>
      <c r="AR382" s="200">
        <f t="shared" si="1916"/>
        <v>0</v>
      </c>
      <c r="AS382" s="200">
        <f t="shared" si="1916"/>
        <v>0</v>
      </c>
      <c r="AT382" s="173">
        <v>0.0</v>
      </c>
      <c r="AU382" s="200">
        <f t="shared" ref="AU382:AX382" si="1917">countif($D382,"*"&amp;AU$2&amp;"*")</f>
        <v>0</v>
      </c>
      <c r="AV382" s="200">
        <f t="shared" si="1917"/>
        <v>1</v>
      </c>
      <c r="AW382" s="200">
        <f t="shared" si="1917"/>
        <v>0</v>
      </c>
      <c r="AX382" s="200">
        <f t="shared" si="1917"/>
        <v>0</v>
      </c>
      <c r="AY382" s="202">
        <v>0.0</v>
      </c>
      <c r="AZ382" s="200"/>
      <c r="BA382" s="171" t="str">
        <f t="shared" si="18"/>
        <v/>
      </c>
      <c r="BB382" s="171" t="str">
        <f t="shared" si="19"/>
        <v>Code</v>
      </c>
      <c r="BC382" s="171" t="str">
        <f t="shared" si="20"/>
        <v/>
      </c>
      <c r="BD382" s="171" t="str">
        <f t="shared" si="21"/>
        <v/>
      </c>
      <c r="BE382" s="171" t="str">
        <f t="shared" si="22"/>
        <v/>
      </c>
      <c r="BF382" s="171" t="str">
        <f t="shared" si="23"/>
        <v>Code</v>
      </c>
    </row>
    <row r="383">
      <c r="A383" s="171">
        <f t="array" ref="A383">XLOOKUP(C383,ICSE!A:A,ICSE!C:C,,2,1)</f>
        <v>2020</v>
      </c>
      <c r="B383" s="171" t="s">
        <v>5675</v>
      </c>
      <c r="C383" s="160">
        <v>722.0</v>
      </c>
      <c r="D383" s="161" t="s">
        <v>1564</v>
      </c>
      <c r="E383" s="197" t="str">
        <f t="array" ref="E383">XLOOKUP(C383,ICSE!A:A,ICSE!Z:Z,,0,1)</f>
        <v>Publicly available (1)</v>
      </c>
      <c r="F383" s="198" t="s">
        <v>20</v>
      </c>
      <c r="G383" s="163" t="str">
        <f t="array" ref="G383">IF(B383="ICSE",IF(COUNTIFS(B:B,B383,C:C,C383)=XLOOKUP(C383,ICSE!A:A,ICSE!AA:AA,"ERROR",0,1),"OK","ERROR"),IF(B383="FSE",IF(COUNTIFS(B:B,B383,C:C,C383)=XLOOKUP(C383,FSE!A:A,FSE!AA:AA,"ERROR",0,1),"OK","ERROR")))</f>
        <v>OK</v>
      </c>
      <c r="H383" s="199">
        <f t="shared" ref="H383:O383" si="1918">countif($D383,"*"&amp;H$2&amp;"*")</f>
        <v>0</v>
      </c>
      <c r="I383" s="200">
        <f t="shared" si="1918"/>
        <v>0</v>
      </c>
      <c r="J383" s="200">
        <f t="shared" si="1918"/>
        <v>0</v>
      </c>
      <c r="K383" s="200">
        <f t="shared" si="1918"/>
        <v>0</v>
      </c>
      <c r="L383" s="200">
        <f t="shared" si="1918"/>
        <v>0</v>
      </c>
      <c r="M383" s="200">
        <f t="shared" si="1918"/>
        <v>0</v>
      </c>
      <c r="N383" s="200">
        <f t="shared" si="1918"/>
        <v>0</v>
      </c>
      <c r="O383" s="200">
        <f t="shared" si="1918"/>
        <v>0</v>
      </c>
      <c r="P383" s="200">
        <f t="shared" si="9"/>
        <v>1</v>
      </c>
      <c r="Q383" s="200">
        <f t="shared" ref="Q383:AC383" si="1919">countif($D383,"*"&amp;Q$2&amp;"*")</f>
        <v>0</v>
      </c>
      <c r="R383" s="200">
        <f t="shared" si="1919"/>
        <v>0</v>
      </c>
      <c r="S383" s="200">
        <f t="shared" si="1919"/>
        <v>0</v>
      </c>
      <c r="T383" s="200">
        <f t="shared" si="1919"/>
        <v>0</v>
      </c>
      <c r="U383" s="200">
        <f t="shared" si="1919"/>
        <v>0</v>
      </c>
      <c r="V383" s="200">
        <f t="shared" si="1919"/>
        <v>0</v>
      </c>
      <c r="W383" s="200">
        <f t="shared" si="1919"/>
        <v>0</v>
      </c>
      <c r="X383" s="200">
        <f t="shared" si="1919"/>
        <v>0</v>
      </c>
      <c r="Y383" s="200">
        <f t="shared" si="1919"/>
        <v>0</v>
      </c>
      <c r="Z383" s="200">
        <f t="shared" si="1919"/>
        <v>0</v>
      </c>
      <c r="AA383" s="200">
        <f t="shared" si="1919"/>
        <v>0</v>
      </c>
      <c r="AB383" s="200">
        <f t="shared" si="1919"/>
        <v>0</v>
      </c>
      <c r="AC383" s="200">
        <f t="shared" si="1919"/>
        <v>0</v>
      </c>
      <c r="AD383" s="200">
        <f t="shared" si="11"/>
        <v>0</v>
      </c>
      <c r="AE383" s="200">
        <f t="shared" ref="AE383:AG383" si="1920">countif($D383,"*"&amp;AE$2&amp;"*")</f>
        <v>0</v>
      </c>
      <c r="AF383" s="200">
        <f t="shared" si="1920"/>
        <v>0</v>
      </c>
      <c r="AG383" s="200">
        <f t="shared" si="1920"/>
        <v>0</v>
      </c>
      <c r="AH383" s="171">
        <f t="shared" si="13"/>
        <v>0</v>
      </c>
      <c r="AI383" s="200">
        <f t="shared" si="14"/>
        <v>0</v>
      </c>
      <c r="AJ383" s="200">
        <f t="shared" si="1840"/>
        <v>0</v>
      </c>
      <c r="AK383" s="201">
        <f t="shared" ref="AK383:AS383" si="1921">countif($D383,"*"&amp;AK$2&amp;"*")</f>
        <v>0</v>
      </c>
      <c r="AL383" s="201">
        <f t="shared" si="1921"/>
        <v>0</v>
      </c>
      <c r="AM383" s="201">
        <f t="shared" si="1921"/>
        <v>0</v>
      </c>
      <c r="AN383" s="201">
        <f t="shared" si="1921"/>
        <v>0</v>
      </c>
      <c r="AO383" s="201">
        <f t="shared" si="1921"/>
        <v>0</v>
      </c>
      <c r="AP383" s="201">
        <f t="shared" si="1921"/>
        <v>0</v>
      </c>
      <c r="AQ383" s="201">
        <f t="shared" si="1921"/>
        <v>0</v>
      </c>
      <c r="AR383" s="200">
        <f t="shared" si="1921"/>
        <v>0</v>
      </c>
      <c r="AS383" s="200">
        <f t="shared" si="1921"/>
        <v>0</v>
      </c>
      <c r="AT383" s="173">
        <v>0.0</v>
      </c>
      <c r="AU383" s="200">
        <f t="shared" ref="AU383:AX383" si="1922">countif($D383,"*"&amp;AU$2&amp;"*")</f>
        <v>0</v>
      </c>
      <c r="AV383" s="200">
        <f t="shared" si="1922"/>
        <v>1</v>
      </c>
      <c r="AW383" s="200">
        <f t="shared" si="1922"/>
        <v>0</v>
      </c>
      <c r="AX383" s="200">
        <f t="shared" si="1922"/>
        <v>0</v>
      </c>
      <c r="AY383" s="202">
        <v>0.0</v>
      </c>
      <c r="AZ383" s="200"/>
      <c r="BA383" s="171" t="str">
        <f t="shared" si="18"/>
        <v/>
      </c>
      <c r="BB383" s="171" t="str">
        <f t="shared" si="19"/>
        <v>Code</v>
      </c>
      <c r="BC383" s="171" t="str">
        <f t="shared" si="20"/>
        <v/>
      </c>
      <c r="BD383" s="171" t="str">
        <f t="shared" si="21"/>
        <v/>
      </c>
      <c r="BE383" s="171" t="str">
        <f t="shared" si="22"/>
        <v/>
      </c>
      <c r="BF383" s="171" t="str">
        <f t="shared" si="23"/>
        <v>Code</v>
      </c>
    </row>
    <row r="384">
      <c r="A384" s="171">
        <f t="array" ref="A384">XLOOKUP(C384,ICSE!A:A,ICSE!C:C,,2,1)</f>
        <v>2020</v>
      </c>
      <c r="B384" s="171" t="s">
        <v>5675</v>
      </c>
      <c r="C384" s="160">
        <v>723.0</v>
      </c>
      <c r="D384" s="161" t="s">
        <v>1567</v>
      </c>
      <c r="E384" s="197" t="str">
        <f t="array" ref="E384">XLOOKUP(C384,ICSE!A:A,ICSE!Z:Z,,0,1)</f>
        <v>Publicly available (1)</v>
      </c>
      <c r="F384" s="198" t="s">
        <v>20</v>
      </c>
      <c r="G384" s="163" t="str">
        <f t="array" ref="G384">IF(B384="ICSE",IF(COUNTIFS(B:B,B384,C:C,C384)=XLOOKUP(C384,ICSE!A:A,ICSE!AA:AA,"ERROR",0,1),"OK","ERROR"),IF(B384="FSE",IF(COUNTIFS(B:B,B384,C:C,C384)=XLOOKUP(C384,FSE!A:A,FSE!AA:AA,"ERROR",0,1),"OK","ERROR")))</f>
        <v>OK</v>
      </c>
      <c r="H384" s="199">
        <f t="shared" ref="H384:O384" si="1923">countif($D384,"*"&amp;H$2&amp;"*")</f>
        <v>0</v>
      </c>
      <c r="I384" s="200">
        <f t="shared" si="1923"/>
        <v>0</v>
      </c>
      <c r="J384" s="200">
        <f t="shared" si="1923"/>
        <v>0</v>
      </c>
      <c r="K384" s="200">
        <f t="shared" si="1923"/>
        <v>0</v>
      </c>
      <c r="L384" s="200">
        <f t="shared" si="1923"/>
        <v>0</v>
      </c>
      <c r="M384" s="200">
        <f t="shared" si="1923"/>
        <v>0</v>
      </c>
      <c r="N384" s="200">
        <f t="shared" si="1923"/>
        <v>0</v>
      </c>
      <c r="O384" s="200">
        <f t="shared" si="1923"/>
        <v>0</v>
      </c>
      <c r="P384" s="200">
        <f t="shared" si="9"/>
        <v>1</v>
      </c>
      <c r="Q384" s="200">
        <f t="shared" ref="Q384:AC384" si="1924">countif($D384,"*"&amp;Q$2&amp;"*")</f>
        <v>0</v>
      </c>
      <c r="R384" s="200">
        <f t="shared" si="1924"/>
        <v>0</v>
      </c>
      <c r="S384" s="200">
        <f t="shared" si="1924"/>
        <v>0</v>
      </c>
      <c r="T384" s="200">
        <f t="shared" si="1924"/>
        <v>0</v>
      </c>
      <c r="U384" s="200">
        <f t="shared" si="1924"/>
        <v>0</v>
      </c>
      <c r="V384" s="200">
        <f t="shared" si="1924"/>
        <v>0</v>
      </c>
      <c r="W384" s="200">
        <f t="shared" si="1924"/>
        <v>0</v>
      </c>
      <c r="X384" s="200">
        <f t="shared" si="1924"/>
        <v>0</v>
      </c>
      <c r="Y384" s="200">
        <f t="shared" si="1924"/>
        <v>0</v>
      </c>
      <c r="Z384" s="200">
        <f t="shared" si="1924"/>
        <v>0</v>
      </c>
      <c r="AA384" s="200">
        <f t="shared" si="1924"/>
        <v>0</v>
      </c>
      <c r="AB384" s="200">
        <f t="shared" si="1924"/>
        <v>0</v>
      </c>
      <c r="AC384" s="200">
        <f t="shared" si="1924"/>
        <v>0</v>
      </c>
      <c r="AD384" s="200">
        <f t="shared" si="11"/>
        <v>0</v>
      </c>
      <c r="AE384" s="200">
        <f t="shared" ref="AE384:AG384" si="1925">countif($D384,"*"&amp;AE$2&amp;"*")</f>
        <v>0</v>
      </c>
      <c r="AF384" s="200">
        <f t="shared" si="1925"/>
        <v>0</v>
      </c>
      <c r="AG384" s="200">
        <f t="shared" si="1925"/>
        <v>0</v>
      </c>
      <c r="AH384" s="171">
        <f t="shared" si="13"/>
        <v>0</v>
      </c>
      <c r="AI384" s="200">
        <f t="shared" si="14"/>
        <v>0</v>
      </c>
      <c r="AJ384" s="200">
        <f t="shared" si="1840"/>
        <v>0</v>
      </c>
      <c r="AK384" s="201">
        <f t="shared" ref="AK384:AS384" si="1926">countif($D384,"*"&amp;AK$2&amp;"*")</f>
        <v>0</v>
      </c>
      <c r="AL384" s="201">
        <f t="shared" si="1926"/>
        <v>0</v>
      </c>
      <c r="AM384" s="201">
        <f t="shared" si="1926"/>
        <v>0</v>
      </c>
      <c r="AN384" s="201">
        <f t="shared" si="1926"/>
        <v>0</v>
      </c>
      <c r="AO384" s="201">
        <f t="shared" si="1926"/>
        <v>0</v>
      </c>
      <c r="AP384" s="201">
        <f t="shared" si="1926"/>
        <v>0</v>
      </c>
      <c r="AQ384" s="201">
        <f t="shared" si="1926"/>
        <v>0</v>
      </c>
      <c r="AR384" s="200">
        <f t="shared" si="1926"/>
        <v>0</v>
      </c>
      <c r="AS384" s="200">
        <f t="shared" si="1926"/>
        <v>0</v>
      </c>
      <c r="AT384" s="173">
        <v>0.0</v>
      </c>
      <c r="AU384" s="200">
        <f t="shared" ref="AU384:AX384" si="1927">countif($D384,"*"&amp;AU$2&amp;"*")</f>
        <v>0</v>
      </c>
      <c r="AV384" s="200">
        <f t="shared" si="1927"/>
        <v>1</v>
      </c>
      <c r="AW384" s="200">
        <f t="shared" si="1927"/>
        <v>0</v>
      </c>
      <c r="AX384" s="200">
        <f t="shared" si="1927"/>
        <v>0</v>
      </c>
      <c r="AY384" s="202">
        <v>0.0</v>
      </c>
      <c r="AZ384" s="200"/>
      <c r="BA384" s="171" t="str">
        <f t="shared" si="18"/>
        <v/>
      </c>
      <c r="BB384" s="171" t="str">
        <f t="shared" si="19"/>
        <v>Code</v>
      </c>
      <c r="BC384" s="171" t="str">
        <f t="shared" si="20"/>
        <v/>
      </c>
      <c r="BD384" s="171" t="str">
        <f t="shared" si="21"/>
        <v/>
      </c>
      <c r="BE384" s="171" t="str">
        <f t="shared" si="22"/>
        <v/>
      </c>
      <c r="BF384" s="171" t="str">
        <f t="shared" si="23"/>
        <v>Code</v>
      </c>
    </row>
    <row r="385">
      <c r="A385" s="171">
        <f t="array" ref="A385">XLOOKUP(C385,ICSE!A:A,ICSE!C:C,,2,1)</f>
        <v>2020</v>
      </c>
      <c r="B385" s="171" t="s">
        <v>5675</v>
      </c>
      <c r="C385" s="160">
        <v>724.0</v>
      </c>
      <c r="D385" s="161" t="s">
        <v>1570</v>
      </c>
      <c r="E385" s="197" t="str">
        <f t="array" ref="E385">XLOOKUP(C385,ICSE!A:A,ICSE!Z:Z,,0,1)</f>
        <v>Publicly available (1)</v>
      </c>
      <c r="F385" s="198" t="s">
        <v>20</v>
      </c>
      <c r="G385" s="163" t="str">
        <f t="array" ref="G385">IF(B385="ICSE",IF(COUNTIFS(B:B,B385,C:C,C385)=XLOOKUP(C385,ICSE!A:A,ICSE!AA:AA,"ERROR",0,1),"OK","ERROR"),IF(B385="FSE",IF(COUNTIFS(B:B,B385,C:C,C385)=XLOOKUP(C385,FSE!A:A,FSE!AA:AA,"ERROR",0,1),"OK","ERROR")))</f>
        <v>OK</v>
      </c>
      <c r="H385" s="199">
        <f t="shared" ref="H385:O385" si="1928">countif($D385,"*"&amp;H$2&amp;"*")</f>
        <v>0</v>
      </c>
      <c r="I385" s="200">
        <f t="shared" si="1928"/>
        <v>0</v>
      </c>
      <c r="J385" s="200">
        <f t="shared" si="1928"/>
        <v>0</v>
      </c>
      <c r="K385" s="200">
        <f t="shared" si="1928"/>
        <v>0</v>
      </c>
      <c r="L385" s="200">
        <f t="shared" si="1928"/>
        <v>0</v>
      </c>
      <c r="M385" s="200">
        <f t="shared" si="1928"/>
        <v>0</v>
      </c>
      <c r="N385" s="200">
        <f t="shared" si="1928"/>
        <v>0</v>
      </c>
      <c r="O385" s="200">
        <f t="shared" si="1928"/>
        <v>0</v>
      </c>
      <c r="P385" s="200">
        <f t="shared" si="9"/>
        <v>1</v>
      </c>
      <c r="Q385" s="200">
        <f t="shared" ref="Q385:AC385" si="1929">countif($D385,"*"&amp;Q$2&amp;"*")</f>
        <v>0</v>
      </c>
      <c r="R385" s="200">
        <f t="shared" si="1929"/>
        <v>0</v>
      </c>
      <c r="S385" s="200">
        <f t="shared" si="1929"/>
        <v>0</v>
      </c>
      <c r="T385" s="200">
        <f t="shared" si="1929"/>
        <v>0</v>
      </c>
      <c r="U385" s="200">
        <f t="shared" si="1929"/>
        <v>0</v>
      </c>
      <c r="V385" s="200">
        <f t="shared" si="1929"/>
        <v>0</v>
      </c>
      <c r="W385" s="200">
        <f t="shared" si="1929"/>
        <v>0</v>
      </c>
      <c r="X385" s="200">
        <f t="shared" si="1929"/>
        <v>0</v>
      </c>
      <c r="Y385" s="200">
        <f t="shared" si="1929"/>
        <v>0</v>
      </c>
      <c r="Z385" s="200">
        <f t="shared" si="1929"/>
        <v>0</v>
      </c>
      <c r="AA385" s="200">
        <f t="shared" si="1929"/>
        <v>0</v>
      </c>
      <c r="AB385" s="200">
        <f t="shared" si="1929"/>
        <v>0</v>
      </c>
      <c r="AC385" s="200">
        <f t="shared" si="1929"/>
        <v>0</v>
      </c>
      <c r="AD385" s="200">
        <f t="shared" si="11"/>
        <v>0</v>
      </c>
      <c r="AE385" s="200">
        <f t="shared" ref="AE385:AG385" si="1930">countif($D385,"*"&amp;AE$2&amp;"*")</f>
        <v>0</v>
      </c>
      <c r="AF385" s="200">
        <f t="shared" si="1930"/>
        <v>0</v>
      </c>
      <c r="AG385" s="200">
        <f t="shared" si="1930"/>
        <v>0</v>
      </c>
      <c r="AH385" s="171">
        <f t="shared" si="13"/>
        <v>0</v>
      </c>
      <c r="AI385" s="200">
        <f t="shared" si="14"/>
        <v>0</v>
      </c>
      <c r="AJ385" s="200">
        <f t="shared" si="1840"/>
        <v>0</v>
      </c>
      <c r="AK385" s="201">
        <f t="shared" ref="AK385:AS385" si="1931">countif($D385,"*"&amp;AK$2&amp;"*")</f>
        <v>0</v>
      </c>
      <c r="AL385" s="201">
        <f t="shared" si="1931"/>
        <v>0</v>
      </c>
      <c r="AM385" s="201">
        <f t="shared" si="1931"/>
        <v>0</v>
      </c>
      <c r="AN385" s="201">
        <f t="shared" si="1931"/>
        <v>0</v>
      </c>
      <c r="AO385" s="201">
        <f t="shared" si="1931"/>
        <v>0</v>
      </c>
      <c r="AP385" s="201">
        <f t="shared" si="1931"/>
        <v>0</v>
      </c>
      <c r="AQ385" s="201">
        <f t="shared" si="1931"/>
        <v>0</v>
      </c>
      <c r="AR385" s="200">
        <f t="shared" si="1931"/>
        <v>0</v>
      </c>
      <c r="AS385" s="200">
        <f t="shared" si="1931"/>
        <v>0</v>
      </c>
      <c r="AT385" s="173">
        <v>0.0</v>
      </c>
      <c r="AU385" s="200">
        <f t="shared" ref="AU385:AX385" si="1932">countif($D385,"*"&amp;AU$2&amp;"*")</f>
        <v>0</v>
      </c>
      <c r="AV385" s="200">
        <f t="shared" si="1932"/>
        <v>1</v>
      </c>
      <c r="AW385" s="200">
        <f t="shared" si="1932"/>
        <v>0</v>
      </c>
      <c r="AX385" s="200">
        <f t="shared" si="1932"/>
        <v>0</v>
      </c>
      <c r="AY385" s="202">
        <v>0.0</v>
      </c>
      <c r="AZ385" s="200"/>
      <c r="BA385" s="171" t="str">
        <f t="shared" si="18"/>
        <v/>
      </c>
      <c r="BB385" s="171" t="str">
        <f t="shared" si="19"/>
        <v>Code</v>
      </c>
      <c r="BC385" s="171" t="str">
        <f t="shared" si="20"/>
        <v/>
      </c>
      <c r="BD385" s="171" t="str">
        <f t="shared" si="21"/>
        <v/>
      </c>
      <c r="BE385" s="171" t="str">
        <f t="shared" si="22"/>
        <v/>
      </c>
      <c r="BF385" s="171" t="str">
        <f t="shared" si="23"/>
        <v>Code</v>
      </c>
    </row>
    <row r="386">
      <c r="A386" s="171">
        <f t="array" ref="A386">XLOOKUP(C386,ICSE!A:A,ICSE!C:C,,2,1)</f>
        <v>2020</v>
      </c>
      <c r="B386" s="171" t="s">
        <v>5675</v>
      </c>
      <c r="C386" s="160">
        <v>725.0</v>
      </c>
      <c r="D386" s="161" t="s">
        <v>1573</v>
      </c>
      <c r="E386" s="197" t="str">
        <f t="array" ref="E386">XLOOKUP(C386,ICSE!A:A,ICSE!Z:Z,,0,1)</f>
        <v>Publicly available (1)</v>
      </c>
      <c r="F386" s="198" t="s">
        <v>20</v>
      </c>
      <c r="G386" s="163" t="str">
        <f t="array" ref="G386">IF(B386="ICSE",IF(COUNTIFS(B:B,B386,C:C,C386)=XLOOKUP(C386,ICSE!A:A,ICSE!AA:AA,"ERROR",0,1),"OK","ERROR"),IF(B386="FSE",IF(COUNTIFS(B:B,B386,C:C,C386)=XLOOKUP(C386,FSE!A:A,FSE!AA:AA,"ERROR",0,1),"OK","ERROR")))</f>
        <v>OK</v>
      </c>
      <c r="H386" s="199">
        <f t="shared" ref="H386:O386" si="1933">countif($D386,"*"&amp;H$2&amp;"*")</f>
        <v>0</v>
      </c>
      <c r="I386" s="200">
        <f t="shared" si="1933"/>
        <v>0</v>
      </c>
      <c r="J386" s="200">
        <f t="shared" si="1933"/>
        <v>0</v>
      </c>
      <c r="K386" s="200">
        <f t="shared" si="1933"/>
        <v>0</v>
      </c>
      <c r="L386" s="200">
        <f t="shared" si="1933"/>
        <v>0</v>
      </c>
      <c r="M386" s="200">
        <f t="shared" si="1933"/>
        <v>0</v>
      </c>
      <c r="N386" s="200">
        <f t="shared" si="1933"/>
        <v>0</v>
      </c>
      <c r="O386" s="200">
        <f t="shared" si="1933"/>
        <v>0</v>
      </c>
      <c r="P386" s="200">
        <f t="shared" si="9"/>
        <v>1</v>
      </c>
      <c r="Q386" s="200">
        <f t="shared" ref="Q386:AC386" si="1934">countif($D386,"*"&amp;Q$2&amp;"*")</f>
        <v>0</v>
      </c>
      <c r="R386" s="200">
        <f t="shared" si="1934"/>
        <v>0</v>
      </c>
      <c r="S386" s="200">
        <f t="shared" si="1934"/>
        <v>0</v>
      </c>
      <c r="T386" s="200">
        <f t="shared" si="1934"/>
        <v>0</v>
      </c>
      <c r="U386" s="200">
        <f t="shared" si="1934"/>
        <v>0</v>
      </c>
      <c r="V386" s="200">
        <f t="shared" si="1934"/>
        <v>0</v>
      </c>
      <c r="W386" s="200">
        <f t="shared" si="1934"/>
        <v>0</v>
      </c>
      <c r="X386" s="200">
        <f t="shared" si="1934"/>
        <v>0</v>
      </c>
      <c r="Y386" s="200">
        <f t="shared" si="1934"/>
        <v>0</v>
      </c>
      <c r="Z386" s="200">
        <f t="shared" si="1934"/>
        <v>0</v>
      </c>
      <c r="AA386" s="200">
        <f t="shared" si="1934"/>
        <v>0</v>
      </c>
      <c r="AB386" s="200">
        <f t="shared" si="1934"/>
        <v>0</v>
      </c>
      <c r="AC386" s="200">
        <f t="shared" si="1934"/>
        <v>0</v>
      </c>
      <c r="AD386" s="200">
        <f t="shared" si="11"/>
        <v>0</v>
      </c>
      <c r="AE386" s="200">
        <f t="shared" ref="AE386:AG386" si="1935">countif($D386,"*"&amp;AE$2&amp;"*")</f>
        <v>0</v>
      </c>
      <c r="AF386" s="200">
        <f t="shared" si="1935"/>
        <v>0</v>
      </c>
      <c r="AG386" s="200">
        <f t="shared" si="1935"/>
        <v>0</v>
      </c>
      <c r="AH386" s="171">
        <f t="shared" si="13"/>
        <v>0</v>
      </c>
      <c r="AI386" s="200">
        <f t="shared" si="14"/>
        <v>0</v>
      </c>
      <c r="AJ386" s="200">
        <f t="shared" si="1840"/>
        <v>0</v>
      </c>
      <c r="AK386" s="201">
        <f t="shared" ref="AK386:AS386" si="1936">countif($D386,"*"&amp;AK$2&amp;"*")</f>
        <v>0</v>
      </c>
      <c r="AL386" s="201">
        <f t="shared" si="1936"/>
        <v>0</v>
      </c>
      <c r="AM386" s="201">
        <f t="shared" si="1936"/>
        <v>0</v>
      </c>
      <c r="AN386" s="201">
        <f t="shared" si="1936"/>
        <v>0</v>
      </c>
      <c r="AO386" s="201">
        <f t="shared" si="1936"/>
        <v>0</v>
      </c>
      <c r="AP386" s="201">
        <f t="shared" si="1936"/>
        <v>0</v>
      </c>
      <c r="AQ386" s="201">
        <f t="shared" si="1936"/>
        <v>0</v>
      </c>
      <c r="AR386" s="200">
        <f t="shared" si="1936"/>
        <v>0</v>
      </c>
      <c r="AS386" s="200">
        <f t="shared" si="1936"/>
        <v>0</v>
      </c>
      <c r="AT386" s="173">
        <v>0.0</v>
      </c>
      <c r="AU386" s="200">
        <f t="shared" ref="AU386:AX386" si="1937">countif($D386,"*"&amp;AU$2&amp;"*")</f>
        <v>0</v>
      </c>
      <c r="AV386" s="200">
        <f t="shared" si="1937"/>
        <v>1</v>
      </c>
      <c r="AW386" s="200">
        <f t="shared" si="1937"/>
        <v>0</v>
      </c>
      <c r="AX386" s="200">
        <f t="shared" si="1937"/>
        <v>0</v>
      </c>
      <c r="AY386" s="202">
        <v>0.0</v>
      </c>
      <c r="AZ386" s="200"/>
      <c r="BA386" s="171" t="str">
        <f t="shared" si="18"/>
        <v/>
      </c>
      <c r="BB386" s="171" t="str">
        <f t="shared" si="19"/>
        <v>Code</v>
      </c>
      <c r="BC386" s="171" t="str">
        <f t="shared" si="20"/>
        <v/>
      </c>
      <c r="BD386" s="171" t="str">
        <f t="shared" si="21"/>
        <v/>
      </c>
      <c r="BE386" s="171" t="str">
        <f t="shared" si="22"/>
        <v/>
      </c>
      <c r="BF386" s="171" t="str">
        <f t="shared" si="23"/>
        <v>Code</v>
      </c>
    </row>
    <row r="387">
      <c r="A387" s="171">
        <f t="array" ref="A387">XLOOKUP(C387,ICSE!A:A,ICSE!C:C,,2,1)</f>
        <v>2020</v>
      </c>
      <c r="B387" s="171" t="s">
        <v>5675</v>
      </c>
      <c r="C387" s="160">
        <v>726.0</v>
      </c>
      <c r="D387" s="161" t="s">
        <v>5865</v>
      </c>
      <c r="E387" s="197" t="str">
        <f t="array" ref="E387">XLOOKUP(C387,ICSE!A:A,ICSE!Z:Z,,0,1)</f>
        <v>Publicly available (1)</v>
      </c>
      <c r="F387" s="198" t="s">
        <v>20</v>
      </c>
      <c r="G387" s="163" t="str">
        <f t="array" ref="G387">IF(B387="ICSE",IF(COUNTIFS(B:B,B387,C:C,C387)=XLOOKUP(C387,ICSE!A:A,ICSE!AA:AA,"ERROR",0,1),"OK","ERROR"),IF(B387="FSE",IF(COUNTIFS(B:B,B387,C:C,C387)=XLOOKUP(C387,FSE!A:A,FSE!AA:AA,"ERROR",0,1),"OK","ERROR")))</f>
        <v>OK</v>
      </c>
      <c r="H387" s="199">
        <f t="shared" ref="H387:O387" si="1938">countif($D387,"*"&amp;H$2&amp;"*")</f>
        <v>0</v>
      </c>
      <c r="I387" s="200">
        <f t="shared" si="1938"/>
        <v>0</v>
      </c>
      <c r="J387" s="200">
        <f t="shared" si="1938"/>
        <v>0</v>
      </c>
      <c r="K387" s="200">
        <f t="shared" si="1938"/>
        <v>0</v>
      </c>
      <c r="L387" s="200">
        <f t="shared" si="1938"/>
        <v>0</v>
      </c>
      <c r="M387" s="200">
        <f t="shared" si="1938"/>
        <v>0</v>
      </c>
      <c r="N387" s="200">
        <f t="shared" si="1938"/>
        <v>0</v>
      </c>
      <c r="O387" s="200">
        <f t="shared" si="1938"/>
        <v>0</v>
      </c>
      <c r="P387" s="200">
        <f t="shared" si="9"/>
        <v>0</v>
      </c>
      <c r="Q387" s="200">
        <f t="shared" ref="Q387:AC387" si="1939">countif($D387,"*"&amp;Q$2&amp;"*")</f>
        <v>0</v>
      </c>
      <c r="R387" s="200">
        <f t="shared" si="1939"/>
        <v>0</v>
      </c>
      <c r="S387" s="200">
        <f t="shared" si="1939"/>
        <v>0</v>
      </c>
      <c r="T387" s="200">
        <f t="shared" si="1939"/>
        <v>0</v>
      </c>
      <c r="U387" s="200">
        <f t="shared" si="1939"/>
        <v>0</v>
      </c>
      <c r="V387" s="200">
        <f t="shared" si="1939"/>
        <v>0</v>
      </c>
      <c r="W387" s="200">
        <f t="shared" si="1939"/>
        <v>0</v>
      </c>
      <c r="X387" s="200">
        <f t="shared" si="1939"/>
        <v>0</v>
      </c>
      <c r="Y387" s="200">
        <f t="shared" si="1939"/>
        <v>0</v>
      </c>
      <c r="Z387" s="200">
        <f t="shared" si="1939"/>
        <v>0</v>
      </c>
      <c r="AA387" s="200">
        <f t="shared" si="1939"/>
        <v>1</v>
      </c>
      <c r="AB387" s="200">
        <f t="shared" si="1939"/>
        <v>0</v>
      </c>
      <c r="AC387" s="200">
        <f t="shared" si="1939"/>
        <v>0</v>
      </c>
      <c r="AD387" s="200">
        <f t="shared" si="11"/>
        <v>0</v>
      </c>
      <c r="AE387" s="200">
        <f t="shared" ref="AE387:AG387" si="1940">countif($D387,"*"&amp;AE$2&amp;"*")</f>
        <v>0</v>
      </c>
      <c r="AF387" s="200">
        <f t="shared" si="1940"/>
        <v>0</v>
      </c>
      <c r="AG387" s="200">
        <f t="shared" si="1940"/>
        <v>0</v>
      </c>
      <c r="AH387" s="171">
        <f t="shared" si="13"/>
        <v>0</v>
      </c>
      <c r="AI387" s="200">
        <f t="shared" si="14"/>
        <v>0</v>
      </c>
      <c r="AJ387" s="200">
        <f t="shared" si="1840"/>
        <v>1</v>
      </c>
      <c r="AK387" s="201">
        <f t="shared" ref="AK387:AS387" si="1941">countif($D387,"*"&amp;AK$2&amp;"*")</f>
        <v>0</v>
      </c>
      <c r="AL387" s="201">
        <f t="shared" si="1941"/>
        <v>0</v>
      </c>
      <c r="AM387" s="201">
        <f t="shared" si="1941"/>
        <v>0</v>
      </c>
      <c r="AN387" s="201">
        <f t="shared" si="1941"/>
        <v>1</v>
      </c>
      <c r="AO387" s="201">
        <f t="shared" si="1941"/>
        <v>0</v>
      </c>
      <c r="AP387" s="201">
        <f t="shared" si="1941"/>
        <v>0</v>
      </c>
      <c r="AQ387" s="201">
        <f t="shared" si="1941"/>
        <v>0</v>
      </c>
      <c r="AR387" s="200">
        <f t="shared" si="1941"/>
        <v>0</v>
      </c>
      <c r="AS387" s="200">
        <f t="shared" si="1941"/>
        <v>1</v>
      </c>
      <c r="AT387" s="173">
        <v>0.0</v>
      </c>
      <c r="AU387" s="200">
        <f t="shared" ref="AU387:AX387" si="1942">countif($D387,"*"&amp;AU$2&amp;"*")</f>
        <v>0</v>
      </c>
      <c r="AV387" s="200">
        <f t="shared" si="1942"/>
        <v>0</v>
      </c>
      <c r="AW387" s="200">
        <f t="shared" si="1942"/>
        <v>0</v>
      </c>
      <c r="AX387" s="200">
        <f t="shared" si="1942"/>
        <v>0</v>
      </c>
      <c r="AY387" s="202">
        <v>0.0</v>
      </c>
      <c r="AZ387" s="200"/>
      <c r="BA387" s="171" t="str">
        <f t="shared" si="18"/>
        <v/>
      </c>
      <c r="BB387" s="171" t="str">
        <f t="shared" si="19"/>
        <v/>
      </c>
      <c r="BC387" s="171" t="str">
        <f t="shared" si="20"/>
        <v>General-purpose</v>
      </c>
      <c r="BD387" s="171" t="str">
        <f t="shared" si="21"/>
        <v/>
      </c>
      <c r="BE387" s="171" t="str">
        <f t="shared" si="22"/>
        <v/>
      </c>
      <c r="BF387" s="171" t="str">
        <f t="shared" si="23"/>
        <v>General-purpose</v>
      </c>
    </row>
    <row r="388">
      <c r="A388" s="171">
        <f t="array" ref="A388">XLOOKUP(C388,ICSE!A:A,ICSE!C:C,,2,1)</f>
        <v>2020</v>
      </c>
      <c r="B388" s="171" t="s">
        <v>5675</v>
      </c>
      <c r="C388" s="160">
        <v>727.0</v>
      </c>
      <c r="D388" s="161" t="s">
        <v>1580</v>
      </c>
      <c r="E388" s="197" t="str">
        <f t="array" ref="E388">XLOOKUP(C388,ICSE!A:A,ICSE!Z:Z,,0,1)</f>
        <v>Not available (1) - Broken link.</v>
      </c>
      <c r="F388" s="198" t="s">
        <v>21</v>
      </c>
      <c r="G388" s="163" t="str">
        <f t="array" ref="G388">IF(B388="ICSE",IF(COUNTIFS(B:B,B388,C:C,C388)=XLOOKUP(C388,ICSE!A:A,ICSE!AA:AA,"ERROR",0,1),"OK","ERROR"),IF(B388="FSE",IF(COUNTIFS(B:B,B388,C:C,C388)=XLOOKUP(C388,FSE!A:A,FSE!AA:AA,"ERROR",0,1),"OK","ERROR")))</f>
        <v>OK</v>
      </c>
      <c r="H388" s="199">
        <f t="shared" ref="H388:O388" si="1943">countif($D388,"*"&amp;H$2&amp;"*")</f>
        <v>0</v>
      </c>
      <c r="I388" s="200">
        <f t="shared" si="1943"/>
        <v>0</v>
      </c>
      <c r="J388" s="200">
        <f t="shared" si="1943"/>
        <v>0</v>
      </c>
      <c r="K388" s="200">
        <f t="shared" si="1943"/>
        <v>0</v>
      </c>
      <c r="L388" s="200">
        <f t="shared" si="1943"/>
        <v>0</v>
      </c>
      <c r="M388" s="200">
        <f t="shared" si="1943"/>
        <v>0</v>
      </c>
      <c r="N388" s="200">
        <f t="shared" si="1943"/>
        <v>0</v>
      </c>
      <c r="O388" s="200">
        <f t="shared" si="1943"/>
        <v>0</v>
      </c>
      <c r="P388" s="200">
        <f t="shared" si="9"/>
        <v>0</v>
      </c>
      <c r="Q388" s="200">
        <f t="shared" ref="Q388:AC388" si="1944">countif($D388,"*"&amp;Q$2&amp;"*")</f>
        <v>0</v>
      </c>
      <c r="R388" s="200">
        <f t="shared" si="1944"/>
        <v>0</v>
      </c>
      <c r="S388" s="200">
        <f t="shared" si="1944"/>
        <v>0</v>
      </c>
      <c r="T388" s="200">
        <f t="shared" si="1944"/>
        <v>0</v>
      </c>
      <c r="U388" s="200">
        <f t="shared" si="1944"/>
        <v>0</v>
      </c>
      <c r="V388" s="200">
        <f t="shared" si="1944"/>
        <v>0</v>
      </c>
      <c r="W388" s="200">
        <f t="shared" si="1944"/>
        <v>0</v>
      </c>
      <c r="X388" s="200">
        <f t="shared" si="1944"/>
        <v>0</v>
      </c>
      <c r="Y388" s="200">
        <f t="shared" si="1944"/>
        <v>0</v>
      </c>
      <c r="Z388" s="200">
        <f t="shared" si="1944"/>
        <v>0</v>
      </c>
      <c r="AA388" s="200">
        <f t="shared" si="1944"/>
        <v>0</v>
      </c>
      <c r="AB388" s="200">
        <f t="shared" si="1944"/>
        <v>0</v>
      </c>
      <c r="AC388" s="200">
        <f t="shared" si="1944"/>
        <v>0</v>
      </c>
      <c r="AD388" s="200">
        <f t="shared" si="11"/>
        <v>1</v>
      </c>
      <c r="AE388" s="200">
        <f t="shared" ref="AE388:AG388" si="1945">countif($D388,"*"&amp;AE$2&amp;"*")</f>
        <v>0</v>
      </c>
      <c r="AF388" s="200">
        <f t="shared" si="1945"/>
        <v>0</v>
      </c>
      <c r="AG388" s="200">
        <f t="shared" si="1945"/>
        <v>0</v>
      </c>
      <c r="AH388" s="171">
        <f t="shared" si="13"/>
        <v>0</v>
      </c>
      <c r="AI388" s="200">
        <f t="shared" si="14"/>
        <v>0</v>
      </c>
      <c r="AJ388" s="200">
        <f t="shared" si="1840"/>
        <v>0</v>
      </c>
      <c r="AK388" s="201">
        <f t="shared" ref="AK388:AS388" si="1946">countif($D388,"*"&amp;AK$2&amp;"*")</f>
        <v>0</v>
      </c>
      <c r="AL388" s="201">
        <f t="shared" si="1946"/>
        <v>0</v>
      </c>
      <c r="AM388" s="201">
        <f t="shared" si="1946"/>
        <v>0</v>
      </c>
      <c r="AN388" s="201">
        <f t="shared" si="1946"/>
        <v>0</v>
      </c>
      <c r="AO388" s="201">
        <f t="shared" si="1946"/>
        <v>0</v>
      </c>
      <c r="AP388" s="201">
        <f t="shared" si="1946"/>
        <v>0</v>
      </c>
      <c r="AQ388" s="201">
        <f t="shared" si="1946"/>
        <v>0</v>
      </c>
      <c r="AR388" s="200">
        <f t="shared" si="1946"/>
        <v>0</v>
      </c>
      <c r="AS388" s="200">
        <f t="shared" si="1946"/>
        <v>0</v>
      </c>
      <c r="AT388" s="173">
        <v>1.0</v>
      </c>
      <c r="AU388" s="200">
        <f t="shared" ref="AU388:AX388" si="1947">countif($D388,"*"&amp;AU$2&amp;"*")</f>
        <v>0</v>
      </c>
      <c r="AV388" s="200">
        <f t="shared" si="1947"/>
        <v>0</v>
      </c>
      <c r="AW388" s="200">
        <f t="shared" si="1947"/>
        <v>0</v>
      </c>
      <c r="AX388" s="200">
        <f t="shared" si="1947"/>
        <v>0</v>
      </c>
      <c r="AY388" s="202">
        <v>0.0</v>
      </c>
      <c r="AZ388" s="200"/>
      <c r="BA388" s="171" t="str">
        <f t="shared" si="18"/>
        <v/>
      </c>
      <c r="BB388" s="171" t="str">
        <f t="shared" si="19"/>
        <v/>
      </c>
      <c r="BC388" s="171" t="str">
        <f t="shared" si="20"/>
        <v/>
      </c>
      <c r="BD388" s="171" t="str">
        <f t="shared" si="21"/>
        <v>Institutional</v>
      </c>
      <c r="BE388" s="171" t="str">
        <f t="shared" si="22"/>
        <v/>
      </c>
      <c r="BF388" s="171" t="str">
        <f t="shared" si="23"/>
        <v>Institutional</v>
      </c>
    </row>
    <row r="389">
      <c r="A389" s="171">
        <f t="array" ref="A389">XLOOKUP(C389,ICSE!A:A,ICSE!C:C,,2,1)</f>
        <v>2020</v>
      </c>
      <c r="B389" s="171" t="s">
        <v>5675</v>
      </c>
      <c r="C389" s="160">
        <v>731.0</v>
      </c>
      <c r="D389" s="161" t="s">
        <v>5866</v>
      </c>
      <c r="E389" s="197" t="str">
        <f t="array" ref="E389">XLOOKUP(C389,ICSE!A:A,ICSE!Z:Z,,0,1)</f>
        <v>Publicly available (2)</v>
      </c>
      <c r="F389" s="198" t="s">
        <v>20</v>
      </c>
      <c r="G389" s="163" t="str">
        <f t="array" ref="G389">IF(B389="ICSE",IF(COUNTIFS(B:B,B389,C:C,C389)=XLOOKUP(C389,ICSE!A:A,ICSE!AA:AA,"ERROR",0,1),"OK","ERROR"),IF(B389="FSE",IF(COUNTIFS(B:B,B389,C:C,C389)=XLOOKUP(C389,FSE!A:A,FSE!AA:AA,"ERROR",0,1),"OK","ERROR")))</f>
        <v>OK</v>
      </c>
      <c r="H389" s="199">
        <f t="shared" ref="H389:O389" si="1948">countif($D389,"*"&amp;H$2&amp;"*")</f>
        <v>0</v>
      </c>
      <c r="I389" s="200">
        <f t="shared" si="1948"/>
        <v>0</v>
      </c>
      <c r="J389" s="200">
        <f t="shared" si="1948"/>
        <v>0</v>
      </c>
      <c r="K389" s="200">
        <f t="shared" si="1948"/>
        <v>0</v>
      </c>
      <c r="L389" s="200">
        <f t="shared" si="1948"/>
        <v>0</v>
      </c>
      <c r="M389" s="200">
        <f t="shared" si="1948"/>
        <v>0</v>
      </c>
      <c r="N389" s="200">
        <f t="shared" si="1948"/>
        <v>0</v>
      </c>
      <c r="O389" s="200">
        <f t="shared" si="1948"/>
        <v>0</v>
      </c>
      <c r="P389" s="200">
        <f t="shared" si="9"/>
        <v>1</v>
      </c>
      <c r="Q389" s="200">
        <f t="shared" ref="Q389:AC389" si="1949">countif($D389,"*"&amp;Q$2&amp;"*")</f>
        <v>0</v>
      </c>
      <c r="R389" s="200">
        <f t="shared" si="1949"/>
        <v>0</v>
      </c>
      <c r="S389" s="200">
        <f t="shared" si="1949"/>
        <v>0</v>
      </c>
      <c r="T389" s="200">
        <f t="shared" si="1949"/>
        <v>0</v>
      </c>
      <c r="U389" s="200">
        <f t="shared" si="1949"/>
        <v>0</v>
      </c>
      <c r="V389" s="200">
        <f t="shared" si="1949"/>
        <v>0</v>
      </c>
      <c r="W389" s="200">
        <f t="shared" si="1949"/>
        <v>0</v>
      </c>
      <c r="X389" s="200">
        <f t="shared" si="1949"/>
        <v>0</v>
      </c>
      <c r="Y389" s="200">
        <f t="shared" si="1949"/>
        <v>0</v>
      </c>
      <c r="Z389" s="200">
        <f t="shared" si="1949"/>
        <v>0</v>
      </c>
      <c r="AA389" s="200">
        <f t="shared" si="1949"/>
        <v>0</v>
      </c>
      <c r="AB389" s="200">
        <f t="shared" si="1949"/>
        <v>0</v>
      </c>
      <c r="AC389" s="200">
        <f t="shared" si="1949"/>
        <v>0</v>
      </c>
      <c r="AD389" s="200">
        <f t="shared" si="11"/>
        <v>0</v>
      </c>
      <c r="AE389" s="200">
        <f t="shared" ref="AE389:AG389" si="1950">countif($D389,"*"&amp;AE$2&amp;"*")</f>
        <v>0</v>
      </c>
      <c r="AF389" s="200">
        <f t="shared" si="1950"/>
        <v>0</v>
      </c>
      <c r="AG389" s="200">
        <f t="shared" si="1950"/>
        <v>0</v>
      </c>
      <c r="AH389" s="171">
        <f t="shared" si="13"/>
        <v>0</v>
      </c>
      <c r="AI389" s="200">
        <f t="shared" si="14"/>
        <v>0</v>
      </c>
      <c r="AJ389" s="200">
        <f t="shared" si="1840"/>
        <v>0</v>
      </c>
      <c r="AK389" s="201">
        <f t="shared" ref="AK389:AS389" si="1951">countif($D389,"*"&amp;AK$2&amp;"*")</f>
        <v>0</v>
      </c>
      <c r="AL389" s="201">
        <f t="shared" si="1951"/>
        <v>0</v>
      </c>
      <c r="AM389" s="201">
        <f t="shared" si="1951"/>
        <v>0</v>
      </c>
      <c r="AN389" s="201">
        <f t="shared" si="1951"/>
        <v>0</v>
      </c>
      <c r="AO389" s="201">
        <f t="shared" si="1951"/>
        <v>0</v>
      </c>
      <c r="AP389" s="201">
        <f t="shared" si="1951"/>
        <v>0</v>
      </c>
      <c r="AQ389" s="201">
        <f t="shared" si="1951"/>
        <v>0</v>
      </c>
      <c r="AR389" s="200">
        <f t="shared" si="1951"/>
        <v>0</v>
      </c>
      <c r="AS389" s="200">
        <f t="shared" si="1951"/>
        <v>0</v>
      </c>
      <c r="AT389" s="173">
        <v>0.0</v>
      </c>
      <c r="AU389" s="200">
        <f t="shared" ref="AU389:AX389" si="1952">countif($D389,"*"&amp;AU$2&amp;"*")</f>
        <v>0</v>
      </c>
      <c r="AV389" s="200">
        <f t="shared" si="1952"/>
        <v>1</v>
      </c>
      <c r="AW389" s="200">
        <f t="shared" si="1952"/>
        <v>0</v>
      </c>
      <c r="AX389" s="200">
        <f t="shared" si="1952"/>
        <v>0</v>
      </c>
      <c r="AY389" s="202">
        <v>0.0</v>
      </c>
      <c r="AZ389" s="200"/>
      <c r="BA389" s="171" t="str">
        <f t="shared" si="18"/>
        <v/>
      </c>
      <c r="BB389" s="171" t="str">
        <f t="shared" si="19"/>
        <v>Code</v>
      </c>
      <c r="BC389" s="171" t="str">
        <f t="shared" si="20"/>
        <v/>
      </c>
      <c r="BD389" s="171" t="str">
        <f t="shared" si="21"/>
        <v/>
      </c>
      <c r="BE389" s="171" t="str">
        <f t="shared" si="22"/>
        <v/>
      </c>
      <c r="BF389" s="171" t="str">
        <f t="shared" si="23"/>
        <v>Code</v>
      </c>
    </row>
    <row r="390">
      <c r="A390" s="171">
        <f t="array" ref="A390">XLOOKUP(C390,ICSE!A:A,ICSE!C:C,,2,1)</f>
        <v>2020</v>
      </c>
      <c r="B390" s="171" t="s">
        <v>5675</v>
      </c>
      <c r="C390" s="160">
        <v>731.0</v>
      </c>
      <c r="D390" s="161" t="s">
        <v>5867</v>
      </c>
      <c r="E390" s="197" t="str">
        <f t="array" ref="E390">XLOOKUP(C390,ICSE!A:A,ICSE!Z:Z,,0,1)</f>
        <v>Publicly available (2)</v>
      </c>
      <c r="F390" s="198" t="s">
        <v>20</v>
      </c>
      <c r="G390" s="163" t="str">
        <f t="array" ref="G390">IF(B390="ICSE",IF(COUNTIFS(B:B,B390,C:C,C390)=XLOOKUP(C390,ICSE!A:A,ICSE!AA:AA,"ERROR",0,1),"OK","ERROR"),IF(B390="FSE",IF(COUNTIFS(B:B,B390,C:C,C390)=XLOOKUP(C390,FSE!A:A,FSE!AA:AA,"ERROR",0,1),"OK","ERROR")))</f>
        <v>OK</v>
      </c>
      <c r="H390" s="199">
        <f t="shared" ref="H390:O390" si="1953">countif($D390,"*"&amp;H$2&amp;"*")</f>
        <v>0</v>
      </c>
      <c r="I390" s="200">
        <f t="shared" si="1953"/>
        <v>0</v>
      </c>
      <c r="J390" s="200">
        <f t="shared" si="1953"/>
        <v>0</v>
      </c>
      <c r="K390" s="200">
        <f t="shared" si="1953"/>
        <v>0</v>
      </c>
      <c r="L390" s="200">
        <f t="shared" si="1953"/>
        <v>0</v>
      </c>
      <c r="M390" s="200">
        <f t="shared" si="1953"/>
        <v>0</v>
      </c>
      <c r="N390" s="200">
        <f t="shared" si="1953"/>
        <v>0</v>
      </c>
      <c r="O390" s="200">
        <f t="shared" si="1953"/>
        <v>0</v>
      </c>
      <c r="P390" s="200">
        <f t="shared" si="9"/>
        <v>1</v>
      </c>
      <c r="Q390" s="200">
        <f t="shared" ref="Q390:AC390" si="1954">countif($D390,"*"&amp;Q$2&amp;"*")</f>
        <v>0</v>
      </c>
      <c r="R390" s="200">
        <f t="shared" si="1954"/>
        <v>0</v>
      </c>
      <c r="S390" s="200">
        <f t="shared" si="1954"/>
        <v>0</v>
      </c>
      <c r="T390" s="200">
        <f t="shared" si="1954"/>
        <v>0</v>
      </c>
      <c r="U390" s="200">
        <f t="shared" si="1954"/>
        <v>0</v>
      </c>
      <c r="V390" s="200">
        <f t="shared" si="1954"/>
        <v>0</v>
      </c>
      <c r="W390" s="200">
        <f t="shared" si="1954"/>
        <v>0</v>
      </c>
      <c r="X390" s="200">
        <f t="shared" si="1954"/>
        <v>0</v>
      </c>
      <c r="Y390" s="200">
        <f t="shared" si="1954"/>
        <v>0</v>
      </c>
      <c r="Z390" s="200">
        <f t="shared" si="1954"/>
        <v>0</v>
      </c>
      <c r="AA390" s="200">
        <f t="shared" si="1954"/>
        <v>0</v>
      </c>
      <c r="AB390" s="200">
        <f t="shared" si="1954"/>
        <v>0</v>
      </c>
      <c r="AC390" s="200">
        <f t="shared" si="1954"/>
        <v>0</v>
      </c>
      <c r="AD390" s="200">
        <f t="shared" si="11"/>
        <v>0</v>
      </c>
      <c r="AE390" s="200">
        <f t="shared" ref="AE390:AG390" si="1955">countif($D390,"*"&amp;AE$2&amp;"*")</f>
        <v>0</v>
      </c>
      <c r="AF390" s="200">
        <f t="shared" si="1955"/>
        <v>0</v>
      </c>
      <c r="AG390" s="200">
        <f t="shared" si="1955"/>
        <v>0</v>
      </c>
      <c r="AH390" s="171">
        <f t="shared" si="13"/>
        <v>0</v>
      </c>
      <c r="AI390" s="200">
        <f t="shared" si="14"/>
        <v>0</v>
      </c>
      <c r="AJ390" s="200">
        <f t="shared" si="1840"/>
        <v>0</v>
      </c>
      <c r="AK390" s="201">
        <f t="shared" ref="AK390:AS390" si="1956">countif($D390,"*"&amp;AK$2&amp;"*")</f>
        <v>0</v>
      </c>
      <c r="AL390" s="201">
        <f t="shared" si="1956"/>
        <v>0</v>
      </c>
      <c r="AM390" s="201">
        <f t="shared" si="1956"/>
        <v>0</v>
      </c>
      <c r="AN390" s="201">
        <f t="shared" si="1956"/>
        <v>0</v>
      </c>
      <c r="AO390" s="201">
        <f t="shared" si="1956"/>
        <v>0</v>
      </c>
      <c r="AP390" s="201">
        <f t="shared" si="1956"/>
        <v>0</v>
      </c>
      <c r="AQ390" s="201">
        <f t="shared" si="1956"/>
        <v>0</v>
      </c>
      <c r="AR390" s="200">
        <f t="shared" si="1956"/>
        <v>0</v>
      </c>
      <c r="AS390" s="200">
        <f t="shared" si="1956"/>
        <v>0</v>
      </c>
      <c r="AT390" s="173">
        <v>0.0</v>
      </c>
      <c r="AU390" s="200">
        <f t="shared" ref="AU390:AX390" si="1957">countif($D390,"*"&amp;AU$2&amp;"*")</f>
        <v>0</v>
      </c>
      <c r="AV390" s="200">
        <f t="shared" si="1957"/>
        <v>1</v>
      </c>
      <c r="AW390" s="200">
        <f t="shared" si="1957"/>
        <v>0</v>
      </c>
      <c r="AX390" s="200">
        <f t="shared" si="1957"/>
        <v>0</v>
      </c>
      <c r="AY390" s="202">
        <v>0.0</v>
      </c>
      <c r="AZ390" s="200"/>
      <c r="BA390" s="171" t="str">
        <f t="shared" si="18"/>
        <v/>
      </c>
      <c r="BB390" s="171" t="str">
        <f t="shared" si="19"/>
        <v>Code</v>
      </c>
      <c r="BC390" s="171" t="str">
        <f t="shared" si="20"/>
        <v/>
      </c>
      <c r="BD390" s="171" t="str">
        <f t="shared" si="21"/>
        <v/>
      </c>
      <c r="BE390" s="171" t="str">
        <f t="shared" si="22"/>
        <v/>
      </c>
      <c r="BF390" s="171" t="str">
        <f t="shared" si="23"/>
        <v>Code</v>
      </c>
    </row>
    <row r="391">
      <c r="A391" s="171">
        <f t="array" ref="A391">XLOOKUP(C391,ICSE!A:A,ICSE!C:C,,2,1)</f>
        <v>2020</v>
      </c>
      <c r="B391" s="171" t="s">
        <v>5675</v>
      </c>
      <c r="C391" s="160">
        <v>732.0</v>
      </c>
      <c r="D391" s="161" t="s">
        <v>1590</v>
      </c>
      <c r="E391" s="197" t="str">
        <f t="array" ref="E391">XLOOKUP(C391,ICSE!A:A,ICSE!Z:Z,,0,1)</f>
        <v>Publicly available (1)</v>
      </c>
      <c r="F391" s="198" t="s">
        <v>20</v>
      </c>
      <c r="G391" s="163" t="str">
        <f t="array" ref="G391">IF(B391="ICSE",IF(COUNTIFS(B:B,B391,C:C,C391)=XLOOKUP(C391,ICSE!A:A,ICSE!AA:AA,"ERROR",0,1),"OK","ERROR"),IF(B391="FSE",IF(COUNTIFS(B:B,B391,C:C,C391)=XLOOKUP(C391,FSE!A:A,FSE!AA:AA,"ERROR",0,1),"OK","ERROR")))</f>
        <v>OK</v>
      </c>
      <c r="H391" s="199">
        <f t="shared" ref="H391:O391" si="1958">countif($D391,"*"&amp;H$2&amp;"*")</f>
        <v>0</v>
      </c>
      <c r="I391" s="200">
        <f t="shared" si="1958"/>
        <v>0</v>
      </c>
      <c r="J391" s="200">
        <f t="shared" si="1958"/>
        <v>0</v>
      </c>
      <c r="K391" s="200">
        <f t="shared" si="1958"/>
        <v>0</v>
      </c>
      <c r="L391" s="200">
        <f t="shared" si="1958"/>
        <v>0</v>
      </c>
      <c r="M391" s="200">
        <f t="shared" si="1958"/>
        <v>0</v>
      </c>
      <c r="N391" s="200">
        <f t="shared" si="1958"/>
        <v>0</v>
      </c>
      <c r="O391" s="200">
        <f t="shared" si="1958"/>
        <v>0</v>
      </c>
      <c r="P391" s="200">
        <f t="shared" si="9"/>
        <v>1</v>
      </c>
      <c r="Q391" s="200">
        <f t="shared" ref="Q391:AC391" si="1959">countif($D391,"*"&amp;Q$2&amp;"*")</f>
        <v>0</v>
      </c>
      <c r="R391" s="200">
        <f t="shared" si="1959"/>
        <v>0</v>
      </c>
      <c r="S391" s="200">
        <f t="shared" si="1959"/>
        <v>0</v>
      </c>
      <c r="T391" s="200">
        <f t="shared" si="1959"/>
        <v>0</v>
      </c>
      <c r="U391" s="200">
        <f t="shared" si="1959"/>
        <v>0</v>
      </c>
      <c r="V391" s="200">
        <f t="shared" si="1959"/>
        <v>0</v>
      </c>
      <c r="W391" s="200">
        <f t="shared" si="1959"/>
        <v>0</v>
      </c>
      <c r="X391" s="200">
        <f t="shared" si="1959"/>
        <v>0</v>
      </c>
      <c r="Y391" s="200">
        <f t="shared" si="1959"/>
        <v>0</v>
      </c>
      <c r="Z391" s="200">
        <f t="shared" si="1959"/>
        <v>0</v>
      </c>
      <c r="AA391" s="200">
        <f t="shared" si="1959"/>
        <v>0</v>
      </c>
      <c r="AB391" s="200">
        <f t="shared" si="1959"/>
        <v>0</v>
      </c>
      <c r="AC391" s="200">
        <f t="shared" si="1959"/>
        <v>0</v>
      </c>
      <c r="AD391" s="200">
        <f t="shared" si="11"/>
        <v>0</v>
      </c>
      <c r="AE391" s="200">
        <f t="shared" ref="AE391:AG391" si="1960">countif($D391,"*"&amp;AE$2&amp;"*")</f>
        <v>0</v>
      </c>
      <c r="AF391" s="200">
        <f t="shared" si="1960"/>
        <v>0</v>
      </c>
      <c r="AG391" s="200">
        <f t="shared" si="1960"/>
        <v>0</v>
      </c>
      <c r="AH391" s="171">
        <f t="shared" si="13"/>
        <v>0</v>
      </c>
      <c r="AI391" s="200">
        <f t="shared" si="14"/>
        <v>0</v>
      </c>
      <c r="AJ391" s="200">
        <f t="shared" si="1840"/>
        <v>0</v>
      </c>
      <c r="AK391" s="201">
        <f t="shared" ref="AK391:AS391" si="1961">countif($D391,"*"&amp;AK$2&amp;"*")</f>
        <v>0</v>
      </c>
      <c r="AL391" s="201">
        <f t="shared" si="1961"/>
        <v>0</v>
      </c>
      <c r="AM391" s="201">
        <f t="shared" si="1961"/>
        <v>0</v>
      </c>
      <c r="AN391" s="201">
        <f t="shared" si="1961"/>
        <v>0</v>
      </c>
      <c r="AO391" s="201">
        <f t="shared" si="1961"/>
        <v>0</v>
      </c>
      <c r="AP391" s="201">
        <f t="shared" si="1961"/>
        <v>0</v>
      </c>
      <c r="AQ391" s="201">
        <f t="shared" si="1961"/>
        <v>0</v>
      </c>
      <c r="AR391" s="200">
        <f t="shared" si="1961"/>
        <v>0</v>
      </c>
      <c r="AS391" s="200">
        <f t="shared" si="1961"/>
        <v>0</v>
      </c>
      <c r="AT391" s="173">
        <v>0.0</v>
      </c>
      <c r="AU391" s="200">
        <f t="shared" ref="AU391:AX391" si="1962">countif($D391,"*"&amp;AU$2&amp;"*")</f>
        <v>0</v>
      </c>
      <c r="AV391" s="200">
        <f t="shared" si="1962"/>
        <v>1</v>
      </c>
      <c r="AW391" s="200">
        <f t="shared" si="1962"/>
        <v>0</v>
      </c>
      <c r="AX391" s="200">
        <f t="shared" si="1962"/>
        <v>0</v>
      </c>
      <c r="AY391" s="202">
        <v>0.0</v>
      </c>
      <c r="AZ391" s="200"/>
      <c r="BA391" s="171" t="str">
        <f t="shared" si="18"/>
        <v/>
      </c>
      <c r="BB391" s="171" t="str">
        <f t="shared" si="19"/>
        <v>Code</v>
      </c>
      <c r="BC391" s="171" t="str">
        <f t="shared" si="20"/>
        <v/>
      </c>
      <c r="BD391" s="171" t="str">
        <f t="shared" si="21"/>
        <v/>
      </c>
      <c r="BE391" s="171" t="str">
        <f t="shared" si="22"/>
        <v/>
      </c>
      <c r="BF391" s="171" t="str">
        <f t="shared" si="23"/>
        <v>Code</v>
      </c>
    </row>
    <row r="392">
      <c r="A392" s="171">
        <f t="array" ref="A392">XLOOKUP(C392,ICSE!A:A,ICSE!C:C,,2,1)</f>
        <v>2020</v>
      </c>
      <c r="B392" s="171" t="s">
        <v>5675</v>
      </c>
      <c r="C392" s="160">
        <v>733.0</v>
      </c>
      <c r="D392" s="161" t="s">
        <v>1593</v>
      </c>
      <c r="E392" s="197" t="str">
        <f t="array" ref="E392">XLOOKUP(C392,ICSE!A:A,ICSE!Z:Z,,0,1)</f>
        <v>Publicly available (1)</v>
      </c>
      <c r="F392" s="198" t="s">
        <v>20</v>
      </c>
      <c r="G392" s="163" t="str">
        <f t="array" ref="G392">IF(B392="ICSE",IF(COUNTIFS(B:B,B392,C:C,C392)=XLOOKUP(C392,ICSE!A:A,ICSE!AA:AA,"ERROR",0,1),"OK","ERROR"),IF(B392="FSE",IF(COUNTIFS(B:B,B392,C:C,C392)=XLOOKUP(C392,FSE!A:A,FSE!AA:AA,"ERROR",0,1),"OK","ERROR")))</f>
        <v>OK</v>
      </c>
      <c r="H392" s="199">
        <f t="shared" ref="H392:O392" si="1963">countif($D392,"*"&amp;H$2&amp;"*")</f>
        <v>0</v>
      </c>
      <c r="I392" s="200">
        <f t="shared" si="1963"/>
        <v>0</v>
      </c>
      <c r="J392" s="200">
        <f t="shared" si="1963"/>
        <v>0</v>
      </c>
      <c r="K392" s="200">
        <f t="shared" si="1963"/>
        <v>0</v>
      </c>
      <c r="L392" s="200">
        <f t="shared" si="1963"/>
        <v>0</v>
      </c>
      <c r="M392" s="200">
        <f t="shared" si="1963"/>
        <v>0</v>
      </c>
      <c r="N392" s="200">
        <f t="shared" si="1963"/>
        <v>0</v>
      </c>
      <c r="O392" s="200">
        <f t="shared" si="1963"/>
        <v>0</v>
      </c>
      <c r="P392" s="200">
        <f t="shared" si="9"/>
        <v>1</v>
      </c>
      <c r="Q392" s="200">
        <f t="shared" ref="Q392:AC392" si="1964">countif($D392,"*"&amp;Q$2&amp;"*")</f>
        <v>0</v>
      </c>
      <c r="R392" s="200">
        <f t="shared" si="1964"/>
        <v>0</v>
      </c>
      <c r="S392" s="200">
        <f t="shared" si="1964"/>
        <v>0</v>
      </c>
      <c r="T392" s="200">
        <f t="shared" si="1964"/>
        <v>0</v>
      </c>
      <c r="U392" s="200">
        <f t="shared" si="1964"/>
        <v>0</v>
      </c>
      <c r="V392" s="200">
        <f t="shared" si="1964"/>
        <v>0</v>
      </c>
      <c r="W392" s="200">
        <f t="shared" si="1964"/>
        <v>0</v>
      </c>
      <c r="X392" s="200">
        <f t="shared" si="1964"/>
        <v>0</v>
      </c>
      <c r="Y392" s="200">
        <f t="shared" si="1964"/>
        <v>0</v>
      </c>
      <c r="Z392" s="200">
        <f t="shared" si="1964"/>
        <v>0</v>
      </c>
      <c r="AA392" s="200">
        <f t="shared" si="1964"/>
        <v>0</v>
      </c>
      <c r="AB392" s="200">
        <f t="shared" si="1964"/>
        <v>0</v>
      </c>
      <c r="AC392" s="200">
        <f t="shared" si="1964"/>
        <v>0</v>
      </c>
      <c r="AD392" s="200">
        <f t="shared" si="11"/>
        <v>0</v>
      </c>
      <c r="AE392" s="200">
        <f t="shared" ref="AE392:AG392" si="1965">countif($D392,"*"&amp;AE$2&amp;"*")</f>
        <v>0</v>
      </c>
      <c r="AF392" s="200">
        <f t="shared" si="1965"/>
        <v>0</v>
      </c>
      <c r="AG392" s="200">
        <f t="shared" si="1965"/>
        <v>0</v>
      </c>
      <c r="AH392" s="171">
        <f t="shared" si="13"/>
        <v>0</v>
      </c>
      <c r="AI392" s="200">
        <f t="shared" si="14"/>
        <v>0</v>
      </c>
      <c r="AJ392" s="200">
        <f t="shared" si="1840"/>
        <v>0</v>
      </c>
      <c r="AK392" s="201">
        <f t="shared" ref="AK392:AS392" si="1966">countif($D392,"*"&amp;AK$2&amp;"*")</f>
        <v>0</v>
      </c>
      <c r="AL392" s="201">
        <f t="shared" si="1966"/>
        <v>0</v>
      </c>
      <c r="AM392" s="201">
        <f t="shared" si="1966"/>
        <v>0</v>
      </c>
      <c r="AN392" s="201">
        <f t="shared" si="1966"/>
        <v>0</v>
      </c>
      <c r="AO392" s="201">
        <f t="shared" si="1966"/>
        <v>0</v>
      </c>
      <c r="AP392" s="201">
        <f t="shared" si="1966"/>
        <v>0</v>
      </c>
      <c r="AQ392" s="201">
        <f t="shared" si="1966"/>
        <v>0</v>
      </c>
      <c r="AR392" s="200">
        <f t="shared" si="1966"/>
        <v>0</v>
      </c>
      <c r="AS392" s="200">
        <f t="shared" si="1966"/>
        <v>0</v>
      </c>
      <c r="AT392" s="173">
        <v>0.0</v>
      </c>
      <c r="AU392" s="200">
        <f t="shared" ref="AU392:AX392" si="1967">countif($D392,"*"&amp;AU$2&amp;"*")</f>
        <v>0</v>
      </c>
      <c r="AV392" s="200">
        <f t="shared" si="1967"/>
        <v>1</v>
      </c>
      <c r="AW392" s="200">
        <f t="shared" si="1967"/>
        <v>0</v>
      </c>
      <c r="AX392" s="200">
        <f t="shared" si="1967"/>
        <v>0</v>
      </c>
      <c r="AY392" s="202">
        <v>0.0</v>
      </c>
      <c r="AZ392" s="200"/>
      <c r="BA392" s="171" t="str">
        <f t="shared" si="18"/>
        <v/>
      </c>
      <c r="BB392" s="171" t="str">
        <f t="shared" si="19"/>
        <v>Code</v>
      </c>
      <c r="BC392" s="171" t="str">
        <f t="shared" si="20"/>
        <v/>
      </c>
      <c r="BD392" s="171" t="str">
        <f t="shared" si="21"/>
        <v/>
      </c>
      <c r="BE392" s="171" t="str">
        <f t="shared" si="22"/>
        <v/>
      </c>
      <c r="BF392" s="171" t="str">
        <f t="shared" si="23"/>
        <v>Code</v>
      </c>
    </row>
    <row r="393">
      <c r="A393" s="171">
        <f t="array" ref="A393">XLOOKUP(C393,ICSE!A:A,ICSE!C:C,,2,1)</f>
        <v>2020</v>
      </c>
      <c r="B393" s="171" t="s">
        <v>5675</v>
      </c>
      <c r="C393" s="160">
        <v>734.0</v>
      </c>
      <c r="D393" s="161" t="s">
        <v>1595</v>
      </c>
      <c r="E393" s="197" t="str">
        <f t="array" ref="E393">XLOOKUP(C393,ICSE!A:A,ICSE!Z:Z,,0,1)</f>
        <v>Publicly available (1)</v>
      </c>
      <c r="F393" s="198" t="s">
        <v>20</v>
      </c>
      <c r="G393" s="163" t="str">
        <f t="array" ref="G393">IF(B393="ICSE",IF(COUNTIFS(B:B,B393,C:C,C393)=XLOOKUP(C393,ICSE!A:A,ICSE!AA:AA,"ERROR",0,1),"OK","ERROR"),IF(B393="FSE",IF(COUNTIFS(B:B,B393,C:C,C393)=XLOOKUP(C393,FSE!A:A,FSE!AA:AA,"ERROR",0,1),"OK","ERROR")))</f>
        <v>OK</v>
      </c>
      <c r="H393" s="199">
        <f t="shared" ref="H393:O393" si="1968">countif($D393,"*"&amp;H$2&amp;"*")</f>
        <v>0</v>
      </c>
      <c r="I393" s="200">
        <f t="shared" si="1968"/>
        <v>0</v>
      </c>
      <c r="J393" s="200">
        <f t="shared" si="1968"/>
        <v>0</v>
      </c>
      <c r="K393" s="200">
        <f t="shared" si="1968"/>
        <v>0</v>
      </c>
      <c r="L393" s="200">
        <f t="shared" si="1968"/>
        <v>0</v>
      </c>
      <c r="M393" s="200">
        <f t="shared" si="1968"/>
        <v>0</v>
      </c>
      <c r="N393" s="200">
        <f t="shared" si="1968"/>
        <v>0</v>
      </c>
      <c r="O393" s="200">
        <f t="shared" si="1968"/>
        <v>0</v>
      </c>
      <c r="P393" s="200">
        <f t="shared" si="9"/>
        <v>1</v>
      </c>
      <c r="Q393" s="200">
        <f t="shared" ref="Q393:AC393" si="1969">countif($D393,"*"&amp;Q$2&amp;"*")</f>
        <v>0</v>
      </c>
      <c r="R393" s="200">
        <f t="shared" si="1969"/>
        <v>0</v>
      </c>
      <c r="S393" s="200">
        <f t="shared" si="1969"/>
        <v>0</v>
      </c>
      <c r="T393" s="200">
        <f t="shared" si="1969"/>
        <v>0</v>
      </c>
      <c r="U393" s="200">
        <f t="shared" si="1969"/>
        <v>0</v>
      </c>
      <c r="V393" s="200">
        <f t="shared" si="1969"/>
        <v>0</v>
      </c>
      <c r="W393" s="200">
        <f t="shared" si="1969"/>
        <v>0</v>
      </c>
      <c r="X393" s="200">
        <f t="shared" si="1969"/>
        <v>0</v>
      </c>
      <c r="Y393" s="200">
        <f t="shared" si="1969"/>
        <v>0</v>
      </c>
      <c r="Z393" s="200">
        <f t="shared" si="1969"/>
        <v>0</v>
      </c>
      <c r="AA393" s="200">
        <f t="shared" si="1969"/>
        <v>0</v>
      </c>
      <c r="AB393" s="200">
        <f t="shared" si="1969"/>
        <v>0</v>
      </c>
      <c r="AC393" s="200">
        <f t="shared" si="1969"/>
        <v>0</v>
      </c>
      <c r="AD393" s="200">
        <f t="shared" si="11"/>
        <v>0</v>
      </c>
      <c r="AE393" s="200">
        <f t="shared" ref="AE393:AG393" si="1970">countif($D393,"*"&amp;AE$2&amp;"*")</f>
        <v>0</v>
      </c>
      <c r="AF393" s="200">
        <f t="shared" si="1970"/>
        <v>0</v>
      </c>
      <c r="AG393" s="200">
        <f t="shared" si="1970"/>
        <v>0</v>
      </c>
      <c r="AH393" s="171">
        <f t="shared" si="13"/>
        <v>0</v>
      </c>
      <c r="AI393" s="200">
        <f t="shared" si="14"/>
        <v>0</v>
      </c>
      <c r="AJ393" s="200">
        <f t="shared" si="1840"/>
        <v>0</v>
      </c>
      <c r="AK393" s="201">
        <f t="shared" ref="AK393:AS393" si="1971">countif($D393,"*"&amp;AK$2&amp;"*")</f>
        <v>0</v>
      </c>
      <c r="AL393" s="201">
        <f t="shared" si="1971"/>
        <v>0</v>
      </c>
      <c r="AM393" s="201">
        <f t="shared" si="1971"/>
        <v>0</v>
      </c>
      <c r="AN393" s="201">
        <f t="shared" si="1971"/>
        <v>0</v>
      </c>
      <c r="AO393" s="201">
        <f t="shared" si="1971"/>
        <v>0</v>
      </c>
      <c r="AP393" s="201">
        <f t="shared" si="1971"/>
        <v>0</v>
      </c>
      <c r="AQ393" s="201">
        <f t="shared" si="1971"/>
        <v>0</v>
      </c>
      <c r="AR393" s="200">
        <f t="shared" si="1971"/>
        <v>0</v>
      </c>
      <c r="AS393" s="200">
        <f t="shared" si="1971"/>
        <v>0</v>
      </c>
      <c r="AT393" s="173">
        <v>0.0</v>
      </c>
      <c r="AU393" s="200">
        <f t="shared" ref="AU393:AX393" si="1972">countif($D393,"*"&amp;AU$2&amp;"*")</f>
        <v>0</v>
      </c>
      <c r="AV393" s="200">
        <f t="shared" si="1972"/>
        <v>1</v>
      </c>
      <c r="AW393" s="200">
        <f t="shared" si="1972"/>
        <v>0</v>
      </c>
      <c r="AX393" s="200">
        <f t="shared" si="1972"/>
        <v>0</v>
      </c>
      <c r="AY393" s="202">
        <v>0.0</v>
      </c>
      <c r="AZ393" s="200"/>
      <c r="BA393" s="171" t="str">
        <f t="shared" si="18"/>
        <v/>
      </c>
      <c r="BB393" s="171" t="str">
        <f t="shared" si="19"/>
        <v>Code</v>
      </c>
      <c r="BC393" s="171" t="str">
        <f t="shared" si="20"/>
        <v/>
      </c>
      <c r="BD393" s="171" t="str">
        <f t="shared" si="21"/>
        <v/>
      </c>
      <c r="BE393" s="171" t="str">
        <f t="shared" si="22"/>
        <v/>
      </c>
      <c r="BF393" s="171" t="str">
        <f t="shared" si="23"/>
        <v>Code</v>
      </c>
    </row>
    <row r="394">
      <c r="A394" s="171">
        <f t="array" ref="A394">XLOOKUP(C394,ICSE!A:A,ICSE!C:C,,2,1)</f>
        <v>2020</v>
      </c>
      <c r="B394" s="171" t="s">
        <v>5675</v>
      </c>
      <c r="C394" s="160">
        <v>735.0</v>
      </c>
      <c r="D394" s="161" t="s">
        <v>1597</v>
      </c>
      <c r="E394" s="197" t="str">
        <f t="array" ref="E394">XLOOKUP(C394,ICSE!A:A,ICSE!Z:Z,,0,1)</f>
        <v>Publicly available (1)</v>
      </c>
      <c r="F394" s="198" t="s">
        <v>20</v>
      </c>
      <c r="G394" s="163" t="str">
        <f t="array" ref="G394">IF(B394="ICSE",IF(COUNTIFS(B:B,B394,C:C,C394)=XLOOKUP(C394,ICSE!A:A,ICSE!AA:AA,"ERROR",0,1),"OK","ERROR"),IF(B394="FSE",IF(COUNTIFS(B:B,B394,C:C,C394)=XLOOKUP(C394,FSE!A:A,FSE!AA:AA,"ERROR",0,1),"OK","ERROR")))</f>
        <v>OK</v>
      </c>
      <c r="H394" s="199">
        <f t="shared" ref="H394:O394" si="1973">countif($D394,"*"&amp;H$2&amp;"*")</f>
        <v>0</v>
      </c>
      <c r="I394" s="200">
        <f t="shared" si="1973"/>
        <v>0</v>
      </c>
      <c r="J394" s="200">
        <f t="shared" si="1973"/>
        <v>0</v>
      </c>
      <c r="K394" s="200">
        <f t="shared" si="1973"/>
        <v>0</v>
      </c>
      <c r="L394" s="200">
        <f t="shared" si="1973"/>
        <v>0</v>
      </c>
      <c r="M394" s="200">
        <f t="shared" si="1973"/>
        <v>0</v>
      </c>
      <c r="N394" s="200">
        <f t="shared" si="1973"/>
        <v>0</v>
      </c>
      <c r="O394" s="200">
        <f t="shared" si="1973"/>
        <v>0</v>
      </c>
      <c r="P394" s="200">
        <f t="shared" si="9"/>
        <v>1</v>
      </c>
      <c r="Q394" s="200">
        <f t="shared" ref="Q394:AC394" si="1974">countif($D394,"*"&amp;Q$2&amp;"*")</f>
        <v>0</v>
      </c>
      <c r="R394" s="200">
        <f t="shared" si="1974"/>
        <v>0</v>
      </c>
      <c r="S394" s="200">
        <f t="shared" si="1974"/>
        <v>0</v>
      </c>
      <c r="T394" s="200">
        <f t="shared" si="1974"/>
        <v>0</v>
      </c>
      <c r="U394" s="200">
        <f t="shared" si="1974"/>
        <v>0</v>
      </c>
      <c r="V394" s="200">
        <f t="shared" si="1974"/>
        <v>0</v>
      </c>
      <c r="W394" s="200">
        <f t="shared" si="1974"/>
        <v>0</v>
      </c>
      <c r="X394" s="200">
        <f t="shared" si="1974"/>
        <v>0</v>
      </c>
      <c r="Y394" s="200">
        <f t="shared" si="1974"/>
        <v>0</v>
      </c>
      <c r="Z394" s="200">
        <f t="shared" si="1974"/>
        <v>0</v>
      </c>
      <c r="AA394" s="200">
        <f t="shared" si="1974"/>
        <v>0</v>
      </c>
      <c r="AB394" s="200">
        <f t="shared" si="1974"/>
        <v>0</v>
      </c>
      <c r="AC394" s="200">
        <f t="shared" si="1974"/>
        <v>0</v>
      </c>
      <c r="AD394" s="200">
        <f t="shared" si="11"/>
        <v>0</v>
      </c>
      <c r="AE394" s="200">
        <f t="shared" ref="AE394:AG394" si="1975">countif($D394,"*"&amp;AE$2&amp;"*")</f>
        <v>0</v>
      </c>
      <c r="AF394" s="200">
        <f t="shared" si="1975"/>
        <v>0</v>
      </c>
      <c r="AG394" s="200">
        <f t="shared" si="1975"/>
        <v>0</v>
      </c>
      <c r="AH394" s="171">
        <f t="shared" si="13"/>
        <v>0</v>
      </c>
      <c r="AI394" s="200">
        <f t="shared" si="14"/>
        <v>0</v>
      </c>
      <c r="AJ394" s="200">
        <f t="shared" si="1840"/>
        <v>0</v>
      </c>
      <c r="AK394" s="201">
        <f t="shared" ref="AK394:AS394" si="1976">countif($D394,"*"&amp;AK$2&amp;"*")</f>
        <v>0</v>
      </c>
      <c r="AL394" s="201">
        <f t="shared" si="1976"/>
        <v>0</v>
      </c>
      <c r="AM394" s="201">
        <f t="shared" si="1976"/>
        <v>0</v>
      </c>
      <c r="AN394" s="201">
        <f t="shared" si="1976"/>
        <v>0</v>
      </c>
      <c r="AO394" s="201">
        <f t="shared" si="1976"/>
        <v>0</v>
      </c>
      <c r="AP394" s="201">
        <f t="shared" si="1976"/>
        <v>0</v>
      </c>
      <c r="AQ394" s="201">
        <f t="shared" si="1976"/>
        <v>0</v>
      </c>
      <c r="AR394" s="200">
        <f t="shared" si="1976"/>
        <v>0</v>
      </c>
      <c r="AS394" s="200">
        <f t="shared" si="1976"/>
        <v>0</v>
      </c>
      <c r="AT394" s="173">
        <v>0.0</v>
      </c>
      <c r="AU394" s="200">
        <f t="shared" ref="AU394:AX394" si="1977">countif($D394,"*"&amp;AU$2&amp;"*")</f>
        <v>0</v>
      </c>
      <c r="AV394" s="200">
        <f t="shared" si="1977"/>
        <v>1</v>
      </c>
      <c r="AW394" s="200">
        <f t="shared" si="1977"/>
        <v>0</v>
      </c>
      <c r="AX394" s="200">
        <f t="shared" si="1977"/>
        <v>0</v>
      </c>
      <c r="AY394" s="202">
        <v>0.0</v>
      </c>
      <c r="AZ394" s="200"/>
      <c r="BA394" s="171" t="str">
        <f t="shared" si="18"/>
        <v/>
      </c>
      <c r="BB394" s="171" t="str">
        <f t="shared" si="19"/>
        <v>Code</v>
      </c>
      <c r="BC394" s="171" t="str">
        <f t="shared" si="20"/>
        <v/>
      </c>
      <c r="BD394" s="171" t="str">
        <f t="shared" si="21"/>
        <v/>
      </c>
      <c r="BE394" s="171" t="str">
        <f t="shared" si="22"/>
        <v/>
      </c>
      <c r="BF394" s="171" t="str">
        <f t="shared" si="23"/>
        <v>Code</v>
      </c>
    </row>
    <row r="395">
      <c r="A395" s="171">
        <f t="array" ref="A395">XLOOKUP(C395,ICSE!A:A,ICSE!C:C,,2,1)</f>
        <v>2020</v>
      </c>
      <c r="B395" s="171" t="s">
        <v>5675</v>
      </c>
      <c r="C395" s="160">
        <v>737.0</v>
      </c>
      <c r="D395" s="161" t="s">
        <v>1601</v>
      </c>
      <c r="E395" s="197" t="str">
        <f t="array" ref="E395">XLOOKUP(C395,ICSE!A:A,ICSE!Z:Z,,0,1)</f>
        <v>Publicly available (1)</v>
      </c>
      <c r="F395" s="198" t="s">
        <v>20</v>
      </c>
      <c r="G395" s="163" t="str">
        <f t="array" ref="G395">IF(B395="ICSE",IF(COUNTIFS(B:B,B395,C:C,C395)=XLOOKUP(C395,ICSE!A:A,ICSE!AA:AA,"ERROR",0,1),"OK","ERROR"),IF(B395="FSE",IF(COUNTIFS(B:B,B395,C:C,C395)=XLOOKUP(C395,FSE!A:A,FSE!AA:AA,"ERROR",0,1),"OK","ERROR")))</f>
        <v>OK</v>
      </c>
      <c r="H395" s="199">
        <f t="shared" ref="H395:O395" si="1978">countif($D395,"*"&amp;H$2&amp;"*")</f>
        <v>0</v>
      </c>
      <c r="I395" s="200">
        <f t="shared" si="1978"/>
        <v>0</v>
      </c>
      <c r="J395" s="200">
        <f t="shared" si="1978"/>
        <v>0</v>
      </c>
      <c r="K395" s="200">
        <f t="shared" si="1978"/>
        <v>0</v>
      </c>
      <c r="L395" s="200">
        <f t="shared" si="1978"/>
        <v>0</v>
      </c>
      <c r="M395" s="200">
        <f t="shared" si="1978"/>
        <v>0</v>
      </c>
      <c r="N395" s="200">
        <f t="shared" si="1978"/>
        <v>0</v>
      </c>
      <c r="O395" s="200">
        <f t="shared" si="1978"/>
        <v>0</v>
      </c>
      <c r="P395" s="200">
        <f t="shared" si="9"/>
        <v>1</v>
      </c>
      <c r="Q395" s="200">
        <f t="shared" ref="Q395:AC395" si="1979">countif($D395,"*"&amp;Q$2&amp;"*")</f>
        <v>0</v>
      </c>
      <c r="R395" s="200">
        <f t="shared" si="1979"/>
        <v>0</v>
      </c>
      <c r="S395" s="200">
        <f t="shared" si="1979"/>
        <v>0</v>
      </c>
      <c r="T395" s="200">
        <f t="shared" si="1979"/>
        <v>0</v>
      </c>
      <c r="U395" s="200">
        <f t="shared" si="1979"/>
        <v>0</v>
      </c>
      <c r="V395" s="200">
        <f t="shared" si="1979"/>
        <v>0</v>
      </c>
      <c r="W395" s="200">
        <f t="shared" si="1979"/>
        <v>0</v>
      </c>
      <c r="X395" s="200">
        <f t="shared" si="1979"/>
        <v>0</v>
      </c>
      <c r="Y395" s="200">
        <f t="shared" si="1979"/>
        <v>0</v>
      </c>
      <c r="Z395" s="200">
        <f t="shared" si="1979"/>
        <v>0</v>
      </c>
      <c r="AA395" s="200">
        <f t="shared" si="1979"/>
        <v>0</v>
      </c>
      <c r="AB395" s="200">
        <f t="shared" si="1979"/>
        <v>0</v>
      </c>
      <c r="AC395" s="200">
        <f t="shared" si="1979"/>
        <v>0</v>
      </c>
      <c r="AD395" s="200">
        <f t="shared" si="11"/>
        <v>0</v>
      </c>
      <c r="AE395" s="200">
        <f t="shared" ref="AE395:AG395" si="1980">countif($D395,"*"&amp;AE$2&amp;"*")</f>
        <v>0</v>
      </c>
      <c r="AF395" s="200">
        <f t="shared" si="1980"/>
        <v>0</v>
      </c>
      <c r="AG395" s="200">
        <f t="shared" si="1980"/>
        <v>0</v>
      </c>
      <c r="AH395" s="171">
        <f t="shared" si="13"/>
        <v>0</v>
      </c>
      <c r="AI395" s="200">
        <f t="shared" si="14"/>
        <v>0</v>
      </c>
      <c r="AJ395" s="200">
        <f t="shared" si="1840"/>
        <v>0</v>
      </c>
      <c r="AK395" s="201">
        <f t="shared" ref="AK395:AS395" si="1981">countif($D395,"*"&amp;AK$2&amp;"*")</f>
        <v>0</v>
      </c>
      <c r="AL395" s="201">
        <f t="shared" si="1981"/>
        <v>0</v>
      </c>
      <c r="AM395" s="201">
        <f t="shared" si="1981"/>
        <v>0</v>
      </c>
      <c r="AN395" s="201">
        <f t="shared" si="1981"/>
        <v>0</v>
      </c>
      <c r="AO395" s="201">
        <f t="shared" si="1981"/>
        <v>0</v>
      </c>
      <c r="AP395" s="201">
        <f t="shared" si="1981"/>
        <v>0</v>
      </c>
      <c r="AQ395" s="201">
        <f t="shared" si="1981"/>
        <v>0</v>
      </c>
      <c r="AR395" s="200">
        <f t="shared" si="1981"/>
        <v>0</v>
      </c>
      <c r="AS395" s="200">
        <f t="shared" si="1981"/>
        <v>0</v>
      </c>
      <c r="AT395" s="173">
        <v>0.0</v>
      </c>
      <c r="AU395" s="200">
        <f t="shared" ref="AU395:AX395" si="1982">countif($D395,"*"&amp;AU$2&amp;"*")</f>
        <v>0</v>
      </c>
      <c r="AV395" s="200">
        <f t="shared" si="1982"/>
        <v>1</v>
      </c>
      <c r="AW395" s="200">
        <f t="shared" si="1982"/>
        <v>0</v>
      </c>
      <c r="AX395" s="200">
        <f t="shared" si="1982"/>
        <v>0</v>
      </c>
      <c r="AY395" s="202">
        <v>0.0</v>
      </c>
      <c r="AZ395" s="200"/>
      <c r="BA395" s="171" t="str">
        <f t="shared" si="18"/>
        <v/>
      </c>
      <c r="BB395" s="171" t="str">
        <f t="shared" si="19"/>
        <v>Code</v>
      </c>
      <c r="BC395" s="171" t="str">
        <f t="shared" si="20"/>
        <v/>
      </c>
      <c r="BD395" s="171" t="str">
        <f t="shared" si="21"/>
        <v/>
      </c>
      <c r="BE395" s="171" t="str">
        <f t="shared" si="22"/>
        <v/>
      </c>
      <c r="BF395" s="171" t="str">
        <f t="shared" si="23"/>
        <v>Code</v>
      </c>
    </row>
    <row r="396">
      <c r="A396" s="171">
        <f t="array" ref="A396">XLOOKUP(C396,ICSE!A:A,ICSE!C:C,,2,1)</f>
        <v>2020</v>
      </c>
      <c r="B396" s="171" t="s">
        <v>5675</v>
      </c>
      <c r="C396" s="160">
        <v>738.0</v>
      </c>
      <c r="D396" s="161" t="s">
        <v>5868</v>
      </c>
      <c r="E396" s="197" t="str">
        <f t="array" ref="E396">XLOOKUP(C396,ICSE!A:A,ICSE!Z:Z,,0,1)</f>
        <v>Publicly available (5)</v>
      </c>
      <c r="F396" s="198" t="s">
        <v>20</v>
      </c>
      <c r="G396" s="163" t="str">
        <f t="array" ref="G396">IF(B396="ICSE",IF(COUNTIFS(B:B,B396,C:C,C396)=XLOOKUP(C396,ICSE!A:A,ICSE!AA:AA,"ERROR",0,1),"OK","ERROR"),IF(B396="FSE",IF(COUNTIFS(B:B,B396,C:C,C396)=XLOOKUP(C396,FSE!A:A,FSE!AA:AA,"ERROR",0,1),"OK","ERROR")))</f>
        <v>OK</v>
      </c>
      <c r="H396" s="199">
        <f t="shared" ref="H396:O396" si="1983">countif($D396,"*"&amp;H$2&amp;"*")</f>
        <v>0</v>
      </c>
      <c r="I396" s="200">
        <f t="shared" si="1983"/>
        <v>0</v>
      </c>
      <c r="J396" s="200">
        <f t="shared" si="1983"/>
        <v>0</v>
      </c>
      <c r="K396" s="200">
        <f t="shared" si="1983"/>
        <v>0</v>
      </c>
      <c r="L396" s="200">
        <f t="shared" si="1983"/>
        <v>0</v>
      </c>
      <c r="M396" s="200">
        <f t="shared" si="1983"/>
        <v>0</v>
      </c>
      <c r="N396" s="200">
        <f t="shared" si="1983"/>
        <v>0</v>
      </c>
      <c r="O396" s="200">
        <f t="shared" si="1983"/>
        <v>0</v>
      </c>
      <c r="P396" s="200">
        <f t="shared" si="9"/>
        <v>1</v>
      </c>
      <c r="Q396" s="200">
        <f t="shared" ref="Q396:AC396" si="1984">countif($D396,"*"&amp;Q$2&amp;"*")</f>
        <v>0</v>
      </c>
      <c r="R396" s="200">
        <f t="shared" si="1984"/>
        <v>0</v>
      </c>
      <c r="S396" s="200">
        <f t="shared" si="1984"/>
        <v>0</v>
      </c>
      <c r="T396" s="200">
        <f t="shared" si="1984"/>
        <v>0</v>
      </c>
      <c r="U396" s="200">
        <f t="shared" si="1984"/>
        <v>0</v>
      </c>
      <c r="V396" s="200">
        <f t="shared" si="1984"/>
        <v>0</v>
      </c>
      <c r="W396" s="200">
        <f t="shared" si="1984"/>
        <v>0</v>
      </c>
      <c r="X396" s="200">
        <f t="shared" si="1984"/>
        <v>0</v>
      </c>
      <c r="Y396" s="200">
        <f t="shared" si="1984"/>
        <v>0</v>
      </c>
      <c r="Z396" s="200">
        <f t="shared" si="1984"/>
        <v>0</v>
      </c>
      <c r="AA396" s="200">
        <f t="shared" si="1984"/>
        <v>0</v>
      </c>
      <c r="AB396" s="200">
        <f t="shared" si="1984"/>
        <v>0</v>
      </c>
      <c r="AC396" s="200">
        <f t="shared" si="1984"/>
        <v>0</v>
      </c>
      <c r="AD396" s="200">
        <f t="shared" si="11"/>
        <v>0</v>
      </c>
      <c r="AE396" s="200">
        <f t="shared" ref="AE396:AG396" si="1985">countif($D396,"*"&amp;AE$2&amp;"*")</f>
        <v>0</v>
      </c>
      <c r="AF396" s="200">
        <f t="shared" si="1985"/>
        <v>0</v>
      </c>
      <c r="AG396" s="200">
        <f t="shared" si="1985"/>
        <v>0</v>
      </c>
      <c r="AH396" s="171">
        <f t="shared" si="13"/>
        <v>0</v>
      </c>
      <c r="AI396" s="200">
        <f t="shared" si="14"/>
        <v>0</v>
      </c>
      <c r="AJ396" s="200">
        <f t="shared" si="1840"/>
        <v>0</v>
      </c>
      <c r="AK396" s="201">
        <f t="shared" ref="AK396:AS396" si="1986">countif($D396,"*"&amp;AK$2&amp;"*")</f>
        <v>0</v>
      </c>
      <c r="AL396" s="201">
        <f t="shared" si="1986"/>
        <v>0</v>
      </c>
      <c r="AM396" s="201">
        <f t="shared" si="1986"/>
        <v>0</v>
      </c>
      <c r="AN396" s="201">
        <f t="shared" si="1986"/>
        <v>0</v>
      </c>
      <c r="AO396" s="201">
        <f t="shared" si="1986"/>
        <v>0</v>
      </c>
      <c r="AP396" s="201">
        <f t="shared" si="1986"/>
        <v>0</v>
      </c>
      <c r="AQ396" s="201">
        <f t="shared" si="1986"/>
        <v>0</v>
      </c>
      <c r="AR396" s="200">
        <f t="shared" si="1986"/>
        <v>0</v>
      </c>
      <c r="AS396" s="200">
        <f t="shared" si="1986"/>
        <v>0</v>
      </c>
      <c r="AT396" s="173">
        <v>0.0</v>
      </c>
      <c r="AU396" s="200">
        <f t="shared" ref="AU396:AX396" si="1987">countif($D396,"*"&amp;AU$2&amp;"*")</f>
        <v>0</v>
      </c>
      <c r="AV396" s="200">
        <f t="shared" si="1987"/>
        <v>1</v>
      </c>
      <c r="AW396" s="200">
        <f t="shared" si="1987"/>
        <v>0</v>
      </c>
      <c r="AX396" s="200">
        <f t="shared" si="1987"/>
        <v>0</v>
      </c>
      <c r="AY396" s="202">
        <v>0.0</v>
      </c>
      <c r="AZ396" s="200"/>
      <c r="BA396" s="171" t="str">
        <f t="shared" si="18"/>
        <v/>
      </c>
      <c r="BB396" s="171" t="str">
        <f t="shared" si="19"/>
        <v>Code</v>
      </c>
      <c r="BC396" s="171" t="str">
        <f t="shared" si="20"/>
        <v/>
      </c>
      <c r="BD396" s="171" t="str">
        <f t="shared" si="21"/>
        <v/>
      </c>
      <c r="BE396" s="171" t="str">
        <f t="shared" si="22"/>
        <v/>
      </c>
      <c r="BF396" s="171" t="str">
        <f t="shared" si="23"/>
        <v>Code</v>
      </c>
    </row>
    <row r="397">
      <c r="A397" s="171">
        <f t="array" ref="A397">XLOOKUP(C397,ICSE!A:A,ICSE!C:C,,2,1)</f>
        <v>2020</v>
      </c>
      <c r="B397" s="171" t="s">
        <v>5675</v>
      </c>
      <c r="C397" s="160">
        <v>738.0</v>
      </c>
      <c r="D397" s="161" t="s">
        <v>5869</v>
      </c>
      <c r="E397" s="197" t="str">
        <f t="array" ref="E397">XLOOKUP(C397,ICSE!A:A,ICSE!Z:Z,,0,1)</f>
        <v>Publicly available (5)</v>
      </c>
      <c r="F397" s="198" t="s">
        <v>20</v>
      </c>
      <c r="G397" s="163" t="str">
        <f t="array" ref="G397">IF(B397="ICSE",IF(COUNTIFS(B:B,B397,C:C,C397)=XLOOKUP(C397,ICSE!A:A,ICSE!AA:AA,"ERROR",0,1),"OK","ERROR"),IF(B397="FSE",IF(COUNTIFS(B:B,B397,C:C,C397)=XLOOKUP(C397,FSE!A:A,FSE!AA:AA,"ERROR",0,1),"OK","ERROR")))</f>
        <v>OK</v>
      </c>
      <c r="H397" s="199">
        <f t="shared" ref="H397:O397" si="1988">countif($D397,"*"&amp;H$2&amp;"*")</f>
        <v>0</v>
      </c>
      <c r="I397" s="200">
        <f t="shared" si="1988"/>
        <v>0</v>
      </c>
      <c r="J397" s="200">
        <f t="shared" si="1988"/>
        <v>0</v>
      </c>
      <c r="K397" s="200">
        <f t="shared" si="1988"/>
        <v>0</v>
      </c>
      <c r="L397" s="200">
        <f t="shared" si="1988"/>
        <v>0</v>
      </c>
      <c r="M397" s="200">
        <f t="shared" si="1988"/>
        <v>0</v>
      </c>
      <c r="N397" s="200">
        <f t="shared" si="1988"/>
        <v>0</v>
      </c>
      <c r="O397" s="200">
        <f t="shared" si="1988"/>
        <v>0</v>
      </c>
      <c r="P397" s="200">
        <f t="shared" si="9"/>
        <v>1</v>
      </c>
      <c r="Q397" s="200">
        <f t="shared" ref="Q397:AC397" si="1989">countif($D397,"*"&amp;Q$2&amp;"*")</f>
        <v>0</v>
      </c>
      <c r="R397" s="200">
        <f t="shared" si="1989"/>
        <v>0</v>
      </c>
      <c r="S397" s="200">
        <f t="shared" si="1989"/>
        <v>0</v>
      </c>
      <c r="T397" s="200">
        <f t="shared" si="1989"/>
        <v>0</v>
      </c>
      <c r="U397" s="200">
        <f t="shared" si="1989"/>
        <v>0</v>
      </c>
      <c r="V397" s="200">
        <f t="shared" si="1989"/>
        <v>0</v>
      </c>
      <c r="W397" s="200">
        <f t="shared" si="1989"/>
        <v>0</v>
      </c>
      <c r="X397" s="200">
        <f t="shared" si="1989"/>
        <v>0</v>
      </c>
      <c r="Y397" s="200">
        <f t="shared" si="1989"/>
        <v>0</v>
      </c>
      <c r="Z397" s="200">
        <f t="shared" si="1989"/>
        <v>0</v>
      </c>
      <c r="AA397" s="200">
        <f t="shared" si="1989"/>
        <v>0</v>
      </c>
      <c r="AB397" s="200">
        <f t="shared" si="1989"/>
        <v>0</v>
      </c>
      <c r="AC397" s="200">
        <f t="shared" si="1989"/>
        <v>0</v>
      </c>
      <c r="AD397" s="200">
        <f t="shared" si="11"/>
        <v>0</v>
      </c>
      <c r="AE397" s="200">
        <f t="shared" ref="AE397:AG397" si="1990">countif($D397,"*"&amp;AE$2&amp;"*")</f>
        <v>0</v>
      </c>
      <c r="AF397" s="200">
        <f t="shared" si="1990"/>
        <v>0</v>
      </c>
      <c r="AG397" s="200">
        <f t="shared" si="1990"/>
        <v>0</v>
      </c>
      <c r="AH397" s="171">
        <f t="shared" si="13"/>
        <v>0</v>
      </c>
      <c r="AI397" s="200">
        <f t="shared" si="14"/>
        <v>0</v>
      </c>
      <c r="AJ397" s="200">
        <f t="shared" si="1840"/>
        <v>0</v>
      </c>
      <c r="AK397" s="201">
        <f t="shared" ref="AK397:AS397" si="1991">countif($D397,"*"&amp;AK$2&amp;"*")</f>
        <v>0</v>
      </c>
      <c r="AL397" s="201">
        <f t="shared" si="1991"/>
        <v>0</v>
      </c>
      <c r="AM397" s="201">
        <f t="shared" si="1991"/>
        <v>0</v>
      </c>
      <c r="AN397" s="201">
        <f t="shared" si="1991"/>
        <v>0</v>
      </c>
      <c r="AO397" s="201">
        <f t="shared" si="1991"/>
        <v>0</v>
      </c>
      <c r="AP397" s="201">
        <f t="shared" si="1991"/>
        <v>0</v>
      </c>
      <c r="AQ397" s="201">
        <f t="shared" si="1991"/>
        <v>0</v>
      </c>
      <c r="AR397" s="200">
        <f t="shared" si="1991"/>
        <v>0</v>
      </c>
      <c r="AS397" s="200">
        <f t="shared" si="1991"/>
        <v>0</v>
      </c>
      <c r="AT397" s="173">
        <v>0.0</v>
      </c>
      <c r="AU397" s="200">
        <f t="shared" ref="AU397:AX397" si="1992">countif($D397,"*"&amp;AU$2&amp;"*")</f>
        <v>0</v>
      </c>
      <c r="AV397" s="200">
        <f t="shared" si="1992"/>
        <v>1</v>
      </c>
      <c r="AW397" s="200">
        <f t="shared" si="1992"/>
        <v>0</v>
      </c>
      <c r="AX397" s="200">
        <f t="shared" si="1992"/>
        <v>0</v>
      </c>
      <c r="AY397" s="202">
        <v>0.0</v>
      </c>
      <c r="AZ397" s="200"/>
      <c r="BA397" s="171" t="str">
        <f t="shared" si="18"/>
        <v/>
      </c>
      <c r="BB397" s="171" t="str">
        <f t="shared" si="19"/>
        <v>Code</v>
      </c>
      <c r="BC397" s="171" t="str">
        <f t="shared" si="20"/>
        <v/>
      </c>
      <c r="BD397" s="171" t="str">
        <f t="shared" si="21"/>
        <v/>
      </c>
      <c r="BE397" s="171" t="str">
        <f t="shared" si="22"/>
        <v/>
      </c>
      <c r="BF397" s="171" t="str">
        <f t="shared" si="23"/>
        <v>Code</v>
      </c>
    </row>
    <row r="398">
      <c r="A398" s="171">
        <f t="array" ref="A398">XLOOKUP(C398,ICSE!A:A,ICSE!C:C,,2,1)</f>
        <v>2020</v>
      </c>
      <c r="B398" s="171" t="s">
        <v>5675</v>
      </c>
      <c r="C398" s="160">
        <v>738.0</v>
      </c>
      <c r="D398" s="161" t="s">
        <v>5870</v>
      </c>
      <c r="E398" s="197" t="str">
        <f t="array" ref="E398">XLOOKUP(C398,ICSE!A:A,ICSE!Z:Z,,0,1)</f>
        <v>Publicly available (5)</v>
      </c>
      <c r="F398" s="198" t="s">
        <v>20</v>
      </c>
      <c r="G398" s="163" t="str">
        <f t="array" ref="G398">IF(B398="ICSE",IF(COUNTIFS(B:B,B398,C:C,C398)=XLOOKUP(C398,ICSE!A:A,ICSE!AA:AA,"ERROR",0,1),"OK","ERROR"),IF(B398="FSE",IF(COUNTIFS(B:B,B398,C:C,C398)=XLOOKUP(C398,FSE!A:A,FSE!AA:AA,"ERROR",0,1),"OK","ERROR")))</f>
        <v>OK</v>
      </c>
      <c r="H398" s="199">
        <f t="shared" ref="H398:O398" si="1993">countif($D398,"*"&amp;H$2&amp;"*")</f>
        <v>0</v>
      </c>
      <c r="I398" s="200">
        <f t="shared" si="1993"/>
        <v>0</v>
      </c>
      <c r="J398" s="200">
        <f t="shared" si="1993"/>
        <v>0</v>
      </c>
      <c r="K398" s="200">
        <f t="shared" si="1993"/>
        <v>0</v>
      </c>
      <c r="L398" s="200">
        <f t="shared" si="1993"/>
        <v>0</v>
      </c>
      <c r="M398" s="200">
        <f t="shared" si="1993"/>
        <v>0</v>
      </c>
      <c r="N398" s="200">
        <f t="shared" si="1993"/>
        <v>0</v>
      </c>
      <c r="O398" s="200">
        <f t="shared" si="1993"/>
        <v>0</v>
      </c>
      <c r="P398" s="200">
        <f t="shared" si="9"/>
        <v>1</v>
      </c>
      <c r="Q398" s="200">
        <f t="shared" ref="Q398:AC398" si="1994">countif($D398,"*"&amp;Q$2&amp;"*")</f>
        <v>0</v>
      </c>
      <c r="R398" s="200">
        <f t="shared" si="1994"/>
        <v>0</v>
      </c>
      <c r="S398" s="200">
        <f t="shared" si="1994"/>
        <v>0</v>
      </c>
      <c r="T398" s="200">
        <f t="shared" si="1994"/>
        <v>0</v>
      </c>
      <c r="U398" s="200">
        <f t="shared" si="1994"/>
        <v>0</v>
      </c>
      <c r="V398" s="200">
        <f t="shared" si="1994"/>
        <v>0</v>
      </c>
      <c r="W398" s="200">
        <f t="shared" si="1994"/>
        <v>0</v>
      </c>
      <c r="X398" s="200">
        <f t="shared" si="1994"/>
        <v>0</v>
      </c>
      <c r="Y398" s="200">
        <f t="shared" si="1994"/>
        <v>0</v>
      </c>
      <c r="Z398" s="200">
        <f t="shared" si="1994"/>
        <v>0</v>
      </c>
      <c r="AA398" s="200">
        <f t="shared" si="1994"/>
        <v>0</v>
      </c>
      <c r="AB398" s="200">
        <f t="shared" si="1994"/>
        <v>0</v>
      </c>
      <c r="AC398" s="200">
        <f t="shared" si="1994"/>
        <v>0</v>
      </c>
      <c r="AD398" s="200">
        <f t="shared" si="11"/>
        <v>0</v>
      </c>
      <c r="AE398" s="200">
        <f t="shared" ref="AE398:AG398" si="1995">countif($D398,"*"&amp;AE$2&amp;"*")</f>
        <v>0</v>
      </c>
      <c r="AF398" s="200">
        <f t="shared" si="1995"/>
        <v>0</v>
      </c>
      <c r="AG398" s="200">
        <f t="shared" si="1995"/>
        <v>0</v>
      </c>
      <c r="AH398" s="171">
        <f t="shared" si="13"/>
        <v>0</v>
      </c>
      <c r="AI398" s="200">
        <f t="shared" si="14"/>
        <v>0</v>
      </c>
      <c r="AJ398" s="200">
        <f t="shared" si="1840"/>
        <v>0</v>
      </c>
      <c r="AK398" s="201">
        <f t="shared" ref="AK398:AS398" si="1996">countif($D398,"*"&amp;AK$2&amp;"*")</f>
        <v>0</v>
      </c>
      <c r="AL398" s="201">
        <f t="shared" si="1996"/>
        <v>0</v>
      </c>
      <c r="AM398" s="201">
        <f t="shared" si="1996"/>
        <v>0</v>
      </c>
      <c r="AN398" s="201">
        <f t="shared" si="1996"/>
        <v>0</v>
      </c>
      <c r="AO398" s="201">
        <f t="shared" si="1996"/>
        <v>0</v>
      </c>
      <c r="AP398" s="201">
        <f t="shared" si="1996"/>
        <v>0</v>
      </c>
      <c r="AQ398" s="201">
        <f t="shared" si="1996"/>
        <v>0</v>
      </c>
      <c r="AR398" s="200">
        <f t="shared" si="1996"/>
        <v>0</v>
      </c>
      <c r="AS398" s="200">
        <f t="shared" si="1996"/>
        <v>0</v>
      </c>
      <c r="AT398" s="173">
        <v>0.0</v>
      </c>
      <c r="AU398" s="200">
        <f t="shared" ref="AU398:AX398" si="1997">countif($D398,"*"&amp;AU$2&amp;"*")</f>
        <v>0</v>
      </c>
      <c r="AV398" s="200">
        <f t="shared" si="1997"/>
        <v>1</v>
      </c>
      <c r="AW398" s="200">
        <f t="shared" si="1997"/>
        <v>0</v>
      </c>
      <c r="AX398" s="200">
        <f t="shared" si="1997"/>
        <v>0</v>
      </c>
      <c r="AY398" s="202">
        <v>0.0</v>
      </c>
      <c r="AZ398" s="200"/>
      <c r="BA398" s="171" t="str">
        <f t="shared" si="18"/>
        <v/>
      </c>
      <c r="BB398" s="171" t="str">
        <f t="shared" si="19"/>
        <v>Code</v>
      </c>
      <c r="BC398" s="171" t="str">
        <f t="shared" si="20"/>
        <v/>
      </c>
      <c r="BD398" s="171" t="str">
        <f t="shared" si="21"/>
        <v/>
      </c>
      <c r="BE398" s="171" t="str">
        <f t="shared" si="22"/>
        <v/>
      </c>
      <c r="BF398" s="171" t="str">
        <f t="shared" si="23"/>
        <v>Code</v>
      </c>
    </row>
    <row r="399">
      <c r="A399" s="171">
        <f t="array" ref="A399">XLOOKUP(C399,ICSE!A:A,ICSE!C:C,,2,1)</f>
        <v>2020</v>
      </c>
      <c r="B399" s="171" t="s">
        <v>5675</v>
      </c>
      <c r="C399" s="160">
        <v>738.0</v>
      </c>
      <c r="D399" s="161" t="s">
        <v>5871</v>
      </c>
      <c r="E399" s="197" t="str">
        <f t="array" ref="E399">XLOOKUP(C399,ICSE!A:A,ICSE!Z:Z,,0,1)</f>
        <v>Publicly available (5)</v>
      </c>
      <c r="F399" s="198" t="s">
        <v>20</v>
      </c>
      <c r="G399" s="163" t="str">
        <f t="array" ref="G399">IF(B399="ICSE",IF(COUNTIFS(B:B,B399,C:C,C399)=XLOOKUP(C399,ICSE!A:A,ICSE!AA:AA,"ERROR",0,1),"OK","ERROR"),IF(B399="FSE",IF(COUNTIFS(B:B,B399,C:C,C399)=XLOOKUP(C399,FSE!A:A,FSE!AA:AA,"ERROR",0,1),"OK","ERROR")))</f>
        <v>OK</v>
      </c>
      <c r="H399" s="199">
        <f t="shared" ref="H399:O399" si="1998">countif($D399,"*"&amp;H$2&amp;"*")</f>
        <v>0</v>
      </c>
      <c r="I399" s="200">
        <f t="shared" si="1998"/>
        <v>0</v>
      </c>
      <c r="J399" s="200">
        <f t="shared" si="1998"/>
        <v>0</v>
      </c>
      <c r="K399" s="200">
        <f t="shared" si="1998"/>
        <v>0</v>
      </c>
      <c r="L399" s="200">
        <f t="shared" si="1998"/>
        <v>0</v>
      </c>
      <c r="M399" s="200">
        <f t="shared" si="1998"/>
        <v>0</v>
      </c>
      <c r="N399" s="200">
        <f t="shared" si="1998"/>
        <v>0</v>
      </c>
      <c r="O399" s="200">
        <f t="shared" si="1998"/>
        <v>0</v>
      </c>
      <c r="P399" s="200">
        <f t="shared" si="9"/>
        <v>1</v>
      </c>
      <c r="Q399" s="200">
        <f t="shared" ref="Q399:AC399" si="1999">countif($D399,"*"&amp;Q$2&amp;"*")</f>
        <v>0</v>
      </c>
      <c r="R399" s="200">
        <f t="shared" si="1999"/>
        <v>0</v>
      </c>
      <c r="S399" s="200">
        <f t="shared" si="1999"/>
        <v>0</v>
      </c>
      <c r="T399" s="200">
        <f t="shared" si="1999"/>
        <v>0</v>
      </c>
      <c r="U399" s="200">
        <f t="shared" si="1999"/>
        <v>0</v>
      </c>
      <c r="V399" s="200">
        <f t="shared" si="1999"/>
        <v>0</v>
      </c>
      <c r="W399" s="200">
        <f t="shared" si="1999"/>
        <v>0</v>
      </c>
      <c r="X399" s="200">
        <f t="shared" si="1999"/>
        <v>0</v>
      </c>
      <c r="Y399" s="200">
        <f t="shared" si="1999"/>
        <v>0</v>
      </c>
      <c r="Z399" s="200">
        <f t="shared" si="1999"/>
        <v>0</v>
      </c>
      <c r="AA399" s="200">
        <f t="shared" si="1999"/>
        <v>0</v>
      </c>
      <c r="AB399" s="200">
        <f t="shared" si="1999"/>
        <v>0</v>
      </c>
      <c r="AC399" s="200">
        <f t="shared" si="1999"/>
        <v>0</v>
      </c>
      <c r="AD399" s="200">
        <f t="shared" si="11"/>
        <v>0</v>
      </c>
      <c r="AE399" s="200">
        <f t="shared" ref="AE399:AG399" si="2000">countif($D399,"*"&amp;AE$2&amp;"*")</f>
        <v>0</v>
      </c>
      <c r="AF399" s="200">
        <f t="shared" si="2000"/>
        <v>0</v>
      </c>
      <c r="AG399" s="200">
        <f t="shared" si="2000"/>
        <v>0</v>
      </c>
      <c r="AH399" s="171">
        <f t="shared" si="13"/>
        <v>0</v>
      </c>
      <c r="AI399" s="200">
        <f t="shared" si="14"/>
        <v>0</v>
      </c>
      <c r="AJ399" s="200">
        <f t="shared" si="1840"/>
        <v>0</v>
      </c>
      <c r="AK399" s="201">
        <f t="shared" ref="AK399:AS399" si="2001">countif($D399,"*"&amp;AK$2&amp;"*")</f>
        <v>0</v>
      </c>
      <c r="AL399" s="201">
        <f t="shared" si="2001"/>
        <v>0</v>
      </c>
      <c r="AM399" s="201">
        <f t="shared" si="2001"/>
        <v>0</v>
      </c>
      <c r="AN399" s="201">
        <f t="shared" si="2001"/>
        <v>0</v>
      </c>
      <c r="AO399" s="201">
        <f t="shared" si="2001"/>
        <v>0</v>
      </c>
      <c r="AP399" s="201">
        <f t="shared" si="2001"/>
        <v>0</v>
      </c>
      <c r="AQ399" s="201">
        <f t="shared" si="2001"/>
        <v>0</v>
      </c>
      <c r="AR399" s="200">
        <f t="shared" si="2001"/>
        <v>0</v>
      </c>
      <c r="AS399" s="200">
        <f t="shared" si="2001"/>
        <v>0</v>
      </c>
      <c r="AT399" s="173">
        <v>0.0</v>
      </c>
      <c r="AU399" s="200">
        <f t="shared" ref="AU399:AX399" si="2002">countif($D399,"*"&amp;AU$2&amp;"*")</f>
        <v>0</v>
      </c>
      <c r="AV399" s="200">
        <f t="shared" si="2002"/>
        <v>1</v>
      </c>
      <c r="AW399" s="200">
        <f t="shared" si="2002"/>
        <v>0</v>
      </c>
      <c r="AX399" s="200">
        <f t="shared" si="2002"/>
        <v>0</v>
      </c>
      <c r="AY399" s="202">
        <v>0.0</v>
      </c>
      <c r="AZ399" s="200"/>
      <c r="BA399" s="171" t="str">
        <f t="shared" si="18"/>
        <v/>
      </c>
      <c r="BB399" s="171" t="str">
        <f t="shared" si="19"/>
        <v>Code</v>
      </c>
      <c r="BC399" s="171" t="str">
        <f t="shared" si="20"/>
        <v/>
      </c>
      <c r="BD399" s="171" t="str">
        <f t="shared" si="21"/>
        <v/>
      </c>
      <c r="BE399" s="171" t="str">
        <f t="shared" si="22"/>
        <v/>
      </c>
      <c r="BF399" s="171" t="str">
        <f t="shared" si="23"/>
        <v>Code</v>
      </c>
    </row>
    <row r="400">
      <c r="A400" s="171">
        <f t="array" ref="A400">XLOOKUP(C400,ICSE!A:A,ICSE!C:C,,2,1)</f>
        <v>2020</v>
      </c>
      <c r="B400" s="171" t="s">
        <v>5675</v>
      </c>
      <c r="C400" s="160">
        <v>738.0</v>
      </c>
      <c r="D400" s="161" t="s">
        <v>5872</v>
      </c>
      <c r="E400" s="197" t="str">
        <f t="array" ref="E400">XLOOKUP(C400,ICSE!A:A,ICSE!Z:Z,,0,1)</f>
        <v>Publicly available (5)</v>
      </c>
      <c r="F400" s="198" t="s">
        <v>20</v>
      </c>
      <c r="G400" s="163" t="str">
        <f t="array" ref="G400">IF(B400="ICSE",IF(COUNTIFS(B:B,B400,C:C,C400)=XLOOKUP(C400,ICSE!A:A,ICSE!AA:AA,"ERROR",0,1),"OK","ERROR"),IF(B400="FSE",IF(COUNTIFS(B:B,B400,C:C,C400)=XLOOKUP(C400,FSE!A:A,FSE!AA:AA,"ERROR",0,1),"OK","ERROR")))</f>
        <v>OK</v>
      </c>
      <c r="H400" s="199">
        <f t="shared" ref="H400:O400" si="2003">countif($D400,"*"&amp;H$2&amp;"*")</f>
        <v>0</v>
      </c>
      <c r="I400" s="200">
        <f t="shared" si="2003"/>
        <v>0</v>
      </c>
      <c r="J400" s="200">
        <f t="shared" si="2003"/>
        <v>0</v>
      </c>
      <c r="K400" s="200">
        <f t="shared" si="2003"/>
        <v>0</v>
      </c>
      <c r="L400" s="200">
        <f t="shared" si="2003"/>
        <v>0</v>
      </c>
      <c r="M400" s="200">
        <f t="shared" si="2003"/>
        <v>0</v>
      </c>
      <c r="N400" s="200">
        <f t="shared" si="2003"/>
        <v>0</v>
      </c>
      <c r="O400" s="200">
        <f t="shared" si="2003"/>
        <v>0</v>
      </c>
      <c r="P400" s="200">
        <f t="shared" si="9"/>
        <v>0</v>
      </c>
      <c r="Q400" s="200">
        <f t="shared" ref="Q400:AC400" si="2004">countif($D400,"*"&amp;Q$2&amp;"*")</f>
        <v>0</v>
      </c>
      <c r="R400" s="200">
        <f t="shared" si="2004"/>
        <v>0</v>
      </c>
      <c r="S400" s="200">
        <f t="shared" si="2004"/>
        <v>0</v>
      </c>
      <c r="T400" s="200">
        <f t="shared" si="2004"/>
        <v>0</v>
      </c>
      <c r="U400" s="200">
        <f t="shared" si="2004"/>
        <v>0</v>
      </c>
      <c r="V400" s="200">
        <f t="shared" si="2004"/>
        <v>0</v>
      </c>
      <c r="W400" s="200">
        <f t="shared" si="2004"/>
        <v>0</v>
      </c>
      <c r="X400" s="200">
        <f t="shared" si="2004"/>
        <v>0</v>
      </c>
      <c r="Y400" s="200">
        <f t="shared" si="2004"/>
        <v>1</v>
      </c>
      <c r="Z400" s="200">
        <f t="shared" si="2004"/>
        <v>0</v>
      </c>
      <c r="AA400" s="200">
        <f t="shared" si="2004"/>
        <v>0</v>
      </c>
      <c r="AB400" s="200">
        <f t="shared" si="2004"/>
        <v>0</v>
      </c>
      <c r="AC400" s="200">
        <f t="shared" si="2004"/>
        <v>0</v>
      </c>
      <c r="AD400" s="200">
        <f t="shared" si="11"/>
        <v>0</v>
      </c>
      <c r="AE400" s="200">
        <f t="shared" ref="AE400:AG400" si="2005">countif($D400,"*"&amp;AE$2&amp;"*")</f>
        <v>0</v>
      </c>
      <c r="AF400" s="200">
        <f t="shared" si="2005"/>
        <v>0</v>
      </c>
      <c r="AG400" s="200">
        <f t="shared" si="2005"/>
        <v>0</v>
      </c>
      <c r="AH400" s="171">
        <f t="shared" si="13"/>
        <v>0</v>
      </c>
      <c r="AI400" s="200">
        <f t="shared" si="14"/>
        <v>0</v>
      </c>
      <c r="AJ400" s="200">
        <f t="shared" si="1840"/>
        <v>0</v>
      </c>
      <c r="AK400" s="201">
        <f t="shared" ref="AK400:AS400" si="2006">countif($D400,"*"&amp;AK$2&amp;"*")</f>
        <v>0</v>
      </c>
      <c r="AL400" s="201">
        <f t="shared" si="2006"/>
        <v>0</v>
      </c>
      <c r="AM400" s="201">
        <f t="shared" si="2006"/>
        <v>0</v>
      </c>
      <c r="AN400" s="201">
        <f t="shared" si="2006"/>
        <v>0</v>
      </c>
      <c r="AO400" s="201">
        <f t="shared" si="2006"/>
        <v>0</v>
      </c>
      <c r="AP400" s="201">
        <f t="shared" si="2006"/>
        <v>0</v>
      </c>
      <c r="AQ400" s="201">
        <f t="shared" si="2006"/>
        <v>0</v>
      </c>
      <c r="AR400" s="200">
        <f t="shared" si="2006"/>
        <v>0</v>
      </c>
      <c r="AS400" s="200">
        <f t="shared" si="2006"/>
        <v>0</v>
      </c>
      <c r="AT400" s="173">
        <v>0.0</v>
      </c>
      <c r="AU400" s="200">
        <f t="shared" ref="AU400:AX400" si="2007">countif($D400,"*"&amp;AU$2&amp;"*")</f>
        <v>0</v>
      </c>
      <c r="AV400" s="200">
        <f t="shared" si="2007"/>
        <v>0</v>
      </c>
      <c r="AW400" s="200">
        <f t="shared" si="2007"/>
        <v>0</v>
      </c>
      <c r="AX400" s="200">
        <f t="shared" si="2007"/>
        <v>0</v>
      </c>
      <c r="AY400" s="202">
        <v>0.0</v>
      </c>
      <c r="AZ400" s="200"/>
      <c r="BA400" s="171" t="str">
        <f t="shared" si="18"/>
        <v/>
      </c>
      <c r="BB400" s="171" t="str">
        <f t="shared" si="19"/>
        <v/>
      </c>
      <c r="BC400" s="171" t="str">
        <f t="shared" si="20"/>
        <v>General-purpose</v>
      </c>
      <c r="BD400" s="171" t="str">
        <f t="shared" si="21"/>
        <v/>
      </c>
      <c r="BE400" s="171" t="str">
        <f t="shared" si="22"/>
        <v/>
      </c>
      <c r="BF400" s="171" t="str">
        <f t="shared" si="23"/>
        <v>General-purpose</v>
      </c>
    </row>
    <row r="401">
      <c r="A401" s="171">
        <f t="array" ref="A401">XLOOKUP(C401,ICSE!A:A,ICSE!C:C,,2,1)</f>
        <v>2020</v>
      </c>
      <c r="B401" s="171" t="s">
        <v>5675</v>
      </c>
      <c r="C401" s="160">
        <v>739.0</v>
      </c>
      <c r="D401" s="161" t="s">
        <v>1610</v>
      </c>
      <c r="E401" s="197" t="str">
        <f t="array" ref="E401">XLOOKUP(C401,ICSE!A:A,ICSE!Z:Z,,0,1)</f>
        <v>Publicly available (1)</v>
      </c>
      <c r="F401" s="198" t="s">
        <v>20</v>
      </c>
      <c r="G401" s="163" t="str">
        <f t="array" ref="G401">IF(B401="ICSE",IF(COUNTIFS(B:B,B401,C:C,C401)=XLOOKUP(C401,ICSE!A:A,ICSE!AA:AA,"ERROR",0,1),"OK","ERROR"),IF(B401="FSE",IF(COUNTIFS(B:B,B401,C:C,C401)=XLOOKUP(C401,FSE!A:A,FSE!AA:AA,"ERROR",0,1),"OK","ERROR")))</f>
        <v>OK</v>
      </c>
      <c r="H401" s="199">
        <f t="shared" ref="H401:O401" si="2008">countif($D401,"*"&amp;H$2&amp;"*")</f>
        <v>0</v>
      </c>
      <c r="I401" s="200">
        <f t="shared" si="2008"/>
        <v>0</v>
      </c>
      <c r="J401" s="200">
        <f t="shared" si="2008"/>
        <v>0</v>
      </c>
      <c r="K401" s="200">
        <f t="shared" si="2008"/>
        <v>0</v>
      </c>
      <c r="L401" s="200">
        <f t="shared" si="2008"/>
        <v>0</v>
      </c>
      <c r="M401" s="200">
        <f t="shared" si="2008"/>
        <v>0</v>
      </c>
      <c r="N401" s="200">
        <f t="shared" si="2008"/>
        <v>0</v>
      </c>
      <c r="O401" s="200">
        <f t="shared" si="2008"/>
        <v>0</v>
      </c>
      <c r="P401" s="200">
        <f t="shared" si="9"/>
        <v>1</v>
      </c>
      <c r="Q401" s="200">
        <f t="shared" ref="Q401:AC401" si="2009">countif($D401,"*"&amp;Q$2&amp;"*")</f>
        <v>0</v>
      </c>
      <c r="R401" s="200">
        <f t="shared" si="2009"/>
        <v>0</v>
      </c>
      <c r="S401" s="200">
        <f t="shared" si="2009"/>
        <v>0</v>
      </c>
      <c r="T401" s="200">
        <f t="shared" si="2009"/>
        <v>0</v>
      </c>
      <c r="U401" s="200">
        <f t="shared" si="2009"/>
        <v>0</v>
      </c>
      <c r="V401" s="200">
        <f t="shared" si="2009"/>
        <v>0</v>
      </c>
      <c r="W401" s="200">
        <f t="shared" si="2009"/>
        <v>0</v>
      </c>
      <c r="X401" s="200">
        <f t="shared" si="2009"/>
        <v>0</v>
      </c>
      <c r="Y401" s="200">
        <f t="shared" si="2009"/>
        <v>0</v>
      </c>
      <c r="Z401" s="200">
        <f t="shared" si="2009"/>
        <v>0</v>
      </c>
      <c r="AA401" s="200">
        <f t="shared" si="2009"/>
        <v>0</v>
      </c>
      <c r="AB401" s="200">
        <f t="shared" si="2009"/>
        <v>0</v>
      </c>
      <c r="AC401" s="200">
        <f t="shared" si="2009"/>
        <v>0</v>
      </c>
      <c r="AD401" s="200">
        <f t="shared" si="11"/>
        <v>0</v>
      </c>
      <c r="AE401" s="200">
        <f t="shared" ref="AE401:AG401" si="2010">countif($D401,"*"&amp;AE$2&amp;"*")</f>
        <v>0</v>
      </c>
      <c r="AF401" s="200">
        <f t="shared" si="2010"/>
        <v>0</v>
      </c>
      <c r="AG401" s="200">
        <f t="shared" si="2010"/>
        <v>0</v>
      </c>
      <c r="AH401" s="171">
        <f t="shared" si="13"/>
        <v>0</v>
      </c>
      <c r="AI401" s="200">
        <f t="shared" si="14"/>
        <v>0</v>
      </c>
      <c r="AJ401" s="200">
        <f t="shared" si="1840"/>
        <v>0</v>
      </c>
      <c r="AK401" s="201">
        <f t="shared" ref="AK401:AS401" si="2011">countif($D401,"*"&amp;AK$2&amp;"*")</f>
        <v>0</v>
      </c>
      <c r="AL401" s="201">
        <f t="shared" si="2011"/>
        <v>0</v>
      </c>
      <c r="AM401" s="201">
        <f t="shared" si="2011"/>
        <v>0</v>
      </c>
      <c r="AN401" s="201">
        <f t="shared" si="2011"/>
        <v>0</v>
      </c>
      <c r="AO401" s="201">
        <f t="shared" si="2011"/>
        <v>0</v>
      </c>
      <c r="AP401" s="201">
        <f t="shared" si="2011"/>
        <v>0</v>
      </c>
      <c r="AQ401" s="201">
        <f t="shared" si="2011"/>
        <v>0</v>
      </c>
      <c r="AR401" s="200">
        <f t="shared" si="2011"/>
        <v>0</v>
      </c>
      <c r="AS401" s="200">
        <f t="shared" si="2011"/>
        <v>0</v>
      </c>
      <c r="AT401" s="173">
        <v>0.0</v>
      </c>
      <c r="AU401" s="200">
        <f t="shared" ref="AU401:AX401" si="2012">countif($D401,"*"&amp;AU$2&amp;"*")</f>
        <v>0</v>
      </c>
      <c r="AV401" s="200">
        <f t="shared" si="2012"/>
        <v>1</v>
      </c>
      <c r="AW401" s="200">
        <f t="shared" si="2012"/>
        <v>0</v>
      </c>
      <c r="AX401" s="200">
        <f t="shared" si="2012"/>
        <v>0</v>
      </c>
      <c r="AY401" s="202">
        <v>0.0</v>
      </c>
      <c r="AZ401" s="200"/>
      <c r="BA401" s="171" t="str">
        <f t="shared" si="18"/>
        <v/>
      </c>
      <c r="BB401" s="171" t="str">
        <f t="shared" si="19"/>
        <v>Code</v>
      </c>
      <c r="BC401" s="171" t="str">
        <f t="shared" si="20"/>
        <v/>
      </c>
      <c r="BD401" s="171" t="str">
        <f t="shared" si="21"/>
        <v/>
      </c>
      <c r="BE401" s="171" t="str">
        <f t="shared" si="22"/>
        <v/>
      </c>
      <c r="BF401" s="171" t="str">
        <f t="shared" si="23"/>
        <v>Code</v>
      </c>
    </row>
    <row r="402">
      <c r="A402" s="171">
        <f t="array" ref="A402">XLOOKUP(C402,ICSE!A:A,ICSE!C:C,,2,1)</f>
        <v>2020</v>
      </c>
      <c r="B402" s="171" t="s">
        <v>5675</v>
      </c>
      <c r="C402" s="160">
        <v>740.0</v>
      </c>
      <c r="D402" s="161" t="s">
        <v>1613</v>
      </c>
      <c r="E402" s="197" t="str">
        <f t="array" ref="E402">XLOOKUP(C402,ICSE!A:A,ICSE!Z:Z,,0,1)</f>
        <v>Publicly available (1)</v>
      </c>
      <c r="F402" s="198" t="s">
        <v>20</v>
      </c>
      <c r="G402" s="163" t="str">
        <f t="array" ref="G402">IF(B402="ICSE",IF(COUNTIFS(B:B,B402,C:C,C402)=XLOOKUP(C402,ICSE!A:A,ICSE!AA:AA,"ERROR",0,1),"OK","ERROR"),IF(B402="FSE",IF(COUNTIFS(B:B,B402,C:C,C402)=XLOOKUP(C402,FSE!A:A,FSE!AA:AA,"ERROR",0,1),"OK","ERROR")))</f>
        <v>OK</v>
      </c>
      <c r="H402" s="199">
        <f t="shared" ref="H402:O402" si="2013">countif($D402,"*"&amp;H$2&amp;"*")</f>
        <v>0</v>
      </c>
      <c r="I402" s="200">
        <f t="shared" si="2013"/>
        <v>0</v>
      </c>
      <c r="J402" s="200">
        <f t="shared" si="2013"/>
        <v>0</v>
      </c>
      <c r="K402" s="200">
        <f t="shared" si="2013"/>
        <v>0</v>
      </c>
      <c r="L402" s="200">
        <f t="shared" si="2013"/>
        <v>0</v>
      </c>
      <c r="M402" s="200">
        <f t="shared" si="2013"/>
        <v>0</v>
      </c>
      <c r="N402" s="200">
        <f t="shared" si="2013"/>
        <v>0</v>
      </c>
      <c r="O402" s="200">
        <f t="shared" si="2013"/>
        <v>0</v>
      </c>
      <c r="P402" s="200">
        <f t="shared" si="9"/>
        <v>0</v>
      </c>
      <c r="Q402" s="200">
        <f t="shared" ref="Q402:AC402" si="2014">countif($D402,"*"&amp;Q$2&amp;"*")</f>
        <v>0</v>
      </c>
      <c r="R402" s="200">
        <f t="shared" si="2014"/>
        <v>0</v>
      </c>
      <c r="S402" s="200">
        <f t="shared" si="2014"/>
        <v>0</v>
      </c>
      <c r="T402" s="200">
        <f t="shared" si="2014"/>
        <v>0</v>
      </c>
      <c r="U402" s="200">
        <f t="shared" si="2014"/>
        <v>0</v>
      </c>
      <c r="V402" s="200">
        <f t="shared" si="2014"/>
        <v>0</v>
      </c>
      <c r="W402" s="200">
        <f t="shared" si="2014"/>
        <v>0</v>
      </c>
      <c r="X402" s="200">
        <f t="shared" si="2014"/>
        <v>0</v>
      </c>
      <c r="Y402" s="200">
        <f t="shared" si="2014"/>
        <v>0</v>
      </c>
      <c r="Z402" s="200">
        <f t="shared" si="2014"/>
        <v>0</v>
      </c>
      <c r="AA402" s="200">
        <f t="shared" si="2014"/>
        <v>0</v>
      </c>
      <c r="AB402" s="200">
        <f t="shared" si="2014"/>
        <v>0</v>
      </c>
      <c r="AC402" s="200">
        <f t="shared" si="2014"/>
        <v>0</v>
      </c>
      <c r="AD402" s="200">
        <f t="shared" si="11"/>
        <v>1</v>
      </c>
      <c r="AE402" s="200">
        <f t="shared" ref="AE402:AG402" si="2015">countif($D402,"*"&amp;AE$2&amp;"*")</f>
        <v>0</v>
      </c>
      <c r="AF402" s="200">
        <f t="shared" si="2015"/>
        <v>0</v>
      </c>
      <c r="AG402" s="200">
        <f t="shared" si="2015"/>
        <v>0</v>
      </c>
      <c r="AH402" s="171">
        <f t="shared" si="13"/>
        <v>0</v>
      </c>
      <c r="AI402" s="200">
        <f t="shared" si="14"/>
        <v>0</v>
      </c>
      <c r="AJ402" s="200">
        <f t="shared" si="1840"/>
        <v>0</v>
      </c>
      <c r="AK402" s="201">
        <f t="shared" ref="AK402:AS402" si="2016">countif($D402,"*"&amp;AK$2&amp;"*")</f>
        <v>0</v>
      </c>
      <c r="AL402" s="201">
        <f t="shared" si="2016"/>
        <v>0</v>
      </c>
      <c r="AM402" s="201">
        <f t="shared" si="2016"/>
        <v>0</v>
      </c>
      <c r="AN402" s="201">
        <f t="shared" si="2016"/>
        <v>0</v>
      </c>
      <c r="AO402" s="201">
        <f t="shared" si="2016"/>
        <v>0</v>
      </c>
      <c r="AP402" s="201">
        <f t="shared" si="2016"/>
        <v>0</v>
      </c>
      <c r="AQ402" s="201">
        <f t="shared" si="2016"/>
        <v>0</v>
      </c>
      <c r="AR402" s="200">
        <f t="shared" si="2016"/>
        <v>0</v>
      </c>
      <c r="AS402" s="200">
        <f t="shared" si="2016"/>
        <v>0</v>
      </c>
      <c r="AT402" s="173">
        <v>1.0</v>
      </c>
      <c r="AU402" s="200">
        <f t="shared" ref="AU402:AX402" si="2017">countif($D402,"*"&amp;AU$2&amp;"*")</f>
        <v>0</v>
      </c>
      <c r="AV402" s="200">
        <f t="shared" si="2017"/>
        <v>0</v>
      </c>
      <c r="AW402" s="200">
        <f t="shared" si="2017"/>
        <v>0</v>
      </c>
      <c r="AX402" s="200">
        <f t="shared" si="2017"/>
        <v>0</v>
      </c>
      <c r="AY402" s="202">
        <v>0.0</v>
      </c>
      <c r="AZ402" s="200"/>
      <c r="BA402" s="171" t="str">
        <f t="shared" si="18"/>
        <v/>
      </c>
      <c r="BB402" s="171" t="str">
        <f t="shared" si="19"/>
        <v/>
      </c>
      <c r="BC402" s="171" t="str">
        <f t="shared" si="20"/>
        <v/>
      </c>
      <c r="BD402" s="171" t="str">
        <f t="shared" si="21"/>
        <v>Institutional</v>
      </c>
      <c r="BE402" s="171" t="str">
        <f t="shared" si="22"/>
        <v/>
      </c>
      <c r="BF402" s="171" t="str">
        <f t="shared" si="23"/>
        <v>Institutional</v>
      </c>
    </row>
    <row r="403">
      <c r="A403" s="171">
        <f t="array" ref="A403">XLOOKUP(C403,ICSE!A:A,ICSE!C:C,,2,1)</f>
        <v>2020</v>
      </c>
      <c r="B403" s="171" t="s">
        <v>5675</v>
      </c>
      <c r="C403" s="160">
        <v>741.0</v>
      </c>
      <c r="D403" s="161" t="s">
        <v>1616</v>
      </c>
      <c r="E403" s="197" t="str">
        <f t="array" ref="E403">XLOOKUP(C403,ICSE!A:A,ICSE!Z:Z,,0,1)</f>
        <v>Publicly available (1)</v>
      </c>
      <c r="F403" s="198" t="s">
        <v>20</v>
      </c>
      <c r="G403" s="163" t="str">
        <f t="array" ref="G403">IF(B403="ICSE",IF(COUNTIFS(B:B,B403,C:C,C403)=XLOOKUP(C403,ICSE!A:A,ICSE!AA:AA,"ERROR",0,1),"OK","ERROR"),IF(B403="FSE",IF(COUNTIFS(B:B,B403,C:C,C403)=XLOOKUP(C403,FSE!A:A,FSE!AA:AA,"ERROR",0,1),"OK","ERROR")))</f>
        <v>OK</v>
      </c>
      <c r="H403" s="199">
        <f t="shared" ref="H403:O403" si="2018">countif($D403,"*"&amp;H$2&amp;"*")</f>
        <v>0</v>
      </c>
      <c r="I403" s="200">
        <f t="shared" si="2018"/>
        <v>0</v>
      </c>
      <c r="J403" s="200">
        <f t="shared" si="2018"/>
        <v>0</v>
      </c>
      <c r="K403" s="200">
        <f t="shared" si="2018"/>
        <v>0</v>
      </c>
      <c r="L403" s="200">
        <f t="shared" si="2018"/>
        <v>0</v>
      </c>
      <c r="M403" s="200">
        <f t="shared" si="2018"/>
        <v>0</v>
      </c>
      <c r="N403" s="200">
        <f t="shared" si="2018"/>
        <v>0</v>
      </c>
      <c r="O403" s="200">
        <f t="shared" si="2018"/>
        <v>0</v>
      </c>
      <c r="P403" s="200">
        <f t="shared" si="9"/>
        <v>1</v>
      </c>
      <c r="Q403" s="200">
        <f t="shared" ref="Q403:AC403" si="2019">countif($D403,"*"&amp;Q$2&amp;"*")</f>
        <v>0</v>
      </c>
      <c r="R403" s="200">
        <f t="shared" si="2019"/>
        <v>0</v>
      </c>
      <c r="S403" s="200">
        <f t="shared" si="2019"/>
        <v>0</v>
      </c>
      <c r="T403" s="200">
        <f t="shared" si="2019"/>
        <v>0</v>
      </c>
      <c r="U403" s="200">
        <f t="shared" si="2019"/>
        <v>0</v>
      </c>
      <c r="V403" s="200">
        <f t="shared" si="2019"/>
        <v>0</v>
      </c>
      <c r="W403" s="200">
        <f t="shared" si="2019"/>
        <v>0</v>
      </c>
      <c r="X403" s="200">
        <f t="shared" si="2019"/>
        <v>0</v>
      </c>
      <c r="Y403" s="200">
        <f t="shared" si="2019"/>
        <v>0</v>
      </c>
      <c r="Z403" s="200">
        <f t="shared" si="2019"/>
        <v>0</v>
      </c>
      <c r="AA403" s="200">
        <f t="shared" si="2019"/>
        <v>0</v>
      </c>
      <c r="AB403" s="200">
        <f t="shared" si="2019"/>
        <v>0</v>
      </c>
      <c r="AC403" s="200">
        <f t="shared" si="2019"/>
        <v>0</v>
      </c>
      <c r="AD403" s="200">
        <f t="shared" si="11"/>
        <v>0</v>
      </c>
      <c r="AE403" s="200">
        <f t="shared" ref="AE403:AG403" si="2020">countif($D403,"*"&amp;AE$2&amp;"*")</f>
        <v>0</v>
      </c>
      <c r="AF403" s="200">
        <f t="shared" si="2020"/>
        <v>0</v>
      </c>
      <c r="AG403" s="200">
        <f t="shared" si="2020"/>
        <v>0</v>
      </c>
      <c r="AH403" s="171">
        <f t="shared" si="13"/>
        <v>0</v>
      </c>
      <c r="AI403" s="200">
        <f t="shared" si="14"/>
        <v>0</v>
      </c>
      <c r="AJ403" s="200">
        <f t="shared" si="1840"/>
        <v>0</v>
      </c>
      <c r="AK403" s="201">
        <f t="shared" ref="AK403:AS403" si="2021">countif($D403,"*"&amp;AK$2&amp;"*")</f>
        <v>0</v>
      </c>
      <c r="AL403" s="201">
        <f t="shared" si="2021"/>
        <v>0</v>
      </c>
      <c r="AM403" s="201">
        <f t="shared" si="2021"/>
        <v>0</v>
      </c>
      <c r="AN403" s="201">
        <f t="shared" si="2021"/>
        <v>0</v>
      </c>
      <c r="AO403" s="201">
        <f t="shared" si="2021"/>
        <v>0</v>
      </c>
      <c r="AP403" s="201">
        <f t="shared" si="2021"/>
        <v>0</v>
      </c>
      <c r="AQ403" s="201">
        <f t="shared" si="2021"/>
        <v>0</v>
      </c>
      <c r="AR403" s="200">
        <f t="shared" si="2021"/>
        <v>0</v>
      </c>
      <c r="AS403" s="200">
        <f t="shared" si="2021"/>
        <v>0</v>
      </c>
      <c r="AT403" s="173">
        <v>0.0</v>
      </c>
      <c r="AU403" s="200">
        <f t="shared" ref="AU403:AX403" si="2022">countif($D403,"*"&amp;AU$2&amp;"*")</f>
        <v>0</v>
      </c>
      <c r="AV403" s="200">
        <f t="shared" si="2022"/>
        <v>1</v>
      </c>
      <c r="AW403" s="200">
        <f t="shared" si="2022"/>
        <v>0</v>
      </c>
      <c r="AX403" s="200">
        <f t="shared" si="2022"/>
        <v>0</v>
      </c>
      <c r="AY403" s="202">
        <v>0.0</v>
      </c>
      <c r="AZ403" s="200"/>
      <c r="BA403" s="171" t="str">
        <f t="shared" si="18"/>
        <v/>
      </c>
      <c r="BB403" s="171" t="str">
        <f t="shared" si="19"/>
        <v>Code</v>
      </c>
      <c r="BC403" s="171" t="str">
        <f t="shared" si="20"/>
        <v/>
      </c>
      <c r="BD403" s="171" t="str">
        <f t="shared" si="21"/>
        <v/>
      </c>
      <c r="BE403" s="171" t="str">
        <f t="shared" si="22"/>
        <v/>
      </c>
      <c r="BF403" s="171" t="str">
        <f t="shared" si="23"/>
        <v>Code</v>
      </c>
    </row>
    <row r="404">
      <c r="A404" s="171">
        <f t="array" ref="A404">XLOOKUP(C404,ICSE!A:A,ICSE!C:C,,2,1)</f>
        <v>2020</v>
      </c>
      <c r="B404" s="171" t="s">
        <v>5675</v>
      </c>
      <c r="C404" s="160">
        <v>742.0</v>
      </c>
      <c r="D404" s="161" t="s">
        <v>1619</v>
      </c>
      <c r="E404" s="197" t="str">
        <f t="array" ref="E404">XLOOKUP(C404,ICSE!A:A,ICSE!Z:Z,,0,1)</f>
        <v>Publicly available (1)</v>
      </c>
      <c r="F404" s="198" t="s">
        <v>20</v>
      </c>
      <c r="G404" s="163" t="str">
        <f t="array" ref="G404">IF(B404="ICSE",IF(COUNTIFS(B:B,B404,C:C,C404)=XLOOKUP(C404,ICSE!A:A,ICSE!AA:AA,"ERROR",0,1),"OK","ERROR"),IF(B404="FSE",IF(COUNTIFS(B:B,B404,C:C,C404)=XLOOKUP(C404,FSE!A:A,FSE!AA:AA,"ERROR",0,1),"OK","ERROR")))</f>
        <v>OK</v>
      </c>
      <c r="H404" s="199">
        <f t="shared" ref="H404:O404" si="2023">countif($D404,"*"&amp;H$2&amp;"*")</f>
        <v>1</v>
      </c>
      <c r="I404" s="200">
        <f t="shared" si="2023"/>
        <v>0</v>
      </c>
      <c r="J404" s="200">
        <f t="shared" si="2023"/>
        <v>0</v>
      </c>
      <c r="K404" s="200">
        <f t="shared" si="2023"/>
        <v>0</v>
      </c>
      <c r="L404" s="200">
        <f t="shared" si="2023"/>
        <v>0</v>
      </c>
      <c r="M404" s="200">
        <f t="shared" si="2023"/>
        <v>0</v>
      </c>
      <c r="N404" s="200">
        <f t="shared" si="2023"/>
        <v>0</v>
      </c>
      <c r="O404" s="200">
        <f t="shared" si="2023"/>
        <v>0</v>
      </c>
      <c r="P404" s="200">
        <f t="shared" si="9"/>
        <v>0</v>
      </c>
      <c r="Q404" s="200">
        <f t="shared" ref="Q404:AC404" si="2024">countif($D404,"*"&amp;Q$2&amp;"*")</f>
        <v>0</v>
      </c>
      <c r="R404" s="200">
        <f t="shared" si="2024"/>
        <v>0</v>
      </c>
      <c r="S404" s="200">
        <f t="shared" si="2024"/>
        <v>0</v>
      </c>
      <c r="T404" s="200">
        <f t="shared" si="2024"/>
        <v>0</v>
      </c>
      <c r="U404" s="200">
        <f t="shared" si="2024"/>
        <v>0</v>
      </c>
      <c r="V404" s="200">
        <f t="shared" si="2024"/>
        <v>0</v>
      </c>
      <c r="W404" s="200">
        <f t="shared" si="2024"/>
        <v>0</v>
      </c>
      <c r="X404" s="200">
        <f t="shared" si="2024"/>
        <v>0</v>
      </c>
      <c r="Y404" s="200">
        <f t="shared" si="2024"/>
        <v>0</v>
      </c>
      <c r="Z404" s="200">
        <f t="shared" si="2024"/>
        <v>0</v>
      </c>
      <c r="AA404" s="200">
        <f t="shared" si="2024"/>
        <v>0</v>
      </c>
      <c r="AB404" s="200">
        <f t="shared" si="2024"/>
        <v>0</v>
      </c>
      <c r="AC404" s="200">
        <f t="shared" si="2024"/>
        <v>0</v>
      </c>
      <c r="AD404" s="200">
        <f t="shared" si="11"/>
        <v>0</v>
      </c>
      <c r="AE404" s="200">
        <f t="shared" ref="AE404:AG404" si="2025">countif($D404,"*"&amp;AE$2&amp;"*")</f>
        <v>0</v>
      </c>
      <c r="AF404" s="200">
        <f t="shared" si="2025"/>
        <v>0</v>
      </c>
      <c r="AG404" s="200">
        <f t="shared" si="2025"/>
        <v>0</v>
      </c>
      <c r="AH404" s="171">
        <f t="shared" si="13"/>
        <v>0</v>
      </c>
      <c r="AI404" s="200">
        <f t="shared" si="14"/>
        <v>1</v>
      </c>
      <c r="AJ404" s="200">
        <f t="shared" si="1840"/>
        <v>0</v>
      </c>
      <c r="AK404" s="201">
        <f t="shared" ref="AK404:AS404" si="2026">countif($D404,"*"&amp;AK$2&amp;"*")</f>
        <v>0</v>
      </c>
      <c r="AL404" s="201">
        <f t="shared" si="2026"/>
        <v>0</v>
      </c>
      <c r="AM404" s="201">
        <f t="shared" si="2026"/>
        <v>0</v>
      </c>
      <c r="AN404" s="201">
        <f t="shared" si="2026"/>
        <v>0</v>
      </c>
      <c r="AO404" s="201">
        <f t="shared" si="2026"/>
        <v>0</v>
      </c>
      <c r="AP404" s="201">
        <f t="shared" si="2026"/>
        <v>0</v>
      </c>
      <c r="AQ404" s="201">
        <f t="shared" si="2026"/>
        <v>0</v>
      </c>
      <c r="AR404" s="200">
        <f t="shared" si="2026"/>
        <v>0</v>
      </c>
      <c r="AS404" s="200">
        <f t="shared" si="2026"/>
        <v>0</v>
      </c>
      <c r="AT404" s="173">
        <v>0.0</v>
      </c>
      <c r="AU404" s="200">
        <f t="shared" ref="AU404:AX404" si="2027">countif($D404,"*"&amp;AU$2&amp;"*")</f>
        <v>0</v>
      </c>
      <c r="AV404" s="200">
        <f t="shared" si="2027"/>
        <v>0</v>
      </c>
      <c r="AW404" s="200">
        <f t="shared" si="2027"/>
        <v>0</v>
      </c>
      <c r="AX404" s="200">
        <f t="shared" si="2027"/>
        <v>0</v>
      </c>
      <c r="AY404" s="204">
        <v>1.0</v>
      </c>
      <c r="AZ404" s="200"/>
      <c r="BA404" s="171" t="str">
        <f t="shared" si="18"/>
        <v>Archival</v>
      </c>
      <c r="BB404" s="171" t="str">
        <f t="shared" si="19"/>
        <v/>
      </c>
      <c r="BC404" s="171" t="str">
        <f t="shared" si="20"/>
        <v/>
      </c>
      <c r="BD404" s="171" t="str">
        <f t="shared" si="21"/>
        <v/>
      </c>
      <c r="BE404" s="171" t="str">
        <f t="shared" si="22"/>
        <v/>
      </c>
      <c r="BF404" s="171" t="str">
        <f t="shared" si="23"/>
        <v>Archival</v>
      </c>
    </row>
    <row r="405">
      <c r="A405" s="171">
        <f t="array" ref="A405">XLOOKUP(C405,ICSE!A:A,ICSE!C:C,,2,1)</f>
        <v>2020</v>
      </c>
      <c r="B405" s="171" t="s">
        <v>5675</v>
      </c>
      <c r="C405" s="160">
        <v>743.0</v>
      </c>
      <c r="D405" s="161" t="s">
        <v>1622</v>
      </c>
      <c r="E405" s="197" t="str">
        <f t="array" ref="E405">XLOOKUP(C405,ICSE!A:A,ICSE!Z:Z,,0,1)</f>
        <v>Publicly available (1)</v>
      </c>
      <c r="F405" s="198" t="s">
        <v>20</v>
      </c>
      <c r="G405" s="163" t="str">
        <f t="array" ref="G405">IF(B405="ICSE",IF(COUNTIFS(B:B,B405,C:C,C405)=XLOOKUP(C405,ICSE!A:A,ICSE!AA:AA,"ERROR",0,1),"OK","ERROR"),IF(B405="FSE",IF(COUNTIFS(B:B,B405,C:C,C405)=XLOOKUP(C405,FSE!A:A,FSE!AA:AA,"ERROR",0,1),"OK","ERROR")))</f>
        <v>OK</v>
      </c>
      <c r="H405" s="199">
        <f t="shared" ref="H405:O405" si="2028">countif($D405,"*"&amp;H$2&amp;"*")</f>
        <v>0</v>
      </c>
      <c r="I405" s="200">
        <f t="shared" si="2028"/>
        <v>0</v>
      </c>
      <c r="J405" s="200">
        <f t="shared" si="2028"/>
        <v>0</v>
      </c>
      <c r="K405" s="200">
        <f t="shared" si="2028"/>
        <v>0</v>
      </c>
      <c r="L405" s="200">
        <f t="shared" si="2028"/>
        <v>0</v>
      </c>
      <c r="M405" s="200">
        <f t="shared" si="2028"/>
        <v>0</v>
      </c>
      <c r="N405" s="200">
        <f t="shared" si="2028"/>
        <v>0</v>
      </c>
      <c r="O405" s="200">
        <f t="shared" si="2028"/>
        <v>0</v>
      </c>
      <c r="P405" s="200">
        <f t="shared" si="9"/>
        <v>1</v>
      </c>
      <c r="Q405" s="200">
        <f t="shared" ref="Q405:AC405" si="2029">countif($D405,"*"&amp;Q$2&amp;"*")</f>
        <v>0</v>
      </c>
      <c r="R405" s="200">
        <f t="shared" si="2029"/>
        <v>0</v>
      </c>
      <c r="S405" s="200">
        <f t="shared" si="2029"/>
        <v>0</v>
      </c>
      <c r="T405" s="200">
        <f t="shared" si="2029"/>
        <v>0</v>
      </c>
      <c r="U405" s="200">
        <f t="shared" si="2029"/>
        <v>0</v>
      </c>
      <c r="V405" s="200">
        <f t="shared" si="2029"/>
        <v>0</v>
      </c>
      <c r="W405" s="200">
        <f t="shared" si="2029"/>
        <v>0</v>
      </c>
      <c r="X405" s="200">
        <f t="shared" si="2029"/>
        <v>0</v>
      </c>
      <c r="Y405" s="200">
        <f t="shared" si="2029"/>
        <v>0</v>
      </c>
      <c r="Z405" s="200">
        <f t="shared" si="2029"/>
        <v>0</v>
      </c>
      <c r="AA405" s="200">
        <f t="shared" si="2029"/>
        <v>0</v>
      </c>
      <c r="AB405" s="200">
        <f t="shared" si="2029"/>
        <v>0</v>
      </c>
      <c r="AC405" s="200">
        <f t="shared" si="2029"/>
        <v>0</v>
      </c>
      <c r="AD405" s="200">
        <f t="shared" si="11"/>
        <v>0</v>
      </c>
      <c r="AE405" s="200">
        <f t="shared" ref="AE405:AG405" si="2030">countif($D405,"*"&amp;AE$2&amp;"*")</f>
        <v>0</v>
      </c>
      <c r="AF405" s="200">
        <f t="shared" si="2030"/>
        <v>0</v>
      </c>
      <c r="AG405" s="200">
        <f t="shared" si="2030"/>
        <v>0</v>
      </c>
      <c r="AH405" s="171">
        <f t="shared" si="13"/>
        <v>0</v>
      </c>
      <c r="AI405" s="200">
        <f t="shared" si="14"/>
        <v>0</v>
      </c>
      <c r="AJ405" s="200">
        <f t="shared" si="1840"/>
        <v>0</v>
      </c>
      <c r="AK405" s="201">
        <f t="shared" ref="AK405:AS405" si="2031">countif($D405,"*"&amp;AK$2&amp;"*")</f>
        <v>0</v>
      </c>
      <c r="AL405" s="201">
        <f t="shared" si="2031"/>
        <v>0</v>
      </c>
      <c r="AM405" s="201">
        <f t="shared" si="2031"/>
        <v>0</v>
      </c>
      <c r="AN405" s="201">
        <f t="shared" si="2031"/>
        <v>0</v>
      </c>
      <c r="AO405" s="201">
        <f t="shared" si="2031"/>
        <v>0</v>
      </c>
      <c r="AP405" s="201">
        <f t="shared" si="2031"/>
        <v>0</v>
      </c>
      <c r="AQ405" s="201">
        <f t="shared" si="2031"/>
        <v>0</v>
      </c>
      <c r="AR405" s="200">
        <f t="shared" si="2031"/>
        <v>0</v>
      </c>
      <c r="AS405" s="200">
        <f t="shared" si="2031"/>
        <v>0</v>
      </c>
      <c r="AT405" s="173">
        <v>0.0</v>
      </c>
      <c r="AU405" s="200">
        <f t="shared" ref="AU405:AX405" si="2032">countif($D405,"*"&amp;AU$2&amp;"*")</f>
        <v>0</v>
      </c>
      <c r="AV405" s="200">
        <f t="shared" si="2032"/>
        <v>1</v>
      </c>
      <c r="AW405" s="200">
        <f t="shared" si="2032"/>
        <v>0</v>
      </c>
      <c r="AX405" s="200">
        <f t="shared" si="2032"/>
        <v>0</v>
      </c>
      <c r="AY405" s="202">
        <v>0.0</v>
      </c>
      <c r="AZ405" s="200"/>
      <c r="BA405" s="171" t="str">
        <f t="shared" si="18"/>
        <v/>
      </c>
      <c r="BB405" s="171" t="str">
        <f t="shared" si="19"/>
        <v>Code</v>
      </c>
      <c r="BC405" s="171" t="str">
        <f t="shared" si="20"/>
        <v/>
      </c>
      <c r="BD405" s="171" t="str">
        <f t="shared" si="21"/>
        <v/>
      </c>
      <c r="BE405" s="171" t="str">
        <f t="shared" si="22"/>
        <v/>
      </c>
      <c r="BF405" s="171" t="str">
        <f t="shared" si="23"/>
        <v>Code</v>
      </c>
    </row>
    <row r="406">
      <c r="A406" s="171">
        <f t="array" ref="A406">XLOOKUP(C406,ICSE!A:A,ICSE!C:C,,2,1)</f>
        <v>2020</v>
      </c>
      <c r="B406" s="171" t="s">
        <v>5675</v>
      </c>
      <c r="C406" s="160">
        <v>744.0</v>
      </c>
      <c r="D406" s="161" t="s">
        <v>1625</v>
      </c>
      <c r="E406" s="197" t="str">
        <f t="array" ref="E406">XLOOKUP(C406,ICSE!A:A,ICSE!Z:Z,,0,1)</f>
        <v>Publicly available (1)</v>
      </c>
      <c r="F406" s="198" t="s">
        <v>20</v>
      </c>
      <c r="G406" s="163" t="str">
        <f t="array" ref="G406">IF(B406="ICSE",IF(COUNTIFS(B:B,B406,C:C,C406)=XLOOKUP(C406,ICSE!A:A,ICSE!AA:AA,"ERROR",0,1),"OK","ERROR"),IF(B406="FSE",IF(COUNTIFS(B:B,B406,C:C,C406)=XLOOKUP(C406,FSE!A:A,FSE!AA:AA,"ERROR",0,1),"OK","ERROR")))</f>
        <v>OK</v>
      </c>
      <c r="H406" s="199">
        <f t="shared" ref="H406:O406" si="2033">countif($D406,"*"&amp;H$2&amp;"*")</f>
        <v>0</v>
      </c>
      <c r="I406" s="200">
        <f t="shared" si="2033"/>
        <v>0</v>
      </c>
      <c r="J406" s="200">
        <f t="shared" si="2033"/>
        <v>0</v>
      </c>
      <c r="K406" s="200">
        <f t="shared" si="2033"/>
        <v>0</v>
      </c>
      <c r="L406" s="200">
        <f t="shared" si="2033"/>
        <v>0</v>
      </c>
      <c r="M406" s="200">
        <f t="shared" si="2033"/>
        <v>0</v>
      </c>
      <c r="N406" s="200">
        <f t="shared" si="2033"/>
        <v>0</v>
      </c>
      <c r="O406" s="200">
        <f t="shared" si="2033"/>
        <v>0</v>
      </c>
      <c r="P406" s="200">
        <f t="shared" si="9"/>
        <v>1</v>
      </c>
      <c r="Q406" s="200">
        <f t="shared" ref="Q406:AC406" si="2034">countif($D406,"*"&amp;Q$2&amp;"*")</f>
        <v>0</v>
      </c>
      <c r="R406" s="200">
        <f t="shared" si="2034"/>
        <v>0</v>
      </c>
      <c r="S406" s="200">
        <f t="shared" si="2034"/>
        <v>0</v>
      </c>
      <c r="T406" s="200">
        <f t="shared" si="2034"/>
        <v>0</v>
      </c>
      <c r="U406" s="200">
        <f t="shared" si="2034"/>
        <v>0</v>
      </c>
      <c r="V406" s="200">
        <f t="shared" si="2034"/>
        <v>0</v>
      </c>
      <c r="W406" s="200">
        <f t="shared" si="2034"/>
        <v>0</v>
      </c>
      <c r="X406" s="200">
        <f t="shared" si="2034"/>
        <v>0</v>
      </c>
      <c r="Y406" s="200">
        <f t="shared" si="2034"/>
        <v>0</v>
      </c>
      <c r="Z406" s="200">
        <f t="shared" si="2034"/>
        <v>0</v>
      </c>
      <c r="AA406" s="200">
        <f t="shared" si="2034"/>
        <v>0</v>
      </c>
      <c r="AB406" s="200">
        <f t="shared" si="2034"/>
        <v>0</v>
      </c>
      <c r="AC406" s="200">
        <f t="shared" si="2034"/>
        <v>0</v>
      </c>
      <c r="AD406" s="200">
        <f t="shared" si="11"/>
        <v>0</v>
      </c>
      <c r="AE406" s="200">
        <f t="shared" ref="AE406:AG406" si="2035">countif($D406,"*"&amp;AE$2&amp;"*")</f>
        <v>0</v>
      </c>
      <c r="AF406" s="200">
        <f t="shared" si="2035"/>
        <v>0</v>
      </c>
      <c r="AG406" s="200">
        <f t="shared" si="2035"/>
        <v>0</v>
      </c>
      <c r="AH406" s="171">
        <f t="shared" si="13"/>
        <v>0</v>
      </c>
      <c r="AI406" s="200">
        <f t="shared" si="14"/>
        <v>0</v>
      </c>
      <c r="AJ406" s="200">
        <f t="shared" si="1840"/>
        <v>0</v>
      </c>
      <c r="AK406" s="201">
        <f t="shared" ref="AK406:AS406" si="2036">countif($D406,"*"&amp;AK$2&amp;"*")</f>
        <v>0</v>
      </c>
      <c r="AL406" s="201">
        <f t="shared" si="2036"/>
        <v>0</v>
      </c>
      <c r="AM406" s="201">
        <f t="shared" si="2036"/>
        <v>0</v>
      </c>
      <c r="AN406" s="201">
        <f t="shared" si="2036"/>
        <v>0</v>
      </c>
      <c r="AO406" s="201">
        <f t="shared" si="2036"/>
        <v>0</v>
      </c>
      <c r="AP406" s="201">
        <f t="shared" si="2036"/>
        <v>0</v>
      </c>
      <c r="AQ406" s="201">
        <f t="shared" si="2036"/>
        <v>0</v>
      </c>
      <c r="AR406" s="200">
        <f t="shared" si="2036"/>
        <v>0</v>
      </c>
      <c r="AS406" s="200">
        <f t="shared" si="2036"/>
        <v>0</v>
      </c>
      <c r="AT406" s="173">
        <v>0.0</v>
      </c>
      <c r="AU406" s="200">
        <f t="shared" ref="AU406:AX406" si="2037">countif($D406,"*"&amp;AU$2&amp;"*")</f>
        <v>0</v>
      </c>
      <c r="AV406" s="200">
        <f t="shared" si="2037"/>
        <v>1</v>
      </c>
      <c r="AW406" s="200">
        <f t="shared" si="2037"/>
        <v>0</v>
      </c>
      <c r="AX406" s="200">
        <f t="shared" si="2037"/>
        <v>0</v>
      </c>
      <c r="AY406" s="202">
        <v>0.0</v>
      </c>
      <c r="AZ406" s="200"/>
      <c r="BA406" s="171" t="str">
        <f t="shared" si="18"/>
        <v/>
      </c>
      <c r="BB406" s="171" t="str">
        <f t="shared" si="19"/>
        <v>Code</v>
      </c>
      <c r="BC406" s="171" t="str">
        <f t="shared" si="20"/>
        <v/>
      </c>
      <c r="BD406" s="171" t="str">
        <f t="shared" si="21"/>
        <v/>
      </c>
      <c r="BE406" s="171" t="str">
        <f t="shared" si="22"/>
        <v/>
      </c>
      <c r="BF406" s="171" t="str">
        <f t="shared" si="23"/>
        <v>Code</v>
      </c>
    </row>
    <row r="407">
      <c r="A407" s="171">
        <f t="array" ref="A407">XLOOKUP(C407,ICSE!A:A,ICSE!C:C,,2,1)</f>
        <v>2020</v>
      </c>
      <c r="B407" s="171" t="s">
        <v>5675</v>
      </c>
      <c r="C407" s="160">
        <v>745.0</v>
      </c>
      <c r="D407" s="161" t="s">
        <v>1629</v>
      </c>
      <c r="E407" s="197" t="str">
        <f t="array" ref="E407">XLOOKUP(C407,ICSE!A:A,ICSE!Z:Z,,0,1)</f>
        <v>Publicly available (1)</v>
      </c>
      <c r="F407" s="198" t="s">
        <v>20</v>
      </c>
      <c r="G407" s="163" t="str">
        <f t="array" ref="G407">IF(B407="ICSE",IF(COUNTIFS(B:B,B407,C:C,C407)=XLOOKUP(C407,ICSE!A:A,ICSE!AA:AA,"ERROR",0,1),"OK","ERROR"),IF(B407="FSE",IF(COUNTIFS(B:B,B407,C:C,C407)=XLOOKUP(C407,FSE!A:A,FSE!AA:AA,"ERROR",0,1),"OK","ERROR")))</f>
        <v>OK</v>
      </c>
      <c r="H407" s="199">
        <f t="shared" ref="H407:O407" si="2038">countif($D407,"*"&amp;H$2&amp;"*")</f>
        <v>0</v>
      </c>
      <c r="I407" s="200">
        <f t="shared" si="2038"/>
        <v>0</v>
      </c>
      <c r="J407" s="200">
        <f t="shared" si="2038"/>
        <v>0</v>
      </c>
      <c r="K407" s="200">
        <f t="shared" si="2038"/>
        <v>0</v>
      </c>
      <c r="L407" s="200">
        <f t="shared" si="2038"/>
        <v>0</v>
      </c>
      <c r="M407" s="200">
        <f t="shared" si="2038"/>
        <v>0</v>
      </c>
      <c r="N407" s="200">
        <f t="shared" si="2038"/>
        <v>0</v>
      </c>
      <c r="O407" s="200">
        <f t="shared" si="2038"/>
        <v>0</v>
      </c>
      <c r="P407" s="200">
        <f t="shared" si="9"/>
        <v>1</v>
      </c>
      <c r="Q407" s="200">
        <f t="shared" ref="Q407:AC407" si="2039">countif($D407,"*"&amp;Q$2&amp;"*")</f>
        <v>0</v>
      </c>
      <c r="R407" s="200">
        <f t="shared" si="2039"/>
        <v>0</v>
      </c>
      <c r="S407" s="200">
        <f t="shared" si="2039"/>
        <v>0</v>
      </c>
      <c r="T407" s="200">
        <f t="shared" si="2039"/>
        <v>0</v>
      </c>
      <c r="U407" s="200">
        <f t="shared" si="2039"/>
        <v>0</v>
      </c>
      <c r="V407" s="200">
        <f t="shared" si="2039"/>
        <v>0</v>
      </c>
      <c r="W407" s="200">
        <f t="shared" si="2039"/>
        <v>0</v>
      </c>
      <c r="X407" s="200">
        <f t="shared" si="2039"/>
        <v>0</v>
      </c>
      <c r="Y407" s="200">
        <f t="shared" si="2039"/>
        <v>0</v>
      </c>
      <c r="Z407" s="200">
        <f t="shared" si="2039"/>
        <v>0</v>
      </c>
      <c r="AA407" s="200">
        <f t="shared" si="2039"/>
        <v>0</v>
      </c>
      <c r="AB407" s="200">
        <f t="shared" si="2039"/>
        <v>0</v>
      </c>
      <c r="AC407" s="200">
        <f t="shared" si="2039"/>
        <v>0</v>
      </c>
      <c r="AD407" s="200">
        <f t="shared" si="11"/>
        <v>0</v>
      </c>
      <c r="AE407" s="200">
        <f t="shared" ref="AE407:AG407" si="2040">countif($D407,"*"&amp;AE$2&amp;"*")</f>
        <v>0</v>
      </c>
      <c r="AF407" s="200">
        <f t="shared" si="2040"/>
        <v>0</v>
      </c>
      <c r="AG407" s="200">
        <f t="shared" si="2040"/>
        <v>0</v>
      </c>
      <c r="AH407" s="171">
        <f t="shared" si="13"/>
        <v>0</v>
      </c>
      <c r="AI407" s="200">
        <f t="shared" si="14"/>
        <v>0</v>
      </c>
      <c r="AJ407" s="200">
        <f t="shared" si="1840"/>
        <v>0</v>
      </c>
      <c r="AK407" s="201">
        <f t="shared" ref="AK407:AS407" si="2041">countif($D407,"*"&amp;AK$2&amp;"*")</f>
        <v>0</v>
      </c>
      <c r="AL407" s="201">
        <f t="shared" si="2041"/>
        <v>0</v>
      </c>
      <c r="AM407" s="201">
        <f t="shared" si="2041"/>
        <v>0</v>
      </c>
      <c r="AN407" s="201">
        <f t="shared" si="2041"/>
        <v>0</v>
      </c>
      <c r="AO407" s="201">
        <f t="shared" si="2041"/>
        <v>0</v>
      </c>
      <c r="AP407" s="201">
        <f t="shared" si="2041"/>
        <v>0</v>
      </c>
      <c r="AQ407" s="201">
        <f t="shared" si="2041"/>
        <v>0</v>
      </c>
      <c r="AR407" s="200">
        <f t="shared" si="2041"/>
        <v>0</v>
      </c>
      <c r="AS407" s="200">
        <f t="shared" si="2041"/>
        <v>0</v>
      </c>
      <c r="AT407" s="173">
        <v>0.0</v>
      </c>
      <c r="AU407" s="200">
        <f t="shared" ref="AU407:AX407" si="2042">countif($D407,"*"&amp;AU$2&amp;"*")</f>
        <v>0</v>
      </c>
      <c r="AV407" s="200">
        <f t="shared" si="2042"/>
        <v>1</v>
      </c>
      <c r="AW407" s="200">
        <f t="shared" si="2042"/>
        <v>0</v>
      </c>
      <c r="AX407" s="200">
        <f t="shared" si="2042"/>
        <v>0</v>
      </c>
      <c r="AY407" s="202">
        <v>0.0</v>
      </c>
      <c r="AZ407" s="200"/>
      <c r="BA407" s="171" t="str">
        <f t="shared" si="18"/>
        <v/>
      </c>
      <c r="BB407" s="171" t="str">
        <f t="shared" si="19"/>
        <v>Code</v>
      </c>
      <c r="BC407" s="171" t="str">
        <f t="shared" si="20"/>
        <v/>
      </c>
      <c r="BD407" s="171" t="str">
        <f t="shared" si="21"/>
        <v/>
      </c>
      <c r="BE407" s="171" t="str">
        <f t="shared" si="22"/>
        <v/>
      </c>
      <c r="BF407" s="171" t="str">
        <f t="shared" si="23"/>
        <v>Code</v>
      </c>
    </row>
    <row r="408">
      <c r="A408" s="171">
        <f t="array" ref="A408">XLOOKUP(C408,ICSE!A:A,ICSE!C:C,,2,1)</f>
        <v>2020</v>
      </c>
      <c r="B408" s="171" t="s">
        <v>5675</v>
      </c>
      <c r="C408" s="160">
        <v>746.0</v>
      </c>
      <c r="D408" s="161" t="s">
        <v>1632</v>
      </c>
      <c r="E408" s="197" t="str">
        <f t="array" ref="E408">XLOOKUP(C408,ICSE!A:A,ICSE!Z:Z,,0,1)</f>
        <v>Publicly available (1)</v>
      </c>
      <c r="F408" s="198" t="s">
        <v>20</v>
      </c>
      <c r="G408" s="163" t="str">
        <f t="array" ref="G408">IF(B408="ICSE",IF(COUNTIFS(B:B,B408,C:C,C408)=XLOOKUP(C408,ICSE!A:A,ICSE!AA:AA,"ERROR",0,1),"OK","ERROR"),IF(B408="FSE",IF(COUNTIFS(B:B,B408,C:C,C408)=XLOOKUP(C408,FSE!A:A,FSE!AA:AA,"ERROR",0,1),"OK","ERROR")))</f>
        <v>OK</v>
      </c>
      <c r="H408" s="199">
        <f t="shared" ref="H408:O408" si="2043">countif($D408,"*"&amp;H$2&amp;"*")</f>
        <v>0</v>
      </c>
      <c r="I408" s="200">
        <f t="shared" si="2043"/>
        <v>0</v>
      </c>
      <c r="J408" s="200">
        <f t="shared" si="2043"/>
        <v>0</v>
      </c>
      <c r="K408" s="200">
        <f t="shared" si="2043"/>
        <v>0</v>
      </c>
      <c r="L408" s="200">
        <f t="shared" si="2043"/>
        <v>0</v>
      </c>
      <c r="M408" s="200">
        <f t="shared" si="2043"/>
        <v>0</v>
      </c>
      <c r="N408" s="200">
        <f t="shared" si="2043"/>
        <v>0</v>
      </c>
      <c r="O408" s="200">
        <f t="shared" si="2043"/>
        <v>0</v>
      </c>
      <c r="P408" s="200">
        <f t="shared" si="9"/>
        <v>1</v>
      </c>
      <c r="Q408" s="200">
        <f t="shared" ref="Q408:AC408" si="2044">countif($D408,"*"&amp;Q$2&amp;"*")</f>
        <v>0</v>
      </c>
      <c r="R408" s="200">
        <f t="shared" si="2044"/>
        <v>0</v>
      </c>
      <c r="S408" s="200">
        <f t="shared" si="2044"/>
        <v>0</v>
      </c>
      <c r="T408" s="200">
        <f t="shared" si="2044"/>
        <v>0</v>
      </c>
      <c r="U408" s="200">
        <f t="shared" si="2044"/>
        <v>0</v>
      </c>
      <c r="V408" s="200">
        <f t="shared" si="2044"/>
        <v>0</v>
      </c>
      <c r="W408" s="200">
        <f t="shared" si="2044"/>
        <v>0</v>
      </c>
      <c r="X408" s="200">
        <f t="shared" si="2044"/>
        <v>0</v>
      </c>
      <c r="Y408" s="200">
        <f t="shared" si="2044"/>
        <v>0</v>
      </c>
      <c r="Z408" s="200">
        <f t="shared" si="2044"/>
        <v>0</v>
      </c>
      <c r="AA408" s="200">
        <f t="shared" si="2044"/>
        <v>0</v>
      </c>
      <c r="AB408" s="200">
        <f t="shared" si="2044"/>
        <v>0</v>
      </c>
      <c r="AC408" s="200">
        <f t="shared" si="2044"/>
        <v>0</v>
      </c>
      <c r="AD408" s="200">
        <f t="shared" si="11"/>
        <v>0</v>
      </c>
      <c r="AE408" s="200">
        <f t="shared" ref="AE408:AG408" si="2045">countif($D408,"*"&amp;AE$2&amp;"*")</f>
        <v>0</v>
      </c>
      <c r="AF408" s="200">
        <f t="shared" si="2045"/>
        <v>0</v>
      </c>
      <c r="AG408" s="200">
        <f t="shared" si="2045"/>
        <v>0</v>
      </c>
      <c r="AH408" s="171">
        <f t="shared" si="13"/>
        <v>0</v>
      </c>
      <c r="AI408" s="200">
        <f t="shared" si="14"/>
        <v>0</v>
      </c>
      <c r="AJ408" s="200">
        <f t="shared" si="1840"/>
        <v>0</v>
      </c>
      <c r="AK408" s="201">
        <f t="shared" ref="AK408:AS408" si="2046">countif($D408,"*"&amp;AK$2&amp;"*")</f>
        <v>0</v>
      </c>
      <c r="AL408" s="201">
        <f t="shared" si="2046"/>
        <v>0</v>
      </c>
      <c r="AM408" s="201">
        <f t="shared" si="2046"/>
        <v>0</v>
      </c>
      <c r="AN408" s="201">
        <f t="shared" si="2046"/>
        <v>0</v>
      </c>
      <c r="AO408" s="201">
        <f t="shared" si="2046"/>
        <v>0</v>
      </c>
      <c r="AP408" s="201">
        <f t="shared" si="2046"/>
        <v>0</v>
      </c>
      <c r="AQ408" s="201">
        <f t="shared" si="2046"/>
        <v>0</v>
      </c>
      <c r="AR408" s="200">
        <f t="shared" si="2046"/>
        <v>0</v>
      </c>
      <c r="AS408" s="200">
        <f t="shared" si="2046"/>
        <v>0</v>
      </c>
      <c r="AT408" s="173">
        <v>0.0</v>
      </c>
      <c r="AU408" s="200">
        <f t="shared" ref="AU408:AX408" si="2047">countif($D408,"*"&amp;AU$2&amp;"*")</f>
        <v>0</v>
      </c>
      <c r="AV408" s="200">
        <f t="shared" si="2047"/>
        <v>1</v>
      </c>
      <c r="AW408" s="200">
        <f t="shared" si="2047"/>
        <v>0</v>
      </c>
      <c r="AX408" s="200">
        <f t="shared" si="2047"/>
        <v>0</v>
      </c>
      <c r="AY408" s="202">
        <v>0.0</v>
      </c>
      <c r="AZ408" s="200"/>
      <c r="BA408" s="171" t="str">
        <f t="shared" si="18"/>
        <v/>
      </c>
      <c r="BB408" s="171" t="str">
        <f t="shared" si="19"/>
        <v>Code</v>
      </c>
      <c r="BC408" s="171" t="str">
        <f t="shared" si="20"/>
        <v/>
      </c>
      <c r="BD408" s="171" t="str">
        <f t="shared" si="21"/>
        <v/>
      </c>
      <c r="BE408" s="171" t="str">
        <f t="shared" si="22"/>
        <v/>
      </c>
      <c r="BF408" s="171" t="str">
        <f t="shared" si="23"/>
        <v>Code</v>
      </c>
    </row>
    <row r="409">
      <c r="A409" s="171">
        <f t="array" ref="A409">XLOOKUP(C409,ICSE!A:A,ICSE!C:C,,2,1)</f>
        <v>2020</v>
      </c>
      <c r="B409" s="171" t="s">
        <v>5675</v>
      </c>
      <c r="C409" s="160">
        <v>747.0</v>
      </c>
      <c r="D409" s="161" t="s">
        <v>1634</v>
      </c>
      <c r="E409" s="197" t="str">
        <f t="array" ref="E409">XLOOKUP(C409,ICSE!A:A,ICSE!Z:Z,,0,1)</f>
        <v>Publicly available (1)</v>
      </c>
      <c r="F409" s="198" t="s">
        <v>20</v>
      </c>
      <c r="G409" s="163" t="str">
        <f t="array" ref="G409">IF(B409="ICSE",IF(COUNTIFS(B:B,B409,C:C,C409)=XLOOKUP(C409,ICSE!A:A,ICSE!AA:AA,"ERROR",0,1),"OK","ERROR"),IF(B409="FSE",IF(COUNTIFS(B:B,B409,C:C,C409)=XLOOKUP(C409,FSE!A:A,FSE!AA:AA,"ERROR",0,1),"OK","ERROR")))</f>
        <v>OK</v>
      </c>
      <c r="H409" s="199">
        <f t="shared" ref="H409:O409" si="2048">countif($D409,"*"&amp;H$2&amp;"*")</f>
        <v>0</v>
      </c>
      <c r="I409" s="200">
        <f t="shared" si="2048"/>
        <v>0</v>
      </c>
      <c r="J409" s="200">
        <f t="shared" si="2048"/>
        <v>0</v>
      </c>
      <c r="K409" s="200">
        <f t="shared" si="2048"/>
        <v>0</v>
      </c>
      <c r="L409" s="200">
        <f t="shared" si="2048"/>
        <v>0</v>
      </c>
      <c r="M409" s="200">
        <f t="shared" si="2048"/>
        <v>0</v>
      </c>
      <c r="N409" s="200">
        <f t="shared" si="2048"/>
        <v>0</v>
      </c>
      <c r="O409" s="200">
        <f t="shared" si="2048"/>
        <v>0</v>
      </c>
      <c r="P409" s="200">
        <f t="shared" si="9"/>
        <v>1</v>
      </c>
      <c r="Q409" s="200">
        <f t="shared" ref="Q409:AC409" si="2049">countif($D409,"*"&amp;Q$2&amp;"*")</f>
        <v>0</v>
      </c>
      <c r="R409" s="200">
        <f t="shared" si="2049"/>
        <v>0</v>
      </c>
      <c r="S409" s="200">
        <f t="shared" si="2049"/>
        <v>0</v>
      </c>
      <c r="T409" s="200">
        <f t="shared" si="2049"/>
        <v>0</v>
      </c>
      <c r="U409" s="200">
        <f t="shared" si="2049"/>
        <v>0</v>
      </c>
      <c r="V409" s="200">
        <f t="shared" si="2049"/>
        <v>0</v>
      </c>
      <c r="W409" s="200">
        <f t="shared" si="2049"/>
        <v>0</v>
      </c>
      <c r="X409" s="200">
        <f t="shared" si="2049"/>
        <v>0</v>
      </c>
      <c r="Y409" s="200">
        <f t="shared" si="2049"/>
        <v>0</v>
      </c>
      <c r="Z409" s="200">
        <f t="shared" si="2049"/>
        <v>0</v>
      </c>
      <c r="AA409" s="200">
        <f t="shared" si="2049"/>
        <v>0</v>
      </c>
      <c r="AB409" s="200">
        <f t="shared" si="2049"/>
        <v>0</v>
      </c>
      <c r="AC409" s="200">
        <f t="shared" si="2049"/>
        <v>0</v>
      </c>
      <c r="AD409" s="200">
        <f t="shared" si="11"/>
        <v>0</v>
      </c>
      <c r="AE409" s="200">
        <f t="shared" ref="AE409:AG409" si="2050">countif($D409,"*"&amp;AE$2&amp;"*")</f>
        <v>0</v>
      </c>
      <c r="AF409" s="200">
        <f t="shared" si="2050"/>
        <v>0</v>
      </c>
      <c r="AG409" s="200">
        <f t="shared" si="2050"/>
        <v>0</v>
      </c>
      <c r="AH409" s="171">
        <f t="shared" si="13"/>
        <v>0</v>
      </c>
      <c r="AI409" s="200">
        <f t="shared" si="14"/>
        <v>0</v>
      </c>
      <c r="AJ409" s="200">
        <f t="shared" si="1840"/>
        <v>0</v>
      </c>
      <c r="AK409" s="201">
        <f t="shared" ref="AK409:AS409" si="2051">countif($D409,"*"&amp;AK$2&amp;"*")</f>
        <v>0</v>
      </c>
      <c r="AL409" s="201">
        <f t="shared" si="2051"/>
        <v>0</v>
      </c>
      <c r="AM409" s="201">
        <f t="shared" si="2051"/>
        <v>0</v>
      </c>
      <c r="AN409" s="201">
        <f t="shared" si="2051"/>
        <v>0</v>
      </c>
      <c r="AO409" s="201">
        <f t="shared" si="2051"/>
        <v>0</v>
      </c>
      <c r="AP409" s="201">
        <f t="shared" si="2051"/>
        <v>0</v>
      </c>
      <c r="AQ409" s="201">
        <f t="shared" si="2051"/>
        <v>0</v>
      </c>
      <c r="AR409" s="200">
        <f t="shared" si="2051"/>
        <v>0</v>
      </c>
      <c r="AS409" s="200">
        <f t="shared" si="2051"/>
        <v>0</v>
      </c>
      <c r="AT409" s="173">
        <v>0.0</v>
      </c>
      <c r="AU409" s="200">
        <f t="shared" ref="AU409:AX409" si="2052">countif($D409,"*"&amp;AU$2&amp;"*")</f>
        <v>0</v>
      </c>
      <c r="AV409" s="200">
        <f t="shared" si="2052"/>
        <v>1</v>
      </c>
      <c r="AW409" s="200">
        <f t="shared" si="2052"/>
        <v>0</v>
      </c>
      <c r="AX409" s="200">
        <f t="shared" si="2052"/>
        <v>0</v>
      </c>
      <c r="AY409" s="202">
        <v>0.0</v>
      </c>
      <c r="AZ409" s="200"/>
      <c r="BA409" s="171" t="str">
        <f t="shared" si="18"/>
        <v/>
      </c>
      <c r="BB409" s="171" t="str">
        <f t="shared" si="19"/>
        <v>Code</v>
      </c>
      <c r="BC409" s="171" t="str">
        <f t="shared" si="20"/>
        <v/>
      </c>
      <c r="BD409" s="171" t="str">
        <f t="shared" si="21"/>
        <v/>
      </c>
      <c r="BE409" s="171" t="str">
        <f t="shared" si="22"/>
        <v/>
      </c>
      <c r="BF409" s="171" t="str">
        <f t="shared" si="23"/>
        <v>Code</v>
      </c>
    </row>
    <row r="410">
      <c r="A410" s="171">
        <f t="array" ref="A410">XLOOKUP(C410,ICSE!A:A,ICSE!C:C,,2,1)</f>
        <v>2020</v>
      </c>
      <c r="B410" s="171" t="s">
        <v>5675</v>
      </c>
      <c r="C410" s="160">
        <v>748.0</v>
      </c>
      <c r="D410" s="161" t="s">
        <v>1637</v>
      </c>
      <c r="E410" s="197" t="str">
        <f t="array" ref="E410">XLOOKUP(C410,ICSE!A:A,ICSE!Z:Z,,0,1)</f>
        <v>Publicly available (1)</v>
      </c>
      <c r="F410" s="198" t="s">
        <v>20</v>
      </c>
      <c r="G410" s="163" t="str">
        <f t="array" ref="G410">IF(B410="ICSE",IF(COUNTIFS(B:B,B410,C:C,C410)=XLOOKUP(C410,ICSE!A:A,ICSE!AA:AA,"ERROR",0,1),"OK","ERROR"),IF(B410="FSE",IF(COUNTIFS(B:B,B410,C:C,C410)=XLOOKUP(C410,FSE!A:A,FSE!AA:AA,"ERROR",0,1),"OK","ERROR")))</f>
        <v>OK</v>
      </c>
      <c r="H410" s="199">
        <f t="shared" ref="H410:O410" si="2053">countif($D410,"*"&amp;H$2&amp;"*")</f>
        <v>0</v>
      </c>
      <c r="I410" s="200">
        <f t="shared" si="2053"/>
        <v>0</v>
      </c>
      <c r="J410" s="200">
        <f t="shared" si="2053"/>
        <v>0</v>
      </c>
      <c r="K410" s="200">
        <f t="shared" si="2053"/>
        <v>0</v>
      </c>
      <c r="L410" s="200">
        <f t="shared" si="2053"/>
        <v>0</v>
      </c>
      <c r="M410" s="200">
        <f t="shared" si="2053"/>
        <v>0</v>
      </c>
      <c r="N410" s="200">
        <f t="shared" si="2053"/>
        <v>0</v>
      </c>
      <c r="O410" s="200">
        <f t="shared" si="2053"/>
        <v>0</v>
      </c>
      <c r="P410" s="200">
        <f t="shared" si="9"/>
        <v>1</v>
      </c>
      <c r="Q410" s="200">
        <f t="shared" ref="Q410:AC410" si="2054">countif($D410,"*"&amp;Q$2&amp;"*")</f>
        <v>0</v>
      </c>
      <c r="R410" s="200">
        <f t="shared" si="2054"/>
        <v>0</v>
      </c>
      <c r="S410" s="200">
        <f t="shared" si="2054"/>
        <v>0</v>
      </c>
      <c r="T410" s="200">
        <f t="shared" si="2054"/>
        <v>0</v>
      </c>
      <c r="U410" s="200">
        <f t="shared" si="2054"/>
        <v>0</v>
      </c>
      <c r="V410" s="200">
        <f t="shared" si="2054"/>
        <v>0</v>
      </c>
      <c r="W410" s="200">
        <f t="shared" si="2054"/>
        <v>0</v>
      </c>
      <c r="X410" s="200">
        <f t="shared" si="2054"/>
        <v>0</v>
      </c>
      <c r="Y410" s="200">
        <f t="shared" si="2054"/>
        <v>0</v>
      </c>
      <c r="Z410" s="200">
        <f t="shared" si="2054"/>
        <v>0</v>
      </c>
      <c r="AA410" s="200">
        <f t="shared" si="2054"/>
        <v>0</v>
      </c>
      <c r="AB410" s="200">
        <f t="shared" si="2054"/>
        <v>0</v>
      </c>
      <c r="AC410" s="200">
        <f t="shared" si="2054"/>
        <v>0</v>
      </c>
      <c r="AD410" s="200">
        <f t="shared" si="11"/>
        <v>0</v>
      </c>
      <c r="AE410" s="200">
        <f t="shared" ref="AE410:AG410" si="2055">countif($D410,"*"&amp;AE$2&amp;"*")</f>
        <v>0</v>
      </c>
      <c r="AF410" s="200">
        <f t="shared" si="2055"/>
        <v>0</v>
      </c>
      <c r="AG410" s="200">
        <f t="shared" si="2055"/>
        <v>0</v>
      </c>
      <c r="AH410" s="171">
        <f t="shared" si="13"/>
        <v>0</v>
      </c>
      <c r="AI410" s="200">
        <f t="shared" si="14"/>
        <v>0</v>
      </c>
      <c r="AJ410" s="200">
        <f t="shared" si="1840"/>
        <v>0</v>
      </c>
      <c r="AK410" s="201">
        <f t="shared" ref="AK410:AS410" si="2056">countif($D410,"*"&amp;AK$2&amp;"*")</f>
        <v>0</v>
      </c>
      <c r="AL410" s="201">
        <f t="shared" si="2056"/>
        <v>0</v>
      </c>
      <c r="AM410" s="201">
        <f t="shared" si="2056"/>
        <v>0</v>
      </c>
      <c r="AN410" s="201">
        <f t="shared" si="2056"/>
        <v>0</v>
      </c>
      <c r="AO410" s="201">
        <f t="shared" si="2056"/>
        <v>0</v>
      </c>
      <c r="AP410" s="201">
        <f t="shared" si="2056"/>
        <v>0</v>
      </c>
      <c r="AQ410" s="201">
        <f t="shared" si="2056"/>
        <v>0</v>
      </c>
      <c r="AR410" s="200">
        <f t="shared" si="2056"/>
        <v>0</v>
      </c>
      <c r="AS410" s="200">
        <f t="shared" si="2056"/>
        <v>0</v>
      </c>
      <c r="AT410" s="173">
        <v>0.0</v>
      </c>
      <c r="AU410" s="200">
        <f t="shared" ref="AU410:AX410" si="2057">countif($D410,"*"&amp;AU$2&amp;"*")</f>
        <v>0</v>
      </c>
      <c r="AV410" s="200">
        <f t="shared" si="2057"/>
        <v>1</v>
      </c>
      <c r="AW410" s="200">
        <f t="shared" si="2057"/>
        <v>0</v>
      </c>
      <c r="AX410" s="200">
        <f t="shared" si="2057"/>
        <v>0</v>
      </c>
      <c r="AY410" s="202">
        <v>0.0</v>
      </c>
      <c r="AZ410" s="200"/>
      <c r="BA410" s="171" t="str">
        <f t="shared" si="18"/>
        <v/>
      </c>
      <c r="BB410" s="171" t="str">
        <f t="shared" si="19"/>
        <v>Code</v>
      </c>
      <c r="BC410" s="171" t="str">
        <f t="shared" si="20"/>
        <v/>
      </c>
      <c r="BD410" s="171" t="str">
        <f t="shared" si="21"/>
        <v/>
      </c>
      <c r="BE410" s="171" t="str">
        <f t="shared" si="22"/>
        <v/>
      </c>
      <c r="BF410" s="171" t="str">
        <f t="shared" si="23"/>
        <v>Code</v>
      </c>
    </row>
    <row r="411">
      <c r="A411" s="171">
        <f t="array" ref="A411">XLOOKUP(C411,ICSE!A:A,ICSE!C:C,,2,1)</f>
        <v>2020</v>
      </c>
      <c r="B411" s="171" t="s">
        <v>5675</v>
      </c>
      <c r="C411" s="160">
        <v>749.0</v>
      </c>
      <c r="D411" s="161" t="s">
        <v>1640</v>
      </c>
      <c r="E411" s="197" t="str">
        <f t="array" ref="E411">XLOOKUP(C411,ICSE!A:A,ICSE!Z:Z,,0,1)</f>
        <v>Publicly available (1)</v>
      </c>
      <c r="F411" s="198" t="s">
        <v>20</v>
      </c>
      <c r="G411" s="163" t="str">
        <f t="array" ref="G411">IF(B411="ICSE",IF(COUNTIFS(B:B,B411,C:C,C411)=XLOOKUP(C411,ICSE!A:A,ICSE!AA:AA,"ERROR",0,1),"OK","ERROR"),IF(B411="FSE",IF(COUNTIFS(B:B,B411,C:C,C411)=XLOOKUP(C411,FSE!A:A,FSE!AA:AA,"ERROR",0,1),"OK","ERROR")))</f>
        <v>OK</v>
      </c>
      <c r="H411" s="199">
        <f t="shared" ref="H411:O411" si="2058">countif($D411,"*"&amp;H$2&amp;"*")</f>
        <v>0</v>
      </c>
      <c r="I411" s="200">
        <f t="shared" si="2058"/>
        <v>1</v>
      </c>
      <c r="J411" s="200">
        <f t="shared" si="2058"/>
        <v>0</v>
      </c>
      <c r="K411" s="200">
        <f t="shared" si="2058"/>
        <v>0</v>
      </c>
      <c r="L411" s="200">
        <f t="shared" si="2058"/>
        <v>0</v>
      </c>
      <c r="M411" s="200">
        <f t="shared" si="2058"/>
        <v>0</v>
      </c>
      <c r="N411" s="200">
        <f t="shared" si="2058"/>
        <v>0</v>
      </c>
      <c r="O411" s="200">
        <f t="shared" si="2058"/>
        <v>0</v>
      </c>
      <c r="P411" s="200">
        <f t="shared" si="9"/>
        <v>0</v>
      </c>
      <c r="Q411" s="200">
        <f t="shared" ref="Q411:AC411" si="2059">countif($D411,"*"&amp;Q$2&amp;"*")</f>
        <v>0</v>
      </c>
      <c r="R411" s="200">
        <f t="shared" si="2059"/>
        <v>0</v>
      </c>
      <c r="S411" s="200">
        <f t="shared" si="2059"/>
        <v>0</v>
      </c>
      <c r="T411" s="200">
        <f t="shared" si="2059"/>
        <v>0</v>
      </c>
      <c r="U411" s="200">
        <f t="shared" si="2059"/>
        <v>0</v>
      </c>
      <c r="V411" s="200">
        <f t="shared" si="2059"/>
        <v>0</v>
      </c>
      <c r="W411" s="200">
        <f t="shared" si="2059"/>
        <v>0</v>
      </c>
      <c r="X411" s="200">
        <f t="shared" si="2059"/>
        <v>0</v>
      </c>
      <c r="Y411" s="200">
        <f t="shared" si="2059"/>
        <v>0</v>
      </c>
      <c r="Z411" s="200">
        <f t="shared" si="2059"/>
        <v>0</v>
      </c>
      <c r="AA411" s="200">
        <f t="shared" si="2059"/>
        <v>0</v>
      </c>
      <c r="AB411" s="200">
        <f t="shared" si="2059"/>
        <v>0</v>
      </c>
      <c r="AC411" s="200">
        <f t="shared" si="2059"/>
        <v>0</v>
      </c>
      <c r="AD411" s="200">
        <f t="shared" si="11"/>
        <v>0</v>
      </c>
      <c r="AE411" s="200">
        <f t="shared" ref="AE411:AG411" si="2060">countif($D411,"*"&amp;AE$2&amp;"*")</f>
        <v>0</v>
      </c>
      <c r="AF411" s="200">
        <f t="shared" si="2060"/>
        <v>0</v>
      </c>
      <c r="AG411" s="200">
        <f t="shared" si="2060"/>
        <v>0</v>
      </c>
      <c r="AH411" s="171">
        <f t="shared" si="13"/>
        <v>0</v>
      </c>
      <c r="AI411" s="200">
        <f t="shared" si="14"/>
        <v>0</v>
      </c>
      <c r="AJ411" s="200">
        <f t="shared" si="1840"/>
        <v>0</v>
      </c>
      <c r="AK411" s="201">
        <f t="shared" ref="AK411:AS411" si="2061">countif($D411,"*"&amp;AK$2&amp;"*")</f>
        <v>0</v>
      </c>
      <c r="AL411" s="201">
        <f t="shared" si="2061"/>
        <v>0</v>
      </c>
      <c r="AM411" s="201">
        <f t="shared" si="2061"/>
        <v>0</v>
      </c>
      <c r="AN411" s="201">
        <f t="shared" si="2061"/>
        <v>0</v>
      </c>
      <c r="AO411" s="201">
        <f t="shared" si="2061"/>
        <v>0</v>
      </c>
      <c r="AP411" s="201">
        <f t="shared" si="2061"/>
        <v>0</v>
      </c>
      <c r="AQ411" s="201">
        <f t="shared" si="2061"/>
        <v>0</v>
      </c>
      <c r="AR411" s="200">
        <f t="shared" si="2061"/>
        <v>0</v>
      </c>
      <c r="AS411" s="200">
        <f t="shared" si="2061"/>
        <v>0</v>
      </c>
      <c r="AT411" s="173">
        <v>0.0</v>
      </c>
      <c r="AU411" s="200">
        <f t="shared" ref="AU411:AX411" si="2062">countif($D411,"*"&amp;AU$2&amp;"*")</f>
        <v>0</v>
      </c>
      <c r="AV411" s="200">
        <f t="shared" si="2062"/>
        <v>0</v>
      </c>
      <c r="AW411" s="200">
        <f t="shared" si="2062"/>
        <v>0</v>
      </c>
      <c r="AX411" s="200">
        <f t="shared" si="2062"/>
        <v>0</v>
      </c>
      <c r="AY411" s="202">
        <v>0.0</v>
      </c>
      <c r="AZ411" s="200"/>
      <c r="BA411" s="171" t="str">
        <f t="shared" si="18"/>
        <v>Archival</v>
      </c>
      <c r="BB411" s="171" t="str">
        <f t="shared" si="19"/>
        <v/>
      </c>
      <c r="BC411" s="171" t="str">
        <f t="shared" si="20"/>
        <v/>
      </c>
      <c r="BD411" s="171" t="str">
        <f t="shared" si="21"/>
        <v/>
      </c>
      <c r="BE411" s="171" t="str">
        <f t="shared" si="22"/>
        <v/>
      </c>
      <c r="BF411" s="171" t="str">
        <f t="shared" si="23"/>
        <v>Archival</v>
      </c>
    </row>
    <row r="412">
      <c r="A412" s="171">
        <f t="array" ref="A412">XLOOKUP(C412,ICSE!A:A,ICSE!C:C,,2,1)</f>
        <v>2020</v>
      </c>
      <c r="B412" s="171" t="s">
        <v>5675</v>
      </c>
      <c r="C412" s="160">
        <v>750.0</v>
      </c>
      <c r="D412" s="161" t="s">
        <v>1642</v>
      </c>
      <c r="E412" s="197" t="str">
        <f t="array" ref="E412">XLOOKUP(C412,ICSE!A:A,ICSE!Z:Z,,0,1)</f>
        <v>Publicly available (1)</v>
      </c>
      <c r="F412" s="198" t="s">
        <v>20</v>
      </c>
      <c r="G412" s="163" t="str">
        <f t="array" ref="G412">IF(B412="ICSE",IF(COUNTIFS(B:B,B412,C:C,C412)=XLOOKUP(C412,ICSE!A:A,ICSE!AA:AA,"ERROR",0,1),"OK","ERROR"),IF(B412="FSE",IF(COUNTIFS(B:B,B412,C:C,C412)=XLOOKUP(C412,FSE!A:A,FSE!AA:AA,"ERROR",0,1),"OK","ERROR")))</f>
        <v>OK</v>
      </c>
      <c r="H412" s="199">
        <f t="shared" ref="H412:O412" si="2063">countif($D412,"*"&amp;H$2&amp;"*")</f>
        <v>0</v>
      </c>
      <c r="I412" s="200">
        <f t="shared" si="2063"/>
        <v>0</v>
      </c>
      <c r="J412" s="200">
        <f t="shared" si="2063"/>
        <v>0</v>
      </c>
      <c r="K412" s="200">
        <f t="shared" si="2063"/>
        <v>0</v>
      </c>
      <c r="L412" s="200">
        <f t="shared" si="2063"/>
        <v>0</v>
      </c>
      <c r="M412" s="200">
        <f t="shared" si="2063"/>
        <v>0</v>
      </c>
      <c r="N412" s="200">
        <f t="shared" si="2063"/>
        <v>0</v>
      </c>
      <c r="O412" s="200">
        <f t="shared" si="2063"/>
        <v>0</v>
      </c>
      <c r="P412" s="200">
        <f t="shared" si="9"/>
        <v>0</v>
      </c>
      <c r="Q412" s="200">
        <f t="shared" ref="Q412:AC412" si="2064">countif($D412,"*"&amp;Q$2&amp;"*")</f>
        <v>0</v>
      </c>
      <c r="R412" s="200">
        <f t="shared" si="2064"/>
        <v>0</v>
      </c>
      <c r="S412" s="200">
        <f t="shared" si="2064"/>
        <v>0</v>
      </c>
      <c r="T412" s="200">
        <f t="shared" si="2064"/>
        <v>0</v>
      </c>
      <c r="U412" s="200">
        <f t="shared" si="2064"/>
        <v>0</v>
      </c>
      <c r="V412" s="200">
        <f t="shared" si="2064"/>
        <v>0</v>
      </c>
      <c r="W412" s="200">
        <f t="shared" si="2064"/>
        <v>0</v>
      </c>
      <c r="X412" s="200">
        <f t="shared" si="2064"/>
        <v>0</v>
      </c>
      <c r="Y412" s="200">
        <f t="shared" si="2064"/>
        <v>0</v>
      </c>
      <c r="Z412" s="200">
        <f t="shared" si="2064"/>
        <v>0</v>
      </c>
      <c r="AA412" s="200">
        <f t="shared" si="2064"/>
        <v>0</v>
      </c>
      <c r="AB412" s="200">
        <f t="shared" si="2064"/>
        <v>0</v>
      </c>
      <c r="AC412" s="200">
        <f t="shared" si="2064"/>
        <v>0</v>
      </c>
      <c r="AD412" s="200">
        <f t="shared" si="11"/>
        <v>1</v>
      </c>
      <c r="AE412" s="200">
        <f t="shared" ref="AE412:AG412" si="2065">countif($D412,"*"&amp;AE$2&amp;"*")</f>
        <v>0</v>
      </c>
      <c r="AF412" s="200">
        <f t="shared" si="2065"/>
        <v>0</v>
      </c>
      <c r="AG412" s="200">
        <f t="shared" si="2065"/>
        <v>0</v>
      </c>
      <c r="AH412" s="171">
        <f t="shared" si="13"/>
        <v>0</v>
      </c>
      <c r="AI412" s="200">
        <f t="shared" si="14"/>
        <v>0</v>
      </c>
      <c r="AJ412" s="200">
        <f>SUM(AK412:AQ412)</f>
        <v>0</v>
      </c>
      <c r="AK412" s="201">
        <f t="shared" ref="AK412:AS412" si="2066">countif($D412,"*"&amp;AK$2&amp;"*")</f>
        <v>0</v>
      </c>
      <c r="AL412" s="201">
        <f t="shared" si="2066"/>
        <v>0</v>
      </c>
      <c r="AM412" s="201">
        <f t="shared" si="2066"/>
        <v>0</v>
      </c>
      <c r="AN412" s="201">
        <f t="shared" si="2066"/>
        <v>0</v>
      </c>
      <c r="AO412" s="201">
        <f t="shared" si="2066"/>
        <v>0</v>
      </c>
      <c r="AP412" s="201">
        <f t="shared" si="2066"/>
        <v>0</v>
      </c>
      <c r="AQ412" s="201">
        <f t="shared" si="2066"/>
        <v>0</v>
      </c>
      <c r="AR412" s="201">
        <f t="shared" si="2066"/>
        <v>0</v>
      </c>
      <c r="AS412" s="200">
        <f t="shared" si="2066"/>
        <v>0</v>
      </c>
      <c r="AT412" s="205">
        <v>0.0</v>
      </c>
      <c r="AU412" s="200">
        <f t="shared" ref="AU412:AX412" si="2067">countif($D412,"*"&amp;AU$2&amp;"*")</f>
        <v>1</v>
      </c>
      <c r="AV412" s="200">
        <f t="shared" si="2067"/>
        <v>0</v>
      </c>
      <c r="AW412" s="200">
        <f t="shared" si="2067"/>
        <v>0</v>
      </c>
      <c r="AX412" s="200">
        <f t="shared" si="2067"/>
        <v>0</v>
      </c>
      <c r="AY412" s="202">
        <v>0.0</v>
      </c>
      <c r="AZ412" s="200"/>
      <c r="BA412" s="171" t="str">
        <f t="shared" si="18"/>
        <v/>
      </c>
      <c r="BB412" s="171" t="str">
        <f t="shared" si="19"/>
        <v/>
      </c>
      <c r="BC412" s="171" t="str">
        <f t="shared" si="20"/>
        <v/>
      </c>
      <c r="BD412" s="171" t="str">
        <f t="shared" si="21"/>
        <v>Institutional</v>
      </c>
      <c r="BE412" s="171" t="str">
        <f t="shared" si="22"/>
        <v/>
      </c>
      <c r="BF412" s="171" t="str">
        <f t="shared" si="23"/>
        <v>Institutional</v>
      </c>
    </row>
    <row r="413">
      <c r="A413" s="171">
        <f t="array" ref="A413">XLOOKUP(C413,ICSE!A:A,ICSE!C:C,,2,1)</f>
        <v>2020</v>
      </c>
      <c r="B413" s="171" t="s">
        <v>5675</v>
      </c>
      <c r="C413" s="160">
        <v>751.0</v>
      </c>
      <c r="D413" s="208" t="s">
        <v>5873</v>
      </c>
      <c r="E413" s="197" t="str">
        <f t="array" ref="E413">XLOOKUP(C413,ICSE!A:A,ICSE!Z:Z,,0,1)</f>
        <v>Not available (1) - Broken link.</v>
      </c>
      <c r="F413" s="198" t="s">
        <v>21</v>
      </c>
      <c r="G413" s="163" t="str">
        <f t="array" ref="G413">IF(B413="ICSE",IF(COUNTIFS(B:B,B413,C:C,C413)=XLOOKUP(C413,ICSE!A:A,ICSE!AA:AA,"ERROR",0,1),"OK","ERROR"),IF(B413="FSE",IF(COUNTIFS(B:B,B413,C:C,C413)=XLOOKUP(C413,FSE!A:A,FSE!AA:AA,"ERROR",0,1),"OK","ERROR")))</f>
        <v>OK</v>
      </c>
      <c r="H413" s="199">
        <f t="shared" ref="H413:O413" si="2068">countif($D413,"*"&amp;H$2&amp;"*")</f>
        <v>0</v>
      </c>
      <c r="I413" s="200">
        <f t="shared" si="2068"/>
        <v>0</v>
      </c>
      <c r="J413" s="200">
        <f t="shared" si="2068"/>
        <v>0</v>
      </c>
      <c r="K413" s="200">
        <f t="shared" si="2068"/>
        <v>0</v>
      </c>
      <c r="L413" s="200">
        <f t="shared" si="2068"/>
        <v>0</v>
      </c>
      <c r="M413" s="200">
        <f t="shared" si="2068"/>
        <v>0</v>
      </c>
      <c r="N413" s="200">
        <f t="shared" si="2068"/>
        <v>0</v>
      </c>
      <c r="O413" s="200">
        <f t="shared" si="2068"/>
        <v>0</v>
      </c>
      <c r="P413" s="200">
        <f t="shared" si="9"/>
        <v>1</v>
      </c>
      <c r="Q413" s="200">
        <f t="shared" ref="Q413:AC413" si="2069">countif($D413,"*"&amp;Q$2&amp;"*")</f>
        <v>0</v>
      </c>
      <c r="R413" s="200">
        <f t="shared" si="2069"/>
        <v>0</v>
      </c>
      <c r="S413" s="200">
        <f t="shared" si="2069"/>
        <v>0</v>
      </c>
      <c r="T413" s="200">
        <f t="shared" si="2069"/>
        <v>0</v>
      </c>
      <c r="U413" s="200">
        <f t="shared" si="2069"/>
        <v>0</v>
      </c>
      <c r="V413" s="200">
        <f t="shared" si="2069"/>
        <v>0</v>
      </c>
      <c r="W413" s="200">
        <f t="shared" si="2069"/>
        <v>0</v>
      </c>
      <c r="X413" s="200">
        <f t="shared" si="2069"/>
        <v>0</v>
      </c>
      <c r="Y413" s="200">
        <f t="shared" si="2069"/>
        <v>0</v>
      </c>
      <c r="Z413" s="200">
        <f t="shared" si="2069"/>
        <v>0</v>
      </c>
      <c r="AA413" s="200">
        <f t="shared" si="2069"/>
        <v>0</v>
      </c>
      <c r="AB413" s="200">
        <f t="shared" si="2069"/>
        <v>0</v>
      </c>
      <c r="AC413" s="200">
        <f t="shared" si="2069"/>
        <v>0</v>
      </c>
      <c r="AD413" s="200">
        <f t="shared" si="11"/>
        <v>0</v>
      </c>
      <c r="AE413" s="200">
        <f t="shared" ref="AE413:AG413" si="2070">countif($D413,"*"&amp;AE$2&amp;"*")</f>
        <v>0</v>
      </c>
      <c r="AF413" s="200">
        <f t="shared" si="2070"/>
        <v>0</v>
      </c>
      <c r="AG413" s="200">
        <f t="shared" si="2070"/>
        <v>0</v>
      </c>
      <c r="AH413" s="171">
        <f t="shared" si="13"/>
        <v>0</v>
      </c>
      <c r="AI413" s="200">
        <f t="shared" si="14"/>
        <v>0</v>
      </c>
      <c r="AJ413" s="200">
        <f t="shared" ref="AJ413:AJ472" si="2076">SUM(AK413:AR413)</f>
        <v>0</v>
      </c>
      <c r="AK413" s="201">
        <f t="shared" ref="AK413:AS413" si="2071">countif($D413,"*"&amp;AK$2&amp;"*")</f>
        <v>0</v>
      </c>
      <c r="AL413" s="201">
        <f t="shared" si="2071"/>
        <v>0</v>
      </c>
      <c r="AM413" s="201">
        <f t="shared" si="2071"/>
        <v>0</v>
      </c>
      <c r="AN413" s="201">
        <f t="shared" si="2071"/>
        <v>0</v>
      </c>
      <c r="AO413" s="201">
        <f t="shared" si="2071"/>
        <v>0</v>
      </c>
      <c r="AP413" s="201">
        <f t="shared" si="2071"/>
        <v>0</v>
      </c>
      <c r="AQ413" s="201">
        <f t="shared" si="2071"/>
        <v>0</v>
      </c>
      <c r="AR413" s="200">
        <f t="shared" si="2071"/>
        <v>0</v>
      </c>
      <c r="AS413" s="200">
        <f t="shared" si="2071"/>
        <v>1</v>
      </c>
      <c r="AT413" s="173">
        <v>0.0</v>
      </c>
      <c r="AU413" s="209">
        <v>0.0</v>
      </c>
      <c r="AV413" s="200">
        <f t="shared" ref="AV413:AX413" si="2072">countif($D413,"*"&amp;AV$2&amp;"*")</f>
        <v>1</v>
      </c>
      <c r="AW413" s="200">
        <f t="shared" si="2072"/>
        <v>0</v>
      </c>
      <c r="AX413" s="200">
        <f t="shared" si="2072"/>
        <v>0</v>
      </c>
      <c r="AY413" s="202">
        <v>0.0</v>
      </c>
      <c r="AZ413" s="200"/>
      <c r="BA413" s="171" t="str">
        <f t="shared" si="18"/>
        <v/>
      </c>
      <c r="BB413" s="171" t="str">
        <f t="shared" si="19"/>
        <v>Code</v>
      </c>
      <c r="BC413" s="171" t="str">
        <f t="shared" si="20"/>
        <v/>
      </c>
      <c r="BD413" s="171" t="str">
        <f t="shared" si="21"/>
        <v/>
      </c>
      <c r="BE413" s="171" t="str">
        <f t="shared" si="22"/>
        <v/>
      </c>
      <c r="BF413" s="171" t="str">
        <f t="shared" si="23"/>
        <v>Code</v>
      </c>
    </row>
    <row r="414">
      <c r="A414" s="171">
        <f t="array" ref="A414">XLOOKUP(C414,ICSE!A:A,ICSE!C:C,,2,1)</f>
        <v>2020</v>
      </c>
      <c r="B414" s="171" t="s">
        <v>5675</v>
      </c>
      <c r="C414" s="160">
        <v>752.0</v>
      </c>
      <c r="D414" s="161" t="s">
        <v>1649</v>
      </c>
      <c r="E414" s="197" t="str">
        <f t="array" ref="E414">XLOOKUP(C414,ICSE!A:A,ICSE!Z:Z,,0,1)</f>
        <v>Publicly available (1)</v>
      </c>
      <c r="F414" s="198" t="s">
        <v>20</v>
      </c>
      <c r="G414" s="163" t="str">
        <f t="array" ref="G414">IF(B414="ICSE",IF(COUNTIFS(B:B,B414,C:C,C414)=XLOOKUP(C414,ICSE!A:A,ICSE!AA:AA,"ERROR",0,1),"OK","ERROR"),IF(B414="FSE",IF(COUNTIFS(B:B,B414,C:C,C414)=XLOOKUP(C414,FSE!A:A,FSE!AA:AA,"ERROR",0,1),"OK","ERROR")))</f>
        <v>OK</v>
      </c>
      <c r="H414" s="199">
        <f t="shared" ref="H414:O414" si="2073">countif($D414,"*"&amp;H$2&amp;"*")</f>
        <v>0</v>
      </c>
      <c r="I414" s="200">
        <f t="shared" si="2073"/>
        <v>0</v>
      </c>
      <c r="J414" s="200">
        <f t="shared" si="2073"/>
        <v>0</v>
      </c>
      <c r="K414" s="200">
        <f t="shared" si="2073"/>
        <v>0</v>
      </c>
      <c r="L414" s="200">
        <f t="shared" si="2073"/>
        <v>0</v>
      </c>
      <c r="M414" s="200">
        <f t="shared" si="2073"/>
        <v>0</v>
      </c>
      <c r="N414" s="200">
        <f t="shared" si="2073"/>
        <v>0</v>
      </c>
      <c r="O414" s="200">
        <f t="shared" si="2073"/>
        <v>0</v>
      </c>
      <c r="P414" s="200">
        <f t="shared" si="9"/>
        <v>1</v>
      </c>
      <c r="Q414" s="200">
        <f t="shared" ref="Q414:AC414" si="2074">countif($D414,"*"&amp;Q$2&amp;"*")</f>
        <v>0</v>
      </c>
      <c r="R414" s="200">
        <f t="shared" si="2074"/>
        <v>0</v>
      </c>
      <c r="S414" s="200">
        <f t="shared" si="2074"/>
        <v>0</v>
      </c>
      <c r="T414" s="200">
        <f t="shared" si="2074"/>
        <v>0</v>
      </c>
      <c r="U414" s="200">
        <f t="shared" si="2074"/>
        <v>0</v>
      </c>
      <c r="V414" s="200">
        <f t="shared" si="2074"/>
        <v>0</v>
      </c>
      <c r="W414" s="200">
        <f t="shared" si="2074"/>
        <v>0</v>
      </c>
      <c r="X414" s="200">
        <f t="shared" si="2074"/>
        <v>0</v>
      </c>
      <c r="Y414" s="200">
        <f t="shared" si="2074"/>
        <v>0</v>
      </c>
      <c r="Z414" s="200">
        <f t="shared" si="2074"/>
        <v>0</v>
      </c>
      <c r="AA414" s="200">
        <f t="shared" si="2074"/>
        <v>0</v>
      </c>
      <c r="AB414" s="200">
        <f t="shared" si="2074"/>
        <v>0</v>
      </c>
      <c r="AC414" s="200">
        <f t="shared" si="2074"/>
        <v>0</v>
      </c>
      <c r="AD414" s="200">
        <f t="shared" si="11"/>
        <v>0</v>
      </c>
      <c r="AE414" s="200">
        <f t="shared" ref="AE414:AG414" si="2075">countif($D414,"*"&amp;AE$2&amp;"*")</f>
        <v>0</v>
      </c>
      <c r="AF414" s="200">
        <f t="shared" si="2075"/>
        <v>0</v>
      </c>
      <c r="AG414" s="200">
        <f t="shared" si="2075"/>
        <v>0</v>
      </c>
      <c r="AH414" s="171">
        <f t="shared" si="13"/>
        <v>0</v>
      </c>
      <c r="AI414" s="200">
        <f t="shared" si="14"/>
        <v>0</v>
      </c>
      <c r="AJ414" s="200">
        <f t="shared" si="2076"/>
        <v>0</v>
      </c>
      <c r="AK414" s="201">
        <f t="shared" ref="AK414:AS414" si="2077">countif($D414,"*"&amp;AK$2&amp;"*")</f>
        <v>0</v>
      </c>
      <c r="AL414" s="201">
        <f t="shared" si="2077"/>
        <v>0</v>
      </c>
      <c r="AM414" s="201">
        <f t="shared" si="2077"/>
        <v>0</v>
      </c>
      <c r="AN414" s="201">
        <f t="shared" si="2077"/>
        <v>0</v>
      </c>
      <c r="AO414" s="201">
        <f t="shared" si="2077"/>
        <v>0</v>
      </c>
      <c r="AP414" s="201">
        <f t="shared" si="2077"/>
        <v>0</v>
      </c>
      <c r="AQ414" s="201">
        <f t="shared" si="2077"/>
        <v>0</v>
      </c>
      <c r="AR414" s="200">
        <f t="shared" si="2077"/>
        <v>0</v>
      </c>
      <c r="AS414" s="200">
        <f t="shared" si="2077"/>
        <v>0</v>
      </c>
      <c r="AT414" s="173">
        <v>0.0</v>
      </c>
      <c r="AU414" s="200">
        <f t="shared" ref="AU414:AX414" si="2078">countif($D414,"*"&amp;AU$2&amp;"*")</f>
        <v>0</v>
      </c>
      <c r="AV414" s="200">
        <f t="shared" si="2078"/>
        <v>1</v>
      </c>
      <c r="AW414" s="200">
        <f t="shared" si="2078"/>
        <v>0</v>
      </c>
      <c r="AX414" s="200">
        <f t="shared" si="2078"/>
        <v>0</v>
      </c>
      <c r="AY414" s="202">
        <v>0.0</v>
      </c>
      <c r="AZ414" s="200"/>
      <c r="BA414" s="171" t="str">
        <f t="shared" si="18"/>
        <v/>
      </c>
      <c r="BB414" s="171" t="str">
        <f t="shared" si="19"/>
        <v>Code</v>
      </c>
      <c r="BC414" s="171" t="str">
        <f t="shared" si="20"/>
        <v/>
      </c>
      <c r="BD414" s="171" t="str">
        <f t="shared" si="21"/>
        <v/>
      </c>
      <c r="BE414" s="171" t="str">
        <f t="shared" si="22"/>
        <v/>
      </c>
      <c r="BF414" s="171" t="str">
        <f t="shared" si="23"/>
        <v>Code</v>
      </c>
    </row>
    <row r="415">
      <c r="A415" s="171">
        <f t="array" ref="A415">XLOOKUP(C415,ICSE!A:A,ICSE!C:C,,2,1)</f>
        <v>2020</v>
      </c>
      <c r="B415" s="171" t="s">
        <v>5675</v>
      </c>
      <c r="C415" s="160">
        <v>753.0</v>
      </c>
      <c r="D415" s="161" t="s">
        <v>1653</v>
      </c>
      <c r="E415" s="197" t="str">
        <f t="array" ref="E415">XLOOKUP(C415,ICSE!A:A,ICSE!Z:Z,,0,1)</f>
        <v>Publicly available (1)</v>
      </c>
      <c r="F415" s="198" t="s">
        <v>20</v>
      </c>
      <c r="G415" s="163" t="str">
        <f t="array" ref="G415">IF(B415="ICSE",IF(COUNTIFS(B:B,B415,C:C,C415)=XLOOKUP(C415,ICSE!A:A,ICSE!AA:AA,"ERROR",0,1),"OK","ERROR"),IF(B415="FSE",IF(COUNTIFS(B:B,B415,C:C,C415)=XLOOKUP(C415,FSE!A:A,FSE!AA:AA,"ERROR",0,1),"OK","ERROR")))</f>
        <v>OK</v>
      </c>
      <c r="H415" s="199">
        <f t="shared" ref="H415:O415" si="2079">countif($D415,"*"&amp;H$2&amp;"*")</f>
        <v>0</v>
      </c>
      <c r="I415" s="200">
        <f t="shared" si="2079"/>
        <v>0</v>
      </c>
      <c r="J415" s="200">
        <f t="shared" si="2079"/>
        <v>1</v>
      </c>
      <c r="K415" s="200">
        <f t="shared" si="2079"/>
        <v>0</v>
      </c>
      <c r="L415" s="200">
        <f t="shared" si="2079"/>
        <v>0</v>
      </c>
      <c r="M415" s="200">
        <f t="shared" si="2079"/>
        <v>0</v>
      </c>
      <c r="N415" s="200">
        <f t="shared" si="2079"/>
        <v>0</v>
      </c>
      <c r="O415" s="200">
        <f t="shared" si="2079"/>
        <v>0</v>
      </c>
      <c r="P415" s="200">
        <f t="shared" si="9"/>
        <v>0</v>
      </c>
      <c r="Q415" s="200">
        <f t="shared" ref="Q415:AC415" si="2080">countif($D415,"*"&amp;Q$2&amp;"*")</f>
        <v>0</v>
      </c>
      <c r="R415" s="200">
        <f t="shared" si="2080"/>
        <v>0</v>
      </c>
      <c r="S415" s="200">
        <f t="shared" si="2080"/>
        <v>0</v>
      </c>
      <c r="T415" s="200">
        <f t="shared" si="2080"/>
        <v>0</v>
      </c>
      <c r="U415" s="200">
        <f t="shared" si="2080"/>
        <v>0</v>
      </c>
      <c r="V415" s="200">
        <f t="shared" si="2080"/>
        <v>0</v>
      </c>
      <c r="W415" s="200">
        <f t="shared" si="2080"/>
        <v>0</v>
      </c>
      <c r="X415" s="200">
        <f t="shared" si="2080"/>
        <v>0</v>
      </c>
      <c r="Y415" s="200">
        <f t="shared" si="2080"/>
        <v>0</v>
      </c>
      <c r="Z415" s="200">
        <f t="shared" si="2080"/>
        <v>0</v>
      </c>
      <c r="AA415" s="200">
        <f t="shared" si="2080"/>
        <v>0</v>
      </c>
      <c r="AB415" s="200">
        <f t="shared" si="2080"/>
        <v>0</v>
      </c>
      <c r="AC415" s="200">
        <f t="shared" si="2080"/>
        <v>0</v>
      </c>
      <c r="AD415" s="200">
        <f t="shared" si="11"/>
        <v>0</v>
      </c>
      <c r="AE415" s="200">
        <f t="shared" ref="AE415:AG415" si="2081">countif($D415,"*"&amp;AE$2&amp;"*")</f>
        <v>0</v>
      </c>
      <c r="AF415" s="200">
        <f t="shared" si="2081"/>
        <v>0</v>
      </c>
      <c r="AG415" s="200">
        <f t="shared" si="2081"/>
        <v>0</v>
      </c>
      <c r="AH415" s="171">
        <f t="shared" si="13"/>
        <v>0</v>
      </c>
      <c r="AI415" s="200">
        <f t="shared" si="14"/>
        <v>1</v>
      </c>
      <c r="AJ415" s="200">
        <f t="shared" si="2076"/>
        <v>0</v>
      </c>
      <c r="AK415" s="201">
        <f t="shared" ref="AK415:AS415" si="2082">countif($D415,"*"&amp;AK$2&amp;"*")</f>
        <v>0</v>
      </c>
      <c r="AL415" s="201">
        <f t="shared" si="2082"/>
        <v>0</v>
      </c>
      <c r="AM415" s="201">
        <f t="shared" si="2082"/>
        <v>0</v>
      </c>
      <c r="AN415" s="201">
        <f t="shared" si="2082"/>
        <v>0</v>
      </c>
      <c r="AO415" s="201">
        <f t="shared" si="2082"/>
        <v>0</v>
      </c>
      <c r="AP415" s="201">
        <f t="shared" si="2082"/>
        <v>0</v>
      </c>
      <c r="AQ415" s="201">
        <f t="shared" si="2082"/>
        <v>0</v>
      </c>
      <c r="AR415" s="200">
        <f t="shared" si="2082"/>
        <v>0</v>
      </c>
      <c r="AS415" s="200">
        <f t="shared" si="2082"/>
        <v>0</v>
      </c>
      <c r="AT415" s="173">
        <v>0.0</v>
      </c>
      <c r="AU415" s="200">
        <f t="shared" ref="AU415:AX415" si="2083">countif($D415,"*"&amp;AU$2&amp;"*")</f>
        <v>0</v>
      </c>
      <c r="AV415" s="200">
        <f t="shared" si="2083"/>
        <v>0</v>
      </c>
      <c r="AW415" s="200">
        <f t="shared" si="2083"/>
        <v>0</v>
      </c>
      <c r="AX415" s="200">
        <f t="shared" si="2083"/>
        <v>0</v>
      </c>
      <c r="AY415" s="204">
        <v>1.0</v>
      </c>
      <c r="AZ415" s="200"/>
      <c r="BA415" s="171" t="str">
        <f t="shared" si="18"/>
        <v>Archival</v>
      </c>
      <c r="BB415" s="171" t="str">
        <f t="shared" si="19"/>
        <v/>
      </c>
      <c r="BC415" s="171" t="str">
        <f t="shared" si="20"/>
        <v/>
      </c>
      <c r="BD415" s="171" t="str">
        <f t="shared" si="21"/>
        <v/>
      </c>
      <c r="BE415" s="171" t="str">
        <f t="shared" si="22"/>
        <v/>
      </c>
      <c r="BF415" s="171" t="str">
        <f t="shared" si="23"/>
        <v>Archival</v>
      </c>
    </row>
    <row r="416">
      <c r="A416" s="171">
        <f t="array" ref="A416">XLOOKUP(C416,ICSE!A:A,ICSE!C:C,,2,1)</f>
        <v>2020</v>
      </c>
      <c r="B416" s="171" t="s">
        <v>5675</v>
      </c>
      <c r="C416" s="160">
        <v>755.0</v>
      </c>
      <c r="D416" s="161" t="s">
        <v>1657</v>
      </c>
      <c r="E416" s="197" t="str">
        <f t="array" ref="E416">XLOOKUP(C416,ICSE!A:A,ICSE!Z:Z,,0,1)</f>
        <v>Publicly available (1)</v>
      </c>
      <c r="F416" s="198" t="s">
        <v>20</v>
      </c>
      <c r="G416" s="163" t="str">
        <f t="array" ref="G416">IF(B416="ICSE",IF(COUNTIFS(B:B,B416,C:C,C416)=XLOOKUP(C416,ICSE!A:A,ICSE!AA:AA,"ERROR",0,1),"OK","ERROR"),IF(B416="FSE",IF(COUNTIFS(B:B,B416,C:C,C416)=XLOOKUP(C416,FSE!A:A,FSE!AA:AA,"ERROR",0,1),"OK","ERROR")))</f>
        <v>OK</v>
      </c>
      <c r="H416" s="199">
        <f t="shared" ref="H416:O416" si="2084">countif($D416,"*"&amp;H$2&amp;"*")</f>
        <v>0</v>
      </c>
      <c r="I416" s="200">
        <f t="shared" si="2084"/>
        <v>0</v>
      </c>
      <c r="J416" s="200">
        <f t="shared" si="2084"/>
        <v>0</v>
      </c>
      <c r="K416" s="200">
        <f t="shared" si="2084"/>
        <v>0</v>
      </c>
      <c r="L416" s="200">
        <f t="shared" si="2084"/>
        <v>0</v>
      </c>
      <c r="M416" s="200">
        <f t="shared" si="2084"/>
        <v>0</v>
      </c>
      <c r="N416" s="200">
        <f t="shared" si="2084"/>
        <v>0</v>
      </c>
      <c r="O416" s="200">
        <f t="shared" si="2084"/>
        <v>0</v>
      </c>
      <c r="P416" s="200">
        <f t="shared" si="9"/>
        <v>0</v>
      </c>
      <c r="Q416" s="200">
        <f t="shared" ref="Q416:AC416" si="2085">countif($D416,"*"&amp;Q$2&amp;"*")</f>
        <v>0</v>
      </c>
      <c r="R416" s="200">
        <f t="shared" si="2085"/>
        <v>0</v>
      </c>
      <c r="S416" s="200">
        <f t="shared" si="2085"/>
        <v>0</v>
      </c>
      <c r="T416" s="200">
        <f t="shared" si="2085"/>
        <v>0</v>
      </c>
      <c r="U416" s="200">
        <f t="shared" si="2085"/>
        <v>0</v>
      </c>
      <c r="V416" s="200">
        <f t="shared" si="2085"/>
        <v>0</v>
      </c>
      <c r="W416" s="200">
        <f t="shared" si="2085"/>
        <v>0</v>
      </c>
      <c r="X416" s="200">
        <f t="shared" si="2085"/>
        <v>0</v>
      </c>
      <c r="Y416" s="200">
        <f t="shared" si="2085"/>
        <v>0</v>
      </c>
      <c r="Z416" s="200">
        <f t="shared" si="2085"/>
        <v>0</v>
      </c>
      <c r="AA416" s="200">
        <f t="shared" si="2085"/>
        <v>1</v>
      </c>
      <c r="AB416" s="200">
        <f t="shared" si="2085"/>
        <v>0</v>
      </c>
      <c r="AC416" s="200">
        <f t="shared" si="2085"/>
        <v>0</v>
      </c>
      <c r="AD416" s="200">
        <f t="shared" si="11"/>
        <v>0</v>
      </c>
      <c r="AE416" s="200">
        <f t="shared" ref="AE416:AG416" si="2086">countif($D416,"*"&amp;AE$2&amp;"*")</f>
        <v>0</v>
      </c>
      <c r="AF416" s="200">
        <f t="shared" si="2086"/>
        <v>0</v>
      </c>
      <c r="AG416" s="200">
        <f t="shared" si="2086"/>
        <v>0</v>
      </c>
      <c r="AH416" s="171">
        <f t="shared" si="13"/>
        <v>0</v>
      </c>
      <c r="AI416" s="200">
        <f t="shared" si="14"/>
        <v>0</v>
      </c>
      <c r="AJ416" s="200">
        <f t="shared" si="2076"/>
        <v>0</v>
      </c>
      <c r="AK416" s="201">
        <f t="shared" ref="AK416:AS416" si="2087">countif($D416,"*"&amp;AK$2&amp;"*")</f>
        <v>0</v>
      </c>
      <c r="AL416" s="201">
        <f t="shared" si="2087"/>
        <v>0</v>
      </c>
      <c r="AM416" s="201">
        <f t="shared" si="2087"/>
        <v>0</v>
      </c>
      <c r="AN416" s="201">
        <f t="shared" si="2087"/>
        <v>0</v>
      </c>
      <c r="AO416" s="201">
        <f t="shared" si="2087"/>
        <v>0</v>
      </c>
      <c r="AP416" s="201">
        <f t="shared" si="2087"/>
        <v>0</v>
      </c>
      <c r="AQ416" s="201">
        <f t="shared" si="2087"/>
        <v>0</v>
      </c>
      <c r="AR416" s="200">
        <f t="shared" si="2087"/>
        <v>0</v>
      </c>
      <c r="AS416" s="200">
        <f t="shared" si="2087"/>
        <v>0</v>
      </c>
      <c r="AT416" s="173">
        <v>0.0</v>
      </c>
      <c r="AU416" s="200">
        <f t="shared" ref="AU416:AX416" si="2088">countif($D416,"*"&amp;AU$2&amp;"*")</f>
        <v>0</v>
      </c>
      <c r="AV416" s="200">
        <f t="shared" si="2088"/>
        <v>0</v>
      </c>
      <c r="AW416" s="200">
        <f t="shared" si="2088"/>
        <v>0</v>
      </c>
      <c r="AX416" s="200">
        <f t="shared" si="2088"/>
        <v>0</v>
      </c>
      <c r="AY416" s="202">
        <v>0.0</v>
      </c>
      <c r="AZ416" s="200"/>
      <c r="BA416" s="171" t="str">
        <f t="shared" si="18"/>
        <v/>
      </c>
      <c r="BB416" s="171" t="str">
        <f t="shared" si="19"/>
        <v/>
      </c>
      <c r="BC416" s="171" t="str">
        <f t="shared" si="20"/>
        <v>General-purpose</v>
      </c>
      <c r="BD416" s="171" t="str">
        <f t="shared" si="21"/>
        <v/>
      </c>
      <c r="BE416" s="171" t="str">
        <f t="shared" si="22"/>
        <v/>
      </c>
      <c r="BF416" s="171" t="str">
        <f t="shared" si="23"/>
        <v>General-purpose</v>
      </c>
    </row>
    <row r="417">
      <c r="A417" s="171">
        <f t="array" ref="A417">XLOOKUP(C417,ICSE!A:A,ICSE!C:C,,2,1)</f>
        <v>2020</v>
      </c>
      <c r="B417" s="171" t="s">
        <v>5675</v>
      </c>
      <c r="C417" s="160">
        <v>756.0</v>
      </c>
      <c r="D417" s="161" t="s">
        <v>5874</v>
      </c>
      <c r="E417" s="197" t="str">
        <f t="array" ref="E417">XLOOKUP(C417,ICSE!A:A,ICSE!Z:Z,,0,1)</f>
        <v>Not available (1) - Broken link.
Publicly available (1)</v>
      </c>
      <c r="F417" s="198" t="s">
        <v>20</v>
      </c>
      <c r="G417" s="163" t="str">
        <f t="array" ref="G417">IF(B417="ICSE",IF(COUNTIFS(B:B,B417,C:C,C417)=XLOOKUP(C417,ICSE!A:A,ICSE!AA:AA,"ERROR",0,1),"OK","ERROR"),IF(B417="FSE",IF(COUNTIFS(B:B,B417,C:C,C417)=XLOOKUP(C417,FSE!A:A,FSE!AA:AA,"ERROR",0,1),"OK","ERROR")))</f>
        <v>OK</v>
      </c>
      <c r="H417" s="199">
        <f t="shared" ref="H417:O417" si="2089">countif($D417,"*"&amp;H$2&amp;"*")</f>
        <v>0</v>
      </c>
      <c r="I417" s="200">
        <f t="shared" si="2089"/>
        <v>0</v>
      </c>
      <c r="J417" s="200">
        <f t="shared" si="2089"/>
        <v>0</v>
      </c>
      <c r="K417" s="200">
        <f t="shared" si="2089"/>
        <v>0</v>
      </c>
      <c r="L417" s="200">
        <f t="shared" si="2089"/>
        <v>0</v>
      </c>
      <c r="M417" s="200">
        <f t="shared" si="2089"/>
        <v>0</v>
      </c>
      <c r="N417" s="200">
        <f t="shared" si="2089"/>
        <v>0</v>
      </c>
      <c r="O417" s="200">
        <f t="shared" si="2089"/>
        <v>0</v>
      </c>
      <c r="P417" s="200">
        <f t="shared" si="9"/>
        <v>0</v>
      </c>
      <c r="Q417" s="200">
        <f t="shared" ref="Q417:AC417" si="2090">countif($D417,"*"&amp;Q$2&amp;"*")</f>
        <v>0</v>
      </c>
      <c r="R417" s="200">
        <f t="shared" si="2090"/>
        <v>0</v>
      </c>
      <c r="S417" s="200">
        <f t="shared" si="2090"/>
        <v>1</v>
      </c>
      <c r="T417" s="200">
        <f t="shared" si="2090"/>
        <v>0</v>
      </c>
      <c r="U417" s="200">
        <f t="shared" si="2090"/>
        <v>0</v>
      </c>
      <c r="V417" s="200">
        <f t="shared" si="2090"/>
        <v>0</v>
      </c>
      <c r="W417" s="200">
        <f t="shared" si="2090"/>
        <v>0</v>
      </c>
      <c r="X417" s="200">
        <f t="shared" si="2090"/>
        <v>0</v>
      </c>
      <c r="Y417" s="200">
        <f t="shared" si="2090"/>
        <v>0</v>
      </c>
      <c r="Z417" s="200">
        <f t="shared" si="2090"/>
        <v>0</v>
      </c>
      <c r="AA417" s="200">
        <f t="shared" si="2090"/>
        <v>0</v>
      </c>
      <c r="AB417" s="200">
        <f t="shared" si="2090"/>
        <v>0</v>
      </c>
      <c r="AC417" s="200">
        <f t="shared" si="2090"/>
        <v>0</v>
      </c>
      <c r="AD417" s="200">
        <f t="shared" si="11"/>
        <v>0</v>
      </c>
      <c r="AE417" s="200">
        <f t="shared" ref="AE417:AG417" si="2091">countif($D417,"*"&amp;AE$2&amp;"*")</f>
        <v>0</v>
      </c>
      <c r="AF417" s="200">
        <f t="shared" si="2091"/>
        <v>0</v>
      </c>
      <c r="AG417" s="200">
        <f t="shared" si="2091"/>
        <v>0</v>
      </c>
      <c r="AH417" s="171">
        <f t="shared" si="13"/>
        <v>0</v>
      </c>
      <c r="AI417" s="200">
        <f t="shared" si="14"/>
        <v>0</v>
      </c>
      <c r="AJ417" s="200">
        <f t="shared" si="2076"/>
        <v>0</v>
      </c>
      <c r="AK417" s="201">
        <f t="shared" ref="AK417:AS417" si="2092">countif($D417,"*"&amp;AK$2&amp;"*")</f>
        <v>0</v>
      </c>
      <c r="AL417" s="201">
        <f t="shared" si="2092"/>
        <v>0</v>
      </c>
      <c r="AM417" s="201">
        <f t="shared" si="2092"/>
        <v>0</v>
      </c>
      <c r="AN417" s="201">
        <f t="shared" si="2092"/>
        <v>0</v>
      </c>
      <c r="AO417" s="201">
        <f t="shared" si="2092"/>
        <v>0</v>
      </c>
      <c r="AP417" s="201">
        <f t="shared" si="2092"/>
        <v>0</v>
      </c>
      <c r="AQ417" s="201">
        <f t="shared" si="2092"/>
        <v>0</v>
      </c>
      <c r="AR417" s="200">
        <f t="shared" si="2092"/>
        <v>0</v>
      </c>
      <c r="AS417" s="200">
        <f t="shared" si="2092"/>
        <v>0</v>
      </c>
      <c r="AT417" s="173">
        <v>0.0</v>
      </c>
      <c r="AU417" s="200">
        <f t="shared" ref="AU417:AX417" si="2093">countif($D417,"*"&amp;AU$2&amp;"*")</f>
        <v>0</v>
      </c>
      <c r="AV417" s="200">
        <f t="shared" si="2093"/>
        <v>0</v>
      </c>
      <c r="AW417" s="200">
        <f t="shared" si="2093"/>
        <v>0</v>
      </c>
      <c r="AX417" s="200">
        <f t="shared" si="2093"/>
        <v>0</v>
      </c>
      <c r="AY417" s="202">
        <v>0.0</v>
      </c>
      <c r="AZ417" s="200"/>
      <c r="BA417" s="171" t="str">
        <f t="shared" si="18"/>
        <v/>
      </c>
      <c r="BB417" s="171" t="str">
        <f t="shared" si="19"/>
        <v>Code</v>
      </c>
      <c r="BC417" s="171" t="str">
        <f t="shared" si="20"/>
        <v/>
      </c>
      <c r="BD417" s="171" t="str">
        <f t="shared" si="21"/>
        <v/>
      </c>
      <c r="BE417" s="171" t="str">
        <f t="shared" si="22"/>
        <v/>
      </c>
      <c r="BF417" s="171" t="str">
        <f t="shared" si="23"/>
        <v>Code</v>
      </c>
    </row>
    <row r="418">
      <c r="A418" s="171">
        <f t="array" ref="A418">XLOOKUP(C418,ICSE!A:A,ICSE!C:C,,2,1)</f>
        <v>2020</v>
      </c>
      <c r="B418" s="171" t="s">
        <v>5675</v>
      </c>
      <c r="C418" s="160">
        <v>756.0</v>
      </c>
      <c r="D418" s="161" t="s">
        <v>5875</v>
      </c>
      <c r="E418" s="197" t="str">
        <f t="array" ref="E418">XLOOKUP(C418,ICSE!A:A,ICSE!Z:Z,,0,1)</f>
        <v>Not available (1) - Broken link.
Publicly available (1)</v>
      </c>
      <c r="F418" s="198" t="s">
        <v>21</v>
      </c>
      <c r="G418" s="163" t="str">
        <f t="array" ref="G418">IF(B418="ICSE",IF(COUNTIFS(B:B,B418,C:C,C418)=XLOOKUP(C418,ICSE!A:A,ICSE!AA:AA,"ERROR",0,1),"OK","ERROR"),IF(B418="FSE",IF(COUNTIFS(B:B,B418,C:C,C418)=XLOOKUP(C418,FSE!A:A,FSE!AA:AA,"ERROR",0,1),"OK","ERROR")))</f>
        <v>OK</v>
      </c>
      <c r="H418" s="199">
        <f t="shared" ref="H418:O418" si="2094">countif($D418,"*"&amp;H$2&amp;"*")</f>
        <v>0</v>
      </c>
      <c r="I418" s="200">
        <f t="shared" si="2094"/>
        <v>1</v>
      </c>
      <c r="J418" s="200">
        <f t="shared" si="2094"/>
        <v>0</v>
      </c>
      <c r="K418" s="200">
        <f t="shared" si="2094"/>
        <v>0</v>
      </c>
      <c r="L418" s="200">
        <f t="shared" si="2094"/>
        <v>0</v>
      </c>
      <c r="M418" s="200">
        <f t="shared" si="2094"/>
        <v>0</v>
      </c>
      <c r="N418" s="200">
        <f t="shared" si="2094"/>
        <v>0</v>
      </c>
      <c r="O418" s="200">
        <f t="shared" si="2094"/>
        <v>0</v>
      </c>
      <c r="P418" s="200">
        <f t="shared" si="9"/>
        <v>0</v>
      </c>
      <c r="Q418" s="200">
        <f t="shared" ref="Q418:AC418" si="2095">countif($D418,"*"&amp;Q$2&amp;"*")</f>
        <v>0</v>
      </c>
      <c r="R418" s="200">
        <f t="shared" si="2095"/>
        <v>0</v>
      </c>
      <c r="S418" s="200">
        <f t="shared" si="2095"/>
        <v>0</v>
      </c>
      <c r="T418" s="200">
        <f t="shared" si="2095"/>
        <v>0</v>
      </c>
      <c r="U418" s="200">
        <f t="shared" si="2095"/>
        <v>0</v>
      </c>
      <c r="V418" s="200">
        <f t="shared" si="2095"/>
        <v>0</v>
      </c>
      <c r="W418" s="200">
        <f t="shared" si="2095"/>
        <v>0</v>
      </c>
      <c r="X418" s="200">
        <f t="shared" si="2095"/>
        <v>0</v>
      </c>
      <c r="Y418" s="200">
        <f t="shared" si="2095"/>
        <v>0</v>
      </c>
      <c r="Z418" s="200">
        <f t="shared" si="2095"/>
        <v>0</v>
      </c>
      <c r="AA418" s="200">
        <f t="shared" si="2095"/>
        <v>0</v>
      </c>
      <c r="AB418" s="200">
        <f t="shared" si="2095"/>
        <v>0</v>
      </c>
      <c r="AC418" s="200">
        <f t="shared" si="2095"/>
        <v>0</v>
      </c>
      <c r="AD418" s="200">
        <f t="shared" si="11"/>
        <v>0</v>
      </c>
      <c r="AE418" s="200">
        <f t="shared" ref="AE418:AG418" si="2096">countif($D418,"*"&amp;AE$2&amp;"*")</f>
        <v>0</v>
      </c>
      <c r="AF418" s="200">
        <f t="shared" si="2096"/>
        <v>0</v>
      </c>
      <c r="AG418" s="200">
        <f t="shared" si="2096"/>
        <v>0</v>
      </c>
      <c r="AH418" s="171">
        <f t="shared" si="13"/>
        <v>0</v>
      </c>
      <c r="AI418" s="200">
        <f t="shared" si="14"/>
        <v>1</v>
      </c>
      <c r="AJ418" s="200">
        <f t="shared" si="2076"/>
        <v>0</v>
      </c>
      <c r="AK418" s="201">
        <f t="shared" ref="AK418:AS418" si="2097">countif($D418,"*"&amp;AK$2&amp;"*")</f>
        <v>0</v>
      </c>
      <c r="AL418" s="201">
        <f t="shared" si="2097"/>
        <v>0</v>
      </c>
      <c r="AM418" s="201">
        <f t="shared" si="2097"/>
        <v>0</v>
      </c>
      <c r="AN418" s="201">
        <f t="shared" si="2097"/>
        <v>0</v>
      </c>
      <c r="AO418" s="201">
        <f t="shared" si="2097"/>
        <v>0</v>
      </c>
      <c r="AP418" s="201">
        <f t="shared" si="2097"/>
        <v>0</v>
      </c>
      <c r="AQ418" s="201">
        <f t="shared" si="2097"/>
        <v>0</v>
      </c>
      <c r="AR418" s="200">
        <f t="shared" si="2097"/>
        <v>0</v>
      </c>
      <c r="AS418" s="200">
        <f t="shared" si="2097"/>
        <v>0</v>
      </c>
      <c r="AT418" s="173">
        <v>0.0</v>
      </c>
      <c r="AU418" s="200">
        <f t="shared" ref="AU418:AX418" si="2098">countif($D418,"*"&amp;AU$2&amp;"*")</f>
        <v>0</v>
      </c>
      <c r="AV418" s="200">
        <f t="shared" si="2098"/>
        <v>0</v>
      </c>
      <c r="AW418" s="200">
        <f t="shared" si="2098"/>
        <v>0</v>
      </c>
      <c r="AX418" s="200">
        <f t="shared" si="2098"/>
        <v>0</v>
      </c>
      <c r="AY418" s="204">
        <v>1.0</v>
      </c>
      <c r="AZ418" s="200"/>
      <c r="BA418" s="171" t="str">
        <f t="shared" si="18"/>
        <v>Archival</v>
      </c>
      <c r="BB418" s="171" t="str">
        <f t="shared" si="19"/>
        <v/>
      </c>
      <c r="BC418" s="171" t="str">
        <f t="shared" si="20"/>
        <v/>
      </c>
      <c r="BD418" s="171" t="str">
        <f t="shared" si="21"/>
        <v/>
      </c>
      <c r="BE418" s="171" t="str">
        <f t="shared" si="22"/>
        <v/>
      </c>
      <c r="BF418" s="171" t="str">
        <f t="shared" si="23"/>
        <v>Archival</v>
      </c>
    </row>
    <row r="419">
      <c r="A419" s="171">
        <f t="array" ref="A419">XLOOKUP(C419,ICSE!A:A,ICSE!C:C,,2,1)</f>
        <v>2020</v>
      </c>
      <c r="B419" s="171" t="s">
        <v>5675</v>
      </c>
      <c r="C419" s="160">
        <v>757.0</v>
      </c>
      <c r="D419" s="161" t="s">
        <v>1664</v>
      </c>
      <c r="E419" s="197" t="str">
        <f t="array" ref="E419">XLOOKUP(C419,ICSE!A:A,ICSE!Z:Z,,0,1)</f>
        <v>Publicly available (1)</v>
      </c>
      <c r="F419" s="198" t="s">
        <v>20</v>
      </c>
      <c r="G419" s="163" t="str">
        <f t="array" ref="G419">IF(B419="ICSE",IF(COUNTIFS(B:B,B419,C:C,C419)=XLOOKUP(C419,ICSE!A:A,ICSE!AA:AA,"ERROR",0,1),"OK","ERROR"),IF(B419="FSE",IF(COUNTIFS(B:B,B419,C:C,C419)=XLOOKUP(C419,FSE!A:A,FSE!AA:AA,"ERROR",0,1),"OK","ERROR")))</f>
        <v>OK</v>
      </c>
      <c r="H419" s="199">
        <f t="shared" ref="H419:O419" si="2099">countif($D419,"*"&amp;H$2&amp;"*")</f>
        <v>0</v>
      </c>
      <c r="I419" s="200">
        <f t="shared" si="2099"/>
        <v>0</v>
      </c>
      <c r="J419" s="200">
        <f t="shared" si="2099"/>
        <v>0</v>
      </c>
      <c r="K419" s="200">
        <f t="shared" si="2099"/>
        <v>0</v>
      </c>
      <c r="L419" s="200">
        <f t="shared" si="2099"/>
        <v>0</v>
      </c>
      <c r="M419" s="200">
        <f t="shared" si="2099"/>
        <v>0</v>
      </c>
      <c r="N419" s="200">
        <f t="shared" si="2099"/>
        <v>0</v>
      </c>
      <c r="O419" s="200">
        <f t="shared" si="2099"/>
        <v>0</v>
      </c>
      <c r="P419" s="200">
        <f t="shared" si="9"/>
        <v>1</v>
      </c>
      <c r="Q419" s="200">
        <f t="shared" ref="Q419:AC419" si="2100">countif($D419,"*"&amp;Q$2&amp;"*")</f>
        <v>0</v>
      </c>
      <c r="R419" s="200">
        <f t="shared" si="2100"/>
        <v>0</v>
      </c>
      <c r="S419" s="200">
        <f t="shared" si="2100"/>
        <v>0</v>
      </c>
      <c r="T419" s="200">
        <f t="shared" si="2100"/>
        <v>0</v>
      </c>
      <c r="U419" s="200">
        <f t="shared" si="2100"/>
        <v>0</v>
      </c>
      <c r="V419" s="200">
        <f t="shared" si="2100"/>
        <v>0</v>
      </c>
      <c r="W419" s="200">
        <f t="shared" si="2100"/>
        <v>0</v>
      </c>
      <c r="X419" s="200">
        <f t="shared" si="2100"/>
        <v>0</v>
      </c>
      <c r="Y419" s="200">
        <f t="shared" si="2100"/>
        <v>0</v>
      </c>
      <c r="Z419" s="200">
        <f t="shared" si="2100"/>
        <v>0</v>
      </c>
      <c r="AA419" s="200">
        <f t="shared" si="2100"/>
        <v>0</v>
      </c>
      <c r="AB419" s="200">
        <f t="shared" si="2100"/>
        <v>0</v>
      </c>
      <c r="AC419" s="200">
        <f t="shared" si="2100"/>
        <v>0</v>
      </c>
      <c r="AD419" s="200">
        <f t="shared" si="11"/>
        <v>0</v>
      </c>
      <c r="AE419" s="200">
        <f t="shared" ref="AE419:AG419" si="2101">countif($D419,"*"&amp;AE$2&amp;"*")</f>
        <v>0</v>
      </c>
      <c r="AF419" s="200">
        <f t="shared" si="2101"/>
        <v>0</v>
      </c>
      <c r="AG419" s="200">
        <f t="shared" si="2101"/>
        <v>0</v>
      </c>
      <c r="AH419" s="171">
        <f t="shared" si="13"/>
        <v>0</v>
      </c>
      <c r="AI419" s="200">
        <f t="shared" si="14"/>
        <v>0</v>
      </c>
      <c r="AJ419" s="200">
        <f t="shared" si="2076"/>
        <v>0</v>
      </c>
      <c r="AK419" s="201">
        <f t="shared" ref="AK419:AS419" si="2102">countif($D419,"*"&amp;AK$2&amp;"*")</f>
        <v>0</v>
      </c>
      <c r="AL419" s="201">
        <f t="shared" si="2102"/>
        <v>0</v>
      </c>
      <c r="AM419" s="201">
        <f t="shared" si="2102"/>
        <v>0</v>
      </c>
      <c r="AN419" s="201">
        <f t="shared" si="2102"/>
        <v>0</v>
      </c>
      <c r="AO419" s="201">
        <f t="shared" si="2102"/>
        <v>0</v>
      </c>
      <c r="AP419" s="201">
        <f t="shared" si="2102"/>
        <v>0</v>
      </c>
      <c r="AQ419" s="201">
        <f t="shared" si="2102"/>
        <v>0</v>
      </c>
      <c r="AR419" s="200">
        <f t="shared" si="2102"/>
        <v>0</v>
      </c>
      <c r="AS419" s="200">
        <f t="shared" si="2102"/>
        <v>0</v>
      </c>
      <c r="AT419" s="173">
        <v>0.0</v>
      </c>
      <c r="AU419" s="200">
        <f t="shared" ref="AU419:AX419" si="2103">countif($D419,"*"&amp;AU$2&amp;"*")</f>
        <v>0</v>
      </c>
      <c r="AV419" s="200">
        <f t="shared" si="2103"/>
        <v>1</v>
      </c>
      <c r="AW419" s="200">
        <f t="shared" si="2103"/>
        <v>0</v>
      </c>
      <c r="AX419" s="200">
        <f t="shared" si="2103"/>
        <v>0</v>
      </c>
      <c r="AY419" s="202">
        <v>0.0</v>
      </c>
      <c r="AZ419" s="200"/>
      <c r="BA419" s="171" t="str">
        <f t="shared" si="18"/>
        <v/>
      </c>
      <c r="BB419" s="171" t="str">
        <f t="shared" si="19"/>
        <v>Code</v>
      </c>
      <c r="BC419" s="171" t="str">
        <f t="shared" si="20"/>
        <v/>
      </c>
      <c r="BD419" s="171" t="str">
        <f t="shared" si="21"/>
        <v/>
      </c>
      <c r="BE419" s="171" t="str">
        <f t="shared" si="22"/>
        <v/>
      </c>
      <c r="BF419" s="171" t="str">
        <f t="shared" si="23"/>
        <v>Code</v>
      </c>
    </row>
    <row r="420">
      <c r="A420" s="171">
        <f t="array" ref="A420">XLOOKUP(C420,ICSE!A:A,ICSE!C:C,,2,1)</f>
        <v>2020</v>
      </c>
      <c r="B420" s="171" t="s">
        <v>5675</v>
      </c>
      <c r="C420" s="160">
        <v>758.0</v>
      </c>
      <c r="D420" s="161" t="s">
        <v>1667</v>
      </c>
      <c r="E420" s="197" t="str">
        <f t="array" ref="E420">XLOOKUP(C420,ICSE!A:A,ICSE!Z:Z,,0,1)</f>
        <v>Not available (1) - Broken link.</v>
      </c>
      <c r="F420" s="198" t="s">
        <v>21</v>
      </c>
      <c r="G420" s="163" t="str">
        <f t="array" ref="G420">IF(B420="ICSE",IF(COUNTIFS(B:B,B420,C:C,C420)=XLOOKUP(C420,ICSE!A:A,ICSE!AA:AA,"ERROR",0,1),"OK","ERROR"),IF(B420="FSE",IF(COUNTIFS(B:B,B420,C:C,C420)=XLOOKUP(C420,FSE!A:A,FSE!AA:AA,"ERROR",0,1),"OK","ERROR")))</f>
        <v>OK</v>
      </c>
      <c r="H420" s="199">
        <f t="shared" ref="H420:O420" si="2104">countif($D420,"*"&amp;H$2&amp;"*")</f>
        <v>0</v>
      </c>
      <c r="I420" s="200">
        <f t="shared" si="2104"/>
        <v>0</v>
      </c>
      <c r="J420" s="200">
        <f t="shared" si="2104"/>
        <v>0</v>
      </c>
      <c r="K420" s="200">
        <f t="shared" si="2104"/>
        <v>0</v>
      </c>
      <c r="L420" s="200">
        <f t="shared" si="2104"/>
        <v>0</v>
      </c>
      <c r="M420" s="200">
        <f t="shared" si="2104"/>
        <v>0</v>
      </c>
      <c r="N420" s="200">
        <f t="shared" si="2104"/>
        <v>0</v>
      </c>
      <c r="O420" s="200">
        <f t="shared" si="2104"/>
        <v>0</v>
      </c>
      <c r="P420" s="200">
        <f t="shared" si="9"/>
        <v>1</v>
      </c>
      <c r="Q420" s="200">
        <f t="shared" ref="Q420:AC420" si="2105">countif($D420,"*"&amp;Q$2&amp;"*")</f>
        <v>0</v>
      </c>
      <c r="R420" s="200">
        <f t="shared" si="2105"/>
        <v>0</v>
      </c>
      <c r="S420" s="200">
        <f t="shared" si="2105"/>
        <v>0</v>
      </c>
      <c r="T420" s="200">
        <f t="shared" si="2105"/>
        <v>0</v>
      </c>
      <c r="U420" s="200">
        <f t="shared" si="2105"/>
        <v>0</v>
      </c>
      <c r="V420" s="200">
        <f t="shared" si="2105"/>
        <v>0</v>
      </c>
      <c r="W420" s="200">
        <f t="shared" si="2105"/>
        <v>0</v>
      </c>
      <c r="X420" s="200">
        <f t="shared" si="2105"/>
        <v>0</v>
      </c>
      <c r="Y420" s="200">
        <f t="shared" si="2105"/>
        <v>0</v>
      </c>
      <c r="Z420" s="200">
        <f t="shared" si="2105"/>
        <v>0</v>
      </c>
      <c r="AA420" s="200">
        <f t="shared" si="2105"/>
        <v>0</v>
      </c>
      <c r="AB420" s="200">
        <f t="shared" si="2105"/>
        <v>0</v>
      </c>
      <c r="AC420" s="200">
        <f t="shared" si="2105"/>
        <v>0</v>
      </c>
      <c r="AD420" s="200">
        <f t="shared" si="11"/>
        <v>0</v>
      </c>
      <c r="AE420" s="200">
        <f t="shared" ref="AE420:AG420" si="2106">countif($D420,"*"&amp;AE$2&amp;"*")</f>
        <v>0</v>
      </c>
      <c r="AF420" s="200">
        <f t="shared" si="2106"/>
        <v>0</v>
      </c>
      <c r="AG420" s="200">
        <f t="shared" si="2106"/>
        <v>0</v>
      </c>
      <c r="AH420" s="171">
        <f t="shared" si="13"/>
        <v>0</v>
      </c>
      <c r="AI420" s="200">
        <f t="shared" si="14"/>
        <v>0</v>
      </c>
      <c r="AJ420" s="200">
        <f t="shared" si="2076"/>
        <v>0</v>
      </c>
      <c r="AK420" s="201">
        <f t="shared" ref="AK420:AS420" si="2107">countif($D420,"*"&amp;AK$2&amp;"*")</f>
        <v>0</v>
      </c>
      <c r="AL420" s="201">
        <f t="shared" si="2107"/>
        <v>0</v>
      </c>
      <c r="AM420" s="201">
        <f t="shared" si="2107"/>
        <v>0</v>
      </c>
      <c r="AN420" s="201">
        <f t="shared" si="2107"/>
        <v>0</v>
      </c>
      <c r="AO420" s="201">
        <f t="shared" si="2107"/>
        <v>0</v>
      </c>
      <c r="AP420" s="201">
        <f t="shared" si="2107"/>
        <v>0</v>
      </c>
      <c r="AQ420" s="201">
        <f t="shared" si="2107"/>
        <v>0</v>
      </c>
      <c r="AR420" s="200">
        <f t="shared" si="2107"/>
        <v>0</v>
      </c>
      <c r="AS420" s="200">
        <f t="shared" si="2107"/>
        <v>0</v>
      </c>
      <c r="AT420" s="173">
        <v>0.0</v>
      </c>
      <c r="AU420" s="200">
        <f t="shared" ref="AU420:AX420" si="2108">countif($D420,"*"&amp;AU$2&amp;"*")</f>
        <v>0</v>
      </c>
      <c r="AV420" s="200">
        <f t="shared" si="2108"/>
        <v>1</v>
      </c>
      <c r="AW420" s="200">
        <f t="shared" si="2108"/>
        <v>0</v>
      </c>
      <c r="AX420" s="200">
        <f t="shared" si="2108"/>
        <v>0</v>
      </c>
      <c r="AY420" s="202">
        <v>0.0</v>
      </c>
      <c r="AZ420" s="200"/>
      <c r="BA420" s="171" t="str">
        <f t="shared" si="18"/>
        <v/>
      </c>
      <c r="BB420" s="171" t="str">
        <f t="shared" si="19"/>
        <v>Code</v>
      </c>
      <c r="BC420" s="171" t="str">
        <f t="shared" si="20"/>
        <v/>
      </c>
      <c r="BD420" s="171" t="str">
        <f t="shared" si="21"/>
        <v/>
      </c>
      <c r="BE420" s="171" t="str">
        <f t="shared" si="22"/>
        <v/>
      </c>
      <c r="BF420" s="171" t="str">
        <f t="shared" si="23"/>
        <v>Code</v>
      </c>
    </row>
    <row r="421">
      <c r="A421" s="171">
        <f t="array" ref="A421">XLOOKUP(C421,ICSE!A:A,ICSE!C:C,,2,1)</f>
        <v>2020</v>
      </c>
      <c r="B421" s="171" t="s">
        <v>5675</v>
      </c>
      <c r="C421" s="160">
        <v>759.0</v>
      </c>
      <c r="D421" s="161" t="s">
        <v>5876</v>
      </c>
      <c r="E421" s="197" t="str">
        <f t="array" ref="E421">XLOOKUP(C421,ICSE!A:A,ICSE!Z:Z,,0,1)</f>
        <v>Publicly available (1)</v>
      </c>
      <c r="F421" s="198" t="s">
        <v>20</v>
      </c>
      <c r="G421" s="163" t="str">
        <f t="array" ref="G421">IF(B421="ICSE",IF(COUNTIFS(B:B,B421,C:C,C421)=XLOOKUP(C421,ICSE!A:A,ICSE!AA:AA,"ERROR",0,1),"OK","ERROR"),IF(B421="FSE",IF(COUNTIFS(B:B,B421,C:C,C421)=XLOOKUP(C421,FSE!A:A,FSE!AA:AA,"ERROR",0,1),"OK","ERROR")))</f>
        <v>OK</v>
      </c>
      <c r="H421" s="199">
        <f t="shared" ref="H421:O421" si="2109">countif($D421,"*"&amp;H$2&amp;"*")</f>
        <v>0</v>
      </c>
      <c r="I421" s="200">
        <f t="shared" si="2109"/>
        <v>0</v>
      </c>
      <c r="J421" s="200">
        <f t="shared" si="2109"/>
        <v>1</v>
      </c>
      <c r="K421" s="200">
        <f t="shared" si="2109"/>
        <v>0</v>
      </c>
      <c r="L421" s="200">
        <f t="shared" si="2109"/>
        <v>0</v>
      </c>
      <c r="M421" s="200">
        <f t="shared" si="2109"/>
        <v>0</v>
      </c>
      <c r="N421" s="200">
        <f t="shared" si="2109"/>
        <v>0</v>
      </c>
      <c r="O421" s="200">
        <f t="shared" si="2109"/>
        <v>0</v>
      </c>
      <c r="P421" s="200">
        <f t="shared" si="9"/>
        <v>0</v>
      </c>
      <c r="Q421" s="200">
        <f t="shared" ref="Q421:AC421" si="2110">countif($D421,"*"&amp;Q$2&amp;"*")</f>
        <v>0</v>
      </c>
      <c r="R421" s="200">
        <f t="shared" si="2110"/>
        <v>0</v>
      </c>
      <c r="S421" s="200">
        <f t="shared" si="2110"/>
        <v>0</v>
      </c>
      <c r="T421" s="200">
        <f t="shared" si="2110"/>
        <v>0</v>
      </c>
      <c r="U421" s="200">
        <f t="shared" si="2110"/>
        <v>0</v>
      </c>
      <c r="V421" s="200">
        <f t="shared" si="2110"/>
        <v>0</v>
      </c>
      <c r="W421" s="200">
        <f t="shared" si="2110"/>
        <v>0</v>
      </c>
      <c r="X421" s="200">
        <f t="shared" si="2110"/>
        <v>0</v>
      </c>
      <c r="Y421" s="200">
        <f t="shared" si="2110"/>
        <v>0</v>
      </c>
      <c r="Z421" s="200">
        <f t="shared" si="2110"/>
        <v>0</v>
      </c>
      <c r="AA421" s="200">
        <f t="shared" si="2110"/>
        <v>0</v>
      </c>
      <c r="AB421" s="200">
        <f t="shared" si="2110"/>
        <v>0</v>
      </c>
      <c r="AC421" s="200">
        <f t="shared" si="2110"/>
        <v>0</v>
      </c>
      <c r="AD421" s="200">
        <f t="shared" si="11"/>
        <v>0</v>
      </c>
      <c r="AE421" s="200">
        <f t="shared" ref="AE421:AG421" si="2111">countif($D421,"*"&amp;AE$2&amp;"*")</f>
        <v>0</v>
      </c>
      <c r="AF421" s="200">
        <f t="shared" si="2111"/>
        <v>0</v>
      </c>
      <c r="AG421" s="200">
        <f t="shared" si="2111"/>
        <v>0</v>
      </c>
      <c r="AH421" s="171">
        <f t="shared" si="13"/>
        <v>0</v>
      </c>
      <c r="AI421" s="200">
        <f t="shared" si="14"/>
        <v>1</v>
      </c>
      <c r="AJ421" s="200">
        <f t="shared" si="2076"/>
        <v>0</v>
      </c>
      <c r="AK421" s="201">
        <f t="shared" ref="AK421:AS421" si="2112">countif($D421,"*"&amp;AK$2&amp;"*")</f>
        <v>0</v>
      </c>
      <c r="AL421" s="201">
        <f t="shared" si="2112"/>
        <v>0</v>
      </c>
      <c r="AM421" s="201">
        <f t="shared" si="2112"/>
        <v>0</v>
      </c>
      <c r="AN421" s="201">
        <f t="shared" si="2112"/>
        <v>0</v>
      </c>
      <c r="AO421" s="201">
        <f t="shared" si="2112"/>
        <v>0</v>
      </c>
      <c r="AP421" s="201">
        <f t="shared" si="2112"/>
        <v>0</v>
      </c>
      <c r="AQ421" s="201">
        <f t="shared" si="2112"/>
        <v>0</v>
      </c>
      <c r="AR421" s="200">
        <f t="shared" si="2112"/>
        <v>0</v>
      </c>
      <c r="AS421" s="200">
        <f t="shared" si="2112"/>
        <v>1</v>
      </c>
      <c r="AT421" s="173">
        <v>0.0</v>
      </c>
      <c r="AU421" s="200">
        <f t="shared" ref="AU421:AX421" si="2113">countif($D421,"*"&amp;AU$2&amp;"*")</f>
        <v>0</v>
      </c>
      <c r="AV421" s="200">
        <f t="shared" si="2113"/>
        <v>0</v>
      </c>
      <c r="AW421" s="200">
        <f t="shared" si="2113"/>
        <v>0</v>
      </c>
      <c r="AX421" s="200">
        <f t="shared" si="2113"/>
        <v>0</v>
      </c>
      <c r="AY421" s="204">
        <v>1.0</v>
      </c>
      <c r="AZ421" s="200"/>
      <c r="BA421" s="171" t="str">
        <f t="shared" si="18"/>
        <v>Archival</v>
      </c>
      <c r="BB421" s="171" t="str">
        <f t="shared" si="19"/>
        <v/>
      </c>
      <c r="BC421" s="171" t="str">
        <f t="shared" si="20"/>
        <v/>
      </c>
      <c r="BD421" s="171" t="str">
        <f t="shared" si="21"/>
        <v/>
      </c>
      <c r="BE421" s="171" t="str">
        <f t="shared" si="22"/>
        <v/>
      </c>
      <c r="BF421" s="171" t="str">
        <f t="shared" si="23"/>
        <v>Archival</v>
      </c>
    </row>
    <row r="422">
      <c r="A422" s="171">
        <f t="array" ref="A422">XLOOKUP(C422,ICSE!A:A,ICSE!C:C,,2,1)</f>
        <v>2020</v>
      </c>
      <c r="B422" s="171" t="s">
        <v>5675</v>
      </c>
      <c r="C422" s="160">
        <v>761.0</v>
      </c>
      <c r="D422" s="161" t="s">
        <v>1675</v>
      </c>
      <c r="E422" s="197" t="str">
        <f t="array" ref="E422">XLOOKUP(C422,ICSE!A:A,ICSE!Z:Z,,0,1)</f>
        <v>Publicly available (1)</v>
      </c>
      <c r="F422" s="198" t="s">
        <v>20</v>
      </c>
      <c r="G422" s="163" t="str">
        <f t="array" ref="G422">IF(B422="ICSE",IF(COUNTIFS(B:B,B422,C:C,C422)=XLOOKUP(C422,ICSE!A:A,ICSE!AA:AA,"ERROR",0,1),"OK","ERROR"),IF(B422="FSE",IF(COUNTIFS(B:B,B422,C:C,C422)=XLOOKUP(C422,FSE!A:A,FSE!AA:AA,"ERROR",0,1),"OK","ERROR")))</f>
        <v>OK</v>
      </c>
      <c r="H422" s="199">
        <f t="shared" ref="H422:O422" si="2114">countif($D422,"*"&amp;H$2&amp;"*")</f>
        <v>0</v>
      </c>
      <c r="I422" s="200">
        <f t="shared" si="2114"/>
        <v>0</v>
      </c>
      <c r="J422" s="200">
        <f t="shared" si="2114"/>
        <v>0</v>
      </c>
      <c r="K422" s="200">
        <f t="shared" si="2114"/>
        <v>0</v>
      </c>
      <c r="L422" s="200">
        <f t="shared" si="2114"/>
        <v>0</v>
      </c>
      <c r="M422" s="200">
        <f t="shared" si="2114"/>
        <v>0</v>
      </c>
      <c r="N422" s="200">
        <f t="shared" si="2114"/>
        <v>0</v>
      </c>
      <c r="O422" s="200">
        <f t="shared" si="2114"/>
        <v>0</v>
      </c>
      <c r="P422" s="200">
        <f t="shared" si="9"/>
        <v>1</v>
      </c>
      <c r="Q422" s="200">
        <f t="shared" ref="Q422:AC422" si="2115">countif($D422,"*"&amp;Q$2&amp;"*")</f>
        <v>0</v>
      </c>
      <c r="R422" s="200">
        <f t="shared" si="2115"/>
        <v>0</v>
      </c>
      <c r="S422" s="200">
        <f t="shared" si="2115"/>
        <v>0</v>
      </c>
      <c r="T422" s="200">
        <f t="shared" si="2115"/>
        <v>0</v>
      </c>
      <c r="U422" s="200">
        <f t="shared" si="2115"/>
        <v>0</v>
      </c>
      <c r="V422" s="200">
        <f t="shared" si="2115"/>
        <v>0</v>
      </c>
      <c r="W422" s="200">
        <f t="shared" si="2115"/>
        <v>0</v>
      </c>
      <c r="X422" s="200">
        <f t="shared" si="2115"/>
        <v>0</v>
      </c>
      <c r="Y422" s="200">
        <f t="shared" si="2115"/>
        <v>0</v>
      </c>
      <c r="Z422" s="200">
        <f t="shared" si="2115"/>
        <v>0</v>
      </c>
      <c r="AA422" s="200">
        <f t="shared" si="2115"/>
        <v>0</v>
      </c>
      <c r="AB422" s="200">
        <f t="shared" si="2115"/>
        <v>0</v>
      </c>
      <c r="AC422" s="200">
        <f t="shared" si="2115"/>
        <v>0</v>
      </c>
      <c r="AD422" s="200">
        <f t="shared" si="11"/>
        <v>0</v>
      </c>
      <c r="AE422" s="200">
        <f t="shared" ref="AE422:AG422" si="2116">countif($D422,"*"&amp;AE$2&amp;"*")</f>
        <v>0</v>
      </c>
      <c r="AF422" s="200">
        <f t="shared" si="2116"/>
        <v>0</v>
      </c>
      <c r="AG422" s="200">
        <f t="shared" si="2116"/>
        <v>0</v>
      </c>
      <c r="AH422" s="171">
        <f t="shared" si="13"/>
        <v>0</v>
      </c>
      <c r="AI422" s="200">
        <f t="shared" si="14"/>
        <v>0</v>
      </c>
      <c r="AJ422" s="200">
        <f t="shared" si="2076"/>
        <v>0</v>
      </c>
      <c r="AK422" s="201">
        <f t="shared" ref="AK422:AS422" si="2117">countif($D422,"*"&amp;AK$2&amp;"*")</f>
        <v>0</v>
      </c>
      <c r="AL422" s="201">
        <f t="shared" si="2117"/>
        <v>0</v>
      </c>
      <c r="AM422" s="201">
        <f t="shared" si="2117"/>
        <v>0</v>
      </c>
      <c r="AN422" s="201">
        <f t="shared" si="2117"/>
        <v>0</v>
      </c>
      <c r="AO422" s="201">
        <f t="shared" si="2117"/>
        <v>0</v>
      </c>
      <c r="AP422" s="201">
        <f t="shared" si="2117"/>
        <v>0</v>
      </c>
      <c r="AQ422" s="201">
        <f t="shared" si="2117"/>
        <v>0</v>
      </c>
      <c r="AR422" s="200">
        <f t="shared" si="2117"/>
        <v>0</v>
      </c>
      <c r="AS422" s="200">
        <f t="shared" si="2117"/>
        <v>0</v>
      </c>
      <c r="AT422" s="173">
        <v>0.0</v>
      </c>
      <c r="AU422" s="200">
        <f t="shared" ref="AU422:AX422" si="2118">countif($D422,"*"&amp;AU$2&amp;"*")</f>
        <v>0</v>
      </c>
      <c r="AV422" s="200">
        <f t="shared" si="2118"/>
        <v>1</v>
      </c>
      <c r="AW422" s="200">
        <f t="shared" si="2118"/>
        <v>0</v>
      </c>
      <c r="AX422" s="200">
        <f t="shared" si="2118"/>
        <v>0</v>
      </c>
      <c r="AY422" s="202">
        <v>0.0</v>
      </c>
      <c r="AZ422" s="200"/>
      <c r="BA422" s="171" t="str">
        <f t="shared" si="18"/>
        <v/>
      </c>
      <c r="BB422" s="171" t="str">
        <f t="shared" si="19"/>
        <v>Code</v>
      </c>
      <c r="BC422" s="171" t="str">
        <f t="shared" si="20"/>
        <v/>
      </c>
      <c r="BD422" s="171" t="str">
        <f t="shared" si="21"/>
        <v/>
      </c>
      <c r="BE422" s="171" t="str">
        <f t="shared" si="22"/>
        <v/>
      </c>
      <c r="BF422" s="171" t="str">
        <f t="shared" si="23"/>
        <v>Code</v>
      </c>
    </row>
    <row r="423">
      <c r="A423" s="171">
        <f t="array" ref="A423">XLOOKUP(C423,ICSE!A:A,ICSE!C:C,,2,1)</f>
        <v>2020</v>
      </c>
      <c r="B423" s="171" t="s">
        <v>5675</v>
      </c>
      <c r="C423" s="160">
        <v>762.0</v>
      </c>
      <c r="D423" s="161" t="s">
        <v>1678</v>
      </c>
      <c r="E423" s="197" t="str">
        <f t="array" ref="E423">XLOOKUP(C423,ICSE!A:A,ICSE!Z:Z,,0,1)</f>
        <v>Publicly available (1)</v>
      </c>
      <c r="F423" s="198" t="s">
        <v>20</v>
      </c>
      <c r="G423" s="163" t="str">
        <f t="array" ref="G423">IF(B423="ICSE",IF(COUNTIFS(B:B,B423,C:C,C423)=XLOOKUP(C423,ICSE!A:A,ICSE!AA:AA,"ERROR",0,1),"OK","ERROR"),IF(B423="FSE",IF(COUNTIFS(B:B,B423,C:C,C423)=XLOOKUP(C423,FSE!A:A,FSE!AA:AA,"ERROR",0,1),"OK","ERROR")))</f>
        <v>OK</v>
      </c>
      <c r="H423" s="199">
        <f t="shared" ref="H423:O423" si="2119">countif($D423,"*"&amp;H$2&amp;"*")</f>
        <v>1</v>
      </c>
      <c r="I423" s="200">
        <f t="shared" si="2119"/>
        <v>0</v>
      </c>
      <c r="J423" s="200">
        <f t="shared" si="2119"/>
        <v>0</v>
      </c>
      <c r="K423" s="200">
        <f t="shared" si="2119"/>
        <v>0</v>
      </c>
      <c r="L423" s="200">
        <f t="shared" si="2119"/>
        <v>0</v>
      </c>
      <c r="M423" s="200">
        <f t="shared" si="2119"/>
        <v>0</v>
      </c>
      <c r="N423" s="200">
        <f t="shared" si="2119"/>
        <v>0</v>
      </c>
      <c r="O423" s="200">
        <f t="shared" si="2119"/>
        <v>0</v>
      </c>
      <c r="P423" s="200">
        <f t="shared" si="9"/>
        <v>0</v>
      </c>
      <c r="Q423" s="200">
        <f t="shared" ref="Q423:AC423" si="2120">countif($D423,"*"&amp;Q$2&amp;"*")</f>
        <v>0</v>
      </c>
      <c r="R423" s="200">
        <f t="shared" si="2120"/>
        <v>0</v>
      </c>
      <c r="S423" s="200">
        <f t="shared" si="2120"/>
        <v>0</v>
      </c>
      <c r="T423" s="200">
        <f t="shared" si="2120"/>
        <v>0</v>
      </c>
      <c r="U423" s="200">
        <f t="shared" si="2120"/>
        <v>0</v>
      </c>
      <c r="V423" s="200">
        <f t="shared" si="2120"/>
        <v>0</v>
      </c>
      <c r="W423" s="200">
        <f t="shared" si="2120"/>
        <v>0</v>
      </c>
      <c r="X423" s="200">
        <f t="shared" si="2120"/>
        <v>0</v>
      </c>
      <c r="Y423" s="200">
        <f t="shared" si="2120"/>
        <v>0</v>
      </c>
      <c r="Z423" s="200">
        <f t="shared" si="2120"/>
        <v>0</v>
      </c>
      <c r="AA423" s="200">
        <f t="shared" si="2120"/>
        <v>0</v>
      </c>
      <c r="AB423" s="200">
        <f t="shared" si="2120"/>
        <v>0</v>
      </c>
      <c r="AC423" s="200">
        <f t="shared" si="2120"/>
        <v>0</v>
      </c>
      <c r="AD423" s="200">
        <f t="shared" si="11"/>
        <v>0</v>
      </c>
      <c r="AE423" s="200">
        <f t="shared" ref="AE423:AG423" si="2121">countif($D423,"*"&amp;AE$2&amp;"*")</f>
        <v>0</v>
      </c>
      <c r="AF423" s="200">
        <f t="shared" si="2121"/>
        <v>0</v>
      </c>
      <c r="AG423" s="200">
        <f t="shared" si="2121"/>
        <v>0</v>
      </c>
      <c r="AH423" s="171">
        <f t="shared" si="13"/>
        <v>0</v>
      </c>
      <c r="AI423" s="200">
        <f t="shared" si="14"/>
        <v>1</v>
      </c>
      <c r="AJ423" s="200">
        <f t="shared" si="2076"/>
        <v>0</v>
      </c>
      <c r="AK423" s="201">
        <f t="shared" ref="AK423:AS423" si="2122">countif($D423,"*"&amp;AK$2&amp;"*")</f>
        <v>0</v>
      </c>
      <c r="AL423" s="201">
        <f t="shared" si="2122"/>
        <v>0</v>
      </c>
      <c r="AM423" s="201">
        <f t="shared" si="2122"/>
        <v>0</v>
      </c>
      <c r="AN423" s="201">
        <f t="shared" si="2122"/>
        <v>0</v>
      </c>
      <c r="AO423" s="201">
        <f t="shared" si="2122"/>
        <v>0</v>
      </c>
      <c r="AP423" s="201">
        <f t="shared" si="2122"/>
        <v>0</v>
      </c>
      <c r="AQ423" s="201">
        <f t="shared" si="2122"/>
        <v>0</v>
      </c>
      <c r="AR423" s="200">
        <f t="shared" si="2122"/>
        <v>0</v>
      </c>
      <c r="AS423" s="200">
        <f t="shared" si="2122"/>
        <v>0</v>
      </c>
      <c r="AT423" s="173">
        <v>0.0</v>
      </c>
      <c r="AU423" s="200">
        <f t="shared" ref="AU423:AX423" si="2123">countif($D423,"*"&amp;AU$2&amp;"*")</f>
        <v>0</v>
      </c>
      <c r="AV423" s="200">
        <f t="shared" si="2123"/>
        <v>0</v>
      </c>
      <c r="AW423" s="200">
        <f t="shared" si="2123"/>
        <v>0</v>
      </c>
      <c r="AX423" s="200">
        <f t="shared" si="2123"/>
        <v>1</v>
      </c>
      <c r="AY423" s="202">
        <v>0.0</v>
      </c>
      <c r="AZ423" s="200"/>
      <c r="BA423" s="171" t="str">
        <f t="shared" si="18"/>
        <v>Archival</v>
      </c>
      <c r="BB423" s="171" t="str">
        <f t="shared" si="19"/>
        <v/>
      </c>
      <c r="BC423" s="171" t="str">
        <f t="shared" si="20"/>
        <v/>
      </c>
      <c r="BD423" s="171" t="str">
        <f t="shared" si="21"/>
        <v/>
      </c>
      <c r="BE423" s="171" t="str">
        <f t="shared" si="22"/>
        <v/>
      </c>
      <c r="BF423" s="171" t="str">
        <f t="shared" si="23"/>
        <v>Archival</v>
      </c>
    </row>
    <row r="424">
      <c r="A424" s="171">
        <f t="array" ref="A424">XLOOKUP(C424,ICSE!A:A,ICSE!C:C,,2,1)</f>
        <v>2020</v>
      </c>
      <c r="B424" s="171" t="s">
        <v>5675</v>
      </c>
      <c r="C424" s="160">
        <v>765.0</v>
      </c>
      <c r="D424" s="161" t="s">
        <v>5877</v>
      </c>
      <c r="E424" s="197" t="str">
        <f t="array" ref="E424">XLOOKUP(C424,ICSE!A:A,ICSE!Z:Z,,0,1)</f>
        <v>Publicly available (2)</v>
      </c>
      <c r="F424" s="198" t="s">
        <v>20</v>
      </c>
      <c r="G424" s="163" t="str">
        <f t="array" ref="G424">IF(B424="ICSE",IF(COUNTIFS(B:B,B424,C:C,C424)=XLOOKUP(C424,ICSE!A:A,ICSE!AA:AA,"ERROR",0,1),"OK","ERROR"),IF(B424="FSE",IF(COUNTIFS(B:B,B424,C:C,C424)=XLOOKUP(C424,FSE!A:A,FSE!AA:AA,"ERROR",0,1),"OK","ERROR")))</f>
        <v>OK</v>
      </c>
      <c r="H424" s="199">
        <f t="shared" ref="H424:O424" si="2124">countif($D424,"*"&amp;H$2&amp;"*")</f>
        <v>0</v>
      </c>
      <c r="I424" s="200">
        <f t="shared" si="2124"/>
        <v>0</v>
      </c>
      <c r="J424" s="200">
        <f t="shared" si="2124"/>
        <v>0</v>
      </c>
      <c r="K424" s="200">
        <f t="shared" si="2124"/>
        <v>0</v>
      </c>
      <c r="L424" s="200">
        <f t="shared" si="2124"/>
        <v>0</v>
      </c>
      <c r="M424" s="200">
        <f t="shared" si="2124"/>
        <v>0</v>
      </c>
      <c r="N424" s="200">
        <f t="shared" si="2124"/>
        <v>0</v>
      </c>
      <c r="O424" s="200">
        <f t="shared" si="2124"/>
        <v>0</v>
      </c>
      <c r="P424" s="200">
        <f t="shared" si="9"/>
        <v>1</v>
      </c>
      <c r="Q424" s="200">
        <f t="shared" ref="Q424:AC424" si="2125">countif($D424,"*"&amp;Q$2&amp;"*")</f>
        <v>0</v>
      </c>
      <c r="R424" s="200">
        <f t="shared" si="2125"/>
        <v>0</v>
      </c>
      <c r="S424" s="200">
        <f t="shared" si="2125"/>
        <v>0</v>
      </c>
      <c r="T424" s="200">
        <f t="shared" si="2125"/>
        <v>0</v>
      </c>
      <c r="U424" s="200">
        <f t="shared" si="2125"/>
        <v>0</v>
      </c>
      <c r="V424" s="200">
        <f t="shared" si="2125"/>
        <v>0</v>
      </c>
      <c r="W424" s="200">
        <f t="shared" si="2125"/>
        <v>0</v>
      </c>
      <c r="X424" s="200">
        <f t="shared" si="2125"/>
        <v>0</v>
      </c>
      <c r="Y424" s="200">
        <f t="shared" si="2125"/>
        <v>0</v>
      </c>
      <c r="Z424" s="200">
        <f t="shared" si="2125"/>
        <v>0</v>
      </c>
      <c r="AA424" s="200">
        <f t="shared" si="2125"/>
        <v>0</v>
      </c>
      <c r="AB424" s="200">
        <f t="shared" si="2125"/>
        <v>0</v>
      </c>
      <c r="AC424" s="200">
        <f t="shared" si="2125"/>
        <v>0</v>
      </c>
      <c r="AD424" s="200">
        <f t="shared" si="11"/>
        <v>0</v>
      </c>
      <c r="AE424" s="200">
        <f t="shared" ref="AE424:AG424" si="2126">countif($D424,"*"&amp;AE$2&amp;"*")</f>
        <v>0</v>
      </c>
      <c r="AF424" s="200">
        <f t="shared" si="2126"/>
        <v>0</v>
      </c>
      <c r="AG424" s="200">
        <f t="shared" si="2126"/>
        <v>0</v>
      </c>
      <c r="AH424" s="171">
        <f t="shared" si="13"/>
        <v>0</v>
      </c>
      <c r="AI424" s="200">
        <f t="shared" si="14"/>
        <v>0</v>
      </c>
      <c r="AJ424" s="200">
        <f t="shared" si="2076"/>
        <v>0</v>
      </c>
      <c r="AK424" s="201">
        <f t="shared" ref="AK424:AS424" si="2127">countif($D424,"*"&amp;AK$2&amp;"*")</f>
        <v>0</v>
      </c>
      <c r="AL424" s="201">
        <f t="shared" si="2127"/>
        <v>0</v>
      </c>
      <c r="AM424" s="201">
        <f t="shared" si="2127"/>
        <v>0</v>
      </c>
      <c r="AN424" s="201">
        <f t="shared" si="2127"/>
        <v>0</v>
      </c>
      <c r="AO424" s="201">
        <f t="shared" si="2127"/>
        <v>0</v>
      </c>
      <c r="AP424" s="201">
        <f t="shared" si="2127"/>
        <v>0</v>
      </c>
      <c r="AQ424" s="201">
        <f t="shared" si="2127"/>
        <v>0</v>
      </c>
      <c r="AR424" s="200">
        <f t="shared" si="2127"/>
        <v>0</v>
      </c>
      <c r="AS424" s="200">
        <f t="shared" si="2127"/>
        <v>0</v>
      </c>
      <c r="AT424" s="173">
        <v>0.0</v>
      </c>
      <c r="AU424" s="200">
        <f t="shared" ref="AU424:AX424" si="2128">countif($D424,"*"&amp;AU$2&amp;"*")</f>
        <v>0</v>
      </c>
      <c r="AV424" s="200">
        <f t="shared" si="2128"/>
        <v>1</v>
      </c>
      <c r="AW424" s="200">
        <f t="shared" si="2128"/>
        <v>0</v>
      </c>
      <c r="AX424" s="200">
        <f t="shared" si="2128"/>
        <v>0</v>
      </c>
      <c r="AY424" s="202">
        <v>0.0</v>
      </c>
      <c r="AZ424" s="200"/>
      <c r="BA424" s="171" t="str">
        <f t="shared" si="18"/>
        <v/>
      </c>
      <c r="BB424" s="171" t="str">
        <f t="shared" si="19"/>
        <v>Code</v>
      </c>
      <c r="BC424" s="171" t="str">
        <f t="shared" si="20"/>
        <v/>
      </c>
      <c r="BD424" s="171" t="str">
        <f t="shared" si="21"/>
        <v/>
      </c>
      <c r="BE424" s="171" t="str">
        <f t="shared" si="22"/>
        <v/>
      </c>
      <c r="BF424" s="171" t="str">
        <f t="shared" si="23"/>
        <v>Code</v>
      </c>
    </row>
    <row r="425">
      <c r="A425" s="171">
        <f t="array" ref="A425">XLOOKUP(C425,ICSE!A:A,ICSE!C:C,,2,1)</f>
        <v>2020</v>
      </c>
      <c r="B425" s="171" t="s">
        <v>5675</v>
      </c>
      <c r="C425" s="160">
        <v>765.0</v>
      </c>
      <c r="D425" s="161" t="s">
        <v>5878</v>
      </c>
      <c r="E425" s="197" t="str">
        <f t="array" ref="E425">XLOOKUP(C425,ICSE!A:A,ICSE!Z:Z,,0,1)</f>
        <v>Publicly available (2)</v>
      </c>
      <c r="F425" s="198" t="s">
        <v>20</v>
      </c>
      <c r="G425" s="163" t="str">
        <f t="array" ref="G425">IF(B425="ICSE",IF(COUNTIFS(B:B,B425,C:C,C425)=XLOOKUP(C425,ICSE!A:A,ICSE!AA:AA,"ERROR",0,1),"OK","ERROR"),IF(B425="FSE",IF(COUNTIFS(B:B,B425,C:C,C425)=XLOOKUP(C425,FSE!A:A,FSE!AA:AA,"ERROR",0,1),"OK","ERROR")))</f>
        <v>OK</v>
      </c>
      <c r="H425" s="199">
        <f t="shared" ref="H425:O425" si="2129">countif($D425,"*"&amp;H$2&amp;"*")</f>
        <v>1</v>
      </c>
      <c r="I425" s="200">
        <f t="shared" si="2129"/>
        <v>0</v>
      </c>
      <c r="J425" s="200">
        <f t="shared" si="2129"/>
        <v>0</v>
      </c>
      <c r="K425" s="200">
        <f t="shared" si="2129"/>
        <v>0</v>
      </c>
      <c r="L425" s="200">
        <f t="shared" si="2129"/>
        <v>0</v>
      </c>
      <c r="M425" s="200">
        <f t="shared" si="2129"/>
        <v>0</v>
      </c>
      <c r="N425" s="200">
        <f t="shared" si="2129"/>
        <v>0</v>
      </c>
      <c r="O425" s="200">
        <f t="shared" si="2129"/>
        <v>0</v>
      </c>
      <c r="P425" s="200">
        <f t="shared" si="9"/>
        <v>0</v>
      </c>
      <c r="Q425" s="200">
        <f t="shared" ref="Q425:AC425" si="2130">countif($D425,"*"&amp;Q$2&amp;"*")</f>
        <v>0</v>
      </c>
      <c r="R425" s="200">
        <f t="shared" si="2130"/>
        <v>0</v>
      </c>
      <c r="S425" s="200">
        <f t="shared" si="2130"/>
        <v>0</v>
      </c>
      <c r="T425" s="200">
        <f t="shared" si="2130"/>
        <v>0</v>
      </c>
      <c r="U425" s="200">
        <f t="shared" si="2130"/>
        <v>0</v>
      </c>
      <c r="V425" s="200">
        <f t="shared" si="2130"/>
        <v>0</v>
      </c>
      <c r="W425" s="200">
        <f t="shared" si="2130"/>
        <v>0</v>
      </c>
      <c r="X425" s="200">
        <f t="shared" si="2130"/>
        <v>0</v>
      </c>
      <c r="Y425" s="200">
        <f t="shared" si="2130"/>
        <v>0</v>
      </c>
      <c r="Z425" s="200">
        <f t="shared" si="2130"/>
        <v>0</v>
      </c>
      <c r="AA425" s="200">
        <f t="shared" si="2130"/>
        <v>0</v>
      </c>
      <c r="AB425" s="200">
        <f t="shared" si="2130"/>
        <v>0</v>
      </c>
      <c r="AC425" s="200">
        <f t="shared" si="2130"/>
        <v>0</v>
      </c>
      <c r="AD425" s="200">
        <f t="shared" si="11"/>
        <v>0</v>
      </c>
      <c r="AE425" s="200">
        <f t="shared" ref="AE425:AG425" si="2131">countif($D425,"*"&amp;AE$2&amp;"*")</f>
        <v>0</v>
      </c>
      <c r="AF425" s="200">
        <f t="shared" si="2131"/>
        <v>0</v>
      </c>
      <c r="AG425" s="200">
        <f t="shared" si="2131"/>
        <v>0</v>
      </c>
      <c r="AH425" s="171">
        <f t="shared" si="13"/>
        <v>0</v>
      </c>
      <c r="AI425" s="200">
        <f t="shared" si="14"/>
        <v>1</v>
      </c>
      <c r="AJ425" s="200">
        <f t="shared" si="2076"/>
        <v>0</v>
      </c>
      <c r="AK425" s="201">
        <f t="shared" ref="AK425:AS425" si="2132">countif($D425,"*"&amp;AK$2&amp;"*")</f>
        <v>0</v>
      </c>
      <c r="AL425" s="201">
        <f t="shared" si="2132"/>
        <v>0</v>
      </c>
      <c r="AM425" s="201">
        <f t="shared" si="2132"/>
        <v>0</v>
      </c>
      <c r="AN425" s="201">
        <f t="shared" si="2132"/>
        <v>0</v>
      </c>
      <c r="AO425" s="201">
        <f t="shared" si="2132"/>
        <v>0</v>
      </c>
      <c r="AP425" s="201">
        <f t="shared" si="2132"/>
        <v>0</v>
      </c>
      <c r="AQ425" s="201">
        <f t="shared" si="2132"/>
        <v>0</v>
      </c>
      <c r="AR425" s="200">
        <f t="shared" si="2132"/>
        <v>0</v>
      </c>
      <c r="AS425" s="200">
        <f t="shared" si="2132"/>
        <v>0</v>
      </c>
      <c r="AT425" s="173">
        <v>0.0</v>
      </c>
      <c r="AU425" s="200">
        <f t="shared" ref="AU425:AX425" si="2133">countif($D425,"*"&amp;AU$2&amp;"*")</f>
        <v>0</v>
      </c>
      <c r="AV425" s="200">
        <f t="shared" si="2133"/>
        <v>0</v>
      </c>
      <c r="AW425" s="200">
        <f t="shared" si="2133"/>
        <v>0</v>
      </c>
      <c r="AX425" s="200">
        <f t="shared" si="2133"/>
        <v>1</v>
      </c>
      <c r="AY425" s="202">
        <v>0.0</v>
      </c>
      <c r="AZ425" s="200"/>
      <c r="BA425" s="171" t="str">
        <f t="shared" si="18"/>
        <v>Archival</v>
      </c>
      <c r="BB425" s="171" t="str">
        <f t="shared" si="19"/>
        <v/>
      </c>
      <c r="BC425" s="171" t="str">
        <f t="shared" si="20"/>
        <v/>
      </c>
      <c r="BD425" s="171" t="str">
        <f t="shared" si="21"/>
        <v/>
      </c>
      <c r="BE425" s="171" t="str">
        <f t="shared" si="22"/>
        <v/>
      </c>
      <c r="BF425" s="171" t="str">
        <f t="shared" si="23"/>
        <v>Archival</v>
      </c>
    </row>
    <row r="426">
      <c r="A426" s="171">
        <f t="array" ref="A426">XLOOKUP(C426,ICSE!A:A,ICSE!C:C,,2,1)</f>
        <v>2020</v>
      </c>
      <c r="B426" s="171" t="s">
        <v>5675</v>
      </c>
      <c r="C426" s="160">
        <v>766.0</v>
      </c>
      <c r="D426" s="161" t="s">
        <v>1686</v>
      </c>
      <c r="E426" s="197" t="str">
        <f t="array" ref="E426">XLOOKUP(C426,ICSE!A:A,ICSE!Z:Z,,0,1)</f>
        <v>Publicly available (1)</v>
      </c>
      <c r="F426" s="198" t="s">
        <v>20</v>
      </c>
      <c r="G426" s="163" t="str">
        <f t="array" ref="G426">IF(B426="ICSE",IF(COUNTIFS(B:B,B426,C:C,C426)=XLOOKUP(C426,ICSE!A:A,ICSE!AA:AA,"ERROR",0,1),"OK","ERROR"),IF(B426="FSE",IF(COUNTIFS(B:B,B426,C:C,C426)=XLOOKUP(C426,FSE!A:A,FSE!AA:AA,"ERROR",0,1),"OK","ERROR")))</f>
        <v>OK</v>
      </c>
      <c r="H426" s="199">
        <f t="shared" ref="H426:O426" si="2134">countif($D426,"*"&amp;H$2&amp;"*")</f>
        <v>0</v>
      </c>
      <c r="I426" s="200">
        <f t="shared" si="2134"/>
        <v>0</v>
      </c>
      <c r="J426" s="200">
        <f t="shared" si="2134"/>
        <v>0</v>
      </c>
      <c r="K426" s="200">
        <f t="shared" si="2134"/>
        <v>0</v>
      </c>
      <c r="L426" s="200">
        <f t="shared" si="2134"/>
        <v>0</v>
      </c>
      <c r="M426" s="200">
        <f t="shared" si="2134"/>
        <v>0</v>
      </c>
      <c r="N426" s="200">
        <f t="shared" si="2134"/>
        <v>0</v>
      </c>
      <c r="O426" s="200">
        <f t="shared" si="2134"/>
        <v>0</v>
      </c>
      <c r="P426" s="200">
        <f t="shared" si="9"/>
        <v>0</v>
      </c>
      <c r="Q426" s="200">
        <f t="shared" ref="Q426:AC426" si="2135">countif($D426,"*"&amp;Q$2&amp;"*")</f>
        <v>1</v>
      </c>
      <c r="R426" s="200">
        <f t="shared" si="2135"/>
        <v>0</v>
      </c>
      <c r="S426" s="200">
        <f t="shared" si="2135"/>
        <v>0</v>
      </c>
      <c r="T426" s="200">
        <f t="shared" si="2135"/>
        <v>0</v>
      </c>
      <c r="U426" s="200">
        <f t="shared" si="2135"/>
        <v>0</v>
      </c>
      <c r="V426" s="200">
        <f t="shared" si="2135"/>
        <v>0</v>
      </c>
      <c r="W426" s="200">
        <f t="shared" si="2135"/>
        <v>0</v>
      </c>
      <c r="X426" s="200">
        <f t="shared" si="2135"/>
        <v>0</v>
      </c>
      <c r="Y426" s="200">
        <f t="shared" si="2135"/>
        <v>0</v>
      </c>
      <c r="Z426" s="200">
        <f t="shared" si="2135"/>
        <v>0</v>
      </c>
      <c r="AA426" s="200">
        <f t="shared" si="2135"/>
        <v>0</v>
      </c>
      <c r="AB426" s="200">
        <f t="shared" si="2135"/>
        <v>0</v>
      </c>
      <c r="AC426" s="200">
        <f t="shared" si="2135"/>
        <v>0</v>
      </c>
      <c r="AD426" s="200">
        <f t="shared" si="11"/>
        <v>0</v>
      </c>
      <c r="AE426" s="200">
        <f t="shared" ref="AE426:AG426" si="2136">countif($D426,"*"&amp;AE$2&amp;"*")</f>
        <v>0</v>
      </c>
      <c r="AF426" s="200">
        <f t="shared" si="2136"/>
        <v>0</v>
      </c>
      <c r="AG426" s="200">
        <f t="shared" si="2136"/>
        <v>0</v>
      </c>
      <c r="AH426" s="171">
        <f t="shared" si="13"/>
        <v>0</v>
      </c>
      <c r="AI426" s="200">
        <f t="shared" si="14"/>
        <v>0</v>
      </c>
      <c r="AJ426" s="200">
        <f t="shared" si="2076"/>
        <v>0</v>
      </c>
      <c r="AK426" s="201">
        <f t="shared" ref="AK426:AS426" si="2137">countif($D426,"*"&amp;AK$2&amp;"*")</f>
        <v>0</v>
      </c>
      <c r="AL426" s="201">
        <f t="shared" si="2137"/>
        <v>0</v>
      </c>
      <c r="AM426" s="201">
        <f t="shared" si="2137"/>
        <v>0</v>
      </c>
      <c r="AN426" s="201">
        <f t="shared" si="2137"/>
        <v>0</v>
      </c>
      <c r="AO426" s="201">
        <f t="shared" si="2137"/>
        <v>0</v>
      </c>
      <c r="AP426" s="201">
        <f t="shared" si="2137"/>
        <v>0</v>
      </c>
      <c r="AQ426" s="201">
        <f t="shared" si="2137"/>
        <v>0</v>
      </c>
      <c r="AR426" s="200">
        <f t="shared" si="2137"/>
        <v>0</v>
      </c>
      <c r="AS426" s="200">
        <f t="shared" si="2137"/>
        <v>0</v>
      </c>
      <c r="AT426" s="173">
        <v>0.0</v>
      </c>
      <c r="AU426" s="200">
        <f t="shared" ref="AU426:AX426" si="2138">countif($D426,"*"&amp;AU$2&amp;"*")</f>
        <v>0</v>
      </c>
      <c r="AV426" s="200">
        <f t="shared" si="2138"/>
        <v>0</v>
      </c>
      <c r="AW426" s="200">
        <f t="shared" si="2138"/>
        <v>0</v>
      </c>
      <c r="AX426" s="200">
        <f t="shared" si="2138"/>
        <v>0</v>
      </c>
      <c r="AY426" s="202">
        <v>0.0</v>
      </c>
      <c r="AZ426" s="200"/>
      <c r="BA426" s="171" t="str">
        <f t="shared" si="18"/>
        <v/>
      </c>
      <c r="BB426" s="171" t="str">
        <f t="shared" si="19"/>
        <v>Code</v>
      </c>
      <c r="BC426" s="171" t="str">
        <f t="shared" si="20"/>
        <v/>
      </c>
      <c r="BD426" s="171" t="str">
        <f t="shared" si="21"/>
        <v/>
      </c>
      <c r="BE426" s="171" t="str">
        <f t="shared" si="22"/>
        <v/>
      </c>
      <c r="BF426" s="171" t="str">
        <f t="shared" si="23"/>
        <v>Code</v>
      </c>
    </row>
    <row r="427">
      <c r="A427" s="171">
        <f t="array" ref="A427">XLOOKUP(C427,ICSE!A:A,ICSE!C:C,,2,1)</f>
        <v>2020</v>
      </c>
      <c r="B427" s="171" t="s">
        <v>5675</v>
      </c>
      <c r="C427" s="160">
        <v>768.0</v>
      </c>
      <c r="D427" s="161" t="s">
        <v>1690</v>
      </c>
      <c r="E427" s="197" t="str">
        <f t="array" ref="E427">XLOOKUP(C427,ICSE!A:A,ICSE!Z:Z,,0,1)</f>
        <v>Publicly available (1)</v>
      </c>
      <c r="F427" s="198" t="s">
        <v>20</v>
      </c>
      <c r="G427" s="163" t="str">
        <f t="array" ref="G427">IF(B427="ICSE",IF(COUNTIFS(B:B,B427,C:C,C427)=XLOOKUP(C427,ICSE!A:A,ICSE!AA:AA,"ERROR",0,1),"OK","ERROR"),IF(B427="FSE",IF(COUNTIFS(B:B,B427,C:C,C427)=XLOOKUP(C427,FSE!A:A,FSE!AA:AA,"ERROR",0,1),"OK","ERROR")))</f>
        <v>OK</v>
      </c>
      <c r="H427" s="199">
        <f t="shared" ref="H427:O427" si="2139">countif($D427,"*"&amp;H$2&amp;"*")</f>
        <v>0</v>
      </c>
      <c r="I427" s="200">
        <f t="shared" si="2139"/>
        <v>0</v>
      </c>
      <c r="J427" s="200">
        <f t="shared" si="2139"/>
        <v>0</v>
      </c>
      <c r="K427" s="200">
        <f t="shared" si="2139"/>
        <v>0</v>
      </c>
      <c r="L427" s="200">
        <f t="shared" si="2139"/>
        <v>0</v>
      </c>
      <c r="M427" s="200">
        <f t="shared" si="2139"/>
        <v>0</v>
      </c>
      <c r="N427" s="200">
        <f t="shared" si="2139"/>
        <v>0</v>
      </c>
      <c r="O427" s="200">
        <f t="shared" si="2139"/>
        <v>0</v>
      </c>
      <c r="P427" s="200">
        <f t="shared" si="9"/>
        <v>1</v>
      </c>
      <c r="Q427" s="200">
        <f t="shared" ref="Q427:AC427" si="2140">countif($D427,"*"&amp;Q$2&amp;"*")</f>
        <v>0</v>
      </c>
      <c r="R427" s="200">
        <f t="shared" si="2140"/>
        <v>0</v>
      </c>
      <c r="S427" s="200">
        <f t="shared" si="2140"/>
        <v>0</v>
      </c>
      <c r="T427" s="200">
        <f t="shared" si="2140"/>
        <v>0</v>
      </c>
      <c r="U427" s="200">
        <f t="shared" si="2140"/>
        <v>0</v>
      </c>
      <c r="V427" s="200">
        <f t="shared" si="2140"/>
        <v>0</v>
      </c>
      <c r="W427" s="200">
        <f t="shared" si="2140"/>
        <v>0</v>
      </c>
      <c r="X427" s="200">
        <f t="shared" si="2140"/>
        <v>0</v>
      </c>
      <c r="Y427" s="200">
        <f t="shared" si="2140"/>
        <v>0</v>
      </c>
      <c r="Z427" s="200">
        <f t="shared" si="2140"/>
        <v>0</v>
      </c>
      <c r="AA427" s="200">
        <f t="shared" si="2140"/>
        <v>0</v>
      </c>
      <c r="AB427" s="200">
        <f t="shared" si="2140"/>
        <v>0</v>
      </c>
      <c r="AC427" s="200">
        <f t="shared" si="2140"/>
        <v>0</v>
      </c>
      <c r="AD427" s="200">
        <f t="shared" si="11"/>
        <v>0</v>
      </c>
      <c r="AE427" s="200">
        <f t="shared" ref="AE427:AG427" si="2141">countif($D427,"*"&amp;AE$2&amp;"*")</f>
        <v>0</v>
      </c>
      <c r="AF427" s="200">
        <f t="shared" si="2141"/>
        <v>0</v>
      </c>
      <c r="AG427" s="200">
        <f t="shared" si="2141"/>
        <v>0</v>
      </c>
      <c r="AH427" s="171">
        <f t="shared" si="13"/>
        <v>0</v>
      </c>
      <c r="AI427" s="200">
        <f t="shared" si="14"/>
        <v>0</v>
      </c>
      <c r="AJ427" s="200">
        <f t="shared" si="2076"/>
        <v>0</v>
      </c>
      <c r="AK427" s="201">
        <f t="shared" ref="AK427:AS427" si="2142">countif($D427,"*"&amp;AK$2&amp;"*")</f>
        <v>0</v>
      </c>
      <c r="AL427" s="201">
        <f t="shared" si="2142"/>
        <v>0</v>
      </c>
      <c r="AM427" s="201">
        <f t="shared" si="2142"/>
        <v>0</v>
      </c>
      <c r="AN427" s="201">
        <f t="shared" si="2142"/>
        <v>0</v>
      </c>
      <c r="AO427" s="201">
        <f t="shared" si="2142"/>
        <v>0</v>
      </c>
      <c r="AP427" s="201">
        <f t="shared" si="2142"/>
        <v>0</v>
      </c>
      <c r="AQ427" s="201">
        <f t="shared" si="2142"/>
        <v>0</v>
      </c>
      <c r="AR427" s="200">
        <f t="shared" si="2142"/>
        <v>0</v>
      </c>
      <c r="AS427" s="200">
        <f t="shared" si="2142"/>
        <v>0</v>
      </c>
      <c r="AT427" s="173">
        <v>0.0</v>
      </c>
      <c r="AU427" s="200">
        <f t="shared" ref="AU427:AX427" si="2143">countif($D427,"*"&amp;AU$2&amp;"*")</f>
        <v>0</v>
      </c>
      <c r="AV427" s="200">
        <f t="shared" si="2143"/>
        <v>1</v>
      </c>
      <c r="AW427" s="200">
        <f t="shared" si="2143"/>
        <v>0</v>
      </c>
      <c r="AX427" s="200">
        <f t="shared" si="2143"/>
        <v>0</v>
      </c>
      <c r="AY427" s="202">
        <v>0.0</v>
      </c>
      <c r="AZ427" s="200"/>
      <c r="BA427" s="171" t="str">
        <f t="shared" si="18"/>
        <v/>
      </c>
      <c r="BB427" s="171" t="str">
        <f t="shared" si="19"/>
        <v>Code</v>
      </c>
      <c r="BC427" s="171" t="str">
        <f t="shared" si="20"/>
        <v/>
      </c>
      <c r="BD427" s="171" t="str">
        <f t="shared" si="21"/>
        <v/>
      </c>
      <c r="BE427" s="171" t="str">
        <f t="shared" si="22"/>
        <v/>
      </c>
      <c r="BF427" s="171" t="str">
        <f t="shared" si="23"/>
        <v>Code</v>
      </c>
    </row>
    <row r="428">
      <c r="A428" s="171">
        <f t="array" ref="A428">XLOOKUP(C428,ICSE!A:A,ICSE!C:C,,2,1)</f>
        <v>2020</v>
      </c>
      <c r="B428" s="171" t="s">
        <v>5675</v>
      </c>
      <c r="C428" s="160">
        <v>769.0</v>
      </c>
      <c r="D428" s="161" t="s">
        <v>1693</v>
      </c>
      <c r="E428" s="197" t="str">
        <f t="array" ref="E428">XLOOKUP(C428,ICSE!A:A,ICSE!Z:Z,,0,1)</f>
        <v>Publicly available (1)</v>
      </c>
      <c r="F428" s="198" t="s">
        <v>20</v>
      </c>
      <c r="G428" s="163" t="str">
        <f t="array" ref="G428">IF(B428="ICSE",IF(COUNTIFS(B:B,B428,C:C,C428)=XLOOKUP(C428,ICSE!A:A,ICSE!AA:AA,"ERROR",0,1),"OK","ERROR"),IF(B428="FSE",IF(COUNTIFS(B:B,B428,C:C,C428)=XLOOKUP(C428,FSE!A:A,FSE!AA:AA,"ERROR",0,1),"OK","ERROR")))</f>
        <v>OK</v>
      </c>
      <c r="H428" s="199">
        <f t="shared" ref="H428:O428" si="2144">countif($D428,"*"&amp;H$2&amp;"*")</f>
        <v>0</v>
      </c>
      <c r="I428" s="200">
        <f t="shared" si="2144"/>
        <v>0</v>
      </c>
      <c r="J428" s="200">
        <f t="shared" si="2144"/>
        <v>0</v>
      </c>
      <c r="K428" s="200">
        <f t="shared" si="2144"/>
        <v>0</v>
      </c>
      <c r="L428" s="200">
        <f t="shared" si="2144"/>
        <v>0</v>
      </c>
      <c r="M428" s="200">
        <f t="shared" si="2144"/>
        <v>0</v>
      </c>
      <c r="N428" s="200">
        <f t="shared" si="2144"/>
        <v>0</v>
      </c>
      <c r="O428" s="200">
        <f t="shared" si="2144"/>
        <v>0</v>
      </c>
      <c r="P428" s="200">
        <f t="shared" si="9"/>
        <v>1</v>
      </c>
      <c r="Q428" s="200">
        <f t="shared" ref="Q428:AC428" si="2145">countif($D428,"*"&amp;Q$2&amp;"*")</f>
        <v>0</v>
      </c>
      <c r="R428" s="200">
        <f t="shared" si="2145"/>
        <v>0</v>
      </c>
      <c r="S428" s="200">
        <f t="shared" si="2145"/>
        <v>0</v>
      </c>
      <c r="T428" s="200">
        <f t="shared" si="2145"/>
        <v>0</v>
      </c>
      <c r="U428" s="200">
        <f t="shared" si="2145"/>
        <v>0</v>
      </c>
      <c r="V428" s="200">
        <f t="shared" si="2145"/>
        <v>0</v>
      </c>
      <c r="W428" s="200">
        <f t="shared" si="2145"/>
        <v>0</v>
      </c>
      <c r="X428" s="200">
        <f t="shared" si="2145"/>
        <v>0</v>
      </c>
      <c r="Y428" s="200">
        <f t="shared" si="2145"/>
        <v>0</v>
      </c>
      <c r="Z428" s="200">
        <f t="shared" si="2145"/>
        <v>0</v>
      </c>
      <c r="AA428" s="200">
        <f t="shared" si="2145"/>
        <v>0</v>
      </c>
      <c r="AB428" s="200">
        <f t="shared" si="2145"/>
        <v>0</v>
      </c>
      <c r="AC428" s="200">
        <f t="shared" si="2145"/>
        <v>0</v>
      </c>
      <c r="AD428" s="200">
        <f t="shared" si="11"/>
        <v>0</v>
      </c>
      <c r="AE428" s="200">
        <f t="shared" ref="AE428:AG428" si="2146">countif($D428,"*"&amp;AE$2&amp;"*")</f>
        <v>0</v>
      </c>
      <c r="AF428" s="200">
        <f t="shared" si="2146"/>
        <v>0</v>
      </c>
      <c r="AG428" s="200">
        <f t="shared" si="2146"/>
        <v>0</v>
      </c>
      <c r="AH428" s="171">
        <f t="shared" si="13"/>
        <v>0</v>
      </c>
      <c r="AI428" s="200">
        <f t="shared" si="14"/>
        <v>0</v>
      </c>
      <c r="AJ428" s="200">
        <f t="shared" si="2076"/>
        <v>0</v>
      </c>
      <c r="AK428" s="201">
        <f t="shared" ref="AK428:AS428" si="2147">countif($D428,"*"&amp;AK$2&amp;"*")</f>
        <v>0</v>
      </c>
      <c r="AL428" s="201">
        <f t="shared" si="2147"/>
        <v>0</v>
      </c>
      <c r="AM428" s="201">
        <f t="shared" si="2147"/>
        <v>0</v>
      </c>
      <c r="AN428" s="201">
        <f t="shared" si="2147"/>
        <v>0</v>
      </c>
      <c r="AO428" s="201">
        <f t="shared" si="2147"/>
        <v>0</v>
      </c>
      <c r="AP428" s="201">
        <f t="shared" si="2147"/>
        <v>0</v>
      </c>
      <c r="AQ428" s="201">
        <f t="shared" si="2147"/>
        <v>0</v>
      </c>
      <c r="AR428" s="200">
        <f t="shared" si="2147"/>
        <v>0</v>
      </c>
      <c r="AS428" s="200">
        <f t="shared" si="2147"/>
        <v>0</v>
      </c>
      <c r="AT428" s="173">
        <v>0.0</v>
      </c>
      <c r="AU428" s="200">
        <f t="shared" ref="AU428:AX428" si="2148">countif($D428,"*"&amp;AU$2&amp;"*")</f>
        <v>0</v>
      </c>
      <c r="AV428" s="200">
        <f t="shared" si="2148"/>
        <v>1</v>
      </c>
      <c r="AW428" s="200">
        <f t="shared" si="2148"/>
        <v>0</v>
      </c>
      <c r="AX428" s="200">
        <f t="shared" si="2148"/>
        <v>0</v>
      </c>
      <c r="AY428" s="202">
        <v>0.0</v>
      </c>
      <c r="AZ428" s="200"/>
      <c r="BA428" s="171" t="str">
        <f t="shared" si="18"/>
        <v/>
      </c>
      <c r="BB428" s="171" t="str">
        <f t="shared" si="19"/>
        <v>Code</v>
      </c>
      <c r="BC428" s="171" t="str">
        <f t="shared" si="20"/>
        <v/>
      </c>
      <c r="BD428" s="171" t="str">
        <f t="shared" si="21"/>
        <v/>
      </c>
      <c r="BE428" s="171" t="str">
        <f t="shared" si="22"/>
        <v/>
      </c>
      <c r="BF428" s="171" t="str">
        <f t="shared" si="23"/>
        <v>Code</v>
      </c>
    </row>
    <row r="429">
      <c r="A429" s="171">
        <f t="array" ref="A429">XLOOKUP(C429,ICSE!A:A,ICSE!C:C,,2,1)</f>
        <v>2020</v>
      </c>
      <c r="B429" s="171" t="s">
        <v>5675</v>
      </c>
      <c r="C429" s="160">
        <v>770.0</v>
      </c>
      <c r="D429" s="161" t="s">
        <v>1697</v>
      </c>
      <c r="E429" s="197" t="str">
        <f t="array" ref="E429">XLOOKUP(C429,ICSE!A:A,ICSE!Z:Z,,0,1)</f>
        <v>Publicly available (1)</v>
      </c>
      <c r="F429" s="198" t="s">
        <v>20</v>
      </c>
      <c r="G429" s="163" t="str">
        <f t="array" ref="G429">IF(B429="ICSE",IF(COUNTIFS(B:B,B429,C:C,C429)=XLOOKUP(C429,ICSE!A:A,ICSE!AA:AA,"ERROR",0,1),"OK","ERROR"),IF(B429="FSE",IF(COUNTIFS(B:B,B429,C:C,C429)=XLOOKUP(C429,FSE!A:A,FSE!AA:AA,"ERROR",0,1),"OK","ERROR")))</f>
        <v>OK</v>
      </c>
      <c r="H429" s="199">
        <f t="shared" ref="H429:O429" si="2149">countif($D429,"*"&amp;H$2&amp;"*")</f>
        <v>0</v>
      </c>
      <c r="I429" s="200">
        <f t="shared" si="2149"/>
        <v>0</v>
      </c>
      <c r="J429" s="200">
        <f t="shared" si="2149"/>
        <v>0</v>
      </c>
      <c r="K429" s="200">
        <f t="shared" si="2149"/>
        <v>0</v>
      </c>
      <c r="L429" s="200">
        <f t="shared" si="2149"/>
        <v>0</v>
      </c>
      <c r="M429" s="200">
        <f t="shared" si="2149"/>
        <v>0</v>
      </c>
      <c r="N429" s="200">
        <f t="shared" si="2149"/>
        <v>0</v>
      </c>
      <c r="O429" s="200">
        <f t="shared" si="2149"/>
        <v>0</v>
      </c>
      <c r="P429" s="200">
        <f t="shared" si="9"/>
        <v>1</v>
      </c>
      <c r="Q429" s="200">
        <f t="shared" ref="Q429:AC429" si="2150">countif($D429,"*"&amp;Q$2&amp;"*")</f>
        <v>0</v>
      </c>
      <c r="R429" s="200">
        <f t="shared" si="2150"/>
        <v>0</v>
      </c>
      <c r="S429" s="200">
        <f t="shared" si="2150"/>
        <v>0</v>
      </c>
      <c r="T429" s="200">
        <f t="shared" si="2150"/>
        <v>0</v>
      </c>
      <c r="U429" s="200">
        <f t="shared" si="2150"/>
        <v>0</v>
      </c>
      <c r="V429" s="200">
        <f t="shared" si="2150"/>
        <v>0</v>
      </c>
      <c r="W429" s="200">
        <f t="shared" si="2150"/>
        <v>0</v>
      </c>
      <c r="X429" s="200">
        <f t="shared" si="2150"/>
        <v>0</v>
      </c>
      <c r="Y429" s="200">
        <f t="shared" si="2150"/>
        <v>0</v>
      </c>
      <c r="Z429" s="200">
        <f t="shared" si="2150"/>
        <v>0</v>
      </c>
      <c r="AA429" s="200">
        <f t="shared" si="2150"/>
        <v>0</v>
      </c>
      <c r="AB429" s="200">
        <f t="shared" si="2150"/>
        <v>0</v>
      </c>
      <c r="AC429" s="200">
        <f t="shared" si="2150"/>
        <v>0</v>
      </c>
      <c r="AD429" s="200">
        <f t="shared" si="11"/>
        <v>0</v>
      </c>
      <c r="AE429" s="200">
        <f t="shared" ref="AE429:AG429" si="2151">countif($D429,"*"&amp;AE$2&amp;"*")</f>
        <v>0</v>
      </c>
      <c r="AF429" s="200">
        <f t="shared" si="2151"/>
        <v>0</v>
      </c>
      <c r="AG429" s="200">
        <f t="shared" si="2151"/>
        <v>0</v>
      </c>
      <c r="AH429" s="171">
        <f t="shared" si="13"/>
        <v>0</v>
      </c>
      <c r="AI429" s="200">
        <f t="shared" si="14"/>
        <v>0</v>
      </c>
      <c r="AJ429" s="200">
        <f t="shared" si="2076"/>
        <v>0</v>
      </c>
      <c r="AK429" s="201">
        <f t="shared" ref="AK429:AS429" si="2152">countif($D429,"*"&amp;AK$2&amp;"*")</f>
        <v>0</v>
      </c>
      <c r="AL429" s="201">
        <f t="shared" si="2152"/>
        <v>0</v>
      </c>
      <c r="AM429" s="201">
        <f t="shared" si="2152"/>
        <v>0</v>
      </c>
      <c r="AN429" s="201">
        <f t="shared" si="2152"/>
        <v>0</v>
      </c>
      <c r="AO429" s="201">
        <f t="shared" si="2152"/>
        <v>0</v>
      </c>
      <c r="AP429" s="201">
        <f t="shared" si="2152"/>
        <v>0</v>
      </c>
      <c r="AQ429" s="201">
        <f t="shared" si="2152"/>
        <v>0</v>
      </c>
      <c r="AR429" s="200">
        <f t="shared" si="2152"/>
        <v>0</v>
      </c>
      <c r="AS429" s="200">
        <f t="shared" si="2152"/>
        <v>0</v>
      </c>
      <c r="AT429" s="173">
        <v>0.0</v>
      </c>
      <c r="AU429" s="200">
        <f t="shared" ref="AU429:AX429" si="2153">countif($D429,"*"&amp;AU$2&amp;"*")</f>
        <v>0</v>
      </c>
      <c r="AV429" s="200">
        <f t="shared" si="2153"/>
        <v>1</v>
      </c>
      <c r="AW429" s="200">
        <f t="shared" si="2153"/>
        <v>0</v>
      </c>
      <c r="AX429" s="200">
        <f t="shared" si="2153"/>
        <v>0</v>
      </c>
      <c r="AY429" s="202">
        <v>0.0</v>
      </c>
      <c r="AZ429" s="200"/>
      <c r="BA429" s="171" t="str">
        <f t="shared" si="18"/>
        <v/>
      </c>
      <c r="BB429" s="171" t="str">
        <f t="shared" si="19"/>
        <v>Code</v>
      </c>
      <c r="BC429" s="171" t="str">
        <f t="shared" si="20"/>
        <v/>
      </c>
      <c r="BD429" s="171" t="str">
        <f t="shared" si="21"/>
        <v/>
      </c>
      <c r="BE429" s="171" t="str">
        <f t="shared" si="22"/>
        <v/>
      </c>
      <c r="BF429" s="171" t="str">
        <f t="shared" si="23"/>
        <v>Code</v>
      </c>
    </row>
    <row r="430">
      <c r="A430" s="171">
        <f t="array" ref="A430">XLOOKUP(C430,ICSE!A:A,ICSE!C:C,,2,1)</f>
        <v>2020</v>
      </c>
      <c r="B430" s="171" t="s">
        <v>5675</v>
      </c>
      <c r="C430" s="160">
        <v>771.0</v>
      </c>
      <c r="D430" s="161" t="s">
        <v>1701</v>
      </c>
      <c r="E430" s="197" t="str">
        <f t="array" ref="E430">XLOOKUP(C430,ICSE!A:A,ICSE!Z:Z,,0,1)</f>
        <v>Publicly available (1)</v>
      </c>
      <c r="F430" s="198" t="s">
        <v>20</v>
      </c>
      <c r="G430" s="163" t="str">
        <f t="array" ref="G430">IF(B430="ICSE",IF(COUNTIFS(B:B,B430,C:C,C430)=XLOOKUP(C430,ICSE!A:A,ICSE!AA:AA,"ERROR",0,1),"OK","ERROR"),IF(B430="FSE",IF(COUNTIFS(B:B,B430,C:C,C430)=XLOOKUP(C430,FSE!A:A,FSE!AA:AA,"ERROR",0,1),"OK","ERROR")))</f>
        <v>OK</v>
      </c>
      <c r="H430" s="199">
        <f t="shared" ref="H430:O430" si="2154">countif($D430,"*"&amp;H$2&amp;"*")</f>
        <v>0</v>
      </c>
      <c r="I430" s="200">
        <f t="shared" si="2154"/>
        <v>0</v>
      </c>
      <c r="J430" s="200">
        <f t="shared" si="2154"/>
        <v>0</v>
      </c>
      <c r="K430" s="200">
        <f t="shared" si="2154"/>
        <v>0</v>
      </c>
      <c r="L430" s="200">
        <f t="shared" si="2154"/>
        <v>0</v>
      </c>
      <c r="M430" s="200">
        <f t="shared" si="2154"/>
        <v>0</v>
      </c>
      <c r="N430" s="200">
        <f t="shared" si="2154"/>
        <v>0</v>
      </c>
      <c r="O430" s="200">
        <f t="shared" si="2154"/>
        <v>0</v>
      </c>
      <c r="P430" s="200">
        <f t="shared" si="9"/>
        <v>1</v>
      </c>
      <c r="Q430" s="200">
        <f t="shared" ref="Q430:AC430" si="2155">countif($D430,"*"&amp;Q$2&amp;"*")</f>
        <v>0</v>
      </c>
      <c r="R430" s="200">
        <f t="shared" si="2155"/>
        <v>0</v>
      </c>
      <c r="S430" s="200">
        <f t="shared" si="2155"/>
        <v>0</v>
      </c>
      <c r="T430" s="200">
        <f t="shared" si="2155"/>
        <v>0</v>
      </c>
      <c r="U430" s="200">
        <f t="shared" si="2155"/>
        <v>0</v>
      </c>
      <c r="V430" s="200">
        <f t="shared" si="2155"/>
        <v>0</v>
      </c>
      <c r="W430" s="200">
        <f t="shared" si="2155"/>
        <v>0</v>
      </c>
      <c r="X430" s="200">
        <f t="shared" si="2155"/>
        <v>0</v>
      </c>
      <c r="Y430" s="200">
        <f t="shared" si="2155"/>
        <v>0</v>
      </c>
      <c r="Z430" s="200">
        <f t="shared" si="2155"/>
        <v>0</v>
      </c>
      <c r="AA430" s="200">
        <f t="shared" si="2155"/>
        <v>0</v>
      </c>
      <c r="AB430" s="200">
        <f t="shared" si="2155"/>
        <v>0</v>
      </c>
      <c r="AC430" s="200">
        <f t="shared" si="2155"/>
        <v>0</v>
      </c>
      <c r="AD430" s="200">
        <f t="shared" si="11"/>
        <v>0</v>
      </c>
      <c r="AE430" s="200">
        <f t="shared" ref="AE430:AG430" si="2156">countif($D430,"*"&amp;AE$2&amp;"*")</f>
        <v>0</v>
      </c>
      <c r="AF430" s="200">
        <f t="shared" si="2156"/>
        <v>0</v>
      </c>
      <c r="AG430" s="200">
        <f t="shared" si="2156"/>
        <v>0</v>
      </c>
      <c r="AH430" s="171">
        <f t="shared" si="13"/>
        <v>0</v>
      </c>
      <c r="AI430" s="200">
        <f t="shared" si="14"/>
        <v>0</v>
      </c>
      <c r="AJ430" s="200">
        <f t="shared" si="2076"/>
        <v>0</v>
      </c>
      <c r="AK430" s="201">
        <f t="shared" ref="AK430:AS430" si="2157">countif($D430,"*"&amp;AK$2&amp;"*")</f>
        <v>0</v>
      </c>
      <c r="AL430" s="201">
        <f t="shared" si="2157"/>
        <v>0</v>
      </c>
      <c r="AM430" s="201">
        <f t="shared" si="2157"/>
        <v>0</v>
      </c>
      <c r="AN430" s="201">
        <f t="shared" si="2157"/>
        <v>0</v>
      </c>
      <c r="AO430" s="201">
        <f t="shared" si="2157"/>
        <v>0</v>
      </c>
      <c r="AP430" s="201">
        <f t="shared" si="2157"/>
        <v>0</v>
      </c>
      <c r="AQ430" s="201">
        <f t="shared" si="2157"/>
        <v>0</v>
      </c>
      <c r="AR430" s="200">
        <f t="shared" si="2157"/>
        <v>0</v>
      </c>
      <c r="AS430" s="200">
        <f t="shared" si="2157"/>
        <v>0</v>
      </c>
      <c r="AT430" s="173">
        <v>0.0</v>
      </c>
      <c r="AU430" s="200">
        <f t="shared" ref="AU430:AX430" si="2158">countif($D430,"*"&amp;AU$2&amp;"*")</f>
        <v>0</v>
      </c>
      <c r="AV430" s="200">
        <f t="shared" si="2158"/>
        <v>1</v>
      </c>
      <c r="AW430" s="200">
        <f t="shared" si="2158"/>
        <v>0</v>
      </c>
      <c r="AX430" s="200">
        <f t="shared" si="2158"/>
        <v>0</v>
      </c>
      <c r="AY430" s="202">
        <v>0.0</v>
      </c>
      <c r="AZ430" s="200"/>
      <c r="BA430" s="171" t="str">
        <f t="shared" si="18"/>
        <v/>
      </c>
      <c r="BB430" s="171" t="str">
        <f t="shared" si="19"/>
        <v>Code</v>
      </c>
      <c r="BC430" s="171" t="str">
        <f t="shared" si="20"/>
        <v/>
      </c>
      <c r="BD430" s="171" t="str">
        <f t="shared" si="21"/>
        <v/>
      </c>
      <c r="BE430" s="171" t="str">
        <f t="shared" si="22"/>
        <v/>
      </c>
      <c r="BF430" s="171" t="str">
        <f t="shared" si="23"/>
        <v>Code</v>
      </c>
    </row>
    <row r="431">
      <c r="A431" s="171">
        <f t="array" ref="A431">XLOOKUP(C431,ICSE!A:A,ICSE!C:C,,2,1)</f>
        <v>2020</v>
      </c>
      <c r="B431" s="171" t="s">
        <v>5675</v>
      </c>
      <c r="C431" s="160">
        <v>772.0</v>
      </c>
      <c r="D431" s="161" t="s">
        <v>1704</v>
      </c>
      <c r="E431" s="197" t="str">
        <f t="array" ref="E431">XLOOKUP(C431,ICSE!A:A,ICSE!Z:Z,,0,1)</f>
        <v>Publicly available (1)</v>
      </c>
      <c r="F431" s="198" t="s">
        <v>20</v>
      </c>
      <c r="G431" s="163" t="str">
        <f t="array" ref="G431">IF(B431="ICSE",IF(COUNTIFS(B:B,B431,C:C,C431)=XLOOKUP(C431,ICSE!A:A,ICSE!AA:AA,"ERROR",0,1),"OK","ERROR"),IF(B431="FSE",IF(COUNTIFS(B:B,B431,C:C,C431)=XLOOKUP(C431,FSE!A:A,FSE!AA:AA,"ERROR",0,1),"OK","ERROR")))</f>
        <v>OK</v>
      </c>
      <c r="H431" s="199">
        <f t="shared" ref="H431:O431" si="2159">countif($D431,"*"&amp;H$2&amp;"*")</f>
        <v>0</v>
      </c>
      <c r="I431" s="200">
        <f t="shared" si="2159"/>
        <v>0</v>
      </c>
      <c r="J431" s="200">
        <f t="shared" si="2159"/>
        <v>0</v>
      </c>
      <c r="K431" s="200">
        <f t="shared" si="2159"/>
        <v>0</v>
      </c>
      <c r="L431" s="200">
        <f t="shared" si="2159"/>
        <v>0</v>
      </c>
      <c r="M431" s="200">
        <f t="shared" si="2159"/>
        <v>0</v>
      </c>
      <c r="N431" s="200">
        <f t="shared" si="2159"/>
        <v>0</v>
      </c>
      <c r="O431" s="200">
        <f t="shared" si="2159"/>
        <v>0</v>
      </c>
      <c r="P431" s="200">
        <f t="shared" si="9"/>
        <v>1</v>
      </c>
      <c r="Q431" s="200">
        <f t="shared" ref="Q431:AC431" si="2160">countif($D431,"*"&amp;Q$2&amp;"*")</f>
        <v>0</v>
      </c>
      <c r="R431" s="200">
        <f t="shared" si="2160"/>
        <v>0</v>
      </c>
      <c r="S431" s="200">
        <f t="shared" si="2160"/>
        <v>0</v>
      </c>
      <c r="T431" s="200">
        <f t="shared" si="2160"/>
        <v>0</v>
      </c>
      <c r="U431" s="200">
        <f t="shared" si="2160"/>
        <v>0</v>
      </c>
      <c r="V431" s="200">
        <f t="shared" si="2160"/>
        <v>0</v>
      </c>
      <c r="W431" s="200">
        <f t="shared" si="2160"/>
        <v>0</v>
      </c>
      <c r="X431" s="200">
        <f t="shared" si="2160"/>
        <v>0</v>
      </c>
      <c r="Y431" s="200">
        <f t="shared" si="2160"/>
        <v>0</v>
      </c>
      <c r="Z431" s="200">
        <f t="shared" si="2160"/>
        <v>0</v>
      </c>
      <c r="AA431" s="200">
        <f t="shared" si="2160"/>
        <v>0</v>
      </c>
      <c r="AB431" s="200">
        <f t="shared" si="2160"/>
        <v>0</v>
      </c>
      <c r="AC431" s="200">
        <f t="shared" si="2160"/>
        <v>0</v>
      </c>
      <c r="AD431" s="200">
        <f t="shared" si="11"/>
        <v>0</v>
      </c>
      <c r="AE431" s="200">
        <f t="shared" ref="AE431:AG431" si="2161">countif($D431,"*"&amp;AE$2&amp;"*")</f>
        <v>0</v>
      </c>
      <c r="AF431" s="200">
        <f t="shared" si="2161"/>
        <v>0</v>
      </c>
      <c r="AG431" s="200">
        <f t="shared" si="2161"/>
        <v>0</v>
      </c>
      <c r="AH431" s="171">
        <f t="shared" si="13"/>
        <v>0</v>
      </c>
      <c r="AI431" s="200">
        <f t="shared" si="14"/>
        <v>0</v>
      </c>
      <c r="AJ431" s="200">
        <f t="shared" si="2076"/>
        <v>0</v>
      </c>
      <c r="AK431" s="201">
        <f t="shared" ref="AK431:AS431" si="2162">countif($D431,"*"&amp;AK$2&amp;"*")</f>
        <v>0</v>
      </c>
      <c r="AL431" s="201">
        <f t="shared" si="2162"/>
        <v>0</v>
      </c>
      <c r="AM431" s="201">
        <f t="shared" si="2162"/>
        <v>0</v>
      </c>
      <c r="AN431" s="201">
        <f t="shared" si="2162"/>
        <v>0</v>
      </c>
      <c r="AO431" s="201">
        <f t="shared" si="2162"/>
        <v>0</v>
      </c>
      <c r="AP431" s="201">
        <f t="shared" si="2162"/>
        <v>0</v>
      </c>
      <c r="AQ431" s="201">
        <f t="shared" si="2162"/>
        <v>0</v>
      </c>
      <c r="AR431" s="200">
        <f t="shared" si="2162"/>
        <v>0</v>
      </c>
      <c r="AS431" s="200">
        <f t="shared" si="2162"/>
        <v>0</v>
      </c>
      <c r="AT431" s="173">
        <v>0.0</v>
      </c>
      <c r="AU431" s="200">
        <f t="shared" ref="AU431:AX431" si="2163">countif($D431,"*"&amp;AU$2&amp;"*")</f>
        <v>0</v>
      </c>
      <c r="AV431" s="200">
        <f t="shared" si="2163"/>
        <v>1</v>
      </c>
      <c r="AW431" s="200">
        <f t="shared" si="2163"/>
        <v>0</v>
      </c>
      <c r="AX431" s="200">
        <f t="shared" si="2163"/>
        <v>0</v>
      </c>
      <c r="AY431" s="202">
        <v>0.0</v>
      </c>
      <c r="AZ431" s="200"/>
      <c r="BA431" s="171" t="str">
        <f t="shared" si="18"/>
        <v/>
      </c>
      <c r="BB431" s="171" t="str">
        <f t="shared" si="19"/>
        <v>Code</v>
      </c>
      <c r="BC431" s="171" t="str">
        <f t="shared" si="20"/>
        <v/>
      </c>
      <c r="BD431" s="171" t="str">
        <f t="shared" si="21"/>
        <v/>
      </c>
      <c r="BE431" s="171" t="str">
        <f t="shared" si="22"/>
        <v/>
      </c>
      <c r="BF431" s="171" t="str">
        <f t="shared" si="23"/>
        <v>Code</v>
      </c>
    </row>
    <row r="432">
      <c r="A432" s="171">
        <f t="array" ref="A432">XLOOKUP(C432,ICSE!A:A,ICSE!C:C,,2,1)</f>
        <v>2020</v>
      </c>
      <c r="B432" s="171" t="s">
        <v>5675</v>
      </c>
      <c r="C432" s="160">
        <v>773.0</v>
      </c>
      <c r="D432" s="161" t="s">
        <v>1707</v>
      </c>
      <c r="E432" s="197" t="str">
        <f t="array" ref="E432">XLOOKUP(C432,ICSE!A:A,ICSE!Z:Z,,0,1)</f>
        <v>Publicly available (1)</v>
      </c>
      <c r="F432" s="198" t="s">
        <v>20</v>
      </c>
      <c r="G432" s="163" t="str">
        <f t="array" ref="G432">IF(B432="ICSE",IF(COUNTIFS(B:B,B432,C:C,C432)=XLOOKUP(C432,ICSE!A:A,ICSE!AA:AA,"ERROR",0,1),"OK","ERROR"),IF(B432="FSE",IF(COUNTIFS(B:B,B432,C:C,C432)=XLOOKUP(C432,FSE!A:A,FSE!AA:AA,"ERROR",0,1),"OK","ERROR")))</f>
        <v>OK</v>
      </c>
      <c r="H432" s="199">
        <f t="shared" ref="H432:O432" si="2164">countif($D432,"*"&amp;H$2&amp;"*")</f>
        <v>0</v>
      </c>
      <c r="I432" s="200">
        <f t="shared" si="2164"/>
        <v>0</v>
      </c>
      <c r="J432" s="200">
        <f t="shared" si="2164"/>
        <v>0</v>
      </c>
      <c r="K432" s="200">
        <f t="shared" si="2164"/>
        <v>0</v>
      </c>
      <c r="L432" s="200">
        <f t="shared" si="2164"/>
        <v>0</v>
      </c>
      <c r="M432" s="200">
        <f t="shared" si="2164"/>
        <v>0</v>
      </c>
      <c r="N432" s="200">
        <f t="shared" si="2164"/>
        <v>0</v>
      </c>
      <c r="O432" s="200">
        <f t="shared" si="2164"/>
        <v>0</v>
      </c>
      <c r="P432" s="200">
        <f t="shared" si="9"/>
        <v>1</v>
      </c>
      <c r="Q432" s="200">
        <f t="shared" ref="Q432:AC432" si="2165">countif($D432,"*"&amp;Q$2&amp;"*")</f>
        <v>0</v>
      </c>
      <c r="R432" s="200">
        <f t="shared" si="2165"/>
        <v>0</v>
      </c>
      <c r="S432" s="200">
        <f t="shared" si="2165"/>
        <v>0</v>
      </c>
      <c r="T432" s="200">
        <f t="shared" si="2165"/>
        <v>0</v>
      </c>
      <c r="U432" s="200">
        <f t="shared" si="2165"/>
        <v>0</v>
      </c>
      <c r="V432" s="200">
        <f t="shared" si="2165"/>
        <v>0</v>
      </c>
      <c r="W432" s="200">
        <f t="shared" si="2165"/>
        <v>0</v>
      </c>
      <c r="X432" s="200">
        <f t="shared" si="2165"/>
        <v>0</v>
      </c>
      <c r="Y432" s="200">
        <f t="shared" si="2165"/>
        <v>0</v>
      </c>
      <c r="Z432" s="200">
        <f t="shared" si="2165"/>
        <v>0</v>
      </c>
      <c r="AA432" s="200">
        <f t="shared" si="2165"/>
        <v>0</v>
      </c>
      <c r="AB432" s="200">
        <f t="shared" si="2165"/>
        <v>0</v>
      </c>
      <c r="AC432" s="200">
        <f t="shared" si="2165"/>
        <v>0</v>
      </c>
      <c r="AD432" s="200">
        <f t="shared" si="11"/>
        <v>0</v>
      </c>
      <c r="AE432" s="200">
        <f t="shared" ref="AE432:AG432" si="2166">countif($D432,"*"&amp;AE$2&amp;"*")</f>
        <v>0</v>
      </c>
      <c r="AF432" s="200">
        <f t="shared" si="2166"/>
        <v>0</v>
      </c>
      <c r="AG432" s="200">
        <f t="shared" si="2166"/>
        <v>0</v>
      </c>
      <c r="AH432" s="171">
        <f t="shared" si="13"/>
        <v>0</v>
      </c>
      <c r="AI432" s="200">
        <f t="shared" si="14"/>
        <v>0</v>
      </c>
      <c r="AJ432" s="200">
        <f t="shared" si="2076"/>
        <v>0</v>
      </c>
      <c r="AK432" s="201">
        <f t="shared" ref="AK432:AS432" si="2167">countif($D432,"*"&amp;AK$2&amp;"*")</f>
        <v>0</v>
      </c>
      <c r="AL432" s="201">
        <f t="shared" si="2167"/>
        <v>0</v>
      </c>
      <c r="AM432" s="201">
        <f t="shared" si="2167"/>
        <v>0</v>
      </c>
      <c r="AN432" s="201">
        <f t="shared" si="2167"/>
        <v>0</v>
      </c>
      <c r="AO432" s="201">
        <f t="shared" si="2167"/>
        <v>0</v>
      </c>
      <c r="AP432" s="201">
        <f t="shared" si="2167"/>
        <v>0</v>
      </c>
      <c r="AQ432" s="201">
        <f t="shared" si="2167"/>
        <v>0</v>
      </c>
      <c r="AR432" s="200">
        <f t="shared" si="2167"/>
        <v>0</v>
      </c>
      <c r="AS432" s="200">
        <f t="shared" si="2167"/>
        <v>0</v>
      </c>
      <c r="AT432" s="173">
        <v>0.0</v>
      </c>
      <c r="AU432" s="200">
        <f t="shared" ref="AU432:AX432" si="2168">countif($D432,"*"&amp;AU$2&amp;"*")</f>
        <v>0</v>
      </c>
      <c r="AV432" s="200">
        <f t="shared" si="2168"/>
        <v>1</v>
      </c>
      <c r="AW432" s="200">
        <f t="shared" si="2168"/>
        <v>0</v>
      </c>
      <c r="AX432" s="200">
        <f t="shared" si="2168"/>
        <v>0</v>
      </c>
      <c r="AY432" s="202">
        <v>0.0</v>
      </c>
      <c r="AZ432" s="200"/>
      <c r="BA432" s="171" t="str">
        <f t="shared" si="18"/>
        <v/>
      </c>
      <c r="BB432" s="171" t="str">
        <f t="shared" si="19"/>
        <v>Code</v>
      </c>
      <c r="BC432" s="171" t="str">
        <f t="shared" si="20"/>
        <v/>
      </c>
      <c r="BD432" s="171" t="str">
        <f t="shared" si="21"/>
        <v/>
      </c>
      <c r="BE432" s="171" t="str">
        <f t="shared" si="22"/>
        <v/>
      </c>
      <c r="BF432" s="171" t="str">
        <f t="shared" si="23"/>
        <v>Code</v>
      </c>
    </row>
    <row r="433">
      <c r="A433" s="171">
        <f t="array" ref="A433">XLOOKUP(C433,ICSE!A:A,ICSE!C:C,,2,1)</f>
        <v>2020</v>
      </c>
      <c r="B433" s="171" t="s">
        <v>5675</v>
      </c>
      <c r="C433" s="160">
        <v>774.0</v>
      </c>
      <c r="D433" s="161" t="s">
        <v>1710</v>
      </c>
      <c r="E433" s="197" t="str">
        <f t="array" ref="E433">XLOOKUP(C433,ICSE!A:A,ICSE!Z:Z,,0,1)</f>
        <v>Publicly available (1)</v>
      </c>
      <c r="F433" s="198" t="s">
        <v>20</v>
      </c>
      <c r="G433" s="163" t="str">
        <f t="array" ref="G433">IF(B433="ICSE",IF(COUNTIFS(B:B,B433,C:C,C433)=XLOOKUP(C433,ICSE!A:A,ICSE!AA:AA,"ERROR",0,1),"OK","ERROR"),IF(B433="FSE",IF(COUNTIFS(B:B,B433,C:C,C433)=XLOOKUP(C433,FSE!A:A,FSE!AA:AA,"ERROR",0,1),"OK","ERROR")))</f>
        <v>OK</v>
      </c>
      <c r="H433" s="199">
        <f t="shared" ref="H433:O433" si="2169">countif($D433,"*"&amp;H$2&amp;"*")</f>
        <v>0</v>
      </c>
      <c r="I433" s="200">
        <f t="shared" si="2169"/>
        <v>0</v>
      </c>
      <c r="J433" s="200">
        <f t="shared" si="2169"/>
        <v>0</v>
      </c>
      <c r="K433" s="200">
        <f t="shared" si="2169"/>
        <v>0</v>
      </c>
      <c r="L433" s="200">
        <f t="shared" si="2169"/>
        <v>0</v>
      </c>
      <c r="M433" s="200">
        <f t="shared" si="2169"/>
        <v>0</v>
      </c>
      <c r="N433" s="200">
        <f t="shared" si="2169"/>
        <v>0</v>
      </c>
      <c r="O433" s="200">
        <f t="shared" si="2169"/>
        <v>0</v>
      </c>
      <c r="P433" s="200">
        <f t="shared" si="9"/>
        <v>1</v>
      </c>
      <c r="Q433" s="200">
        <f t="shared" ref="Q433:AC433" si="2170">countif($D433,"*"&amp;Q$2&amp;"*")</f>
        <v>0</v>
      </c>
      <c r="R433" s="200">
        <f t="shared" si="2170"/>
        <v>0</v>
      </c>
      <c r="S433" s="200">
        <f t="shared" si="2170"/>
        <v>0</v>
      </c>
      <c r="T433" s="200">
        <f t="shared" si="2170"/>
        <v>0</v>
      </c>
      <c r="U433" s="200">
        <f t="shared" si="2170"/>
        <v>0</v>
      </c>
      <c r="V433" s="200">
        <f t="shared" si="2170"/>
        <v>0</v>
      </c>
      <c r="W433" s="200">
        <f t="shared" si="2170"/>
        <v>0</v>
      </c>
      <c r="X433" s="200">
        <f t="shared" si="2170"/>
        <v>0</v>
      </c>
      <c r="Y433" s="200">
        <f t="shared" si="2170"/>
        <v>0</v>
      </c>
      <c r="Z433" s="200">
        <f t="shared" si="2170"/>
        <v>0</v>
      </c>
      <c r="AA433" s="200">
        <f t="shared" si="2170"/>
        <v>0</v>
      </c>
      <c r="AB433" s="200">
        <f t="shared" si="2170"/>
        <v>0</v>
      </c>
      <c r="AC433" s="200">
        <f t="shared" si="2170"/>
        <v>0</v>
      </c>
      <c r="AD433" s="200">
        <f t="shared" si="11"/>
        <v>0</v>
      </c>
      <c r="AE433" s="200">
        <f t="shared" ref="AE433:AG433" si="2171">countif($D433,"*"&amp;AE$2&amp;"*")</f>
        <v>0</v>
      </c>
      <c r="AF433" s="200">
        <f t="shared" si="2171"/>
        <v>0</v>
      </c>
      <c r="AG433" s="200">
        <f t="shared" si="2171"/>
        <v>0</v>
      </c>
      <c r="AH433" s="171">
        <f t="shared" si="13"/>
        <v>0</v>
      </c>
      <c r="AI433" s="200">
        <f t="shared" si="14"/>
        <v>0</v>
      </c>
      <c r="AJ433" s="200">
        <f t="shared" si="2076"/>
        <v>0</v>
      </c>
      <c r="AK433" s="201">
        <f t="shared" ref="AK433:AS433" si="2172">countif($D433,"*"&amp;AK$2&amp;"*")</f>
        <v>0</v>
      </c>
      <c r="AL433" s="201">
        <f t="shared" si="2172"/>
        <v>0</v>
      </c>
      <c r="AM433" s="201">
        <f t="shared" si="2172"/>
        <v>0</v>
      </c>
      <c r="AN433" s="201">
        <f t="shared" si="2172"/>
        <v>0</v>
      </c>
      <c r="AO433" s="201">
        <f t="shared" si="2172"/>
        <v>0</v>
      </c>
      <c r="AP433" s="201">
        <f t="shared" si="2172"/>
        <v>0</v>
      </c>
      <c r="AQ433" s="201">
        <f t="shared" si="2172"/>
        <v>0</v>
      </c>
      <c r="AR433" s="200">
        <f t="shared" si="2172"/>
        <v>0</v>
      </c>
      <c r="AS433" s="200">
        <f t="shared" si="2172"/>
        <v>0</v>
      </c>
      <c r="AT433" s="173">
        <v>0.0</v>
      </c>
      <c r="AU433" s="200">
        <f t="shared" ref="AU433:AX433" si="2173">countif($D433,"*"&amp;AU$2&amp;"*")</f>
        <v>0</v>
      </c>
      <c r="AV433" s="200">
        <f t="shared" si="2173"/>
        <v>1</v>
      </c>
      <c r="AW433" s="200">
        <f t="shared" si="2173"/>
        <v>0</v>
      </c>
      <c r="AX433" s="200">
        <f t="shared" si="2173"/>
        <v>0</v>
      </c>
      <c r="AY433" s="202">
        <v>0.0</v>
      </c>
      <c r="AZ433" s="200"/>
      <c r="BA433" s="171" t="str">
        <f t="shared" si="18"/>
        <v/>
      </c>
      <c r="BB433" s="171" t="str">
        <f t="shared" si="19"/>
        <v>Code</v>
      </c>
      <c r="BC433" s="171" t="str">
        <f t="shared" si="20"/>
        <v/>
      </c>
      <c r="BD433" s="171" t="str">
        <f t="shared" si="21"/>
        <v/>
      </c>
      <c r="BE433" s="171" t="str">
        <f t="shared" si="22"/>
        <v/>
      </c>
      <c r="BF433" s="171" t="str">
        <f t="shared" si="23"/>
        <v>Code</v>
      </c>
    </row>
    <row r="434">
      <c r="A434" s="171">
        <f t="array" ref="A434">XLOOKUP(C434,ICSE!A:A,ICSE!C:C,,2,1)</f>
        <v>2020</v>
      </c>
      <c r="B434" s="171" t="s">
        <v>5675</v>
      </c>
      <c r="C434" s="160">
        <v>775.0</v>
      </c>
      <c r="D434" s="161" t="s">
        <v>1713</v>
      </c>
      <c r="E434" s="197" t="str">
        <f t="array" ref="E434">XLOOKUP(C434,ICSE!A:A,ICSE!Z:Z,,0,1)</f>
        <v>Publicly available (1)</v>
      </c>
      <c r="F434" s="198" t="s">
        <v>20</v>
      </c>
      <c r="G434" s="163" t="str">
        <f t="array" ref="G434">IF(B434="ICSE",IF(COUNTIFS(B:B,B434,C:C,C434)=XLOOKUP(C434,ICSE!A:A,ICSE!AA:AA,"ERROR",0,1),"OK","ERROR"),IF(B434="FSE",IF(COUNTIFS(B:B,B434,C:C,C434)=XLOOKUP(C434,FSE!A:A,FSE!AA:AA,"ERROR",0,1),"OK","ERROR")))</f>
        <v>OK</v>
      </c>
      <c r="H434" s="199">
        <f t="shared" ref="H434:O434" si="2174">countif($D434,"*"&amp;H$2&amp;"*")</f>
        <v>0</v>
      </c>
      <c r="I434" s="200">
        <f t="shared" si="2174"/>
        <v>0</v>
      </c>
      <c r="J434" s="200">
        <f t="shared" si="2174"/>
        <v>0</v>
      </c>
      <c r="K434" s="200">
        <f t="shared" si="2174"/>
        <v>0</v>
      </c>
      <c r="L434" s="200">
        <f t="shared" si="2174"/>
        <v>0</v>
      </c>
      <c r="M434" s="200">
        <f t="shared" si="2174"/>
        <v>0</v>
      </c>
      <c r="N434" s="200">
        <f t="shared" si="2174"/>
        <v>0</v>
      </c>
      <c r="O434" s="200">
        <f t="shared" si="2174"/>
        <v>0</v>
      </c>
      <c r="P434" s="200">
        <f t="shared" si="9"/>
        <v>1</v>
      </c>
      <c r="Q434" s="200">
        <f t="shared" ref="Q434:AC434" si="2175">countif($D434,"*"&amp;Q$2&amp;"*")</f>
        <v>0</v>
      </c>
      <c r="R434" s="200">
        <f t="shared" si="2175"/>
        <v>0</v>
      </c>
      <c r="S434" s="200">
        <f t="shared" si="2175"/>
        <v>0</v>
      </c>
      <c r="T434" s="200">
        <f t="shared" si="2175"/>
        <v>0</v>
      </c>
      <c r="U434" s="200">
        <f t="shared" si="2175"/>
        <v>0</v>
      </c>
      <c r="V434" s="200">
        <f t="shared" si="2175"/>
        <v>0</v>
      </c>
      <c r="W434" s="200">
        <f t="shared" si="2175"/>
        <v>0</v>
      </c>
      <c r="X434" s="200">
        <f t="shared" si="2175"/>
        <v>0</v>
      </c>
      <c r="Y434" s="200">
        <f t="shared" si="2175"/>
        <v>0</v>
      </c>
      <c r="Z434" s="200">
        <f t="shared" si="2175"/>
        <v>0</v>
      </c>
      <c r="AA434" s="200">
        <f t="shared" si="2175"/>
        <v>0</v>
      </c>
      <c r="AB434" s="200">
        <f t="shared" si="2175"/>
        <v>0</v>
      </c>
      <c r="AC434" s="200">
        <f t="shared" si="2175"/>
        <v>0</v>
      </c>
      <c r="AD434" s="200">
        <f t="shared" si="11"/>
        <v>0</v>
      </c>
      <c r="AE434" s="200">
        <f t="shared" ref="AE434:AG434" si="2176">countif($D434,"*"&amp;AE$2&amp;"*")</f>
        <v>0</v>
      </c>
      <c r="AF434" s="200">
        <f t="shared" si="2176"/>
        <v>0</v>
      </c>
      <c r="AG434" s="200">
        <f t="shared" si="2176"/>
        <v>0</v>
      </c>
      <c r="AH434" s="171">
        <f t="shared" si="13"/>
        <v>0</v>
      </c>
      <c r="AI434" s="200">
        <f t="shared" si="14"/>
        <v>0</v>
      </c>
      <c r="AJ434" s="200">
        <f t="shared" si="2076"/>
        <v>0</v>
      </c>
      <c r="AK434" s="201">
        <f t="shared" ref="AK434:AS434" si="2177">countif($D434,"*"&amp;AK$2&amp;"*")</f>
        <v>0</v>
      </c>
      <c r="AL434" s="201">
        <f t="shared" si="2177"/>
        <v>0</v>
      </c>
      <c r="AM434" s="201">
        <f t="shared" si="2177"/>
        <v>0</v>
      </c>
      <c r="AN434" s="201">
        <f t="shared" si="2177"/>
        <v>0</v>
      </c>
      <c r="AO434" s="201">
        <f t="shared" si="2177"/>
        <v>0</v>
      </c>
      <c r="AP434" s="201">
        <f t="shared" si="2177"/>
        <v>0</v>
      </c>
      <c r="AQ434" s="201">
        <f t="shared" si="2177"/>
        <v>0</v>
      </c>
      <c r="AR434" s="200">
        <f t="shared" si="2177"/>
        <v>0</v>
      </c>
      <c r="AS434" s="200">
        <f t="shared" si="2177"/>
        <v>0</v>
      </c>
      <c r="AT434" s="173">
        <v>0.0</v>
      </c>
      <c r="AU434" s="200">
        <f t="shared" ref="AU434:AX434" si="2178">countif($D434,"*"&amp;AU$2&amp;"*")</f>
        <v>0</v>
      </c>
      <c r="AV434" s="200">
        <f t="shared" si="2178"/>
        <v>1</v>
      </c>
      <c r="AW434" s="200">
        <f t="shared" si="2178"/>
        <v>0</v>
      </c>
      <c r="AX434" s="200">
        <f t="shared" si="2178"/>
        <v>0</v>
      </c>
      <c r="AY434" s="202">
        <v>0.0</v>
      </c>
      <c r="AZ434" s="200"/>
      <c r="BA434" s="171" t="str">
        <f t="shared" si="18"/>
        <v/>
      </c>
      <c r="BB434" s="171" t="str">
        <f t="shared" si="19"/>
        <v>Code</v>
      </c>
      <c r="BC434" s="171" t="str">
        <f t="shared" si="20"/>
        <v/>
      </c>
      <c r="BD434" s="171" t="str">
        <f t="shared" si="21"/>
        <v/>
      </c>
      <c r="BE434" s="171" t="str">
        <f t="shared" si="22"/>
        <v/>
      </c>
      <c r="BF434" s="171" t="str">
        <f t="shared" si="23"/>
        <v>Code</v>
      </c>
    </row>
    <row r="435">
      <c r="A435" s="171">
        <f t="array" ref="A435">XLOOKUP(C435,ICSE!A:A,ICSE!C:C,,2,1)</f>
        <v>2020</v>
      </c>
      <c r="B435" s="171" t="s">
        <v>5675</v>
      </c>
      <c r="C435" s="160">
        <v>776.0</v>
      </c>
      <c r="D435" s="161" t="s">
        <v>1716</v>
      </c>
      <c r="E435" s="197" t="str">
        <f t="array" ref="E435">XLOOKUP(C435,ICSE!A:A,ICSE!Z:Z,,0,1)</f>
        <v>Publicly available (1)</v>
      </c>
      <c r="F435" s="198" t="s">
        <v>20</v>
      </c>
      <c r="G435" s="163" t="str">
        <f t="array" ref="G435">IF(B435="ICSE",IF(COUNTIFS(B:B,B435,C:C,C435)=XLOOKUP(C435,ICSE!A:A,ICSE!AA:AA,"ERROR",0,1),"OK","ERROR"),IF(B435="FSE",IF(COUNTIFS(B:B,B435,C:C,C435)=XLOOKUP(C435,FSE!A:A,FSE!AA:AA,"ERROR",0,1),"OK","ERROR")))</f>
        <v>OK</v>
      </c>
      <c r="H435" s="199">
        <f t="shared" ref="H435:O435" si="2179">countif($D435,"*"&amp;H$2&amp;"*")</f>
        <v>0</v>
      </c>
      <c r="I435" s="200">
        <f t="shared" si="2179"/>
        <v>0</v>
      </c>
      <c r="J435" s="200">
        <f t="shared" si="2179"/>
        <v>0</v>
      </c>
      <c r="K435" s="200">
        <f t="shared" si="2179"/>
        <v>0</v>
      </c>
      <c r="L435" s="200">
        <f t="shared" si="2179"/>
        <v>0</v>
      </c>
      <c r="M435" s="200">
        <f t="shared" si="2179"/>
        <v>0</v>
      </c>
      <c r="N435" s="200">
        <f t="shared" si="2179"/>
        <v>0</v>
      </c>
      <c r="O435" s="200">
        <f t="shared" si="2179"/>
        <v>0</v>
      </c>
      <c r="P435" s="200">
        <f t="shared" si="9"/>
        <v>0</v>
      </c>
      <c r="Q435" s="200">
        <f t="shared" ref="Q435:AC435" si="2180">countif($D435,"*"&amp;Q$2&amp;"*")</f>
        <v>0</v>
      </c>
      <c r="R435" s="200">
        <f t="shared" si="2180"/>
        <v>0</v>
      </c>
      <c r="S435" s="200">
        <f t="shared" si="2180"/>
        <v>0</v>
      </c>
      <c r="T435" s="200">
        <f t="shared" si="2180"/>
        <v>0</v>
      </c>
      <c r="U435" s="200">
        <f t="shared" si="2180"/>
        <v>0</v>
      </c>
      <c r="V435" s="200">
        <f t="shared" si="2180"/>
        <v>0</v>
      </c>
      <c r="W435" s="200">
        <f t="shared" si="2180"/>
        <v>0</v>
      </c>
      <c r="X435" s="200">
        <f t="shared" si="2180"/>
        <v>0</v>
      </c>
      <c r="Y435" s="200">
        <f t="shared" si="2180"/>
        <v>0</v>
      </c>
      <c r="Z435" s="200">
        <f t="shared" si="2180"/>
        <v>0</v>
      </c>
      <c r="AA435" s="200">
        <f t="shared" si="2180"/>
        <v>1</v>
      </c>
      <c r="AB435" s="200">
        <f t="shared" si="2180"/>
        <v>0</v>
      </c>
      <c r="AC435" s="200">
        <f t="shared" si="2180"/>
        <v>0</v>
      </c>
      <c r="AD435" s="200">
        <f t="shared" si="11"/>
        <v>0</v>
      </c>
      <c r="AE435" s="200">
        <f t="shared" ref="AE435:AG435" si="2181">countif($D435,"*"&amp;AE$2&amp;"*")</f>
        <v>0</v>
      </c>
      <c r="AF435" s="200">
        <f t="shared" si="2181"/>
        <v>0</v>
      </c>
      <c r="AG435" s="200">
        <f t="shared" si="2181"/>
        <v>0</v>
      </c>
      <c r="AH435" s="171">
        <f t="shared" si="13"/>
        <v>0</v>
      </c>
      <c r="AI435" s="200">
        <f t="shared" si="14"/>
        <v>0</v>
      </c>
      <c r="AJ435" s="200">
        <f t="shared" si="2076"/>
        <v>0</v>
      </c>
      <c r="AK435" s="201">
        <f t="shared" ref="AK435:AS435" si="2182">countif($D435,"*"&amp;AK$2&amp;"*")</f>
        <v>0</v>
      </c>
      <c r="AL435" s="201">
        <f t="shared" si="2182"/>
        <v>0</v>
      </c>
      <c r="AM435" s="201">
        <f t="shared" si="2182"/>
        <v>0</v>
      </c>
      <c r="AN435" s="201">
        <f t="shared" si="2182"/>
        <v>0</v>
      </c>
      <c r="AO435" s="201">
        <f t="shared" si="2182"/>
        <v>0</v>
      </c>
      <c r="AP435" s="201">
        <f t="shared" si="2182"/>
        <v>0</v>
      </c>
      <c r="AQ435" s="201">
        <f t="shared" si="2182"/>
        <v>0</v>
      </c>
      <c r="AR435" s="200">
        <f t="shared" si="2182"/>
        <v>0</v>
      </c>
      <c r="AS435" s="200">
        <f t="shared" si="2182"/>
        <v>0</v>
      </c>
      <c r="AT435" s="173">
        <v>0.0</v>
      </c>
      <c r="AU435" s="200">
        <f t="shared" ref="AU435:AX435" si="2183">countif($D435,"*"&amp;AU$2&amp;"*")</f>
        <v>0</v>
      </c>
      <c r="AV435" s="200">
        <f t="shared" si="2183"/>
        <v>0</v>
      </c>
      <c r="AW435" s="200">
        <f t="shared" si="2183"/>
        <v>0</v>
      </c>
      <c r="AX435" s="200">
        <f t="shared" si="2183"/>
        <v>0</v>
      </c>
      <c r="AY435" s="202">
        <v>0.0</v>
      </c>
      <c r="AZ435" s="200"/>
      <c r="BA435" s="171" t="str">
        <f t="shared" si="18"/>
        <v/>
      </c>
      <c r="BB435" s="171" t="str">
        <f t="shared" si="19"/>
        <v/>
      </c>
      <c r="BC435" s="171" t="str">
        <f t="shared" si="20"/>
        <v>General-purpose</v>
      </c>
      <c r="BD435" s="171" t="str">
        <f t="shared" si="21"/>
        <v/>
      </c>
      <c r="BE435" s="171" t="str">
        <f t="shared" si="22"/>
        <v/>
      </c>
      <c r="BF435" s="171" t="str">
        <f t="shared" si="23"/>
        <v>General-purpose</v>
      </c>
    </row>
    <row r="436">
      <c r="A436" s="171">
        <f t="array" ref="A436">XLOOKUP(C436,ICSE!A:A,ICSE!C:C,,2,1)</f>
        <v>2020</v>
      </c>
      <c r="B436" s="171" t="s">
        <v>5675</v>
      </c>
      <c r="C436" s="160">
        <v>778.0</v>
      </c>
      <c r="D436" s="161" t="s">
        <v>1720</v>
      </c>
      <c r="E436" s="197" t="str">
        <f t="array" ref="E436">XLOOKUP(C436,ICSE!A:A,ICSE!Z:Z,,0,1)</f>
        <v>Publicly available (1)</v>
      </c>
      <c r="F436" s="198" t="s">
        <v>20</v>
      </c>
      <c r="G436" s="163" t="str">
        <f t="array" ref="G436">IF(B436="ICSE",IF(COUNTIFS(B:B,B436,C:C,C436)=XLOOKUP(C436,ICSE!A:A,ICSE!AA:AA,"ERROR",0,1),"OK","ERROR"),IF(B436="FSE",IF(COUNTIFS(B:B,B436,C:C,C436)=XLOOKUP(C436,FSE!A:A,FSE!AA:AA,"ERROR",0,1),"OK","ERROR")))</f>
        <v>OK</v>
      </c>
      <c r="H436" s="199">
        <f t="shared" ref="H436:O436" si="2184">countif($D436,"*"&amp;H$2&amp;"*")</f>
        <v>0</v>
      </c>
      <c r="I436" s="200">
        <f t="shared" si="2184"/>
        <v>0</v>
      </c>
      <c r="J436" s="200">
        <f t="shared" si="2184"/>
        <v>0</v>
      </c>
      <c r="K436" s="200">
        <f t="shared" si="2184"/>
        <v>0</v>
      </c>
      <c r="L436" s="200">
        <f t="shared" si="2184"/>
        <v>0</v>
      </c>
      <c r="M436" s="200">
        <f t="shared" si="2184"/>
        <v>0</v>
      </c>
      <c r="N436" s="200">
        <f t="shared" si="2184"/>
        <v>0</v>
      </c>
      <c r="O436" s="200">
        <f t="shared" si="2184"/>
        <v>0</v>
      </c>
      <c r="P436" s="200">
        <f t="shared" si="9"/>
        <v>1</v>
      </c>
      <c r="Q436" s="200">
        <f t="shared" ref="Q436:AC436" si="2185">countif($D436,"*"&amp;Q$2&amp;"*")</f>
        <v>0</v>
      </c>
      <c r="R436" s="200">
        <f t="shared" si="2185"/>
        <v>0</v>
      </c>
      <c r="S436" s="200">
        <f t="shared" si="2185"/>
        <v>0</v>
      </c>
      <c r="T436" s="200">
        <f t="shared" si="2185"/>
        <v>0</v>
      </c>
      <c r="U436" s="200">
        <f t="shared" si="2185"/>
        <v>0</v>
      </c>
      <c r="V436" s="200">
        <f t="shared" si="2185"/>
        <v>0</v>
      </c>
      <c r="W436" s="200">
        <f t="shared" si="2185"/>
        <v>0</v>
      </c>
      <c r="X436" s="200">
        <f t="shared" si="2185"/>
        <v>0</v>
      </c>
      <c r="Y436" s="200">
        <f t="shared" si="2185"/>
        <v>0</v>
      </c>
      <c r="Z436" s="200">
        <f t="shared" si="2185"/>
        <v>0</v>
      </c>
      <c r="AA436" s="200">
        <f t="shared" si="2185"/>
        <v>0</v>
      </c>
      <c r="AB436" s="200">
        <f t="shared" si="2185"/>
        <v>0</v>
      </c>
      <c r="AC436" s="200">
        <f t="shared" si="2185"/>
        <v>0</v>
      </c>
      <c r="AD436" s="200">
        <f t="shared" si="11"/>
        <v>0</v>
      </c>
      <c r="AE436" s="200">
        <f t="shared" ref="AE436:AG436" si="2186">countif($D436,"*"&amp;AE$2&amp;"*")</f>
        <v>0</v>
      </c>
      <c r="AF436" s="200">
        <f t="shared" si="2186"/>
        <v>0</v>
      </c>
      <c r="AG436" s="200">
        <f t="shared" si="2186"/>
        <v>0</v>
      </c>
      <c r="AH436" s="171">
        <f t="shared" si="13"/>
        <v>0</v>
      </c>
      <c r="AI436" s="200">
        <f t="shared" si="14"/>
        <v>0</v>
      </c>
      <c r="AJ436" s="200">
        <f t="shared" si="2076"/>
        <v>0</v>
      </c>
      <c r="AK436" s="201">
        <f t="shared" ref="AK436:AS436" si="2187">countif($D436,"*"&amp;AK$2&amp;"*")</f>
        <v>0</v>
      </c>
      <c r="AL436" s="201">
        <f t="shared" si="2187"/>
        <v>0</v>
      </c>
      <c r="AM436" s="201">
        <f t="shared" si="2187"/>
        <v>0</v>
      </c>
      <c r="AN436" s="201">
        <f t="shared" si="2187"/>
        <v>0</v>
      </c>
      <c r="AO436" s="201">
        <f t="shared" si="2187"/>
        <v>0</v>
      </c>
      <c r="AP436" s="201">
        <f t="shared" si="2187"/>
        <v>0</v>
      </c>
      <c r="AQ436" s="201">
        <f t="shared" si="2187"/>
        <v>0</v>
      </c>
      <c r="AR436" s="200">
        <f t="shared" si="2187"/>
        <v>0</v>
      </c>
      <c r="AS436" s="200">
        <f t="shared" si="2187"/>
        <v>0</v>
      </c>
      <c r="AT436" s="173">
        <v>0.0</v>
      </c>
      <c r="AU436" s="200">
        <f t="shared" ref="AU436:AX436" si="2188">countif($D436,"*"&amp;AU$2&amp;"*")</f>
        <v>0</v>
      </c>
      <c r="AV436" s="200">
        <f t="shared" si="2188"/>
        <v>1</v>
      </c>
      <c r="AW436" s="200">
        <f t="shared" si="2188"/>
        <v>0</v>
      </c>
      <c r="AX436" s="200">
        <f t="shared" si="2188"/>
        <v>0</v>
      </c>
      <c r="AY436" s="202">
        <v>0.0</v>
      </c>
      <c r="AZ436" s="200"/>
      <c r="BA436" s="171" t="str">
        <f t="shared" si="18"/>
        <v/>
      </c>
      <c r="BB436" s="171" t="str">
        <f t="shared" si="19"/>
        <v>Code</v>
      </c>
      <c r="BC436" s="171" t="str">
        <f t="shared" si="20"/>
        <v/>
      </c>
      <c r="BD436" s="171" t="str">
        <f t="shared" si="21"/>
        <v/>
      </c>
      <c r="BE436" s="171" t="str">
        <f t="shared" si="22"/>
        <v/>
      </c>
      <c r="BF436" s="171" t="str">
        <f t="shared" si="23"/>
        <v>Code</v>
      </c>
    </row>
    <row r="437">
      <c r="A437" s="171">
        <f t="array" ref="A437">XLOOKUP(C437,ICSE!A:A,ICSE!C:C,,2,1)</f>
        <v>2020</v>
      </c>
      <c r="B437" s="171" t="s">
        <v>5675</v>
      </c>
      <c r="C437" s="160">
        <v>781.0</v>
      </c>
      <c r="D437" s="161" t="s">
        <v>5879</v>
      </c>
      <c r="E437" s="197" t="str">
        <f t="array" ref="E437">XLOOKUP(C437,ICSE!A:A,ICSE!Z:Z,,0,1)</f>
        <v>Publicly available (1)</v>
      </c>
      <c r="F437" s="198" t="s">
        <v>20</v>
      </c>
      <c r="G437" s="163" t="str">
        <f t="array" ref="G437">IF(B437="ICSE",IF(COUNTIFS(B:B,B437,C:C,C437)=XLOOKUP(C437,ICSE!A:A,ICSE!AA:AA,"ERROR",0,1),"OK","ERROR"),IF(B437="FSE",IF(COUNTIFS(B:B,B437,C:C,C437)=XLOOKUP(C437,FSE!A:A,FSE!AA:AA,"ERROR",0,1),"OK","ERROR")))</f>
        <v>OK</v>
      </c>
      <c r="H437" s="199">
        <f t="shared" ref="H437:O437" si="2189">countif($D437,"*"&amp;H$2&amp;"*")</f>
        <v>1</v>
      </c>
      <c r="I437" s="200">
        <f t="shared" si="2189"/>
        <v>0</v>
      </c>
      <c r="J437" s="200">
        <f t="shared" si="2189"/>
        <v>0</v>
      </c>
      <c r="K437" s="200">
        <f t="shared" si="2189"/>
        <v>0</v>
      </c>
      <c r="L437" s="200">
        <f t="shared" si="2189"/>
        <v>0</v>
      </c>
      <c r="M437" s="200">
        <f t="shared" si="2189"/>
        <v>0</v>
      </c>
      <c r="N437" s="200">
        <f t="shared" si="2189"/>
        <v>0</v>
      </c>
      <c r="O437" s="200">
        <f t="shared" si="2189"/>
        <v>0</v>
      </c>
      <c r="P437" s="200">
        <f t="shared" si="9"/>
        <v>0</v>
      </c>
      <c r="Q437" s="200">
        <f t="shared" ref="Q437:AC437" si="2190">countif($D437,"*"&amp;Q$2&amp;"*")</f>
        <v>0</v>
      </c>
      <c r="R437" s="200">
        <f t="shared" si="2190"/>
        <v>0</v>
      </c>
      <c r="S437" s="200">
        <f t="shared" si="2190"/>
        <v>0</v>
      </c>
      <c r="T437" s="200">
        <f t="shared" si="2190"/>
        <v>0</v>
      </c>
      <c r="U437" s="200">
        <f t="shared" si="2190"/>
        <v>0</v>
      </c>
      <c r="V437" s="200">
        <f t="shared" si="2190"/>
        <v>0</v>
      </c>
      <c r="W437" s="200">
        <f t="shared" si="2190"/>
        <v>0</v>
      </c>
      <c r="X437" s="200">
        <f t="shared" si="2190"/>
        <v>0</v>
      </c>
      <c r="Y437" s="200">
        <f t="shared" si="2190"/>
        <v>0</v>
      </c>
      <c r="Z437" s="200">
        <f t="shared" si="2190"/>
        <v>0</v>
      </c>
      <c r="AA437" s="200">
        <f t="shared" si="2190"/>
        <v>0</v>
      </c>
      <c r="AB437" s="200">
        <f t="shared" si="2190"/>
        <v>0</v>
      </c>
      <c r="AC437" s="200">
        <f t="shared" si="2190"/>
        <v>0</v>
      </c>
      <c r="AD437" s="200">
        <f t="shared" si="11"/>
        <v>0</v>
      </c>
      <c r="AE437" s="200">
        <f t="shared" ref="AE437:AG437" si="2191">countif($D437,"*"&amp;AE$2&amp;"*")</f>
        <v>0</v>
      </c>
      <c r="AF437" s="200">
        <f t="shared" si="2191"/>
        <v>0</v>
      </c>
      <c r="AG437" s="200">
        <f t="shared" si="2191"/>
        <v>0</v>
      </c>
      <c r="AH437" s="171">
        <f t="shared" si="13"/>
        <v>0</v>
      </c>
      <c r="AI437" s="200">
        <f t="shared" si="14"/>
        <v>0</v>
      </c>
      <c r="AJ437" s="200">
        <f t="shared" si="2076"/>
        <v>1</v>
      </c>
      <c r="AK437" s="201">
        <f t="shared" ref="AK437:AS437" si="2192">countif($D437,"*"&amp;AK$2&amp;"*")</f>
        <v>1</v>
      </c>
      <c r="AL437" s="201">
        <f t="shared" si="2192"/>
        <v>0</v>
      </c>
      <c r="AM437" s="201">
        <f t="shared" si="2192"/>
        <v>0</v>
      </c>
      <c r="AN437" s="201">
        <f t="shared" si="2192"/>
        <v>0</v>
      </c>
      <c r="AO437" s="201">
        <f t="shared" si="2192"/>
        <v>0</v>
      </c>
      <c r="AP437" s="201">
        <f t="shared" si="2192"/>
        <v>0</v>
      </c>
      <c r="AQ437" s="201">
        <f t="shared" si="2192"/>
        <v>0</v>
      </c>
      <c r="AR437" s="200">
        <f t="shared" si="2192"/>
        <v>0</v>
      </c>
      <c r="AS437" s="200">
        <f t="shared" si="2192"/>
        <v>1</v>
      </c>
      <c r="AT437" s="173">
        <v>0.0</v>
      </c>
      <c r="AU437" s="200">
        <f t="shared" ref="AU437:AX437" si="2193">countif($D437,"*"&amp;AU$2&amp;"*")</f>
        <v>0</v>
      </c>
      <c r="AV437" s="200">
        <f t="shared" si="2193"/>
        <v>0</v>
      </c>
      <c r="AW437" s="200">
        <f t="shared" si="2193"/>
        <v>0</v>
      </c>
      <c r="AX437" s="200">
        <f t="shared" si="2193"/>
        <v>0</v>
      </c>
      <c r="AY437" s="202">
        <v>0.0</v>
      </c>
      <c r="AZ437" s="200"/>
      <c r="BA437" s="171" t="str">
        <f t="shared" si="18"/>
        <v>Archival</v>
      </c>
      <c r="BB437" s="171" t="str">
        <f t="shared" si="19"/>
        <v/>
      </c>
      <c r="BC437" s="171" t="str">
        <f t="shared" si="20"/>
        <v/>
      </c>
      <c r="BD437" s="171" t="str">
        <f t="shared" si="21"/>
        <v/>
      </c>
      <c r="BE437" s="171" t="str">
        <f t="shared" si="22"/>
        <v/>
      </c>
      <c r="BF437" s="171" t="str">
        <f t="shared" si="23"/>
        <v>Archival</v>
      </c>
    </row>
    <row r="438">
      <c r="A438" s="171">
        <f t="array" ref="A438">XLOOKUP(C438,ICSE!A:A,ICSE!C:C,,2,1)</f>
        <v>2020</v>
      </c>
      <c r="B438" s="171" t="s">
        <v>5675</v>
      </c>
      <c r="C438" s="160">
        <v>782.0</v>
      </c>
      <c r="D438" s="161" t="s">
        <v>5880</v>
      </c>
      <c r="E438" s="197" t="str">
        <f t="array" ref="E438">XLOOKUP(C438,ICSE!A:A,ICSE!Z:Z,,0,1)</f>
        <v>Publicly available (8)</v>
      </c>
      <c r="F438" s="198" t="s">
        <v>20</v>
      </c>
      <c r="G438" s="163" t="str">
        <f t="array" ref="G438">IF(B438="ICSE",IF(COUNTIFS(B:B,B438,C:C,C438)=XLOOKUP(C438,ICSE!A:A,ICSE!AA:AA,"ERROR",0,1),"OK","ERROR"),IF(B438="FSE",IF(COUNTIFS(B:B,B438,C:C,C438)=XLOOKUP(C438,FSE!A:A,FSE!AA:AA,"ERROR",0,1),"OK","ERROR")))</f>
        <v>OK</v>
      </c>
      <c r="H438" s="199">
        <f t="shared" ref="H438:O438" si="2194">countif($D438,"*"&amp;H$2&amp;"*")</f>
        <v>1</v>
      </c>
      <c r="I438" s="200">
        <f t="shared" si="2194"/>
        <v>0</v>
      </c>
      <c r="J438" s="200">
        <f t="shared" si="2194"/>
        <v>0</v>
      </c>
      <c r="K438" s="200">
        <f t="shared" si="2194"/>
        <v>0</v>
      </c>
      <c r="L438" s="200">
        <f t="shared" si="2194"/>
        <v>0</v>
      </c>
      <c r="M438" s="200">
        <f t="shared" si="2194"/>
        <v>0</v>
      </c>
      <c r="N438" s="200">
        <f t="shared" si="2194"/>
        <v>0</v>
      </c>
      <c r="O438" s="200">
        <f t="shared" si="2194"/>
        <v>0</v>
      </c>
      <c r="P438" s="200">
        <f t="shared" si="9"/>
        <v>0</v>
      </c>
      <c r="Q438" s="200">
        <f t="shared" ref="Q438:AC438" si="2195">countif($D438,"*"&amp;Q$2&amp;"*")</f>
        <v>0</v>
      </c>
      <c r="R438" s="200">
        <f t="shared" si="2195"/>
        <v>0</v>
      </c>
      <c r="S438" s="200">
        <f t="shared" si="2195"/>
        <v>0</v>
      </c>
      <c r="T438" s="200">
        <f t="shared" si="2195"/>
        <v>0</v>
      </c>
      <c r="U438" s="200">
        <f t="shared" si="2195"/>
        <v>0</v>
      </c>
      <c r="V438" s="200">
        <f t="shared" si="2195"/>
        <v>0</v>
      </c>
      <c r="W438" s="200">
        <f t="shared" si="2195"/>
        <v>0</v>
      </c>
      <c r="X438" s="200">
        <f t="shared" si="2195"/>
        <v>0</v>
      </c>
      <c r="Y438" s="200">
        <f t="shared" si="2195"/>
        <v>0</v>
      </c>
      <c r="Z438" s="200">
        <f t="shared" si="2195"/>
        <v>0</v>
      </c>
      <c r="AA438" s="200">
        <f t="shared" si="2195"/>
        <v>0</v>
      </c>
      <c r="AB438" s="200">
        <f t="shared" si="2195"/>
        <v>0</v>
      </c>
      <c r="AC438" s="200">
        <f t="shared" si="2195"/>
        <v>0</v>
      </c>
      <c r="AD438" s="200">
        <f t="shared" si="11"/>
        <v>0</v>
      </c>
      <c r="AE438" s="200">
        <f t="shared" ref="AE438:AG438" si="2196">countif($D438,"*"&amp;AE$2&amp;"*")</f>
        <v>0</v>
      </c>
      <c r="AF438" s="200">
        <f t="shared" si="2196"/>
        <v>0</v>
      </c>
      <c r="AG438" s="200">
        <f t="shared" si="2196"/>
        <v>0</v>
      </c>
      <c r="AH438" s="171">
        <f t="shared" si="13"/>
        <v>0</v>
      </c>
      <c r="AI438" s="200">
        <f t="shared" si="14"/>
        <v>1</v>
      </c>
      <c r="AJ438" s="200">
        <f t="shared" si="2076"/>
        <v>0</v>
      </c>
      <c r="AK438" s="201">
        <f t="shared" ref="AK438:AS438" si="2197">countif($D438,"*"&amp;AK$2&amp;"*")</f>
        <v>0</v>
      </c>
      <c r="AL438" s="201">
        <f t="shared" si="2197"/>
        <v>0</v>
      </c>
      <c r="AM438" s="201">
        <f t="shared" si="2197"/>
        <v>0</v>
      </c>
      <c r="AN438" s="201">
        <f t="shared" si="2197"/>
        <v>0</v>
      </c>
      <c r="AO438" s="201">
        <f t="shared" si="2197"/>
        <v>0</v>
      </c>
      <c r="AP438" s="201">
        <f t="shared" si="2197"/>
        <v>0</v>
      </c>
      <c r="AQ438" s="201">
        <f t="shared" si="2197"/>
        <v>0</v>
      </c>
      <c r="AR438" s="200">
        <f t="shared" si="2197"/>
        <v>0</v>
      </c>
      <c r="AS438" s="200">
        <f t="shared" si="2197"/>
        <v>0</v>
      </c>
      <c r="AT438" s="173">
        <v>0.0</v>
      </c>
      <c r="AU438" s="200">
        <f t="shared" ref="AU438:AX438" si="2198">countif($D438,"*"&amp;AU$2&amp;"*")</f>
        <v>0</v>
      </c>
      <c r="AV438" s="200">
        <f t="shared" si="2198"/>
        <v>0</v>
      </c>
      <c r="AW438" s="200">
        <f t="shared" si="2198"/>
        <v>0</v>
      </c>
      <c r="AX438" s="200">
        <f t="shared" si="2198"/>
        <v>1</v>
      </c>
      <c r="AY438" s="202">
        <v>0.0</v>
      </c>
      <c r="AZ438" s="200"/>
      <c r="BA438" s="171" t="str">
        <f t="shared" si="18"/>
        <v>Archival</v>
      </c>
      <c r="BB438" s="171" t="str">
        <f t="shared" si="19"/>
        <v/>
      </c>
      <c r="BC438" s="171" t="str">
        <f t="shared" si="20"/>
        <v/>
      </c>
      <c r="BD438" s="171" t="str">
        <f t="shared" si="21"/>
        <v/>
      </c>
      <c r="BE438" s="171" t="str">
        <f t="shared" si="22"/>
        <v/>
      </c>
      <c r="BF438" s="171" t="str">
        <f t="shared" si="23"/>
        <v>Archival</v>
      </c>
    </row>
    <row r="439">
      <c r="A439" s="171">
        <f t="array" ref="A439">XLOOKUP(C439,ICSE!A:A,ICSE!C:C,,2,1)</f>
        <v>2020</v>
      </c>
      <c r="B439" s="171" t="s">
        <v>5675</v>
      </c>
      <c r="C439" s="160">
        <v>782.0</v>
      </c>
      <c r="D439" s="161" t="s">
        <v>5881</v>
      </c>
      <c r="E439" s="197" t="str">
        <f t="array" ref="E439">XLOOKUP(C439,ICSE!A:A,ICSE!Z:Z,,0,1)</f>
        <v>Publicly available (8)</v>
      </c>
      <c r="F439" s="198" t="s">
        <v>20</v>
      </c>
      <c r="G439" s="163" t="str">
        <f t="array" ref="G439">IF(B439="ICSE",IF(COUNTIFS(B:B,B439,C:C,C439)=XLOOKUP(C439,ICSE!A:A,ICSE!AA:AA,"ERROR",0,1),"OK","ERROR"),IF(B439="FSE",IF(COUNTIFS(B:B,B439,C:C,C439)=XLOOKUP(C439,FSE!A:A,FSE!AA:AA,"ERROR",0,1),"OK","ERROR")))</f>
        <v>OK</v>
      </c>
      <c r="H439" s="199">
        <f t="shared" ref="H439:O439" si="2199">countif($D439,"*"&amp;H$2&amp;"*")</f>
        <v>1</v>
      </c>
      <c r="I439" s="200">
        <f t="shared" si="2199"/>
        <v>0</v>
      </c>
      <c r="J439" s="200">
        <f t="shared" si="2199"/>
        <v>0</v>
      </c>
      <c r="K439" s="200">
        <f t="shared" si="2199"/>
        <v>0</v>
      </c>
      <c r="L439" s="200">
        <f t="shared" si="2199"/>
        <v>0</v>
      </c>
      <c r="M439" s="200">
        <f t="shared" si="2199"/>
        <v>0</v>
      </c>
      <c r="N439" s="200">
        <f t="shared" si="2199"/>
        <v>0</v>
      </c>
      <c r="O439" s="200">
        <f t="shared" si="2199"/>
        <v>0</v>
      </c>
      <c r="P439" s="200">
        <f t="shared" si="9"/>
        <v>0</v>
      </c>
      <c r="Q439" s="200">
        <f t="shared" ref="Q439:AC439" si="2200">countif($D439,"*"&amp;Q$2&amp;"*")</f>
        <v>0</v>
      </c>
      <c r="R439" s="200">
        <f t="shared" si="2200"/>
        <v>0</v>
      </c>
      <c r="S439" s="200">
        <f t="shared" si="2200"/>
        <v>0</v>
      </c>
      <c r="T439" s="200">
        <f t="shared" si="2200"/>
        <v>0</v>
      </c>
      <c r="U439" s="200">
        <f t="shared" si="2200"/>
        <v>0</v>
      </c>
      <c r="V439" s="200">
        <f t="shared" si="2200"/>
        <v>0</v>
      </c>
      <c r="W439" s="200">
        <f t="shared" si="2200"/>
        <v>0</v>
      </c>
      <c r="X439" s="200">
        <f t="shared" si="2200"/>
        <v>0</v>
      </c>
      <c r="Y439" s="200">
        <f t="shared" si="2200"/>
        <v>0</v>
      </c>
      <c r="Z439" s="200">
        <f t="shared" si="2200"/>
        <v>0</v>
      </c>
      <c r="AA439" s="200">
        <f t="shared" si="2200"/>
        <v>0</v>
      </c>
      <c r="AB439" s="200">
        <f t="shared" si="2200"/>
        <v>0</v>
      </c>
      <c r="AC439" s="200">
        <f t="shared" si="2200"/>
        <v>0</v>
      </c>
      <c r="AD439" s="200">
        <f t="shared" si="11"/>
        <v>0</v>
      </c>
      <c r="AE439" s="200">
        <f t="shared" ref="AE439:AG439" si="2201">countif($D439,"*"&amp;AE$2&amp;"*")</f>
        <v>0</v>
      </c>
      <c r="AF439" s="200">
        <f t="shared" si="2201"/>
        <v>0</v>
      </c>
      <c r="AG439" s="200">
        <f t="shared" si="2201"/>
        <v>0</v>
      </c>
      <c r="AH439" s="171">
        <f t="shared" si="13"/>
        <v>0</v>
      </c>
      <c r="AI439" s="200">
        <f t="shared" si="14"/>
        <v>1</v>
      </c>
      <c r="AJ439" s="200">
        <f t="shared" si="2076"/>
        <v>0</v>
      </c>
      <c r="AK439" s="201">
        <f t="shared" ref="AK439:AS439" si="2202">countif($D439,"*"&amp;AK$2&amp;"*")</f>
        <v>0</v>
      </c>
      <c r="AL439" s="201">
        <f t="shared" si="2202"/>
        <v>0</v>
      </c>
      <c r="AM439" s="201">
        <f t="shared" si="2202"/>
        <v>0</v>
      </c>
      <c r="AN439" s="201">
        <f t="shared" si="2202"/>
        <v>0</v>
      </c>
      <c r="AO439" s="201">
        <f t="shared" si="2202"/>
        <v>0</v>
      </c>
      <c r="AP439" s="201">
        <f t="shared" si="2202"/>
        <v>0</v>
      </c>
      <c r="AQ439" s="201">
        <f t="shared" si="2202"/>
        <v>0</v>
      </c>
      <c r="AR439" s="200">
        <f t="shared" si="2202"/>
        <v>0</v>
      </c>
      <c r="AS439" s="200">
        <f t="shared" si="2202"/>
        <v>0</v>
      </c>
      <c r="AT439" s="173">
        <v>0.0</v>
      </c>
      <c r="AU439" s="200">
        <f t="shared" ref="AU439:AX439" si="2203">countif($D439,"*"&amp;AU$2&amp;"*")</f>
        <v>0</v>
      </c>
      <c r="AV439" s="200">
        <f t="shared" si="2203"/>
        <v>0</v>
      </c>
      <c r="AW439" s="200">
        <f t="shared" si="2203"/>
        <v>0</v>
      </c>
      <c r="AX439" s="200">
        <f t="shared" si="2203"/>
        <v>1</v>
      </c>
      <c r="AY439" s="202">
        <v>0.0</v>
      </c>
      <c r="AZ439" s="200"/>
      <c r="BA439" s="171" t="str">
        <f t="shared" si="18"/>
        <v>Archival</v>
      </c>
      <c r="BB439" s="171" t="str">
        <f t="shared" si="19"/>
        <v/>
      </c>
      <c r="BC439" s="171" t="str">
        <f t="shared" si="20"/>
        <v/>
      </c>
      <c r="BD439" s="171" t="str">
        <f t="shared" si="21"/>
        <v/>
      </c>
      <c r="BE439" s="171" t="str">
        <f t="shared" si="22"/>
        <v/>
      </c>
      <c r="BF439" s="171" t="str">
        <f t="shared" si="23"/>
        <v>Archival</v>
      </c>
    </row>
    <row r="440">
      <c r="A440" s="171">
        <f t="array" ref="A440">XLOOKUP(C440,ICSE!A:A,ICSE!C:C,,2,1)</f>
        <v>2020</v>
      </c>
      <c r="B440" s="171" t="s">
        <v>5675</v>
      </c>
      <c r="C440" s="160">
        <v>782.0</v>
      </c>
      <c r="D440" s="161" t="s">
        <v>5882</v>
      </c>
      <c r="E440" s="197" t="str">
        <f t="array" ref="E440">XLOOKUP(C440,ICSE!A:A,ICSE!Z:Z,,0,1)</f>
        <v>Publicly available (8)</v>
      </c>
      <c r="F440" s="198" t="s">
        <v>20</v>
      </c>
      <c r="G440" s="163" t="str">
        <f t="array" ref="G440">IF(B440="ICSE",IF(COUNTIFS(B:B,B440,C:C,C440)=XLOOKUP(C440,ICSE!A:A,ICSE!AA:AA,"ERROR",0,1),"OK","ERROR"),IF(B440="FSE",IF(COUNTIFS(B:B,B440,C:C,C440)=XLOOKUP(C440,FSE!A:A,FSE!AA:AA,"ERROR",0,1),"OK","ERROR")))</f>
        <v>OK</v>
      </c>
      <c r="H440" s="199">
        <f t="shared" ref="H440:O440" si="2204">countif($D440,"*"&amp;H$2&amp;"*")</f>
        <v>1</v>
      </c>
      <c r="I440" s="200">
        <f t="shared" si="2204"/>
        <v>0</v>
      </c>
      <c r="J440" s="200">
        <f t="shared" si="2204"/>
        <v>0</v>
      </c>
      <c r="K440" s="200">
        <f t="shared" si="2204"/>
        <v>0</v>
      </c>
      <c r="L440" s="200">
        <f t="shared" si="2204"/>
        <v>0</v>
      </c>
      <c r="M440" s="200">
        <f t="shared" si="2204"/>
        <v>0</v>
      </c>
      <c r="N440" s="200">
        <f t="shared" si="2204"/>
        <v>0</v>
      </c>
      <c r="O440" s="200">
        <f t="shared" si="2204"/>
        <v>0</v>
      </c>
      <c r="P440" s="200">
        <f t="shared" si="9"/>
        <v>0</v>
      </c>
      <c r="Q440" s="200">
        <f t="shared" ref="Q440:AC440" si="2205">countif($D440,"*"&amp;Q$2&amp;"*")</f>
        <v>0</v>
      </c>
      <c r="R440" s="200">
        <f t="shared" si="2205"/>
        <v>0</v>
      </c>
      <c r="S440" s="200">
        <f t="shared" si="2205"/>
        <v>0</v>
      </c>
      <c r="T440" s="200">
        <f t="shared" si="2205"/>
        <v>0</v>
      </c>
      <c r="U440" s="200">
        <f t="shared" si="2205"/>
        <v>0</v>
      </c>
      <c r="V440" s="200">
        <f t="shared" si="2205"/>
        <v>0</v>
      </c>
      <c r="W440" s="200">
        <f t="shared" si="2205"/>
        <v>0</v>
      </c>
      <c r="X440" s="200">
        <f t="shared" si="2205"/>
        <v>0</v>
      </c>
      <c r="Y440" s="200">
        <f t="shared" si="2205"/>
        <v>0</v>
      </c>
      <c r="Z440" s="200">
        <f t="shared" si="2205"/>
        <v>0</v>
      </c>
      <c r="AA440" s="200">
        <f t="shared" si="2205"/>
        <v>0</v>
      </c>
      <c r="AB440" s="200">
        <f t="shared" si="2205"/>
        <v>0</v>
      </c>
      <c r="AC440" s="200">
        <f t="shared" si="2205"/>
        <v>0</v>
      </c>
      <c r="AD440" s="200">
        <f t="shared" si="11"/>
        <v>0</v>
      </c>
      <c r="AE440" s="200">
        <f t="shared" ref="AE440:AG440" si="2206">countif($D440,"*"&amp;AE$2&amp;"*")</f>
        <v>0</v>
      </c>
      <c r="AF440" s="200">
        <f t="shared" si="2206"/>
        <v>0</v>
      </c>
      <c r="AG440" s="200">
        <f t="shared" si="2206"/>
        <v>0</v>
      </c>
      <c r="AH440" s="171">
        <f t="shared" si="13"/>
        <v>0</v>
      </c>
      <c r="AI440" s="200">
        <f t="shared" si="14"/>
        <v>1</v>
      </c>
      <c r="AJ440" s="200">
        <f t="shared" si="2076"/>
        <v>0</v>
      </c>
      <c r="AK440" s="201">
        <f t="shared" ref="AK440:AS440" si="2207">countif($D440,"*"&amp;AK$2&amp;"*")</f>
        <v>0</v>
      </c>
      <c r="AL440" s="201">
        <f t="shared" si="2207"/>
        <v>0</v>
      </c>
      <c r="AM440" s="201">
        <f t="shared" si="2207"/>
        <v>0</v>
      </c>
      <c r="AN440" s="201">
        <f t="shared" si="2207"/>
        <v>0</v>
      </c>
      <c r="AO440" s="201">
        <f t="shared" si="2207"/>
        <v>0</v>
      </c>
      <c r="AP440" s="201">
        <f t="shared" si="2207"/>
        <v>0</v>
      </c>
      <c r="AQ440" s="201">
        <f t="shared" si="2207"/>
        <v>0</v>
      </c>
      <c r="AR440" s="200">
        <f t="shared" si="2207"/>
        <v>0</v>
      </c>
      <c r="AS440" s="200">
        <f t="shared" si="2207"/>
        <v>0</v>
      </c>
      <c r="AT440" s="173">
        <v>0.0</v>
      </c>
      <c r="AU440" s="200">
        <f t="shared" ref="AU440:AX440" si="2208">countif($D440,"*"&amp;AU$2&amp;"*")</f>
        <v>0</v>
      </c>
      <c r="AV440" s="200">
        <f t="shared" si="2208"/>
        <v>0</v>
      </c>
      <c r="AW440" s="200">
        <f t="shared" si="2208"/>
        <v>0</v>
      </c>
      <c r="AX440" s="200">
        <f t="shared" si="2208"/>
        <v>1</v>
      </c>
      <c r="AY440" s="202">
        <v>0.0</v>
      </c>
      <c r="AZ440" s="200"/>
      <c r="BA440" s="171" t="str">
        <f t="shared" si="18"/>
        <v>Archival</v>
      </c>
      <c r="BB440" s="171" t="str">
        <f t="shared" si="19"/>
        <v/>
      </c>
      <c r="BC440" s="171" t="str">
        <f t="shared" si="20"/>
        <v/>
      </c>
      <c r="BD440" s="171" t="str">
        <f t="shared" si="21"/>
        <v/>
      </c>
      <c r="BE440" s="171" t="str">
        <f t="shared" si="22"/>
        <v/>
      </c>
      <c r="BF440" s="171" t="str">
        <f t="shared" si="23"/>
        <v>Archival</v>
      </c>
    </row>
    <row r="441">
      <c r="A441" s="171">
        <f t="array" ref="A441">XLOOKUP(C441,ICSE!A:A,ICSE!C:C,,2,1)</f>
        <v>2020</v>
      </c>
      <c r="B441" s="171" t="s">
        <v>5675</v>
      </c>
      <c r="C441" s="160">
        <v>782.0</v>
      </c>
      <c r="D441" s="161" t="s">
        <v>5883</v>
      </c>
      <c r="E441" s="197" t="str">
        <f t="array" ref="E441">XLOOKUP(C441,ICSE!A:A,ICSE!Z:Z,,0,1)</f>
        <v>Publicly available (8)</v>
      </c>
      <c r="F441" s="198" t="s">
        <v>20</v>
      </c>
      <c r="G441" s="163" t="str">
        <f t="array" ref="G441">IF(B441="ICSE",IF(COUNTIFS(B:B,B441,C:C,C441)=XLOOKUP(C441,ICSE!A:A,ICSE!AA:AA,"ERROR",0,1),"OK","ERROR"),IF(B441="FSE",IF(COUNTIFS(B:B,B441,C:C,C441)=XLOOKUP(C441,FSE!A:A,FSE!AA:AA,"ERROR",0,1),"OK","ERROR")))</f>
        <v>OK</v>
      </c>
      <c r="H441" s="199">
        <f t="shared" ref="H441:O441" si="2209">countif($D441,"*"&amp;H$2&amp;"*")</f>
        <v>1</v>
      </c>
      <c r="I441" s="200">
        <f t="shared" si="2209"/>
        <v>0</v>
      </c>
      <c r="J441" s="200">
        <f t="shared" si="2209"/>
        <v>0</v>
      </c>
      <c r="K441" s="200">
        <f t="shared" si="2209"/>
        <v>0</v>
      </c>
      <c r="L441" s="200">
        <f t="shared" si="2209"/>
        <v>0</v>
      </c>
      <c r="M441" s="200">
        <f t="shared" si="2209"/>
        <v>0</v>
      </c>
      <c r="N441" s="200">
        <f t="shared" si="2209"/>
        <v>0</v>
      </c>
      <c r="O441" s="200">
        <f t="shared" si="2209"/>
        <v>0</v>
      </c>
      <c r="P441" s="200">
        <f t="shared" si="9"/>
        <v>0</v>
      </c>
      <c r="Q441" s="200">
        <f t="shared" ref="Q441:AC441" si="2210">countif($D441,"*"&amp;Q$2&amp;"*")</f>
        <v>0</v>
      </c>
      <c r="R441" s="200">
        <f t="shared" si="2210"/>
        <v>0</v>
      </c>
      <c r="S441" s="200">
        <f t="shared" si="2210"/>
        <v>0</v>
      </c>
      <c r="T441" s="200">
        <f t="shared" si="2210"/>
        <v>0</v>
      </c>
      <c r="U441" s="200">
        <f t="shared" si="2210"/>
        <v>0</v>
      </c>
      <c r="V441" s="200">
        <f t="shared" si="2210"/>
        <v>0</v>
      </c>
      <c r="W441" s="200">
        <f t="shared" si="2210"/>
        <v>0</v>
      </c>
      <c r="X441" s="200">
        <f t="shared" si="2210"/>
        <v>0</v>
      </c>
      <c r="Y441" s="200">
        <f t="shared" si="2210"/>
        <v>0</v>
      </c>
      <c r="Z441" s="200">
        <f t="shared" si="2210"/>
        <v>0</v>
      </c>
      <c r="AA441" s="200">
        <f t="shared" si="2210"/>
        <v>0</v>
      </c>
      <c r="AB441" s="200">
        <f t="shared" si="2210"/>
        <v>0</v>
      </c>
      <c r="AC441" s="200">
        <f t="shared" si="2210"/>
        <v>0</v>
      </c>
      <c r="AD441" s="200">
        <f t="shared" si="11"/>
        <v>0</v>
      </c>
      <c r="AE441" s="200">
        <f t="shared" ref="AE441:AG441" si="2211">countif($D441,"*"&amp;AE$2&amp;"*")</f>
        <v>0</v>
      </c>
      <c r="AF441" s="200">
        <f t="shared" si="2211"/>
        <v>0</v>
      </c>
      <c r="AG441" s="200">
        <f t="shared" si="2211"/>
        <v>0</v>
      </c>
      <c r="AH441" s="171">
        <f t="shared" si="13"/>
        <v>0</v>
      </c>
      <c r="AI441" s="200">
        <f t="shared" si="14"/>
        <v>1</v>
      </c>
      <c r="AJ441" s="200">
        <f t="shared" si="2076"/>
        <v>0</v>
      </c>
      <c r="AK441" s="201">
        <f t="shared" ref="AK441:AS441" si="2212">countif($D441,"*"&amp;AK$2&amp;"*")</f>
        <v>0</v>
      </c>
      <c r="AL441" s="201">
        <f t="shared" si="2212"/>
        <v>0</v>
      </c>
      <c r="AM441" s="201">
        <f t="shared" si="2212"/>
        <v>0</v>
      </c>
      <c r="AN441" s="201">
        <f t="shared" si="2212"/>
        <v>0</v>
      </c>
      <c r="AO441" s="201">
        <f t="shared" si="2212"/>
        <v>0</v>
      </c>
      <c r="AP441" s="201">
        <f t="shared" si="2212"/>
        <v>0</v>
      </c>
      <c r="AQ441" s="201">
        <f t="shared" si="2212"/>
        <v>0</v>
      </c>
      <c r="AR441" s="200">
        <f t="shared" si="2212"/>
        <v>0</v>
      </c>
      <c r="AS441" s="200">
        <f t="shared" si="2212"/>
        <v>0</v>
      </c>
      <c r="AT441" s="173">
        <v>0.0</v>
      </c>
      <c r="AU441" s="200">
        <f t="shared" ref="AU441:AX441" si="2213">countif($D441,"*"&amp;AU$2&amp;"*")</f>
        <v>0</v>
      </c>
      <c r="AV441" s="200">
        <f t="shared" si="2213"/>
        <v>0</v>
      </c>
      <c r="AW441" s="200">
        <f t="shared" si="2213"/>
        <v>0</v>
      </c>
      <c r="AX441" s="200">
        <f t="shared" si="2213"/>
        <v>1</v>
      </c>
      <c r="AY441" s="202">
        <v>0.0</v>
      </c>
      <c r="AZ441" s="200"/>
      <c r="BA441" s="171" t="str">
        <f t="shared" si="18"/>
        <v>Archival</v>
      </c>
      <c r="BB441" s="171" t="str">
        <f t="shared" si="19"/>
        <v/>
      </c>
      <c r="BC441" s="171" t="str">
        <f t="shared" si="20"/>
        <v/>
      </c>
      <c r="BD441" s="171" t="str">
        <f t="shared" si="21"/>
        <v/>
      </c>
      <c r="BE441" s="171" t="str">
        <f t="shared" si="22"/>
        <v/>
      </c>
      <c r="BF441" s="171" t="str">
        <f t="shared" si="23"/>
        <v>Archival</v>
      </c>
    </row>
    <row r="442">
      <c r="A442" s="171">
        <f t="array" ref="A442">XLOOKUP(C442,ICSE!A:A,ICSE!C:C,,2,1)</f>
        <v>2020</v>
      </c>
      <c r="B442" s="171" t="s">
        <v>5675</v>
      </c>
      <c r="C442" s="160">
        <v>782.0</v>
      </c>
      <c r="D442" s="161" t="s">
        <v>5884</v>
      </c>
      <c r="E442" s="197" t="str">
        <f t="array" ref="E442">XLOOKUP(C442,ICSE!A:A,ICSE!Z:Z,,0,1)</f>
        <v>Publicly available (8)</v>
      </c>
      <c r="F442" s="198" t="s">
        <v>20</v>
      </c>
      <c r="G442" s="163" t="str">
        <f t="array" ref="G442">IF(B442="ICSE",IF(COUNTIFS(B:B,B442,C:C,C442)=XLOOKUP(C442,ICSE!A:A,ICSE!AA:AA,"ERROR",0,1),"OK","ERROR"),IF(B442="FSE",IF(COUNTIFS(B:B,B442,C:C,C442)=XLOOKUP(C442,FSE!A:A,FSE!AA:AA,"ERROR",0,1),"OK","ERROR")))</f>
        <v>OK</v>
      </c>
      <c r="H442" s="199">
        <f t="shared" ref="H442:O442" si="2214">countif($D442,"*"&amp;H$2&amp;"*")</f>
        <v>1</v>
      </c>
      <c r="I442" s="200">
        <f t="shared" si="2214"/>
        <v>0</v>
      </c>
      <c r="J442" s="200">
        <f t="shared" si="2214"/>
        <v>0</v>
      </c>
      <c r="K442" s="200">
        <f t="shared" si="2214"/>
        <v>0</v>
      </c>
      <c r="L442" s="200">
        <f t="shared" si="2214"/>
        <v>0</v>
      </c>
      <c r="M442" s="200">
        <f t="shared" si="2214"/>
        <v>0</v>
      </c>
      <c r="N442" s="200">
        <f t="shared" si="2214"/>
        <v>0</v>
      </c>
      <c r="O442" s="200">
        <f t="shared" si="2214"/>
        <v>0</v>
      </c>
      <c r="P442" s="200">
        <f t="shared" si="9"/>
        <v>0</v>
      </c>
      <c r="Q442" s="200">
        <f t="shared" ref="Q442:AC442" si="2215">countif($D442,"*"&amp;Q$2&amp;"*")</f>
        <v>0</v>
      </c>
      <c r="R442" s="200">
        <f t="shared" si="2215"/>
        <v>0</v>
      </c>
      <c r="S442" s="200">
        <f t="shared" si="2215"/>
        <v>0</v>
      </c>
      <c r="T442" s="200">
        <f t="shared" si="2215"/>
        <v>0</v>
      </c>
      <c r="U442" s="200">
        <f t="shared" si="2215"/>
        <v>0</v>
      </c>
      <c r="V442" s="200">
        <f t="shared" si="2215"/>
        <v>0</v>
      </c>
      <c r="W442" s="200">
        <f t="shared" si="2215"/>
        <v>0</v>
      </c>
      <c r="X442" s="200">
        <f t="shared" si="2215"/>
        <v>0</v>
      </c>
      <c r="Y442" s="200">
        <f t="shared" si="2215"/>
        <v>0</v>
      </c>
      <c r="Z442" s="200">
        <f t="shared" si="2215"/>
        <v>0</v>
      </c>
      <c r="AA442" s="200">
        <f t="shared" si="2215"/>
        <v>0</v>
      </c>
      <c r="AB442" s="200">
        <f t="shared" si="2215"/>
        <v>0</v>
      </c>
      <c r="AC442" s="200">
        <f t="shared" si="2215"/>
        <v>0</v>
      </c>
      <c r="AD442" s="200">
        <f t="shared" si="11"/>
        <v>0</v>
      </c>
      <c r="AE442" s="200">
        <f t="shared" ref="AE442:AG442" si="2216">countif($D442,"*"&amp;AE$2&amp;"*")</f>
        <v>0</v>
      </c>
      <c r="AF442" s="200">
        <f t="shared" si="2216"/>
        <v>0</v>
      </c>
      <c r="AG442" s="200">
        <f t="shared" si="2216"/>
        <v>0</v>
      </c>
      <c r="AH442" s="171">
        <f t="shared" si="13"/>
        <v>0</v>
      </c>
      <c r="AI442" s="200">
        <f t="shared" si="14"/>
        <v>1</v>
      </c>
      <c r="AJ442" s="200">
        <f t="shared" si="2076"/>
        <v>0</v>
      </c>
      <c r="AK442" s="201">
        <f t="shared" ref="AK442:AS442" si="2217">countif($D442,"*"&amp;AK$2&amp;"*")</f>
        <v>0</v>
      </c>
      <c r="AL442" s="201">
        <f t="shared" si="2217"/>
        <v>0</v>
      </c>
      <c r="AM442" s="201">
        <f t="shared" si="2217"/>
        <v>0</v>
      </c>
      <c r="AN442" s="201">
        <f t="shared" si="2217"/>
        <v>0</v>
      </c>
      <c r="AO442" s="201">
        <f t="shared" si="2217"/>
        <v>0</v>
      </c>
      <c r="AP442" s="201">
        <f t="shared" si="2217"/>
        <v>0</v>
      </c>
      <c r="AQ442" s="201">
        <f t="shared" si="2217"/>
        <v>0</v>
      </c>
      <c r="AR442" s="200">
        <f t="shared" si="2217"/>
        <v>0</v>
      </c>
      <c r="AS442" s="200">
        <f t="shared" si="2217"/>
        <v>0</v>
      </c>
      <c r="AT442" s="173">
        <v>0.0</v>
      </c>
      <c r="AU442" s="200">
        <f t="shared" ref="AU442:AX442" si="2218">countif($D442,"*"&amp;AU$2&amp;"*")</f>
        <v>0</v>
      </c>
      <c r="AV442" s="200">
        <f t="shared" si="2218"/>
        <v>0</v>
      </c>
      <c r="AW442" s="200">
        <f t="shared" si="2218"/>
        <v>0</v>
      </c>
      <c r="AX442" s="200">
        <f t="shared" si="2218"/>
        <v>1</v>
      </c>
      <c r="AY442" s="202">
        <v>0.0</v>
      </c>
      <c r="AZ442" s="200"/>
      <c r="BA442" s="171" t="str">
        <f t="shared" si="18"/>
        <v>Archival</v>
      </c>
      <c r="BB442" s="171" t="str">
        <f t="shared" si="19"/>
        <v/>
      </c>
      <c r="BC442" s="171" t="str">
        <f t="shared" si="20"/>
        <v/>
      </c>
      <c r="BD442" s="171" t="str">
        <f t="shared" si="21"/>
        <v/>
      </c>
      <c r="BE442" s="171" t="str">
        <f t="shared" si="22"/>
        <v/>
      </c>
      <c r="BF442" s="171" t="str">
        <f t="shared" si="23"/>
        <v>Archival</v>
      </c>
    </row>
    <row r="443">
      <c r="A443" s="171">
        <f t="array" ref="A443">XLOOKUP(C443,ICSE!A:A,ICSE!C:C,,2,1)</f>
        <v>2020</v>
      </c>
      <c r="B443" s="171" t="s">
        <v>5675</v>
      </c>
      <c r="C443" s="160">
        <v>782.0</v>
      </c>
      <c r="D443" s="161" t="s">
        <v>5885</v>
      </c>
      <c r="E443" s="197" t="str">
        <f t="array" ref="E443">XLOOKUP(C443,ICSE!A:A,ICSE!Z:Z,,0,1)</f>
        <v>Publicly available (8)</v>
      </c>
      <c r="F443" s="198" t="s">
        <v>20</v>
      </c>
      <c r="G443" s="163" t="str">
        <f t="array" ref="G443">IF(B443="ICSE",IF(COUNTIFS(B:B,B443,C:C,C443)=XLOOKUP(C443,ICSE!A:A,ICSE!AA:AA,"ERROR",0,1),"OK","ERROR"),IF(B443="FSE",IF(COUNTIFS(B:B,B443,C:C,C443)=XLOOKUP(C443,FSE!A:A,FSE!AA:AA,"ERROR",0,1),"OK","ERROR")))</f>
        <v>OK</v>
      </c>
      <c r="H443" s="199">
        <f t="shared" ref="H443:O443" si="2219">countif($D443,"*"&amp;H$2&amp;"*")</f>
        <v>1</v>
      </c>
      <c r="I443" s="200">
        <f t="shared" si="2219"/>
        <v>0</v>
      </c>
      <c r="J443" s="200">
        <f t="shared" si="2219"/>
        <v>0</v>
      </c>
      <c r="K443" s="200">
        <f t="shared" si="2219"/>
        <v>0</v>
      </c>
      <c r="L443" s="200">
        <f t="shared" si="2219"/>
        <v>0</v>
      </c>
      <c r="M443" s="200">
        <f t="shared" si="2219"/>
        <v>0</v>
      </c>
      <c r="N443" s="200">
        <f t="shared" si="2219"/>
        <v>0</v>
      </c>
      <c r="O443" s="200">
        <f t="shared" si="2219"/>
        <v>0</v>
      </c>
      <c r="P443" s="200">
        <f t="shared" si="9"/>
        <v>0</v>
      </c>
      <c r="Q443" s="200">
        <f t="shared" ref="Q443:AC443" si="2220">countif($D443,"*"&amp;Q$2&amp;"*")</f>
        <v>0</v>
      </c>
      <c r="R443" s="200">
        <f t="shared" si="2220"/>
        <v>0</v>
      </c>
      <c r="S443" s="200">
        <f t="shared" si="2220"/>
        <v>0</v>
      </c>
      <c r="T443" s="200">
        <f t="shared" si="2220"/>
        <v>0</v>
      </c>
      <c r="U443" s="200">
        <f t="shared" si="2220"/>
        <v>0</v>
      </c>
      <c r="V443" s="200">
        <f t="shared" si="2220"/>
        <v>0</v>
      </c>
      <c r="W443" s="200">
        <f t="shared" si="2220"/>
        <v>0</v>
      </c>
      <c r="X443" s="200">
        <f t="shared" si="2220"/>
        <v>0</v>
      </c>
      <c r="Y443" s="200">
        <f t="shared" si="2220"/>
        <v>0</v>
      </c>
      <c r="Z443" s="200">
        <f t="shared" si="2220"/>
        <v>0</v>
      </c>
      <c r="AA443" s="200">
        <f t="shared" si="2220"/>
        <v>0</v>
      </c>
      <c r="AB443" s="200">
        <f t="shared" si="2220"/>
        <v>0</v>
      </c>
      <c r="AC443" s="200">
        <f t="shared" si="2220"/>
        <v>0</v>
      </c>
      <c r="AD443" s="200">
        <f t="shared" si="11"/>
        <v>0</v>
      </c>
      <c r="AE443" s="200">
        <f t="shared" ref="AE443:AG443" si="2221">countif($D443,"*"&amp;AE$2&amp;"*")</f>
        <v>0</v>
      </c>
      <c r="AF443" s="200">
        <f t="shared" si="2221"/>
        <v>0</v>
      </c>
      <c r="AG443" s="200">
        <f t="shared" si="2221"/>
        <v>0</v>
      </c>
      <c r="AH443" s="171">
        <f t="shared" si="13"/>
        <v>0</v>
      </c>
      <c r="AI443" s="200">
        <f t="shared" si="14"/>
        <v>1</v>
      </c>
      <c r="AJ443" s="200">
        <f t="shared" si="2076"/>
        <v>0</v>
      </c>
      <c r="AK443" s="201">
        <f t="shared" ref="AK443:AS443" si="2222">countif($D443,"*"&amp;AK$2&amp;"*")</f>
        <v>0</v>
      </c>
      <c r="AL443" s="201">
        <f t="shared" si="2222"/>
        <v>0</v>
      </c>
      <c r="AM443" s="201">
        <f t="shared" si="2222"/>
        <v>0</v>
      </c>
      <c r="AN443" s="201">
        <f t="shared" si="2222"/>
        <v>0</v>
      </c>
      <c r="AO443" s="201">
        <f t="shared" si="2222"/>
        <v>0</v>
      </c>
      <c r="AP443" s="201">
        <f t="shared" si="2222"/>
        <v>0</v>
      </c>
      <c r="AQ443" s="201">
        <f t="shared" si="2222"/>
        <v>0</v>
      </c>
      <c r="AR443" s="200">
        <f t="shared" si="2222"/>
        <v>0</v>
      </c>
      <c r="AS443" s="200">
        <f t="shared" si="2222"/>
        <v>0</v>
      </c>
      <c r="AT443" s="173">
        <v>0.0</v>
      </c>
      <c r="AU443" s="200">
        <f t="shared" ref="AU443:AX443" si="2223">countif($D443,"*"&amp;AU$2&amp;"*")</f>
        <v>0</v>
      </c>
      <c r="AV443" s="200">
        <f t="shared" si="2223"/>
        <v>0</v>
      </c>
      <c r="AW443" s="200">
        <f t="shared" si="2223"/>
        <v>0</v>
      </c>
      <c r="AX443" s="200">
        <f t="shared" si="2223"/>
        <v>1</v>
      </c>
      <c r="AY443" s="202">
        <v>0.0</v>
      </c>
      <c r="AZ443" s="200"/>
      <c r="BA443" s="171" t="str">
        <f t="shared" si="18"/>
        <v>Archival</v>
      </c>
      <c r="BB443" s="171" t="str">
        <f t="shared" si="19"/>
        <v/>
      </c>
      <c r="BC443" s="171" t="str">
        <f t="shared" si="20"/>
        <v/>
      </c>
      <c r="BD443" s="171" t="str">
        <f t="shared" si="21"/>
        <v/>
      </c>
      <c r="BE443" s="171" t="str">
        <f t="shared" si="22"/>
        <v/>
      </c>
      <c r="BF443" s="171" t="str">
        <f t="shared" si="23"/>
        <v>Archival</v>
      </c>
    </row>
    <row r="444">
      <c r="A444" s="171">
        <f t="array" ref="A444">XLOOKUP(C444,ICSE!A:A,ICSE!C:C,,2,1)</f>
        <v>2020</v>
      </c>
      <c r="B444" s="171" t="s">
        <v>5675</v>
      </c>
      <c r="C444" s="160">
        <v>782.0</v>
      </c>
      <c r="D444" s="161" t="s">
        <v>5886</v>
      </c>
      <c r="E444" s="197" t="str">
        <f t="array" ref="E444">XLOOKUP(C444,ICSE!A:A,ICSE!Z:Z,,0,1)</f>
        <v>Publicly available (8)</v>
      </c>
      <c r="F444" s="198" t="s">
        <v>20</v>
      </c>
      <c r="G444" s="163" t="str">
        <f t="array" ref="G444">IF(B444="ICSE",IF(COUNTIFS(B:B,B444,C:C,C444)=XLOOKUP(C444,ICSE!A:A,ICSE!AA:AA,"ERROR",0,1),"OK","ERROR"),IF(B444="FSE",IF(COUNTIFS(B:B,B444,C:C,C444)=XLOOKUP(C444,FSE!A:A,FSE!AA:AA,"ERROR",0,1),"OK","ERROR")))</f>
        <v>OK</v>
      </c>
      <c r="H444" s="199">
        <f t="shared" ref="H444:O444" si="2224">countif($D444,"*"&amp;H$2&amp;"*")</f>
        <v>1</v>
      </c>
      <c r="I444" s="200">
        <f t="shared" si="2224"/>
        <v>0</v>
      </c>
      <c r="J444" s="200">
        <f t="shared" si="2224"/>
        <v>0</v>
      </c>
      <c r="K444" s="200">
        <f t="shared" si="2224"/>
        <v>0</v>
      </c>
      <c r="L444" s="200">
        <f t="shared" si="2224"/>
        <v>0</v>
      </c>
      <c r="M444" s="200">
        <f t="shared" si="2224"/>
        <v>0</v>
      </c>
      <c r="N444" s="200">
        <f t="shared" si="2224"/>
        <v>0</v>
      </c>
      <c r="O444" s="200">
        <f t="shared" si="2224"/>
        <v>0</v>
      </c>
      <c r="P444" s="200">
        <f t="shared" si="9"/>
        <v>0</v>
      </c>
      <c r="Q444" s="200">
        <f t="shared" ref="Q444:AC444" si="2225">countif($D444,"*"&amp;Q$2&amp;"*")</f>
        <v>0</v>
      </c>
      <c r="R444" s="200">
        <f t="shared" si="2225"/>
        <v>0</v>
      </c>
      <c r="S444" s="200">
        <f t="shared" si="2225"/>
        <v>0</v>
      </c>
      <c r="T444" s="200">
        <f t="shared" si="2225"/>
        <v>0</v>
      </c>
      <c r="U444" s="200">
        <f t="shared" si="2225"/>
        <v>0</v>
      </c>
      <c r="V444" s="200">
        <f t="shared" si="2225"/>
        <v>0</v>
      </c>
      <c r="W444" s="200">
        <f t="shared" si="2225"/>
        <v>0</v>
      </c>
      <c r="X444" s="200">
        <f t="shared" si="2225"/>
        <v>0</v>
      </c>
      <c r="Y444" s="200">
        <f t="shared" si="2225"/>
        <v>0</v>
      </c>
      <c r="Z444" s="200">
        <f t="shared" si="2225"/>
        <v>0</v>
      </c>
      <c r="AA444" s="200">
        <f t="shared" si="2225"/>
        <v>0</v>
      </c>
      <c r="AB444" s="200">
        <f t="shared" si="2225"/>
        <v>0</v>
      </c>
      <c r="AC444" s="200">
        <f t="shared" si="2225"/>
        <v>0</v>
      </c>
      <c r="AD444" s="200">
        <f t="shared" si="11"/>
        <v>0</v>
      </c>
      <c r="AE444" s="200">
        <f t="shared" ref="AE444:AG444" si="2226">countif($D444,"*"&amp;AE$2&amp;"*")</f>
        <v>0</v>
      </c>
      <c r="AF444" s="200">
        <f t="shared" si="2226"/>
        <v>0</v>
      </c>
      <c r="AG444" s="200">
        <f t="shared" si="2226"/>
        <v>0</v>
      </c>
      <c r="AH444" s="171">
        <f t="shared" si="13"/>
        <v>0</v>
      </c>
      <c r="AI444" s="200">
        <f t="shared" si="14"/>
        <v>1</v>
      </c>
      <c r="AJ444" s="200">
        <f t="shared" si="2076"/>
        <v>0</v>
      </c>
      <c r="AK444" s="201">
        <f t="shared" ref="AK444:AS444" si="2227">countif($D444,"*"&amp;AK$2&amp;"*")</f>
        <v>0</v>
      </c>
      <c r="AL444" s="201">
        <f t="shared" si="2227"/>
        <v>0</v>
      </c>
      <c r="AM444" s="201">
        <f t="shared" si="2227"/>
        <v>0</v>
      </c>
      <c r="AN444" s="201">
        <f t="shared" si="2227"/>
        <v>0</v>
      </c>
      <c r="AO444" s="201">
        <f t="shared" si="2227"/>
        <v>0</v>
      </c>
      <c r="AP444" s="201">
        <f t="shared" si="2227"/>
        <v>0</v>
      </c>
      <c r="AQ444" s="201">
        <f t="shared" si="2227"/>
        <v>0</v>
      </c>
      <c r="AR444" s="200">
        <f t="shared" si="2227"/>
        <v>0</v>
      </c>
      <c r="AS444" s="200">
        <f t="shared" si="2227"/>
        <v>0</v>
      </c>
      <c r="AT444" s="173">
        <v>0.0</v>
      </c>
      <c r="AU444" s="200">
        <f t="shared" ref="AU444:AX444" si="2228">countif($D444,"*"&amp;AU$2&amp;"*")</f>
        <v>0</v>
      </c>
      <c r="AV444" s="200">
        <f t="shared" si="2228"/>
        <v>0</v>
      </c>
      <c r="AW444" s="200">
        <f t="shared" si="2228"/>
        <v>0</v>
      </c>
      <c r="AX444" s="200">
        <f t="shared" si="2228"/>
        <v>1</v>
      </c>
      <c r="AY444" s="202">
        <v>0.0</v>
      </c>
      <c r="AZ444" s="200"/>
      <c r="BA444" s="171" t="str">
        <f t="shared" si="18"/>
        <v>Archival</v>
      </c>
      <c r="BB444" s="171" t="str">
        <f t="shared" si="19"/>
        <v/>
      </c>
      <c r="BC444" s="171" t="str">
        <f t="shared" si="20"/>
        <v/>
      </c>
      <c r="BD444" s="171" t="str">
        <f t="shared" si="21"/>
        <v/>
      </c>
      <c r="BE444" s="171" t="str">
        <f t="shared" si="22"/>
        <v/>
      </c>
      <c r="BF444" s="171" t="str">
        <f t="shared" si="23"/>
        <v>Archival</v>
      </c>
    </row>
    <row r="445">
      <c r="A445" s="171">
        <f t="array" ref="A445">XLOOKUP(C445,ICSE!A:A,ICSE!C:C,,2,1)</f>
        <v>2020</v>
      </c>
      <c r="B445" s="171" t="s">
        <v>5675</v>
      </c>
      <c r="C445" s="160">
        <v>782.0</v>
      </c>
      <c r="D445" s="161" t="s">
        <v>5887</v>
      </c>
      <c r="E445" s="197" t="str">
        <f t="array" ref="E445">XLOOKUP(C445,ICSE!A:A,ICSE!Z:Z,,0,1)</f>
        <v>Publicly available (8)</v>
      </c>
      <c r="F445" s="198" t="s">
        <v>20</v>
      </c>
      <c r="G445" s="163" t="str">
        <f t="array" ref="G445">IF(B445="ICSE",IF(COUNTIFS(B:B,B445,C:C,C445)=XLOOKUP(C445,ICSE!A:A,ICSE!AA:AA,"ERROR",0,1),"OK","ERROR"),IF(B445="FSE",IF(COUNTIFS(B:B,B445,C:C,C445)=XLOOKUP(C445,FSE!A:A,FSE!AA:AA,"ERROR",0,1),"OK","ERROR")))</f>
        <v>OK</v>
      </c>
      <c r="H445" s="199">
        <f t="shared" ref="H445:O445" si="2229">countif($D445,"*"&amp;H$2&amp;"*")</f>
        <v>0</v>
      </c>
      <c r="I445" s="200">
        <f t="shared" si="2229"/>
        <v>0</v>
      </c>
      <c r="J445" s="200">
        <f t="shared" si="2229"/>
        <v>0</v>
      </c>
      <c r="K445" s="200">
        <f t="shared" si="2229"/>
        <v>0</v>
      </c>
      <c r="L445" s="200">
        <f t="shared" si="2229"/>
        <v>0</v>
      </c>
      <c r="M445" s="200">
        <f t="shared" si="2229"/>
        <v>0</v>
      </c>
      <c r="N445" s="200">
        <f t="shared" si="2229"/>
        <v>0</v>
      </c>
      <c r="O445" s="200">
        <f t="shared" si="2229"/>
        <v>0</v>
      </c>
      <c r="P445" s="200">
        <f t="shared" si="9"/>
        <v>1</v>
      </c>
      <c r="Q445" s="200">
        <f t="shared" ref="Q445:AC445" si="2230">countif($D445,"*"&amp;Q$2&amp;"*")</f>
        <v>0</v>
      </c>
      <c r="R445" s="200">
        <f t="shared" si="2230"/>
        <v>0</v>
      </c>
      <c r="S445" s="200">
        <f t="shared" si="2230"/>
        <v>0</v>
      </c>
      <c r="T445" s="200">
        <f t="shared" si="2230"/>
        <v>0</v>
      </c>
      <c r="U445" s="200">
        <f t="shared" si="2230"/>
        <v>0</v>
      </c>
      <c r="V445" s="200">
        <f t="shared" si="2230"/>
        <v>0</v>
      </c>
      <c r="W445" s="200">
        <f t="shared" si="2230"/>
        <v>0</v>
      </c>
      <c r="X445" s="200">
        <f t="shared" si="2230"/>
        <v>0</v>
      </c>
      <c r="Y445" s="200">
        <f t="shared" si="2230"/>
        <v>0</v>
      </c>
      <c r="Z445" s="200">
        <f t="shared" si="2230"/>
        <v>0</v>
      </c>
      <c r="AA445" s="200">
        <f t="shared" si="2230"/>
        <v>0</v>
      </c>
      <c r="AB445" s="200">
        <f t="shared" si="2230"/>
        <v>0</v>
      </c>
      <c r="AC445" s="200">
        <f t="shared" si="2230"/>
        <v>0</v>
      </c>
      <c r="AD445" s="200">
        <f t="shared" si="11"/>
        <v>0</v>
      </c>
      <c r="AE445" s="200">
        <f t="shared" ref="AE445:AG445" si="2231">countif($D445,"*"&amp;AE$2&amp;"*")</f>
        <v>0</v>
      </c>
      <c r="AF445" s="200">
        <f t="shared" si="2231"/>
        <v>0</v>
      </c>
      <c r="AG445" s="200">
        <f t="shared" si="2231"/>
        <v>0</v>
      </c>
      <c r="AH445" s="171">
        <f t="shared" si="13"/>
        <v>0</v>
      </c>
      <c r="AI445" s="200">
        <f t="shared" si="14"/>
        <v>0</v>
      </c>
      <c r="AJ445" s="200">
        <f t="shared" si="2076"/>
        <v>0</v>
      </c>
      <c r="AK445" s="201">
        <f t="shared" ref="AK445:AS445" si="2232">countif($D445,"*"&amp;AK$2&amp;"*")</f>
        <v>0</v>
      </c>
      <c r="AL445" s="201">
        <f t="shared" si="2232"/>
        <v>0</v>
      </c>
      <c r="AM445" s="201">
        <f t="shared" si="2232"/>
        <v>0</v>
      </c>
      <c r="AN445" s="201">
        <f t="shared" si="2232"/>
        <v>0</v>
      </c>
      <c r="AO445" s="201">
        <f t="shared" si="2232"/>
        <v>0</v>
      </c>
      <c r="AP445" s="201">
        <f t="shared" si="2232"/>
        <v>0</v>
      </c>
      <c r="AQ445" s="201">
        <f t="shared" si="2232"/>
        <v>0</v>
      </c>
      <c r="AR445" s="200">
        <f t="shared" si="2232"/>
        <v>0</v>
      </c>
      <c r="AS445" s="200">
        <f t="shared" si="2232"/>
        <v>0</v>
      </c>
      <c r="AT445" s="173">
        <v>0.0</v>
      </c>
      <c r="AU445" s="200">
        <f t="shared" ref="AU445:AX445" si="2233">countif($D445,"*"&amp;AU$2&amp;"*")</f>
        <v>0</v>
      </c>
      <c r="AV445" s="200">
        <f t="shared" si="2233"/>
        <v>1</v>
      </c>
      <c r="AW445" s="200">
        <f t="shared" si="2233"/>
        <v>0</v>
      </c>
      <c r="AX445" s="200">
        <f t="shared" si="2233"/>
        <v>0</v>
      </c>
      <c r="AY445" s="202">
        <v>0.0</v>
      </c>
      <c r="AZ445" s="200"/>
      <c r="BA445" s="171" t="str">
        <f t="shared" si="18"/>
        <v/>
      </c>
      <c r="BB445" s="171" t="str">
        <f t="shared" si="19"/>
        <v>Code</v>
      </c>
      <c r="BC445" s="171" t="str">
        <f t="shared" si="20"/>
        <v/>
      </c>
      <c r="BD445" s="171" t="str">
        <f t="shared" si="21"/>
        <v/>
      </c>
      <c r="BE445" s="171" t="str">
        <f t="shared" si="22"/>
        <v/>
      </c>
      <c r="BF445" s="171" t="str">
        <f t="shared" si="23"/>
        <v>Code</v>
      </c>
    </row>
    <row r="446">
      <c r="A446" s="171">
        <f t="array" ref="A446">XLOOKUP(C446,ICSE!A:A,ICSE!C:C,,2,1)</f>
        <v>2020</v>
      </c>
      <c r="B446" s="171" t="s">
        <v>5675</v>
      </c>
      <c r="C446" s="160">
        <v>783.0</v>
      </c>
      <c r="D446" s="161" t="s">
        <v>1735</v>
      </c>
      <c r="E446" s="197" t="str">
        <f t="array" ref="E446">XLOOKUP(C446,ICSE!A:A,ICSE!Z:Z,,0,1)</f>
        <v>Publicly available (1)</v>
      </c>
      <c r="F446" s="198" t="s">
        <v>20</v>
      </c>
      <c r="G446" s="163" t="str">
        <f t="array" ref="G446">IF(B446="ICSE",IF(COUNTIFS(B:B,B446,C:C,C446)=XLOOKUP(C446,ICSE!A:A,ICSE!AA:AA,"ERROR",0,1),"OK","ERROR"),IF(B446="FSE",IF(COUNTIFS(B:B,B446,C:C,C446)=XLOOKUP(C446,FSE!A:A,FSE!AA:AA,"ERROR",0,1),"OK","ERROR")))</f>
        <v>OK</v>
      </c>
      <c r="H446" s="199">
        <f t="shared" ref="H446:O446" si="2234">countif($D446,"*"&amp;H$2&amp;"*")</f>
        <v>1</v>
      </c>
      <c r="I446" s="200">
        <f t="shared" si="2234"/>
        <v>0</v>
      </c>
      <c r="J446" s="200">
        <f t="shared" si="2234"/>
        <v>0</v>
      </c>
      <c r="K446" s="200">
        <f t="shared" si="2234"/>
        <v>0</v>
      </c>
      <c r="L446" s="200">
        <f t="shared" si="2234"/>
        <v>0</v>
      </c>
      <c r="M446" s="200">
        <f t="shared" si="2234"/>
        <v>0</v>
      </c>
      <c r="N446" s="200">
        <f t="shared" si="2234"/>
        <v>0</v>
      </c>
      <c r="O446" s="200">
        <f t="shared" si="2234"/>
        <v>0</v>
      </c>
      <c r="P446" s="200">
        <f t="shared" si="9"/>
        <v>0</v>
      </c>
      <c r="Q446" s="200">
        <f t="shared" ref="Q446:AC446" si="2235">countif($D446,"*"&amp;Q$2&amp;"*")</f>
        <v>0</v>
      </c>
      <c r="R446" s="200">
        <f t="shared" si="2235"/>
        <v>0</v>
      </c>
      <c r="S446" s="200">
        <f t="shared" si="2235"/>
        <v>0</v>
      </c>
      <c r="T446" s="200">
        <f t="shared" si="2235"/>
        <v>0</v>
      </c>
      <c r="U446" s="200">
        <f t="shared" si="2235"/>
        <v>0</v>
      </c>
      <c r="V446" s="200">
        <f t="shared" si="2235"/>
        <v>0</v>
      </c>
      <c r="W446" s="200">
        <f t="shared" si="2235"/>
        <v>0</v>
      </c>
      <c r="X446" s="200">
        <f t="shared" si="2235"/>
        <v>0</v>
      </c>
      <c r="Y446" s="200">
        <f t="shared" si="2235"/>
        <v>0</v>
      </c>
      <c r="Z446" s="200">
        <f t="shared" si="2235"/>
        <v>0</v>
      </c>
      <c r="AA446" s="200">
        <f t="shared" si="2235"/>
        <v>0</v>
      </c>
      <c r="AB446" s="200">
        <f t="shared" si="2235"/>
        <v>0</v>
      </c>
      <c r="AC446" s="200">
        <f t="shared" si="2235"/>
        <v>0</v>
      </c>
      <c r="AD446" s="200">
        <f t="shared" si="11"/>
        <v>0</v>
      </c>
      <c r="AE446" s="200">
        <f t="shared" ref="AE446:AG446" si="2236">countif($D446,"*"&amp;AE$2&amp;"*")</f>
        <v>0</v>
      </c>
      <c r="AF446" s="200">
        <f t="shared" si="2236"/>
        <v>0</v>
      </c>
      <c r="AG446" s="200">
        <f t="shared" si="2236"/>
        <v>0</v>
      </c>
      <c r="AH446" s="171">
        <f t="shared" si="13"/>
        <v>0</v>
      </c>
      <c r="AI446" s="200">
        <f t="shared" si="14"/>
        <v>1</v>
      </c>
      <c r="AJ446" s="200">
        <f t="shared" si="2076"/>
        <v>0</v>
      </c>
      <c r="AK446" s="201">
        <f t="shared" ref="AK446:AS446" si="2237">countif($D446,"*"&amp;AK$2&amp;"*")</f>
        <v>0</v>
      </c>
      <c r="AL446" s="201">
        <f t="shared" si="2237"/>
        <v>0</v>
      </c>
      <c r="AM446" s="201">
        <f t="shared" si="2237"/>
        <v>0</v>
      </c>
      <c r="AN446" s="201">
        <f t="shared" si="2237"/>
        <v>0</v>
      </c>
      <c r="AO446" s="201">
        <f t="shared" si="2237"/>
        <v>0</v>
      </c>
      <c r="AP446" s="201">
        <f t="shared" si="2237"/>
        <v>0</v>
      </c>
      <c r="AQ446" s="201">
        <f t="shared" si="2237"/>
        <v>0</v>
      </c>
      <c r="AR446" s="200">
        <f t="shared" si="2237"/>
        <v>0</v>
      </c>
      <c r="AS446" s="200">
        <f t="shared" si="2237"/>
        <v>0</v>
      </c>
      <c r="AT446" s="173">
        <v>0.0</v>
      </c>
      <c r="AU446" s="200">
        <f t="shared" ref="AU446:AX446" si="2238">countif($D446,"*"&amp;AU$2&amp;"*")</f>
        <v>0</v>
      </c>
      <c r="AV446" s="200">
        <f t="shared" si="2238"/>
        <v>0</v>
      </c>
      <c r="AW446" s="200">
        <f t="shared" si="2238"/>
        <v>0</v>
      </c>
      <c r="AX446" s="200">
        <f t="shared" si="2238"/>
        <v>1</v>
      </c>
      <c r="AY446" s="202">
        <v>0.0</v>
      </c>
      <c r="AZ446" s="200"/>
      <c r="BA446" s="171" t="str">
        <f t="shared" si="18"/>
        <v>Archival</v>
      </c>
      <c r="BB446" s="171" t="str">
        <f t="shared" si="19"/>
        <v/>
      </c>
      <c r="BC446" s="171" t="str">
        <f t="shared" si="20"/>
        <v/>
      </c>
      <c r="BD446" s="171" t="str">
        <f t="shared" si="21"/>
        <v/>
      </c>
      <c r="BE446" s="171" t="str">
        <f t="shared" si="22"/>
        <v/>
      </c>
      <c r="BF446" s="171" t="str">
        <f t="shared" si="23"/>
        <v>Archival</v>
      </c>
    </row>
    <row r="447">
      <c r="A447" s="171">
        <f t="array" ref="A447">XLOOKUP(C447,ICSE!A:A,ICSE!C:C,,2,1)</f>
        <v>2020</v>
      </c>
      <c r="B447" s="171" t="s">
        <v>5675</v>
      </c>
      <c r="C447" s="160">
        <v>784.0</v>
      </c>
      <c r="D447" s="161" t="s">
        <v>1738</v>
      </c>
      <c r="E447" s="197" t="str">
        <f t="array" ref="E447">XLOOKUP(C447,ICSE!A:A,ICSE!Z:Z,,0,1)</f>
        <v>Publicly available (1)</v>
      </c>
      <c r="F447" s="198" t="s">
        <v>20</v>
      </c>
      <c r="G447" s="163" t="str">
        <f t="array" ref="G447">IF(B447="ICSE",IF(COUNTIFS(B:B,B447,C:C,C447)=XLOOKUP(C447,ICSE!A:A,ICSE!AA:AA,"ERROR",0,1),"OK","ERROR"),IF(B447="FSE",IF(COUNTIFS(B:B,B447,C:C,C447)=XLOOKUP(C447,FSE!A:A,FSE!AA:AA,"ERROR",0,1),"OK","ERROR")))</f>
        <v>OK</v>
      </c>
      <c r="H447" s="199">
        <f t="shared" ref="H447:O447" si="2239">countif($D447,"*"&amp;H$2&amp;"*")</f>
        <v>0</v>
      </c>
      <c r="I447" s="200">
        <f t="shared" si="2239"/>
        <v>0</v>
      </c>
      <c r="J447" s="200">
        <f t="shared" si="2239"/>
        <v>0</v>
      </c>
      <c r="K447" s="200">
        <f t="shared" si="2239"/>
        <v>0</v>
      </c>
      <c r="L447" s="200">
        <f t="shared" si="2239"/>
        <v>0</v>
      </c>
      <c r="M447" s="200">
        <f t="shared" si="2239"/>
        <v>0</v>
      </c>
      <c r="N447" s="200">
        <f t="shared" si="2239"/>
        <v>0</v>
      </c>
      <c r="O447" s="200">
        <f t="shared" si="2239"/>
        <v>0</v>
      </c>
      <c r="P447" s="200">
        <f t="shared" si="9"/>
        <v>1</v>
      </c>
      <c r="Q447" s="200">
        <f t="shared" ref="Q447:AC447" si="2240">countif($D447,"*"&amp;Q$2&amp;"*")</f>
        <v>0</v>
      </c>
      <c r="R447" s="200">
        <f t="shared" si="2240"/>
        <v>0</v>
      </c>
      <c r="S447" s="200">
        <f t="shared" si="2240"/>
        <v>0</v>
      </c>
      <c r="T447" s="200">
        <f t="shared" si="2240"/>
        <v>0</v>
      </c>
      <c r="U447" s="200">
        <f t="shared" si="2240"/>
        <v>0</v>
      </c>
      <c r="V447" s="200">
        <f t="shared" si="2240"/>
        <v>0</v>
      </c>
      <c r="W447" s="200">
        <f t="shared" si="2240"/>
        <v>0</v>
      </c>
      <c r="X447" s="200">
        <f t="shared" si="2240"/>
        <v>0</v>
      </c>
      <c r="Y447" s="200">
        <f t="shared" si="2240"/>
        <v>0</v>
      </c>
      <c r="Z447" s="200">
        <f t="shared" si="2240"/>
        <v>0</v>
      </c>
      <c r="AA447" s="200">
        <f t="shared" si="2240"/>
        <v>0</v>
      </c>
      <c r="AB447" s="200">
        <f t="shared" si="2240"/>
        <v>0</v>
      </c>
      <c r="AC447" s="200">
        <f t="shared" si="2240"/>
        <v>0</v>
      </c>
      <c r="AD447" s="200">
        <f t="shared" si="11"/>
        <v>0</v>
      </c>
      <c r="AE447" s="200">
        <f t="shared" ref="AE447:AG447" si="2241">countif($D447,"*"&amp;AE$2&amp;"*")</f>
        <v>0</v>
      </c>
      <c r="AF447" s="200">
        <f t="shared" si="2241"/>
        <v>0</v>
      </c>
      <c r="AG447" s="200">
        <f t="shared" si="2241"/>
        <v>0</v>
      </c>
      <c r="AH447" s="171">
        <f t="shared" si="13"/>
        <v>0</v>
      </c>
      <c r="AI447" s="200">
        <f t="shared" si="14"/>
        <v>0</v>
      </c>
      <c r="AJ447" s="200">
        <f t="shared" si="2076"/>
        <v>0</v>
      </c>
      <c r="AK447" s="201">
        <f t="shared" ref="AK447:AS447" si="2242">countif($D447,"*"&amp;AK$2&amp;"*")</f>
        <v>0</v>
      </c>
      <c r="AL447" s="201">
        <f t="shared" si="2242"/>
        <v>0</v>
      </c>
      <c r="AM447" s="201">
        <f t="shared" si="2242"/>
        <v>0</v>
      </c>
      <c r="AN447" s="201">
        <f t="shared" si="2242"/>
        <v>0</v>
      </c>
      <c r="AO447" s="201">
        <f t="shared" si="2242"/>
        <v>0</v>
      </c>
      <c r="AP447" s="201">
        <f t="shared" si="2242"/>
        <v>0</v>
      </c>
      <c r="AQ447" s="201">
        <f t="shared" si="2242"/>
        <v>0</v>
      </c>
      <c r="AR447" s="200">
        <f t="shared" si="2242"/>
        <v>0</v>
      </c>
      <c r="AS447" s="200">
        <f t="shared" si="2242"/>
        <v>0</v>
      </c>
      <c r="AT447" s="173">
        <v>0.0</v>
      </c>
      <c r="AU447" s="200">
        <f t="shared" ref="AU447:AX447" si="2243">countif($D447,"*"&amp;AU$2&amp;"*")</f>
        <v>0</v>
      </c>
      <c r="AV447" s="200">
        <f t="shared" si="2243"/>
        <v>1</v>
      </c>
      <c r="AW447" s="200">
        <f t="shared" si="2243"/>
        <v>0</v>
      </c>
      <c r="AX447" s="200">
        <f t="shared" si="2243"/>
        <v>0</v>
      </c>
      <c r="AY447" s="202">
        <v>0.0</v>
      </c>
      <c r="AZ447" s="200"/>
      <c r="BA447" s="171" t="str">
        <f t="shared" si="18"/>
        <v/>
      </c>
      <c r="BB447" s="171" t="str">
        <f t="shared" si="19"/>
        <v>Code</v>
      </c>
      <c r="BC447" s="171" t="str">
        <f t="shared" si="20"/>
        <v/>
      </c>
      <c r="BD447" s="171" t="str">
        <f t="shared" si="21"/>
        <v/>
      </c>
      <c r="BE447" s="171" t="str">
        <f t="shared" si="22"/>
        <v/>
      </c>
      <c r="BF447" s="171" t="str">
        <f t="shared" si="23"/>
        <v>Code</v>
      </c>
    </row>
    <row r="448">
      <c r="A448" s="171">
        <f t="array" ref="A448">XLOOKUP(C448,ICSE!A:A,ICSE!C:C,,2,1)</f>
        <v>2020</v>
      </c>
      <c r="B448" s="171" t="s">
        <v>5675</v>
      </c>
      <c r="C448" s="160">
        <v>785.0</v>
      </c>
      <c r="D448" s="161" t="s">
        <v>1741</v>
      </c>
      <c r="E448" s="197" t="str">
        <f t="array" ref="E448">XLOOKUP(C448,ICSE!A:A,ICSE!Z:Z,,0,1)</f>
        <v>Publicly available (1)</v>
      </c>
      <c r="F448" s="198" t="s">
        <v>20</v>
      </c>
      <c r="G448" s="163" t="str">
        <f t="array" ref="G448">IF(B448="ICSE",IF(COUNTIFS(B:B,B448,C:C,C448)=XLOOKUP(C448,ICSE!A:A,ICSE!AA:AA,"ERROR",0,1),"OK","ERROR"),IF(B448="FSE",IF(COUNTIFS(B:B,B448,C:C,C448)=XLOOKUP(C448,FSE!A:A,FSE!AA:AA,"ERROR",0,1),"OK","ERROR")))</f>
        <v>OK</v>
      </c>
      <c r="H448" s="199">
        <f t="shared" ref="H448:O448" si="2244">countif($D448,"*"&amp;H$2&amp;"*")</f>
        <v>0</v>
      </c>
      <c r="I448" s="200">
        <f t="shared" si="2244"/>
        <v>0</v>
      </c>
      <c r="J448" s="200">
        <f t="shared" si="2244"/>
        <v>0</v>
      </c>
      <c r="K448" s="200">
        <f t="shared" si="2244"/>
        <v>0</v>
      </c>
      <c r="L448" s="200">
        <f t="shared" si="2244"/>
        <v>0</v>
      </c>
      <c r="M448" s="200">
        <f t="shared" si="2244"/>
        <v>0</v>
      </c>
      <c r="N448" s="200">
        <f t="shared" si="2244"/>
        <v>0</v>
      </c>
      <c r="O448" s="200">
        <f t="shared" si="2244"/>
        <v>0</v>
      </c>
      <c r="P448" s="200">
        <f t="shared" si="9"/>
        <v>1</v>
      </c>
      <c r="Q448" s="200">
        <f t="shared" ref="Q448:AC448" si="2245">countif($D448,"*"&amp;Q$2&amp;"*")</f>
        <v>0</v>
      </c>
      <c r="R448" s="200">
        <f t="shared" si="2245"/>
        <v>0</v>
      </c>
      <c r="S448" s="200">
        <f t="shared" si="2245"/>
        <v>0</v>
      </c>
      <c r="T448" s="200">
        <f t="shared" si="2245"/>
        <v>0</v>
      </c>
      <c r="U448" s="200">
        <f t="shared" si="2245"/>
        <v>0</v>
      </c>
      <c r="V448" s="200">
        <f t="shared" si="2245"/>
        <v>0</v>
      </c>
      <c r="W448" s="200">
        <f t="shared" si="2245"/>
        <v>0</v>
      </c>
      <c r="X448" s="200">
        <f t="shared" si="2245"/>
        <v>0</v>
      </c>
      <c r="Y448" s="200">
        <f t="shared" si="2245"/>
        <v>0</v>
      </c>
      <c r="Z448" s="200">
        <f t="shared" si="2245"/>
        <v>0</v>
      </c>
      <c r="AA448" s="200">
        <f t="shared" si="2245"/>
        <v>0</v>
      </c>
      <c r="AB448" s="200">
        <f t="shared" si="2245"/>
        <v>0</v>
      </c>
      <c r="AC448" s="200">
        <f t="shared" si="2245"/>
        <v>0</v>
      </c>
      <c r="AD448" s="200">
        <f t="shared" si="11"/>
        <v>0</v>
      </c>
      <c r="AE448" s="200">
        <f t="shared" ref="AE448:AG448" si="2246">countif($D448,"*"&amp;AE$2&amp;"*")</f>
        <v>0</v>
      </c>
      <c r="AF448" s="200">
        <f t="shared" si="2246"/>
        <v>0</v>
      </c>
      <c r="AG448" s="200">
        <f t="shared" si="2246"/>
        <v>0</v>
      </c>
      <c r="AH448" s="171">
        <f t="shared" si="13"/>
        <v>0</v>
      </c>
      <c r="AI448" s="200">
        <f t="shared" si="14"/>
        <v>0</v>
      </c>
      <c r="AJ448" s="200">
        <f t="shared" si="2076"/>
        <v>0</v>
      </c>
      <c r="AK448" s="201">
        <f t="shared" ref="AK448:AS448" si="2247">countif($D448,"*"&amp;AK$2&amp;"*")</f>
        <v>0</v>
      </c>
      <c r="AL448" s="201">
        <f t="shared" si="2247"/>
        <v>0</v>
      </c>
      <c r="AM448" s="201">
        <f t="shared" si="2247"/>
        <v>0</v>
      </c>
      <c r="AN448" s="201">
        <f t="shared" si="2247"/>
        <v>0</v>
      </c>
      <c r="AO448" s="201">
        <f t="shared" si="2247"/>
        <v>0</v>
      </c>
      <c r="AP448" s="201">
        <f t="shared" si="2247"/>
        <v>0</v>
      </c>
      <c r="AQ448" s="201">
        <f t="shared" si="2247"/>
        <v>0</v>
      </c>
      <c r="AR448" s="200">
        <f t="shared" si="2247"/>
        <v>0</v>
      </c>
      <c r="AS448" s="200">
        <f t="shared" si="2247"/>
        <v>0</v>
      </c>
      <c r="AT448" s="173">
        <v>0.0</v>
      </c>
      <c r="AU448" s="200">
        <f t="shared" ref="AU448:AX448" si="2248">countif($D448,"*"&amp;AU$2&amp;"*")</f>
        <v>0</v>
      </c>
      <c r="AV448" s="200">
        <f t="shared" si="2248"/>
        <v>1</v>
      </c>
      <c r="AW448" s="200">
        <f t="shared" si="2248"/>
        <v>0</v>
      </c>
      <c r="AX448" s="200">
        <f t="shared" si="2248"/>
        <v>0</v>
      </c>
      <c r="AY448" s="202">
        <v>0.0</v>
      </c>
      <c r="AZ448" s="200"/>
      <c r="BA448" s="171" t="str">
        <f t="shared" si="18"/>
        <v/>
      </c>
      <c r="BB448" s="171" t="str">
        <f t="shared" si="19"/>
        <v>Code</v>
      </c>
      <c r="BC448" s="171" t="str">
        <f t="shared" si="20"/>
        <v/>
      </c>
      <c r="BD448" s="171" t="str">
        <f t="shared" si="21"/>
        <v/>
      </c>
      <c r="BE448" s="171" t="str">
        <f t="shared" si="22"/>
        <v/>
      </c>
      <c r="BF448" s="171" t="str">
        <f t="shared" si="23"/>
        <v>Code</v>
      </c>
    </row>
    <row r="449">
      <c r="A449" s="171">
        <f t="array" ref="A449">XLOOKUP(C449,ICSE!A:A,ICSE!C:C,,2,1)</f>
        <v>2020</v>
      </c>
      <c r="B449" s="171" t="s">
        <v>5675</v>
      </c>
      <c r="C449" s="160">
        <v>786.0</v>
      </c>
      <c r="D449" s="161" t="s">
        <v>5888</v>
      </c>
      <c r="E449" s="197" t="str">
        <f t="array" ref="E449">XLOOKUP(C449,ICSE!A:A,ICSE!Z:Z,,0,1)</f>
        <v>Publicly available (2)</v>
      </c>
      <c r="F449" s="198" t="s">
        <v>20</v>
      </c>
      <c r="G449" s="163" t="str">
        <f t="array" ref="G449">IF(B449="ICSE",IF(COUNTIFS(B:B,B449,C:C,C449)=XLOOKUP(C449,ICSE!A:A,ICSE!AA:AA,"ERROR",0,1),"OK","ERROR"),IF(B449="FSE",IF(COUNTIFS(B:B,B449,C:C,C449)=XLOOKUP(C449,FSE!A:A,FSE!AA:AA,"ERROR",0,1),"OK","ERROR")))</f>
        <v>OK</v>
      </c>
      <c r="H449" s="199">
        <f t="shared" ref="H449:O449" si="2249">countif($D449,"*"&amp;H$2&amp;"*")</f>
        <v>0</v>
      </c>
      <c r="I449" s="200">
        <f t="shared" si="2249"/>
        <v>0</v>
      </c>
      <c r="J449" s="200">
        <f t="shared" si="2249"/>
        <v>0</v>
      </c>
      <c r="K449" s="200">
        <f t="shared" si="2249"/>
        <v>0</v>
      </c>
      <c r="L449" s="200">
        <f t="shared" si="2249"/>
        <v>0</v>
      </c>
      <c r="M449" s="200">
        <f t="shared" si="2249"/>
        <v>0</v>
      </c>
      <c r="N449" s="200">
        <f t="shared" si="2249"/>
        <v>0</v>
      </c>
      <c r="O449" s="200">
        <f t="shared" si="2249"/>
        <v>0</v>
      </c>
      <c r="P449" s="200">
        <f t="shared" si="9"/>
        <v>1</v>
      </c>
      <c r="Q449" s="200">
        <f t="shared" ref="Q449:AC449" si="2250">countif($D449,"*"&amp;Q$2&amp;"*")</f>
        <v>0</v>
      </c>
      <c r="R449" s="200">
        <f t="shared" si="2250"/>
        <v>0</v>
      </c>
      <c r="S449" s="200">
        <f t="shared" si="2250"/>
        <v>0</v>
      </c>
      <c r="T449" s="200">
        <f t="shared" si="2250"/>
        <v>0</v>
      </c>
      <c r="U449" s="200">
        <f t="shared" si="2250"/>
        <v>0</v>
      </c>
      <c r="V449" s="200">
        <f t="shared" si="2250"/>
        <v>0</v>
      </c>
      <c r="W449" s="200">
        <f t="shared" si="2250"/>
        <v>0</v>
      </c>
      <c r="X449" s="200">
        <f t="shared" si="2250"/>
        <v>0</v>
      </c>
      <c r="Y449" s="200">
        <f t="shared" si="2250"/>
        <v>0</v>
      </c>
      <c r="Z449" s="200">
        <f t="shared" si="2250"/>
        <v>0</v>
      </c>
      <c r="AA449" s="200">
        <f t="shared" si="2250"/>
        <v>0</v>
      </c>
      <c r="AB449" s="200">
        <f t="shared" si="2250"/>
        <v>0</v>
      </c>
      <c r="AC449" s="200">
        <f t="shared" si="2250"/>
        <v>0</v>
      </c>
      <c r="AD449" s="200">
        <f t="shared" si="11"/>
        <v>0</v>
      </c>
      <c r="AE449" s="200">
        <f t="shared" ref="AE449:AG449" si="2251">countif($D449,"*"&amp;AE$2&amp;"*")</f>
        <v>0</v>
      </c>
      <c r="AF449" s="200">
        <f t="shared" si="2251"/>
        <v>0</v>
      </c>
      <c r="AG449" s="200">
        <f t="shared" si="2251"/>
        <v>0</v>
      </c>
      <c r="AH449" s="171">
        <f t="shared" si="13"/>
        <v>0</v>
      </c>
      <c r="AI449" s="200">
        <f t="shared" si="14"/>
        <v>0</v>
      </c>
      <c r="AJ449" s="200">
        <f t="shared" si="2076"/>
        <v>0</v>
      </c>
      <c r="AK449" s="201">
        <f t="shared" ref="AK449:AS449" si="2252">countif($D449,"*"&amp;AK$2&amp;"*")</f>
        <v>0</v>
      </c>
      <c r="AL449" s="201">
        <f t="shared" si="2252"/>
        <v>0</v>
      </c>
      <c r="AM449" s="201">
        <f t="shared" si="2252"/>
        <v>0</v>
      </c>
      <c r="AN449" s="201">
        <f t="shared" si="2252"/>
        <v>0</v>
      </c>
      <c r="AO449" s="201">
        <f t="shared" si="2252"/>
        <v>0</v>
      </c>
      <c r="AP449" s="201">
        <f t="shared" si="2252"/>
        <v>0</v>
      </c>
      <c r="AQ449" s="201">
        <f t="shared" si="2252"/>
        <v>0</v>
      </c>
      <c r="AR449" s="200">
        <f t="shared" si="2252"/>
        <v>0</v>
      </c>
      <c r="AS449" s="200">
        <f t="shared" si="2252"/>
        <v>0</v>
      </c>
      <c r="AT449" s="173">
        <v>0.0</v>
      </c>
      <c r="AU449" s="200">
        <f t="shared" ref="AU449:AX449" si="2253">countif($D449,"*"&amp;AU$2&amp;"*")</f>
        <v>0</v>
      </c>
      <c r="AV449" s="200">
        <f t="shared" si="2253"/>
        <v>1</v>
      </c>
      <c r="AW449" s="200">
        <f t="shared" si="2253"/>
        <v>0</v>
      </c>
      <c r="AX449" s="200">
        <f t="shared" si="2253"/>
        <v>0</v>
      </c>
      <c r="AY449" s="202">
        <v>0.0</v>
      </c>
      <c r="AZ449" s="200"/>
      <c r="BA449" s="171" t="str">
        <f t="shared" si="18"/>
        <v/>
      </c>
      <c r="BB449" s="171" t="str">
        <f t="shared" si="19"/>
        <v>Code</v>
      </c>
      <c r="BC449" s="171" t="str">
        <f t="shared" si="20"/>
        <v/>
      </c>
      <c r="BD449" s="171" t="str">
        <f t="shared" si="21"/>
        <v/>
      </c>
      <c r="BE449" s="171" t="str">
        <f t="shared" si="22"/>
        <v/>
      </c>
      <c r="BF449" s="171" t="str">
        <f t="shared" si="23"/>
        <v>Code</v>
      </c>
    </row>
    <row r="450">
      <c r="A450" s="171">
        <f t="array" ref="A450">XLOOKUP(C450,ICSE!A:A,ICSE!C:C,,2,1)</f>
        <v>2020</v>
      </c>
      <c r="B450" s="171" t="s">
        <v>5675</v>
      </c>
      <c r="C450" s="160">
        <v>786.0</v>
      </c>
      <c r="D450" s="161" t="s">
        <v>5889</v>
      </c>
      <c r="E450" s="197" t="str">
        <f t="array" ref="E450">XLOOKUP(C450,ICSE!A:A,ICSE!Z:Z,,0,1)</f>
        <v>Publicly available (2)</v>
      </c>
      <c r="F450" s="198" t="s">
        <v>20</v>
      </c>
      <c r="G450" s="163" t="str">
        <f t="array" ref="G450">IF(B450="ICSE",IF(COUNTIFS(B:B,B450,C:C,C450)=XLOOKUP(C450,ICSE!A:A,ICSE!AA:AA,"ERROR",0,1),"OK","ERROR"),IF(B450="FSE",IF(COUNTIFS(B:B,B450,C:C,C450)=XLOOKUP(C450,FSE!A:A,FSE!AA:AA,"ERROR",0,1),"OK","ERROR")))</f>
        <v>OK</v>
      </c>
      <c r="H450" s="199">
        <f t="shared" ref="H450:O450" si="2254">countif($D450,"*"&amp;H$2&amp;"*")</f>
        <v>0</v>
      </c>
      <c r="I450" s="200">
        <f t="shared" si="2254"/>
        <v>0</v>
      </c>
      <c r="J450" s="200">
        <f t="shared" si="2254"/>
        <v>0</v>
      </c>
      <c r="K450" s="200">
        <f t="shared" si="2254"/>
        <v>0</v>
      </c>
      <c r="L450" s="200">
        <f t="shared" si="2254"/>
        <v>0</v>
      </c>
      <c r="M450" s="200">
        <f t="shared" si="2254"/>
        <v>0</v>
      </c>
      <c r="N450" s="200">
        <f t="shared" si="2254"/>
        <v>0</v>
      </c>
      <c r="O450" s="200">
        <f t="shared" si="2254"/>
        <v>0</v>
      </c>
      <c r="P450" s="200">
        <f t="shared" si="9"/>
        <v>0</v>
      </c>
      <c r="Q450" s="200">
        <f t="shared" ref="Q450:AC450" si="2255">countif($D450,"*"&amp;Q$2&amp;"*")</f>
        <v>0</v>
      </c>
      <c r="R450" s="200">
        <f t="shared" si="2255"/>
        <v>0</v>
      </c>
      <c r="S450" s="200">
        <f t="shared" si="2255"/>
        <v>0</v>
      </c>
      <c r="T450" s="200">
        <f t="shared" si="2255"/>
        <v>0</v>
      </c>
      <c r="U450" s="200">
        <f t="shared" si="2255"/>
        <v>0</v>
      </c>
      <c r="V450" s="200">
        <f t="shared" si="2255"/>
        <v>0</v>
      </c>
      <c r="W450" s="200">
        <f t="shared" si="2255"/>
        <v>0</v>
      </c>
      <c r="X450" s="200">
        <f t="shared" si="2255"/>
        <v>0</v>
      </c>
      <c r="Y450" s="200">
        <f t="shared" si="2255"/>
        <v>0</v>
      </c>
      <c r="Z450" s="200">
        <f t="shared" si="2255"/>
        <v>0</v>
      </c>
      <c r="AA450" s="200">
        <f t="shared" si="2255"/>
        <v>0</v>
      </c>
      <c r="AB450" s="200">
        <f t="shared" si="2255"/>
        <v>0</v>
      </c>
      <c r="AC450" s="200">
        <f t="shared" si="2255"/>
        <v>0</v>
      </c>
      <c r="AD450" s="200">
        <f t="shared" si="11"/>
        <v>0</v>
      </c>
      <c r="AE450" s="200">
        <f t="shared" ref="AE450:AG450" si="2256">countif($D450,"*"&amp;AE$2&amp;"*")</f>
        <v>0</v>
      </c>
      <c r="AF450" s="200">
        <f t="shared" si="2256"/>
        <v>0</v>
      </c>
      <c r="AG450" s="200">
        <f t="shared" si="2256"/>
        <v>0</v>
      </c>
      <c r="AH450" s="171">
        <f t="shared" si="13"/>
        <v>1</v>
      </c>
      <c r="AI450" s="200">
        <f t="shared" si="14"/>
        <v>0</v>
      </c>
      <c r="AJ450" s="200">
        <f t="shared" si="2076"/>
        <v>0</v>
      </c>
      <c r="AK450" s="201">
        <f t="shared" ref="AK450:AS450" si="2257">countif($D450,"*"&amp;AK$2&amp;"*")</f>
        <v>0</v>
      </c>
      <c r="AL450" s="201">
        <f t="shared" si="2257"/>
        <v>0</v>
      </c>
      <c r="AM450" s="201">
        <f t="shared" si="2257"/>
        <v>0</v>
      </c>
      <c r="AN450" s="201">
        <f t="shared" si="2257"/>
        <v>0</v>
      </c>
      <c r="AO450" s="201">
        <f t="shared" si="2257"/>
        <v>0</v>
      </c>
      <c r="AP450" s="201">
        <f t="shared" si="2257"/>
        <v>0</v>
      </c>
      <c r="AQ450" s="201">
        <f t="shared" si="2257"/>
        <v>0</v>
      </c>
      <c r="AR450" s="200">
        <f t="shared" si="2257"/>
        <v>0</v>
      </c>
      <c r="AS450" s="200">
        <f t="shared" si="2257"/>
        <v>0</v>
      </c>
      <c r="AT450" s="173">
        <v>0.0</v>
      </c>
      <c r="AU450" s="200">
        <f t="shared" ref="AU450:AX450" si="2258">countif($D450,"*"&amp;AU$2&amp;"*")</f>
        <v>0</v>
      </c>
      <c r="AV450" s="200">
        <f t="shared" si="2258"/>
        <v>0</v>
      </c>
      <c r="AW450" s="200">
        <f t="shared" si="2258"/>
        <v>0</v>
      </c>
      <c r="AX450" s="200">
        <f t="shared" si="2258"/>
        <v>0</v>
      </c>
      <c r="AY450" s="202">
        <v>0.0</v>
      </c>
      <c r="AZ450" s="200"/>
      <c r="BA450" s="171" t="str">
        <f t="shared" si="18"/>
        <v/>
      </c>
      <c r="BB450" s="171" t="str">
        <f t="shared" si="19"/>
        <v/>
      </c>
      <c r="BC450" s="171" t="str">
        <f t="shared" si="20"/>
        <v/>
      </c>
      <c r="BD450" s="171" t="str">
        <f t="shared" si="21"/>
        <v/>
      </c>
      <c r="BE450" s="171" t="str">
        <f t="shared" si="22"/>
        <v>Others</v>
      </c>
      <c r="BF450" s="171" t="str">
        <f t="shared" si="23"/>
        <v>Others</v>
      </c>
    </row>
    <row r="451">
      <c r="A451" s="171">
        <f t="array" ref="A451">XLOOKUP(C451,ICSE!A:A,ICSE!C:C,,2,1)</f>
        <v>2020</v>
      </c>
      <c r="B451" s="171" t="s">
        <v>5675</v>
      </c>
      <c r="C451" s="160">
        <v>787.0</v>
      </c>
      <c r="D451" s="161" t="s">
        <v>1747</v>
      </c>
      <c r="E451" s="197" t="str">
        <f t="array" ref="E451">XLOOKUP(C451,ICSE!A:A,ICSE!Z:Z,,0,1)</f>
        <v>Publicly available (1)</v>
      </c>
      <c r="F451" s="198" t="s">
        <v>20</v>
      </c>
      <c r="G451" s="163" t="str">
        <f t="array" ref="G451">IF(B451="ICSE",IF(COUNTIFS(B:B,B451,C:C,C451)=XLOOKUP(C451,ICSE!A:A,ICSE!AA:AA,"ERROR",0,1),"OK","ERROR"),IF(B451="FSE",IF(COUNTIFS(B:B,B451,C:C,C451)=XLOOKUP(C451,FSE!A:A,FSE!AA:AA,"ERROR",0,1),"OK","ERROR")))</f>
        <v>OK</v>
      </c>
      <c r="H451" s="199">
        <f t="shared" ref="H451:O451" si="2259">countif($D451,"*"&amp;H$2&amp;"*")</f>
        <v>0</v>
      </c>
      <c r="I451" s="200">
        <f t="shared" si="2259"/>
        <v>0</v>
      </c>
      <c r="J451" s="200">
        <f t="shared" si="2259"/>
        <v>0</v>
      </c>
      <c r="K451" s="200">
        <f t="shared" si="2259"/>
        <v>0</v>
      </c>
      <c r="L451" s="200">
        <f t="shared" si="2259"/>
        <v>0</v>
      </c>
      <c r="M451" s="200">
        <f t="shared" si="2259"/>
        <v>0</v>
      </c>
      <c r="N451" s="200">
        <f t="shared" si="2259"/>
        <v>0</v>
      </c>
      <c r="O451" s="200">
        <f t="shared" si="2259"/>
        <v>0</v>
      </c>
      <c r="P451" s="200">
        <f t="shared" si="9"/>
        <v>1</v>
      </c>
      <c r="Q451" s="200">
        <f t="shared" ref="Q451:AC451" si="2260">countif($D451,"*"&amp;Q$2&amp;"*")</f>
        <v>0</v>
      </c>
      <c r="R451" s="200">
        <f t="shared" si="2260"/>
        <v>0</v>
      </c>
      <c r="S451" s="200">
        <f t="shared" si="2260"/>
        <v>0</v>
      </c>
      <c r="T451" s="200">
        <f t="shared" si="2260"/>
        <v>0</v>
      </c>
      <c r="U451" s="200">
        <f t="shared" si="2260"/>
        <v>0</v>
      </c>
      <c r="V451" s="200">
        <f t="shared" si="2260"/>
        <v>0</v>
      </c>
      <c r="W451" s="200">
        <f t="shared" si="2260"/>
        <v>0</v>
      </c>
      <c r="X451" s="200">
        <f t="shared" si="2260"/>
        <v>0</v>
      </c>
      <c r="Y451" s="200">
        <f t="shared" si="2260"/>
        <v>0</v>
      </c>
      <c r="Z451" s="200">
        <f t="shared" si="2260"/>
        <v>0</v>
      </c>
      <c r="AA451" s="200">
        <f t="shared" si="2260"/>
        <v>0</v>
      </c>
      <c r="AB451" s="200">
        <f t="shared" si="2260"/>
        <v>0</v>
      </c>
      <c r="AC451" s="200">
        <f t="shared" si="2260"/>
        <v>0</v>
      </c>
      <c r="AD451" s="200">
        <f t="shared" si="11"/>
        <v>0</v>
      </c>
      <c r="AE451" s="200">
        <f t="shared" ref="AE451:AG451" si="2261">countif($D451,"*"&amp;AE$2&amp;"*")</f>
        <v>0</v>
      </c>
      <c r="AF451" s="200">
        <f t="shared" si="2261"/>
        <v>0</v>
      </c>
      <c r="AG451" s="200">
        <f t="shared" si="2261"/>
        <v>0</v>
      </c>
      <c r="AH451" s="171">
        <f t="shared" si="13"/>
        <v>0</v>
      </c>
      <c r="AI451" s="200">
        <f t="shared" si="14"/>
        <v>0</v>
      </c>
      <c r="AJ451" s="200">
        <f t="shared" si="2076"/>
        <v>0</v>
      </c>
      <c r="AK451" s="201">
        <f t="shared" ref="AK451:AS451" si="2262">countif($D451,"*"&amp;AK$2&amp;"*")</f>
        <v>0</v>
      </c>
      <c r="AL451" s="201">
        <f t="shared" si="2262"/>
        <v>0</v>
      </c>
      <c r="AM451" s="201">
        <f t="shared" si="2262"/>
        <v>0</v>
      </c>
      <c r="AN451" s="201">
        <f t="shared" si="2262"/>
        <v>0</v>
      </c>
      <c r="AO451" s="201">
        <f t="shared" si="2262"/>
        <v>0</v>
      </c>
      <c r="AP451" s="201">
        <f t="shared" si="2262"/>
        <v>0</v>
      </c>
      <c r="AQ451" s="201">
        <f t="shared" si="2262"/>
        <v>0</v>
      </c>
      <c r="AR451" s="200">
        <f t="shared" si="2262"/>
        <v>0</v>
      </c>
      <c r="AS451" s="200">
        <f t="shared" si="2262"/>
        <v>0</v>
      </c>
      <c r="AT451" s="173">
        <v>0.0</v>
      </c>
      <c r="AU451" s="200">
        <f t="shared" ref="AU451:AX451" si="2263">countif($D451,"*"&amp;AU$2&amp;"*")</f>
        <v>0</v>
      </c>
      <c r="AV451" s="200">
        <f t="shared" si="2263"/>
        <v>1</v>
      </c>
      <c r="AW451" s="200">
        <f t="shared" si="2263"/>
        <v>0</v>
      </c>
      <c r="AX451" s="200">
        <f t="shared" si="2263"/>
        <v>0</v>
      </c>
      <c r="AY451" s="202">
        <v>0.0</v>
      </c>
      <c r="AZ451" s="200"/>
      <c r="BA451" s="171" t="str">
        <f t="shared" si="18"/>
        <v/>
      </c>
      <c r="BB451" s="171" t="str">
        <f t="shared" si="19"/>
        <v>Code</v>
      </c>
      <c r="BC451" s="171" t="str">
        <f t="shared" si="20"/>
        <v/>
      </c>
      <c r="BD451" s="171" t="str">
        <f t="shared" si="21"/>
        <v/>
      </c>
      <c r="BE451" s="171" t="str">
        <f t="shared" si="22"/>
        <v/>
      </c>
      <c r="BF451" s="171" t="str">
        <f t="shared" si="23"/>
        <v>Code</v>
      </c>
    </row>
    <row r="452">
      <c r="A452" s="171">
        <f t="array" ref="A452">XLOOKUP(C452,ICSE!A:A,ICSE!C:C,,2,1)</f>
        <v>2020</v>
      </c>
      <c r="B452" s="171" t="s">
        <v>5675</v>
      </c>
      <c r="C452" s="160">
        <v>788.0</v>
      </c>
      <c r="D452" s="161" t="s">
        <v>1750</v>
      </c>
      <c r="E452" s="197" t="str">
        <f t="array" ref="E452">XLOOKUP(C452,ICSE!A:A,ICSE!Z:Z,,0,1)</f>
        <v>Publicly available (1)</v>
      </c>
      <c r="F452" s="198" t="s">
        <v>20</v>
      </c>
      <c r="G452" s="163" t="str">
        <f t="array" ref="G452">IF(B452="ICSE",IF(COUNTIFS(B:B,B452,C:C,C452)=XLOOKUP(C452,ICSE!A:A,ICSE!AA:AA,"ERROR",0,1),"OK","ERROR"),IF(B452="FSE",IF(COUNTIFS(B:B,B452,C:C,C452)=XLOOKUP(C452,FSE!A:A,FSE!AA:AA,"ERROR",0,1),"OK","ERROR")))</f>
        <v>OK</v>
      </c>
      <c r="H452" s="199">
        <f t="shared" ref="H452:O452" si="2264">countif($D452,"*"&amp;H$2&amp;"*")</f>
        <v>0</v>
      </c>
      <c r="I452" s="200">
        <f t="shared" si="2264"/>
        <v>0</v>
      </c>
      <c r="J452" s="200">
        <f t="shared" si="2264"/>
        <v>0</v>
      </c>
      <c r="K452" s="200">
        <f t="shared" si="2264"/>
        <v>0</v>
      </c>
      <c r="L452" s="200">
        <f t="shared" si="2264"/>
        <v>0</v>
      </c>
      <c r="M452" s="200">
        <f t="shared" si="2264"/>
        <v>0</v>
      </c>
      <c r="N452" s="200">
        <f t="shared" si="2264"/>
        <v>0</v>
      </c>
      <c r="O452" s="200">
        <f t="shared" si="2264"/>
        <v>0</v>
      </c>
      <c r="P452" s="200">
        <f t="shared" si="9"/>
        <v>1</v>
      </c>
      <c r="Q452" s="200">
        <f t="shared" ref="Q452:AC452" si="2265">countif($D452,"*"&amp;Q$2&amp;"*")</f>
        <v>0</v>
      </c>
      <c r="R452" s="200">
        <f t="shared" si="2265"/>
        <v>0</v>
      </c>
      <c r="S452" s="200">
        <f t="shared" si="2265"/>
        <v>0</v>
      </c>
      <c r="T452" s="200">
        <f t="shared" si="2265"/>
        <v>0</v>
      </c>
      <c r="U452" s="200">
        <f t="shared" si="2265"/>
        <v>0</v>
      </c>
      <c r="V452" s="200">
        <f t="shared" si="2265"/>
        <v>0</v>
      </c>
      <c r="W452" s="200">
        <f t="shared" si="2265"/>
        <v>0</v>
      </c>
      <c r="X452" s="200">
        <f t="shared" si="2265"/>
        <v>0</v>
      </c>
      <c r="Y452" s="200">
        <f t="shared" si="2265"/>
        <v>0</v>
      </c>
      <c r="Z452" s="200">
        <f t="shared" si="2265"/>
        <v>0</v>
      </c>
      <c r="AA452" s="200">
        <f t="shared" si="2265"/>
        <v>0</v>
      </c>
      <c r="AB452" s="200">
        <f t="shared" si="2265"/>
        <v>0</v>
      </c>
      <c r="AC452" s="200">
        <f t="shared" si="2265"/>
        <v>0</v>
      </c>
      <c r="AD452" s="200">
        <f t="shared" si="11"/>
        <v>0</v>
      </c>
      <c r="AE452" s="200">
        <f t="shared" ref="AE452:AG452" si="2266">countif($D452,"*"&amp;AE$2&amp;"*")</f>
        <v>0</v>
      </c>
      <c r="AF452" s="200">
        <f t="shared" si="2266"/>
        <v>0</v>
      </c>
      <c r="AG452" s="200">
        <f t="shared" si="2266"/>
        <v>0</v>
      </c>
      <c r="AH452" s="171">
        <f t="shared" si="13"/>
        <v>0</v>
      </c>
      <c r="AI452" s="200">
        <f t="shared" si="14"/>
        <v>0</v>
      </c>
      <c r="AJ452" s="200">
        <f t="shared" si="2076"/>
        <v>0</v>
      </c>
      <c r="AK452" s="201">
        <f t="shared" ref="AK452:AS452" si="2267">countif($D452,"*"&amp;AK$2&amp;"*")</f>
        <v>0</v>
      </c>
      <c r="AL452" s="201">
        <f t="shared" si="2267"/>
        <v>0</v>
      </c>
      <c r="AM452" s="201">
        <f t="shared" si="2267"/>
        <v>0</v>
      </c>
      <c r="AN452" s="201">
        <f t="shared" si="2267"/>
        <v>0</v>
      </c>
      <c r="AO452" s="201">
        <f t="shared" si="2267"/>
        <v>0</v>
      </c>
      <c r="AP452" s="201">
        <f t="shared" si="2267"/>
        <v>0</v>
      </c>
      <c r="AQ452" s="201">
        <f t="shared" si="2267"/>
        <v>0</v>
      </c>
      <c r="AR452" s="200">
        <f t="shared" si="2267"/>
        <v>0</v>
      </c>
      <c r="AS452" s="200">
        <f t="shared" si="2267"/>
        <v>0</v>
      </c>
      <c r="AT452" s="173">
        <v>0.0</v>
      </c>
      <c r="AU452" s="200">
        <f t="shared" ref="AU452:AX452" si="2268">countif($D452,"*"&amp;AU$2&amp;"*")</f>
        <v>0</v>
      </c>
      <c r="AV452" s="200">
        <f t="shared" si="2268"/>
        <v>1</v>
      </c>
      <c r="AW452" s="200">
        <f t="shared" si="2268"/>
        <v>0</v>
      </c>
      <c r="AX452" s="200">
        <f t="shared" si="2268"/>
        <v>0</v>
      </c>
      <c r="AY452" s="202">
        <v>0.0</v>
      </c>
      <c r="AZ452" s="200"/>
      <c r="BA452" s="171" t="str">
        <f t="shared" si="18"/>
        <v/>
      </c>
      <c r="BB452" s="171" t="str">
        <f t="shared" si="19"/>
        <v>Code</v>
      </c>
      <c r="BC452" s="171" t="str">
        <f t="shared" si="20"/>
        <v/>
      </c>
      <c r="BD452" s="171" t="str">
        <f t="shared" si="21"/>
        <v/>
      </c>
      <c r="BE452" s="171" t="str">
        <f t="shared" si="22"/>
        <v/>
      </c>
      <c r="BF452" s="171" t="str">
        <f t="shared" si="23"/>
        <v>Code</v>
      </c>
    </row>
    <row r="453">
      <c r="A453" s="171">
        <f t="array" ref="A453">XLOOKUP(C453,ICSE!A:A,ICSE!C:C,,2,1)</f>
        <v>2020</v>
      </c>
      <c r="B453" s="171" t="s">
        <v>5675</v>
      </c>
      <c r="C453" s="160">
        <v>790.0</v>
      </c>
      <c r="D453" s="161" t="s">
        <v>1754</v>
      </c>
      <c r="E453" s="197" t="str">
        <f t="array" ref="E453">XLOOKUP(C453,ICSE!A:A,ICSE!Z:Z,,0,1)</f>
        <v>Publicly available (1)</v>
      </c>
      <c r="F453" s="198" t="s">
        <v>20</v>
      </c>
      <c r="G453" s="163" t="str">
        <f t="array" ref="G453">IF(B453="ICSE",IF(COUNTIFS(B:B,B453,C:C,C453)=XLOOKUP(C453,ICSE!A:A,ICSE!AA:AA,"ERROR",0,1),"OK","ERROR"),IF(B453="FSE",IF(COUNTIFS(B:B,B453,C:C,C453)=XLOOKUP(C453,FSE!A:A,FSE!AA:AA,"ERROR",0,1),"OK","ERROR")))</f>
        <v>OK</v>
      </c>
      <c r="H453" s="199">
        <f t="shared" ref="H453:O453" si="2269">countif($D453,"*"&amp;H$2&amp;"*")</f>
        <v>1</v>
      </c>
      <c r="I453" s="200">
        <f t="shared" si="2269"/>
        <v>0</v>
      </c>
      <c r="J453" s="200">
        <f t="shared" si="2269"/>
        <v>0</v>
      </c>
      <c r="K453" s="200">
        <f t="shared" si="2269"/>
        <v>0</v>
      </c>
      <c r="L453" s="200">
        <f t="shared" si="2269"/>
        <v>0</v>
      </c>
      <c r="M453" s="200">
        <f t="shared" si="2269"/>
        <v>0</v>
      </c>
      <c r="N453" s="200">
        <f t="shared" si="2269"/>
        <v>0</v>
      </c>
      <c r="O453" s="200">
        <f t="shared" si="2269"/>
        <v>0</v>
      </c>
      <c r="P453" s="200">
        <f t="shared" si="9"/>
        <v>0</v>
      </c>
      <c r="Q453" s="200">
        <f t="shared" ref="Q453:AC453" si="2270">countif($D453,"*"&amp;Q$2&amp;"*")</f>
        <v>0</v>
      </c>
      <c r="R453" s="200">
        <f t="shared" si="2270"/>
        <v>0</v>
      </c>
      <c r="S453" s="200">
        <f t="shared" si="2270"/>
        <v>0</v>
      </c>
      <c r="T453" s="200">
        <f t="shared" si="2270"/>
        <v>0</v>
      </c>
      <c r="U453" s="200">
        <f t="shared" si="2270"/>
        <v>0</v>
      </c>
      <c r="V453" s="200">
        <f t="shared" si="2270"/>
        <v>0</v>
      </c>
      <c r="W453" s="200">
        <f t="shared" si="2270"/>
        <v>0</v>
      </c>
      <c r="X453" s="200">
        <f t="shared" si="2270"/>
        <v>0</v>
      </c>
      <c r="Y453" s="200">
        <f t="shared" si="2270"/>
        <v>0</v>
      </c>
      <c r="Z453" s="200">
        <f t="shared" si="2270"/>
        <v>0</v>
      </c>
      <c r="AA453" s="200">
        <f t="shared" si="2270"/>
        <v>0</v>
      </c>
      <c r="AB453" s="200">
        <f t="shared" si="2270"/>
        <v>0</v>
      </c>
      <c r="AC453" s="200">
        <f t="shared" si="2270"/>
        <v>0</v>
      </c>
      <c r="AD453" s="200">
        <f t="shared" si="11"/>
        <v>0</v>
      </c>
      <c r="AE453" s="200">
        <f t="shared" ref="AE453:AG453" si="2271">countif($D453,"*"&amp;AE$2&amp;"*")</f>
        <v>0</v>
      </c>
      <c r="AF453" s="200">
        <f t="shared" si="2271"/>
        <v>0</v>
      </c>
      <c r="AG453" s="200">
        <f t="shared" si="2271"/>
        <v>0</v>
      </c>
      <c r="AH453" s="171">
        <f t="shared" si="13"/>
        <v>0</v>
      </c>
      <c r="AI453" s="200">
        <f t="shared" si="14"/>
        <v>1</v>
      </c>
      <c r="AJ453" s="200">
        <f t="shared" si="2076"/>
        <v>0</v>
      </c>
      <c r="AK453" s="201">
        <f t="shared" ref="AK453:AS453" si="2272">countif($D453,"*"&amp;AK$2&amp;"*")</f>
        <v>0</v>
      </c>
      <c r="AL453" s="201">
        <f t="shared" si="2272"/>
        <v>0</v>
      </c>
      <c r="AM453" s="201">
        <f t="shared" si="2272"/>
        <v>0</v>
      </c>
      <c r="AN453" s="201">
        <f t="shared" si="2272"/>
        <v>0</v>
      </c>
      <c r="AO453" s="201">
        <f t="shared" si="2272"/>
        <v>0</v>
      </c>
      <c r="AP453" s="201">
        <f t="shared" si="2272"/>
        <v>0</v>
      </c>
      <c r="AQ453" s="201">
        <f t="shared" si="2272"/>
        <v>0</v>
      </c>
      <c r="AR453" s="200">
        <f t="shared" si="2272"/>
        <v>0</v>
      </c>
      <c r="AS453" s="200">
        <f t="shared" si="2272"/>
        <v>0</v>
      </c>
      <c r="AT453" s="173">
        <v>0.0</v>
      </c>
      <c r="AU453" s="200">
        <f t="shared" ref="AU453:AX453" si="2273">countif($D453,"*"&amp;AU$2&amp;"*")</f>
        <v>0</v>
      </c>
      <c r="AV453" s="200">
        <f t="shared" si="2273"/>
        <v>0</v>
      </c>
      <c r="AW453" s="200">
        <f t="shared" si="2273"/>
        <v>0</v>
      </c>
      <c r="AX453" s="200">
        <f t="shared" si="2273"/>
        <v>1</v>
      </c>
      <c r="AY453" s="202">
        <v>0.0</v>
      </c>
      <c r="AZ453" s="200"/>
      <c r="BA453" s="171" t="str">
        <f t="shared" si="18"/>
        <v>Archival</v>
      </c>
      <c r="BB453" s="171" t="str">
        <f t="shared" si="19"/>
        <v/>
      </c>
      <c r="BC453" s="171" t="str">
        <f t="shared" si="20"/>
        <v/>
      </c>
      <c r="BD453" s="171" t="str">
        <f t="shared" si="21"/>
        <v/>
      </c>
      <c r="BE453" s="171" t="str">
        <f t="shared" si="22"/>
        <v/>
      </c>
      <c r="BF453" s="171" t="str">
        <f t="shared" si="23"/>
        <v>Archival</v>
      </c>
    </row>
    <row r="454">
      <c r="A454" s="171">
        <f t="array" ref="A454">XLOOKUP(C454,ICSE!A:A,ICSE!C:C,,2,1)</f>
        <v>2020</v>
      </c>
      <c r="B454" s="171" t="s">
        <v>5675</v>
      </c>
      <c r="C454" s="160">
        <v>791.0</v>
      </c>
      <c r="D454" s="161" t="s">
        <v>5890</v>
      </c>
      <c r="E454" s="197" t="str">
        <f t="array" ref="E454">XLOOKUP(C454,ICSE!A:A,ICSE!Z:Z,,0,1)</f>
        <v>Publicly available (3)</v>
      </c>
      <c r="F454" s="198" t="s">
        <v>20</v>
      </c>
      <c r="G454" s="163" t="str">
        <f t="array" ref="G454">IF(B454="ICSE",IF(COUNTIFS(B:B,B454,C:C,C454)=XLOOKUP(C454,ICSE!A:A,ICSE!AA:AA,"ERROR",0,1),"OK","ERROR"),IF(B454="FSE",IF(COUNTIFS(B:B,B454,C:C,C454)=XLOOKUP(C454,FSE!A:A,FSE!AA:AA,"ERROR",0,1),"OK","ERROR")))</f>
        <v>OK</v>
      </c>
      <c r="H454" s="199">
        <f t="shared" ref="H454:O454" si="2274">countif($D454,"*"&amp;H$2&amp;"*")</f>
        <v>0</v>
      </c>
      <c r="I454" s="200">
        <f t="shared" si="2274"/>
        <v>0</v>
      </c>
      <c r="J454" s="200">
        <f t="shared" si="2274"/>
        <v>0</v>
      </c>
      <c r="K454" s="200">
        <f t="shared" si="2274"/>
        <v>0</v>
      </c>
      <c r="L454" s="200">
        <f t="shared" si="2274"/>
        <v>0</v>
      </c>
      <c r="M454" s="200">
        <f t="shared" si="2274"/>
        <v>0</v>
      </c>
      <c r="N454" s="200">
        <f t="shared" si="2274"/>
        <v>0</v>
      </c>
      <c r="O454" s="200">
        <f t="shared" si="2274"/>
        <v>0</v>
      </c>
      <c r="P454" s="200">
        <f t="shared" si="9"/>
        <v>1</v>
      </c>
      <c r="Q454" s="200">
        <f t="shared" ref="Q454:AC454" si="2275">countif($D454,"*"&amp;Q$2&amp;"*")</f>
        <v>0</v>
      </c>
      <c r="R454" s="200">
        <f t="shared" si="2275"/>
        <v>0</v>
      </c>
      <c r="S454" s="200">
        <f t="shared" si="2275"/>
        <v>0</v>
      </c>
      <c r="T454" s="200">
        <f t="shared" si="2275"/>
        <v>0</v>
      </c>
      <c r="U454" s="200">
        <f t="shared" si="2275"/>
        <v>0</v>
      </c>
      <c r="V454" s="200">
        <f t="shared" si="2275"/>
        <v>0</v>
      </c>
      <c r="W454" s="200">
        <f t="shared" si="2275"/>
        <v>0</v>
      </c>
      <c r="X454" s="200">
        <f t="shared" si="2275"/>
        <v>0</v>
      </c>
      <c r="Y454" s="200">
        <f t="shared" si="2275"/>
        <v>0</v>
      </c>
      <c r="Z454" s="200">
        <f t="shared" si="2275"/>
        <v>0</v>
      </c>
      <c r="AA454" s="200">
        <f t="shared" si="2275"/>
        <v>0</v>
      </c>
      <c r="AB454" s="200">
        <f t="shared" si="2275"/>
        <v>0</v>
      </c>
      <c r="AC454" s="200">
        <f t="shared" si="2275"/>
        <v>0</v>
      </c>
      <c r="AD454" s="200">
        <f t="shared" si="11"/>
        <v>0</v>
      </c>
      <c r="AE454" s="200">
        <f t="shared" ref="AE454:AG454" si="2276">countif($D454,"*"&amp;AE$2&amp;"*")</f>
        <v>0</v>
      </c>
      <c r="AF454" s="200">
        <f t="shared" si="2276"/>
        <v>0</v>
      </c>
      <c r="AG454" s="200">
        <f t="shared" si="2276"/>
        <v>0</v>
      </c>
      <c r="AH454" s="171">
        <f t="shared" si="13"/>
        <v>0</v>
      </c>
      <c r="AI454" s="200">
        <f t="shared" si="14"/>
        <v>0</v>
      </c>
      <c r="AJ454" s="200">
        <f t="shared" si="2076"/>
        <v>0</v>
      </c>
      <c r="AK454" s="201">
        <f t="shared" ref="AK454:AS454" si="2277">countif($D454,"*"&amp;AK$2&amp;"*")</f>
        <v>0</v>
      </c>
      <c r="AL454" s="201">
        <f t="shared" si="2277"/>
        <v>0</v>
      </c>
      <c r="AM454" s="201">
        <f t="shared" si="2277"/>
        <v>0</v>
      </c>
      <c r="AN454" s="201">
        <f t="shared" si="2277"/>
        <v>0</v>
      </c>
      <c r="AO454" s="201">
        <f t="shared" si="2277"/>
        <v>0</v>
      </c>
      <c r="AP454" s="201">
        <f t="shared" si="2277"/>
        <v>0</v>
      </c>
      <c r="AQ454" s="201">
        <f t="shared" si="2277"/>
        <v>0</v>
      </c>
      <c r="AR454" s="200">
        <f t="shared" si="2277"/>
        <v>0</v>
      </c>
      <c r="AS454" s="200">
        <f t="shared" si="2277"/>
        <v>0</v>
      </c>
      <c r="AT454" s="173">
        <v>0.0</v>
      </c>
      <c r="AU454" s="200">
        <f t="shared" ref="AU454:AX454" si="2278">countif($D454,"*"&amp;AU$2&amp;"*")</f>
        <v>0</v>
      </c>
      <c r="AV454" s="200">
        <f t="shared" si="2278"/>
        <v>1</v>
      </c>
      <c r="AW454" s="200">
        <f t="shared" si="2278"/>
        <v>0</v>
      </c>
      <c r="AX454" s="200">
        <f t="shared" si="2278"/>
        <v>0</v>
      </c>
      <c r="AY454" s="202">
        <v>0.0</v>
      </c>
      <c r="AZ454" s="200"/>
      <c r="BA454" s="171" t="str">
        <f t="shared" si="18"/>
        <v/>
      </c>
      <c r="BB454" s="171" t="str">
        <f t="shared" si="19"/>
        <v>Code</v>
      </c>
      <c r="BC454" s="171" t="str">
        <f t="shared" si="20"/>
        <v/>
      </c>
      <c r="BD454" s="171" t="str">
        <f t="shared" si="21"/>
        <v/>
      </c>
      <c r="BE454" s="171" t="str">
        <f t="shared" si="22"/>
        <v/>
      </c>
      <c r="BF454" s="171" t="str">
        <f t="shared" si="23"/>
        <v>Code</v>
      </c>
    </row>
    <row r="455">
      <c r="A455" s="171">
        <f t="array" ref="A455">XLOOKUP(C455,ICSE!A:A,ICSE!C:C,,2,1)</f>
        <v>2020</v>
      </c>
      <c r="B455" s="171" t="s">
        <v>5675</v>
      </c>
      <c r="C455" s="160">
        <v>791.0</v>
      </c>
      <c r="D455" s="161" t="s">
        <v>5891</v>
      </c>
      <c r="E455" s="197" t="str">
        <f t="array" ref="E455">XLOOKUP(C455,ICSE!A:A,ICSE!Z:Z,,0,1)</f>
        <v>Publicly available (3)</v>
      </c>
      <c r="F455" s="198" t="s">
        <v>20</v>
      </c>
      <c r="G455" s="163" t="str">
        <f t="array" ref="G455">IF(B455="ICSE",IF(COUNTIFS(B:B,B455,C:C,C455)=XLOOKUP(C455,ICSE!A:A,ICSE!AA:AA,"ERROR",0,1),"OK","ERROR"),IF(B455="FSE",IF(COUNTIFS(B:B,B455,C:C,C455)=XLOOKUP(C455,FSE!A:A,FSE!AA:AA,"ERROR",0,1),"OK","ERROR")))</f>
        <v>OK</v>
      </c>
      <c r="H455" s="199">
        <f t="shared" ref="H455:O455" si="2279">countif($D455,"*"&amp;H$2&amp;"*")</f>
        <v>0</v>
      </c>
      <c r="I455" s="200">
        <f t="shared" si="2279"/>
        <v>0</v>
      </c>
      <c r="J455" s="200">
        <f t="shared" si="2279"/>
        <v>0</v>
      </c>
      <c r="K455" s="200">
        <f t="shared" si="2279"/>
        <v>0</v>
      </c>
      <c r="L455" s="200">
        <f t="shared" si="2279"/>
        <v>0</v>
      </c>
      <c r="M455" s="200">
        <f t="shared" si="2279"/>
        <v>0</v>
      </c>
      <c r="N455" s="200">
        <f t="shared" si="2279"/>
        <v>0</v>
      </c>
      <c r="O455" s="200">
        <f t="shared" si="2279"/>
        <v>0</v>
      </c>
      <c r="P455" s="200">
        <f t="shared" si="9"/>
        <v>1</v>
      </c>
      <c r="Q455" s="200">
        <f t="shared" ref="Q455:AC455" si="2280">countif($D455,"*"&amp;Q$2&amp;"*")</f>
        <v>0</v>
      </c>
      <c r="R455" s="200">
        <f t="shared" si="2280"/>
        <v>0</v>
      </c>
      <c r="S455" s="200">
        <f t="shared" si="2280"/>
        <v>0</v>
      </c>
      <c r="T455" s="200">
        <f t="shared" si="2280"/>
        <v>0</v>
      </c>
      <c r="U455" s="200">
        <f t="shared" si="2280"/>
        <v>0</v>
      </c>
      <c r="V455" s="200">
        <f t="shared" si="2280"/>
        <v>0</v>
      </c>
      <c r="W455" s="200">
        <f t="shared" si="2280"/>
        <v>0</v>
      </c>
      <c r="X455" s="200">
        <f t="shared" si="2280"/>
        <v>0</v>
      </c>
      <c r="Y455" s="200">
        <f t="shared" si="2280"/>
        <v>0</v>
      </c>
      <c r="Z455" s="200">
        <f t="shared" si="2280"/>
        <v>0</v>
      </c>
      <c r="AA455" s="200">
        <f t="shared" si="2280"/>
        <v>0</v>
      </c>
      <c r="AB455" s="200">
        <f t="shared" si="2280"/>
        <v>0</v>
      </c>
      <c r="AC455" s="200">
        <f t="shared" si="2280"/>
        <v>0</v>
      </c>
      <c r="AD455" s="200">
        <f t="shared" si="11"/>
        <v>0</v>
      </c>
      <c r="AE455" s="200">
        <f t="shared" ref="AE455:AG455" si="2281">countif($D455,"*"&amp;AE$2&amp;"*")</f>
        <v>0</v>
      </c>
      <c r="AF455" s="200">
        <f t="shared" si="2281"/>
        <v>0</v>
      </c>
      <c r="AG455" s="200">
        <f t="shared" si="2281"/>
        <v>0</v>
      </c>
      <c r="AH455" s="171">
        <f t="shared" si="13"/>
        <v>0</v>
      </c>
      <c r="AI455" s="200">
        <f t="shared" si="14"/>
        <v>0</v>
      </c>
      <c r="AJ455" s="200">
        <f t="shared" si="2076"/>
        <v>0</v>
      </c>
      <c r="AK455" s="201">
        <f t="shared" ref="AK455:AS455" si="2282">countif($D455,"*"&amp;AK$2&amp;"*")</f>
        <v>0</v>
      </c>
      <c r="AL455" s="201">
        <f t="shared" si="2282"/>
        <v>0</v>
      </c>
      <c r="AM455" s="201">
        <f t="shared" si="2282"/>
        <v>0</v>
      </c>
      <c r="AN455" s="201">
        <f t="shared" si="2282"/>
        <v>0</v>
      </c>
      <c r="AO455" s="201">
        <f t="shared" si="2282"/>
        <v>0</v>
      </c>
      <c r="AP455" s="201">
        <f t="shared" si="2282"/>
        <v>0</v>
      </c>
      <c r="AQ455" s="201">
        <f t="shared" si="2282"/>
        <v>0</v>
      </c>
      <c r="AR455" s="200">
        <f t="shared" si="2282"/>
        <v>0</v>
      </c>
      <c r="AS455" s="200">
        <f t="shared" si="2282"/>
        <v>0</v>
      </c>
      <c r="AT455" s="173">
        <v>0.0</v>
      </c>
      <c r="AU455" s="200">
        <f t="shared" ref="AU455:AX455" si="2283">countif($D455,"*"&amp;AU$2&amp;"*")</f>
        <v>0</v>
      </c>
      <c r="AV455" s="200">
        <f t="shared" si="2283"/>
        <v>1</v>
      </c>
      <c r="AW455" s="200">
        <f t="shared" si="2283"/>
        <v>0</v>
      </c>
      <c r="AX455" s="200">
        <f t="shared" si="2283"/>
        <v>0</v>
      </c>
      <c r="AY455" s="202">
        <v>0.0</v>
      </c>
      <c r="AZ455" s="200"/>
      <c r="BA455" s="171" t="str">
        <f t="shared" si="18"/>
        <v/>
      </c>
      <c r="BB455" s="171" t="str">
        <f t="shared" si="19"/>
        <v>Code</v>
      </c>
      <c r="BC455" s="171" t="str">
        <f t="shared" si="20"/>
        <v/>
      </c>
      <c r="BD455" s="171" t="str">
        <f t="shared" si="21"/>
        <v/>
      </c>
      <c r="BE455" s="171" t="str">
        <f t="shared" si="22"/>
        <v/>
      </c>
      <c r="BF455" s="171" t="str">
        <f t="shared" si="23"/>
        <v>Code</v>
      </c>
    </row>
    <row r="456">
      <c r="A456" s="171">
        <f t="array" ref="A456">XLOOKUP(C456,ICSE!A:A,ICSE!C:C,,2,1)</f>
        <v>2020</v>
      </c>
      <c r="B456" s="171" t="s">
        <v>5675</v>
      </c>
      <c r="C456" s="160">
        <v>791.0</v>
      </c>
      <c r="D456" s="161" t="s">
        <v>5892</v>
      </c>
      <c r="E456" s="197" t="str">
        <f t="array" ref="E456">XLOOKUP(C456,ICSE!A:A,ICSE!Z:Z,,0,1)</f>
        <v>Publicly available (3)</v>
      </c>
      <c r="F456" s="198" t="s">
        <v>20</v>
      </c>
      <c r="G456" s="163" t="str">
        <f t="array" ref="G456">IF(B456="ICSE",IF(COUNTIFS(B:B,B456,C:C,C456)=XLOOKUP(C456,ICSE!A:A,ICSE!AA:AA,"ERROR",0,1),"OK","ERROR"),IF(B456="FSE",IF(COUNTIFS(B:B,B456,C:C,C456)=XLOOKUP(C456,FSE!A:A,FSE!AA:AA,"ERROR",0,1),"OK","ERROR")))</f>
        <v>OK</v>
      </c>
      <c r="H456" s="199">
        <f t="shared" ref="H456:O456" si="2284">countif($D456,"*"&amp;H$2&amp;"*")</f>
        <v>0</v>
      </c>
      <c r="I456" s="200">
        <f t="shared" si="2284"/>
        <v>0</v>
      </c>
      <c r="J456" s="200">
        <f t="shared" si="2284"/>
        <v>0</v>
      </c>
      <c r="K456" s="200">
        <f t="shared" si="2284"/>
        <v>0</v>
      </c>
      <c r="L456" s="200">
        <f t="shared" si="2284"/>
        <v>0</v>
      </c>
      <c r="M456" s="200">
        <f t="shared" si="2284"/>
        <v>0</v>
      </c>
      <c r="N456" s="200">
        <f t="shared" si="2284"/>
        <v>0</v>
      </c>
      <c r="O456" s="200">
        <f t="shared" si="2284"/>
        <v>0</v>
      </c>
      <c r="P456" s="200">
        <f t="shared" si="9"/>
        <v>1</v>
      </c>
      <c r="Q456" s="200">
        <f t="shared" ref="Q456:AC456" si="2285">countif($D456,"*"&amp;Q$2&amp;"*")</f>
        <v>0</v>
      </c>
      <c r="R456" s="200">
        <f t="shared" si="2285"/>
        <v>0</v>
      </c>
      <c r="S456" s="200">
        <f t="shared" si="2285"/>
        <v>0</v>
      </c>
      <c r="T456" s="200">
        <f t="shared" si="2285"/>
        <v>0</v>
      </c>
      <c r="U456" s="200">
        <f t="shared" si="2285"/>
        <v>0</v>
      </c>
      <c r="V456" s="200">
        <f t="shared" si="2285"/>
        <v>0</v>
      </c>
      <c r="W456" s="200">
        <f t="shared" si="2285"/>
        <v>0</v>
      </c>
      <c r="X456" s="200">
        <f t="shared" si="2285"/>
        <v>0</v>
      </c>
      <c r="Y456" s="200">
        <f t="shared" si="2285"/>
        <v>0</v>
      </c>
      <c r="Z456" s="200">
        <f t="shared" si="2285"/>
        <v>0</v>
      </c>
      <c r="AA456" s="200">
        <f t="shared" si="2285"/>
        <v>0</v>
      </c>
      <c r="AB456" s="200">
        <f t="shared" si="2285"/>
        <v>0</v>
      </c>
      <c r="AC456" s="200">
        <f t="shared" si="2285"/>
        <v>0</v>
      </c>
      <c r="AD456" s="200">
        <f t="shared" si="11"/>
        <v>0</v>
      </c>
      <c r="AE456" s="200">
        <f t="shared" ref="AE456:AG456" si="2286">countif($D456,"*"&amp;AE$2&amp;"*")</f>
        <v>0</v>
      </c>
      <c r="AF456" s="200">
        <f t="shared" si="2286"/>
        <v>0</v>
      </c>
      <c r="AG456" s="200">
        <f t="shared" si="2286"/>
        <v>0</v>
      </c>
      <c r="AH456" s="171">
        <f t="shared" si="13"/>
        <v>0</v>
      </c>
      <c r="AI456" s="200">
        <f t="shared" si="14"/>
        <v>0</v>
      </c>
      <c r="AJ456" s="200">
        <f t="shared" si="2076"/>
        <v>0</v>
      </c>
      <c r="AK456" s="201">
        <f t="shared" ref="AK456:AS456" si="2287">countif($D456,"*"&amp;AK$2&amp;"*")</f>
        <v>0</v>
      </c>
      <c r="AL456" s="201">
        <f t="shared" si="2287"/>
        <v>0</v>
      </c>
      <c r="AM456" s="201">
        <f t="shared" si="2287"/>
        <v>0</v>
      </c>
      <c r="AN456" s="201">
        <f t="shared" si="2287"/>
        <v>0</v>
      </c>
      <c r="AO456" s="201">
        <f t="shared" si="2287"/>
        <v>0</v>
      </c>
      <c r="AP456" s="201">
        <f t="shared" si="2287"/>
        <v>0</v>
      </c>
      <c r="AQ456" s="201">
        <f t="shared" si="2287"/>
        <v>0</v>
      </c>
      <c r="AR456" s="200">
        <f t="shared" si="2287"/>
        <v>0</v>
      </c>
      <c r="AS456" s="200">
        <f t="shared" si="2287"/>
        <v>0</v>
      </c>
      <c r="AT456" s="173">
        <v>0.0</v>
      </c>
      <c r="AU456" s="200">
        <f t="shared" ref="AU456:AX456" si="2288">countif($D456,"*"&amp;AU$2&amp;"*")</f>
        <v>0</v>
      </c>
      <c r="AV456" s="200">
        <f t="shared" si="2288"/>
        <v>1</v>
      </c>
      <c r="AW456" s="200">
        <f t="shared" si="2288"/>
        <v>0</v>
      </c>
      <c r="AX456" s="200">
        <f t="shared" si="2288"/>
        <v>0</v>
      </c>
      <c r="AY456" s="202">
        <v>0.0</v>
      </c>
      <c r="AZ456" s="200"/>
      <c r="BA456" s="171" t="str">
        <f t="shared" si="18"/>
        <v/>
      </c>
      <c r="BB456" s="171" t="str">
        <f t="shared" si="19"/>
        <v>Code</v>
      </c>
      <c r="BC456" s="171" t="str">
        <f t="shared" si="20"/>
        <v/>
      </c>
      <c r="BD456" s="171" t="str">
        <f t="shared" si="21"/>
        <v/>
      </c>
      <c r="BE456" s="171" t="str">
        <f t="shared" si="22"/>
        <v/>
      </c>
      <c r="BF456" s="171" t="str">
        <f t="shared" si="23"/>
        <v>Code</v>
      </c>
    </row>
    <row r="457">
      <c r="A457" s="171">
        <f t="array" ref="A457">XLOOKUP(C457,ICSE!A:A,ICSE!C:C,,2,1)</f>
        <v>2020</v>
      </c>
      <c r="B457" s="171" t="s">
        <v>5675</v>
      </c>
      <c r="C457" s="160">
        <v>792.0</v>
      </c>
      <c r="D457" s="161" t="s">
        <v>1760</v>
      </c>
      <c r="E457" s="197" t="str">
        <f t="array" ref="E457">XLOOKUP(C457,ICSE!A:A,ICSE!Z:Z,,0,1)</f>
        <v>Publicly available (1)</v>
      </c>
      <c r="F457" s="198" t="s">
        <v>20</v>
      </c>
      <c r="G457" s="163" t="str">
        <f t="array" ref="G457">IF(B457="ICSE",IF(COUNTIFS(B:B,B457,C:C,C457)=XLOOKUP(C457,ICSE!A:A,ICSE!AA:AA,"ERROR",0,1),"OK","ERROR"),IF(B457="FSE",IF(COUNTIFS(B:B,B457,C:C,C457)=XLOOKUP(C457,FSE!A:A,FSE!AA:AA,"ERROR",0,1),"OK","ERROR")))</f>
        <v>OK</v>
      </c>
      <c r="H457" s="199">
        <f t="shared" ref="H457:O457" si="2289">countif($D457,"*"&amp;H$2&amp;"*")</f>
        <v>0</v>
      </c>
      <c r="I457" s="200">
        <f t="shared" si="2289"/>
        <v>0</v>
      </c>
      <c r="J457" s="200">
        <f t="shared" si="2289"/>
        <v>0</v>
      </c>
      <c r="K457" s="200">
        <f t="shared" si="2289"/>
        <v>0</v>
      </c>
      <c r="L457" s="200">
        <f t="shared" si="2289"/>
        <v>0</v>
      </c>
      <c r="M457" s="200">
        <f t="shared" si="2289"/>
        <v>0</v>
      </c>
      <c r="N457" s="200">
        <f t="shared" si="2289"/>
        <v>0</v>
      </c>
      <c r="O457" s="200">
        <f t="shared" si="2289"/>
        <v>0</v>
      </c>
      <c r="P457" s="200">
        <f t="shared" si="9"/>
        <v>1</v>
      </c>
      <c r="Q457" s="200">
        <f t="shared" ref="Q457:AC457" si="2290">countif($D457,"*"&amp;Q$2&amp;"*")</f>
        <v>0</v>
      </c>
      <c r="R457" s="200">
        <f t="shared" si="2290"/>
        <v>0</v>
      </c>
      <c r="S457" s="200">
        <f t="shared" si="2290"/>
        <v>0</v>
      </c>
      <c r="T457" s="200">
        <f t="shared" si="2290"/>
        <v>0</v>
      </c>
      <c r="U457" s="200">
        <f t="shared" si="2290"/>
        <v>0</v>
      </c>
      <c r="V457" s="200">
        <f t="shared" si="2290"/>
        <v>0</v>
      </c>
      <c r="W457" s="200">
        <f t="shared" si="2290"/>
        <v>0</v>
      </c>
      <c r="X457" s="200">
        <f t="shared" si="2290"/>
        <v>0</v>
      </c>
      <c r="Y457" s="200">
        <f t="shared" si="2290"/>
        <v>0</v>
      </c>
      <c r="Z457" s="200">
        <f t="shared" si="2290"/>
        <v>0</v>
      </c>
      <c r="AA457" s="200">
        <f t="shared" si="2290"/>
        <v>0</v>
      </c>
      <c r="AB457" s="200">
        <f t="shared" si="2290"/>
        <v>0</v>
      </c>
      <c r="AC457" s="200">
        <f t="shared" si="2290"/>
        <v>0</v>
      </c>
      <c r="AD457" s="200">
        <f t="shared" si="11"/>
        <v>0</v>
      </c>
      <c r="AE457" s="200">
        <f t="shared" ref="AE457:AG457" si="2291">countif($D457,"*"&amp;AE$2&amp;"*")</f>
        <v>0</v>
      </c>
      <c r="AF457" s="200">
        <f t="shared" si="2291"/>
        <v>0</v>
      </c>
      <c r="AG457" s="200">
        <f t="shared" si="2291"/>
        <v>0</v>
      </c>
      <c r="AH457" s="171">
        <f t="shared" si="13"/>
        <v>0</v>
      </c>
      <c r="AI457" s="200">
        <f t="shared" si="14"/>
        <v>0</v>
      </c>
      <c r="AJ457" s="200">
        <f t="shared" si="2076"/>
        <v>0</v>
      </c>
      <c r="AK457" s="201">
        <f t="shared" ref="AK457:AS457" si="2292">countif($D457,"*"&amp;AK$2&amp;"*")</f>
        <v>0</v>
      </c>
      <c r="AL457" s="201">
        <f t="shared" si="2292"/>
        <v>0</v>
      </c>
      <c r="AM457" s="201">
        <f t="shared" si="2292"/>
        <v>0</v>
      </c>
      <c r="AN457" s="201">
        <f t="shared" si="2292"/>
        <v>0</v>
      </c>
      <c r="AO457" s="201">
        <f t="shared" si="2292"/>
        <v>0</v>
      </c>
      <c r="AP457" s="201">
        <f t="shared" si="2292"/>
        <v>0</v>
      </c>
      <c r="AQ457" s="201">
        <f t="shared" si="2292"/>
        <v>0</v>
      </c>
      <c r="AR457" s="200">
        <f t="shared" si="2292"/>
        <v>0</v>
      </c>
      <c r="AS457" s="200">
        <f t="shared" si="2292"/>
        <v>0</v>
      </c>
      <c r="AT457" s="173">
        <v>0.0</v>
      </c>
      <c r="AU457" s="200">
        <f t="shared" ref="AU457:AX457" si="2293">countif($D457,"*"&amp;AU$2&amp;"*")</f>
        <v>0</v>
      </c>
      <c r="AV457" s="200">
        <f t="shared" si="2293"/>
        <v>1</v>
      </c>
      <c r="AW457" s="200">
        <f t="shared" si="2293"/>
        <v>0</v>
      </c>
      <c r="AX457" s="200">
        <f t="shared" si="2293"/>
        <v>0</v>
      </c>
      <c r="AY457" s="202">
        <v>0.0</v>
      </c>
      <c r="AZ457" s="200"/>
      <c r="BA457" s="171" t="str">
        <f t="shared" si="18"/>
        <v/>
      </c>
      <c r="BB457" s="171" t="str">
        <f t="shared" si="19"/>
        <v>Code</v>
      </c>
      <c r="BC457" s="171" t="str">
        <f t="shared" si="20"/>
        <v/>
      </c>
      <c r="BD457" s="171" t="str">
        <f t="shared" si="21"/>
        <v/>
      </c>
      <c r="BE457" s="171" t="str">
        <f t="shared" si="22"/>
        <v/>
      </c>
      <c r="BF457" s="171" t="str">
        <f t="shared" si="23"/>
        <v>Code</v>
      </c>
    </row>
    <row r="458">
      <c r="A458" s="171">
        <f t="array" ref="A458">XLOOKUP(C458,ICSE!A:A,ICSE!C:C,,2,1)</f>
        <v>2020</v>
      </c>
      <c r="B458" s="171" t="s">
        <v>5675</v>
      </c>
      <c r="C458" s="160">
        <v>793.0</v>
      </c>
      <c r="D458" s="161" t="s">
        <v>1763</v>
      </c>
      <c r="E458" s="197" t="str">
        <f t="array" ref="E458">XLOOKUP(C458,ICSE!A:A,ICSE!Z:Z,,0,1)</f>
        <v>Publicly available (1)</v>
      </c>
      <c r="F458" s="198" t="s">
        <v>20</v>
      </c>
      <c r="G458" s="163" t="str">
        <f t="array" ref="G458">IF(B458="ICSE",IF(COUNTIFS(B:B,B458,C:C,C458)=XLOOKUP(C458,ICSE!A:A,ICSE!AA:AA,"ERROR",0,1),"OK","ERROR"),IF(B458="FSE",IF(COUNTIFS(B:B,B458,C:C,C458)=XLOOKUP(C458,FSE!A:A,FSE!AA:AA,"ERROR",0,1),"OK","ERROR")))</f>
        <v>OK</v>
      </c>
      <c r="H458" s="199">
        <f t="shared" ref="H458:O458" si="2294">countif($D458,"*"&amp;H$2&amp;"*")</f>
        <v>0</v>
      </c>
      <c r="I458" s="200">
        <f t="shared" si="2294"/>
        <v>0</v>
      </c>
      <c r="J458" s="200">
        <f t="shared" si="2294"/>
        <v>0</v>
      </c>
      <c r="K458" s="200">
        <f t="shared" si="2294"/>
        <v>0</v>
      </c>
      <c r="L458" s="200">
        <f t="shared" si="2294"/>
        <v>0</v>
      </c>
      <c r="M458" s="200">
        <f t="shared" si="2294"/>
        <v>0</v>
      </c>
      <c r="N458" s="200">
        <f t="shared" si="2294"/>
        <v>0</v>
      </c>
      <c r="O458" s="200">
        <f t="shared" si="2294"/>
        <v>0</v>
      </c>
      <c r="P458" s="200">
        <f t="shared" si="9"/>
        <v>1</v>
      </c>
      <c r="Q458" s="200">
        <f t="shared" ref="Q458:AC458" si="2295">countif($D458,"*"&amp;Q$2&amp;"*")</f>
        <v>0</v>
      </c>
      <c r="R458" s="200">
        <f t="shared" si="2295"/>
        <v>0</v>
      </c>
      <c r="S458" s="200">
        <f t="shared" si="2295"/>
        <v>0</v>
      </c>
      <c r="T458" s="200">
        <f t="shared" si="2295"/>
        <v>0</v>
      </c>
      <c r="U458" s="200">
        <f t="shared" si="2295"/>
        <v>0</v>
      </c>
      <c r="V458" s="200">
        <f t="shared" si="2295"/>
        <v>0</v>
      </c>
      <c r="W458" s="200">
        <f t="shared" si="2295"/>
        <v>0</v>
      </c>
      <c r="X458" s="200">
        <f t="shared" si="2295"/>
        <v>0</v>
      </c>
      <c r="Y458" s="200">
        <f t="shared" si="2295"/>
        <v>0</v>
      </c>
      <c r="Z458" s="200">
        <f t="shared" si="2295"/>
        <v>0</v>
      </c>
      <c r="AA458" s="200">
        <f t="shared" si="2295"/>
        <v>0</v>
      </c>
      <c r="AB458" s="200">
        <f t="shared" si="2295"/>
        <v>0</v>
      </c>
      <c r="AC458" s="200">
        <f t="shared" si="2295"/>
        <v>0</v>
      </c>
      <c r="AD458" s="200">
        <f t="shared" si="11"/>
        <v>0</v>
      </c>
      <c r="AE458" s="200">
        <f t="shared" ref="AE458:AG458" si="2296">countif($D458,"*"&amp;AE$2&amp;"*")</f>
        <v>0</v>
      </c>
      <c r="AF458" s="200">
        <f t="shared" si="2296"/>
        <v>0</v>
      </c>
      <c r="AG458" s="200">
        <f t="shared" si="2296"/>
        <v>0</v>
      </c>
      <c r="AH458" s="171">
        <f t="shared" si="13"/>
        <v>0</v>
      </c>
      <c r="AI458" s="200">
        <f t="shared" si="14"/>
        <v>0</v>
      </c>
      <c r="AJ458" s="200">
        <f t="shared" si="2076"/>
        <v>0</v>
      </c>
      <c r="AK458" s="201">
        <f t="shared" ref="AK458:AS458" si="2297">countif($D458,"*"&amp;AK$2&amp;"*")</f>
        <v>0</v>
      </c>
      <c r="AL458" s="201">
        <f t="shared" si="2297"/>
        <v>0</v>
      </c>
      <c r="AM458" s="201">
        <f t="shared" si="2297"/>
        <v>0</v>
      </c>
      <c r="AN458" s="201">
        <f t="shared" si="2297"/>
        <v>0</v>
      </c>
      <c r="AO458" s="201">
        <f t="shared" si="2297"/>
        <v>0</v>
      </c>
      <c r="AP458" s="201">
        <f t="shared" si="2297"/>
        <v>0</v>
      </c>
      <c r="AQ458" s="201">
        <f t="shared" si="2297"/>
        <v>0</v>
      </c>
      <c r="AR458" s="200">
        <f t="shared" si="2297"/>
        <v>0</v>
      </c>
      <c r="AS458" s="200">
        <f t="shared" si="2297"/>
        <v>0</v>
      </c>
      <c r="AT458" s="173">
        <v>0.0</v>
      </c>
      <c r="AU458" s="200">
        <f t="shared" ref="AU458:AX458" si="2298">countif($D458,"*"&amp;AU$2&amp;"*")</f>
        <v>0</v>
      </c>
      <c r="AV458" s="200">
        <f t="shared" si="2298"/>
        <v>1</v>
      </c>
      <c r="AW458" s="200">
        <f t="shared" si="2298"/>
        <v>0</v>
      </c>
      <c r="AX458" s="200">
        <f t="shared" si="2298"/>
        <v>0</v>
      </c>
      <c r="AY458" s="202">
        <v>0.0</v>
      </c>
      <c r="AZ458" s="200"/>
      <c r="BA458" s="171" t="str">
        <f t="shared" si="18"/>
        <v/>
      </c>
      <c r="BB458" s="171" t="str">
        <f t="shared" si="19"/>
        <v>Code</v>
      </c>
      <c r="BC458" s="171" t="str">
        <f t="shared" si="20"/>
        <v/>
      </c>
      <c r="BD458" s="171" t="str">
        <f t="shared" si="21"/>
        <v/>
      </c>
      <c r="BE458" s="171" t="str">
        <f t="shared" si="22"/>
        <v/>
      </c>
      <c r="BF458" s="171" t="str">
        <f t="shared" si="23"/>
        <v>Code</v>
      </c>
    </row>
    <row r="459">
      <c r="A459" s="171">
        <f t="array" ref="A459">XLOOKUP(C459,ICSE!A:A,ICSE!C:C,,2,1)</f>
        <v>2020</v>
      </c>
      <c r="B459" s="171" t="s">
        <v>5675</v>
      </c>
      <c r="C459" s="160">
        <v>794.0</v>
      </c>
      <c r="D459" s="161" t="s">
        <v>1766</v>
      </c>
      <c r="E459" s="197" t="str">
        <f t="array" ref="E459">XLOOKUP(C459,ICSE!A:A,ICSE!Z:Z,,0,1)</f>
        <v>Publicly available (1)</v>
      </c>
      <c r="F459" s="198" t="s">
        <v>20</v>
      </c>
      <c r="G459" s="163" t="str">
        <f t="array" ref="G459">IF(B459="ICSE",IF(COUNTIFS(B:B,B459,C:C,C459)=XLOOKUP(C459,ICSE!A:A,ICSE!AA:AA,"ERROR",0,1),"OK","ERROR"),IF(B459="FSE",IF(COUNTIFS(B:B,B459,C:C,C459)=XLOOKUP(C459,FSE!A:A,FSE!AA:AA,"ERROR",0,1),"OK","ERROR")))</f>
        <v>OK</v>
      </c>
      <c r="H459" s="199">
        <f t="shared" ref="H459:O459" si="2299">countif($D459,"*"&amp;H$2&amp;"*")</f>
        <v>0</v>
      </c>
      <c r="I459" s="200">
        <f t="shared" si="2299"/>
        <v>0</v>
      </c>
      <c r="J459" s="200">
        <f t="shared" si="2299"/>
        <v>0</v>
      </c>
      <c r="K459" s="200">
        <f t="shared" si="2299"/>
        <v>0</v>
      </c>
      <c r="L459" s="200">
        <f t="shared" si="2299"/>
        <v>0</v>
      </c>
      <c r="M459" s="200">
        <f t="shared" si="2299"/>
        <v>0</v>
      </c>
      <c r="N459" s="200">
        <f t="shared" si="2299"/>
        <v>1</v>
      </c>
      <c r="O459" s="200">
        <f t="shared" si="2299"/>
        <v>0</v>
      </c>
      <c r="P459" s="200">
        <f t="shared" si="9"/>
        <v>0</v>
      </c>
      <c r="Q459" s="200">
        <f t="shared" ref="Q459:AC459" si="2300">countif($D459,"*"&amp;Q$2&amp;"*")</f>
        <v>0</v>
      </c>
      <c r="R459" s="200">
        <f t="shared" si="2300"/>
        <v>0</v>
      </c>
      <c r="S459" s="200">
        <f t="shared" si="2300"/>
        <v>0</v>
      </c>
      <c r="T459" s="200">
        <f t="shared" si="2300"/>
        <v>0</v>
      </c>
      <c r="U459" s="200">
        <f t="shared" si="2300"/>
        <v>0</v>
      </c>
      <c r="V459" s="200">
        <f t="shared" si="2300"/>
        <v>0</v>
      </c>
      <c r="W459" s="200">
        <f t="shared" si="2300"/>
        <v>0</v>
      </c>
      <c r="X459" s="200">
        <f t="shared" si="2300"/>
        <v>0</v>
      </c>
      <c r="Y459" s="200">
        <f t="shared" si="2300"/>
        <v>0</v>
      </c>
      <c r="Z459" s="200">
        <f t="shared" si="2300"/>
        <v>0</v>
      </c>
      <c r="AA459" s="200">
        <f t="shared" si="2300"/>
        <v>0</v>
      </c>
      <c r="AB459" s="200">
        <f t="shared" si="2300"/>
        <v>0</v>
      </c>
      <c r="AC459" s="200">
        <f t="shared" si="2300"/>
        <v>0</v>
      </c>
      <c r="AD459" s="200">
        <f t="shared" si="11"/>
        <v>0</v>
      </c>
      <c r="AE459" s="200">
        <f t="shared" ref="AE459:AG459" si="2301">countif($D459,"*"&amp;AE$2&amp;"*")</f>
        <v>0</v>
      </c>
      <c r="AF459" s="200">
        <f t="shared" si="2301"/>
        <v>0</v>
      </c>
      <c r="AG459" s="200">
        <f t="shared" si="2301"/>
        <v>0</v>
      </c>
      <c r="AH459" s="171">
        <f t="shared" si="13"/>
        <v>0</v>
      </c>
      <c r="AI459" s="200">
        <f t="shared" si="14"/>
        <v>1</v>
      </c>
      <c r="AJ459" s="200">
        <f t="shared" si="2076"/>
        <v>0</v>
      </c>
      <c r="AK459" s="201">
        <f t="shared" ref="AK459:AS459" si="2302">countif($D459,"*"&amp;AK$2&amp;"*")</f>
        <v>0</v>
      </c>
      <c r="AL459" s="201">
        <f t="shared" si="2302"/>
        <v>0</v>
      </c>
      <c r="AM459" s="201">
        <f t="shared" si="2302"/>
        <v>0</v>
      </c>
      <c r="AN459" s="201">
        <f t="shared" si="2302"/>
        <v>0</v>
      </c>
      <c r="AO459" s="201">
        <f t="shared" si="2302"/>
        <v>0</v>
      </c>
      <c r="AP459" s="201">
        <f t="shared" si="2302"/>
        <v>0</v>
      </c>
      <c r="AQ459" s="201">
        <f t="shared" si="2302"/>
        <v>0</v>
      </c>
      <c r="AR459" s="200">
        <f t="shared" si="2302"/>
        <v>0</v>
      </c>
      <c r="AS459" s="200">
        <f t="shared" si="2302"/>
        <v>0</v>
      </c>
      <c r="AT459" s="173">
        <v>0.0</v>
      </c>
      <c r="AU459" s="200">
        <f t="shared" ref="AU459:AX459" si="2303">countif($D459,"*"&amp;AU$2&amp;"*")</f>
        <v>0</v>
      </c>
      <c r="AV459" s="200">
        <f t="shared" si="2303"/>
        <v>0</v>
      </c>
      <c r="AW459" s="200">
        <f t="shared" si="2303"/>
        <v>0</v>
      </c>
      <c r="AX459" s="200">
        <f t="shared" si="2303"/>
        <v>0</v>
      </c>
      <c r="AY459" s="204">
        <v>1.0</v>
      </c>
      <c r="AZ459" s="200"/>
      <c r="BA459" s="171" t="str">
        <f t="shared" si="18"/>
        <v>Archival</v>
      </c>
      <c r="BB459" s="171" t="str">
        <f t="shared" si="19"/>
        <v/>
      </c>
      <c r="BC459" s="171" t="str">
        <f t="shared" si="20"/>
        <v/>
      </c>
      <c r="BD459" s="171" t="str">
        <f t="shared" si="21"/>
        <v/>
      </c>
      <c r="BE459" s="171" t="str">
        <f t="shared" si="22"/>
        <v/>
      </c>
      <c r="BF459" s="171" t="str">
        <f t="shared" si="23"/>
        <v>Archival</v>
      </c>
    </row>
    <row r="460">
      <c r="A460" s="171">
        <f t="array" ref="A460">XLOOKUP(C460,ICSE!A:A,ICSE!C:C,,2,1)</f>
        <v>2020</v>
      </c>
      <c r="B460" s="171" t="s">
        <v>5675</v>
      </c>
      <c r="C460" s="160">
        <v>796.0</v>
      </c>
      <c r="D460" s="161" t="s">
        <v>5893</v>
      </c>
      <c r="E460" s="197" t="str">
        <f t="array" ref="E460">XLOOKUP(C460,ICSE!A:A,ICSE!Z:Z,,0,1)</f>
        <v>Publicly available (2)</v>
      </c>
      <c r="F460" s="198" t="s">
        <v>20</v>
      </c>
      <c r="G460" s="163" t="str">
        <f t="array" ref="G460">IF(B460="ICSE",IF(COUNTIFS(B:B,B460,C:C,C460)=XLOOKUP(C460,ICSE!A:A,ICSE!AA:AA,"ERROR",0,1),"OK","ERROR"),IF(B460="FSE",IF(COUNTIFS(B:B,B460,C:C,C460)=XLOOKUP(C460,FSE!A:A,FSE!AA:AA,"ERROR",0,1),"OK","ERROR")))</f>
        <v>OK</v>
      </c>
      <c r="H460" s="199">
        <f t="shared" ref="H460:O460" si="2304">countif($D460,"*"&amp;H$2&amp;"*")</f>
        <v>0</v>
      </c>
      <c r="I460" s="200">
        <f t="shared" si="2304"/>
        <v>0</v>
      </c>
      <c r="J460" s="200">
        <f t="shared" si="2304"/>
        <v>0</v>
      </c>
      <c r="K460" s="200">
        <f t="shared" si="2304"/>
        <v>0</v>
      </c>
      <c r="L460" s="200">
        <f t="shared" si="2304"/>
        <v>0</v>
      </c>
      <c r="M460" s="200">
        <f t="shared" si="2304"/>
        <v>0</v>
      </c>
      <c r="N460" s="200">
        <f t="shared" si="2304"/>
        <v>0</v>
      </c>
      <c r="O460" s="200">
        <f t="shared" si="2304"/>
        <v>0</v>
      </c>
      <c r="P460" s="200">
        <f t="shared" si="9"/>
        <v>1</v>
      </c>
      <c r="Q460" s="200">
        <f t="shared" ref="Q460:AC460" si="2305">countif($D460,"*"&amp;Q$2&amp;"*")</f>
        <v>0</v>
      </c>
      <c r="R460" s="200">
        <f t="shared" si="2305"/>
        <v>0</v>
      </c>
      <c r="S460" s="200">
        <f t="shared" si="2305"/>
        <v>0</v>
      </c>
      <c r="T460" s="200">
        <f t="shared" si="2305"/>
        <v>0</v>
      </c>
      <c r="U460" s="200">
        <f t="shared" si="2305"/>
        <v>0</v>
      </c>
      <c r="V460" s="200">
        <f t="shared" si="2305"/>
        <v>0</v>
      </c>
      <c r="W460" s="200">
        <f t="shared" si="2305"/>
        <v>0</v>
      </c>
      <c r="X460" s="200">
        <f t="shared" si="2305"/>
        <v>0</v>
      </c>
      <c r="Y460" s="200">
        <f t="shared" si="2305"/>
        <v>0</v>
      </c>
      <c r="Z460" s="200">
        <f t="shared" si="2305"/>
        <v>0</v>
      </c>
      <c r="AA460" s="200">
        <f t="shared" si="2305"/>
        <v>0</v>
      </c>
      <c r="AB460" s="200">
        <f t="shared" si="2305"/>
        <v>0</v>
      </c>
      <c r="AC460" s="200">
        <f t="shared" si="2305"/>
        <v>0</v>
      </c>
      <c r="AD460" s="200">
        <f t="shared" si="11"/>
        <v>0</v>
      </c>
      <c r="AE460" s="200">
        <f t="shared" ref="AE460:AG460" si="2306">countif($D460,"*"&amp;AE$2&amp;"*")</f>
        <v>0</v>
      </c>
      <c r="AF460" s="200">
        <f t="shared" si="2306"/>
        <v>0</v>
      </c>
      <c r="AG460" s="200">
        <f t="shared" si="2306"/>
        <v>0</v>
      </c>
      <c r="AH460" s="171">
        <f t="shared" si="13"/>
        <v>0</v>
      </c>
      <c r="AI460" s="200">
        <f t="shared" si="14"/>
        <v>0</v>
      </c>
      <c r="AJ460" s="200">
        <f t="shared" si="2076"/>
        <v>0</v>
      </c>
      <c r="AK460" s="201">
        <f t="shared" ref="AK460:AS460" si="2307">countif($D460,"*"&amp;AK$2&amp;"*")</f>
        <v>0</v>
      </c>
      <c r="AL460" s="201">
        <f t="shared" si="2307"/>
        <v>0</v>
      </c>
      <c r="AM460" s="201">
        <f t="shared" si="2307"/>
        <v>0</v>
      </c>
      <c r="AN460" s="201">
        <f t="shared" si="2307"/>
        <v>0</v>
      </c>
      <c r="AO460" s="201">
        <f t="shared" si="2307"/>
        <v>0</v>
      </c>
      <c r="AP460" s="201">
        <f t="shared" si="2307"/>
        <v>0</v>
      </c>
      <c r="AQ460" s="201">
        <f t="shared" si="2307"/>
        <v>0</v>
      </c>
      <c r="AR460" s="200">
        <f t="shared" si="2307"/>
        <v>0</v>
      </c>
      <c r="AS460" s="200">
        <f t="shared" si="2307"/>
        <v>0</v>
      </c>
      <c r="AT460" s="173">
        <v>0.0</v>
      </c>
      <c r="AU460" s="200">
        <f t="shared" ref="AU460:AX460" si="2308">countif($D460,"*"&amp;AU$2&amp;"*")</f>
        <v>0</v>
      </c>
      <c r="AV460" s="200">
        <f t="shared" si="2308"/>
        <v>1</v>
      </c>
      <c r="AW460" s="200">
        <f t="shared" si="2308"/>
        <v>0</v>
      </c>
      <c r="AX460" s="200">
        <f t="shared" si="2308"/>
        <v>0</v>
      </c>
      <c r="AY460" s="202">
        <v>0.0</v>
      </c>
      <c r="AZ460" s="200"/>
      <c r="BA460" s="171" t="str">
        <f t="shared" si="18"/>
        <v/>
      </c>
      <c r="BB460" s="171" t="str">
        <f t="shared" si="19"/>
        <v>Code</v>
      </c>
      <c r="BC460" s="171" t="str">
        <f t="shared" si="20"/>
        <v/>
      </c>
      <c r="BD460" s="171" t="str">
        <f t="shared" si="21"/>
        <v/>
      </c>
      <c r="BE460" s="171" t="str">
        <f t="shared" si="22"/>
        <v/>
      </c>
      <c r="BF460" s="171" t="str">
        <f t="shared" si="23"/>
        <v>Code</v>
      </c>
    </row>
    <row r="461">
      <c r="A461" s="171">
        <f t="array" ref="A461">XLOOKUP(C461,ICSE!A:A,ICSE!C:C,,2,1)</f>
        <v>2020</v>
      </c>
      <c r="B461" s="171" t="s">
        <v>5675</v>
      </c>
      <c r="C461" s="160">
        <v>796.0</v>
      </c>
      <c r="D461" s="161" t="s">
        <v>5894</v>
      </c>
      <c r="E461" s="197" t="str">
        <f t="array" ref="E461">XLOOKUP(C461,ICSE!A:A,ICSE!Z:Z,,0,1)</f>
        <v>Publicly available (2)</v>
      </c>
      <c r="F461" s="198" t="s">
        <v>20</v>
      </c>
      <c r="G461" s="163" t="str">
        <f t="array" ref="G461">IF(B461="ICSE",IF(COUNTIFS(B:B,B461,C:C,C461)=XLOOKUP(C461,ICSE!A:A,ICSE!AA:AA,"ERROR",0,1),"OK","ERROR"),IF(B461="FSE",IF(COUNTIFS(B:B,B461,C:C,C461)=XLOOKUP(C461,FSE!A:A,FSE!AA:AA,"ERROR",0,1),"OK","ERROR")))</f>
        <v>OK</v>
      </c>
      <c r="H461" s="199">
        <f t="shared" ref="H461:O461" si="2309">countif($D461,"*"&amp;H$2&amp;"*")</f>
        <v>0</v>
      </c>
      <c r="I461" s="200">
        <f t="shared" si="2309"/>
        <v>0</v>
      </c>
      <c r="J461" s="200">
        <f t="shared" si="2309"/>
        <v>1</v>
      </c>
      <c r="K461" s="200">
        <f t="shared" si="2309"/>
        <v>0</v>
      </c>
      <c r="L461" s="200">
        <f t="shared" si="2309"/>
        <v>0</v>
      </c>
      <c r="M461" s="200">
        <f t="shared" si="2309"/>
        <v>0</v>
      </c>
      <c r="N461" s="200">
        <f t="shared" si="2309"/>
        <v>0</v>
      </c>
      <c r="O461" s="200">
        <f t="shared" si="2309"/>
        <v>0</v>
      </c>
      <c r="P461" s="200">
        <f t="shared" si="9"/>
        <v>0</v>
      </c>
      <c r="Q461" s="200">
        <f t="shared" ref="Q461:AC461" si="2310">countif($D461,"*"&amp;Q$2&amp;"*")</f>
        <v>0</v>
      </c>
      <c r="R461" s="200">
        <f t="shared" si="2310"/>
        <v>0</v>
      </c>
      <c r="S461" s="200">
        <f t="shared" si="2310"/>
        <v>0</v>
      </c>
      <c r="T461" s="200">
        <f t="shared" si="2310"/>
        <v>0</v>
      </c>
      <c r="U461" s="200">
        <f t="shared" si="2310"/>
        <v>0</v>
      </c>
      <c r="V461" s="200">
        <f t="shared" si="2310"/>
        <v>0</v>
      </c>
      <c r="W461" s="200">
        <f t="shared" si="2310"/>
        <v>0</v>
      </c>
      <c r="X461" s="200">
        <f t="shared" si="2310"/>
        <v>0</v>
      </c>
      <c r="Y461" s="200">
        <f t="shared" si="2310"/>
        <v>0</v>
      </c>
      <c r="Z461" s="200">
        <f t="shared" si="2310"/>
        <v>0</v>
      </c>
      <c r="AA461" s="200">
        <f t="shared" si="2310"/>
        <v>0</v>
      </c>
      <c r="AB461" s="200">
        <f t="shared" si="2310"/>
        <v>0</v>
      </c>
      <c r="AC461" s="200">
        <f t="shared" si="2310"/>
        <v>0</v>
      </c>
      <c r="AD461" s="200">
        <f t="shared" si="11"/>
        <v>0</v>
      </c>
      <c r="AE461" s="200">
        <f t="shared" ref="AE461:AG461" si="2311">countif($D461,"*"&amp;AE$2&amp;"*")</f>
        <v>0</v>
      </c>
      <c r="AF461" s="200">
        <f t="shared" si="2311"/>
        <v>0</v>
      </c>
      <c r="AG461" s="200">
        <f t="shared" si="2311"/>
        <v>0</v>
      </c>
      <c r="AH461" s="171">
        <f t="shared" si="13"/>
        <v>0</v>
      </c>
      <c r="AI461" s="200">
        <f t="shared" si="14"/>
        <v>1</v>
      </c>
      <c r="AJ461" s="200">
        <f t="shared" si="2076"/>
        <v>0</v>
      </c>
      <c r="AK461" s="201">
        <f t="shared" ref="AK461:AS461" si="2312">countif($D461,"*"&amp;AK$2&amp;"*")</f>
        <v>0</v>
      </c>
      <c r="AL461" s="201">
        <f t="shared" si="2312"/>
        <v>0</v>
      </c>
      <c r="AM461" s="201">
        <f t="shared" si="2312"/>
        <v>0</v>
      </c>
      <c r="AN461" s="201">
        <f t="shared" si="2312"/>
        <v>0</v>
      </c>
      <c r="AO461" s="201">
        <f t="shared" si="2312"/>
        <v>0</v>
      </c>
      <c r="AP461" s="201">
        <f t="shared" si="2312"/>
        <v>0</v>
      </c>
      <c r="AQ461" s="201">
        <f t="shared" si="2312"/>
        <v>0</v>
      </c>
      <c r="AR461" s="200">
        <f t="shared" si="2312"/>
        <v>0</v>
      </c>
      <c r="AS461" s="200">
        <f t="shared" si="2312"/>
        <v>0</v>
      </c>
      <c r="AT461" s="173">
        <v>0.0</v>
      </c>
      <c r="AU461" s="200">
        <f t="shared" ref="AU461:AX461" si="2313">countif($D461,"*"&amp;AU$2&amp;"*")</f>
        <v>0</v>
      </c>
      <c r="AV461" s="200">
        <f t="shared" si="2313"/>
        <v>0</v>
      </c>
      <c r="AW461" s="200">
        <f t="shared" si="2313"/>
        <v>0</v>
      </c>
      <c r="AX461" s="200">
        <f t="shared" si="2313"/>
        <v>0</v>
      </c>
      <c r="AY461" s="204">
        <v>1.0</v>
      </c>
      <c r="AZ461" s="200"/>
      <c r="BA461" s="171" t="str">
        <f t="shared" si="18"/>
        <v>Archival</v>
      </c>
      <c r="BB461" s="171" t="str">
        <f t="shared" si="19"/>
        <v/>
      </c>
      <c r="BC461" s="171" t="str">
        <f t="shared" si="20"/>
        <v/>
      </c>
      <c r="BD461" s="171" t="str">
        <f t="shared" si="21"/>
        <v/>
      </c>
      <c r="BE461" s="171" t="str">
        <f t="shared" si="22"/>
        <v/>
      </c>
      <c r="BF461" s="171" t="str">
        <f t="shared" si="23"/>
        <v>Archival</v>
      </c>
    </row>
    <row r="462">
      <c r="A462" s="171">
        <f t="array" ref="A462">XLOOKUP(C462,ICSE!A:A,ICSE!C:C,,2,1)</f>
        <v>2020</v>
      </c>
      <c r="B462" s="171" t="s">
        <v>5675</v>
      </c>
      <c r="C462" s="160">
        <v>797.0</v>
      </c>
      <c r="D462" s="161" t="s">
        <v>1774</v>
      </c>
      <c r="E462" s="197" t="str">
        <f t="array" ref="E462">XLOOKUP(C462,ICSE!A:A,ICSE!Z:Z,,0,1)</f>
        <v>Publicly available (1)</v>
      </c>
      <c r="F462" s="198" t="s">
        <v>20</v>
      </c>
      <c r="G462" s="163" t="str">
        <f t="array" ref="G462">IF(B462="ICSE",IF(COUNTIFS(B:B,B462,C:C,C462)=XLOOKUP(C462,ICSE!A:A,ICSE!AA:AA,"ERROR",0,1),"OK","ERROR"),IF(B462="FSE",IF(COUNTIFS(B:B,B462,C:C,C462)=XLOOKUP(C462,FSE!A:A,FSE!AA:AA,"ERROR",0,1),"OK","ERROR")))</f>
        <v>OK</v>
      </c>
      <c r="H462" s="199">
        <f t="shared" ref="H462:O462" si="2314">countif($D462,"*"&amp;H$2&amp;"*")</f>
        <v>0</v>
      </c>
      <c r="I462" s="200">
        <f t="shared" si="2314"/>
        <v>0</v>
      </c>
      <c r="J462" s="200">
        <f t="shared" si="2314"/>
        <v>0</v>
      </c>
      <c r="K462" s="200">
        <f t="shared" si="2314"/>
        <v>0</v>
      </c>
      <c r="L462" s="200">
        <f t="shared" si="2314"/>
        <v>0</v>
      </c>
      <c r="M462" s="200">
        <f t="shared" si="2314"/>
        <v>0</v>
      </c>
      <c r="N462" s="200">
        <f t="shared" si="2314"/>
        <v>0</v>
      </c>
      <c r="O462" s="200">
        <f t="shared" si="2314"/>
        <v>0</v>
      </c>
      <c r="P462" s="200">
        <f t="shared" si="9"/>
        <v>1</v>
      </c>
      <c r="Q462" s="200">
        <f t="shared" ref="Q462:AC462" si="2315">countif($D462,"*"&amp;Q$2&amp;"*")</f>
        <v>0</v>
      </c>
      <c r="R462" s="200">
        <f t="shared" si="2315"/>
        <v>0</v>
      </c>
      <c r="S462" s="200">
        <f t="shared" si="2315"/>
        <v>0</v>
      </c>
      <c r="T462" s="200">
        <f t="shared" si="2315"/>
        <v>0</v>
      </c>
      <c r="U462" s="200">
        <f t="shared" si="2315"/>
        <v>0</v>
      </c>
      <c r="V462" s="200">
        <f t="shared" si="2315"/>
        <v>0</v>
      </c>
      <c r="W462" s="200">
        <f t="shared" si="2315"/>
        <v>0</v>
      </c>
      <c r="X462" s="200">
        <f t="shared" si="2315"/>
        <v>0</v>
      </c>
      <c r="Y462" s="200">
        <f t="shared" si="2315"/>
        <v>0</v>
      </c>
      <c r="Z462" s="200">
        <f t="shared" si="2315"/>
        <v>0</v>
      </c>
      <c r="AA462" s="200">
        <f t="shared" si="2315"/>
        <v>0</v>
      </c>
      <c r="AB462" s="200">
        <f t="shared" si="2315"/>
        <v>0</v>
      </c>
      <c r="AC462" s="200">
        <f t="shared" si="2315"/>
        <v>0</v>
      </c>
      <c r="AD462" s="200">
        <f t="shared" si="11"/>
        <v>0</v>
      </c>
      <c r="AE462" s="200">
        <f t="shared" ref="AE462:AG462" si="2316">countif($D462,"*"&amp;AE$2&amp;"*")</f>
        <v>0</v>
      </c>
      <c r="AF462" s="200">
        <f t="shared" si="2316"/>
        <v>0</v>
      </c>
      <c r="AG462" s="200">
        <f t="shared" si="2316"/>
        <v>0</v>
      </c>
      <c r="AH462" s="171">
        <f t="shared" si="13"/>
        <v>0</v>
      </c>
      <c r="AI462" s="200">
        <f t="shared" si="14"/>
        <v>0</v>
      </c>
      <c r="AJ462" s="200">
        <f t="shared" si="2076"/>
        <v>0</v>
      </c>
      <c r="AK462" s="201">
        <f t="shared" ref="AK462:AS462" si="2317">countif($D462,"*"&amp;AK$2&amp;"*")</f>
        <v>0</v>
      </c>
      <c r="AL462" s="201">
        <f t="shared" si="2317"/>
        <v>0</v>
      </c>
      <c r="AM462" s="201">
        <f t="shared" si="2317"/>
        <v>0</v>
      </c>
      <c r="AN462" s="201">
        <f t="shared" si="2317"/>
        <v>0</v>
      </c>
      <c r="AO462" s="201">
        <f t="shared" si="2317"/>
        <v>0</v>
      </c>
      <c r="AP462" s="201">
        <f t="shared" si="2317"/>
        <v>0</v>
      </c>
      <c r="AQ462" s="201">
        <f t="shared" si="2317"/>
        <v>0</v>
      </c>
      <c r="AR462" s="200">
        <f t="shared" si="2317"/>
        <v>0</v>
      </c>
      <c r="AS462" s="200">
        <f t="shared" si="2317"/>
        <v>0</v>
      </c>
      <c r="AT462" s="173">
        <v>0.0</v>
      </c>
      <c r="AU462" s="200">
        <f t="shared" ref="AU462:AX462" si="2318">countif($D462,"*"&amp;AU$2&amp;"*")</f>
        <v>0</v>
      </c>
      <c r="AV462" s="200">
        <f t="shared" si="2318"/>
        <v>1</v>
      </c>
      <c r="AW462" s="200">
        <f t="shared" si="2318"/>
        <v>0</v>
      </c>
      <c r="AX462" s="200">
        <f t="shared" si="2318"/>
        <v>0</v>
      </c>
      <c r="AY462" s="202">
        <v>0.0</v>
      </c>
      <c r="AZ462" s="200"/>
      <c r="BA462" s="171" t="str">
        <f t="shared" si="18"/>
        <v/>
      </c>
      <c r="BB462" s="171" t="str">
        <f t="shared" si="19"/>
        <v>Code</v>
      </c>
      <c r="BC462" s="171" t="str">
        <f t="shared" si="20"/>
        <v/>
      </c>
      <c r="BD462" s="171" t="str">
        <f t="shared" si="21"/>
        <v/>
      </c>
      <c r="BE462" s="171" t="str">
        <f t="shared" si="22"/>
        <v/>
      </c>
      <c r="BF462" s="171" t="str">
        <f t="shared" si="23"/>
        <v>Code</v>
      </c>
    </row>
    <row r="463">
      <c r="A463" s="171">
        <f t="array" ref="A463">XLOOKUP(C463,ICSE!A:A,ICSE!C:C,,2,1)</f>
        <v>2020</v>
      </c>
      <c r="B463" s="171" t="s">
        <v>5675</v>
      </c>
      <c r="C463" s="160">
        <v>798.0</v>
      </c>
      <c r="D463" s="161" t="s">
        <v>1777</v>
      </c>
      <c r="E463" s="197" t="str">
        <f t="array" ref="E463">XLOOKUP(C463,ICSE!A:A,ICSE!Z:Z,,0,1)</f>
        <v>Publicly available (1)</v>
      </c>
      <c r="F463" s="198" t="s">
        <v>20</v>
      </c>
      <c r="G463" s="163" t="str">
        <f t="array" ref="G463">IF(B463="ICSE",IF(COUNTIFS(B:B,B463,C:C,C463)=XLOOKUP(C463,ICSE!A:A,ICSE!AA:AA,"ERROR",0,1),"OK","ERROR"),IF(B463="FSE",IF(COUNTIFS(B:B,B463,C:C,C463)=XLOOKUP(C463,FSE!A:A,FSE!AA:AA,"ERROR",0,1),"OK","ERROR")))</f>
        <v>OK</v>
      </c>
      <c r="H463" s="199">
        <f t="shared" ref="H463:O463" si="2319">countif($D463,"*"&amp;H$2&amp;"*")</f>
        <v>1</v>
      </c>
      <c r="I463" s="200">
        <f t="shared" si="2319"/>
        <v>0</v>
      </c>
      <c r="J463" s="200">
        <f t="shared" si="2319"/>
        <v>0</v>
      </c>
      <c r="K463" s="200">
        <f t="shared" si="2319"/>
        <v>0</v>
      </c>
      <c r="L463" s="200">
        <f t="shared" si="2319"/>
        <v>0</v>
      </c>
      <c r="M463" s="200">
        <f t="shared" si="2319"/>
        <v>0</v>
      </c>
      <c r="N463" s="200">
        <f t="shared" si="2319"/>
        <v>0</v>
      </c>
      <c r="O463" s="200">
        <f t="shared" si="2319"/>
        <v>0</v>
      </c>
      <c r="P463" s="200">
        <f t="shared" si="9"/>
        <v>0</v>
      </c>
      <c r="Q463" s="200">
        <f t="shared" ref="Q463:AC463" si="2320">countif($D463,"*"&amp;Q$2&amp;"*")</f>
        <v>0</v>
      </c>
      <c r="R463" s="200">
        <f t="shared" si="2320"/>
        <v>0</v>
      </c>
      <c r="S463" s="200">
        <f t="shared" si="2320"/>
        <v>0</v>
      </c>
      <c r="T463" s="200">
        <f t="shared" si="2320"/>
        <v>0</v>
      </c>
      <c r="U463" s="200">
        <f t="shared" si="2320"/>
        <v>0</v>
      </c>
      <c r="V463" s="200">
        <f t="shared" si="2320"/>
        <v>0</v>
      </c>
      <c r="W463" s="200">
        <f t="shared" si="2320"/>
        <v>0</v>
      </c>
      <c r="X463" s="200">
        <f t="shared" si="2320"/>
        <v>0</v>
      </c>
      <c r="Y463" s="200">
        <f t="shared" si="2320"/>
        <v>0</v>
      </c>
      <c r="Z463" s="200">
        <f t="shared" si="2320"/>
        <v>0</v>
      </c>
      <c r="AA463" s="200">
        <f t="shared" si="2320"/>
        <v>0</v>
      </c>
      <c r="AB463" s="200">
        <f t="shared" si="2320"/>
        <v>0</v>
      </c>
      <c r="AC463" s="200">
        <f t="shared" si="2320"/>
        <v>0</v>
      </c>
      <c r="AD463" s="200">
        <f t="shared" si="11"/>
        <v>0</v>
      </c>
      <c r="AE463" s="200">
        <f t="shared" ref="AE463:AG463" si="2321">countif($D463,"*"&amp;AE$2&amp;"*")</f>
        <v>0</v>
      </c>
      <c r="AF463" s="200">
        <f t="shared" si="2321"/>
        <v>0</v>
      </c>
      <c r="AG463" s="200">
        <f t="shared" si="2321"/>
        <v>0</v>
      </c>
      <c r="AH463" s="171">
        <f t="shared" si="13"/>
        <v>0</v>
      </c>
      <c r="AI463" s="200">
        <f t="shared" si="14"/>
        <v>1</v>
      </c>
      <c r="AJ463" s="200">
        <f t="shared" si="2076"/>
        <v>0</v>
      </c>
      <c r="AK463" s="201">
        <f t="shared" ref="AK463:AS463" si="2322">countif($D463,"*"&amp;AK$2&amp;"*")</f>
        <v>0</v>
      </c>
      <c r="AL463" s="201">
        <f t="shared" si="2322"/>
        <v>0</v>
      </c>
      <c r="AM463" s="201">
        <f t="shared" si="2322"/>
        <v>0</v>
      </c>
      <c r="AN463" s="201">
        <f t="shared" si="2322"/>
        <v>0</v>
      </c>
      <c r="AO463" s="201">
        <f t="shared" si="2322"/>
        <v>0</v>
      </c>
      <c r="AP463" s="201">
        <f t="shared" si="2322"/>
        <v>0</v>
      </c>
      <c r="AQ463" s="201">
        <f t="shared" si="2322"/>
        <v>0</v>
      </c>
      <c r="AR463" s="200">
        <f t="shared" si="2322"/>
        <v>0</v>
      </c>
      <c r="AS463" s="200">
        <f t="shared" si="2322"/>
        <v>0</v>
      </c>
      <c r="AT463" s="173">
        <v>0.0</v>
      </c>
      <c r="AU463" s="200">
        <f t="shared" ref="AU463:AX463" si="2323">countif($D463,"*"&amp;AU$2&amp;"*")</f>
        <v>0</v>
      </c>
      <c r="AV463" s="200">
        <f t="shared" si="2323"/>
        <v>0</v>
      </c>
      <c r="AW463" s="200">
        <f t="shared" si="2323"/>
        <v>0</v>
      </c>
      <c r="AX463" s="200">
        <f t="shared" si="2323"/>
        <v>1</v>
      </c>
      <c r="AY463" s="202">
        <v>0.0</v>
      </c>
      <c r="AZ463" s="200"/>
      <c r="BA463" s="171" t="str">
        <f t="shared" si="18"/>
        <v>Archival</v>
      </c>
      <c r="BB463" s="171" t="str">
        <f t="shared" si="19"/>
        <v/>
      </c>
      <c r="BC463" s="171" t="str">
        <f t="shared" si="20"/>
        <v/>
      </c>
      <c r="BD463" s="171" t="str">
        <f t="shared" si="21"/>
        <v/>
      </c>
      <c r="BE463" s="171" t="str">
        <f t="shared" si="22"/>
        <v/>
      </c>
      <c r="BF463" s="171" t="str">
        <f t="shared" si="23"/>
        <v>Archival</v>
      </c>
    </row>
    <row r="464">
      <c r="A464" s="171">
        <f t="array" ref="A464">XLOOKUP(C464,ICSE!A:A,ICSE!C:C,,2,1)</f>
        <v>2020</v>
      </c>
      <c r="B464" s="171" t="s">
        <v>5675</v>
      </c>
      <c r="C464" s="160">
        <v>799.0</v>
      </c>
      <c r="D464" s="161" t="s">
        <v>1780</v>
      </c>
      <c r="E464" s="197" t="str">
        <f t="array" ref="E464">XLOOKUP(C464,ICSE!A:A,ICSE!Z:Z,,0,1)</f>
        <v>Publicly available (1)</v>
      </c>
      <c r="F464" s="198" t="s">
        <v>20</v>
      </c>
      <c r="G464" s="163" t="str">
        <f t="array" ref="G464">IF(B464="ICSE",IF(COUNTIFS(B:B,B464,C:C,C464)=XLOOKUP(C464,ICSE!A:A,ICSE!AA:AA,"ERROR",0,1),"OK","ERROR"),IF(B464="FSE",IF(COUNTIFS(B:B,B464,C:C,C464)=XLOOKUP(C464,FSE!A:A,FSE!AA:AA,"ERROR",0,1),"OK","ERROR")))</f>
        <v>OK</v>
      </c>
      <c r="H464" s="199">
        <f t="shared" ref="H464:O464" si="2324">countif($D464,"*"&amp;H$2&amp;"*")</f>
        <v>0</v>
      </c>
      <c r="I464" s="200">
        <f t="shared" si="2324"/>
        <v>0</v>
      </c>
      <c r="J464" s="200">
        <f t="shared" si="2324"/>
        <v>0</v>
      </c>
      <c r="K464" s="200">
        <f t="shared" si="2324"/>
        <v>0</v>
      </c>
      <c r="L464" s="200">
        <f t="shared" si="2324"/>
        <v>0</v>
      </c>
      <c r="M464" s="200">
        <f t="shared" si="2324"/>
        <v>0</v>
      </c>
      <c r="N464" s="200">
        <f t="shared" si="2324"/>
        <v>0</v>
      </c>
      <c r="O464" s="200">
        <f t="shared" si="2324"/>
        <v>0</v>
      </c>
      <c r="P464" s="200">
        <f t="shared" si="9"/>
        <v>1</v>
      </c>
      <c r="Q464" s="200">
        <f t="shared" ref="Q464:AC464" si="2325">countif($D464,"*"&amp;Q$2&amp;"*")</f>
        <v>0</v>
      </c>
      <c r="R464" s="200">
        <f t="shared" si="2325"/>
        <v>0</v>
      </c>
      <c r="S464" s="200">
        <f t="shared" si="2325"/>
        <v>0</v>
      </c>
      <c r="T464" s="200">
        <f t="shared" si="2325"/>
        <v>0</v>
      </c>
      <c r="U464" s="200">
        <f t="shared" si="2325"/>
        <v>0</v>
      </c>
      <c r="V464" s="200">
        <f t="shared" si="2325"/>
        <v>0</v>
      </c>
      <c r="W464" s="200">
        <f t="shared" si="2325"/>
        <v>0</v>
      </c>
      <c r="X464" s="200">
        <f t="shared" si="2325"/>
        <v>0</v>
      </c>
      <c r="Y464" s="200">
        <f t="shared" si="2325"/>
        <v>0</v>
      </c>
      <c r="Z464" s="200">
        <f t="shared" si="2325"/>
        <v>0</v>
      </c>
      <c r="AA464" s="200">
        <f t="shared" si="2325"/>
        <v>0</v>
      </c>
      <c r="AB464" s="200">
        <f t="shared" si="2325"/>
        <v>0</v>
      </c>
      <c r="AC464" s="200">
        <f t="shared" si="2325"/>
        <v>0</v>
      </c>
      <c r="AD464" s="200">
        <f t="shared" si="11"/>
        <v>0</v>
      </c>
      <c r="AE464" s="200">
        <f t="shared" ref="AE464:AG464" si="2326">countif($D464,"*"&amp;AE$2&amp;"*")</f>
        <v>0</v>
      </c>
      <c r="AF464" s="200">
        <f t="shared" si="2326"/>
        <v>0</v>
      </c>
      <c r="AG464" s="200">
        <f t="shared" si="2326"/>
        <v>0</v>
      </c>
      <c r="AH464" s="171">
        <f t="shared" si="13"/>
        <v>0</v>
      </c>
      <c r="AI464" s="200">
        <f t="shared" si="14"/>
        <v>0</v>
      </c>
      <c r="AJ464" s="200">
        <f t="shared" si="2076"/>
        <v>0</v>
      </c>
      <c r="AK464" s="201">
        <f t="shared" ref="AK464:AS464" si="2327">countif($D464,"*"&amp;AK$2&amp;"*")</f>
        <v>0</v>
      </c>
      <c r="AL464" s="201">
        <f t="shared" si="2327"/>
        <v>0</v>
      </c>
      <c r="AM464" s="201">
        <f t="shared" si="2327"/>
        <v>0</v>
      </c>
      <c r="AN464" s="201">
        <f t="shared" si="2327"/>
        <v>0</v>
      </c>
      <c r="AO464" s="201">
        <f t="shared" si="2327"/>
        <v>0</v>
      </c>
      <c r="AP464" s="201">
        <f t="shared" si="2327"/>
        <v>0</v>
      </c>
      <c r="AQ464" s="201">
        <f t="shared" si="2327"/>
        <v>0</v>
      </c>
      <c r="AR464" s="200">
        <f t="shared" si="2327"/>
        <v>0</v>
      </c>
      <c r="AS464" s="200">
        <f t="shared" si="2327"/>
        <v>0</v>
      </c>
      <c r="AT464" s="173">
        <v>0.0</v>
      </c>
      <c r="AU464" s="200">
        <f t="shared" ref="AU464:AX464" si="2328">countif($D464,"*"&amp;AU$2&amp;"*")</f>
        <v>0</v>
      </c>
      <c r="AV464" s="200">
        <f t="shared" si="2328"/>
        <v>1</v>
      </c>
      <c r="AW464" s="200">
        <f t="shared" si="2328"/>
        <v>0</v>
      </c>
      <c r="AX464" s="200">
        <f t="shared" si="2328"/>
        <v>0</v>
      </c>
      <c r="AY464" s="202">
        <v>0.0</v>
      </c>
      <c r="AZ464" s="200"/>
      <c r="BA464" s="171" t="str">
        <f t="shared" si="18"/>
        <v/>
      </c>
      <c r="BB464" s="171" t="str">
        <f t="shared" si="19"/>
        <v>Code</v>
      </c>
      <c r="BC464" s="171" t="str">
        <f t="shared" si="20"/>
        <v/>
      </c>
      <c r="BD464" s="171" t="str">
        <f t="shared" si="21"/>
        <v/>
      </c>
      <c r="BE464" s="171" t="str">
        <f t="shared" si="22"/>
        <v/>
      </c>
      <c r="BF464" s="171" t="str">
        <f t="shared" si="23"/>
        <v>Code</v>
      </c>
    </row>
    <row r="465">
      <c r="A465" s="171">
        <f t="array" ref="A465">XLOOKUP(C465,ICSE!A:A,ICSE!C:C,,2,1)</f>
        <v>2020</v>
      </c>
      <c r="B465" s="171" t="s">
        <v>5675</v>
      </c>
      <c r="C465" s="160">
        <v>801.0</v>
      </c>
      <c r="D465" s="161" t="s">
        <v>1785</v>
      </c>
      <c r="E465" s="197" t="str">
        <f t="array" ref="E465">XLOOKUP(C465,ICSE!A:A,ICSE!Z:Z,,0,1)</f>
        <v>Publicly available (1)</v>
      </c>
      <c r="F465" s="198" t="s">
        <v>20</v>
      </c>
      <c r="G465" s="163" t="str">
        <f t="array" ref="G465">IF(B465="ICSE",IF(COUNTIFS(B:B,B465,C:C,C465)=XLOOKUP(C465,ICSE!A:A,ICSE!AA:AA,"ERROR",0,1),"OK","ERROR"),IF(B465="FSE",IF(COUNTIFS(B:B,B465,C:C,C465)=XLOOKUP(C465,FSE!A:A,FSE!AA:AA,"ERROR",0,1),"OK","ERROR")))</f>
        <v>OK</v>
      </c>
      <c r="H465" s="199">
        <f t="shared" ref="H465:O465" si="2329">countif($D465,"*"&amp;H$2&amp;"*")</f>
        <v>0</v>
      </c>
      <c r="I465" s="200">
        <f t="shared" si="2329"/>
        <v>0</v>
      </c>
      <c r="J465" s="200">
        <f t="shared" si="2329"/>
        <v>0</v>
      </c>
      <c r="K465" s="200">
        <f t="shared" si="2329"/>
        <v>0</v>
      </c>
      <c r="L465" s="200">
        <f t="shared" si="2329"/>
        <v>0</v>
      </c>
      <c r="M465" s="200">
        <f t="shared" si="2329"/>
        <v>0</v>
      </c>
      <c r="N465" s="200">
        <f t="shared" si="2329"/>
        <v>0</v>
      </c>
      <c r="O465" s="200">
        <f t="shared" si="2329"/>
        <v>0</v>
      </c>
      <c r="P465" s="200">
        <f t="shared" si="9"/>
        <v>0</v>
      </c>
      <c r="Q465" s="200">
        <f t="shared" ref="Q465:AC465" si="2330">countif($D465,"*"&amp;Q$2&amp;"*")</f>
        <v>0</v>
      </c>
      <c r="R465" s="200">
        <f t="shared" si="2330"/>
        <v>0</v>
      </c>
      <c r="S465" s="200">
        <f t="shared" si="2330"/>
        <v>0</v>
      </c>
      <c r="T465" s="200">
        <f t="shared" si="2330"/>
        <v>0</v>
      </c>
      <c r="U465" s="200">
        <f t="shared" si="2330"/>
        <v>0</v>
      </c>
      <c r="V465" s="200">
        <f t="shared" si="2330"/>
        <v>0</v>
      </c>
      <c r="W465" s="200">
        <f t="shared" si="2330"/>
        <v>0</v>
      </c>
      <c r="X465" s="200">
        <f t="shared" si="2330"/>
        <v>0</v>
      </c>
      <c r="Y465" s="200">
        <f t="shared" si="2330"/>
        <v>0</v>
      </c>
      <c r="Z465" s="200">
        <f t="shared" si="2330"/>
        <v>0</v>
      </c>
      <c r="AA465" s="200">
        <f t="shared" si="2330"/>
        <v>1</v>
      </c>
      <c r="AB465" s="200">
        <f t="shared" si="2330"/>
        <v>0</v>
      </c>
      <c r="AC465" s="200">
        <f t="shared" si="2330"/>
        <v>0</v>
      </c>
      <c r="AD465" s="200">
        <f t="shared" si="11"/>
        <v>0</v>
      </c>
      <c r="AE465" s="200">
        <f t="shared" ref="AE465:AG465" si="2331">countif($D465,"*"&amp;AE$2&amp;"*")</f>
        <v>0</v>
      </c>
      <c r="AF465" s="200">
        <f t="shared" si="2331"/>
        <v>0</v>
      </c>
      <c r="AG465" s="200">
        <f t="shared" si="2331"/>
        <v>0</v>
      </c>
      <c r="AH465" s="171">
        <f t="shared" si="13"/>
        <v>0</v>
      </c>
      <c r="AI465" s="200">
        <f t="shared" si="14"/>
        <v>0</v>
      </c>
      <c r="AJ465" s="200">
        <f t="shared" si="2076"/>
        <v>0</v>
      </c>
      <c r="AK465" s="201">
        <f t="shared" ref="AK465:AS465" si="2332">countif($D465,"*"&amp;AK$2&amp;"*")</f>
        <v>0</v>
      </c>
      <c r="AL465" s="201">
        <f t="shared" si="2332"/>
        <v>0</v>
      </c>
      <c r="AM465" s="201">
        <f t="shared" si="2332"/>
        <v>0</v>
      </c>
      <c r="AN465" s="201">
        <f t="shared" si="2332"/>
        <v>0</v>
      </c>
      <c r="AO465" s="201">
        <f t="shared" si="2332"/>
        <v>0</v>
      </c>
      <c r="AP465" s="201">
        <f t="shared" si="2332"/>
        <v>0</v>
      </c>
      <c r="AQ465" s="201">
        <f t="shared" si="2332"/>
        <v>0</v>
      </c>
      <c r="AR465" s="200">
        <f t="shared" si="2332"/>
        <v>0</v>
      </c>
      <c r="AS465" s="200">
        <f t="shared" si="2332"/>
        <v>0</v>
      </c>
      <c r="AT465" s="173">
        <v>0.0</v>
      </c>
      <c r="AU465" s="200">
        <f t="shared" ref="AU465:AX465" si="2333">countif($D465,"*"&amp;AU$2&amp;"*")</f>
        <v>0</v>
      </c>
      <c r="AV465" s="200">
        <f t="shared" si="2333"/>
        <v>0</v>
      </c>
      <c r="AW465" s="200">
        <f t="shared" si="2333"/>
        <v>0</v>
      </c>
      <c r="AX465" s="200">
        <f t="shared" si="2333"/>
        <v>0</v>
      </c>
      <c r="AY465" s="202">
        <v>0.0</v>
      </c>
      <c r="AZ465" s="200"/>
      <c r="BA465" s="171" t="str">
        <f t="shared" si="18"/>
        <v/>
      </c>
      <c r="BB465" s="171" t="str">
        <f t="shared" si="19"/>
        <v/>
      </c>
      <c r="BC465" s="171" t="str">
        <f t="shared" si="20"/>
        <v>General-purpose</v>
      </c>
      <c r="BD465" s="171" t="str">
        <f t="shared" si="21"/>
        <v/>
      </c>
      <c r="BE465" s="171" t="str">
        <f t="shared" si="22"/>
        <v/>
      </c>
      <c r="BF465" s="171" t="str">
        <f t="shared" si="23"/>
        <v>General-purpose</v>
      </c>
    </row>
    <row r="466">
      <c r="A466" s="171">
        <f t="array" ref="A466">XLOOKUP(C466,ICSE!A:A,ICSE!C:C,,2,1)</f>
        <v>2020</v>
      </c>
      <c r="B466" s="171" t="s">
        <v>5675</v>
      </c>
      <c r="C466" s="160">
        <v>802.0</v>
      </c>
      <c r="D466" s="161" t="s">
        <v>1790</v>
      </c>
      <c r="E466" s="197" t="str">
        <f t="array" ref="E466">XLOOKUP(C466,ICSE!A:A,ICSE!Z:Z,,0,1)</f>
        <v>Publicly available (1)</v>
      </c>
      <c r="F466" s="198" t="s">
        <v>20</v>
      </c>
      <c r="G466" s="163" t="str">
        <f t="array" ref="G466">IF(B466="ICSE",IF(COUNTIFS(B:B,B466,C:C,C466)=XLOOKUP(C466,ICSE!A:A,ICSE!AA:AA,"ERROR",0,1),"OK","ERROR"),IF(B466="FSE",IF(COUNTIFS(B:B,B466,C:C,C466)=XLOOKUP(C466,FSE!A:A,FSE!AA:AA,"ERROR",0,1),"OK","ERROR")))</f>
        <v>OK</v>
      </c>
      <c r="H466" s="199">
        <f t="shared" ref="H466:O466" si="2334">countif($D466,"*"&amp;H$2&amp;"*")</f>
        <v>0</v>
      </c>
      <c r="I466" s="200">
        <f t="shared" si="2334"/>
        <v>0</v>
      </c>
      <c r="J466" s="200">
        <f t="shared" si="2334"/>
        <v>0</v>
      </c>
      <c r="K466" s="200">
        <f t="shared" si="2334"/>
        <v>0</v>
      </c>
      <c r="L466" s="200">
        <f t="shared" si="2334"/>
        <v>0</v>
      </c>
      <c r="M466" s="200">
        <f t="shared" si="2334"/>
        <v>0</v>
      </c>
      <c r="N466" s="200">
        <f t="shared" si="2334"/>
        <v>0</v>
      </c>
      <c r="O466" s="200">
        <f t="shared" si="2334"/>
        <v>0</v>
      </c>
      <c r="P466" s="200">
        <f t="shared" si="9"/>
        <v>1</v>
      </c>
      <c r="Q466" s="200">
        <f t="shared" ref="Q466:AC466" si="2335">countif($D466,"*"&amp;Q$2&amp;"*")</f>
        <v>0</v>
      </c>
      <c r="R466" s="200">
        <f t="shared" si="2335"/>
        <v>0</v>
      </c>
      <c r="S466" s="200">
        <f t="shared" si="2335"/>
        <v>0</v>
      </c>
      <c r="T466" s="200">
        <f t="shared" si="2335"/>
        <v>0</v>
      </c>
      <c r="U466" s="200">
        <f t="shared" si="2335"/>
        <v>0</v>
      </c>
      <c r="V466" s="200">
        <f t="shared" si="2335"/>
        <v>0</v>
      </c>
      <c r="W466" s="200">
        <f t="shared" si="2335"/>
        <v>0</v>
      </c>
      <c r="X466" s="200">
        <f t="shared" si="2335"/>
        <v>0</v>
      </c>
      <c r="Y466" s="200">
        <f t="shared" si="2335"/>
        <v>0</v>
      </c>
      <c r="Z466" s="200">
        <f t="shared" si="2335"/>
        <v>0</v>
      </c>
      <c r="AA466" s="200">
        <f t="shared" si="2335"/>
        <v>0</v>
      </c>
      <c r="AB466" s="200">
        <f t="shared" si="2335"/>
        <v>0</v>
      </c>
      <c r="AC466" s="200">
        <f t="shared" si="2335"/>
        <v>0</v>
      </c>
      <c r="AD466" s="200">
        <f t="shared" si="11"/>
        <v>0</v>
      </c>
      <c r="AE466" s="200">
        <f t="shared" ref="AE466:AG466" si="2336">countif($D466,"*"&amp;AE$2&amp;"*")</f>
        <v>0</v>
      </c>
      <c r="AF466" s="200">
        <f t="shared" si="2336"/>
        <v>0</v>
      </c>
      <c r="AG466" s="200">
        <f t="shared" si="2336"/>
        <v>0</v>
      </c>
      <c r="AH466" s="171">
        <f t="shared" si="13"/>
        <v>0</v>
      </c>
      <c r="AI466" s="200">
        <f t="shared" si="14"/>
        <v>0</v>
      </c>
      <c r="AJ466" s="200">
        <f t="shared" si="2076"/>
        <v>0</v>
      </c>
      <c r="AK466" s="201">
        <f t="shared" ref="AK466:AS466" si="2337">countif($D466,"*"&amp;AK$2&amp;"*")</f>
        <v>0</v>
      </c>
      <c r="AL466" s="201">
        <f t="shared" si="2337"/>
        <v>0</v>
      </c>
      <c r="AM466" s="201">
        <f t="shared" si="2337"/>
        <v>0</v>
      </c>
      <c r="AN466" s="201">
        <f t="shared" si="2337"/>
        <v>0</v>
      </c>
      <c r="AO466" s="201">
        <f t="shared" si="2337"/>
        <v>0</v>
      </c>
      <c r="AP466" s="201">
        <f t="shared" si="2337"/>
        <v>0</v>
      </c>
      <c r="AQ466" s="201">
        <f t="shared" si="2337"/>
        <v>0</v>
      </c>
      <c r="AR466" s="200">
        <f t="shared" si="2337"/>
        <v>0</v>
      </c>
      <c r="AS466" s="200">
        <f t="shared" si="2337"/>
        <v>0</v>
      </c>
      <c r="AT466" s="173">
        <v>0.0</v>
      </c>
      <c r="AU466" s="200">
        <f t="shared" ref="AU466:AX466" si="2338">countif($D466,"*"&amp;AU$2&amp;"*")</f>
        <v>0</v>
      </c>
      <c r="AV466" s="200">
        <f t="shared" si="2338"/>
        <v>1</v>
      </c>
      <c r="AW466" s="200">
        <f t="shared" si="2338"/>
        <v>0</v>
      </c>
      <c r="AX466" s="200">
        <f t="shared" si="2338"/>
        <v>0</v>
      </c>
      <c r="AY466" s="202">
        <v>0.0</v>
      </c>
      <c r="AZ466" s="200"/>
      <c r="BA466" s="171" t="str">
        <f t="shared" si="18"/>
        <v/>
      </c>
      <c r="BB466" s="171" t="str">
        <f t="shared" si="19"/>
        <v>Code</v>
      </c>
      <c r="BC466" s="171" t="str">
        <f t="shared" si="20"/>
        <v/>
      </c>
      <c r="BD466" s="171" t="str">
        <f t="shared" si="21"/>
        <v/>
      </c>
      <c r="BE466" s="171" t="str">
        <f t="shared" si="22"/>
        <v/>
      </c>
      <c r="BF466" s="171" t="str">
        <f t="shared" si="23"/>
        <v>Code</v>
      </c>
    </row>
    <row r="467">
      <c r="A467" s="171">
        <f t="array" ref="A467">XLOOKUP(C467,ICSE!A:A,ICSE!C:C,,2,1)</f>
        <v>2020</v>
      </c>
      <c r="B467" s="171" t="s">
        <v>5675</v>
      </c>
      <c r="C467" s="160">
        <v>803.0</v>
      </c>
      <c r="D467" s="161" t="s">
        <v>1792</v>
      </c>
      <c r="E467" s="197" t="str">
        <f t="array" ref="E467">XLOOKUP(C467,ICSE!A:A,ICSE!Z:Z,,0,1)</f>
        <v>Publicly available (1)</v>
      </c>
      <c r="F467" s="198" t="s">
        <v>20</v>
      </c>
      <c r="G467" s="163" t="str">
        <f t="array" ref="G467">IF(B467="ICSE",IF(COUNTIFS(B:B,B467,C:C,C467)=XLOOKUP(C467,ICSE!A:A,ICSE!AA:AA,"ERROR",0,1),"OK","ERROR"),IF(B467="FSE",IF(COUNTIFS(B:B,B467,C:C,C467)=XLOOKUP(C467,FSE!A:A,FSE!AA:AA,"ERROR",0,1),"OK","ERROR")))</f>
        <v>OK</v>
      </c>
      <c r="H467" s="199">
        <f t="shared" ref="H467:O467" si="2339">countif($D467,"*"&amp;H$2&amp;"*")</f>
        <v>0</v>
      </c>
      <c r="I467" s="200">
        <f t="shared" si="2339"/>
        <v>0</v>
      </c>
      <c r="J467" s="200">
        <f t="shared" si="2339"/>
        <v>0</v>
      </c>
      <c r="K467" s="200">
        <f t="shared" si="2339"/>
        <v>0</v>
      </c>
      <c r="L467" s="200">
        <f t="shared" si="2339"/>
        <v>0</v>
      </c>
      <c r="M467" s="200">
        <f t="shared" si="2339"/>
        <v>0</v>
      </c>
      <c r="N467" s="200">
        <f t="shared" si="2339"/>
        <v>0</v>
      </c>
      <c r="O467" s="200">
        <f t="shared" si="2339"/>
        <v>0</v>
      </c>
      <c r="P467" s="200">
        <f t="shared" si="9"/>
        <v>1</v>
      </c>
      <c r="Q467" s="200">
        <f t="shared" ref="Q467:AC467" si="2340">countif($D467,"*"&amp;Q$2&amp;"*")</f>
        <v>0</v>
      </c>
      <c r="R467" s="200">
        <f t="shared" si="2340"/>
        <v>0</v>
      </c>
      <c r="S467" s="200">
        <f t="shared" si="2340"/>
        <v>0</v>
      </c>
      <c r="T467" s="200">
        <f t="shared" si="2340"/>
        <v>0</v>
      </c>
      <c r="U467" s="200">
        <f t="shared" si="2340"/>
        <v>0</v>
      </c>
      <c r="V467" s="200">
        <f t="shared" si="2340"/>
        <v>0</v>
      </c>
      <c r="W467" s="200">
        <f t="shared" si="2340"/>
        <v>0</v>
      </c>
      <c r="X467" s="200">
        <f t="shared" si="2340"/>
        <v>0</v>
      </c>
      <c r="Y467" s="200">
        <f t="shared" si="2340"/>
        <v>0</v>
      </c>
      <c r="Z467" s="200">
        <f t="shared" si="2340"/>
        <v>0</v>
      </c>
      <c r="AA467" s="200">
        <f t="shared" si="2340"/>
        <v>0</v>
      </c>
      <c r="AB467" s="200">
        <f t="shared" si="2340"/>
        <v>0</v>
      </c>
      <c r="AC467" s="200">
        <f t="shared" si="2340"/>
        <v>0</v>
      </c>
      <c r="AD467" s="200">
        <f t="shared" si="11"/>
        <v>0</v>
      </c>
      <c r="AE467" s="200">
        <f t="shared" ref="AE467:AG467" si="2341">countif($D467,"*"&amp;AE$2&amp;"*")</f>
        <v>0</v>
      </c>
      <c r="AF467" s="200">
        <f t="shared" si="2341"/>
        <v>0</v>
      </c>
      <c r="AG467" s="200">
        <f t="shared" si="2341"/>
        <v>0</v>
      </c>
      <c r="AH467" s="171">
        <f t="shared" si="13"/>
        <v>0</v>
      </c>
      <c r="AI467" s="200">
        <f t="shared" si="14"/>
        <v>0</v>
      </c>
      <c r="AJ467" s="200">
        <f t="shared" si="2076"/>
        <v>0</v>
      </c>
      <c r="AK467" s="201">
        <f t="shared" ref="AK467:AS467" si="2342">countif($D467,"*"&amp;AK$2&amp;"*")</f>
        <v>0</v>
      </c>
      <c r="AL467" s="201">
        <f t="shared" si="2342"/>
        <v>0</v>
      </c>
      <c r="AM467" s="201">
        <f t="shared" si="2342"/>
        <v>0</v>
      </c>
      <c r="AN467" s="201">
        <f t="shared" si="2342"/>
        <v>0</v>
      </c>
      <c r="AO467" s="201">
        <f t="shared" si="2342"/>
        <v>0</v>
      </c>
      <c r="AP467" s="201">
        <f t="shared" si="2342"/>
        <v>0</v>
      </c>
      <c r="AQ467" s="201">
        <f t="shared" si="2342"/>
        <v>0</v>
      </c>
      <c r="AR467" s="200">
        <f t="shared" si="2342"/>
        <v>0</v>
      </c>
      <c r="AS467" s="200">
        <f t="shared" si="2342"/>
        <v>0</v>
      </c>
      <c r="AT467" s="173">
        <v>0.0</v>
      </c>
      <c r="AU467" s="200">
        <f t="shared" ref="AU467:AX467" si="2343">countif($D467,"*"&amp;AU$2&amp;"*")</f>
        <v>0</v>
      </c>
      <c r="AV467" s="200">
        <f t="shared" si="2343"/>
        <v>1</v>
      </c>
      <c r="AW467" s="200">
        <f t="shared" si="2343"/>
        <v>0</v>
      </c>
      <c r="AX467" s="200">
        <f t="shared" si="2343"/>
        <v>0</v>
      </c>
      <c r="AY467" s="202">
        <v>0.0</v>
      </c>
      <c r="AZ467" s="200"/>
      <c r="BA467" s="171" t="str">
        <f t="shared" si="18"/>
        <v/>
      </c>
      <c r="BB467" s="171" t="str">
        <f t="shared" si="19"/>
        <v>Code</v>
      </c>
      <c r="BC467" s="171" t="str">
        <f t="shared" si="20"/>
        <v/>
      </c>
      <c r="BD467" s="171" t="str">
        <f t="shared" si="21"/>
        <v/>
      </c>
      <c r="BE467" s="171" t="str">
        <f t="shared" si="22"/>
        <v/>
      </c>
      <c r="BF467" s="171" t="str">
        <f t="shared" si="23"/>
        <v>Code</v>
      </c>
    </row>
    <row r="468">
      <c r="A468" s="171">
        <f t="array" ref="A468">XLOOKUP(C468,ICSE!A:A,ICSE!C:C,,2,1)</f>
        <v>2020</v>
      </c>
      <c r="B468" s="171" t="s">
        <v>5675</v>
      </c>
      <c r="C468" s="160">
        <v>804.0</v>
      </c>
      <c r="D468" s="161" t="s">
        <v>1796</v>
      </c>
      <c r="E468" s="197" t="str">
        <f t="array" ref="E468">XLOOKUP(C468,ICSE!A:A,ICSE!Z:Z,,0,1)</f>
        <v>Publicly available (1)</v>
      </c>
      <c r="F468" s="198" t="s">
        <v>20</v>
      </c>
      <c r="G468" s="163" t="str">
        <f t="array" ref="G468">IF(B468="ICSE",IF(COUNTIFS(B:B,B468,C:C,C468)=XLOOKUP(C468,ICSE!A:A,ICSE!AA:AA,"ERROR",0,1),"OK","ERROR"),IF(B468="FSE",IF(COUNTIFS(B:B,B468,C:C,C468)=XLOOKUP(C468,FSE!A:A,FSE!AA:AA,"ERROR",0,1),"OK","ERROR")))</f>
        <v>OK</v>
      </c>
      <c r="H468" s="199">
        <f t="shared" ref="H468:O468" si="2344">countif($D468,"*"&amp;H$2&amp;"*")</f>
        <v>0</v>
      </c>
      <c r="I468" s="200">
        <f t="shared" si="2344"/>
        <v>0</v>
      </c>
      <c r="J468" s="200">
        <f t="shared" si="2344"/>
        <v>0</v>
      </c>
      <c r="K468" s="200">
        <f t="shared" si="2344"/>
        <v>0</v>
      </c>
      <c r="L468" s="200">
        <f t="shared" si="2344"/>
        <v>0</v>
      </c>
      <c r="M468" s="200">
        <f t="shared" si="2344"/>
        <v>0</v>
      </c>
      <c r="N468" s="200">
        <f t="shared" si="2344"/>
        <v>0</v>
      </c>
      <c r="O468" s="200">
        <f t="shared" si="2344"/>
        <v>0</v>
      </c>
      <c r="P468" s="200">
        <f t="shared" si="9"/>
        <v>1</v>
      </c>
      <c r="Q468" s="200">
        <f t="shared" ref="Q468:AC468" si="2345">countif($D468,"*"&amp;Q$2&amp;"*")</f>
        <v>0</v>
      </c>
      <c r="R468" s="200">
        <f t="shared" si="2345"/>
        <v>0</v>
      </c>
      <c r="S468" s="200">
        <f t="shared" si="2345"/>
        <v>0</v>
      </c>
      <c r="T468" s="200">
        <f t="shared" si="2345"/>
        <v>0</v>
      </c>
      <c r="U468" s="200">
        <f t="shared" si="2345"/>
        <v>0</v>
      </c>
      <c r="V468" s="200">
        <f t="shared" si="2345"/>
        <v>0</v>
      </c>
      <c r="W468" s="200">
        <f t="shared" si="2345"/>
        <v>0</v>
      </c>
      <c r="X468" s="200">
        <f t="shared" si="2345"/>
        <v>0</v>
      </c>
      <c r="Y468" s="200">
        <f t="shared" si="2345"/>
        <v>0</v>
      </c>
      <c r="Z468" s="200">
        <f t="shared" si="2345"/>
        <v>0</v>
      </c>
      <c r="AA468" s="200">
        <f t="shared" si="2345"/>
        <v>0</v>
      </c>
      <c r="AB468" s="200">
        <f t="shared" si="2345"/>
        <v>0</v>
      </c>
      <c r="AC468" s="200">
        <f t="shared" si="2345"/>
        <v>0</v>
      </c>
      <c r="AD468" s="200">
        <f t="shared" si="11"/>
        <v>0</v>
      </c>
      <c r="AE468" s="200">
        <f t="shared" ref="AE468:AG468" si="2346">countif($D468,"*"&amp;AE$2&amp;"*")</f>
        <v>0</v>
      </c>
      <c r="AF468" s="200">
        <f t="shared" si="2346"/>
        <v>0</v>
      </c>
      <c r="AG468" s="200">
        <f t="shared" si="2346"/>
        <v>0</v>
      </c>
      <c r="AH468" s="171">
        <f t="shared" si="13"/>
        <v>0</v>
      </c>
      <c r="AI468" s="200">
        <f t="shared" si="14"/>
        <v>0</v>
      </c>
      <c r="AJ468" s="200">
        <f t="shared" si="2076"/>
        <v>0</v>
      </c>
      <c r="AK468" s="201">
        <f t="shared" ref="AK468:AS468" si="2347">countif($D468,"*"&amp;AK$2&amp;"*")</f>
        <v>0</v>
      </c>
      <c r="AL468" s="201">
        <f t="shared" si="2347"/>
        <v>0</v>
      </c>
      <c r="AM468" s="201">
        <f t="shared" si="2347"/>
        <v>0</v>
      </c>
      <c r="AN468" s="201">
        <f t="shared" si="2347"/>
        <v>0</v>
      </c>
      <c r="AO468" s="201">
        <f t="shared" si="2347"/>
        <v>0</v>
      </c>
      <c r="AP468" s="201">
        <f t="shared" si="2347"/>
        <v>0</v>
      </c>
      <c r="AQ468" s="201">
        <f t="shared" si="2347"/>
        <v>0</v>
      </c>
      <c r="AR468" s="200">
        <f t="shared" si="2347"/>
        <v>0</v>
      </c>
      <c r="AS468" s="200">
        <f t="shared" si="2347"/>
        <v>0</v>
      </c>
      <c r="AT468" s="173">
        <v>0.0</v>
      </c>
      <c r="AU468" s="200">
        <f t="shared" ref="AU468:AX468" si="2348">countif($D468,"*"&amp;AU$2&amp;"*")</f>
        <v>0</v>
      </c>
      <c r="AV468" s="200">
        <f t="shared" si="2348"/>
        <v>1</v>
      </c>
      <c r="AW468" s="200">
        <f t="shared" si="2348"/>
        <v>0</v>
      </c>
      <c r="AX468" s="200">
        <f t="shared" si="2348"/>
        <v>0</v>
      </c>
      <c r="AY468" s="202">
        <v>0.0</v>
      </c>
      <c r="AZ468" s="200"/>
      <c r="BA468" s="171" t="str">
        <f t="shared" si="18"/>
        <v/>
      </c>
      <c r="BB468" s="171" t="str">
        <f t="shared" si="19"/>
        <v>Code</v>
      </c>
      <c r="BC468" s="171" t="str">
        <f t="shared" si="20"/>
        <v/>
      </c>
      <c r="BD468" s="171" t="str">
        <f t="shared" si="21"/>
        <v/>
      </c>
      <c r="BE468" s="171" t="str">
        <f t="shared" si="22"/>
        <v/>
      </c>
      <c r="BF468" s="171" t="str">
        <f t="shared" si="23"/>
        <v>Code</v>
      </c>
    </row>
    <row r="469">
      <c r="A469" s="171">
        <f t="array" ref="A469">XLOOKUP(C469,ICSE!A:A,ICSE!C:C,,2,1)</f>
        <v>2020</v>
      </c>
      <c r="B469" s="171" t="s">
        <v>5675</v>
      </c>
      <c r="C469" s="160">
        <v>806.0</v>
      </c>
      <c r="D469" s="161" t="s">
        <v>1800</v>
      </c>
      <c r="E469" s="197" t="str">
        <f t="array" ref="E469">XLOOKUP(C469,ICSE!A:A,ICSE!Z:Z,,0,1)</f>
        <v>Publicly available (1)</v>
      </c>
      <c r="F469" s="198" t="s">
        <v>20</v>
      </c>
      <c r="G469" s="163" t="str">
        <f t="array" ref="G469">IF(B469="ICSE",IF(COUNTIFS(B:B,B469,C:C,C469)=XLOOKUP(C469,ICSE!A:A,ICSE!AA:AA,"ERROR",0,1),"OK","ERROR"),IF(B469="FSE",IF(COUNTIFS(B:B,B469,C:C,C469)=XLOOKUP(C469,FSE!A:A,FSE!AA:AA,"ERROR",0,1),"OK","ERROR")))</f>
        <v>OK</v>
      </c>
      <c r="H469" s="199">
        <f t="shared" ref="H469:O469" si="2349">countif($D469,"*"&amp;H$2&amp;"*")</f>
        <v>0</v>
      </c>
      <c r="I469" s="200">
        <f t="shared" si="2349"/>
        <v>0</v>
      </c>
      <c r="J469" s="200">
        <f t="shared" si="2349"/>
        <v>0</v>
      </c>
      <c r="K469" s="200">
        <f t="shared" si="2349"/>
        <v>0</v>
      </c>
      <c r="L469" s="200">
        <f t="shared" si="2349"/>
        <v>0</v>
      </c>
      <c r="M469" s="200">
        <f t="shared" si="2349"/>
        <v>0</v>
      </c>
      <c r="N469" s="200">
        <f t="shared" si="2349"/>
        <v>0</v>
      </c>
      <c r="O469" s="200">
        <f t="shared" si="2349"/>
        <v>0</v>
      </c>
      <c r="P469" s="200">
        <f t="shared" si="9"/>
        <v>1</v>
      </c>
      <c r="Q469" s="200">
        <f t="shared" ref="Q469:AC469" si="2350">countif($D469,"*"&amp;Q$2&amp;"*")</f>
        <v>0</v>
      </c>
      <c r="R469" s="200">
        <f t="shared" si="2350"/>
        <v>0</v>
      </c>
      <c r="S469" s="200">
        <f t="shared" si="2350"/>
        <v>0</v>
      </c>
      <c r="T469" s="200">
        <f t="shared" si="2350"/>
        <v>0</v>
      </c>
      <c r="U469" s="200">
        <f t="shared" si="2350"/>
        <v>0</v>
      </c>
      <c r="V469" s="200">
        <f t="shared" si="2350"/>
        <v>0</v>
      </c>
      <c r="W469" s="200">
        <f t="shared" si="2350"/>
        <v>0</v>
      </c>
      <c r="X469" s="200">
        <f t="shared" si="2350"/>
        <v>0</v>
      </c>
      <c r="Y469" s="200">
        <f t="shared" si="2350"/>
        <v>0</v>
      </c>
      <c r="Z469" s="200">
        <f t="shared" si="2350"/>
        <v>0</v>
      </c>
      <c r="AA469" s="200">
        <f t="shared" si="2350"/>
        <v>0</v>
      </c>
      <c r="AB469" s="200">
        <f t="shared" si="2350"/>
        <v>0</v>
      </c>
      <c r="AC469" s="200">
        <f t="shared" si="2350"/>
        <v>0</v>
      </c>
      <c r="AD469" s="200">
        <f t="shared" si="11"/>
        <v>0</v>
      </c>
      <c r="AE469" s="200">
        <f t="shared" ref="AE469:AG469" si="2351">countif($D469,"*"&amp;AE$2&amp;"*")</f>
        <v>0</v>
      </c>
      <c r="AF469" s="200">
        <f t="shared" si="2351"/>
        <v>0</v>
      </c>
      <c r="AG469" s="200">
        <f t="shared" si="2351"/>
        <v>0</v>
      </c>
      <c r="AH469" s="171">
        <f t="shared" si="13"/>
        <v>0</v>
      </c>
      <c r="AI469" s="200">
        <f t="shared" si="14"/>
        <v>0</v>
      </c>
      <c r="AJ469" s="200">
        <f t="shared" si="2076"/>
        <v>0</v>
      </c>
      <c r="AK469" s="201">
        <f t="shared" ref="AK469:AS469" si="2352">countif($D469,"*"&amp;AK$2&amp;"*")</f>
        <v>0</v>
      </c>
      <c r="AL469" s="201">
        <f t="shared" si="2352"/>
        <v>0</v>
      </c>
      <c r="AM469" s="201">
        <f t="shared" si="2352"/>
        <v>0</v>
      </c>
      <c r="AN469" s="201">
        <f t="shared" si="2352"/>
        <v>0</v>
      </c>
      <c r="AO469" s="201">
        <f t="shared" si="2352"/>
        <v>0</v>
      </c>
      <c r="AP469" s="201">
        <f t="shared" si="2352"/>
        <v>0</v>
      </c>
      <c r="AQ469" s="201">
        <f t="shared" si="2352"/>
        <v>0</v>
      </c>
      <c r="AR469" s="200">
        <f t="shared" si="2352"/>
        <v>0</v>
      </c>
      <c r="AS469" s="200">
        <f t="shared" si="2352"/>
        <v>0</v>
      </c>
      <c r="AT469" s="173">
        <v>0.0</v>
      </c>
      <c r="AU469" s="200">
        <f t="shared" ref="AU469:AX469" si="2353">countif($D469,"*"&amp;AU$2&amp;"*")</f>
        <v>0</v>
      </c>
      <c r="AV469" s="200">
        <f t="shared" si="2353"/>
        <v>1</v>
      </c>
      <c r="AW469" s="200">
        <f t="shared" si="2353"/>
        <v>0</v>
      </c>
      <c r="AX469" s="200">
        <f t="shared" si="2353"/>
        <v>0</v>
      </c>
      <c r="AY469" s="202">
        <v>0.0</v>
      </c>
      <c r="AZ469" s="200"/>
      <c r="BA469" s="171" t="str">
        <f t="shared" si="18"/>
        <v/>
      </c>
      <c r="BB469" s="171" t="str">
        <f t="shared" si="19"/>
        <v>Code</v>
      </c>
      <c r="BC469" s="171" t="str">
        <f t="shared" si="20"/>
        <v/>
      </c>
      <c r="BD469" s="171" t="str">
        <f t="shared" si="21"/>
        <v/>
      </c>
      <c r="BE469" s="171" t="str">
        <f t="shared" si="22"/>
        <v/>
      </c>
      <c r="BF469" s="171" t="str">
        <f t="shared" si="23"/>
        <v>Code</v>
      </c>
    </row>
    <row r="470">
      <c r="A470" s="171">
        <f t="array" ref="A470">XLOOKUP(C470,ICSE!A:A,ICSE!C:C,,2,1)</f>
        <v>2020</v>
      </c>
      <c r="B470" s="171" t="s">
        <v>5675</v>
      </c>
      <c r="C470" s="160">
        <v>807.0</v>
      </c>
      <c r="D470" s="161" t="s">
        <v>1803</v>
      </c>
      <c r="E470" s="197" t="str">
        <f t="array" ref="E470">XLOOKUP(C470,ICSE!A:A,ICSE!Z:Z,,0,1)</f>
        <v>Publicly available (1)</v>
      </c>
      <c r="F470" s="198" t="s">
        <v>20</v>
      </c>
      <c r="G470" s="163" t="str">
        <f t="array" ref="G470">IF(B470="ICSE",IF(COUNTIFS(B:B,B470,C:C,C470)=XLOOKUP(C470,ICSE!A:A,ICSE!AA:AA,"ERROR",0,1),"OK","ERROR"),IF(B470="FSE",IF(COUNTIFS(B:B,B470,C:C,C470)=XLOOKUP(C470,FSE!A:A,FSE!AA:AA,"ERROR",0,1),"OK","ERROR")))</f>
        <v>OK</v>
      </c>
      <c r="H470" s="199">
        <f t="shared" ref="H470:O470" si="2354">countif($D470,"*"&amp;H$2&amp;"*")</f>
        <v>0</v>
      </c>
      <c r="I470" s="200">
        <f t="shared" si="2354"/>
        <v>0</v>
      </c>
      <c r="J470" s="200">
        <f t="shared" si="2354"/>
        <v>0</v>
      </c>
      <c r="K470" s="200">
        <f t="shared" si="2354"/>
        <v>0</v>
      </c>
      <c r="L470" s="200">
        <f t="shared" si="2354"/>
        <v>0</v>
      </c>
      <c r="M470" s="200">
        <f t="shared" si="2354"/>
        <v>0</v>
      </c>
      <c r="N470" s="200">
        <f t="shared" si="2354"/>
        <v>0</v>
      </c>
      <c r="O470" s="200">
        <f t="shared" si="2354"/>
        <v>0</v>
      </c>
      <c r="P470" s="200">
        <f t="shared" si="9"/>
        <v>1</v>
      </c>
      <c r="Q470" s="200">
        <f t="shared" ref="Q470:AC470" si="2355">countif($D470,"*"&amp;Q$2&amp;"*")</f>
        <v>0</v>
      </c>
      <c r="R470" s="200">
        <f t="shared" si="2355"/>
        <v>0</v>
      </c>
      <c r="S470" s="200">
        <f t="shared" si="2355"/>
        <v>0</v>
      </c>
      <c r="T470" s="200">
        <f t="shared" si="2355"/>
        <v>0</v>
      </c>
      <c r="U470" s="200">
        <f t="shared" si="2355"/>
        <v>0</v>
      </c>
      <c r="V470" s="200">
        <f t="shared" si="2355"/>
        <v>0</v>
      </c>
      <c r="W470" s="200">
        <f t="shared" si="2355"/>
        <v>0</v>
      </c>
      <c r="X470" s="200">
        <f t="shared" si="2355"/>
        <v>0</v>
      </c>
      <c r="Y470" s="200">
        <f t="shared" si="2355"/>
        <v>0</v>
      </c>
      <c r="Z470" s="200">
        <f t="shared" si="2355"/>
        <v>0</v>
      </c>
      <c r="AA470" s="200">
        <f t="shared" si="2355"/>
        <v>0</v>
      </c>
      <c r="AB470" s="200">
        <f t="shared" si="2355"/>
        <v>0</v>
      </c>
      <c r="AC470" s="200">
        <f t="shared" si="2355"/>
        <v>0</v>
      </c>
      <c r="AD470" s="200">
        <f t="shared" si="11"/>
        <v>0</v>
      </c>
      <c r="AE470" s="200">
        <f t="shared" ref="AE470:AG470" si="2356">countif($D470,"*"&amp;AE$2&amp;"*")</f>
        <v>0</v>
      </c>
      <c r="AF470" s="200">
        <f t="shared" si="2356"/>
        <v>0</v>
      </c>
      <c r="AG470" s="200">
        <f t="shared" si="2356"/>
        <v>0</v>
      </c>
      <c r="AH470" s="171">
        <f t="shared" si="13"/>
        <v>0</v>
      </c>
      <c r="AI470" s="200">
        <f t="shared" si="14"/>
        <v>0</v>
      </c>
      <c r="AJ470" s="200">
        <f t="shared" si="2076"/>
        <v>0</v>
      </c>
      <c r="AK470" s="201">
        <f t="shared" ref="AK470:AS470" si="2357">countif($D470,"*"&amp;AK$2&amp;"*")</f>
        <v>0</v>
      </c>
      <c r="AL470" s="201">
        <f t="shared" si="2357"/>
        <v>0</v>
      </c>
      <c r="AM470" s="201">
        <f t="shared" si="2357"/>
        <v>0</v>
      </c>
      <c r="AN470" s="201">
        <f t="shared" si="2357"/>
        <v>0</v>
      </c>
      <c r="AO470" s="201">
        <f t="shared" si="2357"/>
        <v>0</v>
      </c>
      <c r="AP470" s="201">
        <f t="shared" si="2357"/>
        <v>0</v>
      </c>
      <c r="AQ470" s="201">
        <f t="shared" si="2357"/>
        <v>0</v>
      </c>
      <c r="AR470" s="200">
        <f t="shared" si="2357"/>
        <v>0</v>
      </c>
      <c r="AS470" s="200">
        <f t="shared" si="2357"/>
        <v>0</v>
      </c>
      <c r="AT470" s="173">
        <v>0.0</v>
      </c>
      <c r="AU470" s="200">
        <f t="shared" ref="AU470:AX470" si="2358">countif($D470,"*"&amp;AU$2&amp;"*")</f>
        <v>0</v>
      </c>
      <c r="AV470" s="200">
        <f t="shared" si="2358"/>
        <v>1</v>
      </c>
      <c r="AW470" s="200">
        <f t="shared" si="2358"/>
        <v>0</v>
      </c>
      <c r="AX470" s="200">
        <f t="shared" si="2358"/>
        <v>0</v>
      </c>
      <c r="AY470" s="202">
        <v>0.0</v>
      </c>
      <c r="AZ470" s="200"/>
      <c r="BA470" s="171" t="str">
        <f t="shared" si="18"/>
        <v/>
      </c>
      <c r="BB470" s="171" t="str">
        <f t="shared" si="19"/>
        <v>Code</v>
      </c>
      <c r="BC470" s="171" t="str">
        <f t="shared" si="20"/>
        <v/>
      </c>
      <c r="BD470" s="171" t="str">
        <f t="shared" si="21"/>
        <v/>
      </c>
      <c r="BE470" s="171" t="str">
        <f t="shared" si="22"/>
        <v/>
      </c>
      <c r="BF470" s="171" t="str">
        <f t="shared" si="23"/>
        <v>Code</v>
      </c>
    </row>
    <row r="471">
      <c r="A471" s="171">
        <f t="array" ref="A471">XLOOKUP(C471,ICSE!A:A,ICSE!C:C,,2,1)</f>
        <v>2020</v>
      </c>
      <c r="B471" s="171" t="s">
        <v>5675</v>
      </c>
      <c r="C471" s="160">
        <v>808.0</v>
      </c>
      <c r="D471" s="161" t="s">
        <v>1806</v>
      </c>
      <c r="E471" s="197" t="str">
        <f t="array" ref="E471">XLOOKUP(C471,ICSE!A:A,ICSE!Z:Z,,0,1)</f>
        <v>Publicly available (1)</v>
      </c>
      <c r="F471" s="198" t="s">
        <v>20</v>
      </c>
      <c r="G471" s="163" t="str">
        <f t="array" ref="G471">IF(B471="ICSE",IF(COUNTIFS(B:B,B471,C:C,C471)=XLOOKUP(C471,ICSE!A:A,ICSE!AA:AA,"ERROR",0,1),"OK","ERROR"),IF(B471="FSE",IF(COUNTIFS(B:B,B471,C:C,C471)=XLOOKUP(C471,FSE!A:A,FSE!AA:AA,"ERROR",0,1),"OK","ERROR")))</f>
        <v>OK</v>
      </c>
      <c r="H471" s="199">
        <f t="shared" ref="H471:O471" si="2359">countif($D471,"*"&amp;H$2&amp;"*")</f>
        <v>0</v>
      </c>
      <c r="I471" s="200">
        <f t="shared" si="2359"/>
        <v>0</v>
      </c>
      <c r="J471" s="200">
        <f t="shared" si="2359"/>
        <v>0</v>
      </c>
      <c r="K471" s="200">
        <f t="shared" si="2359"/>
        <v>0</v>
      </c>
      <c r="L471" s="200">
        <f t="shared" si="2359"/>
        <v>0</v>
      </c>
      <c r="M471" s="200">
        <f t="shared" si="2359"/>
        <v>0</v>
      </c>
      <c r="N471" s="200">
        <f t="shared" si="2359"/>
        <v>0</v>
      </c>
      <c r="O471" s="200">
        <f t="shared" si="2359"/>
        <v>0</v>
      </c>
      <c r="P471" s="200">
        <f t="shared" si="9"/>
        <v>0</v>
      </c>
      <c r="Q471" s="200">
        <f t="shared" ref="Q471:AC471" si="2360">countif($D471,"*"&amp;Q$2&amp;"*")</f>
        <v>0</v>
      </c>
      <c r="R471" s="200">
        <f t="shared" si="2360"/>
        <v>0</v>
      </c>
      <c r="S471" s="200">
        <f t="shared" si="2360"/>
        <v>0</v>
      </c>
      <c r="T471" s="200">
        <f t="shared" si="2360"/>
        <v>0</v>
      </c>
      <c r="U471" s="200">
        <f t="shared" si="2360"/>
        <v>0</v>
      </c>
      <c r="V471" s="200">
        <f t="shared" si="2360"/>
        <v>0</v>
      </c>
      <c r="W471" s="200">
        <f t="shared" si="2360"/>
        <v>0</v>
      </c>
      <c r="X471" s="200">
        <f t="shared" si="2360"/>
        <v>0</v>
      </c>
      <c r="Y471" s="200">
        <f t="shared" si="2360"/>
        <v>0</v>
      </c>
      <c r="Z471" s="200">
        <f t="shared" si="2360"/>
        <v>0</v>
      </c>
      <c r="AA471" s="200">
        <f t="shared" si="2360"/>
        <v>1</v>
      </c>
      <c r="AB471" s="200">
        <f t="shared" si="2360"/>
        <v>0</v>
      </c>
      <c r="AC471" s="200">
        <f t="shared" si="2360"/>
        <v>0</v>
      </c>
      <c r="AD471" s="200">
        <f t="shared" si="11"/>
        <v>0</v>
      </c>
      <c r="AE471" s="200">
        <f t="shared" ref="AE471:AG471" si="2361">countif($D471,"*"&amp;AE$2&amp;"*")</f>
        <v>0</v>
      </c>
      <c r="AF471" s="200">
        <f t="shared" si="2361"/>
        <v>0</v>
      </c>
      <c r="AG471" s="200">
        <f t="shared" si="2361"/>
        <v>0</v>
      </c>
      <c r="AH471" s="171">
        <f t="shared" si="13"/>
        <v>0</v>
      </c>
      <c r="AI471" s="200">
        <f t="shared" si="14"/>
        <v>0</v>
      </c>
      <c r="AJ471" s="200">
        <f t="shared" si="2076"/>
        <v>0</v>
      </c>
      <c r="AK471" s="201">
        <f t="shared" ref="AK471:AS471" si="2362">countif($D471,"*"&amp;AK$2&amp;"*")</f>
        <v>0</v>
      </c>
      <c r="AL471" s="201">
        <f t="shared" si="2362"/>
        <v>0</v>
      </c>
      <c r="AM471" s="201">
        <f t="shared" si="2362"/>
        <v>0</v>
      </c>
      <c r="AN471" s="201">
        <f t="shared" si="2362"/>
        <v>0</v>
      </c>
      <c r="AO471" s="201">
        <f t="shared" si="2362"/>
        <v>0</v>
      </c>
      <c r="AP471" s="201">
        <f t="shared" si="2362"/>
        <v>0</v>
      </c>
      <c r="AQ471" s="201">
        <f t="shared" si="2362"/>
        <v>0</v>
      </c>
      <c r="AR471" s="200">
        <f t="shared" si="2362"/>
        <v>0</v>
      </c>
      <c r="AS471" s="200">
        <f t="shared" si="2362"/>
        <v>0</v>
      </c>
      <c r="AT471" s="173">
        <v>0.0</v>
      </c>
      <c r="AU471" s="200">
        <f t="shared" ref="AU471:AX471" si="2363">countif($D471,"*"&amp;AU$2&amp;"*")</f>
        <v>0</v>
      </c>
      <c r="AV471" s="200">
        <f t="shared" si="2363"/>
        <v>0</v>
      </c>
      <c r="AW471" s="200">
        <f t="shared" si="2363"/>
        <v>0</v>
      </c>
      <c r="AX471" s="200">
        <f t="shared" si="2363"/>
        <v>0</v>
      </c>
      <c r="AY471" s="202">
        <v>0.0</v>
      </c>
      <c r="AZ471" s="200"/>
      <c r="BA471" s="171" t="str">
        <f t="shared" si="18"/>
        <v/>
      </c>
      <c r="BB471" s="171" t="str">
        <f t="shared" si="19"/>
        <v/>
      </c>
      <c r="BC471" s="171" t="str">
        <f t="shared" si="20"/>
        <v>General-purpose</v>
      </c>
      <c r="BD471" s="171" t="str">
        <f t="shared" si="21"/>
        <v/>
      </c>
      <c r="BE471" s="171" t="str">
        <f t="shared" si="22"/>
        <v/>
      </c>
      <c r="BF471" s="171" t="str">
        <f t="shared" si="23"/>
        <v>General-purpose</v>
      </c>
    </row>
    <row r="472">
      <c r="A472" s="171">
        <f t="array" ref="A472">XLOOKUP(C472,ICSE!A:A,ICSE!C:C,,2,1)</f>
        <v>2020</v>
      </c>
      <c r="B472" s="171" t="s">
        <v>5675</v>
      </c>
      <c r="C472" s="160">
        <v>809.0</v>
      </c>
      <c r="D472" s="161" t="s">
        <v>1809</v>
      </c>
      <c r="E472" s="197" t="str">
        <f t="array" ref="E472">XLOOKUP(C472,ICSE!A:A,ICSE!Z:Z,,0,1)</f>
        <v>Publicly available (1)</v>
      </c>
      <c r="F472" s="198" t="s">
        <v>20</v>
      </c>
      <c r="G472" s="163" t="str">
        <f t="array" ref="G472">IF(B472="ICSE",IF(COUNTIFS(B:B,B472,C:C,C472)=XLOOKUP(C472,ICSE!A:A,ICSE!AA:AA,"ERROR",0,1),"OK","ERROR"),IF(B472="FSE",IF(COUNTIFS(B:B,B472,C:C,C472)=XLOOKUP(C472,FSE!A:A,FSE!AA:AA,"ERROR",0,1),"OK","ERROR")))</f>
        <v>OK</v>
      </c>
      <c r="H472" s="199">
        <f t="shared" ref="H472:O472" si="2364">countif($D472,"*"&amp;H$2&amp;"*")</f>
        <v>0</v>
      </c>
      <c r="I472" s="200">
        <f t="shared" si="2364"/>
        <v>0</v>
      </c>
      <c r="J472" s="200">
        <f t="shared" si="2364"/>
        <v>0</v>
      </c>
      <c r="K472" s="200">
        <f t="shared" si="2364"/>
        <v>0</v>
      </c>
      <c r="L472" s="200">
        <f t="shared" si="2364"/>
        <v>0</v>
      </c>
      <c r="M472" s="200">
        <f t="shared" si="2364"/>
        <v>0</v>
      </c>
      <c r="N472" s="200">
        <f t="shared" si="2364"/>
        <v>0</v>
      </c>
      <c r="O472" s="200">
        <f t="shared" si="2364"/>
        <v>0</v>
      </c>
      <c r="P472" s="200">
        <f t="shared" si="9"/>
        <v>1</v>
      </c>
      <c r="Q472" s="200">
        <f t="shared" ref="Q472:AC472" si="2365">countif($D472,"*"&amp;Q$2&amp;"*")</f>
        <v>0</v>
      </c>
      <c r="R472" s="200">
        <f t="shared" si="2365"/>
        <v>0</v>
      </c>
      <c r="S472" s="200">
        <f t="shared" si="2365"/>
        <v>0</v>
      </c>
      <c r="T472" s="200">
        <f t="shared" si="2365"/>
        <v>0</v>
      </c>
      <c r="U472" s="200">
        <f t="shared" si="2365"/>
        <v>0</v>
      </c>
      <c r="V472" s="200">
        <f t="shared" si="2365"/>
        <v>0</v>
      </c>
      <c r="W472" s="200">
        <f t="shared" si="2365"/>
        <v>0</v>
      </c>
      <c r="X472" s="200">
        <f t="shared" si="2365"/>
        <v>0</v>
      </c>
      <c r="Y472" s="200">
        <f t="shared" si="2365"/>
        <v>0</v>
      </c>
      <c r="Z472" s="200">
        <f t="shared" si="2365"/>
        <v>0</v>
      </c>
      <c r="AA472" s="200">
        <f t="shared" si="2365"/>
        <v>0</v>
      </c>
      <c r="AB472" s="200">
        <f t="shared" si="2365"/>
        <v>0</v>
      </c>
      <c r="AC472" s="200">
        <f t="shared" si="2365"/>
        <v>0</v>
      </c>
      <c r="AD472" s="200">
        <f t="shared" si="11"/>
        <v>0</v>
      </c>
      <c r="AE472" s="200">
        <f t="shared" ref="AE472:AG472" si="2366">countif($D472,"*"&amp;AE$2&amp;"*")</f>
        <v>0</v>
      </c>
      <c r="AF472" s="200">
        <f t="shared" si="2366"/>
        <v>0</v>
      </c>
      <c r="AG472" s="200">
        <f t="shared" si="2366"/>
        <v>0</v>
      </c>
      <c r="AH472" s="171">
        <f t="shared" si="13"/>
        <v>0</v>
      </c>
      <c r="AI472" s="200">
        <f t="shared" si="14"/>
        <v>0</v>
      </c>
      <c r="AJ472" s="200">
        <f t="shared" si="2076"/>
        <v>0</v>
      </c>
      <c r="AK472" s="201">
        <f t="shared" ref="AK472:AS472" si="2367">countif($D472,"*"&amp;AK$2&amp;"*")</f>
        <v>0</v>
      </c>
      <c r="AL472" s="201">
        <f t="shared" si="2367"/>
        <v>0</v>
      </c>
      <c r="AM472" s="201">
        <f t="shared" si="2367"/>
        <v>0</v>
      </c>
      <c r="AN472" s="201">
        <f t="shared" si="2367"/>
        <v>0</v>
      </c>
      <c r="AO472" s="201">
        <f t="shared" si="2367"/>
        <v>0</v>
      </c>
      <c r="AP472" s="201">
        <f t="shared" si="2367"/>
        <v>0</v>
      </c>
      <c r="AQ472" s="201">
        <f t="shared" si="2367"/>
        <v>0</v>
      </c>
      <c r="AR472" s="200">
        <f t="shared" si="2367"/>
        <v>0</v>
      </c>
      <c r="AS472" s="200">
        <f t="shared" si="2367"/>
        <v>0</v>
      </c>
      <c r="AT472" s="173">
        <v>0.0</v>
      </c>
      <c r="AU472" s="200">
        <f t="shared" ref="AU472:AX472" si="2368">countif($D472,"*"&amp;AU$2&amp;"*")</f>
        <v>0</v>
      </c>
      <c r="AV472" s="200">
        <f t="shared" si="2368"/>
        <v>1</v>
      </c>
      <c r="AW472" s="200">
        <f t="shared" si="2368"/>
        <v>0</v>
      </c>
      <c r="AX472" s="200">
        <f t="shared" si="2368"/>
        <v>0</v>
      </c>
      <c r="AY472" s="202">
        <v>0.0</v>
      </c>
      <c r="AZ472" s="200"/>
      <c r="BA472" s="171" t="str">
        <f t="shared" si="18"/>
        <v/>
      </c>
      <c r="BB472" s="171" t="str">
        <f t="shared" si="19"/>
        <v>Code</v>
      </c>
      <c r="BC472" s="171" t="str">
        <f t="shared" si="20"/>
        <v/>
      </c>
      <c r="BD472" s="171" t="str">
        <f t="shared" si="21"/>
        <v/>
      </c>
      <c r="BE472" s="171" t="str">
        <f t="shared" si="22"/>
        <v/>
      </c>
      <c r="BF472" s="171" t="str">
        <f t="shared" si="23"/>
        <v>Code</v>
      </c>
    </row>
    <row r="473">
      <c r="A473" s="171">
        <f t="array" ref="A473">XLOOKUP(C473,ICSE!A:A,ICSE!C:C,,2,1)</f>
        <v>2020</v>
      </c>
      <c r="B473" s="171" t="s">
        <v>5675</v>
      </c>
      <c r="C473" s="160">
        <v>810.0</v>
      </c>
      <c r="D473" s="161" t="s">
        <v>1812</v>
      </c>
      <c r="E473" s="197" t="str">
        <f t="array" ref="E473">XLOOKUP(C473,ICSE!A:A,ICSE!Z:Z,,0,1)</f>
        <v>Not available (1) - Broken link.</v>
      </c>
      <c r="F473" s="198" t="s">
        <v>21</v>
      </c>
      <c r="G473" s="163" t="str">
        <f t="array" ref="G473">IF(B473="ICSE",IF(COUNTIFS(B:B,B473,C:C,C473)=XLOOKUP(C473,ICSE!A:A,ICSE!AA:AA,"ERROR",0,1),"OK","ERROR"),IF(B473="FSE",IF(COUNTIFS(B:B,B473,C:C,C473)=XLOOKUP(C473,FSE!A:A,FSE!AA:AA,"ERROR",0,1),"OK","ERROR")))</f>
        <v>OK</v>
      </c>
      <c r="H473" s="199">
        <f t="shared" ref="H473:O473" si="2369">countif($D473,"*"&amp;H$2&amp;"*")</f>
        <v>0</v>
      </c>
      <c r="I473" s="200">
        <f t="shared" si="2369"/>
        <v>0</v>
      </c>
      <c r="J473" s="200">
        <f t="shared" si="2369"/>
        <v>0</v>
      </c>
      <c r="K473" s="200">
        <f t="shared" si="2369"/>
        <v>0</v>
      </c>
      <c r="L473" s="200">
        <f t="shared" si="2369"/>
        <v>0</v>
      </c>
      <c r="M473" s="200">
        <f t="shared" si="2369"/>
        <v>0</v>
      </c>
      <c r="N473" s="200">
        <f t="shared" si="2369"/>
        <v>0</v>
      </c>
      <c r="O473" s="200">
        <f t="shared" si="2369"/>
        <v>0</v>
      </c>
      <c r="P473" s="200">
        <f t="shared" si="9"/>
        <v>0</v>
      </c>
      <c r="Q473" s="200">
        <f t="shared" ref="Q473:AC473" si="2370">countif($D473,"*"&amp;Q$2&amp;"*")</f>
        <v>0</v>
      </c>
      <c r="R473" s="200">
        <f t="shared" si="2370"/>
        <v>0</v>
      </c>
      <c r="S473" s="200">
        <f t="shared" si="2370"/>
        <v>0</v>
      </c>
      <c r="T473" s="200">
        <f t="shared" si="2370"/>
        <v>0</v>
      </c>
      <c r="U473" s="200">
        <f t="shared" si="2370"/>
        <v>0</v>
      </c>
      <c r="V473" s="200">
        <f t="shared" si="2370"/>
        <v>0</v>
      </c>
      <c r="W473" s="200">
        <f t="shared" si="2370"/>
        <v>0</v>
      </c>
      <c r="X473" s="200">
        <f t="shared" si="2370"/>
        <v>0</v>
      </c>
      <c r="Y473" s="200">
        <f t="shared" si="2370"/>
        <v>0</v>
      </c>
      <c r="Z473" s="200">
        <f t="shared" si="2370"/>
        <v>0</v>
      </c>
      <c r="AA473" s="200">
        <f t="shared" si="2370"/>
        <v>0</v>
      </c>
      <c r="AB473" s="200">
        <f t="shared" si="2370"/>
        <v>0</v>
      </c>
      <c r="AC473" s="200">
        <f t="shared" si="2370"/>
        <v>0</v>
      </c>
      <c r="AD473" s="200">
        <f t="shared" si="11"/>
        <v>1</v>
      </c>
      <c r="AE473" s="200">
        <f t="shared" ref="AE473:AG473" si="2371">countif($D473,"*"&amp;AE$2&amp;"*")</f>
        <v>0</v>
      </c>
      <c r="AF473" s="200">
        <f t="shared" si="2371"/>
        <v>0</v>
      </c>
      <c r="AG473" s="200">
        <f t="shared" si="2371"/>
        <v>0</v>
      </c>
      <c r="AH473" s="171">
        <f t="shared" si="13"/>
        <v>0</v>
      </c>
      <c r="AI473" s="200">
        <f t="shared" si="14"/>
        <v>0</v>
      </c>
      <c r="AJ473" s="200">
        <f>SUM(AK473:AQ473)</f>
        <v>0</v>
      </c>
      <c r="AK473" s="201">
        <f t="shared" ref="AK473:AS473" si="2372">countif($D473,"*"&amp;AK$2&amp;"*")</f>
        <v>0</v>
      </c>
      <c r="AL473" s="201">
        <f t="shared" si="2372"/>
        <v>0</v>
      </c>
      <c r="AM473" s="201">
        <f t="shared" si="2372"/>
        <v>0</v>
      </c>
      <c r="AN473" s="201">
        <f t="shared" si="2372"/>
        <v>0</v>
      </c>
      <c r="AO473" s="201">
        <f t="shared" si="2372"/>
        <v>0</v>
      </c>
      <c r="AP473" s="201">
        <f t="shared" si="2372"/>
        <v>0</v>
      </c>
      <c r="AQ473" s="201">
        <f t="shared" si="2372"/>
        <v>0</v>
      </c>
      <c r="AR473" s="201">
        <f t="shared" si="2372"/>
        <v>0</v>
      </c>
      <c r="AS473" s="200">
        <f t="shared" si="2372"/>
        <v>0</v>
      </c>
      <c r="AT473" s="205">
        <v>0.0</v>
      </c>
      <c r="AU473" s="200">
        <f t="shared" ref="AU473:AX473" si="2373">countif($D473,"*"&amp;AU$2&amp;"*")</f>
        <v>1</v>
      </c>
      <c r="AV473" s="200">
        <f t="shared" si="2373"/>
        <v>0</v>
      </c>
      <c r="AW473" s="200">
        <f t="shared" si="2373"/>
        <v>0</v>
      </c>
      <c r="AX473" s="200">
        <f t="shared" si="2373"/>
        <v>0</v>
      </c>
      <c r="AY473" s="202">
        <v>0.0</v>
      </c>
      <c r="AZ473" s="200"/>
      <c r="BA473" s="171" t="str">
        <f t="shared" si="18"/>
        <v/>
      </c>
      <c r="BB473" s="171" t="str">
        <f t="shared" si="19"/>
        <v/>
      </c>
      <c r="BC473" s="171" t="str">
        <f t="shared" si="20"/>
        <v/>
      </c>
      <c r="BD473" s="171" t="str">
        <f t="shared" si="21"/>
        <v>Institutional</v>
      </c>
      <c r="BE473" s="171" t="str">
        <f t="shared" si="22"/>
        <v/>
      </c>
      <c r="BF473" s="171" t="str">
        <f t="shared" si="23"/>
        <v>Institutional</v>
      </c>
    </row>
    <row r="474">
      <c r="A474" s="171">
        <f t="array" ref="A474">XLOOKUP(C474,ICSE!A:A,ICSE!C:C,,2,1)</f>
        <v>2020</v>
      </c>
      <c r="B474" s="171" t="s">
        <v>5675</v>
      </c>
      <c r="C474" s="160">
        <v>811.0</v>
      </c>
      <c r="D474" s="161" t="s">
        <v>1814</v>
      </c>
      <c r="E474" s="197" t="str">
        <f t="array" ref="E474">XLOOKUP(C474,ICSE!A:A,ICSE!Z:Z,,0,1)</f>
        <v>Publicly available (1)</v>
      </c>
      <c r="F474" s="198" t="s">
        <v>20</v>
      </c>
      <c r="G474" s="163" t="str">
        <f t="array" ref="G474">IF(B474="ICSE",IF(COUNTIFS(B:B,B474,C:C,C474)=XLOOKUP(C474,ICSE!A:A,ICSE!AA:AA,"ERROR",0,1),"OK","ERROR"),IF(B474="FSE",IF(COUNTIFS(B:B,B474,C:C,C474)=XLOOKUP(C474,FSE!A:A,FSE!AA:AA,"ERROR",0,1),"OK","ERROR")))</f>
        <v>OK</v>
      </c>
      <c r="H474" s="199">
        <f t="shared" ref="H474:O474" si="2374">countif($D474,"*"&amp;H$2&amp;"*")</f>
        <v>0</v>
      </c>
      <c r="I474" s="200">
        <f t="shared" si="2374"/>
        <v>0</v>
      </c>
      <c r="J474" s="200">
        <f t="shared" si="2374"/>
        <v>0</v>
      </c>
      <c r="K474" s="200">
        <f t="shared" si="2374"/>
        <v>0</v>
      </c>
      <c r="L474" s="200">
        <f t="shared" si="2374"/>
        <v>0</v>
      </c>
      <c r="M474" s="200">
        <f t="shared" si="2374"/>
        <v>0</v>
      </c>
      <c r="N474" s="200">
        <f t="shared" si="2374"/>
        <v>0</v>
      </c>
      <c r="O474" s="200">
        <f t="shared" si="2374"/>
        <v>0</v>
      </c>
      <c r="P474" s="200">
        <f t="shared" si="9"/>
        <v>1</v>
      </c>
      <c r="Q474" s="200">
        <f t="shared" ref="Q474:AC474" si="2375">countif($D474,"*"&amp;Q$2&amp;"*")</f>
        <v>0</v>
      </c>
      <c r="R474" s="200">
        <f t="shared" si="2375"/>
        <v>0</v>
      </c>
      <c r="S474" s="200">
        <f t="shared" si="2375"/>
        <v>0</v>
      </c>
      <c r="T474" s="200">
        <f t="shared" si="2375"/>
        <v>0</v>
      </c>
      <c r="U474" s="200">
        <f t="shared" si="2375"/>
        <v>0</v>
      </c>
      <c r="V474" s="200">
        <f t="shared" si="2375"/>
        <v>0</v>
      </c>
      <c r="W474" s="200">
        <f t="shared" si="2375"/>
        <v>0</v>
      </c>
      <c r="X474" s="200">
        <f t="shared" si="2375"/>
        <v>0</v>
      </c>
      <c r="Y474" s="200">
        <f t="shared" si="2375"/>
        <v>0</v>
      </c>
      <c r="Z474" s="200">
        <f t="shared" si="2375"/>
        <v>0</v>
      </c>
      <c r="AA474" s="200">
        <f t="shared" si="2375"/>
        <v>0</v>
      </c>
      <c r="AB474" s="200">
        <f t="shared" si="2375"/>
        <v>0</v>
      </c>
      <c r="AC474" s="200">
        <f t="shared" si="2375"/>
        <v>0</v>
      </c>
      <c r="AD474" s="200">
        <f t="shared" si="11"/>
        <v>0</v>
      </c>
      <c r="AE474" s="200">
        <f t="shared" ref="AE474:AG474" si="2376">countif($D474,"*"&amp;AE$2&amp;"*")</f>
        <v>0</v>
      </c>
      <c r="AF474" s="200">
        <f t="shared" si="2376"/>
        <v>0</v>
      </c>
      <c r="AG474" s="200">
        <f t="shared" si="2376"/>
        <v>0</v>
      </c>
      <c r="AH474" s="171">
        <f t="shared" si="13"/>
        <v>0</v>
      </c>
      <c r="AI474" s="200">
        <f t="shared" si="14"/>
        <v>0</v>
      </c>
      <c r="AJ474" s="200">
        <f t="shared" ref="AJ474:AJ488" si="2382">SUM(AK474:AR474)</f>
        <v>0</v>
      </c>
      <c r="AK474" s="201">
        <f t="shared" ref="AK474:AS474" si="2377">countif($D474,"*"&amp;AK$2&amp;"*")</f>
        <v>0</v>
      </c>
      <c r="AL474" s="201">
        <f t="shared" si="2377"/>
        <v>0</v>
      </c>
      <c r="AM474" s="201">
        <f t="shared" si="2377"/>
        <v>0</v>
      </c>
      <c r="AN474" s="201">
        <f t="shared" si="2377"/>
        <v>0</v>
      </c>
      <c r="AO474" s="201">
        <f t="shared" si="2377"/>
        <v>0</v>
      </c>
      <c r="AP474" s="201">
        <f t="shared" si="2377"/>
        <v>0</v>
      </c>
      <c r="AQ474" s="201">
        <f t="shared" si="2377"/>
        <v>0</v>
      </c>
      <c r="AR474" s="200">
        <f t="shared" si="2377"/>
        <v>0</v>
      </c>
      <c r="AS474" s="200">
        <f t="shared" si="2377"/>
        <v>0</v>
      </c>
      <c r="AT474" s="173">
        <v>0.0</v>
      </c>
      <c r="AU474" s="200">
        <f t="shared" ref="AU474:AX474" si="2378">countif($D474,"*"&amp;AU$2&amp;"*")</f>
        <v>0</v>
      </c>
      <c r="AV474" s="200">
        <f t="shared" si="2378"/>
        <v>1</v>
      </c>
      <c r="AW474" s="200">
        <f t="shared" si="2378"/>
        <v>0</v>
      </c>
      <c r="AX474" s="200">
        <f t="shared" si="2378"/>
        <v>0</v>
      </c>
      <c r="AY474" s="202">
        <v>0.0</v>
      </c>
      <c r="AZ474" s="200"/>
      <c r="BA474" s="171" t="str">
        <f t="shared" si="18"/>
        <v/>
      </c>
      <c r="BB474" s="171" t="str">
        <f t="shared" si="19"/>
        <v>Code</v>
      </c>
      <c r="BC474" s="171" t="str">
        <f t="shared" si="20"/>
        <v/>
      </c>
      <c r="BD474" s="171" t="str">
        <f t="shared" si="21"/>
        <v/>
      </c>
      <c r="BE474" s="171" t="str">
        <f t="shared" si="22"/>
        <v/>
      </c>
      <c r="BF474" s="171" t="str">
        <f t="shared" si="23"/>
        <v>Code</v>
      </c>
    </row>
    <row r="475">
      <c r="A475" s="171">
        <f t="array" ref="A475">XLOOKUP(C475,ICSE!A:A,ICSE!C:C,,2,1)</f>
        <v>2020</v>
      </c>
      <c r="B475" s="171" t="s">
        <v>5675</v>
      </c>
      <c r="C475" s="160">
        <v>812.0</v>
      </c>
      <c r="D475" s="161" t="s">
        <v>5895</v>
      </c>
      <c r="E475" s="197" t="str">
        <f t="array" ref="E475">XLOOKUP(C475,ICSE!A:A,ICSE!Z:Z,,0,1)</f>
        <v>Publicly available (2)</v>
      </c>
      <c r="F475" s="198" t="s">
        <v>20</v>
      </c>
      <c r="G475" s="163" t="str">
        <f t="array" ref="G475">IF(B475="ICSE",IF(COUNTIFS(B:B,B475,C:C,C475)=XLOOKUP(C475,ICSE!A:A,ICSE!AA:AA,"ERROR",0,1),"OK","ERROR"),IF(B475="FSE",IF(COUNTIFS(B:B,B475,C:C,C475)=XLOOKUP(C475,FSE!A:A,FSE!AA:AA,"ERROR",0,1),"OK","ERROR")))</f>
        <v>OK</v>
      </c>
      <c r="H475" s="199">
        <f t="shared" ref="H475:O475" si="2379">countif($D475,"*"&amp;H$2&amp;"*")</f>
        <v>0</v>
      </c>
      <c r="I475" s="200">
        <f t="shared" si="2379"/>
        <v>0</v>
      </c>
      <c r="J475" s="200">
        <f t="shared" si="2379"/>
        <v>0</v>
      </c>
      <c r="K475" s="200">
        <f t="shared" si="2379"/>
        <v>0</v>
      </c>
      <c r="L475" s="200">
        <f t="shared" si="2379"/>
        <v>0</v>
      </c>
      <c r="M475" s="200">
        <f t="shared" si="2379"/>
        <v>0</v>
      </c>
      <c r="N475" s="200">
        <f t="shared" si="2379"/>
        <v>0</v>
      </c>
      <c r="O475" s="200">
        <f t="shared" si="2379"/>
        <v>0</v>
      </c>
      <c r="P475" s="200">
        <f t="shared" si="9"/>
        <v>1</v>
      </c>
      <c r="Q475" s="200">
        <f t="shared" ref="Q475:AC475" si="2380">countif($D475,"*"&amp;Q$2&amp;"*")</f>
        <v>0</v>
      </c>
      <c r="R475" s="200">
        <f t="shared" si="2380"/>
        <v>0</v>
      </c>
      <c r="S475" s="200">
        <f t="shared" si="2380"/>
        <v>0</v>
      </c>
      <c r="T475" s="200">
        <f t="shared" si="2380"/>
        <v>0</v>
      </c>
      <c r="U475" s="200">
        <f t="shared" si="2380"/>
        <v>0</v>
      </c>
      <c r="V475" s="200">
        <f t="shared" si="2380"/>
        <v>0</v>
      </c>
      <c r="W475" s="200">
        <f t="shared" si="2380"/>
        <v>0</v>
      </c>
      <c r="X475" s="200">
        <f t="shared" si="2380"/>
        <v>0</v>
      </c>
      <c r="Y475" s="200">
        <f t="shared" si="2380"/>
        <v>0</v>
      </c>
      <c r="Z475" s="200">
        <f t="shared" si="2380"/>
        <v>0</v>
      </c>
      <c r="AA475" s="200">
        <f t="shared" si="2380"/>
        <v>0</v>
      </c>
      <c r="AB475" s="200">
        <f t="shared" si="2380"/>
        <v>0</v>
      </c>
      <c r="AC475" s="200">
        <f t="shared" si="2380"/>
        <v>0</v>
      </c>
      <c r="AD475" s="200">
        <f t="shared" si="11"/>
        <v>0</v>
      </c>
      <c r="AE475" s="200">
        <f t="shared" ref="AE475:AG475" si="2381">countif($D475,"*"&amp;AE$2&amp;"*")</f>
        <v>0</v>
      </c>
      <c r="AF475" s="200">
        <f t="shared" si="2381"/>
        <v>0</v>
      </c>
      <c r="AG475" s="200">
        <f t="shared" si="2381"/>
        <v>0</v>
      </c>
      <c r="AH475" s="171">
        <f t="shared" si="13"/>
        <v>0</v>
      </c>
      <c r="AI475" s="200">
        <f t="shared" si="14"/>
        <v>0</v>
      </c>
      <c r="AJ475" s="200">
        <f t="shared" si="2382"/>
        <v>0</v>
      </c>
      <c r="AK475" s="201">
        <f t="shared" ref="AK475:AS475" si="2383">countif($D475,"*"&amp;AK$2&amp;"*")</f>
        <v>0</v>
      </c>
      <c r="AL475" s="201">
        <f t="shared" si="2383"/>
        <v>0</v>
      </c>
      <c r="AM475" s="201">
        <f t="shared" si="2383"/>
        <v>0</v>
      </c>
      <c r="AN475" s="201">
        <f t="shared" si="2383"/>
        <v>0</v>
      </c>
      <c r="AO475" s="201">
        <f t="shared" si="2383"/>
        <v>0</v>
      </c>
      <c r="AP475" s="201">
        <f t="shared" si="2383"/>
        <v>0</v>
      </c>
      <c r="AQ475" s="201">
        <f t="shared" si="2383"/>
        <v>0</v>
      </c>
      <c r="AR475" s="200">
        <f t="shared" si="2383"/>
        <v>0</v>
      </c>
      <c r="AS475" s="200">
        <f t="shared" si="2383"/>
        <v>0</v>
      </c>
      <c r="AT475" s="173">
        <v>0.0</v>
      </c>
      <c r="AU475" s="200">
        <f t="shared" ref="AU475:AX475" si="2384">countif($D475,"*"&amp;AU$2&amp;"*")</f>
        <v>0</v>
      </c>
      <c r="AV475" s="200">
        <f t="shared" si="2384"/>
        <v>1</v>
      </c>
      <c r="AW475" s="200">
        <f t="shared" si="2384"/>
        <v>0</v>
      </c>
      <c r="AX475" s="200">
        <f t="shared" si="2384"/>
        <v>0</v>
      </c>
      <c r="AY475" s="202">
        <v>0.0</v>
      </c>
      <c r="AZ475" s="200"/>
      <c r="BA475" s="171" t="str">
        <f t="shared" si="18"/>
        <v/>
      </c>
      <c r="BB475" s="171" t="str">
        <f t="shared" si="19"/>
        <v>Code</v>
      </c>
      <c r="BC475" s="171" t="str">
        <f t="shared" si="20"/>
        <v/>
      </c>
      <c r="BD475" s="171" t="str">
        <f t="shared" si="21"/>
        <v/>
      </c>
      <c r="BE475" s="171" t="str">
        <f t="shared" si="22"/>
        <v/>
      </c>
      <c r="BF475" s="171" t="str">
        <f t="shared" si="23"/>
        <v>Code</v>
      </c>
    </row>
    <row r="476">
      <c r="A476" s="171">
        <f t="array" ref="A476">XLOOKUP(C476,ICSE!A:A,ICSE!C:C,,2,1)</f>
        <v>2020</v>
      </c>
      <c r="B476" s="171" t="s">
        <v>5675</v>
      </c>
      <c r="C476" s="160">
        <v>812.0</v>
      </c>
      <c r="D476" s="161" t="s">
        <v>5896</v>
      </c>
      <c r="E476" s="197" t="str">
        <f t="array" ref="E476">XLOOKUP(C476,ICSE!A:A,ICSE!Z:Z,,0,1)</f>
        <v>Publicly available (2)</v>
      </c>
      <c r="F476" s="198" t="s">
        <v>20</v>
      </c>
      <c r="G476" s="163" t="str">
        <f t="array" ref="G476">IF(B476="ICSE",IF(COUNTIFS(B:B,B476,C:C,C476)=XLOOKUP(C476,ICSE!A:A,ICSE!AA:AA,"ERROR",0,1),"OK","ERROR"),IF(B476="FSE",IF(COUNTIFS(B:B,B476,C:C,C476)=XLOOKUP(C476,FSE!A:A,FSE!AA:AA,"ERROR",0,1),"OK","ERROR")))</f>
        <v>OK</v>
      </c>
      <c r="H476" s="199">
        <f t="shared" ref="H476:O476" si="2385">countif($D476,"*"&amp;H$2&amp;"*")</f>
        <v>1</v>
      </c>
      <c r="I476" s="200">
        <f t="shared" si="2385"/>
        <v>0</v>
      </c>
      <c r="J476" s="200">
        <f t="shared" si="2385"/>
        <v>0</v>
      </c>
      <c r="K476" s="200">
        <f t="shared" si="2385"/>
        <v>0</v>
      </c>
      <c r="L476" s="200">
        <f t="shared" si="2385"/>
        <v>0</v>
      </c>
      <c r="M476" s="200">
        <f t="shared" si="2385"/>
        <v>0</v>
      </c>
      <c r="N476" s="200">
        <f t="shared" si="2385"/>
        <v>0</v>
      </c>
      <c r="O476" s="200">
        <f t="shared" si="2385"/>
        <v>0</v>
      </c>
      <c r="P476" s="200">
        <f t="shared" si="9"/>
        <v>0</v>
      </c>
      <c r="Q476" s="200">
        <f t="shared" ref="Q476:AC476" si="2386">countif($D476,"*"&amp;Q$2&amp;"*")</f>
        <v>0</v>
      </c>
      <c r="R476" s="200">
        <f t="shared" si="2386"/>
        <v>0</v>
      </c>
      <c r="S476" s="200">
        <f t="shared" si="2386"/>
        <v>0</v>
      </c>
      <c r="T476" s="200">
        <f t="shared" si="2386"/>
        <v>0</v>
      </c>
      <c r="U476" s="200">
        <f t="shared" si="2386"/>
        <v>0</v>
      </c>
      <c r="V476" s="200">
        <f t="shared" si="2386"/>
        <v>0</v>
      </c>
      <c r="W476" s="200">
        <f t="shared" si="2386"/>
        <v>0</v>
      </c>
      <c r="X476" s="200">
        <f t="shared" si="2386"/>
        <v>0</v>
      </c>
      <c r="Y476" s="200">
        <f t="shared" si="2386"/>
        <v>0</v>
      </c>
      <c r="Z476" s="200">
        <f t="shared" si="2386"/>
        <v>0</v>
      </c>
      <c r="AA476" s="200">
        <f t="shared" si="2386"/>
        <v>0</v>
      </c>
      <c r="AB476" s="200">
        <f t="shared" si="2386"/>
        <v>0</v>
      </c>
      <c r="AC476" s="200">
        <f t="shared" si="2386"/>
        <v>0</v>
      </c>
      <c r="AD476" s="200">
        <f t="shared" si="11"/>
        <v>0</v>
      </c>
      <c r="AE476" s="200">
        <f t="shared" ref="AE476:AG476" si="2387">countif($D476,"*"&amp;AE$2&amp;"*")</f>
        <v>0</v>
      </c>
      <c r="AF476" s="200">
        <f t="shared" si="2387"/>
        <v>0</v>
      </c>
      <c r="AG476" s="200">
        <f t="shared" si="2387"/>
        <v>0</v>
      </c>
      <c r="AH476" s="171">
        <f t="shared" si="13"/>
        <v>0</v>
      </c>
      <c r="AI476" s="200">
        <f t="shared" si="14"/>
        <v>1</v>
      </c>
      <c r="AJ476" s="200">
        <f t="shared" si="2382"/>
        <v>0</v>
      </c>
      <c r="AK476" s="201">
        <f t="shared" ref="AK476:AS476" si="2388">countif($D476,"*"&amp;AK$2&amp;"*")</f>
        <v>0</v>
      </c>
      <c r="AL476" s="201">
        <f t="shared" si="2388"/>
        <v>0</v>
      </c>
      <c r="AM476" s="201">
        <f t="shared" si="2388"/>
        <v>0</v>
      </c>
      <c r="AN476" s="201">
        <f t="shared" si="2388"/>
        <v>0</v>
      </c>
      <c r="AO476" s="201">
        <f t="shared" si="2388"/>
        <v>0</v>
      </c>
      <c r="AP476" s="201">
        <f t="shared" si="2388"/>
        <v>0</v>
      </c>
      <c r="AQ476" s="201">
        <f t="shared" si="2388"/>
        <v>0</v>
      </c>
      <c r="AR476" s="200">
        <f t="shared" si="2388"/>
        <v>0</v>
      </c>
      <c r="AS476" s="200">
        <f t="shared" si="2388"/>
        <v>0</v>
      </c>
      <c r="AT476" s="173">
        <v>0.0</v>
      </c>
      <c r="AU476" s="200">
        <f t="shared" ref="AU476:AX476" si="2389">countif($D476,"*"&amp;AU$2&amp;"*")</f>
        <v>0</v>
      </c>
      <c r="AV476" s="200">
        <f t="shared" si="2389"/>
        <v>0</v>
      </c>
      <c r="AW476" s="200">
        <f t="shared" si="2389"/>
        <v>0</v>
      </c>
      <c r="AX476" s="200">
        <f t="shared" si="2389"/>
        <v>1</v>
      </c>
      <c r="AY476" s="202">
        <v>0.0</v>
      </c>
      <c r="AZ476" s="200"/>
      <c r="BA476" s="171" t="str">
        <f t="shared" si="18"/>
        <v>Archival</v>
      </c>
      <c r="BB476" s="171" t="str">
        <f t="shared" si="19"/>
        <v/>
      </c>
      <c r="BC476" s="171" t="str">
        <f t="shared" si="20"/>
        <v/>
      </c>
      <c r="BD476" s="171" t="str">
        <f t="shared" si="21"/>
        <v/>
      </c>
      <c r="BE476" s="171" t="str">
        <f t="shared" si="22"/>
        <v/>
      </c>
      <c r="BF476" s="171" t="str">
        <f t="shared" si="23"/>
        <v>Archival</v>
      </c>
    </row>
    <row r="477">
      <c r="A477" s="171">
        <f t="array" ref="A477">XLOOKUP(C477,ICSE!A:A,ICSE!C:C,,2,1)</f>
        <v>2020</v>
      </c>
      <c r="B477" s="171" t="s">
        <v>5675</v>
      </c>
      <c r="C477" s="160">
        <v>814.0</v>
      </c>
      <c r="D477" s="161" t="s">
        <v>1821</v>
      </c>
      <c r="E477" s="197" t="str">
        <f t="array" ref="E477">XLOOKUP(C477,ICSE!A:A,ICSE!Z:Z,,0,1)</f>
        <v>Publicly available (1)</v>
      </c>
      <c r="F477" s="198" t="s">
        <v>20</v>
      </c>
      <c r="G477" s="163" t="str">
        <f t="array" ref="G477">IF(B477="ICSE",IF(COUNTIFS(B:B,B477,C:C,C477)=XLOOKUP(C477,ICSE!A:A,ICSE!AA:AA,"ERROR",0,1),"OK","ERROR"),IF(B477="FSE",IF(COUNTIFS(B:B,B477,C:C,C477)=XLOOKUP(C477,FSE!A:A,FSE!AA:AA,"ERROR",0,1),"OK","ERROR")))</f>
        <v>OK</v>
      </c>
      <c r="H477" s="199">
        <f t="shared" ref="H477:O477" si="2390">countif($D477,"*"&amp;H$2&amp;"*")</f>
        <v>0</v>
      </c>
      <c r="I477" s="200">
        <f t="shared" si="2390"/>
        <v>0</v>
      </c>
      <c r="J477" s="200">
        <f t="shared" si="2390"/>
        <v>0</v>
      </c>
      <c r="K477" s="200">
        <f t="shared" si="2390"/>
        <v>0</v>
      </c>
      <c r="L477" s="200">
        <f t="shared" si="2390"/>
        <v>0</v>
      </c>
      <c r="M477" s="200">
        <f t="shared" si="2390"/>
        <v>0</v>
      </c>
      <c r="N477" s="200">
        <f t="shared" si="2390"/>
        <v>0</v>
      </c>
      <c r="O477" s="200">
        <f t="shared" si="2390"/>
        <v>0</v>
      </c>
      <c r="P477" s="200">
        <f t="shared" si="9"/>
        <v>1</v>
      </c>
      <c r="Q477" s="200">
        <f t="shared" ref="Q477:AC477" si="2391">countif($D477,"*"&amp;Q$2&amp;"*")</f>
        <v>0</v>
      </c>
      <c r="R477" s="200">
        <f t="shared" si="2391"/>
        <v>0</v>
      </c>
      <c r="S477" s="200">
        <f t="shared" si="2391"/>
        <v>0</v>
      </c>
      <c r="T477" s="200">
        <f t="shared" si="2391"/>
        <v>0</v>
      </c>
      <c r="U477" s="200">
        <f t="shared" si="2391"/>
        <v>0</v>
      </c>
      <c r="V477" s="200">
        <f t="shared" si="2391"/>
        <v>0</v>
      </c>
      <c r="W477" s="200">
        <f t="shared" si="2391"/>
        <v>0</v>
      </c>
      <c r="X477" s="200">
        <f t="shared" si="2391"/>
        <v>0</v>
      </c>
      <c r="Y477" s="200">
        <f t="shared" si="2391"/>
        <v>0</v>
      </c>
      <c r="Z477" s="200">
        <f t="shared" si="2391"/>
        <v>0</v>
      </c>
      <c r="AA477" s="200">
        <f t="shared" si="2391"/>
        <v>0</v>
      </c>
      <c r="AB477" s="200">
        <f t="shared" si="2391"/>
        <v>0</v>
      </c>
      <c r="AC477" s="200">
        <f t="shared" si="2391"/>
        <v>0</v>
      </c>
      <c r="AD477" s="200">
        <f t="shared" si="11"/>
        <v>0</v>
      </c>
      <c r="AE477" s="200">
        <f t="shared" ref="AE477:AG477" si="2392">countif($D477,"*"&amp;AE$2&amp;"*")</f>
        <v>0</v>
      </c>
      <c r="AF477" s="200">
        <f t="shared" si="2392"/>
        <v>0</v>
      </c>
      <c r="AG477" s="200">
        <f t="shared" si="2392"/>
        <v>0</v>
      </c>
      <c r="AH477" s="171">
        <f t="shared" si="13"/>
        <v>0</v>
      </c>
      <c r="AI477" s="200">
        <f t="shared" si="14"/>
        <v>0</v>
      </c>
      <c r="AJ477" s="200">
        <f t="shared" si="2382"/>
        <v>0</v>
      </c>
      <c r="AK477" s="201">
        <f t="shared" ref="AK477:AS477" si="2393">countif($D477,"*"&amp;AK$2&amp;"*")</f>
        <v>0</v>
      </c>
      <c r="AL477" s="201">
        <f t="shared" si="2393"/>
        <v>0</v>
      </c>
      <c r="AM477" s="201">
        <f t="shared" si="2393"/>
        <v>0</v>
      </c>
      <c r="AN477" s="201">
        <f t="shared" si="2393"/>
        <v>0</v>
      </c>
      <c r="AO477" s="201">
        <f t="shared" si="2393"/>
        <v>0</v>
      </c>
      <c r="AP477" s="201">
        <f t="shared" si="2393"/>
        <v>0</v>
      </c>
      <c r="AQ477" s="201">
        <f t="shared" si="2393"/>
        <v>0</v>
      </c>
      <c r="AR477" s="200">
        <f t="shared" si="2393"/>
        <v>0</v>
      </c>
      <c r="AS477" s="200">
        <f t="shared" si="2393"/>
        <v>0</v>
      </c>
      <c r="AT477" s="173">
        <v>0.0</v>
      </c>
      <c r="AU477" s="200">
        <f t="shared" ref="AU477:AX477" si="2394">countif($D477,"*"&amp;AU$2&amp;"*")</f>
        <v>0</v>
      </c>
      <c r="AV477" s="200">
        <f t="shared" si="2394"/>
        <v>1</v>
      </c>
      <c r="AW477" s="200">
        <f t="shared" si="2394"/>
        <v>0</v>
      </c>
      <c r="AX477" s="200">
        <f t="shared" si="2394"/>
        <v>0</v>
      </c>
      <c r="AY477" s="202">
        <v>0.0</v>
      </c>
      <c r="AZ477" s="200"/>
      <c r="BA477" s="171" t="str">
        <f t="shared" si="18"/>
        <v/>
      </c>
      <c r="BB477" s="171" t="str">
        <f t="shared" si="19"/>
        <v>Code</v>
      </c>
      <c r="BC477" s="171" t="str">
        <f t="shared" si="20"/>
        <v/>
      </c>
      <c r="BD477" s="171" t="str">
        <f t="shared" si="21"/>
        <v/>
      </c>
      <c r="BE477" s="171" t="str">
        <f t="shared" si="22"/>
        <v/>
      </c>
      <c r="BF477" s="171" t="str">
        <f t="shared" si="23"/>
        <v>Code</v>
      </c>
    </row>
    <row r="478">
      <c r="A478" s="171">
        <f t="array" ref="A478">XLOOKUP(C478,ICSE!A:A,ICSE!C:C,,2,1)</f>
        <v>2020</v>
      </c>
      <c r="B478" s="171" t="s">
        <v>5675</v>
      </c>
      <c r="C478" s="160">
        <v>815.0</v>
      </c>
      <c r="D478" s="161" t="s">
        <v>1824</v>
      </c>
      <c r="E478" s="197" t="str">
        <f t="array" ref="E478">XLOOKUP(C478,ICSE!A:A,ICSE!Z:Z,,0,1)</f>
        <v>Publicly available (1)</v>
      </c>
      <c r="F478" s="198" t="s">
        <v>20</v>
      </c>
      <c r="G478" s="163" t="str">
        <f t="array" ref="G478">IF(B478="ICSE",IF(COUNTIFS(B:B,B478,C:C,C478)=XLOOKUP(C478,ICSE!A:A,ICSE!AA:AA,"ERROR",0,1),"OK","ERROR"),IF(B478="FSE",IF(COUNTIFS(B:B,B478,C:C,C478)=XLOOKUP(C478,FSE!A:A,FSE!AA:AA,"ERROR",0,1),"OK","ERROR")))</f>
        <v>OK</v>
      </c>
      <c r="H478" s="199">
        <f t="shared" ref="H478:O478" si="2395">countif($D478,"*"&amp;H$2&amp;"*")</f>
        <v>0</v>
      </c>
      <c r="I478" s="200">
        <f t="shared" si="2395"/>
        <v>0</v>
      </c>
      <c r="J478" s="200">
        <f t="shared" si="2395"/>
        <v>0</v>
      </c>
      <c r="K478" s="200">
        <f t="shared" si="2395"/>
        <v>0</v>
      </c>
      <c r="L478" s="200">
        <f t="shared" si="2395"/>
        <v>0</v>
      </c>
      <c r="M478" s="200">
        <f t="shared" si="2395"/>
        <v>0</v>
      </c>
      <c r="N478" s="200">
        <f t="shared" si="2395"/>
        <v>0</v>
      </c>
      <c r="O478" s="200">
        <f t="shared" si="2395"/>
        <v>0</v>
      </c>
      <c r="P478" s="200">
        <f t="shared" si="9"/>
        <v>1</v>
      </c>
      <c r="Q478" s="200">
        <f t="shared" ref="Q478:AC478" si="2396">countif($D478,"*"&amp;Q$2&amp;"*")</f>
        <v>0</v>
      </c>
      <c r="R478" s="200">
        <f t="shared" si="2396"/>
        <v>0</v>
      </c>
      <c r="S478" s="200">
        <f t="shared" si="2396"/>
        <v>0</v>
      </c>
      <c r="T478" s="200">
        <f t="shared" si="2396"/>
        <v>0</v>
      </c>
      <c r="U478" s="200">
        <f t="shared" si="2396"/>
        <v>0</v>
      </c>
      <c r="V478" s="200">
        <f t="shared" si="2396"/>
        <v>0</v>
      </c>
      <c r="W478" s="200">
        <f t="shared" si="2396"/>
        <v>0</v>
      </c>
      <c r="X478" s="200">
        <f t="shared" si="2396"/>
        <v>0</v>
      </c>
      <c r="Y478" s="200">
        <f t="shared" si="2396"/>
        <v>0</v>
      </c>
      <c r="Z478" s="200">
        <f t="shared" si="2396"/>
        <v>0</v>
      </c>
      <c r="AA478" s="200">
        <f t="shared" si="2396"/>
        <v>0</v>
      </c>
      <c r="AB478" s="200">
        <f t="shared" si="2396"/>
        <v>0</v>
      </c>
      <c r="AC478" s="200">
        <f t="shared" si="2396"/>
        <v>0</v>
      </c>
      <c r="AD478" s="200">
        <f t="shared" si="11"/>
        <v>0</v>
      </c>
      <c r="AE478" s="200">
        <f t="shared" ref="AE478:AG478" si="2397">countif($D478,"*"&amp;AE$2&amp;"*")</f>
        <v>0</v>
      </c>
      <c r="AF478" s="200">
        <f t="shared" si="2397"/>
        <v>0</v>
      </c>
      <c r="AG478" s="200">
        <f t="shared" si="2397"/>
        <v>0</v>
      </c>
      <c r="AH478" s="171">
        <f t="shared" si="13"/>
        <v>0</v>
      </c>
      <c r="AI478" s="200">
        <f t="shared" si="14"/>
        <v>0</v>
      </c>
      <c r="AJ478" s="200">
        <f t="shared" si="2382"/>
        <v>0</v>
      </c>
      <c r="AK478" s="201">
        <f t="shared" ref="AK478:AS478" si="2398">countif($D478,"*"&amp;AK$2&amp;"*")</f>
        <v>0</v>
      </c>
      <c r="AL478" s="201">
        <f t="shared" si="2398"/>
        <v>0</v>
      </c>
      <c r="AM478" s="201">
        <f t="shared" si="2398"/>
        <v>0</v>
      </c>
      <c r="AN478" s="201">
        <f t="shared" si="2398"/>
        <v>0</v>
      </c>
      <c r="AO478" s="201">
        <f t="shared" si="2398"/>
        <v>0</v>
      </c>
      <c r="AP478" s="201">
        <f t="shared" si="2398"/>
        <v>0</v>
      </c>
      <c r="AQ478" s="201">
        <f t="shared" si="2398"/>
        <v>0</v>
      </c>
      <c r="AR478" s="200">
        <f t="shared" si="2398"/>
        <v>0</v>
      </c>
      <c r="AS478" s="200">
        <f t="shared" si="2398"/>
        <v>0</v>
      </c>
      <c r="AT478" s="173">
        <v>0.0</v>
      </c>
      <c r="AU478" s="200">
        <f t="shared" ref="AU478:AX478" si="2399">countif($D478,"*"&amp;AU$2&amp;"*")</f>
        <v>0</v>
      </c>
      <c r="AV478" s="200">
        <f t="shared" si="2399"/>
        <v>1</v>
      </c>
      <c r="AW478" s="200">
        <f t="shared" si="2399"/>
        <v>0</v>
      </c>
      <c r="AX478" s="200">
        <f t="shared" si="2399"/>
        <v>0</v>
      </c>
      <c r="AY478" s="202">
        <v>0.0</v>
      </c>
      <c r="AZ478" s="200"/>
      <c r="BA478" s="171" t="str">
        <f t="shared" si="18"/>
        <v/>
      </c>
      <c r="BB478" s="171" t="str">
        <f t="shared" si="19"/>
        <v>Code</v>
      </c>
      <c r="BC478" s="171" t="str">
        <f t="shared" si="20"/>
        <v/>
      </c>
      <c r="BD478" s="171" t="str">
        <f t="shared" si="21"/>
        <v/>
      </c>
      <c r="BE478" s="171" t="str">
        <f t="shared" si="22"/>
        <v/>
      </c>
      <c r="BF478" s="171" t="str">
        <f t="shared" si="23"/>
        <v>Code</v>
      </c>
    </row>
    <row r="479">
      <c r="A479" s="171">
        <f t="array" ref="A479">XLOOKUP(C479,ICSE!A:A,ICSE!C:C,,2,1)</f>
        <v>2020</v>
      </c>
      <c r="B479" s="171" t="s">
        <v>5675</v>
      </c>
      <c r="C479" s="160">
        <v>817.0</v>
      </c>
      <c r="D479" s="208" t="s">
        <v>5897</v>
      </c>
      <c r="E479" s="197" t="str">
        <f t="array" ref="E479">XLOOKUP(C479,ICSE!A:A,ICSE!Z:Z,,0,1)</f>
        <v>Publicly available (5)</v>
      </c>
      <c r="F479" s="198" t="s">
        <v>20</v>
      </c>
      <c r="G479" s="163" t="str">
        <f t="array" ref="G479">IF(B479="ICSE",IF(COUNTIFS(B:B,B479,C:C,C479)=XLOOKUP(C479,ICSE!A:A,ICSE!AA:AA,"ERROR",0,1),"OK","ERROR"),IF(B479="FSE",IF(COUNTIFS(B:B,B479,C:C,C479)=XLOOKUP(C479,FSE!A:A,FSE!AA:AA,"ERROR",0,1),"OK","ERROR")))</f>
        <v>OK</v>
      </c>
      <c r="H479" s="199">
        <f t="shared" ref="H479:O479" si="2400">countif($D479,"*"&amp;H$2&amp;"*")</f>
        <v>0</v>
      </c>
      <c r="I479" s="200">
        <f t="shared" si="2400"/>
        <v>0</v>
      </c>
      <c r="J479" s="200">
        <f t="shared" si="2400"/>
        <v>0</v>
      </c>
      <c r="K479" s="200">
        <f t="shared" si="2400"/>
        <v>0</v>
      </c>
      <c r="L479" s="200">
        <f t="shared" si="2400"/>
        <v>0</v>
      </c>
      <c r="M479" s="200">
        <f t="shared" si="2400"/>
        <v>0</v>
      </c>
      <c r="N479" s="200">
        <f t="shared" si="2400"/>
        <v>1</v>
      </c>
      <c r="O479" s="200">
        <f t="shared" si="2400"/>
        <v>0</v>
      </c>
      <c r="P479" s="200">
        <f t="shared" si="9"/>
        <v>0</v>
      </c>
      <c r="Q479" s="200">
        <f t="shared" ref="Q479:AC479" si="2401">countif($D479,"*"&amp;Q$2&amp;"*")</f>
        <v>0</v>
      </c>
      <c r="R479" s="200">
        <f t="shared" si="2401"/>
        <v>0</v>
      </c>
      <c r="S479" s="200">
        <f t="shared" si="2401"/>
        <v>0</v>
      </c>
      <c r="T479" s="200">
        <f t="shared" si="2401"/>
        <v>0</v>
      </c>
      <c r="U479" s="200">
        <f t="shared" si="2401"/>
        <v>0</v>
      </c>
      <c r="V479" s="200">
        <f t="shared" si="2401"/>
        <v>0</v>
      </c>
      <c r="W479" s="200">
        <f t="shared" si="2401"/>
        <v>0</v>
      </c>
      <c r="X479" s="200">
        <f t="shared" si="2401"/>
        <v>0</v>
      </c>
      <c r="Y479" s="200">
        <f t="shared" si="2401"/>
        <v>0</v>
      </c>
      <c r="Z479" s="200">
        <f t="shared" si="2401"/>
        <v>0</v>
      </c>
      <c r="AA479" s="200">
        <f t="shared" si="2401"/>
        <v>0</v>
      </c>
      <c r="AB479" s="200">
        <f t="shared" si="2401"/>
        <v>0</v>
      </c>
      <c r="AC479" s="200">
        <f t="shared" si="2401"/>
        <v>0</v>
      </c>
      <c r="AD479" s="200">
        <f t="shared" si="11"/>
        <v>0</v>
      </c>
      <c r="AE479" s="200">
        <f t="shared" ref="AE479:AG479" si="2402">countif($D479,"*"&amp;AE$2&amp;"*")</f>
        <v>0</v>
      </c>
      <c r="AF479" s="200">
        <f t="shared" si="2402"/>
        <v>0</v>
      </c>
      <c r="AG479" s="200">
        <f t="shared" si="2402"/>
        <v>0</v>
      </c>
      <c r="AH479" s="171">
        <f t="shared" si="13"/>
        <v>0</v>
      </c>
      <c r="AI479" s="200">
        <f t="shared" si="14"/>
        <v>0</v>
      </c>
      <c r="AJ479" s="200">
        <f t="shared" si="2382"/>
        <v>0</v>
      </c>
      <c r="AK479" s="201">
        <f t="shared" ref="AK479:AS479" si="2403">countif($D479,"*"&amp;AK$2&amp;"*")</f>
        <v>0</v>
      </c>
      <c r="AL479" s="201">
        <f t="shared" si="2403"/>
        <v>0</v>
      </c>
      <c r="AM479" s="201">
        <f t="shared" si="2403"/>
        <v>0</v>
      </c>
      <c r="AN479" s="201">
        <f t="shared" si="2403"/>
        <v>0</v>
      </c>
      <c r="AO479" s="201">
        <f t="shared" si="2403"/>
        <v>0</v>
      </c>
      <c r="AP479" s="201">
        <f t="shared" si="2403"/>
        <v>0</v>
      </c>
      <c r="AQ479" s="201">
        <f t="shared" si="2403"/>
        <v>0</v>
      </c>
      <c r="AR479" s="200">
        <f t="shared" si="2403"/>
        <v>0</v>
      </c>
      <c r="AS479" s="200">
        <f t="shared" si="2403"/>
        <v>0</v>
      </c>
      <c r="AT479" s="173">
        <v>0.0</v>
      </c>
      <c r="AU479" s="200">
        <f t="shared" ref="AU479:AU521" si="2409">countif($D479,"*"&amp;AU$2&amp;"*")</f>
        <v>0</v>
      </c>
      <c r="AV479" s="171">
        <v>0.0</v>
      </c>
      <c r="AW479" s="200">
        <f t="shared" ref="AW479:AX479" si="2404">countif($D479,"*"&amp;AW$2&amp;"*")</f>
        <v>0</v>
      </c>
      <c r="AX479" s="200">
        <f t="shared" si="2404"/>
        <v>0</v>
      </c>
      <c r="AY479" s="202">
        <v>0.0</v>
      </c>
      <c r="AZ479" s="200"/>
      <c r="BA479" s="171" t="str">
        <f t="shared" si="18"/>
        <v>Archival</v>
      </c>
      <c r="BB479" s="171" t="str">
        <f t="shared" si="19"/>
        <v/>
      </c>
      <c r="BC479" s="171" t="str">
        <f t="shared" si="20"/>
        <v/>
      </c>
      <c r="BD479" s="171" t="str">
        <f t="shared" si="21"/>
        <v/>
      </c>
      <c r="BE479" s="171" t="str">
        <f t="shared" si="22"/>
        <v/>
      </c>
      <c r="BF479" s="171" t="str">
        <f t="shared" si="23"/>
        <v>Archival</v>
      </c>
    </row>
    <row r="480">
      <c r="A480" s="171">
        <f t="array" ref="A480">XLOOKUP(C480,ICSE!A:A,ICSE!C:C,,2,1)</f>
        <v>2020</v>
      </c>
      <c r="B480" s="171" t="s">
        <v>5675</v>
      </c>
      <c r="C480" s="160">
        <v>817.0</v>
      </c>
      <c r="D480" s="161" t="s">
        <v>5898</v>
      </c>
      <c r="E480" s="197" t="str">
        <f t="array" ref="E480">XLOOKUP(C480,ICSE!A:A,ICSE!Z:Z,,0,1)</f>
        <v>Publicly available (5)</v>
      </c>
      <c r="F480" s="198" t="s">
        <v>20</v>
      </c>
      <c r="G480" s="163" t="str">
        <f t="array" ref="G480">IF(B480="ICSE",IF(COUNTIFS(B:B,B480,C:C,C480)=XLOOKUP(C480,ICSE!A:A,ICSE!AA:AA,"ERROR",0,1),"OK","ERROR"),IF(B480="FSE",IF(COUNTIFS(B:B,B480,C:C,C480)=XLOOKUP(C480,FSE!A:A,FSE!AA:AA,"ERROR",0,1),"OK","ERROR")))</f>
        <v>OK</v>
      </c>
      <c r="H480" s="199">
        <f t="shared" ref="H480:O480" si="2405">countif($D480,"*"&amp;H$2&amp;"*")</f>
        <v>0</v>
      </c>
      <c r="I480" s="200">
        <f t="shared" si="2405"/>
        <v>0</v>
      </c>
      <c r="J480" s="200">
        <f t="shared" si="2405"/>
        <v>0</v>
      </c>
      <c r="K480" s="200">
        <f t="shared" si="2405"/>
        <v>0</v>
      </c>
      <c r="L480" s="200">
        <f t="shared" si="2405"/>
        <v>0</v>
      </c>
      <c r="M480" s="200">
        <f t="shared" si="2405"/>
        <v>0</v>
      </c>
      <c r="N480" s="200">
        <f t="shared" si="2405"/>
        <v>0</v>
      </c>
      <c r="O480" s="200">
        <f t="shared" si="2405"/>
        <v>0</v>
      </c>
      <c r="P480" s="200">
        <f t="shared" si="9"/>
        <v>1</v>
      </c>
      <c r="Q480" s="200">
        <f t="shared" ref="Q480:AC480" si="2406">countif($D480,"*"&amp;Q$2&amp;"*")</f>
        <v>0</v>
      </c>
      <c r="R480" s="200">
        <f t="shared" si="2406"/>
        <v>0</v>
      </c>
      <c r="S480" s="200">
        <f t="shared" si="2406"/>
        <v>0</v>
      </c>
      <c r="T480" s="200">
        <f t="shared" si="2406"/>
        <v>0</v>
      </c>
      <c r="U480" s="200">
        <f t="shared" si="2406"/>
        <v>0</v>
      </c>
      <c r="V480" s="200">
        <f t="shared" si="2406"/>
        <v>0</v>
      </c>
      <c r="W480" s="200">
        <f t="shared" si="2406"/>
        <v>0</v>
      </c>
      <c r="X480" s="200">
        <f t="shared" si="2406"/>
        <v>0</v>
      </c>
      <c r="Y480" s="200">
        <f t="shared" si="2406"/>
        <v>0</v>
      </c>
      <c r="Z480" s="200">
        <f t="shared" si="2406"/>
        <v>0</v>
      </c>
      <c r="AA480" s="200">
        <f t="shared" si="2406"/>
        <v>0</v>
      </c>
      <c r="AB480" s="200">
        <f t="shared" si="2406"/>
        <v>0</v>
      </c>
      <c r="AC480" s="200">
        <f t="shared" si="2406"/>
        <v>0</v>
      </c>
      <c r="AD480" s="200">
        <f t="shared" si="11"/>
        <v>0</v>
      </c>
      <c r="AE480" s="200">
        <f t="shared" ref="AE480:AG480" si="2407">countif($D480,"*"&amp;AE$2&amp;"*")</f>
        <v>0</v>
      </c>
      <c r="AF480" s="200">
        <f t="shared" si="2407"/>
        <v>0</v>
      </c>
      <c r="AG480" s="200">
        <f t="shared" si="2407"/>
        <v>0</v>
      </c>
      <c r="AH480" s="171">
        <f t="shared" si="13"/>
        <v>0</v>
      </c>
      <c r="AI480" s="200">
        <f t="shared" si="14"/>
        <v>0</v>
      </c>
      <c r="AJ480" s="200">
        <f t="shared" si="2382"/>
        <v>0</v>
      </c>
      <c r="AK480" s="201">
        <f t="shared" ref="AK480:AS480" si="2408">countif($D480,"*"&amp;AK$2&amp;"*")</f>
        <v>0</v>
      </c>
      <c r="AL480" s="201">
        <f t="shared" si="2408"/>
        <v>0</v>
      </c>
      <c r="AM480" s="201">
        <f t="shared" si="2408"/>
        <v>0</v>
      </c>
      <c r="AN480" s="201">
        <f t="shared" si="2408"/>
        <v>0</v>
      </c>
      <c r="AO480" s="201">
        <f t="shared" si="2408"/>
        <v>0</v>
      </c>
      <c r="AP480" s="201">
        <f t="shared" si="2408"/>
        <v>0</v>
      </c>
      <c r="AQ480" s="201">
        <f t="shared" si="2408"/>
        <v>0</v>
      </c>
      <c r="AR480" s="200">
        <f t="shared" si="2408"/>
        <v>0</v>
      </c>
      <c r="AS480" s="200">
        <f t="shared" si="2408"/>
        <v>0</v>
      </c>
      <c r="AT480" s="173">
        <v>0.0</v>
      </c>
      <c r="AU480" s="200">
        <f t="shared" si="2409"/>
        <v>0</v>
      </c>
      <c r="AV480" s="200">
        <f t="shared" ref="AV480:AX480" si="2410">countif($D480,"*"&amp;AV$2&amp;"*")</f>
        <v>1</v>
      </c>
      <c r="AW480" s="200">
        <f t="shared" si="2410"/>
        <v>0</v>
      </c>
      <c r="AX480" s="200">
        <f t="shared" si="2410"/>
        <v>0</v>
      </c>
      <c r="AY480" s="202">
        <v>0.0</v>
      </c>
      <c r="AZ480" s="200"/>
      <c r="BA480" s="171" t="str">
        <f t="shared" si="18"/>
        <v/>
      </c>
      <c r="BB480" s="171" t="str">
        <f t="shared" si="19"/>
        <v>Code</v>
      </c>
      <c r="BC480" s="171" t="str">
        <f t="shared" si="20"/>
        <v/>
      </c>
      <c r="BD480" s="171" t="str">
        <f t="shared" si="21"/>
        <v/>
      </c>
      <c r="BE480" s="171" t="str">
        <f t="shared" si="22"/>
        <v/>
      </c>
      <c r="BF480" s="171" t="str">
        <f t="shared" si="23"/>
        <v>Code</v>
      </c>
    </row>
    <row r="481">
      <c r="A481" s="171">
        <f t="array" ref="A481">XLOOKUP(C481,ICSE!A:A,ICSE!C:C,,2,1)</f>
        <v>2020</v>
      </c>
      <c r="B481" s="171" t="s">
        <v>5675</v>
      </c>
      <c r="C481" s="160">
        <v>817.0</v>
      </c>
      <c r="D481" s="161" t="s">
        <v>5899</v>
      </c>
      <c r="E481" s="197" t="str">
        <f t="array" ref="E481">XLOOKUP(C481,ICSE!A:A,ICSE!Z:Z,,0,1)</f>
        <v>Publicly available (5)</v>
      </c>
      <c r="F481" s="198" t="s">
        <v>20</v>
      </c>
      <c r="G481" s="163" t="str">
        <f t="array" ref="G481">IF(B481="ICSE",IF(COUNTIFS(B:B,B481,C:C,C481)=XLOOKUP(C481,ICSE!A:A,ICSE!AA:AA,"ERROR",0,1),"OK","ERROR"),IF(B481="FSE",IF(COUNTIFS(B:B,B481,C:C,C481)=XLOOKUP(C481,FSE!A:A,FSE!AA:AA,"ERROR",0,1),"OK","ERROR")))</f>
        <v>OK</v>
      </c>
      <c r="H481" s="199">
        <f t="shared" ref="H481:O481" si="2411">countif($D481,"*"&amp;H$2&amp;"*")</f>
        <v>0</v>
      </c>
      <c r="I481" s="200">
        <f t="shared" si="2411"/>
        <v>1</v>
      </c>
      <c r="J481" s="200">
        <f t="shared" si="2411"/>
        <v>0</v>
      </c>
      <c r="K481" s="200">
        <f t="shared" si="2411"/>
        <v>0</v>
      </c>
      <c r="L481" s="200">
        <f t="shared" si="2411"/>
        <v>0</v>
      </c>
      <c r="M481" s="200">
        <f t="shared" si="2411"/>
        <v>0</v>
      </c>
      <c r="N481" s="200">
        <f t="shared" si="2411"/>
        <v>0</v>
      </c>
      <c r="O481" s="200">
        <f t="shared" si="2411"/>
        <v>0</v>
      </c>
      <c r="P481" s="200">
        <f t="shared" si="9"/>
        <v>0</v>
      </c>
      <c r="Q481" s="200">
        <f t="shared" ref="Q481:AC481" si="2412">countif($D481,"*"&amp;Q$2&amp;"*")</f>
        <v>0</v>
      </c>
      <c r="R481" s="200">
        <f t="shared" si="2412"/>
        <v>0</v>
      </c>
      <c r="S481" s="200">
        <f t="shared" si="2412"/>
        <v>0</v>
      </c>
      <c r="T481" s="200">
        <f t="shared" si="2412"/>
        <v>0</v>
      </c>
      <c r="U481" s="200">
        <f t="shared" si="2412"/>
        <v>0</v>
      </c>
      <c r="V481" s="200">
        <f t="shared" si="2412"/>
        <v>0</v>
      </c>
      <c r="W481" s="200">
        <f t="shared" si="2412"/>
        <v>0</v>
      </c>
      <c r="X481" s="200">
        <f t="shared" si="2412"/>
        <v>0</v>
      </c>
      <c r="Y481" s="200">
        <f t="shared" si="2412"/>
        <v>0</v>
      </c>
      <c r="Z481" s="200">
        <f t="shared" si="2412"/>
        <v>0</v>
      </c>
      <c r="AA481" s="200">
        <f t="shared" si="2412"/>
        <v>0</v>
      </c>
      <c r="AB481" s="200">
        <f t="shared" si="2412"/>
        <v>0</v>
      </c>
      <c r="AC481" s="200">
        <f t="shared" si="2412"/>
        <v>0</v>
      </c>
      <c r="AD481" s="200">
        <f t="shared" si="11"/>
        <v>0</v>
      </c>
      <c r="AE481" s="200">
        <f t="shared" ref="AE481:AG481" si="2413">countif($D481,"*"&amp;AE$2&amp;"*")</f>
        <v>0</v>
      </c>
      <c r="AF481" s="200">
        <f t="shared" si="2413"/>
        <v>0</v>
      </c>
      <c r="AG481" s="200">
        <f t="shared" si="2413"/>
        <v>0</v>
      </c>
      <c r="AH481" s="171">
        <f t="shared" si="13"/>
        <v>0</v>
      </c>
      <c r="AI481" s="200">
        <f t="shared" si="14"/>
        <v>1</v>
      </c>
      <c r="AJ481" s="200">
        <f t="shared" si="2382"/>
        <v>0</v>
      </c>
      <c r="AK481" s="201">
        <f t="shared" ref="AK481:AS481" si="2414">countif($D481,"*"&amp;AK$2&amp;"*")</f>
        <v>0</v>
      </c>
      <c r="AL481" s="201">
        <f t="shared" si="2414"/>
        <v>0</v>
      </c>
      <c r="AM481" s="201">
        <f t="shared" si="2414"/>
        <v>0</v>
      </c>
      <c r="AN481" s="201">
        <f t="shared" si="2414"/>
        <v>0</v>
      </c>
      <c r="AO481" s="201">
        <f t="shared" si="2414"/>
        <v>0</v>
      </c>
      <c r="AP481" s="201">
        <f t="shared" si="2414"/>
        <v>0</v>
      </c>
      <c r="AQ481" s="201">
        <f t="shared" si="2414"/>
        <v>0</v>
      </c>
      <c r="AR481" s="200">
        <f t="shared" si="2414"/>
        <v>0</v>
      </c>
      <c r="AS481" s="200">
        <f t="shared" si="2414"/>
        <v>0</v>
      </c>
      <c r="AT481" s="173">
        <v>0.0</v>
      </c>
      <c r="AU481" s="200">
        <f t="shared" si="2409"/>
        <v>0</v>
      </c>
      <c r="AV481" s="200">
        <f t="shared" ref="AV481:AX481" si="2415">countif($D481,"*"&amp;AV$2&amp;"*")</f>
        <v>0</v>
      </c>
      <c r="AW481" s="200">
        <f t="shared" si="2415"/>
        <v>0</v>
      </c>
      <c r="AX481" s="200">
        <f t="shared" si="2415"/>
        <v>1</v>
      </c>
      <c r="AY481" s="202">
        <v>0.0</v>
      </c>
      <c r="AZ481" s="200"/>
      <c r="BA481" s="171" t="str">
        <f t="shared" si="18"/>
        <v>Archival</v>
      </c>
      <c r="BB481" s="171" t="str">
        <f t="shared" si="19"/>
        <v/>
      </c>
      <c r="BC481" s="171" t="str">
        <f t="shared" si="20"/>
        <v/>
      </c>
      <c r="BD481" s="171" t="str">
        <f t="shared" si="21"/>
        <v/>
      </c>
      <c r="BE481" s="171" t="str">
        <f t="shared" si="22"/>
        <v/>
      </c>
      <c r="BF481" s="171" t="str">
        <f t="shared" si="23"/>
        <v>Archival</v>
      </c>
    </row>
    <row r="482">
      <c r="A482" s="171">
        <f t="array" ref="A482">XLOOKUP(C482,ICSE!A:A,ICSE!C:C,,2,1)</f>
        <v>2020</v>
      </c>
      <c r="B482" s="171" t="s">
        <v>5675</v>
      </c>
      <c r="C482" s="160">
        <v>817.0</v>
      </c>
      <c r="D482" s="161" t="s">
        <v>5900</v>
      </c>
      <c r="E482" s="197" t="str">
        <f t="array" ref="E482">XLOOKUP(C482,ICSE!A:A,ICSE!Z:Z,,0,1)</f>
        <v>Publicly available (5)</v>
      </c>
      <c r="F482" s="198" t="s">
        <v>20</v>
      </c>
      <c r="G482" s="163" t="str">
        <f t="array" ref="G482">IF(B482="ICSE",IF(COUNTIFS(B:B,B482,C:C,C482)=XLOOKUP(C482,ICSE!A:A,ICSE!AA:AA,"ERROR",0,1),"OK","ERROR"),IF(B482="FSE",IF(COUNTIFS(B:B,B482,C:C,C482)=XLOOKUP(C482,FSE!A:A,FSE!AA:AA,"ERROR",0,1),"OK","ERROR")))</f>
        <v>OK</v>
      </c>
      <c r="H482" s="199">
        <f t="shared" ref="H482:O482" si="2416">countif($D482,"*"&amp;H$2&amp;"*")</f>
        <v>1</v>
      </c>
      <c r="I482" s="200">
        <f t="shared" si="2416"/>
        <v>0</v>
      </c>
      <c r="J482" s="200">
        <f t="shared" si="2416"/>
        <v>0</v>
      </c>
      <c r="K482" s="200">
        <f t="shared" si="2416"/>
        <v>0</v>
      </c>
      <c r="L482" s="200">
        <f t="shared" si="2416"/>
        <v>0</v>
      </c>
      <c r="M482" s="200">
        <f t="shared" si="2416"/>
        <v>0</v>
      </c>
      <c r="N482" s="200">
        <f t="shared" si="2416"/>
        <v>0</v>
      </c>
      <c r="O482" s="200">
        <f t="shared" si="2416"/>
        <v>0</v>
      </c>
      <c r="P482" s="200">
        <f t="shared" si="9"/>
        <v>0</v>
      </c>
      <c r="Q482" s="200">
        <f t="shared" ref="Q482:AC482" si="2417">countif($D482,"*"&amp;Q$2&amp;"*")</f>
        <v>0</v>
      </c>
      <c r="R482" s="200">
        <f t="shared" si="2417"/>
        <v>0</v>
      </c>
      <c r="S482" s="200">
        <f t="shared" si="2417"/>
        <v>0</v>
      </c>
      <c r="T482" s="200">
        <f t="shared" si="2417"/>
        <v>0</v>
      </c>
      <c r="U482" s="200">
        <f t="shared" si="2417"/>
        <v>0</v>
      </c>
      <c r="V482" s="200">
        <f t="shared" si="2417"/>
        <v>0</v>
      </c>
      <c r="W482" s="200">
        <f t="shared" si="2417"/>
        <v>0</v>
      </c>
      <c r="X482" s="200">
        <f t="shared" si="2417"/>
        <v>0</v>
      </c>
      <c r="Y482" s="200">
        <f t="shared" si="2417"/>
        <v>0</v>
      </c>
      <c r="Z482" s="200">
        <f t="shared" si="2417"/>
        <v>0</v>
      </c>
      <c r="AA482" s="200">
        <f t="shared" si="2417"/>
        <v>0</v>
      </c>
      <c r="AB482" s="200">
        <f t="shared" si="2417"/>
        <v>0</v>
      </c>
      <c r="AC482" s="200">
        <f t="shared" si="2417"/>
        <v>0</v>
      </c>
      <c r="AD482" s="200">
        <f t="shared" si="11"/>
        <v>0</v>
      </c>
      <c r="AE482" s="200">
        <f t="shared" ref="AE482:AG482" si="2418">countif($D482,"*"&amp;AE$2&amp;"*")</f>
        <v>0</v>
      </c>
      <c r="AF482" s="200">
        <f t="shared" si="2418"/>
        <v>0</v>
      </c>
      <c r="AG482" s="200">
        <f t="shared" si="2418"/>
        <v>0</v>
      </c>
      <c r="AH482" s="171">
        <f t="shared" si="13"/>
        <v>0</v>
      </c>
      <c r="AI482" s="200">
        <f t="shared" si="14"/>
        <v>1</v>
      </c>
      <c r="AJ482" s="200">
        <f t="shared" si="2382"/>
        <v>0</v>
      </c>
      <c r="AK482" s="201">
        <f t="shared" ref="AK482:AS482" si="2419">countif($D482,"*"&amp;AK$2&amp;"*")</f>
        <v>0</v>
      </c>
      <c r="AL482" s="201">
        <f t="shared" si="2419"/>
        <v>0</v>
      </c>
      <c r="AM482" s="201">
        <f t="shared" si="2419"/>
        <v>0</v>
      </c>
      <c r="AN482" s="201">
        <f t="shared" si="2419"/>
        <v>0</v>
      </c>
      <c r="AO482" s="201">
        <f t="shared" si="2419"/>
        <v>0</v>
      </c>
      <c r="AP482" s="201">
        <f t="shared" si="2419"/>
        <v>0</v>
      </c>
      <c r="AQ482" s="201">
        <f t="shared" si="2419"/>
        <v>0</v>
      </c>
      <c r="AR482" s="200">
        <f t="shared" si="2419"/>
        <v>0</v>
      </c>
      <c r="AS482" s="200">
        <f t="shared" si="2419"/>
        <v>0</v>
      </c>
      <c r="AT482" s="173">
        <v>0.0</v>
      </c>
      <c r="AU482" s="200">
        <f t="shared" si="2409"/>
        <v>0</v>
      </c>
      <c r="AV482" s="200">
        <f t="shared" ref="AV482:AX482" si="2420">countif($D482,"*"&amp;AV$2&amp;"*")</f>
        <v>0</v>
      </c>
      <c r="AW482" s="200">
        <f t="shared" si="2420"/>
        <v>0</v>
      </c>
      <c r="AX482" s="200">
        <f t="shared" si="2420"/>
        <v>1</v>
      </c>
      <c r="AY482" s="202">
        <v>0.0</v>
      </c>
      <c r="AZ482" s="200"/>
      <c r="BA482" s="171" t="str">
        <f t="shared" si="18"/>
        <v>Archival</v>
      </c>
      <c r="BB482" s="171" t="str">
        <f t="shared" si="19"/>
        <v/>
      </c>
      <c r="BC482" s="171" t="str">
        <f t="shared" si="20"/>
        <v/>
      </c>
      <c r="BD482" s="171" t="str">
        <f t="shared" si="21"/>
        <v/>
      </c>
      <c r="BE482" s="171" t="str">
        <f t="shared" si="22"/>
        <v/>
      </c>
      <c r="BF482" s="171" t="str">
        <f t="shared" si="23"/>
        <v>Archival</v>
      </c>
    </row>
    <row r="483">
      <c r="A483" s="171">
        <f t="array" ref="A483">XLOOKUP(C483,ICSE!A:A,ICSE!C:C,,2,1)</f>
        <v>2020</v>
      </c>
      <c r="B483" s="171" t="s">
        <v>5675</v>
      </c>
      <c r="C483" s="160">
        <v>817.0</v>
      </c>
      <c r="D483" s="161" t="s">
        <v>5901</v>
      </c>
      <c r="E483" s="197" t="str">
        <f t="array" ref="E483">XLOOKUP(C483,ICSE!A:A,ICSE!Z:Z,,0,1)</f>
        <v>Publicly available (5)</v>
      </c>
      <c r="F483" s="198" t="s">
        <v>20</v>
      </c>
      <c r="G483" s="163" t="str">
        <f t="array" ref="G483">IF(B483="ICSE",IF(COUNTIFS(B:B,B483,C:C,C483)=XLOOKUP(C483,ICSE!A:A,ICSE!AA:AA,"ERROR",0,1),"OK","ERROR"),IF(B483="FSE",IF(COUNTIFS(B:B,B483,C:C,C483)=XLOOKUP(C483,FSE!A:A,FSE!AA:AA,"ERROR",0,1),"OK","ERROR")))</f>
        <v>OK</v>
      </c>
      <c r="H483" s="199">
        <f t="shared" ref="H483:O483" si="2421">countif($D483,"*"&amp;H$2&amp;"*")</f>
        <v>0</v>
      </c>
      <c r="I483" s="200">
        <f t="shared" si="2421"/>
        <v>0</v>
      </c>
      <c r="J483" s="200">
        <f t="shared" si="2421"/>
        <v>0</v>
      </c>
      <c r="K483" s="200">
        <f t="shared" si="2421"/>
        <v>0</v>
      </c>
      <c r="L483" s="200">
        <f t="shared" si="2421"/>
        <v>0</v>
      </c>
      <c r="M483" s="200">
        <f t="shared" si="2421"/>
        <v>0</v>
      </c>
      <c r="N483" s="200">
        <f t="shared" si="2421"/>
        <v>0</v>
      </c>
      <c r="O483" s="200">
        <f t="shared" si="2421"/>
        <v>0</v>
      </c>
      <c r="P483" s="200">
        <f t="shared" si="9"/>
        <v>0</v>
      </c>
      <c r="Q483" s="200">
        <f t="shared" ref="Q483:AC483" si="2422">countif($D483,"*"&amp;Q$2&amp;"*")</f>
        <v>0</v>
      </c>
      <c r="R483" s="200">
        <f t="shared" si="2422"/>
        <v>0</v>
      </c>
      <c r="S483" s="200">
        <f t="shared" si="2422"/>
        <v>1</v>
      </c>
      <c r="T483" s="200">
        <f t="shared" si="2422"/>
        <v>0</v>
      </c>
      <c r="U483" s="200">
        <f t="shared" si="2422"/>
        <v>0</v>
      </c>
      <c r="V483" s="200">
        <f t="shared" si="2422"/>
        <v>0</v>
      </c>
      <c r="W483" s="200">
        <f t="shared" si="2422"/>
        <v>0</v>
      </c>
      <c r="X483" s="200">
        <f t="shared" si="2422"/>
        <v>0</v>
      </c>
      <c r="Y483" s="200">
        <f t="shared" si="2422"/>
        <v>0</v>
      </c>
      <c r="Z483" s="200">
        <f t="shared" si="2422"/>
        <v>0</v>
      </c>
      <c r="AA483" s="200">
        <f t="shared" si="2422"/>
        <v>0</v>
      </c>
      <c r="AB483" s="200">
        <f t="shared" si="2422"/>
        <v>0</v>
      </c>
      <c r="AC483" s="200">
        <f t="shared" si="2422"/>
        <v>0</v>
      </c>
      <c r="AD483" s="200">
        <f t="shared" si="11"/>
        <v>0</v>
      </c>
      <c r="AE483" s="200">
        <f t="shared" ref="AE483:AG483" si="2423">countif($D483,"*"&amp;AE$2&amp;"*")</f>
        <v>0</v>
      </c>
      <c r="AF483" s="200">
        <f t="shared" si="2423"/>
        <v>0</v>
      </c>
      <c r="AG483" s="200">
        <f t="shared" si="2423"/>
        <v>0</v>
      </c>
      <c r="AH483" s="171">
        <f t="shared" si="13"/>
        <v>0</v>
      </c>
      <c r="AI483" s="200">
        <f t="shared" si="14"/>
        <v>0</v>
      </c>
      <c r="AJ483" s="200">
        <f t="shared" si="2382"/>
        <v>0</v>
      </c>
      <c r="AK483" s="201">
        <f t="shared" ref="AK483:AS483" si="2424">countif($D483,"*"&amp;AK$2&amp;"*")</f>
        <v>0</v>
      </c>
      <c r="AL483" s="201">
        <f t="shared" si="2424"/>
        <v>0</v>
      </c>
      <c r="AM483" s="201">
        <f t="shared" si="2424"/>
        <v>0</v>
      </c>
      <c r="AN483" s="201">
        <f t="shared" si="2424"/>
        <v>0</v>
      </c>
      <c r="AO483" s="201">
        <f t="shared" si="2424"/>
        <v>0</v>
      </c>
      <c r="AP483" s="201">
        <f t="shared" si="2424"/>
        <v>0</v>
      </c>
      <c r="AQ483" s="201">
        <f t="shared" si="2424"/>
        <v>0</v>
      </c>
      <c r="AR483" s="200">
        <f t="shared" si="2424"/>
        <v>0</v>
      </c>
      <c r="AS483" s="200">
        <f t="shared" si="2424"/>
        <v>0</v>
      </c>
      <c r="AT483" s="173">
        <v>0.0</v>
      </c>
      <c r="AU483" s="200">
        <f t="shared" si="2409"/>
        <v>0</v>
      </c>
      <c r="AV483" s="200">
        <f t="shared" ref="AV483:AX483" si="2425">countif($D483,"*"&amp;AV$2&amp;"*")</f>
        <v>0</v>
      </c>
      <c r="AW483" s="200">
        <f t="shared" si="2425"/>
        <v>0</v>
      </c>
      <c r="AX483" s="200">
        <f t="shared" si="2425"/>
        <v>0</v>
      </c>
      <c r="AY483" s="202">
        <v>0.0</v>
      </c>
      <c r="AZ483" s="200"/>
      <c r="BA483" s="171" t="str">
        <f t="shared" si="18"/>
        <v/>
      </c>
      <c r="BB483" s="171" t="str">
        <f t="shared" si="19"/>
        <v>Code</v>
      </c>
      <c r="BC483" s="171" t="str">
        <f t="shared" si="20"/>
        <v/>
      </c>
      <c r="BD483" s="171" t="str">
        <f t="shared" si="21"/>
        <v/>
      </c>
      <c r="BE483" s="171" t="str">
        <f t="shared" si="22"/>
        <v/>
      </c>
      <c r="BF483" s="171" t="str">
        <f t="shared" si="23"/>
        <v>Code</v>
      </c>
    </row>
    <row r="484">
      <c r="A484" s="171">
        <f t="array" ref="A484">XLOOKUP(C484,ICSE!A:A,ICSE!C:C,,2,1)</f>
        <v>2020</v>
      </c>
      <c r="B484" s="171" t="s">
        <v>5675</v>
      </c>
      <c r="C484" s="160">
        <v>818.0</v>
      </c>
      <c r="D484" s="161" t="s">
        <v>1832</v>
      </c>
      <c r="E484" s="197" t="str">
        <f t="array" ref="E484">XLOOKUP(C484,ICSE!A:A,ICSE!Z:Z,,0,1)</f>
        <v>Publicly available (1)</v>
      </c>
      <c r="F484" s="198" t="s">
        <v>20</v>
      </c>
      <c r="G484" s="163" t="str">
        <f t="array" ref="G484">IF(B484="ICSE",IF(COUNTIFS(B:B,B484,C:C,C484)=XLOOKUP(C484,ICSE!A:A,ICSE!AA:AA,"ERROR",0,1),"OK","ERROR"),IF(B484="FSE",IF(COUNTIFS(B:B,B484,C:C,C484)=XLOOKUP(C484,FSE!A:A,FSE!AA:AA,"ERROR",0,1),"OK","ERROR")))</f>
        <v>OK</v>
      </c>
      <c r="H484" s="199">
        <f t="shared" ref="H484:O484" si="2426">countif($D484,"*"&amp;H$2&amp;"*")</f>
        <v>0</v>
      </c>
      <c r="I484" s="200">
        <f t="shared" si="2426"/>
        <v>0</v>
      </c>
      <c r="J484" s="200">
        <f t="shared" si="2426"/>
        <v>0</v>
      </c>
      <c r="K484" s="200">
        <f t="shared" si="2426"/>
        <v>0</v>
      </c>
      <c r="L484" s="200">
        <f t="shared" si="2426"/>
        <v>0</v>
      </c>
      <c r="M484" s="200">
        <f t="shared" si="2426"/>
        <v>0</v>
      </c>
      <c r="N484" s="200">
        <f t="shared" si="2426"/>
        <v>0</v>
      </c>
      <c r="O484" s="200">
        <f t="shared" si="2426"/>
        <v>0</v>
      </c>
      <c r="P484" s="200">
        <f t="shared" si="9"/>
        <v>0</v>
      </c>
      <c r="Q484" s="200">
        <f t="shared" ref="Q484:AC484" si="2427">countif($D484,"*"&amp;Q$2&amp;"*")</f>
        <v>0</v>
      </c>
      <c r="R484" s="200">
        <f t="shared" si="2427"/>
        <v>0</v>
      </c>
      <c r="S484" s="200">
        <f t="shared" si="2427"/>
        <v>0</v>
      </c>
      <c r="T484" s="200">
        <f t="shared" si="2427"/>
        <v>0</v>
      </c>
      <c r="U484" s="200">
        <f t="shared" si="2427"/>
        <v>0</v>
      </c>
      <c r="V484" s="200">
        <f t="shared" si="2427"/>
        <v>0</v>
      </c>
      <c r="W484" s="200">
        <f t="shared" si="2427"/>
        <v>0</v>
      </c>
      <c r="X484" s="200">
        <f t="shared" si="2427"/>
        <v>0</v>
      </c>
      <c r="Y484" s="200">
        <f t="shared" si="2427"/>
        <v>0</v>
      </c>
      <c r="Z484" s="200">
        <f t="shared" si="2427"/>
        <v>0</v>
      </c>
      <c r="AA484" s="200">
        <f t="shared" si="2427"/>
        <v>1</v>
      </c>
      <c r="AB484" s="200">
        <f t="shared" si="2427"/>
        <v>0</v>
      </c>
      <c r="AC484" s="200">
        <f t="shared" si="2427"/>
        <v>0</v>
      </c>
      <c r="AD484" s="200">
        <f t="shared" si="11"/>
        <v>0</v>
      </c>
      <c r="AE484" s="200">
        <f t="shared" ref="AE484:AG484" si="2428">countif($D484,"*"&amp;AE$2&amp;"*")</f>
        <v>0</v>
      </c>
      <c r="AF484" s="200">
        <f t="shared" si="2428"/>
        <v>0</v>
      </c>
      <c r="AG484" s="200">
        <f t="shared" si="2428"/>
        <v>0</v>
      </c>
      <c r="AH484" s="171">
        <f t="shared" si="13"/>
        <v>0</v>
      </c>
      <c r="AI484" s="200">
        <f t="shared" si="14"/>
        <v>0</v>
      </c>
      <c r="AJ484" s="200">
        <f t="shared" si="2382"/>
        <v>0</v>
      </c>
      <c r="AK484" s="201">
        <f t="shared" ref="AK484:AS484" si="2429">countif($D484,"*"&amp;AK$2&amp;"*")</f>
        <v>0</v>
      </c>
      <c r="AL484" s="201">
        <f t="shared" si="2429"/>
        <v>0</v>
      </c>
      <c r="AM484" s="201">
        <f t="shared" si="2429"/>
        <v>0</v>
      </c>
      <c r="AN484" s="201">
        <f t="shared" si="2429"/>
        <v>0</v>
      </c>
      <c r="AO484" s="201">
        <f t="shared" si="2429"/>
        <v>0</v>
      </c>
      <c r="AP484" s="201">
        <f t="shared" si="2429"/>
        <v>0</v>
      </c>
      <c r="AQ484" s="201">
        <f t="shared" si="2429"/>
        <v>0</v>
      </c>
      <c r="AR484" s="200">
        <f t="shared" si="2429"/>
        <v>0</v>
      </c>
      <c r="AS484" s="200">
        <f t="shared" si="2429"/>
        <v>0</v>
      </c>
      <c r="AT484" s="173">
        <v>0.0</v>
      </c>
      <c r="AU484" s="200">
        <f t="shared" si="2409"/>
        <v>0</v>
      </c>
      <c r="AV484" s="200">
        <f t="shared" ref="AV484:AX484" si="2430">countif($D484,"*"&amp;AV$2&amp;"*")</f>
        <v>0</v>
      </c>
      <c r="AW484" s="200">
        <f t="shared" si="2430"/>
        <v>0</v>
      </c>
      <c r="AX484" s="200">
        <f t="shared" si="2430"/>
        <v>0</v>
      </c>
      <c r="AY484" s="202">
        <v>0.0</v>
      </c>
      <c r="AZ484" s="200"/>
      <c r="BA484" s="171" t="str">
        <f t="shared" si="18"/>
        <v/>
      </c>
      <c r="BB484" s="171" t="str">
        <f t="shared" si="19"/>
        <v/>
      </c>
      <c r="BC484" s="171" t="str">
        <f t="shared" si="20"/>
        <v>General-purpose</v>
      </c>
      <c r="BD484" s="171" t="str">
        <f t="shared" si="21"/>
        <v/>
      </c>
      <c r="BE484" s="171" t="str">
        <f t="shared" si="22"/>
        <v/>
      </c>
      <c r="BF484" s="171" t="str">
        <f t="shared" si="23"/>
        <v>General-purpose</v>
      </c>
    </row>
    <row r="485">
      <c r="A485" s="171">
        <f t="array" ref="A485">XLOOKUP(C485,ICSE!A:A,ICSE!C:C,,2,1)</f>
        <v>2020</v>
      </c>
      <c r="B485" s="171" t="s">
        <v>5675</v>
      </c>
      <c r="C485" s="160">
        <v>819.0</v>
      </c>
      <c r="D485" s="161" t="s">
        <v>1834</v>
      </c>
      <c r="E485" s="197" t="str">
        <f t="array" ref="E485">XLOOKUP(C485,ICSE!A:A,ICSE!Z:Z,,0,1)</f>
        <v>Publicly available (1)</v>
      </c>
      <c r="F485" s="198" t="s">
        <v>20</v>
      </c>
      <c r="G485" s="163" t="str">
        <f t="array" ref="G485">IF(B485="ICSE",IF(COUNTIFS(B:B,B485,C:C,C485)=XLOOKUP(C485,ICSE!A:A,ICSE!AA:AA,"ERROR",0,1),"OK","ERROR"),IF(B485="FSE",IF(COUNTIFS(B:B,B485,C:C,C485)=XLOOKUP(C485,FSE!A:A,FSE!AA:AA,"ERROR",0,1),"OK","ERROR")))</f>
        <v>OK</v>
      </c>
      <c r="H485" s="199">
        <f t="shared" ref="H485:O485" si="2431">countif($D485,"*"&amp;H$2&amp;"*")</f>
        <v>0</v>
      </c>
      <c r="I485" s="200">
        <f t="shared" si="2431"/>
        <v>0</v>
      </c>
      <c r="J485" s="200">
        <f t="shared" si="2431"/>
        <v>0</v>
      </c>
      <c r="K485" s="200">
        <f t="shared" si="2431"/>
        <v>0</v>
      </c>
      <c r="L485" s="200">
        <f t="shared" si="2431"/>
        <v>0</v>
      </c>
      <c r="M485" s="200">
        <f t="shared" si="2431"/>
        <v>0</v>
      </c>
      <c r="N485" s="200">
        <f t="shared" si="2431"/>
        <v>0</v>
      </c>
      <c r="O485" s="200">
        <f t="shared" si="2431"/>
        <v>0</v>
      </c>
      <c r="P485" s="200">
        <f t="shared" si="9"/>
        <v>1</v>
      </c>
      <c r="Q485" s="200">
        <f t="shared" ref="Q485:AC485" si="2432">countif($D485,"*"&amp;Q$2&amp;"*")</f>
        <v>0</v>
      </c>
      <c r="R485" s="200">
        <f t="shared" si="2432"/>
        <v>0</v>
      </c>
      <c r="S485" s="200">
        <f t="shared" si="2432"/>
        <v>0</v>
      </c>
      <c r="T485" s="200">
        <f t="shared" si="2432"/>
        <v>0</v>
      </c>
      <c r="U485" s="200">
        <f t="shared" si="2432"/>
        <v>0</v>
      </c>
      <c r="V485" s="200">
        <f t="shared" si="2432"/>
        <v>0</v>
      </c>
      <c r="W485" s="200">
        <f t="shared" si="2432"/>
        <v>0</v>
      </c>
      <c r="X485" s="200">
        <f t="shared" si="2432"/>
        <v>0</v>
      </c>
      <c r="Y485" s="200">
        <f t="shared" si="2432"/>
        <v>0</v>
      </c>
      <c r="Z485" s="200">
        <f t="shared" si="2432"/>
        <v>0</v>
      </c>
      <c r="AA485" s="200">
        <f t="shared" si="2432"/>
        <v>0</v>
      </c>
      <c r="AB485" s="200">
        <f t="shared" si="2432"/>
        <v>0</v>
      </c>
      <c r="AC485" s="200">
        <f t="shared" si="2432"/>
        <v>0</v>
      </c>
      <c r="AD485" s="200">
        <f t="shared" si="11"/>
        <v>0</v>
      </c>
      <c r="AE485" s="200">
        <f t="shared" ref="AE485:AG485" si="2433">countif($D485,"*"&amp;AE$2&amp;"*")</f>
        <v>0</v>
      </c>
      <c r="AF485" s="200">
        <f t="shared" si="2433"/>
        <v>0</v>
      </c>
      <c r="AG485" s="200">
        <f t="shared" si="2433"/>
        <v>0</v>
      </c>
      <c r="AH485" s="171">
        <f t="shared" si="13"/>
        <v>0</v>
      </c>
      <c r="AI485" s="200">
        <f t="shared" si="14"/>
        <v>0</v>
      </c>
      <c r="AJ485" s="200">
        <f t="shared" si="2382"/>
        <v>0</v>
      </c>
      <c r="AK485" s="201">
        <f t="shared" ref="AK485:AS485" si="2434">countif($D485,"*"&amp;AK$2&amp;"*")</f>
        <v>0</v>
      </c>
      <c r="AL485" s="201">
        <f t="shared" si="2434"/>
        <v>0</v>
      </c>
      <c r="AM485" s="201">
        <f t="shared" si="2434"/>
        <v>0</v>
      </c>
      <c r="AN485" s="201">
        <f t="shared" si="2434"/>
        <v>0</v>
      </c>
      <c r="AO485" s="201">
        <f t="shared" si="2434"/>
        <v>0</v>
      </c>
      <c r="AP485" s="201">
        <f t="shared" si="2434"/>
        <v>0</v>
      </c>
      <c r="AQ485" s="201">
        <f t="shared" si="2434"/>
        <v>0</v>
      </c>
      <c r="AR485" s="200">
        <f t="shared" si="2434"/>
        <v>0</v>
      </c>
      <c r="AS485" s="200">
        <f t="shared" si="2434"/>
        <v>0</v>
      </c>
      <c r="AT485" s="173">
        <v>0.0</v>
      </c>
      <c r="AU485" s="200">
        <f t="shared" si="2409"/>
        <v>0</v>
      </c>
      <c r="AV485" s="200">
        <f t="shared" ref="AV485:AX485" si="2435">countif($D485,"*"&amp;AV$2&amp;"*")</f>
        <v>1</v>
      </c>
      <c r="AW485" s="200">
        <f t="shared" si="2435"/>
        <v>0</v>
      </c>
      <c r="AX485" s="200">
        <f t="shared" si="2435"/>
        <v>0</v>
      </c>
      <c r="AY485" s="202">
        <v>0.0</v>
      </c>
      <c r="AZ485" s="200"/>
      <c r="BA485" s="171" t="str">
        <f t="shared" si="18"/>
        <v/>
      </c>
      <c r="BB485" s="171" t="str">
        <f t="shared" si="19"/>
        <v>Code</v>
      </c>
      <c r="BC485" s="171" t="str">
        <f t="shared" si="20"/>
        <v/>
      </c>
      <c r="BD485" s="171" t="str">
        <f t="shared" si="21"/>
        <v/>
      </c>
      <c r="BE485" s="171" t="str">
        <f t="shared" si="22"/>
        <v/>
      </c>
      <c r="BF485" s="171" t="str">
        <f t="shared" si="23"/>
        <v>Code</v>
      </c>
    </row>
    <row r="486">
      <c r="A486" s="171">
        <f t="array" ref="A486">XLOOKUP(C486,ICSE!A:A,ICSE!C:C,,2,1)</f>
        <v>2020</v>
      </c>
      <c r="B486" s="171" t="s">
        <v>5675</v>
      </c>
      <c r="C486" s="160">
        <v>820.0</v>
      </c>
      <c r="D486" s="161" t="s">
        <v>1836</v>
      </c>
      <c r="E486" s="197" t="str">
        <f t="array" ref="E486">XLOOKUP(C486,ICSE!A:A,ICSE!Z:Z,,0,1)</f>
        <v>Publicly available (1)</v>
      </c>
      <c r="F486" s="198" t="s">
        <v>20</v>
      </c>
      <c r="G486" s="163" t="str">
        <f t="array" ref="G486">IF(B486="ICSE",IF(COUNTIFS(B:B,B486,C:C,C486)=XLOOKUP(C486,ICSE!A:A,ICSE!AA:AA,"ERROR",0,1),"OK","ERROR"),IF(B486="FSE",IF(COUNTIFS(B:B,B486,C:C,C486)=XLOOKUP(C486,FSE!A:A,FSE!AA:AA,"ERROR",0,1),"OK","ERROR")))</f>
        <v>OK</v>
      </c>
      <c r="H486" s="199">
        <f t="shared" ref="H486:O486" si="2436">countif($D486,"*"&amp;H$2&amp;"*")</f>
        <v>0</v>
      </c>
      <c r="I486" s="200">
        <f t="shared" si="2436"/>
        <v>0</v>
      </c>
      <c r="J486" s="200">
        <f t="shared" si="2436"/>
        <v>0</v>
      </c>
      <c r="K486" s="200">
        <f t="shared" si="2436"/>
        <v>0</v>
      </c>
      <c r="L486" s="200">
        <f t="shared" si="2436"/>
        <v>0</v>
      </c>
      <c r="M486" s="200">
        <f t="shared" si="2436"/>
        <v>0</v>
      </c>
      <c r="N486" s="200">
        <f t="shared" si="2436"/>
        <v>0</v>
      </c>
      <c r="O486" s="200">
        <f t="shared" si="2436"/>
        <v>0</v>
      </c>
      <c r="P486" s="200">
        <f t="shared" si="9"/>
        <v>1</v>
      </c>
      <c r="Q486" s="200">
        <f t="shared" ref="Q486:AC486" si="2437">countif($D486,"*"&amp;Q$2&amp;"*")</f>
        <v>0</v>
      </c>
      <c r="R486" s="200">
        <f t="shared" si="2437"/>
        <v>0</v>
      </c>
      <c r="S486" s="200">
        <f t="shared" si="2437"/>
        <v>0</v>
      </c>
      <c r="T486" s="200">
        <f t="shared" si="2437"/>
        <v>0</v>
      </c>
      <c r="U486" s="200">
        <f t="shared" si="2437"/>
        <v>0</v>
      </c>
      <c r="V486" s="200">
        <f t="shared" si="2437"/>
        <v>0</v>
      </c>
      <c r="W486" s="200">
        <f t="shared" si="2437"/>
        <v>0</v>
      </c>
      <c r="X486" s="200">
        <f t="shared" si="2437"/>
        <v>0</v>
      </c>
      <c r="Y486" s="200">
        <f t="shared" si="2437"/>
        <v>0</v>
      </c>
      <c r="Z486" s="200">
        <f t="shared" si="2437"/>
        <v>0</v>
      </c>
      <c r="AA486" s="200">
        <f t="shared" si="2437"/>
        <v>0</v>
      </c>
      <c r="AB486" s="200">
        <f t="shared" si="2437"/>
        <v>0</v>
      </c>
      <c r="AC486" s="200">
        <f t="shared" si="2437"/>
        <v>0</v>
      </c>
      <c r="AD486" s="200">
        <f t="shared" si="11"/>
        <v>0</v>
      </c>
      <c r="AE486" s="200">
        <f t="shared" ref="AE486:AG486" si="2438">countif($D486,"*"&amp;AE$2&amp;"*")</f>
        <v>0</v>
      </c>
      <c r="AF486" s="200">
        <f t="shared" si="2438"/>
        <v>0</v>
      </c>
      <c r="AG486" s="200">
        <f t="shared" si="2438"/>
        <v>0</v>
      </c>
      <c r="AH486" s="171">
        <f t="shared" si="13"/>
        <v>0</v>
      </c>
      <c r="AI486" s="200">
        <f t="shared" si="14"/>
        <v>0</v>
      </c>
      <c r="AJ486" s="200">
        <f t="shared" si="2382"/>
        <v>0</v>
      </c>
      <c r="AK486" s="201">
        <f t="shared" ref="AK486:AS486" si="2439">countif($D486,"*"&amp;AK$2&amp;"*")</f>
        <v>0</v>
      </c>
      <c r="AL486" s="201">
        <f t="shared" si="2439"/>
        <v>0</v>
      </c>
      <c r="AM486" s="201">
        <f t="shared" si="2439"/>
        <v>0</v>
      </c>
      <c r="AN486" s="201">
        <f t="shared" si="2439"/>
        <v>0</v>
      </c>
      <c r="AO486" s="201">
        <f t="shared" si="2439"/>
        <v>0</v>
      </c>
      <c r="AP486" s="201">
        <f t="shared" si="2439"/>
        <v>0</v>
      </c>
      <c r="AQ486" s="201">
        <f t="shared" si="2439"/>
        <v>0</v>
      </c>
      <c r="AR486" s="200">
        <f t="shared" si="2439"/>
        <v>0</v>
      </c>
      <c r="AS486" s="200">
        <f t="shared" si="2439"/>
        <v>0</v>
      </c>
      <c r="AT486" s="173">
        <v>0.0</v>
      </c>
      <c r="AU486" s="200">
        <f t="shared" si="2409"/>
        <v>0</v>
      </c>
      <c r="AV486" s="200">
        <f t="shared" ref="AV486:AX486" si="2440">countif($D486,"*"&amp;AV$2&amp;"*")</f>
        <v>1</v>
      </c>
      <c r="AW486" s="200">
        <f t="shared" si="2440"/>
        <v>0</v>
      </c>
      <c r="AX486" s="200">
        <f t="shared" si="2440"/>
        <v>0</v>
      </c>
      <c r="AY486" s="202">
        <v>0.0</v>
      </c>
      <c r="AZ486" s="200"/>
      <c r="BA486" s="171" t="str">
        <f t="shared" si="18"/>
        <v/>
      </c>
      <c r="BB486" s="171" t="str">
        <f t="shared" si="19"/>
        <v>Code</v>
      </c>
      <c r="BC486" s="171" t="str">
        <f t="shared" si="20"/>
        <v/>
      </c>
      <c r="BD486" s="171" t="str">
        <f t="shared" si="21"/>
        <v/>
      </c>
      <c r="BE486" s="171" t="str">
        <f t="shared" si="22"/>
        <v/>
      </c>
      <c r="BF486" s="171" t="str">
        <f t="shared" si="23"/>
        <v>Code</v>
      </c>
    </row>
    <row r="487">
      <c r="A487" s="171">
        <f t="array" ref="A487">XLOOKUP(C487,ICSE!A:A,ICSE!C:C,,2,1)</f>
        <v>2020</v>
      </c>
      <c r="B487" s="171" t="s">
        <v>5675</v>
      </c>
      <c r="C487" s="160">
        <v>821.0</v>
      </c>
      <c r="D487" s="161" t="s">
        <v>1839</v>
      </c>
      <c r="E487" s="197" t="str">
        <f t="array" ref="E487">XLOOKUP(C487,ICSE!A:A,ICSE!Z:Z,,0,1)</f>
        <v>Publicly available (1)</v>
      </c>
      <c r="F487" s="198" t="s">
        <v>20</v>
      </c>
      <c r="G487" s="163" t="str">
        <f t="array" ref="G487">IF(B487="ICSE",IF(COUNTIFS(B:B,B487,C:C,C487)=XLOOKUP(C487,ICSE!A:A,ICSE!AA:AA,"ERROR",0,1),"OK","ERROR"),IF(B487="FSE",IF(COUNTIFS(B:B,B487,C:C,C487)=XLOOKUP(C487,FSE!A:A,FSE!AA:AA,"ERROR",0,1),"OK","ERROR")))</f>
        <v>OK</v>
      </c>
      <c r="H487" s="199">
        <f t="shared" ref="H487:O487" si="2441">countif($D487,"*"&amp;H$2&amp;"*")</f>
        <v>0</v>
      </c>
      <c r="I487" s="200">
        <f t="shared" si="2441"/>
        <v>0</v>
      </c>
      <c r="J487" s="200">
        <f t="shared" si="2441"/>
        <v>0</v>
      </c>
      <c r="K487" s="200">
        <f t="shared" si="2441"/>
        <v>0</v>
      </c>
      <c r="L487" s="200">
        <f t="shared" si="2441"/>
        <v>0</v>
      </c>
      <c r="M487" s="200">
        <f t="shared" si="2441"/>
        <v>0</v>
      </c>
      <c r="N487" s="200">
        <f t="shared" si="2441"/>
        <v>0</v>
      </c>
      <c r="O487" s="200">
        <f t="shared" si="2441"/>
        <v>0</v>
      </c>
      <c r="P487" s="200">
        <f t="shared" si="9"/>
        <v>1</v>
      </c>
      <c r="Q487" s="200">
        <f t="shared" ref="Q487:AC487" si="2442">countif($D487,"*"&amp;Q$2&amp;"*")</f>
        <v>0</v>
      </c>
      <c r="R487" s="200">
        <f t="shared" si="2442"/>
        <v>0</v>
      </c>
      <c r="S487" s="200">
        <f t="shared" si="2442"/>
        <v>0</v>
      </c>
      <c r="T487" s="200">
        <f t="shared" si="2442"/>
        <v>0</v>
      </c>
      <c r="U487" s="200">
        <f t="shared" si="2442"/>
        <v>0</v>
      </c>
      <c r="V487" s="200">
        <f t="shared" si="2442"/>
        <v>0</v>
      </c>
      <c r="W487" s="200">
        <f t="shared" si="2442"/>
        <v>0</v>
      </c>
      <c r="X487" s="200">
        <f t="shared" si="2442"/>
        <v>0</v>
      </c>
      <c r="Y487" s="200">
        <f t="shared" si="2442"/>
        <v>0</v>
      </c>
      <c r="Z487" s="200">
        <f t="shared" si="2442"/>
        <v>0</v>
      </c>
      <c r="AA487" s="200">
        <f t="shared" si="2442"/>
        <v>0</v>
      </c>
      <c r="AB487" s="200">
        <f t="shared" si="2442"/>
        <v>0</v>
      </c>
      <c r="AC487" s="200">
        <f t="shared" si="2442"/>
        <v>0</v>
      </c>
      <c r="AD487" s="200">
        <f t="shared" si="11"/>
        <v>0</v>
      </c>
      <c r="AE487" s="200">
        <f t="shared" ref="AE487:AG487" si="2443">countif($D487,"*"&amp;AE$2&amp;"*")</f>
        <v>0</v>
      </c>
      <c r="AF487" s="200">
        <f t="shared" si="2443"/>
        <v>0</v>
      </c>
      <c r="AG487" s="200">
        <f t="shared" si="2443"/>
        <v>0</v>
      </c>
      <c r="AH487" s="171">
        <f t="shared" si="13"/>
        <v>0</v>
      </c>
      <c r="AI487" s="200">
        <f t="shared" si="14"/>
        <v>0</v>
      </c>
      <c r="AJ487" s="200">
        <f t="shared" si="2382"/>
        <v>0</v>
      </c>
      <c r="AK487" s="201">
        <f t="shared" ref="AK487:AS487" si="2444">countif($D487,"*"&amp;AK$2&amp;"*")</f>
        <v>0</v>
      </c>
      <c r="AL487" s="201">
        <f t="shared" si="2444"/>
        <v>0</v>
      </c>
      <c r="AM487" s="201">
        <f t="shared" si="2444"/>
        <v>0</v>
      </c>
      <c r="AN487" s="201">
        <f t="shared" si="2444"/>
        <v>0</v>
      </c>
      <c r="AO487" s="201">
        <f t="shared" si="2444"/>
        <v>0</v>
      </c>
      <c r="AP487" s="201">
        <f t="shared" si="2444"/>
        <v>0</v>
      </c>
      <c r="AQ487" s="201">
        <f t="shared" si="2444"/>
        <v>0</v>
      </c>
      <c r="AR487" s="200">
        <f t="shared" si="2444"/>
        <v>0</v>
      </c>
      <c r="AS487" s="200">
        <f t="shared" si="2444"/>
        <v>0</v>
      </c>
      <c r="AT487" s="173">
        <v>0.0</v>
      </c>
      <c r="AU487" s="200">
        <f t="shared" si="2409"/>
        <v>0</v>
      </c>
      <c r="AV487" s="200">
        <f t="shared" ref="AV487:AX487" si="2445">countif($D487,"*"&amp;AV$2&amp;"*")</f>
        <v>1</v>
      </c>
      <c r="AW487" s="200">
        <f t="shared" si="2445"/>
        <v>0</v>
      </c>
      <c r="AX487" s="200">
        <f t="shared" si="2445"/>
        <v>0</v>
      </c>
      <c r="AY487" s="202">
        <v>0.0</v>
      </c>
      <c r="AZ487" s="200"/>
      <c r="BA487" s="171" t="str">
        <f t="shared" si="18"/>
        <v/>
      </c>
      <c r="BB487" s="171" t="str">
        <f t="shared" si="19"/>
        <v>Code</v>
      </c>
      <c r="BC487" s="171" t="str">
        <f t="shared" si="20"/>
        <v/>
      </c>
      <c r="BD487" s="171" t="str">
        <f t="shared" si="21"/>
        <v/>
      </c>
      <c r="BE487" s="171" t="str">
        <f t="shared" si="22"/>
        <v/>
      </c>
      <c r="BF487" s="171" t="str">
        <f t="shared" si="23"/>
        <v>Code</v>
      </c>
    </row>
    <row r="488">
      <c r="A488" s="171">
        <f t="array" ref="A488">XLOOKUP(C488,ICSE!A:A,ICSE!C:C,,2,1)</f>
        <v>2020</v>
      </c>
      <c r="B488" s="171" t="s">
        <v>5675</v>
      </c>
      <c r="C488" s="160">
        <v>822.0</v>
      </c>
      <c r="D488" s="161" t="s">
        <v>1842</v>
      </c>
      <c r="E488" s="197" t="str">
        <f t="array" ref="E488">XLOOKUP(C488,ICSE!A:A,ICSE!Z:Z,,0,1)</f>
        <v>Not available (1) - Broken link.</v>
      </c>
      <c r="F488" s="198" t="s">
        <v>21</v>
      </c>
      <c r="G488" s="163" t="str">
        <f t="array" ref="G488">IF(B488="ICSE",IF(COUNTIFS(B:B,B488,C:C,C488)=XLOOKUP(C488,ICSE!A:A,ICSE!AA:AA,"ERROR",0,1),"OK","ERROR"),IF(B488="FSE",IF(COUNTIFS(B:B,B488,C:C,C488)=XLOOKUP(C488,FSE!A:A,FSE!AA:AA,"ERROR",0,1),"OK","ERROR")))</f>
        <v>OK</v>
      </c>
      <c r="H488" s="199">
        <f t="shared" ref="H488:O488" si="2446">countif($D488,"*"&amp;H$2&amp;"*")</f>
        <v>0</v>
      </c>
      <c r="I488" s="200">
        <f t="shared" si="2446"/>
        <v>0</v>
      </c>
      <c r="J488" s="200">
        <f t="shared" si="2446"/>
        <v>0</v>
      </c>
      <c r="K488" s="200">
        <f t="shared" si="2446"/>
        <v>0</v>
      </c>
      <c r="L488" s="200">
        <f t="shared" si="2446"/>
        <v>0</v>
      </c>
      <c r="M488" s="200">
        <f t="shared" si="2446"/>
        <v>0</v>
      </c>
      <c r="N488" s="200">
        <f t="shared" si="2446"/>
        <v>0</v>
      </c>
      <c r="O488" s="200">
        <f t="shared" si="2446"/>
        <v>0</v>
      </c>
      <c r="P488" s="200">
        <f t="shared" si="9"/>
        <v>0</v>
      </c>
      <c r="Q488" s="200">
        <f t="shared" ref="Q488:AC488" si="2447">countif($D488,"*"&amp;Q$2&amp;"*")</f>
        <v>0</v>
      </c>
      <c r="R488" s="200">
        <f t="shared" si="2447"/>
        <v>0</v>
      </c>
      <c r="S488" s="200">
        <f t="shared" si="2447"/>
        <v>0</v>
      </c>
      <c r="T488" s="200">
        <f t="shared" si="2447"/>
        <v>0</v>
      </c>
      <c r="U488" s="200">
        <f t="shared" si="2447"/>
        <v>0</v>
      </c>
      <c r="V488" s="200">
        <f t="shared" si="2447"/>
        <v>0</v>
      </c>
      <c r="W488" s="200">
        <f t="shared" si="2447"/>
        <v>0</v>
      </c>
      <c r="X488" s="200">
        <f t="shared" si="2447"/>
        <v>0</v>
      </c>
      <c r="Y488" s="200">
        <f t="shared" si="2447"/>
        <v>0</v>
      </c>
      <c r="Z488" s="200">
        <f t="shared" si="2447"/>
        <v>0</v>
      </c>
      <c r="AA488" s="200">
        <f t="shared" si="2447"/>
        <v>1</v>
      </c>
      <c r="AB488" s="200">
        <f t="shared" si="2447"/>
        <v>0</v>
      </c>
      <c r="AC488" s="200">
        <f t="shared" si="2447"/>
        <v>0</v>
      </c>
      <c r="AD488" s="200">
        <f t="shared" si="11"/>
        <v>0</v>
      </c>
      <c r="AE488" s="200">
        <f t="shared" ref="AE488:AG488" si="2448">countif($D488,"*"&amp;AE$2&amp;"*")</f>
        <v>0</v>
      </c>
      <c r="AF488" s="200">
        <f t="shared" si="2448"/>
        <v>0</v>
      </c>
      <c r="AG488" s="200">
        <f t="shared" si="2448"/>
        <v>0</v>
      </c>
      <c r="AH488" s="171">
        <f t="shared" si="13"/>
        <v>0</v>
      </c>
      <c r="AI488" s="200">
        <f t="shared" si="14"/>
        <v>0</v>
      </c>
      <c r="AJ488" s="200">
        <f t="shared" si="2382"/>
        <v>0</v>
      </c>
      <c r="AK488" s="201">
        <f t="shared" ref="AK488:AS488" si="2449">countif($D488,"*"&amp;AK$2&amp;"*")</f>
        <v>0</v>
      </c>
      <c r="AL488" s="201">
        <f t="shared" si="2449"/>
        <v>0</v>
      </c>
      <c r="AM488" s="201">
        <f t="shared" si="2449"/>
        <v>0</v>
      </c>
      <c r="AN488" s="201">
        <f t="shared" si="2449"/>
        <v>0</v>
      </c>
      <c r="AO488" s="201">
        <f t="shared" si="2449"/>
        <v>0</v>
      </c>
      <c r="AP488" s="201">
        <f t="shared" si="2449"/>
        <v>0</v>
      </c>
      <c r="AQ488" s="201">
        <f t="shared" si="2449"/>
        <v>0</v>
      </c>
      <c r="AR488" s="200">
        <f t="shared" si="2449"/>
        <v>0</v>
      </c>
      <c r="AS488" s="200">
        <f t="shared" si="2449"/>
        <v>0</v>
      </c>
      <c r="AT488" s="173">
        <v>0.0</v>
      </c>
      <c r="AU488" s="200">
        <f t="shared" si="2409"/>
        <v>0</v>
      </c>
      <c r="AV488" s="200">
        <f t="shared" ref="AV488:AX488" si="2450">countif($D488,"*"&amp;AV$2&amp;"*")</f>
        <v>0</v>
      </c>
      <c r="AW488" s="200">
        <f t="shared" si="2450"/>
        <v>0</v>
      </c>
      <c r="AX488" s="200">
        <f t="shared" si="2450"/>
        <v>0</v>
      </c>
      <c r="AY488" s="202">
        <v>0.0</v>
      </c>
      <c r="AZ488" s="200"/>
      <c r="BA488" s="171" t="str">
        <f t="shared" si="18"/>
        <v/>
      </c>
      <c r="BB488" s="171" t="str">
        <f t="shared" si="19"/>
        <v/>
      </c>
      <c r="BC488" s="171" t="str">
        <f t="shared" si="20"/>
        <v>General-purpose</v>
      </c>
      <c r="BD488" s="171" t="str">
        <f t="shared" si="21"/>
        <v/>
      </c>
      <c r="BE488" s="171" t="str">
        <f t="shared" si="22"/>
        <v/>
      </c>
      <c r="BF488" s="171" t="str">
        <f t="shared" si="23"/>
        <v>General-purpose</v>
      </c>
    </row>
    <row r="489">
      <c r="A489" s="171">
        <f t="array" ref="A489">XLOOKUP(C489,ICSE!A:A,ICSE!C:C,,2,1)</f>
        <v>2020</v>
      </c>
      <c r="B489" s="171" t="s">
        <v>5675</v>
      </c>
      <c r="C489" s="160">
        <v>823.0</v>
      </c>
      <c r="D489" s="161" t="s">
        <v>5902</v>
      </c>
      <c r="E489" s="197" t="str">
        <f t="array" ref="E489">XLOOKUP(C489,ICSE!A:A,ICSE!Z:Z,,0,1)</f>
        <v>Publicly available (3)</v>
      </c>
      <c r="F489" s="198" t="s">
        <v>20</v>
      </c>
      <c r="G489" s="163" t="str">
        <f t="array" ref="G489">IF(B489="ICSE",IF(COUNTIFS(B:B,B489,C:C,C489)=XLOOKUP(C489,ICSE!A:A,ICSE!AA:AA,"ERROR",0,1),"OK","ERROR"),IF(B489="FSE",IF(COUNTIFS(B:B,B489,C:C,C489)=XLOOKUP(C489,FSE!A:A,FSE!AA:AA,"ERROR",0,1),"OK","ERROR")))</f>
        <v>OK</v>
      </c>
      <c r="H489" s="199">
        <f t="shared" ref="H489:O489" si="2451">countif($D489,"*"&amp;H$2&amp;"*")</f>
        <v>0</v>
      </c>
      <c r="I489" s="200">
        <f t="shared" si="2451"/>
        <v>0</v>
      </c>
      <c r="J489" s="200">
        <f t="shared" si="2451"/>
        <v>0</v>
      </c>
      <c r="K489" s="200">
        <f t="shared" si="2451"/>
        <v>0</v>
      </c>
      <c r="L489" s="200">
        <f t="shared" si="2451"/>
        <v>0</v>
      </c>
      <c r="M489" s="200">
        <f t="shared" si="2451"/>
        <v>0</v>
      </c>
      <c r="N489" s="200">
        <f t="shared" si="2451"/>
        <v>0</v>
      </c>
      <c r="O489" s="200">
        <f t="shared" si="2451"/>
        <v>0</v>
      </c>
      <c r="P489" s="200">
        <f t="shared" si="9"/>
        <v>0</v>
      </c>
      <c r="Q489" s="200">
        <f t="shared" ref="Q489:AC489" si="2452">countif($D489,"*"&amp;Q$2&amp;"*")</f>
        <v>0</v>
      </c>
      <c r="R489" s="200">
        <f t="shared" si="2452"/>
        <v>0</v>
      </c>
      <c r="S489" s="200">
        <f t="shared" si="2452"/>
        <v>0</v>
      </c>
      <c r="T489" s="200">
        <f t="shared" si="2452"/>
        <v>0</v>
      </c>
      <c r="U489" s="200">
        <f t="shared" si="2452"/>
        <v>0</v>
      </c>
      <c r="V489" s="200">
        <f t="shared" si="2452"/>
        <v>0</v>
      </c>
      <c r="W489" s="200">
        <f t="shared" si="2452"/>
        <v>0</v>
      </c>
      <c r="X489" s="200">
        <f t="shared" si="2452"/>
        <v>0</v>
      </c>
      <c r="Y489" s="200">
        <f t="shared" si="2452"/>
        <v>0</v>
      </c>
      <c r="Z489" s="200">
        <f t="shared" si="2452"/>
        <v>0</v>
      </c>
      <c r="AA489" s="200">
        <f t="shared" si="2452"/>
        <v>0</v>
      </c>
      <c r="AB489" s="200">
        <f t="shared" si="2452"/>
        <v>0</v>
      </c>
      <c r="AC489" s="200">
        <f t="shared" si="2452"/>
        <v>0</v>
      </c>
      <c r="AD489" s="200">
        <f t="shared" si="11"/>
        <v>1</v>
      </c>
      <c r="AE489" s="200">
        <f t="shared" ref="AE489:AG489" si="2453">countif($D489,"*"&amp;AE$2&amp;"*")</f>
        <v>0</v>
      </c>
      <c r="AF489" s="200">
        <f t="shared" si="2453"/>
        <v>0</v>
      </c>
      <c r="AG489" s="200">
        <f t="shared" si="2453"/>
        <v>0</v>
      </c>
      <c r="AH489" s="171">
        <f t="shared" si="13"/>
        <v>0</v>
      </c>
      <c r="AI489" s="200">
        <f t="shared" si="14"/>
        <v>0</v>
      </c>
      <c r="AJ489" s="200">
        <f t="shared" ref="AJ489:AJ491" si="2459">SUM(AK489:AQ489)</f>
        <v>1</v>
      </c>
      <c r="AK489" s="201">
        <f t="shared" ref="AK489:AS489" si="2454">countif($D489,"*"&amp;AK$2&amp;"*")</f>
        <v>1</v>
      </c>
      <c r="AL489" s="201">
        <f t="shared" si="2454"/>
        <v>0</v>
      </c>
      <c r="AM489" s="201">
        <f t="shared" si="2454"/>
        <v>0</v>
      </c>
      <c r="AN489" s="201">
        <f t="shared" si="2454"/>
        <v>0</v>
      </c>
      <c r="AO489" s="201">
        <f t="shared" si="2454"/>
        <v>0</v>
      </c>
      <c r="AP489" s="201">
        <f t="shared" si="2454"/>
        <v>0</v>
      </c>
      <c r="AQ489" s="201">
        <f t="shared" si="2454"/>
        <v>0</v>
      </c>
      <c r="AR489" s="201">
        <f t="shared" si="2454"/>
        <v>0</v>
      </c>
      <c r="AS489" s="200">
        <f t="shared" si="2454"/>
        <v>1</v>
      </c>
      <c r="AT489" s="205">
        <v>0.0</v>
      </c>
      <c r="AU489" s="200">
        <f t="shared" si="2409"/>
        <v>1</v>
      </c>
      <c r="AV489" s="200">
        <f t="shared" ref="AV489:AX489" si="2455">countif($D489,"*"&amp;AV$2&amp;"*")</f>
        <v>0</v>
      </c>
      <c r="AW489" s="200">
        <f t="shared" si="2455"/>
        <v>0</v>
      </c>
      <c r="AX489" s="200">
        <f t="shared" si="2455"/>
        <v>0</v>
      </c>
      <c r="AY489" s="202">
        <v>0.0</v>
      </c>
      <c r="AZ489" s="200"/>
      <c r="BA489" s="171" t="str">
        <f t="shared" si="18"/>
        <v/>
      </c>
      <c r="BB489" s="171" t="str">
        <f t="shared" si="19"/>
        <v/>
      </c>
      <c r="BC489" s="171" t="str">
        <f t="shared" si="20"/>
        <v/>
      </c>
      <c r="BD489" s="171" t="str">
        <f t="shared" si="21"/>
        <v>Institutional</v>
      </c>
      <c r="BE489" s="171" t="str">
        <f t="shared" si="22"/>
        <v/>
      </c>
      <c r="BF489" s="171" t="str">
        <f t="shared" si="23"/>
        <v>Institutional</v>
      </c>
    </row>
    <row r="490">
      <c r="A490" s="171">
        <f t="array" ref="A490">XLOOKUP(C490,ICSE!A:A,ICSE!C:C,,2,1)</f>
        <v>2020</v>
      </c>
      <c r="B490" s="171" t="s">
        <v>5675</v>
      </c>
      <c r="C490" s="160">
        <v>823.0</v>
      </c>
      <c r="D490" s="161" t="s">
        <v>5903</v>
      </c>
      <c r="E490" s="197" t="str">
        <f t="array" ref="E490">XLOOKUP(C490,ICSE!A:A,ICSE!Z:Z,,0,1)</f>
        <v>Publicly available (3)</v>
      </c>
      <c r="F490" s="198" t="s">
        <v>20</v>
      </c>
      <c r="G490" s="163" t="str">
        <f t="array" ref="G490">IF(B490="ICSE",IF(COUNTIFS(B:B,B490,C:C,C490)=XLOOKUP(C490,ICSE!A:A,ICSE!AA:AA,"ERROR",0,1),"OK","ERROR"),IF(B490="FSE",IF(COUNTIFS(B:B,B490,C:C,C490)=XLOOKUP(C490,FSE!A:A,FSE!AA:AA,"ERROR",0,1),"OK","ERROR")))</f>
        <v>OK</v>
      </c>
      <c r="H490" s="199">
        <f t="shared" ref="H490:O490" si="2456">countif($D490,"*"&amp;H$2&amp;"*")</f>
        <v>0</v>
      </c>
      <c r="I490" s="200">
        <f t="shared" si="2456"/>
        <v>0</v>
      </c>
      <c r="J490" s="200">
        <f t="shared" si="2456"/>
        <v>0</v>
      </c>
      <c r="K490" s="200">
        <f t="shared" si="2456"/>
        <v>0</v>
      </c>
      <c r="L490" s="200">
        <f t="shared" si="2456"/>
        <v>0</v>
      </c>
      <c r="M490" s="200">
        <f t="shared" si="2456"/>
        <v>0</v>
      </c>
      <c r="N490" s="200">
        <f t="shared" si="2456"/>
        <v>0</v>
      </c>
      <c r="O490" s="200">
        <f t="shared" si="2456"/>
        <v>0</v>
      </c>
      <c r="P490" s="200">
        <f t="shared" si="9"/>
        <v>0</v>
      </c>
      <c r="Q490" s="200">
        <f t="shared" ref="Q490:AC490" si="2457">countif($D490,"*"&amp;Q$2&amp;"*")</f>
        <v>0</v>
      </c>
      <c r="R490" s="200">
        <f t="shared" si="2457"/>
        <v>0</v>
      </c>
      <c r="S490" s="200">
        <f t="shared" si="2457"/>
        <v>0</v>
      </c>
      <c r="T490" s="200">
        <f t="shared" si="2457"/>
        <v>0</v>
      </c>
      <c r="U490" s="200">
        <f t="shared" si="2457"/>
        <v>0</v>
      </c>
      <c r="V490" s="200">
        <f t="shared" si="2457"/>
        <v>0</v>
      </c>
      <c r="W490" s="200">
        <f t="shared" si="2457"/>
        <v>0</v>
      </c>
      <c r="X490" s="200">
        <f t="shared" si="2457"/>
        <v>0</v>
      </c>
      <c r="Y490" s="200">
        <f t="shared" si="2457"/>
        <v>0</v>
      </c>
      <c r="Z490" s="200">
        <f t="shared" si="2457"/>
        <v>0</v>
      </c>
      <c r="AA490" s="200">
        <f t="shared" si="2457"/>
        <v>0</v>
      </c>
      <c r="AB490" s="200">
        <f t="shared" si="2457"/>
        <v>0</v>
      </c>
      <c r="AC490" s="200">
        <f t="shared" si="2457"/>
        <v>0</v>
      </c>
      <c r="AD490" s="200">
        <f t="shared" si="11"/>
        <v>1</v>
      </c>
      <c r="AE490" s="200">
        <f t="shared" ref="AE490:AG490" si="2458">countif($D490,"*"&amp;AE$2&amp;"*")</f>
        <v>0</v>
      </c>
      <c r="AF490" s="200">
        <f t="shared" si="2458"/>
        <v>0</v>
      </c>
      <c r="AG490" s="200">
        <f t="shared" si="2458"/>
        <v>0</v>
      </c>
      <c r="AH490" s="171">
        <f t="shared" si="13"/>
        <v>0</v>
      </c>
      <c r="AI490" s="200">
        <f t="shared" si="14"/>
        <v>0</v>
      </c>
      <c r="AJ490" s="200">
        <f t="shared" si="2459"/>
        <v>1</v>
      </c>
      <c r="AK490" s="201">
        <f t="shared" ref="AK490:AS490" si="2460">countif($D490,"*"&amp;AK$2&amp;"*")</f>
        <v>1</v>
      </c>
      <c r="AL490" s="201">
        <f t="shared" si="2460"/>
        <v>0</v>
      </c>
      <c r="AM490" s="201">
        <f t="shared" si="2460"/>
        <v>0</v>
      </c>
      <c r="AN490" s="201">
        <f t="shared" si="2460"/>
        <v>0</v>
      </c>
      <c r="AO490" s="201">
        <f t="shared" si="2460"/>
        <v>0</v>
      </c>
      <c r="AP490" s="201">
        <f t="shared" si="2460"/>
        <v>0</v>
      </c>
      <c r="AQ490" s="201">
        <f t="shared" si="2460"/>
        <v>0</v>
      </c>
      <c r="AR490" s="201">
        <f t="shared" si="2460"/>
        <v>0</v>
      </c>
      <c r="AS490" s="200">
        <f t="shared" si="2460"/>
        <v>1</v>
      </c>
      <c r="AT490" s="205">
        <v>0.0</v>
      </c>
      <c r="AU490" s="200">
        <f t="shared" si="2409"/>
        <v>1</v>
      </c>
      <c r="AV490" s="200">
        <f t="shared" ref="AV490:AX490" si="2461">countif($D490,"*"&amp;AV$2&amp;"*")</f>
        <v>0</v>
      </c>
      <c r="AW490" s="200">
        <f t="shared" si="2461"/>
        <v>0</v>
      </c>
      <c r="AX490" s="200">
        <f t="shared" si="2461"/>
        <v>0</v>
      </c>
      <c r="AY490" s="202">
        <v>0.0</v>
      </c>
      <c r="AZ490" s="200"/>
      <c r="BA490" s="171" t="str">
        <f t="shared" si="18"/>
        <v/>
      </c>
      <c r="BB490" s="171" t="str">
        <f t="shared" si="19"/>
        <v/>
      </c>
      <c r="BC490" s="171" t="str">
        <f t="shared" si="20"/>
        <v/>
      </c>
      <c r="BD490" s="171" t="str">
        <f t="shared" si="21"/>
        <v>Institutional</v>
      </c>
      <c r="BE490" s="171" t="str">
        <f t="shared" si="22"/>
        <v/>
      </c>
      <c r="BF490" s="171" t="str">
        <f t="shared" si="23"/>
        <v>Institutional</v>
      </c>
    </row>
    <row r="491">
      <c r="A491" s="171">
        <f t="array" ref="A491">XLOOKUP(C491,ICSE!A:A,ICSE!C:C,,2,1)</f>
        <v>2020</v>
      </c>
      <c r="B491" s="171" t="s">
        <v>5675</v>
      </c>
      <c r="C491" s="160">
        <v>823.0</v>
      </c>
      <c r="D491" s="161" t="s">
        <v>5904</v>
      </c>
      <c r="E491" s="197" t="str">
        <f t="array" ref="E491">XLOOKUP(C491,ICSE!A:A,ICSE!Z:Z,,0,1)</f>
        <v>Publicly available (3)</v>
      </c>
      <c r="F491" s="198" t="s">
        <v>20</v>
      </c>
      <c r="G491" s="163" t="str">
        <f t="array" ref="G491">IF(B491="ICSE",IF(COUNTIFS(B:B,B491,C:C,C491)=XLOOKUP(C491,ICSE!A:A,ICSE!AA:AA,"ERROR",0,1),"OK","ERROR"),IF(B491="FSE",IF(COUNTIFS(B:B,B491,C:C,C491)=XLOOKUP(C491,FSE!A:A,FSE!AA:AA,"ERROR",0,1),"OK","ERROR")))</f>
        <v>OK</v>
      </c>
      <c r="H491" s="199">
        <f t="shared" ref="H491:O491" si="2462">countif($D491,"*"&amp;H$2&amp;"*")</f>
        <v>0</v>
      </c>
      <c r="I491" s="200">
        <f t="shared" si="2462"/>
        <v>0</v>
      </c>
      <c r="J491" s="200">
        <f t="shared" si="2462"/>
        <v>0</v>
      </c>
      <c r="K491" s="200">
        <f t="shared" si="2462"/>
        <v>0</v>
      </c>
      <c r="L491" s="200">
        <f t="shared" si="2462"/>
        <v>0</v>
      </c>
      <c r="M491" s="200">
        <f t="shared" si="2462"/>
        <v>0</v>
      </c>
      <c r="N491" s="200">
        <f t="shared" si="2462"/>
        <v>0</v>
      </c>
      <c r="O491" s="200">
        <f t="shared" si="2462"/>
        <v>0</v>
      </c>
      <c r="P491" s="200">
        <f t="shared" si="9"/>
        <v>0</v>
      </c>
      <c r="Q491" s="200">
        <f t="shared" ref="Q491:AC491" si="2463">countif($D491,"*"&amp;Q$2&amp;"*")</f>
        <v>0</v>
      </c>
      <c r="R491" s="200">
        <f t="shared" si="2463"/>
        <v>0</v>
      </c>
      <c r="S491" s="200">
        <f t="shared" si="2463"/>
        <v>0</v>
      </c>
      <c r="T491" s="200">
        <f t="shared" si="2463"/>
        <v>0</v>
      </c>
      <c r="U491" s="200">
        <f t="shared" si="2463"/>
        <v>0</v>
      </c>
      <c r="V491" s="200">
        <f t="shared" si="2463"/>
        <v>0</v>
      </c>
      <c r="W491" s="200">
        <f t="shared" si="2463"/>
        <v>0</v>
      </c>
      <c r="X491" s="200">
        <f t="shared" si="2463"/>
        <v>0</v>
      </c>
      <c r="Y491" s="200">
        <f t="shared" si="2463"/>
        <v>0</v>
      </c>
      <c r="Z491" s="200">
        <f t="shared" si="2463"/>
        <v>0</v>
      </c>
      <c r="AA491" s="200">
        <f t="shared" si="2463"/>
        <v>0</v>
      </c>
      <c r="AB491" s="200">
        <f t="shared" si="2463"/>
        <v>0</v>
      </c>
      <c r="AC491" s="200">
        <f t="shared" si="2463"/>
        <v>0</v>
      </c>
      <c r="AD491" s="200">
        <f t="shared" si="11"/>
        <v>1</v>
      </c>
      <c r="AE491" s="200">
        <f t="shared" ref="AE491:AG491" si="2464">countif($D491,"*"&amp;AE$2&amp;"*")</f>
        <v>0</v>
      </c>
      <c r="AF491" s="200">
        <f t="shared" si="2464"/>
        <v>0</v>
      </c>
      <c r="AG491" s="200">
        <f t="shared" si="2464"/>
        <v>0</v>
      </c>
      <c r="AH491" s="171">
        <f t="shared" si="13"/>
        <v>0</v>
      </c>
      <c r="AI491" s="200">
        <f t="shared" si="14"/>
        <v>0</v>
      </c>
      <c r="AJ491" s="200">
        <f t="shared" si="2459"/>
        <v>1</v>
      </c>
      <c r="AK491" s="201">
        <f t="shared" ref="AK491:AS491" si="2465">countif($D491,"*"&amp;AK$2&amp;"*")</f>
        <v>1</v>
      </c>
      <c r="AL491" s="201">
        <f t="shared" si="2465"/>
        <v>0</v>
      </c>
      <c r="AM491" s="201">
        <f t="shared" si="2465"/>
        <v>0</v>
      </c>
      <c r="AN491" s="201">
        <f t="shared" si="2465"/>
        <v>0</v>
      </c>
      <c r="AO491" s="201">
        <f t="shared" si="2465"/>
        <v>0</v>
      </c>
      <c r="AP491" s="201">
        <f t="shared" si="2465"/>
        <v>0</v>
      </c>
      <c r="AQ491" s="201">
        <f t="shared" si="2465"/>
        <v>0</v>
      </c>
      <c r="AR491" s="201">
        <f t="shared" si="2465"/>
        <v>0</v>
      </c>
      <c r="AS491" s="200">
        <f t="shared" si="2465"/>
        <v>1</v>
      </c>
      <c r="AT491" s="205">
        <v>0.0</v>
      </c>
      <c r="AU491" s="200">
        <f t="shared" si="2409"/>
        <v>1</v>
      </c>
      <c r="AV491" s="200">
        <f t="shared" ref="AV491:AX491" si="2466">countif($D491,"*"&amp;AV$2&amp;"*")</f>
        <v>0</v>
      </c>
      <c r="AW491" s="200">
        <f t="shared" si="2466"/>
        <v>0</v>
      </c>
      <c r="AX491" s="200">
        <f t="shared" si="2466"/>
        <v>0</v>
      </c>
      <c r="AY491" s="202">
        <v>0.0</v>
      </c>
      <c r="AZ491" s="200"/>
      <c r="BA491" s="171" t="str">
        <f t="shared" si="18"/>
        <v/>
      </c>
      <c r="BB491" s="171" t="str">
        <f t="shared" si="19"/>
        <v/>
      </c>
      <c r="BC491" s="171" t="str">
        <f t="shared" si="20"/>
        <v/>
      </c>
      <c r="BD491" s="171" t="str">
        <f t="shared" si="21"/>
        <v>Institutional</v>
      </c>
      <c r="BE491" s="171" t="str">
        <f t="shared" si="22"/>
        <v/>
      </c>
      <c r="BF491" s="171" t="str">
        <f t="shared" si="23"/>
        <v>Institutional</v>
      </c>
    </row>
    <row r="492">
      <c r="A492" s="171">
        <f t="array" ref="A492">XLOOKUP(C492,ICSE!A:A,ICSE!C:C,,2,1)</f>
        <v>2019</v>
      </c>
      <c r="B492" s="171" t="s">
        <v>5675</v>
      </c>
      <c r="C492" s="160">
        <v>910.0</v>
      </c>
      <c r="D492" s="161" t="s">
        <v>1223</v>
      </c>
      <c r="E492" s="197" t="str">
        <f t="array" ref="E492">XLOOKUP(C492,ICSE!A:A,ICSE!Z:Z,,0,1)</f>
        <v>Publicly available (1)</v>
      </c>
      <c r="F492" s="198" t="s">
        <v>20</v>
      </c>
      <c r="G492" s="163" t="str">
        <f t="array" ref="G492">IF(B492="ICSE",IF(COUNTIFS(B:B,B492,C:C,C492)=XLOOKUP(C492,ICSE!A:A,ICSE!AA:AA,"ERROR",0,1),"OK","ERROR"),IF(B492="FSE",IF(COUNTIFS(B:B,B492,C:C,C492)=XLOOKUP(C492,FSE!A:A,FSE!AA:AA,"ERROR",0,1),"OK","ERROR")))</f>
        <v>OK</v>
      </c>
      <c r="H492" s="199">
        <f t="shared" ref="H492:O492" si="2467">countif($D492,"*"&amp;H$2&amp;"*")</f>
        <v>0</v>
      </c>
      <c r="I492" s="200">
        <f t="shared" si="2467"/>
        <v>0</v>
      </c>
      <c r="J492" s="200">
        <f t="shared" si="2467"/>
        <v>0</v>
      </c>
      <c r="K492" s="200">
        <f t="shared" si="2467"/>
        <v>0</v>
      </c>
      <c r="L492" s="200">
        <f t="shared" si="2467"/>
        <v>0</v>
      </c>
      <c r="M492" s="200">
        <f t="shared" si="2467"/>
        <v>0</v>
      </c>
      <c r="N492" s="200">
        <f t="shared" si="2467"/>
        <v>0</v>
      </c>
      <c r="O492" s="200">
        <f t="shared" si="2467"/>
        <v>0</v>
      </c>
      <c r="P492" s="200">
        <f t="shared" si="9"/>
        <v>0</v>
      </c>
      <c r="Q492" s="200">
        <f t="shared" ref="Q492:AC492" si="2468">countif($D492,"*"&amp;Q$2&amp;"*")</f>
        <v>0</v>
      </c>
      <c r="R492" s="200">
        <f t="shared" si="2468"/>
        <v>0</v>
      </c>
      <c r="S492" s="200">
        <f t="shared" si="2468"/>
        <v>0</v>
      </c>
      <c r="T492" s="200">
        <f t="shared" si="2468"/>
        <v>0</v>
      </c>
      <c r="U492" s="200">
        <f t="shared" si="2468"/>
        <v>0</v>
      </c>
      <c r="V492" s="200">
        <f t="shared" si="2468"/>
        <v>0</v>
      </c>
      <c r="W492" s="200">
        <f t="shared" si="2468"/>
        <v>0</v>
      </c>
      <c r="X492" s="200">
        <f t="shared" si="2468"/>
        <v>0</v>
      </c>
      <c r="Y492" s="200">
        <f t="shared" si="2468"/>
        <v>0</v>
      </c>
      <c r="Z492" s="200">
        <f t="shared" si="2468"/>
        <v>0</v>
      </c>
      <c r="AA492" s="200">
        <f t="shared" si="2468"/>
        <v>1</v>
      </c>
      <c r="AB492" s="200">
        <f t="shared" si="2468"/>
        <v>0</v>
      </c>
      <c r="AC492" s="200">
        <f t="shared" si="2468"/>
        <v>0</v>
      </c>
      <c r="AD492" s="200">
        <f t="shared" si="11"/>
        <v>0</v>
      </c>
      <c r="AE492" s="200">
        <f t="shared" ref="AE492:AG492" si="2469">countif($D492,"*"&amp;AE$2&amp;"*")</f>
        <v>0</v>
      </c>
      <c r="AF492" s="200">
        <f t="shared" si="2469"/>
        <v>0</v>
      </c>
      <c r="AG492" s="200">
        <f t="shared" si="2469"/>
        <v>0</v>
      </c>
      <c r="AH492" s="171">
        <f t="shared" si="13"/>
        <v>0</v>
      </c>
      <c r="AI492" s="200">
        <f t="shared" si="14"/>
        <v>0</v>
      </c>
      <c r="AJ492" s="200">
        <f t="shared" ref="AJ492:AJ532" si="2475">SUM(AK492:AR492)</f>
        <v>0</v>
      </c>
      <c r="AK492" s="201">
        <f t="shared" ref="AK492:AS492" si="2470">countif($D492,"*"&amp;AK$2&amp;"*")</f>
        <v>0</v>
      </c>
      <c r="AL492" s="201">
        <f t="shared" si="2470"/>
        <v>0</v>
      </c>
      <c r="AM492" s="201">
        <f t="shared" si="2470"/>
        <v>0</v>
      </c>
      <c r="AN492" s="201">
        <f t="shared" si="2470"/>
        <v>0</v>
      </c>
      <c r="AO492" s="201">
        <f t="shared" si="2470"/>
        <v>0</v>
      </c>
      <c r="AP492" s="201">
        <f t="shared" si="2470"/>
        <v>0</v>
      </c>
      <c r="AQ492" s="201">
        <f t="shared" si="2470"/>
        <v>0</v>
      </c>
      <c r="AR492" s="200">
        <f t="shared" si="2470"/>
        <v>0</v>
      </c>
      <c r="AS492" s="200">
        <f t="shared" si="2470"/>
        <v>0</v>
      </c>
      <c r="AT492" s="173">
        <v>0.0</v>
      </c>
      <c r="AU492" s="200">
        <f t="shared" si="2409"/>
        <v>0</v>
      </c>
      <c r="AV492" s="200">
        <f t="shared" ref="AV492:AX492" si="2471">countif($D492,"*"&amp;AV$2&amp;"*")</f>
        <v>0</v>
      </c>
      <c r="AW492" s="200">
        <f t="shared" si="2471"/>
        <v>0</v>
      </c>
      <c r="AX492" s="200">
        <f t="shared" si="2471"/>
        <v>0</v>
      </c>
      <c r="AY492" s="202">
        <v>0.0</v>
      </c>
      <c r="AZ492" s="200"/>
      <c r="BA492" s="171" t="str">
        <f t="shared" si="18"/>
        <v/>
      </c>
      <c r="BB492" s="171" t="str">
        <f t="shared" si="19"/>
        <v/>
      </c>
      <c r="BC492" s="171" t="str">
        <f t="shared" si="20"/>
        <v>General-purpose</v>
      </c>
      <c r="BD492" s="171" t="str">
        <f t="shared" si="21"/>
        <v/>
      </c>
      <c r="BE492" s="171" t="str">
        <f t="shared" si="22"/>
        <v/>
      </c>
      <c r="BF492" s="171" t="str">
        <f t="shared" si="23"/>
        <v>General-purpose</v>
      </c>
    </row>
    <row r="493">
      <c r="A493" s="171">
        <f t="array" ref="A493">XLOOKUP(C493,ICSE!A:A,ICSE!C:C,,2,1)</f>
        <v>2019</v>
      </c>
      <c r="B493" s="171" t="s">
        <v>5675</v>
      </c>
      <c r="C493" s="160">
        <v>911.0</v>
      </c>
      <c r="D493" s="161" t="s">
        <v>1225</v>
      </c>
      <c r="E493" s="197" t="str">
        <f t="array" ref="E493">XLOOKUP(C493,ICSE!A:A,ICSE!Z:Z,,0,1)</f>
        <v>Publicly available (1)</v>
      </c>
      <c r="F493" s="198" t="s">
        <v>20</v>
      </c>
      <c r="G493" s="163" t="str">
        <f t="array" ref="G493">IF(B493="ICSE",IF(COUNTIFS(B:B,B493,C:C,C493)=XLOOKUP(C493,ICSE!A:A,ICSE!AA:AA,"ERROR",0,1),"OK","ERROR"),IF(B493="FSE",IF(COUNTIFS(B:B,B493,C:C,C493)=XLOOKUP(C493,FSE!A:A,FSE!AA:AA,"ERROR",0,1),"OK","ERROR")))</f>
        <v>OK</v>
      </c>
      <c r="H493" s="199">
        <f t="shared" ref="H493:O493" si="2472">countif($D493,"*"&amp;H$2&amp;"*")</f>
        <v>0</v>
      </c>
      <c r="I493" s="200">
        <f t="shared" si="2472"/>
        <v>0</v>
      </c>
      <c r="J493" s="200">
        <f t="shared" si="2472"/>
        <v>0</v>
      </c>
      <c r="K493" s="200">
        <f t="shared" si="2472"/>
        <v>0</v>
      </c>
      <c r="L493" s="200">
        <f t="shared" si="2472"/>
        <v>0</v>
      </c>
      <c r="M493" s="200">
        <f t="shared" si="2472"/>
        <v>0</v>
      </c>
      <c r="N493" s="200">
        <f t="shared" si="2472"/>
        <v>0</v>
      </c>
      <c r="O493" s="200">
        <f t="shared" si="2472"/>
        <v>0</v>
      </c>
      <c r="P493" s="200">
        <f t="shared" si="9"/>
        <v>0</v>
      </c>
      <c r="Q493" s="200">
        <f t="shared" ref="Q493:AC493" si="2473">countif($D493,"*"&amp;Q$2&amp;"*")</f>
        <v>0</v>
      </c>
      <c r="R493" s="200">
        <f t="shared" si="2473"/>
        <v>0</v>
      </c>
      <c r="S493" s="200">
        <f t="shared" si="2473"/>
        <v>0</v>
      </c>
      <c r="T493" s="200">
        <f t="shared" si="2473"/>
        <v>0</v>
      </c>
      <c r="U493" s="200">
        <f t="shared" si="2473"/>
        <v>0</v>
      </c>
      <c r="V493" s="200">
        <f t="shared" si="2473"/>
        <v>0</v>
      </c>
      <c r="W493" s="200">
        <f t="shared" si="2473"/>
        <v>0</v>
      </c>
      <c r="X493" s="200">
        <f t="shared" si="2473"/>
        <v>0</v>
      </c>
      <c r="Y493" s="200">
        <f t="shared" si="2473"/>
        <v>0</v>
      </c>
      <c r="Z493" s="200">
        <f t="shared" si="2473"/>
        <v>0</v>
      </c>
      <c r="AA493" s="200">
        <f t="shared" si="2473"/>
        <v>0</v>
      </c>
      <c r="AB493" s="200">
        <f t="shared" si="2473"/>
        <v>0</v>
      </c>
      <c r="AC493" s="200">
        <f t="shared" si="2473"/>
        <v>0</v>
      </c>
      <c r="AD493" s="200">
        <f t="shared" si="11"/>
        <v>0</v>
      </c>
      <c r="AE493" s="200">
        <f t="shared" ref="AE493:AG493" si="2474">countif($D493,"*"&amp;AE$2&amp;"*")</f>
        <v>0</v>
      </c>
      <c r="AF493" s="200">
        <f t="shared" si="2474"/>
        <v>0</v>
      </c>
      <c r="AG493" s="200">
        <f t="shared" si="2474"/>
        <v>0</v>
      </c>
      <c r="AH493" s="171">
        <f t="shared" si="13"/>
        <v>1</v>
      </c>
      <c r="AI493" s="200">
        <f t="shared" si="14"/>
        <v>0</v>
      </c>
      <c r="AJ493" s="200">
        <f t="shared" si="2475"/>
        <v>0</v>
      </c>
      <c r="AK493" s="201">
        <f t="shared" ref="AK493:AS493" si="2476">countif($D493,"*"&amp;AK$2&amp;"*")</f>
        <v>0</v>
      </c>
      <c r="AL493" s="201">
        <f t="shared" si="2476"/>
        <v>0</v>
      </c>
      <c r="AM493" s="201">
        <f t="shared" si="2476"/>
        <v>0</v>
      </c>
      <c r="AN493" s="201">
        <f t="shared" si="2476"/>
        <v>0</v>
      </c>
      <c r="AO493" s="201">
        <f t="shared" si="2476"/>
        <v>0</v>
      </c>
      <c r="AP493" s="201">
        <f t="shared" si="2476"/>
        <v>0</v>
      </c>
      <c r="AQ493" s="201">
        <f t="shared" si="2476"/>
        <v>0</v>
      </c>
      <c r="AR493" s="200">
        <f t="shared" si="2476"/>
        <v>0</v>
      </c>
      <c r="AS493" s="200">
        <f t="shared" si="2476"/>
        <v>0</v>
      </c>
      <c r="AT493" s="173">
        <v>0.0</v>
      </c>
      <c r="AU493" s="200">
        <f t="shared" si="2409"/>
        <v>0</v>
      </c>
      <c r="AV493" s="200">
        <f t="shared" ref="AV493:AX493" si="2477">countif($D493,"*"&amp;AV$2&amp;"*")</f>
        <v>0</v>
      </c>
      <c r="AW493" s="200">
        <f t="shared" si="2477"/>
        <v>0</v>
      </c>
      <c r="AX493" s="200">
        <f t="shared" si="2477"/>
        <v>0</v>
      </c>
      <c r="AY493" s="202">
        <v>0.0</v>
      </c>
      <c r="AZ493" s="200"/>
      <c r="BA493" s="171" t="str">
        <f t="shared" si="18"/>
        <v/>
      </c>
      <c r="BB493" s="171" t="str">
        <f t="shared" si="19"/>
        <v/>
      </c>
      <c r="BC493" s="171" t="str">
        <f t="shared" si="20"/>
        <v/>
      </c>
      <c r="BD493" s="171" t="str">
        <f t="shared" si="21"/>
        <v/>
      </c>
      <c r="BE493" s="171" t="str">
        <f t="shared" si="22"/>
        <v>Others</v>
      </c>
      <c r="BF493" s="171" t="str">
        <f t="shared" si="23"/>
        <v>Others</v>
      </c>
    </row>
    <row r="494">
      <c r="A494" s="171">
        <f t="array" ref="A494">XLOOKUP(C494,ICSE!A:A,ICSE!C:C,,2,1)</f>
        <v>2019</v>
      </c>
      <c r="B494" s="171" t="s">
        <v>5675</v>
      </c>
      <c r="C494" s="160">
        <v>914.0</v>
      </c>
      <c r="D494" s="161" t="s">
        <v>5905</v>
      </c>
      <c r="E494" s="197" t="str">
        <f t="array" ref="E494">XLOOKUP(C494,ICSE!A:A,ICSE!Z:Z,,0,1)</f>
        <v>Publicly available (2)</v>
      </c>
      <c r="F494" s="198" t="s">
        <v>20</v>
      </c>
      <c r="G494" s="163" t="str">
        <f t="array" ref="G494">IF(B494="ICSE",IF(COUNTIFS(B:B,B494,C:C,C494)=XLOOKUP(C494,ICSE!A:A,ICSE!AA:AA,"ERROR",0,1),"OK","ERROR"),IF(B494="FSE",IF(COUNTIFS(B:B,B494,C:C,C494)=XLOOKUP(C494,FSE!A:A,FSE!AA:AA,"ERROR",0,1),"OK","ERROR")))</f>
        <v>OK</v>
      </c>
      <c r="H494" s="199">
        <f t="shared" ref="H494:O494" si="2478">countif($D494,"*"&amp;H$2&amp;"*")</f>
        <v>0</v>
      </c>
      <c r="I494" s="200">
        <f t="shared" si="2478"/>
        <v>0</v>
      </c>
      <c r="J494" s="200">
        <f t="shared" si="2478"/>
        <v>0</v>
      </c>
      <c r="K494" s="200">
        <f t="shared" si="2478"/>
        <v>0</v>
      </c>
      <c r="L494" s="200">
        <f t="shared" si="2478"/>
        <v>0</v>
      </c>
      <c r="M494" s="200">
        <f t="shared" si="2478"/>
        <v>0</v>
      </c>
      <c r="N494" s="200">
        <f t="shared" si="2478"/>
        <v>0</v>
      </c>
      <c r="O494" s="200">
        <f t="shared" si="2478"/>
        <v>0</v>
      </c>
      <c r="P494" s="200">
        <f t="shared" si="9"/>
        <v>1</v>
      </c>
      <c r="Q494" s="200">
        <f t="shared" ref="Q494:AC494" si="2479">countif($D494,"*"&amp;Q$2&amp;"*")</f>
        <v>0</v>
      </c>
      <c r="R494" s="200">
        <f t="shared" si="2479"/>
        <v>0</v>
      </c>
      <c r="S494" s="200">
        <f t="shared" si="2479"/>
        <v>0</v>
      </c>
      <c r="T494" s="200">
        <f t="shared" si="2479"/>
        <v>0</v>
      </c>
      <c r="U494" s="200">
        <f t="shared" si="2479"/>
        <v>0</v>
      </c>
      <c r="V494" s="200">
        <f t="shared" si="2479"/>
        <v>0</v>
      </c>
      <c r="W494" s="200">
        <f t="shared" si="2479"/>
        <v>0</v>
      </c>
      <c r="X494" s="200">
        <f t="shared" si="2479"/>
        <v>0</v>
      </c>
      <c r="Y494" s="200">
        <f t="shared" si="2479"/>
        <v>0</v>
      </c>
      <c r="Z494" s="200">
        <f t="shared" si="2479"/>
        <v>0</v>
      </c>
      <c r="AA494" s="200">
        <f t="shared" si="2479"/>
        <v>0</v>
      </c>
      <c r="AB494" s="200">
        <f t="shared" si="2479"/>
        <v>0</v>
      </c>
      <c r="AC494" s="200">
        <f t="shared" si="2479"/>
        <v>0</v>
      </c>
      <c r="AD494" s="200">
        <f t="shared" si="11"/>
        <v>0</v>
      </c>
      <c r="AE494" s="200">
        <f t="shared" ref="AE494:AG494" si="2480">countif($D494,"*"&amp;AE$2&amp;"*")</f>
        <v>0</v>
      </c>
      <c r="AF494" s="200">
        <f t="shared" si="2480"/>
        <v>0</v>
      </c>
      <c r="AG494" s="200">
        <f t="shared" si="2480"/>
        <v>0</v>
      </c>
      <c r="AH494" s="171">
        <f t="shared" si="13"/>
        <v>0</v>
      </c>
      <c r="AI494" s="200">
        <f t="shared" si="14"/>
        <v>0</v>
      </c>
      <c r="AJ494" s="200">
        <f t="shared" si="2475"/>
        <v>0</v>
      </c>
      <c r="AK494" s="201">
        <f t="shared" ref="AK494:AS494" si="2481">countif($D494,"*"&amp;AK$2&amp;"*")</f>
        <v>0</v>
      </c>
      <c r="AL494" s="201">
        <f t="shared" si="2481"/>
        <v>0</v>
      </c>
      <c r="AM494" s="201">
        <f t="shared" si="2481"/>
        <v>0</v>
      </c>
      <c r="AN494" s="201">
        <f t="shared" si="2481"/>
        <v>0</v>
      </c>
      <c r="AO494" s="201">
        <f t="shared" si="2481"/>
        <v>0</v>
      </c>
      <c r="AP494" s="201">
        <f t="shared" si="2481"/>
        <v>0</v>
      </c>
      <c r="AQ494" s="201">
        <f t="shared" si="2481"/>
        <v>0</v>
      </c>
      <c r="AR494" s="200">
        <f t="shared" si="2481"/>
        <v>0</v>
      </c>
      <c r="AS494" s="200">
        <f t="shared" si="2481"/>
        <v>0</v>
      </c>
      <c r="AT494" s="173">
        <v>0.0</v>
      </c>
      <c r="AU494" s="200">
        <f t="shared" si="2409"/>
        <v>0</v>
      </c>
      <c r="AV494" s="200">
        <f t="shared" ref="AV494:AX494" si="2482">countif($D494,"*"&amp;AV$2&amp;"*")</f>
        <v>1</v>
      </c>
      <c r="AW494" s="200">
        <f t="shared" si="2482"/>
        <v>0</v>
      </c>
      <c r="AX494" s="200">
        <f t="shared" si="2482"/>
        <v>0</v>
      </c>
      <c r="AY494" s="202">
        <v>0.0</v>
      </c>
      <c r="AZ494" s="200"/>
      <c r="BA494" s="171" t="str">
        <f t="shared" si="18"/>
        <v/>
      </c>
      <c r="BB494" s="171" t="str">
        <f t="shared" si="19"/>
        <v>Code</v>
      </c>
      <c r="BC494" s="171" t="str">
        <f t="shared" si="20"/>
        <v/>
      </c>
      <c r="BD494" s="171" t="str">
        <f t="shared" si="21"/>
        <v/>
      </c>
      <c r="BE494" s="171" t="str">
        <f t="shared" si="22"/>
        <v/>
      </c>
      <c r="BF494" s="171" t="str">
        <f t="shared" si="23"/>
        <v>Code</v>
      </c>
    </row>
    <row r="495">
      <c r="A495" s="171">
        <f t="array" ref="A495">XLOOKUP(C495,ICSE!A:A,ICSE!C:C,,2,1)</f>
        <v>2019</v>
      </c>
      <c r="B495" s="171" t="s">
        <v>5675</v>
      </c>
      <c r="C495" s="160">
        <v>914.0</v>
      </c>
      <c r="D495" s="161" t="s">
        <v>5906</v>
      </c>
      <c r="E495" s="197" t="str">
        <f t="array" ref="E495">XLOOKUP(C495,ICSE!A:A,ICSE!Z:Z,,0,1)</f>
        <v>Publicly available (2)</v>
      </c>
      <c r="F495" s="198" t="s">
        <v>20</v>
      </c>
      <c r="G495" s="163" t="str">
        <f t="array" ref="G495">IF(B495="ICSE",IF(COUNTIFS(B:B,B495,C:C,C495)=XLOOKUP(C495,ICSE!A:A,ICSE!AA:AA,"ERROR",0,1),"OK","ERROR"),IF(B495="FSE",IF(COUNTIFS(B:B,B495,C:C,C495)=XLOOKUP(C495,FSE!A:A,FSE!AA:AA,"ERROR",0,1),"OK","ERROR")))</f>
        <v>OK</v>
      </c>
      <c r="H495" s="199">
        <f t="shared" ref="H495:O495" si="2483">countif($D495,"*"&amp;H$2&amp;"*")</f>
        <v>0</v>
      </c>
      <c r="I495" s="200">
        <f t="shared" si="2483"/>
        <v>0</v>
      </c>
      <c r="J495" s="200">
        <f t="shared" si="2483"/>
        <v>0</v>
      </c>
      <c r="K495" s="200">
        <f t="shared" si="2483"/>
        <v>0</v>
      </c>
      <c r="L495" s="200">
        <f t="shared" si="2483"/>
        <v>0</v>
      </c>
      <c r="M495" s="200">
        <f t="shared" si="2483"/>
        <v>0</v>
      </c>
      <c r="N495" s="200">
        <f t="shared" si="2483"/>
        <v>0</v>
      </c>
      <c r="O495" s="200">
        <f t="shared" si="2483"/>
        <v>0</v>
      </c>
      <c r="P495" s="200">
        <f t="shared" si="9"/>
        <v>1</v>
      </c>
      <c r="Q495" s="200">
        <f t="shared" ref="Q495:AC495" si="2484">countif($D495,"*"&amp;Q$2&amp;"*")</f>
        <v>0</v>
      </c>
      <c r="R495" s="200">
        <f t="shared" si="2484"/>
        <v>0</v>
      </c>
      <c r="S495" s="200">
        <f t="shared" si="2484"/>
        <v>0</v>
      </c>
      <c r="T495" s="200">
        <f t="shared" si="2484"/>
        <v>0</v>
      </c>
      <c r="U495" s="200">
        <f t="shared" si="2484"/>
        <v>0</v>
      </c>
      <c r="V495" s="200">
        <f t="shared" si="2484"/>
        <v>0</v>
      </c>
      <c r="W495" s="200">
        <f t="shared" si="2484"/>
        <v>0</v>
      </c>
      <c r="X495" s="200">
        <f t="shared" si="2484"/>
        <v>0</v>
      </c>
      <c r="Y495" s="200">
        <f t="shared" si="2484"/>
        <v>0</v>
      </c>
      <c r="Z495" s="200">
        <f t="shared" si="2484"/>
        <v>0</v>
      </c>
      <c r="AA495" s="200">
        <f t="shared" si="2484"/>
        <v>0</v>
      </c>
      <c r="AB495" s="200">
        <f t="shared" si="2484"/>
        <v>0</v>
      </c>
      <c r="AC495" s="200">
        <f t="shared" si="2484"/>
        <v>0</v>
      </c>
      <c r="AD495" s="200">
        <f t="shared" si="11"/>
        <v>0</v>
      </c>
      <c r="AE495" s="200">
        <f t="shared" ref="AE495:AG495" si="2485">countif($D495,"*"&amp;AE$2&amp;"*")</f>
        <v>0</v>
      </c>
      <c r="AF495" s="200">
        <f t="shared" si="2485"/>
        <v>0</v>
      </c>
      <c r="AG495" s="200">
        <f t="shared" si="2485"/>
        <v>0</v>
      </c>
      <c r="AH495" s="171">
        <f t="shared" si="13"/>
        <v>0</v>
      </c>
      <c r="AI495" s="200">
        <f t="shared" si="14"/>
        <v>0</v>
      </c>
      <c r="AJ495" s="200">
        <f t="shared" si="2475"/>
        <v>0</v>
      </c>
      <c r="AK495" s="201">
        <f t="shared" ref="AK495:AS495" si="2486">countif($D495,"*"&amp;AK$2&amp;"*")</f>
        <v>0</v>
      </c>
      <c r="AL495" s="201">
        <f t="shared" si="2486"/>
        <v>0</v>
      </c>
      <c r="AM495" s="201">
        <f t="shared" si="2486"/>
        <v>0</v>
      </c>
      <c r="AN495" s="201">
        <f t="shared" si="2486"/>
        <v>0</v>
      </c>
      <c r="AO495" s="201">
        <f t="shared" si="2486"/>
        <v>0</v>
      </c>
      <c r="AP495" s="201">
        <f t="shared" si="2486"/>
        <v>0</v>
      </c>
      <c r="AQ495" s="201">
        <f t="shared" si="2486"/>
        <v>0</v>
      </c>
      <c r="AR495" s="200">
        <f t="shared" si="2486"/>
        <v>0</v>
      </c>
      <c r="AS495" s="200">
        <f t="shared" si="2486"/>
        <v>0</v>
      </c>
      <c r="AT495" s="173">
        <v>0.0</v>
      </c>
      <c r="AU495" s="200">
        <f t="shared" si="2409"/>
        <v>0</v>
      </c>
      <c r="AV495" s="200">
        <f t="shared" ref="AV495:AX495" si="2487">countif($D495,"*"&amp;AV$2&amp;"*")</f>
        <v>1</v>
      </c>
      <c r="AW495" s="200">
        <f t="shared" si="2487"/>
        <v>0</v>
      </c>
      <c r="AX495" s="200">
        <f t="shared" si="2487"/>
        <v>0</v>
      </c>
      <c r="AY495" s="202">
        <v>0.0</v>
      </c>
      <c r="AZ495" s="200"/>
      <c r="BA495" s="171" t="str">
        <f t="shared" si="18"/>
        <v/>
      </c>
      <c r="BB495" s="171" t="str">
        <f t="shared" si="19"/>
        <v>Code</v>
      </c>
      <c r="BC495" s="171" t="str">
        <f t="shared" si="20"/>
        <v/>
      </c>
      <c r="BD495" s="171" t="str">
        <f t="shared" si="21"/>
        <v/>
      </c>
      <c r="BE495" s="171" t="str">
        <f t="shared" si="22"/>
        <v/>
      </c>
      <c r="BF495" s="171" t="str">
        <f t="shared" si="23"/>
        <v>Code</v>
      </c>
    </row>
    <row r="496">
      <c r="A496" s="171">
        <f t="array" ref="A496">XLOOKUP(C496,ICSE!A:A,ICSE!C:C,,2,1)</f>
        <v>2019</v>
      </c>
      <c r="B496" s="171" t="s">
        <v>5675</v>
      </c>
      <c r="C496" s="160">
        <v>915.0</v>
      </c>
      <c r="D496" s="161" t="s">
        <v>5907</v>
      </c>
      <c r="E496" s="197" t="str">
        <f t="array" ref="E496">XLOOKUP(C496,ICSE!A:A,ICSE!Z:Z,,0,1)</f>
        <v>Publicly available (2)</v>
      </c>
      <c r="F496" s="198" t="s">
        <v>20</v>
      </c>
      <c r="G496" s="163" t="str">
        <f t="array" ref="G496">IF(B496="ICSE",IF(COUNTIFS(B:B,B496,C:C,C496)=XLOOKUP(C496,ICSE!A:A,ICSE!AA:AA,"ERROR",0,1),"OK","ERROR"),IF(B496="FSE",IF(COUNTIFS(B:B,B496,C:C,C496)=XLOOKUP(C496,FSE!A:A,FSE!AA:AA,"ERROR",0,1),"OK","ERROR")))</f>
        <v>OK</v>
      </c>
      <c r="H496" s="199">
        <f t="shared" ref="H496:O496" si="2488">countif($D496,"*"&amp;H$2&amp;"*")</f>
        <v>1</v>
      </c>
      <c r="I496" s="200">
        <f t="shared" si="2488"/>
        <v>0</v>
      </c>
      <c r="J496" s="200">
        <f t="shared" si="2488"/>
        <v>0</v>
      </c>
      <c r="K496" s="200">
        <f t="shared" si="2488"/>
        <v>0</v>
      </c>
      <c r="L496" s="200">
        <f t="shared" si="2488"/>
        <v>0</v>
      </c>
      <c r="M496" s="200">
        <f t="shared" si="2488"/>
        <v>0</v>
      </c>
      <c r="N496" s="200">
        <f t="shared" si="2488"/>
        <v>0</v>
      </c>
      <c r="O496" s="200">
        <f t="shared" si="2488"/>
        <v>0</v>
      </c>
      <c r="P496" s="200">
        <f t="shared" si="9"/>
        <v>0</v>
      </c>
      <c r="Q496" s="200">
        <f t="shared" ref="Q496:AC496" si="2489">countif($D496,"*"&amp;Q$2&amp;"*")</f>
        <v>0</v>
      </c>
      <c r="R496" s="200">
        <f t="shared" si="2489"/>
        <v>0</v>
      </c>
      <c r="S496" s="200">
        <f t="shared" si="2489"/>
        <v>0</v>
      </c>
      <c r="T496" s="200">
        <f t="shared" si="2489"/>
        <v>0</v>
      </c>
      <c r="U496" s="200">
        <f t="shared" si="2489"/>
        <v>0</v>
      </c>
      <c r="V496" s="200">
        <f t="shared" si="2489"/>
        <v>0</v>
      </c>
      <c r="W496" s="200">
        <f t="shared" si="2489"/>
        <v>0</v>
      </c>
      <c r="X496" s="200">
        <f t="shared" si="2489"/>
        <v>0</v>
      </c>
      <c r="Y496" s="200">
        <f t="shared" si="2489"/>
        <v>0</v>
      </c>
      <c r="Z496" s="200">
        <f t="shared" si="2489"/>
        <v>0</v>
      </c>
      <c r="AA496" s="200">
        <f t="shared" si="2489"/>
        <v>0</v>
      </c>
      <c r="AB496" s="200">
        <f t="shared" si="2489"/>
        <v>0</v>
      </c>
      <c r="AC496" s="200">
        <f t="shared" si="2489"/>
        <v>0</v>
      </c>
      <c r="AD496" s="200">
        <f t="shared" si="11"/>
        <v>0</v>
      </c>
      <c r="AE496" s="200">
        <f t="shared" ref="AE496:AG496" si="2490">countif($D496,"*"&amp;AE$2&amp;"*")</f>
        <v>0</v>
      </c>
      <c r="AF496" s="200">
        <f t="shared" si="2490"/>
        <v>0</v>
      </c>
      <c r="AG496" s="200">
        <f t="shared" si="2490"/>
        <v>0</v>
      </c>
      <c r="AH496" s="171">
        <f t="shared" si="13"/>
        <v>0</v>
      </c>
      <c r="AI496" s="200">
        <f t="shared" si="14"/>
        <v>1</v>
      </c>
      <c r="AJ496" s="200">
        <f t="shared" si="2475"/>
        <v>0</v>
      </c>
      <c r="AK496" s="201">
        <f t="shared" ref="AK496:AS496" si="2491">countif($D496,"*"&amp;AK$2&amp;"*")</f>
        <v>0</v>
      </c>
      <c r="AL496" s="201">
        <f t="shared" si="2491"/>
        <v>0</v>
      </c>
      <c r="AM496" s="201">
        <f t="shared" si="2491"/>
        <v>0</v>
      </c>
      <c r="AN496" s="201">
        <f t="shared" si="2491"/>
        <v>0</v>
      </c>
      <c r="AO496" s="201">
        <f t="shared" si="2491"/>
        <v>0</v>
      </c>
      <c r="AP496" s="201">
        <f t="shared" si="2491"/>
        <v>0</v>
      </c>
      <c r="AQ496" s="201">
        <f t="shared" si="2491"/>
        <v>0</v>
      </c>
      <c r="AR496" s="200">
        <f t="shared" si="2491"/>
        <v>0</v>
      </c>
      <c r="AS496" s="200">
        <f t="shared" si="2491"/>
        <v>0</v>
      </c>
      <c r="AT496" s="173">
        <v>0.0</v>
      </c>
      <c r="AU496" s="200">
        <f t="shared" si="2409"/>
        <v>0</v>
      </c>
      <c r="AV496" s="200">
        <f t="shared" ref="AV496:AX496" si="2492">countif($D496,"*"&amp;AV$2&amp;"*")</f>
        <v>0</v>
      </c>
      <c r="AW496" s="200">
        <f t="shared" si="2492"/>
        <v>0</v>
      </c>
      <c r="AX496" s="200">
        <f t="shared" si="2492"/>
        <v>1</v>
      </c>
      <c r="AY496" s="202">
        <v>0.0</v>
      </c>
      <c r="AZ496" s="200"/>
      <c r="BA496" s="171" t="str">
        <f t="shared" si="18"/>
        <v>Archival</v>
      </c>
      <c r="BB496" s="171" t="str">
        <f t="shared" si="19"/>
        <v/>
      </c>
      <c r="BC496" s="171" t="str">
        <f t="shared" si="20"/>
        <v/>
      </c>
      <c r="BD496" s="171" t="str">
        <f t="shared" si="21"/>
        <v/>
      </c>
      <c r="BE496" s="171" t="str">
        <f t="shared" si="22"/>
        <v/>
      </c>
      <c r="BF496" s="171" t="str">
        <f t="shared" si="23"/>
        <v>Archival</v>
      </c>
    </row>
    <row r="497">
      <c r="A497" s="171">
        <f t="array" ref="A497">XLOOKUP(C497,ICSE!A:A,ICSE!C:C,,2,1)</f>
        <v>2019</v>
      </c>
      <c r="B497" s="171" t="s">
        <v>5675</v>
      </c>
      <c r="C497" s="160">
        <v>915.0</v>
      </c>
      <c r="D497" s="161" t="s">
        <v>5908</v>
      </c>
      <c r="E497" s="197" t="str">
        <f t="array" ref="E497">XLOOKUP(C497,ICSE!A:A,ICSE!Z:Z,,0,1)</f>
        <v>Publicly available (2)</v>
      </c>
      <c r="F497" s="198" t="s">
        <v>20</v>
      </c>
      <c r="G497" s="163" t="str">
        <f t="array" ref="G497">IF(B497="ICSE",IF(COUNTIFS(B:B,B497,C:C,C497)=XLOOKUP(C497,ICSE!A:A,ICSE!AA:AA,"ERROR",0,1),"OK","ERROR"),IF(B497="FSE",IF(COUNTIFS(B:B,B497,C:C,C497)=XLOOKUP(C497,FSE!A:A,FSE!AA:AA,"ERROR",0,1),"OK","ERROR")))</f>
        <v>OK</v>
      </c>
      <c r="H497" s="199">
        <f t="shared" ref="H497:O497" si="2493">countif($D497,"*"&amp;H$2&amp;"*")</f>
        <v>0</v>
      </c>
      <c r="I497" s="200">
        <f t="shared" si="2493"/>
        <v>0</v>
      </c>
      <c r="J497" s="200">
        <f t="shared" si="2493"/>
        <v>0</v>
      </c>
      <c r="K497" s="200">
        <f t="shared" si="2493"/>
        <v>0</v>
      </c>
      <c r="L497" s="200">
        <f t="shared" si="2493"/>
        <v>0</v>
      </c>
      <c r="M497" s="200">
        <f t="shared" si="2493"/>
        <v>0</v>
      </c>
      <c r="N497" s="200">
        <f t="shared" si="2493"/>
        <v>0</v>
      </c>
      <c r="O497" s="200">
        <f t="shared" si="2493"/>
        <v>0</v>
      </c>
      <c r="P497" s="200">
        <f t="shared" si="9"/>
        <v>1</v>
      </c>
      <c r="Q497" s="200">
        <f t="shared" ref="Q497:AC497" si="2494">countif($D497,"*"&amp;Q$2&amp;"*")</f>
        <v>0</v>
      </c>
      <c r="R497" s="200">
        <f t="shared" si="2494"/>
        <v>0</v>
      </c>
      <c r="S497" s="200">
        <f t="shared" si="2494"/>
        <v>0</v>
      </c>
      <c r="T497" s="200">
        <f t="shared" si="2494"/>
        <v>0</v>
      </c>
      <c r="U497" s="200">
        <f t="shared" si="2494"/>
        <v>0</v>
      </c>
      <c r="V497" s="200">
        <f t="shared" si="2494"/>
        <v>0</v>
      </c>
      <c r="W497" s="200">
        <f t="shared" si="2494"/>
        <v>0</v>
      </c>
      <c r="X497" s="200">
        <f t="shared" si="2494"/>
        <v>0</v>
      </c>
      <c r="Y497" s="200">
        <f t="shared" si="2494"/>
        <v>0</v>
      </c>
      <c r="Z497" s="200">
        <f t="shared" si="2494"/>
        <v>0</v>
      </c>
      <c r="AA497" s="200">
        <f t="shared" si="2494"/>
        <v>0</v>
      </c>
      <c r="AB497" s="200">
        <f t="shared" si="2494"/>
        <v>0</v>
      </c>
      <c r="AC497" s="200">
        <f t="shared" si="2494"/>
        <v>0</v>
      </c>
      <c r="AD497" s="200">
        <f t="shared" si="11"/>
        <v>0</v>
      </c>
      <c r="AE497" s="200">
        <f t="shared" ref="AE497:AG497" si="2495">countif($D497,"*"&amp;AE$2&amp;"*")</f>
        <v>0</v>
      </c>
      <c r="AF497" s="200">
        <f t="shared" si="2495"/>
        <v>0</v>
      </c>
      <c r="AG497" s="200">
        <f t="shared" si="2495"/>
        <v>0</v>
      </c>
      <c r="AH497" s="171">
        <f t="shared" si="13"/>
        <v>0</v>
      </c>
      <c r="AI497" s="200">
        <f t="shared" si="14"/>
        <v>0</v>
      </c>
      <c r="AJ497" s="200">
        <f t="shared" si="2475"/>
        <v>0</v>
      </c>
      <c r="AK497" s="201">
        <f t="shared" ref="AK497:AS497" si="2496">countif($D497,"*"&amp;AK$2&amp;"*")</f>
        <v>0</v>
      </c>
      <c r="AL497" s="201">
        <f t="shared" si="2496"/>
        <v>0</v>
      </c>
      <c r="AM497" s="201">
        <f t="shared" si="2496"/>
        <v>0</v>
      </c>
      <c r="AN497" s="201">
        <f t="shared" si="2496"/>
        <v>0</v>
      </c>
      <c r="AO497" s="201">
        <f t="shared" si="2496"/>
        <v>0</v>
      </c>
      <c r="AP497" s="201">
        <f t="shared" si="2496"/>
        <v>0</v>
      </c>
      <c r="AQ497" s="201">
        <f t="shared" si="2496"/>
        <v>0</v>
      </c>
      <c r="AR497" s="200">
        <f t="shared" si="2496"/>
        <v>0</v>
      </c>
      <c r="AS497" s="200">
        <f t="shared" si="2496"/>
        <v>0</v>
      </c>
      <c r="AT497" s="173">
        <v>0.0</v>
      </c>
      <c r="AU497" s="200">
        <f t="shared" si="2409"/>
        <v>0</v>
      </c>
      <c r="AV497" s="200">
        <f t="shared" ref="AV497:AX497" si="2497">countif($D497,"*"&amp;AV$2&amp;"*")</f>
        <v>1</v>
      </c>
      <c r="AW497" s="200">
        <f t="shared" si="2497"/>
        <v>0</v>
      </c>
      <c r="AX497" s="200">
        <f t="shared" si="2497"/>
        <v>0</v>
      </c>
      <c r="AY497" s="202">
        <v>0.0</v>
      </c>
      <c r="AZ497" s="200"/>
      <c r="BA497" s="171" t="str">
        <f t="shared" si="18"/>
        <v/>
      </c>
      <c r="BB497" s="171" t="str">
        <f t="shared" si="19"/>
        <v>Code</v>
      </c>
      <c r="BC497" s="171" t="str">
        <f t="shared" si="20"/>
        <v/>
      </c>
      <c r="BD497" s="171" t="str">
        <f t="shared" si="21"/>
        <v/>
      </c>
      <c r="BE497" s="171" t="str">
        <f t="shared" si="22"/>
        <v/>
      </c>
      <c r="BF497" s="171" t="str">
        <f t="shared" si="23"/>
        <v>Code</v>
      </c>
    </row>
    <row r="498">
      <c r="A498" s="171">
        <f t="array" ref="A498">XLOOKUP(C498,ICSE!A:A,ICSE!C:C,,2,1)</f>
        <v>2019</v>
      </c>
      <c r="B498" s="171" t="s">
        <v>5675</v>
      </c>
      <c r="C498" s="160">
        <v>916.0</v>
      </c>
      <c r="D498" s="161" t="s">
        <v>1236</v>
      </c>
      <c r="E498" s="197" t="str">
        <f t="array" ref="E498">XLOOKUP(C498,ICSE!A:A,ICSE!Z:Z,,0,1)</f>
        <v>Publicly available (1)</v>
      </c>
      <c r="F498" s="198" t="s">
        <v>20</v>
      </c>
      <c r="G498" s="163" t="str">
        <f t="array" ref="G498">IF(B498="ICSE",IF(COUNTIFS(B:B,B498,C:C,C498)=XLOOKUP(C498,ICSE!A:A,ICSE!AA:AA,"ERROR",0,1),"OK","ERROR"),IF(B498="FSE",IF(COUNTIFS(B:B,B498,C:C,C498)=XLOOKUP(C498,FSE!A:A,FSE!AA:AA,"ERROR",0,1),"OK","ERROR")))</f>
        <v>OK</v>
      </c>
      <c r="H498" s="199">
        <f t="shared" ref="H498:O498" si="2498">countif($D498,"*"&amp;H$2&amp;"*")</f>
        <v>1</v>
      </c>
      <c r="I498" s="200">
        <f t="shared" si="2498"/>
        <v>0</v>
      </c>
      <c r="J498" s="200">
        <f t="shared" si="2498"/>
        <v>0</v>
      </c>
      <c r="K498" s="200">
        <f t="shared" si="2498"/>
        <v>0</v>
      </c>
      <c r="L498" s="200">
        <f t="shared" si="2498"/>
        <v>0</v>
      </c>
      <c r="M498" s="200">
        <f t="shared" si="2498"/>
        <v>0</v>
      </c>
      <c r="N498" s="200">
        <f t="shared" si="2498"/>
        <v>0</v>
      </c>
      <c r="O498" s="200">
        <f t="shared" si="2498"/>
        <v>0</v>
      </c>
      <c r="P498" s="200">
        <f t="shared" si="9"/>
        <v>0</v>
      </c>
      <c r="Q498" s="200">
        <f t="shared" ref="Q498:AC498" si="2499">countif($D498,"*"&amp;Q$2&amp;"*")</f>
        <v>0</v>
      </c>
      <c r="R498" s="200">
        <f t="shared" si="2499"/>
        <v>0</v>
      </c>
      <c r="S498" s="200">
        <f t="shared" si="2499"/>
        <v>0</v>
      </c>
      <c r="T498" s="200">
        <f t="shared" si="2499"/>
        <v>0</v>
      </c>
      <c r="U498" s="200">
        <f t="shared" si="2499"/>
        <v>0</v>
      </c>
      <c r="V498" s="200">
        <f t="shared" si="2499"/>
        <v>0</v>
      </c>
      <c r="W498" s="200">
        <f t="shared" si="2499"/>
        <v>0</v>
      </c>
      <c r="X498" s="200">
        <f t="shared" si="2499"/>
        <v>0</v>
      </c>
      <c r="Y498" s="200">
        <f t="shared" si="2499"/>
        <v>0</v>
      </c>
      <c r="Z498" s="200">
        <f t="shared" si="2499"/>
        <v>0</v>
      </c>
      <c r="AA498" s="200">
        <f t="shared" si="2499"/>
        <v>0</v>
      </c>
      <c r="AB498" s="200">
        <f t="shared" si="2499"/>
        <v>0</v>
      </c>
      <c r="AC498" s="200">
        <f t="shared" si="2499"/>
        <v>0</v>
      </c>
      <c r="AD498" s="200">
        <f t="shared" si="11"/>
        <v>0</v>
      </c>
      <c r="AE498" s="200">
        <f t="shared" ref="AE498:AG498" si="2500">countif($D498,"*"&amp;AE$2&amp;"*")</f>
        <v>0</v>
      </c>
      <c r="AF498" s="200">
        <f t="shared" si="2500"/>
        <v>0</v>
      </c>
      <c r="AG498" s="200">
        <f t="shared" si="2500"/>
        <v>0</v>
      </c>
      <c r="AH498" s="171">
        <f t="shared" si="13"/>
        <v>0</v>
      </c>
      <c r="AI498" s="200">
        <f t="shared" si="14"/>
        <v>1</v>
      </c>
      <c r="AJ498" s="200">
        <f t="shared" si="2475"/>
        <v>0</v>
      </c>
      <c r="AK498" s="201">
        <f t="shared" ref="AK498:AS498" si="2501">countif($D498,"*"&amp;AK$2&amp;"*")</f>
        <v>0</v>
      </c>
      <c r="AL498" s="201">
        <f t="shared" si="2501"/>
        <v>0</v>
      </c>
      <c r="AM498" s="201">
        <f t="shared" si="2501"/>
        <v>0</v>
      </c>
      <c r="AN498" s="201">
        <f t="shared" si="2501"/>
        <v>0</v>
      </c>
      <c r="AO498" s="201">
        <f t="shared" si="2501"/>
        <v>0</v>
      </c>
      <c r="AP498" s="201">
        <f t="shared" si="2501"/>
        <v>0</v>
      </c>
      <c r="AQ498" s="201">
        <f t="shared" si="2501"/>
        <v>0</v>
      </c>
      <c r="AR498" s="200">
        <f t="shared" si="2501"/>
        <v>0</v>
      </c>
      <c r="AS498" s="200">
        <f t="shared" si="2501"/>
        <v>0</v>
      </c>
      <c r="AT498" s="173">
        <v>0.0</v>
      </c>
      <c r="AU498" s="200">
        <f t="shared" si="2409"/>
        <v>0</v>
      </c>
      <c r="AV498" s="200">
        <f t="shared" ref="AV498:AX498" si="2502">countif($D498,"*"&amp;AV$2&amp;"*")</f>
        <v>0</v>
      </c>
      <c r="AW498" s="200">
        <f t="shared" si="2502"/>
        <v>0</v>
      </c>
      <c r="AX498" s="200">
        <f t="shared" si="2502"/>
        <v>1</v>
      </c>
      <c r="AY498" s="202">
        <v>0.0</v>
      </c>
      <c r="AZ498" s="200"/>
      <c r="BA498" s="171" t="str">
        <f t="shared" si="18"/>
        <v>Archival</v>
      </c>
      <c r="BB498" s="171" t="str">
        <f t="shared" si="19"/>
        <v/>
      </c>
      <c r="BC498" s="171" t="str">
        <f t="shared" si="20"/>
        <v/>
      </c>
      <c r="BD498" s="171" t="str">
        <f t="shared" si="21"/>
        <v/>
      </c>
      <c r="BE498" s="171" t="str">
        <f t="shared" si="22"/>
        <v/>
      </c>
      <c r="BF498" s="171" t="str">
        <f t="shared" si="23"/>
        <v>Archival</v>
      </c>
    </row>
    <row r="499">
      <c r="A499" s="171">
        <f t="array" ref="A499">XLOOKUP(C499,ICSE!A:A,ICSE!C:C,,2,1)</f>
        <v>2019</v>
      </c>
      <c r="B499" s="171" t="s">
        <v>5675</v>
      </c>
      <c r="C499" s="160">
        <v>918.0</v>
      </c>
      <c r="D499" s="161" t="s">
        <v>1240</v>
      </c>
      <c r="E499" s="197" t="str">
        <f t="array" ref="E499">XLOOKUP(C499,ICSE!A:A,ICSE!Z:Z,,0,1)</f>
        <v>Publicly available (1)</v>
      </c>
      <c r="F499" s="198" t="s">
        <v>20</v>
      </c>
      <c r="G499" s="163" t="str">
        <f t="array" ref="G499">IF(B499="ICSE",IF(COUNTIFS(B:B,B499,C:C,C499)=XLOOKUP(C499,ICSE!A:A,ICSE!AA:AA,"ERROR",0,1),"OK","ERROR"),IF(B499="FSE",IF(COUNTIFS(B:B,B499,C:C,C499)=XLOOKUP(C499,FSE!A:A,FSE!AA:AA,"ERROR",0,1),"OK","ERROR")))</f>
        <v>OK</v>
      </c>
      <c r="H499" s="199">
        <f t="shared" ref="H499:O499" si="2503">countif($D499,"*"&amp;H$2&amp;"*")</f>
        <v>1</v>
      </c>
      <c r="I499" s="200">
        <f t="shared" si="2503"/>
        <v>0</v>
      </c>
      <c r="J499" s="200">
        <f t="shared" si="2503"/>
        <v>0</v>
      </c>
      <c r="K499" s="200">
        <f t="shared" si="2503"/>
        <v>0</v>
      </c>
      <c r="L499" s="200">
        <f t="shared" si="2503"/>
        <v>0</v>
      </c>
      <c r="M499" s="200">
        <f t="shared" si="2503"/>
        <v>0</v>
      </c>
      <c r="N499" s="200">
        <f t="shared" si="2503"/>
        <v>0</v>
      </c>
      <c r="O499" s="200">
        <f t="shared" si="2503"/>
        <v>0</v>
      </c>
      <c r="P499" s="200">
        <f t="shared" si="9"/>
        <v>0</v>
      </c>
      <c r="Q499" s="200">
        <f t="shared" ref="Q499:AC499" si="2504">countif($D499,"*"&amp;Q$2&amp;"*")</f>
        <v>0</v>
      </c>
      <c r="R499" s="200">
        <f t="shared" si="2504"/>
        <v>0</v>
      </c>
      <c r="S499" s="200">
        <f t="shared" si="2504"/>
        <v>0</v>
      </c>
      <c r="T499" s="200">
        <f t="shared" si="2504"/>
        <v>0</v>
      </c>
      <c r="U499" s="200">
        <f t="shared" si="2504"/>
        <v>0</v>
      </c>
      <c r="V499" s="200">
        <f t="shared" si="2504"/>
        <v>0</v>
      </c>
      <c r="W499" s="200">
        <f t="shared" si="2504"/>
        <v>0</v>
      </c>
      <c r="X499" s="200">
        <f t="shared" si="2504"/>
        <v>0</v>
      </c>
      <c r="Y499" s="200">
        <f t="shared" si="2504"/>
        <v>0</v>
      </c>
      <c r="Z499" s="200">
        <f t="shared" si="2504"/>
        <v>0</v>
      </c>
      <c r="AA499" s="200">
        <f t="shared" si="2504"/>
        <v>0</v>
      </c>
      <c r="AB499" s="200">
        <f t="shared" si="2504"/>
        <v>0</v>
      </c>
      <c r="AC499" s="200">
        <f t="shared" si="2504"/>
        <v>0</v>
      </c>
      <c r="AD499" s="200">
        <f t="shared" si="11"/>
        <v>0</v>
      </c>
      <c r="AE499" s="200">
        <f t="shared" ref="AE499:AG499" si="2505">countif($D499,"*"&amp;AE$2&amp;"*")</f>
        <v>0</v>
      </c>
      <c r="AF499" s="200">
        <f t="shared" si="2505"/>
        <v>0</v>
      </c>
      <c r="AG499" s="200">
        <f t="shared" si="2505"/>
        <v>0</v>
      </c>
      <c r="AH499" s="171">
        <f t="shared" si="13"/>
        <v>0</v>
      </c>
      <c r="AI499" s="200">
        <f t="shared" si="14"/>
        <v>1</v>
      </c>
      <c r="AJ499" s="200">
        <f t="shared" si="2475"/>
        <v>0</v>
      </c>
      <c r="AK499" s="201">
        <f t="shared" ref="AK499:AS499" si="2506">countif($D499,"*"&amp;AK$2&amp;"*")</f>
        <v>0</v>
      </c>
      <c r="AL499" s="201">
        <f t="shared" si="2506"/>
        <v>0</v>
      </c>
      <c r="AM499" s="201">
        <f t="shared" si="2506"/>
        <v>0</v>
      </c>
      <c r="AN499" s="201">
        <f t="shared" si="2506"/>
        <v>0</v>
      </c>
      <c r="AO499" s="201">
        <f t="shared" si="2506"/>
        <v>0</v>
      </c>
      <c r="AP499" s="201">
        <f t="shared" si="2506"/>
        <v>0</v>
      </c>
      <c r="AQ499" s="201">
        <f t="shared" si="2506"/>
        <v>0</v>
      </c>
      <c r="AR499" s="200">
        <f t="shared" si="2506"/>
        <v>0</v>
      </c>
      <c r="AS499" s="200">
        <f t="shared" si="2506"/>
        <v>0</v>
      </c>
      <c r="AT499" s="173">
        <v>0.0</v>
      </c>
      <c r="AU499" s="200">
        <f t="shared" si="2409"/>
        <v>0</v>
      </c>
      <c r="AV499" s="200">
        <f t="shared" ref="AV499:AX499" si="2507">countif($D499,"*"&amp;AV$2&amp;"*")</f>
        <v>0</v>
      </c>
      <c r="AW499" s="200">
        <f t="shared" si="2507"/>
        <v>0</v>
      </c>
      <c r="AX499" s="200">
        <f t="shared" si="2507"/>
        <v>1</v>
      </c>
      <c r="AY499" s="202">
        <v>0.0</v>
      </c>
      <c r="AZ499" s="200"/>
      <c r="BA499" s="171" t="str">
        <f t="shared" si="18"/>
        <v>Archival</v>
      </c>
      <c r="BB499" s="171" t="str">
        <f t="shared" si="19"/>
        <v/>
      </c>
      <c r="BC499" s="171" t="str">
        <f t="shared" si="20"/>
        <v/>
      </c>
      <c r="BD499" s="171" t="str">
        <f t="shared" si="21"/>
        <v/>
      </c>
      <c r="BE499" s="171" t="str">
        <f t="shared" si="22"/>
        <v/>
      </c>
      <c r="BF499" s="171" t="str">
        <f t="shared" si="23"/>
        <v>Archival</v>
      </c>
    </row>
    <row r="500">
      <c r="A500" s="171">
        <f t="array" ref="A500">XLOOKUP(C500,ICSE!A:A,ICSE!C:C,,2,1)</f>
        <v>2019</v>
      </c>
      <c r="B500" s="171" t="s">
        <v>5675</v>
      </c>
      <c r="C500" s="160">
        <v>919.0</v>
      </c>
      <c r="D500" s="161" t="s">
        <v>1243</v>
      </c>
      <c r="E500" s="197" t="str">
        <f t="array" ref="E500">XLOOKUP(C500,ICSE!A:A,ICSE!Z:Z,,0,1)</f>
        <v>Publicly available (1)</v>
      </c>
      <c r="F500" s="198" t="s">
        <v>20</v>
      </c>
      <c r="G500" s="163" t="str">
        <f t="array" ref="G500">IF(B500="ICSE",IF(COUNTIFS(B:B,B500,C:C,C500)=XLOOKUP(C500,ICSE!A:A,ICSE!AA:AA,"ERROR",0,1),"OK","ERROR"),IF(B500="FSE",IF(COUNTIFS(B:B,B500,C:C,C500)=XLOOKUP(C500,FSE!A:A,FSE!AA:AA,"ERROR",0,1),"OK","ERROR")))</f>
        <v>OK</v>
      </c>
      <c r="H500" s="199">
        <f t="shared" ref="H500:O500" si="2508">countif($D500,"*"&amp;H$2&amp;"*")</f>
        <v>0</v>
      </c>
      <c r="I500" s="200">
        <f t="shared" si="2508"/>
        <v>1</v>
      </c>
      <c r="J500" s="200">
        <f t="shared" si="2508"/>
        <v>0</v>
      </c>
      <c r="K500" s="200">
        <f t="shared" si="2508"/>
        <v>0</v>
      </c>
      <c r="L500" s="200">
        <f t="shared" si="2508"/>
        <v>0</v>
      </c>
      <c r="M500" s="200">
        <f t="shared" si="2508"/>
        <v>0</v>
      </c>
      <c r="N500" s="200">
        <f t="shared" si="2508"/>
        <v>0</v>
      </c>
      <c r="O500" s="200">
        <f t="shared" si="2508"/>
        <v>0</v>
      </c>
      <c r="P500" s="200">
        <f t="shared" si="9"/>
        <v>0</v>
      </c>
      <c r="Q500" s="200">
        <f t="shared" ref="Q500:AC500" si="2509">countif($D500,"*"&amp;Q$2&amp;"*")</f>
        <v>0</v>
      </c>
      <c r="R500" s="200">
        <f t="shared" si="2509"/>
        <v>0</v>
      </c>
      <c r="S500" s="200">
        <f t="shared" si="2509"/>
        <v>0</v>
      </c>
      <c r="T500" s="200">
        <f t="shared" si="2509"/>
        <v>0</v>
      </c>
      <c r="U500" s="200">
        <f t="shared" si="2509"/>
        <v>0</v>
      </c>
      <c r="V500" s="200">
        <f t="shared" si="2509"/>
        <v>0</v>
      </c>
      <c r="W500" s="200">
        <f t="shared" si="2509"/>
        <v>0</v>
      </c>
      <c r="X500" s="200">
        <f t="shared" si="2509"/>
        <v>0</v>
      </c>
      <c r="Y500" s="200">
        <f t="shared" si="2509"/>
        <v>0</v>
      </c>
      <c r="Z500" s="200">
        <f t="shared" si="2509"/>
        <v>0</v>
      </c>
      <c r="AA500" s="200">
        <f t="shared" si="2509"/>
        <v>0</v>
      </c>
      <c r="AB500" s="200">
        <f t="shared" si="2509"/>
        <v>0</v>
      </c>
      <c r="AC500" s="200">
        <f t="shared" si="2509"/>
        <v>0</v>
      </c>
      <c r="AD500" s="200">
        <f t="shared" si="11"/>
        <v>0</v>
      </c>
      <c r="AE500" s="200">
        <f t="shared" ref="AE500:AG500" si="2510">countif($D500,"*"&amp;AE$2&amp;"*")</f>
        <v>0</v>
      </c>
      <c r="AF500" s="200">
        <f t="shared" si="2510"/>
        <v>0</v>
      </c>
      <c r="AG500" s="200">
        <f t="shared" si="2510"/>
        <v>0</v>
      </c>
      <c r="AH500" s="171">
        <f t="shared" si="13"/>
        <v>0</v>
      </c>
      <c r="AI500" s="200">
        <f t="shared" si="14"/>
        <v>1</v>
      </c>
      <c r="AJ500" s="200">
        <f t="shared" si="2475"/>
        <v>0</v>
      </c>
      <c r="AK500" s="201">
        <f t="shared" ref="AK500:AS500" si="2511">countif($D500,"*"&amp;AK$2&amp;"*")</f>
        <v>0</v>
      </c>
      <c r="AL500" s="201">
        <f t="shared" si="2511"/>
        <v>0</v>
      </c>
      <c r="AM500" s="201">
        <f t="shared" si="2511"/>
        <v>0</v>
      </c>
      <c r="AN500" s="201">
        <f t="shared" si="2511"/>
        <v>0</v>
      </c>
      <c r="AO500" s="201">
        <f t="shared" si="2511"/>
        <v>0</v>
      </c>
      <c r="AP500" s="201">
        <f t="shared" si="2511"/>
        <v>0</v>
      </c>
      <c r="AQ500" s="201">
        <f t="shared" si="2511"/>
        <v>0</v>
      </c>
      <c r="AR500" s="200">
        <f t="shared" si="2511"/>
        <v>0</v>
      </c>
      <c r="AS500" s="200">
        <f t="shared" si="2511"/>
        <v>0</v>
      </c>
      <c r="AT500" s="173">
        <v>0.0</v>
      </c>
      <c r="AU500" s="200">
        <f t="shared" si="2409"/>
        <v>0</v>
      </c>
      <c r="AV500" s="200">
        <f t="shared" ref="AV500:AX500" si="2512">countif($D500,"*"&amp;AV$2&amp;"*")</f>
        <v>0</v>
      </c>
      <c r="AW500" s="200">
        <f t="shared" si="2512"/>
        <v>0</v>
      </c>
      <c r="AX500" s="200">
        <f t="shared" si="2512"/>
        <v>0</v>
      </c>
      <c r="AY500" s="204">
        <v>1.0</v>
      </c>
      <c r="AZ500" s="200"/>
      <c r="BA500" s="171" t="str">
        <f t="shared" si="18"/>
        <v>Archival</v>
      </c>
      <c r="BB500" s="171" t="str">
        <f t="shared" si="19"/>
        <v/>
      </c>
      <c r="BC500" s="171" t="str">
        <f t="shared" si="20"/>
        <v/>
      </c>
      <c r="BD500" s="171" t="str">
        <f t="shared" si="21"/>
        <v/>
      </c>
      <c r="BE500" s="171" t="str">
        <f t="shared" si="22"/>
        <v/>
      </c>
      <c r="BF500" s="171" t="str">
        <f t="shared" si="23"/>
        <v>Archival</v>
      </c>
    </row>
    <row r="501">
      <c r="A501" s="171">
        <f t="array" ref="A501">XLOOKUP(C501,ICSE!A:A,ICSE!C:C,,2,1)</f>
        <v>2019</v>
      </c>
      <c r="B501" s="171" t="s">
        <v>5675</v>
      </c>
      <c r="C501" s="160">
        <v>921.0</v>
      </c>
      <c r="D501" s="161" t="s">
        <v>1246</v>
      </c>
      <c r="E501" s="197" t="str">
        <f t="array" ref="E501">XLOOKUP(C501,ICSE!A:A,ICSE!Z:Z,,0,1)</f>
        <v>Publicly available (1)</v>
      </c>
      <c r="F501" s="198" t="s">
        <v>20</v>
      </c>
      <c r="G501" s="163" t="str">
        <f t="array" ref="G501">IF(B501="ICSE",IF(COUNTIFS(B:B,B501,C:C,C501)=XLOOKUP(C501,ICSE!A:A,ICSE!AA:AA,"ERROR",0,1),"OK","ERROR"),IF(B501="FSE",IF(COUNTIFS(B:B,B501,C:C,C501)=XLOOKUP(C501,FSE!A:A,FSE!AA:AA,"ERROR",0,1),"OK","ERROR")))</f>
        <v>OK</v>
      </c>
      <c r="H501" s="199">
        <f t="shared" ref="H501:O501" si="2513">countif($D501,"*"&amp;H$2&amp;"*")</f>
        <v>0</v>
      </c>
      <c r="I501" s="200">
        <f t="shared" si="2513"/>
        <v>0</v>
      </c>
      <c r="J501" s="200">
        <f t="shared" si="2513"/>
        <v>0</v>
      </c>
      <c r="K501" s="200">
        <f t="shared" si="2513"/>
        <v>0</v>
      </c>
      <c r="L501" s="200">
        <f t="shared" si="2513"/>
        <v>0</v>
      </c>
      <c r="M501" s="200">
        <f t="shared" si="2513"/>
        <v>0</v>
      </c>
      <c r="N501" s="200">
        <f t="shared" si="2513"/>
        <v>0</v>
      </c>
      <c r="O501" s="200">
        <f t="shared" si="2513"/>
        <v>0</v>
      </c>
      <c r="P501" s="200">
        <f t="shared" si="9"/>
        <v>1</v>
      </c>
      <c r="Q501" s="200">
        <f t="shared" ref="Q501:AC501" si="2514">countif($D501,"*"&amp;Q$2&amp;"*")</f>
        <v>0</v>
      </c>
      <c r="R501" s="200">
        <f t="shared" si="2514"/>
        <v>0</v>
      </c>
      <c r="S501" s="200">
        <f t="shared" si="2514"/>
        <v>0</v>
      </c>
      <c r="T501" s="200">
        <f t="shared" si="2514"/>
        <v>0</v>
      </c>
      <c r="U501" s="200">
        <f t="shared" si="2514"/>
        <v>0</v>
      </c>
      <c r="V501" s="200">
        <f t="shared" si="2514"/>
        <v>0</v>
      </c>
      <c r="W501" s="200">
        <f t="shared" si="2514"/>
        <v>0</v>
      </c>
      <c r="X501" s="200">
        <f t="shared" si="2514"/>
        <v>0</v>
      </c>
      <c r="Y501" s="200">
        <f t="shared" si="2514"/>
        <v>0</v>
      </c>
      <c r="Z501" s="200">
        <f t="shared" si="2514"/>
        <v>0</v>
      </c>
      <c r="AA501" s="200">
        <f t="shared" si="2514"/>
        <v>0</v>
      </c>
      <c r="AB501" s="200">
        <f t="shared" si="2514"/>
        <v>0</v>
      </c>
      <c r="AC501" s="200">
        <f t="shared" si="2514"/>
        <v>0</v>
      </c>
      <c r="AD501" s="200">
        <f t="shared" si="11"/>
        <v>0</v>
      </c>
      <c r="AE501" s="200">
        <f t="shared" ref="AE501:AG501" si="2515">countif($D501,"*"&amp;AE$2&amp;"*")</f>
        <v>0</v>
      </c>
      <c r="AF501" s="200">
        <f t="shared" si="2515"/>
        <v>0</v>
      </c>
      <c r="AG501" s="200">
        <f t="shared" si="2515"/>
        <v>0</v>
      </c>
      <c r="AH501" s="171">
        <f t="shared" si="13"/>
        <v>0</v>
      </c>
      <c r="AI501" s="200">
        <f t="shared" si="14"/>
        <v>0</v>
      </c>
      <c r="AJ501" s="200">
        <f t="shared" si="2475"/>
        <v>0</v>
      </c>
      <c r="AK501" s="201">
        <f t="shared" ref="AK501:AS501" si="2516">countif($D501,"*"&amp;AK$2&amp;"*")</f>
        <v>0</v>
      </c>
      <c r="AL501" s="201">
        <f t="shared" si="2516"/>
        <v>0</v>
      </c>
      <c r="AM501" s="201">
        <f t="shared" si="2516"/>
        <v>0</v>
      </c>
      <c r="AN501" s="201">
        <f t="shared" si="2516"/>
        <v>0</v>
      </c>
      <c r="AO501" s="201">
        <f t="shared" si="2516"/>
        <v>0</v>
      </c>
      <c r="AP501" s="201">
        <f t="shared" si="2516"/>
        <v>0</v>
      </c>
      <c r="AQ501" s="201">
        <f t="shared" si="2516"/>
        <v>0</v>
      </c>
      <c r="AR501" s="200">
        <f t="shared" si="2516"/>
        <v>0</v>
      </c>
      <c r="AS501" s="200">
        <f t="shared" si="2516"/>
        <v>0</v>
      </c>
      <c r="AT501" s="173">
        <v>0.0</v>
      </c>
      <c r="AU501" s="200">
        <f t="shared" si="2409"/>
        <v>0</v>
      </c>
      <c r="AV501" s="200">
        <f t="shared" ref="AV501:AX501" si="2517">countif($D501,"*"&amp;AV$2&amp;"*")</f>
        <v>1</v>
      </c>
      <c r="AW501" s="200">
        <f t="shared" si="2517"/>
        <v>0</v>
      </c>
      <c r="AX501" s="200">
        <f t="shared" si="2517"/>
        <v>0</v>
      </c>
      <c r="AY501" s="202">
        <v>0.0</v>
      </c>
      <c r="AZ501" s="200"/>
      <c r="BA501" s="171" t="str">
        <f t="shared" si="18"/>
        <v/>
      </c>
      <c r="BB501" s="171" t="str">
        <f t="shared" si="19"/>
        <v>Code</v>
      </c>
      <c r="BC501" s="171" t="str">
        <f t="shared" si="20"/>
        <v/>
      </c>
      <c r="BD501" s="171" t="str">
        <f t="shared" si="21"/>
        <v/>
      </c>
      <c r="BE501" s="171" t="str">
        <f t="shared" si="22"/>
        <v/>
      </c>
      <c r="BF501" s="171" t="str">
        <f t="shared" si="23"/>
        <v>Code</v>
      </c>
    </row>
    <row r="502">
      <c r="A502" s="171">
        <f t="array" ref="A502">XLOOKUP(C502,ICSE!A:A,ICSE!C:C,,2,1)</f>
        <v>2019</v>
      </c>
      <c r="B502" s="171" t="s">
        <v>5675</v>
      </c>
      <c r="C502" s="160">
        <v>922.0</v>
      </c>
      <c r="D502" s="161" t="s">
        <v>1249</v>
      </c>
      <c r="E502" s="197" t="str">
        <f t="array" ref="E502">XLOOKUP(C502,ICSE!A:A,ICSE!Z:Z,,0,1)</f>
        <v>Publicly available (1)</v>
      </c>
      <c r="F502" s="198" t="s">
        <v>20</v>
      </c>
      <c r="G502" s="163" t="str">
        <f t="array" ref="G502">IF(B502="ICSE",IF(COUNTIFS(B:B,B502,C:C,C502)=XLOOKUP(C502,ICSE!A:A,ICSE!AA:AA,"ERROR",0,1),"OK","ERROR"),IF(B502="FSE",IF(COUNTIFS(B:B,B502,C:C,C502)=XLOOKUP(C502,FSE!A:A,FSE!AA:AA,"ERROR",0,1),"OK","ERROR")))</f>
        <v>OK</v>
      </c>
      <c r="H502" s="199">
        <f t="shared" ref="H502:O502" si="2518">countif($D502,"*"&amp;H$2&amp;"*")</f>
        <v>0</v>
      </c>
      <c r="I502" s="200">
        <f t="shared" si="2518"/>
        <v>0</v>
      </c>
      <c r="J502" s="200">
        <f t="shared" si="2518"/>
        <v>0</v>
      </c>
      <c r="K502" s="200">
        <f t="shared" si="2518"/>
        <v>0</v>
      </c>
      <c r="L502" s="200">
        <f t="shared" si="2518"/>
        <v>0</v>
      </c>
      <c r="M502" s="200">
        <f t="shared" si="2518"/>
        <v>0</v>
      </c>
      <c r="N502" s="200">
        <f t="shared" si="2518"/>
        <v>0</v>
      </c>
      <c r="O502" s="200">
        <f t="shared" si="2518"/>
        <v>0</v>
      </c>
      <c r="P502" s="200">
        <f t="shared" si="9"/>
        <v>1</v>
      </c>
      <c r="Q502" s="200">
        <f t="shared" ref="Q502:AC502" si="2519">countif($D502,"*"&amp;Q$2&amp;"*")</f>
        <v>0</v>
      </c>
      <c r="R502" s="200">
        <f t="shared" si="2519"/>
        <v>0</v>
      </c>
      <c r="S502" s="200">
        <f t="shared" si="2519"/>
        <v>0</v>
      </c>
      <c r="T502" s="200">
        <f t="shared" si="2519"/>
        <v>0</v>
      </c>
      <c r="U502" s="200">
        <f t="shared" si="2519"/>
        <v>0</v>
      </c>
      <c r="V502" s="200">
        <f t="shared" si="2519"/>
        <v>0</v>
      </c>
      <c r="W502" s="200">
        <f t="shared" si="2519"/>
        <v>0</v>
      </c>
      <c r="X502" s="200">
        <f t="shared" si="2519"/>
        <v>0</v>
      </c>
      <c r="Y502" s="200">
        <f t="shared" si="2519"/>
        <v>0</v>
      </c>
      <c r="Z502" s="200">
        <f t="shared" si="2519"/>
        <v>0</v>
      </c>
      <c r="AA502" s="200">
        <f t="shared" si="2519"/>
        <v>0</v>
      </c>
      <c r="AB502" s="200">
        <f t="shared" si="2519"/>
        <v>0</v>
      </c>
      <c r="AC502" s="200">
        <f t="shared" si="2519"/>
        <v>0</v>
      </c>
      <c r="AD502" s="200">
        <f t="shared" si="11"/>
        <v>0</v>
      </c>
      <c r="AE502" s="200">
        <f t="shared" ref="AE502:AG502" si="2520">countif($D502,"*"&amp;AE$2&amp;"*")</f>
        <v>0</v>
      </c>
      <c r="AF502" s="200">
        <f t="shared" si="2520"/>
        <v>0</v>
      </c>
      <c r="AG502" s="200">
        <f t="shared" si="2520"/>
        <v>0</v>
      </c>
      <c r="AH502" s="171">
        <f t="shared" si="13"/>
        <v>0</v>
      </c>
      <c r="AI502" s="200">
        <f t="shared" si="14"/>
        <v>0</v>
      </c>
      <c r="AJ502" s="200">
        <f t="shared" si="2475"/>
        <v>0</v>
      </c>
      <c r="AK502" s="201">
        <f t="shared" ref="AK502:AS502" si="2521">countif($D502,"*"&amp;AK$2&amp;"*")</f>
        <v>0</v>
      </c>
      <c r="AL502" s="201">
        <f t="shared" si="2521"/>
        <v>0</v>
      </c>
      <c r="AM502" s="201">
        <f t="shared" si="2521"/>
        <v>0</v>
      </c>
      <c r="AN502" s="201">
        <f t="shared" si="2521"/>
        <v>0</v>
      </c>
      <c r="AO502" s="201">
        <f t="shared" si="2521"/>
        <v>0</v>
      </c>
      <c r="AP502" s="201">
        <f t="shared" si="2521"/>
        <v>0</v>
      </c>
      <c r="AQ502" s="201">
        <f t="shared" si="2521"/>
        <v>0</v>
      </c>
      <c r="AR502" s="200">
        <f t="shared" si="2521"/>
        <v>0</v>
      </c>
      <c r="AS502" s="200">
        <f t="shared" si="2521"/>
        <v>0</v>
      </c>
      <c r="AT502" s="173">
        <v>0.0</v>
      </c>
      <c r="AU502" s="200">
        <f t="shared" si="2409"/>
        <v>0</v>
      </c>
      <c r="AV502" s="200">
        <f t="shared" ref="AV502:AX502" si="2522">countif($D502,"*"&amp;AV$2&amp;"*")</f>
        <v>1</v>
      </c>
      <c r="AW502" s="200">
        <f t="shared" si="2522"/>
        <v>0</v>
      </c>
      <c r="AX502" s="200">
        <f t="shared" si="2522"/>
        <v>0</v>
      </c>
      <c r="AY502" s="202">
        <v>0.0</v>
      </c>
      <c r="AZ502" s="200"/>
      <c r="BA502" s="171" t="str">
        <f t="shared" si="18"/>
        <v/>
      </c>
      <c r="BB502" s="171" t="str">
        <f t="shared" si="19"/>
        <v>Code</v>
      </c>
      <c r="BC502" s="171" t="str">
        <f t="shared" si="20"/>
        <v/>
      </c>
      <c r="BD502" s="171" t="str">
        <f t="shared" si="21"/>
        <v/>
      </c>
      <c r="BE502" s="171" t="str">
        <f t="shared" si="22"/>
        <v/>
      </c>
      <c r="BF502" s="171" t="str">
        <f t="shared" si="23"/>
        <v>Code</v>
      </c>
    </row>
    <row r="503">
      <c r="A503" s="171">
        <f t="array" ref="A503">XLOOKUP(C503,ICSE!A:A,ICSE!C:C,,2,1)</f>
        <v>2019</v>
      </c>
      <c r="B503" s="171" t="s">
        <v>5675</v>
      </c>
      <c r="C503" s="160">
        <v>924.0</v>
      </c>
      <c r="D503" s="161" t="s">
        <v>1255</v>
      </c>
      <c r="E503" s="197" t="str">
        <f t="array" ref="E503">XLOOKUP(C503,ICSE!A:A,ICSE!Z:Z,,0,1)</f>
        <v>Publicly available (1)</v>
      </c>
      <c r="F503" s="198" t="s">
        <v>20</v>
      </c>
      <c r="G503" s="163" t="str">
        <f t="array" ref="G503">IF(B503="ICSE",IF(COUNTIFS(B:B,B503,C:C,C503)=XLOOKUP(C503,ICSE!A:A,ICSE!AA:AA,"ERROR",0,1),"OK","ERROR"),IF(B503="FSE",IF(COUNTIFS(B:B,B503,C:C,C503)=XLOOKUP(C503,FSE!A:A,FSE!AA:AA,"ERROR",0,1),"OK","ERROR")))</f>
        <v>OK</v>
      </c>
      <c r="H503" s="199">
        <f t="shared" ref="H503:O503" si="2523">countif($D503,"*"&amp;H$2&amp;"*")</f>
        <v>0</v>
      </c>
      <c r="I503" s="200">
        <f t="shared" si="2523"/>
        <v>0</v>
      </c>
      <c r="J503" s="200">
        <f t="shared" si="2523"/>
        <v>0</v>
      </c>
      <c r="K503" s="200">
        <f t="shared" si="2523"/>
        <v>0</v>
      </c>
      <c r="L503" s="200">
        <f t="shared" si="2523"/>
        <v>0</v>
      </c>
      <c r="M503" s="200">
        <f t="shared" si="2523"/>
        <v>0</v>
      </c>
      <c r="N503" s="200">
        <f t="shared" si="2523"/>
        <v>0</v>
      </c>
      <c r="O503" s="200">
        <f t="shared" si="2523"/>
        <v>0</v>
      </c>
      <c r="P503" s="200">
        <f t="shared" si="9"/>
        <v>0</v>
      </c>
      <c r="Q503" s="200">
        <f t="shared" ref="Q503:AC503" si="2524">countif($D503,"*"&amp;Q$2&amp;"*")</f>
        <v>0</v>
      </c>
      <c r="R503" s="200">
        <f t="shared" si="2524"/>
        <v>0</v>
      </c>
      <c r="S503" s="200">
        <f t="shared" si="2524"/>
        <v>0</v>
      </c>
      <c r="T503" s="200">
        <f t="shared" si="2524"/>
        <v>0</v>
      </c>
      <c r="U503" s="200">
        <f t="shared" si="2524"/>
        <v>0</v>
      </c>
      <c r="V503" s="200">
        <f t="shared" si="2524"/>
        <v>0</v>
      </c>
      <c r="W503" s="200">
        <f t="shared" si="2524"/>
        <v>0</v>
      </c>
      <c r="X503" s="200">
        <f t="shared" si="2524"/>
        <v>0</v>
      </c>
      <c r="Y503" s="200">
        <f t="shared" si="2524"/>
        <v>0</v>
      </c>
      <c r="Z503" s="200">
        <f t="shared" si="2524"/>
        <v>0</v>
      </c>
      <c r="AA503" s="200">
        <f t="shared" si="2524"/>
        <v>1</v>
      </c>
      <c r="AB503" s="200">
        <f t="shared" si="2524"/>
        <v>0</v>
      </c>
      <c r="AC503" s="200">
        <f t="shared" si="2524"/>
        <v>0</v>
      </c>
      <c r="AD503" s="200">
        <f t="shared" si="11"/>
        <v>0</v>
      </c>
      <c r="AE503" s="200">
        <f t="shared" ref="AE503:AG503" si="2525">countif($D503,"*"&amp;AE$2&amp;"*")</f>
        <v>0</v>
      </c>
      <c r="AF503" s="200">
        <f t="shared" si="2525"/>
        <v>0</v>
      </c>
      <c r="AG503" s="200">
        <f t="shared" si="2525"/>
        <v>0</v>
      </c>
      <c r="AH503" s="171">
        <f t="shared" si="13"/>
        <v>0</v>
      </c>
      <c r="AI503" s="200">
        <f t="shared" si="14"/>
        <v>0</v>
      </c>
      <c r="AJ503" s="200">
        <f t="shared" si="2475"/>
        <v>0</v>
      </c>
      <c r="AK503" s="201">
        <f t="shared" ref="AK503:AS503" si="2526">countif($D503,"*"&amp;AK$2&amp;"*")</f>
        <v>0</v>
      </c>
      <c r="AL503" s="201">
        <f t="shared" si="2526"/>
        <v>0</v>
      </c>
      <c r="AM503" s="201">
        <f t="shared" si="2526"/>
        <v>0</v>
      </c>
      <c r="AN503" s="201">
        <f t="shared" si="2526"/>
        <v>0</v>
      </c>
      <c r="AO503" s="201">
        <f t="shared" si="2526"/>
        <v>0</v>
      </c>
      <c r="AP503" s="201">
        <f t="shared" si="2526"/>
        <v>0</v>
      </c>
      <c r="AQ503" s="201">
        <f t="shared" si="2526"/>
        <v>0</v>
      </c>
      <c r="AR503" s="200">
        <f t="shared" si="2526"/>
        <v>0</v>
      </c>
      <c r="AS503" s="200">
        <f t="shared" si="2526"/>
        <v>0</v>
      </c>
      <c r="AT503" s="173">
        <v>0.0</v>
      </c>
      <c r="AU503" s="200">
        <f t="shared" si="2409"/>
        <v>0</v>
      </c>
      <c r="AV503" s="200">
        <f t="shared" ref="AV503:AX503" si="2527">countif($D503,"*"&amp;AV$2&amp;"*")</f>
        <v>0</v>
      </c>
      <c r="AW503" s="200">
        <f t="shared" si="2527"/>
        <v>0</v>
      </c>
      <c r="AX503" s="200">
        <f t="shared" si="2527"/>
        <v>0</v>
      </c>
      <c r="AY503" s="202">
        <v>0.0</v>
      </c>
      <c r="AZ503" s="200"/>
      <c r="BA503" s="171" t="str">
        <f t="shared" si="18"/>
        <v/>
      </c>
      <c r="BB503" s="171" t="str">
        <f t="shared" si="19"/>
        <v/>
      </c>
      <c r="BC503" s="171" t="str">
        <f t="shared" si="20"/>
        <v>General-purpose</v>
      </c>
      <c r="BD503" s="171" t="str">
        <f t="shared" si="21"/>
        <v/>
      </c>
      <c r="BE503" s="171" t="str">
        <f t="shared" si="22"/>
        <v/>
      </c>
      <c r="BF503" s="171" t="str">
        <f t="shared" si="23"/>
        <v>General-purpose</v>
      </c>
    </row>
    <row r="504">
      <c r="A504" s="171">
        <f t="array" ref="A504">XLOOKUP(C504,ICSE!A:A,ICSE!C:C,,2,1)</f>
        <v>2019</v>
      </c>
      <c r="B504" s="171" t="s">
        <v>5675</v>
      </c>
      <c r="C504" s="160">
        <v>926.0</v>
      </c>
      <c r="D504" s="161" t="s">
        <v>1258</v>
      </c>
      <c r="E504" s="197" t="str">
        <f t="array" ref="E504">XLOOKUP(C504,ICSE!A:A,ICSE!Z:Z,,0,1)</f>
        <v>Publicly available (1)</v>
      </c>
      <c r="F504" s="198" t="s">
        <v>20</v>
      </c>
      <c r="G504" s="163" t="str">
        <f t="array" ref="G504">IF(B504="ICSE",IF(COUNTIFS(B:B,B504,C:C,C504)=XLOOKUP(C504,ICSE!A:A,ICSE!AA:AA,"ERROR",0,1),"OK","ERROR"),IF(B504="FSE",IF(COUNTIFS(B:B,B504,C:C,C504)=XLOOKUP(C504,FSE!A:A,FSE!AA:AA,"ERROR",0,1),"OK","ERROR")))</f>
        <v>OK</v>
      </c>
      <c r="H504" s="199">
        <f t="shared" ref="H504:O504" si="2528">countif($D504,"*"&amp;H$2&amp;"*")</f>
        <v>0</v>
      </c>
      <c r="I504" s="200">
        <f t="shared" si="2528"/>
        <v>0</v>
      </c>
      <c r="J504" s="200">
        <f t="shared" si="2528"/>
        <v>0</v>
      </c>
      <c r="K504" s="200">
        <f t="shared" si="2528"/>
        <v>0</v>
      </c>
      <c r="L504" s="200">
        <f t="shared" si="2528"/>
        <v>0</v>
      </c>
      <c r="M504" s="200">
        <f t="shared" si="2528"/>
        <v>0</v>
      </c>
      <c r="N504" s="200">
        <f t="shared" si="2528"/>
        <v>0</v>
      </c>
      <c r="O504" s="200">
        <f t="shared" si="2528"/>
        <v>0</v>
      </c>
      <c r="P504" s="200">
        <f t="shared" si="9"/>
        <v>1</v>
      </c>
      <c r="Q504" s="200">
        <f t="shared" ref="Q504:AC504" si="2529">countif($D504,"*"&amp;Q$2&amp;"*")</f>
        <v>0</v>
      </c>
      <c r="R504" s="200">
        <f t="shared" si="2529"/>
        <v>0</v>
      </c>
      <c r="S504" s="200">
        <f t="shared" si="2529"/>
        <v>0</v>
      </c>
      <c r="T504" s="200">
        <f t="shared" si="2529"/>
        <v>0</v>
      </c>
      <c r="U504" s="200">
        <f t="shared" si="2529"/>
        <v>0</v>
      </c>
      <c r="V504" s="200">
        <f t="shared" si="2529"/>
        <v>0</v>
      </c>
      <c r="W504" s="200">
        <f t="shared" si="2529"/>
        <v>0</v>
      </c>
      <c r="X504" s="200">
        <f t="shared" si="2529"/>
        <v>0</v>
      </c>
      <c r="Y504" s="200">
        <f t="shared" si="2529"/>
        <v>0</v>
      </c>
      <c r="Z504" s="200">
        <f t="shared" si="2529"/>
        <v>0</v>
      </c>
      <c r="AA504" s="200">
        <f t="shared" si="2529"/>
        <v>0</v>
      </c>
      <c r="AB504" s="200">
        <f t="shared" si="2529"/>
        <v>0</v>
      </c>
      <c r="AC504" s="200">
        <f t="shared" si="2529"/>
        <v>0</v>
      </c>
      <c r="AD504" s="200">
        <f t="shared" si="11"/>
        <v>0</v>
      </c>
      <c r="AE504" s="200">
        <f t="shared" ref="AE504:AG504" si="2530">countif($D504,"*"&amp;AE$2&amp;"*")</f>
        <v>0</v>
      </c>
      <c r="AF504" s="200">
        <f t="shared" si="2530"/>
        <v>0</v>
      </c>
      <c r="AG504" s="200">
        <f t="shared" si="2530"/>
        <v>0</v>
      </c>
      <c r="AH504" s="171">
        <f t="shared" si="13"/>
        <v>0</v>
      </c>
      <c r="AI504" s="200">
        <f t="shared" si="14"/>
        <v>0</v>
      </c>
      <c r="AJ504" s="200">
        <f t="shared" si="2475"/>
        <v>0</v>
      </c>
      <c r="AK504" s="201">
        <f t="shared" ref="AK504:AS504" si="2531">countif($D504,"*"&amp;AK$2&amp;"*")</f>
        <v>0</v>
      </c>
      <c r="AL504" s="201">
        <f t="shared" si="2531"/>
        <v>0</v>
      </c>
      <c r="AM504" s="201">
        <f t="shared" si="2531"/>
        <v>0</v>
      </c>
      <c r="AN504" s="201">
        <f t="shared" si="2531"/>
        <v>0</v>
      </c>
      <c r="AO504" s="201">
        <f t="shared" si="2531"/>
        <v>0</v>
      </c>
      <c r="AP504" s="201">
        <f t="shared" si="2531"/>
        <v>0</v>
      </c>
      <c r="AQ504" s="201">
        <f t="shared" si="2531"/>
        <v>0</v>
      </c>
      <c r="AR504" s="200">
        <f t="shared" si="2531"/>
        <v>0</v>
      </c>
      <c r="AS504" s="200">
        <f t="shared" si="2531"/>
        <v>0</v>
      </c>
      <c r="AT504" s="173">
        <v>0.0</v>
      </c>
      <c r="AU504" s="200">
        <f t="shared" si="2409"/>
        <v>0</v>
      </c>
      <c r="AV504" s="200">
        <f t="shared" ref="AV504:AX504" si="2532">countif($D504,"*"&amp;AV$2&amp;"*")</f>
        <v>1</v>
      </c>
      <c r="AW504" s="200">
        <f t="shared" si="2532"/>
        <v>0</v>
      </c>
      <c r="AX504" s="200">
        <f t="shared" si="2532"/>
        <v>0</v>
      </c>
      <c r="AY504" s="202">
        <v>0.0</v>
      </c>
      <c r="AZ504" s="200"/>
      <c r="BA504" s="171" t="str">
        <f t="shared" si="18"/>
        <v/>
      </c>
      <c r="BB504" s="171" t="str">
        <f t="shared" si="19"/>
        <v>Code</v>
      </c>
      <c r="BC504" s="171" t="str">
        <f t="shared" si="20"/>
        <v/>
      </c>
      <c r="BD504" s="171" t="str">
        <f t="shared" si="21"/>
        <v/>
      </c>
      <c r="BE504" s="171" t="str">
        <f t="shared" si="22"/>
        <v/>
      </c>
      <c r="BF504" s="171" t="str">
        <f t="shared" si="23"/>
        <v>Code</v>
      </c>
    </row>
    <row r="505">
      <c r="A505" s="171">
        <f t="array" ref="A505">XLOOKUP(C505,ICSE!A:A,ICSE!C:C,,2,1)</f>
        <v>2019</v>
      </c>
      <c r="B505" s="171" t="s">
        <v>5675</v>
      </c>
      <c r="C505" s="160">
        <v>927.0</v>
      </c>
      <c r="D505" s="161" t="s">
        <v>5909</v>
      </c>
      <c r="E505" s="197" t="str">
        <f t="array" ref="E505">XLOOKUP(C505,ICSE!A:A,ICSE!Z:Z,,0,1)</f>
        <v>Publicly available (1)</v>
      </c>
      <c r="F505" s="198" t="s">
        <v>20</v>
      </c>
      <c r="G505" s="163" t="str">
        <f t="array" ref="G505">IF(B505="ICSE",IF(COUNTIFS(B:B,B505,C:C,C505)=XLOOKUP(C505,ICSE!A:A,ICSE!AA:AA,"ERROR",0,1),"OK","ERROR"),IF(B505="FSE",IF(COUNTIFS(B:B,B505,C:C,C505)=XLOOKUP(C505,FSE!A:A,FSE!AA:AA,"ERROR",0,1),"OK","ERROR")))</f>
        <v>OK</v>
      </c>
      <c r="H505" s="199">
        <f t="shared" ref="H505:O505" si="2533">countif($D505,"*"&amp;H$2&amp;"*")</f>
        <v>0</v>
      </c>
      <c r="I505" s="200">
        <f t="shared" si="2533"/>
        <v>0</v>
      </c>
      <c r="J505" s="200">
        <f t="shared" si="2533"/>
        <v>0</v>
      </c>
      <c r="K505" s="200">
        <f t="shared" si="2533"/>
        <v>0</v>
      </c>
      <c r="L505" s="200">
        <f t="shared" si="2533"/>
        <v>0</v>
      </c>
      <c r="M505" s="200">
        <f t="shared" si="2533"/>
        <v>0</v>
      </c>
      <c r="N505" s="200">
        <f t="shared" si="2533"/>
        <v>0</v>
      </c>
      <c r="O505" s="200">
        <f t="shared" si="2533"/>
        <v>0</v>
      </c>
      <c r="P505" s="200">
        <f t="shared" si="9"/>
        <v>0</v>
      </c>
      <c r="Q505" s="200">
        <f t="shared" ref="Q505:AC505" si="2534">countif($D505,"*"&amp;Q$2&amp;"*")</f>
        <v>0</v>
      </c>
      <c r="R505" s="200">
        <f t="shared" si="2534"/>
        <v>0</v>
      </c>
      <c r="S505" s="200">
        <f t="shared" si="2534"/>
        <v>0</v>
      </c>
      <c r="T505" s="200">
        <f t="shared" si="2534"/>
        <v>0</v>
      </c>
      <c r="U505" s="200">
        <f t="shared" si="2534"/>
        <v>0</v>
      </c>
      <c r="V505" s="200">
        <f t="shared" si="2534"/>
        <v>0</v>
      </c>
      <c r="W505" s="200">
        <f t="shared" si="2534"/>
        <v>0</v>
      </c>
      <c r="X505" s="200">
        <f t="shared" si="2534"/>
        <v>0</v>
      </c>
      <c r="Y505" s="200">
        <f t="shared" si="2534"/>
        <v>0</v>
      </c>
      <c r="Z505" s="200">
        <f t="shared" si="2534"/>
        <v>0</v>
      </c>
      <c r="AA505" s="200">
        <f t="shared" si="2534"/>
        <v>0</v>
      </c>
      <c r="AB505" s="200">
        <f t="shared" si="2534"/>
        <v>0</v>
      </c>
      <c r="AC505" s="200">
        <f t="shared" si="2534"/>
        <v>0</v>
      </c>
      <c r="AD505" s="200">
        <f t="shared" si="11"/>
        <v>0</v>
      </c>
      <c r="AE505" s="200">
        <f t="shared" ref="AE505:AG505" si="2535">countif($D505,"*"&amp;AE$2&amp;"*")</f>
        <v>0</v>
      </c>
      <c r="AF505" s="200">
        <f t="shared" si="2535"/>
        <v>0</v>
      </c>
      <c r="AG505" s="200">
        <f t="shared" si="2535"/>
        <v>0</v>
      </c>
      <c r="AH505" s="171">
        <f t="shared" si="13"/>
        <v>1</v>
      </c>
      <c r="AI505" s="200">
        <f t="shared" si="14"/>
        <v>0</v>
      </c>
      <c r="AJ505" s="200">
        <f t="shared" si="2475"/>
        <v>1</v>
      </c>
      <c r="AK505" s="201">
        <f t="shared" ref="AK505:AS505" si="2536">countif($D505,"*"&amp;AK$2&amp;"*")</f>
        <v>1</v>
      </c>
      <c r="AL505" s="201">
        <f t="shared" si="2536"/>
        <v>0</v>
      </c>
      <c r="AM505" s="201">
        <f t="shared" si="2536"/>
        <v>0</v>
      </c>
      <c r="AN505" s="201">
        <f t="shared" si="2536"/>
        <v>0</v>
      </c>
      <c r="AO505" s="201">
        <f t="shared" si="2536"/>
        <v>0</v>
      </c>
      <c r="AP505" s="201">
        <f t="shared" si="2536"/>
        <v>0</v>
      </c>
      <c r="AQ505" s="201">
        <f t="shared" si="2536"/>
        <v>0</v>
      </c>
      <c r="AR505" s="200">
        <f t="shared" si="2536"/>
        <v>0</v>
      </c>
      <c r="AS505" s="200">
        <f t="shared" si="2536"/>
        <v>1</v>
      </c>
      <c r="AT505" s="173">
        <v>0.0</v>
      </c>
      <c r="AU505" s="200">
        <f t="shared" si="2409"/>
        <v>0</v>
      </c>
      <c r="AV505" s="200">
        <f t="shared" ref="AV505:AX505" si="2537">countif($D505,"*"&amp;AV$2&amp;"*")</f>
        <v>0</v>
      </c>
      <c r="AW505" s="200">
        <f t="shared" si="2537"/>
        <v>0</v>
      </c>
      <c r="AX505" s="200">
        <f t="shared" si="2537"/>
        <v>0</v>
      </c>
      <c r="AY505" s="202">
        <v>0.0</v>
      </c>
      <c r="AZ505" s="200"/>
      <c r="BA505" s="171" t="str">
        <f t="shared" si="18"/>
        <v/>
      </c>
      <c r="BB505" s="171" t="str">
        <f t="shared" si="19"/>
        <v/>
      </c>
      <c r="BC505" s="171" t="str">
        <f t="shared" si="20"/>
        <v/>
      </c>
      <c r="BD505" s="171" t="str">
        <f t="shared" si="21"/>
        <v/>
      </c>
      <c r="BE505" s="171" t="str">
        <f t="shared" si="22"/>
        <v>Others</v>
      </c>
      <c r="BF505" s="171" t="str">
        <f t="shared" si="23"/>
        <v>Others</v>
      </c>
    </row>
    <row r="506">
      <c r="A506" s="171">
        <f t="array" ref="A506">XLOOKUP(C506,ICSE!A:A,ICSE!C:C,,2,1)</f>
        <v>2019</v>
      </c>
      <c r="B506" s="171" t="s">
        <v>5675</v>
      </c>
      <c r="C506" s="160">
        <v>928.0</v>
      </c>
      <c r="D506" s="161" t="s">
        <v>1264</v>
      </c>
      <c r="E506" s="197" t="str">
        <f t="array" ref="E506">XLOOKUP(C506,ICSE!A:A,ICSE!Z:Z,,0,1)</f>
        <v>Publicly available (1)</v>
      </c>
      <c r="F506" s="198" t="s">
        <v>20</v>
      </c>
      <c r="G506" s="163" t="str">
        <f t="array" ref="G506">IF(B506="ICSE",IF(COUNTIFS(B:B,B506,C:C,C506)=XLOOKUP(C506,ICSE!A:A,ICSE!AA:AA,"ERROR",0,1),"OK","ERROR"),IF(B506="FSE",IF(COUNTIFS(B:B,B506,C:C,C506)=XLOOKUP(C506,FSE!A:A,FSE!AA:AA,"ERROR",0,1),"OK","ERROR")))</f>
        <v>OK</v>
      </c>
      <c r="H506" s="199">
        <f t="shared" ref="H506:O506" si="2538">countif($D506,"*"&amp;H$2&amp;"*")</f>
        <v>0</v>
      </c>
      <c r="I506" s="200">
        <f t="shared" si="2538"/>
        <v>0</v>
      </c>
      <c r="J506" s="200">
        <f t="shared" si="2538"/>
        <v>0</v>
      </c>
      <c r="K506" s="200">
        <f t="shared" si="2538"/>
        <v>0</v>
      </c>
      <c r="L506" s="200">
        <f t="shared" si="2538"/>
        <v>0</v>
      </c>
      <c r="M506" s="200">
        <f t="shared" si="2538"/>
        <v>0</v>
      </c>
      <c r="N506" s="200">
        <f t="shared" si="2538"/>
        <v>0</v>
      </c>
      <c r="O506" s="200">
        <f t="shared" si="2538"/>
        <v>0</v>
      </c>
      <c r="P506" s="200">
        <f t="shared" si="9"/>
        <v>1</v>
      </c>
      <c r="Q506" s="200">
        <f t="shared" ref="Q506:AC506" si="2539">countif($D506,"*"&amp;Q$2&amp;"*")</f>
        <v>0</v>
      </c>
      <c r="R506" s="200">
        <f t="shared" si="2539"/>
        <v>0</v>
      </c>
      <c r="S506" s="200">
        <f t="shared" si="2539"/>
        <v>0</v>
      </c>
      <c r="T506" s="200">
        <f t="shared" si="2539"/>
        <v>0</v>
      </c>
      <c r="U506" s="200">
        <f t="shared" si="2539"/>
        <v>0</v>
      </c>
      <c r="V506" s="200">
        <f t="shared" si="2539"/>
        <v>0</v>
      </c>
      <c r="W506" s="200">
        <f t="shared" si="2539"/>
        <v>0</v>
      </c>
      <c r="X506" s="200">
        <f t="shared" si="2539"/>
        <v>0</v>
      </c>
      <c r="Y506" s="200">
        <f t="shared" si="2539"/>
        <v>0</v>
      </c>
      <c r="Z506" s="200">
        <f t="shared" si="2539"/>
        <v>0</v>
      </c>
      <c r="AA506" s="200">
        <f t="shared" si="2539"/>
        <v>0</v>
      </c>
      <c r="AB506" s="200">
        <f t="shared" si="2539"/>
        <v>0</v>
      </c>
      <c r="AC506" s="200">
        <f t="shared" si="2539"/>
        <v>0</v>
      </c>
      <c r="AD506" s="200">
        <f t="shared" si="11"/>
        <v>0</v>
      </c>
      <c r="AE506" s="200">
        <f t="shared" ref="AE506:AG506" si="2540">countif($D506,"*"&amp;AE$2&amp;"*")</f>
        <v>0</v>
      </c>
      <c r="AF506" s="200">
        <f t="shared" si="2540"/>
        <v>0</v>
      </c>
      <c r="AG506" s="200">
        <f t="shared" si="2540"/>
        <v>0</v>
      </c>
      <c r="AH506" s="171">
        <f t="shared" si="13"/>
        <v>0</v>
      </c>
      <c r="AI506" s="200">
        <f t="shared" si="14"/>
        <v>0</v>
      </c>
      <c r="AJ506" s="200">
        <f t="shared" si="2475"/>
        <v>0</v>
      </c>
      <c r="AK506" s="201">
        <f t="shared" ref="AK506:AS506" si="2541">countif($D506,"*"&amp;AK$2&amp;"*")</f>
        <v>0</v>
      </c>
      <c r="AL506" s="201">
        <f t="shared" si="2541"/>
        <v>0</v>
      </c>
      <c r="AM506" s="201">
        <f t="shared" si="2541"/>
        <v>0</v>
      </c>
      <c r="AN506" s="201">
        <f t="shared" si="2541"/>
        <v>0</v>
      </c>
      <c r="AO506" s="201">
        <f t="shared" si="2541"/>
        <v>0</v>
      </c>
      <c r="AP506" s="201">
        <f t="shared" si="2541"/>
        <v>0</v>
      </c>
      <c r="AQ506" s="201">
        <f t="shared" si="2541"/>
        <v>0</v>
      </c>
      <c r="AR506" s="200">
        <f t="shared" si="2541"/>
        <v>0</v>
      </c>
      <c r="AS506" s="200">
        <f t="shared" si="2541"/>
        <v>0</v>
      </c>
      <c r="AT506" s="173">
        <v>0.0</v>
      </c>
      <c r="AU506" s="200">
        <f t="shared" si="2409"/>
        <v>0</v>
      </c>
      <c r="AV506" s="200">
        <f t="shared" ref="AV506:AX506" si="2542">countif($D506,"*"&amp;AV$2&amp;"*")</f>
        <v>1</v>
      </c>
      <c r="AW506" s="200">
        <f t="shared" si="2542"/>
        <v>0</v>
      </c>
      <c r="AX506" s="200">
        <f t="shared" si="2542"/>
        <v>0</v>
      </c>
      <c r="AY506" s="202">
        <v>0.0</v>
      </c>
      <c r="AZ506" s="200"/>
      <c r="BA506" s="171" t="str">
        <f t="shared" si="18"/>
        <v/>
      </c>
      <c r="BB506" s="171" t="str">
        <f t="shared" si="19"/>
        <v>Code</v>
      </c>
      <c r="BC506" s="171" t="str">
        <f t="shared" si="20"/>
        <v/>
      </c>
      <c r="BD506" s="171" t="str">
        <f t="shared" si="21"/>
        <v/>
      </c>
      <c r="BE506" s="171" t="str">
        <f t="shared" si="22"/>
        <v/>
      </c>
      <c r="BF506" s="171" t="str">
        <f t="shared" si="23"/>
        <v>Code</v>
      </c>
    </row>
    <row r="507">
      <c r="A507" s="171">
        <f t="array" ref="A507">XLOOKUP(C507,ICSE!A:A,ICSE!C:C,,2,1)</f>
        <v>2019</v>
      </c>
      <c r="B507" s="171" t="s">
        <v>5675</v>
      </c>
      <c r="C507" s="160">
        <v>929.0</v>
      </c>
      <c r="D507" s="161" t="s">
        <v>5910</v>
      </c>
      <c r="E507" s="197" t="str">
        <f t="array" ref="E507">XLOOKUP(C507,ICSE!A:A,ICSE!Z:Z,,0,1)</f>
        <v>Publicly available (1)
Not available (1) - Broken link.</v>
      </c>
      <c r="F507" s="198" t="s">
        <v>20</v>
      </c>
      <c r="G507" s="163" t="str">
        <f t="array" ref="G507">IF(B507="ICSE",IF(COUNTIFS(B:B,B507,C:C,C507)=XLOOKUP(C507,ICSE!A:A,ICSE!AA:AA,"ERROR",0,1),"OK","ERROR"),IF(B507="FSE",IF(COUNTIFS(B:B,B507,C:C,C507)=XLOOKUP(C507,FSE!A:A,FSE!AA:AA,"ERROR",0,1),"OK","ERROR")))</f>
        <v>OK</v>
      </c>
      <c r="H507" s="199">
        <f t="shared" ref="H507:O507" si="2543">countif($D507,"*"&amp;H$2&amp;"*")</f>
        <v>0</v>
      </c>
      <c r="I507" s="200">
        <f t="shared" si="2543"/>
        <v>0</v>
      </c>
      <c r="J507" s="200">
        <f t="shared" si="2543"/>
        <v>0</v>
      </c>
      <c r="K507" s="200">
        <f t="shared" si="2543"/>
        <v>0</v>
      </c>
      <c r="L507" s="200">
        <f t="shared" si="2543"/>
        <v>0</v>
      </c>
      <c r="M507" s="200">
        <f t="shared" si="2543"/>
        <v>0</v>
      </c>
      <c r="N507" s="200">
        <f t="shared" si="2543"/>
        <v>0</v>
      </c>
      <c r="O507" s="200">
        <f t="shared" si="2543"/>
        <v>0</v>
      </c>
      <c r="P507" s="200">
        <f t="shared" si="9"/>
        <v>1</v>
      </c>
      <c r="Q507" s="200">
        <f t="shared" ref="Q507:AC507" si="2544">countif($D507,"*"&amp;Q$2&amp;"*")</f>
        <v>0</v>
      </c>
      <c r="R507" s="200">
        <f t="shared" si="2544"/>
        <v>0</v>
      </c>
      <c r="S507" s="200">
        <f t="shared" si="2544"/>
        <v>0</v>
      </c>
      <c r="T507" s="200">
        <f t="shared" si="2544"/>
        <v>0</v>
      </c>
      <c r="U507" s="200">
        <f t="shared" si="2544"/>
        <v>0</v>
      </c>
      <c r="V507" s="200">
        <f t="shared" si="2544"/>
        <v>0</v>
      </c>
      <c r="W507" s="200">
        <f t="shared" si="2544"/>
        <v>0</v>
      </c>
      <c r="X507" s="200">
        <f t="shared" si="2544"/>
        <v>0</v>
      </c>
      <c r="Y507" s="200">
        <f t="shared" si="2544"/>
        <v>0</v>
      </c>
      <c r="Z507" s="200">
        <f t="shared" si="2544"/>
        <v>0</v>
      </c>
      <c r="AA507" s="200">
        <f t="shared" si="2544"/>
        <v>0</v>
      </c>
      <c r="AB507" s="200">
        <f t="shared" si="2544"/>
        <v>0</v>
      </c>
      <c r="AC507" s="200">
        <f t="shared" si="2544"/>
        <v>0</v>
      </c>
      <c r="AD507" s="200">
        <f t="shared" si="11"/>
        <v>0</v>
      </c>
      <c r="AE507" s="200">
        <f t="shared" ref="AE507:AG507" si="2545">countif($D507,"*"&amp;AE$2&amp;"*")</f>
        <v>0</v>
      </c>
      <c r="AF507" s="200">
        <f t="shared" si="2545"/>
        <v>0</v>
      </c>
      <c r="AG507" s="200">
        <f t="shared" si="2545"/>
        <v>0</v>
      </c>
      <c r="AH507" s="171">
        <f t="shared" si="13"/>
        <v>0</v>
      </c>
      <c r="AI507" s="200">
        <f t="shared" si="14"/>
        <v>0</v>
      </c>
      <c r="AJ507" s="200">
        <f t="shared" si="2475"/>
        <v>0</v>
      </c>
      <c r="AK507" s="201">
        <f t="shared" ref="AK507:AS507" si="2546">countif($D507,"*"&amp;AK$2&amp;"*")</f>
        <v>0</v>
      </c>
      <c r="AL507" s="201">
        <f t="shared" si="2546"/>
        <v>0</v>
      </c>
      <c r="AM507" s="201">
        <f t="shared" si="2546"/>
        <v>0</v>
      </c>
      <c r="AN507" s="201">
        <f t="shared" si="2546"/>
        <v>0</v>
      </c>
      <c r="AO507" s="201">
        <f t="shared" si="2546"/>
        <v>0</v>
      </c>
      <c r="AP507" s="201">
        <f t="shared" si="2546"/>
        <v>0</v>
      </c>
      <c r="AQ507" s="201">
        <f t="shared" si="2546"/>
        <v>0</v>
      </c>
      <c r="AR507" s="200">
        <f t="shared" si="2546"/>
        <v>0</v>
      </c>
      <c r="AS507" s="200">
        <f t="shared" si="2546"/>
        <v>0</v>
      </c>
      <c r="AT507" s="173">
        <v>0.0</v>
      </c>
      <c r="AU507" s="200">
        <f t="shared" si="2409"/>
        <v>0</v>
      </c>
      <c r="AV507" s="200">
        <f t="shared" ref="AV507:AX507" si="2547">countif($D507,"*"&amp;AV$2&amp;"*")</f>
        <v>1</v>
      </c>
      <c r="AW507" s="200">
        <f t="shared" si="2547"/>
        <v>0</v>
      </c>
      <c r="AX507" s="200">
        <f t="shared" si="2547"/>
        <v>0</v>
      </c>
      <c r="AY507" s="202">
        <v>0.0</v>
      </c>
      <c r="AZ507" s="200"/>
      <c r="BA507" s="171" t="str">
        <f t="shared" si="18"/>
        <v/>
      </c>
      <c r="BB507" s="171" t="str">
        <f t="shared" si="19"/>
        <v>Code</v>
      </c>
      <c r="BC507" s="171" t="str">
        <f t="shared" si="20"/>
        <v/>
      </c>
      <c r="BD507" s="171" t="str">
        <f t="shared" si="21"/>
        <v/>
      </c>
      <c r="BE507" s="171" t="str">
        <f t="shared" si="22"/>
        <v/>
      </c>
      <c r="BF507" s="171" t="str">
        <f t="shared" si="23"/>
        <v>Code</v>
      </c>
    </row>
    <row r="508">
      <c r="A508" s="171">
        <f t="array" ref="A508">XLOOKUP(C508,ICSE!A:A,ICSE!C:C,,2,1)</f>
        <v>2019</v>
      </c>
      <c r="B508" s="171" t="s">
        <v>5675</v>
      </c>
      <c r="C508" s="160">
        <v>929.0</v>
      </c>
      <c r="D508" s="161" t="s">
        <v>5911</v>
      </c>
      <c r="E508" s="197" t="str">
        <f t="array" ref="E508">XLOOKUP(C508,ICSE!A:A,ICSE!Z:Z,,0,1)</f>
        <v>Publicly available (1)
Not available (1) - Broken link.</v>
      </c>
      <c r="F508" s="198" t="s">
        <v>21</v>
      </c>
      <c r="G508" s="163" t="str">
        <f t="array" ref="G508">IF(B508="ICSE",IF(COUNTIFS(B:B,B508,C:C,C508)=XLOOKUP(C508,ICSE!A:A,ICSE!AA:AA,"ERROR",0,1),"OK","ERROR"),IF(B508="FSE",IF(COUNTIFS(B:B,B508,C:C,C508)=XLOOKUP(C508,FSE!A:A,FSE!AA:AA,"ERROR",0,1),"OK","ERROR")))</f>
        <v>OK</v>
      </c>
      <c r="H508" s="199">
        <f t="shared" ref="H508:O508" si="2548">countif($D508,"*"&amp;H$2&amp;"*")</f>
        <v>0</v>
      </c>
      <c r="I508" s="200">
        <f t="shared" si="2548"/>
        <v>0</v>
      </c>
      <c r="J508" s="200">
        <f t="shared" si="2548"/>
        <v>0</v>
      </c>
      <c r="K508" s="200">
        <f t="shared" si="2548"/>
        <v>0</v>
      </c>
      <c r="L508" s="200">
        <f t="shared" si="2548"/>
        <v>0</v>
      </c>
      <c r="M508" s="200">
        <f t="shared" si="2548"/>
        <v>0</v>
      </c>
      <c r="N508" s="200">
        <f t="shared" si="2548"/>
        <v>0</v>
      </c>
      <c r="O508" s="200">
        <f t="shared" si="2548"/>
        <v>0</v>
      </c>
      <c r="P508" s="200">
        <f t="shared" si="9"/>
        <v>0</v>
      </c>
      <c r="Q508" s="200">
        <f t="shared" ref="Q508:AC508" si="2549">countif($D508,"*"&amp;Q$2&amp;"*")</f>
        <v>0</v>
      </c>
      <c r="R508" s="200">
        <f t="shared" si="2549"/>
        <v>0</v>
      </c>
      <c r="S508" s="200">
        <f t="shared" si="2549"/>
        <v>0</v>
      </c>
      <c r="T508" s="200">
        <f t="shared" si="2549"/>
        <v>0</v>
      </c>
      <c r="U508" s="200">
        <f t="shared" si="2549"/>
        <v>0</v>
      </c>
      <c r="V508" s="200">
        <f t="shared" si="2549"/>
        <v>0</v>
      </c>
      <c r="W508" s="200">
        <f t="shared" si="2549"/>
        <v>0</v>
      </c>
      <c r="X508" s="200">
        <f t="shared" si="2549"/>
        <v>0</v>
      </c>
      <c r="Y508" s="200">
        <f t="shared" si="2549"/>
        <v>0</v>
      </c>
      <c r="Z508" s="200">
        <f t="shared" si="2549"/>
        <v>1</v>
      </c>
      <c r="AA508" s="200">
        <f t="shared" si="2549"/>
        <v>0</v>
      </c>
      <c r="AB508" s="200">
        <f t="shared" si="2549"/>
        <v>0</v>
      </c>
      <c r="AC508" s="200">
        <f t="shared" si="2549"/>
        <v>0</v>
      </c>
      <c r="AD508" s="200">
        <f t="shared" si="11"/>
        <v>0</v>
      </c>
      <c r="AE508" s="200">
        <f t="shared" ref="AE508:AG508" si="2550">countif($D508,"*"&amp;AE$2&amp;"*")</f>
        <v>0</v>
      </c>
      <c r="AF508" s="200">
        <f t="shared" si="2550"/>
        <v>0</v>
      </c>
      <c r="AG508" s="200">
        <f t="shared" si="2550"/>
        <v>0</v>
      </c>
      <c r="AH508" s="171">
        <f t="shared" si="13"/>
        <v>0</v>
      </c>
      <c r="AI508" s="200">
        <f t="shared" si="14"/>
        <v>0</v>
      </c>
      <c r="AJ508" s="200">
        <f t="shared" si="2475"/>
        <v>0</v>
      </c>
      <c r="AK508" s="201">
        <f t="shared" ref="AK508:AS508" si="2551">countif($D508,"*"&amp;AK$2&amp;"*")</f>
        <v>0</v>
      </c>
      <c r="AL508" s="201">
        <f t="shared" si="2551"/>
        <v>0</v>
      </c>
      <c r="AM508" s="201">
        <f t="shared" si="2551"/>
        <v>0</v>
      </c>
      <c r="AN508" s="201">
        <f t="shared" si="2551"/>
        <v>0</v>
      </c>
      <c r="AO508" s="201">
        <f t="shared" si="2551"/>
        <v>0</v>
      </c>
      <c r="AP508" s="201">
        <f t="shared" si="2551"/>
        <v>0</v>
      </c>
      <c r="AQ508" s="201">
        <f t="shared" si="2551"/>
        <v>0</v>
      </c>
      <c r="AR508" s="200">
        <f t="shared" si="2551"/>
        <v>0</v>
      </c>
      <c r="AS508" s="200">
        <f t="shared" si="2551"/>
        <v>0</v>
      </c>
      <c r="AT508" s="173">
        <v>0.0</v>
      </c>
      <c r="AU508" s="200">
        <f t="shared" si="2409"/>
        <v>0</v>
      </c>
      <c r="AV508" s="200">
        <f t="shared" ref="AV508:AX508" si="2552">countif($D508,"*"&amp;AV$2&amp;"*")</f>
        <v>0</v>
      </c>
      <c r="AW508" s="200">
        <f t="shared" si="2552"/>
        <v>0</v>
      </c>
      <c r="AX508" s="200">
        <f t="shared" si="2552"/>
        <v>0</v>
      </c>
      <c r="AY508" s="202">
        <v>0.0</v>
      </c>
      <c r="AZ508" s="200"/>
      <c r="BA508" s="171" t="str">
        <f t="shared" si="18"/>
        <v/>
      </c>
      <c r="BB508" s="171" t="str">
        <f t="shared" si="19"/>
        <v/>
      </c>
      <c r="BC508" s="171" t="str">
        <f t="shared" si="20"/>
        <v>General-purpose</v>
      </c>
      <c r="BD508" s="171" t="str">
        <f t="shared" si="21"/>
        <v/>
      </c>
      <c r="BE508" s="171" t="str">
        <f t="shared" si="22"/>
        <v/>
      </c>
      <c r="BF508" s="171" t="str">
        <f t="shared" si="23"/>
        <v>General-purpose</v>
      </c>
    </row>
    <row r="509">
      <c r="A509" s="171">
        <f t="array" ref="A509">XLOOKUP(C509,ICSE!A:A,ICSE!C:C,,2,1)</f>
        <v>2019</v>
      </c>
      <c r="B509" s="171" t="s">
        <v>5675</v>
      </c>
      <c r="C509" s="160">
        <v>930.0</v>
      </c>
      <c r="D509" s="161" t="s">
        <v>1270</v>
      </c>
      <c r="E509" s="197" t="str">
        <f t="array" ref="E509">XLOOKUP(C509,ICSE!A:A,ICSE!Z:Z,,0,1)</f>
        <v>Publicly available (1)</v>
      </c>
      <c r="F509" s="198" t="s">
        <v>20</v>
      </c>
      <c r="G509" s="163" t="str">
        <f t="array" ref="G509">IF(B509="ICSE",IF(COUNTIFS(B:B,B509,C:C,C509)=XLOOKUP(C509,ICSE!A:A,ICSE!AA:AA,"ERROR",0,1),"OK","ERROR"),IF(B509="FSE",IF(COUNTIFS(B:B,B509,C:C,C509)=XLOOKUP(C509,FSE!A:A,FSE!AA:AA,"ERROR",0,1),"OK","ERROR")))</f>
        <v>OK</v>
      </c>
      <c r="H509" s="199">
        <f t="shared" ref="H509:O509" si="2553">countif($D509,"*"&amp;H$2&amp;"*")</f>
        <v>0</v>
      </c>
      <c r="I509" s="200">
        <f t="shared" si="2553"/>
        <v>0</v>
      </c>
      <c r="J509" s="200">
        <f t="shared" si="2553"/>
        <v>0</v>
      </c>
      <c r="K509" s="200">
        <f t="shared" si="2553"/>
        <v>0</v>
      </c>
      <c r="L509" s="200">
        <f t="shared" si="2553"/>
        <v>0</v>
      </c>
      <c r="M509" s="200">
        <f t="shared" si="2553"/>
        <v>0</v>
      </c>
      <c r="N509" s="200">
        <f t="shared" si="2553"/>
        <v>0</v>
      </c>
      <c r="O509" s="200">
        <f t="shared" si="2553"/>
        <v>0</v>
      </c>
      <c r="P509" s="200">
        <f t="shared" si="9"/>
        <v>0</v>
      </c>
      <c r="Q509" s="200">
        <f t="shared" ref="Q509:AC509" si="2554">countif($D509,"*"&amp;Q$2&amp;"*")</f>
        <v>0</v>
      </c>
      <c r="R509" s="200">
        <f t="shared" si="2554"/>
        <v>0</v>
      </c>
      <c r="S509" s="200">
        <f t="shared" si="2554"/>
        <v>0</v>
      </c>
      <c r="T509" s="200">
        <f t="shared" si="2554"/>
        <v>0</v>
      </c>
      <c r="U509" s="200">
        <f t="shared" si="2554"/>
        <v>0</v>
      </c>
      <c r="V509" s="200">
        <f t="shared" si="2554"/>
        <v>0</v>
      </c>
      <c r="W509" s="200">
        <f t="shared" si="2554"/>
        <v>0</v>
      </c>
      <c r="X509" s="200">
        <f t="shared" si="2554"/>
        <v>0</v>
      </c>
      <c r="Y509" s="200">
        <f t="shared" si="2554"/>
        <v>0</v>
      </c>
      <c r="Z509" s="200">
        <f t="shared" si="2554"/>
        <v>0</v>
      </c>
      <c r="AA509" s="200">
        <f t="shared" si="2554"/>
        <v>1</v>
      </c>
      <c r="AB509" s="200">
        <f t="shared" si="2554"/>
        <v>0</v>
      </c>
      <c r="AC509" s="200">
        <f t="shared" si="2554"/>
        <v>0</v>
      </c>
      <c r="AD509" s="200">
        <f t="shared" si="11"/>
        <v>0</v>
      </c>
      <c r="AE509" s="200">
        <f t="shared" ref="AE509:AG509" si="2555">countif($D509,"*"&amp;AE$2&amp;"*")</f>
        <v>0</v>
      </c>
      <c r="AF509" s="200">
        <f t="shared" si="2555"/>
        <v>0</v>
      </c>
      <c r="AG509" s="200">
        <f t="shared" si="2555"/>
        <v>0</v>
      </c>
      <c r="AH509" s="171">
        <f t="shared" si="13"/>
        <v>0</v>
      </c>
      <c r="AI509" s="200">
        <f t="shared" si="14"/>
        <v>0</v>
      </c>
      <c r="AJ509" s="200">
        <f t="shared" si="2475"/>
        <v>0</v>
      </c>
      <c r="AK509" s="201">
        <f t="shared" ref="AK509:AS509" si="2556">countif($D509,"*"&amp;AK$2&amp;"*")</f>
        <v>0</v>
      </c>
      <c r="AL509" s="201">
        <f t="shared" si="2556"/>
        <v>0</v>
      </c>
      <c r="AM509" s="201">
        <f t="shared" si="2556"/>
        <v>0</v>
      </c>
      <c r="AN509" s="201">
        <f t="shared" si="2556"/>
        <v>0</v>
      </c>
      <c r="AO509" s="201">
        <f t="shared" si="2556"/>
        <v>0</v>
      </c>
      <c r="AP509" s="201">
        <f t="shared" si="2556"/>
        <v>0</v>
      </c>
      <c r="AQ509" s="201">
        <f t="shared" si="2556"/>
        <v>0</v>
      </c>
      <c r="AR509" s="200">
        <f t="shared" si="2556"/>
        <v>0</v>
      </c>
      <c r="AS509" s="200">
        <f t="shared" si="2556"/>
        <v>0</v>
      </c>
      <c r="AT509" s="173">
        <v>0.0</v>
      </c>
      <c r="AU509" s="200">
        <f t="shared" si="2409"/>
        <v>0</v>
      </c>
      <c r="AV509" s="200">
        <f t="shared" ref="AV509:AX509" si="2557">countif($D509,"*"&amp;AV$2&amp;"*")</f>
        <v>0</v>
      </c>
      <c r="AW509" s="200">
        <f t="shared" si="2557"/>
        <v>0</v>
      </c>
      <c r="AX509" s="200">
        <f t="shared" si="2557"/>
        <v>0</v>
      </c>
      <c r="AY509" s="202">
        <v>0.0</v>
      </c>
      <c r="AZ509" s="200"/>
      <c r="BA509" s="171" t="str">
        <f t="shared" si="18"/>
        <v/>
      </c>
      <c r="BB509" s="171" t="str">
        <f t="shared" si="19"/>
        <v/>
      </c>
      <c r="BC509" s="171" t="str">
        <f t="shared" si="20"/>
        <v>General-purpose</v>
      </c>
      <c r="BD509" s="171" t="str">
        <f t="shared" si="21"/>
        <v/>
      </c>
      <c r="BE509" s="171" t="str">
        <f t="shared" si="22"/>
        <v/>
      </c>
      <c r="BF509" s="171" t="str">
        <f t="shared" si="23"/>
        <v>General-purpose</v>
      </c>
    </row>
    <row r="510">
      <c r="A510" s="171">
        <f t="array" ref="A510">XLOOKUP(C510,ICSE!A:A,ICSE!C:C,,2,1)</f>
        <v>2019</v>
      </c>
      <c r="B510" s="171" t="s">
        <v>5675</v>
      </c>
      <c r="C510" s="160">
        <v>931.0</v>
      </c>
      <c r="D510" s="161" t="s">
        <v>1273</v>
      </c>
      <c r="E510" s="197" t="str">
        <f t="array" ref="E510">XLOOKUP(C510,ICSE!A:A,ICSE!Z:Z,,0,1)</f>
        <v>Publicly available (1)</v>
      </c>
      <c r="F510" s="198" t="s">
        <v>20</v>
      </c>
      <c r="G510" s="163" t="str">
        <f t="array" ref="G510">IF(B510="ICSE",IF(COUNTIFS(B:B,B510,C:C,C510)=XLOOKUP(C510,ICSE!A:A,ICSE!AA:AA,"ERROR",0,1),"OK","ERROR"),IF(B510="FSE",IF(COUNTIFS(B:B,B510,C:C,C510)=XLOOKUP(C510,FSE!A:A,FSE!AA:AA,"ERROR",0,1),"OK","ERROR")))</f>
        <v>OK</v>
      </c>
      <c r="H510" s="199">
        <f t="shared" ref="H510:O510" si="2558">countif($D510,"*"&amp;H$2&amp;"*")</f>
        <v>0</v>
      </c>
      <c r="I510" s="200">
        <f t="shared" si="2558"/>
        <v>0</v>
      </c>
      <c r="J510" s="200">
        <f t="shared" si="2558"/>
        <v>0</v>
      </c>
      <c r="K510" s="200">
        <f t="shared" si="2558"/>
        <v>0</v>
      </c>
      <c r="L510" s="200">
        <f t="shared" si="2558"/>
        <v>0</v>
      </c>
      <c r="M510" s="200">
        <f t="shared" si="2558"/>
        <v>0</v>
      </c>
      <c r="N510" s="200">
        <f t="shared" si="2558"/>
        <v>0</v>
      </c>
      <c r="O510" s="200">
        <f t="shared" si="2558"/>
        <v>0</v>
      </c>
      <c r="P510" s="200">
        <f t="shared" si="9"/>
        <v>1</v>
      </c>
      <c r="Q510" s="200">
        <f t="shared" ref="Q510:AC510" si="2559">countif($D510,"*"&amp;Q$2&amp;"*")</f>
        <v>0</v>
      </c>
      <c r="R510" s="200">
        <f t="shared" si="2559"/>
        <v>0</v>
      </c>
      <c r="S510" s="200">
        <f t="shared" si="2559"/>
        <v>0</v>
      </c>
      <c r="T510" s="200">
        <f t="shared" si="2559"/>
        <v>0</v>
      </c>
      <c r="U510" s="200">
        <f t="shared" si="2559"/>
        <v>0</v>
      </c>
      <c r="V510" s="200">
        <f t="shared" si="2559"/>
        <v>0</v>
      </c>
      <c r="W510" s="200">
        <f t="shared" si="2559"/>
        <v>0</v>
      </c>
      <c r="X510" s="200">
        <f t="shared" si="2559"/>
        <v>0</v>
      </c>
      <c r="Y510" s="200">
        <f t="shared" si="2559"/>
        <v>0</v>
      </c>
      <c r="Z510" s="200">
        <f t="shared" si="2559"/>
        <v>0</v>
      </c>
      <c r="AA510" s="200">
        <f t="shared" si="2559"/>
        <v>0</v>
      </c>
      <c r="AB510" s="200">
        <f t="shared" si="2559"/>
        <v>0</v>
      </c>
      <c r="AC510" s="200">
        <f t="shared" si="2559"/>
        <v>0</v>
      </c>
      <c r="AD510" s="200">
        <f t="shared" si="11"/>
        <v>0</v>
      </c>
      <c r="AE510" s="200">
        <f t="shared" ref="AE510:AG510" si="2560">countif($D510,"*"&amp;AE$2&amp;"*")</f>
        <v>0</v>
      </c>
      <c r="AF510" s="200">
        <f t="shared" si="2560"/>
        <v>0</v>
      </c>
      <c r="AG510" s="200">
        <f t="shared" si="2560"/>
        <v>0</v>
      </c>
      <c r="AH510" s="171">
        <f t="shared" si="13"/>
        <v>0</v>
      </c>
      <c r="AI510" s="200">
        <f t="shared" si="14"/>
        <v>0</v>
      </c>
      <c r="AJ510" s="200">
        <f t="shared" si="2475"/>
        <v>0</v>
      </c>
      <c r="AK510" s="201">
        <f t="shared" ref="AK510:AS510" si="2561">countif($D510,"*"&amp;AK$2&amp;"*")</f>
        <v>0</v>
      </c>
      <c r="AL510" s="201">
        <f t="shared" si="2561"/>
        <v>0</v>
      </c>
      <c r="AM510" s="201">
        <f t="shared" si="2561"/>
        <v>0</v>
      </c>
      <c r="AN510" s="201">
        <f t="shared" si="2561"/>
        <v>0</v>
      </c>
      <c r="AO510" s="201">
        <f t="shared" si="2561"/>
        <v>0</v>
      </c>
      <c r="AP510" s="201">
        <f t="shared" si="2561"/>
        <v>0</v>
      </c>
      <c r="AQ510" s="201">
        <f t="shared" si="2561"/>
        <v>0</v>
      </c>
      <c r="AR510" s="200">
        <f t="shared" si="2561"/>
        <v>0</v>
      </c>
      <c r="AS510" s="200">
        <f t="shared" si="2561"/>
        <v>0</v>
      </c>
      <c r="AT510" s="173">
        <v>0.0</v>
      </c>
      <c r="AU510" s="200">
        <f t="shared" si="2409"/>
        <v>0</v>
      </c>
      <c r="AV510" s="200">
        <f t="shared" ref="AV510:AX510" si="2562">countif($D510,"*"&amp;AV$2&amp;"*")</f>
        <v>1</v>
      </c>
      <c r="AW510" s="200">
        <f t="shared" si="2562"/>
        <v>0</v>
      </c>
      <c r="AX510" s="200">
        <f t="shared" si="2562"/>
        <v>0</v>
      </c>
      <c r="AY510" s="202">
        <v>0.0</v>
      </c>
      <c r="AZ510" s="200"/>
      <c r="BA510" s="171" t="str">
        <f t="shared" si="18"/>
        <v/>
      </c>
      <c r="BB510" s="171" t="str">
        <f t="shared" si="19"/>
        <v>Code</v>
      </c>
      <c r="BC510" s="171" t="str">
        <f t="shared" si="20"/>
        <v/>
      </c>
      <c r="BD510" s="171" t="str">
        <f t="shared" si="21"/>
        <v/>
      </c>
      <c r="BE510" s="171" t="str">
        <f t="shared" si="22"/>
        <v/>
      </c>
      <c r="BF510" s="171" t="str">
        <f t="shared" si="23"/>
        <v>Code</v>
      </c>
    </row>
    <row r="511">
      <c r="A511" s="171">
        <f t="array" ref="A511">XLOOKUP(C511,ICSE!A:A,ICSE!C:C,,2,1)</f>
        <v>2019</v>
      </c>
      <c r="B511" s="171" t="s">
        <v>5675</v>
      </c>
      <c r="C511" s="160">
        <v>932.0</v>
      </c>
      <c r="D511" s="161" t="s">
        <v>1276</v>
      </c>
      <c r="E511" s="197" t="str">
        <f t="array" ref="E511">XLOOKUP(C511,ICSE!A:A,ICSE!Z:Z,,0,1)</f>
        <v>Publicly available (1)</v>
      </c>
      <c r="F511" s="198" t="s">
        <v>20</v>
      </c>
      <c r="G511" s="163" t="str">
        <f t="array" ref="G511">IF(B511="ICSE",IF(COUNTIFS(B:B,B511,C:C,C511)=XLOOKUP(C511,ICSE!A:A,ICSE!AA:AA,"ERROR",0,1),"OK","ERROR"),IF(B511="FSE",IF(COUNTIFS(B:B,B511,C:C,C511)=XLOOKUP(C511,FSE!A:A,FSE!AA:AA,"ERROR",0,1),"OK","ERROR")))</f>
        <v>OK</v>
      </c>
      <c r="H511" s="199">
        <f t="shared" ref="H511:O511" si="2563">countif($D511,"*"&amp;H$2&amp;"*")</f>
        <v>0</v>
      </c>
      <c r="I511" s="200">
        <f t="shared" si="2563"/>
        <v>0</v>
      </c>
      <c r="J511" s="200">
        <f t="shared" si="2563"/>
        <v>0</v>
      </c>
      <c r="K511" s="200">
        <f t="shared" si="2563"/>
        <v>0</v>
      </c>
      <c r="L511" s="200">
        <f t="shared" si="2563"/>
        <v>0</v>
      </c>
      <c r="M511" s="200">
        <f t="shared" si="2563"/>
        <v>0</v>
      </c>
      <c r="N511" s="200">
        <f t="shared" si="2563"/>
        <v>0</v>
      </c>
      <c r="O511" s="200">
        <f t="shared" si="2563"/>
        <v>0</v>
      </c>
      <c r="P511" s="200">
        <f t="shared" si="9"/>
        <v>0</v>
      </c>
      <c r="Q511" s="200">
        <f t="shared" ref="Q511:AC511" si="2564">countif($D511,"*"&amp;Q$2&amp;"*")</f>
        <v>0</v>
      </c>
      <c r="R511" s="200">
        <f t="shared" si="2564"/>
        <v>1</v>
      </c>
      <c r="S511" s="200">
        <f t="shared" si="2564"/>
        <v>0</v>
      </c>
      <c r="T511" s="200">
        <f t="shared" si="2564"/>
        <v>0</v>
      </c>
      <c r="U511" s="200">
        <f t="shared" si="2564"/>
        <v>0</v>
      </c>
      <c r="V511" s="200">
        <f t="shared" si="2564"/>
        <v>0</v>
      </c>
      <c r="W511" s="200">
        <f t="shared" si="2564"/>
        <v>0</v>
      </c>
      <c r="X511" s="200">
        <f t="shared" si="2564"/>
        <v>0</v>
      </c>
      <c r="Y511" s="200">
        <f t="shared" si="2564"/>
        <v>0</v>
      </c>
      <c r="Z511" s="200">
        <f t="shared" si="2564"/>
        <v>0</v>
      </c>
      <c r="AA511" s="200">
        <f t="shared" si="2564"/>
        <v>0</v>
      </c>
      <c r="AB511" s="200">
        <f t="shared" si="2564"/>
        <v>0</v>
      </c>
      <c r="AC511" s="200">
        <f t="shared" si="2564"/>
        <v>0</v>
      </c>
      <c r="AD511" s="200">
        <f t="shared" si="11"/>
        <v>0</v>
      </c>
      <c r="AE511" s="200">
        <f t="shared" ref="AE511:AG511" si="2565">countif($D511,"*"&amp;AE$2&amp;"*")</f>
        <v>0</v>
      </c>
      <c r="AF511" s="200">
        <f t="shared" si="2565"/>
        <v>0</v>
      </c>
      <c r="AG511" s="200">
        <f t="shared" si="2565"/>
        <v>0</v>
      </c>
      <c r="AH511" s="171">
        <f t="shared" si="13"/>
        <v>0</v>
      </c>
      <c r="AI511" s="200">
        <f t="shared" si="14"/>
        <v>0</v>
      </c>
      <c r="AJ511" s="200">
        <f t="shared" si="2475"/>
        <v>0</v>
      </c>
      <c r="AK511" s="201">
        <f t="shared" ref="AK511:AS511" si="2566">countif($D511,"*"&amp;AK$2&amp;"*")</f>
        <v>0</v>
      </c>
      <c r="AL511" s="201">
        <f t="shared" si="2566"/>
        <v>0</v>
      </c>
      <c r="AM511" s="201">
        <f t="shared" si="2566"/>
        <v>0</v>
      </c>
      <c r="AN511" s="201">
        <f t="shared" si="2566"/>
        <v>0</v>
      </c>
      <c r="AO511" s="201">
        <f t="shared" si="2566"/>
        <v>0</v>
      </c>
      <c r="AP511" s="201">
        <f t="shared" si="2566"/>
        <v>0</v>
      </c>
      <c r="AQ511" s="201">
        <f t="shared" si="2566"/>
        <v>0</v>
      </c>
      <c r="AR511" s="200">
        <f t="shared" si="2566"/>
        <v>0</v>
      </c>
      <c r="AS511" s="200">
        <f t="shared" si="2566"/>
        <v>0</v>
      </c>
      <c r="AT511" s="173">
        <v>0.0</v>
      </c>
      <c r="AU511" s="200">
        <f t="shared" si="2409"/>
        <v>0</v>
      </c>
      <c r="AV511" s="200">
        <f t="shared" ref="AV511:AX511" si="2567">countif($D511,"*"&amp;AV$2&amp;"*")</f>
        <v>0</v>
      </c>
      <c r="AW511" s="200">
        <f t="shared" si="2567"/>
        <v>0</v>
      </c>
      <c r="AX511" s="200">
        <f t="shared" si="2567"/>
        <v>0</v>
      </c>
      <c r="AY511" s="202">
        <v>0.0</v>
      </c>
      <c r="AZ511" s="200"/>
      <c r="BA511" s="171" t="str">
        <f t="shared" si="18"/>
        <v/>
      </c>
      <c r="BB511" s="171" t="str">
        <f t="shared" si="19"/>
        <v>Code</v>
      </c>
      <c r="BC511" s="171" t="str">
        <f t="shared" si="20"/>
        <v/>
      </c>
      <c r="BD511" s="171" t="str">
        <f t="shared" si="21"/>
        <v/>
      </c>
      <c r="BE511" s="171" t="str">
        <f t="shared" si="22"/>
        <v/>
      </c>
      <c r="BF511" s="171" t="str">
        <f t="shared" si="23"/>
        <v>Code</v>
      </c>
    </row>
    <row r="512">
      <c r="A512" s="171">
        <f t="array" ref="A512">XLOOKUP(C512,ICSE!A:A,ICSE!C:C,,2,1)</f>
        <v>2019</v>
      </c>
      <c r="B512" s="171" t="s">
        <v>5675</v>
      </c>
      <c r="C512" s="160">
        <v>934.0</v>
      </c>
      <c r="D512" s="161" t="s">
        <v>1280</v>
      </c>
      <c r="E512" s="197" t="str">
        <f t="array" ref="E512">XLOOKUP(C512,ICSE!A:A,ICSE!Z:Z,,0,1)</f>
        <v>Publicly available (1)</v>
      </c>
      <c r="F512" s="198" t="s">
        <v>20</v>
      </c>
      <c r="G512" s="163" t="str">
        <f t="array" ref="G512">IF(B512="ICSE",IF(COUNTIFS(B:B,B512,C:C,C512)=XLOOKUP(C512,ICSE!A:A,ICSE!AA:AA,"ERROR",0,1),"OK","ERROR"),IF(B512="FSE",IF(COUNTIFS(B:B,B512,C:C,C512)=XLOOKUP(C512,FSE!A:A,FSE!AA:AA,"ERROR",0,1),"OK","ERROR")))</f>
        <v>OK</v>
      </c>
      <c r="H512" s="199">
        <f t="shared" ref="H512:O512" si="2568">countif($D512,"*"&amp;H$2&amp;"*")</f>
        <v>0</v>
      </c>
      <c r="I512" s="200">
        <f t="shared" si="2568"/>
        <v>0</v>
      </c>
      <c r="J512" s="200">
        <f t="shared" si="2568"/>
        <v>0</v>
      </c>
      <c r="K512" s="200">
        <f t="shared" si="2568"/>
        <v>0</v>
      </c>
      <c r="L512" s="200">
        <f t="shared" si="2568"/>
        <v>0</v>
      </c>
      <c r="M512" s="200">
        <f t="shared" si="2568"/>
        <v>0</v>
      </c>
      <c r="N512" s="200">
        <f t="shared" si="2568"/>
        <v>0</v>
      </c>
      <c r="O512" s="200">
        <f t="shared" si="2568"/>
        <v>0</v>
      </c>
      <c r="P512" s="200">
        <f t="shared" si="9"/>
        <v>1</v>
      </c>
      <c r="Q512" s="200">
        <f t="shared" ref="Q512:AC512" si="2569">countif($D512,"*"&amp;Q$2&amp;"*")</f>
        <v>0</v>
      </c>
      <c r="R512" s="200">
        <f t="shared" si="2569"/>
        <v>0</v>
      </c>
      <c r="S512" s="200">
        <f t="shared" si="2569"/>
        <v>0</v>
      </c>
      <c r="T512" s="200">
        <f t="shared" si="2569"/>
        <v>0</v>
      </c>
      <c r="U512" s="200">
        <f t="shared" si="2569"/>
        <v>0</v>
      </c>
      <c r="V512" s="200">
        <f t="shared" si="2569"/>
        <v>0</v>
      </c>
      <c r="W512" s="200">
        <f t="shared" si="2569"/>
        <v>0</v>
      </c>
      <c r="X512" s="200">
        <f t="shared" si="2569"/>
        <v>0</v>
      </c>
      <c r="Y512" s="200">
        <f t="shared" si="2569"/>
        <v>0</v>
      </c>
      <c r="Z512" s="200">
        <f t="shared" si="2569"/>
        <v>0</v>
      </c>
      <c r="AA512" s="200">
        <f t="shared" si="2569"/>
        <v>0</v>
      </c>
      <c r="AB512" s="200">
        <f t="shared" si="2569"/>
        <v>0</v>
      </c>
      <c r="AC512" s="200">
        <f t="shared" si="2569"/>
        <v>0</v>
      </c>
      <c r="AD512" s="200">
        <f t="shared" si="11"/>
        <v>0</v>
      </c>
      <c r="AE512" s="200">
        <f t="shared" ref="AE512:AG512" si="2570">countif($D512,"*"&amp;AE$2&amp;"*")</f>
        <v>0</v>
      </c>
      <c r="AF512" s="200">
        <f t="shared" si="2570"/>
        <v>0</v>
      </c>
      <c r="AG512" s="200">
        <f t="shared" si="2570"/>
        <v>0</v>
      </c>
      <c r="AH512" s="171">
        <f t="shared" si="13"/>
        <v>0</v>
      </c>
      <c r="AI512" s="200">
        <f t="shared" si="14"/>
        <v>0</v>
      </c>
      <c r="AJ512" s="200">
        <f t="shared" si="2475"/>
        <v>0</v>
      </c>
      <c r="AK512" s="201">
        <f t="shared" ref="AK512:AS512" si="2571">countif($D512,"*"&amp;AK$2&amp;"*")</f>
        <v>0</v>
      </c>
      <c r="AL512" s="201">
        <f t="shared" si="2571"/>
        <v>0</v>
      </c>
      <c r="AM512" s="201">
        <f t="shared" si="2571"/>
        <v>0</v>
      </c>
      <c r="AN512" s="201">
        <f t="shared" si="2571"/>
        <v>0</v>
      </c>
      <c r="AO512" s="201">
        <f t="shared" si="2571"/>
        <v>0</v>
      </c>
      <c r="AP512" s="201">
        <f t="shared" si="2571"/>
        <v>0</v>
      </c>
      <c r="AQ512" s="201">
        <f t="shared" si="2571"/>
        <v>0</v>
      </c>
      <c r="AR512" s="200">
        <f t="shared" si="2571"/>
        <v>0</v>
      </c>
      <c r="AS512" s="200">
        <f t="shared" si="2571"/>
        <v>0</v>
      </c>
      <c r="AT512" s="173">
        <v>0.0</v>
      </c>
      <c r="AU512" s="200">
        <f t="shared" si="2409"/>
        <v>0</v>
      </c>
      <c r="AV512" s="200">
        <f t="shared" ref="AV512:AX512" si="2572">countif($D512,"*"&amp;AV$2&amp;"*")</f>
        <v>1</v>
      </c>
      <c r="AW512" s="200">
        <f t="shared" si="2572"/>
        <v>0</v>
      </c>
      <c r="AX512" s="200">
        <f t="shared" si="2572"/>
        <v>0</v>
      </c>
      <c r="AY512" s="202">
        <v>0.0</v>
      </c>
      <c r="AZ512" s="200"/>
      <c r="BA512" s="171" t="str">
        <f t="shared" si="18"/>
        <v/>
      </c>
      <c r="BB512" s="171" t="str">
        <f t="shared" si="19"/>
        <v>Code</v>
      </c>
      <c r="BC512" s="171" t="str">
        <f t="shared" si="20"/>
        <v/>
      </c>
      <c r="BD512" s="171" t="str">
        <f t="shared" si="21"/>
        <v/>
      </c>
      <c r="BE512" s="171" t="str">
        <f t="shared" si="22"/>
        <v/>
      </c>
      <c r="BF512" s="171" t="str">
        <f t="shared" si="23"/>
        <v>Code</v>
      </c>
    </row>
    <row r="513">
      <c r="A513" s="171">
        <f t="array" ref="A513">XLOOKUP(C513,ICSE!A:A,ICSE!C:C,,2,1)</f>
        <v>2019</v>
      </c>
      <c r="B513" s="171" t="s">
        <v>5675</v>
      </c>
      <c r="C513" s="160">
        <v>936.0</v>
      </c>
      <c r="D513" s="161" t="s">
        <v>1283</v>
      </c>
      <c r="E513" s="197" t="str">
        <f t="array" ref="E513">XLOOKUP(C513,ICSE!A:A,ICSE!Z:Z,,0,1)</f>
        <v>Publicly available (1)</v>
      </c>
      <c r="F513" s="198" t="s">
        <v>20</v>
      </c>
      <c r="G513" s="163" t="str">
        <f t="array" ref="G513">IF(B513="ICSE",IF(COUNTIFS(B:B,B513,C:C,C513)=XLOOKUP(C513,ICSE!A:A,ICSE!AA:AA,"ERROR",0,1),"OK","ERROR"),IF(B513="FSE",IF(COUNTIFS(B:B,B513,C:C,C513)=XLOOKUP(C513,FSE!A:A,FSE!AA:AA,"ERROR",0,1),"OK","ERROR")))</f>
        <v>OK</v>
      </c>
      <c r="H513" s="199">
        <f t="shared" ref="H513:O513" si="2573">countif($D513,"*"&amp;H$2&amp;"*")</f>
        <v>0</v>
      </c>
      <c r="I513" s="200">
        <f t="shared" si="2573"/>
        <v>0</v>
      </c>
      <c r="J513" s="200">
        <f t="shared" si="2573"/>
        <v>0</v>
      </c>
      <c r="K513" s="200">
        <f t="shared" si="2573"/>
        <v>0</v>
      </c>
      <c r="L513" s="200">
        <f t="shared" si="2573"/>
        <v>0</v>
      </c>
      <c r="M513" s="200">
        <f t="shared" si="2573"/>
        <v>0</v>
      </c>
      <c r="N513" s="200">
        <f t="shared" si="2573"/>
        <v>0</v>
      </c>
      <c r="O513" s="200">
        <f t="shared" si="2573"/>
        <v>0</v>
      </c>
      <c r="P513" s="200">
        <f t="shared" si="9"/>
        <v>1</v>
      </c>
      <c r="Q513" s="200">
        <f t="shared" ref="Q513:AC513" si="2574">countif($D513,"*"&amp;Q$2&amp;"*")</f>
        <v>0</v>
      </c>
      <c r="R513" s="200">
        <f t="shared" si="2574"/>
        <v>0</v>
      </c>
      <c r="S513" s="200">
        <f t="shared" si="2574"/>
        <v>0</v>
      </c>
      <c r="T513" s="200">
        <f t="shared" si="2574"/>
        <v>0</v>
      </c>
      <c r="U513" s="200">
        <f t="shared" si="2574"/>
        <v>0</v>
      </c>
      <c r="V513" s="200">
        <f t="shared" si="2574"/>
        <v>0</v>
      </c>
      <c r="W513" s="200">
        <f t="shared" si="2574"/>
        <v>0</v>
      </c>
      <c r="X513" s="200">
        <f t="shared" si="2574"/>
        <v>0</v>
      </c>
      <c r="Y513" s="200">
        <f t="shared" si="2574"/>
        <v>0</v>
      </c>
      <c r="Z513" s="200">
        <f t="shared" si="2574"/>
        <v>0</v>
      </c>
      <c r="AA513" s="200">
        <f t="shared" si="2574"/>
        <v>0</v>
      </c>
      <c r="AB513" s="200">
        <f t="shared" si="2574"/>
        <v>0</v>
      </c>
      <c r="AC513" s="200">
        <f t="shared" si="2574"/>
        <v>0</v>
      </c>
      <c r="AD513" s="200">
        <f t="shared" si="11"/>
        <v>0</v>
      </c>
      <c r="AE513" s="200">
        <f t="shared" ref="AE513:AG513" si="2575">countif($D513,"*"&amp;AE$2&amp;"*")</f>
        <v>0</v>
      </c>
      <c r="AF513" s="200">
        <f t="shared" si="2575"/>
        <v>0</v>
      </c>
      <c r="AG513" s="200">
        <f t="shared" si="2575"/>
        <v>0</v>
      </c>
      <c r="AH513" s="171">
        <f t="shared" si="13"/>
        <v>0</v>
      </c>
      <c r="AI513" s="200">
        <f t="shared" si="14"/>
        <v>0</v>
      </c>
      <c r="AJ513" s="200">
        <f t="shared" si="2475"/>
        <v>0</v>
      </c>
      <c r="AK513" s="201">
        <f t="shared" ref="AK513:AS513" si="2576">countif($D513,"*"&amp;AK$2&amp;"*")</f>
        <v>0</v>
      </c>
      <c r="AL513" s="201">
        <f t="shared" si="2576"/>
        <v>0</v>
      </c>
      <c r="AM513" s="201">
        <f t="shared" si="2576"/>
        <v>0</v>
      </c>
      <c r="AN513" s="201">
        <f t="shared" si="2576"/>
        <v>0</v>
      </c>
      <c r="AO513" s="201">
        <f t="shared" si="2576"/>
        <v>0</v>
      </c>
      <c r="AP513" s="201">
        <f t="shared" si="2576"/>
        <v>0</v>
      </c>
      <c r="AQ513" s="201">
        <f t="shared" si="2576"/>
        <v>0</v>
      </c>
      <c r="AR513" s="200">
        <f t="shared" si="2576"/>
        <v>0</v>
      </c>
      <c r="AS513" s="200">
        <f t="shared" si="2576"/>
        <v>0</v>
      </c>
      <c r="AT513" s="173">
        <v>0.0</v>
      </c>
      <c r="AU513" s="200">
        <f t="shared" si="2409"/>
        <v>0</v>
      </c>
      <c r="AV513" s="200">
        <f t="shared" ref="AV513:AX513" si="2577">countif($D513,"*"&amp;AV$2&amp;"*")</f>
        <v>1</v>
      </c>
      <c r="AW513" s="200">
        <f t="shared" si="2577"/>
        <v>0</v>
      </c>
      <c r="AX513" s="200">
        <f t="shared" si="2577"/>
        <v>0</v>
      </c>
      <c r="AY513" s="202">
        <v>0.0</v>
      </c>
      <c r="AZ513" s="200"/>
      <c r="BA513" s="171" t="str">
        <f t="shared" si="18"/>
        <v/>
      </c>
      <c r="BB513" s="171" t="str">
        <f t="shared" si="19"/>
        <v>Code</v>
      </c>
      <c r="BC513" s="171" t="str">
        <f t="shared" si="20"/>
        <v/>
      </c>
      <c r="BD513" s="171" t="str">
        <f t="shared" si="21"/>
        <v/>
      </c>
      <c r="BE513" s="171" t="str">
        <f t="shared" si="22"/>
        <v/>
      </c>
      <c r="BF513" s="171" t="str">
        <f t="shared" si="23"/>
        <v>Code</v>
      </c>
    </row>
    <row r="514">
      <c r="A514" s="171">
        <f t="array" ref="A514">XLOOKUP(C514,ICSE!A:A,ICSE!C:C,,2,1)</f>
        <v>2019</v>
      </c>
      <c r="B514" s="171" t="s">
        <v>5675</v>
      </c>
      <c r="C514" s="160">
        <v>937.0</v>
      </c>
      <c r="D514" s="161" t="s">
        <v>1286</v>
      </c>
      <c r="E514" s="197" t="str">
        <f t="array" ref="E514">XLOOKUP(C514,ICSE!A:A,ICSE!Z:Z,,0,1)</f>
        <v>Publicly available (1)</v>
      </c>
      <c r="F514" s="198" t="s">
        <v>20</v>
      </c>
      <c r="G514" s="163" t="str">
        <f t="array" ref="G514">IF(B514="ICSE",IF(COUNTIFS(B:B,B514,C:C,C514)=XLOOKUP(C514,ICSE!A:A,ICSE!AA:AA,"ERROR",0,1),"OK","ERROR"),IF(B514="FSE",IF(COUNTIFS(B:B,B514,C:C,C514)=XLOOKUP(C514,FSE!A:A,FSE!AA:AA,"ERROR",0,1),"OK","ERROR")))</f>
        <v>OK</v>
      </c>
      <c r="H514" s="199">
        <f t="shared" ref="H514:O514" si="2578">countif($D514,"*"&amp;H$2&amp;"*")</f>
        <v>0</v>
      </c>
      <c r="I514" s="200">
        <f t="shared" si="2578"/>
        <v>0</v>
      </c>
      <c r="J514" s="200">
        <f t="shared" si="2578"/>
        <v>0</v>
      </c>
      <c r="K514" s="200">
        <f t="shared" si="2578"/>
        <v>0</v>
      </c>
      <c r="L514" s="200">
        <f t="shared" si="2578"/>
        <v>0</v>
      </c>
      <c r="M514" s="200">
        <f t="shared" si="2578"/>
        <v>0</v>
      </c>
      <c r="N514" s="200">
        <f t="shared" si="2578"/>
        <v>0</v>
      </c>
      <c r="O514" s="200">
        <f t="shared" si="2578"/>
        <v>0</v>
      </c>
      <c r="P514" s="200">
        <f t="shared" si="9"/>
        <v>1</v>
      </c>
      <c r="Q514" s="200">
        <f t="shared" ref="Q514:AC514" si="2579">countif($D514,"*"&amp;Q$2&amp;"*")</f>
        <v>0</v>
      </c>
      <c r="R514" s="200">
        <f t="shared" si="2579"/>
        <v>0</v>
      </c>
      <c r="S514" s="200">
        <f t="shared" si="2579"/>
        <v>0</v>
      </c>
      <c r="T514" s="200">
        <f t="shared" si="2579"/>
        <v>0</v>
      </c>
      <c r="U514" s="200">
        <f t="shared" si="2579"/>
        <v>0</v>
      </c>
      <c r="V514" s="200">
        <f t="shared" si="2579"/>
        <v>0</v>
      </c>
      <c r="W514" s="200">
        <f t="shared" si="2579"/>
        <v>0</v>
      </c>
      <c r="X514" s="200">
        <f t="shared" si="2579"/>
        <v>0</v>
      </c>
      <c r="Y514" s="200">
        <f t="shared" si="2579"/>
        <v>0</v>
      </c>
      <c r="Z514" s="200">
        <f t="shared" si="2579"/>
        <v>0</v>
      </c>
      <c r="AA514" s="200">
        <f t="shared" si="2579"/>
        <v>0</v>
      </c>
      <c r="AB514" s="200">
        <f t="shared" si="2579"/>
        <v>0</v>
      </c>
      <c r="AC514" s="200">
        <f t="shared" si="2579"/>
        <v>0</v>
      </c>
      <c r="AD514" s="200">
        <f t="shared" si="11"/>
        <v>0</v>
      </c>
      <c r="AE514" s="200">
        <f t="shared" ref="AE514:AG514" si="2580">countif($D514,"*"&amp;AE$2&amp;"*")</f>
        <v>0</v>
      </c>
      <c r="AF514" s="200">
        <f t="shared" si="2580"/>
        <v>0</v>
      </c>
      <c r="AG514" s="200">
        <f t="shared" si="2580"/>
        <v>0</v>
      </c>
      <c r="AH514" s="171">
        <f t="shared" si="13"/>
        <v>0</v>
      </c>
      <c r="AI514" s="200">
        <f t="shared" si="14"/>
        <v>0</v>
      </c>
      <c r="AJ514" s="200">
        <f t="shared" si="2475"/>
        <v>0</v>
      </c>
      <c r="AK514" s="201">
        <f t="shared" ref="AK514:AS514" si="2581">countif($D514,"*"&amp;AK$2&amp;"*")</f>
        <v>0</v>
      </c>
      <c r="AL514" s="201">
        <f t="shared" si="2581"/>
        <v>0</v>
      </c>
      <c r="AM514" s="201">
        <f t="shared" si="2581"/>
        <v>0</v>
      </c>
      <c r="AN514" s="201">
        <f t="shared" si="2581"/>
        <v>0</v>
      </c>
      <c r="AO514" s="201">
        <f t="shared" si="2581"/>
        <v>0</v>
      </c>
      <c r="AP514" s="201">
        <f t="shared" si="2581"/>
        <v>0</v>
      </c>
      <c r="AQ514" s="201">
        <f t="shared" si="2581"/>
        <v>0</v>
      </c>
      <c r="AR514" s="200">
        <f t="shared" si="2581"/>
        <v>0</v>
      </c>
      <c r="AS514" s="200">
        <f t="shared" si="2581"/>
        <v>0</v>
      </c>
      <c r="AT514" s="173">
        <v>0.0</v>
      </c>
      <c r="AU514" s="200">
        <f t="shared" si="2409"/>
        <v>0</v>
      </c>
      <c r="AV514" s="200">
        <f t="shared" ref="AV514:AX514" si="2582">countif($D514,"*"&amp;AV$2&amp;"*")</f>
        <v>1</v>
      </c>
      <c r="AW514" s="200">
        <f t="shared" si="2582"/>
        <v>0</v>
      </c>
      <c r="AX514" s="200">
        <f t="shared" si="2582"/>
        <v>0</v>
      </c>
      <c r="AY514" s="202">
        <v>0.0</v>
      </c>
      <c r="AZ514" s="200"/>
      <c r="BA514" s="171" t="str">
        <f t="shared" si="18"/>
        <v/>
      </c>
      <c r="BB514" s="171" t="str">
        <f t="shared" si="19"/>
        <v>Code</v>
      </c>
      <c r="BC514" s="171" t="str">
        <f t="shared" si="20"/>
        <v/>
      </c>
      <c r="BD514" s="171" t="str">
        <f t="shared" si="21"/>
        <v/>
      </c>
      <c r="BE514" s="171" t="str">
        <f t="shared" si="22"/>
        <v/>
      </c>
      <c r="BF514" s="171" t="str">
        <f t="shared" si="23"/>
        <v>Code</v>
      </c>
    </row>
    <row r="515">
      <c r="A515" s="171">
        <f t="array" ref="A515">XLOOKUP(C515,ICSE!A:A,ICSE!C:C,,2,1)</f>
        <v>2019</v>
      </c>
      <c r="B515" s="171" t="s">
        <v>5675</v>
      </c>
      <c r="C515" s="160">
        <v>938.0</v>
      </c>
      <c r="D515" s="161" t="s">
        <v>5912</v>
      </c>
      <c r="E515" s="197" t="str">
        <f t="array" ref="E515">XLOOKUP(C515,ICSE!A:A,ICSE!Z:Z,,0,1)</f>
        <v>Publicly available (2)</v>
      </c>
      <c r="F515" s="198" t="s">
        <v>20</v>
      </c>
      <c r="G515" s="163" t="str">
        <f t="array" ref="G515">IF(B515="ICSE",IF(COUNTIFS(B:B,B515,C:C,C515)=XLOOKUP(C515,ICSE!A:A,ICSE!AA:AA,"ERROR",0,1),"OK","ERROR"),IF(B515="FSE",IF(COUNTIFS(B:B,B515,C:C,C515)=XLOOKUP(C515,FSE!A:A,FSE!AA:AA,"ERROR",0,1),"OK","ERROR")))</f>
        <v>OK</v>
      </c>
      <c r="H515" s="199">
        <f t="shared" ref="H515:O515" si="2583">countif($D515,"*"&amp;H$2&amp;"*")</f>
        <v>0</v>
      </c>
      <c r="I515" s="200">
        <f t="shared" si="2583"/>
        <v>0</v>
      </c>
      <c r="J515" s="200">
        <f t="shared" si="2583"/>
        <v>0</v>
      </c>
      <c r="K515" s="200">
        <f t="shared" si="2583"/>
        <v>0</v>
      </c>
      <c r="L515" s="200">
        <f t="shared" si="2583"/>
        <v>0</v>
      </c>
      <c r="M515" s="200">
        <f t="shared" si="2583"/>
        <v>0</v>
      </c>
      <c r="N515" s="200">
        <f t="shared" si="2583"/>
        <v>0</v>
      </c>
      <c r="O515" s="200">
        <f t="shared" si="2583"/>
        <v>0</v>
      </c>
      <c r="P515" s="200">
        <f t="shared" si="9"/>
        <v>0</v>
      </c>
      <c r="Q515" s="200">
        <f t="shared" ref="Q515:AC515" si="2584">countif($D515,"*"&amp;Q$2&amp;"*")</f>
        <v>0</v>
      </c>
      <c r="R515" s="200">
        <f t="shared" si="2584"/>
        <v>1</v>
      </c>
      <c r="S515" s="200">
        <f t="shared" si="2584"/>
        <v>0</v>
      </c>
      <c r="T515" s="200">
        <f t="shared" si="2584"/>
        <v>0</v>
      </c>
      <c r="U515" s="200">
        <f t="shared" si="2584"/>
        <v>0</v>
      </c>
      <c r="V515" s="200">
        <f t="shared" si="2584"/>
        <v>0</v>
      </c>
      <c r="W515" s="200">
        <f t="shared" si="2584"/>
        <v>0</v>
      </c>
      <c r="X515" s="200">
        <f t="shared" si="2584"/>
        <v>0</v>
      </c>
      <c r="Y515" s="200">
        <f t="shared" si="2584"/>
        <v>0</v>
      </c>
      <c r="Z515" s="200">
        <f t="shared" si="2584"/>
        <v>0</v>
      </c>
      <c r="AA515" s="200">
        <f t="shared" si="2584"/>
        <v>0</v>
      </c>
      <c r="AB515" s="200">
        <f t="shared" si="2584"/>
        <v>0</v>
      </c>
      <c r="AC515" s="200">
        <f t="shared" si="2584"/>
        <v>0</v>
      </c>
      <c r="AD515" s="200">
        <f t="shared" si="11"/>
        <v>0</v>
      </c>
      <c r="AE515" s="200">
        <f t="shared" ref="AE515:AG515" si="2585">countif($D515,"*"&amp;AE$2&amp;"*")</f>
        <v>0</v>
      </c>
      <c r="AF515" s="200">
        <f t="shared" si="2585"/>
        <v>0</v>
      </c>
      <c r="AG515" s="200">
        <f t="shared" si="2585"/>
        <v>0</v>
      </c>
      <c r="AH515" s="171">
        <f t="shared" si="13"/>
        <v>0</v>
      </c>
      <c r="AI515" s="200">
        <f t="shared" si="14"/>
        <v>0</v>
      </c>
      <c r="AJ515" s="200">
        <f t="shared" si="2475"/>
        <v>1</v>
      </c>
      <c r="AK515" s="201">
        <f t="shared" ref="AK515:AS515" si="2586">countif($D515,"*"&amp;AK$2&amp;"*")</f>
        <v>0</v>
      </c>
      <c r="AL515" s="201">
        <f t="shared" si="2586"/>
        <v>1</v>
      </c>
      <c r="AM515" s="201">
        <f t="shared" si="2586"/>
        <v>0</v>
      </c>
      <c r="AN515" s="201">
        <f t="shared" si="2586"/>
        <v>0</v>
      </c>
      <c r="AO515" s="201">
        <f t="shared" si="2586"/>
        <v>0</v>
      </c>
      <c r="AP515" s="201">
        <f t="shared" si="2586"/>
        <v>0</v>
      </c>
      <c r="AQ515" s="201">
        <f t="shared" si="2586"/>
        <v>0</v>
      </c>
      <c r="AR515" s="200">
        <f t="shared" si="2586"/>
        <v>0</v>
      </c>
      <c r="AS515" s="200">
        <f t="shared" si="2586"/>
        <v>1</v>
      </c>
      <c r="AT515" s="173">
        <v>0.0</v>
      </c>
      <c r="AU515" s="200">
        <f t="shared" si="2409"/>
        <v>0</v>
      </c>
      <c r="AV515" s="200">
        <f t="shared" ref="AV515:AX515" si="2587">countif($D515,"*"&amp;AV$2&amp;"*")</f>
        <v>0</v>
      </c>
      <c r="AW515" s="200">
        <f t="shared" si="2587"/>
        <v>0</v>
      </c>
      <c r="AX515" s="200">
        <f t="shared" si="2587"/>
        <v>0</v>
      </c>
      <c r="AY515" s="202">
        <v>0.0</v>
      </c>
      <c r="AZ515" s="200"/>
      <c r="BA515" s="171" t="str">
        <f t="shared" si="18"/>
        <v/>
      </c>
      <c r="BB515" s="171" t="str">
        <f t="shared" si="19"/>
        <v>Code</v>
      </c>
      <c r="BC515" s="171" t="str">
        <f t="shared" si="20"/>
        <v/>
      </c>
      <c r="BD515" s="171" t="str">
        <f t="shared" si="21"/>
        <v/>
      </c>
      <c r="BE515" s="171" t="str">
        <f t="shared" si="22"/>
        <v/>
      </c>
      <c r="BF515" s="171" t="str">
        <f t="shared" si="23"/>
        <v>Code</v>
      </c>
    </row>
    <row r="516">
      <c r="A516" s="171">
        <f t="array" ref="A516">XLOOKUP(C516,ICSE!A:A,ICSE!C:C,,2,1)</f>
        <v>2019</v>
      </c>
      <c r="B516" s="171" t="s">
        <v>5675</v>
      </c>
      <c r="C516" s="160">
        <v>938.0</v>
      </c>
      <c r="D516" s="161" t="s">
        <v>5913</v>
      </c>
      <c r="E516" s="197" t="str">
        <f t="array" ref="E516">XLOOKUP(C516,ICSE!A:A,ICSE!Z:Z,,0,1)</f>
        <v>Publicly available (2)</v>
      </c>
      <c r="F516" s="198" t="s">
        <v>20</v>
      </c>
      <c r="G516" s="163" t="str">
        <f t="array" ref="G516">IF(B516="ICSE",IF(COUNTIFS(B:B,B516,C:C,C516)=XLOOKUP(C516,ICSE!A:A,ICSE!AA:AA,"ERROR",0,1),"OK","ERROR"),IF(B516="FSE",IF(COUNTIFS(B:B,B516,C:C,C516)=XLOOKUP(C516,FSE!A:A,FSE!AA:AA,"ERROR",0,1),"OK","ERROR")))</f>
        <v>OK</v>
      </c>
      <c r="H516" s="199">
        <f t="shared" ref="H516:O516" si="2588">countif($D516,"*"&amp;H$2&amp;"*")</f>
        <v>0</v>
      </c>
      <c r="I516" s="200">
        <f t="shared" si="2588"/>
        <v>0</v>
      </c>
      <c r="J516" s="200">
        <f t="shared" si="2588"/>
        <v>0</v>
      </c>
      <c r="K516" s="200">
        <f t="shared" si="2588"/>
        <v>0</v>
      </c>
      <c r="L516" s="200">
        <f t="shared" si="2588"/>
        <v>0</v>
      </c>
      <c r="M516" s="200">
        <f t="shared" si="2588"/>
        <v>0</v>
      </c>
      <c r="N516" s="200">
        <f t="shared" si="2588"/>
        <v>0</v>
      </c>
      <c r="O516" s="200">
        <f t="shared" si="2588"/>
        <v>0</v>
      </c>
      <c r="P516" s="200">
        <f t="shared" si="9"/>
        <v>0</v>
      </c>
      <c r="Q516" s="200">
        <f t="shared" ref="Q516:AC516" si="2589">countif($D516,"*"&amp;Q$2&amp;"*")</f>
        <v>0</v>
      </c>
      <c r="R516" s="200">
        <f t="shared" si="2589"/>
        <v>1</v>
      </c>
      <c r="S516" s="200">
        <f t="shared" si="2589"/>
        <v>0</v>
      </c>
      <c r="T516" s="200">
        <f t="shared" si="2589"/>
        <v>0</v>
      </c>
      <c r="U516" s="200">
        <f t="shared" si="2589"/>
        <v>0</v>
      </c>
      <c r="V516" s="200">
        <f t="shared" si="2589"/>
        <v>0</v>
      </c>
      <c r="W516" s="200">
        <f t="shared" si="2589"/>
        <v>0</v>
      </c>
      <c r="X516" s="200">
        <f t="shared" si="2589"/>
        <v>0</v>
      </c>
      <c r="Y516" s="200">
        <f t="shared" si="2589"/>
        <v>0</v>
      </c>
      <c r="Z516" s="200">
        <f t="shared" si="2589"/>
        <v>0</v>
      </c>
      <c r="AA516" s="200">
        <f t="shared" si="2589"/>
        <v>0</v>
      </c>
      <c r="AB516" s="200">
        <f t="shared" si="2589"/>
        <v>0</v>
      </c>
      <c r="AC516" s="200">
        <f t="shared" si="2589"/>
        <v>0</v>
      </c>
      <c r="AD516" s="200">
        <f t="shared" si="11"/>
        <v>0</v>
      </c>
      <c r="AE516" s="200">
        <f t="shared" ref="AE516:AG516" si="2590">countif($D516,"*"&amp;AE$2&amp;"*")</f>
        <v>0</v>
      </c>
      <c r="AF516" s="200">
        <f t="shared" si="2590"/>
        <v>0</v>
      </c>
      <c r="AG516" s="200">
        <f t="shared" si="2590"/>
        <v>0</v>
      </c>
      <c r="AH516" s="171">
        <f t="shared" si="13"/>
        <v>0</v>
      </c>
      <c r="AI516" s="200">
        <f t="shared" si="14"/>
        <v>0</v>
      </c>
      <c r="AJ516" s="200">
        <f t="shared" si="2475"/>
        <v>1</v>
      </c>
      <c r="AK516" s="201">
        <f t="shared" ref="AK516:AS516" si="2591">countif($D516,"*"&amp;AK$2&amp;"*")</f>
        <v>0</v>
      </c>
      <c r="AL516" s="201">
        <f t="shared" si="2591"/>
        <v>1</v>
      </c>
      <c r="AM516" s="201">
        <f t="shared" si="2591"/>
        <v>0</v>
      </c>
      <c r="AN516" s="201">
        <f t="shared" si="2591"/>
        <v>0</v>
      </c>
      <c r="AO516" s="201">
        <f t="shared" si="2591"/>
        <v>0</v>
      </c>
      <c r="AP516" s="201">
        <f t="shared" si="2591"/>
        <v>0</v>
      </c>
      <c r="AQ516" s="201">
        <f t="shared" si="2591"/>
        <v>0</v>
      </c>
      <c r="AR516" s="200">
        <f t="shared" si="2591"/>
        <v>0</v>
      </c>
      <c r="AS516" s="200">
        <f t="shared" si="2591"/>
        <v>1</v>
      </c>
      <c r="AT516" s="173">
        <v>0.0</v>
      </c>
      <c r="AU516" s="200">
        <f t="shared" si="2409"/>
        <v>0</v>
      </c>
      <c r="AV516" s="200">
        <f t="shared" ref="AV516:AX516" si="2592">countif($D516,"*"&amp;AV$2&amp;"*")</f>
        <v>0</v>
      </c>
      <c r="AW516" s="200">
        <f t="shared" si="2592"/>
        <v>0</v>
      </c>
      <c r="AX516" s="200">
        <f t="shared" si="2592"/>
        <v>0</v>
      </c>
      <c r="AY516" s="202">
        <v>0.0</v>
      </c>
      <c r="AZ516" s="200"/>
      <c r="BA516" s="171" t="str">
        <f t="shared" si="18"/>
        <v/>
      </c>
      <c r="BB516" s="171" t="str">
        <f t="shared" si="19"/>
        <v>Code</v>
      </c>
      <c r="BC516" s="171" t="str">
        <f t="shared" si="20"/>
        <v/>
      </c>
      <c r="BD516" s="171" t="str">
        <f t="shared" si="21"/>
        <v/>
      </c>
      <c r="BE516" s="171" t="str">
        <f t="shared" si="22"/>
        <v/>
      </c>
      <c r="BF516" s="171" t="str">
        <f t="shared" si="23"/>
        <v>Code</v>
      </c>
    </row>
    <row r="517">
      <c r="A517" s="171">
        <f t="array" ref="A517">XLOOKUP(C517,ICSE!A:A,ICSE!C:C,,2,1)</f>
        <v>2019</v>
      </c>
      <c r="B517" s="171" t="s">
        <v>5675</v>
      </c>
      <c r="C517" s="160">
        <v>940.0</v>
      </c>
      <c r="D517" s="161" t="s">
        <v>1294</v>
      </c>
      <c r="E517" s="197" t="str">
        <f t="array" ref="E517">XLOOKUP(C517,ICSE!A:A,ICSE!Z:Z,,0,1)</f>
        <v>Publicly available (1)</v>
      </c>
      <c r="F517" s="198" t="s">
        <v>20</v>
      </c>
      <c r="G517" s="163" t="str">
        <f t="array" ref="G517">IF(B517="ICSE",IF(COUNTIFS(B:B,B517,C:C,C517)=XLOOKUP(C517,ICSE!A:A,ICSE!AA:AA,"ERROR",0,1),"OK","ERROR"),IF(B517="FSE",IF(COUNTIFS(B:B,B517,C:C,C517)=XLOOKUP(C517,FSE!A:A,FSE!AA:AA,"ERROR",0,1),"OK","ERROR")))</f>
        <v>OK</v>
      </c>
      <c r="H517" s="199">
        <f t="shared" ref="H517:O517" si="2593">countif($D517,"*"&amp;H$2&amp;"*")</f>
        <v>0</v>
      </c>
      <c r="I517" s="200">
        <f t="shared" si="2593"/>
        <v>0</v>
      </c>
      <c r="J517" s="200">
        <f t="shared" si="2593"/>
        <v>0</v>
      </c>
      <c r="K517" s="200">
        <f t="shared" si="2593"/>
        <v>0</v>
      </c>
      <c r="L517" s="200">
        <f t="shared" si="2593"/>
        <v>0</v>
      </c>
      <c r="M517" s="200">
        <f t="shared" si="2593"/>
        <v>0</v>
      </c>
      <c r="N517" s="200">
        <f t="shared" si="2593"/>
        <v>0</v>
      </c>
      <c r="O517" s="200">
        <f t="shared" si="2593"/>
        <v>0</v>
      </c>
      <c r="P517" s="200">
        <f t="shared" si="9"/>
        <v>0</v>
      </c>
      <c r="Q517" s="200">
        <f t="shared" ref="Q517:AC517" si="2594">countif($D517,"*"&amp;Q$2&amp;"*")</f>
        <v>0</v>
      </c>
      <c r="R517" s="200">
        <f t="shared" si="2594"/>
        <v>0</v>
      </c>
      <c r="S517" s="200">
        <f t="shared" si="2594"/>
        <v>0</v>
      </c>
      <c r="T517" s="200">
        <f t="shared" si="2594"/>
        <v>0</v>
      </c>
      <c r="U517" s="200">
        <f t="shared" si="2594"/>
        <v>0</v>
      </c>
      <c r="V517" s="200">
        <f t="shared" si="2594"/>
        <v>0</v>
      </c>
      <c r="W517" s="200">
        <f t="shared" si="2594"/>
        <v>0</v>
      </c>
      <c r="X517" s="200">
        <f t="shared" si="2594"/>
        <v>0</v>
      </c>
      <c r="Y517" s="200">
        <f t="shared" si="2594"/>
        <v>0</v>
      </c>
      <c r="Z517" s="200">
        <f t="shared" si="2594"/>
        <v>0</v>
      </c>
      <c r="AA517" s="200">
        <f t="shared" si="2594"/>
        <v>0</v>
      </c>
      <c r="AB517" s="200">
        <f t="shared" si="2594"/>
        <v>0</v>
      </c>
      <c r="AC517" s="200">
        <f t="shared" si="2594"/>
        <v>0</v>
      </c>
      <c r="AD517" s="200">
        <f t="shared" si="11"/>
        <v>1</v>
      </c>
      <c r="AE517" s="200">
        <f t="shared" ref="AE517:AG517" si="2595">countif($D517,"*"&amp;AE$2&amp;"*")</f>
        <v>0</v>
      </c>
      <c r="AF517" s="200">
        <f t="shared" si="2595"/>
        <v>0</v>
      </c>
      <c r="AG517" s="200">
        <f t="shared" si="2595"/>
        <v>0</v>
      </c>
      <c r="AH517" s="171">
        <f t="shared" si="13"/>
        <v>0</v>
      </c>
      <c r="AI517" s="200">
        <f t="shared" si="14"/>
        <v>0</v>
      </c>
      <c r="AJ517" s="200">
        <f t="shared" si="2475"/>
        <v>0</v>
      </c>
      <c r="AK517" s="201">
        <f t="shared" ref="AK517:AS517" si="2596">countif($D517,"*"&amp;AK$2&amp;"*")</f>
        <v>0</v>
      </c>
      <c r="AL517" s="201">
        <f t="shared" si="2596"/>
        <v>0</v>
      </c>
      <c r="AM517" s="201">
        <f t="shared" si="2596"/>
        <v>0</v>
      </c>
      <c r="AN517" s="201">
        <f t="shared" si="2596"/>
        <v>0</v>
      </c>
      <c r="AO517" s="201">
        <f t="shared" si="2596"/>
        <v>0</v>
      </c>
      <c r="AP517" s="201">
        <f t="shared" si="2596"/>
        <v>0</v>
      </c>
      <c r="AQ517" s="201">
        <f t="shared" si="2596"/>
        <v>0</v>
      </c>
      <c r="AR517" s="200">
        <f t="shared" si="2596"/>
        <v>0</v>
      </c>
      <c r="AS517" s="200">
        <f t="shared" si="2596"/>
        <v>0</v>
      </c>
      <c r="AT517" s="173">
        <v>1.0</v>
      </c>
      <c r="AU517" s="200">
        <f t="shared" si="2409"/>
        <v>0</v>
      </c>
      <c r="AV517" s="200">
        <f t="shared" ref="AV517:AX517" si="2597">countif($D517,"*"&amp;AV$2&amp;"*")</f>
        <v>0</v>
      </c>
      <c r="AW517" s="200">
        <f t="shared" si="2597"/>
        <v>0</v>
      </c>
      <c r="AX517" s="200">
        <f t="shared" si="2597"/>
        <v>0</v>
      </c>
      <c r="AY517" s="202">
        <v>0.0</v>
      </c>
      <c r="AZ517" s="200"/>
      <c r="BA517" s="171" t="str">
        <f t="shared" si="18"/>
        <v/>
      </c>
      <c r="BB517" s="171" t="str">
        <f t="shared" si="19"/>
        <v/>
      </c>
      <c r="BC517" s="171" t="str">
        <f t="shared" si="20"/>
        <v/>
      </c>
      <c r="BD517" s="171" t="str">
        <f t="shared" si="21"/>
        <v>Institutional</v>
      </c>
      <c r="BE517" s="171" t="str">
        <f t="shared" si="22"/>
        <v/>
      </c>
      <c r="BF517" s="171" t="str">
        <f t="shared" si="23"/>
        <v>Institutional</v>
      </c>
    </row>
    <row r="518">
      <c r="A518" s="171">
        <f t="array" ref="A518">XLOOKUP(C518,ICSE!A:A,ICSE!C:C,,2,1)</f>
        <v>2019</v>
      </c>
      <c r="B518" s="171" t="s">
        <v>5675</v>
      </c>
      <c r="C518" s="160">
        <v>941.0</v>
      </c>
      <c r="D518" s="161" t="s">
        <v>1297</v>
      </c>
      <c r="E518" s="197" t="str">
        <f t="array" ref="E518">XLOOKUP(C518,ICSE!A:A,ICSE!Z:Z,,0,1)</f>
        <v>Publicly available (1)</v>
      </c>
      <c r="F518" s="198" t="s">
        <v>20</v>
      </c>
      <c r="G518" s="163" t="str">
        <f t="array" ref="G518">IF(B518="ICSE",IF(COUNTIFS(B:B,B518,C:C,C518)=XLOOKUP(C518,ICSE!A:A,ICSE!AA:AA,"ERROR",0,1),"OK","ERROR"),IF(B518="FSE",IF(COUNTIFS(B:B,B518,C:C,C518)=XLOOKUP(C518,FSE!A:A,FSE!AA:AA,"ERROR",0,1),"OK","ERROR")))</f>
        <v>OK</v>
      </c>
      <c r="H518" s="199">
        <f t="shared" ref="H518:O518" si="2598">countif($D518,"*"&amp;H$2&amp;"*")</f>
        <v>1</v>
      </c>
      <c r="I518" s="200">
        <f t="shared" si="2598"/>
        <v>0</v>
      </c>
      <c r="J518" s="200">
        <f t="shared" si="2598"/>
        <v>0</v>
      </c>
      <c r="K518" s="200">
        <f t="shared" si="2598"/>
        <v>0</v>
      </c>
      <c r="L518" s="200">
        <f t="shared" si="2598"/>
        <v>0</v>
      </c>
      <c r="M518" s="200">
        <f t="shared" si="2598"/>
        <v>0</v>
      </c>
      <c r="N518" s="200">
        <f t="shared" si="2598"/>
        <v>0</v>
      </c>
      <c r="O518" s="200">
        <f t="shared" si="2598"/>
        <v>0</v>
      </c>
      <c r="P518" s="200">
        <f t="shared" si="9"/>
        <v>0</v>
      </c>
      <c r="Q518" s="200">
        <f t="shared" ref="Q518:AC518" si="2599">countif($D518,"*"&amp;Q$2&amp;"*")</f>
        <v>0</v>
      </c>
      <c r="R518" s="200">
        <f t="shared" si="2599"/>
        <v>0</v>
      </c>
      <c r="S518" s="200">
        <f t="shared" si="2599"/>
        <v>0</v>
      </c>
      <c r="T518" s="200">
        <f t="shared" si="2599"/>
        <v>0</v>
      </c>
      <c r="U518" s="200">
        <f t="shared" si="2599"/>
        <v>0</v>
      </c>
      <c r="V518" s="200">
        <f t="shared" si="2599"/>
        <v>0</v>
      </c>
      <c r="W518" s="200">
        <f t="shared" si="2599"/>
        <v>0</v>
      </c>
      <c r="X518" s="200">
        <f t="shared" si="2599"/>
        <v>0</v>
      </c>
      <c r="Y518" s="200">
        <f t="shared" si="2599"/>
        <v>0</v>
      </c>
      <c r="Z518" s="200">
        <f t="shared" si="2599"/>
        <v>0</v>
      </c>
      <c r="AA518" s="200">
        <f t="shared" si="2599"/>
        <v>0</v>
      </c>
      <c r="AB518" s="200">
        <f t="shared" si="2599"/>
        <v>0</v>
      </c>
      <c r="AC518" s="200">
        <f t="shared" si="2599"/>
        <v>0</v>
      </c>
      <c r="AD518" s="200">
        <f t="shared" si="11"/>
        <v>0</v>
      </c>
      <c r="AE518" s="200">
        <f t="shared" ref="AE518:AG518" si="2600">countif($D518,"*"&amp;AE$2&amp;"*")</f>
        <v>0</v>
      </c>
      <c r="AF518" s="200">
        <f t="shared" si="2600"/>
        <v>0</v>
      </c>
      <c r="AG518" s="200">
        <f t="shared" si="2600"/>
        <v>0</v>
      </c>
      <c r="AH518" s="171">
        <f t="shared" si="13"/>
        <v>0</v>
      </c>
      <c r="AI518" s="200">
        <f t="shared" si="14"/>
        <v>1</v>
      </c>
      <c r="AJ518" s="200">
        <f t="shared" si="2475"/>
        <v>0</v>
      </c>
      <c r="AK518" s="201">
        <f t="shared" ref="AK518:AS518" si="2601">countif($D518,"*"&amp;AK$2&amp;"*")</f>
        <v>0</v>
      </c>
      <c r="AL518" s="201">
        <f t="shared" si="2601"/>
        <v>0</v>
      </c>
      <c r="AM518" s="201">
        <f t="shared" si="2601"/>
        <v>0</v>
      </c>
      <c r="AN518" s="201">
        <f t="shared" si="2601"/>
        <v>0</v>
      </c>
      <c r="AO518" s="201">
        <f t="shared" si="2601"/>
        <v>0</v>
      </c>
      <c r="AP518" s="201">
        <f t="shared" si="2601"/>
        <v>0</v>
      </c>
      <c r="AQ518" s="201">
        <f t="shared" si="2601"/>
        <v>0</v>
      </c>
      <c r="AR518" s="200">
        <f t="shared" si="2601"/>
        <v>0</v>
      </c>
      <c r="AS518" s="200">
        <f t="shared" si="2601"/>
        <v>0</v>
      </c>
      <c r="AT518" s="173">
        <v>0.0</v>
      </c>
      <c r="AU518" s="200">
        <f t="shared" si="2409"/>
        <v>0</v>
      </c>
      <c r="AV518" s="200">
        <f t="shared" ref="AV518:AX518" si="2602">countif($D518,"*"&amp;AV$2&amp;"*")</f>
        <v>0</v>
      </c>
      <c r="AW518" s="200">
        <f t="shared" si="2602"/>
        <v>0</v>
      </c>
      <c r="AX518" s="200">
        <f t="shared" si="2602"/>
        <v>1</v>
      </c>
      <c r="AY518" s="202">
        <v>0.0</v>
      </c>
      <c r="AZ518" s="200"/>
      <c r="BA518" s="171" t="str">
        <f t="shared" si="18"/>
        <v>Archival</v>
      </c>
      <c r="BB518" s="171" t="str">
        <f t="shared" si="19"/>
        <v/>
      </c>
      <c r="BC518" s="171" t="str">
        <f t="shared" si="20"/>
        <v/>
      </c>
      <c r="BD518" s="171" t="str">
        <f t="shared" si="21"/>
        <v/>
      </c>
      <c r="BE518" s="171" t="str">
        <f t="shared" si="22"/>
        <v/>
      </c>
      <c r="BF518" s="171" t="str">
        <f t="shared" si="23"/>
        <v>Archival</v>
      </c>
    </row>
    <row r="519">
      <c r="A519" s="171">
        <f t="array" ref="A519">XLOOKUP(C519,ICSE!A:A,ICSE!C:C,,2,1)</f>
        <v>2019</v>
      </c>
      <c r="B519" s="171" t="s">
        <v>5675</v>
      </c>
      <c r="C519" s="160">
        <v>942.0</v>
      </c>
      <c r="D519" s="161" t="s">
        <v>5914</v>
      </c>
      <c r="E519" s="197" t="str">
        <f t="array" ref="E519">XLOOKUP(C519,ICSE!A:A,ICSE!Z:Z,,0,1)</f>
        <v>Publicly available (2)</v>
      </c>
      <c r="F519" s="198" t="s">
        <v>20</v>
      </c>
      <c r="G519" s="163" t="str">
        <f t="array" ref="G519">IF(B519="ICSE",IF(COUNTIFS(B:B,B519,C:C,C519)=XLOOKUP(C519,ICSE!A:A,ICSE!AA:AA,"ERROR",0,1),"OK","ERROR"),IF(B519="FSE",IF(COUNTIFS(B:B,B519,C:C,C519)=XLOOKUP(C519,FSE!A:A,FSE!AA:AA,"ERROR",0,1),"OK","ERROR")))</f>
        <v>OK</v>
      </c>
      <c r="H519" s="199">
        <f t="shared" ref="H519:O519" si="2603">countif($D519,"*"&amp;H$2&amp;"*")</f>
        <v>0</v>
      </c>
      <c r="I519" s="200">
        <f t="shared" si="2603"/>
        <v>0</v>
      </c>
      <c r="J519" s="200">
        <f t="shared" si="2603"/>
        <v>0</v>
      </c>
      <c r="K519" s="200">
        <f t="shared" si="2603"/>
        <v>0</v>
      </c>
      <c r="L519" s="200">
        <f t="shared" si="2603"/>
        <v>0</v>
      </c>
      <c r="M519" s="200">
        <f t="shared" si="2603"/>
        <v>0</v>
      </c>
      <c r="N519" s="200">
        <f t="shared" si="2603"/>
        <v>0</v>
      </c>
      <c r="O519" s="200">
        <f t="shared" si="2603"/>
        <v>0</v>
      </c>
      <c r="P519" s="200">
        <f t="shared" si="9"/>
        <v>1</v>
      </c>
      <c r="Q519" s="200">
        <f t="shared" ref="Q519:AC519" si="2604">countif($D519,"*"&amp;Q$2&amp;"*")</f>
        <v>0</v>
      </c>
      <c r="R519" s="200">
        <f t="shared" si="2604"/>
        <v>0</v>
      </c>
      <c r="S519" s="200">
        <f t="shared" si="2604"/>
        <v>0</v>
      </c>
      <c r="T519" s="200">
        <f t="shared" si="2604"/>
        <v>0</v>
      </c>
      <c r="U519" s="200">
        <f t="shared" si="2604"/>
        <v>0</v>
      </c>
      <c r="V519" s="200">
        <f t="shared" si="2604"/>
        <v>0</v>
      </c>
      <c r="W519" s="200">
        <f t="shared" si="2604"/>
        <v>0</v>
      </c>
      <c r="X519" s="200">
        <f t="shared" si="2604"/>
        <v>0</v>
      </c>
      <c r="Y519" s="200">
        <f t="shared" si="2604"/>
        <v>0</v>
      </c>
      <c r="Z519" s="200">
        <f t="shared" si="2604"/>
        <v>0</v>
      </c>
      <c r="AA519" s="200">
        <f t="shared" si="2604"/>
        <v>0</v>
      </c>
      <c r="AB519" s="200">
        <f t="shared" si="2604"/>
        <v>0</v>
      </c>
      <c r="AC519" s="200">
        <f t="shared" si="2604"/>
        <v>0</v>
      </c>
      <c r="AD519" s="200">
        <f t="shared" si="11"/>
        <v>0</v>
      </c>
      <c r="AE519" s="200">
        <f t="shared" ref="AE519:AG519" si="2605">countif($D519,"*"&amp;AE$2&amp;"*")</f>
        <v>0</v>
      </c>
      <c r="AF519" s="200">
        <f t="shared" si="2605"/>
        <v>0</v>
      </c>
      <c r="AG519" s="200">
        <f t="shared" si="2605"/>
        <v>0</v>
      </c>
      <c r="AH519" s="171">
        <f t="shared" si="13"/>
        <v>0</v>
      </c>
      <c r="AI519" s="200">
        <f t="shared" si="14"/>
        <v>0</v>
      </c>
      <c r="AJ519" s="200">
        <f t="shared" si="2475"/>
        <v>0</v>
      </c>
      <c r="AK519" s="201">
        <f t="shared" ref="AK519:AS519" si="2606">countif($D519,"*"&amp;AK$2&amp;"*")</f>
        <v>0</v>
      </c>
      <c r="AL519" s="201">
        <f t="shared" si="2606"/>
        <v>0</v>
      </c>
      <c r="AM519" s="201">
        <f t="shared" si="2606"/>
        <v>0</v>
      </c>
      <c r="AN519" s="201">
        <f t="shared" si="2606"/>
        <v>0</v>
      </c>
      <c r="AO519" s="201">
        <f t="shared" si="2606"/>
        <v>0</v>
      </c>
      <c r="AP519" s="201">
        <f t="shared" si="2606"/>
        <v>0</v>
      </c>
      <c r="AQ519" s="201">
        <f t="shared" si="2606"/>
        <v>0</v>
      </c>
      <c r="AR519" s="200">
        <f t="shared" si="2606"/>
        <v>0</v>
      </c>
      <c r="AS519" s="200">
        <f t="shared" si="2606"/>
        <v>0</v>
      </c>
      <c r="AT519" s="173">
        <v>0.0</v>
      </c>
      <c r="AU519" s="200">
        <f t="shared" si="2409"/>
        <v>0</v>
      </c>
      <c r="AV519" s="200">
        <f t="shared" ref="AV519:AX519" si="2607">countif($D519,"*"&amp;AV$2&amp;"*")</f>
        <v>1</v>
      </c>
      <c r="AW519" s="200">
        <f t="shared" si="2607"/>
        <v>0</v>
      </c>
      <c r="AX519" s="200">
        <f t="shared" si="2607"/>
        <v>0</v>
      </c>
      <c r="AY519" s="202">
        <v>0.0</v>
      </c>
      <c r="AZ519" s="200"/>
      <c r="BA519" s="171" t="str">
        <f t="shared" si="18"/>
        <v/>
      </c>
      <c r="BB519" s="171" t="str">
        <f t="shared" si="19"/>
        <v>Code</v>
      </c>
      <c r="BC519" s="171" t="str">
        <f t="shared" si="20"/>
        <v/>
      </c>
      <c r="BD519" s="171" t="str">
        <f t="shared" si="21"/>
        <v/>
      </c>
      <c r="BE519" s="171" t="str">
        <f t="shared" si="22"/>
        <v/>
      </c>
      <c r="BF519" s="171" t="str">
        <f t="shared" si="23"/>
        <v>Code</v>
      </c>
    </row>
    <row r="520">
      <c r="A520" s="171">
        <f t="array" ref="A520">XLOOKUP(C520,ICSE!A:A,ICSE!C:C,,2,1)</f>
        <v>2019</v>
      </c>
      <c r="B520" s="171" t="s">
        <v>5675</v>
      </c>
      <c r="C520" s="160">
        <v>942.0</v>
      </c>
      <c r="D520" s="161" t="s">
        <v>5915</v>
      </c>
      <c r="E520" s="197" t="str">
        <f t="array" ref="E520">XLOOKUP(C520,ICSE!A:A,ICSE!Z:Z,,0,1)</f>
        <v>Publicly available (2)</v>
      </c>
      <c r="F520" s="198" t="s">
        <v>20</v>
      </c>
      <c r="G520" s="163" t="str">
        <f t="array" ref="G520">IF(B520="ICSE",IF(COUNTIFS(B:B,B520,C:C,C520)=XLOOKUP(C520,ICSE!A:A,ICSE!AA:AA,"ERROR",0,1),"OK","ERROR"),IF(B520="FSE",IF(COUNTIFS(B:B,B520,C:C,C520)=XLOOKUP(C520,FSE!A:A,FSE!AA:AA,"ERROR",0,1),"OK","ERROR")))</f>
        <v>OK</v>
      </c>
      <c r="H520" s="199">
        <f t="shared" ref="H520:O520" si="2608">countif($D520,"*"&amp;H$2&amp;"*")</f>
        <v>0</v>
      </c>
      <c r="I520" s="200">
        <f t="shared" si="2608"/>
        <v>0</v>
      </c>
      <c r="J520" s="200">
        <f t="shared" si="2608"/>
        <v>0</v>
      </c>
      <c r="K520" s="200">
        <f t="shared" si="2608"/>
        <v>0</v>
      </c>
      <c r="L520" s="200">
        <f t="shared" si="2608"/>
        <v>0</v>
      </c>
      <c r="M520" s="200">
        <f t="shared" si="2608"/>
        <v>0</v>
      </c>
      <c r="N520" s="200">
        <f t="shared" si="2608"/>
        <v>0</v>
      </c>
      <c r="O520" s="200">
        <f t="shared" si="2608"/>
        <v>0</v>
      </c>
      <c r="P520" s="200">
        <f t="shared" si="9"/>
        <v>1</v>
      </c>
      <c r="Q520" s="200">
        <f t="shared" ref="Q520:AC520" si="2609">countif($D520,"*"&amp;Q$2&amp;"*")</f>
        <v>0</v>
      </c>
      <c r="R520" s="200">
        <f t="shared" si="2609"/>
        <v>0</v>
      </c>
      <c r="S520" s="200">
        <f t="shared" si="2609"/>
        <v>0</v>
      </c>
      <c r="T520" s="200">
        <f t="shared" si="2609"/>
        <v>0</v>
      </c>
      <c r="U520" s="200">
        <f t="shared" si="2609"/>
        <v>0</v>
      </c>
      <c r="V520" s="200">
        <f t="shared" si="2609"/>
        <v>0</v>
      </c>
      <c r="W520" s="200">
        <f t="shared" si="2609"/>
        <v>0</v>
      </c>
      <c r="X520" s="200">
        <f t="shared" si="2609"/>
        <v>0</v>
      </c>
      <c r="Y520" s="200">
        <f t="shared" si="2609"/>
        <v>0</v>
      </c>
      <c r="Z520" s="200">
        <f t="shared" si="2609"/>
        <v>0</v>
      </c>
      <c r="AA520" s="200">
        <f t="shared" si="2609"/>
        <v>0</v>
      </c>
      <c r="AB520" s="200">
        <f t="shared" si="2609"/>
        <v>0</v>
      </c>
      <c r="AC520" s="200">
        <f t="shared" si="2609"/>
        <v>0</v>
      </c>
      <c r="AD520" s="200">
        <f t="shared" si="11"/>
        <v>0</v>
      </c>
      <c r="AE520" s="200">
        <f t="shared" ref="AE520:AG520" si="2610">countif($D520,"*"&amp;AE$2&amp;"*")</f>
        <v>0</v>
      </c>
      <c r="AF520" s="200">
        <f t="shared" si="2610"/>
        <v>0</v>
      </c>
      <c r="AG520" s="200">
        <f t="shared" si="2610"/>
        <v>0</v>
      </c>
      <c r="AH520" s="171">
        <f t="shared" si="13"/>
        <v>0</v>
      </c>
      <c r="AI520" s="200">
        <f t="shared" si="14"/>
        <v>0</v>
      </c>
      <c r="AJ520" s="200">
        <f t="shared" si="2475"/>
        <v>0</v>
      </c>
      <c r="AK520" s="201">
        <f t="shared" ref="AK520:AS520" si="2611">countif($D520,"*"&amp;AK$2&amp;"*")</f>
        <v>0</v>
      </c>
      <c r="AL520" s="201">
        <f t="shared" si="2611"/>
        <v>0</v>
      </c>
      <c r="AM520" s="201">
        <f t="shared" si="2611"/>
        <v>0</v>
      </c>
      <c r="AN520" s="201">
        <f t="shared" si="2611"/>
        <v>0</v>
      </c>
      <c r="AO520" s="201">
        <f t="shared" si="2611"/>
        <v>0</v>
      </c>
      <c r="AP520" s="201">
        <f t="shared" si="2611"/>
        <v>0</v>
      </c>
      <c r="AQ520" s="201">
        <f t="shared" si="2611"/>
        <v>0</v>
      </c>
      <c r="AR520" s="200">
        <f t="shared" si="2611"/>
        <v>0</v>
      </c>
      <c r="AS520" s="200">
        <f t="shared" si="2611"/>
        <v>0</v>
      </c>
      <c r="AT520" s="173">
        <v>0.0</v>
      </c>
      <c r="AU520" s="200">
        <f t="shared" si="2409"/>
        <v>0</v>
      </c>
      <c r="AV520" s="200">
        <f t="shared" ref="AV520:AX520" si="2612">countif($D520,"*"&amp;AV$2&amp;"*")</f>
        <v>1</v>
      </c>
      <c r="AW520" s="200">
        <f t="shared" si="2612"/>
        <v>0</v>
      </c>
      <c r="AX520" s="200">
        <f t="shared" si="2612"/>
        <v>0</v>
      </c>
      <c r="AY520" s="202">
        <v>0.0</v>
      </c>
      <c r="AZ520" s="200"/>
      <c r="BA520" s="171" t="str">
        <f t="shared" si="18"/>
        <v/>
      </c>
      <c r="BB520" s="171" t="str">
        <f t="shared" si="19"/>
        <v>Code</v>
      </c>
      <c r="BC520" s="171" t="str">
        <f t="shared" si="20"/>
        <v/>
      </c>
      <c r="BD520" s="171" t="str">
        <f t="shared" si="21"/>
        <v/>
      </c>
      <c r="BE520" s="171" t="str">
        <f t="shared" si="22"/>
        <v/>
      </c>
      <c r="BF520" s="171" t="str">
        <f t="shared" si="23"/>
        <v>Code</v>
      </c>
    </row>
    <row r="521">
      <c r="A521" s="171">
        <f t="array" ref="A521">XLOOKUP(C521,ICSE!A:A,ICSE!C:C,,2,1)</f>
        <v>2019</v>
      </c>
      <c r="B521" s="171" t="s">
        <v>5675</v>
      </c>
      <c r="C521" s="160">
        <v>943.0</v>
      </c>
      <c r="D521" s="161" t="s">
        <v>1303</v>
      </c>
      <c r="E521" s="197" t="str">
        <f t="array" ref="E521">XLOOKUP(C521,ICSE!A:A,ICSE!Z:Z,,0,1)</f>
        <v>Publicly available (1)</v>
      </c>
      <c r="F521" s="198" t="s">
        <v>20</v>
      </c>
      <c r="G521" s="163" t="str">
        <f t="array" ref="G521">IF(B521="ICSE",IF(COUNTIFS(B:B,B521,C:C,C521)=XLOOKUP(C521,ICSE!A:A,ICSE!AA:AA,"ERROR",0,1),"OK","ERROR"),IF(B521="FSE",IF(COUNTIFS(B:B,B521,C:C,C521)=XLOOKUP(C521,FSE!A:A,FSE!AA:AA,"ERROR",0,1),"OK","ERROR")))</f>
        <v>OK</v>
      </c>
      <c r="H521" s="199">
        <f t="shared" ref="H521:O521" si="2613">countif($D521,"*"&amp;H$2&amp;"*")</f>
        <v>0</v>
      </c>
      <c r="I521" s="200">
        <f t="shared" si="2613"/>
        <v>0</v>
      </c>
      <c r="J521" s="200">
        <f t="shared" si="2613"/>
        <v>1</v>
      </c>
      <c r="K521" s="200">
        <f t="shared" si="2613"/>
        <v>0</v>
      </c>
      <c r="L521" s="200">
        <f t="shared" si="2613"/>
        <v>0</v>
      </c>
      <c r="M521" s="200">
        <f t="shared" si="2613"/>
        <v>0</v>
      </c>
      <c r="N521" s="200">
        <f t="shared" si="2613"/>
        <v>0</v>
      </c>
      <c r="O521" s="200">
        <f t="shared" si="2613"/>
        <v>0</v>
      </c>
      <c r="P521" s="200">
        <f t="shared" si="9"/>
        <v>0</v>
      </c>
      <c r="Q521" s="200">
        <f t="shared" ref="Q521:AC521" si="2614">countif($D521,"*"&amp;Q$2&amp;"*")</f>
        <v>0</v>
      </c>
      <c r="R521" s="200">
        <f t="shared" si="2614"/>
        <v>0</v>
      </c>
      <c r="S521" s="200">
        <f t="shared" si="2614"/>
        <v>0</v>
      </c>
      <c r="T521" s="200">
        <f t="shared" si="2614"/>
        <v>0</v>
      </c>
      <c r="U521" s="200">
        <f t="shared" si="2614"/>
        <v>0</v>
      </c>
      <c r="V521" s="200">
        <f t="shared" si="2614"/>
        <v>0</v>
      </c>
      <c r="W521" s="200">
        <f t="shared" si="2614"/>
        <v>0</v>
      </c>
      <c r="X521" s="200">
        <f t="shared" si="2614"/>
        <v>0</v>
      </c>
      <c r="Y521" s="200">
        <f t="shared" si="2614"/>
        <v>0</v>
      </c>
      <c r="Z521" s="200">
        <f t="shared" si="2614"/>
        <v>0</v>
      </c>
      <c r="AA521" s="200">
        <f t="shared" si="2614"/>
        <v>0</v>
      </c>
      <c r="AB521" s="200">
        <f t="shared" si="2614"/>
        <v>0</v>
      </c>
      <c r="AC521" s="200">
        <f t="shared" si="2614"/>
        <v>0</v>
      </c>
      <c r="AD521" s="200">
        <f t="shared" si="11"/>
        <v>0</v>
      </c>
      <c r="AE521" s="200">
        <f t="shared" ref="AE521:AG521" si="2615">countif($D521,"*"&amp;AE$2&amp;"*")</f>
        <v>0</v>
      </c>
      <c r="AF521" s="200">
        <f t="shared" si="2615"/>
        <v>0</v>
      </c>
      <c r="AG521" s="200">
        <f t="shared" si="2615"/>
        <v>0</v>
      </c>
      <c r="AH521" s="171">
        <f t="shared" si="13"/>
        <v>0</v>
      </c>
      <c r="AI521" s="200">
        <f t="shared" si="14"/>
        <v>1</v>
      </c>
      <c r="AJ521" s="200">
        <f t="shared" si="2475"/>
        <v>0</v>
      </c>
      <c r="AK521" s="201">
        <f t="shared" ref="AK521:AS521" si="2616">countif($D521,"*"&amp;AK$2&amp;"*")</f>
        <v>0</v>
      </c>
      <c r="AL521" s="201">
        <f t="shared" si="2616"/>
        <v>0</v>
      </c>
      <c r="AM521" s="201">
        <f t="shared" si="2616"/>
        <v>0</v>
      </c>
      <c r="AN521" s="201">
        <f t="shared" si="2616"/>
        <v>0</v>
      </c>
      <c r="AO521" s="201">
        <f t="shared" si="2616"/>
        <v>0</v>
      </c>
      <c r="AP521" s="201">
        <f t="shared" si="2616"/>
        <v>0</v>
      </c>
      <c r="AQ521" s="201">
        <f t="shared" si="2616"/>
        <v>0</v>
      </c>
      <c r="AR521" s="200">
        <f t="shared" si="2616"/>
        <v>0</v>
      </c>
      <c r="AS521" s="200">
        <f t="shared" si="2616"/>
        <v>0</v>
      </c>
      <c r="AT521" s="173">
        <v>0.0</v>
      </c>
      <c r="AU521" s="200">
        <f t="shared" si="2409"/>
        <v>0</v>
      </c>
      <c r="AV521" s="200">
        <f t="shared" ref="AV521:AX521" si="2617">countif($D521,"*"&amp;AV$2&amp;"*")</f>
        <v>0</v>
      </c>
      <c r="AW521" s="200">
        <f t="shared" si="2617"/>
        <v>0</v>
      </c>
      <c r="AX521" s="200">
        <f t="shared" si="2617"/>
        <v>0</v>
      </c>
      <c r="AY521" s="204">
        <v>1.0</v>
      </c>
      <c r="AZ521" s="200"/>
      <c r="BA521" s="171" t="str">
        <f t="shared" si="18"/>
        <v>Archival</v>
      </c>
      <c r="BB521" s="171" t="str">
        <f t="shared" si="19"/>
        <v/>
      </c>
      <c r="BC521" s="171" t="str">
        <f t="shared" si="20"/>
        <v/>
      </c>
      <c r="BD521" s="171" t="str">
        <f t="shared" si="21"/>
        <v/>
      </c>
      <c r="BE521" s="171" t="str">
        <f t="shared" si="22"/>
        <v/>
      </c>
      <c r="BF521" s="171" t="str">
        <f t="shared" si="23"/>
        <v>Archival</v>
      </c>
    </row>
    <row r="522">
      <c r="A522" s="171">
        <f t="array" ref="A522">XLOOKUP(C522,ICSE!A:A,ICSE!C:C,,2,1)</f>
        <v>2019</v>
      </c>
      <c r="B522" s="171" t="s">
        <v>5675</v>
      </c>
      <c r="C522" s="160">
        <v>944.0</v>
      </c>
      <c r="D522" s="208" t="s">
        <v>5916</v>
      </c>
      <c r="E522" s="197" t="str">
        <f t="array" ref="E522">XLOOKUP(C522,ICSE!A:A,ICSE!Z:Z,,0,1)</f>
        <v>Publicly available (2)</v>
      </c>
      <c r="F522" s="198" t="s">
        <v>20</v>
      </c>
      <c r="G522" s="163" t="str">
        <f t="array" ref="G522">IF(B522="ICSE",IF(COUNTIFS(B:B,B522,C:C,C522)=XLOOKUP(C522,ICSE!A:A,ICSE!AA:AA,"ERROR",0,1),"OK","ERROR"),IF(B522="FSE",IF(COUNTIFS(B:B,B522,C:C,C522)=XLOOKUP(C522,FSE!A:A,FSE!AA:AA,"ERROR",0,1),"OK","ERROR")))</f>
        <v>OK</v>
      </c>
      <c r="H522" s="199">
        <f t="shared" ref="H522:O522" si="2618">countif($D522,"*"&amp;H$2&amp;"*")</f>
        <v>0</v>
      </c>
      <c r="I522" s="200">
        <f t="shared" si="2618"/>
        <v>0</v>
      </c>
      <c r="J522" s="200">
        <f t="shared" si="2618"/>
        <v>0</v>
      </c>
      <c r="K522" s="200">
        <f t="shared" si="2618"/>
        <v>0</v>
      </c>
      <c r="L522" s="200">
        <f t="shared" si="2618"/>
        <v>0</v>
      </c>
      <c r="M522" s="200">
        <f t="shared" si="2618"/>
        <v>0</v>
      </c>
      <c r="N522" s="200">
        <f t="shared" si="2618"/>
        <v>0</v>
      </c>
      <c r="O522" s="200">
        <f t="shared" si="2618"/>
        <v>0</v>
      </c>
      <c r="P522" s="200">
        <f t="shared" si="9"/>
        <v>1</v>
      </c>
      <c r="Q522" s="200">
        <f t="shared" ref="Q522:AC522" si="2619">countif($D522,"*"&amp;Q$2&amp;"*")</f>
        <v>0</v>
      </c>
      <c r="R522" s="200">
        <f t="shared" si="2619"/>
        <v>0</v>
      </c>
      <c r="S522" s="200">
        <f t="shared" si="2619"/>
        <v>0</v>
      </c>
      <c r="T522" s="200">
        <f t="shared" si="2619"/>
        <v>0</v>
      </c>
      <c r="U522" s="200">
        <f t="shared" si="2619"/>
        <v>0</v>
      </c>
      <c r="V522" s="200">
        <f t="shared" si="2619"/>
        <v>0</v>
      </c>
      <c r="W522" s="200">
        <f t="shared" si="2619"/>
        <v>0</v>
      </c>
      <c r="X522" s="200">
        <f t="shared" si="2619"/>
        <v>0</v>
      </c>
      <c r="Y522" s="200">
        <f t="shared" si="2619"/>
        <v>0</v>
      </c>
      <c r="Z522" s="200">
        <f t="shared" si="2619"/>
        <v>0</v>
      </c>
      <c r="AA522" s="200">
        <f t="shared" si="2619"/>
        <v>0</v>
      </c>
      <c r="AB522" s="200">
        <f t="shared" si="2619"/>
        <v>0</v>
      </c>
      <c r="AC522" s="200">
        <f t="shared" si="2619"/>
        <v>0</v>
      </c>
      <c r="AD522" s="200">
        <f t="shared" si="11"/>
        <v>0</v>
      </c>
      <c r="AE522" s="200">
        <f t="shared" ref="AE522:AG522" si="2620">countif($D522,"*"&amp;AE$2&amp;"*")</f>
        <v>0</v>
      </c>
      <c r="AF522" s="200">
        <f t="shared" si="2620"/>
        <v>0</v>
      </c>
      <c r="AG522" s="200">
        <f t="shared" si="2620"/>
        <v>0</v>
      </c>
      <c r="AH522" s="171">
        <f t="shared" si="13"/>
        <v>0</v>
      </c>
      <c r="AI522" s="200">
        <f t="shared" si="14"/>
        <v>0</v>
      </c>
      <c r="AJ522" s="200">
        <f t="shared" si="2475"/>
        <v>0</v>
      </c>
      <c r="AK522" s="201">
        <f t="shared" ref="AK522:AS522" si="2621">countif($D522,"*"&amp;AK$2&amp;"*")</f>
        <v>0</v>
      </c>
      <c r="AL522" s="201">
        <f t="shared" si="2621"/>
        <v>0</v>
      </c>
      <c r="AM522" s="201">
        <f t="shared" si="2621"/>
        <v>0</v>
      </c>
      <c r="AN522" s="201">
        <f t="shared" si="2621"/>
        <v>0</v>
      </c>
      <c r="AO522" s="201">
        <f t="shared" si="2621"/>
        <v>0</v>
      </c>
      <c r="AP522" s="201">
        <f t="shared" si="2621"/>
        <v>0</v>
      </c>
      <c r="AQ522" s="201">
        <f t="shared" si="2621"/>
        <v>0</v>
      </c>
      <c r="AR522" s="200">
        <f t="shared" si="2621"/>
        <v>0</v>
      </c>
      <c r="AS522" s="200">
        <f t="shared" si="2621"/>
        <v>1</v>
      </c>
      <c r="AT522" s="173">
        <v>0.0</v>
      </c>
      <c r="AU522" s="209">
        <v>0.0</v>
      </c>
      <c r="AV522" s="200">
        <f t="shared" ref="AV522:AX522" si="2622">countif($D522,"*"&amp;AV$2&amp;"*")</f>
        <v>1</v>
      </c>
      <c r="AW522" s="200">
        <f t="shared" si="2622"/>
        <v>0</v>
      </c>
      <c r="AX522" s="200">
        <f t="shared" si="2622"/>
        <v>0</v>
      </c>
      <c r="AY522" s="202">
        <v>0.0</v>
      </c>
      <c r="AZ522" s="200"/>
      <c r="BA522" s="171" t="str">
        <f t="shared" si="18"/>
        <v/>
      </c>
      <c r="BB522" s="171" t="str">
        <f t="shared" si="19"/>
        <v>Code</v>
      </c>
      <c r="BC522" s="171" t="str">
        <f t="shared" si="20"/>
        <v/>
      </c>
      <c r="BD522" s="171" t="str">
        <f t="shared" si="21"/>
        <v/>
      </c>
      <c r="BE522" s="171" t="str">
        <f t="shared" si="22"/>
        <v/>
      </c>
      <c r="BF522" s="171" t="str">
        <f t="shared" si="23"/>
        <v>Code</v>
      </c>
    </row>
    <row r="523">
      <c r="A523" s="171">
        <f t="array" ref="A523">XLOOKUP(C523,ICSE!A:A,ICSE!C:C,,2,1)</f>
        <v>2019</v>
      </c>
      <c r="B523" s="171" t="s">
        <v>5675</v>
      </c>
      <c r="C523" s="160">
        <v>944.0</v>
      </c>
      <c r="D523" s="161" t="s">
        <v>5917</v>
      </c>
      <c r="E523" s="197" t="str">
        <f t="array" ref="E523">XLOOKUP(C523,ICSE!A:A,ICSE!Z:Z,,0,1)</f>
        <v>Publicly available (2)</v>
      </c>
      <c r="F523" s="198" t="s">
        <v>20</v>
      </c>
      <c r="G523" s="163" t="str">
        <f t="array" ref="G523">IF(B523="ICSE",IF(COUNTIFS(B:B,B523,C:C,C523)=XLOOKUP(C523,ICSE!A:A,ICSE!AA:AA,"ERROR",0,1),"OK","ERROR"),IF(B523="FSE",IF(COUNTIFS(B:B,B523,C:C,C523)=XLOOKUP(C523,FSE!A:A,FSE!AA:AA,"ERROR",0,1),"OK","ERROR")))</f>
        <v>OK</v>
      </c>
      <c r="H523" s="199">
        <f t="shared" ref="H523:O523" si="2623">countif($D523,"*"&amp;H$2&amp;"*")</f>
        <v>0</v>
      </c>
      <c r="I523" s="200">
        <f t="shared" si="2623"/>
        <v>0</v>
      </c>
      <c r="J523" s="200">
        <f t="shared" si="2623"/>
        <v>0</v>
      </c>
      <c r="K523" s="200">
        <f t="shared" si="2623"/>
        <v>0</v>
      </c>
      <c r="L523" s="200">
        <f t="shared" si="2623"/>
        <v>0</v>
      </c>
      <c r="M523" s="200">
        <f t="shared" si="2623"/>
        <v>0</v>
      </c>
      <c r="N523" s="200">
        <f t="shared" si="2623"/>
        <v>0</v>
      </c>
      <c r="O523" s="200">
        <f t="shared" si="2623"/>
        <v>0</v>
      </c>
      <c r="P523" s="200">
        <f t="shared" si="9"/>
        <v>1</v>
      </c>
      <c r="Q523" s="200">
        <f t="shared" ref="Q523:AC523" si="2624">countif($D523,"*"&amp;Q$2&amp;"*")</f>
        <v>0</v>
      </c>
      <c r="R523" s="200">
        <f t="shared" si="2624"/>
        <v>0</v>
      </c>
      <c r="S523" s="200">
        <f t="shared" si="2624"/>
        <v>0</v>
      </c>
      <c r="T523" s="200">
        <f t="shared" si="2624"/>
        <v>0</v>
      </c>
      <c r="U523" s="200">
        <f t="shared" si="2624"/>
        <v>0</v>
      </c>
      <c r="V523" s="200">
        <f t="shared" si="2624"/>
        <v>0</v>
      </c>
      <c r="W523" s="200">
        <f t="shared" si="2624"/>
        <v>0</v>
      </c>
      <c r="X523" s="200">
        <f t="shared" si="2624"/>
        <v>0</v>
      </c>
      <c r="Y523" s="200">
        <f t="shared" si="2624"/>
        <v>0</v>
      </c>
      <c r="Z523" s="200">
        <f t="shared" si="2624"/>
        <v>0</v>
      </c>
      <c r="AA523" s="200">
        <f t="shared" si="2624"/>
        <v>0</v>
      </c>
      <c r="AB523" s="200">
        <f t="shared" si="2624"/>
        <v>0</v>
      </c>
      <c r="AC523" s="200">
        <f t="shared" si="2624"/>
        <v>0</v>
      </c>
      <c r="AD523" s="200">
        <f t="shared" si="11"/>
        <v>0</v>
      </c>
      <c r="AE523" s="200">
        <f t="shared" ref="AE523:AG523" si="2625">countif($D523,"*"&amp;AE$2&amp;"*")</f>
        <v>0</v>
      </c>
      <c r="AF523" s="200">
        <f t="shared" si="2625"/>
        <v>0</v>
      </c>
      <c r="AG523" s="200">
        <f t="shared" si="2625"/>
        <v>0</v>
      </c>
      <c r="AH523" s="171">
        <f t="shared" si="13"/>
        <v>0</v>
      </c>
      <c r="AI523" s="200">
        <f t="shared" si="14"/>
        <v>0</v>
      </c>
      <c r="AJ523" s="200">
        <f t="shared" si="2475"/>
        <v>0</v>
      </c>
      <c r="AK523" s="201">
        <f t="shared" ref="AK523:AS523" si="2626">countif($D523,"*"&amp;AK$2&amp;"*")</f>
        <v>0</v>
      </c>
      <c r="AL523" s="201">
        <f t="shared" si="2626"/>
        <v>0</v>
      </c>
      <c r="AM523" s="201">
        <f t="shared" si="2626"/>
        <v>0</v>
      </c>
      <c r="AN523" s="201">
        <f t="shared" si="2626"/>
        <v>0</v>
      </c>
      <c r="AO523" s="201">
        <f t="shared" si="2626"/>
        <v>0</v>
      </c>
      <c r="AP523" s="201">
        <f t="shared" si="2626"/>
        <v>0</v>
      </c>
      <c r="AQ523" s="201">
        <f t="shared" si="2626"/>
        <v>0</v>
      </c>
      <c r="AR523" s="200">
        <f t="shared" si="2626"/>
        <v>0</v>
      </c>
      <c r="AS523" s="200">
        <f t="shared" si="2626"/>
        <v>0</v>
      </c>
      <c r="AT523" s="173">
        <v>0.0</v>
      </c>
      <c r="AU523" s="200">
        <f t="shared" ref="AU523:AX523" si="2627">countif($D523,"*"&amp;AU$2&amp;"*")</f>
        <v>0</v>
      </c>
      <c r="AV523" s="200">
        <f t="shared" si="2627"/>
        <v>1</v>
      </c>
      <c r="AW523" s="200">
        <f t="shared" si="2627"/>
        <v>0</v>
      </c>
      <c r="AX523" s="200">
        <f t="shared" si="2627"/>
        <v>0</v>
      </c>
      <c r="AY523" s="202">
        <v>0.0</v>
      </c>
      <c r="AZ523" s="200"/>
      <c r="BA523" s="171" t="str">
        <f t="shared" si="18"/>
        <v/>
      </c>
      <c r="BB523" s="171" t="str">
        <f t="shared" si="19"/>
        <v>Code</v>
      </c>
      <c r="BC523" s="171" t="str">
        <f t="shared" si="20"/>
        <v/>
      </c>
      <c r="BD523" s="171" t="str">
        <f t="shared" si="21"/>
        <v/>
      </c>
      <c r="BE523" s="171" t="str">
        <f t="shared" si="22"/>
        <v/>
      </c>
      <c r="BF523" s="171" t="str">
        <f t="shared" si="23"/>
        <v>Code</v>
      </c>
    </row>
    <row r="524">
      <c r="A524" s="171">
        <f t="array" ref="A524">XLOOKUP(C524,ICSE!A:A,ICSE!C:C,,2,1)</f>
        <v>2019</v>
      </c>
      <c r="B524" s="171" t="s">
        <v>5675</v>
      </c>
      <c r="C524" s="160">
        <v>946.0</v>
      </c>
      <c r="D524" s="161" t="s">
        <v>1312</v>
      </c>
      <c r="E524" s="197" t="str">
        <f t="array" ref="E524">XLOOKUP(C524,ICSE!A:A,ICSE!Z:Z,,0,1)</f>
        <v>Publicly available (1)</v>
      </c>
      <c r="F524" s="198" t="s">
        <v>20</v>
      </c>
      <c r="G524" s="163" t="str">
        <f t="array" ref="G524">IF(B524="ICSE",IF(COUNTIFS(B:B,B524,C:C,C524)=XLOOKUP(C524,ICSE!A:A,ICSE!AA:AA,"ERROR",0,1),"OK","ERROR"),IF(B524="FSE",IF(COUNTIFS(B:B,B524,C:C,C524)=XLOOKUP(C524,FSE!A:A,FSE!AA:AA,"ERROR",0,1),"OK","ERROR")))</f>
        <v>OK</v>
      </c>
      <c r="H524" s="199">
        <f t="shared" ref="H524:O524" si="2628">countif($D524,"*"&amp;H$2&amp;"*")</f>
        <v>0</v>
      </c>
      <c r="I524" s="200">
        <f t="shared" si="2628"/>
        <v>0</v>
      </c>
      <c r="J524" s="200">
        <f t="shared" si="2628"/>
        <v>0</v>
      </c>
      <c r="K524" s="200">
        <f t="shared" si="2628"/>
        <v>0</v>
      </c>
      <c r="L524" s="200">
        <f t="shared" si="2628"/>
        <v>0</v>
      </c>
      <c r="M524" s="200">
        <f t="shared" si="2628"/>
        <v>0</v>
      </c>
      <c r="N524" s="200">
        <f t="shared" si="2628"/>
        <v>0</v>
      </c>
      <c r="O524" s="200">
        <f t="shared" si="2628"/>
        <v>0</v>
      </c>
      <c r="P524" s="200">
        <f t="shared" si="9"/>
        <v>0</v>
      </c>
      <c r="Q524" s="200">
        <f t="shared" ref="Q524:AC524" si="2629">countif($D524,"*"&amp;Q$2&amp;"*")</f>
        <v>0</v>
      </c>
      <c r="R524" s="200">
        <f t="shared" si="2629"/>
        <v>0</v>
      </c>
      <c r="S524" s="200">
        <f t="shared" si="2629"/>
        <v>0</v>
      </c>
      <c r="T524" s="200">
        <f t="shared" si="2629"/>
        <v>0</v>
      </c>
      <c r="U524" s="200">
        <f t="shared" si="2629"/>
        <v>0</v>
      </c>
      <c r="V524" s="200">
        <f t="shared" si="2629"/>
        <v>0</v>
      </c>
      <c r="W524" s="200">
        <f t="shared" si="2629"/>
        <v>0</v>
      </c>
      <c r="X524" s="200">
        <f t="shared" si="2629"/>
        <v>0</v>
      </c>
      <c r="Y524" s="200">
        <f t="shared" si="2629"/>
        <v>0</v>
      </c>
      <c r="Z524" s="200">
        <f t="shared" si="2629"/>
        <v>0</v>
      </c>
      <c r="AA524" s="200">
        <f t="shared" si="2629"/>
        <v>0</v>
      </c>
      <c r="AB524" s="200">
        <f t="shared" si="2629"/>
        <v>0</v>
      </c>
      <c r="AC524" s="200">
        <f t="shared" si="2629"/>
        <v>0</v>
      </c>
      <c r="AD524" s="200">
        <f t="shared" si="11"/>
        <v>1</v>
      </c>
      <c r="AE524" s="200">
        <f t="shared" ref="AE524:AG524" si="2630">countif($D524,"*"&amp;AE$2&amp;"*")</f>
        <v>0</v>
      </c>
      <c r="AF524" s="200">
        <f t="shared" si="2630"/>
        <v>0</v>
      </c>
      <c r="AG524" s="200">
        <f t="shared" si="2630"/>
        <v>0</v>
      </c>
      <c r="AH524" s="171">
        <f t="shared" si="13"/>
        <v>0</v>
      </c>
      <c r="AI524" s="200">
        <f t="shared" si="14"/>
        <v>0</v>
      </c>
      <c r="AJ524" s="200">
        <f t="shared" si="2475"/>
        <v>0</v>
      </c>
      <c r="AK524" s="201">
        <f t="shared" ref="AK524:AS524" si="2631">countif($D524,"*"&amp;AK$2&amp;"*")</f>
        <v>0</v>
      </c>
      <c r="AL524" s="201">
        <f t="shared" si="2631"/>
        <v>0</v>
      </c>
      <c r="AM524" s="201">
        <f t="shared" si="2631"/>
        <v>0</v>
      </c>
      <c r="AN524" s="201">
        <f t="shared" si="2631"/>
        <v>0</v>
      </c>
      <c r="AO524" s="201">
        <f t="shared" si="2631"/>
        <v>0</v>
      </c>
      <c r="AP524" s="201">
        <f t="shared" si="2631"/>
        <v>0</v>
      </c>
      <c r="AQ524" s="201">
        <f t="shared" si="2631"/>
        <v>0</v>
      </c>
      <c r="AR524" s="200">
        <f t="shared" si="2631"/>
        <v>0</v>
      </c>
      <c r="AS524" s="200">
        <f t="shared" si="2631"/>
        <v>0</v>
      </c>
      <c r="AT524" s="173">
        <v>1.0</v>
      </c>
      <c r="AU524" s="200">
        <f t="shared" ref="AU524:AX524" si="2632">countif($D524,"*"&amp;AU$2&amp;"*")</f>
        <v>0</v>
      </c>
      <c r="AV524" s="200">
        <f t="shared" si="2632"/>
        <v>0</v>
      </c>
      <c r="AW524" s="200">
        <f t="shared" si="2632"/>
        <v>0</v>
      </c>
      <c r="AX524" s="200">
        <f t="shared" si="2632"/>
        <v>0</v>
      </c>
      <c r="AY524" s="202">
        <v>0.0</v>
      </c>
      <c r="AZ524" s="200"/>
      <c r="BA524" s="171" t="str">
        <f t="shared" si="18"/>
        <v/>
      </c>
      <c r="BB524" s="171" t="str">
        <f t="shared" si="19"/>
        <v/>
      </c>
      <c r="BC524" s="171" t="str">
        <f t="shared" si="20"/>
        <v/>
      </c>
      <c r="BD524" s="171" t="str">
        <f t="shared" si="21"/>
        <v>Institutional</v>
      </c>
      <c r="BE524" s="171" t="str">
        <f t="shared" si="22"/>
        <v/>
      </c>
      <c r="BF524" s="171" t="str">
        <f t="shared" si="23"/>
        <v>Institutional</v>
      </c>
    </row>
    <row r="525">
      <c r="A525" s="171">
        <f t="array" ref="A525">XLOOKUP(C525,ICSE!A:A,ICSE!C:C,,2,1)</f>
        <v>2019</v>
      </c>
      <c r="B525" s="171" t="s">
        <v>5675</v>
      </c>
      <c r="C525" s="160">
        <v>948.0</v>
      </c>
      <c r="D525" s="161" t="s">
        <v>5918</v>
      </c>
      <c r="E525" s="197" t="str">
        <f t="array" ref="E525">XLOOKUP(C525,ICSE!A:A,ICSE!Z:Z,,0,1)</f>
        <v>Publicly available (2)</v>
      </c>
      <c r="F525" s="198" t="s">
        <v>20</v>
      </c>
      <c r="G525" s="163" t="str">
        <f t="array" ref="G525">IF(B525="ICSE",IF(COUNTIFS(B:B,B525,C:C,C525)=XLOOKUP(C525,ICSE!A:A,ICSE!AA:AA,"ERROR",0,1),"OK","ERROR"),IF(B525="FSE",IF(COUNTIFS(B:B,B525,C:C,C525)=XLOOKUP(C525,FSE!A:A,FSE!AA:AA,"ERROR",0,1),"OK","ERROR")))</f>
        <v>OK</v>
      </c>
      <c r="H525" s="199">
        <f t="shared" ref="H525:O525" si="2633">countif($D525,"*"&amp;H$2&amp;"*")</f>
        <v>0</v>
      </c>
      <c r="I525" s="200">
        <f t="shared" si="2633"/>
        <v>0</v>
      </c>
      <c r="J525" s="200">
        <f t="shared" si="2633"/>
        <v>0</v>
      </c>
      <c r="K525" s="200">
        <f t="shared" si="2633"/>
        <v>0</v>
      </c>
      <c r="L525" s="200">
        <f t="shared" si="2633"/>
        <v>0</v>
      </c>
      <c r="M525" s="200">
        <f t="shared" si="2633"/>
        <v>0</v>
      </c>
      <c r="N525" s="200">
        <f t="shared" si="2633"/>
        <v>0</v>
      </c>
      <c r="O525" s="200">
        <f t="shared" si="2633"/>
        <v>0</v>
      </c>
      <c r="P525" s="200">
        <f t="shared" si="9"/>
        <v>1</v>
      </c>
      <c r="Q525" s="200">
        <f t="shared" ref="Q525:AC525" si="2634">countif($D525,"*"&amp;Q$2&amp;"*")</f>
        <v>0</v>
      </c>
      <c r="R525" s="200">
        <f t="shared" si="2634"/>
        <v>0</v>
      </c>
      <c r="S525" s="200">
        <f t="shared" si="2634"/>
        <v>0</v>
      </c>
      <c r="T525" s="200">
        <f t="shared" si="2634"/>
        <v>0</v>
      </c>
      <c r="U525" s="200">
        <f t="shared" si="2634"/>
        <v>0</v>
      </c>
      <c r="V525" s="200">
        <f t="shared" si="2634"/>
        <v>0</v>
      </c>
      <c r="W525" s="200">
        <f t="shared" si="2634"/>
        <v>0</v>
      </c>
      <c r="X525" s="200">
        <f t="shared" si="2634"/>
        <v>0</v>
      </c>
      <c r="Y525" s="200">
        <f t="shared" si="2634"/>
        <v>0</v>
      </c>
      <c r="Z525" s="200">
        <f t="shared" si="2634"/>
        <v>0</v>
      </c>
      <c r="AA525" s="200">
        <f t="shared" si="2634"/>
        <v>0</v>
      </c>
      <c r="AB525" s="200">
        <f t="shared" si="2634"/>
        <v>0</v>
      </c>
      <c r="AC525" s="200">
        <f t="shared" si="2634"/>
        <v>0</v>
      </c>
      <c r="AD525" s="200">
        <f t="shared" si="11"/>
        <v>0</v>
      </c>
      <c r="AE525" s="200">
        <f t="shared" ref="AE525:AG525" si="2635">countif($D525,"*"&amp;AE$2&amp;"*")</f>
        <v>0</v>
      </c>
      <c r="AF525" s="200">
        <f t="shared" si="2635"/>
        <v>0</v>
      </c>
      <c r="AG525" s="200">
        <f t="shared" si="2635"/>
        <v>0</v>
      </c>
      <c r="AH525" s="171">
        <f t="shared" si="13"/>
        <v>0</v>
      </c>
      <c r="AI525" s="200">
        <f t="shared" si="14"/>
        <v>0</v>
      </c>
      <c r="AJ525" s="200">
        <f t="shared" si="2475"/>
        <v>0</v>
      </c>
      <c r="AK525" s="201">
        <f t="shared" ref="AK525:AS525" si="2636">countif($D525,"*"&amp;AK$2&amp;"*")</f>
        <v>0</v>
      </c>
      <c r="AL525" s="201">
        <f t="shared" si="2636"/>
        <v>0</v>
      </c>
      <c r="AM525" s="201">
        <f t="shared" si="2636"/>
        <v>0</v>
      </c>
      <c r="AN525" s="201">
        <f t="shared" si="2636"/>
        <v>0</v>
      </c>
      <c r="AO525" s="201">
        <f t="shared" si="2636"/>
        <v>0</v>
      </c>
      <c r="AP525" s="201">
        <f t="shared" si="2636"/>
        <v>0</v>
      </c>
      <c r="AQ525" s="201">
        <f t="shared" si="2636"/>
        <v>0</v>
      </c>
      <c r="AR525" s="200">
        <f t="shared" si="2636"/>
        <v>0</v>
      </c>
      <c r="AS525" s="200">
        <f t="shared" si="2636"/>
        <v>0</v>
      </c>
      <c r="AT525" s="173">
        <v>0.0</v>
      </c>
      <c r="AU525" s="200">
        <f t="shared" ref="AU525:AX525" si="2637">countif($D525,"*"&amp;AU$2&amp;"*")</f>
        <v>0</v>
      </c>
      <c r="AV525" s="200">
        <f t="shared" si="2637"/>
        <v>1</v>
      </c>
      <c r="AW525" s="200">
        <f t="shared" si="2637"/>
        <v>0</v>
      </c>
      <c r="AX525" s="200">
        <f t="shared" si="2637"/>
        <v>0</v>
      </c>
      <c r="AY525" s="202">
        <v>0.0</v>
      </c>
      <c r="AZ525" s="200"/>
      <c r="BA525" s="171" t="str">
        <f t="shared" si="18"/>
        <v/>
      </c>
      <c r="BB525" s="171" t="str">
        <f t="shared" si="19"/>
        <v>Code</v>
      </c>
      <c r="BC525" s="171" t="str">
        <f t="shared" si="20"/>
        <v/>
      </c>
      <c r="BD525" s="171" t="str">
        <f t="shared" si="21"/>
        <v/>
      </c>
      <c r="BE525" s="171" t="str">
        <f t="shared" si="22"/>
        <v/>
      </c>
      <c r="BF525" s="171" t="str">
        <f t="shared" si="23"/>
        <v>Code</v>
      </c>
    </row>
    <row r="526">
      <c r="A526" s="171">
        <f t="array" ref="A526">XLOOKUP(C526,ICSE!A:A,ICSE!C:C,,2,1)</f>
        <v>2019</v>
      </c>
      <c r="B526" s="171" t="s">
        <v>5675</v>
      </c>
      <c r="C526" s="160">
        <v>948.0</v>
      </c>
      <c r="D526" s="161" t="s">
        <v>5919</v>
      </c>
      <c r="E526" s="197" t="str">
        <f t="array" ref="E526">XLOOKUP(C526,ICSE!A:A,ICSE!Z:Z,,0,1)</f>
        <v>Publicly available (2)</v>
      </c>
      <c r="F526" s="198" t="s">
        <v>20</v>
      </c>
      <c r="G526" s="163" t="str">
        <f t="array" ref="G526">IF(B526="ICSE",IF(COUNTIFS(B:B,B526,C:C,C526)=XLOOKUP(C526,ICSE!A:A,ICSE!AA:AA,"ERROR",0,1),"OK","ERROR"),IF(B526="FSE",IF(COUNTIFS(B:B,B526,C:C,C526)=XLOOKUP(C526,FSE!A:A,FSE!AA:AA,"ERROR",0,1),"OK","ERROR")))</f>
        <v>OK</v>
      </c>
      <c r="H526" s="199">
        <f t="shared" ref="H526:O526" si="2638">countif($D526,"*"&amp;H$2&amp;"*")</f>
        <v>0</v>
      </c>
      <c r="I526" s="200">
        <f t="shared" si="2638"/>
        <v>0</v>
      </c>
      <c r="J526" s="200">
        <f t="shared" si="2638"/>
        <v>0</v>
      </c>
      <c r="K526" s="200">
        <f t="shared" si="2638"/>
        <v>0</v>
      </c>
      <c r="L526" s="200">
        <f t="shared" si="2638"/>
        <v>0</v>
      </c>
      <c r="M526" s="200">
        <f t="shared" si="2638"/>
        <v>0</v>
      </c>
      <c r="N526" s="200">
        <f t="shared" si="2638"/>
        <v>0</v>
      </c>
      <c r="O526" s="200">
        <f t="shared" si="2638"/>
        <v>0</v>
      </c>
      <c r="P526" s="200">
        <f t="shared" si="9"/>
        <v>1</v>
      </c>
      <c r="Q526" s="200">
        <f t="shared" ref="Q526:AC526" si="2639">countif($D526,"*"&amp;Q$2&amp;"*")</f>
        <v>0</v>
      </c>
      <c r="R526" s="200">
        <f t="shared" si="2639"/>
        <v>0</v>
      </c>
      <c r="S526" s="200">
        <f t="shared" si="2639"/>
        <v>0</v>
      </c>
      <c r="T526" s="200">
        <f t="shared" si="2639"/>
        <v>0</v>
      </c>
      <c r="U526" s="200">
        <f t="shared" si="2639"/>
        <v>0</v>
      </c>
      <c r="V526" s="200">
        <f t="shared" si="2639"/>
        <v>0</v>
      </c>
      <c r="W526" s="200">
        <f t="shared" si="2639"/>
        <v>0</v>
      </c>
      <c r="X526" s="200">
        <f t="shared" si="2639"/>
        <v>0</v>
      </c>
      <c r="Y526" s="200">
        <f t="shared" si="2639"/>
        <v>0</v>
      </c>
      <c r="Z526" s="200">
        <f t="shared" si="2639"/>
        <v>0</v>
      </c>
      <c r="AA526" s="200">
        <f t="shared" si="2639"/>
        <v>0</v>
      </c>
      <c r="AB526" s="200">
        <f t="shared" si="2639"/>
        <v>0</v>
      </c>
      <c r="AC526" s="200">
        <f t="shared" si="2639"/>
        <v>0</v>
      </c>
      <c r="AD526" s="200">
        <f t="shared" si="11"/>
        <v>0</v>
      </c>
      <c r="AE526" s="200">
        <f t="shared" ref="AE526:AG526" si="2640">countif($D526,"*"&amp;AE$2&amp;"*")</f>
        <v>0</v>
      </c>
      <c r="AF526" s="200">
        <f t="shared" si="2640"/>
        <v>0</v>
      </c>
      <c r="AG526" s="200">
        <f t="shared" si="2640"/>
        <v>0</v>
      </c>
      <c r="AH526" s="171">
        <f t="shared" si="13"/>
        <v>0</v>
      </c>
      <c r="AI526" s="200">
        <f t="shared" si="14"/>
        <v>0</v>
      </c>
      <c r="AJ526" s="200">
        <f t="shared" si="2475"/>
        <v>0</v>
      </c>
      <c r="AK526" s="201">
        <f t="shared" ref="AK526:AS526" si="2641">countif($D526,"*"&amp;AK$2&amp;"*")</f>
        <v>0</v>
      </c>
      <c r="AL526" s="201">
        <f t="shared" si="2641"/>
        <v>0</v>
      </c>
      <c r="AM526" s="201">
        <f t="shared" si="2641"/>
        <v>0</v>
      </c>
      <c r="AN526" s="201">
        <f t="shared" si="2641"/>
        <v>0</v>
      </c>
      <c r="AO526" s="201">
        <f t="shared" si="2641"/>
        <v>0</v>
      </c>
      <c r="AP526" s="201">
        <f t="shared" si="2641"/>
        <v>0</v>
      </c>
      <c r="AQ526" s="201">
        <f t="shared" si="2641"/>
        <v>0</v>
      </c>
      <c r="AR526" s="200">
        <f t="shared" si="2641"/>
        <v>0</v>
      </c>
      <c r="AS526" s="200">
        <f t="shared" si="2641"/>
        <v>0</v>
      </c>
      <c r="AT526" s="173">
        <v>0.0</v>
      </c>
      <c r="AU526" s="200">
        <f t="shared" ref="AU526:AX526" si="2642">countif($D526,"*"&amp;AU$2&amp;"*")</f>
        <v>0</v>
      </c>
      <c r="AV526" s="200">
        <f t="shared" si="2642"/>
        <v>1</v>
      </c>
      <c r="AW526" s="200">
        <f t="shared" si="2642"/>
        <v>0</v>
      </c>
      <c r="AX526" s="200">
        <f t="shared" si="2642"/>
        <v>0</v>
      </c>
      <c r="AY526" s="202">
        <v>0.0</v>
      </c>
      <c r="AZ526" s="200"/>
      <c r="BA526" s="171" t="str">
        <f t="shared" si="18"/>
        <v/>
      </c>
      <c r="BB526" s="171" t="str">
        <f t="shared" si="19"/>
        <v>Code</v>
      </c>
      <c r="BC526" s="171" t="str">
        <f t="shared" si="20"/>
        <v/>
      </c>
      <c r="BD526" s="171" t="str">
        <f t="shared" si="21"/>
        <v/>
      </c>
      <c r="BE526" s="171" t="str">
        <f t="shared" si="22"/>
        <v/>
      </c>
      <c r="BF526" s="171" t="str">
        <f t="shared" si="23"/>
        <v>Code</v>
      </c>
    </row>
    <row r="527">
      <c r="A527" s="171">
        <f t="array" ref="A527">XLOOKUP(C527,ICSE!A:A,ICSE!C:C,,2,1)</f>
        <v>2019</v>
      </c>
      <c r="B527" s="171" t="s">
        <v>5675</v>
      </c>
      <c r="C527" s="160">
        <v>949.0</v>
      </c>
      <c r="D527" s="161" t="s">
        <v>1320</v>
      </c>
      <c r="E527" s="197" t="str">
        <f t="array" ref="E527">XLOOKUP(C527,ICSE!A:A,ICSE!Z:Z,,0,1)</f>
        <v>Publicly available (1)</v>
      </c>
      <c r="F527" s="198" t="s">
        <v>20</v>
      </c>
      <c r="G527" s="163" t="str">
        <f t="array" ref="G527">IF(B527="ICSE",IF(COUNTIFS(B:B,B527,C:C,C527)=XLOOKUP(C527,ICSE!A:A,ICSE!AA:AA,"ERROR",0,1),"OK","ERROR"),IF(B527="FSE",IF(COUNTIFS(B:B,B527,C:C,C527)=XLOOKUP(C527,FSE!A:A,FSE!AA:AA,"ERROR",0,1),"OK","ERROR")))</f>
        <v>OK</v>
      </c>
      <c r="H527" s="199">
        <f t="shared" ref="H527:O527" si="2643">countif($D527,"*"&amp;H$2&amp;"*")</f>
        <v>1</v>
      </c>
      <c r="I527" s="200">
        <f t="shared" si="2643"/>
        <v>0</v>
      </c>
      <c r="J527" s="200">
        <f t="shared" si="2643"/>
        <v>0</v>
      </c>
      <c r="K527" s="200">
        <f t="shared" si="2643"/>
        <v>0</v>
      </c>
      <c r="L527" s="200">
        <f t="shared" si="2643"/>
        <v>0</v>
      </c>
      <c r="M527" s="200">
        <f t="shared" si="2643"/>
        <v>0</v>
      </c>
      <c r="N527" s="200">
        <f t="shared" si="2643"/>
        <v>0</v>
      </c>
      <c r="O527" s="200">
        <f t="shared" si="2643"/>
        <v>0</v>
      </c>
      <c r="P527" s="200">
        <f t="shared" si="9"/>
        <v>0</v>
      </c>
      <c r="Q527" s="200">
        <f t="shared" ref="Q527:AC527" si="2644">countif($D527,"*"&amp;Q$2&amp;"*")</f>
        <v>0</v>
      </c>
      <c r="R527" s="200">
        <f t="shared" si="2644"/>
        <v>0</v>
      </c>
      <c r="S527" s="200">
        <f t="shared" si="2644"/>
        <v>0</v>
      </c>
      <c r="T527" s="200">
        <f t="shared" si="2644"/>
        <v>0</v>
      </c>
      <c r="U527" s="200">
        <f t="shared" si="2644"/>
        <v>0</v>
      </c>
      <c r="V527" s="200">
        <f t="shared" si="2644"/>
        <v>0</v>
      </c>
      <c r="W527" s="200">
        <f t="shared" si="2644"/>
        <v>0</v>
      </c>
      <c r="X527" s="200">
        <f t="shared" si="2644"/>
        <v>0</v>
      </c>
      <c r="Y527" s="200">
        <f t="shared" si="2644"/>
        <v>0</v>
      </c>
      <c r="Z527" s="200">
        <f t="shared" si="2644"/>
        <v>0</v>
      </c>
      <c r="AA527" s="200">
        <f t="shared" si="2644"/>
        <v>0</v>
      </c>
      <c r="AB527" s="200">
        <f t="shared" si="2644"/>
        <v>0</v>
      </c>
      <c r="AC527" s="200">
        <f t="shared" si="2644"/>
        <v>0</v>
      </c>
      <c r="AD527" s="200">
        <f t="shared" si="11"/>
        <v>0</v>
      </c>
      <c r="AE527" s="200">
        <f t="shared" ref="AE527:AG527" si="2645">countif($D527,"*"&amp;AE$2&amp;"*")</f>
        <v>0</v>
      </c>
      <c r="AF527" s="200">
        <f t="shared" si="2645"/>
        <v>0</v>
      </c>
      <c r="AG527" s="200">
        <f t="shared" si="2645"/>
        <v>0</v>
      </c>
      <c r="AH527" s="171">
        <f t="shared" si="13"/>
        <v>0</v>
      </c>
      <c r="AI527" s="200">
        <f t="shared" si="14"/>
        <v>1</v>
      </c>
      <c r="AJ527" s="200">
        <f t="shared" si="2475"/>
        <v>0</v>
      </c>
      <c r="AK527" s="201">
        <f t="shared" ref="AK527:AS527" si="2646">countif($D527,"*"&amp;AK$2&amp;"*")</f>
        <v>0</v>
      </c>
      <c r="AL527" s="201">
        <f t="shared" si="2646"/>
        <v>0</v>
      </c>
      <c r="AM527" s="201">
        <f t="shared" si="2646"/>
        <v>0</v>
      </c>
      <c r="AN527" s="201">
        <f t="shared" si="2646"/>
        <v>0</v>
      </c>
      <c r="AO527" s="201">
        <f t="shared" si="2646"/>
        <v>0</v>
      </c>
      <c r="AP527" s="201">
        <f t="shared" si="2646"/>
        <v>0</v>
      </c>
      <c r="AQ527" s="201">
        <f t="shared" si="2646"/>
        <v>0</v>
      </c>
      <c r="AR527" s="200">
        <f t="shared" si="2646"/>
        <v>0</v>
      </c>
      <c r="AS527" s="200">
        <f t="shared" si="2646"/>
        <v>0</v>
      </c>
      <c r="AT527" s="173">
        <v>0.0</v>
      </c>
      <c r="AU527" s="200">
        <f t="shared" ref="AU527:AX527" si="2647">countif($D527,"*"&amp;AU$2&amp;"*")</f>
        <v>0</v>
      </c>
      <c r="AV527" s="200">
        <f t="shared" si="2647"/>
        <v>0</v>
      </c>
      <c r="AW527" s="200">
        <f t="shared" si="2647"/>
        <v>0</v>
      </c>
      <c r="AX527" s="200">
        <f t="shared" si="2647"/>
        <v>1</v>
      </c>
      <c r="AY527" s="202">
        <v>0.0</v>
      </c>
      <c r="AZ527" s="200"/>
      <c r="BA527" s="171" t="str">
        <f t="shared" si="18"/>
        <v>Archival</v>
      </c>
      <c r="BB527" s="171" t="str">
        <f t="shared" si="19"/>
        <v/>
      </c>
      <c r="BC527" s="171" t="str">
        <f t="shared" si="20"/>
        <v/>
      </c>
      <c r="BD527" s="171" t="str">
        <f t="shared" si="21"/>
        <v/>
      </c>
      <c r="BE527" s="171" t="str">
        <f t="shared" si="22"/>
        <v/>
      </c>
      <c r="BF527" s="171" t="str">
        <f t="shared" si="23"/>
        <v>Archival</v>
      </c>
    </row>
    <row r="528">
      <c r="A528" s="171">
        <f t="array" ref="A528">XLOOKUP(C528,ICSE!A:A,ICSE!C:C,,2,1)</f>
        <v>2019</v>
      </c>
      <c r="B528" s="171" t="s">
        <v>5675</v>
      </c>
      <c r="C528" s="160">
        <v>950.0</v>
      </c>
      <c r="D528" s="161" t="s">
        <v>1323</v>
      </c>
      <c r="E528" s="197" t="str">
        <f t="array" ref="E528">XLOOKUP(C528,ICSE!A:A,ICSE!Z:Z,,0,1)</f>
        <v>Publicly available (1)</v>
      </c>
      <c r="F528" s="198" t="s">
        <v>20</v>
      </c>
      <c r="G528" s="163" t="str">
        <f t="array" ref="G528">IF(B528="ICSE",IF(COUNTIFS(B:B,B528,C:C,C528)=XLOOKUP(C528,ICSE!A:A,ICSE!AA:AA,"ERROR",0,1),"OK","ERROR"),IF(B528="FSE",IF(COUNTIFS(B:B,B528,C:C,C528)=XLOOKUP(C528,FSE!A:A,FSE!AA:AA,"ERROR",0,1),"OK","ERROR")))</f>
        <v>OK</v>
      </c>
      <c r="H528" s="199">
        <f t="shared" ref="H528:O528" si="2648">countif($D528,"*"&amp;H$2&amp;"*")</f>
        <v>1</v>
      </c>
      <c r="I528" s="200">
        <f t="shared" si="2648"/>
        <v>0</v>
      </c>
      <c r="J528" s="200">
        <f t="shared" si="2648"/>
        <v>0</v>
      </c>
      <c r="K528" s="200">
        <f t="shared" si="2648"/>
        <v>0</v>
      </c>
      <c r="L528" s="200">
        <f t="shared" si="2648"/>
        <v>0</v>
      </c>
      <c r="M528" s="200">
        <f t="shared" si="2648"/>
        <v>0</v>
      </c>
      <c r="N528" s="200">
        <f t="shared" si="2648"/>
        <v>0</v>
      </c>
      <c r="O528" s="200">
        <f t="shared" si="2648"/>
        <v>0</v>
      </c>
      <c r="P528" s="200">
        <f t="shared" si="9"/>
        <v>0</v>
      </c>
      <c r="Q528" s="200">
        <f t="shared" ref="Q528:AC528" si="2649">countif($D528,"*"&amp;Q$2&amp;"*")</f>
        <v>0</v>
      </c>
      <c r="R528" s="200">
        <f t="shared" si="2649"/>
        <v>0</v>
      </c>
      <c r="S528" s="200">
        <f t="shared" si="2649"/>
        <v>0</v>
      </c>
      <c r="T528" s="200">
        <f t="shared" si="2649"/>
        <v>0</v>
      </c>
      <c r="U528" s="200">
        <f t="shared" si="2649"/>
        <v>0</v>
      </c>
      <c r="V528" s="200">
        <f t="shared" si="2649"/>
        <v>0</v>
      </c>
      <c r="W528" s="200">
        <f t="shared" si="2649"/>
        <v>0</v>
      </c>
      <c r="X528" s="200">
        <f t="shared" si="2649"/>
        <v>0</v>
      </c>
      <c r="Y528" s="200">
        <f t="shared" si="2649"/>
        <v>0</v>
      </c>
      <c r="Z528" s="200">
        <f t="shared" si="2649"/>
        <v>0</v>
      </c>
      <c r="AA528" s="200">
        <f t="shared" si="2649"/>
        <v>0</v>
      </c>
      <c r="AB528" s="200">
        <f t="shared" si="2649"/>
        <v>0</v>
      </c>
      <c r="AC528" s="200">
        <f t="shared" si="2649"/>
        <v>0</v>
      </c>
      <c r="AD528" s="200">
        <f t="shared" si="11"/>
        <v>0</v>
      </c>
      <c r="AE528" s="200">
        <f t="shared" ref="AE528:AG528" si="2650">countif($D528,"*"&amp;AE$2&amp;"*")</f>
        <v>0</v>
      </c>
      <c r="AF528" s="200">
        <f t="shared" si="2650"/>
        <v>0</v>
      </c>
      <c r="AG528" s="200">
        <f t="shared" si="2650"/>
        <v>0</v>
      </c>
      <c r="AH528" s="171">
        <f t="shared" si="13"/>
        <v>0</v>
      </c>
      <c r="AI528" s="200">
        <f t="shared" si="14"/>
        <v>1</v>
      </c>
      <c r="AJ528" s="200">
        <f t="shared" si="2475"/>
        <v>0</v>
      </c>
      <c r="AK528" s="201">
        <f t="shared" ref="AK528:AS528" si="2651">countif($D528,"*"&amp;AK$2&amp;"*")</f>
        <v>0</v>
      </c>
      <c r="AL528" s="201">
        <f t="shared" si="2651"/>
        <v>0</v>
      </c>
      <c r="AM528" s="201">
        <f t="shared" si="2651"/>
        <v>0</v>
      </c>
      <c r="AN528" s="201">
        <f t="shared" si="2651"/>
        <v>0</v>
      </c>
      <c r="AO528" s="201">
        <f t="shared" si="2651"/>
        <v>0</v>
      </c>
      <c r="AP528" s="201">
        <f t="shared" si="2651"/>
        <v>0</v>
      </c>
      <c r="AQ528" s="201">
        <f t="shared" si="2651"/>
        <v>0</v>
      </c>
      <c r="AR528" s="200">
        <f t="shared" si="2651"/>
        <v>0</v>
      </c>
      <c r="AS528" s="200">
        <f t="shared" si="2651"/>
        <v>0</v>
      </c>
      <c r="AT528" s="173">
        <v>0.0</v>
      </c>
      <c r="AU528" s="200">
        <f t="shared" ref="AU528:AX528" si="2652">countif($D528,"*"&amp;AU$2&amp;"*")</f>
        <v>0</v>
      </c>
      <c r="AV528" s="200">
        <f t="shared" si="2652"/>
        <v>0</v>
      </c>
      <c r="AW528" s="200">
        <f t="shared" si="2652"/>
        <v>0</v>
      </c>
      <c r="AX528" s="200">
        <f t="shared" si="2652"/>
        <v>1</v>
      </c>
      <c r="AY528" s="202">
        <v>0.0</v>
      </c>
      <c r="AZ528" s="200"/>
      <c r="BA528" s="171" t="str">
        <f t="shared" si="18"/>
        <v>Archival</v>
      </c>
      <c r="BB528" s="171" t="str">
        <f t="shared" si="19"/>
        <v/>
      </c>
      <c r="BC528" s="171" t="str">
        <f t="shared" si="20"/>
        <v/>
      </c>
      <c r="BD528" s="171" t="str">
        <f t="shared" si="21"/>
        <v/>
      </c>
      <c r="BE528" s="171" t="str">
        <f t="shared" si="22"/>
        <v/>
      </c>
      <c r="BF528" s="171" t="str">
        <f t="shared" si="23"/>
        <v>Archival</v>
      </c>
    </row>
    <row r="529">
      <c r="A529" s="171">
        <f t="array" ref="A529">XLOOKUP(C529,ICSE!A:A,ICSE!C:C,,2,1)</f>
        <v>2019</v>
      </c>
      <c r="B529" s="171" t="s">
        <v>5675</v>
      </c>
      <c r="C529" s="160">
        <v>952.0</v>
      </c>
      <c r="D529" s="161" t="s">
        <v>1327</v>
      </c>
      <c r="E529" s="197" t="str">
        <f t="array" ref="E529">XLOOKUP(C529,ICSE!A:A,ICSE!Z:Z,,0,1)</f>
        <v>Publicly available (1)</v>
      </c>
      <c r="F529" s="198" t="s">
        <v>20</v>
      </c>
      <c r="G529" s="163" t="str">
        <f t="array" ref="G529">IF(B529="ICSE",IF(COUNTIFS(B:B,B529,C:C,C529)=XLOOKUP(C529,ICSE!A:A,ICSE!AA:AA,"ERROR",0,1),"OK","ERROR"),IF(B529="FSE",IF(COUNTIFS(B:B,B529,C:C,C529)=XLOOKUP(C529,FSE!A:A,FSE!AA:AA,"ERROR",0,1),"OK","ERROR")))</f>
        <v>OK</v>
      </c>
      <c r="H529" s="199">
        <f t="shared" ref="H529:O529" si="2653">countif($D529,"*"&amp;H$2&amp;"*")</f>
        <v>0</v>
      </c>
      <c r="I529" s="200">
        <f t="shared" si="2653"/>
        <v>0</v>
      </c>
      <c r="J529" s="200">
        <f t="shared" si="2653"/>
        <v>0</v>
      </c>
      <c r="K529" s="200">
        <f t="shared" si="2653"/>
        <v>0</v>
      </c>
      <c r="L529" s="200">
        <f t="shared" si="2653"/>
        <v>0</v>
      </c>
      <c r="M529" s="200">
        <f t="shared" si="2653"/>
        <v>0</v>
      </c>
      <c r="N529" s="200">
        <f t="shared" si="2653"/>
        <v>0</v>
      </c>
      <c r="O529" s="200">
        <f t="shared" si="2653"/>
        <v>0</v>
      </c>
      <c r="P529" s="200">
        <f t="shared" si="9"/>
        <v>1</v>
      </c>
      <c r="Q529" s="200">
        <f t="shared" ref="Q529:AC529" si="2654">countif($D529,"*"&amp;Q$2&amp;"*")</f>
        <v>0</v>
      </c>
      <c r="R529" s="200">
        <f t="shared" si="2654"/>
        <v>0</v>
      </c>
      <c r="S529" s="200">
        <f t="shared" si="2654"/>
        <v>0</v>
      </c>
      <c r="T529" s="200">
        <f t="shared" si="2654"/>
        <v>0</v>
      </c>
      <c r="U529" s="200">
        <f t="shared" si="2654"/>
        <v>0</v>
      </c>
      <c r="V529" s="200">
        <f t="shared" si="2654"/>
        <v>0</v>
      </c>
      <c r="W529" s="200">
        <f t="shared" si="2654"/>
        <v>0</v>
      </c>
      <c r="X529" s="200">
        <f t="shared" si="2654"/>
        <v>0</v>
      </c>
      <c r="Y529" s="200">
        <f t="shared" si="2654"/>
        <v>0</v>
      </c>
      <c r="Z529" s="200">
        <f t="shared" si="2654"/>
        <v>0</v>
      </c>
      <c r="AA529" s="200">
        <f t="shared" si="2654"/>
        <v>0</v>
      </c>
      <c r="AB529" s="200">
        <f t="shared" si="2654"/>
        <v>0</v>
      </c>
      <c r="AC529" s="200">
        <f t="shared" si="2654"/>
        <v>0</v>
      </c>
      <c r="AD529" s="200">
        <f t="shared" si="11"/>
        <v>0</v>
      </c>
      <c r="AE529" s="200">
        <f t="shared" ref="AE529:AG529" si="2655">countif($D529,"*"&amp;AE$2&amp;"*")</f>
        <v>0</v>
      </c>
      <c r="AF529" s="200">
        <f t="shared" si="2655"/>
        <v>0</v>
      </c>
      <c r="AG529" s="200">
        <f t="shared" si="2655"/>
        <v>0</v>
      </c>
      <c r="AH529" s="171">
        <f t="shared" si="13"/>
        <v>0</v>
      </c>
      <c r="AI529" s="200">
        <f t="shared" si="14"/>
        <v>0</v>
      </c>
      <c r="AJ529" s="200">
        <f t="shared" si="2475"/>
        <v>0</v>
      </c>
      <c r="AK529" s="201">
        <f t="shared" ref="AK529:AS529" si="2656">countif($D529,"*"&amp;AK$2&amp;"*")</f>
        <v>0</v>
      </c>
      <c r="AL529" s="201">
        <f t="shared" si="2656"/>
        <v>0</v>
      </c>
      <c r="AM529" s="201">
        <f t="shared" si="2656"/>
        <v>0</v>
      </c>
      <c r="AN529" s="201">
        <f t="shared" si="2656"/>
        <v>0</v>
      </c>
      <c r="AO529" s="201">
        <f t="shared" si="2656"/>
        <v>0</v>
      </c>
      <c r="AP529" s="201">
        <f t="shared" si="2656"/>
        <v>0</v>
      </c>
      <c r="AQ529" s="201">
        <f t="shared" si="2656"/>
        <v>0</v>
      </c>
      <c r="AR529" s="200">
        <f t="shared" si="2656"/>
        <v>0</v>
      </c>
      <c r="AS529" s="200">
        <f t="shared" si="2656"/>
        <v>0</v>
      </c>
      <c r="AT529" s="173">
        <v>0.0</v>
      </c>
      <c r="AU529" s="200">
        <f t="shared" ref="AU529:AX529" si="2657">countif($D529,"*"&amp;AU$2&amp;"*")</f>
        <v>0</v>
      </c>
      <c r="AV529" s="200">
        <f t="shared" si="2657"/>
        <v>1</v>
      </c>
      <c r="AW529" s="200">
        <f t="shared" si="2657"/>
        <v>0</v>
      </c>
      <c r="AX529" s="200">
        <f t="shared" si="2657"/>
        <v>0</v>
      </c>
      <c r="AY529" s="202">
        <v>0.0</v>
      </c>
      <c r="AZ529" s="200"/>
      <c r="BA529" s="171" t="str">
        <f t="shared" si="18"/>
        <v/>
      </c>
      <c r="BB529" s="171" t="str">
        <f t="shared" si="19"/>
        <v>Code</v>
      </c>
      <c r="BC529" s="171" t="str">
        <f t="shared" si="20"/>
        <v/>
      </c>
      <c r="BD529" s="171" t="str">
        <f t="shared" si="21"/>
        <v/>
      </c>
      <c r="BE529" s="171" t="str">
        <f t="shared" si="22"/>
        <v/>
      </c>
      <c r="BF529" s="171" t="str">
        <f t="shared" si="23"/>
        <v>Code</v>
      </c>
    </row>
    <row r="530">
      <c r="A530" s="171">
        <f t="array" ref="A530">XLOOKUP(C530,ICSE!A:A,ICSE!C:C,,2,1)</f>
        <v>2019</v>
      </c>
      <c r="B530" s="171" t="s">
        <v>5675</v>
      </c>
      <c r="C530" s="160">
        <v>953.0</v>
      </c>
      <c r="D530" s="161" t="s">
        <v>1330</v>
      </c>
      <c r="E530" s="197" t="str">
        <f t="array" ref="E530">XLOOKUP(C530,ICSE!A:A,ICSE!Z:Z,,0,1)</f>
        <v>Publicly available (1)</v>
      </c>
      <c r="F530" s="198" t="s">
        <v>20</v>
      </c>
      <c r="G530" s="163" t="str">
        <f t="array" ref="G530">IF(B530="ICSE",IF(COUNTIFS(B:B,B530,C:C,C530)=XLOOKUP(C530,ICSE!A:A,ICSE!AA:AA,"ERROR",0,1),"OK","ERROR"),IF(B530="FSE",IF(COUNTIFS(B:B,B530,C:C,C530)=XLOOKUP(C530,FSE!A:A,FSE!AA:AA,"ERROR",0,1),"OK","ERROR")))</f>
        <v>OK</v>
      </c>
      <c r="H530" s="199">
        <f t="shared" ref="H530:O530" si="2658">countif($D530,"*"&amp;H$2&amp;"*")</f>
        <v>0</v>
      </c>
      <c r="I530" s="200">
        <f t="shared" si="2658"/>
        <v>0</v>
      </c>
      <c r="J530" s="200">
        <f t="shared" si="2658"/>
        <v>0</v>
      </c>
      <c r="K530" s="200">
        <f t="shared" si="2658"/>
        <v>0</v>
      </c>
      <c r="L530" s="200">
        <f t="shared" si="2658"/>
        <v>0</v>
      </c>
      <c r="M530" s="200">
        <f t="shared" si="2658"/>
        <v>0</v>
      </c>
      <c r="N530" s="200">
        <f t="shared" si="2658"/>
        <v>0</v>
      </c>
      <c r="O530" s="200">
        <f t="shared" si="2658"/>
        <v>0</v>
      </c>
      <c r="P530" s="200">
        <f t="shared" si="9"/>
        <v>1</v>
      </c>
      <c r="Q530" s="200">
        <f t="shared" ref="Q530:AC530" si="2659">countif($D530,"*"&amp;Q$2&amp;"*")</f>
        <v>0</v>
      </c>
      <c r="R530" s="200">
        <f t="shared" si="2659"/>
        <v>0</v>
      </c>
      <c r="S530" s="200">
        <f t="shared" si="2659"/>
        <v>0</v>
      </c>
      <c r="T530" s="200">
        <f t="shared" si="2659"/>
        <v>0</v>
      </c>
      <c r="U530" s="200">
        <f t="shared" si="2659"/>
        <v>0</v>
      </c>
      <c r="V530" s="200">
        <f t="shared" si="2659"/>
        <v>0</v>
      </c>
      <c r="W530" s="200">
        <f t="shared" si="2659"/>
        <v>0</v>
      </c>
      <c r="X530" s="200">
        <f t="shared" si="2659"/>
        <v>0</v>
      </c>
      <c r="Y530" s="200">
        <f t="shared" si="2659"/>
        <v>0</v>
      </c>
      <c r="Z530" s="200">
        <f t="shared" si="2659"/>
        <v>0</v>
      </c>
      <c r="AA530" s="200">
        <f t="shared" si="2659"/>
        <v>0</v>
      </c>
      <c r="AB530" s="200">
        <f t="shared" si="2659"/>
        <v>0</v>
      </c>
      <c r="AC530" s="200">
        <f t="shared" si="2659"/>
        <v>0</v>
      </c>
      <c r="AD530" s="200">
        <f t="shared" si="11"/>
        <v>0</v>
      </c>
      <c r="AE530" s="200">
        <f t="shared" ref="AE530:AG530" si="2660">countif($D530,"*"&amp;AE$2&amp;"*")</f>
        <v>0</v>
      </c>
      <c r="AF530" s="200">
        <f t="shared" si="2660"/>
        <v>0</v>
      </c>
      <c r="AG530" s="200">
        <f t="shared" si="2660"/>
        <v>0</v>
      </c>
      <c r="AH530" s="171">
        <f t="shared" si="13"/>
        <v>0</v>
      </c>
      <c r="AI530" s="200">
        <f t="shared" si="14"/>
        <v>0</v>
      </c>
      <c r="AJ530" s="200">
        <f t="shared" si="2475"/>
        <v>0</v>
      </c>
      <c r="AK530" s="201">
        <f t="shared" ref="AK530:AS530" si="2661">countif($D530,"*"&amp;AK$2&amp;"*")</f>
        <v>0</v>
      </c>
      <c r="AL530" s="201">
        <f t="shared" si="2661"/>
        <v>0</v>
      </c>
      <c r="AM530" s="201">
        <f t="shared" si="2661"/>
        <v>0</v>
      </c>
      <c r="AN530" s="201">
        <f t="shared" si="2661"/>
        <v>0</v>
      </c>
      <c r="AO530" s="201">
        <f t="shared" si="2661"/>
        <v>0</v>
      </c>
      <c r="AP530" s="201">
        <f t="shared" si="2661"/>
        <v>0</v>
      </c>
      <c r="AQ530" s="201">
        <f t="shared" si="2661"/>
        <v>0</v>
      </c>
      <c r="AR530" s="200">
        <f t="shared" si="2661"/>
        <v>0</v>
      </c>
      <c r="AS530" s="200">
        <f t="shared" si="2661"/>
        <v>0</v>
      </c>
      <c r="AT530" s="173">
        <v>0.0</v>
      </c>
      <c r="AU530" s="200">
        <f t="shared" ref="AU530:AX530" si="2662">countif($D530,"*"&amp;AU$2&amp;"*")</f>
        <v>0</v>
      </c>
      <c r="AV530" s="200">
        <f t="shared" si="2662"/>
        <v>1</v>
      </c>
      <c r="AW530" s="200">
        <f t="shared" si="2662"/>
        <v>0</v>
      </c>
      <c r="AX530" s="200">
        <f t="shared" si="2662"/>
        <v>0</v>
      </c>
      <c r="AY530" s="202">
        <v>0.0</v>
      </c>
      <c r="AZ530" s="200"/>
      <c r="BA530" s="171" t="str">
        <f t="shared" si="18"/>
        <v/>
      </c>
      <c r="BB530" s="171" t="str">
        <f t="shared" si="19"/>
        <v>Code</v>
      </c>
      <c r="BC530" s="171" t="str">
        <f t="shared" si="20"/>
        <v/>
      </c>
      <c r="BD530" s="171" t="str">
        <f t="shared" si="21"/>
        <v/>
      </c>
      <c r="BE530" s="171" t="str">
        <f t="shared" si="22"/>
        <v/>
      </c>
      <c r="BF530" s="171" t="str">
        <f t="shared" si="23"/>
        <v>Code</v>
      </c>
    </row>
    <row r="531">
      <c r="A531" s="171">
        <f t="array" ref="A531">XLOOKUP(C531,ICSE!A:A,ICSE!C:C,,2,1)</f>
        <v>2019</v>
      </c>
      <c r="B531" s="171" t="s">
        <v>5675</v>
      </c>
      <c r="C531" s="160">
        <v>954.0</v>
      </c>
      <c r="D531" s="161" t="s">
        <v>1333</v>
      </c>
      <c r="E531" s="197" t="str">
        <f t="array" ref="E531">XLOOKUP(C531,ICSE!A:A,ICSE!Z:Z,,0,1)</f>
        <v>Publicly available (1)</v>
      </c>
      <c r="F531" s="198" t="s">
        <v>20</v>
      </c>
      <c r="G531" s="163" t="str">
        <f t="array" ref="G531">IF(B531="ICSE",IF(COUNTIFS(B:B,B531,C:C,C531)=XLOOKUP(C531,ICSE!A:A,ICSE!AA:AA,"ERROR",0,1),"OK","ERROR"),IF(B531="FSE",IF(COUNTIFS(B:B,B531,C:C,C531)=XLOOKUP(C531,FSE!A:A,FSE!AA:AA,"ERROR",0,1),"OK","ERROR")))</f>
        <v>OK</v>
      </c>
      <c r="H531" s="199">
        <f t="shared" ref="H531:O531" si="2663">countif($D531,"*"&amp;H$2&amp;"*")</f>
        <v>0</v>
      </c>
      <c r="I531" s="200">
        <f t="shared" si="2663"/>
        <v>0</v>
      </c>
      <c r="J531" s="200">
        <f t="shared" si="2663"/>
        <v>0</v>
      </c>
      <c r="K531" s="200">
        <f t="shared" si="2663"/>
        <v>0</v>
      </c>
      <c r="L531" s="200">
        <f t="shared" si="2663"/>
        <v>0</v>
      </c>
      <c r="M531" s="200">
        <f t="shared" si="2663"/>
        <v>0</v>
      </c>
      <c r="N531" s="200">
        <f t="shared" si="2663"/>
        <v>0</v>
      </c>
      <c r="O531" s="200">
        <f t="shared" si="2663"/>
        <v>0</v>
      </c>
      <c r="P531" s="200">
        <f t="shared" si="9"/>
        <v>1</v>
      </c>
      <c r="Q531" s="200">
        <f t="shared" ref="Q531:AC531" si="2664">countif($D531,"*"&amp;Q$2&amp;"*")</f>
        <v>0</v>
      </c>
      <c r="R531" s="200">
        <f t="shared" si="2664"/>
        <v>0</v>
      </c>
      <c r="S531" s="200">
        <f t="shared" si="2664"/>
        <v>0</v>
      </c>
      <c r="T531" s="200">
        <f t="shared" si="2664"/>
        <v>0</v>
      </c>
      <c r="U531" s="200">
        <f t="shared" si="2664"/>
        <v>0</v>
      </c>
      <c r="V531" s="200">
        <f t="shared" si="2664"/>
        <v>0</v>
      </c>
      <c r="W531" s="200">
        <f t="shared" si="2664"/>
        <v>0</v>
      </c>
      <c r="X531" s="200">
        <f t="shared" si="2664"/>
        <v>0</v>
      </c>
      <c r="Y531" s="200">
        <f t="shared" si="2664"/>
        <v>0</v>
      </c>
      <c r="Z531" s="200">
        <f t="shared" si="2664"/>
        <v>0</v>
      </c>
      <c r="AA531" s="200">
        <f t="shared" si="2664"/>
        <v>0</v>
      </c>
      <c r="AB531" s="200">
        <f t="shared" si="2664"/>
        <v>0</v>
      </c>
      <c r="AC531" s="200">
        <f t="shared" si="2664"/>
        <v>0</v>
      </c>
      <c r="AD531" s="200">
        <f t="shared" si="11"/>
        <v>0</v>
      </c>
      <c r="AE531" s="200">
        <f t="shared" ref="AE531:AG531" si="2665">countif($D531,"*"&amp;AE$2&amp;"*")</f>
        <v>0</v>
      </c>
      <c r="AF531" s="200">
        <f t="shared" si="2665"/>
        <v>0</v>
      </c>
      <c r="AG531" s="200">
        <f t="shared" si="2665"/>
        <v>0</v>
      </c>
      <c r="AH531" s="171">
        <f t="shared" si="13"/>
        <v>0</v>
      </c>
      <c r="AI531" s="200">
        <f t="shared" si="14"/>
        <v>0</v>
      </c>
      <c r="AJ531" s="200">
        <f t="shared" si="2475"/>
        <v>0</v>
      </c>
      <c r="AK531" s="201">
        <f t="shared" ref="AK531:AS531" si="2666">countif($D531,"*"&amp;AK$2&amp;"*")</f>
        <v>0</v>
      </c>
      <c r="AL531" s="201">
        <f t="shared" si="2666"/>
        <v>0</v>
      </c>
      <c r="AM531" s="201">
        <f t="shared" si="2666"/>
        <v>0</v>
      </c>
      <c r="AN531" s="201">
        <f t="shared" si="2666"/>
        <v>0</v>
      </c>
      <c r="AO531" s="201">
        <f t="shared" si="2666"/>
        <v>0</v>
      </c>
      <c r="AP531" s="201">
        <f t="shared" si="2666"/>
        <v>0</v>
      </c>
      <c r="AQ531" s="201">
        <f t="shared" si="2666"/>
        <v>0</v>
      </c>
      <c r="AR531" s="200">
        <f t="shared" si="2666"/>
        <v>0</v>
      </c>
      <c r="AS531" s="200">
        <f t="shared" si="2666"/>
        <v>0</v>
      </c>
      <c r="AT531" s="173">
        <v>0.0</v>
      </c>
      <c r="AU531" s="200">
        <f t="shared" ref="AU531:AX531" si="2667">countif($D531,"*"&amp;AU$2&amp;"*")</f>
        <v>0</v>
      </c>
      <c r="AV531" s="200">
        <f t="shared" si="2667"/>
        <v>1</v>
      </c>
      <c r="AW531" s="200">
        <f t="shared" si="2667"/>
        <v>0</v>
      </c>
      <c r="AX531" s="200">
        <f t="shared" si="2667"/>
        <v>0</v>
      </c>
      <c r="AY531" s="202">
        <v>0.0</v>
      </c>
      <c r="AZ531" s="200"/>
      <c r="BA531" s="171" t="str">
        <f t="shared" si="18"/>
        <v/>
      </c>
      <c r="BB531" s="171" t="str">
        <f t="shared" si="19"/>
        <v>Code</v>
      </c>
      <c r="BC531" s="171" t="str">
        <f t="shared" si="20"/>
        <v/>
      </c>
      <c r="BD531" s="171" t="str">
        <f t="shared" si="21"/>
        <v/>
      </c>
      <c r="BE531" s="171" t="str">
        <f t="shared" si="22"/>
        <v/>
      </c>
      <c r="BF531" s="171" t="str">
        <f t="shared" si="23"/>
        <v>Code</v>
      </c>
    </row>
    <row r="532">
      <c r="A532" s="171">
        <f t="array" ref="A532">XLOOKUP(C532,ICSE!A:A,ICSE!C:C,,2,1)</f>
        <v>2019</v>
      </c>
      <c r="B532" s="171" t="s">
        <v>5675</v>
      </c>
      <c r="C532" s="160">
        <v>955.0</v>
      </c>
      <c r="D532" s="161" t="s">
        <v>1336</v>
      </c>
      <c r="E532" s="197" t="str">
        <f t="array" ref="E532">XLOOKUP(C532,ICSE!A:A,ICSE!Z:Z,,0,1)</f>
        <v>Not available (1) - Broken link.</v>
      </c>
      <c r="F532" s="198" t="s">
        <v>21</v>
      </c>
      <c r="G532" s="163" t="str">
        <f t="array" ref="G532">IF(B532="ICSE",IF(COUNTIFS(B:B,B532,C:C,C532)=XLOOKUP(C532,ICSE!A:A,ICSE!AA:AA,"ERROR",0,1),"OK","ERROR"),IF(B532="FSE",IF(COUNTIFS(B:B,B532,C:C,C532)=XLOOKUP(C532,FSE!A:A,FSE!AA:AA,"ERROR",0,1),"OK","ERROR")))</f>
        <v>OK</v>
      </c>
      <c r="H532" s="199">
        <f t="shared" ref="H532:O532" si="2668">countif($D532,"*"&amp;H$2&amp;"*")</f>
        <v>0</v>
      </c>
      <c r="I532" s="200">
        <f t="shared" si="2668"/>
        <v>0</v>
      </c>
      <c r="J532" s="200">
        <f t="shared" si="2668"/>
        <v>0</v>
      </c>
      <c r="K532" s="200">
        <f t="shared" si="2668"/>
        <v>0</v>
      </c>
      <c r="L532" s="200">
        <f t="shared" si="2668"/>
        <v>0</v>
      </c>
      <c r="M532" s="200">
        <f t="shared" si="2668"/>
        <v>0</v>
      </c>
      <c r="N532" s="200">
        <f t="shared" si="2668"/>
        <v>0</v>
      </c>
      <c r="O532" s="200">
        <f t="shared" si="2668"/>
        <v>0</v>
      </c>
      <c r="P532" s="200">
        <f t="shared" si="9"/>
        <v>0</v>
      </c>
      <c r="Q532" s="200">
        <f t="shared" ref="Q532:AC532" si="2669">countif($D532,"*"&amp;Q$2&amp;"*")</f>
        <v>0</v>
      </c>
      <c r="R532" s="200">
        <f t="shared" si="2669"/>
        <v>0</v>
      </c>
      <c r="S532" s="200">
        <f t="shared" si="2669"/>
        <v>0</v>
      </c>
      <c r="T532" s="200">
        <f t="shared" si="2669"/>
        <v>0</v>
      </c>
      <c r="U532" s="200">
        <f t="shared" si="2669"/>
        <v>0</v>
      </c>
      <c r="V532" s="200">
        <f t="shared" si="2669"/>
        <v>0</v>
      </c>
      <c r="W532" s="200">
        <f t="shared" si="2669"/>
        <v>0</v>
      </c>
      <c r="X532" s="200">
        <f t="shared" si="2669"/>
        <v>0</v>
      </c>
      <c r="Y532" s="200">
        <f t="shared" si="2669"/>
        <v>0</v>
      </c>
      <c r="Z532" s="200">
        <f t="shared" si="2669"/>
        <v>0</v>
      </c>
      <c r="AA532" s="200">
        <f t="shared" si="2669"/>
        <v>1</v>
      </c>
      <c r="AB532" s="200">
        <f t="shared" si="2669"/>
        <v>0</v>
      </c>
      <c r="AC532" s="200">
        <f t="shared" si="2669"/>
        <v>0</v>
      </c>
      <c r="AD532" s="200">
        <f t="shared" si="11"/>
        <v>0</v>
      </c>
      <c r="AE532" s="200">
        <f t="shared" ref="AE532:AG532" si="2670">countif($D532,"*"&amp;AE$2&amp;"*")</f>
        <v>0</v>
      </c>
      <c r="AF532" s="200">
        <f t="shared" si="2670"/>
        <v>0</v>
      </c>
      <c r="AG532" s="200">
        <f t="shared" si="2670"/>
        <v>0</v>
      </c>
      <c r="AH532" s="171">
        <f t="shared" si="13"/>
        <v>0</v>
      </c>
      <c r="AI532" s="200">
        <f t="shared" si="14"/>
        <v>0</v>
      </c>
      <c r="AJ532" s="200">
        <f t="shared" si="2475"/>
        <v>0</v>
      </c>
      <c r="AK532" s="201">
        <f t="shared" ref="AK532:AS532" si="2671">countif($D532,"*"&amp;AK$2&amp;"*")</f>
        <v>0</v>
      </c>
      <c r="AL532" s="201">
        <f t="shared" si="2671"/>
        <v>0</v>
      </c>
      <c r="AM532" s="201">
        <f t="shared" si="2671"/>
        <v>0</v>
      </c>
      <c r="AN532" s="201">
        <f t="shared" si="2671"/>
        <v>0</v>
      </c>
      <c r="AO532" s="201">
        <f t="shared" si="2671"/>
        <v>0</v>
      </c>
      <c r="AP532" s="201">
        <f t="shared" si="2671"/>
        <v>0</v>
      </c>
      <c r="AQ532" s="201">
        <f t="shared" si="2671"/>
        <v>0</v>
      </c>
      <c r="AR532" s="200">
        <f t="shared" si="2671"/>
        <v>0</v>
      </c>
      <c r="AS532" s="200">
        <f t="shared" si="2671"/>
        <v>0</v>
      </c>
      <c r="AT532" s="173">
        <v>0.0</v>
      </c>
      <c r="AU532" s="200">
        <f t="shared" ref="AU532:AX532" si="2672">countif($D532,"*"&amp;AU$2&amp;"*")</f>
        <v>0</v>
      </c>
      <c r="AV532" s="200">
        <f t="shared" si="2672"/>
        <v>0</v>
      </c>
      <c r="AW532" s="200">
        <f t="shared" si="2672"/>
        <v>0</v>
      </c>
      <c r="AX532" s="200">
        <f t="shared" si="2672"/>
        <v>0</v>
      </c>
      <c r="AY532" s="202">
        <v>0.0</v>
      </c>
      <c r="AZ532" s="200"/>
      <c r="BA532" s="171" t="str">
        <f t="shared" si="18"/>
        <v/>
      </c>
      <c r="BB532" s="171" t="str">
        <f t="shared" si="19"/>
        <v/>
      </c>
      <c r="BC532" s="171" t="str">
        <f t="shared" si="20"/>
        <v>General-purpose</v>
      </c>
      <c r="BD532" s="171" t="str">
        <f t="shared" si="21"/>
        <v/>
      </c>
      <c r="BE532" s="171" t="str">
        <f t="shared" si="22"/>
        <v/>
      </c>
      <c r="BF532" s="171" t="str">
        <f t="shared" si="23"/>
        <v>General-purpose</v>
      </c>
    </row>
    <row r="533">
      <c r="A533" s="171">
        <f t="array" ref="A533">XLOOKUP(C533,ICSE!A:A,ICSE!C:C,,2,1)</f>
        <v>2019</v>
      </c>
      <c r="B533" s="171" t="s">
        <v>5675</v>
      </c>
      <c r="C533" s="160">
        <v>956.0</v>
      </c>
      <c r="D533" s="161" t="s">
        <v>1339</v>
      </c>
      <c r="E533" s="197" t="str">
        <f t="array" ref="E533">XLOOKUP(C533,ICSE!A:A,ICSE!Z:Z,,0,1)</f>
        <v>Publicly available (1)</v>
      </c>
      <c r="F533" s="198" t="s">
        <v>20</v>
      </c>
      <c r="G533" s="163" t="str">
        <f t="array" ref="G533">IF(B533="ICSE",IF(COUNTIFS(B:B,B533,C:C,C533)=XLOOKUP(C533,ICSE!A:A,ICSE!AA:AA,"ERROR",0,1),"OK","ERROR"),IF(B533="FSE",IF(COUNTIFS(B:B,B533,C:C,C533)=XLOOKUP(C533,FSE!A:A,FSE!AA:AA,"ERROR",0,1),"OK","ERROR")))</f>
        <v>OK</v>
      </c>
      <c r="H533" s="199">
        <f t="shared" ref="H533:O533" si="2673">countif($D533,"*"&amp;H$2&amp;"*")</f>
        <v>0</v>
      </c>
      <c r="I533" s="200">
        <f t="shared" si="2673"/>
        <v>0</v>
      </c>
      <c r="J533" s="200">
        <f t="shared" si="2673"/>
        <v>0</v>
      </c>
      <c r="K533" s="200">
        <f t="shared" si="2673"/>
        <v>0</v>
      </c>
      <c r="L533" s="200">
        <f t="shared" si="2673"/>
        <v>0</v>
      </c>
      <c r="M533" s="200">
        <f t="shared" si="2673"/>
        <v>0</v>
      </c>
      <c r="N533" s="200">
        <f t="shared" si="2673"/>
        <v>0</v>
      </c>
      <c r="O533" s="200">
        <f t="shared" si="2673"/>
        <v>0</v>
      </c>
      <c r="P533" s="200">
        <f t="shared" si="9"/>
        <v>0</v>
      </c>
      <c r="Q533" s="200">
        <f t="shared" ref="Q533:AC533" si="2674">countif($D533,"*"&amp;Q$2&amp;"*")</f>
        <v>0</v>
      </c>
      <c r="R533" s="200">
        <f t="shared" si="2674"/>
        <v>0</v>
      </c>
      <c r="S533" s="200">
        <f t="shared" si="2674"/>
        <v>0</v>
      </c>
      <c r="T533" s="200">
        <f t="shared" si="2674"/>
        <v>0</v>
      </c>
      <c r="U533" s="200">
        <f t="shared" si="2674"/>
        <v>0</v>
      </c>
      <c r="V533" s="200">
        <f t="shared" si="2674"/>
        <v>0</v>
      </c>
      <c r="W533" s="200">
        <f t="shared" si="2674"/>
        <v>0</v>
      </c>
      <c r="X533" s="200">
        <f t="shared" si="2674"/>
        <v>0</v>
      </c>
      <c r="Y533" s="200">
        <f t="shared" si="2674"/>
        <v>0</v>
      </c>
      <c r="Z533" s="200">
        <f t="shared" si="2674"/>
        <v>0</v>
      </c>
      <c r="AA533" s="200">
        <f t="shared" si="2674"/>
        <v>0</v>
      </c>
      <c r="AB533" s="200">
        <f t="shared" si="2674"/>
        <v>0</v>
      </c>
      <c r="AC533" s="200">
        <f t="shared" si="2674"/>
        <v>0</v>
      </c>
      <c r="AD533" s="200">
        <f t="shared" si="11"/>
        <v>1</v>
      </c>
      <c r="AE533" s="200">
        <f t="shared" ref="AE533:AG533" si="2675">countif($D533,"*"&amp;AE$2&amp;"*")</f>
        <v>0</v>
      </c>
      <c r="AF533" s="200">
        <f t="shared" si="2675"/>
        <v>0</v>
      </c>
      <c r="AG533" s="200">
        <f t="shared" si="2675"/>
        <v>0</v>
      </c>
      <c r="AH533" s="171">
        <f t="shared" si="13"/>
        <v>0</v>
      </c>
      <c r="AI533" s="200">
        <f t="shared" si="14"/>
        <v>0</v>
      </c>
      <c r="AJ533" s="200">
        <f>SUM(AK533:AQ533)</f>
        <v>0</v>
      </c>
      <c r="AK533" s="201">
        <f t="shared" ref="AK533:AS533" si="2676">countif($D533,"*"&amp;AK$2&amp;"*")</f>
        <v>0</v>
      </c>
      <c r="AL533" s="201">
        <f t="shared" si="2676"/>
        <v>0</v>
      </c>
      <c r="AM533" s="201">
        <f t="shared" si="2676"/>
        <v>0</v>
      </c>
      <c r="AN533" s="201">
        <f t="shared" si="2676"/>
        <v>0</v>
      </c>
      <c r="AO533" s="201">
        <f t="shared" si="2676"/>
        <v>0</v>
      </c>
      <c r="AP533" s="201">
        <f t="shared" si="2676"/>
        <v>0</v>
      </c>
      <c r="AQ533" s="201">
        <f t="shared" si="2676"/>
        <v>0</v>
      </c>
      <c r="AR533" s="201">
        <f t="shared" si="2676"/>
        <v>0</v>
      </c>
      <c r="AS533" s="200">
        <f t="shared" si="2676"/>
        <v>0</v>
      </c>
      <c r="AT533" s="205">
        <v>0.0</v>
      </c>
      <c r="AU533" s="200">
        <f t="shared" ref="AU533:AX533" si="2677">countif($D533,"*"&amp;AU$2&amp;"*")</f>
        <v>1</v>
      </c>
      <c r="AV533" s="200">
        <f t="shared" si="2677"/>
        <v>0</v>
      </c>
      <c r="AW533" s="200">
        <f t="shared" si="2677"/>
        <v>0</v>
      </c>
      <c r="AX533" s="200">
        <f t="shared" si="2677"/>
        <v>0</v>
      </c>
      <c r="AY533" s="202">
        <v>0.0</v>
      </c>
      <c r="AZ533" s="200"/>
      <c r="BA533" s="171" t="str">
        <f t="shared" si="18"/>
        <v/>
      </c>
      <c r="BB533" s="171" t="str">
        <f t="shared" si="19"/>
        <v/>
      </c>
      <c r="BC533" s="171" t="str">
        <f t="shared" si="20"/>
        <v/>
      </c>
      <c r="BD533" s="171" t="str">
        <f t="shared" si="21"/>
        <v>Institutional</v>
      </c>
      <c r="BE533" s="171" t="str">
        <f t="shared" si="22"/>
        <v/>
      </c>
      <c r="BF533" s="171" t="str">
        <f t="shared" si="23"/>
        <v>Institutional</v>
      </c>
    </row>
    <row r="534">
      <c r="A534" s="171">
        <f t="array" ref="A534">XLOOKUP(C534,ICSE!A:A,ICSE!C:C,,2,1)</f>
        <v>2019</v>
      </c>
      <c r="B534" s="171" t="s">
        <v>5675</v>
      </c>
      <c r="C534" s="160">
        <v>957.0</v>
      </c>
      <c r="D534" s="161" t="s">
        <v>1342</v>
      </c>
      <c r="E534" s="197" t="str">
        <f t="array" ref="E534">XLOOKUP(C534,ICSE!A:A,ICSE!Z:Z,,0,1)</f>
        <v>Not available (1) - Broken link.</v>
      </c>
      <c r="F534" s="198" t="s">
        <v>21</v>
      </c>
      <c r="G534" s="163" t="str">
        <f t="array" ref="G534">IF(B534="ICSE",IF(COUNTIFS(B:B,B534,C:C,C534)=XLOOKUP(C534,ICSE!A:A,ICSE!AA:AA,"ERROR",0,1),"OK","ERROR"),IF(B534="FSE",IF(COUNTIFS(B:B,B534,C:C,C534)=XLOOKUP(C534,FSE!A:A,FSE!AA:AA,"ERROR",0,1),"OK","ERROR")))</f>
        <v>OK</v>
      </c>
      <c r="H534" s="199">
        <f t="shared" ref="H534:O534" si="2678">countif($D534,"*"&amp;H$2&amp;"*")</f>
        <v>0</v>
      </c>
      <c r="I534" s="200">
        <f t="shared" si="2678"/>
        <v>0</v>
      </c>
      <c r="J534" s="200">
        <f t="shared" si="2678"/>
        <v>0</v>
      </c>
      <c r="K534" s="200">
        <f t="shared" si="2678"/>
        <v>0</v>
      </c>
      <c r="L534" s="200">
        <f t="shared" si="2678"/>
        <v>0</v>
      </c>
      <c r="M534" s="200">
        <f t="shared" si="2678"/>
        <v>0</v>
      </c>
      <c r="N534" s="200">
        <f t="shared" si="2678"/>
        <v>0</v>
      </c>
      <c r="O534" s="200">
        <f t="shared" si="2678"/>
        <v>0</v>
      </c>
      <c r="P534" s="200">
        <f t="shared" si="9"/>
        <v>1</v>
      </c>
      <c r="Q534" s="200">
        <f t="shared" ref="Q534:AC534" si="2679">countif($D534,"*"&amp;Q$2&amp;"*")</f>
        <v>0</v>
      </c>
      <c r="R534" s="200">
        <f t="shared" si="2679"/>
        <v>0</v>
      </c>
      <c r="S534" s="200">
        <f t="shared" si="2679"/>
        <v>0</v>
      </c>
      <c r="T534" s="200">
        <f t="shared" si="2679"/>
        <v>0</v>
      </c>
      <c r="U534" s="200">
        <f t="shared" si="2679"/>
        <v>0</v>
      </c>
      <c r="V534" s="200">
        <f t="shared" si="2679"/>
        <v>0</v>
      </c>
      <c r="W534" s="200">
        <f t="shared" si="2679"/>
        <v>0</v>
      </c>
      <c r="X534" s="200">
        <f t="shared" si="2679"/>
        <v>0</v>
      </c>
      <c r="Y534" s="200">
        <f t="shared" si="2679"/>
        <v>0</v>
      </c>
      <c r="Z534" s="200">
        <f t="shared" si="2679"/>
        <v>0</v>
      </c>
      <c r="AA534" s="200">
        <f t="shared" si="2679"/>
        <v>0</v>
      </c>
      <c r="AB534" s="200">
        <f t="shared" si="2679"/>
        <v>0</v>
      </c>
      <c r="AC534" s="200">
        <f t="shared" si="2679"/>
        <v>0</v>
      </c>
      <c r="AD534" s="200">
        <f t="shared" si="11"/>
        <v>0</v>
      </c>
      <c r="AE534" s="200">
        <f t="shared" ref="AE534:AG534" si="2680">countif($D534,"*"&amp;AE$2&amp;"*")</f>
        <v>0</v>
      </c>
      <c r="AF534" s="200">
        <f t="shared" si="2680"/>
        <v>0</v>
      </c>
      <c r="AG534" s="200">
        <f t="shared" si="2680"/>
        <v>0</v>
      </c>
      <c r="AH534" s="171">
        <f t="shared" si="13"/>
        <v>0</v>
      </c>
      <c r="AI534" s="200">
        <f t="shared" si="14"/>
        <v>0</v>
      </c>
      <c r="AJ534" s="200">
        <f t="shared" ref="AJ534:AJ570" si="2686">SUM(AK534:AR534)</f>
        <v>0</v>
      </c>
      <c r="AK534" s="201">
        <f t="shared" ref="AK534:AS534" si="2681">countif($D534,"*"&amp;AK$2&amp;"*")</f>
        <v>0</v>
      </c>
      <c r="AL534" s="201">
        <f t="shared" si="2681"/>
        <v>0</v>
      </c>
      <c r="AM534" s="201">
        <f t="shared" si="2681"/>
        <v>0</v>
      </c>
      <c r="AN534" s="201">
        <f t="shared" si="2681"/>
        <v>0</v>
      </c>
      <c r="AO534" s="201">
        <f t="shared" si="2681"/>
        <v>0</v>
      </c>
      <c r="AP534" s="201">
        <f t="shared" si="2681"/>
        <v>0</v>
      </c>
      <c r="AQ534" s="201">
        <f t="shared" si="2681"/>
        <v>0</v>
      </c>
      <c r="AR534" s="200">
        <f t="shared" si="2681"/>
        <v>0</v>
      </c>
      <c r="AS534" s="200">
        <f t="shared" si="2681"/>
        <v>0</v>
      </c>
      <c r="AT534" s="173">
        <v>0.0</v>
      </c>
      <c r="AU534" s="200">
        <f t="shared" ref="AU534:AX534" si="2682">countif($D534,"*"&amp;AU$2&amp;"*")</f>
        <v>0</v>
      </c>
      <c r="AV534" s="200">
        <f t="shared" si="2682"/>
        <v>1</v>
      </c>
      <c r="AW534" s="200">
        <f t="shared" si="2682"/>
        <v>0</v>
      </c>
      <c r="AX534" s="200">
        <f t="shared" si="2682"/>
        <v>0</v>
      </c>
      <c r="AY534" s="202">
        <v>0.0</v>
      </c>
      <c r="AZ534" s="200"/>
      <c r="BA534" s="171" t="str">
        <f t="shared" si="18"/>
        <v/>
      </c>
      <c r="BB534" s="171" t="str">
        <f t="shared" si="19"/>
        <v>Code</v>
      </c>
      <c r="BC534" s="171" t="str">
        <f t="shared" si="20"/>
        <v/>
      </c>
      <c r="BD534" s="171" t="str">
        <f t="shared" si="21"/>
        <v/>
      </c>
      <c r="BE534" s="171" t="str">
        <f t="shared" si="22"/>
        <v/>
      </c>
      <c r="BF534" s="171" t="str">
        <f t="shared" si="23"/>
        <v>Code</v>
      </c>
    </row>
    <row r="535">
      <c r="A535" s="171">
        <f t="array" ref="A535">XLOOKUP(C535,ICSE!A:A,ICSE!C:C,,2,1)</f>
        <v>2019</v>
      </c>
      <c r="B535" s="171" t="s">
        <v>5675</v>
      </c>
      <c r="C535" s="160">
        <v>958.0</v>
      </c>
      <c r="D535" s="161" t="s">
        <v>1345</v>
      </c>
      <c r="E535" s="197" t="str">
        <f t="array" ref="E535">XLOOKUP(C535,ICSE!A:A,ICSE!Z:Z,,0,1)</f>
        <v>Publicly available (1)</v>
      </c>
      <c r="F535" s="198" t="s">
        <v>20</v>
      </c>
      <c r="G535" s="163" t="str">
        <f t="array" ref="G535">IF(B535="ICSE",IF(COUNTIFS(B:B,B535,C:C,C535)=XLOOKUP(C535,ICSE!A:A,ICSE!AA:AA,"ERROR",0,1),"OK","ERROR"),IF(B535="FSE",IF(COUNTIFS(B:B,B535,C:C,C535)=XLOOKUP(C535,FSE!A:A,FSE!AA:AA,"ERROR",0,1),"OK","ERROR")))</f>
        <v>OK</v>
      </c>
      <c r="H535" s="199">
        <f t="shared" ref="H535:O535" si="2683">countif($D535,"*"&amp;H$2&amp;"*")</f>
        <v>0</v>
      </c>
      <c r="I535" s="200">
        <f t="shared" si="2683"/>
        <v>0</v>
      </c>
      <c r="J535" s="200">
        <f t="shared" si="2683"/>
        <v>0</v>
      </c>
      <c r="K535" s="200">
        <f t="shared" si="2683"/>
        <v>0</v>
      </c>
      <c r="L535" s="200">
        <f t="shared" si="2683"/>
        <v>0</v>
      </c>
      <c r="M535" s="200">
        <f t="shared" si="2683"/>
        <v>0</v>
      </c>
      <c r="N535" s="200">
        <f t="shared" si="2683"/>
        <v>0</v>
      </c>
      <c r="O535" s="200">
        <f t="shared" si="2683"/>
        <v>0</v>
      </c>
      <c r="P535" s="200">
        <f t="shared" si="9"/>
        <v>1</v>
      </c>
      <c r="Q535" s="200">
        <f t="shared" ref="Q535:AC535" si="2684">countif($D535,"*"&amp;Q$2&amp;"*")</f>
        <v>0</v>
      </c>
      <c r="R535" s="200">
        <f t="shared" si="2684"/>
        <v>0</v>
      </c>
      <c r="S535" s="200">
        <f t="shared" si="2684"/>
        <v>0</v>
      </c>
      <c r="T535" s="200">
        <f t="shared" si="2684"/>
        <v>0</v>
      </c>
      <c r="U535" s="200">
        <f t="shared" si="2684"/>
        <v>0</v>
      </c>
      <c r="V535" s="200">
        <f t="shared" si="2684"/>
        <v>0</v>
      </c>
      <c r="W535" s="200">
        <f t="shared" si="2684"/>
        <v>0</v>
      </c>
      <c r="X535" s="200">
        <f t="shared" si="2684"/>
        <v>0</v>
      </c>
      <c r="Y535" s="200">
        <f t="shared" si="2684"/>
        <v>0</v>
      </c>
      <c r="Z535" s="200">
        <f t="shared" si="2684"/>
        <v>0</v>
      </c>
      <c r="AA535" s="200">
        <f t="shared" si="2684"/>
        <v>0</v>
      </c>
      <c r="AB535" s="200">
        <f t="shared" si="2684"/>
        <v>0</v>
      </c>
      <c r="AC535" s="200">
        <f t="shared" si="2684"/>
        <v>0</v>
      </c>
      <c r="AD535" s="200">
        <f t="shared" si="11"/>
        <v>0</v>
      </c>
      <c r="AE535" s="200">
        <f t="shared" ref="AE535:AG535" si="2685">countif($D535,"*"&amp;AE$2&amp;"*")</f>
        <v>0</v>
      </c>
      <c r="AF535" s="200">
        <f t="shared" si="2685"/>
        <v>0</v>
      </c>
      <c r="AG535" s="200">
        <f t="shared" si="2685"/>
        <v>0</v>
      </c>
      <c r="AH535" s="171">
        <f t="shared" si="13"/>
        <v>0</v>
      </c>
      <c r="AI535" s="200">
        <f t="shared" si="14"/>
        <v>0</v>
      </c>
      <c r="AJ535" s="200">
        <f t="shared" si="2686"/>
        <v>0</v>
      </c>
      <c r="AK535" s="201">
        <f t="shared" ref="AK535:AS535" si="2687">countif($D535,"*"&amp;AK$2&amp;"*")</f>
        <v>0</v>
      </c>
      <c r="AL535" s="201">
        <f t="shared" si="2687"/>
        <v>0</v>
      </c>
      <c r="AM535" s="201">
        <f t="shared" si="2687"/>
        <v>0</v>
      </c>
      <c r="AN535" s="201">
        <f t="shared" si="2687"/>
        <v>0</v>
      </c>
      <c r="AO535" s="201">
        <f t="shared" si="2687"/>
        <v>0</v>
      </c>
      <c r="AP535" s="201">
        <f t="shared" si="2687"/>
        <v>0</v>
      </c>
      <c r="AQ535" s="201">
        <f t="shared" si="2687"/>
        <v>0</v>
      </c>
      <c r="AR535" s="200">
        <f t="shared" si="2687"/>
        <v>0</v>
      </c>
      <c r="AS535" s="200">
        <f t="shared" si="2687"/>
        <v>0</v>
      </c>
      <c r="AT535" s="173">
        <v>0.0</v>
      </c>
      <c r="AU535" s="200">
        <f t="shared" ref="AU535:AX535" si="2688">countif($D535,"*"&amp;AU$2&amp;"*")</f>
        <v>0</v>
      </c>
      <c r="AV535" s="200">
        <f t="shared" si="2688"/>
        <v>1</v>
      </c>
      <c r="AW535" s="200">
        <f t="shared" si="2688"/>
        <v>0</v>
      </c>
      <c r="AX535" s="200">
        <f t="shared" si="2688"/>
        <v>0</v>
      </c>
      <c r="AY535" s="202">
        <v>0.0</v>
      </c>
      <c r="AZ535" s="200"/>
      <c r="BA535" s="171" t="str">
        <f t="shared" si="18"/>
        <v/>
      </c>
      <c r="BB535" s="171" t="str">
        <f t="shared" si="19"/>
        <v>Code</v>
      </c>
      <c r="BC535" s="171" t="str">
        <f t="shared" si="20"/>
        <v/>
      </c>
      <c r="BD535" s="171" t="str">
        <f t="shared" si="21"/>
        <v/>
      </c>
      <c r="BE535" s="171" t="str">
        <f t="shared" si="22"/>
        <v/>
      </c>
      <c r="BF535" s="171" t="str">
        <f t="shared" si="23"/>
        <v>Code</v>
      </c>
    </row>
    <row r="536">
      <c r="A536" s="171">
        <f t="array" ref="A536">XLOOKUP(C536,ICSE!A:A,ICSE!C:C,,2,1)</f>
        <v>2019</v>
      </c>
      <c r="B536" s="171" t="s">
        <v>5675</v>
      </c>
      <c r="C536" s="160">
        <v>959.0</v>
      </c>
      <c r="D536" s="161" t="s">
        <v>1348</v>
      </c>
      <c r="E536" s="197" t="str">
        <f t="array" ref="E536">XLOOKUP(C536,ICSE!A:A,ICSE!Z:Z,,0,1)</f>
        <v>Publicly available (1)</v>
      </c>
      <c r="F536" s="198" t="s">
        <v>20</v>
      </c>
      <c r="G536" s="163" t="str">
        <f t="array" ref="G536">IF(B536="ICSE",IF(COUNTIFS(B:B,B536,C:C,C536)=XLOOKUP(C536,ICSE!A:A,ICSE!AA:AA,"ERROR",0,1),"OK","ERROR"),IF(B536="FSE",IF(COUNTIFS(B:B,B536,C:C,C536)=XLOOKUP(C536,FSE!A:A,FSE!AA:AA,"ERROR",0,1),"OK","ERROR")))</f>
        <v>OK</v>
      </c>
      <c r="H536" s="199">
        <f t="shared" ref="H536:O536" si="2689">countif($D536,"*"&amp;H$2&amp;"*")</f>
        <v>0</v>
      </c>
      <c r="I536" s="200">
        <f t="shared" si="2689"/>
        <v>0</v>
      </c>
      <c r="J536" s="200">
        <f t="shared" si="2689"/>
        <v>0</v>
      </c>
      <c r="K536" s="200">
        <f t="shared" si="2689"/>
        <v>0</v>
      </c>
      <c r="L536" s="200">
        <f t="shared" si="2689"/>
        <v>0</v>
      </c>
      <c r="M536" s="200">
        <f t="shared" si="2689"/>
        <v>0</v>
      </c>
      <c r="N536" s="200">
        <f t="shared" si="2689"/>
        <v>0</v>
      </c>
      <c r="O536" s="200">
        <f t="shared" si="2689"/>
        <v>0</v>
      </c>
      <c r="P536" s="200">
        <f t="shared" si="9"/>
        <v>1</v>
      </c>
      <c r="Q536" s="200">
        <f t="shared" ref="Q536:AC536" si="2690">countif($D536,"*"&amp;Q$2&amp;"*")</f>
        <v>0</v>
      </c>
      <c r="R536" s="200">
        <f t="shared" si="2690"/>
        <v>0</v>
      </c>
      <c r="S536" s="200">
        <f t="shared" si="2690"/>
        <v>0</v>
      </c>
      <c r="T536" s="200">
        <f t="shared" si="2690"/>
        <v>0</v>
      </c>
      <c r="U536" s="200">
        <f t="shared" si="2690"/>
        <v>0</v>
      </c>
      <c r="V536" s="200">
        <f t="shared" si="2690"/>
        <v>0</v>
      </c>
      <c r="W536" s="200">
        <f t="shared" si="2690"/>
        <v>0</v>
      </c>
      <c r="X536" s="200">
        <f t="shared" si="2690"/>
        <v>0</v>
      </c>
      <c r="Y536" s="200">
        <f t="shared" si="2690"/>
        <v>0</v>
      </c>
      <c r="Z536" s="200">
        <f t="shared" si="2690"/>
        <v>0</v>
      </c>
      <c r="AA536" s="200">
        <f t="shared" si="2690"/>
        <v>0</v>
      </c>
      <c r="AB536" s="200">
        <f t="shared" si="2690"/>
        <v>0</v>
      </c>
      <c r="AC536" s="200">
        <f t="shared" si="2690"/>
        <v>0</v>
      </c>
      <c r="AD536" s="200">
        <f t="shared" si="11"/>
        <v>0</v>
      </c>
      <c r="AE536" s="200">
        <f t="shared" ref="AE536:AG536" si="2691">countif($D536,"*"&amp;AE$2&amp;"*")</f>
        <v>0</v>
      </c>
      <c r="AF536" s="200">
        <f t="shared" si="2691"/>
        <v>0</v>
      </c>
      <c r="AG536" s="200">
        <f t="shared" si="2691"/>
        <v>0</v>
      </c>
      <c r="AH536" s="171">
        <f t="shared" si="13"/>
        <v>0</v>
      </c>
      <c r="AI536" s="200">
        <f t="shared" si="14"/>
        <v>0</v>
      </c>
      <c r="AJ536" s="200">
        <f t="shared" si="2686"/>
        <v>0</v>
      </c>
      <c r="AK536" s="201">
        <f t="shared" ref="AK536:AS536" si="2692">countif($D536,"*"&amp;AK$2&amp;"*")</f>
        <v>0</v>
      </c>
      <c r="AL536" s="201">
        <f t="shared" si="2692"/>
        <v>0</v>
      </c>
      <c r="AM536" s="201">
        <f t="shared" si="2692"/>
        <v>0</v>
      </c>
      <c r="AN536" s="201">
        <f t="shared" si="2692"/>
        <v>0</v>
      </c>
      <c r="AO536" s="201">
        <f t="shared" si="2692"/>
        <v>0</v>
      </c>
      <c r="AP536" s="201">
        <f t="shared" si="2692"/>
        <v>0</v>
      </c>
      <c r="AQ536" s="201">
        <f t="shared" si="2692"/>
        <v>0</v>
      </c>
      <c r="AR536" s="200">
        <f t="shared" si="2692"/>
        <v>0</v>
      </c>
      <c r="AS536" s="200">
        <f t="shared" si="2692"/>
        <v>0</v>
      </c>
      <c r="AT536" s="173">
        <v>0.0</v>
      </c>
      <c r="AU536" s="200">
        <f t="shared" ref="AU536:AX536" si="2693">countif($D536,"*"&amp;AU$2&amp;"*")</f>
        <v>0</v>
      </c>
      <c r="AV536" s="200">
        <f t="shared" si="2693"/>
        <v>1</v>
      </c>
      <c r="AW536" s="200">
        <f t="shared" si="2693"/>
        <v>0</v>
      </c>
      <c r="AX536" s="200">
        <f t="shared" si="2693"/>
        <v>0</v>
      </c>
      <c r="AY536" s="202">
        <v>0.0</v>
      </c>
      <c r="AZ536" s="200"/>
      <c r="BA536" s="171" t="str">
        <f t="shared" si="18"/>
        <v/>
      </c>
      <c r="BB536" s="171" t="str">
        <f t="shared" si="19"/>
        <v>Code</v>
      </c>
      <c r="BC536" s="171" t="str">
        <f t="shared" si="20"/>
        <v/>
      </c>
      <c r="BD536" s="171" t="str">
        <f t="shared" si="21"/>
        <v/>
      </c>
      <c r="BE536" s="171" t="str">
        <f t="shared" si="22"/>
        <v/>
      </c>
      <c r="BF536" s="171" t="str">
        <f t="shared" si="23"/>
        <v>Code</v>
      </c>
    </row>
    <row r="537">
      <c r="A537" s="171">
        <f t="array" ref="A537">XLOOKUP(C537,ICSE!A:A,ICSE!C:C,,2,1)</f>
        <v>2019</v>
      </c>
      <c r="B537" s="171" t="s">
        <v>5675</v>
      </c>
      <c r="C537" s="160">
        <v>962.0</v>
      </c>
      <c r="D537" s="161" t="s">
        <v>1353</v>
      </c>
      <c r="E537" s="197" t="str">
        <f t="array" ref="E537">XLOOKUP(C537,ICSE!A:A,ICSE!Z:Z,,0,1)</f>
        <v>Publicly available (1)</v>
      </c>
      <c r="F537" s="198" t="s">
        <v>20</v>
      </c>
      <c r="G537" s="163" t="str">
        <f t="array" ref="G537">IF(B537="ICSE",IF(COUNTIFS(B:B,B537,C:C,C537)=XLOOKUP(C537,ICSE!A:A,ICSE!AA:AA,"ERROR",0,1),"OK","ERROR"),IF(B537="FSE",IF(COUNTIFS(B:B,B537,C:C,C537)=XLOOKUP(C537,FSE!A:A,FSE!AA:AA,"ERROR",0,1),"OK","ERROR")))</f>
        <v>OK</v>
      </c>
      <c r="H537" s="199">
        <f t="shared" ref="H537:O537" si="2694">countif($D537,"*"&amp;H$2&amp;"*")</f>
        <v>0</v>
      </c>
      <c r="I537" s="200">
        <f t="shared" si="2694"/>
        <v>0</v>
      </c>
      <c r="J537" s="200">
        <f t="shared" si="2694"/>
        <v>0</v>
      </c>
      <c r="K537" s="200">
        <f t="shared" si="2694"/>
        <v>0</v>
      </c>
      <c r="L537" s="200">
        <f t="shared" si="2694"/>
        <v>0</v>
      </c>
      <c r="M537" s="200">
        <f t="shared" si="2694"/>
        <v>0</v>
      </c>
      <c r="N537" s="200">
        <f t="shared" si="2694"/>
        <v>0</v>
      </c>
      <c r="O537" s="200">
        <f t="shared" si="2694"/>
        <v>0</v>
      </c>
      <c r="P537" s="200">
        <f t="shared" si="9"/>
        <v>1</v>
      </c>
      <c r="Q537" s="200">
        <f t="shared" ref="Q537:AC537" si="2695">countif($D537,"*"&amp;Q$2&amp;"*")</f>
        <v>0</v>
      </c>
      <c r="R537" s="200">
        <f t="shared" si="2695"/>
        <v>0</v>
      </c>
      <c r="S537" s="200">
        <f t="shared" si="2695"/>
        <v>0</v>
      </c>
      <c r="T537" s="200">
        <f t="shared" si="2695"/>
        <v>0</v>
      </c>
      <c r="U537" s="200">
        <f t="shared" si="2695"/>
        <v>0</v>
      </c>
      <c r="V537" s="200">
        <f t="shared" si="2695"/>
        <v>0</v>
      </c>
      <c r="W537" s="200">
        <f t="shared" si="2695"/>
        <v>0</v>
      </c>
      <c r="X537" s="200">
        <f t="shared" si="2695"/>
        <v>0</v>
      </c>
      <c r="Y537" s="200">
        <f t="shared" si="2695"/>
        <v>0</v>
      </c>
      <c r="Z537" s="200">
        <f t="shared" si="2695"/>
        <v>0</v>
      </c>
      <c r="AA537" s="200">
        <f t="shared" si="2695"/>
        <v>0</v>
      </c>
      <c r="AB537" s="200">
        <f t="shared" si="2695"/>
        <v>0</v>
      </c>
      <c r="AC537" s="200">
        <f t="shared" si="2695"/>
        <v>0</v>
      </c>
      <c r="AD537" s="200">
        <f t="shared" si="11"/>
        <v>0</v>
      </c>
      <c r="AE537" s="200">
        <f t="shared" ref="AE537:AG537" si="2696">countif($D537,"*"&amp;AE$2&amp;"*")</f>
        <v>0</v>
      </c>
      <c r="AF537" s="200">
        <f t="shared" si="2696"/>
        <v>0</v>
      </c>
      <c r="AG537" s="200">
        <f t="shared" si="2696"/>
        <v>0</v>
      </c>
      <c r="AH537" s="171">
        <f t="shared" si="13"/>
        <v>0</v>
      </c>
      <c r="AI537" s="200">
        <f t="shared" si="14"/>
        <v>0</v>
      </c>
      <c r="AJ537" s="200">
        <f t="shared" si="2686"/>
        <v>0</v>
      </c>
      <c r="AK537" s="201">
        <f t="shared" ref="AK537:AS537" si="2697">countif($D537,"*"&amp;AK$2&amp;"*")</f>
        <v>0</v>
      </c>
      <c r="AL537" s="201">
        <f t="shared" si="2697"/>
        <v>0</v>
      </c>
      <c r="AM537" s="201">
        <f t="shared" si="2697"/>
        <v>0</v>
      </c>
      <c r="AN537" s="201">
        <f t="shared" si="2697"/>
        <v>0</v>
      </c>
      <c r="AO537" s="201">
        <f t="shared" si="2697"/>
        <v>0</v>
      </c>
      <c r="AP537" s="201">
        <f t="shared" si="2697"/>
        <v>0</v>
      </c>
      <c r="AQ537" s="201">
        <f t="shared" si="2697"/>
        <v>0</v>
      </c>
      <c r="AR537" s="200">
        <f t="shared" si="2697"/>
        <v>0</v>
      </c>
      <c r="AS537" s="200">
        <f t="shared" si="2697"/>
        <v>0</v>
      </c>
      <c r="AT537" s="173">
        <v>0.0</v>
      </c>
      <c r="AU537" s="200">
        <f t="shared" ref="AU537:AX537" si="2698">countif($D537,"*"&amp;AU$2&amp;"*")</f>
        <v>0</v>
      </c>
      <c r="AV537" s="200">
        <f t="shared" si="2698"/>
        <v>1</v>
      </c>
      <c r="AW537" s="200">
        <f t="shared" si="2698"/>
        <v>0</v>
      </c>
      <c r="AX537" s="200">
        <f t="shared" si="2698"/>
        <v>0</v>
      </c>
      <c r="AY537" s="202">
        <v>0.0</v>
      </c>
      <c r="AZ537" s="200"/>
      <c r="BA537" s="171" t="str">
        <f t="shared" si="18"/>
        <v/>
      </c>
      <c r="BB537" s="171" t="str">
        <f t="shared" si="19"/>
        <v>Code</v>
      </c>
      <c r="BC537" s="171" t="str">
        <f t="shared" si="20"/>
        <v/>
      </c>
      <c r="BD537" s="171" t="str">
        <f t="shared" si="21"/>
        <v/>
      </c>
      <c r="BE537" s="171" t="str">
        <f t="shared" si="22"/>
        <v/>
      </c>
      <c r="BF537" s="171" t="str">
        <f t="shared" si="23"/>
        <v>Code</v>
      </c>
    </row>
    <row r="538">
      <c r="A538" s="171">
        <f t="array" ref="A538">XLOOKUP(C538,ICSE!A:A,ICSE!C:C,,2,1)</f>
        <v>2019</v>
      </c>
      <c r="B538" s="171" t="s">
        <v>5675</v>
      </c>
      <c r="C538" s="160">
        <v>963.0</v>
      </c>
      <c r="D538" s="161" t="s">
        <v>1356</v>
      </c>
      <c r="E538" s="197" t="str">
        <f t="array" ref="E538">XLOOKUP(C538,ICSE!A:A,ICSE!Z:Z,,0,1)</f>
        <v>Publicly available (1)</v>
      </c>
      <c r="F538" s="198" t="s">
        <v>20</v>
      </c>
      <c r="G538" s="163" t="str">
        <f t="array" ref="G538">IF(B538="ICSE",IF(COUNTIFS(B:B,B538,C:C,C538)=XLOOKUP(C538,ICSE!A:A,ICSE!AA:AA,"ERROR",0,1),"OK","ERROR"),IF(B538="FSE",IF(COUNTIFS(B:B,B538,C:C,C538)=XLOOKUP(C538,FSE!A:A,FSE!AA:AA,"ERROR",0,1),"OK","ERROR")))</f>
        <v>OK</v>
      </c>
      <c r="H538" s="199">
        <f t="shared" ref="H538:O538" si="2699">countif($D538,"*"&amp;H$2&amp;"*")</f>
        <v>0</v>
      </c>
      <c r="I538" s="200">
        <f t="shared" si="2699"/>
        <v>0</v>
      </c>
      <c r="J538" s="200">
        <f t="shared" si="2699"/>
        <v>0</v>
      </c>
      <c r="K538" s="200">
        <f t="shared" si="2699"/>
        <v>0</v>
      </c>
      <c r="L538" s="200">
        <f t="shared" si="2699"/>
        <v>0</v>
      </c>
      <c r="M538" s="200">
        <f t="shared" si="2699"/>
        <v>0</v>
      </c>
      <c r="N538" s="200">
        <f t="shared" si="2699"/>
        <v>0</v>
      </c>
      <c r="O538" s="200">
        <f t="shared" si="2699"/>
        <v>0</v>
      </c>
      <c r="P538" s="200">
        <f t="shared" si="9"/>
        <v>1</v>
      </c>
      <c r="Q538" s="200">
        <f t="shared" ref="Q538:AC538" si="2700">countif($D538,"*"&amp;Q$2&amp;"*")</f>
        <v>0</v>
      </c>
      <c r="R538" s="200">
        <f t="shared" si="2700"/>
        <v>0</v>
      </c>
      <c r="S538" s="200">
        <f t="shared" si="2700"/>
        <v>0</v>
      </c>
      <c r="T538" s="200">
        <f t="shared" si="2700"/>
        <v>0</v>
      </c>
      <c r="U538" s="200">
        <f t="shared" si="2700"/>
        <v>0</v>
      </c>
      <c r="V538" s="200">
        <f t="shared" si="2700"/>
        <v>0</v>
      </c>
      <c r="W538" s="200">
        <f t="shared" si="2700"/>
        <v>0</v>
      </c>
      <c r="X538" s="200">
        <f t="shared" si="2700"/>
        <v>0</v>
      </c>
      <c r="Y538" s="200">
        <f t="shared" si="2700"/>
        <v>0</v>
      </c>
      <c r="Z538" s="200">
        <f t="shared" si="2700"/>
        <v>0</v>
      </c>
      <c r="AA538" s="200">
        <f t="shared" si="2700"/>
        <v>0</v>
      </c>
      <c r="AB538" s="200">
        <f t="shared" si="2700"/>
        <v>0</v>
      </c>
      <c r="AC538" s="200">
        <f t="shared" si="2700"/>
        <v>0</v>
      </c>
      <c r="AD538" s="200">
        <f t="shared" si="11"/>
        <v>0</v>
      </c>
      <c r="AE538" s="200">
        <f t="shared" ref="AE538:AG538" si="2701">countif($D538,"*"&amp;AE$2&amp;"*")</f>
        <v>0</v>
      </c>
      <c r="AF538" s="200">
        <f t="shared" si="2701"/>
        <v>0</v>
      </c>
      <c r="AG538" s="200">
        <f t="shared" si="2701"/>
        <v>0</v>
      </c>
      <c r="AH538" s="171">
        <f t="shared" si="13"/>
        <v>0</v>
      </c>
      <c r="AI538" s="200">
        <f t="shared" si="14"/>
        <v>0</v>
      </c>
      <c r="AJ538" s="200">
        <f t="shared" si="2686"/>
        <v>0</v>
      </c>
      <c r="AK538" s="201">
        <f t="shared" ref="AK538:AS538" si="2702">countif($D538,"*"&amp;AK$2&amp;"*")</f>
        <v>0</v>
      </c>
      <c r="AL538" s="201">
        <f t="shared" si="2702"/>
        <v>0</v>
      </c>
      <c r="AM538" s="201">
        <f t="shared" si="2702"/>
        <v>0</v>
      </c>
      <c r="AN538" s="201">
        <f t="shared" si="2702"/>
        <v>0</v>
      </c>
      <c r="AO538" s="201">
        <f t="shared" si="2702"/>
        <v>0</v>
      </c>
      <c r="AP538" s="201">
        <f t="shared" si="2702"/>
        <v>0</v>
      </c>
      <c r="AQ538" s="201">
        <f t="shared" si="2702"/>
        <v>0</v>
      </c>
      <c r="AR538" s="200">
        <f t="shared" si="2702"/>
        <v>0</v>
      </c>
      <c r="AS538" s="200">
        <f t="shared" si="2702"/>
        <v>0</v>
      </c>
      <c r="AT538" s="173">
        <v>0.0</v>
      </c>
      <c r="AU538" s="200">
        <f t="shared" ref="AU538:AX538" si="2703">countif($D538,"*"&amp;AU$2&amp;"*")</f>
        <v>0</v>
      </c>
      <c r="AV538" s="200">
        <f t="shared" si="2703"/>
        <v>1</v>
      </c>
      <c r="AW538" s="200">
        <f t="shared" si="2703"/>
        <v>0</v>
      </c>
      <c r="AX538" s="200">
        <f t="shared" si="2703"/>
        <v>0</v>
      </c>
      <c r="AY538" s="202">
        <v>0.0</v>
      </c>
      <c r="AZ538" s="200"/>
      <c r="BA538" s="171" t="str">
        <f t="shared" si="18"/>
        <v/>
      </c>
      <c r="BB538" s="171" t="str">
        <f t="shared" si="19"/>
        <v>Code</v>
      </c>
      <c r="BC538" s="171" t="str">
        <f t="shared" si="20"/>
        <v/>
      </c>
      <c r="BD538" s="171" t="str">
        <f t="shared" si="21"/>
        <v/>
      </c>
      <c r="BE538" s="171" t="str">
        <f t="shared" si="22"/>
        <v/>
      </c>
      <c r="BF538" s="171" t="str">
        <f t="shared" si="23"/>
        <v>Code</v>
      </c>
    </row>
    <row r="539">
      <c r="A539" s="171">
        <f t="array" ref="A539">XLOOKUP(C539,ICSE!A:A,ICSE!C:C,,2,1)</f>
        <v>2019</v>
      </c>
      <c r="B539" s="171" t="s">
        <v>5675</v>
      </c>
      <c r="C539" s="160">
        <v>964.0</v>
      </c>
      <c r="D539" s="161" t="s">
        <v>1358</v>
      </c>
      <c r="E539" s="197" t="str">
        <f t="array" ref="E539">XLOOKUP(C539,ICSE!A:A,ICSE!Z:Z,,0,1)</f>
        <v>Publicly available (1)</v>
      </c>
      <c r="F539" s="198" t="s">
        <v>20</v>
      </c>
      <c r="G539" s="163" t="str">
        <f t="array" ref="G539">IF(B539="ICSE",IF(COUNTIFS(B:B,B539,C:C,C539)=XLOOKUP(C539,ICSE!A:A,ICSE!AA:AA,"ERROR",0,1),"OK","ERROR"),IF(B539="FSE",IF(COUNTIFS(B:B,B539,C:C,C539)=XLOOKUP(C539,FSE!A:A,FSE!AA:AA,"ERROR",0,1),"OK","ERROR")))</f>
        <v>OK</v>
      </c>
      <c r="H539" s="199">
        <f t="shared" ref="H539:O539" si="2704">countif($D539,"*"&amp;H$2&amp;"*")</f>
        <v>0</v>
      </c>
      <c r="I539" s="200">
        <f t="shared" si="2704"/>
        <v>0</v>
      </c>
      <c r="J539" s="200">
        <f t="shared" si="2704"/>
        <v>0</v>
      </c>
      <c r="K539" s="200">
        <f t="shared" si="2704"/>
        <v>0</v>
      </c>
      <c r="L539" s="200">
        <f t="shared" si="2704"/>
        <v>0</v>
      </c>
      <c r="M539" s="200">
        <f t="shared" si="2704"/>
        <v>0</v>
      </c>
      <c r="N539" s="200">
        <f t="shared" si="2704"/>
        <v>0</v>
      </c>
      <c r="O539" s="200">
        <f t="shared" si="2704"/>
        <v>0</v>
      </c>
      <c r="P539" s="200">
        <f t="shared" si="9"/>
        <v>1</v>
      </c>
      <c r="Q539" s="200">
        <f t="shared" ref="Q539:AC539" si="2705">countif($D539,"*"&amp;Q$2&amp;"*")</f>
        <v>0</v>
      </c>
      <c r="R539" s="200">
        <f t="shared" si="2705"/>
        <v>0</v>
      </c>
      <c r="S539" s="200">
        <f t="shared" si="2705"/>
        <v>0</v>
      </c>
      <c r="T539" s="200">
        <f t="shared" si="2705"/>
        <v>0</v>
      </c>
      <c r="U539" s="200">
        <f t="shared" si="2705"/>
        <v>0</v>
      </c>
      <c r="V539" s="200">
        <f t="shared" si="2705"/>
        <v>0</v>
      </c>
      <c r="W539" s="200">
        <f t="shared" si="2705"/>
        <v>0</v>
      </c>
      <c r="X539" s="200">
        <f t="shared" si="2705"/>
        <v>0</v>
      </c>
      <c r="Y539" s="200">
        <f t="shared" si="2705"/>
        <v>0</v>
      </c>
      <c r="Z539" s="200">
        <f t="shared" si="2705"/>
        <v>0</v>
      </c>
      <c r="AA539" s="200">
        <f t="shared" si="2705"/>
        <v>0</v>
      </c>
      <c r="AB539" s="200">
        <f t="shared" si="2705"/>
        <v>0</v>
      </c>
      <c r="AC539" s="200">
        <f t="shared" si="2705"/>
        <v>0</v>
      </c>
      <c r="AD539" s="200">
        <f t="shared" si="11"/>
        <v>0</v>
      </c>
      <c r="AE539" s="200">
        <f t="shared" ref="AE539:AG539" si="2706">countif($D539,"*"&amp;AE$2&amp;"*")</f>
        <v>0</v>
      </c>
      <c r="AF539" s="200">
        <f t="shared" si="2706"/>
        <v>0</v>
      </c>
      <c r="AG539" s="200">
        <f t="shared" si="2706"/>
        <v>0</v>
      </c>
      <c r="AH539" s="171">
        <f t="shared" si="13"/>
        <v>0</v>
      </c>
      <c r="AI539" s="200">
        <f t="shared" si="14"/>
        <v>0</v>
      </c>
      <c r="AJ539" s="200">
        <f t="shared" si="2686"/>
        <v>0</v>
      </c>
      <c r="AK539" s="201">
        <f t="shared" ref="AK539:AS539" si="2707">countif($D539,"*"&amp;AK$2&amp;"*")</f>
        <v>0</v>
      </c>
      <c r="AL539" s="201">
        <f t="shared" si="2707"/>
        <v>0</v>
      </c>
      <c r="AM539" s="201">
        <f t="shared" si="2707"/>
        <v>0</v>
      </c>
      <c r="AN539" s="201">
        <f t="shared" si="2707"/>
        <v>0</v>
      </c>
      <c r="AO539" s="201">
        <f t="shared" si="2707"/>
        <v>0</v>
      </c>
      <c r="AP539" s="201">
        <f t="shared" si="2707"/>
        <v>0</v>
      </c>
      <c r="AQ539" s="201">
        <f t="shared" si="2707"/>
        <v>0</v>
      </c>
      <c r="AR539" s="200">
        <f t="shared" si="2707"/>
        <v>0</v>
      </c>
      <c r="AS539" s="200">
        <f t="shared" si="2707"/>
        <v>0</v>
      </c>
      <c r="AT539" s="173">
        <v>0.0</v>
      </c>
      <c r="AU539" s="200">
        <f t="shared" ref="AU539:AX539" si="2708">countif($D539,"*"&amp;AU$2&amp;"*")</f>
        <v>0</v>
      </c>
      <c r="AV539" s="200">
        <f t="shared" si="2708"/>
        <v>1</v>
      </c>
      <c r="AW539" s="200">
        <f t="shared" si="2708"/>
        <v>0</v>
      </c>
      <c r="AX539" s="200">
        <f t="shared" si="2708"/>
        <v>0</v>
      </c>
      <c r="AY539" s="202">
        <v>0.0</v>
      </c>
      <c r="AZ539" s="200"/>
      <c r="BA539" s="171" t="str">
        <f t="shared" si="18"/>
        <v/>
      </c>
      <c r="BB539" s="171" t="str">
        <f t="shared" si="19"/>
        <v>Code</v>
      </c>
      <c r="BC539" s="171" t="str">
        <f t="shared" si="20"/>
        <v/>
      </c>
      <c r="BD539" s="171" t="str">
        <f t="shared" si="21"/>
        <v/>
      </c>
      <c r="BE539" s="171" t="str">
        <f t="shared" si="22"/>
        <v/>
      </c>
      <c r="BF539" s="171" t="str">
        <f t="shared" si="23"/>
        <v>Code</v>
      </c>
    </row>
    <row r="540">
      <c r="A540" s="171">
        <f t="array" ref="A540">XLOOKUP(C540,ICSE!A:A,ICSE!C:C,,2,1)</f>
        <v>2019</v>
      </c>
      <c r="B540" s="171" t="s">
        <v>5675</v>
      </c>
      <c r="C540" s="160">
        <v>965.0</v>
      </c>
      <c r="D540" s="161" t="s">
        <v>5920</v>
      </c>
      <c r="E540" s="197" t="str">
        <f t="array" ref="E540">XLOOKUP(C540,ICSE!A:A,ICSE!Z:Z,,0,1)</f>
        <v>Publicly available (2)</v>
      </c>
      <c r="F540" s="198" t="s">
        <v>20</v>
      </c>
      <c r="G540" s="163" t="str">
        <f t="array" ref="G540">IF(B540="ICSE",IF(COUNTIFS(B:B,B540,C:C,C540)=XLOOKUP(C540,ICSE!A:A,ICSE!AA:AA,"ERROR",0,1),"OK","ERROR"),IF(B540="FSE",IF(COUNTIFS(B:B,B540,C:C,C540)=XLOOKUP(C540,FSE!A:A,FSE!AA:AA,"ERROR",0,1),"OK","ERROR")))</f>
        <v>OK</v>
      </c>
      <c r="H540" s="199">
        <f t="shared" ref="H540:O540" si="2709">countif($D540,"*"&amp;H$2&amp;"*")</f>
        <v>0</v>
      </c>
      <c r="I540" s="200">
        <f t="shared" si="2709"/>
        <v>0</v>
      </c>
      <c r="J540" s="200">
        <f t="shared" si="2709"/>
        <v>0</v>
      </c>
      <c r="K540" s="200">
        <f t="shared" si="2709"/>
        <v>0</v>
      </c>
      <c r="L540" s="200">
        <f t="shared" si="2709"/>
        <v>0</v>
      </c>
      <c r="M540" s="200">
        <f t="shared" si="2709"/>
        <v>0</v>
      </c>
      <c r="N540" s="200">
        <f t="shared" si="2709"/>
        <v>0</v>
      </c>
      <c r="O540" s="200">
        <f t="shared" si="2709"/>
        <v>0</v>
      </c>
      <c r="P540" s="200">
        <f t="shared" si="9"/>
        <v>1</v>
      </c>
      <c r="Q540" s="200">
        <f t="shared" ref="Q540:AC540" si="2710">countif($D540,"*"&amp;Q$2&amp;"*")</f>
        <v>0</v>
      </c>
      <c r="R540" s="200">
        <f t="shared" si="2710"/>
        <v>0</v>
      </c>
      <c r="S540" s="200">
        <f t="shared" si="2710"/>
        <v>0</v>
      </c>
      <c r="T540" s="200">
        <f t="shared" si="2710"/>
        <v>0</v>
      </c>
      <c r="U540" s="200">
        <f t="shared" si="2710"/>
        <v>0</v>
      </c>
      <c r="V540" s="200">
        <f t="shared" si="2710"/>
        <v>0</v>
      </c>
      <c r="W540" s="200">
        <f t="shared" si="2710"/>
        <v>0</v>
      </c>
      <c r="X540" s="200">
        <f t="shared" si="2710"/>
        <v>0</v>
      </c>
      <c r="Y540" s="200">
        <f t="shared" si="2710"/>
        <v>0</v>
      </c>
      <c r="Z540" s="200">
        <f t="shared" si="2710"/>
        <v>0</v>
      </c>
      <c r="AA540" s="200">
        <f t="shared" si="2710"/>
        <v>0</v>
      </c>
      <c r="AB540" s="200">
        <f t="shared" si="2710"/>
        <v>0</v>
      </c>
      <c r="AC540" s="200">
        <f t="shared" si="2710"/>
        <v>0</v>
      </c>
      <c r="AD540" s="200">
        <f t="shared" si="11"/>
        <v>0</v>
      </c>
      <c r="AE540" s="200">
        <f t="shared" ref="AE540:AG540" si="2711">countif($D540,"*"&amp;AE$2&amp;"*")</f>
        <v>0</v>
      </c>
      <c r="AF540" s="200">
        <f t="shared" si="2711"/>
        <v>0</v>
      </c>
      <c r="AG540" s="200">
        <f t="shared" si="2711"/>
        <v>0</v>
      </c>
      <c r="AH540" s="171">
        <f t="shared" si="13"/>
        <v>0</v>
      </c>
      <c r="AI540" s="200">
        <f t="shared" si="14"/>
        <v>0</v>
      </c>
      <c r="AJ540" s="200">
        <f t="shared" si="2686"/>
        <v>0</v>
      </c>
      <c r="AK540" s="201">
        <f t="shared" ref="AK540:AS540" si="2712">countif($D540,"*"&amp;AK$2&amp;"*")</f>
        <v>0</v>
      </c>
      <c r="AL540" s="201">
        <f t="shared" si="2712"/>
        <v>0</v>
      </c>
      <c r="AM540" s="201">
        <f t="shared" si="2712"/>
        <v>0</v>
      </c>
      <c r="AN540" s="201">
        <f t="shared" si="2712"/>
        <v>0</v>
      </c>
      <c r="AO540" s="201">
        <f t="shared" si="2712"/>
        <v>0</v>
      </c>
      <c r="AP540" s="201">
        <f t="shared" si="2712"/>
        <v>0</v>
      </c>
      <c r="AQ540" s="201">
        <f t="shared" si="2712"/>
        <v>0</v>
      </c>
      <c r="AR540" s="200">
        <f t="shared" si="2712"/>
        <v>0</v>
      </c>
      <c r="AS540" s="200">
        <f t="shared" si="2712"/>
        <v>0</v>
      </c>
      <c r="AT540" s="173">
        <v>0.0</v>
      </c>
      <c r="AU540" s="200">
        <f t="shared" ref="AU540:AX540" si="2713">countif($D540,"*"&amp;AU$2&amp;"*")</f>
        <v>0</v>
      </c>
      <c r="AV540" s="200">
        <f t="shared" si="2713"/>
        <v>1</v>
      </c>
      <c r="AW540" s="200">
        <f t="shared" si="2713"/>
        <v>0</v>
      </c>
      <c r="AX540" s="200">
        <f t="shared" si="2713"/>
        <v>0</v>
      </c>
      <c r="AY540" s="202">
        <v>0.0</v>
      </c>
      <c r="AZ540" s="200"/>
      <c r="BA540" s="171" t="str">
        <f t="shared" si="18"/>
        <v/>
      </c>
      <c r="BB540" s="171" t="str">
        <f t="shared" si="19"/>
        <v>Code</v>
      </c>
      <c r="BC540" s="171" t="str">
        <f t="shared" si="20"/>
        <v/>
      </c>
      <c r="BD540" s="171" t="str">
        <f t="shared" si="21"/>
        <v/>
      </c>
      <c r="BE540" s="171" t="str">
        <f t="shared" si="22"/>
        <v/>
      </c>
      <c r="BF540" s="171" t="str">
        <f t="shared" si="23"/>
        <v>Code</v>
      </c>
    </row>
    <row r="541">
      <c r="A541" s="171">
        <f t="array" ref="A541">XLOOKUP(C541,ICSE!A:A,ICSE!C:C,,2,1)</f>
        <v>2019</v>
      </c>
      <c r="B541" s="171" t="s">
        <v>5675</v>
      </c>
      <c r="C541" s="160">
        <v>965.0</v>
      </c>
      <c r="D541" s="161" t="s">
        <v>5921</v>
      </c>
      <c r="E541" s="197" t="str">
        <f t="array" ref="E541">XLOOKUP(C541,ICSE!A:A,ICSE!Z:Z,,0,1)</f>
        <v>Publicly available (2)</v>
      </c>
      <c r="F541" s="198" t="s">
        <v>20</v>
      </c>
      <c r="G541" s="163" t="str">
        <f t="array" ref="G541">IF(B541="ICSE",IF(COUNTIFS(B:B,B541,C:C,C541)=XLOOKUP(C541,ICSE!A:A,ICSE!AA:AA,"ERROR",0,1),"OK","ERROR"),IF(B541="FSE",IF(COUNTIFS(B:B,B541,C:C,C541)=XLOOKUP(C541,FSE!A:A,FSE!AA:AA,"ERROR",0,1),"OK","ERROR")))</f>
        <v>OK</v>
      </c>
      <c r="H541" s="199">
        <f t="shared" ref="H541:O541" si="2714">countif($D541,"*"&amp;H$2&amp;"*")</f>
        <v>0</v>
      </c>
      <c r="I541" s="200">
        <f t="shared" si="2714"/>
        <v>0</v>
      </c>
      <c r="J541" s="200">
        <f t="shared" si="2714"/>
        <v>0</v>
      </c>
      <c r="K541" s="200">
        <f t="shared" si="2714"/>
        <v>0</v>
      </c>
      <c r="L541" s="200">
        <f t="shared" si="2714"/>
        <v>0</v>
      </c>
      <c r="M541" s="200">
        <f t="shared" si="2714"/>
        <v>0</v>
      </c>
      <c r="N541" s="200">
        <f t="shared" si="2714"/>
        <v>0</v>
      </c>
      <c r="O541" s="200">
        <f t="shared" si="2714"/>
        <v>0</v>
      </c>
      <c r="P541" s="200">
        <f t="shared" si="9"/>
        <v>0</v>
      </c>
      <c r="Q541" s="200">
        <f t="shared" ref="Q541:AC541" si="2715">countif($D541,"*"&amp;Q$2&amp;"*")</f>
        <v>0</v>
      </c>
      <c r="R541" s="200">
        <f t="shared" si="2715"/>
        <v>0</v>
      </c>
      <c r="S541" s="200">
        <f t="shared" si="2715"/>
        <v>0</v>
      </c>
      <c r="T541" s="200">
        <f t="shared" si="2715"/>
        <v>0</v>
      </c>
      <c r="U541" s="200">
        <f t="shared" si="2715"/>
        <v>0</v>
      </c>
      <c r="V541" s="200">
        <f t="shared" si="2715"/>
        <v>0</v>
      </c>
      <c r="W541" s="200">
        <f t="shared" si="2715"/>
        <v>0</v>
      </c>
      <c r="X541" s="200">
        <f t="shared" si="2715"/>
        <v>0</v>
      </c>
      <c r="Y541" s="200">
        <f t="shared" si="2715"/>
        <v>0</v>
      </c>
      <c r="Z541" s="200">
        <f t="shared" si="2715"/>
        <v>0</v>
      </c>
      <c r="AA541" s="200">
        <f t="shared" si="2715"/>
        <v>0</v>
      </c>
      <c r="AB541" s="200">
        <f t="shared" si="2715"/>
        <v>0</v>
      </c>
      <c r="AC541" s="200">
        <f t="shared" si="2715"/>
        <v>0</v>
      </c>
      <c r="AD541" s="200">
        <f t="shared" si="11"/>
        <v>1</v>
      </c>
      <c r="AE541" s="200">
        <f t="shared" ref="AE541:AG541" si="2716">countif($D541,"*"&amp;AE$2&amp;"*")</f>
        <v>0</v>
      </c>
      <c r="AF541" s="200">
        <f t="shared" si="2716"/>
        <v>0</v>
      </c>
      <c r="AG541" s="200">
        <f t="shared" si="2716"/>
        <v>0</v>
      </c>
      <c r="AH541" s="171">
        <f t="shared" si="13"/>
        <v>0</v>
      </c>
      <c r="AI541" s="200">
        <f t="shared" si="14"/>
        <v>1</v>
      </c>
      <c r="AJ541" s="200">
        <f t="shared" si="2686"/>
        <v>0</v>
      </c>
      <c r="AK541" s="201">
        <f t="shared" ref="AK541:AS541" si="2717">countif($D541,"*"&amp;AK$2&amp;"*")</f>
        <v>0</v>
      </c>
      <c r="AL541" s="201">
        <f t="shared" si="2717"/>
        <v>0</v>
      </c>
      <c r="AM541" s="201">
        <f t="shared" si="2717"/>
        <v>0</v>
      </c>
      <c r="AN541" s="201">
        <f t="shared" si="2717"/>
        <v>0</v>
      </c>
      <c r="AO541" s="201">
        <f t="shared" si="2717"/>
        <v>0</v>
      </c>
      <c r="AP541" s="201">
        <f t="shared" si="2717"/>
        <v>0</v>
      </c>
      <c r="AQ541" s="201">
        <f t="shared" si="2717"/>
        <v>0</v>
      </c>
      <c r="AR541" s="200">
        <f t="shared" si="2717"/>
        <v>0</v>
      </c>
      <c r="AS541" s="200">
        <f t="shared" si="2717"/>
        <v>1</v>
      </c>
      <c r="AT541" s="173">
        <v>1.0</v>
      </c>
      <c r="AU541" s="200">
        <f t="shared" ref="AU541:AX541" si="2718">countif($D541,"*"&amp;AU$2&amp;"*")</f>
        <v>0</v>
      </c>
      <c r="AV541" s="200">
        <f t="shared" si="2718"/>
        <v>0</v>
      </c>
      <c r="AW541" s="200">
        <f t="shared" si="2718"/>
        <v>0</v>
      </c>
      <c r="AX541" s="200">
        <f t="shared" si="2718"/>
        <v>1</v>
      </c>
      <c r="AY541" s="202">
        <v>0.0</v>
      </c>
      <c r="AZ541" s="200"/>
      <c r="BA541" s="171" t="str">
        <f t="shared" si="18"/>
        <v/>
      </c>
      <c r="BB541" s="171" t="str">
        <f t="shared" si="19"/>
        <v/>
      </c>
      <c r="BC541" s="171" t="str">
        <f t="shared" si="20"/>
        <v/>
      </c>
      <c r="BD541" s="171" t="str">
        <f t="shared" si="21"/>
        <v>Institutional</v>
      </c>
      <c r="BE541" s="171" t="str">
        <f t="shared" si="22"/>
        <v/>
      </c>
      <c r="BF541" s="171" t="str">
        <f t="shared" si="23"/>
        <v>Institutional</v>
      </c>
    </row>
    <row r="542">
      <c r="A542" s="171">
        <f t="array" ref="A542">XLOOKUP(C542,ICSE!A:A,ICSE!C:C,,2,1)</f>
        <v>2019</v>
      </c>
      <c r="B542" s="171" t="s">
        <v>5675</v>
      </c>
      <c r="C542" s="160">
        <v>966.0</v>
      </c>
      <c r="D542" s="161" t="s">
        <v>1364</v>
      </c>
      <c r="E542" s="197" t="str">
        <f t="array" ref="E542">XLOOKUP(C542,ICSE!A:A,ICSE!Z:Z,,0,1)</f>
        <v>Publicly available (1)</v>
      </c>
      <c r="F542" s="198" t="s">
        <v>20</v>
      </c>
      <c r="G542" s="163" t="str">
        <f t="array" ref="G542">IF(B542="ICSE",IF(COUNTIFS(B:B,B542,C:C,C542)=XLOOKUP(C542,ICSE!A:A,ICSE!AA:AA,"ERROR",0,1),"OK","ERROR"),IF(B542="FSE",IF(COUNTIFS(B:B,B542,C:C,C542)=XLOOKUP(C542,FSE!A:A,FSE!AA:AA,"ERROR",0,1),"OK","ERROR")))</f>
        <v>OK</v>
      </c>
      <c r="H542" s="199">
        <f t="shared" ref="H542:O542" si="2719">countif($D542,"*"&amp;H$2&amp;"*")</f>
        <v>0</v>
      </c>
      <c r="I542" s="200">
        <f t="shared" si="2719"/>
        <v>0</v>
      </c>
      <c r="J542" s="200">
        <f t="shared" si="2719"/>
        <v>0</v>
      </c>
      <c r="K542" s="200">
        <f t="shared" si="2719"/>
        <v>0</v>
      </c>
      <c r="L542" s="200">
        <f t="shared" si="2719"/>
        <v>0</v>
      </c>
      <c r="M542" s="200">
        <f t="shared" si="2719"/>
        <v>0</v>
      </c>
      <c r="N542" s="200">
        <f t="shared" si="2719"/>
        <v>0</v>
      </c>
      <c r="O542" s="200">
        <f t="shared" si="2719"/>
        <v>0</v>
      </c>
      <c r="P542" s="200">
        <f t="shared" si="9"/>
        <v>1</v>
      </c>
      <c r="Q542" s="200">
        <f t="shared" ref="Q542:AC542" si="2720">countif($D542,"*"&amp;Q$2&amp;"*")</f>
        <v>0</v>
      </c>
      <c r="R542" s="200">
        <f t="shared" si="2720"/>
        <v>0</v>
      </c>
      <c r="S542" s="200">
        <f t="shared" si="2720"/>
        <v>0</v>
      </c>
      <c r="T542" s="200">
        <f t="shared" si="2720"/>
        <v>0</v>
      </c>
      <c r="U542" s="200">
        <f t="shared" si="2720"/>
        <v>0</v>
      </c>
      <c r="V542" s="200">
        <f t="shared" si="2720"/>
        <v>0</v>
      </c>
      <c r="W542" s="200">
        <f t="shared" si="2720"/>
        <v>0</v>
      </c>
      <c r="X542" s="200">
        <f t="shared" si="2720"/>
        <v>0</v>
      </c>
      <c r="Y542" s="200">
        <f t="shared" si="2720"/>
        <v>0</v>
      </c>
      <c r="Z542" s="200">
        <f t="shared" si="2720"/>
        <v>0</v>
      </c>
      <c r="AA542" s="200">
        <f t="shared" si="2720"/>
        <v>0</v>
      </c>
      <c r="AB542" s="200">
        <f t="shared" si="2720"/>
        <v>0</v>
      </c>
      <c r="AC542" s="200">
        <f t="shared" si="2720"/>
        <v>0</v>
      </c>
      <c r="AD542" s="200">
        <f t="shared" si="11"/>
        <v>0</v>
      </c>
      <c r="AE542" s="200">
        <f t="shared" ref="AE542:AG542" si="2721">countif($D542,"*"&amp;AE$2&amp;"*")</f>
        <v>0</v>
      </c>
      <c r="AF542" s="200">
        <f t="shared" si="2721"/>
        <v>0</v>
      </c>
      <c r="AG542" s="200">
        <f t="shared" si="2721"/>
        <v>0</v>
      </c>
      <c r="AH542" s="171">
        <f t="shared" si="13"/>
        <v>0</v>
      </c>
      <c r="AI542" s="200">
        <f t="shared" si="14"/>
        <v>0</v>
      </c>
      <c r="AJ542" s="200">
        <f t="shared" si="2686"/>
        <v>0</v>
      </c>
      <c r="AK542" s="201">
        <f t="shared" ref="AK542:AS542" si="2722">countif($D542,"*"&amp;AK$2&amp;"*")</f>
        <v>0</v>
      </c>
      <c r="AL542" s="201">
        <f t="shared" si="2722"/>
        <v>0</v>
      </c>
      <c r="AM542" s="201">
        <f t="shared" si="2722"/>
        <v>0</v>
      </c>
      <c r="AN542" s="201">
        <f t="shared" si="2722"/>
        <v>0</v>
      </c>
      <c r="AO542" s="201">
        <f t="shared" si="2722"/>
        <v>0</v>
      </c>
      <c r="AP542" s="201">
        <f t="shared" si="2722"/>
        <v>0</v>
      </c>
      <c r="AQ542" s="201">
        <f t="shared" si="2722"/>
        <v>0</v>
      </c>
      <c r="AR542" s="200">
        <f t="shared" si="2722"/>
        <v>0</v>
      </c>
      <c r="AS542" s="200">
        <f t="shared" si="2722"/>
        <v>0</v>
      </c>
      <c r="AT542" s="173">
        <v>0.0</v>
      </c>
      <c r="AU542" s="200">
        <f t="shared" ref="AU542:AX542" si="2723">countif($D542,"*"&amp;AU$2&amp;"*")</f>
        <v>0</v>
      </c>
      <c r="AV542" s="200">
        <f t="shared" si="2723"/>
        <v>1</v>
      </c>
      <c r="AW542" s="200">
        <f t="shared" si="2723"/>
        <v>0</v>
      </c>
      <c r="AX542" s="200">
        <f t="shared" si="2723"/>
        <v>0</v>
      </c>
      <c r="AY542" s="202">
        <v>0.0</v>
      </c>
      <c r="AZ542" s="200"/>
      <c r="BA542" s="171" t="str">
        <f t="shared" si="18"/>
        <v/>
      </c>
      <c r="BB542" s="171" t="str">
        <f t="shared" si="19"/>
        <v>Code</v>
      </c>
      <c r="BC542" s="171" t="str">
        <f t="shared" si="20"/>
        <v/>
      </c>
      <c r="BD542" s="171" t="str">
        <f t="shared" si="21"/>
        <v/>
      </c>
      <c r="BE542" s="171" t="str">
        <f t="shared" si="22"/>
        <v/>
      </c>
      <c r="BF542" s="171" t="str">
        <f t="shared" si="23"/>
        <v>Code</v>
      </c>
    </row>
    <row r="543">
      <c r="A543" s="171">
        <f t="array" ref="A543">XLOOKUP(C543,ICSE!A:A,ICSE!C:C,,2,1)</f>
        <v>2019</v>
      </c>
      <c r="B543" s="171" t="s">
        <v>5675</v>
      </c>
      <c r="C543" s="160">
        <v>968.0</v>
      </c>
      <c r="D543" s="161" t="s">
        <v>1368</v>
      </c>
      <c r="E543" s="197" t="str">
        <f t="array" ref="E543">XLOOKUP(C543,ICSE!A:A,ICSE!Z:Z,,0,1)</f>
        <v>Publicly available (1)</v>
      </c>
      <c r="F543" s="198" t="s">
        <v>20</v>
      </c>
      <c r="G543" s="163" t="str">
        <f t="array" ref="G543">IF(B543="ICSE",IF(COUNTIFS(B:B,B543,C:C,C543)=XLOOKUP(C543,ICSE!A:A,ICSE!AA:AA,"ERROR",0,1),"OK","ERROR"),IF(B543="FSE",IF(COUNTIFS(B:B,B543,C:C,C543)=XLOOKUP(C543,FSE!A:A,FSE!AA:AA,"ERROR",0,1),"OK","ERROR")))</f>
        <v>OK</v>
      </c>
      <c r="H543" s="199">
        <f t="shared" ref="H543:O543" si="2724">countif($D543,"*"&amp;H$2&amp;"*")</f>
        <v>0</v>
      </c>
      <c r="I543" s="200">
        <f t="shared" si="2724"/>
        <v>0</v>
      </c>
      <c r="J543" s="200">
        <f t="shared" si="2724"/>
        <v>0</v>
      </c>
      <c r="K543" s="200">
        <f t="shared" si="2724"/>
        <v>0</v>
      </c>
      <c r="L543" s="200">
        <f t="shared" si="2724"/>
        <v>0</v>
      </c>
      <c r="M543" s="200">
        <f t="shared" si="2724"/>
        <v>0</v>
      </c>
      <c r="N543" s="200">
        <f t="shared" si="2724"/>
        <v>0</v>
      </c>
      <c r="O543" s="200">
        <f t="shared" si="2724"/>
        <v>0</v>
      </c>
      <c r="P543" s="200">
        <f t="shared" si="9"/>
        <v>1</v>
      </c>
      <c r="Q543" s="200">
        <f t="shared" ref="Q543:AC543" si="2725">countif($D543,"*"&amp;Q$2&amp;"*")</f>
        <v>0</v>
      </c>
      <c r="R543" s="200">
        <f t="shared" si="2725"/>
        <v>0</v>
      </c>
      <c r="S543" s="200">
        <f t="shared" si="2725"/>
        <v>0</v>
      </c>
      <c r="T543" s="200">
        <f t="shared" si="2725"/>
        <v>0</v>
      </c>
      <c r="U543" s="200">
        <f t="shared" si="2725"/>
        <v>0</v>
      </c>
      <c r="V543" s="200">
        <f t="shared" si="2725"/>
        <v>0</v>
      </c>
      <c r="W543" s="200">
        <f t="shared" si="2725"/>
        <v>0</v>
      </c>
      <c r="X543" s="200">
        <f t="shared" si="2725"/>
        <v>0</v>
      </c>
      <c r="Y543" s="200">
        <f t="shared" si="2725"/>
        <v>0</v>
      </c>
      <c r="Z543" s="200">
        <f t="shared" si="2725"/>
        <v>0</v>
      </c>
      <c r="AA543" s="200">
        <f t="shared" si="2725"/>
        <v>0</v>
      </c>
      <c r="AB543" s="200">
        <f t="shared" si="2725"/>
        <v>0</v>
      </c>
      <c r="AC543" s="200">
        <f t="shared" si="2725"/>
        <v>0</v>
      </c>
      <c r="AD543" s="200">
        <f t="shared" si="11"/>
        <v>0</v>
      </c>
      <c r="AE543" s="200">
        <f t="shared" ref="AE543:AG543" si="2726">countif($D543,"*"&amp;AE$2&amp;"*")</f>
        <v>0</v>
      </c>
      <c r="AF543" s="200">
        <f t="shared" si="2726"/>
        <v>0</v>
      </c>
      <c r="AG543" s="200">
        <f t="shared" si="2726"/>
        <v>0</v>
      </c>
      <c r="AH543" s="171">
        <f t="shared" si="13"/>
        <v>0</v>
      </c>
      <c r="AI543" s="200">
        <f t="shared" si="14"/>
        <v>0</v>
      </c>
      <c r="AJ543" s="200">
        <f t="shared" si="2686"/>
        <v>0</v>
      </c>
      <c r="AK543" s="201">
        <f t="shared" ref="AK543:AS543" si="2727">countif($D543,"*"&amp;AK$2&amp;"*")</f>
        <v>0</v>
      </c>
      <c r="AL543" s="201">
        <f t="shared" si="2727"/>
        <v>0</v>
      </c>
      <c r="AM543" s="201">
        <f t="shared" si="2727"/>
        <v>0</v>
      </c>
      <c r="AN543" s="201">
        <f t="shared" si="2727"/>
        <v>0</v>
      </c>
      <c r="AO543" s="201">
        <f t="shared" si="2727"/>
        <v>0</v>
      </c>
      <c r="AP543" s="201">
        <f t="shared" si="2727"/>
        <v>0</v>
      </c>
      <c r="AQ543" s="201">
        <f t="shared" si="2727"/>
        <v>0</v>
      </c>
      <c r="AR543" s="200">
        <f t="shared" si="2727"/>
        <v>0</v>
      </c>
      <c r="AS543" s="200">
        <f t="shared" si="2727"/>
        <v>0</v>
      </c>
      <c r="AT543" s="173">
        <v>0.0</v>
      </c>
      <c r="AU543" s="200">
        <f t="shared" ref="AU543:AX543" si="2728">countif($D543,"*"&amp;AU$2&amp;"*")</f>
        <v>0</v>
      </c>
      <c r="AV543" s="200">
        <f t="shared" si="2728"/>
        <v>1</v>
      </c>
      <c r="AW543" s="200">
        <f t="shared" si="2728"/>
        <v>0</v>
      </c>
      <c r="AX543" s="200">
        <f t="shared" si="2728"/>
        <v>0</v>
      </c>
      <c r="AY543" s="202">
        <v>0.0</v>
      </c>
      <c r="AZ543" s="200"/>
      <c r="BA543" s="171" t="str">
        <f t="shared" si="18"/>
        <v/>
      </c>
      <c r="BB543" s="171" t="str">
        <f t="shared" si="19"/>
        <v>Code</v>
      </c>
      <c r="BC543" s="171" t="str">
        <f t="shared" si="20"/>
        <v/>
      </c>
      <c r="BD543" s="171" t="str">
        <f t="shared" si="21"/>
        <v/>
      </c>
      <c r="BE543" s="171" t="str">
        <f t="shared" si="22"/>
        <v/>
      </c>
      <c r="BF543" s="171" t="str">
        <f t="shared" si="23"/>
        <v>Code</v>
      </c>
    </row>
    <row r="544">
      <c r="A544" s="171">
        <f t="array" ref="A544">XLOOKUP(C544,ICSE!A:A,ICSE!C:C,,2,1)</f>
        <v>2019</v>
      </c>
      <c r="B544" s="171" t="s">
        <v>5675</v>
      </c>
      <c r="C544" s="160">
        <v>970.0</v>
      </c>
      <c r="D544" s="161" t="s">
        <v>1372</v>
      </c>
      <c r="E544" s="197" t="str">
        <f t="array" ref="E544">XLOOKUP(C544,ICSE!A:A,ICSE!Z:Z,,0,1)</f>
        <v>Publicly available (1)</v>
      </c>
      <c r="F544" s="198" t="s">
        <v>20</v>
      </c>
      <c r="G544" s="163" t="str">
        <f t="array" ref="G544">IF(B544="ICSE",IF(COUNTIFS(B:B,B544,C:C,C544)=XLOOKUP(C544,ICSE!A:A,ICSE!AA:AA,"ERROR",0,1),"OK","ERROR"),IF(B544="FSE",IF(COUNTIFS(B:B,B544,C:C,C544)=XLOOKUP(C544,FSE!A:A,FSE!AA:AA,"ERROR",0,1),"OK","ERROR")))</f>
        <v>OK</v>
      </c>
      <c r="H544" s="199">
        <f t="shared" ref="H544:O544" si="2729">countif($D544,"*"&amp;H$2&amp;"*")</f>
        <v>0</v>
      </c>
      <c r="I544" s="200">
        <f t="shared" si="2729"/>
        <v>0</v>
      </c>
      <c r="J544" s="200">
        <f t="shared" si="2729"/>
        <v>0</v>
      </c>
      <c r="K544" s="200">
        <f t="shared" si="2729"/>
        <v>0</v>
      </c>
      <c r="L544" s="200">
        <f t="shared" si="2729"/>
        <v>0</v>
      </c>
      <c r="M544" s="200">
        <f t="shared" si="2729"/>
        <v>0</v>
      </c>
      <c r="N544" s="200">
        <f t="shared" si="2729"/>
        <v>0</v>
      </c>
      <c r="O544" s="200">
        <f t="shared" si="2729"/>
        <v>0</v>
      </c>
      <c r="P544" s="200">
        <f t="shared" si="9"/>
        <v>0</v>
      </c>
      <c r="Q544" s="200">
        <f t="shared" ref="Q544:AC544" si="2730">countif($D544,"*"&amp;Q$2&amp;"*")</f>
        <v>0</v>
      </c>
      <c r="R544" s="200">
        <f t="shared" si="2730"/>
        <v>0</v>
      </c>
      <c r="S544" s="200">
        <f t="shared" si="2730"/>
        <v>0</v>
      </c>
      <c r="T544" s="200">
        <f t="shared" si="2730"/>
        <v>0</v>
      </c>
      <c r="U544" s="200">
        <f t="shared" si="2730"/>
        <v>0</v>
      </c>
      <c r="V544" s="200">
        <f t="shared" si="2730"/>
        <v>0</v>
      </c>
      <c r="W544" s="200">
        <f t="shared" si="2730"/>
        <v>0</v>
      </c>
      <c r="X544" s="200">
        <f t="shared" si="2730"/>
        <v>0</v>
      </c>
      <c r="Y544" s="200">
        <f t="shared" si="2730"/>
        <v>0</v>
      </c>
      <c r="Z544" s="200">
        <f t="shared" si="2730"/>
        <v>0</v>
      </c>
      <c r="AA544" s="200">
        <f t="shared" si="2730"/>
        <v>1</v>
      </c>
      <c r="AB544" s="200">
        <f t="shared" si="2730"/>
        <v>0</v>
      </c>
      <c r="AC544" s="200">
        <f t="shared" si="2730"/>
        <v>0</v>
      </c>
      <c r="AD544" s="200">
        <f t="shared" si="11"/>
        <v>0</v>
      </c>
      <c r="AE544" s="200">
        <f t="shared" ref="AE544:AG544" si="2731">countif($D544,"*"&amp;AE$2&amp;"*")</f>
        <v>0</v>
      </c>
      <c r="AF544" s="200">
        <f t="shared" si="2731"/>
        <v>0</v>
      </c>
      <c r="AG544" s="200">
        <f t="shared" si="2731"/>
        <v>0</v>
      </c>
      <c r="AH544" s="171">
        <f t="shared" si="13"/>
        <v>0</v>
      </c>
      <c r="AI544" s="200">
        <f t="shared" si="14"/>
        <v>0</v>
      </c>
      <c r="AJ544" s="200">
        <f t="shared" si="2686"/>
        <v>0</v>
      </c>
      <c r="AK544" s="201">
        <f t="shared" ref="AK544:AS544" si="2732">countif($D544,"*"&amp;AK$2&amp;"*")</f>
        <v>0</v>
      </c>
      <c r="AL544" s="201">
        <f t="shared" si="2732"/>
        <v>0</v>
      </c>
      <c r="AM544" s="201">
        <f t="shared" si="2732"/>
        <v>0</v>
      </c>
      <c r="AN544" s="201">
        <f t="shared" si="2732"/>
        <v>0</v>
      </c>
      <c r="AO544" s="201">
        <f t="shared" si="2732"/>
        <v>0</v>
      </c>
      <c r="AP544" s="201">
        <f t="shared" si="2732"/>
        <v>0</v>
      </c>
      <c r="AQ544" s="201">
        <f t="shared" si="2732"/>
        <v>0</v>
      </c>
      <c r="AR544" s="200">
        <f t="shared" si="2732"/>
        <v>0</v>
      </c>
      <c r="AS544" s="200">
        <f t="shared" si="2732"/>
        <v>0</v>
      </c>
      <c r="AT544" s="173">
        <v>0.0</v>
      </c>
      <c r="AU544" s="200">
        <f t="shared" ref="AU544:AX544" si="2733">countif($D544,"*"&amp;AU$2&amp;"*")</f>
        <v>0</v>
      </c>
      <c r="AV544" s="200">
        <f t="shared" si="2733"/>
        <v>0</v>
      </c>
      <c r="AW544" s="200">
        <f t="shared" si="2733"/>
        <v>0</v>
      </c>
      <c r="AX544" s="200">
        <f t="shared" si="2733"/>
        <v>0</v>
      </c>
      <c r="AY544" s="202">
        <v>0.0</v>
      </c>
      <c r="AZ544" s="200"/>
      <c r="BA544" s="171" t="str">
        <f t="shared" si="18"/>
        <v/>
      </c>
      <c r="BB544" s="171" t="str">
        <f t="shared" si="19"/>
        <v/>
      </c>
      <c r="BC544" s="171" t="str">
        <f t="shared" si="20"/>
        <v>General-purpose</v>
      </c>
      <c r="BD544" s="171" t="str">
        <f t="shared" si="21"/>
        <v/>
      </c>
      <c r="BE544" s="171" t="str">
        <f t="shared" si="22"/>
        <v/>
      </c>
      <c r="BF544" s="171" t="str">
        <f t="shared" si="23"/>
        <v>General-purpose</v>
      </c>
    </row>
    <row r="545">
      <c r="A545" s="171">
        <f t="array" ref="A545">XLOOKUP(C545,ICSE!A:A,ICSE!C:C,,2,1)</f>
        <v>2019</v>
      </c>
      <c r="B545" s="171" t="s">
        <v>5675</v>
      </c>
      <c r="C545" s="160">
        <v>971.0</v>
      </c>
      <c r="D545" s="161" t="s">
        <v>1375</v>
      </c>
      <c r="E545" s="197" t="str">
        <f t="array" ref="E545">XLOOKUP(C545,ICSE!A:A,ICSE!Z:Z,,0,1)</f>
        <v>Publicly available (1)</v>
      </c>
      <c r="F545" s="198" t="s">
        <v>20</v>
      </c>
      <c r="G545" s="163" t="str">
        <f t="array" ref="G545">IF(B545="ICSE",IF(COUNTIFS(B:B,B545,C:C,C545)=XLOOKUP(C545,ICSE!A:A,ICSE!AA:AA,"ERROR",0,1),"OK","ERROR"),IF(B545="FSE",IF(COUNTIFS(B:B,B545,C:C,C545)=XLOOKUP(C545,FSE!A:A,FSE!AA:AA,"ERROR",0,1),"OK","ERROR")))</f>
        <v>OK</v>
      </c>
      <c r="H545" s="199">
        <f t="shared" ref="H545:O545" si="2734">countif($D545,"*"&amp;H$2&amp;"*")</f>
        <v>0</v>
      </c>
      <c r="I545" s="200">
        <f t="shared" si="2734"/>
        <v>0</v>
      </c>
      <c r="J545" s="200">
        <f t="shared" si="2734"/>
        <v>0</v>
      </c>
      <c r="K545" s="200">
        <f t="shared" si="2734"/>
        <v>0</v>
      </c>
      <c r="L545" s="200">
        <f t="shared" si="2734"/>
        <v>0</v>
      </c>
      <c r="M545" s="200">
        <f t="shared" si="2734"/>
        <v>0</v>
      </c>
      <c r="N545" s="200">
        <f t="shared" si="2734"/>
        <v>0</v>
      </c>
      <c r="O545" s="200">
        <f t="shared" si="2734"/>
        <v>0</v>
      </c>
      <c r="P545" s="200">
        <f t="shared" si="9"/>
        <v>1</v>
      </c>
      <c r="Q545" s="200">
        <f t="shared" ref="Q545:AC545" si="2735">countif($D545,"*"&amp;Q$2&amp;"*")</f>
        <v>0</v>
      </c>
      <c r="R545" s="200">
        <f t="shared" si="2735"/>
        <v>0</v>
      </c>
      <c r="S545" s="200">
        <f t="shared" si="2735"/>
        <v>0</v>
      </c>
      <c r="T545" s="200">
        <f t="shared" si="2735"/>
        <v>0</v>
      </c>
      <c r="U545" s="200">
        <f t="shared" si="2735"/>
        <v>0</v>
      </c>
      <c r="V545" s="200">
        <f t="shared" si="2735"/>
        <v>0</v>
      </c>
      <c r="W545" s="200">
        <f t="shared" si="2735"/>
        <v>0</v>
      </c>
      <c r="X545" s="200">
        <f t="shared" si="2735"/>
        <v>0</v>
      </c>
      <c r="Y545" s="200">
        <f t="shared" si="2735"/>
        <v>0</v>
      </c>
      <c r="Z545" s="200">
        <f t="shared" si="2735"/>
        <v>0</v>
      </c>
      <c r="AA545" s="200">
        <f t="shared" si="2735"/>
        <v>0</v>
      </c>
      <c r="AB545" s="200">
        <f t="shared" si="2735"/>
        <v>0</v>
      </c>
      <c r="AC545" s="200">
        <f t="shared" si="2735"/>
        <v>0</v>
      </c>
      <c r="AD545" s="200">
        <f t="shared" si="11"/>
        <v>0</v>
      </c>
      <c r="AE545" s="200">
        <f t="shared" ref="AE545:AG545" si="2736">countif($D545,"*"&amp;AE$2&amp;"*")</f>
        <v>0</v>
      </c>
      <c r="AF545" s="200">
        <f t="shared" si="2736"/>
        <v>0</v>
      </c>
      <c r="AG545" s="200">
        <f t="shared" si="2736"/>
        <v>0</v>
      </c>
      <c r="AH545" s="171">
        <f t="shared" si="13"/>
        <v>0</v>
      </c>
      <c r="AI545" s="200">
        <f t="shared" si="14"/>
        <v>0</v>
      </c>
      <c r="AJ545" s="200">
        <f t="shared" si="2686"/>
        <v>0</v>
      </c>
      <c r="AK545" s="201">
        <f t="shared" ref="AK545:AS545" si="2737">countif($D545,"*"&amp;AK$2&amp;"*")</f>
        <v>0</v>
      </c>
      <c r="AL545" s="201">
        <f t="shared" si="2737"/>
        <v>0</v>
      </c>
      <c r="AM545" s="201">
        <f t="shared" si="2737"/>
        <v>0</v>
      </c>
      <c r="AN545" s="201">
        <f t="shared" si="2737"/>
        <v>0</v>
      </c>
      <c r="AO545" s="201">
        <f t="shared" si="2737"/>
        <v>0</v>
      </c>
      <c r="AP545" s="201">
        <f t="shared" si="2737"/>
        <v>0</v>
      </c>
      <c r="AQ545" s="201">
        <f t="shared" si="2737"/>
        <v>0</v>
      </c>
      <c r="AR545" s="200">
        <f t="shared" si="2737"/>
        <v>0</v>
      </c>
      <c r="AS545" s="200">
        <f t="shared" si="2737"/>
        <v>0</v>
      </c>
      <c r="AT545" s="173">
        <v>0.0</v>
      </c>
      <c r="AU545" s="200">
        <f t="shared" ref="AU545:AX545" si="2738">countif($D545,"*"&amp;AU$2&amp;"*")</f>
        <v>0</v>
      </c>
      <c r="AV545" s="200">
        <f t="shared" si="2738"/>
        <v>1</v>
      </c>
      <c r="AW545" s="200">
        <f t="shared" si="2738"/>
        <v>0</v>
      </c>
      <c r="AX545" s="200">
        <f t="shared" si="2738"/>
        <v>0</v>
      </c>
      <c r="AY545" s="202">
        <v>0.0</v>
      </c>
      <c r="AZ545" s="200"/>
      <c r="BA545" s="171" t="str">
        <f t="shared" si="18"/>
        <v/>
      </c>
      <c r="BB545" s="171" t="str">
        <f t="shared" si="19"/>
        <v>Code</v>
      </c>
      <c r="BC545" s="171" t="str">
        <f t="shared" si="20"/>
        <v/>
      </c>
      <c r="BD545" s="171" t="str">
        <f t="shared" si="21"/>
        <v/>
      </c>
      <c r="BE545" s="171" t="str">
        <f t="shared" si="22"/>
        <v/>
      </c>
      <c r="BF545" s="171" t="str">
        <f t="shared" si="23"/>
        <v>Code</v>
      </c>
    </row>
    <row r="546">
      <c r="A546" s="171">
        <f t="array" ref="A546">XLOOKUP(C546,ICSE!A:A,ICSE!C:C,,2,1)</f>
        <v>2019</v>
      </c>
      <c r="B546" s="171" t="s">
        <v>5675</v>
      </c>
      <c r="C546" s="160">
        <v>972.0</v>
      </c>
      <c r="D546" s="161" t="s">
        <v>1378</v>
      </c>
      <c r="E546" s="197" t="str">
        <f t="array" ref="E546">XLOOKUP(C546,ICSE!A:A,ICSE!Z:Z,,0,1)</f>
        <v>Not available (1) - Broken link.</v>
      </c>
      <c r="F546" s="198" t="s">
        <v>21</v>
      </c>
      <c r="G546" s="163" t="str">
        <f t="array" ref="G546">IF(B546="ICSE",IF(COUNTIFS(B:B,B546,C:C,C546)=XLOOKUP(C546,ICSE!A:A,ICSE!AA:AA,"ERROR",0,1),"OK","ERROR"),IF(B546="FSE",IF(COUNTIFS(B:B,B546,C:C,C546)=XLOOKUP(C546,FSE!A:A,FSE!AA:AA,"ERROR",0,1),"OK","ERROR")))</f>
        <v>OK</v>
      </c>
      <c r="H546" s="199">
        <f t="shared" ref="H546:O546" si="2739">countif($D546,"*"&amp;H$2&amp;"*")</f>
        <v>0</v>
      </c>
      <c r="I546" s="200">
        <f t="shared" si="2739"/>
        <v>0</v>
      </c>
      <c r="J546" s="200">
        <f t="shared" si="2739"/>
        <v>0</v>
      </c>
      <c r="K546" s="200">
        <f t="shared" si="2739"/>
        <v>0</v>
      </c>
      <c r="L546" s="200">
        <f t="shared" si="2739"/>
        <v>0</v>
      </c>
      <c r="M546" s="200">
        <f t="shared" si="2739"/>
        <v>0</v>
      </c>
      <c r="N546" s="200">
        <f t="shared" si="2739"/>
        <v>0</v>
      </c>
      <c r="O546" s="200">
        <f t="shared" si="2739"/>
        <v>0</v>
      </c>
      <c r="P546" s="200">
        <f t="shared" si="9"/>
        <v>0</v>
      </c>
      <c r="Q546" s="200">
        <f t="shared" ref="Q546:AC546" si="2740">countif($D546,"*"&amp;Q$2&amp;"*")</f>
        <v>0</v>
      </c>
      <c r="R546" s="200">
        <f t="shared" si="2740"/>
        <v>0</v>
      </c>
      <c r="S546" s="200">
        <f t="shared" si="2740"/>
        <v>0</v>
      </c>
      <c r="T546" s="200">
        <f t="shared" si="2740"/>
        <v>0</v>
      </c>
      <c r="U546" s="200">
        <f t="shared" si="2740"/>
        <v>0</v>
      </c>
      <c r="V546" s="200">
        <f t="shared" si="2740"/>
        <v>0</v>
      </c>
      <c r="W546" s="200">
        <f t="shared" si="2740"/>
        <v>0</v>
      </c>
      <c r="X546" s="200">
        <f t="shared" si="2740"/>
        <v>0</v>
      </c>
      <c r="Y546" s="200">
        <f t="shared" si="2740"/>
        <v>0</v>
      </c>
      <c r="Z546" s="200">
        <f t="shared" si="2740"/>
        <v>0</v>
      </c>
      <c r="AA546" s="200">
        <f t="shared" si="2740"/>
        <v>0</v>
      </c>
      <c r="AB546" s="200">
        <f t="shared" si="2740"/>
        <v>0</v>
      </c>
      <c r="AC546" s="200">
        <f t="shared" si="2740"/>
        <v>0</v>
      </c>
      <c r="AD546" s="200">
        <f t="shared" si="11"/>
        <v>0</v>
      </c>
      <c r="AE546" s="200">
        <f t="shared" ref="AE546:AG546" si="2741">countif($D546,"*"&amp;AE$2&amp;"*")</f>
        <v>0</v>
      </c>
      <c r="AF546" s="200">
        <f t="shared" si="2741"/>
        <v>0</v>
      </c>
      <c r="AG546" s="200">
        <f t="shared" si="2741"/>
        <v>0</v>
      </c>
      <c r="AH546" s="171">
        <f t="shared" si="13"/>
        <v>1</v>
      </c>
      <c r="AI546" s="200">
        <f t="shared" si="14"/>
        <v>0</v>
      </c>
      <c r="AJ546" s="200">
        <f t="shared" si="2686"/>
        <v>0</v>
      </c>
      <c r="AK546" s="201">
        <f t="shared" ref="AK546:AS546" si="2742">countif($D546,"*"&amp;AK$2&amp;"*")</f>
        <v>0</v>
      </c>
      <c r="AL546" s="201">
        <f t="shared" si="2742"/>
        <v>0</v>
      </c>
      <c r="AM546" s="201">
        <f t="shared" si="2742"/>
        <v>0</v>
      </c>
      <c r="AN546" s="201">
        <f t="shared" si="2742"/>
        <v>0</v>
      </c>
      <c r="AO546" s="201">
        <f t="shared" si="2742"/>
        <v>0</v>
      </c>
      <c r="AP546" s="201">
        <f t="shared" si="2742"/>
        <v>0</v>
      </c>
      <c r="AQ546" s="201">
        <f t="shared" si="2742"/>
        <v>0</v>
      </c>
      <c r="AR546" s="200">
        <f t="shared" si="2742"/>
        <v>0</v>
      </c>
      <c r="AS546" s="200">
        <f t="shared" si="2742"/>
        <v>0</v>
      </c>
      <c r="AT546" s="173">
        <v>0.0</v>
      </c>
      <c r="AU546" s="200">
        <f t="shared" ref="AU546:AX546" si="2743">countif($D546,"*"&amp;AU$2&amp;"*")</f>
        <v>0</v>
      </c>
      <c r="AV546" s="200">
        <f t="shared" si="2743"/>
        <v>0</v>
      </c>
      <c r="AW546" s="200">
        <f t="shared" si="2743"/>
        <v>0</v>
      </c>
      <c r="AX546" s="200">
        <f t="shared" si="2743"/>
        <v>0</v>
      </c>
      <c r="AY546" s="202">
        <v>0.0</v>
      </c>
      <c r="AZ546" s="200"/>
      <c r="BA546" s="171" t="str">
        <f t="shared" si="18"/>
        <v/>
      </c>
      <c r="BB546" s="171" t="str">
        <f t="shared" si="19"/>
        <v/>
      </c>
      <c r="BC546" s="171" t="str">
        <f t="shared" si="20"/>
        <v/>
      </c>
      <c r="BD546" s="171" t="str">
        <f t="shared" si="21"/>
        <v/>
      </c>
      <c r="BE546" s="171" t="str">
        <f t="shared" si="22"/>
        <v>Others</v>
      </c>
      <c r="BF546" s="171" t="str">
        <f t="shared" si="23"/>
        <v>Others</v>
      </c>
    </row>
    <row r="547">
      <c r="A547" s="171">
        <f t="array" ref="A547">XLOOKUP(C547,ICSE!A:A,ICSE!C:C,,2,1)</f>
        <v>2019</v>
      </c>
      <c r="B547" s="171" t="s">
        <v>5675</v>
      </c>
      <c r="C547" s="160">
        <v>973.0</v>
      </c>
      <c r="D547" s="161" t="s">
        <v>1381</v>
      </c>
      <c r="E547" s="197" t="str">
        <f t="array" ref="E547">XLOOKUP(C547,ICSE!A:A,ICSE!Z:Z,,0,1)</f>
        <v>Publicly available (1)</v>
      </c>
      <c r="F547" s="198" t="s">
        <v>20</v>
      </c>
      <c r="G547" s="163" t="str">
        <f t="array" ref="G547">IF(B547="ICSE",IF(COUNTIFS(B:B,B547,C:C,C547)=XLOOKUP(C547,ICSE!A:A,ICSE!AA:AA,"ERROR",0,1),"OK","ERROR"),IF(B547="FSE",IF(COUNTIFS(B:B,B547,C:C,C547)=XLOOKUP(C547,FSE!A:A,FSE!AA:AA,"ERROR",0,1),"OK","ERROR")))</f>
        <v>OK</v>
      </c>
      <c r="H547" s="199">
        <f t="shared" ref="H547:O547" si="2744">countif($D547,"*"&amp;H$2&amp;"*")</f>
        <v>0</v>
      </c>
      <c r="I547" s="200">
        <f t="shared" si="2744"/>
        <v>0</v>
      </c>
      <c r="J547" s="200">
        <f t="shared" si="2744"/>
        <v>0</v>
      </c>
      <c r="K547" s="200">
        <f t="shared" si="2744"/>
        <v>0</v>
      </c>
      <c r="L547" s="200">
        <f t="shared" si="2744"/>
        <v>0</v>
      </c>
      <c r="M547" s="200">
        <f t="shared" si="2744"/>
        <v>0</v>
      </c>
      <c r="N547" s="200">
        <f t="shared" si="2744"/>
        <v>0</v>
      </c>
      <c r="O547" s="200">
        <f t="shared" si="2744"/>
        <v>0</v>
      </c>
      <c r="P547" s="200">
        <f t="shared" si="9"/>
        <v>0</v>
      </c>
      <c r="Q547" s="200">
        <f t="shared" ref="Q547:AC547" si="2745">countif($D547,"*"&amp;Q$2&amp;"*")</f>
        <v>0</v>
      </c>
      <c r="R547" s="200">
        <f t="shared" si="2745"/>
        <v>0</v>
      </c>
      <c r="S547" s="200">
        <f t="shared" si="2745"/>
        <v>0</v>
      </c>
      <c r="T547" s="200">
        <f t="shared" si="2745"/>
        <v>0</v>
      </c>
      <c r="U547" s="200">
        <f t="shared" si="2745"/>
        <v>0</v>
      </c>
      <c r="V547" s="200">
        <f t="shared" si="2745"/>
        <v>0</v>
      </c>
      <c r="W547" s="200">
        <f t="shared" si="2745"/>
        <v>0</v>
      </c>
      <c r="X547" s="200">
        <f t="shared" si="2745"/>
        <v>0</v>
      </c>
      <c r="Y547" s="200">
        <f t="shared" si="2745"/>
        <v>0</v>
      </c>
      <c r="Z547" s="200">
        <f t="shared" si="2745"/>
        <v>0</v>
      </c>
      <c r="AA547" s="200">
        <f t="shared" si="2745"/>
        <v>1</v>
      </c>
      <c r="AB547" s="200">
        <f t="shared" si="2745"/>
        <v>0</v>
      </c>
      <c r="AC547" s="200">
        <f t="shared" si="2745"/>
        <v>0</v>
      </c>
      <c r="AD547" s="200">
        <f t="shared" si="11"/>
        <v>0</v>
      </c>
      <c r="AE547" s="200">
        <f t="shared" ref="AE547:AG547" si="2746">countif($D547,"*"&amp;AE$2&amp;"*")</f>
        <v>0</v>
      </c>
      <c r="AF547" s="200">
        <f t="shared" si="2746"/>
        <v>0</v>
      </c>
      <c r="AG547" s="200">
        <f t="shared" si="2746"/>
        <v>0</v>
      </c>
      <c r="AH547" s="171">
        <f t="shared" si="13"/>
        <v>0</v>
      </c>
      <c r="AI547" s="200">
        <f t="shared" si="14"/>
        <v>0</v>
      </c>
      <c r="AJ547" s="200">
        <f t="shared" si="2686"/>
        <v>0</v>
      </c>
      <c r="AK547" s="201">
        <f t="shared" ref="AK547:AS547" si="2747">countif($D547,"*"&amp;AK$2&amp;"*")</f>
        <v>0</v>
      </c>
      <c r="AL547" s="201">
        <f t="shared" si="2747"/>
        <v>0</v>
      </c>
      <c r="AM547" s="201">
        <f t="shared" si="2747"/>
        <v>0</v>
      </c>
      <c r="AN547" s="201">
        <f t="shared" si="2747"/>
        <v>0</v>
      </c>
      <c r="AO547" s="201">
        <f t="shared" si="2747"/>
        <v>0</v>
      </c>
      <c r="AP547" s="201">
        <f t="shared" si="2747"/>
        <v>0</v>
      </c>
      <c r="AQ547" s="201">
        <f t="shared" si="2747"/>
        <v>0</v>
      </c>
      <c r="AR547" s="200">
        <f t="shared" si="2747"/>
        <v>0</v>
      </c>
      <c r="AS547" s="200">
        <f t="shared" si="2747"/>
        <v>0</v>
      </c>
      <c r="AT547" s="173">
        <v>0.0</v>
      </c>
      <c r="AU547" s="200">
        <f t="shared" ref="AU547:AX547" si="2748">countif($D547,"*"&amp;AU$2&amp;"*")</f>
        <v>0</v>
      </c>
      <c r="AV547" s="200">
        <f t="shared" si="2748"/>
        <v>0</v>
      </c>
      <c r="AW547" s="200">
        <f t="shared" si="2748"/>
        <v>0</v>
      </c>
      <c r="AX547" s="200">
        <f t="shared" si="2748"/>
        <v>0</v>
      </c>
      <c r="AY547" s="202">
        <v>0.0</v>
      </c>
      <c r="AZ547" s="200"/>
      <c r="BA547" s="171" t="str">
        <f t="shared" si="18"/>
        <v/>
      </c>
      <c r="BB547" s="171" t="str">
        <f t="shared" si="19"/>
        <v/>
      </c>
      <c r="BC547" s="171" t="str">
        <f t="shared" si="20"/>
        <v>General-purpose</v>
      </c>
      <c r="BD547" s="171" t="str">
        <f t="shared" si="21"/>
        <v/>
      </c>
      <c r="BE547" s="171" t="str">
        <f t="shared" si="22"/>
        <v/>
      </c>
      <c r="BF547" s="171" t="str">
        <f t="shared" si="23"/>
        <v>General-purpose</v>
      </c>
    </row>
    <row r="548">
      <c r="A548" s="171">
        <f t="array" ref="A548">XLOOKUP(C548,ICSE!A:A,ICSE!C:C,,2,1)</f>
        <v>2019</v>
      </c>
      <c r="B548" s="171" t="s">
        <v>5675</v>
      </c>
      <c r="C548" s="160">
        <v>974.0</v>
      </c>
      <c r="D548" s="161" t="s">
        <v>1385</v>
      </c>
      <c r="E548" s="197" t="str">
        <f t="array" ref="E548">XLOOKUP(C548,ICSE!A:A,ICSE!Z:Z,,0,1)</f>
        <v>Publicly available (1)</v>
      </c>
      <c r="F548" s="198" t="s">
        <v>20</v>
      </c>
      <c r="G548" s="163" t="str">
        <f t="array" ref="G548">IF(B548="ICSE",IF(COUNTIFS(B:B,B548,C:C,C548)=XLOOKUP(C548,ICSE!A:A,ICSE!AA:AA,"ERROR",0,1),"OK","ERROR"),IF(B548="FSE",IF(COUNTIFS(B:B,B548,C:C,C548)=XLOOKUP(C548,FSE!A:A,FSE!AA:AA,"ERROR",0,1),"OK","ERROR")))</f>
        <v>OK</v>
      </c>
      <c r="H548" s="199">
        <f t="shared" ref="H548:O548" si="2749">countif($D548,"*"&amp;H$2&amp;"*")</f>
        <v>0</v>
      </c>
      <c r="I548" s="200">
        <f t="shared" si="2749"/>
        <v>0</v>
      </c>
      <c r="J548" s="200">
        <f t="shared" si="2749"/>
        <v>0</v>
      </c>
      <c r="K548" s="200">
        <f t="shared" si="2749"/>
        <v>0</v>
      </c>
      <c r="L548" s="200">
        <f t="shared" si="2749"/>
        <v>0</v>
      </c>
      <c r="M548" s="200">
        <f t="shared" si="2749"/>
        <v>0</v>
      </c>
      <c r="N548" s="200">
        <f t="shared" si="2749"/>
        <v>0</v>
      </c>
      <c r="O548" s="200">
        <f t="shared" si="2749"/>
        <v>0</v>
      </c>
      <c r="P548" s="200">
        <f t="shared" si="9"/>
        <v>1</v>
      </c>
      <c r="Q548" s="200">
        <f t="shared" ref="Q548:AC548" si="2750">countif($D548,"*"&amp;Q$2&amp;"*")</f>
        <v>0</v>
      </c>
      <c r="R548" s="200">
        <f t="shared" si="2750"/>
        <v>0</v>
      </c>
      <c r="S548" s="200">
        <f t="shared" si="2750"/>
        <v>0</v>
      </c>
      <c r="T548" s="200">
        <f t="shared" si="2750"/>
        <v>0</v>
      </c>
      <c r="U548" s="200">
        <f t="shared" si="2750"/>
        <v>0</v>
      </c>
      <c r="V548" s="200">
        <f t="shared" si="2750"/>
        <v>0</v>
      </c>
      <c r="W548" s="200">
        <f t="shared" si="2750"/>
        <v>0</v>
      </c>
      <c r="X548" s="200">
        <f t="shared" si="2750"/>
        <v>0</v>
      </c>
      <c r="Y548" s="200">
        <f t="shared" si="2750"/>
        <v>0</v>
      </c>
      <c r="Z548" s="200">
        <f t="shared" si="2750"/>
        <v>0</v>
      </c>
      <c r="AA548" s="200">
        <f t="shared" si="2750"/>
        <v>0</v>
      </c>
      <c r="AB548" s="200">
        <f t="shared" si="2750"/>
        <v>0</v>
      </c>
      <c r="AC548" s="200">
        <f t="shared" si="2750"/>
        <v>0</v>
      </c>
      <c r="AD548" s="200">
        <f t="shared" si="11"/>
        <v>0</v>
      </c>
      <c r="AE548" s="200">
        <f t="shared" ref="AE548:AG548" si="2751">countif($D548,"*"&amp;AE$2&amp;"*")</f>
        <v>0</v>
      </c>
      <c r="AF548" s="200">
        <f t="shared" si="2751"/>
        <v>0</v>
      </c>
      <c r="AG548" s="200">
        <f t="shared" si="2751"/>
        <v>0</v>
      </c>
      <c r="AH548" s="171">
        <f t="shared" si="13"/>
        <v>0</v>
      </c>
      <c r="AI548" s="200">
        <f t="shared" si="14"/>
        <v>0</v>
      </c>
      <c r="AJ548" s="200">
        <f t="shared" si="2686"/>
        <v>0</v>
      </c>
      <c r="AK548" s="201">
        <f t="shared" ref="AK548:AS548" si="2752">countif($D548,"*"&amp;AK$2&amp;"*")</f>
        <v>0</v>
      </c>
      <c r="AL548" s="201">
        <f t="shared" si="2752"/>
        <v>0</v>
      </c>
      <c r="AM548" s="201">
        <f t="shared" si="2752"/>
        <v>0</v>
      </c>
      <c r="AN548" s="201">
        <f t="shared" si="2752"/>
        <v>0</v>
      </c>
      <c r="AO548" s="201">
        <f t="shared" si="2752"/>
        <v>0</v>
      </c>
      <c r="AP548" s="201">
        <f t="shared" si="2752"/>
        <v>0</v>
      </c>
      <c r="AQ548" s="201">
        <f t="shared" si="2752"/>
        <v>0</v>
      </c>
      <c r="AR548" s="200">
        <f t="shared" si="2752"/>
        <v>0</v>
      </c>
      <c r="AS548" s="200">
        <f t="shared" si="2752"/>
        <v>0</v>
      </c>
      <c r="AT548" s="173">
        <v>0.0</v>
      </c>
      <c r="AU548" s="200">
        <f t="shared" ref="AU548:AX548" si="2753">countif($D548,"*"&amp;AU$2&amp;"*")</f>
        <v>0</v>
      </c>
      <c r="AV548" s="200">
        <f t="shared" si="2753"/>
        <v>1</v>
      </c>
      <c r="AW548" s="200">
        <f t="shared" si="2753"/>
        <v>0</v>
      </c>
      <c r="AX548" s="200">
        <f t="shared" si="2753"/>
        <v>0</v>
      </c>
      <c r="AY548" s="202">
        <v>0.0</v>
      </c>
      <c r="AZ548" s="200"/>
      <c r="BA548" s="171" t="str">
        <f t="shared" si="18"/>
        <v/>
      </c>
      <c r="BB548" s="171" t="str">
        <f t="shared" si="19"/>
        <v>Code</v>
      </c>
      <c r="BC548" s="171" t="str">
        <f t="shared" si="20"/>
        <v/>
      </c>
      <c r="BD548" s="171" t="str">
        <f t="shared" si="21"/>
        <v/>
      </c>
      <c r="BE548" s="171" t="str">
        <f t="shared" si="22"/>
        <v/>
      </c>
      <c r="BF548" s="171" t="str">
        <f t="shared" si="23"/>
        <v>Code</v>
      </c>
    </row>
    <row r="549">
      <c r="A549" s="171">
        <f t="array" ref="A549">XLOOKUP(C549,ICSE!A:A,ICSE!C:C,,2,1)</f>
        <v>2019</v>
      </c>
      <c r="B549" s="171" t="s">
        <v>5675</v>
      </c>
      <c r="C549" s="160">
        <v>975.0</v>
      </c>
      <c r="D549" s="161" t="s">
        <v>1388</v>
      </c>
      <c r="E549" s="197" t="str">
        <f t="array" ref="E549">XLOOKUP(C549,ICSE!A:A,ICSE!Z:Z,,0,1)</f>
        <v>Publicly available (1)</v>
      </c>
      <c r="F549" s="198" t="s">
        <v>20</v>
      </c>
      <c r="G549" s="163" t="str">
        <f t="array" ref="G549">IF(B549="ICSE",IF(COUNTIFS(B:B,B549,C:C,C549)=XLOOKUP(C549,ICSE!A:A,ICSE!AA:AA,"ERROR",0,1),"OK","ERROR"),IF(B549="FSE",IF(COUNTIFS(B:B,B549,C:C,C549)=XLOOKUP(C549,FSE!A:A,FSE!AA:AA,"ERROR",0,1),"OK","ERROR")))</f>
        <v>OK</v>
      </c>
      <c r="H549" s="199">
        <f t="shared" ref="H549:O549" si="2754">countif($D549,"*"&amp;H$2&amp;"*")</f>
        <v>0</v>
      </c>
      <c r="I549" s="200">
        <f t="shared" si="2754"/>
        <v>0</v>
      </c>
      <c r="J549" s="200">
        <f t="shared" si="2754"/>
        <v>0</v>
      </c>
      <c r="K549" s="200">
        <f t="shared" si="2754"/>
        <v>0</v>
      </c>
      <c r="L549" s="200">
        <f t="shared" si="2754"/>
        <v>0</v>
      </c>
      <c r="M549" s="200">
        <f t="shared" si="2754"/>
        <v>0</v>
      </c>
      <c r="N549" s="200">
        <f t="shared" si="2754"/>
        <v>0</v>
      </c>
      <c r="O549" s="200">
        <f t="shared" si="2754"/>
        <v>0</v>
      </c>
      <c r="P549" s="200">
        <f t="shared" si="9"/>
        <v>0</v>
      </c>
      <c r="Q549" s="200">
        <f t="shared" ref="Q549:AC549" si="2755">countif($D549,"*"&amp;Q$2&amp;"*")</f>
        <v>0</v>
      </c>
      <c r="R549" s="200">
        <f t="shared" si="2755"/>
        <v>0</v>
      </c>
      <c r="S549" s="200">
        <f t="shared" si="2755"/>
        <v>0</v>
      </c>
      <c r="T549" s="200">
        <f t="shared" si="2755"/>
        <v>0</v>
      </c>
      <c r="U549" s="200">
        <f t="shared" si="2755"/>
        <v>0</v>
      </c>
      <c r="V549" s="200">
        <f t="shared" si="2755"/>
        <v>0</v>
      </c>
      <c r="W549" s="200">
        <f t="shared" si="2755"/>
        <v>0</v>
      </c>
      <c r="X549" s="200">
        <f t="shared" si="2755"/>
        <v>0</v>
      </c>
      <c r="Y549" s="200">
        <f t="shared" si="2755"/>
        <v>0</v>
      </c>
      <c r="Z549" s="200">
        <f t="shared" si="2755"/>
        <v>0</v>
      </c>
      <c r="AA549" s="200">
        <f t="shared" si="2755"/>
        <v>0</v>
      </c>
      <c r="AB549" s="200">
        <f t="shared" si="2755"/>
        <v>0</v>
      </c>
      <c r="AC549" s="200">
        <f t="shared" si="2755"/>
        <v>0</v>
      </c>
      <c r="AD549" s="200">
        <f t="shared" si="11"/>
        <v>0</v>
      </c>
      <c r="AE549" s="200">
        <f t="shared" ref="AE549:AG549" si="2756">countif($D549,"*"&amp;AE$2&amp;"*")</f>
        <v>0</v>
      </c>
      <c r="AF549" s="200">
        <f t="shared" si="2756"/>
        <v>0</v>
      </c>
      <c r="AG549" s="200">
        <f t="shared" si="2756"/>
        <v>0</v>
      </c>
      <c r="AH549" s="171">
        <f t="shared" si="13"/>
        <v>1</v>
      </c>
      <c r="AI549" s="200">
        <f t="shared" si="14"/>
        <v>0</v>
      </c>
      <c r="AJ549" s="200">
        <f t="shared" si="2686"/>
        <v>0</v>
      </c>
      <c r="AK549" s="201">
        <f t="shared" ref="AK549:AS549" si="2757">countif($D549,"*"&amp;AK$2&amp;"*")</f>
        <v>0</v>
      </c>
      <c r="AL549" s="201">
        <f t="shared" si="2757"/>
        <v>0</v>
      </c>
      <c r="AM549" s="201">
        <f t="shared" si="2757"/>
        <v>0</v>
      </c>
      <c r="AN549" s="201">
        <f t="shared" si="2757"/>
        <v>0</v>
      </c>
      <c r="AO549" s="201">
        <f t="shared" si="2757"/>
        <v>0</v>
      </c>
      <c r="AP549" s="201">
        <f t="shared" si="2757"/>
        <v>0</v>
      </c>
      <c r="AQ549" s="201">
        <f t="shared" si="2757"/>
        <v>0</v>
      </c>
      <c r="AR549" s="200">
        <f t="shared" si="2757"/>
        <v>0</v>
      </c>
      <c r="AS549" s="200">
        <f t="shared" si="2757"/>
        <v>0</v>
      </c>
      <c r="AT549" s="173">
        <v>0.0</v>
      </c>
      <c r="AU549" s="200">
        <f t="shared" ref="AU549:AX549" si="2758">countif($D549,"*"&amp;AU$2&amp;"*")</f>
        <v>0</v>
      </c>
      <c r="AV549" s="200">
        <f t="shared" si="2758"/>
        <v>0</v>
      </c>
      <c r="AW549" s="200">
        <f t="shared" si="2758"/>
        <v>0</v>
      </c>
      <c r="AX549" s="200">
        <f t="shared" si="2758"/>
        <v>0</v>
      </c>
      <c r="AY549" s="202">
        <v>0.0</v>
      </c>
      <c r="AZ549" s="200"/>
      <c r="BA549" s="171" t="str">
        <f t="shared" si="18"/>
        <v/>
      </c>
      <c r="BB549" s="171" t="str">
        <f t="shared" si="19"/>
        <v/>
      </c>
      <c r="BC549" s="171" t="str">
        <f t="shared" si="20"/>
        <v/>
      </c>
      <c r="BD549" s="171" t="str">
        <f t="shared" si="21"/>
        <v/>
      </c>
      <c r="BE549" s="171" t="str">
        <f t="shared" si="22"/>
        <v>Others</v>
      </c>
      <c r="BF549" s="171" t="str">
        <f t="shared" si="23"/>
        <v>Others</v>
      </c>
    </row>
    <row r="550">
      <c r="A550" s="171">
        <f t="array" ref="A550">XLOOKUP(C550,ICSE!A:A,ICSE!C:C,,2,1)</f>
        <v>2019</v>
      </c>
      <c r="B550" s="171" t="s">
        <v>5675</v>
      </c>
      <c r="C550" s="160">
        <v>977.0</v>
      </c>
      <c r="D550" s="161" t="s">
        <v>1392</v>
      </c>
      <c r="E550" s="197" t="str">
        <f t="array" ref="E550">XLOOKUP(C550,ICSE!A:A,ICSE!Z:Z,,0,1)</f>
        <v>Publicly available (1)</v>
      </c>
      <c r="F550" s="198" t="s">
        <v>20</v>
      </c>
      <c r="G550" s="163" t="str">
        <f t="array" ref="G550">IF(B550="ICSE",IF(COUNTIFS(B:B,B550,C:C,C550)=XLOOKUP(C550,ICSE!A:A,ICSE!AA:AA,"ERROR",0,1),"OK","ERROR"),IF(B550="FSE",IF(COUNTIFS(B:B,B550,C:C,C550)=XLOOKUP(C550,FSE!A:A,FSE!AA:AA,"ERROR",0,1),"OK","ERROR")))</f>
        <v>OK</v>
      </c>
      <c r="H550" s="199">
        <f t="shared" ref="H550:O550" si="2759">countif($D550,"*"&amp;H$2&amp;"*")</f>
        <v>1</v>
      </c>
      <c r="I550" s="200">
        <f t="shared" si="2759"/>
        <v>0</v>
      </c>
      <c r="J550" s="200">
        <f t="shared" si="2759"/>
        <v>0</v>
      </c>
      <c r="K550" s="200">
        <f t="shared" si="2759"/>
        <v>0</v>
      </c>
      <c r="L550" s="200">
        <f t="shared" si="2759"/>
        <v>0</v>
      </c>
      <c r="M550" s="200">
        <f t="shared" si="2759"/>
        <v>0</v>
      </c>
      <c r="N550" s="200">
        <f t="shared" si="2759"/>
        <v>0</v>
      </c>
      <c r="O550" s="200">
        <f t="shared" si="2759"/>
        <v>0</v>
      </c>
      <c r="P550" s="200">
        <f t="shared" si="9"/>
        <v>0</v>
      </c>
      <c r="Q550" s="200">
        <f t="shared" ref="Q550:AC550" si="2760">countif($D550,"*"&amp;Q$2&amp;"*")</f>
        <v>0</v>
      </c>
      <c r="R550" s="200">
        <f t="shared" si="2760"/>
        <v>0</v>
      </c>
      <c r="S550" s="200">
        <f t="shared" si="2760"/>
        <v>0</v>
      </c>
      <c r="T550" s="200">
        <f t="shared" si="2760"/>
        <v>0</v>
      </c>
      <c r="U550" s="200">
        <f t="shared" si="2760"/>
        <v>0</v>
      </c>
      <c r="V550" s="200">
        <f t="shared" si="2760"/>
        <v>0</v>
      </c>
      <c r="W550" s="200">
        <f t="shared" si="2760"/>
        <v>0</v>
      </c>
      <c r="X550" s="200">
        <f t="shared" si="2760"/>
        <v>0</v>
      </c>
      <c r="Y550" s="200">
        <f t="shared" si="2760"/>
        <v>0</v>
      </c>
      <c r="Z550" s="200">
        <f t="shared" si="2760"/>
        <v>0</v>
      </c>
      <c r="AA550" s="200">
        <f t="shared" si="2760"/>
        <v>0</v>
      </c>
      <c r="AB550" s="200">
        <f t="shared" si="2760"/>
        <v>0</v>
      </c>
      <c r="AC550" s="200">
        <f t="shared" si="2760"/>
        <v>0</v>
      </c>
      <c r="AD550" s="200">
        <f t="shared" si="11"/>
        <v>0</v>
      </c>
      <c r="AE550" s="200">
        <f t="shared" ref="AE550:AG550" si="2761">countif($D550,"*"&amp;AE$2&amp;"*")</f>
        <v>0</v>
      </c>
      <c r="AF550" s="200">
        <f t="shared" si="2761"/>
        <v>0</v>
      </c>
      <c r="AG550" s="200">
        <f t="shared" si="2761"/>
        <v>0</v>
      </c>
      <c r="AH550" s="171">
        <f t="shared" si="13"/>
        <v>0</v>
      </c>
      <c r="AI550" s="200">
        <f t="shared" si="14"/>
        <v>1</v>
      </c>
      <c r="AJ550" s="200">
        <f t="shared" si="2686"/>
        <v>0</v>
      </c>
      <c r="AK550" s="201">
        <f t="shared" ref="AK550:AS550" si="2762">countif($D550,"*"&amp;AK$2&amp;"*")</f>
        <v>0</v>
      </c>
      <c r="AL550" s="201">
        <f t="shared" si="2762"/>
        <v>0</v>
      </c>
      <c r="AM550" s="201">
        <f t="shared" si="2762"/>
        <v>0</v>
      </c>
      <c r="AN550" s="201">
        <f t="shared" si="2762"/>
        <v>0</v>
      </c>
      <c r="AO550" s="201">
        <f t="shared" si="2762"/>
        <v>0</v>
      </c>
      <c r="AP550" s="201">
        <f t="shared" si="2762"/>
        <v>0</v>
      </c>
      <c r="AQ550" s="201">
        <f t="shared" si="2762"/>
        <v>0</v>
      </c>
      <c r="AR550" s="200">
        <f t="shared" si="2762"/>
        <v>0</v>
      </c>
      <c r="AS550" s="200">
        <f t="shared" si="2762"/>
        <v>0</v>
      </c>
      <c r="AT550" s="173">
        <v>0.0</v>
      </c>
      <c r="AU550" s="200">
        <f t="shared" ref="AU550:AX550" si="2763">countif($D550,"*"&amp;AU$2&amp;"*")</f>
        <v>0</v>
      </c>
      <c r="AV550" s="200">
        <f t="shared" si="2763"/>
        <v>0</v>
      </c>
      <c r="AW550" s="200">
        <f t="shared" si="2763"/>
        <v>0</v>
      </c>
      <c r="AX550" s="200">
        <f t="shared" si="2763"/>
        <v>1</v>
      </c>
      <c r="AY550" s="202">
        <v>0.0</v>
      </c>
      <c r="AZ550" s="200"/>
      <c r="BA550" s="171" t="str">
        <f t="shared" si="18"/>
        <v>Archival</v>
      </c>
      <c r="BB550" s="171" t="str">
        <f t="shared" si="19"/>
        <v/>
      </c>
      <c r="BC550" s="171" t="str">
        <f t="shared" si="20"/>
        <v/>
      </c>
      <c r="BD550" s="171" t="str">
        <f t="shared" si="21"/>
        <v/>
      </c>
      <c r="BE550" s="171" t="str">
        <f t="shared" si="22"/>
        <v/>
      </c>
      <c r="BF550" s="171" t="str">
        <f t="shared" si="23"/>
        <v>Archival</v>
      </c>
    </row>
    <row r="551">
      <c r="A551" s="171">
        <f t="array" ref="A551">XLOOKUP(C551,ICSE!A:A,ICSE!C:C,,2,1)</f>
        <v>2019</v>
      </c>
      <c r="B551" s="171" t="s">
        <v>5675</v>
      </c>
      <c r="C551" s="160">
        <v>979.0</v>
      </c>
      <c r="D551" s="161" t="s">
        <v>1396</v>
      </c>
      <c r="E551" s="197" t="str">
        <f t="array" ref="E551">XLOOKUP(C551,ICSE!A:A,ICSE!Z:Z,,0,1)</f>
        <v>Publicly available (1)</v>
      </c>
      <c r="F551" s="198" t="s">
        <v>20</v>
      </c>
      <c r="G551" s="163" t="str">
        <f t="array" ref="G551">IF(B551="ICSE",IF(COUNTIFS(B:B,B551,C:C,C551)=XLOOKUP(C551,ICSE!A:A,ICSE!AA:AA,"ERROR",0,1),"OK","ERROR"),IF(B551="FSE",IF(COUNTIFS(B:B,B551,C:C,C551)=XLOOKUP(C551,FSE!A:A,FSE!AA:AA,"ERROR",0,1),"OK","ERROR")))</f>
        <v>OK</v>
      </c>
      <c r="H551" s="199">
        <f t="shared" ref="H551:O551" si="2764">countif($D551,"*"&amp;H$2&amp;"*")</f>
        <v>0</v>
      </c>
      <c r="I551" s="200">
        <f t="shared" si="2764"/>
        <v>0</v>
      </c>
      <c r="J551" s="200">
        <f t="shared" si="2764"/>
        <v>0</v>
      </c>
      <c r="K551" s="200">
        <f t="shared" si="2764"/>
        <v>0</v>
      </c>
      <c r="L551" s="200">
        <f t="shared" si="2764"/>
        <v>0</v>
      </c>
      <c r="M551" s="200">
        <f t="shared" si="2764"/>
        <v>0</v>
      </c>
      <c r="N551" s="200">
        <f t="shared" si="2764"/>
        <v>0</v>
      </c>
      <c r="O551" s="200">
        <f t="shared" si="2764"/>
        <v>0</v>
      </c>
      <c r="P551" s="200">
        <f t="shared" si="9"/>
        <v>1</v>
      </c>
      <c r="Q551" s="200">
        <f t="shared" ref="Q551:AC551" si="2765">countif($D551,"*"&amp;Q$2&amp;"*")</f>
        <v>0</v>
      </c>
      <c r="R551" s="200">
        <f t="shared" si="2765"/>
        <v>0</v>
      </c>
      <c r="S551" s="200">
        <f t="shared" si="2765"/>
        <v>0</v>
      </c>
      <c r="T551" s="200">
        <f t="shared" si="2765"/>
        <v>0</v>
      </c>
      <c r="U551" s="200">
        <f t="shared" si="2765"/>
        <v>0</v>
      </c>
      <c r="V551" s="200">
        <f t="shared" si="2765"/>
        <v>0</v>
      </c>
      <c r="W551" s="200">
        <f t="shared" si="2765"/>
        <v>0</v>
      </c>
      <c r="X551" s="200">
        <f t="shared" si="2765"/>
        <v>0</v>
      </c>
      <c r="Y551" s="200">
        <f t="shared" si="2765"/>
        <v>0</v>
      </c>
      <c r="Z551" s="200">
        <f t="shared" si="2765"/>
        <v>0</v>
      </c>
      <c r="AA551" s="200">
        <f t="shared" si="2765"/>
        <v>0</v>
      </c>
      <c r="AB551" s="200">
        <f t="shared" si="2765"/>
        <v>0</v>
      </c>
      <c r="AC551" s="200">
        <f t="shared" si="2765"/>
        <v>0</v>
      </c>
      <c r="AD551" s="200">
        <f t="shared" si="11"/>
        <v>0</v>
      </c>
      <c r="AE551" s="200">
        <f t="shared" ref="AE551:AG551" si="2766">countif($D551,"*"&amp;AE$2&amp;"*")</f>
        <v>0</v>
      </c>
      <c r="AF551" s="200">
        <f t="shared" si="2766"/>
        <v>0</v>
      </c>
      <c r="AG551" s="200">
        <f t="shared" si="2766"/>
        <v>0</v>
      </c>
      <c r="AH551" s="171">
        <f t="shared" si="13"/>
        <v>0</v>
      </c>
      <c r="AI551" s="200">
        <f t="shared" si="14"/>
        <v>0</v>
      </c>
      <c r="AJ551" s="200">
        <f t="shared" si="2686"/>
        <v>0</v>
      </c>
      <c r="AK551" s="201">
        <f t="shared" ref="AK551:AS551" si="2767">countif($D551,"*"&amp;AK$2&amp;"*")</f>
        <v>0</v>
      </c>
      <c r="AL551" s="201">
        <f t="shared" si="2767"/>
        <v>0</v>
      </c>
      <c r="AM551" s="201">
        <f t="shared" si="2767"/>
        <v>0</v>
      </c>
      <c r="AN551" s="201">
        <f t="shared" si="2767"/>
        <v>0</v>
      </c>
      <c r="AO551" s="201">
        <f t="shared" si="2767"/>
        <v>0</v>
      </c>
      <c r="AP551" s="201">
        <f t="shared" si="2767"/>
        <v>0</v>
      </c>
      <c r="AQ551" s="201">
        <f t="shared" si="2767"/>
        <v>0</v>
      </c>
      <c r="AR551" s="200">
        <f t="shared" si="2767"/>
        <v>0</v>
      </c>
      <c r="AS551" s="200">
        <f t="shared" si="2767"/>
        <v>0</v>
      </c>
      <c r="AT551" s="173">
        <v>0.0</v>
      </c>
      <c r="AU551" s="200">
        <f t="shared" ref="AU551:AX551" si="2768">countif($D551,"*"&amp;AU$2&amp;"*")</f>
        <v>0</v>
      </c>
      <c r="AV551" s="200">
        <f t="shared" si="2768"/>
        <v>1</v>
      </c>
      <c r="AW551" s="200">
        <f t="shared" si="2768"/>
        <v>0</v>
      </c>
      <c r="AX551" s="200">
        <f t="shared" si="2768"/>
        <v>0</v>
      </c>
      <c r="AY551" s="202">
        <v>0.0</v>
      </c>
      <c r="AZ551" s="200"/>
      <c r="BA551" s="171" t="str">
        <f t="shared" si="18"/>
        <v/>
      </c>
      <c r="BB551" s="171" t="str">
        <f t="shared" si="19"/>
        <v>Code</v>
      </c>
      <c r="BC551" s="171" t="str">
        <f t="shared" si="20"/>
        <v/>
      </c>
      <c r="BD551" s="171" t="str">
        <f t="shared" si="21"/>
        <v/>
      </c>
      <c r="BE551" s="171" t="str">
        <f t="shared" si="22"/>
        <v/>
      </c>
      <c r="BF551" s="171" t="str">
        <f t="shared" si="23"/>
        <v>Code</v>
      </c>
    </row>
    <row r="552">
      <c r="A552" s="171">
        <f t="array" ref="A552">XLOOKUP(C552,ICSE!A:A,ICSE!C:C,,2,1)</f>
        <v>2019</v>
      </c>
      <c r="B552" s="171" t="s">
        <v>5675</v>
      </c>
      <c r="C552" s="160">
        <v>982.0</v>
      </c>
      <c r="D552" s="161" t="s">
        <v>1401</v>
      </c>
      <c r="E552" s="197" t="str">
        <f t="array" ref="E552">XLOOKUP(C552,ICSE!A:A,ICSE!Z:Z,,0,1)</f>
        <v>Publicly available (1)</v>
      </c>
      <c r="F552" s="198" t="s">
        <v>20</v>
      </c>
      <c r="G552" s="163" t="str">
        <f t="array" ref="G552">IF(B552="ICSE",IF(COUNTIFS(B:B,B552,C:C,C552)=XLOOKUP(C552,ICSE!A:A,ICSE!AA:AA,"ERROR",0,1),"OK","ERROR"),IF(B552="FSE",IF(COUNTIFS(B:B,B552,C:C,C552)=XLOOKUP(C552,FSE!A:A,FSE!AA:AA,"ERROR",0,1),"OK","ERROR")))</f>
        <v>OK</v>
      </c>
      <c r="H552" s="199">
        <f t="shared" ref="H552:O552" si="2769">countif($D552,"*"&amp;H$2&amp;"*")</f>
        <v>0</v>
      </c>
      <c r="I552" s="200">
        <f t="shared" si="2769"/>
        <v>1</v>
      </c>
      <c r="J552" s="200">
        <f t="shared" si="2769"/>
        <v>0</v>
      </c>
      <c r="K552" s="200">
        <f t="shared" si="2769"/>
        <v>0</v>
      </c>
      <c r="L552" s="200">
        <f t="shared" si="2769"/>
        <v>0</v>
      </c>
      <c r="M552" s="200">
        <f t="shared" si="2769"/>
        <v>0</v>
      </c>
      <c r="N552" s="200">
        <f t="shared" si="2769"/>
        <v>0</v>
      </c>
      <c r="O552" s="200">
        <f t="shared" si="2769"/>
        <v>0</v>
      </c>
      <c r="P552" s="200">
        <f t="shared" si="9"/>
        <v>0</v>
      </c>
      <c r="Q552" s="200">
        <f t="shared" ref="Q552:AC552" si="2770">countif($D552,"*"&amp;Q$2&amp;"*")</f>
        <v>0</v>
      </c>
      <c r="R552" s="200">
        <f t="shared" si="2770"/>
        <v>0</v>
      </c>
      <c r="S552" s="200">
        <f t="shared" si="2770"/>
        <v>0</v>
      </c>
      <c r="T552" s="200">
        <f t="shared" si="2770"/>
        <v>0</v>
      </c>
      <c r="U552" s="200">
        <f t="shared" si="2770"/>
        <v>0</v>
      </c>
      <c r="V552" s="200">
        <f t="shared" si="2770"/>
        <v>0</v>
      </c>
      <c r="W552" s="200">
        <f t="shared" si="2770"/>
        <v>0</v>
      </c>
      <c r="X552" s="200">
        <f t="shared" si="2770"/>
        <v>0</v>
      </c>
      <c r="Y552" s="200">
        <f t="shared" si="2770"/>
        <v>0</v>
      </c>
      <c r="Z552" s="200">
        <f t="shared" si="2770"/>
        <v>0</v>
      </c>
      <c r="AA552" s="200">
        <f t="shared" si="2770"/>
        <v>0</v>
      </c>
      <c r="AB552" s="200">
        <f t="shared" si="2770"/>
        <v>0</v>
      </c>
      <c r="AC552" s="200">
        <f t="shared" si="2770"/>
        <v>0</v>
      </c>
      <c r="AD552" s="200">
        <f t="shared" si="11"/>
        <v>0</v>
      </c>
      <c r="AE552" s="200">
        <f t="shared" ref="AE552:AG552" si="2771">countif($D552,"*"&amp;AE$2&amp;"*")</f>
        <v>0</v>
      </c>
      <c r="AF552" s="200">
        <f t="shared" si="2771"/>
        <v>0</v>
      </c>
      <c r="AG552" s="200">
        <f t="shared" si="2771"/>
        <v>0</v>
      </c>
      <c r="AH552" s="171">
        <f t="shared" si="13"/>
        <v>0</v>
      </c>
      <c r="AI552" s="200">
        <f t="shared" si="14"/>
        <v>1</v>
      </c>
      <c r="AJ552" s="200">
        <f t="shared" si="2686"/>
        <v>0</v>
      </c>
      <c r="AK552" s="201">
        <f t="shared" ref="AK552:AS552" si="2772">countif($D552,"*"&amp;AK$2&amp;"*")</f>
        <v>0</v>
      </c>
      <c r="AL552" s="201">
        <f t="shared" si="2772"/>
        <v>0</v>
      </c>
      <c r="AM552" s="201">
        <f t="shared" si="2772"/>
        <v>0</v>
      </c>
      <c r="AN552" s="201">
        <f t="shared" si="2772"/>
        <v>0</v>
      </c>
      <c r="AO552" s="201">
        <f t="shared" si="2772"/>
        <v>0</v>
      </c>
      <c r="AP552" s="201">
        <f t="shared" si="2772"/>
        <v>0</v>
      </c>
      <c r="AQ552" s="201">
        <f t="shared" si="2772"/>
        <v>0</v>
      </c>
      <c r="AR552" s="200">
        <f t="shared" si="2772"/>
        <v>0</v>
      </c>
      <c r="AS552" s="200">
        <f t="shared" si="2772"/>
        <v>0</v>
      </c>
      <c r="AT552" s="173">
        <v>0.0</v>
      </c>
      <c r="AU552" s="200">
        <f t="shared" ref="AU552:AX552" si="2773">countif($D552,"*"&amp;AU$2&amp;"*")</f>
        <v>0</v>
      </c>
      <c r="AV552" s="200">
        <f t="shared" si="2773"/>
        <v>0</v>
      </c>
      <c r="AW552" s="200">
        <f t="shared" si="2773"/>
        <v>0</v>
      </c>
      <c r="AX552" s="200">
        <f t="shared" si="2773"/>
        <v>1</v>
      </c>
      <c r="AY552" s="202">
        <v>0.0</v>
      </c>
      <c r="AZ552" s="200"/>
      <c r="BA552" s="171" t="str">
        <f t="shared" si="18"/>
        <v>Archival</v>
      </c>
      <c r="BB552" s="171" t="str">
        <f t="shared" si="19"/>
        <v/>
      </c>
      <c r="BC552" s="171" t="str">
        <f t="shared" si="20"/>
        <v/>
      </c>
      <c r="BD552" s="171" t="str">
        <f t="shared" si="21"/>
        <v/>
      </c>
      <c r="BE552" s="171" t="str">
        <f t="shared" si="22"/>
        <v/>
      </c>
      <c r="BF552" s="171" t="str">
        <f t="shared" si="23"/>
        <v>Archival</v>
      </c>
    </row>
    <row r="553">
      <c r="A553" s="171">
        <f t="array" ref="A553">XLOOKUP(C553,ICSE!A:A,ICSE!C:C,,2,1)</f>
        <v>2019</v>
      </c>
      <c r="B553" s="171" t="s">
        <v>5675</v>
      </c>
      <c r="C553" s="160">
        <v>983.0</v>
      </c>
      <c r="D553" s="161" t="s">
        <v>5922</v>
      </c>
      <c r="E553" s="197" t="str">
        <f t="array" ref="E553">XLOOKUP(C553,ICSE!A:A,ICSE!Z:Z,,0,1)</f>
        <v>Publicly available (1)</v>
      </c>
      <c r="F553" s="198" t="s">
        <v>20</v>
      </c>
      <c r="G553" s="163" t="str">
        <f t="array" ref="G553">IF(B553="ICSE",IF(COUNTIFS(B:B,B553,C:C,C553)=XLOOKUP(C553,ICSE!A:A,ICSE!AA:AA,"ERROR",0,1),"OK","ERROR"),IF(B553="FSE",IF(COUNTIFS(B:B,B553,C:C,C553)=XLOOKUP(C553,FSE!A:A,FSE!AA:AA,"ERROR",0,1),"OK","ERROR")))</f>
        <v>OK</v>
      </c>
      <c r="H553" s="199">
        <f t="shared" ref="H553:O553" si="2774">countif($D553,"*"&amp;H$2&amp;"*")</f>
        <v>0</v>
      </c>
      <c r="I553" s="200">
        <f t="shared" si="2774"/>
        <v>0</v>
      </c>
      <c r="J553" s="200">
        <f t="shared" si="2774"/>
        <v>0</v>
      </c>
      <c r="K553" s="200">
        <f t="shared" si="2774"/>
        <v>0</v>
      </c>
      <c r="L553" s="200">
        <f t="shared" si="2774"/>
        <v>0</v>
      </c>
      <c r="M553" s="200">
        <f t="shared" si="2774"/>
        <v>0</v>
      </c>
      <c r="N553" s="200">
        <f t="shared" si="2774"/>
        <v>0</v>
      </c>
      <c r="O553" s="200">
        <f t="shared" si="2774"/>
        <v>0</v>
      </c>
      <c r="P553" s="200">
        <f t="shared" si="9"/>
        <v>1</v>
      </c>
      <c r="Q553" s="200">
        <f t="shared" ref="Q553:AC553" si="2775">countif($D553,"*"&amp;Q$2&amp;"*")</f>
        <v>0</v>
      </c>
      <c r="R553" s="200">
        <f t="shared" si="2775"/>
        <v>0</v>
      </c>
      <c r="S553" s="200">
        <f t="shared" si="2775"/>
        <v>0</v>
      </c>
      <c r="T553" s="200">
        <f t="shared" si="2775"/>
        <v>0</v>
      </c>
      <c r="U553" s="200">
        <f t="shared" si="2775"/>
        <v>0</v>
      </c>
      <c r="V553" s="200">
        <f t="shared" si="2775"/>
        <v>0</v>
      </c>
      <c r="W553" s="200">
        <f t="shared" si="2775"/>
        <v>0</v>
      </c>
      <c r="X553" s="200">
        <f t="shared" si="2775"/>
        <v>0</v>
      </c>
      <c r="Y553" s="200">
        <f t="shared" si="2775"/>
        <v>0</v>
      </c>
      <c r="Z553" s="200">
        <f t="shared" si="2775"/>
        <v>0</v>
      </c>
      <c r="AA553" s="200">
        <f t="shared" si="2775"/>
        <v>0</v>
      </c>
      <c r="AB553" s="200">
        <f t="shared" si="2775"/>
        <v>0</v>
      </c>
      <c r="AC553" s="200">
        <f t="shared" si="2775"/>
        <v>0</v>
      </c>
      <c r="AD553" s="200">
        <f t="shared" si="11"/>
        <v>0</v>
      </c>
      <c r="AE553" s="200">
        <f t="shared" ref="AE553:AG553" si="2776">countif($D553,"*"&amp;AE$2&amp;"*")</f>
        <v>0</v>
      </c>
      <c r="AF553" s="200">
        <f t="shared" si="2776"/>
        <v>0</v>
      </c>
      <c r="AG553" s="200">
        <f t="shared" si="2776"/>
        <v>0</v>
      </c>
      <c r="AH553" s="171">
        <f t="shared" si="13"/>
        <v>0</v>
      </c>
      <c r="AI553" s="200">
        <f t="shared" si="14"/>
        <v>0</v>
      </c>
      <c r="AJ553" s="200">
        <f t="shared" si="2686"/>
        <v>0</v>
      </c>
      <c r="AK553" s="201">
        <f t="shared" ref="AK553:AS553" si="2777">countif($D553,"*"&amp;AK$2&amp;"*")</f>
        <v>0</v>
      </c>
      <c r="AL553" s="201">
        <f t="shared" si="2777"/>
        <v>0</v>
      </c>
      <c r="AM553" s="201">
        <f t="shared" si="2777"/>
        <v>0</v>
      </c>
      <c r="AN553" s="201">
        <f t="shared" si="2777"/>
        <v>0</v>
      </c>
      <c r="AO553" s="201">
        <f t="shared" si="2777"/>
        <v>0</v>
      </c>
      <c r="AP553" s="201">
        <f t="shared" si="2777"/>
        <v>0</v>
      </c>
      <c r="AQ553" s="201">
        <f t="shared" si="2777"/>
        <v>0</v>
      </c>
      <c r="AR553" s="200">
        <f t="shared" si="2777"/>
        <v>0</v>
      </c>
      <c r="AS553" s="200">
        <f t="shared" si="2777"/>
        <v>0</v>
      </c>
      <c r="AT553" s="173">
        <v>0.0</v>
      </c>
      <c r="AU553" s="200">
        <f t="shared" ref="AU553:AX553" si="2778">countif($D553,"*"&amp;AU$2&amp;"*")</f>
        <v>0</v>
      </c>
      <c r="AV553" s="200">
        <f t="shared" si="2778"/>
        <v>1</v>
      </c>
      <c r="AW553" s="200">
        <f t="shared" si="2778"/>
        <v>0</v>
      </c>
      <c r="AX553" s="200">
        <f t="shared" si="2778"/>
        <v>0</v>
      </c>
      <c r="AY553" s="202">
        <v>0.0</v>
      </c>
      <c r="AZ553" s="200"/>
      <c r="BA553" s="171" t="str">
        <f t="shared" si="18"/>
        <v/>
      </c>
      <c r="BB553" s="171" t="str">
        <f t="shared" si="19"/>
        <v>Code</v>
      </c>
      <c r="BC553" s="171" t="str">
        <f t="shared" si="20"/>
        <v/>
      </c>
      <c r="BD553" s="171" t="str">
        <f t="shared" si="21"/>
        <v/>
      </c>
      <c r="BE553" s="171" t="str">
        <f t="shared" si="22"/>
        <v/>
      </c>
      <c r="BF553" s="171" t="str">
        <f t="shared" si="23"/>
        <v>Code</v>
      </c>
    </row>
    <row r="554">
      <c r="A554" s="171">
        <f t="array" ref="A554">XLOOKUP(C554,ICSE!A:A,ICSE!C:C,,2,1)</f>
        <v>2019</v>
      </c>
      <c r="B554" s="171" t="s">
        <v>5675</v>
      </c>
      <c r="C554" s="160">
        <v>984.0</v>
      </c>
      <c r="D554" s="208" t="s">
        <v>5923</v>
      </c>
      <c r="E554" s="197" t="str">
        <f t="array" ref="E554">XLOOKUP(C554,ICSE!A:A,ICSE!Z:Z,,0,1)</f>
        <v>Publicly available (1)</v>
      </c>
      <c r="F554" s="198" t="s">
        <v>20</v>
      </c>
      <c r="G554" s="163" t="str">
        <f t="array" ref="G554">IF(B554="ICSE",IF(COUNTIFS(B:B,B554,C:C,C554)=XLOOKUP(C554,ICSE!A:A,ICSE!AA:AA,"ERROR",0,1),"OK","ERROR"),IF(B554="FSE",IF(COUNTIFS(B:B,B554,C:C,C554)=XLOOKUP(C554,FSE!A:A,FSE!AA:AA,"ERROR",0,1),"OK","ERROR")))</f>
        <v>OK</v>
      </c>
      <c r="H554" s="199">
        <f t="shared" ref="H554:O554" si="2779">countif($D554,"*"&amp;H$2&amp;"*")</f>
        <v>0</v>
      </c>
      <c r="I554" s="200">
        <f t="shared" si="2779"/>
        <v>0</v>
      </c>
      <c r="J554" s="200">
        <f t="shared" si="2779"/>
        <v>0</v>
      </c>
      <c r="K554" s="200">
        <f t="shared" si="2779"/>
        <v>0</v>
      </c>
      <c r="L554" s="200">
        <f t="shared" si="2779"/>
        <v>0</v>
      </c>
      <c r="M554" s="200">
        <f t="shared" si="2779"/>
        <v>0</v>
      </c>
      <c r="N554" s="200">
        <f t="shared" si="2779"/>
        <v>0</v>
      </c>
      <c r="O554" s="200">
        <f t="shared" si="2779"/>
        <v>0</v>
      </c>
      <c r="P554" s="200">
        <f t="shared" si="9"/>
        <v>1</v>
      </c>
      <c r="Q554" s="200">
        <f t="shared" ref="Q554:AC554" si="2780">countif($D554,"*"&amp;Q$2&amp;"*")</f>
        <v>0</v>
      </c>
      <c r="R554" s="200">
        <f t="shared" si="2780"/>
        <v>0</v>
      </c>
      <c r="S554" s="200">
        <f t="shared" si="2780"/>
        <v>0</v>
      </c>
      <c r="T554" s="200">
        <f t="shared" si="2780"/>
        <v>0</v>
      </c>
      <c r="U554" s="200">
        <f t="shared" si="2780"/>
        <v>0</v>
      </c>
      <c r="V554" s="200">
        <f t="shared" si="2780"/>
        <v>0</v>
      </c>
      <c r="W554" s="200">
        <f t="shared" si="2780"/>
        <v>0</v>
      </c>
      <c r="X554" s="200">
        <f t="shared" si="2780"/>
        <v>0</v>
      </c>
      <c r="Y554" s="200">
        <f t="shared" si="2780"/>
        <v>0</v>
      </c>
      <c r="Z554" s="200">
        <f t="shared" si="2780"/>
        <v>0</v>
      </c>
      <c r="AA554" s="200">
        <f t="shared" si="2780"/>
        <v>0</v>
      </c>
      <c r="AB554" s="200">
        <f t="shared" si="2780"/>
        <v>0</v>
      </c>
      <c r="AC554" s="200">
        <f t="shared" si="2780"/>
        <v>0</v>
      </c>
      <c r="AD554" s="200">
        <f t="shared" si="11"/>
        <v>0</v>
      </c>
      <c r="AE554" s="200">
        <f t="shared" ref="AE554:AG554" si="2781">countif($D554,"*"&amp;AE$2&amp;"*")</f>
        <v>0</v>
      </c>
      <c r="AF554" s="200">
        <f t="shared" si="2781"/>
        <v>0</v>
      </c>
      <c r="AG554" s="200">
        <f t="shared" si="2781"/>
        <v>0</v>
      </c>
      <c r="AH554" s="171">
        <f t="shared" si="13"/>
        <v>0</v>
      </c>
      <c r="AI554" s="200">
        <f t="shared" si="14"/>
        <v>0</v>
      </c>
      <c r="AJ554" s="200">
        <f t="shared" si="2686"/>
        <v>0</v>
      </c>
      <c r="AK554" s="201">
        <f t="shared" ref="AK554:AS554" si="2782">countif($D554,"*"&amp;AK$2&amp;"*")</f>
        <v>0</v>
      </c>
      <c r="AL554" s="201">
        <f t="shared" si="2782"/>
        <v>0</v>
      </c>
      <c r="AM554" s="201">
        <f t="shared" si="2782"/>
        <v>0</v>
      </c>
      <c r="AN554" s="201">
        <f t="shared" si="2782"/>
        <v>0</v>
      </c>
      <c r="AO554" s="201">
        <f t="shared" si="2782"/>
        <v>0</v>
      </c>
      <c r="AP554" s="201">
        <f t="shared" si="2782"/>
        <v>0</v>
      </c>
      <c r="AQ554" s="201">
        <f t="shared" si="2782"/>
        <v>0</v>
      </c>
      <c r="AR554" s="200">
        <f t="shared" si="2782"/>
        <v>0</v>
      </c>
      <c r="AS554" s="200">
        <f t="shared" si="2782"/>
        <v>1</v>
      </c>
      <c r="AT554" s="173">
        <v>0.0</v>
      </c>
      <c r="AU554" s="209">
        <v>0.0</v>
      </c>
      <c r="AV554" s="200">
        <f t="shared" ref="AV554:AX554" si="2783">countif($D554,"*"&amp;AV$2&amp;"*")</f>
        <v>1</v>
      </c>
      <c r="AW554" s="200">
        <f t="shared" si="2783"/>
        <v>0</v>
      </c>
      <c r="AX554" s="200">
        <f t="shared" si="2783"/>
        <v>0</v>
      </c>
      <c r="AY554" s="202">
        <v>0.0</v>
      </c>
      <c r="AZ554" s="200"/>
      <c r="BA554" s="171" t="str">
        <f t="shared" si="18"/>
        <v/>
      </c>
      <c r="BB554" s="171" t="str">
        <f t="shared" si="19"/>
        <v>Code</v>
      </c>
      <c r="BC554" s="171" t="str">
        <f t="shared" si="20"/>
        <v/>
      </c>
      <c r="BD554" s="171" t="str">
        <f t="shared" si="21"/>
        <v/>
      </c>
      <c r="BE554" s="171" t="str">
        <f t="shared" si="22"/>
        <v/>
      </c>
      <c r="BF554" s="171" t="str">
        <f t="shared" si="23"/>
        <v>Code</v>
      </c>
    </row>
    <row r="555">
      <c r="A555" s="171">
        <f t="array" ref="A555">XLOOKUP(C555,ICSE!A:A,ICSE!C:C,,2,1)</f>
        <v>2019</v>
      </c>
      <c r="B555" s="171" t="s">
        <v>5675</v>
      </c>
      <c r="C555" s="160">
        <v>985.0</v>
      </c>
      <c r="D555" s="161" t="s">
        <v>1410</v>
      </c>
      <c r="E555" s="197" t="str">
        <f t="array" ref="E555">XLOOKUP(C555,ICSE!A:A,ICSE!Z:Z,,0,1)</f>
        <v>Publicly available (1)</v>
      </c>
      <c r="F555" s="198" t="s">
        <v>20</v>
      </c>
      <c r="G555" s="163" t="str">
        <f t="array" ref="G555">IF(B555="ICSE",IF(COUNTIFS(B:B,B555,C:C,C555)=XLOOKUP(C555,ICSE!A:A,ICSE!AA:AA,"ERROR",0,1),"OK","ERROR"),IF(B555="FSE",IF(COUNTIFS(B:B,B555,C:C,C555)=XLOOKUP(C555,FSE!A:A,FSE!AA:AA,"ERROR",0,1),"OK","ERROR")))</f>
        <v>OK</v>
      </c>
      <c r="H555" s="199">
        <f t="shared" ref="H555:O555" si="2784">countif($D555,"*"&amp;H$2&amp;"*")</f>
        <v>0</v>
      </c>
      <c r="I555" s="200">
        <f t="shared" si="2784"/>
        <v>0</v>
      </c>
      <c r="J555" s="200">
        <f t="shared" si="2784"/>
        <v>0</v>
      </c>
      <c r="K555" s="200">
        <f t="shared" si="2784"/>
        <v>0</v>
      </c>
      <c r="L555" s="200">
        <f t="shared" si="2784"/>
        <v>0</v>
      </c>
      <c r="M555" s="200">
        <f t="shared" si="2784"/>
        <v>0</v>
      </c>
      <c r="N555" s="200">
        <f t="shared" si="2784"/>
        <v>0</v>
      </c>
      <c r="O555" s="200">
        <f t="shared" si="2784"/>
        <v>0</v>
      </c>
      <c r="P555" s="200">
        <f t="shared" si="9"/>
        <v>0</v>
      </c>
      <c r="Q555" s="200">
        <f t="shared" ref="Q555:AC555" si="2785">countif($D555,"*"&amp;Q$2&amp;"*")</f>
        <v>0</v>
      </c>
      <c r="R555" s="200">
        <f t="shared" si="2785"/>
        <v>0</v>
      </c>
      <c r="S555" s="200">
        <f t="shared" si="2785"/>
        <v>0</v>
      </c>
      <c r="T555" s="200">
        <f t="shared" si="2785"/>
        <v>0</v>
      </c>
      <c r="U555" s="200">
        <f t="shared" si="2785"/>
        <v>0</v>
      </c>
      <c r="V555" s="200">
        <f t="shared" si="2785"/>
        <v>0</v>
      </c>
      <c r="W555" s="200">
        <f t="shared" si="2785"/>
        <v>0</v>
      </c>
      <c r="X555" s="200">
        <f t="shared" si="2785"/>
        <v>0</v>
      </c>
      <c r="Y555" s="200">
        <f t="shared" si="2785"/>
        <v>0</v>
      </c>
      <c r="Z555" s="200">
        <f t="shared" si="2785"/>
        <v>0</v>
      </c>
      <c r="AA555" s="200">
        <f t="shared" si="2785"/>
        <v>0</v>
      </c>
      <c r="AB555" s="200">
        <f t="shared" si="2785"/>
        <v>0</v>
      </c>
      <c r="AC555" s="200">
        <f t="shared" si="2785"/>
        <v>0</v>
      </c>
      <c r="AD555" s="200">
        <f t="shared" si="11"/>
        <v>0</v>
      </c>
      <c r="AE555" s="200">
        <f t="shared" ref="AE555:AG555" si="2786">countif($D555,"*"&amp;AE$2&amp;"*")</f>
        <v>0</v>
      </c>
      <c r="AF555" s="200">
        <f t="shared" si="2786"/>
        <v>0</v>
      </c>
      <c r="AG555" s="200">
        <f t="shared" si="2786"/>
        <v>1</v>
      </c>
      <c r="AH555" s="171">
        <f t="shared" si="13"/>
        <v>0</v>
      </c>
      <c r="AI555" s="200">
        <f t="shared" si="14"/>
        <v>0</v>
      </c>
      <c r="AJ555" s="200">
        <f t="shared" si="2686"/>
        <v>0</v>
      </c>
      <c r="AK555" s="201">
        <f t="shared" ref="AK555:AS555" si="2787">countif($D555,"*"&amp;AK$2&amp;"*")</f>
        <v>0</v>
      </c>
      <c r="AL555" s="201">
        <f t="shared" si="2787"/>
        <v>0</v>
      </c>
      <c r="AM555" s="201">
        <f t="shared" si="2787"/>
        <v>0</v>
      </c>
      <c r="AN555" s="201">
        <f t="shared" si="2787"/>
        <v>0</v>
      </c>
      <c r="AO555" s="201">
        <f t="shared" si="2787"/>
        <v>0</v>
      </c>
      <c r="AP555" s="201">
        <f t="shared" si="2787"/>
        <v>0</v>
      </c>
      <c r="AQ555" s="201">
        <f t="shared" si="2787"/>
        <v>0</v>
      </c>
      <c r="AR555" s="200">
        <f t="shared" si="2787"/>
        <v>0</v>
      </c>
      <c r="AS555" s="200">
        <f t="shared" si="2787"/>
        <v>0</v>
      </c>
      <c r="AT555" s="173">
        <v>0.0</v>
      </c>
      <c r="AU555" s="200">
        <f t="shared" ref="AU555:AX555" si="2788">countif($D555,"*"&amp;AU$2&amp;"*")</f>
        <v>0</v>
      </c>
      <c r="AV555" s="200">
        <f t="shared" si="2788"/>
        <v>0</v>
      </c>
      <c r="AW555" s="200">
        <f t="shared" si="2788"/>
        <v>0</v>
      </c>
      <c r="AX555" s="200">
        <f t="shared" si="2788"/>
        <v>0</v>
      </c>
      <c r="AY555" s="202">
        <v>0.0</v>
      </c>
      <c r="AZ555" s="200"/>
      <c r="BA555" s="171" t="str">
        <f t="shared" si="18"/>
        <v/>
      </c>
      <c r="BB555" s="171" t="str">
        <f t="shared" si="19"/>
        <v/>
      </c>
      <c r="BC555" s="171" t="str">
        <f t="shared" si="20"/>
        <v/>
      </c>
      <c r="BD555" s="171" t="str">
        <f t="shared" si="21"/>
        <v/>
      </c>
      <c r="BE555" s="171" t="str">
        <f t="shared" si="22"/>
        <v>Others</v>
      </c>
      <c r="BF555" s="171" t="str">
        <f t="shared" si="23"/>
        <v>Others</v>
      </c>
    </row>
    <row r="556">
      <c r="A556" s="171">
        <f t="array" ref="A556">XLOOKUP(C556,ICSE!A:A,ICSE!C:C,,2,1)</f>
        <v>2019</v>
      </c>
      <c r="B556" s="171" t="s">
        <v>5675</v>
      </c>
      <c r="C556" s="160">
        <v>987.0</v>
      </c>
      <c r="D556" s="161" t="s">
        <v>5924</v>
      </c>
      <c r="E556" s="197" t="str">
        <f t="array" ref="E556">XLOOKUP(C556,ICSE!A:A,ICSE!Z:Z,,0,1)</f>
        <v>Publicly available (2)</v>
      </c>
      <c r="F556" s="198" t="s">
        <v>20</v>
      </c>
      <c r="G556" s="163" t="str">
        <f t="array" ref="G556">IF(B556="ICSE",IF(COUNTIFS(B:B,B556,C:C,C556)=XLOOKUP(C556,ICSE!A:A,ICSE!AA:AA,"ERROR",0,1),"OK","ERROR"),IF(B556="FSE",IF(COUNTIFS(B:B,B556,C:C,C556)=XLOOKUP(C556,FSE!A:A,FSE!AA:AA,"ERROR",0,1),"OK","ERROR")))</f>
        <v>OK</v>
      </c>
      <c r="H556" s="199">
        <f t="shared" ref="H556:O556" si="2789">countif($D556,"*"&amp;H$2&amp;"*")</f>
        <v>0</v>
      </c>
      <c r="I556" s="200">
        <f t="shared" si="2789"/>
        <v>0</v>
      </c>
      <c r="J556" s="200">
        <f t="shared" si="2789"/>
        <v>0</v>
      </c>
      <c r="K556" s="200">
        <f t="shared" si="2789"/>
        <v>0</v>
      </c>
      <c r="L556" s="200">
        <f t="shared" si="2789"/>
        <v>0</v>
      </c>
      <c r="M556" s="200">
        <f t="shared" si="2789"/>
        <v>0</v>
      </c>
      <c r="N556" s="200">
        <f t="shared" si="2789"/>
        <v>0</v>
      </c>
      <c r="O556" s="200">
        <f t="shared" si="2789"/>
        <v>0</v>
      </c>
      <c r="P556" s="200">
        <f t="shared" si="9"/>
        <v>1</v>
      </c>
      <c r="Q556" s="200">
        <f t="shared" ref="Q556:AC556" si="2790">countif($D556,"*"&amp;Q$2&amp;"*")</f>
        <v>0</v>
      </c>
      <c r="R556" s="200">
        <f t="shared" si="2790"/>
        <v>0</v>
      </c>
      <c r="S556" s="200">
        <f t="shared" si="2790"/>
        <v>0</v>
      </c>
      <c r="T556" s="200">
        <f t="shared" si="2790"/>
        <v>0</v>
      </c>
      <c r="U556" s="200">
        <f t="shared" si="2790"/>
        <v>0</v>
      </c>
      <c r="V556" s="200">
        <f t="shared" si="2790"/>
        <v>0</v>
      </c>
      <c r="W556" s="200">
        <f t="shared" si="2790"/>
        <v>0</v>
      </c>
      <c r="X556" s="200">
        <f t="shared" si="2790"/>
        <v>0</v>
      </c>
      <c r="Y556" s="200">
        <f t="shared" si="2790"/>
        <v>0</v>
      </c>
      <c r="Z556" s="200">
        <f t="shared" si="2790"/>
        <v>0</v>
      </c>
      <c r="AA556" s="200">
        <f t="shared" si="2790"/>
        <v>0</v>
      </c>
      <c r="AB556" s="200">
        <f t="shared" si="2790"/>
        <v>0</v>
      </c>
      <c r="AC556" s="200">
        <f t="shared" si="2790"/>
        <v>0</v>
      </c>
      <c r="AD556" s="200">
        <f t="shared" si="11"/>
        <v>0</v>
      </c>
      <c r="AE556" s="200">
        <f t="shared" ref="AE556:AG556" si="2791">countif($D556,"*"&amp;AE$2&amp;"*")</f>
        <v>0</v>
      </c>
      <c r="AF556" s="200">
        <f t="shared" si="2791"/>
        <v>0</v>
      </c>
      <c r="AG556" s="200">
        <f t="shared" si="2791"/>
        <v>0</v>
      </c>
      <c r="AH556" s="171">
        <f t="shared" si="13"/>
        <v>0</v>
      </c>
      <c r="AI556" s="200">
        <f t="shared" si="14"/>
        <v>0</v>
      </c>
      <c r="AJ556" s="200">
        <f t="shared" si="2686"/>
        <v>0</v>
      </c>
      <c r="AK556" s="201">
        <f t="shared" ref="AK556:AS556" si="2792">countif($D556,"*"&amp;AK$2&amp;"*")</f>
        <v>0</v>
      </c>
      <c r="AL556" s="201">
        <f t="shared" si="2792"/>
        <v>0</v>
      </c>
      <c r="AM556" s="201">
        <f t="shared" si="2792"/>
        <v>0</v>
      </c>
      <c r="AN556" s="201">
        <f t="shared" si="2792"/>
        <v>0</v>
      </c>
      <c r="AO556" s="201">
        <f t="shared" si="2792"/>
        <v>0</v>
      </c>
      <c r="AP556" s="201">
        <f t="shared" si="2792"/>
        <v>0</v>
      </c>
      <c r="AQ556" s="201">
        <f t="shared" si="2792"/>
        <v>0</v>
      </c>
      <c r="AR556" s="200">
        <f t="shared" si="2792"/>
        <v>0</v>
      </c>
      <c r="AS556" s="200">
        <f t="shared" si="2792"/>
        <v>0</v>
      </c>
      <c r="AT556" s="173">
        <v>0.0</v>
      </c>
      <c r="AU556" s="200">
        <f t="shared" ref="AU556:AX556" si="2793">countif($D556,"*"&amp;AU$2&amp;"*")</f>
        <v>0</v>
      </c>
      <c r="AV556" s="200">
        <f t="shared" si="2793"/>
        <v>1</v>
      </c>
      <c r="AW556" s="200">
        <f t="shared" si="2793"/>
        <v>0</v>
      </c>
      <c r="AX556" s="200">
        <f t="shared" si="2793"/>
        <v>0</v>
      </c>
      <c r="AY556" s="202">
        <v>0.0</v>
      </c>
      <c r="AZ556" s="200"/>
      <c r="BA556" s="171" t="str">
        <f t="shared" si="18"/>
        <v/>
      </c>
      <c r="BB556" s="171" t="str">
        <f t="shared" si="19"/>
        <v>Code</v>
      </c>
      <c r="BC556" s="171" t="str">
        <f t="shared" si="20"/>
        <v/>
      </c>
      <c r="BD556" s="171" t="str">
        <f t="shared" si="21"/>
        <v/>
      </c>
      <c r="BE556" s="171" t="str">
        <f t="shared" si="22"/>
        <v/>
      </c>
      <c r="BF556" s="171" t="str">
        <f t="shared" si="23"/>
        <v>Code</v>
      </c>
    </row>
    <row r="557">
      <c r="A557" s="171">
        <f t="array" ref="A557">XLOOKUP(C557,ICSE!A:A,ICSE!C:C,,2,1)</f>
        <v>2019</v>
      </c>
      <c r="B557" s="171" t="s">
        <v>5675</v>
      </c>
      <c r="C557" s="160">
        <v>987.0</v>
      </c>
      <c r="D557" s="161" t="s">
        <v>5925</v>
      </c>
      <c r="E557" s="197" t="str">
        <f t="array" ref="E557">XLOOKUP(C557,ICSE!A:A,ICSE!Z:Z,,0,1)</f>
        <v>Publicly available (2)</v>
      </c>
      <c r="F557" s="198" t="s">
        <v>20</v>
      </c>
      <c r="G557" s="163" t="str">
        <f t="array" ref="G557">IF(B557="ICSE",IF(COUNTIFS(B:B,B557,C:C,C557)=XLOOKUP(C557,ICSE!A:A,ICSE!AA:AA,"ERROR",0,1),"OK","ERROR"),IF(B557="FSE",IF(COUNTIFS(B:B,B557,C:C,C557)=XLOOKUP(C557,FSE!A:A,FSE!AA:AA,"ERROR",0,1),"OK","ERROR")))</f>
        <v>OK</v>
      </c>
      <c r="H557" s="199">
        <f t="shared" ref="H557:O557" si="2794">countif($D557,"*"&amp;H$2&amp;"*")</f>
        <v>0</v>
      </c>
      <c r="I557" s="200">
        <f t="shared" si="2794"/>
        <v>0</v>
      </c>
      <c r="J557" s="200">
        <f t="shared" si="2794"/>
        <v>0</v>
      </c>
      <c r="K557" s="200">
        <f t="shared" si="2794"/>
        <v>0</v>
      </c>
      <c r="L557" s="200">
        <f t="shared" si="2794"/>
        <v>0</v>
      </c>
      <c r="M557" s="200">
        <f t="shared" si="2794"/>
        <v>0</v>
      </c>
      <c r="N557" s="200">
        <f t="shared" si="2794"/>
        <v>0</v>
      </c>
      <c r="O557" s="200">
        <f t="shared" si="2794"/>
        <v>0</v>
      </c>
      <c r="P557" s="200">
        <f t="shared" si="9"/>
        <v>0</v>
      </c>
      <c r="Q557" s="200">
        <f t="shared" ref="Q557:AC557" si="2795">countif($D557,"*"&amp;Q$2&amp;"*")</f>
        <v>0</v>
      </c>
      <c r="R557" s="200">
        <f t="shared" si="2795"/>
        <v>0</v>
      </c>
      <c r="S557" s="200">
        <f t="shared" si="2795"/>
        <v>0</v>
      </c>
      <c r="T557" s="200">
        <f t="shared" si="2795"/>
        <v>0</v>
      </c>
      <c r="U557" s="200">
        <f t="shared" si="2795"/>
        <v>0</v>
      </c>
      <c r="V557" s="200">
        <f t="shared" si="2795"/>
        <v>0</v>
      </c>
      <c r="W557" s="200">
        <f t="shared" si="2795"/>
        <v>0</v>
      </c>
      <c r="X557" s="200">
        <f t="shared" si="2795"/>
        <v>0</v>
      </c>
      <c r="Y557" s="200">
        <f t="shared" si="2795"/>
        <v>0</v>
      </c>
      <c r="Z557" s="200">
        <f t="shared" si="2795"/>
        <v>0</v>
      </c>
      <c r="AA557" s="200">
        <f t="shared" si="2795"/>
        <v>0</v>
      </c>
      <c r="AB557" s="200">
        <f t="shared" si="2795"/>
        <v>0</v>
      </c>
      <c r="AC557" s="200">
        <f t="shared" si="2795"/>
        <v>0</v>
      </c>
      <c r="AD557" s="200">
        <f t="shared" si="11"/>
        <v>1</v>
      </c>
      <c r="AE557" s="200">
        <f t="shared" ref="AE557:AG557" si="2796">countif($D557,"*"&amp;AE$2&amp;"*")</f>
        <v>0</v>
      </c>
      <c r="AF557" s="200">
        <f t="shared" si="2796"/>
        <v>0</v>
      </c>
      <c r="AG557" s="200">
        <f t="shared" si="2796"/>
        <v>0</v>
      </c>
      <c r="AH557" s="171">
        <f t="shared" si="13"/>
        <v>0</v>
      </c>
      <c r="AI557" s="200">
        <f t="shared" si="14"/>
        <v>0</v>
      </c>
      <c r="AJ557" s="200">
        <f t="shared" si="2686"/>
        <v>0</v>
      </c>
      <c r="AK557" s="201">
        <f t="shared" ref="AK557:AS557" si="2797">countif($D557,"*"&amp;AK$2&amp;"*")</f>
        <v>0</v>
      </c>
      <c r="AL557" s="201">
        <f t="shared" si="2797"/>
        <v>0</v>
      </c>
      <c r="AM557" s="201">
        <f t="shared" si="2797"/>
        <v>0</v>
      </c>
      <c r="AN557" s="201">
        <f t="shared" si="2797"/>
        <v>0</v>
      </c>
      <c r="AO557" s="201">
        <f t="shared" si="2797"/>
        <v>0</v>
      </c>
      <c r="AP557" s="201">
        <f t="shared" si="2797"/>
        <v>0</v>
      </c>
      <c r="AQ557" s="201">
        <f t="shared" si="2797"/>
        <v>0</v>
      </c>
      <c r="AR557" s="200">
        <f t="shared" si="2797"/>
        <v>0</v>
      </c>
      <c r="AS557" s="200">
        <f t="shared" si="2797"/>
        <v>0</v>
      </c>
      <c r="AT557" s="173">
        <v>1.0</v>
      </c>
      <c r="AU557" s="200">
        <f t="shared" ref="AU557:AX557" si="2798">countif($D557,"*"&amp;AU$2&amp;"*")</f>
        <v>0</v>
      </c>
      <c r="AV557" s="200">
        <f t="shared" si="2798"/>
        <v>0</v>
      </c>
      <c r="AW557" s="200">
        <f t="shared" si="2798"/>
        <v>0</v>
      </c>
      <c r="AX557" s="200">
        <f t="shared" si="2798"/>
        <v>0</v>
      </c>
      <c r="AY557" s="202">
        <v>0.0</v>
      </c>
      <c r="AZ557" s="200"/>
      <c r="BA557" s="171" t="str">
        <f t="shared" si="18"/>
        <v/>
      </c>
      <c r="BB557" s="171" t="str">
        <f t="shared" si="19"/>
        <v/>
      </c>
      <c r="BC557" s="171" t="str">
        <f t="shared" si="20"/>
        <v/>
      </c>
      <c r="BD557" s="171" t="str">
        <f t="shared" si="21"/>
        <v>Institutional</v>
      </c>
      <c r="BE557" s="171" t="str">
        <f t="shared" si="22"/>
        <v/>
      </c>
      <c r="BF557" s="171" t="str">
        <f t="shared" si="23"/>
        <v>Institutional</v>
      </c>
    </row>
    <row r="558">
      <c r="A558" s="171">
        <f t="array" ref="A558">XLOOKUP(C558,ICSE!A:A,ICSE!C:C,,2,1)</f>
        <v>2019</v>
      </c>
      <c r="B558" s="171" t="s">
        <v>5675</v>
      </c>
      <c r="C558" s="160">
        <v>988.0</v>
      </c>
      <c r="D558" s="161" t="s">
        <v>5926</v>
      </c>
      <c r="E558" s="197" t="str">
        <f t="array" ref="E558">XLOOKUP(C558,ICSE!A:A,ICSE!Z:Z,,0,1)</f>
        <v>Publicly available (2)</v>
      </c>
      <c r="F558" s="198" t="s">
        <v>20</v>
      </c>
      <c r="G558" s="163" t="str">
        <f t="array" ref="G558">IF(B558="ICSE",IF(COUNTIFS(B:B,B558,C:C,C558)=XLOOKUP(C558,ICSE!A:A,ICSE!AA:AA,"ERROR",0,1),"OK","ERROR"),IF(B558="FSE",IF(COUNTIFS(B:B,B558,C:C,C558)=XLOOKUP(C558,FSE!A:A,FSE!AA:AA,"ERROR",0,1),"OK","ERROR")))</f>
        <v>OK</v>
      </c>
      <c r="H558" s="199">
        <f t="shared" ref="H558:O558" si="2799">countif($D558,"*"&amp;H$2&amp;"*")</f>
        <v>1</v>
      </c>
      <c r="I558" s="200">
        <f t="shared" si="2799"/>
        <v>0</v>
      </c>
      <c r="J558" s="200">
        <f t="shared" si="2799"/>
        <v>0</v>
      </c>
      <c r="K558" s="200">
        <f t="shared" si="2799"/>
        <v>0</v>
      </c>
      <c r="L558" s="200">
        <f t="shared" si="2799"/>
        <v>0</v>
      </c>
      <c r="M558" s="200">
        <f t="shared" si="2799"/>
        <v>0</v>
      </c>
      <c r="N558" s="200">
        <f t="shared" si="2799"/>
        <v>0</v>
      </c>
      <c r="O558" s="200">
        <f t="shared" si="2799"/>
        <v>0</v>
      </c>
      <c r="P558" s="200">
        <f t="shared" si="9"/>
        <v>0</v>
      </c>
      <c r="Q558" s="200">
        <f t="shared" ref="Q558:AC558" si="2800">countif($D558,"*"&amp;Q$2&amp;"*")</f>
        <v>0</v>
      </c>
      <c r="R558" s="200">
        <f t="shared" si="2800"/>
        <v>0</v>
      </c>
      <c r="S558" s="200">
        <f t="shared" si="2800"/>
        <v>0</v>
      </c>
      <c r="T558" s="200">
        <f t="shared" si="2800"/>
        <v>0</v>
      </c>
      <c r="U558" s="200">
        <f t="shared" si="2800"/>
        <v>0</v>
      </c>
      <c r="V558" s="200">
        <f t="shared" si="2800"/>
        <v>0</v>
      </c>
      <c r="W558" s="200">
        <f t="shared" si="2800"/>
        <v>0</v>
      </c>
      <c r="X558" s="200">
        <f t="shared" si="2800"/>
        <v>0</v>
      </c>
      <c r="Y558" s="200">
        <f t="shared" si="2800"/>
        <v>0</v>
      </c>
      <c r="Z558" s="200">
        <f t="shared" si="2800"/>
        <v>0</v>
      </c>
      <c r="AA558" s="200">
        <f t="shared" si="2800"/>
        <v>0</v>
      </c>
      <c r="AB558" s="200">
        <f t="shared" si="2800"/>
        <v>0</v>
      </c>
      <c r="AC558" s="200">
        <f t="shared" si="2800"/>
        <v>0</v>
      </c>
      <c r="AD558" s="200">
        <f t="shared" si="11"/>
        <v>0</v>
      </c>
      <c r="AE558" s="200">
        <f t="shared" ref="AE558:AG558" si="2801">countif($D558,"*"&amp;AE$2&amp;"*")</f>
        <v>0</v>
      </c>
      <c r="AF558" s="200">
        <f t="shared" si="2801"/>
        <v>0</v>
      </c>
      <c r="AG558" s="200">
        <f t="shared" si="2801"/>
        <v>0</v>
      </c>
      <c r="AH558" s="171">
        <f t="shared" si="13"/>
        <v>0</v>
      </c>
      <c r="AI558" s="200">
        <f t="shared" si="14"/>
        <v>1</v>
      </c>
      <c r="AJ558" s="200">
        <f t="shared" si="2686"/>
        <v>0</v>
      </c>
      <c r="AK558" s="201">
        <f t="shared" ref="AK558:AS558" si="2802">countif($D558,"*"&amp;AK$2&amp;"*")</f>
        <v>0</v>
      </c>
      <c r="AL558" s="201">
        <f t="shared" si="2802"/>
        <v>0</v>
      </c>
      <c r="AM558" s="201">
        <f t="shared" si="2802"/>
        <v>0</v>
      </c>
      <c r="AN558" s="201">
        <f t="shared" si="2802"/>
        <v>0</v>
      </c>
      <c r="AO558" s="201">
        <f t="shared" si="2802"/>
        <v>0</v>
      </c>
      <c r="AP558" s="201">
        <f t="shared" si="2802"/>
        <v>0</v>
      </c>
      <c r="AQ558" s="201">
        <f t="shared" si="2802"/>
        <v>0</v>
      </c>
      <c r="AR558" s="200">
        <f t="shared" si="2802"/>
        <v>0</v>
      </c>
      <c r="AS558" s="200">
        <f t="shared" si="2802"/>
        <v>1</v>
      </c>
      <c r="AT558" s="173">
        <v>0.0</v>
      </c>
      <c r="AU558" s="200">
        <f t="shared" ref="AU558:AX558" si="2803">countif($D558,"*"&amp;AU$2&amp;"*")</f>
        <v>0</v>
      </c>
      <c r="AV558" s="200">
        <f t="shared" si="2803"/>
        <v>0</v>
      </c>
      <c r="AW558" s="200">
        <f t="shared" si="2803"/>
        <v>0</v>
      </c>
      <c r="AX558" s="200">
        <f t="shared" si="2803"/>
        <v>1</v>
      </c>
      <c r="AY558" s="202">
        <v>0.0</v>
      </c>
      <c r="AZ558" s="200"/>
      <c r="BA558" s="171" t="str">
        <f t="shared" si="18"/>
        <v>Archival</v>
      </c>
      <c r="BB558" s="171" t="str">
        <f t="shared" si="19"/>
        <v/>
      </c>
      <c r="BC558" s="171" t="str">
        <f t="shared" si="20"/>
        <v/>
      </c>
      <c r="BD558" s="171" t="str">
        <f t="shared" si="21"/>
        <v/>
      </c>
      <c r="BE558" s="171" t="str">
        <f t="shared" si="22"/>
        <v/>
      </c>
      <c r="BF558" s="171" t="str">
        <f t="shared" si="23"/>
        <v>Archival</v>
      </c>
    </row>
    <row r="559">
      <c r="A559" s="171">
        <f t="array" ref="A559">XLOOKUP(C559,ICSE!A:A,ICSE!C:C,,2,1)</f>
        <v>2019</v>
      </c>
      <c r="B559" s="171" t="s">
        <v>5675</v>
      </c>
      <c r="C559" s="160">
        <v>988.0</v>
      </c>
      <c r="D559" s="161" t="s">
        <v>5927</v>
      </c>
      <c r="E559" s="197" t="str">
        <f t="array" ref="E559">XLOOKUP(C559,ICSE!A:A,ICSE!Z:Z,,0,1)</f>
        <v>Publicly available (2)</v>
      </c>
      <c r="F559" s="198" t="s">
        <v>20</v>
      </c>
      <c r="G559" s="163" t="str">
        <f t="array" ref="G559">IF(B559="ICSE",IF(COUNTIFS(B:B,B559,C:C,C559)=XLOOKUP(C559,ICSE!A:A,ICSE!AA:AA,"ERROR",0,1),"OK","ERROR"),IF(B559="FSE",IF(COUNTIFS(B:B,B559,C:C,C559)=XLOOKUP(C559,FSE!A:A,FSE!AA:AA,"ERROR",0,1),"OK","ERROR")))</f>
        <v>OK</v>
      </c>
      <c r="H559" s="199">
        <f t="shared" ref="H559:O559" si="2804">countif($D559,"*"&amp;H$2&amp;"*")</f>
        <v>0</v>
      </c>
      <c r="I559" s="200">
        <f t="shared" si="2804"/>
        <v>0</v>
      </c>
      <c r="J559" s="200">
        <f t="shared" si="2804"/>
        <v>0</v>
      </c>
      <c r="K559" s="200">
        <f t="shared" si="2804"/>
        <v>0</v>
      </c>
      <c r="L559" s="200">
        <f t="shared" si="2804"/>
        <v>0</v>
      </c>
      <c r="M559" s="200">
        <f t="shared" si="2804"/>
        <v>0</v>
      </c>
      <c r="N559" s="200">
        <f t="shared" si="2804"/>
        <v>0</v>
      </c>
      <c r="O559" s="200">
        <f t="shared" si="2804"/>
        <v>0</v>
      </c>
      <c r="P559" s="200">
        <f t="shared" si="9"/>
        <v>0</v>
      </c>
      <c r="Q559" s="200">
        <f t="shared" ref="Q559:AC559" si="2805">countif($D559,"*"&amp;Q$2&amp;"*")</f>
        <v>0</v>
      </c>
      <c r="R559" s="200">
        <f t="shared" si="2805"/>
        <v>0</v>
      </c>
      <c r="S559" s="200">
        <f t="shared" si="2805"/>
        <v>1</v>
      </c>
      <c r="T559" s="200">
        <f t="shared" si="2805"/>
        <v>0</v>
      </c>
      <c r="U559" s="200">
        <f t="shared" si="2805"/>
        <v>0</v>
      </c>
      <c r="V559" s="200">
        <f t="shared" si="2805"/>
        <v>0</v>
      </c>
      <c r="W559" s="200">
        <f t="shared" si="2805"/>
        <v>0</v>
      </c>
      <c r="X559" s="200">
        <f t="shared" si="2805"/>
        <v>0</v>
      </c>
      <c r="Y559" s="200">
        <f t="shared" si="2805"/>
        <v>0</v>
      </c>
      <c r="Z559" s="200">
        <f t="shared" si="2805"/>
        <v>0</v>
      </c>
      <c r="AA559" s="200">
        <f t="shared" si="2805"/>
        <v>0</v>
      </c>
      <c r="AB559" s="200">
        <f t="shared" si="2805"/>
        <v>0</v>
      </c>
      <c r="AC559" s="200">
        <f t="shared" si="2805"/>
        <v>0</v>
      </c>
      <c r="AD559" s="200">
        <f t="shared" si="11"/>
        <v>0</v>
      </c>
      <c r="AE559" s="200">
        <f t="shared" ref="AE559:AG559" si="2806">countif($D559,"*"&amp;AE$2&amp;"*")</f>
        <v>0</v>
      </c>
      <c r="AF559" s="200">
        <f t="shared" si="2806"/>
        <v>0</v>
      </c>
      <c r="AG559" s="200">
        <f t="shared" si="2806"/>
        <v>0</v>
      </c>
      <c r="AH559" s="171">
        <f t="shared" si="13"/>
        <v>0</v>
      </c>
      <c r="AI559" s="200">
        <f t="shared" si="14"/>
        <v>0</v>
      </c>
      <c r="AJ559" s="200">
        <f t="shared" si="2686"/>
        <v>0</v>
      </c>
      <c r="AK559" s="201">
        <f t="shared" ref="AK559:AS559" si="2807">countif($D559,"*"&amp;AK$2&amp;"*")</f>
        <v>0</v>
      </c>
      <c r="AL559" s="201">
        <f t="shared" si="2807"/>
        <v>0</v>
      </c>
      <c r="AM559" s="201">
        <f t="shared" si="2807"/>
        <v>0</v>
      </c>
      <c r="AN559" s="201">
        <f t="shared" si="2807"/>
        <v>0</v>
      </c>
      <c r="AO559" s="201">
        <f t="shared" si="2807"/>
        <v>0</v>
      </c>
      <c r="AP559" s="201">
        <f t="shared" si="2807"/>
        <v>0</v>
      </c>
      <c r="AQ559" s="201">
        <f t="shared" si="2807"/>
        <v>0</v>
      </c>
      <c r="AR559" s="200">
        <f t="shared" si="2807"/>
        <v>0</v>
      </c>
      <c r="AS559" s="200">
        <f t="shared" si="2807"/>
        <v>0</v>
      </c>
      <c r="AT559" s="173">
        <v>0.0</v>
      </c>
      <c r="AU559" s="200">
        <f t="shared" ref="AU559:AX559" si="2808">countif($D559,"*"&amp;AU$2&amp;"*")</f>
        <v>0</v>
      </c>
      <c r="AV559" s="200">
        <f t="shared" si="2808"/>
        <v>0</v>
      </c>
      <c r="AW559" s="200">
        <f t="shared" si="2808"/>
        <v>0</v>
      </c>
      <c r="AX559" s="200">
        <f t="shared" si="2808"/>
        <v>0</v>
      </c>
      <c r="AY559" s="202">
        <v>0.0</v>
      </c>
      <c r="AZ559" s="200"/>
      <c r="BA559" s="171" t="str">
        <f t="shared" si="18"/>
        <v/>
      </c>
      <c r="BB559" s="171" t="str">
        <f t="shared" si="19"/>
        <v>Code</v>
      </c>
      <c r="BC559" s="171" t="str">
        <f t="shared" si="20"/>
        <v/>
      </c>
      <c r="BD559" s="171" t="str">
        <f t="shared" si="21"/>
        <v/>
      </c>
      <c r="BE559" s="171" t="str">
        <f t="shared" si="22"/>
        <v/>
      </c>
      <c r="BF559" s="171" t="str">
        <f t="shared" si="23"/>
        <v>Code</v>
      </c>
    </row>
    <row r="560">
      <c r="A560" s="171">
        <f t="array" ref="A560">XLOOKUP(C560,ICSE!A:A,ICSE!C:C,,2,1)</f>
        <v>2019</v>
      </c>
      <c r="B560" s="171" t="s">
        <v>5675</v>
      </c>
      <c r="C560" s="160">
        <v>991.0</v>
      </c>
      <c r="D560" s="161" t="s">
        <v>1423</v>
      </c>
      <c r="E560" s="197" t="str">
        <f t="array" ref="E560">XLOOKUP(C560,ICSE!A:A,ICSE!Z:Z,,0,1)</f>
        <v>Publicly available (1)</v>
      </c>
      <c r="F560" s="198" t="s">
        <v>20</v>
      </c>
      <c r="G560" s="163" t="str">
        <f t="array" ref="G560">IF(B560="ICSE",IF(COUNTIFS(B:B,B560,C:C,C560)=XLOOKUP(C560,ICSE!A:A,ICSE!AA:AA,"ERROR",0,1),"OK","ERROR"),IF(B560="FSE",IF(COUNTIFS(B:B,B560,C:C,C560)=XLOOKUP(C560,FSE!A:A,FSE!AA:AA,"ERROR",0,1),"OK","ERROR")))</f>
        <v>OK</v>
      </c>
      <c r="H560" s="199">
        <f t="shared" ref="H560:O560" si="2809">countif($D560,"*"&amp;H$2&amp;"*")</f>
        <v>0</v>
      </c>
      <c r="I560" s="200">
        <f t="shared" si="2809"/>
        <v>0</v>
      </c>
      <c r="J560" s="200">
        <f t="shared" si="2809"/>
        <v>0</v>
      </c>
      <c r="K560" s="200">
        <f t="shared" si="2809"/>
        <v>0</v>
      </c>
      <c r="L560" s="200">
        <f t="shared" si="2809"/>
        <v>0</v>
      </c>
      <c r="M560" s="200">
        <f t="shared" si="2809"/>
        <v>0</v>
      </c>
      <c r="N560" s="200">
        <f t="shared" si="2809"/>
        <v>0</v>
      </c>
      <c r="O560" s="200">
        <f t="shared" si="2809"/>
        <v>0</v>
      </c>
      <c r="P560" s="200">
        <f t="shared" si="9"/>
        <v>0</v>
      </c>
      <c r="Q560" s="200">
        <f t="shared" ref="Q560:AC560" si="2810">countif($D560,"*"&amp;Q$2&amp;"*")</f>
        <v>0</v>
      </c>
      <c r="R560" s="200">
        <f t="shared" si="2810"/>
        <v>0</v>
      </c>
      <c r="S560" s="200">
        <f t="shared" si="2810"/>
        <v>0</v>
      </c>
      <c r="T560" s="200">
        <f t="shared" si="2810"/>
        <v>0</v>
      </c>
      <c r="U560" s="200">
        <f t="shared" si="2810"/>
        <v>0</v>
      </c>
      <c r="V560" s="200">
        <f t="shared" si="2810"/>
        <v>0</v>
      </c>
      <c r="W560" s="200">
        <f t="shared" si="2810"/>
        <v>0</v>
      </c>
      <c r="X560" s="200">
        <f t="shared" si="2810"/>
        <v>0</v>
      </c>
      <c r="Y560" s="200">
        <f t="shared" si="2810"/>
        <v>0</v>
      </c>
      <c r="Z560" s="200">
        <f t="shared" si="2810"/>
        <v>0</v>
      </c>
      <c r="AA560" s="200">
        <f t="shared" si="2810"/>
        <v>0</v>
      </c>
      <c r="AB560" s="200">
        <f t="shared" si="2810"/>
        <v>0</v>
      </c>
      <c r="AC560" s="200">
        <f t="shared" si="2810"/>
        <v>0</v>
      </c>
      <c r="AD560" s="200">
        <f t="shared" si="11"/>
        <v>0</v>
      </c>
      <c r="AE560" s="200">
        <f t="shared" ref="AE560:AG560" si="2811">countif($D560,"*"&amp;AE$2&amp;"*")</f>
        <v>0</v>
      </c>
      <c r="AF560" s="200">
        <f t="shared" si="2811"/>
        <v>0</v>
      </c>
      <c r="AG560" s="200">
        <f t="shared" si="2811"/>
        <v>0</v>
      </c>
      <c r="AH560" s="171">
        <f t="shared" si="13"/>
        <v>1</v>
      </c>
      <c r="AI560" s="200">
        <f t="shared" si="14"/>
        <v>0</v>
      </c>
      <c r="AJ560" s="200">
        <f t="shared" si="2686"/>
        <v>0</v>
      </c>
      <c r="AK560" s="201">
        <f t="shared" ref="AK560:AS560" si="2812">countif($D560,"*"&amp;AK$2&amp;"*")</f>
        <v>0</v>
      </c>
      <c r="AL560" s="201">
        <f t="shared" si="2812"/>
        <v>0</v>
      </c>
      <c r="AM560" s="201">
        <f t="shared" si="2812"/>
        <v>0</v>
      </c>
      <c r="AN560" s="201">
        <f t="shared" si="2812"/>
        <v>0</v>
      </c>
      <c r="AO560" s="201">
        <f t="shared" si="2812"/>
        <v>0</v>
      </c>
      <c r="AP560" s="201">
        <f t="shared" si="2812"/>
        <v>0</v>
      </c>
      <c r="AQ560" s="201">
        <f t="shared" si="2812"/>
        <v>0</v>
      </c>
      <c r="AR560" s="200">
        <f t="shared" si="2812"/>
        <v>0</v>
      </c>
      <c r="AS560" s="200">
        <f t="shared" si="2812"/>
        <v>0</v>
      </c>
      <c r="AT560" s="173">
        <v>0.0</v>
      </c>
      <c r="AU560" s="200">
        <f t="shared" ref="AU560:AX560" si="2813">countif($D560,"*"&amp;AU$2&amp;"*")</f>
        <v>0</v>
      </c>
      <c r="AV560" s="200">
        <f t="shared" si="2813"/>
        <v>0</v>
      </c>
      <c r="AW560" s="200">
        <f t="shared" si="2813"/>
        <v>0</v>
      </c>
      <c r="AX560" s="200">
        <f t="shared" si="2813"/>
        <v>0</v>
      </c>
      <c r="AY560" s="202">
        <v>0.0</v>
      </c>
      <c r="AZ560" s="200"/>
      <c r="BA560" s="171" t="str">
        <f t="shared" si="18"/>
        <v/>
      </c>
      <c r="BB560" s="171" t="str">
        <f t="shared" si="19"/>
        <v/>
      </c>
      <c r="BC560" s="171" t="str">
        <f t="shared" si="20"/>
        <v/>
      </c>
      <c r="BD560" s="171" t="str">
        <f t="shared" si="21"/>
        <v/>
      </c>
      <c r="BE560" s="171" t="str">
        <f t="shared" si="22"/>
        <v>Others</v>
      </c>
      <c r="BF560" s="171" t="str">
        <f t="shared" si="23"/>
        <v>Others</v>
      </c>
    </row>
    <row r="561">
      <c r="A561" s="171">
        <f t="array" ref="A561">XLOOKUP(C561,ICSE!A:A,ICSE!C:C,,2,1)</f>
        <v>2019</v>
      </c>
      <c r="B561" s="171" t="s">
        <v>5675</v>
      </c>
      <c r="C561" s="160">
        <v>992.0</v>
      </c>
      <c r="D561" s="161" t="s">
        <v>1425</v>
      </c>
      <c r="E561" s="197" t="str">
        <f t="array" ref="E561">XLOOKUP(C561,ICSE!A:A,ICSE!Z:Z,,0,1)</f>
        <v>Publicly available (1)</v>
      </c>
      <c r="F561" s="198" t="s">
        <v>20</v>
      </c>
      <c r="G561" s="163" t="str">
        <f t="array" ref="G561">IF(B561="ICSE",IF(COUNTIFS(B:B,B561,C:C,C561)=XLOOKUP(C561,ICSE!A:A,ICSE!AA:AA,"ERROR",0,1),"OK","ERROR"),IF(B561="FSE",IF(COUNTIFS(B:B,B561,C:C,C561)=XLOOKUP(C561,FSE!A:A,FSE!AA:AA,"ERROR",0,1),"OK","ERROR")))</f>
        <v>OK</v>
      </c>
      <c r="H561" s="199">
        <f t="shared" ref="H561:O561" si="2814">countif($D561,"*"&amp;H$2&amp;"*")</f>
        <v>0</v>
      </c>
      <c r="I561" s="200">
        <f t="shared" si="2814"/>
        <v>0</v>
      </c>
      <c r="J561" s="200">
        <f t="shared" si="2814"/>
        <v>0</v>
      </c>
      <c r="K561" s="200">
        <f t="shared" si="2814"/>
        <v>0</v>
      </c>
      <c r="L561" s="200">
        <f t="shared" si="2814"/>
        <v>0</v>
      </c>
      <c r="M561" s="200">
        <f t="shared" si="2814"/>
        <v>0</v>
      </c>
      <c r="N561" s="200">
        <f t="shared" si="2814"/>
        <v>0</v>
      </c>
      <c r="O561" s="200">
        <f t="shared" si="2814"/>
        <v>0</v>
      </c>
      <c r="P561" s="200">
        <f t="shared" si="9"/>
        <v>1</v>
      </c>
      <c r="Q561" s="200">
        <f t="shared" ref="Q561:AC561" si="2815">countif($D561,"*"&amp;Q$2&amp;"*")</f>
        <v>0</v>
      </c>
      <c r="R561" s="200">
        <f t="shared" si="2815"/>
        <v>0</v>
      </c>
      <c r="S561" s="200">
        <f t="shared" si="2815"/>
        <v>0</v>
      </c>
      <c r="T561" s="200">
        <f t="shared" si="2815"/>
        <v>0</v>
      </c>
      <c r="U561" s="200">
        <f t="shared" si="2815"/>
        <v>0</v>
      </c>
      <c r="V561" s="200">
        <f t="shared" si="2815"/>
        <v>0</v>
      </c>
      <c r="W561" s="200">
        <f t="shared" si="2815"/>
        <v>0</v>
      </c>
      <c r="X561" s="200">
        <f t="shared" si="2815"/>
        <v>0</v>
      </c>
      <c r="Y561" s="200">
        <f t="shared" si="2815"/>
        <v>0</v>
      </c>
      <c r="Z561" s="200">
        <f t="shared" si="2815"/>
        <v>0</v>
      </c>
      <c r="AA561" s="200">
        <f t="shared" si="2815"/>
        <v>0</v>
      </c>
      <c r="AB561" s="200">
        <f t="shared" si="2815"/>
        <v>0</v>
      </c>
      <c r="AC561" s="200">
        <f t="shared" si="2815"/>
        <v>0</v>
      </c>
      <c r="AD561" s="200">
        <f t="shared" si="11"/>
        <v>0</v>
      </c>
      <c r="AE561" s="200">
        <f t="shared" ref="AE561:AG561" si="2816">countif($D561,"*"&amp;AE$2&amp;"*")</f>
        <v>0</v>
      </c>
      <c r="AF561" s="200">
        <f t="shared" si="2816"/>
        <v>0</v>
      </c>
      <c r="AG561" s="200">
        <f t="shared" si="2816"/>
        <v>0</v>
      </c>
      <c r="AH561" s="171">
        <f t="shared" si="13"/>
        <v>0</v>
      </c>
      <c r="AI561" s="200">
        <f t="shared" si="14"/>
        <v>0</v>
      </c>
      <c r="AJ561" s="200">
        <f t="shared" si="2686"/>
        <v>0</v>
      </c>
      <c r="AK561" s="201">
        <f t="shared" ref="AK561:AS561" si="2817">countif($D561,"*"&amp;AK$2&amp;"*")</f>
        <v>0</v>
      </c>
      <c r="AL561" s="201">
        <f t="shared" si="2817"/>
        <v>0</v>
      </c>
      <c r="AM561" s="201">
        <f t="shared" si="2817"/>
        <v>0</v>
      </c>
      <c r="AN561" s="201">
        <f t="shared" si="2817"/>
        <v>0</v>
      </c>
      <c r="AO561" s="201">
        <f t="shared" si="2817"/>
        <v>0</v>
      </c>
      <c r="AP561" s="201">
        <f t="shared" si="2817"/>
        <v>0</v>
      </c>
      <c r="AQ561" s="201">
        <f t="shared" si="2817"/>
        <v>0</v>
      </c>
      <c r="AR561" s="200">
        <f t="shared" si="2817"/>
        <v>0</v>
      </c>
      <c r="AS561" s="200">
        <f t="shared" si="2817"/>
        <v>0</v>
      </c>
      <c r="AT561" s="173">
        <v>0.0</v>
      </c>
      <c r="AU561" s="200">
        <f t="shared" ref="AU561:AX561" si="2818">countif($D561,"*"&amp;AU$2&amp;"*")</f>
        <v>0</v>
      </c>
      <c r="AV561" s="200">
        <f t="shared" si="2818"/>
        <v>1</v>
      </c>
      <c r="AW561" s="200">
        <f t="shared" si="2818"/>
        <v>0</v>
      </c>
      <c r="AX561" s="200">
        <f t="shared" si="2818"/>
        <v>0</v>
      </c>
      <c r="AY561" s="202">
        <v>0.0</v>
      </c>
      <c r="AZ561" s="200"/>
      <c r="BA561" s="171" t="str">
        <f t="shared" si="18"/>
        <v/>
      </c>
      <c r="BB561" s="171" t="str">
        <f t="shared" si="19"/>
        <v>Code</v>
      </c>
      <c r="BC561" s="171" t="str">
        <f t="shared" si="20"/>
        <v/>
      </c>
      <c r="BD561" s="171" t="str">
        <f t="shared" si="21"/>
        <v/>
      </c>
      <c r="BE561" s="171" t="str">
        <f t="shared" si="22"/>
        <v/>
      </c>
      <c r="BF561" s="171" t="str">
        <f t="shared" si="23"/>
        <v>Code</v>
      </c>
    </row>
    <row r="562">
      <c r="A562" s="171">
        <f t="array" ref="A562">XLOOKUP(C562,ICSE!A:A,ICSE!C:C,,2,1)</f>
        <v>2019</v>
      </c>
      <c r="B562" s="171" t="s">
        <v>5675</v>
      </c>
      <c r="C562" s="160">
        <v>993.0</v>
      </c>
      <c r="D562" s="161" t="s">
        <v>1427</v>
      </c>
      <c r="E562" s="197" t="str">
        <f t="array" ref="E562">XLOOKUP(C562,ICSE!A:A,ICSE!Z:Z,,0,1)</f>
        <v>Publicly available (1)</v>
      </c>
      <c r="F562" s="198" t="s">
        <v>20</v>
      </c>
      <c r="G562" s="163" t="str">
        <f t="array" ref="G562">IF(B562="ICSE",IF(COUNTIFS(B:B,B562,C:C,C562)=XLOOKUP(C562,ICSE!A:A,ICSE!AA:AA,"ERROR",0,1),"OK","ERROR"),IF(B562="FSE",IF(COUNTIFS(B:B,B562,C:C,C562)=XLOOKUP(C562,FSE!A:A,FSE!AA:AA,"ERROR",0,1),"OK","ERROR")))</f>
        <v>OK</v>
      </c>
      <c r="H562" s="199">
        <f t="shared" ref="H562:O562" si="2819">countif($D562,"*"&amp;H$2&amp;"*")</f>
        <v>0</v>
      </c>
      <c r="I562" s="200">
        <f t="shared" si="2819"/>
        <v>0</v>
      </c>
      <c r="J562" s="200">
        <f t="shared" si="2819"/>
        <v>0</v>
      </c>
      <c r="K562" s="200">
        <f t="shared" si="2819"/>
        <v>0</v>
      </c>
      <c r="L562" s="200">
        <f t="shared" si="2819"/>
        <v>0</v>
      </c>
      <c r="M562" s="200">
        <f t="shared" si="2819"/>
        <v>0</v>
      </c>
      <c r="N562" s="200">
        <f t="shared" si="2819"/>
        <v>0</v>
      </c>
      <c r="O562" s="200">
        <f t="shared" si="2819"/>
        <v>0</v>
      </c>
      <c r="P562" s="200">
        <f t="shared" si="9"/>
        <v>1</v>
      </c>
      <c r="Q562" s="200">
        <f t="shared" ref="Q562:AC562" si="2820">countif($D562,"*"&amp;Q$2&amp;"*")</f>
        <v>0</v>
      </c>
      <c r="R562" s="200">
        <f t="shared" si="2820"/>
        <v>0</v>
      </c>
      <c r="S562" s="200">
        <f t="shared" si="2820"/>
        <v>0</v>
      </c>
      <c r="T562" s="200">
        <f t="shared" si="2820"/>
        <v>0</v>
      </c>
      <c r="U562" s="200">
        <f t="shared" si="2820"/>
        <v>0</v>
      </c>
      <c r="V562" s="200">
        <f t="shared" si="2820"/>
        <v>0</v>
      </c>
      <c r="W562" s="200">
        <f t="shared" si="2820"/>
        <v>0</v>
      </c>
      <c r="X562" s="200">
        <f t="shared" si="2820"/>
        <v>0</v>
      </c>
      <c r="Y562" s="200">
        <f t="shared" si="2820"/>
        <v>0</v>
      </c>
      <c r="Z562" s="200">
        <f t="shared" si="2820"/>
        <v>0</v>
      </c>
      <c r="AA562" s="200">
        <f t="shared" si="2820"/>
        <v>0</v>
      </c>
      <c r="AB562" s="200">
        <f t="shared" si="2820"/>
        <v>0</v>
      </c>
      <c r="AC562" s="200">
        <f t="shared" si="2820"/>
        <v>0</v>
      </c>
      <c r="AD562" s="200">
        <f t="shared" si="11"/>
        <v>0</v>
      </c>
      <c r="AE562" s="200">
        <f t="shared" ref="AE562:AG562" si="2821">countif($D562,"*"&amp;AE$2&amp;"*")</f>
        <v>0</v>
      </c>
      <c r="AF562" s="200">
        <f t="shared" si="2821"/>
        <v>0</v>
      </c>
      <c r="AG562" s="200">
        <f t="shared" si="2821"/>
        <v>0</v>
      </c>
      <c r="AH562" s="171">
        <f t="shared" si="13"/>
        <v>0</v>
      </c>
      <c r="AI562" s="200">
        <f t="shared" si="14"/>
        <v>0</v>
      </c>
      <c r="AJ562" s="200">
        <f t="shared" si="2686"/>
        <v>0</v>
      </c>
      <c r="AK562" s="201">
        <f t="shared" ref="AK562:AS562" si="2822">countif($D562,"*"&amp;AK$2&amp;"*")</f>
        <v>0</v>
      </c>
      <c r="AL562" s="201">
        <f t="shared" si="2822"/>
        <v>0</v>
      </c>
      <c r="AM562" s="201">
        <f t="shared" si="2822"/>
        <v>0</v>
      </c>
      <c r="AN562" s="201">
        <f t="shared" si="2822"/>
        <v>0</v>
      </c>
      <c r="AO562" s="201">
        <f t="shared" si="2822"/>
        <v>0</v>
      </c>
      <c r="AP562" s="201">
        <f t="shared" si="2822"/>
        <v>0</v>
      </c>
      <c r="AQ562" s="201">
        <f t="shared" si="2822"/>
        <v>0</v>
      </c>
      <c r="AR562" s="200">
        <f t="shared" si="2822"/>
        <v>0</v>
      </c>
      <c r="AS562" s="200">
        <f t="shared" si="2822"/>
        <v>0</v>
      </c>
      <c r="AT562" s="173">
        <v>0.0</v>
      </c>
      <c r="AU562" s="200">
        <f t="shared" ref="AU562:AX562" si="2823">countif($D562,"*"&amp;AU$2&amp;"*")</f>
        <v>0</v>
      </c>
      <c r="AV562" s="200">
        <f t="shared" si="2823"/>
        <v>1</v>
      </c>
      <c r="AW562" s="200">
        <f t="shared" si="2823"/>
        <v>0</v>
      </c>
      <c r="AX562" s="200">
        <f t="shared" si="2823"/>
        <v>0</v>
      </c>
      <c r="AY562" s="202">
        <v>0.0</v>
      </c>
      <c r="AZ562" s="200"/>
      <c r="BA562" s="171" t="str">
        <f t="shared" si="18"/>
        <v/>
      </c>
      <c r="BB562" s="171" t="str">
        <f t="shared" si="19"/>
        <v>Code</v>
      </c>
      <c r="BC562" s="171" t="str">
        <f t="shared" si="20"/>
        <v/>
      </c>
      <c r="BD562" s="171" t="str">
        <f t="shared" si="21"/>
        <v/>
      </c>
      <c r="BE562" s="171" t="str">
        <f t="shared" si="22"/>
        <v/>
      </c>
      <c r="BF562" s="171" t="str">
        <f t="shared" si="23"/>
        <v>Code</v>
      </c>
    </row>
    <row r="563">
      <c r="A563" s="171">
        <f t="array" ref="A563">XLOOKUP(C563,ICSE!A:A,ICSE!C:C,,2,1)</f>
        <v>2019</v>
      </c>
      <c r="B563" s="171" t="s">
        <v>5675</v>
      </c>
      <c r="C563" s="160">
        <v>994.0</v>
      </c>
      <c r="D563" s="161" t="s">
        <v>1429</v>
      </c>
      <c r="E563" s="197" t="str">
        <f t="array" ref="E563">XLOOKUP(C563,ICSE!A:A,ICSE!Z:Z,,0,1)</f>
        <v>Publicly available (1)</v>
      </c>
      <c r="F563" s="198" t="s">
        <v>20</v>
      </c>
      <c r="G563" s="163" t="str">
        <f t="array" ref="G563">IF(B563="ICSE",IF(COUNTIFS(B:B,B563,C:C,C563)=XLOOKUP(C563,ICSE!A:A,ICSE!AA:AA,"ERROR",0,1),"OK","ERROR"),IF(B563="FSE",IF(COUNTIFS(B:B,B563,C:C,C563)=XLOOKUP(C563,FSE!A:A,FSE!AA:AA,"ERROR",0,1),"OK","ERROR")))</f>
        <v>OK</v>
      </c>
      <c r="H563" s="199">
        <f t="shared" ref="H563:O563" si="2824">countif($D563,"*"&amp;H$2&amp;"*")</f>
        <v>0</v>
      </c>
      <c r="I563" s="200">
        <f t="shared" si="2824"/>
        <v>0</v>
      </c>
      <c r="J563" s="200">
        <f t="shared" si="2824"/>
        <v>0</v>
      </c>
      <c r="K563" s="200">
        <f t="shared" si="2824"/>
        <v>0</v>
      </c>
      <c r="L563" s="200">
        <f t="shared" si="2824"/>
        <v>0</v>
      </c>
      <c r="M563" s="200">
        <f t="shared" si="2824"/>
        <v>0</v>
      </c>
      <c r="N563" s="200">
        <f t="shared" si="2824"/>
        <v>0</v>
      </c>
      <c r="O563" s="200">
        <f t="shared" si="2824"/>
        <v>0</v>
      </c>
      <c r="P563" s="200">
        <f t="shared" si="9"/>
        <v>1</v>
      </c>
      <c r="Q563" s="200">
        <f t="shared" ref="Q563:AC563" si="2825">countif($D563,"*"&amp;Q$2&amp;"*")</f>
        <v>0</v>
      </c>
      <c r="R563" s="200">
        <f t="shared" si="2825"/>
        <v>0</v>
      </c>
      <c r="S563" s="200">
        <f t="shared" si="2825"/>
        <v>0</v>
      </c>
      <c r="T563" s="200">
        <f t="shared" si="2825"/>
        <v>0</v>
      </c>
      <c r="U563" s="200">
        <f t="shared" si="2825"/>
        <v>0</v>
      </c>
      <c r="V563" s="200">
        <f t="shared" si="2825"/>
        <v>0</v>
      </c>
      <c r="W563" s="200">
        <f t="shared" si="2825"/>
        <v>0</v>
      </c>
      <c r="X563" s="200">
        <f t="shared" si="2825"/>
        <v>0</v>
      </c>
      <c r="Y563" s="200">
        <f t="shared" si="2825"/>
        <v>0</v>
      </c>
      <c r="Z563" s="200">
        <f t="shared" si="2825"/>
        <v>0</v>
      </c>
      <c r="AA563" s="200">
        <f t="shared" si="2825"/>
        <v>0</v>
      </c>
      <c r="AB563" s="200">
        <f t="shared" si="2825"/>
        <v>0</v>
      </c>
      <c r="AC563" s="200">
        <f t="shared" si="2825"/>
        <v>0</v>
      </c>
      <c r="AD563" s="200">
        <f t="shared" si="11"/>
        <v>0</v>
      </c>
      <c r="AE563" s="200">
        <f t="shared" ref="AE563:AG563" si="2826">countif($D563,"*"&amp;AE$2&amp;"*")</f>
        <v>0</v>
      </c>
      <c r="AF563" s="200">
        <f t="shared" si="2826"/>
        <v>0</v>
      </c>
      <c r="AG563" s="200">
        <f t="shared" si="2826"/>
        <v>0</v>
      </c>
      <c r="AH563" s="171">
        <f t="shared" si="13"/>
        <v>0</v>
      </c>
      <c r="AI563" s="200">
        <f t="shared" si="14"/>
        <v>0</v>
      </c>
      <c r="AJ563" s="200">
        <f t="shared" si="2686"/>
        <v>0</v>
      </c>
      <c r="AK563" s="201">
        <f t="shared" ref="AK563:AS563" si="2827">countif($D563,"*"&amp;AK$2&amp;"*")</f>
        <v>0</v>
      </c>
      <c r="AL563" s="201">
        <f t="shared" si="2827"/>
        <v>0</v>
      </c>
      <c r="AM563" s="201">
        <f t="shared" si="2827"/>
        <v>0</v>
      </c>
      <c r="AN563" s="201">
        <f t="shared" si="2827"/>
        <v>0</v>
      </c>
      <c r="AO563" s="201">
        <f t="shared" si="2827"/>
        <v>0</v>
      </c>
      <c r="AP563" s="201">
        <f t="shared" si="2827"/>
        <v>0</v>
      </c>
      <c r="AQ563" s="201">
        <f t="shared" si="2827"/>
        <v>0</v>
      </c>
      <c r="AR563" s="200">
        <f t="shared" si="2827"/>
        <v>0</v>
      </c>
      <c r="AS563" s="200">
        <f t="shared" si="2827"/>
        <v>0</v>
      </c>
      <c r="AT563" s="173">
        <v>0.0</v>
      </c>
      <c r="AU563" s="200">
        <f t="shared" ref="AU563:AX563" si="2828">countif($D563,"*"&amp;AU$2&amp;"*")</f>
        <v>0</v>
      </c>
      <c r="AV563" s="200">
        <f t="shared" si="2828"/>
        <v>1</v>
      </c>
      <c r="AW563" s="200">
        <f t="shared" si="2828"/>
        <v>0</v>
      </c>
      <c r="AX563" s="200">
        <f t="shared" si="2828"/>
        <v>0</v>
      </c>
      <c r="AY563" s="202">
        <v>0.0</v>
      </c>
      <c r="AZ563" s="200"/>
      <c r="BA563" s="171" t="str">
        <f t="shared" si="18"/>
        <v/>
      </c>
      <c r="BB563" s="171" t="str">
        <f t="shared" si="19"/>
        <v>Code</v>
      </c>
      <c r="BC563" s="171" t="str">
        <f t="shared" si="20"/>
        <v/>
      </c>
      <c r="BD563" s="171" t="str">
        <f t="shared" si="21"/>
        <v/>
      </c>
      <c r="BE563" s="171" t="str">
        <f t="shared" si="22"/>
        <v/>
      </c>
      <c r="BF563" s="171" t="str">
        <f t="shared" si="23"/>
        <v>Code</v>
      </c>
    </row>
    <row r="564">
      <c r="A564" s="171">
        <f t="array" ref="A564">XLOOKUP(C564,ICSE!A:A,ICSE!C:C,,2,1)</f>
        <v>2019</v>
      </c>
      <c r="B564" s="171" t="s">
        <v>5675</v>
      </c>
      <c r="C564" s="160">
        <v>995.0</v>
      </c>
      <c r="D564" s="161" t="s">
        <v>1431</v>
      </c>
      <c r="E564" s="197" t="str">
        <f t="array" ref="E564">XLOOKUP(C564,ICSE!A:A,ICSE!Z:Z,,0,1)</f>
        <v>Publicly available (1)</v>
      </c>
      <c r="F564" s="198" t="s">
        <v>20</v>
      </c>
      <c r="G564" s="163" t="str">
        <f t="array" ref="G564">IF(B564="ICSE",IF(COUNTIFS(B:B,B564,C:C,C564)=XLOOKUP(C564,ICSE!A:A,ICSE!AA:AA,"ERROR",0,1),"OK","ERROR"),IF(B564="FSE",IF(COUNTIFS(B:B,B564,C:C,C564)=XLOOKUP(C564,FSE!A:A,FSE!AA:AA,"ERROR",0,1),"OK","ERROR")))</f>
        <v>OK</v>
      </c>
      <c r="H564" s="199">
        <f t="shared" ref="H564:O564" si="2829">countif($D564,"*"&amp;H$2&amp;"*")</f>
        <v>0</v>
      </c>
      <c r="I564" s="200">
        <f t="shared" si="2829"/>
        <v>0</v>
      </c>
      <c r="J564" s="200">
        <f t="shared" si="2829"/>
        <v>0</v>
      </c>
      <c r="K564" s="200">
        <f t="shared" si="2829"/>
        <v>0</v>
      </c>
      <c r="L564" s="200">
        <f t="shared" si="2829"/>
        <v>0</v>
      </c>
      <c r="M564" s="200">
        <f t="shared" si="2829"/>
        <v>0</v>
      </c>
      <c r="N564" s="200">
        <f t="shared" si="2829"/>
        <v>0</v>
      </c>
      <c r="O564" s="200">
        <f t="shared" si="2829"/>
        <v>0</v>
      </c>
      <c r="P564" s="200">
        <f t="shared" si="9"/>
        <v>1</v>
      </c>
      <c r="Q564" s="200">
        <f t="shared" ref="Q564:AC564" si="2830">countif($D564,"*"&amp;Q$2&amp;"*")</f>
        <v>0</v>
      </c>
      <c r="R564" s="200">
        <f t="shared" si="2830"/>
        <v>0</v>
      </c>
      <c r="S564" s="200">
        <f t="shared" si="2830"/>
        <v>0</v>
      </c>
      <c r="T564" s="200">
        <f t="shared" si="2830"/>
        <v>0</v>
      </c>
      <c r="U564" s="200">
        <f t="shared" si="2830"/>
        <v>0</v>
      </c>
      <c r="V564" s="200">
        <f t="shared" si="2830"/>
        <v>0</v>
      </c>
      <c r="W564" s="200">
        <f t="shared" si="2830"/>
        <v>0</v>
      </c>
      <c r="X564" s="200">
        <f t="shared" si="2830"/>
        <v>0</v>
      </c>
      <c r="Y564" s="200">
        <f t="shared" si="2830"/>
        <v>0</v>
      </c>
      <c r="Z564" s="200">
        <f t="shared" si="2830"/>
        <v>0</v>
      </c>
      <c r="AA564" s="200">
        <f t="shared" si="2830"/>
        <v>0</v>
      </c>
      <c r="AB564" s="200">
        <f t="shared" si="2830"/>
        <v>0</v>
      </c>
      <c r="AC564" s="200">
        <f t="shared" si="2830"/>
        <v>0</v>
      </c>
      <c r="AD564" s="200">
        <f t="shared" si="11"/>
        <v>0</v>
      </c>
      <c r="AE564" s="200">
        <f t="shared" ref="AE564:AG564" si="2831">countif($D564,"*"&amp;AE$2&amp;"*")</f>
        <v>0</v>
      </c>
      <c r="AF564" s="200">
        <f t="shared" si="2831"/>
        <v>0</v>
      </c>
      <c r="AG564" s="200">
        <f t="shared" si="2831"/>
        <v>0</v>
      </c>
      <c r="AH564" s="171">
        <f t="shared" si="13"/>
        <v>0</v>
      </c>
      <c r="AI564" s="200">
        <f t="shared" si="14"/>
        <v>0</v>
      </c>
      <c r="AJ564" s="200">
        <f t="shared" si="2686"/>
        <v>0</v>
      </c>
      <c r="AK564" s="201">
        <f t="shared" ref="AK564:AS564" si="2832">countif($D564,"*"&amp;AK$2&amp;"*")</f>
        <v>0</v>
      </c>
      <c r="AL564" s="201">
        <f t="shared" si="2832"/>
        <v>0</v>
      </c>
      <c r="AM564" s="201">
        <f t="shared" si="2832"/>
        <v>0</v>
      </c>
      <c r="AN564" s="201">
        <f t="shared" si="2832"/>
        <v>0</v>
      </c>
      <c r="AO564" s="201">
        <f t="shared" si="2832"/>
        <v>0</v>
      </c>
      <c r="AP564" s="201">
        <f t="shared" si="2832"/>
        <v>0</v>
      </c>
      <c r="AQ564" s="201">
        <f t="shared" si="2832"/>
        <v>0</v>
      </c>
      <c r="AR564" s="200">
        <f t="shared" si="2832"/>
        <v>0</v>
      </c>
      <c r="AS564" s="200">
        <f t="shared" si="2832"/>
        <v>0</v>
      </c>
      <c r="AT564" s="173">
        <v>0.0</v>
      </c>
      <c r="AU564" s="200">
        <f t="shared" ref="AU564:AX564" si="2833">countif($D564,"*"&amp;AU$2&amp;"*")</f>
        <v>0</v>
      </c>
      <c r="AV564" s="200">
        <f t="shared" si="2833"/>
        <v>1</v>
      </c>
      <c r="AW564" s="200">
        <f t="shared" si="2833"/>
        <v>0</v>
      </c>
      <c r="AX564" s="200">
        <f t="shared" si="2833"/>
        <v>0</v>
      </c>
      <c r="AY564" s="202">
        <v>0.0</v>
      </c>
      <c r="AZ564" s="200"/>
      <c r="BA564" s="171" t="str">
        <f t="shared" si="18"/>
        <v/>
      </c>
      <c r="BB564" s="171" t="str">
        <f t="shared" si="19"/>
        <v>Code</v>
      </c>
      <c r="BC564" s="171" t="str">
        <f t="shared" si="20"/>
        <v/>
      </c>
      <c r="BD564" s="171" t="str">
        <f t="shared" si="21"/>
        <v/>
      </c>
      <c r="BE564" s="171" t="str">
        <f t="shared" si="22"/>
        <v/>
      </c>
      <c r="BF564" s="171" t="str">
        <f t="shared" si="23"/>
        <v>Code</v>
      </c>
    </row>
    <row r="565">
      <c r="A565" s="171">
        <f t="array" ref="A565">XLOOKUP(C565,ICSE!A:A,ICSE!C:C,,2,1)</f>
        <v>2019</v>
      </c>
      <c r="B565" s="171" t="s">
        <v>5675</v>
      </c>
      <c r="C565" s="160">
        <v>996.0</v>
      </c>
      <c r="D565" s="161" t="s">
        <v>1434</v>
      </c>
      <c r="E565" s="197" t="str">
        <f t="array" ref="E565">XLOOKUP(C565,ICSE!A:A,ICSE!Z:Z,,0,1)</f>
        <v>Publicly available (1)</v>
      </c>
      <c r="F565" s="198" t="s">
        <v>20</v>
      </c>
      <c r="G565" s="163" t="str">
        <f t="array" ref="G565">IF(B565="ICSE",IF(COUNTIFS(B:B,B565,C:C,C565)=XLOOKUP(C565,ICSE!A:A,ICSE!AA:AA,"ERROR",0,1),"OK","ERROR"),IF(B565="FSE",IF(COUNTIFS(B:B,B565,C:C,C565)=XLOOKUP(C565,FSE!A:A,FSE!AA:AA,"ERROR",0,1),"OK","ERROR")))</f>
        <v>OK</v>
      </c>
      <c r="H565" s="199">
        <f t="shared" ref="H565:O565" si="2834">countif($D565,"*"&amp;H$2&amp;"*")</f>
        <v>0</v>
      </c>
      <c r="I565" s="200">
        <f t="shared" si="2834"/>
        <v>0</v>
      </c>
      <c r="J565" s="200">
        <f t="shared" si="2834"/>
        <v>0</v>
      </c>
      <c r="K565" s="200">
        <f t="shared" si="2834"/>
        <v>0</v>
      </c>
      <c r="L565" s="200">
        <f t="shared" si="2834"/>
        <v>0</v>
      </c>
      <c r="M565" s="200">
        <f t="shared" si="2834"/>
        <v>0</v>
      </c>
      <c r="N565" s="200">
        <f t="shared" si="2834"/>
        <v>0</v>
      </c>
      <c r="O565" s="200">
        <f t="shared" si="2834"/>
        <v>0</v>
      </c>
      <c r="P565" s="200">
        <f t="shared" si="9"/>
        <v>1</v>
      </c>
      <c r="Q565" s="200">
        <f t="shared" ref="Q565:AC565" si="2835">countif($D565,"*"&amp;Q$2&amp;"*")</f>
        <v>0</v>
      </c>
      <c r="R565" s="200">
        <f t="shared" si="2835"/>
        <v>0</v>
      </c>
      <c r="S565" s="200">
        <f t="shared" si="2835"/>
        <v>0</v>
      </c>
      <c r="T565" s="200">
        <f t="shared" si="2835"/>
        <v>0</v>
      </c>
      <c r="U565" s="200">
        <f t="shared" si="2835"/>
        <v>0</v>
      </c>
      <c r="V565" s="200">
        <f t="shared" si="2835"/>
        <v>0</v>
      </c>
      <c r="W565" s="200">
        <f t="shared" si="2835"/>
        <v>0</v>
      </c>
      <c r="X565" s="200">
        <f t="shared" si="2835"/>
        <v>0</v>
      </c>
      <c r="Y565" s="200">
        <f t="shared" si="2835"/>
        <v>0</v>
      </c>
      <c r="Z565" s="200">
        <f t="shared" si="2835"/>
        <v>0</v>
      </c>
      <c r="AA565" s="200">
        <f t="shared" si="2835"/>
        <v>0</v>
      </c>
      <c r="AB565" s="200">
        <f t="shared" si="2835"/>
        <v>0</v>
      </c>
      <c r="AC565" s="200">
        <f t="shared" si="2835"/>
        <v>0</v>
      </c>
      <c r="AD565" s="200">
        <f t="shared" si="11"/>
        <v>0</v>
      </c>
      <c r="AE565" s="200">
        <f t="shared" ref="AE565:AG565" si="2836">countif($D565,"*"&amp;AE$2&amp;"*")</f>
        <v>0</v>
      </c>
      <c r="AF565" s="200">
        <f t="shared" si="2836"/>
        <v>0</v>
      </c>
      <c r="AG565" s="200">
        <f t="shared" si="2836"/>
        <v>0</v>
      </c>
      <c r="AH565" s="171">
        <f t="shared" si="13"/>
        <v>0</v>
      </c>
      <c r="AI565" s="200">
        <f t="shared" si="14"/>
        <v>0</v>
      </c>
      <c r="AJ565" s="200">
        <f t="shared" si="2686"/>
        <v>0</v>
      </c>
      <c r="AK565" s="201">
        <f t="shared" ref="AK565:AS565" si="2837">countif($D565,"*"&amp;AK$2&amp;"*")</f>
        <v>0</v>
      </c>
      <c r="AL565" s="201">
        <f t="shared" si="2837"/>
        <v>0</v>
      </c>
      <c r="AM565" s="201">
        <f t="shared" si="2837"/>
        <v>0</v>
      </c>
      <c r="AN565" s="201">
        <f t="shared" si="2837"/>
        <v>0</v>
      </c>
      <c r="AO565" s="201">
        <f t="shared" si="2837"/>
        <v>0</v>
      </c>
      <c r="AP565" s="201">
        <f t="shared" si="2837"/>
        <v>0</v>
      </c>
      <c r="AQ565" s="201">
        <f t="shared" si="2837"/>
        <v>0</v>
      </c>
      <c r="AR565" s="200">
        <f t="shared" si="2837"/>
        <v>0</v>
      </c>
      <c r="AS565" s="200">
        <f t="shared" si="2837"/>
        <v>0</v>
      </c>
      <c r="AT565" s="173">
        <v>0.0</v>
      </c>
      <c r="AU565" s="200">
        <f t="shared" ref="AU565:AX565" si="2838">countif($D565,"*"&amp;AU$2&amp;"*")</f>
        <v>0</v>
      </c>
      <c r="AV565" s="200">
        <f t="shared" si="2838"/>
        <v>1</v>
      </c>
      <c r="AW565" s="200">
        <f t="shared" si="2838"/>
        <v>0</v>
      </c>
      <c r="AX565" s="200">
        <f t="shared" si="2838"/>
        <v>0</v>
      </c>
      <c r="AY565" s="202">
        <v>0.0</v>
      </c>
      <c r="AZ565" s="200"/>
      <c r="BA565" s="171" t="str">
        <f t="shared" si="18"/>
        <v/>
      </c>
      <c r="BB565" s="171" t="str">
        <f t="shared" si="19"/>
        <v>Code</v>
      </c>
      <c r="BC565" s="171" t="str">
        <f t="shared" si="20"/>
        <v/>
      </c>
      <c r="BD565" s="171" t="str">
        <f t="shared" si="21"/>
        <v/>
      </c>
      <c r="BE565" s="171" t="str">
        <f t="shared" si="22"/>
        <v/>
      </c>
      <c r="BF565" s="171" t="str">
        <f t="shared" si="23"/>
        <v>Code</v>
      </c>
    </row>
    <row r="566">
      <c r="A566" s="171">
        <f t="array" ref="A566">XLOOKUP(C566,ICSE!A:A,ICSE!C:C,,2,1)</f>
        <v>2019</v>
      </c>
      <c r="B566" s="171" t="s">
        <v>5675</v>
      </c>
      <c r="C566" s="160">
        <v>997.0</v>
      </c>
      <c r="D566" s="161" t="s">
        <v>5928</v>
      </c>
      <c r="E566" s="197" t="str">
        <f t="array" ref="E566">XLOOKUP(C566,ICSE!A:A,ICSE!Z:Z,,0,1)</f>
        <v>Publicly available (2)</v>
      </c>
      <c r="F566" s="198" t="s">
        <v>20</v>
      </c>
      <c r="G566" s="163" t="str">
        <f t="array" ref="G566">IF(B566="ICSE",IF(COUNTIFS(B:B,B566,C:C,C566)=XLOOKUP(C566,ICSE!A:A,ICSE!AA:AA,"ERROR",0,1),"OK","ERROR"),IF(B566="FSE",IF(COUNTIFS(B:B,B566,C:C,C566)=XLOOKUP(C566,FSE!A:A,FSE!AA:AA,"ERROR",0,1),"OK","ERROR")))</f>
        <v>OK</v>
      </c>
      <c r="H566" s="199">
        <f t="shared" ref="H566:O566" si="2839">countif($D566,"*"&amp;H$2&amp;"*")</f>
        <v>0</v>
      </c>
      <c r="I566" s="200">
        <f t="shared" si="2839"/>
        <v>0</v>
      </c>
      <c r="J566" s="200">
        <f t="shared" si="2839"/>
        <v>0</v>
      </c>
      <c r="K566" s="200">
        <f t="shared" si="2839"/>
        <v>0</v>
      </c>
      <c r="L566" s="200">
        <f t="shared" si="2839"/>
        <v>0</v>
      </c>
      <c r="M566" s="200">
        <f t="shared" si="2839"/>
        <v>0</v>
      </c>
      <c r="N566" s="200">
        <f t="shared" si="2839"/>
        <v>0</v>
      </c>
      <c r="O566" s="200">
        <f t="shared" si="2839"/>
        <v>0</v>
      </c>
      <c r="P566" s="200">
        <f t="shared" si="9"/>
        <v>0</v>
      </c>
      <c r="Q566" s="200">
        <f t="shared" ref="Q566:AC566" si="2840">countif($D566,"*"&amp;Q$2&amp;"*")</f>
        <v>0</v>
      </c>
      <c r="R566" s="200">
        <f t="shared" si="2840"/>
        <v>0</v>
      </c>
      <c r="S566" s="200">
        <f t="shared" si="2840"/>
        <v>0</v>
      </c>
      <c r="T566" s="200">
        <f t="shared" si="2840"/>
        <v>0</v>
      </c>
      <c r="U566" s="200">
        <f t="shared" si="2840"/>
        <v>0</v>
      </c>
      <c r="V566" s="200">
        <f t="shared" si="2840"/>
        <v>0</v>
      </c>
      <c r="W566" s="200">
        <f t="shared" si="2840"/>
        <v>0</v>
      </c>
      <c r="X566" s="200">
        <f t="shared" si="2840"/>
        <v>0</v>
      </c>
      <c r="Y566" s="200">
        <f t="shared" si="2840"/>
        <v>0</v>
      </c>
      <c r="Z566" s="200">
        <f t="shared" si="2840"/>
        <v>0</v>
      </c>
      <c r="AA566" s="200">
        <f t="shared" si="2840"/>
        <v>0</v>
      </c>
      <c r="AB566" s="200">
        <f t="shared" si="2840"/>
        <v>0</v>
      </c>
      <c r="AC566" s="200">
        <f t="shared" si="2840"/>
        <v>0</v>
      </c>
      <c r="AD566" s="200">
        <f t="shared" si="11"/>
        <v>0</v>
      </c>
      <c r="AE566" s="200">
        <f t="shared" ref="AE566:AG566" si="2841">countif($D566,"*"&amp;AE$2&amp;"*")</f>
        <v>0</v>
      </c>
      <c r="AF566" s="200">
        <f t="shared" si="2841"/>
        <v>0</v>
      </c>
      <c r="AG566" s="200">
        <f t="shared" si="2841"/>
        <v>0</v>
      </c>
      <c r="AH566" s="171">
        <f t="shared" si="13"/>
        <v>1</v>
      </c>
      <c r="AI566" s="200">
        <f t="shared" si="14"/>
        <v>0</v>
      </c>
      <c r="AJ566" s="200">
        <f t="shared" si="2686"/>
        <v>0</v>
      </c>
      <c r="AK566" s="201">
        <f t="shared" ref="AK566:AS566" si="2842">countif($D566,"*"&amp;AK$2&amp;"*")</f>
        <v>0</v>
      </c>
      <c r="AL566" s="201">
        <f t="shared" si="2842"/>
        <v>0</v>
      </c>
      <c r="AM566" s="201">
        <f t="shared" si="2842"/>
        <v>0</v>
      </c>
      <c r="AN566" s="201">
        <f t="shared" si="2842"/>
        <v>0</v>
      </c>
      <c r="AO566" s="201">
        <f t="shared" si="2842"/>
        <v>0</v>
      </c>
      <c r="AP566" s="201">
        <f t="shared" si="2842"/>
        <v>0</v>
      </c>
      <c r="AQ566" s="201">
        <f t="shared" si="2842"/>
        <v>0</v>
      </c>
      <c r="AR566" s="200">
        <f t="shared" si="2842"/>
        <v>0</v>
      </c>
      <c r="AS566" s="200">
        <f t="shared" si="2842"/>
        <v>0</v>
      </c>
      <c r="AT566" s="173">
        <v>0.0</v>
      </c>
      <c r="AU566" s="200">
        <f t="shared" ref="AU566:AX566" si="2843">countif($D566,"*"&amp;AU$2&amp;"*")</f>
        <v>0</v>
      </c>
      <c r="AV566" s="200">
        <f t="shared" si="2843"/>
        <v>0</v>
      </c>
      <c r="AW566" s="200">
        <f t="shared" si="2843"/>
        <v>0</v>
      </c>
      <c r="AX566" s="200">
        <f t="shared" si="2843"/>
        <v>0</v>
      </c>
      <c r="AY566" s="202">
        <v>0.0</v>
      </c>
      <c r="AZ566" s="200"/>
      <c r="BA566" s="171" t="str">
        <f t="shared" si="18"/>
        <v/>
      </c>
      <c r="BB566" s="171" t="str">
        <f t="shared" si="19"/>
        <v/>
      </c>
      <c r="BC566" s="171" t="str">
        <f t="shared" si="20"/>
        <v/>
      </c>
      <c r="BD566" s="171" t="str">
        <f t="shared" si="21"/>
        <v/>
      </c>
      <c r="BE566" s="171" t="str">
        <f t="shared" si="22"/>
        <v>Others</v>
      </c>
      <c r="BF566" s="171" t="str">
        <f t="shared" si="23"/>
        <v>Others</v>
      </c>
    </row>
    <row r="567">
      <c r="A567" s="171">
        <f t="array" ref="A567">XLOOKUP(C567,ICSE!A:A,ICSE!C:C,,2,1)</f>
        <v>2019</v>
      </c>
      <c r="B567" s="171" t="s">
        <v>5675</v>
      </c>
      <c r="C567" s="160">
        <v>997.0</v>
      </c>
      <c r="D567" s="161" t="s">
        <v>5929</v>
      </c>
      <c r="E567" s="197" t="str">
        <f t="array" ref="E567">XLOOKUP(C567,ICSE!A:A,ICSE!Z:Z,,0,1)</f>
        <v>Publicly available (2)</v>
      </c>
      <c r="F567" s="198" t="s">
        <v>20</v>
      </c>
      <c r="G567" s="163" t="str">
        <f t="array" ref="G567">IF(B567="ICSE",IF(COUNTIFS(B:B,B567,C:C,C567)=XLOOKUP(C567,ICSE!A:A,ICSE!AA:AA,"ERROR",0,1),"OK","ERROR"),IF(B567="FSE",IF(COUNTIFS(B:B,B567,C:C,C567)=XLOOKUP(C567,FSE!A:A,FSE!AA:AA,"ERROR",0,1),"OK","ERROR")))</f>
        <v>OK</v>
      </c>
      <c r="H567" s="199">
        <f t="shared" ref="H567:O567" si="2844">countif($D567,"*"&amp;H$2&amp;"*")</f>
        <v>0</v>
      </c>
      <c r="I567" s="200">
        <f t="shared" si="2844"/>
        <v>0</v>
      </c>
      <c r="J567" s="200">
        <f t="shared" si="2844"/>
        <v>0</v>
      </c>
      <c r="K567" s="200">
        <f t="shared" si="2844"/>
        <v>0</v>
      </c>
      <c r="L567" s="200">
        <f t="shared" si="2844"/>
        <v>0</v>
      </c>
      <c r="M567" s="200">
        <f t="shared" si="2844"/>
        <v>0</v>
      </c>
      <c r="N567" s="200">
        <f t="shared" si="2844"/>
        <v>0</v>
      </c>
      <c r="O567" s="200">
        <f t="shared" si="2844"/>
        <v>0</v>
      </c>
      <c r="P567" s="200">
        <f t="shared" si="9"/>
        <v>1</v>
      </c>
      <c r="Q567" s="200">
        <f t="shared" ref="Q567:AC567" si="2845">countif($D567,"*"&amp;Q$2&amp;"*")</f>
        <v>0</v>
      </c>
      <c r="R567" s="200">
        <f t="shared" si="2845"/>
        <v>0</v>
      </c>
      <c r="S567" s="200">
        <f t="shared" si="2845"/>
        <v>0</v>
      </c>
      <c r="T567" s="200">
        <f t="shared" si="2845"/>
        <v>0</v>
      </c>
      <c r="U567" s="200">
        <f t="shared" si="2845"/>
        <v>0</v>
      </c>
      <c r="V567" s="200">
        <f t="shared" si="2845"/>
        <v>0</v>
      </c>
      <c r="W567" s="200">
        <f t="shared" si="2845"/>
        <v>0</v>
      </c>
      <c r="X567" s="200">
        <f t="shared" si="2845"/>
        <v>0</v>
      </c>
      <c r="Y567" s="200">
        <f t="shared" si="2845"/>
        <v>0</v>
      </c>
      <c r="Z567" s="200">
        <f t="shared" si="2845"/>
        <v>0</v>
      </c>
      <c r="AA567" s="200">
        <f t="shared" si="2845"/>
        <v>0</v>
      </c>
      <c r="AB567" s="200">
        <f t="shared" si="2845"/>
        <v>0</v>
      </c>
      <c r="AC567" s="200">
        <f t="shared" si="2845"/>
        <v>0</v>
      </c>
      <c r="AD567" s="200">
        <f t="shared" si="11"/>
        <v>0</v>
      </c>
      <c r="AE567" s="200">
        <f t="shared" ref="AE567:AG567" si="2846">countif($D567,"*"&amp;AE$2&amp;"*")</f>
        <v>0</v>
      </c>
      <c r="AF567" s="200">
        <f t="shared" si="2846"/>
        <v>0</v>
      </c>
      <c r="AG567" s="200">
        <f t="shared" si="2846"/>
        <v>0</v>
      </c>
      <c r="AH567" s="171">
        <f t="shared" si="13"/>
        <v>0</v>
      </c>
      <c r="AI567" s="200">
        <f t="shared" si="14"/>
        <v>0</v>
      </c>
      <c r="AJ567" s="200">
        <f t="shared" si="2686"/>
        <v>0</v>
      </c>
      <c r="AK567" s="201">
        <f t="shared" ref="AK567:AS567" si="2847">countif($D567,"*"&amp;AK$2&amp;"*")</f>
        <v>0</v>
      </c>
      <c r="AL567" s="201">
        <f t="shared" si="2847"/>
        <v>0</v>
      </c>
      <c r="AM567" s="201">
        <f t="shared" si="2847"/>
        <v>0</v>
      </c>
      <c r="AN567" s="201">
        <f t="shared" si="2847"/>
        <v>0</v>
      </c>
      <c r="AO567" s="201">
        <f t="shared" si="2847"/>
        <v>0</v>
      </c>
      <c r="AP567" s="201">
        <f t="shared" si="2847"/>
        <v>0</v>
      </c>
      <c r="AQ567" s="201">
        <f t="shared" si="2847"/>
        <v>0</v>
      </c>
      <c r="AR567" s="200">
        <f t="shared" si="2847"/>
        <v>0</v>
      </c>
      <c r="AS567" s="200">
        <f t="shared" si="2847"/>
        <v>0</v>
      </c>
      <c r="AT567" s="173">
        <v>0.0</v>
      </c>
      <c r="AU567" s="200">
        <f t="shared" ref="AU567:AX567" si="2848">countif($D567,"*"&amp;AU$2&amp;"*")</f>
        <v>0</v>
      </c>
      <c r="AV567" s="200">
        <f t="shared" si="2848"/>
        <v>1</v>
      </c>
      <c r="AW567" s="200">
        <f t="shared" si="2848"/>
        <v>0</v>
      </c>
      <c r="AX567" s="200">
        <f t="shared" si="2848"/>
        <v>0</v>
      </c>
      <c r="AY567" s="202">
        <v>0.0</v>
      </c>
      <c r="AZ567" s="200"/>
      <c r="BA567" s="171" t="str">
        <f t="shared" si="18"/>
        <v/>
      </c>
      <c r="BB567" s="171" t="str">
        <f t="shared" si="19"/>
        <v>Code</v>
      </c>
      <c r="BC567" s="171" t="str">
        <f t="shared" si="20"/>
        <v/>
      </c>
      <c r="BD567" s="171" t="str">
        <f t="shared" si="21"/>
        <v/>
      </c>
      <c r="BE567" s="171" t="str">
        <f t="shared" si="22"/>
        <v/>
      </c>
      <c r="BF567" s="171" t="str">
        <f t="shared" si="23"/>
        <v>Code</v>
      </c>
    </row>
    <row r="568">
      <c r="A568" s="171">
        <f t="array" ref="A568">XLOOKUP(C568,ICSE!A:A,ICSE!C:C,,2,1)</f>
        <v>2019</v>
      </c>
      <c r="B568" s="171" t="s">
        <v>5675</v>
      </c>
      <c r="C568" s="160">
        <v>999.0</v>
      </c>
      <c r="D568" s="161" t="s">
        <v>1441</v>
      </c>
      <c r="E568" s="197" t="str">
        <f t="array" ref="E568">XLOOKUP(C568,ICSE!A:A,ICSE!Z:Z,,0,1)</f>
        <v>Publicly available (1)</v>
      </c>
      <c r="F568" s="198" t="s">
        <v>20</v>
      </c>
      <c r="G568" s="163" t="str">
        <f t="array" ref="G568">IF(B568="ICSE",IF(COUNTIFS(B:B,B568,C:C,C568)=XLOOKUP(C568,ICSE!A:A,ICSE!AA:AA,"ERROR",0,1),"OK","ERROR"),IF(B568="FSE",IF(COUNTIFS(B:B,B568,C:C,C568)=XLOOKUP(C568,FSE!A:A,FSE!AA:AA,"ERROR",0,1),"OK","ERROR")))</f>
        <v>OK</v>
      </c>
      <c r="H568" s="199">
        <f t="shared" ref="H568:O568" si="2849">countif($D568,"*"&amp;H$2&amp;"*")</f>
        <v>0</v>
      </c>
      <c r="I568" s="200">
        <f t="shared" si="2849"/>
        <v>0</v>
      </c>
      <c r="J568" s="200">
        <f t="shared" si="2849"/>
        <v>0</v>
      </c>
      <c r="K568" s="200">
        <f t="shared" si="2849"/>
        <v>0</v>
      </c>
      <c r="L568" s="200">
        <f t="shared" si="2849"/>
        <v>0</v>
      </c>
      <c r="M568" s="200">
        <f t="shared" si="2849"/>
        <v>0</v>
      </c>
      <c r="N568" s="200">
        <f t="shared" si="2849"/>
        <v>0</v>
      </c>
      <c r="O568" s="200">
        <f t="shared" si="2849"/>
        <v>0</v>
      </c>
      <c r="P568" s="200">
        <f t="shared" si="9"/>
        <v>1</v>
      </c>
      <c r="Q568" s="200">
        <f t="shared" ref="Q568:AC568" si="2850">countif($D568,"*"&amp;Q$2&amp;"*")</f>
        <v>0</v>
      </c>
      <c r="R568" s="200">
        <f t="shared" si="2850"/>
        <v>0</v>
      </c>
      <c r="S568" s="200">
        <f t="shared" si="2850"/>
        <v>0</v>
      </c>
      <c r="T568" s="200">
        <f t="shared" si="2850"/>
        <v>0</v>
      </c>
      <c r="U568" s="200">
        <f t="shared" si="2850"/>
        <v>0</v>
      </c>
      <c r="V568" s="200">
        <f t="shared" si="2850"/>
        <v>0</v>
      </c>
      <c r="W568" s="200">
        <f t="shared" si="2850"/>
        <v>0</v>
      </c>
      <c r="X568" s="200">
        <f t="shared" si="2850"/>
        <v>0</v>
      </c>
      <c r="Y568" s="200">
        <f t="shared" si="2850"/>
        <v>0</v>
      </c>
      <c r="Z568" s="200">
        <f t="shared" si="2850"/>
        <v>0</v>
      </c>
      <c r="AA568" s="200">
        <f t="shared" si="2850"/>
        <v>0</v>
      </c>
      <c r="AB568" s="200">
        <f t="shared" si="2850"/>
        <v>0</v>
      </c>
      <c r="AC568" s="200">
        <f t="shared" si="2850"/>
        <v>0</v>
      </c>
      <c r="AD568" s="200">
        <f t="shared" si="11"/>
        <v>0</v>
      </c>
      <c r="AE568" s="200">
        <f t="shared" ref="AE568:AG568" si="2851">countif($D568,"*"&amp;AE$2&amp;"*")</f>
        <v>0</v>
      </c>
      <c r="AF568" s="200">
        <f t="shared" si="2851"/>
        <v>0</v>
      </c>
      <c r="AG568" s="200">
        <f t="shared" si="2851"/>
        <v>0</v>
      </c>
      <c r="AH568" s="171">
        <f t="shared" si="13"/>
        <v>0</v>
      </c>
      <c r="AI568" s="200">
        <f t="shared" si="14"/>
        <v>0</v>
      </c>
      <c r="AJ568" s="200">
        <f t="shared" si="2686"/>
        <v>0</v>
      </c>
      <c r="AK568" s="201">
        <f t="shared" ref="AK568:AS568" si="2852">countif($D568,"*"&amp;AK$2&amp;"*")</f>
        <v>0</v>
      </c>
      <c r="AL568" s="201">
        <f t="shared" si="2852"/>
        <v>0</v>
      </c>
      <c r="AM568" s="201">
        <f t="shared" si="2852"/>
        <v>0</v>
      </c>
      <c r="AN568" s="201">
        <f t="shared" si="2852"/>
        <v>0</v>
      </c>
      <c r="AO568" s="201">
        <f t="shared" si="2852"/>
        <v>0</v>
      </c>
      <c r="AP568" s="201">
        <f t="shared" si="2852"/>
        <v>0</v>
      </c>
      <c r="AQ568" s="201">
        <f t="shared" si="2852"/>
        <v>0</v>
      </c>
      <c r="AR568" s="200">
        <f t="shared" si="2852"/>
        <v>0</v>
      </c>
      <c r="AS568" s="200">
        <f t="shared" si="2852"/>
        <v>0</v>
      </c>
      <c r="AT568" s="173">
        <v>0.0</v>
      </c>
      <c r="AU568" s="200">
        <f t="shared" ref="AU568:AX568" si="2853">countif($D568,"*"&amp;AU$2&amp;"*")</f>
        <v>0</v>
      </c>
      <c r="AV568" s="200">
        <f t="shared" si="2853"/>
        <v>1</v>
      </c>
      <c r="AW568" s="200">
        <f t="shared" si="2853"/>
        <v>0</v>
      </c>
      <c r="AX568" s="200">
        <f t="shared" si="2853"/>
        <v>0</v>
      </c>
      <c r="AY568" s="202">
        <v>0.0</v>
      </c>
      <c r="AZ568" s="200"/>
      <c r="BA568" s="171" t="str">
        <f t="shared" si="18"/>
        <v/>
      </c>
      <c r="BB568" s="171" t="str">
        <f t="shared" si="19"/>
        <v>Code</v>
      </c>
      <c r="BC568" s="171" t="str">
        <f t="shared" si="20"/>
        <v/>
      </c>
      <c r="BD568" s="171" t="str">
        <f t="shared" si="21"/>
        <v/>
      </c>
      <c r="BE568" s="171" t="str">
        <f t="shared" si="22"/>
        <v/>
      </c>
      <c r="BF568" s="171" t="str">
        <f t="shared" si="23"/>
        <v>Code</v>
      </c>
    </row>
    <row r="569">
      <c r="A569" s="171">
        <f t="array" ref="A569">XLOOKUP(C569,ICSE!A:A,ICSE!C:C,,2,1)</f>
        <v>2019</v>
      </c>
      <c r="B569" s="171" t="s">
        <v>5675</v>
      </c>
      <c r="C569" s="160">
        <v>1000.0</v>
      </c>
      <c r="D569" s="161" t="s">
        <v>1444</v>
      </c>
      <c r="E569" s="197" t="str">
        <f t="array" ref="E569">XLOOKUP(C569,ICSE!A:A,ICSE!Z:Z,,0,1)</f>
        <v>Not available (1) - Broken link.</v>
      </c>
      <c r="F569" s="198" t="s">
        <v>21</v>
      </c>
      <c r="G569" s="163" t="str">
        <f t="array" ref="G569">IF(B569="ICSE",IF(COUNTIFS(B:B,B569,C:C,C569)=XLOOKUP(C569,ICSE!A:A,ICSE!AA:AA,"ERROR",0,1),"OK","ERROR"),IF(B569="FSE",IF(COUNTIFS(B:B,B569,C:C,C569)=XLOOKUP(C569,FSE!A:A,FSE!AA:AA,"ERROR",0,1),"OK","ERROR")))</f>
        <v>OK</v>
      </c>
      <c r="H569" s="199">
        <f t="shared" ref="H569:O569" si="2854">countif($D569,"*"&amp;H$2&amp;"*")</f>
        <v>0</v>
      </c>
      <c r="I569" s="200">
        <f t="shared" si="2854"/>
        <v>0</v>
      </c>
      <c r="J569" s="200">
        <f t="shared" si="2854"/>
        <v>0</v>
      </c>
      <c r="K569" s="200">
        <f t="shared" si="2854"/>
        <v>0</v>
      </c>
      <c r="L569" s="200">
        <f t="shared" si="2854"/>
        <v>0</v>
      </c>
      <c r="M569" s="200">
        <f t="shared" si="2854"/>
        <v>0</v>
      </c>
      <c r="N569" s="200">
        <f t="shared" si="2854"/>
        <v>0</v>
      </c>
      <c r="O569" s="200">
        <f t="shared" si="2854"/>
        <v>0</v>
      </c>
      <c r="P569" s="200">
        <f t="shared" si="9"/>
        <v>1</v>
      </c>
      <c r="Q569" s="200">
        <f t="shared" ref="Q569:AC569" si="2855">countif($D569,"*"&amp;Q$2&amp;"*")</f>
        <v>0</v>
      </c>
      <c r="R569" s="200">
        <f t="shared" si="2855"/>
        <v>0</v>
      </c>
      <c r="S569" s="200">
        <f t="shared" si="2855"/>
        <v>0</v>
      </c>
      <c r="T569" s="200">
        <f t="shared" si="2855"/>
        <v>0</v>
      </c>
      <c r="U569" s="200">
        <f t="shared" si="2855"/>
        <v>0</v>
      </c>
      <c r="V569" s="200">
        <f t="shared" si="2855"/>
        <v>0</v>
      </c>
      <c r="W569" s="200">
        <f t="shared" si="2855"/>
        <v>0</v>
      </c>
      <c r="X569" s="200">
        <f t="shared" si="2855"/>
        <v>0</v>
      </c>
      <c r="Y569" s="200">
        <f t="shared" si="2855"/>
        <v>0</v>
      </c>
      <c r="Z569" s="200">
        <f t="shared" si="2855"/>
        <v>0</v>
      </c>
      <c r="AA569" s="200">
        <f t="shared" si="2855"/>
        <v>0</v>
      </c>
      <c r="AB569" s="200">
        <f t="shared" si="2855"/>
        <v>0</v>
      </c>
      <c r="AC569" s="200">
        <f t="shared" si="2855"/>
        <v>0</v>
      </c>
      <c r="AD569" s="200">
        <f t="shared" si="11"/>
        <v>0</v>
      </c>
      <c r="AE569" s="200">
        <f t="shared" ref="AE569:AG569" si="2856">countif($D569,"*"&amp;AE$2&amp;"*")</f>
        <v>0</v>
      </c>
      <c r="AF569" s="200">
        <f t="shared" si="2856"/>
        <v>0</v>
      </c>
      <c r="AG569" s="200">
        <f t="shared" si="2856"/>
        <v>0</v>
      </c>
      <c r="AH569" s="171">
        <f t="shared" si="13"/>
        <v>0</v>
      </c>
      <c r="AI569" s="200">
        <f t="shared" si="14"/>
        <v>0</v>
      </c>
      <c r="AJ569" s="200">
        <f t="shared" si="2686"/>
        <v>0</v>
      </c>
      <c r="AK569" s="201">
        <f t="shared" ref="AK569:AS569" si="2857">countif($D569,"*"&amp;AK$2&amp;"*")</f>
        <v>0</v>
      </c>
      <c r="AL569" s="201">
        <f t="shared" si="2857"/>
        <v>0</v>
      </c>
      <c r="AM569" s="201">
        <f t="shared" si="2857"/>
        <v>0</v>
      </c>
      <c r="AN569" s="201">
        <f t="shared" si="2857"/>
        <v>0</v>
      </c>
      <c r="AO569" s="201">
        <f t="shared" si="2857"/>
        <v>0</v>
      </c>
      <c r="AP569" s="201">
        <f t="shared" si="2857"/>
        <v>0</v>
      </c>
      <c r="AQ569" s="201">
        <f t="shared" si="2857"/>
        <v>0</v>
      </c>
      <c r="AR569" s="200">
        <f t="shared" si="2857"/>
        <v>0</v>
      </c>
      <c r="AS569" s="200">
        <f t="shared" si="2857"/>
        <v>0</v>
      </c>
      <c r="AT569" s="173">
        <v>0.0</v>
      </c>
      <c r="AU569" s="200">
        <f t="shared" ref="AU569:AX569" si="2858">countif($D569,"*"&amp;AU$2&amp;"*")</f>
        <v>0</v>
      </c>
      <c r="AV569" s="200">
        <f t="shared" si="2858"/>
        <v>1</v>
      </c>
      <c r="AW569" s="200">
        <f t="shared" si="2858"/>
        <v>0</v>
      </c>
      <c r="AX569" s="200">
        <f t="shared" si="2858"/>
        <v>0</v>
      </c>
      <c r="AY569" s="202">
        <v>0.0</v>
      </c>
      <c r="AZ569" s="200"/>
      <c r="BA569" s="171" t="str">
        <f t="shared" si="18"/>
        <v/>
      </c>
      <c r="BB569" s="171" t="str">
        <f t="shared" si="19"/>
        <v>Code</v>
      </c>
      <c r="BC569" s="171" t="str">
        <f t="shared" si="20"/>
        <v/>
      </c>
      <c r="BD569" s="171" t="str">
        <f t="shared" si="21"/>
        <v/>
      </c>
      <c r="BE569" s="171" t="str">
        <f t="shared" si="22"/>
        <v/>
      </c>
      <c r="BF569" s="171" t="str">
        <f t="shared" si="23"/>
        <v>Code</v>
      </c>
    </row>
    <row r="570">
      <c r="A570" s="171">
        <f t="array" ref="A570">XLOOKUP(C570,ICSE!A:A,ICSE!C:C,,2,1)</f>
        <v>2019</v>
      </c>
      <c r="B570" s="171" t="s">
        <v>5675</v>
      </c>
      <c r="C570" s="160">
        <v>1001.0</v>
      </c>
      <c r="D570" s="161" t="s">
        <v>1447</v>
      </c>
      <c r="E570" s="197" t="str">
        <f t="array" ref="E570">XLOOKUP(C570,ICSE!A:A,ICSE!Z:Z,,0,1)</f>
        <v>Publicly available (1)</v>
      </c>
      <c r="F570" s="198" t="s">
        <v>20</v>
      </c>
      <c r="G570" s="163" t="str">
        <f t="array" ref="G570">IF(B570="ICSE",IF(COUNTIFS(B:B,B570,C:C,C570)=XLOOKUP(C570,ICSE!A:A,ICSE!AA:AA,"ERROR",0,1),"OK","ERROR"),IF(B570="FSE",IF(COUNTIFS(B:B,B570,C:C,C570)=XLOOKUP(C570,FSE!A:A,FSE!AA:AA,"ERROR",0,1),"OK","ERROR")))</f>
        <v>OK</v>
      </c>
      <c r="H570" s="199">
        <f t="shared" ref="H570:O570" si="2859">countif($D570,"*"&amp;H$2&amp;"*")</f>
        <v>1</v>
      </c>
      <c r="I570" s="200">
        <f t="shared" si="2859"/>
        <v>0</v>
      </c>
      <c r="J570" s="200">
        <f t="shared" si="2859"/>
        <v>0</v>
      </c>
      <c r="K570" s="200">
        <f t="shared" si="2859"/>
        <v>0</v>
      </c>
      <c r="L570" s="200">
        <f t="shared" si="2859"/>
        <v>0</v>
      </c>
      <c r="M570" s="200">
        <f t="shared" si="2859"/>
        <v>0</v>
      </c>
      <c r="N570" s="200">
        <f t="shared" si="2859"/>
        <v>0</v>
      </c>
      <c r="O570" s="200">
        <f t="shared" si="2859"/>
        <v>0</v>
      </c>
      <c r="P570" s="200">
        <f t="shared" si="9"/>
        <v>0</v>
      </c>
      <c r="Q570" s="200">
        <f t="shared" ref="Q570:AC570" si="2860">countif($D570,"*"&amp;Q$2&amp;"*")</f>
        <v>0</v>
      </c>
      <c r="R570" s="200">
        <f t="shared" si="2860"/>
        <v>0</v>
      </c>
      <c r="S570" s="200">
        <f t="shared" si="2860"/>
        <v>0</v>
      </c>
      <c r="T570" s="200">
        <f t="shared" si="2860"/>
        <v>0</v>
      </c>
      <c r="U570" s="200">
        <f t="shared" si="2860"/>
        <v>0</v>
      </c>
      <c r="V570" s="200">
        <f t="shared" si="2860"/>
        <v>0</v>
      </c>
      <c r="W570" s="200">
        <f t="shared" si="2860"/>
        <v>0</v>
      </c>
      <c r="X570" s="200">
        <f t="shared" si="2860"/>
        <v>0</v>
      </c>
      <c r="Y570" s="200">
        <f t="shared" si="2860"/>
        <v>0</v>
      </c>
      <c r="Z570" s="200">
        <f t="shared" si="2860"/>
        <v>0</v>
      </c>
      <c r="AA570" s="200">
        <f t="shared" si="2860"/>
        <v>0</v>
      </c>
      <c r="AB570" s="200">
        <f t="shared" si="2860"/>
        <v>0</v>
      </c>
      <c r="AC570" s="200">
        <f t="shared" si="2860"/>
        <v>0</v>
      </c>
      <c r="AD570" s="200">
        <f t="shared" si="11"/>
        <v>0</v>
      </c>
      <c r="AE570" s="200">
        <f t="shared" ref="AE570:AG570" si="2861">countif($D570,"*"&amp;AE$2&amp;"*")</f>
        <v>0</v>
      </c>
      <c r="AF570" s="200">
        <f t="shared" si="2861"/>
        <v>0</v>
      </c>
      <c r="AG570" s="200">
        <f t="shared" si="2861"/>
        <v>0</v>
      </c>
      <c r="AH570" s="171">
        <f t="shared" si="13"/>
        <v>0</v>
      </c>
      <c r="AI570" s="200">
        <f t="shared" si="14"/>
        <v>1</v>
      </c>
      <c r="AJ570" s="200">
        <f t="shared" si="2686"/>
        <v>0</v>
      </c>
      <c r="AK570" s="201">
        <f t="shared" ref="AK570:AS570" si="2862">countif($D570,"*"&amp;AK$2&amp;"*")</f>
        <v>0</v>
      </c>
      <c r="AL570" s="201">
        <f t="shared" si="2862"/>
        <v>0</v>
      </c>
      <c r="AM570" s="201">
        <f t="shared" si="2862"/>
        <v>0</v>
      </c>
      <c r="AN570" s="201">
        <f t="shared" si="2862"/>
        <v>0</v>
      </c>
      <c r="AO570" s="201">
        <f t="shared" si="2862"/>
        <v>0</v>
      </c>
      <c r="AP570" s="201">
        <f t="shared" si="2862"/>
        <v>0</v>
      </c>
      <c r="AQ570" s="201">
        <f t="shared" si="2862"/>
        <v>0</v>
      </c>
      <c r="AR570" s="200">
        <f t="shared" si="2862"/>
        <v>0</v>
      </c>
      <c r="AS570" s="200">
        <f t="shared" si="2862"/>
        <v>0</v>
      </c>
      <c r="AT570" s="173">
        <v>0.0</v>
      </c>
      <c r="AU570" s="200">
        <f t="shared" ref="AU570:AX570" si="2863">countif($D570,"*"&amp;AU$2&amp;"*")</f>
        <v>0</v>
      </c>
      <c r="AV570" s="200">
        <f t="shared" si="2863"/>
        <v>0</v>
      </c>
      <c r="AW570" s="200">
        <f t="shared" si="2863"/>
        <v>0</v>
      </c>
      <c r="AX570" s="200">
        <f t="shared" si="2863"/>
        <v>1</v>
      </c>
      <c r="AY570" s="202">
        <v>0.0</v>
      </c>
      <c r="AZ570" s="200"/>
      <c r="BA570" s="171" t="str">
        <f t="shared" si="18"/>
        <v>Archival</v>
      </c>
      <c r="BB570" s="171" t="str">
        <f t="shared" si="19"/>
        <v/>
      </c>
      <c r="BC570" s="171" t="str">
        <f t="shared" si="20"/>
        <v/>
      </c>
      <c r="BD570" s="171" t="str">
        <f t="shared" si="21"/>
        <v/>
      </c>
      <c r="BE570" s="171" t="str">
        <f t="shared" si="22"/>
        <v/>
      </c>
      <c r="BF570" s="171" t="str">
        <f t="shared" si="23"/>
        <v>Archival</v>
      </c>
    </row>
    <row r="571">
      <c r="A571" s="171">
        <f t="array" ref="A571">XLOOKUP(C571,ICSE!A:A,ICSE!C:C,,2,1)</f>
        <v>2019</v>
      </c>
      <c r="B571" s="171" t="s">
        <v>5675</v>
      </c>
      <c r="C571" s="160">
        <v>1002.0</v>
      </c>
      <c r="D571" s="161" t="s">
        <v>1450</v>
      </c>
      <c r="E571" s="197" t="str">
        <f t="array" ref="E571">XLOOKUP(C571,ICSE!A:A,ICSE!Z:Z,,0,1)</f>
        <v>Publicly available (1)</v>
      </c>
      <c r="F571" s="198" t="s">
        <v>20</v>
      </c>
      <c r="G571" s="163" t="str">
        <f t="array" ref="G571">IF(B571="ICSE",IF(COUNTIFS(B:B,B571,C:C,C571)=XLOOKUP(C571,ICSE!A:A,ICSE!AA:AA,"ERROR",0,1),"OK","ERROR"),IF(B571="FSE",IF(COUNTIFS(B:B,B571,C:C,C571)=XLOOKUP(C571,FSE!A:A,FSE!AA:AA,"ERROR",0,1),"OK","ERROR")))</f>
        <v>OK</v>
      </c>
      <c r="H571" s="199">
        <f t="shared" ref="H571:O571" si="2864">countif($D571,"*"&amp;H$2&amp;"*")</f>
        <v>0</v>
      </c>
      <c r="I571" s="200">
        <f t="shared" si="2864"/>
        <v>0</v>
      </c>
      <c r="J571" s="200">
        <f t="shared" si="2864"/>
        <v>0</v>
      </c>
      <c r="K571" s="200">
        <f t="shared" si="2864"/>
        <v>0</v>
      </c>
      <c r="L571" s="200">
        <f t="shared" si="2864"/>
        <v>0</v>
      </c>
      <c r="M571" s="200">
        <f t="shared" si="2864"/>
        <v>0</v>
      </c>
      <c r="N571" s="200">
        <f t="shared" si="2864"/>
        <v>0</v>
      </c>
      <c r="O571" s="200">
        <f t="shared" si="2864"/>
        <v>0</v>
      </c>
      <c r="P571" s="200">
        <f t="shared" si="9"/>
        <v>0</v>
      </c>
      <c r="Q571" s="200">
        <f t="shared" ref="Q571:AC571" si="2865">countif($D571,"*"&amp;Q$2&amp;"*")</f>
        <v>0</v>
      </c>
      <c r="R571" s="200">
        <f t="shared" si="2865"/>
        <v>0</v>
      </c>
      <c r="S571" s="200">
        <f t="shared" si="2865"/>
        <v>0</v>
      </c>
      <c r="T571" s="200">
        <f t="shared" si="2865"/>
        <v>0</v>
      </c>
      <c r="U571" s="200">
        <f t="shared" si="2865"/>
        <v>0</v>
      </c>
      <c r="V571" s="200">
        <f t="shared" si="2865"/>
        <v>0</v>
      </c>
      <c r="W571" s="200">
        <f t="shared" si="2865"/>
        <v>0</v>
      </c>
      <c r="X571" s="200">
        <f t="shared" si="2865"/>
        <v>0</v>
      </c>
      <c r="Y571" s="200">
        <f t="shared" si="2865"/>
        <v>0</v>
      </c>
      <c r="Z571" s="200">
        <f t="shared" si="2865"/>
        <v>0</v>
      </c>
      <c r="AA571" s="200">
        <f t="shared" si="2865"/>
        <v>0</v>
      </c>
      <c r="AB571" s="200">
        <f t="shared" si="2865"/>
        <v>0</v>
      </c>
      <c r="AC571" s="200">
        <f t="shared" si="2865"/>
        <v>0</v>
      </c>
      <c r="AD571" s="200">
        <f t="shared" si="11"/>
        <v>1</v>
      </c>
      <c r="AE571" s="200">
        <f t="shared" ref="AE571:AG571" si="2866">countif($D571,"*"&amp;AE$2&amp;"*")</f>
        <v>0</v>
      </c>
      <c r="AF571" s="200">
        <f t="shared" si="2866"/>
        <v>0</v>
      </c>
      <c r="AG571" s="200">
        <f t="shared" si="2866"/>
        <v>0</v>
      </c>
      <c r="AH571" s="171">
        <f t="shared" si="13"/>
        <v>0</v>
      </c>
      <c r="AI571" s="200">
        <f t="shared" si="14"/>
        <v>0</v>
      </c>
      <c r="AJ571" s="200">
        <f>SUM(AK571:AQ571)</f>
        <v>0</v>
      </c>
      <c r="AK571" s="201">
        <f t="shared" ref="AK571:AS571" si="2867">countif($D571,"*"&amp;AK$2&amp;"*")</f>
        <v>0</v>
      </c>
      <c r="AL571" s="201">
        <f t="shared" si="2867"/>
        <v>0</v>
      </c>
      <c r="AM571" s="201">
        <f t="shared" si="2867"/>
        <v>0</v>
      </c>
      <c r="AN571" s="201">
        <f t="shared" si="2867"/>
        <v>0</v>
      </c>
      <c r="AO571" s="201">
        <f t="shared" si="2867"/>
        <v>0</v>
      </c>
      <c r="AP571" s="201">
        <f t="shared" si="2867"/>
        <v>0</v>
      </c>
      <c r="AQ571" s="201">
        <f t="shared" si="2867"/>
        <v>0</v>
      </c>
      <c r="AR571" s="201">
        <f t="shared" si="2867"/>
        <v>0</v>
      </c>
      <c r="AS571" s="200">
        <f t="shared" si="2867"/>
        <v>0</v>
      </c>
      <c r="AT571" s="205">
        <v>0.0</v>
      </c>
      <c r="AU571" s="200">
        <f t="shared" ref="AU571:AX571" si="2868">countif($D571,"*"&amp;AU$2&amp;"*")</f>
        <v>1</v>
      </c>
      <c r="AV571" s="200">
        <f t="shared" si="2868"/>
        <v>0</v>
      </c>
      <c r="AW571" s="200">
        <f t="shared" si="2868"/>
        <v>0</v>
      </c>
      <c r="AX571" s="200">
        <f t="shared" si="2868"/>
        <v>0</v>
      </c>
      <c r="AY571" s="202">
        <v>0.0</v>
      </c>
      <c r="AZ571" s="200"/>
      <c r="BA571" s="171" t="str">
        <f t="shared" si="18"/>
        <v/>
      </c>
      <c r="BB571" s="171" t="str">
        <f t="shared" si="19"/>
        <v/>
      </c>
      <c r="BC571" s="171" t="str">
        <f t="shared" si="20"/>
        <v/>
      </c>
      <c r="BD571" s="171" t="str">
        <f t="shared" si="21"/>
        <v>Institutional</v>
      </c>
      <c r="BE571" s="171" t="str">
        <f t="shared" si="22"/>
        <v/>
      </c>
      <c r="BF571" s="171" t="str">
        <f t="shared" si="23"/>
        <v>Institutional</v>
      </c>
    </row>
    <row r="572">
      <c r="A572" s="171">
        <f t="array" ref="A572">XLOOKUP(C572,ICSE!A:A,ICSE!C:C,,2,1)</f>
        <v>2019</v>
      </c>
      <c r="B572" s="171" t="s">
        <v>5675</v>
      </c>
      <c r="C572" s="160">
        <v>1004.0</v>
      </c>
      <c r="D572" s="161" t="s">
        <v>1454</v>
      </c>
      <c r="E572" s="197" t="str">
        <f t="array" ref="E572">XLOOKUP(C572,ICSE!A:A,ICSE!Z:Z,,0,1)</f>
        <v>Publicly available (1)</v>
      </c>
      <c r="F572" s="198" t="s">
        <v>20</v>
      </c>
      <c r="G572" s="163" t="str">
        <f t="array" ref="G572">IF(B572="ICSE",IF(COUNTIFS(B:B,B572,C:C,C572)=XLOOKUP(C572,ICSE!A:A,ICSE!AA:AA,"ERROR",0,1),"OK","ERROR"),IF(B572="FSE",IF(COUNTIFS(B:B,B572,C:C,C572)=XLOOKUP(C572,FSE!A:A,FSE!AA:AA,"ERROR",0,1),"OK","ERROR")))</f>
        <v>OK</v>
      </c>
      <c r="H572" s="199">
        <f t="shared" ref="H572:O572" si="2869">countif($D572,"*"&amp;H$2&amp;"*")</f>
        <v>1</v>
      </c>
      <c r="I572" s="200">
        <f t="shared" si="2869"/>
        <v>0</v>
      </c>
      <c r="J572" s="200">
        <f t="shared" si="2869"/>
        <v>0</v>
      </c>
      <c r="K572" s="200">
        <f t="shared" si="2869"/>
        <v>0</v>
      </c>
      <c r="L572" s="200">
        <f t="shared" si="2869"/>
        <v>0</v>
      </c>
      <c r="M572" s="200">
        <f t="shared" si="2869"/>
        <v>0</v>
      </c>
      <c r="N572" s="200">
        <f t="shared" si="2869"/>
        <v>0</v>
      </c>
      <c r="O572" s="200">
        <f t="shared" si="2869"/>
        <v>0</v>
      </c>
      <c r="P572" s="200">
        <f t="shared" si="9"/>
        <v>0</v>
      </c>
      <c r="Q572" s="200">
        <f t="shared" ref="Q572:AC572" si="2870">countif($D572,"*"&amp;Q$2&amp;"*")</f>
        <v>0</v>
      </c>
      <c r="R572" s="200">
        <f t="shared" si="2870"/>
        <v>0</v>
      </c>
      <c r="S572" s="200">
        <f t="shared" si="2870"/>
        <v>0</v>
      </c>
      <c r="T572" s="200">
        <f t="shared" si="2870"/>
        <v>0</v>
      </c>
      <c r="U572" s="200">
        <f t="shared" si="2870"/>
        <v>0</v>
      </c>
      <c r="V572" s="200">
        <f t="shared" si="2870"/>
        <v>0</v>
      </c>
      <c r="W572" s="200">
        <f t="shared" si="2870"/>
        <v>0</v>
      </c>
      <c r="X572" s="200">
        <f t="shared" si="2870"/>
        <v>0</v>
      </c>
      <c r="Y572" s="200">
        <f t="shared" si="2870"/>
        <v>0</v>
      </c>
      <c r="Z572" s="200">
        <f t="shared" si="2870"/>
        <v>0</v>
      </c>
      <c r="AA572" s="200">
        <f t="shared" si="2870"/>
        <v>0</v>
      </c>
      <c r="AB572" s="200">
        <f t="shared" si="2870"/>
        <v>0</v>
      </c>
      <c r="AC572" s="200">
        <f t="shared" si="2870"/>
        <v>0</v>
      </c>
      <c r="AD572" s="200">
        <f t="shared" si="11"/>
        <v>0</v>
      </c>
      <c r="AE572" s="200">
        <f t="shared" ref="AE572:AG572" si="2871">countif($D572,"*"&amp;AE$2&amp;"*")</f>
        <v>0</v>
      </c>
      <c r="AF572" s="200">
        <f t="shared" si="2871"/>
        <v>0</v>
      </c>
      <c r="AG572" s="200">
        <f t="shared" si="2871"/>
        <v>0</v>
      </c>
      <c r="AH572" s="171">
        <f t="shared" si="13"/>
        <v>0</v>
      </c>
      <c r="AI572" s="200">
        <f t="shared" si="14"/>
        <v>1</v>
      </c>
      <c r="AJ572" s="200">
        <f>SUM(AK572:AR572)</f>
        <v>0</v>
      </c>
      <c r="AK572" s="201">
        <f t="shared" ref="AK572:AS572" si="2872">countif($D572,"*"&amp;AK$2&amp;"*")</f>
        <v>0</v>
      </c>
      <c r="AL572" s="201">
        <f t="shared" si="2872"/>
        <v>0</v>
      </c>
      <c r="AM572" s="201">
        <f t="shared" si="2872"/>
        <v>0</v>
      </c>
      <c r="AN572" s="201">
        <f t="shared" si="2872"/>
        <v>0</v>
      </c>
      <c r="AO572" s="201">
        <f t="shared" si="2872"/>
        <v>0</v>
      </c>
      <c r="AP572" s="201">
        <f t="shared" si="2872"/>
        <v>0</v>
      </c>
      <c r="AQ572" s="201">
        <f t="shared" si="2872"/>
        <v>0</v>
      </c>
      <c r="AR572" s="200">
        <f t="shared" si="2872"/>
        <v>0</v>
      </c>
      <c r="AS572" s="200">
        <f t="shared" si="2872"/>
        <v>0</v>
      </c>
      <c r="AT572" s="173">
        <v>0.0</v>
      </c>
      <c r="AU572" s="200">
        <f t="shared" ref="AU572:AX572" si="2873">countif($D572,"*"&amp;AU$2&amp;"*")</f>
        <v>0</v>
      </c>
      <c r="AV572" s="200">
        <f t="shared" si="2873"/>
        <v>0</v>
      </c>
      <c r="AW572" s="200">
        <f t="shared" si="2873"/>
        <v>0</v>
      </c>
      <c r="AX572" s="200">
        <f t="shared" si="2873"/>
        <v>1</v>
      </c>
      <c r="AY572" s="202">
        <v>0.0</v>
      </c>
      <c r="AZ572" s="200"/>
      <c r="BA572" s="171" t="str">
        <f t="shared" si="18"/>
        <v>Archival</v>
      </c>
      <c r="BB572" s="171" t="str">
        <f t="shared" si="19"/>
        <v/>
      </c>
      <c r="BC572" s="171" t="str">
        <f t="shared" si="20"/>
        <v/>
      </c>
      <c r="BD572" s="171" t="str">
        <f t="shared" si="21"/>
        <v/>
      </c>
      <c r="BE572" s="171" t="str">
        <f t="shared" si="22"/>
        <v/>
      </c>
      <c r="BF572" s="171" t="str">
        <f t="shared" si="23"/>
        <v>Archival</v>
      </c>
    </row>
    <row r="573">
      <c r="A573" s="171">
        <f t="array" ref="A573">XLOOKUP(C573,ICSE!A:A,ICSE!C:C,,2,1)</f>
        <v>2019</v>
      </c>
      <c r="B573" s="171" t="s">
        <v>5675</v>
      </c>
      <c r="C573" s="160">
        <v>1005.0</v>
      </c>
      <c r="D573" s="161" t="s">
        <v>1457</v>
      </c>
      <c r="E573" s="197" t="str">
        <f t="array" ref="E573">XLOOKUP(C573,ICSE!A:A,ICSE!Z:Z,,0,1)</f>
        <v>Not available (1) - Broken link.</v>
      </c>
      <c r="F573" s="198" t="s">
        <v>21</v>
      </c>
      <c r="G573" s="163" t="str">
        <f t="array" ref="G573">IF(B573="ICSE",IF(COUNTIFS(B:B,B573,C:C,C573)=XLOOKUP(C573,ICSE!A:A,ICSE!AA:AA,"ERROR",0,1),"OK","ERROR"),IF(B573="FSE",IF(COUNTIFS(B:B,B573,C:C,C573)=XLOOKUP(C573,FSE!A:A,FSE!AA:AA,"ERROR",0,1),"OK","ERROR")))</f>
        <v>OK</v>
      </c>
      <c r="H573" s="199">
        <f t="shared" ref="H573:O573" si="2874">countif($D573,"*"&amp;H$2&amp;"*")</f>
        <v>0</v>
      </c>
      <c r="I573" s="200">
        <f t="shared" si="2874"/>
        <v>0</v>
      </c>
      <c r="J573" s="200">
        <f t="shared" si="2874"/>
        <v>0</v>
      </c>
      <c r="K573" s="200">
        <f t="shared" si="2874"/>
        <v>0</v>
      </c>
      <c r="L573" s="200">
        <f t="shared" si="2874"/>
        <v>0</v>
      </c>
      <c r="M573" s="200">
        <f t="shared" si="2874"/>
        <v>0</v>
      </c>
      <c r="N573" s="200">
        <f t="shared" si="2874"/>
        <v>0</v>
      </c>
      <c r="O573" s="200">
        <f t="shared" si="2874"/>
        <v>0</v>
      </c>
      <c r="P573" s="200">
        <f t="shared" si="9"/>
        <v>0</v>
      </c>
      <c r="Q573" s="200">
        <f t="shared" ref="Q573:AC573" si="2875">countif($D573,"*"&amp;Q$2&amp;"*")</f>
        <v>0</v>
      </c>
      <c r="R573" s="200">
        <f t="shared" si="2875"/>
        <v>0</v>
      </c>
      <c r="S573" s="200">
        <f t="shared" si="2875"/>
        <v>0</v>
      </c>
      <c r="T573" s="200">
        <f t="shared" si="2875"/>
        <v>0</v>
      </c>
      <c r="U573" s="200">
        <f t="shared" si="2875"/>
        <v>0</v>
      </c>
      <c r="V573" s="200">
        <f t="shared" si="2875"/>
        <v>0</v>
      </c>
      <c r="W573" s="200">
        <f t="shared" si="2875"/>
        <v>0</v>
      </c>
      <c r="X573" s="200">
        <f t="shared" si="2875"/>
        <v>0</v>
      </c>
      <c r="Y573" s="200">
        <f t="shared" si="2875"/>
        <v>0</v>
      </c>
      <c r="Z573" s="200">
        <f t="shared" si="2875"/>
        <v>0</v>
      </c>
      <c r="AA573" s="200">
        <f t="shared" si="2875"/>
        <v>0</v>
      </c>
      <c r="AB573" s="200">
        <f t="shared" si="2875"/>
        <v>0</v>
      </c>
      <c r="AC573" s="200">
        <f t="shared" si="2875"/>
        <v>0</v>
      </c>
      <c r="AD573" s="200">
        <f t="shared" si="11"/>
        <v>1</v>
      </c>
      <c r="AE573" s="200">
        <f t="shared" ref="AE573:AG573" si="2876">countif($D573,"*"&amp;AE$2&amp;"*")</f>
        <v>0</v>
      </c>
      <c r="AF573" s="200">
        <f t="shared" si="2876"/>
        <v>0</v>
      </c>
      <c r="AG573" s="200">
        <f t="shared" si="2876"/>
        <v>0</v>
      </c>
      <c r="AH573" s="171">
        <f t="shared" si="13"/>
        <v>0</v>
      </c>
      <c r="AI573" s="200">
        <f t="shared" si="14"/>
        <v>0</v>
      </c>
      <c r="AJ573" s="200">
        <f>SUM(AK573:AQ573)</f>
        <v>0</v>
      </c>
      <c r="AK573" s="201">
        <f t="shared" ref="AK573:AS573" si="2877">countif($D573,"*"&amp;AK$2&amp;"*")</f>
        <v>0</v>
      </c>
      <c r="AL573" s="201">
        <f t="shared" si="2877"/>
        <v>0</v>
      </c>
      <c r="AM573" s="201">
        <f t="shared" si="2877"/>
        <v>0</v>
      </c>
      <c r="AN573" s="201">
        <f t="shared" si="2877"/>
        <v>0</v>
      </c>
      <c r="AO573" s="201">
        <f t="shared" si="2877"/>
        <v>0</v>
      </c>
      <c r="AP573" s="201">
        <f t="shared" si="2877"/>
        <v>0</v>
      </c>
      <c r="AQ573" s="201">
        <f t="shared" si="2877"/>
        <v>0</v>
      </c>
      <c r="AR573" s="201">
        <f t="shared" si="2877"/>
        <v>0</v>
      </c>
      <c r="AS573" s="200">
        <f t="shared" si="2877"/>
        <v>0</v>
      </c>
      <c r="AT573" s="205">
        <v>0.0</v>
      </c>
      <c r="AU573" s="200">
        <f t="shared" ref="AU573:AX573" si="2878">countif($D573,"*"&amp;AU$2&amp;"*")</f>
        <v>1</v>
      </c>
      <c r="AV573" s="200">
        <f t="shared" si="2878"/>
        <v>0</v>
      </c>
      <c r="AW573" s="200">
        <f t="shared" si="2878"/>
        <v>0</v>
      </c>
      <c r="AX573" s="200">
        <f t="shared" si="2878"/>
        <v>0</v>
      </c>
      <c r="AY573" s="202">
        <v>0.0</v>
      </c>
      <c r="AZ573" s="200"/>
      <c r="BA573" s="171" t="str">
        <f t="shared" si="18"/>
        <v/>
      </c>
      <c r="BB573" s="171" t="str">
        <f t="shared" si="19"/>
        <v/>
      </c>
      <c r="BC573" s="171" t="str">
        <f t="shared" si="20"/>
        <v/>
      </c>
      <c r="BD573" s="171" t="str">
        <f t="shared" si="21"/>
        <v>Institutional</v>
      </c>
      <c r="BE573" s="171" t="str">
        <f t="shared" si="22"/>
        <v/>
      </c>
      <c r="BF573" s="171" t="str">
        <f t="shared" si="23"/>
        <v>Institutional</v>
      </c>
    </row>
    <row r="574">
      <c r="A574" s="171">
        <f t="array" ref="A574">XLOOKUP(C574,ICSE!A:A,ICSE!C:C,,2,1)</f>
        <v>2019</v>
      </c>
      <c r="B574" s="171" t="s">
        <v>5675</v>
      </c>
      <c r="C574" s="160">
        <v>1007.0</v>
      </c>
      <c r="D574" s="161" t="s">
        <v>5930</v>
      </c>
      <c r="E574" s="197" t="str">
        <f t="array" ref="E574">XLOOKUP(C574,ICSE!A:A,ICSE!Z:Z,,0,1)</f>
        <v>Publicly available (1)</v>
      </c>
      <c r="F574" s="198" t="s">
        <v>20</v>
      </c>
      <c r="G574" s="163" t="str">
        <f t="array" ref="G574">IF(B574="ICSE",IF(COUNTIFS(B:B,B574,C:C,C574)=XLOOKUP(C574,ICSE!A:A,ICSE!AA:AA,"ERROR",0,1),"OK","ERROR"),IF(B574="FSE",IF(COUNTIFS(B:B,B574,C:C,C574)=XLOOKUP(C574,FSE!A:A,FSE!AA:AA,"ERROR",0,1),"OK","ERROR")))</f>
        <v>OK</v>
      </c>
      <c r="H574" s="199">
        <f t="shared" ref="H574:O574" si="2879">countif($D574,"*"&amp;H$2&amp;"*")</f>
        <v>0</v>
      </c>
      <c r="I574" s="200">
        <f t="shared" si="2879"/>
        <v>0</v>
      </c>
      <c r="J574" s="200">
        <f t="shared" si="2879"/>
        <v>0</v>
      </c>
      <c r="K574" s="200">
        <f t="shared" si="2879"/>
        <v>0</v>
      </c>
      <c r="L574" s="200">
        <f t="shared" si="2879"/>
        <v>0</v>
      </c>
      <c r="M574" s="200">
        <f t="shared" si="2879"/>
        <v>0</v>
      </c>
      <c r="N574" s="200">
        <f t="shared" si="2879"/>
        <v>0</v>
      </c>
      <c r="O574" s="200">
        <f t="shared" si="2879"/>
        <v>0</v>
      </c>
      <c r="P574" s="200">
        <f t="shared" si="9"/>
        <v>1</v>
      </c>
      <c r="Q574" s="200">
        <f t="shared" ref="Q574:AC574" si="2880">countif($D574,"*"&amp;Q$2&amp;"*")</f>
        <v>0</v>
      </c>
      <c r="R574" s="200">
        <f t="shared" si="2880"/>
        <v>0</v>
      </c>
      <c r="S574" s="200">
        <f t="shared" si="2880"/>
        <v>0</v>
      </c>
      <c r="T574" s="200">
        <f t="shared" si="2880"/>
        <v>0</v>
      </c>
      <c r="U574" s="200">
        <f t="shared" si="2880"/>
        <v>0</v>
      </c>
      <c r="V574" s="200">
        <f t="shared" si="2880"/>
        <v>0</v>
      </c>
      <c r="W574" s="200">
        <f t="shared" si="2880"/>
        <v>0</v>
      </c>
      <c r="X574" s="200">
        <f t="shared" si="2880"/>
        <v>0</v>
      </c>
      <c r="Y574" s="200">
        <f t="shared" si="2880"/>
        <v>0</v>
      </c>
      <c r="Z574" s="200">
        <f t="shared" si="2880"/>
        <v>0</v>
      </c>
      <c r="AA574" s="200">
        <f t="shared" si="2880"/>
        <v>0</v>
      </c>
      <c r="AB574" s="200">
        <f t="shared" si="2880"/>
        <v>0</v>
      </c>
      <c r="AC574" s="200">
        <f t="shared" si="2880"/>
        <v>0</v>
      </c>
      <c r="AD574" s="200">
        <f t="shared" si="11"/>
        <v>0</v>
      </c>
      <c r="AE574" s="200">
        <f t="shared" ref="AE574:AG574" si="2881">countif($D574,"*"&amp;AE$2&amp;"*")</f>
        <v>0</v>
      </c>
      <c r="AF574" s="200">
        <f t="shared" si="2881"/>
        <v>0</v>
      </c>
      <c r="AG574" s="200">
        <f t="shared" si="2881"/>
        <v>0</v>
      </c>
      <c r="AH574" s="171">
        <f t="shared" si="13"/>
        <v>0</v>
      </c>
      <c r="AI574" s="200">
        <f t="shared" si="14"/>
        <v>0</v>
      </c>
      <c r="AJ574" s="200">
        <f t="shared" ref="AJ574:AJ593" si="2887">SUM(AK574:AR574)</f>
        <v>0</v>
      </c>
      <c r="AK574" s="201">
        <f t="shared" ref="AK574:AS574" si="2882">countif($D574,"*"&amp;AK$2&amp;"*")</f>
        <v>0</v>
      </c>
      <c r="AL574" s="201">
        <f t="shared" si="2882"/>
        <v>0</v>
      </c>
      <c r="AM574" s="201">
        <f t="shared" si="2882"/>
        <v>0</v>
      </c>
      <c r="AN574" s="201">
        <f t="shared" si="2882"/>
        <v>0</v>
      </c>
      <c r="AO574" s="201">
        <f t="shared" si="2882"/>
        <v>0</v>
      </c>
      <c r="AP574" s="201">
        <f t="shared" si="2882"/>
        <v>0</v>
      </c>
      <c r="AQ574" s="201">
        <f t="shared" si="2882"/>
        <v>0</v>
      </c>
      <c r="AR574" s="200">
        <f t="shared" si="2882"/>
        <v>0</v>
      </c>
      <c r="AS574" s="200">
        <f t="shared" si="2882"/>
        <v>1</v>
      </c>
      <c r="AT574" s="173">
        <v>0.0</v>
      </c>
      <c r="AU574" s="200">
        <f t="shared" ref="AU574:AX574" si="2883">countif($D574,"*"&amp;AU$2&amp;"*")</f>
        <v>0</v>
      </c>
      <c r="AV574" s="200">
        <f t="shared" si="2883"/>
        <v>1</v>
      </c>
      <c r="AW574" s="200">
        <f t="shared" si="2883"/>
        <v>0</v>
      </c>
      <c r="AX574" s="200">
        <f t="shared" si="2883"/>
        <v>0</v>
      </c>
      <c r="AY574" s="202">
        <v>0.0</v>
      </c>
      <c r="AZ574" s="200"/>
      <c r="BA574" s="171" t="str">
        <f t="shared" si="18"/>
        <v/>
      </c>
      <c r="BB574" s="171" t="str">
        <f t="shared" si="19"/>
        <v>Code</v>
      </c>
      <c r="BC574" s="171" t="str">
        <f t="shared" si="20"/>
        <v/>
      </c>
      <c r="BD574" s="171" t="str">
        <f t="shared" si="21"/>
        <v/>
      </c>
      <c r="BE574" s="171" t="str">
        <f t="shared" si="22"/>
        <v/>
      </c>
      <c r="BF574" s="171" t="str">
        <f t="shared" si="23"/>
        <v>Code</v>
      </c>
    </row>
    <row r="575">
      <c r="A575" s="171">
        <f t="array" ref="A575">XLOOKUP(C575,ICSE!A:A,ICSE!C:C,,2,1)</f>
        <v>2019</v>
      </c>
      <c r="B575" s="171" t="s">
        <v>5675</v>
      </c>
      <c r="C575" s="160">
        <v>1008.0</v>
      </c>
      <c r="D575" s="161" t="s">
        <v>1465</v>
      </c>
      <c r="E575" s="197" t="str">
        <f t="array" ref="E575">XLOOKUP(C575,ICSE!A:A,ICSE!Z:Z,,0,1)</f>
        <v>Publicly available (1)</v>
      </c>
      <c r="F575" s="198" t="s">
        <v>20</v>
      </c>
      <c r="G575" s="163" t="str">
        <f t="array" ref="G575">IF(B575="ICSE",IF(COUNTIFS(B:B,B575,C:C,C575)=XLOOKUP(C575,ICSE!A:A,ICSE!AA:AA,"ERROR",0,1),"OK","ERROR"),IF(B575="FSE",IF(COUNTIFS(B:B,B575,C:C,C575)=XLOOKUP(C575,FSE!A:A,FSE!AA:AA,"ERROR",0,1),"OK","ERROR")))</f>
        <v>OK</v>
      </c>
      <c r="H575" s="199">
        <f t="shared" ref="H575:O575" si="2884">countif($D575,"*"&amp;H$2&amp;"*")</f>
        <v>0</v>
      </c>
      <c r="I575" s="200">
        <f t="shared" si="2884"/>
        <v>1</v>
      </c>
      <c r="J575" s="200">
        <f t="shared" si="2884"/>
        <v>0</v>
      </c>
      <c r="K575" s="200">
        <f t="shared" si="2884"/>
        <v>0</v>
      </c>
      <c r="L575" s="200">
        <f t="shared" si="2884"/>
        <v>0</v>
      </c>
      <c r="M575" s="200">
        <f t="shared" si="2884"/>
        <v>0</v>
      </c>
      <c r="N575" s="200">
        <f t="shared" si="2884"/>
        <v>0</v>
      </c>
      <c r="O575" s="200">
        <f t="shared" si="2884"/>
        <v>0</v>
      </c>
      <c r="P575" s="200">
        <f t="shared" si="9"/>
        <v>0</v>
      </c>
      <c r="Q575" s="200">
        <f t="shared" ref="Q575:AC575" si="2885">countif($D575,"*"&amp;Q$2&amp;"*")</f>
        <v>0</v>
      </c>
      <c r="R575" s="200">
        <f t="shared" si="2885"/>
        <v>0</v>
      </c>
      <c r="S575" s="200">
        <f t="shared" si="2885"/>
        <v>0</v>
      </c>
      <c r="T575" s="200">
        <f t="shared" si="2885"/>
        <v>0</v>
      </c>
      <c r="U575" s="200">
        <f t="shared" si="2885"/>
        <v>0</v>
      </c>
      <c r="V575" s="200">
        <f t="shared" si="2885"/>
        <v>0</v>
      </c>
      <c r="W575" s="200">
        <f t="shared" si="2885"/>
        <v>0</v>
      </c>
      <c r="X575" s="200">
        <f t="shared" si="2885"/>
        <v>0</v>
      </c>
      <c r="Y575" s="200">
        <f t="shared" si="2885"/>
        <v>0</v>
      </c>
      <c r="Z575" s="200">
        <f t="shared" si="2885"/>
        <v>0</v>
      </c>
      <c r="AA575" s="200">
        <f t="shared" si="2885"/>
        <v>0</v>
      </c>
      <c r="AB575" s="200">
        <f t="shared" si="2885"/>
        <v>0</v>
      </c>
      <c r="AC575" s="200">
        <f t="shared" si="2885"/>
        <v>0</v>
      </c>
      <c r="AD575" s="200">
        <f t="shared" si="11"/>
        <v>0</v>
      </c>
      <c r="AE575" s="200">
        <f t="shared" ref="AE575:AG575" si="2886">countif($D575,"*"&amp;AE$2&amp;"*")</f>
        <v>0</v>
      </c>
      <c r="AF575" s="200">
        <f t="shared" si="2886"/>
        <v>0</v>
      </c>
      <c r="AG575" s="200">
        <f t="shared" si="2886"/>
        <v>0</v>
      </c>
      <c r="AH575" s="171">
        <f t="shared" si="13"/>
        <v>0</v>
      </c>
      <c r="AI575" s="200">
        <f t="shared" si="14"/>
        <v>1</v>
      </c>
      <c r="AJ575" s="200">
        <f t="shared" si="2887"/>
        <v>0</v>
      </c>
      <c r="AK575" s="201">
        <f t="shared" ref="AK575:AS575" si="2888">countif($D575,"*"&amp;AK$2&amp;"*")</f>
        <v>0</v>
      </c>
      <c r="AL575" s="201">
        <f t="shared" si="2888"/>
        <v>0</v>
      </c>
      <c r="AM575" s="201">
        <f t="shared" si="2888"/>
        <v>0</v>
      </c>
      <c r="AN575" s="201">
        <f t="shared" si="2888"/>
        <v>0</v>
      </c>
      <c r="AO575" s="201">
        <f t="shared" si="2888"/>
        <v>0</v>
      </c>
      <c r="AP575" s="201">
        <f t="shared" si="2888"/>
        <v>0</v>
      </c>
      <c r="AQ575" s="201">
        <f t="shared" si="2888"/>
        <v>0</v>
      </c>
      <c r="AR575" s="200">
        <f t="shared" si="2888"/>
        <v>0</v>
      </c>
      <c r="AS575" s="200">
        <f t="shared" si="2888"/>
        <v>0</v>
      </c>
      <c r="AT575" s="173">
        <v>0.0</v>
      </c>
      <c r="AU575" s="200">
        <f t="shared" ref="AU575:AX575" si="2889">countif($D575,"*"&amp;AU$2&amp;"*")</f>
        <v>0</v>
      </c>
      <c r="AV575" s="200">
        <f t="shared" si="2889"/>
        <v>0</v>
      </c>
      <c r="AW575" s="200">
        <f t="shared" si="2889"/>
        <v>0</v>
      </c>
      <c r="AX575" s="200">
        <f t="shared" si="2889"/>
        <v>0</v>
      </c>
      <c r="AY575" s="204">
        <v>1.0</v>
      </c>
      <c r="AZ575" s="200"/>
      <c r="BA575" s="171" t="str">
        <f t="shared" si="18"/>
        <v>Archival</v>
      </c>
      <c r="BB575" s="171" t="str">
        <f t="shared" si="19"/>
        <v/>
      </c>
      <c r="BC575" s="171" t="str">
        <f t="shared" si="20"/>
        <v/>
      </c>
      <c r="BD575" s="171" t="str">
        <f t="shared" si="21"/>
        <v/>
      </c>
      <c r="BE575" s="171" t="str">
        <f t="shared" si="22"/>
        <v/>
      </c>
      <c r="BF575" s="171" t="str">
        <f t="shared" si="23"/>
        <v>Archival</v>
      </c>
    </row>
    <row r="576">
      <c r="A576" s="171">
        <f t="array" ref="A576">XLOOKUP(C576,ICSE!A:A,ICSE!C:C,,2,1)</f>
        <v>2019</v>
      </c>
      <c r="B576" s="171" t="s">
        <v>5675</v>
      </c>
      <c r="C576" s="160">
        <v>1013.0</v>
      </c>
      <c r="D576" s="161" t="s">
        <v>1472</v>
      </c>
      <c r="E576" s="197" t="str">
        <f t="array" ref="E576">XLOOKUP(C576,ICSE!A:A,ICSE!Z:Z,,0,1)</f>
        <v>Publicly available (1)</v>
      </c>
      <c r="F576" s="198" t="s">
        <v>20</v>
      </c>
      <c r="G576" s="163" t="str">
        <f t="array" ref="G576">IF(B576="ICSE",IF(COUNTIFS(B:B,B576,C:C,C576)=XLOOKUP(C576,ICSE!A:A,ICSE!AA:AA,"ERROR",0,1),"OK","ERROR"),IF(B576="FSE",IF(COUNTIFS(B:B,B576,C:C,C576)=XLOOKUP(C576,FSE!A:A,FSE!AA:AA,"ERROR",0,1),"OK","ERROR")))</f>
        <v>OK</v>
      </c>
      <c r="H576" s="199">
        <f t="shared" ref="H576:O576" si="2890">countif($D576,"*"&amp;H$2&amp;"*")</f>
        <v>0</v>
      </c>
      <c r="I576" s="200">
        <f t="shared" si="2890"/>
        <v>0</v>
      </c>
      <c r="J576" s="200">
        <f t="shared" si="2890"/>
        <v>0</v>
      </c>
      <c r="K576" s="200">
        <f t="shared" si="2890"/>
        <v>0</v>
      </c>
      <c r="L576" s="200">
        <f t="shared" si="2890"/>
        <v>0</v>
      </c>
      <c r="M576" s="200">
        <f t="shared" si="2890"/>
        <v>0</v>
      </c>
      <c r="N576" s="200">
        <f t="shared" si="2890"/>
        <v>0</v>
      </c>
      <c r="O576" s="200">
        <f t="shared" si="2890"/>
        <v>0</v>
      </c>
      <c r="P576" s="200">
        <f t="shared" si="9"/>
        <v>1</v>
      </c>
      <c r="Q576" s="200">
        <f t="shared" ref="Q576:AC576" si="2891">countif($D576,"*"&amp;Q$2&amp;"*")</f>
        <v>0</v>
      </c>
      <c r="R576" s="200">
        <f t="shared" si="2891"/>
        <v>0</v>
      </c>
      <c r="S576" s="200">
        <f t="shared" si="2891"/>
        <v>0</v>
      </c>
      <c r="T576" s="200">
        <f t="shared" si="2891"/>
        <v>0</v>
      </c>
      <c r="U576" s="200">
        <f t="shared" si="2891"/>
        <v>0</v>
      </c>
      <c r="V576" s="200">
        <f t="shared" si="2891"/>
        <v>0</v>
      </c>
      <c r="W576" s="200">
        <f t="shared" si="2891"/>
        <v>0</v>
      </c>
      <c r="X576" s="200">
        <f t="shared" si="2891"/>
        <v>0</v>
      </c>
      <c r="Y576" s="200">
        <f t="shared" si="2891"/>
        <v>0</v>
      </c>
      <c r="Z576" s="200">
        <f t="shared" si="2891"/>
        <v>0</v>
      </c>
      <c r="AA576" s="200">
        <f t="shared" si="2891"/>
        <v>0</v>
      </c>
      <c r="AB576" s="200">
        <f t="shared" si="2891"/>
        <v>0</v>
      </c>
      <c r="AC576" s="200">
        <f t="shared" si="2891"/>
        <v>0</v>
      </c>
      <c r="AD576" s="200">
        <f t="shared" si="11"/>
        <v>0</v>
      </c>
      <c r="AE576" s="200">
        <f t="shared" ref="AE576:AG576" si="2892">countif($D576,"*"&amp;AE$2&amp;"*")</f>
        <v>0</v>
      </c>
      <c r="AF576" s="200">
        <f t="shared" si="2892"/>
        <v>0</v>
      </c>
      <c r="AG576" s="200">
        <f t="shared" si="2892"/>
        <v>0</v>
      </c>
      <c r="AH576" s="171">
        <f t="shared" si="13"/>
        <v>0</v>
      </c>
      <c r="AI576" s="200">
        <f t="shared" si="14"/>
        <v>0</v>
      </c>
      <c r="AJ576" s="200">
        <f t="shared" si="2887"/>
        <v>0</v>
      </c>
      <c r="AK576" s="201">
        <f t="shared" ref="AK576:AS576" si="2893">countif($D576,"*"&amp;AK$2&amp;"*")</f>
        <v>0</v>
      </c>
      <c r="AL576" s="201">
        <f t="shared" si="2893"/>
        <v>0</v>
      </c>
      <c r="AM576" s="201">
        <f t="shared" si="2893"/>
        <v>0</v>
      </c>
      <c r="AN576" s="201">
        <f t="shared" si="2893"/>
        <v>0</v>
      </c>
      <c r="AO576" s="201">
        <f t="shared" si="2893"/>
        <v>0</v>
      </c>
      <c r="AP576" s="201">
        <f t="shared" si="2893"/>
        <v>0</v>
      </c>
      <c r="AQ576" s="201">
        <f t="shared" si="2893"/>
        <v>0</v>
      </c>
      <c r="AR576" s="200">
        <f t="shared" si="2893"/>
        <v>0</v>
      </c>
      <c r="AS576" s="200">
        <f t="shared" si="2893"/>
        <v>0</v>
      </c>
      <c r="AT576" s="173">
        <v>0.0</v>
      </c>
      <c r="AU576" s="200">
        <f t="shared" ref="AU576:AX576" si="2894">countif($D576,"*"&amp;AU$2&amp;"*")</f>
        <v>0</v>
      </c>
      <c r="AV576" s="200">
        <f t="shared" si="2894"/>
        <v>1</v>
      </c>
      <c r="AW576" s="200">
        <f t="shared" si="2894"/>
        <v>0</v>
      </c>
      <c r="AX576" s="200">
        <f t="shared" si="2894"/>
        <v>0</v>
      </c>
      <c r="AY576" s="202">
        <v>0.0</v>
      </c>
      <c r="AZ576" s="200"/>
      <c r="BA576" s="171" t="str">
        <f t="shared" si="18"/>
        <v/>
      </c>
      <c r="BB576" s="171" t="str">
        <f t="shared" si="19"/>
        <v>Code</v>
      </c>
      <c r="BC576" s="171" t="str">
        <f t="shared" si="20"/>
        <v/>
      </c>
      <c r="BD576" s="171" t="str">
        <f t="shared" si="21"/>
        <v/>
      </c>
      <c r="BE576" s="171" t="str">
        <f t="shared" si="22"/>
        <v/>
      </c>
      <c r="BF576" s="171" t="str">
        <f t="shared" si="23"/>
        <v>Code</v>
      </c>
    </row>
    <row r="577">
      <c r="A577" s="171">
        <f t="array" ref="A577">XLOOKUP(C577,ICSE!A:A,ICSE!C:C,,2,1)</f>
        <v>2019</v>
      </c>
      <c r="B577" s="171" t="s">
        <v>5675</v>
      </c>
      <c r="C577" s="160">
        <v>1014.0</v>
      </c>
      <c r="D577" s="161" t="s">
        <v>1474</v>
      </c>
      <c r="E577" s="197" t="str">
        <f t="array" ref="E577">XLOOKUP(C577,ICSE!A:A,ICSE!Z:Z,,0,1)</f>
        <v>Publicly available (1)</v>
      </c>
      <c r="F577" s="198" t="s">
        <v>20</v>
      </c>
      <c r="G577" s="163" t="str">
        <f t="array" ref="G577">IF(B577="ICSE",IF(COUNTIFS(B:B,B577,C:C,C577)=XLOOKUP(C577,ICSE!A:A,ICSE!AA:AA,"ERROR",0,1),"OK","ERROR"),IF(B577="FSE",IF(COUNTIFS(B:B,B577,C:C,C577)=XLOOKUP(C577,FSE!A:A,FSE!AA:AA,"ERROR",0,1),"OK","ERROR")))</f>
        <v>OK</v>
      </c>
      <c r="H577" s="199">
        <f t="shared" ref="H577:O577" si="2895">countif($D577,"*"&amp;H$2&amp;"*")</f>
        <v>0</v>
      </c>
      <c r="I577" s="200">
        <f t="shared" si="2895"/>
        <v>0</v>
      </c>
      <c r="J577" s="200">
        <f t="shared" si="2895"/>
        <v>0</v>
      </c>
      <c r="K577" s="200">
        <f t="shared" si="2895"/>
        <v>0</v>
      </c>
      <c r="L577" s="200">
        <f t="shared" si="2895"/>
        <v>0</v>
      </c>
      <c r="M577" s="200">
        <f t="shared" si="2895"/>
        <v>0</v>
      </c>
      <c r="N577" s="200">
        <f t="shared" si="2895"/>
        <v>0</v>
      </c>
      <c r="O577" s="200">
        <f t="shared" si="2895"/>
        <v>0</v>
      </c>
      <c r="P577" s="200">
        <f t="shared" si="9"/>
        <v>1</v>
      </c>
      <c r="Q577" s="200">
        <f t="shared" ref="Q577:AC577" si="2896">countif($D577,"*"&amp;Q$2&amp;"*")</f>
        <v>0</v>
      </c>
      <c r="R577" s="200">
        <f t="shared" si="2896"/>
        <v>0</v>
      </c>
      <c r="S577" s="200">
        <f t="shared" si="2896"/>
        <v>0</v>
      </c>
      <c r="T577" s="200">
        <f t="shared" si="2896"/>
        <v>0</v>
      </c>
      <c r="U577" s="200">
        <f t="shared" si="2896"/>
        <v>0</v>
      </c>
      <c r="V577" s="200">
        <f t="shared" si="2896"/>
        <v>0</v>
      </c>
      <c r="W577" s="200">
        <f t="shared" si="2896"/>
        <v>0</v>
      </c>
      <c r="X577" s="200">
        <f t="shared" si="2896"/>
        <v>0</v>
      </c>
      <c r="Y577" s="200">
        <f t="shared" si="2896"/>
        <v>0</v>
      </c>
      <c r="Z577" s="200">
        <f t="shared" si="2896"/>
        <v>0</v>
      </c>
      <c r="AA577" s="200">
        <f t="shared" si="2896"/>
        <v>0</v>
      </c>
      <c r="AB577" s="200">
        <f t="shared" si="2896"/>
        <v>0</v>
      </c>
      <c r="AC577" s="200">
        <f t="shared" si="2896"/>
        <v>0</v>
      </c>
      <c r="AD577" s="200">
        <f t="shared" si="11"/>
        <v>0</v>
      </c>
      <c r="AE577" s="200">
        <f t="shared" ref="AE577:AG577" si="2897">countif($D577,"*"&amp;AE$2&amp;"*")</f>
        <v>0</v>
      </c>
      <c r="AF577" s="200">
        <f t="shared" si="2897"/>
        <v>0</v>
      </c>
      <c r="AG577" s="200">
        <f t="shared" si="2897"/>
        <v>0</v>
      </c>
      <c r="AH577" s="171">
        <f t="shared" si="13"/>
        <v>0</v>
      </c>
      <c r="AI577" s="200">
        <f t="shared" si="14"/>
        <v>0</v>
      </c>
      <c r="AJ577" s="200">
        <f t="shared" si="2887"/>
        <v>0</v>
      </c>
      <c r="AK577" s="201">
        <f t="shared" ref="AK577:AS577" si="2898">countif($D577,"*"&amp;AK$2&amp;"*")</f>
        <v>0</v>
      </c>
      <c r="AL577" s="201">
        <f t="shared" si="2898"/>
        <v>0</v>
      </c>
      <c r="AM577" s="201">
        <f t="shared" si="2898"/>
        <v>0</v>
      </c>
      <c r="AN577" s="201">
        <f t="shared" si="2898"/>
        <v>0</v>
      </c>
      <c r="AO577" s="201">
        <f t="shared" si="2898"/>
        <v>0</v>
      </c>
      <c r="AP577" s="201">
        <f t="shared" si="2898"/>
        <v>0</v>
      </c>
      <c r="AQ577" s="201">
        <f t="shared" si="2898"/>
        <v>0</v>
      </c>
      <c r="AR577" s="200">
        <f t="shared" si="2898"/>
        <v>0</v>
      </c>
      <c r="AS577" s="200">
        <f t="shared" si="2898"/>
        <v>0</v>
      </c>
      <c r="AT577" s="173">
        <v>0.0</v>
      </c>
      <c r="AU577" s="200">
        <f t="shared" ref="AU577:AX577" si="2899">countif($D577,"*"&amp;AU$2&amp;"*")</f>
        <v>0</v>
      </c>
      <c r="AV577" s="200">
        <f t="shared" si="2899"/>
        <v>1</v>
      </c>
      <c r="AW577" s="200">
        <f t="shared" si="2899"/>
        <v>0</v>
      </c>
      <c r="AX577" s="200">
        <f t="shared" si="2899"/>
        <v>0</v>
      </c>
      <c r="AY577" s="202">
        <v>0.0</v>
      </c>
      <c r="AZ577" s="200"/>
      <c r="BA577" s="171" t="str">
        <f t="shared" si="18"/>
        <v/>
      </c>
      <c r="BB577" s="171" t="str">
        <f t="shared" si="19"/>
        <v>Code</v>
      </c>
      <c r="BC577" s="171" t="str">
        <f t="shared" si="20"/>
        <v/>
      </c>
      <c r="BD577" s="171" t="str">
        <f t="shared" si="21"/>
        <v/>
      </c>
      <c r="BE577" s="171" t="str">
        <f t="shared" si="22"/>
        <v/>
      </c>
      <c r="BF577" s="171" t="str">
        <f t="shared" si="23"/>
        <v>Code</v>
      </c>
    </row>
    <row r="578">
      <c r="A578" s="171">
        <f t="array" ref="A578">XLOOKUP(C578,ICSE!A:A,ICSE!C:C,,2,1)</f>
        <v>2019</v>
      </c>
      <c r="B578" s="171" t="s">
        <v>5675</v>
      </c>
      <c r="C578" s="160">
        <v>1015.0</v>
      </c>
      <c r="D578" s="161" t="s">
        <v>1477</v>
      </c>
      <c r="E578" s="197" t="str">
        <f t="array" ref="E578">XLOOKUP(C578,ICSE!A:A,ICSE!Z:Z,,0,1)</f>
        <v>Publicly available (1)</v>
      </c>
      <c r="F578" s="198" t="s">
        <v>20</v>
      </c>
      <c r="G578" s="163" t="str">
        <f t="array" ref="G578">IF(B578="ICSE",IF(COUNTIFS(B:B,B578,C:C,C578)=XLOOKUP(C578,ICSE!A:A,ICSE!AA:AA,"ERROR",0,1),"OK","ERROR"),IF(B578="FSE",IF(COUNTIFS(B:B,B578,C:C,C578)=XLOOKUP(C578,FSE!A:A,FSE!AA:AA,"ERROR",0,1),"OK","ERROR")))</f>
        <v>OK</v>
      </c>
      <c r="H578" s="199">
        <f t="shared" ref="H578:O578" si="2900">countif($D578,"*"&amp;H$2&amp;"*")</f>
        <v>0</v>
      </c>
      <c r="I578" s="200">
        <f t="shared" si="2900"/>
        <v>0</v>
      </c>
      <c r="J578" s="200">
        <f t="shared" si="2900"/>
        <v>0</v>
      </c>
      <c r="K578" s="200">
        <f t="shared" si="2900"/>
        <v>0</v>
      </c>
      <c r="L578" s="200">
        <f t="shared" si="2900"/>
        <v>0</v>
      </c>
      <c r="M578" s="200">
        <f t="shared" si="2900"/>
        <v>0</v>
      </c>
      <c r="N578" s="200">
        <f t="shared" si="2900"/>
        <v>0</v>
      </c>
      <c r="O578" s="200">
        <f t="shared" si="2900"/>
        <v>0</v>
      </c>
      <c r="P578" s="200">
        <f t="shared" si="9"/>
        <v>1</v>
      </c>
      <c r="Q578" s="200">
        <f t="shared" ref="Q578:AC578" si="2901">countif($D578,"*"&amp;Q$2&amp;"*")</f>
        <v>0</v>
      </c>
      <c r="R578" s="200">
        <f t="shared" si="2901"/>
        <v>0</v>
      </c>
      <c r="S578" s="200">
        <f t="shared" si="2901"/>
        <v>0</v>
      </c>
      <c r="T578" s="200">
        <f t="shared" si="2901"/>
        <v>0</v>
      </c>
      <c r="U578" s="200">
        <f t="shared" si="2901"/>
        <v>0</v>
      </c>
      <c r="V578" s="200">
        <f t="shared" si="2901"/>
        <v>0</v>
      </c>
      <c r="W578" s="200">
        <f t="shared" si="2901"/>
        <v>0</v>
      </c>
      <c r="X578" s="200">
        <f t="shared" si="2901"/>
        <v>0</v>
      </c>
      <c r="Y578" s="200">
        <f t="shared" si="2901"/>
        <v>0</v>
      </c>
      <c r="Z578" s="200">
        <f t="shared" si="2901"/>
        <v>0</v>
      </c>
      <c r="AA578" s="200">
        <f t="shared" si="2901"/>
        <v>0</v>
      </c>
      <c r="AB578" s="200">
        <f t="shared" si="2901"/>
        <v>0</v>
      </c>
      <c r="AC578" s="200">
        <f t="shared" si="2901"/>
        <v>0</v>
      </c>
      <c r="AD578" s="200">
        <f t="shared" si="11"/>
        <v>0</v>
      </c>
      <c r="AE578" s="200">
        <f t="shared" ref="AE578:AG578" si="2902">countif($D578,"*"&amp;AE$2&amp;"*")</f>
        <v>0</v>
      </c>
      <c r="AF578" s="200">
        <f t="shared" si="2902"/>
        <v>0</v>
      </c>
      <c r="AG578" s="200">
        <f t="shared" si="2902"/>
        <v>0</v>
      </c>
      <c r="AH578" s="171">
        <f t="shared" si="13"/>
        <v>0</v>
      </c>
      <c r="AI578" s="200">
        <f t="shared" si="14"/>
        <v>0</v>
      </c>
      <c r="AJ578" s="200">
        <f t="shared" si="2887"/>
        <v>0</v>
      </c>
      <c r="AK578" s="201">
        <f t="shared" ref="AK578:AS578" si="2903">countif($D578,"*"&amp;AK$2&amp;"*")</f>
        <v>0</v>
      </c>
      <c r="AL578" s="201">
        <f t="shared" si="2903"/>
        <v>0</v>
      </c>
      <c r="AM578" s="201">
        <f t="shared" si="2903"/>
        <v>0</v>
      </c>
      <c r="AN578" s="201">
        <f t="shared" si="2903"/>
        <v>0</v>
      </c>
      <c r="AO578" s="201">
        <f t="shared" si="2903"/>
        <v>0</v>
      </c>
      <c r="AP578" s="201">
        <f t="shared" si="2903"/>
        <v>0</v>
      </c>
      <c r="AQ578" s="201">
        <f t="shared" si="2903"/>
        <v>0</v>
      </c>
      <c r="AR578" s="200">
        <f t="shared" si="2903"/>
        <v>0</v>
      </c>
      <c r="AS578" s="200">
        <f t="shared" si="2903"/>
        <v>0</v>
      </c>
      <c r="AT578" s="173">
        <v>0.0</v>
      </c>
      <c r="AU578" s="200">
        <f t="shared" ref="AU578:AX578" si="2904">countif($D578,"*"&amp;AU$2&amp;"*")</f>
        <v>0</v>
      </c>
      <c r="AV578" s="200">
        <f t="shared" si="2904"/>
        <v>1</v>
      </c>
      <c r="AW578" s="200">
        <f t="shared" si="2904"/>
        <v>0</v>
      </c>
      <c r="AX578" s="200">
        <f t="shared" si="2904"/>
        <v>0</v>
      </c>
      <c r="AY578" s="202">
        <v>0.0</v>
      </c>
      <c r="AZ578" s="200"/>
      <c r="BA578" s="171" t="str">
        <f t="shared" si="18"/>
        <v/>
      </c>
      <c r="BB578" s="171" t="str">
        <f t="shared" si="19"/>
        <v>Code</v>
      </c>
      <c r="BC578" s="171" t="str">
        <f t="shared" si="20"/>
        <v/>
      </c>
      <c r="BD578" s="171" t="str">
        <f t="shared" si="21"/>
        <v/>
      </c>
      <c r="BE578" s="171" t="str">
        <f t="shared" si="22"/>
        <v/>
      </c>
      <c r="BF578" s="171" t="str">
        <f t="shared" si="23"/>
        <v>Code</v>
      </c>
    </row>
    <row r="579">
      <c r="A579" s="171">
        <f t="array" ref="A579">XLOOKUP(C579,ICSE!A:A,ICSE!C:C,,2,1)</f>
        <v>2019</v>
      </c>
      <c r="B579" s="171" t="s">
        <v>5675</v>
      </c>
      <c r="C579" s="160">
        <v>1016.0</v>
      </c>
      <c r="D579" s="161" t="s">
        <v>1480</v>
      </c>
      <c r="E579" s="197" t="str">
        <f t="array" ref="E579">XLOOKUP(C579,ICSE!A:A,ICSE!Z:Z,,0,1)</f>
        <v>Publicly available (1)</v>
      </c>
      <c r="F579" s="198" t="s">
        <v>20</v>
      </c>
      <c r="G579" s="163" t="str">
        <f t="array" ref="G579">IF(B579="ICSE",IF(COUNTIFS(B:B,B579,C:C,C579)=XLOOKUP(C579,ICSE!A:A,ICSE!AA:AA,"ERROR",0,1),"OK","ERROR"),IF(B579="FSE",IF(COUNTIFS(B:B,B579,C:C,C579)=XLOOKUP(C579,FSE!A:A,FSE!AA:AA,"ERROR",0,1),"OK","ERROR")))</f>
        <v>OK</v>
      </c>
      <c r="H579" s="199">
        <f t="shared" ref="H579:O579" si="2905">countif($D579,"*"&amp;H$2&amp;"*")</f>
        <v>0</v>
      </c>
      <c r="I579" s="200">
        <f t="shared" si="2905"/>
        <v>0</v>
      </c>
      <c r="J579" s="200">
        <f t="shared" si="2905"/>
        <v>0</v>
      </c>
      <c r="K579" s="200">
        <f t="shared" si="2905"/>
        <v>0</v>
      </c>
      <c r="L579" s="200">
        <f t="shared" si="2905"/>
        <v>0</v>
      </c>
      <c r="M579" s="200">
        <f t="shared" si="2905"/>
        <v>0</v>
      </c>
      <c r="N579" s="200">
        <f t="shared" si="2905"/>
        <v>0</v>
      </c>
      <c r="O579" s="200">
        <f t="shared" si="2905"/>
        <v>0</v>
      </c>
      <c r="P579" s="200">
        <f t="shared" si="9"/>
        <v>0</v>
      </c>
      <c r="Q579" s="200">
        <f t="shared" ref="Q579:AC579" si="2906">countif($D579,"*"&amp;Q$2&amp;"*")</f>
        <v>0</v>
      </c>
      <c r="R579" s="200">
        <f t="shared" si="2906"/>
        <v>0</v>
      </c>
      <c r="S579" s="200">
        <f t="shared" si="2906"/>
        <v>0</v>
      </c>
      <c r="T579" s="200">
        <f t="shared" si="2906"/>
        <v>0</v>
      </c>
      <c r="U579" s="200">
        <f t="shared" si="2906"/>
        <v>0</v>
      </c>
      <c r="V579" s="200">
        <f t="shared" si="2906"/>
        <v>0</v>
      </c>
      <c r="W579" s="200">
        <f t="shared" si="2906"/>
        <v>0</v>
      </c>
      <c r="X579" s="200">
        <f t="shared" si="2906"/>
        <v>0</v>
      </c>
      <c r="Y579" s="200">
        <f t="shared" si="2906"/>
        <v>0</v>
      </c>
      <c r="Z579" s="200">
        <f t="shared" si="2906"/>
        <v>0</v>
      </c>
      <c r="AA579" s="200">
        <f t="shared" si="2906"/>
        <v>1</v>
      </c>
      <c r="AB579" s="200">
        <f t="shared" si="2906"/>
        <v>0</v>
      </c>
      <c r="AC579" s="200">
        <f t="shared" si="2906"/>
        <v>0</v>
      </c>
      <c r="AD579" s="200">
        <f t="shared" si="11"/>
        <v>0</v>
      </c>
      <c r="AE579" s="200">
        <f t="shared" ref="AE579:AG579" si="2907">countif($D579,"*"&amp;AE$2&amp;"*")</f>
        <v>0</v>
      </c>
      <c r="AF579" s="200">
        <f t="shared" si="2907"/>
        <v>0</v>
      </c>
      <c r="AG579" s="200">
        <f t="shared" si="2907"/>
        <v>0</v>
      </c>
      <c r="AH579" s="171">
        <f t="shared" si="13"/>
        <v>0</v>
      </c>
      <c r="AI579" s="200">
        <f t="shared" si="14"/>
        <v>0</v>
      </c>
      <c r="AJ579" s="200">
        <f t="shared" si="2887"/>
        <v>0</v>
      </c>
      <c r="AK579" s="201">
        <f t="shared" ref="AK579:AS579" si="2908">countif($D579,"*"&amp;AK$2&amp;"*")</f>
        <v>0</v>
      </c>
      <c r="AL579" s="201">
        <f t="shared" si="2908"/>
        <v>0</v>
      </c>
      <c r="AM579" s="201">
        <f t="shared" si="2908"/>
        <v>0</v>
      </c>
      <c r="AN579" s="201">
        <f t="shared" si="2908"/>
        <v>0</v>
      </c>
      <c r="AO579" s="201">
        <f t="shared" si="2908"/>
        <v>0</v>
      </c>
      <c r="AP579" s="201">
        <f t="shared" si="2908"/>
        <v>0</v>
      </c>
      <c r="AQ579" s="201">
        <f t="shared" si="2908"/>
        <v>0</v>
      </c>
      <c r="AR579" s="200">
        <f t="shared" si="2908"/>
        <v>0</v>
      </c>
      <c r="AS579" s="200">
        <f t="shared" si="2908"/>
        <v>0</v>
      </c>
      <c r="AT579" s="173">
        <v>0.0</v>
      </c>
      <c r="AU579" s="200">
        <f t="shared" ref="AU579:AX579" si="2909">countif($D579,"*"&amp;AU$2&amp;"*")</f>
        <v>0</v>
      </c>
      <c r="AV579" s="200">
        <f t="shared" si="2909"/>
        <v>0</v>
      </c>
      <c r="AW579" s="200">
        <f t="shared" si="2909"/>
        <v>0</v>
      </c>
      <c r="AX579" s="200">
        <f t="shared" si="2909"/>
        <v>0</v>
      </c>
      <c r="AY579" s="202">
        <v>0.0</v>
      </c>
      <c r="AZ579" s="200"/>
      <c r="BA579" s="171" t="str">
        <f t="shared" si="18"/>
        <v/>
      </c>
      <c r="BB579" s="171" t="str">
        <f t="shared" si="19"/>
        <v/>
      </c>
      <c r="BC579" s="171" t="str">
        <f t="shared" si="20"/>
        <v>General-purpose</v>
      </c>
      <c r="BD579" s="171" t="str">
        <f t="shared" si="21"/>
        <v/>
      </c>
      <c r="BE579" s="171" t="str">
        <f t="shared" si="22"/>
        <v/>
      </c>
      <c r="BF579" s="171" t="str">
        <f t="shared" si="23"/>
        <v>General-purpose</v>
      </c>
    </row>
    <row r="580">
      <c r="A580" s="171">
        <f t="array" ref="A580">XLOOKUP(C580,ICSE!A:A,ICSE!C:C,,2,1)</f>
        <v>2019</v>
      </c>
      <c r="B580" s="171" t="s">
        <v>5675</v>
      </c>
      <c r="C580" s="160">
        <v>1017.0</v>
      </c>
      <c r="D580" s="161" t="s">
        <v>5931</v>
      </c>
      <c r="E580" s="197" t="str">
        <f t="array" ref="E580">XLOOKUP(C580,ICSE!A:A,ICSE!Z:Z,,0,1)</f>
        <v>Publicly available (2)</v>
      </c>
      <c r="F580" s="198" t="s">
        <v>20</v>
      </c>
      <c r="G580" s="163" t="str">
        <f t="array" ref="G580">IF(B580="ICSE",IF(COUNTIFS(B:B,B580,C:C,C580)=XLOOKUP(C580,ICSE!A:A,ICSE!AA:AA,"ERROR",0,1),"OK","ERROR"),IF(B580="FSE",IF(COUNTIFS(B:B,B580,C:C,C580)=XLOOKUP(C580,FSE!A:A,FSE!AA:AA,"ERROR",0,1),"OK","ERROR")))</f>
        <v>OK</v>
      </c>
      <c r="H580" s="199">
        <f t="shared" ref="H580:O580" si="2910">countif($D580,"*"&amp;H$2&amp;"*")</f>
        <v>0</v>
      </c>
      <c r="I580" s="200">
        <f t="shared" si="2910"/>
        <v>0</v>
      </c>
      <c r="J580" s="200">
        <f t="shared" si="2910"/>
        <v>0</v>
      </c>
      <c r="K580" s="200">
        <f t="shared" si="2910"/>
        <v>0</v>
      </c>
      <c r="L580" s="200">
        <f t="shared" si="2910"/>
        <v>0</v>
      </c>
      <c r="M580" s="200">
        <f t="shared" si="2910"/>
        <v>0</v>
      </c>
      <c r="N580" s="200">
        <f t="shared" si="2910"/>
        <v>0</v>
      </c>
      <c r="O580" s="200">
        <f t="shared" si="2910"/>
        <v>0</v>
      </c>
      <c r="P580" s="200">
        <f t="shared" si="9"/>
        <v>1</v>
      </c>
      <c r="Q580" s="200">
        <f t="shared" ref="Q580:AC580" si="2911">countif($D580,"*"&amp;Q$2&amp;"*")</f>
        <v>0</v>
      </c>
      <c r="R580" s="200">
        <f t="shared" si="2911"/>
        <v>0</v>
      </c>
      <c r="S580" s="200">
        <f t="shared" si="2911"/>
        <v>0</v>
      </c>
      <c r="T580" s="200">
        <f t="shared" si="2911"/>
        <v>0</v>
      </c>
      <c r="U580" s="200">
        <f t="shared" si="2911"/>
        <v>0</v>
      </c>
      <c r="V580" s="200">
        <f t="shared" si="2911"/>
        <v>0</v>
      </c>
      <c r="W580" s="200">
        <f t="shared" si="2911"/>
        <v>0</v>
      </c>
      <c r="X580" s="200">
        <f t="shared" si="2911"/>
        <v>0</v>
      </c>
      <c r="Y580" s="200">
        <f t="shared" si="2911"/>
        <v>0</v>
      </c>
      <c r="Z580" s="200">
        <f t="shared" si="2911"/>
        <v>0</v>
      </c>
      <c r="AA580" s="200">
        <f t="shared" si="2911"/>
        <v>0</v>
      </c>
      <c r="AB580" s="200">
        <f t="shared" si="2911"/>
        <v>0</v>
      </c>
      <c r="AC580" s="200">
        <f t="shared" si="2911"/>
        <v>0</v>
      </c>
      <c r="AD580" s="200">
        <f t="shared" si="11"/>
        <v>0</v>
      </c>
      <c r="AE580" s="200">
        <f t="shared" ref="AE580:AG580" si="2912">countif($D580,"*"&amp;AE$2&amp;"*")</f>
        <v>0</v>
      </c>
      <c r="AF580" s="200">
        <f t="shared" si="2912"/>
        <v>0</v>
      </c>
      <c r="AG580" s="200">
        <f t="shared" si="2912"/>
        <v>0</v>
      </c>
      <c r="AH580" s="171">
        <f t="shared" si="13"/>
        <v>0</v>
      </c>
      <c r="AI580" s="200">
        <f t="shared" si="14"/>
        <v>0</v>
      </c>
      <c r="AJ580" s="200">
        <f t="shared" si="2887"/>
        <v>0</v>
      </c>
      <c r="AK580" s="201">
        <f t="shared" ref="AK580:AS580" si="2913">countif($D580,"*"&amp;AK$2&amp;"*")</f>
        <v>0</v>
      </c>
      <c r="AL580" s="201">
        <f t="shared" si="2913"/>
        <v>0</v>
      </c>
      <c r="AM580" s="201">
        <f t="shared" si="2913"/>
        <v>0</v>
      </c>
      <c r="AN580" s="201">
        <f t="shared" si="2913"/>
        <v>0</v>
      </c>
      <c r="AO580" s="201">
        <f t="shared" si="2913"/>
        <v>0</v>
      </c>
      <c r="AP580" s="201">
        <f t="shared" si="2913"/>
        <v>0</v>
      </c>
      <c r="AQ580" s="201">
        <f t="shared" si="2913"/>
        <v>0</v>
      </c>
      <c r="AR580" s="200">
        <f t="shared" si="2913"/>
        <v>0</v>
      </c>
      <c r="AS580" s="200">
        <f t="shared" si="2913"/>
        <v>0</v>
      </c>
      <c r="AT580" s="173">
        <v>0.0</v>
      </c>
      <c r="AU580" s="200">
        <f t="shared" ref="AU580:AX580" si="2914">countif($D580,"*"&amp;AU$2&amp;"*")</f>
        <v>0</v>
      </c>
      <c r="AV580" s="200">
        <f t="shared" si="2914"/>
        <v>1</v>
      </c>
      <c r="AW580" s="200">
        <f t="shared" si="2914"/>
        <v>0</v>
      </c>
      <c r="AX580" s="200">
        <f t="shared" si="2914"/>
        <v>0</v>
      </c>
      <c r="AY580" s="202">
        <v>0.0</v>
      </c>
      <c r="AZ580" s="200"/>
      <c r="BA580" s="171" t="str">
        <f t="shared" si="18"/>
        <v/>
      </c>
      <c r="BB580" s="171" t="str">
        <f t="shared" si="19"/>
        <v>Code</v>
      </c>
      <c r="BC580" s="171" t="str">
        <f t="shared" si="20"/>
        <v/>
      </c>
      <c r="BD580" s="171" t="str">
        <f t="shared" si="21"/>
        <v/>
      </c>
      <c r="BE580" s="171" t="str">
        <f t="shared" si="22"/>
        <v/>
      </c>
      <c r="BF580" s="171" t="str">
        <f t="shared" si="23"/>
        <v>Code</v>
      </c>
    </row>
    <row r="581">
      <c r="A581" s="171">
        <f t="array" ref="A581">XLOOKUP(C581,ICSE!A:A,ICSE!C:C,,2,1)</f>
        <v>2019</v>
      </c>
      <c r="B581" s="171" t="s">
        <v>5675</v>
      </c>
      <c r="C581" s="160">
        <v>1017.0</v>
      </c>
      <c r="D581" s="161" t="s">
        <v>5932</v>
      </c>
      <c r="E581" s="197" t="str">
        <f t="array" ref="E581">XLOOKUP(C581,ICSE!A:A,ICSE!Z:Z,,0,1)</f>
        <v>Publicly available (2)</v>
      </c>
      <c r="F581" s="198" t="s">
        <v>20</v>
      </c>
      <c r="G581" s="163" t="str">
        <f t="array" ref="G581">IF(B581="ICSE",IF(COUNTIFS(B:B,B581,C:C,C581)=XLOOKUP(C581,ICSE!A:A,ICSE!AA:AA,"ERROR",0,1),"OK","ERROR"),IF(B581="FSE",IF(COUNTIFS(B:B,B581,C:C,C581)=XLOOKUP(C581,FSE!A:A,FSE!AA:AA,"ERROR",0,1),"OK","ERROR")))</f>
        <v>OK</v>
      </c>
      <c r="H581" s="199">
        <f t="shared" ref="H581:O581" si="2915">countif($D581,"*"&amp;H$2&amp;"*")</f>
        <v>0</v>
      </c>
      <c r="I581" s="200">
        <f t="shared" si="2915"/>
        <v>0</v>
      </c>
      <c r="J581" s="200">
        <f t="shared" si="2915"/>
        <v>0</v>
      </c>
      <c r="K581" s="200">
        <f t="shared" si="2915"/>
        <v>0</v>
      </c>
      <c r="L581" s="200">
        <f t="shared" si="2915"/>
        <v>0</v>
      </c>
      <c r="M581" s="200">
        <f t="shared" si="2915"/>
        <v>0</v>
      </c>
      <c r="N581" s="200">
        <f t="shared" si="2915"/>
        <v>0</v>
      </c>
      <c r="O581" s="200">
        <f t="shared" si="2915"/>
        <v>0</v>
      </c>
      <c r="P581" s="200">
        <f t="shared" si="9"/>
        <v>1</v>
      </c>
      <c r="Q581" s="200">
        <f t="shared" ref="Q581:AC581" si="2916">countif($D581,"*"&amp;Q$2&amp;"*")</f>
        <v>0</v>
      </c>
      <c r="R581" s="200">
        <f t="shared" si="2916"/>
        <v>0</v>
      </c>
      <c r="S581" s="200">
        <f t="shared" si="2916"/>
        <v>0</v>
      </c>
      <c r="T581" s="200">
        <f t="shared" si="2916"/>
        <v>0</v>
      </c>
      <c r="U581" s="200">
        <f t="shared" si="2916"/>
        <v>0</v>
      </c>
      <c r="V581" s="200">
        <f t="shared" si="2916"/>
        <v>0</v>
      </c>
      <c r="W581" s="200">
        <f t="shared" si="2916"/>
        <v>0</v>
      </c>
      <c r="X581" s="200">
        <f t="shared" si="2916"/>
        <v>0</v>
      </c>
      <c r="Y581" s="200">
        <f t="shared" si="2916"/>
        <v>0</v>
      </c>
      <c r="Z581" s="200">
        <f t="shared" si="2916"/>
        <v>0</v>
      </c>
      <c r="AA581" s="200">
        <f t="shared" si="2916"/>
        <v>0</v>
      </c>
      <c r="AB581" s="200">
        <f t="shared" si="2916"/>
        <v>0</v>
      </c>
      <c r="AC581" s="200">
        <f t="shared" si="2916"/>
        <v>0</v>
      </c>
      <c r="AD581" s="200">
        <f t="shared" si="11"/>
        <v>0</v>
      </c>
      <c r="AE581" s="200">
        <f t="shared" ref="AE581:AG581" si="2917">countif($D581,"*"&amp;AE$2&amp;"*")</f>
        <v>0</v>
      </c>
      <c r="AF581" s="200">
        <f t="shared" si="2917"/>
        <v>0</v>
      </c>
      <c r="AG581" s="200">
        <f t="shared" si="2917"/>
        <v>0</v>
      </c>
      <c r="AH581" s="171">
        <f t="shared" si="13"/>
        <v>0</v>
      </c>
      <c r="AI581" s="200">
        <f t="shared" si="14"/>
        <v>0</v>
      </c>
      <c r="AJ581" s="200">
        <f t="shared" si="2887"/>
        <v>0</v>
      </c>
      <c r="AK581" s="201">
        <f t="shared" ref="AK581:AS581" si="2918">countif($D581,"*"&amp;AK$2&amp;"*")</f>
        <v>0</v>
      </c>
      <c r="AL581" s="201">
        <f t="shared" si="2918"/>
        <v>0</v>
      </c>
      <c r="AM581" s="201">
        <f t="shared" si="2918"/>
        <v>0</v>
      </c>
      <c r="AN581" s="201">
        <f t="shared" si="2918"/>
        <v>0</v>
      </c>
      <c r="AO581" s="201">
        <f t="shared" si="2918"/>
        <v>0</v>
      </c>
      <c r="AP581" s="201">
        <f t="shared" si="2918"/>
        <v>0</v>
      </c>
      <c r="AQ581" s="201">
        <f t="shared" si="2918"/>
        <v>0</v>
      </c>
      <c r="AR581" s="200">
        <f t="shared" si="2918"/>
        <v>0</v>
      </c>
      <c r="AS581" s="200">
        <f t="shared" si="2918"/>
        <v>0</v>
      </c>
      <c r="AT581" s="173">
        <v>0.0</v>
      </c>
      <c r="AU581" s="200">
        <f t="shared" ref="AU581:AX581" si="2919">countif($D581,"*"&amp;AU$2&amp;"*")</f>
        <v>0</v>
      </c>
      <c r="AV581" s="200">
        <f t="shared" si="2919"/>
        <v>1</v>
      </c>
      <c r="AW581" s="200">
        <f t="shared" si="2919"/>
        <v>0</v>
      </c>
      <c r="AX581" s="200">
        <f t="shared" si="2919"/>
        <v>0</v>
      </c>
      <c r="AY581" s="202">
        <v>0.0</v>
      </c>
      <c r="AZ581" s="200"/>
      <c r="BA581" s="171" t="str">
        <f t="shared" si="18"/>
        <v/>
      </c>
      <c r="BB581" s="171" t="str">
        <f t="shared" si="19"/>
        <v>Code</v>
      </c>
      <c r="BC581" s="171" t="str">
        <f t="shared" si="20"/>
        <v/>
      </c>
      <c r="BD581" s="171" t="str">
        <f t="shared" si="21"/>
        <v/>
      </c>
      <c r="BE581" s="171" t="str">
        <f t="shared" si="22"/>
        <v/>
      </c>
      <c r="BF581" s="171" t="str">
        <f t="shared" si="23"/>
        <v>Code</v>
      </c>
    </row>
    <row r="582">
      <c r="A582" s="171">
        <f t="array" ref="A582">XLOOKUP(C582,ICSE!A:A,ICSE!C:C,,2,1)</f>
        <v>2019</v>
      </c>
      <c r="B582" s="171" t="s">
        <v>5675</v>
      </c>
      <c r="C582" s="160">
        <v>1018.0</v>
      </c>
      <c r="D582" s="161" t="s">
        <v>1485</v>
      </c>
      <c r="E582" s="197" t="str">
        <f t="array" ref="E582">XLOOKUP(C582,ICSE!A:A,ICSE!Z:Z,,0,1)</f>
        <v>Publicly available (1)</v>
      </c>
      <c r="F582" s="198" t="s">
        <v>20</v>
      </c>
      <c r="G582" s="163" t="str">
        <f t="array" ref="G582">IF(B582="ICSE",IF(COUNTIFS(B:B,B582,C:C,C582)=XLOOKUP(C582,ICSE!A:A,ICSE!AA:AA,"ERROR",0,1),"OK","ERROR"),IF(B582="FSE",IF(COUNTIFS(B:B,B582,C:C,C582)=XLOOKUP(C582,FSE!A:A,FSE!AA:AA,"ERROR",0,1),"OK","ERROR")))</f>
        <v>OK</v>
      </c>
      <c r="H582" s="199">
        <f t="shared" ref="H582:O582" si="2920">countif($D582,"*"&amp;H$2&amp;"*")</f>
        <v>0</v>
      </c>
      <c r="I582" s="200">
        <f t="shared" si="2920"/>
        <v>0</v>
      </c>
      <c r="J582" s="200">
        <f t="shared" si="2920"/>
        <v>0</v>
      </c>
      <c r="K582" s="200">
        <f t="shared" si="2920"/>
        <v>0</v>
      </c>
      <c r="L582" s="200">
        <f t="shared" si="2920"/>
        <v>0</v>
      </c>
      <c r="M582" s="200">
        <f t="shared" si="2920"/>
        <v>0</v>
      </c>
      <c r="N582" s="200">
        <f t="shared" si="2920"/>
        <v>0</v>
      </c>
      <c r="O582" s="200">
        <f t="shared" si="2920"/>
        <v>0</v>
      </c>
      <c r="P582" s="200">
        <f t="shared" si="9"/>
        <v>1</v>
      </c>
      <c r="Q582" s="200">
        <f t="shared" ref="Q582:AC582" si="2921">countif($D582,"*"&amp;Q$2&amp;"*")</f>
        <v>0</v>
      </c>
      <c r="R582" s="200">
        <f t="shared" si="2921"/>
        <v>0</v>
      </c>
      <c r="S582" s="200">
        <f t="shared" si="2921"/>
        <v>0</v>
      </c>
      <c r="T582" s="200">
        <f t="shared" si="2921"/>
        <v>0</v>
      </c>
      <c r="U582" s="200">
        <f t="shared" si="2921"/>
        <v>0</v>
      </c>
      <c r="V582" s="200">
        <f t="shared" si="2921"/>
        <v>0</v>
      </c>
      <c r="W582" s="200">
        <f t="shared" si="2921"/>
        <v>0</v>
      </c>
      <c r="X582" s="200">
        <f t="shared" si="2921"/>
        <v>0</v>
      </c>
      <c r="Y582" s="200">
        <f t="shared" si="2921"/>
        <v>0</v>
      </c>
      <c r="Z582" s="200">
        <f t="shared" si="2921"/>
        <v>0</v>
      </c>
      <c r="AA582" s="200">
        <f t="shared" si="2921"/>
        <v>0</v>
      </c>
      <c r="AB582" s="200">
        <f t="shared" si="2921"/>
        <v>0</v>
      </c>
      <c r="AC582" s="200">
        <f t="shared" si="2921"/>
        <v>0</v>
      </c>
      <c r="AD582" s="200">
        <f t="shared" si="11"/>
        <v>0</v>
      </c>
      <c r="AE582" s="200">
        <f t="shared" ref="AE582:AG582" si="2922">countif($D582,"*"&amp;AE$2&amp;"*")</f>
        <v>0</v>
      </c>
      <c r="AF582" s="200">
        <f t="shared" si="2922"/>
        <v>0</v>
      </c>
      <c r="AG582" s="200">
        <f t="shared" si="2922"/>
        <v>0</v>
      </c>
      <c r="AH582" s="171">
        <f t="shared" si="13"/>
        <v>0</v>
      </c>
      <c r="AI582" s="200">
        <f t="shared" si="14"/>
        <v>0</v>
      </c>
      <c r="AJ582" s="200">
        <f t="shared" si="2887"/>
        <v>0</v>
      </c>
      <c r="AK582" s="201">
        <f t="shared" ref="AK582:AS582" si="2923">countif($D582,"*"&amp;AK$2&amp;"*")</f>
        <v>0</v>
      </c>
      <c r="AL582" s="201">
        <f t="shared" si="2923"/>
        <v>0</v>
      </c>
      <c r="AM582" s="201">
        <f t="shared" si="2923"/>
        <v>0</v>
      </c>
      <c r="AN582" s="201">
        <f t="shared" si="2923"/>
        <v>0</v>
      </c>
      <c r="AO582" s="201">
        <f t="shared" si="2923"/>
        <v>0</v>
      </c>
      <c r="AP582" s="201">
        <f t="shared" si="2923"/>
        <v>0</v>
      </c>
      <c r="AQ582" s="201">
        <f t="shared" si="2923"/>
        <v>0</v>
      </c>
      <c r="AR582" s="200">
        <f t="shared" si="2923"/>
        <v>0</v>
      </c>
      <c r="AS582" s="200">
        <f t="shared" si="2923"/>
        <v>0</v>
      </c>
      <c r="AT582" s="173">
        <v>0.0</v>
      </c>
      <c r="AU582" s="200">
        <f t="shared" ref="AU582:AX582" si="2924">countif($D582,"*"&amp;AU$2&amp;"*")</f>
        <v>0</v>
      </c>
      <c r="AV582" s="200">
        <f t="shared" si="2924"/>
        <v>1</v>
      </c>
      <c r="AW582" s="200">
        <f t="shared" si="2924"/>
        <v>0</v>
      </c>
      <c r="AX582" s="200">
        <f t="shared" si="2924"/>
        <v>0</v>
      </c>
      <c r="AY582" s="202">
        <v>0.0</v>
      </c>
      <c r="AZ582" s="200"/>
      <c r="BA582" s="171" t="str">
        <f t="shared" si="18"/>
        <v/>
      </c>
      <c r="BB582" s="171" t="str">
        <f t="shared" si="19"/>
        <v>Code</v>
      </c>
      <c r="BC582" s="171" t="str">
        <f t="shared" si="20"/>
        <v/>
      </c>
      <c r="BD582" s="171" t="str">
        <f t="shared" si="21"/>
        <v/>
      </c>
      <c r="BE582" s="171" t="str">
        <f t="shared" si="22"/>
        <v/>
      </c>
      <c r="BF582" s="171" t="str">
        <f t="shared" si="23"/>
        <v>Code</v>
      </c>
    </row>
    <row r="583">
      <c r="A583" s="171">
        <f t="array" ref="A583">XLOOKUP(C583,ICSE!A:A,ICSE!C:C,,2,1)</f>
        <v>2018</v>
      </c>
      <c r="B583" s="171" t="s">
        <v>5675</v>
      </c>
      <c r="C583" s="160">
        <v>1114.0</v>
      </c>
      <c r="D583" s="161" t="s">
        <v>933</v>
      </c>
      <c r="E583" s="197" t="str">
        <f t="array" ref="E583">XLOOKUP(C583,ICSE!A:A,ICSE!Z:Z,,0,1)</f>
        <v>Publicly available (1)</v>
      </c>
      <c r="F583" s="198" t="s">
        <v>20</v>
      </c>
      <c r="G583" s="163" t="str">
        <f t="array" ref="G583">IF(B583="ICSE",IF(COUNTIFS(B:B,B583,C:C,C583)=XLOOKUP(C583,ICSE!A:A,ICSE!AA:AA,"ERROR",0,1),"OK","ERROR"),IF(B583="FSE",IF(COUNTIFS(B:B,B583,C:C,C583)=XLOOKUP(C583,FSE!A:A,FSE!AA:AA,"ERROR",0,1),"OK","ERROR")))</f>
        <v>OK</v>
      </c>
      <c r="H583" s="199">
        <f t="shared" ref="H583:O583" si="2925">countif($D583,"*"&amp;H$2&amp;"*")</f>
        <v>0</v>
      </c>
      <c r="I583" s="200">
        <f t="shared" si="2925"/>
        <v>0</v>
      </c>
      <c r="J583" s="200">
        <f t="shared" si="2925"/>
        <v>0</v>
      </c>
      <c r="K583" s="200">
        <f t="shared" si="2925"/>
        <v>0</v>
      </c>
      <c r="L583" s="200">
        <f t="shared" si="2925"/>
        <v>0</v>
      </c>
      <c r="M583" s="200">
        <f t="shared" si="2925"/>
        <v>0</v>
      </c>
      <c r="N583" s="200">
        <f t="shared" si="2925"/>
        <v>0</v>
      </c>
      <c r="O583" s="200">
        <f t="shared" si="2925"/>
        <v>0</v>
      </c>
      <c r="P583" s="200">
        <f t="shared" si="9"/>
        <v>1</v>
      </c>
      <c r="Q583" s="200">
        <f t="shared" ref="Q583:AC583" si="2926">countif($D583,"*"&amp;Q$2&amp;"*")</f>
        <v>0</v>
      </c>
      <c r="R583" s="200">
        <f t="shared" si="2926"/>
        <v>0</v>
      </c>
      <c r="S583" s="200">
        <f t="shared" si="2926"/>
        <v>0</v>
      </c>
      <c r="T583" s="200">
        <f t="shared" si="2926"/>
        <v>0</v>
      </c>
      <c r="U583" s="200">
        <f t="shared" si="2926"/>
        <v>0</v>
      </c>
      <c r="V583" s="200">
        <f t="shared" si="2926"/>
        <v>0</v>
      </c>
      <c r="W583" s="200">
        <f t="shared" si="2926"/>
        <v>0</v>
      </c>
      <c r="X583" s="200">
        <f t="shared" si="2926"/>
        <v>0</v>
      </c>
      <c r="Y583" s="200">
        <f t="shared" si="2926"/>
        <v>0</v>
      </c>
      <c r="Z583" s="200">
        <f t="shared" si="2926"/>
        <v>0</v>
      </c>
      <c r="AA583" s="200">
        <f t="shared" si="2926"/>
        <v>0</v>
      </c>
      <c r="AB583" s="200">
        <f t="shared" si="2926"/>
        <v>0</v>
      </c>
      <c r="AC583" s="200">
        <f t="shared" si="2926"/>
        <v>0</v>
      </c>
      <c r="AD583" s="200">
        <f t="shared" si="11"/>
        <v>0</v>
      </c>
      <c r="AE583" s="200">
        <f t="shared" ref="AE583:AG583" si="2927">countif($D583,"*"&amp;AE$2&amp;"*")</f>
        <v>0</v>
      </c>
      <c r="AF583" s="200">
        <f t="shared" si="2927"/>
        <v>0</v>
      </c>
      <c r="AG583" s="200">
        <f t="shared" si="2927"/>
        <v>0</v>
      </c>
      <c r="AH583" s="171">
        <f t="shared" si="13"/>
        <v>0</v>
      </c>
      <c r="AI583" s="200">
        <f t="shared" si="14"/>
        <v>0</v>
      </c>
      <c r="AJ583" s="200">
        <f t="shared" si="2887"/>
        <v>0</v>
      </c>
      <c r="AK583" s="201">
        <f t="shared" ref="AK583:AS583" si="2928">countif($D583,"*"&amp;AK$2&amp;"*")</f>
        <v>0</v>
      </c>
      <c r="AL583" s="201">
        <f t="shared" si="2928"/>
        <v>0</v>
      </c>
      <c r="AM583" s="201">
        <f t="shared" si="2928"/>
        <v>0</v>
      </c>
      <c r="AN583" s="201">
        <f t="shared" si="2928"/>
        <v>0</v>
      </c>
      <c r="AO583" s="201">
        <f t="shared" si="2928"/>
        <v>0</v>
      </c>
      <c r="AP583" s="201">
        <f t="shared" si="2928"/>
        <v>0</v>
      </c>
      <c r="AQ583" s="201">
        <f t="shared" si="2928"/>
        <v>0</v>
      </c>
      <c r="AR583" s="200">
        <f t="shared" si="2928"/>
        <v>0</v>
      </c>
      <c r="AS583" s="200">
        <f t="shared" si="2928"/>
        <v>0</v>
      </c>
      <c r="AT583" s="173">
        <v>0.0</v>
      </c>
      <c r="AU583" s="200">
        <f t="shared" ref="AU583:AX583" si="2929">countif($D583,"*"&amp;AU$2&amp;"*")</f>
        <v>0</v>
      </c>
      <c r="AV583" s="200">
        <f t="shared" si="2929"/>
        <v>1</v>
      </c>
      <c r="AW583" s="200">
        <f t="shared" si="2929"/>
        <v>0</v>
      </c>
      <c r="AX583" s="200">
        <f t="shared" si="2929"/>
        <v>0</v>
      </c>
      <c r="AY583" s="202">
        <v>0.0</v>
      </c>
      <c r="AZ583" s="200"/>
      <c r="BA583" s="171" t="str">
        <f t="shared" si="18"/>
        <v/>
      </c>
      <c r="BB583" s="171" t="str">
        <f t="shared" si="19"/>
        <v>Code</v>
      </c>
      <c r="BC583" s="171" t="str">
        <f t="shared" si="20"/>
        <v/>
      </c>
      <c r="BD583" s="171" t="str">
        <f t="shared" si="21"/>
        <v/>
      </c>
      <c r="BE583" s="171" t="str">
        <f t="shared" si="22"/>
        <v/>
      </c>
      <c r="BF583" s="171" t="str">
        <f t="shared" si="23"/>
        <v>Code</v>
      </c>
    </row>
    <row r="584">
      <c r="A584" s="171">
        <f t="array" ref="A584">XLOOKUP(C584,ICSE!A:A,ICSE!C:C,,2,1)</f>
        <v>2018</v>
      </c>
      <c r="B584" s="171" t="s">
        <v>5675</v>
      </c>
      <c r="C584" s="160">
        <v>1119.0</v>
      </c>
      <c r="D584" s="161" t="s">
        <v>938</v>
      </c>
      <c r="E584" s="197" t="str">
        <f t="array" ref="E584">XLOOKUP(C584,ICSE!A:A,ICSE!Z:Z,,0,1)</f>
        <v>Not available (1) - Broken link.</v>
      </c>
      <c r="F584" s="198" t="s">
        <v>21</v>
      </c>
      <c r="G584" s="163" t="str">
        <f t="array" ref="G584">IF(B584="ICSE",IF(COUNTIFS(B:B,B584,C:C,C584)=XLOOKUP(C584,ICSE!A:A,ICSE!AA:AA,"ERROR",0,1),"OK","ERROR"),IF(B584="FSE",IF(COUNTIFS(B:B,B584,C:C,C584)=XLOOKUP(C584,FSE!A:A,FSE!AA:AA,"ERROR",0,1),"OK","ERROR")))</f>
        <v>OK</v>
      </c>
      <c r="H584" s="199">
        <f t="shared" ref="H584:O584" si="2930">countif($D584,"*"&amp;H$2&amp;"*")</f>
        <v>0</v>
      </c>
      <c r="I584" s="200">
        <f t="shared" si="2930"/>
        <v>0</v>
      </c>
      <c r="J584" s="200">
        <f t="shared" si="2930"/>
        <v>0</v>
      </c>
      <c r="K584" s="200">
        <f t="shared" si="2930"/>
        <v>0</v>
      </c>
      <c r="L584" s="200">
        <f t="shared" si="2930"/>
        <v>0</v>
      </c>
      <c r="M584" s="200">
        <f t="shared" si="2930"/>
        <v>0</v>
      </c>
      <c r="N584" s="200">
        <f t="shared" si="2930"/>
        <v>0</v>
      </c>
      <c r="O584" s="200">
        <f t="shared" si="2930"/>
        <v>0</v>
      </c>
      <c r="P584" s="200">
        <f t="shared" si="9"/>
        <v>0</v>
      </c>
      <c r="Q584" s="200">
        <f t="shared" ref="Q584:AC584" si="2931">countif($D584,"*"&amp;Q$2&amp;"*")</f>
        <v>0</v>
      </c>
      <c r="R584" s="200">
        <f t="shared" si="2931"/>
        <v>0</v>
      </c>
      <c r="S584" s="200">
        <f t="shared" si="2931"/>
        <v>0</v>
      </c>
      <c r="T584" s="200">
        <f t="shared" si="2931"/>
        <v>0</v>
      </c>
      <c r="U584" s="200">
        <f t="shared" si="2931"/>
        <v>0</v>
      </c>
      <c r="V584" s="200">
        <f t="shared" si="2931"/>
        <v>0</v>
      </c>
      <c r="W584" s="200">
        <f t="shared" si="2931"/>
        <v>0</v>
      </c>
      <c r="X584" s="200">
        <f t="shared" si="2931"/>
        <v>0</v>
      </c>
      <c r="Y584" s="200">
        <f t="shared" si="2931"/>
        <v>0</v>
      </c>
      <c r="Z584" s="200">
        <f t="shared" si="2931"/>
        <v>0</v>
      </c>
      <c r="AA584" s="200">
        <f t="shared" si="2931"/>
        <v>1</v>
      </c>
      <c r="AB584" s="200">
        <f t="shared" si="2931"/>
        <v>0</v>
      </c>
      <c r="AC584" s="200">
        <f t="shared" si="2931"/>
        <v>0</v>
      </c>
      <c r="AD584" s="200">
        <f t="shared" si="11"/>
        <v>0</v>
      </c>
      <c r="AE584" s="200">
        <f t="shared" ref="AE584:AG584" si="2932">countif($D584,"*"&amp;AE$2&amp;"*")</f>
        <v>0</v>
      </c>
      <c r="AF584" s="200">
        <f t="shared" si="2932"/>
        <v>0</v>
      </c>
      <c r="AG584" s="200">
        <f t="shared" si="2932"/>
        <v>0</v>
      </c>
      <c r="AH584" s="171">
        <f t="shared" si="13"/>
        <v>0</v>
      </c>
      <c r="AI584" s="200">
        <f t="shared" si="14"/>
        <v>0</v>
      </c>
      <c r="AJ584" s="200">
        <f t="shared" si="2887"/>
        <v>0</v>
      </c>
      <c r="AK584" s="201">
        <f t="shared" ref="AK584:AS584" si="2933">countif($D584,"*"&amp;AK$2&amp;"*")</f>
        <v>0</v>
      </c>
      <c r="AL584" s="201">
        <f t="shared" si="2933"/>
        <v>0</v>
      </c>
      <c r="AM584" s="201">
        <f t="shared" si="2933"/>
        <v>0</v>
      </c>
      <c r="AN584" s="201">
        <f t="shared" si="2933"/>
        <v>0</v>
      </c>
      <c r="AO584" s="201">
        <f t="shared" si="2933"/>
        <v>0</v>
      </c>
      <c r="AP584" s="201">
        <f t="shared" si="2933"/>
        <v>0</v>
      </c>
      <c r="AQ584" s="201">
        <f t="shared" si="2933"/>
        <v>0</v>
      </c>
      <c r="AR584" s="200">
        <f t="shared" si="2933"/>
        <v>0</v>
      </c>
      <c r="AS584" s="200">
        <f t="shared" si="2933"/>
        <v>0</v>
      </c>
      <c r="AT584" s="173">
        <v>0.0</v>
      </c>
      <c r="AU584" s="200">
        <f t="shared" ref="AU584:AX584" si="2934">countif($D584,"*"&amp;AU$2&amp;"*")</f>
        <v>0</v>
      </c>
      <c r="AV584" s="200">
        <f t="shared" si="2934"/>
        <v>0</v>
      </c>
      <c r="AW584" s="200">
        <f t="shared" si="2934"/>
        <v>0</v>
      </c>
      <c r="AX584" s="200">
        <f t="shared" si="2934"/>
        <v>0</v>
      </c>
      <c r="AY584" s="202">
        <v>0.0</v>
      </c>
      <c r="AZ584" s="200"/>
      <c r="BA584" s="171" t="str">
        <f t="shared" si="18"/>
        <v/>
      </c>
      <c r="BB584" s="171" t="str">
        <f t="shared" si="19"/>
        <v/>
      </c>
      <c r="BC584" s="171" t="str">
        <f t="shared" si="20"/>
        <v>General-purpose</v>
      </c>
      <c r="BD584" s="171" t="str">
        <f t="shared" si="21"/>
        <v/>
      </c>
      <c r="BE584" s="171" t="str">
        <f t="shared" si="22"/>
        <v/>
      </c>
      <c r="BF584" s="171" t="str">
        <f t="shared" si="23"/>
        <v>General-purpose</v>
      </c>
    </row>
    <row r="585">
      <c r="A585" s="171">
        <f t="array" ref="A585">XLOOKUP(C585,ICSE!A:A,ICSE!C:C,,2,1)</f>
        <v>2018</v>
      </c>
      <c r="B585" s="171" t="s">
        <v>5675</v>
      </c>
      <c r="C585" s="160">
        <v>1120.0</v>
      </c>
      <c r="D585" s="161" t="s">
        <v>941</v>
      </c>
      <c r="E585" s="197" t="str">
        <f t="array" ref="E585">XLOOKUP(C585,ICSE!A:A,ICSE!Z:Z,,0,1)</f>
        <v>Publicly available (1)</v>
      </c>
      <c r="F585" s="198" t="s">
        <v>20</v>
      </c>
      <c r="G585" s="163" t="str">
        <f t="array" ref="G585">IF(B585="ICSE",IF(COUNTIFS(B:B,B585,C:C,C585)=XLOOKUP(C585,ICSE!A:A,ICSE!AA:AA,"ERROR",0,1),"OK","ERROR"),IF(B585="FSE",IF(COUNTIFS(B:B,B585,C:C,C585)=XLOOKUP(C585,FSE!A:A,FSE!AA:AA,"ERROR",0,1),"OK","ERROR")))</f>
        <v>OK</v>
      </c>
      <c r="H585" s="199">
        <f t="shared" ref="H585:O585" si="2935">countif($D585,"*"&amp;H$2&amp;"*")</f>
        <v>0</v>
      </c>
      <c r="I585" s="200">
        <f t="shared" si="2935"/>
        <v>0</v>
      </c>
      <c r="J585" s="200">
        <f t="shared" si="2935"/>
        <v>0</v>
      </c>
      <c r="K585" s="200">
        <f t="shared" si="2935"/>
        <v>0</v>
      </c>
      <c r="L585" s="200">
        <f t="shared" si="2935"/>
        <v>0</v>
      </c>
      <c r="M585" s="200">
        <f t="shared" si="2935"/>
        <v>0</v>
      </c>
      <c r="N585" s="200">
        <f t="shared" si="2935"/>
        <v>0</v>
      </c>
      <c r="O585" s="200">
        <f t="shared" si="2935"/>
        <v>0</v>
      </c>
      <c r="P585" s="200">
        <f t="shared" si="9"/>
        <v>1</v>
      </c>
      <c r="Q585" s="200">
        <f t="shared" ref="Q585:AC585" si="2936">countif($D585,"*"&amp;Q$2&amp;"*")</f>
        <v>0</v>
      </c>
      <c r="R585" s="200">
        <f t="shared" si="2936"/>
        <v>0</v>
      </c>
      <c r="S585" s="200">
        <f t="shared" si="2936"/>
        <v>0</v>
      </c>
      <c r="T585" s="200">
        <f t="shared" si="2936"/>
        <v>0</v>
      </c>
      <c r="U585" s="200">
        <f t="shared" si="2936"/>
        <v>0</v>
      </c>
      <c r="V585" s="200">
        <f t="shared" si="2936"/>
        <v>0</v>
      </c>
      <c r="W585" s="200">
        <f t="shared" si="2936"/>
        <v>0</v>
      </c>
      <c r="X585" s="200">
        <f t="shared" si="2936"/>
        <v>0</v>
      </c>
      <c r="Y585" s="200">
        <f t="shared" si="2936"/>
        <v>0</v>
      </c>
      <c r="Z585" s="200">
        <f t="shared" si="2936"/>
        <v>0</v>
      </c>
      <c r="AA585" s="200">
        <f t="shared" si="2936"/>
        <v>0</v>
      </c>
      <c r="AB585" s="200">
        <f t="shared" si="2936"/>
        <v>0</v>
      </c>
      <c r="AC585" s="200">
        <f t="shared" si="2936"/>
        <v>0</v>
      </c>
      <c r="AD585" s="200">
        <f t="shared" si="11"/>
        <v>0</v>
      </c>
      <c r="AE585" s="200">
        <f t="shared" ref="AE585:AG585" si="2937">countif($D585,"*"&amp;AE$2&amp;"*")</f>
        <v>0</v>
      </c>
      <c r="AF585" s="200">
        <f t="shared" si="2937"/>
        <v>0</v>
      </c>
      <c r="AG585" s="200">
        <f t="shared" si="2937"/>
        <v>0</v>
      </c>
      <c r="AH585" s="171">
        <f t="shared" si="13"/>
        <v>0</v>
      </c>
      <c r="AI585" s="200">
        <f t="shared" si="14"/>
        <v>0</v>
      </c>
      <c r="AJ585" s="200">
        <f t="shared" si="2887"/>
        <v>0</v>
      </c>
      <c r="AK585" s="201">
        <f t="shared" ref="AK585:AS585" si="2938">countif($D585,"*"&amp;AK$2&amp;"*")</f>
        <v>0</v>
      </c>
      <c r="AL585" s="201">
        <f t="shared" si="2938"/>
        <v>0</v>
      </c>
      <c r="AM585" s="201">
        <f t="shared" si="2938"/>
        <v>0</v>
      </c>
      <c r="AN585" s="201">
        <f t="shared" si="2938"/>
        <v>0</v>
      </c>
      <c r="AO585" s="201">
        <f t="shared" si="2938"/>
        <v>0</v>
      </c>
      <c r="AP585" s="201">
        <f t="shared" si="2938"/>
        <v>0</v>
      </c>
      <c r="AQ585" s="201">
        <f t="shared" si="2938"/>
        <v>0</v>
      </c>
      <c r="AR585" s="200">
        <f t="shared" si="2938"/>
        <v>0</v>
      </c>
      <c r="AS585" s="200">
        <f t="shared" si="2938"/>
        <v>0</v>
      </c>
      <c r="AT585" s="173">
        <v>0.0</v>
      </c>
      <c r="AU585" s="200">
        <f t="shared" ref="AU585:AX585" si="2939">countif($D585,"*"&amp;AU$2&amp;"*")</f>
        <v>0</v>
      </c>
      <c r="AV585" s="200">
        <f t="shared" si="2939"/>
        <v>1</v>
      </c>
      <c r="AW585" s="200">
        <f t="shared" si="2939"/>
        <v>0</v>
      </c>
      <c r="AX585" s="200">
        <f t="shared" si="2939"/>
        <v>0</v>
      </c>
      <c r="AY585" s="202">
        <v>0.0</v>
      </c>
      <c r="AZ585" s="200"/>
      <c r="BA585" s="171" t="str">
        <f t="shared" si="18"/>
        <v/>
      </c>
      <c r="BB585" s="171" t="str">
        <f t="shared" si="19"/>
        <v>Code</v>
      </c>
      <c r="BC585" s="171" t="str">
        <f t="shared" si="20"/>
        <v/>
      </c>
      <c r="BD585" s="171" t="str">
        <f t="shared" si="21"/>
        <v/>
      </c>
      <c r="BE585" s="171" t="str">
        <f t="shared" si="22"/>
        <v/>
      </c>
      <c r="BF585" s="171" t="str">
        <f t="shared" si="23"/>
        <v>Code</v>
      </c>
    </row>
    <row r="586">
      <c r="A586" s="171">
        <f t="array" ref="A586">XLOOKUP(C586,ICSE!A:A,ICSE!C:C,,2,1)</f>
        <v>2018</v>
      </c>
      <c r="B586" s="171" t="s">
        <v>5675</v>
      </c>
      <c r="C586" s="160">
        <v>1123.0</v>
      </c>
      <c r="D586" s="161" t="s">
        <v>945</v>
      </c>
      <c r="E586" s="197" t="str">
        <f t="array" ref="E586">XLOOKUP(C586,ICSE!A:A,ICSE!Z:Z,,0,1)</f>
        <v>Publicly available (1)</v>
      </c>
      <c r="F586" s="198" t="s">
        <v>20</v>
      </c>
      <c r="G586" s="163" t="str">
        <f t="array" ref="G586">IF(B586="ICSE",IF(COUNTIFS(B:B,B586,C:C,C586)=XLOOKUP(C586,ICSE!A:A,ICSE!AA:AA,"ERROR",0,1),"OK","ERROR"),IF(B586="FSE",IF(COUNTIFS(B:B,B586,C:C,C586)=XLOOKUP(C586,FSE!A:A,FSE!AA:AA,"ERROR",0,1),"OK","ERROR")))</f>
        <v>OK</v>
      </c>
      <c r="H586" s="199">
        <f t="shared" ref="H586:O586" si="2940">countif($D586,"*"&amp;H$2&amp;"*")</f>
        <v>0</v>
      </c>
      <c r="I586" s="200">
        <f t="shared" si="2940"/>
        <v>0</v>
      </c>
      <c r="J586" s="200">
        <f t="shared" si="2940"/>
        <v>0</v>
      </c>
      <c r="K586" s="200">
        <f t="shared" si="2940"/>
        <v>0</v>
      </c>
      <c r="L586" s="200">
        <f t="shared" si="2940"/>
        <v>0</v>
      </c>
      <c r="M586" s="200">
        <f t="shared" si="2940"/>
        <v>0</v>
      </c>
      <c r="N586" s="200">
        <f t="shared" si="2940"/>
        <v>0</v>
      </c>
      <c r="O586" s="200">
        <f t="shared" si="2940"/>
        <v>0</v>
      </c>
      <c r="P586" s="200">
        <f t="shared" si="9"/>
        <v>0</v>
      </c>
      <c r="Q586" s="200">
        <f t="shared" ref="Q586:AC586" si="2941">countif($D586,"*"&amp;Q$2&amp;"*")</f>
        <v>0</v>
      </c>
      <c r="R586" s="200">
        <f t="shared" si="2941"/>
        <v>1</v>
      </c>
      <c r="S586" s="200">
        <f t="shared" si="2941"/>
        <v>0</v>
      </c>
      <c r="T586" s="200">
        <f t="shared" si="2941"/>
        <v>0</v>
      </c>
      <c r="U586" s="200">
        <f t="shared" si="2941"/>
        <v>0</v>
      </c>
      <c r="V586" s="200">
        <f t="shared" si="2941"/>
        <v>0</v>
      </c>
      <c r="W586" s="200">
        <f t="shared" si="2941"/>
        <v>0</v>
      </c>
      <c r="X586" s="200">
        <f t="shared" si="2941"/>
        <v>0</v>
      </c>
      <c r="Y586" s="200">
        <f t="shared" si="2941"/>
        <v>0</v>
      </c>
      <c r="Z586" s="200">
        <f t="shared" si="2941"/>
        <v>0</v>
      </c>
      <c r="AA586" s="200">
        <f t="shared" si="2941"/>
        <v>0</v>
      </c>
      <c r="AB586" s="200">
        <f t="shared" si="2941"/>
        <v>0</v>
      </c>
      <c r="AC586" s="200">
        <f t="shared" si="2941"/>
        <v>0</v>
      </c>
      <c r="AD586" s="200">
        <f t="shared" si="11"/>
        <v>0</v>
      </c>
      <c r="AE586" s="200">
        <f t="shared" ref="AE586:AG586" si="2942">countif($D586,"*"&amp;AE$2&amp;"*")</f>
        <v>0</v>
      </c>
      <c r="AF586" s="200">
        <f t="shared" si="2942"/>
        <v>0</v>
      </c>
      <c r="AG586" s="200">
        <f t="shared" si="2942"/>
        <v>0</v>
      </c>
      <c r="AH586" s="171">
        <f t="shared" si="13"/>
        <v>0</v>
      </c>
      <c r="AI586" s="200">
        <f t="shared" si="14"/>
        <v>0</v>
      </c>
      <c r="AJ586" s="200">
        <f t="shared" si="2887"/>
        <v>0</v>
      </c>
      <c r="AK586" s="201">
        <f t="shared" ref="AK586:AS586" si="2943">countif($D586,"*"&amp;AK$2&amp;"*")</f>
        <v>0</v>
      </c>
      <c r="AL586" s="201">
        <f t="shared" si="2943"/>
        <v>0</v>
      </c>
      <c r="AM586" s="201">
        <f t="shared" si="2943"/>
        <v>0</v>
      </c>
      <c r="AN586" s="201">
        <f t="shared" si="2943"/>
        <v>0</v>
      </c>
      <c r="AO586" s="201">
        <f t="shared" si="2943"/>
        <v>0</v>
      </c>
      <c r="AP586" s="201">
        <f t="shared" si="2943"/>
        <v>0</v>
      </c>
      <c r="AQ586" s="201">
        <f t="shared" si="2943"/>
        <v>0</v>
      </c>
      <c r="AR586" s="200">
        <f t="shared" si="2943"/>
        <v>0</v>
      </c>
      <c r="AS586" s="200">
        <f t="shared" si="2943"/>
        <v>0</v>
      </c>
      <c r="AT586" s="173">
        <v>0.0</v>
      </c>
      <c r="AU586" s="200">
        <f t="shared" ref="AU586:AX586" si="2944">countif($D586,"*"&amp;AU$2&amp;"*")</f>
        <v>0</v>
      </c>
      <c r="AV586" s="200">
        <f t="shared" si="2944"/>
        <v>0</v>
      </c>
      <c r="AW586" s="200">
        <f t="shared" si="2944"/>
        <v>0</v>
      </c>
      <c r="AX586" s="200">
        <f t="shared" si="2944"/>
        <v>0</v>
      </c>
      <c r="AY586" s="202">
        <v>0.0</v>
      </c>
      <c r="AZ586" s="200"/>
      <c r="BA586" s="171" t="str">
        <f t="shared" si="18"/>
        <v/>
      </c>
      <c r="BB586" s="171" t="str">
        <f t="shared" si="19"/>
        <v>Code</v>
      </c>
      <c r="BC586" s="171" t="str">
        <f t="shared" si="20"/>
        <v/>
      </c>
      <c r="BD586" s="171" t="str">
        <f t="shared" si="21"/>
        <v/>
      </c>
      <c r="BE586" s="171" t="str">
        <f t="shared" si="22"/>
        <v/>
      </c>
      <c r="BF586" s="171" t="str">
        <f t="shared" si="23"/>
        <v>Code</v>
      </c>
    </row>
    <row r="587">
      <c r="A587" s="171">
        <f t="array" ref="A587">XLOOKUP(C587,ICSE!A:A,ICSE!C:C,,2,1)</f>
        <v>2018</v>
      </c>
      <c r="B587" s="171" t="s">
        <v>5675</v>
      </c>
      <c r="C587" s="160">
        <v>1124.0</v>
      </c>
      <c r="D587" s="208" t="s">
        <v>5933</v>
      </c>
      <c r="E587" s="197" t="str">
        <f t="array" ref="E587">XLOOKUP(C587,ICSE!A:A,ICSE!Z:Z,,0,1)</f>
        <v>Not available (1) - Broken link.</v>
      </c>
      <c r="F587" s="198" t="s">
        <v>21</v>
      </c>
      <c r="G587" s="163" t="str">
        <f t="array" ref="G587">IF(B587="ICSE",IF(COUNTIFS(B:B,B587,C:C,C587)=XLOOKUP(C587,ICSE!A:A,ICSE!AA:AA,"ERROR",0,1),"OK","ERROR"),IF(B587="FSE",IF(COUNTIFS(B:B,B587,C:C,C587)=XLOOKUP(C587,FSE!A:A,FSE!AA:AA,"ERROR",0,1),"OK","ERROR")))</f>
        <v>OK</v>
      </c>
      <c r="H587" s="199">
        <f t="shared" ref="H587:O587" si="2945">countif($D587,"*"&amp;H$2&amp;"*")</f>
        <v>0</v>
      </c>
      <c r="I587" s="200">
        <f t="shared" si="2945"/>
        <v>0</v>
      </c>
      <c r="J587" s="200">
        <f t="shared" si="2945"/>
        <v>0</v>
      </c>
      <c r="K587" s="200">
        <f t="shared" si="2945"/>
        <v>0</v>
      </c>
      <c r="L587" s="200">
        <f t="shared" si="2945"/>
        <v>0</v>
      </c>
      <c r="M587" s="200">
        <f t="shared" si="2945"/>
        <v>0</v>
      </c>
      <c r="N587" s="200">
        <f t="shared" si="2945"/>
        <v>0</v>
      </c>
      <c r="O587" s="200">
        <f t="shared" si="2945"/>
        <v>0</v>
      </c>
      <c r="P587" s="200">
        <f t="shared" si="9"/>
        <v>0</v>
      </c>
      <c r="Q587" s="200">
        <f t="shared" ref="Q587:AC587" si="2946">countif($D587,"*"&amp;Q$2&amp;"*")</f>
        <v>0</v>
      </c>
      <c r="R587" s="200">
        <f t="shared" si="2946"/>
        <v>0</v>
      </c>
      <c r="S587" s="200">
        <f t="shared" si="2946"/>
        <v>0</v>
      </c>
      <c r="T587" s="200">
        <f t="shared" si="2946"/>
        <v>0</v>
      </c>
      <c r="U587" s="200">
        <f t="shared" si="2946"/>
        <v>0</v>
      </c>
      <c r="V587" s="200">
        <f t="shared" si="2946"/>
        <v>0</v>
      </c>
      <c r="W587" s="200">
        <f t="shared" si="2946"/>
        <v>0</v>
      </c>
      <c r="X587" s="200">
        <f t="shared" si="2946"/>
        <v>0</v>
      </c>
      <c r="Y587" s="200">
        <f t="shared" si="2946"/>
        <v>0</v>
      </c>
      <c r="Z587" s="200">
        <f t="shared" si="2946"/>
        <v>0</v>
      </c>
      <c r="AA587" s="200">
        <f t="shared" si="2946"/>
        <v>1</v>
      </c>
      <c r="AB587" s="200">
        <f t="shared" si="2946"/>
        <v>0</v>
      </c>
      <c r="AC587" s="200">
        <f t="shared" si="2946"/>
        <v>0</v>
      </c>
      <c r="AD587" s="200">
        <f t="shared" si="11"/>
        <v>0</v>
      </c>
      <c r="AE587" s="200">
        <f t="shared" ref="AE587:AG587" si="2947">countif($D587,"*"&amp;AE$2&amp;"*")</f>
        <v>0</v>
      </c>
      <c r="AF587" s="200">
        <f t="shared" si="2947"/>
        <v>0</v>
      </c>
      <c r="AG587" s="200">
        <f t="shared" si="2947"/>
        <v>0</v>
      </c>
      <c r="AH587" s="171">
        <f t="shared" si="13"/>
        <v>0</v>
      </c>
      <c r="AI587" s="200">
        <f t="shared" si="14"/>
        <v>0</v>
      </c>
      <c r="AJ587" s="200">
        <f t="shared" si="2887"/>
        <v>0</v>
      </c>
      <c r="AK587" s="201">
        <f t="shared" ref="AK587:AS587" si="2948">countif($D587,"*"&amp;AK$2&amp;"*")</f>
        <v>0</v>
      </c>
      <c r="AL587" s="201">
        <f t="shared" si="2948"/>
        <v>0</v>
      </c>
      <c r="AM587" s="201">
        <f t="shared" si="2948"/>
        <v>0</v>
      </c>
      <c r="AN587" s="201">
        <f t="shared" si="2948"/>
        <v>0</v>
      </c>
      <c r="AO587" s="201">
        <f t="shared" si="2948"/>
        <v>0</v>
      </c>
      <c r="AP587" s="201">
        <f t="shared" si="2948"/>
        <v>0</v>
      </c>
      <c r="AQ587" s="201">
        <f t="shared" si="2948"/>
        <v>0</v>
      </c>
      <c r="AR587" s="200">
        <f t="shared" si="2948"/>
        <v>0</v>
      </c>
      <c r="AS587" s="200">
        <f t="shared" si="2948"/>
        <v>1</v>
      </c>
      <c r="AT587" s="173">
        <v>0.0</v>
      </c>
      <c r="AU587" s="209">
        <v>0.0</v>
      </c>
      <c r="AV587" s="200">
        <f t="shared" ref="AV587:AX587" si="2949">countif($D587,"*"&amp;AV$2&amp;"*")</f>
        <v>0</v>
      </c>
      <c r="AW587" s="200">
        <f t="shared" si="2949"/>
        <v>0</v>
      </c>
      <c r="AX587" s="200">
        <f t="shared" si="2949"/>
        <v>0</v>
      </c>
      <c r="AY587" s="202">
        <v>0.0</v>
      </c>
      <c r="AZ587" s="200"/>
      <c r="BA587" s="171" t="str">
        <f t="shared" si="18"/>
        <v/>
      </c>
      <c r="BB587" s="171" t="str">
        <f t="shared" si="19"/>
        <v/>
      </c>
      <c r="BC587" s="171" t="str">
        <f t="shared" si="20"/>
        <v>General-purpose</v>
      </c>
      <c r="BD587" s="171" t="str">
        <f t="shared" si="21"/>
        <v/>
      </c>
      <c r="BE587" s="171" t="str">
        <f t="shared" si="22"/>
        <v/>
      </c>
      <c r="BF587" s="171" t="str">
        <f t="shared" si="23"/>
        <v>General-purpose</v>
      </c>
    </row>
    <row r="588">
      <c r="A588" s="171">
        <f t="array" ref="A588">XLOOKUP(C588,ICSE!A:A,ICSE!C:C,,2,1)</f>
        <v>2018</v>
      </c>
      <c r="B588" s="171" t="s">
        <v>5675</v>
      </c>
      <c r="C588" s="160">
        <v>1126.0</v>
      </c>
      <c r="D588" s="161" t="s">
        <v>951</v>
      </c>
      <c r="E588" s="197" t="str">
        <f t="array" ref="E588">XLOOKUP(C588,ICSE!A:A,ICSE!Z:Z,,0,1)</f>
        <v>Publicly available (1)</v>
      </c>
      <c r="F588" s="198" t="s">
        <v>20</v>
      </c>
      <c r="G588" s="163" t="str">
        <f t="array" ref="G588">IF(B588="ICSE",IF(COUNTIFS(B:B,B588,C:C,C588)=XLOOKUP(C588,ICSE!A:A,ICSE!AA:AA,"ERROR",0,1),"OK","ERROR"),IF(B588="FSE",IF(COUNTIFS(B:B,B588,C:C,C588)=XLOOKUP(C588,FSE!A:A,FSE!AA:AA,"ERROR",0,1),"OK","ERROR")))</f>
        <v>OK</v>
      </c>
      <c r="H588" s="199">
        <f t="shared" ref="H588:O588" si="2950">countif($D588,"*"&amp;H$2&amp;"*")</f>
        <v>0</v>
      </c>
      <c r="I588" s="200">
        <f t="shared" si="2950"/>
        <v>0</v>
      </c>
      <c r="J588" s="200">
        <f t="shared" si="2950"/>
        <v>0</v>
      </c>
      <c r="K588" s="200">
        <f t="shared" si="2950"/>
        <v>0</v>
      </c>
      <c r="L588" s="200">
        <f t="shared" si="2950"/>
        <v>0</v>
      </c>
      <c r="M588" s="200">
        <f t="shared" si="2950"/>
        <v>0</v>
      </c>
      <c r="N588" s="200">
        <f t="shared" si="2950"/>
        <v>0</v>
      </c>
      <c r="O588" s="200">
        <f t="shared" si="2950"/>
        <v>0</v>
      </c>
      <c r="P588" s="200">
        <f t="shared" si="9"/>
        <v>1</v>
      </c>
      <c r="Q588" s="200">
        <f t="shared" ref="Q588:AC588" si="2951">countif($D588,"*"&amp;Q$2&amp;"*")</f>
        <v>0</v>
      </c>
      <c r="R588" s="200">
        <f t="shared" si="2951"/>
        <v>0</v>
      </c>
      <c r="S588" s="200">
        <f t="shared" si="2951"/>
        <v>0</v>
      </c>
      <c r="T588" s="200">
        <f t="shared" si="2951"/>
        <v>0</v>
      </c>
      <c r="U588" s="200">
        <f t="shared" si="2951"/>
        <v>0</v>
      </c>
      <c r="V588" s="200">
        <f t="shared" si="2951"/>
        <v>0</v>
      </c>
      <c r="W588" s="200">
        <f t="shared" si="2951"/>
        <v>0</v>
      </c>
      <c r="X588" s="200">
        <f t="shared" si="2951"/>
        <v>0</v>
      </c>
      <c r="Y588" s="200">
        <f t="shared" si="2951"/>
        <v>0</v>
      </c>
      <c r="Z588" s="200">
        <f t="shared" si="2951"/>
        <v>0</v>
      </c>
      <c r="AA588" s="200">
        <f t="shared" si="2951"/>
        <v>0</v>
      </c>
      <c r="AB588" s="200">
        <f t="shared" si="2951"/>
        <v>0</v>
      </c>
      <c r="AC588" s="200">
        <f t="shared" si="2951"/>
        <v>0</v>
      </c>
      <c r="AD588" s="200">
        <f t="shared" si="11"/>
        <v>0</v>
      </c>
      <c r="AE588" s="200">
        <f t="shared" ref="AE588:AG588" si="2952">countif($D588,"*"&amp;AE$2&amp;"*")</f>
        <v>0</v>
      </c>
      <c r="AF588" s="200">
        <f t="shared" si="2952"/>
        <v>0</v>
      </c>
      <c r="AG588" s="200">
        <f t="shared" si="2952"/>
        <v>0</v>
      </c>
      <c r="AH588" s="171">
        <f t="shared" si="13"/>
        <v>0</v>
      </c>
      <c r="AI588" s="200">
        <f t="shared" si="14"/>
        <v>0</v>
      </c>
      <c r="AJ588" s="200">
        <f t="shared" si="2887"/>
        <v>0</v>
      </c>
      <c r="AK588" s="201">
        <f t="shared" ref="AK588:AS588" si="2953">countif($D588,"*"&amp;AK$2&amp;"*")</f>
        <v>0</v>
      </c>
      <c r="AL588" s="201">
        <f t="shared" si="2953"/>
        <v>0</v>
      </c>
      <c r="AM588" s="201">
        <f t="shared" si="2953"/>
        <v>0</v>
      </c>
      <c r="AN588" s="201">
        <f t="shared" si="2953"/>
        <v>0</v>
      </c>
      <c r="AO588" s="201">
        <f t="shared" si="2953"/>
        <v>0</v>
      </c>
      <c r="AP588" s="201">
        <f t="shared" si="2953"/>
        <v>0</v>
      </c>
      <c r="AQ588" s="201">
        <f t="shared" si="2953"/>
        <v>0</v>
      </c>
      <c r="AR588" s="200">
        <f t="shared" si="2953"/>
        <v>0</v>
      </c>
      <c r="AS588" s="200">
        <f t="shared" si="2953"/>
        <v>0</v>
      </c>
      <c r="AT588" s="173">
        <v>0.0</v>
      </c>
      <c r="AU588" s="200">
        <f t="shared" ref="AU588:AX588" si="2954">countif($D588,"*"&amp;AU$2&amp;"*")</f>
        <v>0</v>
      </c>
      <c r="AV588" s="200">
        <f t="shared" si="2954"/>
        <v>1</v>
      </c>
      <c r="AW588" s="200">
        <f t="shared" si="2954"/>
        <v>0</v>
      </c>
      <c r="AX588" s="200">
        <f t="shared" si="2954"/>
        <v>0</v>
      </c>
      <c r="AY588" s="202">
        <v>0.0</v>
      </c>
      <c r="AZ588" s="200"/>
      <c r="BA588" s="171" t="str">
        <f t="shared" si="18"/>
        <v/>
      </c>
      <c r="BB588" s="171" t="str">
        <f t="shared" si="19"/>
        <v>Code</v>
      </c>
      <c r="BC588" s="171" t="str">
        <f t="shared" si="20"/>
        <v/>
      </c>
      <c r="BD588" s="171" t="str">
        <f t="shared" si="21"/>
        <v/>
      </c>
      <c r="BE588" s="171" t="str">
        <f t="shared" si="22"/>
        <v/>
      </c>
      <c r="BF588" s="171" t="str">
        <f t="shared" si="23"/>
        <v>Code</v>
      </c>
    </row>
    <row r="589">
      <c r="A589" s="171">
        <f t="array" ref="A589">XLOOKUP(C589,ICSE!A:A,ICSE!C:C,,2,1)</f>
        <v>2018</v>
      </c>
      <c r="B589" s="171" t="s">
        <v>5675</v>
      </c>
      <c r="C589" s="160">
        <v>1127.0</v>
      </c>
      <c r="D589" s="161" t="s">
        <v>5934</v>
      </c>
      <c r="E589" s="197" t="str">
        <f t="array" ref="E589">XLOOKUP(C589,ICSE!A:A,ICSE!Z:Z,,0,1)</f>
        <v>Publicly available (2)</v>
      </c>
      <c r="F589" s="198" t="s">
        <v>20</v>
      </c>
      <c r="G589" s="163" t="str">
        <f t="array" ref="G589">IF(B589="ICSE",IF(COUNTIFS(B:B,B589,C:C,C589)=XLOOKUP(C589,ICSE!A:A,ICSE!AA:AA,"ERROR",0,1),"OK","ERROR"),IF(B589="FSE",IF(COUNTIFS(B:B,B589,C:C,C589)=XLOOKUP(C589,FSE!A:A,FSE!AA:AA,"ERROR",0,1),"OK","ERROR")))</f>
        <v>OK</v>
      </c>
      <c r="H589" s="199">
        <f t="shared" ref="H589:O589" si="2955">countif($D589,"*"&amp;H$2&amp;"*")</f>
        <v>0</v>
      </c>
      <c r="I589" s="200">
        <f t="shared" si="2955"/>
        <v>0</v>
      </c>
      <c r="J589" s="200">
        <f t="shared" si="2955"/>
        <v>0</v>
      </c>
      <c r="K589" s="200">
        <f t="shared" si="2955"/>
        <v>0</v>
      </c>
      <c r="L589" s="200">
        <f t="shared" si="2955"/>
        <v>0</v>
      </c>
      <c r="M589" s="200">
        <f t="shared" si="2955"/>
        <v>0</v>
      </c>
      <c r="N589" s="200">
        <f t="shared" si="2955"/>
        <v>0</v>
      </c>
      <c r="O589" s="200">
        <f t="shared" si="2955"/>
        <v>0</v>
      </c>
      <c r="P589" s="200">
        <f t="shared" si="9"/>
        <v>0</v>
      </c>
      <c r="Q589" s="200">
        <f t="shared" ref="Q589:AC589" si="2956">countif($D589,"*"&amp;Q$2&amp;"*")</f>
        <v>0</v>
      </c>
      <c r="R589" s="200">
        <f t="shared" si="2956"/>
        <v>0</v>
      </c>
      <c r="S589" s="200">
        <f t="shared" si="2956"/>
        <v>0</v>
      </c>
      <c r="T589" s="200">
        <f t="shared" si="2956"/>
        <v>0</v>
      </c>
      <c r="U589" s="200">
        <f t="shared" si="2956"/>
        <v>0</v>
      </c>
      <c r="V589" s="200">
        <f t="shared" si="2956"/>
        <v>0</v>
      </c>
      <c r="W589" s="200">
        <f t="shared" si="2956"/>
        <v>0</v>
      </c>
      <c r="X589" s="200">
        <f t="shared" si="2956"/>
        <v>0</v>
      </c>
      <c r="Y589" s="200">
        <f t="shared" si="2956"/>
        <v>0</v>
      </c>
      <c r="Z589" s="200">
        <f t="shared" si="2956"/>
        <v>0</v>
      </c>
      <c r="AA589" s="200">
        <f t="shared" si="2956"/>
        <v>0</v>
      </c>
      <c r="AB589" s="200">
        <f t="shared" si="2956"/>
        <v>0</v>
      </c>
      <c r="AC589" s="200">
        <f t="shared" si="2956"/>
        <v>0</v>
      </c>
      <c r="AD589" s="200">
        <f t="shared" si="11"/>
        <v>0</v>
      </c>
      <c r="AE589" s="200">
        <f t="shared" ref="AE589:AG589" si="2957">countif($D589,"*"&amp;AE$2&amp;"*")</f>
        <v>0</v>
      </c>
      <c r="AF589" s="200">
        <f t="shared" si="2957"/>
        <v>0</v>
      </c>
      <c r="AG589" s="200">
        <f t="shared" si="2957"/>
        <v>0</v>
      </c>
      <c r="AH589" s="171">
        <f t="shared" si="13"/>
        <v>1</v>
      </c>
      <c r="AI589" s="200">
        <f t="shared" si="14"/>
        <v>0</v>
      </c>
      <c r="AJ589" s="200">
        <f t="shared" si="2887"/>
        <v>0</v>
      </c>
      <c r="AK589" s="201">
        <f t="shared" ref="AK589:AS589" si="2958">countif($D589,"*"&amp;AK$2&amp;"*")</f>
        <v>0</v>
      </c>
      <c r="AL589" s="201">
        <f t="shared" si="2958"/>
        <v>0</v>
      </c>
      <c r="AM589" s="201">
        <f t="shared" si="2958"/>
        <v>0</v>
      </c>
      <c r="AN589" s="201">
        <f t="shared" si="2958"/>
        <v>0</v>
      </c>
      <c r="AO589" s="201">
        <f t="shared" si="2958"/>
        <v>0</v>
      </c>
      <c r="AP589" s="201">
        <f t="shared" si="2958"/>
        <v>0</v>
      </c>
      <c r="AQ589" s="201">
        <f t="shared" si="2958"/>
        <v>0</v>
      </c>
      <c r="AR589" s="200">
        <f t="shared" si="2958"/>
        <v>0</v>
      </c>
      <c r="AS589" s="200">
        <f t="shared" si="2958"/>
        <v>0</v>
      </c>
      <c r="AT589" s="173">
        <v>0.0</v>
      </c>
      <c r="AU589" s="200">
        <f t="shared" ref="AU589:AX589" si="2959">countif($D589,"*"&amp;AU$2&amp;"*")</f>
        <v>0</v>
      </c>
      <c r="AV589" s="200">
        <f t="shared" si="2959"/>
        <v>0</v>
      </c>
      <c r="AW589" s="200">
        <f t="shared" si="2959"/>
        <v>0</v>
      </c>
      <c r="AX589" s="200">
        <f t="shared" si="2959"/>
        <v>0</v>
      </c>
      <c r="AY589" s="202">
        <v>0.0</v>
      </c>
      <c r="AZ589" s="200"/>
      <c r="BA589" s="171" t="str">
        <f t="shared" si="18"/>
        <v/>
      </c>
      <c r="BB589" s="171" t="str">
        <f t="shared" si="19"/>
        <v/>
      </c>
      <c r="BC589" s="171" t="str">
        <f t="shared" si="20"/>
        <v/>
      </c>
      <c r="BD589" s="171" t="str">
        <f t="shared" si="21"/>
        <v/>
      </c>
      <c r="BE589" s="171" t="str">
        <f t="shared" si="22"/>
        <v>Others</v>
      </c>
      <c r="BF589" s="171" t="str">
        <f t="shared" si="23"/>
        <v>Others</v>
      </c>
    </row>
    <row r="590">
      <c r="A590" s="171">
        <f t="array" ref="A590">XLOOKUP(C590,ICSE!A:A,ICSE!C:C,,2,1)</f>
        <v>2018</v>
      </c>
      <c r="B590" s="171" t="s">
        <v>5675</v>
      </c>
      <c r="C590" s="160">
        <v>1127.0</v>
      </c>
      <c r="D590" s="161" t="s">
        <v>5935</v>
      </c>
      <c r="E590" s="197" t="str">
        <f t="array" ref="E590">XLOOKUP(C590,ICSE!A:A,ICSE!Z:Z,,0,1)</f>
        <v>Publicly available (2)</v>
      </c>
      <c r="F590" s="198" t="s">
        <v>20</v>
      </c>
      <c r="G590" s="163" t="str">
        <f t="array" ref="G590">IF(B590="ICSE",IF(COUNTIFS(B:B,B590,C:C,C590)=XLOOKUP(C590,ICSE!A:A,ICSE!AA:AA,"ERROR",0,1),"OK","ERROR"),IF(B590="FSE",IF(COUNTIFS(B:B,B590,C:C,C590)=XLOOKUP(C590,FSE!A:A,FSE!AA:AA,"ERROR",0,1),"OK","ERROR")))</f>
        <v>OK</v>
      </c>
      <c r="H590" s="199">
        <f t="shared" ref="H590:O590" si="2960">countif($D590,"*"&amp;H$2&amp;"*")</f>
        <v>0</v>
      </c>
      <c r="I590" s="200">
        <f t="shared" si="2960"/>
        <v>0</v>
      </c>
      <c r="J590" s="200">
        <f t="shared" si="2960"/>
        <v>0</v>
      </c>
      <c r="K590" s="200">
        <f t="shared" si="2960"/>
        <v>0</v>
      </c>
      <c r="L590" s="200">
        <f t="shared" si="2960"/>
        <v>0</v>
      </c>
      <c r="M590" s="200">
        <f t="shared" si="2960"/>
        <v>0</v>
      </c>
      <c r="N590" s="200">
        <f t="shared" si="2960"/>
        <v>0</v>
      </c>
      <c r="O590" s="200">
        <f t="shared" si="2960"/>
        <v>0</v>
      </c>
      <c r="P590" s="200">
        <f t="shared" si="9"/>
        <v>1</v>
      </c>
      <c r="Q590" s="200">
        <f t="shared" ref="Q590:AC590" si="2961">countif($D590,"*"&amp;Q$2&amp;"*")</f>
        <v>0</v>
      </c>
      <c r="R590" s="200">
        <f t="shared" si="2961"/>
        <v>0</v>
      </c>
      <c r="S590" s="200">
        <f t="shared" si="2961"/>
        <v>0</v>
      </c>
      <c r="T590" s="200">
        <f t="shared" si="2961"/>
        <v>0</v>
      </c>
      <c r="U590" s="200">
        <f t="shared" si="2961"/>
        <v>0</v>
      </c>
      <c r="V590" s="200">
        <f t="shared" si="2961"/>
        <v>0</v>
      </c>
      <c r="W590" s="200">
        <f t="shared" si="2961"/>
        <v>0</v>
      </c>
      <c r="X590" s="200">
        <f t="shared" si="2961"/>
        <v>0</v>
      </c>
      <c r="Y590" s="200">
        <f t="shared" si="2961"/>
        <v>0</v>
      </c>
      <c r="Z590" s="200">
        <f t="shared" si="2961"/>
        <v>0</v>
      </c>
      <c r="AA590" s="200">
        <f t="shared" si="2961"/>
        <v>0</v>
      </c>
      <c r="AB590" s="200">
        <f t="shared" si="2961"/>
        <v>0</v>
      </c>
      <c r="AC590" s="200">
        <f t="shared" si="2961"/>
        <v>0</v>
      </c>
      <c r="AD590" s="200">
        <f t="shared" si="11"/>
        <v>0</v>
      </c>
      <c r="AE590" s="200">
        <f t="shared" ref="AE590:AG590" si="2962">countif($D590,"*"&amp;AE$2&amp;"*")</f>
        <v>0</v>
      </c>
      <c r="AF590" s="200">
        <f t="shared" si="2962"/>
        <v>0</v>
      </c>
      <c r="AG590" s="200">
        <f t="shared" si="2962"/>
        <v>0</v>
      </c>
      <c r="AH590" s="171">
        <f t="shared" si="13"/>
        <v>0</v>
      </c>
      <c r="AI590" s="200">
        <f t="shared" si="14"/>
        <v>0</v>
      </c>
      <c r="AJ590" s="200">
        <f t="shared" si="2887"/>
        <v>0</v>
      </c>
      <c r="AK590" s="201">
        <f t="shared" ref="AK590:AS590" si="2963">countif($D590,"*"&amp;AK$2&amp;"*")</f>
        <v>0</v>
      </c>
      <c r="AL590" s="201">
        <f t="shared" si="2963"/>
        <v>0</v>
      </c>
      <c r="AM590" s="201">
        <f t="shared" si="2963"/>
        <v>0</v>
      </c>
      <c r="AN590" s="201">
        <f t="shared" si="2963"/>
        <v>0</v>
      </c>
      <c r="AO590" s="201">
        <f t="shared" si="2963"/>
        <v>0</v>
      </c>
      <c r="AP590" s="201">
        <f t="shared" si="2963"/>
        <v>0</v>
      </c>
      <c r="AQ590" s="201">
        <f t="shared" si="2963"/>
        <v>0</v>
      </c>
      <c r="AR590" s="200">
        <f t="shared" si="2963"/>
        <v>0</v>
      </c>
      <c r="AS590" s="200">
        <f t="shared" si="2963"/>
        <v>0</v>
      </c>
      <c r="AT590" s="173">
        <v>0.0</v>
      </c>
      <c r="AU590" s="200">
        <f t="shared" ref="AU590:AX590" si="2964">countif($D590,"*"&amp;AU$2&amp;"*")</f>
        <v>0</v>
      </c>
      <c r="AV590" s="200">
        <f t="shared" si="2964"/>
        <v>1</v>
      </c>
      <c r="AW590" s="200">
        <f t="shared" si="2964"/>
        <v>0</v>
      </c>
      <c r="AX590" s="200">
        <f t="shared" si="2964"/>
        <v>0</v>
      </c>
      <c r="AY590" s="202">
        <v>0.0</v>
      </c>
      <c r="AZ590" s="200"/>
      <c r="BA590" s="171" t="str">
        <f t="shared" si="18"/>
        <v/>
      </c>
      <c r="BB590" s="171" t="str">
        <f t="shared" si="19"/>
        <v>Code</v>
      </c>
      <c r="BC590" s="171" t="str">
        <f t="shared" si="20"/>
        <v/>
      </c>
      <c r="BD590" s="171" t="str">
        <f t="shared" si="21"/>
        <v/>
      </c>
      <c r="BE590" s="171" t="str">
        <f t="shared" si="22"/>
        <v/>
      </c>
      <c r="BF590" s="171" t="str">
        <f t="shared" si="23"/>
        <v>Code</v>
      </c>
    </row>
    <row r="591">
      <c r="A591" s="171">
        <f t="array" ref="A591">XLOOKUP(C591,ICSE!A:A,ICSE!C:C,,2,1)</f>
        <v>2018</v>
      </c>
      <c r="B591" s="171" t="s">
        <v>5675</v>
      </c>
      <c r="C591" s="160">
        <v>1131.0</v>
      </c>
      <c r="D591" s="161" t="s">
        <v>959</v>
      </c>
      <c r="E591" s="197" t="str">
        <f t="array" ref="E591">XLOOKUP(C591,ICSE!A:A,ICSE!Z:Z,,0,1)</f>
        <v>Publicly available (1)</v>
      </c>
      <c r="F591" s="198" t="s">
        <v>20</v>
      </c>
      <c r="G591" s="163" t="str">
        <f t="array" ref="G591">IF(B591="ICSE",IF(COUNTIFS(B:B,B591,C:C,C591)=XLOOKUP(C591,ICSE!A:A,ICSE!AA:AA,"ERROR",0,1),"OK","ERROR"),IF(B591="FSE",IF(COUNTIFS(B:B,B591,C:C,C591)=XLOOKUP(C591,FSE!A:A,FSE!AA:AA,"ERROR",0,1),"OK","ERROR")))</f>
        <v>OK</v>
      </c>
      <c r="H591" s="199">
        <f t="shared" ref="H591:O591" si="2965">countif($D591,"*"&amp;H$2&amp;"*")</f>
        <v>0</v>
      </c>
      <c r="I591" s="200">
        <f t="shared" si="2965"/>
        <v>0</v>
      </c>
      <c r="J591" s="200">
        <f t="shared" si="2965"/>
        <v>0</v>
      </c>
      <c r="K591" s="200">
        <f t="shared" si="2965"/>
        <v>0</v>
      </c>
      <c r="L591" s="200">
        <f t="shared" si="2965"/>
        <v>0</v>
      </c>
      <c r="M591" s="200">
        <f t="shared" si="2965"/>
        <v>0</v>
      </c>
      <c r="N591" s="200">
        <f t="shared" si="2965"/>
        <v>0</v>
      </c>
      <c r="O591" s="200">
        <f t="shared" si="2965"/>
        <v>0</v>
      </c>
      <c r="P591" s="200">
        <f t="shared" si="9"/>
        <v>1</v>
      </c>
      <c r="Q591" s="200">
        <f t="shared" ref="Q591:AC591" si="2966">countif($D591,"*"&amp;Q$2&amp;"*")</f>
        <v>0</v>
      </c>
      <c r="R591" s="200">
        <f t="shared" si="2966"/>
        <v>0</v>
      </c>
      <c r="S591" s="200">
        <f t="shared" si="2966"/>
        <v>0</v>
      </c>
      <c r="T591" s="200">
        <f t="shared" si="2966"/>
        <v>0</v>
      </c>
      <c r="U591" s="200">
        <f t="shared" si="2966"/>
        <v>0</v>
      </c>
      <c r="V591" s="200">
        <f t="shared" si="2966"/>
        <v>0</v>
      </c>
      <c r="W591" s="200">
        <f t="shared" si="2966"/>
        <v>0</v>
      </c>
      <c r="X591" s="200">
        <f t="shared" si="2966"/>
        <v>0</v>
      </c>
      <c r="Y591" s="200">
        <f t="shared" si="2966"/>
        <v>0</v>
      </c>
      <c r="Z591" s="200">
        <f t="shared" si="2966"/>
        <v>0</v>
      </c>
      <c r="AA591" s="200">
        <f t="shared" si="2966"/>
        <v>0</v>
      </c>
      <c r="AB591" s="200">
        <f t="shared" si="2966"/>
        <v>0</v>
      </c>
      <c r="AC591" s="200">
        <f t="shared" si="2966"/>
        <v>0</v>
      </c>
      <c r="AD591" s="200">
        <f t="shared" si="11"/>
        <v>0</v>
      </c>
      <c r="AE591" s="200">
        <f t="shared" ref="AE591:AG591" si="2967">countif($D591,"*"&amp;AE$2&amp;"*")</f>
        <v>0</v>
      </c>
      <c r="AF591" s="200">
        <f t="shared" si="2967"/>
        <v>0</v>
      </c>
      <c r="AG591" s="200">
        <f t="shared" si="2967"/>
        <v>0</v>
      </c>
      <c r="AH591" s="171">
        <f t="shared" si="13"/>
        <v>0</v>
      </c>
      <c r="AI591" s="200">
        <f t="shared" si="14"/>
        <v>0</v>
      </c>
      <c r="AJ591" s="200">
        <f t="shared" si="2887"/>
        <v>0</v>
      </c>
      <c r="AK591" s="201">
        <f t="shared" ref="AK591:AS591" si="2968">countif($D591,"*"&amp;AK$2&amp;"*")</f>
        <v>0</v>
      </c>
      <c r="AL591" s="201">
        <f t="shared" si="2968"/>
        <v>0</v>
      </c>
      <c r="AM591" s="201">
        <f t="shared" si="2968"/>
        <v>0</v>
      </c>
      <c r="AN591" s="201">
        <f t="shared" si="2968"/>
        <v>0</v>
      </c>
      <c r="AO591" s="201">
        <f t="shared" si="2968"/>
        <v>0</v>
      </c>
      <c r="AP591" s="201">
        <f t="shared" si="2968"/>
        <v>0</v>
      </c>
      <c r="AQ591" s="201">
        <f t="shared" si="2968"/>
        <v>0</v>
      </c>
      <c r="AR591" s="200">
        <f t="shared" si="2968"/>
        <v>0</v>
      </c>
      <c r="AS591" s="200">
        <f t="shared" si="2968"/>
        <v>0</v>
      </c>
      <c r="AT591" s="173">
        <v>0.0</v>
      </c>
      <c r="AU591" s="200">
        <f t="shared" ref="AU591:AX591" si="2969">countif($D591,"*"&amp;AU$2&amp;"*")</f>
        <v>0</v>
      </c>
      <c r="AV591" s="200">
        <f t="shared" si="2969"/>
        <v>1</v>
      </c>
      <c r="AW591" s="200">
        <f t="shared" si="2969"/>
        <v>0</v>
      </c>
      <c r="AX591" s="200">
        <f t="shared" si="2969"/>
        <v>0</v>
      </c>
      <c r="AY591" s="202">
        <v>0.0</v>
      </c>
      <c r="AZ591" s="200"/>
      <c r="BA591" s="171" t="str">
        <f t="shared" si="18"/>
        <v/>
      </c>
      <c r="BB591" s="171" t="str">
        <f t="shared" si="19"/>
        <v>Code</v>
      </c>
      <c r="BC591" s="171" t="str">
        <f t="shared" si="20"/>
        <v/>
      </c>
      <c r="BD591" s="171" t="str">
        <f t="shared" si="21"/>
        <v/>
      </c>
      <c r="BE591" s="171" t="str">
        <f t="shared" si="22"/>
        <v/>
      </c>
      <c r="BF591" s="171" t="str">
        <f t="shared" si="23"/>
        <v>Code</v>
      </c>
    </row>
    <row r="592">
      <c r="A592" s="171">
        <f t="array" ref="A592">XLOOKUP(C592,ICSE!A:A,ICSE!C:C,,2,1)</f>
        <v>2018</v>
      </c>
      <c r="B592" s="171" t="s">
        <v>5675</v>
      </c>
      <c r="C592" s="160">
        <v>1132.0</v>
      </c>
      <c r="D592" s="161" t="s">
        <v>961</v>
      </c>
      <c r="E592" s="197" t="str">
        <f t="array" ref="E592">XLOOKUP(C592,ICSE!A:A,ICSE!Z:Z,,0,1)</f>
        <v>Publicly available (1)</v>
      </c>
      <c r="F592" s="198" t="s">
        <v>20</v>
      </c>
      <c r="G592" s="163" t="str">
        <f t="array" ref="G592">IF(B592="ICSE",IF(COUNTIFS(B:B,B592,C:C,C592)=XLOOKUP(C592,ICSE!A:A,ICSE!AA:AA,"ERROR",0,1),"OK","ERROR"),IF(B592="FSE",IF(COUNTIFS(B:B,B592,C:C,C592)=XLOOKUP(C592,FSE!A:A,FSE!AA:AA,"ERROR",0,1),"OK","ERROR")))</f>
        <v>OK</v>
      </c>
      <c r="H592" s="199">
        <f t="shared" ref="H592:O592" si="2970">countif($D592,"*"&amp;H$2&amp;"*")</f>
        <v>0</v>
      </c>
      <c r="I592" s="200">
        <f t="shared" si="2970"/>
        <v>0</v>
      </c>
      <c r="J592" s="200">
        <f t="shared" si="2970"/>
        <v>0</v>
      </c>
      <c r="K592" s="200">
        <f t="shared" si="2970"/>
        <v>0</v>
      </c>
      <c r="L592" s="200">
        <f t="shared" si="2970"/>
        <v>0</v>
      </c>
      <c r="M592" s="200">
        <f t="shared" si="2970"/>
        <v>0</v>
      </c>
      <c r="N592" s="200">
        <f t="shared" si="2970"/>
        <v>0</v>
      </c>
      <c r="O592" s="200">
        <f t="shared" si="2970"/>
        <v>0</v>
      </c>
      <c r="P592" s="200">
        <f t="shared" si="9"/>
        <v>1</v>
      </c>
      <c r="Q592" s="200">
        <f t="shared" ref="Q592:AC592" si="2971">countif($D592,"*"&amp;Q$2&amp;"*")</f>
        <v>0</v>
      </c>
      <c r="R592" s="200">
        <f t="shared" si="2971"/>
        <v>0</v>
      </c>
      <c r="S592" s="200">
        <f t="shared" si="2971"/>
        <v>0</v>
      </c>
      <c r="T592" s="200">
        <f t="shared" si="2971"/>
        <v>0</v>
      </c>
      <c r="U592" s="200">
        <f t="shared" si="2971"/>
        <v>0</v>
      </c>
      <c r="V592" s="200">
        <f t="shared" si="2971"/>
        <v>0</v>
      </c>
      <c r="W592" s="200">
        <f t="shared" si="2971"/>
        <v>0</v>
      </c>
      <c r="X592" s="200">
        <f t="shared" si="2971"/>
        <v>0</v>
      </c>
      <c r="Y592" s="200">
        <f t="shared" si="2971"/>
        <v>0</v>
      </c>
      <c r="Z592" s="200">
        <f t="shared" si="2971"/>
        <v>0</v>
      </c>
      <c r="AA592" s="200">
        <f t="shared" si="2971"/>
        <v>0</v>
      </c>
      <c r="AB592" s="200">
        <f t="shared" si="2971"/>
        <v>0</v>
      </c>
      <c r="AC592" s="200">
        <f t="shared" si="2971"/>
        <v>0</v>
      </c>
      <c r="AD592" s="200">
        <f t="shared" si="11"/>
        <v>0</v>
      </c>
      <c r="AE592" s="200">
        <f t="shared" ref="AE592:AG592" si="2972">countif($D592,"*"&amp;AE$2&amp;"*")</f>
        <v>0</v>
      </c>
      <c r="AF592" s="200">
        <f t="shared" si="2972"/>
        <v>0</v>
      </c>
      <c r="AG592" s="200">
        <f t="shared" si="2972"/>
        <v>0</v>
      </c>
      <c r="AH592" s="171">
        <f t="shared" si="13"/>
        <v>0</v>
      </c>
      <c r="AI592" s="200">
        <f t="shared" si="14"/>
        <v>0</v>
      </c>
      <c r="AJ592" s="200">
        <f t="shared" si="2887"/>
        <v>0</v>
      </c>
      <c r="AK592" s="201">
        <f t="shared" ref="AK592:AS592" si="2973">countif($D592,"*"&amp;AK$2&amp;"*")</f>
        <v>0</v>
      </c>
      <c r="AL592" s="201">
        <f t="shared" si="2973"/>
        <v>0</v>
      </c>
      <c r="AM592" s="201">
        <f t="shared" si="2973"/>
        <v>0</v>
      </c>
      <c r="AN592" s="201">
        <f t="shared" si="2973"/>
        <v>0</v>
      </c>
      <c r="AO592" s="201">
        <f t="shared" si="2973"/>
        <v>0</v>
      </c>
      <c r="AP592" s="201">
        <f t="shared" si="2973"/>
        <v>0</v>
      </c>
      <c r="AQ592" s="201">
        <f t="shared" si="2973"/>
        <v>0</v>
      </c>
      <c r="AR592" s="200">
        <f t="shared" si="2973"/>
        <v>0</v>
      </c>
      <c r="AS592" s="200">
        <f t="shared" si="2973"/>
        <v>0</v>
      </c>
      <c r="AT592" s="173">
        <v>0.0</v>
      </c>
      <c r="AU592" s="200">
        <f t="shared" ref="AU592:AX592" si="2974">countif($D592,"*"&amp;AU$2&amp;"*")</f>
        <v>0</v>
      </c>
      <c r="AV592" s="200">
        <f t="shared" si="2974"/>
        <v>1</v>
      </c>
      <c r="AW592" s="200">
        <f t="shared" si="2974"/>
        <v>0</v>
      </c>
      <c r="AX592" s="200">
        <f t="shared" si="2974"/>
        <v>0</v>
      </c>
      <c r="AY592" s="202">
        <v>0.0</v>
      </c>
      <c r="AZ592" s="200"/>
      <c r="BA592" s="171" t="str">
        <f t="shared" si="18"/>
        <v/>
      </c>
      <c r="BB592" s="171" t="str">
        <f t="shared" si="19"/>
        <v>Code</v>
      </c>
      <c r="BC592" s="171" t="str">
        <f t="shared" si="20"/>
        <v/>
      </c>
      <c r="BD592" s="171" t="str">
        <f t="shared" si="21"/>
        <v/>
      </c>
      <c r="BE592" s="171" t="str">
        <f t="shared" si="22"/>
        <v/>
      </c>
      <c r="BF592" s="171" t="str">
        <f t="shared" si="23"/>
        <v>Code</v>
      </c>
    </row>
    <row r="593">
      <c r="A593" s="171">
        <f t="array" ref="A593">XLOOKUP(C593,ICSE!A:A,ICSE!C:C,,2,1)</f>
        <v>2018</v>
      </c>
      <c r="B593" s="171" t="s">
        <v>5675</v>
      </c>
      <c r="C593" s="160">
        <v>1135.0</v>
      </c>
      <c r="D593" s="161" t="s">
        <v>964</v>
      </c>
      <c r="E593" s="197" t="str">
        <f t="array" ref="E593">XLOOKUP(C593,ICSE!A:A,ICSE!Z:Z,,0,1)</f>
        <v>Publicly available (1)</v>
      </c>
      <c r="F593" s="198" t="s">
        <v>20</v>
      </c>
      <c r="G593" s="163" t="str">
        <f t="array" ref="G593">IF(B593="ICSE",IF(COUNTIFS(B:B,B593,C:C,C593)=XLOOKUP(C593,ICSE!A:A,ICSE!AA:AA,"ERROR",0,1),"OK","ERROR"),IF(B593="FSE",IF(COUNTIFS(B:B,B593,C:C,C593)=XLOOKUP(C593,FSE!A:A,FSE!AA:AA,"ERROR",0,1),"OK","ERROR")))</f>
        <v>OK</v>
      </c>
      <c r="H593" s="199">
        <f t="shared" ref="H593:O593" si="2975">countif($D593,"*"&amp;H$2&amp;"*")</f>
        <v>0</v>
      </c>
      <c r="I593" s="200">
        <f t="shared" si="2975"/>
        <v>0</v>
      </c>
      <c r="J593" s="200">
        <f t="shared" si="2975"/>
        <v>0</v>
      </c>
      <c r="K593" s="200">
        <f t="shared" si="2975"/>
        <v>0</v>
      </c>
      <c r="L593" s="200">
        <f t="shared" si="2975"/>
        <v>0</v>
      </c>
      <c r="M593" s="200">
        <f t="shared" si="2975"/>
        <v>0</v>
      </c>
      <c r="N593" s="200">
        <f t="shared" si="2975"/>
        <v>0</v>
      </c>
      <c r="O593" s="200">
        <f t="shared" si="2975"/>
        <v>0</v>
      </c>
      <c r="P593" s="200">
        <f t="shared" si="9"/>
        <v>0</v>
      </c>
      <c r="Q593" s="200">
        <f t="shared" ref="Q593:AC593" si="2976">countif($D593,"*"&amp;Q$2&amp;"*")</f>
        <v>0</v>
      </c>
      <c r="R593" s="200">
        <f t="shared" si="2976"/>
        <v>0</v>
      </c>
      <c r="S593" s="200">
        <f t="shared" si="2976"/>
        <v>0</v>
      </c>
      <c r="T593" s="200">
        <f t="shared" si="2976"/>
        <v>0</v>
      </c>
      <c r="U593" s="200">
        <f t="shared" si="2976"/>
        <v>0</v>
      </c>
      <c r="V593" s="200">
        <f t="shared" si="2976"/>
        <v>0</v>
      </c>
      <c r="W593" s="200">
        <f t="shared" si="2976"/>
        <v>0</v>
      </c>
      <c r="X593" s="200">
        <f t="shared" si="2976"/>
        <v>0</v>
      </c>
      <c r="Y593" s="200">
        <f t="shared" si="2976"/>
        <v>0</v>
      </c>
      <c r="Z593" s="200">
        <f t="shared" si="2976"/>
        <v>0</v>
      </c>
      <c r="AA593" s="200">
        <f t="shared" si="2976"/>
        <v>0</v>
      </c>
      <c r="AB593" s="200">
        <f t="shared" si="2976"/>
        <v>0</v>
      </c>
      <c r="AC593" s="200">
        <f t="shared" si="2976"/>
        <v>0</v>
      </c>
      <c r="AD593" s="200">
        <f t="shared" si="11"/>
        <v>0</v>
      </c>
      <c r="AE593" s="200">
        <f t="shared" ref="AE593:AG593" si="2977">countif($D593,"*"&amp;AE$2&amp;"*")</f>
        <v>0</v>
      </c>
      <c r="AF593" s="200">
        <f t="shared" si="2977"/>
        <v>0</v>
      </c>
      <c r="AG593" s="200">
        <f t="shared" si="2977"/>
        <v>0</v>
      </c>
      <c r="AH593" s="171">
        <f t="shared" si="13"/>
        <v>1</v>
      </c>
      <c r="AI593" s="200">
        <f t="shared" si="14"/>
        <v>0</v>
      </c>
      <c r="AJ593" s="200">
        <f t="shared" si="2887"/>
        <v>0</v>
      </c>
      <c r="AK593" s="201">
        <f t="shared" ref="AK593:AS593" si="2978">countif($D593,"*"&amp;AK$2&amp;"*")</f>
        <v>0</v>
      </c>
      <c r="AL593" s="201">
        <f t="shared" si="2978"/>
        <v>0</v>
      </c>
      <c r="AM593" s="201">
        <f t="shared" si="2978"/>
        <v>0</v>
      </c>
      <c r="AN593" s="201">
        <f t="shared" si="2978"/>
        <v>0</v>
      </c>
      <c r="AO593" s="201">
        <f t="shared" si="2978"/>
        <v>0</v>
      </c>
      <c r="AP593" s="201">
        <f t="shared" si="2978"/>
        <v>0</v>
      </c>
      <c r="AQ593" s="201">
        <f t="shared" si="2978"/>
        <v>0</v>
      </c>
      <c r="AR593" s="200">
        <f t="shared" si="2978"/>
        <v>0</v>
      </c>
      <c r="AS593" s="200">
        <f t="shared" si="2978"/>
        <v>0</v>
      </c>
      <c r="AT593" s="173">
        <v>0.0</v>
      </c>
      <c r="AU593" s="200">
        <f t="shared" ref="AU593:AX593" si="2979">countif($D593,"*"&amp;AU$2&amp;"*")</f>
        <v>0</v>
      </c>
      <c r="AV593" s="200">
        <f t="shared" si="2979"/>
        <v>0</v>
      </c>
      <c r="AW593" s="200">
        <f t="shared" si="2979"/>
        <v>0</v>
      </c>
      <c r="AX593" s="200">
        <f t="shared" si="2979"/>
        <v>0</v>
      </c>
      <c r="AY593" s="202">
        <v>0.0</v>
      </c>
      <c r="AZ593" s="200"/>
      <c r="BA593" s="171" t="str">
        <f t="shared" si="18"/>
        <v/>
      </c>
      <c r="BB593" s="171" t="str">
        <f t="shared" si="19"/>
        <v/>
      </c>
      <c r="BC593" s="171" t="str">
        <f t="shared" si="20"/>
        <v/>
      </c>
      <c r="BD593" s="171" t="str">
        <f t="shared" si="21"/>
        <v/>
      </c>
      <c r="BE593" s="171" t="str">
        <f t="shared" si="22"/>
        <v>Others</v>
      </c>
      <c r="BF593" s="171" t="str">
        <f t="shared" si="23"/>
        <v>Others</v>
      </c>
    </row>
    <row r="594">
      <c r="A594" s="171">
        <f t="array" ref="A594">XLOOKUP(C594,ICSE!A:A,ICSE!C:C,,2,1)</f>
        <v>2018</v>
      </c>
      <c r="B594" s="171" t="s">
        <v>5675</v>
      </c>
      <c r="C594" s="160">
        <v>1136.0</v>
      </c>
      <c r="D594" s="161" t="s">
        <v>968</v>
      </c>
      <c r="E594" s="197" t="str">
        <f t="array" ref="E594">XLOOKUP(C594,ICSE!A:A,ICSE!Z:Z,,0,1)</f>
        <v>Not available (1) - Broken link.</v>
      </c>
      <c r="F594" s="198" t="s">
        <v>21</v>
      </c>
      <c r="G594" s="163" t="str">
        <f t="array" ref="G594">IF(B594="ICSE",IF(COUNTIFS(B:B,B594,C:C,C594)=XLOOKUP(C594,ICSE!A:A,ICSE!AA:AA,"ERROR",0,1),"OK","ERROR"),IF(B594="FSE",IF(COUNTIFS(B:B,B594,C:C,C594)=XLOOKUP(C594,FSE!A:A,FSE!AA:AA,"ERROR",0,1),"OK","ERROR")))</f>
        <v>OK</v>
      </c>
      <c r="H594" s="199">
        <f t="shared" ref="H594:O594" si="2980">countif($D594,"*"&amp;H$2&amp;"*")</f>
        <v>0</v>
      </c>
      <c r="I594" s="200">
        <f t="shared" si="2980"/>
        <v>0</v>
      </c>
      <c r="J594" s="200">
        <f t="shared" si="2980"/>
        <v>0</v>
      </c>
      <c r="K594" s="200">
        <f t="shared" si="2980"/>
        <v>0</v>
      </c>
      <c r="L594" s="200">
        <f t="shared" si="2980"/>
        <v>0</v>
      </c>
      <c r="M594" s="200">
        <f t="shared" si="2980"/>
        <v>0</v>
      </c>
      <c r="N594" s="200">
        <f t="shared" si="2980"/>
        <v>0</v>
      </c>
      <c r="O594" s="200">
        <f t="shared" si="2980"/>
        <v>0</v>
      </c>
      <c r="P594" s="200">
        <f t="shared" si="9"/>
        <v>0</v>
      </c>
      <c r="Q594" s="200">
        <f t="shared" ref="Q594:AC594" si="2981">countif($D594,"*"&amp;Q$2&amp;"*")</f>
        <v>0</v>
      </c>
      <c r="R594" s="200">
        <f t="shared" si="2981"/>
        <v>0</v>
      </c>
      <c r="S594" s="200">
        <f t="shared" si="2981"/>
        <v>0</v>
      </c>
      <c r="T594" s="200">
        <f t="shared" si="2981"/>
        <v>0</v>
      </c>
      <c r="U594" s="200">
        <f t="shared" si="2981"/>
        <v>0</v>
      </c>
      <c r="V594" s="200">
        <f t="shared" si="2981"/>
        <v>0</v>
      </c>
      <c r="W594" s="200">
        <f t="shared" si="2981"/>
        <v>0</v>
      </c>
      <c r="X594" s="200">
        <f t="shared" si="2981"/>
        <v>0</v>
      </c>
      <c r="Y594" s="200">
        <f t="shared" si="2981"/>
        <v>0</v>
      </c>
      <c r="Z594" s="200">
        <f t="shared" si="2981"/>
        <v>0</v>
      </c>
      <c r="AA594" s="200">
        <f t="shared" si="2981"/>
        <v>0</v>
      </c>
      <c r="AB594" s="200">
        <f t="shared" si="2981"/>
        <v>0</v>
      </c>
      <c r="AC594" s="200">
        <f t="shared" si="2981"/>
        <v>0</v>
      </c>
      <c r="AD594" s="200">
        <f t="shared" si="11"/>
        <v>1</v>
      </c>
      <c r="AE594" s="200">
        <f t="shared" ref="AE594:AG594" si="2982">countif($D594,"*"&amp;AE$2&amp;"*")</f>
        <v>0</v>
      </c>
      <c r="AF594" s="200">
        <f t="shared" si="2982"/>
        <v>0</v>
      </c>
      <c r="AG594" s="200">
        <f t="shared" si="2982"/>
        <v>0</v>
      </c>
      <c r="AH594" s="171">
        <f t="shared" si="13"/>
        <v>0</v>
      </c>
      <c r="AI594" s="200">
        <f t="shared" si="14"/>
        <v>0</v>
      </c>
      <c r="AJ594" s="200">
        <f>SUM(AK594:AQ594)</f>
        <v>0</v>
      </c>
      <c r="AK594" s="201">
        <f t="shared" ref="AK594:AS594" si="2983">countif($D594,"*"&amp;AK$2&amp;"*")</f>
        <v>0</v>
      </c>
      <c r="AL594" s="201">
        <f t="shared" si="2983"/>
        <v>0</v>
      </c>
      <c r="AM594" s="201">
        <f t="shared" si="2983"/>
        <v>0</v>
      </c>
      <c r="AN594" s="201">
        <f t="shared" si="2983"/>
        <v>0</v>
      </c>
      <c r="AO594" s="201">
        <f t="shared" si="2983"/>
        <v>0</v>
      </c>
      <c r="AP594" s="201">
        <f t="shared" si="2983"/>
        <v>0</v>
      </c>
      <c r="AQ594" s="201">
        <f t="shared" si="2983"/>
        <v>0</v>
      </c>
      <c r="AR594" s="201">
        <f t="shared" si="2983"/>
        <v>0</v>
      </c>
      <c r="AS594" s="200">
        <f t="shared" si="2983"/>
        <v>0</v>
      </c>
      <c r="AT594" s="205">
        <v>0.0</v>
      </c>
      <c r="AU594" s="200">
        <f t="shared" ref="AU594:AX594" si="2984">countif($D594,"*"&amp;AU$2&amp;"*")</f>
        <v>1</v>
      </c>
      <c r="AV594" s="200">
        <f t="shared" si="2984"/>
        <v>0</v>
      </c>
      <c r="AW594" s="200">
        <f t="shared" si="2984"/>
        <v>0</v>
      </c>
      <c r="AX594" s="200">
        <f t="shared" si="2984"/>
        <v>0</v>
      </c>
      <c r="AY594" s="202">
        <v>0.0</v>
      </c>
      <c r="AZ594" s="200"/>
      <c r="BA594" s="171" t="str">
        <f t="shared" si="18"/>
        <v/>
      </c>
      <c r="BB594" s="171" t="str">
        <f t="shared" si="19"/>
        <v/>
      </c>
      <c r="BC594" s="171" t="str">
        <f t="shared" si="20"/>
        <v/>
      </c>
      <c r="BD594" s="171" t="str">
        <f t="shared" si="21"/>
        <v>Institutional</v>
      </c>
      <c r="BE594" s="171" t="str">
        <f t="shared" si="22"/>
        <v/>
      </c>
      <c r="BF594" s="171" t="str">
        <f t="shared" si="23"/>
        <v>Institutional</v>
      </c>
    </row>
    <row r="595">
      <c r="A595" s="171">
        <f t="array" ref="A595">XLOOKUP(C595,ICSE!A:A,ICSE!C:C,,2,1)</f>
        <v>2018</v>
      </c>
      <c r="B595" s="171" t="s">
        <v>5675</v>
      </c>
      <c r="C595" s="160">
        <v>1137.0</v>
      </c>
      <c r="D595" s="161" t="s">
        <v>971</v>
      </c>
      <c r="E595" s="197" t="str">
        <f t="array" ref="E595">XLOOKUP(C595,ICSE!A:A,ICSE!Z:Z,,0,1)</f>
        <v>Publicly available (1)</v>
      </c>
      <c r="F595" s="198" t="s">
        <v>20</v>
      </c>
      <c r="G595" s="163" t="str">
        <f t="array" ref="G595">IF(B595="ICSE",IF(COUNTIFS(B:B,B595,C:C,C595)=XLOOKUP(C595,ICSE!A:A,ICSE!AA:AA,"ERROR",0,1),"OK","ERROR"),IF(B595="FSE",IF(COUNTIFS(B:B,B595,C:C,C595)=XLOOKUP(C595,FSE!A:A,FSE!AA:AA,"ERROR",0,1),"OK","ERROR")))</f>
        <v>OK</v>
      </c>
      <c r="H595" s="199">
        <f t="shared" ref="H595:O595" si="2985">countif($D595,"*"&amp;H$2&amp;"*")</f>
        <v>0</v>
      </c>
      <c r="I595" s="200">
        <f t="shared" si="2985"/>
        <v>0</v>
      </c>
      <c r="J595" s="200">
        <f t="shared" si="2985"/>
        <v>0</v>
      </c>
      <c r="K595" s="200">
        <f t="shared" si="2985"/>
        <v>0</v>
      </c>
      <c r="L595" s="200">
        <f t="shared" si="2985"/>
        <v>0</v>
      </c>
      <c r="M595" s="200">
        <f t="shared" si="2985"/>
        <v>0</v>
      </c>
      <c r="N595" s="200">
        <f t="shared" si="2985"/>
        <v>0</v>
      </c>
      <c r="O595" s="200">
        <f t="shared" si="2985"/>
        <v>0</v>
      </c>
      <c r="P595" s="200">
        <f t="shared" si="9"/>
        <v>1</v>
      </c>
      <c r="Q595" s="200">
        <f t="shared" ref="Q595:AC595" si="2986">countif($D595,"*"&amp;Q$2&amp;"*")</f>
        <v>0</v>
      </c>
      <c r="R595" s="200">
        <f t="shared" si="2986"/>
        <v>0</v>
      </c>
      <c r="S595" s="200">
        <f t="shared" si="2986"/>
        <v>0</v>
      </c>
      <c r="T595" s="200">
        <f t="shared" si="2986"/>
        <v>0</v>
      </c>
      <c r="U595" s="200">
        <f t="shared" si="2986"/>
        <v>0</v>
      </c>
      <c r="V595" s="200">
        <f t="shared" si="2986"/>
        <v>0</v>
      </c>
      <c r="W595" s="200">
        <f t="shared" si="2986"/>
        <v>0</v>
      </c>
      <c r="X595" s="200">
        <f t="shared" si="2986"/>
        <v>0</v>
      </c>
      <c r="Y595" s="200">
        <f t="shared" si="2986"/>
        <v>0</v>
      </c>
      <c r="Z595" s="200">
        <f t="shared" si="2986"/>
        <v>0</v>
      </c>
      <c r="AA595" s="200">
        <f t="shared" si="2986"/>
        <v>0</v>
      </c>
      <c r="AB595" s="200">
        <f t="shared" si="2986"/>
        <v>0</v>
      </c>
      <c r="AC595" s="200">
        <f t="shared" si="2986"/>
        <v>0</v>
      </c>
      <c r="AD595" s="200">
        <f t="shared" si="11"/>
        <v>0</v>
      </c>
      <c r="AE595" s="200">
        <f t="shared" ref="AE595:AG595" si="2987">countif($D595,"*"&amp;AE$2&amp;"*")</f>
        <v>0</v>
      </c>
      <c r="AF595" s="200">
        <f t="shared" si="2987"/>
        <v>0</v>
      </c>
      <c r="AG595" s="200">
        <f t="shared" si="2987"/>
        <v>0</v>
      </c>
      <c r="AH595" s="171">
        <f t="shared" si="13"/>
        <v>0</v>
      </c>
      <c r="AI595" s="200">
        <f t="shared" si="14"/>
        <v>0</v>
      </c>
      <c r="AJ595" s="200">
        <f t="shared" ref="AJ595:AJ598" si="2993">SUM(AK595:AR595)</f>
        <v>0</v>
      </c>
      <c r="AK595" s="201">
        <f t="shared" ref="AK595:AS595" si="2988">countif($D595,"*"&amp;AK$2&amp;"*")</f>
        <v>0</v>
      </c>
      <c r="AL595" s="201">
        <f t="shared" si="2988"/>
        <v>0</v>
      </c>
      <c r="AM595" s="201">
        <f t="shared" si="2988"/>
        <v>0</v>
      </c>
      <c r="AN595" s="201">
        <f t="shared" si="2988"/>
        <v>0</v>
      </c>
      <c r="AO595" s="201">
        <f t="shared" si="2988"/>
        <v>0</v>
      </c>
      <c r="AP595" s="201">
        <f t="shared" si="2988"/>
        <v>0</v>
      </c>
      <c r="AQ595" s="201">
        <f t="shared" si="2988"/>
        <v>0</v>
      </c>
      <c r="AR595" s="200">
        <f t="shared" si="2988"/>
        <v>0</v>
      </c>
      <c r="AS595" s="200">
        <f t="shared" si="2988"/>
        <v>0</v>
      </c>
      <c r="AT595" s="173">
        <v>0.0</v>
      </c>
      <c r="AU595" s="200">
        <f t="shared" ref="AU595:AX595" si="2989">countif($D595,"*"&amp;AU$2&amp;"*")</f>
        <v>0</v>
      </c>
      <c r="AV595" s="200">
        <f t="shared" si="2989"/>
        <v>1</v>
      </c>
      <c r="AW595" s="200">
        <f t="shared" si="2989"/>
        <v>0</v>
      </c>
      <c r="AX595" s="200">
        <f t="shared" si="2989"/>
        <v>0</v>
      </c>
      <c r="AY595" s="202">
        <v>0.0</v>
      </c>
      <c r="AZ595" s="200"/>
      <c r="BA595" s="171" t="str">
        <f t="shared" si="18"/>
        <v/>
      </c>
      <c r="BB595" s="171" t="str">
        <f t="shared" si="19"/>
        <v>Code</v>
      </c>
      <c r="BC595" s="171" t="str">
        <f t="shared" si="20"/>
        <v/>
      </c>
      <c r="BD595" s="171" t="str">
        <f t="shared" si="21"/>
        <v/>
      </c>
      <c r="BE595" s="171" t="str">
        <f t="shared" si="22"/>
        <v/>
      </c>
      <c r="BF595" s="171" t="str">
        <f t="shared" si="23"/>
        <v>Code</v>
      </c>
    </row>
    <row r="596">
      <c r="A596" s="171">
        <f t="array" ref="A596">XLOOKUP(C596,ICSE!A:A,ICSE!C:C,,2,1)</f>
        <v>2018</v>
      </c>
      <c r="B596" s="171" t="s">
        <v>5675</v>
      </c>
      <c r="C596" s="160">
        <v>1138.0</v>
      </c>
      <c r="D596" s="161" t="s">
        <v>974</v>
      </c>
      <c r="E596" s="197" t="str">
        <f t="array" ref="E596">XLOOKUP(C596,ICSE!A:A,ICSE!Z:Z,,0,1)</f>
        <v>Publicly available (1)</v>
      </c>
      <c r="F596" s="198" t="s">
        <v>20</v>
      </c>
      <c r="G596" s="163" t="str">
        <f t="array" ref="G596">IF(B596="ICSE",IF(COUNTIFS(B:B,B596,C:C,C596)=XLOOKUP(C596,ICSE!A:A,ICSE!AA:AA,"ERROR",0,1),"OK","ERROR"),IF(B596="FSE",IF(COUNTIFS(B:B,B596,C:C,C596)=XLOOKUP(C596,FSE!A:A,FSE!AA:AA,"ERROR",0,1),"OK","ERROR")))</f>
        <v>OK</v>
      </c>
      <c r="H596" s="199">
        <f t="shared" ref="H596:O596" si="2990">countif($D596,"*"&amp;H$2&amp;"*")</f>
        <v>0</v>
      </c>
      <c r="I596" s="200">
        <f t="shared" si="2990"/>
        <v>0</v>
      </c>
      <c r="J596" s="200">
        <f t="shared" si="2990"/>
        <v>0</v>
      </c>
      <c r="K596" s="200">
        <f t="shared" si="2990"/>
        <v>0</v>
      </c>
      <c r="L596" s="200">
        <f t="shared" si="2990"/>
        <v>0</v>
      </c>
      <c r="M596" s="200">
        <f t="shared" si="2990"/>
        <v>0</v>
      </c>
      <c r="N596" s="200">
        <f t="shared" si="2990"/>
        <v>0</v>
      </c>
      <c r="O596" s="200">
        <f t="shared" si="2990"/>
        <v>0</v>
      </c>
      <c r="P596" s="200">
        <f t="shared" si="9"/>
        <v>0</v>
      </c>
      <c r="Q596" s="200">
        <f t="shared" ref="Q596:AC596" si="2991">countif($D596,"*"&amp;Q$2&amp;"*")</f>
        <v>0</v>
      </c>
      <c r="R596" s="200">
        <f t="shared" si="2991"/>
        <v>0</v>
      </c>
      <c r="S596" s="200">
        <f t="shared" si="2991"/>
        <v>0</v>
      </c>
      <c r="T596" s="200">
        <f t="shared" si="2991"/>
        <v>0</v>
      </c>
      <c r="U596" s="200">
        <f t="shared" si="2991"/>
        <v>0</v>
      </c>
      <c r="V596" s="200">
        <f t="shared" si="2991"/>
        <v>0</v>
      </c>
      <c r="W596" s="200">
        <f t="shared" si="2991"/>
        <v>0</v>
      </c>
      <c r="X596" s="200">
        <f t="shared" si="2991"/>
        <v>0</v>
      </c>
      <c r="Y596" s="200">
        <f t="shared" si="2991"/>
        <v>0</v>
      </c>
      <c r="Z596" s="200">
        <f t="shared" si="2991"/>
        <v>0</v>
      </c>
      <c r="AA596" s="200">
        <f t="shared" si="2991"/>
        <v>0</v>
      </c>
      <c r="AB596" s="200">
        <f t="shared" si="2991"/>
        <v>0</v>
      </c>
      <c r="AC596" s="200">
        <f t="shared" si="2991"/>
        <v>0</v>
      </c>
      <c r="AD596" s="200">
        <f t="shared" si="11"/>
        <v>0</v>
      </c>
      <c r="AE596" s="200">
        <f t="shared" ref="AE596:AG596" si="2992">countif($D596,"*"&amp;AE$2&amp;"*")</f>
        <v>0</v>
      </c>
      <c r="AF596" s="200">
        <f t="shared" si="2992"/>
        <v>0</v>
      </c>
      <c r="AG596" s="200">
        <f t="shared" si="2992"/>
        <v>0</v>
      </c>
      <c r="AH596" s="171">
        <f t="shared" si="13"/>
        <v>1</v>
      </c>
      <c r="AI596" s="200">
        <f t="shared" si="14"/>
        <v>0</v>
      </c>
      <c r="AJ596" s="200">
        <f t="shared" si="2993"/>
        <v>0</v>
      </c>
      <c r="AK596" s="201">
        <f t="shared" ref="AK596:AS596" si="2994">countif($D596,"*"&amp;AK$2&amp;"*")</f>
        <v>0</v>
      </c>
      <c r="AL596" s="201">
        <f t="shared" si="2994"/>
        <v>0</v>
      </c>
      <c r="AM596" s="201">
        <f t="shared" si="2994"/>
        <v>0</v>
      </c>
      <c r="AN596" s="201">
        <f t="shared" si="2994"/>
        <v>0</v>
      </c>
      <c r="AO596" s="201">
        <f t="shared" si="2994"/>
        <v>0</v>
      </c>
      <c r="AP596" s="201">
        <f t="shared" si="2994"/>
        <v>0</v>
      </c>
      <c r="AQ596" s="201">
        <f t="shared" si="2994"/>
        <v>0</v>
      </c>
      <c r="AR596" s="200">
        <f t="shared" si="2994"/>
        <v>0</v>
      </c>
      <c r="AS596" s="200">
        <f t="shared" si="2994"/>
        <v>0</v>
      </c>
      <c r="AT596" s="173">
        <v>0.0</v>
      </c>
      <c r="AU596" s="200">
        <f t="shared" ref="AU596:AX596" si="2995">countif($D596,"*"&amp;AU$2&amp;"*")</f>
        <v>0</v>
      </c>
      <c r="AV596" s="200">
        <f t="shared" si="2995"/>
        <v>0</v>
      </c>
      <c r="AW596" s="200">
        <f t="shared" si="2995"/>
        <v>0</v>
      </c>
      <c r="AX596" s="200">
        <f t="shared" si="2995"/>
        <v>0</v>
      </c>
      <c r="AY596" s="202">
        <v>0.0</v>
      </c>
      <c r="AZ596" s="200"/>
      <c r="BA596" s="171" t="str">
        <f t="shared" si="18"/>
        <v/>
      </c>
      <c r="BB596" s="171" t="str">
        <f t="shared" si="19"/>
        <v/>
      </c>
      <c r="BC596" s="171" t="str">
        <f t="shared" si="20"/>
        <v/>
      </c>
      <c r="BD596" s="171" t="str">
        <f t="shared" si="21"/>
        <v/>
      </c>
      <c r="BE596" s="171" t="str">
        <f t="shared" si="22"/>
        <v>Others</v>
      </c>
      <c r="BF596" s="171" t="str">
        <f t="shared" si="23"/>
        <v>Others</v>
      </c>
    </row>
    <row r="597">
      <c r="A597" s="171">
        <f t="array" ref="A597">XLOOKUP(C597,ICSE!A:A,ICSE!C:C,,2,1)</f>
        <v>2018</v>
      </c>
      <c r="B597" s="171" t="s">
        <v>5675</v>
      </c>
      <c r="C597" s="160">
        <v>1139.0</v>
      </c>
      <c r="D597" s="161" t="s">
        <v>977</v>
      </c>
      <c r="E597" s="197" t="str">
        <f t="array" ref="E597">XLOOKUP(C597,ICSE!A:A,ICSE!Z:Z,,0,1)</f>
        <v>Publicly available (1)</v>
      </c>
      <c r="F597" s="198" t="s">
        <v>20</v>
      </c>
      <c r="G597" s="163" t="str">
        <f t="array" ref="G597">IF(B597="ICSE",IF(COUNTIFS(B:B,B597,C:C,C597)=XLOOKUP(C597,ICSE!A:A,ICSE!AA:AA,"ERROR",0,1),"OK","ERROR"),IF(B597="FSE",IF(COUNTIFS(B:B,B597,C:C,C597)=XLOOKUP(C597,FSE!A:A,FSE!AA:AA,"ERROR",0,1),"OK","ERROR")))</f>
        <v>OK</v>
      </c>
      <c r="H597" s="199">
        <f t="shared" ref="H597:O597" si="2996">countif($D597,"*"&amp;H$2&amp;"*")</f>
        <v>0</v>
      </c>
      <c r="I597" s="200">
        <f t="shared" si="2996"/>
        <v>0</v>
      </c>
      <c r="J597" s="200">
        <f t="shared" si="2996"/>
        <v>0</v>
      </c>
      <c r="K597" s="200">
        <f t="shared" si="2996"/>
        <v>0</v>
      </c>
      <c r="L597" s="200">
        <f t="shared" si="2996"/>
        <v>0</v>
      </c>
      <c r="M597" s="200">
        <f t="shared" si="2996"/>
        <v>0</v>
      </c>
      <c r="N597" s="200">
        <f t="shared" si="2996"/>
        <v>0</v>
      </c>
      <c r="O597" s="200">
        <f t="shared" si="2996"/>
        <v>0</v>
      </c>
      <c r="P597" s="200">
        <f t="shared" si="9"/>
        <v>1</v>
      </c>
      <c r="Q597" s="200">
        <f t="shared" ref="Q597:AC597" si="2997">countif($D597,"*"&amp;Q$2&amp;"*")</f>
        <v>0</v>
      </c>
      <c r="R597" s="200">
        <f t="shared" si="2997"/>
        <v>0</v>
      </c>
      <c r="S597" s="200">
        <f t="shared" si="2997"/>
        <v>0</v>
      </c>
      <c r="T597" s="200">
        <f t="shared" si="2997"/>
        <v>0</v>
      </c>
      <c r="U597" s="200">
        <f t="shared" si="2997"/>
        <v>0</v>
      </c>
      <c r="V597" s="200">
        <f t="shared" si="2997"/>
        <v>0</v>
      </c>
      <c r="W597" s="200">
        <f t="shared" si="2997"/>
        <v>0</v>
      </c>
      <c r="X597" s="200">
        <f t="shared" si="2997"/>
        <v>0</v>
      </c>
      <c r="Y597" s="200">
        <f t="shared" si="2997"/>
        <v>0</v>
      </c>
      <c r="Z597" s="200">
        <f t="shared" si="2997"/>
        <v>0</v>
      </c>
      <c r="AA597" s="200">
        <f t="shared" si="2997"/>
        <v>0</v>
      </c>
      <c r="AB597" s="200">
        <f t="shared" si="2997"/>
        <v>0</v>
      </c>
      <c r="AC597" s="200">
        <f t="shared" si="2997"/>
        <v>0</v>
      </c>
      <c r="AD597" s="200">
        <f t="shared" si="11"/>
        <v>0</v>
      </c>
      <c r="AE597" s="200">
        <f t="shared" ref="AE597:AG597" si="2998">countif($D597,"*"&amp;AE$2&amp;"*")</f>
        <v>0</v>
      </c>
      <c r="AF597" s="200">
        <f t="shared" si="2998"/>
        <v>0</v>
      </c>
      <c r="AG597" s="200">
        <f t="shared" si="2998"/>
        <v>0</v>
      </c>
      <c r="AH597" s="171">
        <f t="shared" si="13"/>
        <v>0</v>
      </c>
      <c r="AI597" s="200">
        <f t="shared" si="14"/>
        <v>0</v>
      </c>
      <c r="AJ597" s="200">
        <f t="shared" si="2993"/>
        <v>0</v>
      </c>
      <c r="AK597" s="201">
        <f t="shared" ref="AK597:AS597" si="2999">countif($D597,"*"&amp;AK$2&amp;"*")</f>
        <v>0</v>
      </c>
      <c r="AL597" s="201">
        <f t="shared" si="2999"/>
        <v>0</v>
      </c>
      <c r="AM597" s="201">
        <f t="shared" si="2999"/>
        <v>0</v>
      </c>
      <c r="AN597" s="201">
        <f t="shared" si="2999"/>
        <v>0</v>
      </c>
      <c r="AO597" s="201">
        <f t="shared" si="2999"/>
        <v>0</v>
      </c>
      <c r="AP597" s="201">
        <f t="shared" si="2999"/>
        <v>0</v>
      </c>
      <c r="AQ597" s="201">
        <f t="shared" si="2999"/>
        <v>0</v>
      </c>
      <c r="AR597" s="200">
        <f t="shared" si="2999"/>
        <v>0</v>
      </c>
      <c r="AS597" s="200">
        <f t="shared" si="2999"/>
        <v>0</v>
      </c>
      <c r="AT597" s="173">
        <v>0.0</v>
      </c>
      <c r="AU597" s="200">
        <f t="shared" ref="AU597:AX597" si="3000">countif($D597,"*"&amp;AU$2&amp;"*")</f>
        <v>0</v>
      </c>
      <c r="AV597" s="200">
        <f t="shared" si="3000"/>
        <v>1</v>
      </c>
      <c r="AW597" s="200">
        <f t="shared" si="3000"/>
        <v>0</v>
      </c>
      <c r="AX597" s="200">
        <f t="shared" si="3000"/>
        <v>0</v>
      </c>
      <c r="AY597" s="202">
        <v>0.0</v>
      </c>
      <c r="AZ597" s="200"/>
      <c r="BA597" s="171" t="str">
        <f t="shared" si="18"/>
        <v/>
      </c>
      <c r="BB597" s="171" t="str">
        <f t="shared" si="19"/>
        <v>Code</v>
      </c>
      <c r="BC597" s="171" t="str">
        <f t="shared" si="20"/>
        <v/>
      </c>
      <c r="BD597" s="171" t="str">
        <f t="shared" si="21"/>
        <v/>
      </c>
      <c r="BE597" s="171" t="str">
        <f t="shared" si="22"/>
        <v/>
      </c>
      <c r="BF597" s="171" t="str">
        <f t="shared" si="23"/>
        <v>Code</v>
      </c>
    </row>
    <row r="598">
      <c r="A598" s="171">
        <f t="array" ref="A598">XLOOKUP(C598,ICSE!A:A,ICSE!C:C,,2,1)</f>
        <v>2018</v>
      </c>
      <c r="B598" s="171" t="s">
        <v>5675</v>
      </c>
      <c r="C598" s="160">
        <v>1140.0</v>
      </c>
      <c r="D598" s="161" t="s">
        <v>980</v>
      </c>
      <c r="E598" s="197" t="str">
        <f t="array" ref="E598">XLOOKUP(C598,ICSE!A:A,ICSE!Z:Z,,0,1)</f>
        <v>Publicly available (1)</v>
      </c>
      <c r="F598" s="198" t="s">
        <v>20</v>
      </c>
      <c r="G598" s="163" t="str">
        <f t="array" ref="G598">IF(B598="ICSE",IF(COUNTIFS(B:B,B598,C:C,C598)=XLOOKUP(C598,ICSE!A:A,ICSE!AA:AA,"ERROR",0,1),"OK","ERROR"),IF(B598="FSE",IF(COUNTIFS(B:B,B598,C:C,C598)=XLOOKUP(C598,FSE!A:A,FSE!AA:AA,"ERROR",0,1),"OK","ERROR")))</f>
        <v>OK</v>
      </c>
      <c r="H598" s="199">
        <f t="shared" ref="H598:O598" si="3001">countif($D598,"*"&amp;H$2&amp;"*")</f>
        <v>0</v>
      </c>
      <c r="I598" s="200">
        <f t="shared" si="3001"/>
        <v>0</v>
      </c>
      <c r="J598" s="200">
        <f t="shared" si="3001"/>
        <v>0</v>
      </c>
      <c r="K598" s="200">
        <f t="shared" si="3001"/>
        <v>0</v>
      </c>
      <c r="L598" s="200">
        <f t="shared" si="3001"/>
        <v>0</v>
      </c>
      <c r="M598" s="200">
        <f t="shared" si="3001"/>
        <v>0</v>
      </c>
      <c r="N598" s="200">
        <f t="shared" si="3001"/>
        <v>0</v>
      </c>
      <c r="O598" s="200">
        <f t="shared" si="3001"/>
        <v>0</v>
      </c>
      <c r="P598" s="200">
        <f t="shared" si="9"/>
        <v>1</v>
      </c>
      <c r="Q598" s="200">
        <f t="shared" ref="Q598:AC598" si="3002">countif($D598,"*"&amp;Q$2&amp;"*")</f>
        <v>0</v>
      </c>
      <c r="R598" s="200">
        <f t="shared" si="3002"/>
        <v>0</v>
      </c>
      <c r="S598" s="200">
        <f t="shared" si="3002"/>
        <v>0</v>
      </c>
      <c r="T598" s="200">
        <f t="shared" si="3002"/>
        <v>0</v>
      </c>
      <c r="U598" s="200">
        <f t="shared" si="3002"/>
        <v>0</v>
      </c>
      <c r="V598" s="200">
        <f t="shared" si="3002"/>
        <v>0</v>
      </c>
      <c r="W598" s="200">
        <f t="shared" si="3002"/>
        <v>0</v>
      </c>
      <c r="X598" s="200">
        <f t="shared" si="3002"/>
        <v>0</v>
      </c>
      <c r="Y598" s="200">
        <f t="shared" si="3002"/>
        <v>0</v>
      </c>
      <c r="Z598" s="200">
        <f t="shared" si="3002"/>
        <v>0</v>
      </c>
      <c r="AA598" s="200">
        <f t="shared" si="3002"/>
        <v>0</v>
      </c>
      <c r="AB598" s="200">
        <f t="shared" si="3002"/>
        <v>0</v>
      </c>
      <c r="AC598" s="200">
        <f t="shared" si="3002"/>
        <v>0</v>
      </c>
      <c r="AD598" s="200">
        <f t="shared" si="11"/>
        <v>0</v>
      </c>
      <c r="AE598" s="200">
        <f t="shared" ref="AE598:AG598" si="3003">countif($D598,"*"&amp;AE$2&amp;"*")</f>
        <v>0</v>
      </c>
      <c r="AF598" s="200">
        <f t="shared" si="3003"/>
        <v>0</v>
      </c>
      <c r="AG598" s="200">
        <f t="shared" si="3003"/>
        <v>0</v>
      </c>
      <c r="AH598" s="171">
        <f t="shared" si="13"/>
        <v>0</v>
      </c>
      <c r="AI598" s="200">
        <f t="shared" si="14"/>
        <v>0</v>
      </c>
      <c r="AJ598" s="200">
        <f t="shared" si="2993"/>
        <v>0</v>
      </c>
      <c r="AK598" s="201">
        <f t="shared" ref="AK598:AS598" si="3004">countif($D598,"*"&amp;AK$2&amp;"*")</f>
        <v>0</v>
      </c>
      <c r="AL598" s="201">
        <f t="shared" si="3004"/>
        <v>0</v>
      </c>
      <c r="AM598" s="201">
        <f t="shared" si="3004"/>
        <v>0</v>
      </c>
      <c r="AN598" s="201">
        <f t="shared" si="3004"/>
        <v>0</v>
      </c>
      <c r="AO598" s="201">
        <f t="shared" si="3004"/>
        <v>0</v>
      </c>
      <c r="AP598" s="201">
        <f t="shared" si="3004"/>
        <v>0</v>
      </c>
      <c r="AQ598" s="201">
        <f t="shared" si="3004"/>
        <v>0</v>
      </c>
      <c r="AR598" s="200">
        <f t="shared" si="3004"/>
        <v>0</v>
      </c>
      <c r="AS598" s="200">
        <f t="shared" si="3004"/>
        <v>0</v>
      </c>
      <c r="AT598" s="173">
        <v>0.0</v>
      </c>
      <c r="AU598" s="200">
        <f t="shared" ref="AU598:AX598" si="3005">countif($D598,"*"&amp;AU$2&amp;"*")</f>
        <v>0</v>
      </c>
      <c r="AV598" s="200">
        <f t="shared" si="3005"/>
        <v>1</v>
      </c>
      <c r="AW598" s="200">
        <f t="shared" si="3005"/>
        <v>0</v>
      </c>
      <c r="AX598" s="200">
        <f t="shared" si="3005"/>
        <v>0</v>
      </c>
      <c r="AY598" s="202">
        <v>0.0</v>
      </c>
      <c r="AZ598" s="200"/>
      <c r="BA598" s="171" t="str">
        <f t="shared" si="18"/>
        <v/>
      </c>
      <c r="BB598" s="171" t="str">
        <f t="shared" si="19"/>
        <v>Code</v>
      </c>
      <c r="BC598" s="171" t="str">
        <f t="shared" si="20"/>
        <v/>
      </c>
      <c r="BD598" s="171" t="str">
        <f t="shared" si="21"/>
        <v/>
      </c>
      <c r="BE598" s="171" t="str">
        <f t="shared" si="22"/>
        <v/>
      </c>
      <c r="BF598" s="171" t="str">
        <f t="shared" si="23"/>
        <v>Code</v>
      </c>
    </row>
    <row r="599">
      <c r="A599" s="171">
        <f t="array" ref="A599">XLOOKUP(C599,ICSE!A:A,ICSE!C:C,,2,1)</f>
        <v>2018</v>
      </c>
      <c r="B599" s="171" t="s">
        <v>5675</v>
      </c>
      <c r="C599" s="160">
        <v>1141.0</v>
      </c>
      <c r="D599" s="161" t="s">
        <v>983</v>
      </c>
      <c r="E599" s="197" t="str">
        <f t="array" ref="E599">XLOOKUP(C599,ICSE!A:A,ICSE!Z:Z,,0,1)</f>
        <v>Not available (1) - Broken link.</v>
      </c>
      <c r="F599" s="198" t="s">
        <v>21</v>
      </c>
      <c r="G599" s="163" t="str">
        <f t="array" ref="G599">IF(B599="ICSE",IF(COUNTIFS(B:B,B599,C:C,C599)=XLOOKUP(C599,ICSE!A:A,ICSE!AA:AA,"ERROR",0,1),"OK","ERROR"),IF(B599="FSE",IF(COUNTIFS(B:B,B599,C:C,C599)=XLOOKUP(C599,FSE!A:A,FSE!AA:AA,"ERROR",0,1),"OK","ERROR")))</f>
        <v>OK</v>
      </c>
      <c r="H599" s="199">
        <f t="shared" ref="H599:O599" si="3006">countif($D599,"*"&amp;H$2&amp;"*")</f>
        <v>0</v>
      </c>
      <c r="I599" s="200">
        <f t="shared" si="3006"/>
        <v>0</v>
      </c>
      <c r="J599" s="200">
        <f t="shared" si="3006"/>
        <v>0</v>
      </c>
      <c r="K599" s="200">
        <f t="shared" si="3006"/>
        <v>0</v>
      </c>
      <c r="L599" s="200">
        <f t="shared" si="3006"/>
        <v>0</v>
      </c>
      <c r="M599" s="200">
        <f t="shared" si="3006"/>
        <v>0</v>
      </c>
      <c r="N599" s="200">
        <f t="shared" si="3006"/>
        <v>0</v>
      </c>
      <c r="O599" s="200">
        <f t="shared" si="3006"/>
        <v>0</v>
      </c>
      <c r="P599" s="200">
        <f t="shared" si="9"/>
        <v>0</v>
      </c>
      <c r="Q599" s="200">
        <f t="shared" ref="Q599:AC599" si="3007">countif($D599,"*"&amp;Q$2&amp;"*")</f>
        <v>0</v>
      </c>
      <c r="R599" s="200">
        <f t="shared" si="3007"/>
        <v>0</v>
      </c>
      <c r="S599" s="200">
        <f t="shared" si="3007"/>
        <v>0</v>
      </c>
      <c r="T599" s="200">
        <f t="shared" si="3007"/>
        <v>0</v>
      </c>
      <c r="U599" s="200">
        <f t="shared" si="3007"/>
        <v>0</v>
      </c>
      <c r="V599" s="200">
        <f t="shared" si="3007"/>
        <v>0</v>
      </c>
      <c r="W599" s="200">
        <f t="shared" si="3007"/>
        <v>0</v>
      </c>
      <c r="X599" s="200">
        <f t="shared" si="3007"/>
        <v>0</v>
      </c>
      <c r="Y599" s="200">
        <f t="shared" si="3007"/>
        <v>0</v>
      </c>
      <c r="Z599" s="200">
        <f t="shared" si="3007"/>
        <v>0</v>
      </c>
      <c r="AA599" s="200">
        <f t="shared" si="3007"/>
        <v>0</v>
      </c>
      <c r="AB599" s="200">
        <f t="shared" si="3007"/>
        <v>0</v>
      </c>
      <c r="AC599" s="200">
        <f t="shared" si="3007"/>
        <v>0</v>
      </c>
      <c r="AD599" s="200">
        <f t="shared" si="11"/>
        <v>1</v>
      </c>
      <c r="AE599" s="200">
        <f t="shared" ref="AE599:AG599" si="3008">countif($D599,"*"&amp;AE$2&amp;"*")</f>
        <v>0</v>
      </c>
      <c r="AF599" s="200">
        <f t="shared" si="3008"/>
        <v>0</v>
      </c>
      <c r="AG599" s="200">
        <f t="shared" si="3008"/>
        <v>0</v>
      </c>
      <c r="AH599" s="171">
        <f t="shared" si="13"/>
        <v>0</v>
      </c>
      <c r="AI599" s="200">
        <f t="shared" si="14"/>
        <v>0</v>
      </c>
      <c r="AJ599" s="200">
        <f>SUM(AK599:AQ599)</f>
        <v>0</v>
      </c>
      <c r="AK599" s="201">
        <f t="shared" ref="AK599:AS599" si="3009">countif($D599,"*"&amp;AK$2&amp;"*")</f>
        <v>0</v>
      </c>
      <c r="AL599" s="201">
        <f t="shared" si="3009"/>
        <v>0</v>
      </c>
      <c r="AM599" s="201">
        <f t="shared" si="3009"/>
        <v>0</v>
      </c>
      <c r="AN599" s="201">
        <f t="shared" si="3009"/>
        <v>0</v>
      </c>
      <c r="AO599" s="201">
        <f t="shared" si="3009"/>
        <v>0</v>
      </c>
      <c r="AP599" s="201">
        <f t="shared" si="3009"/>
        <v>0</v>
      </c>
      <c r="AQ599" s="201">
        <f t="shared" si="3009"/>
        <v>0</v>
      </c>
      <c r="AR599" s="201">
        <f t="shared" si="3009"/>
        <v>0</v>
      </c>
      <c r="AS599" s="200">
        <f t="shared" si="3009"/>
        <v>0</v>
      </c>
      <c r="AT599" s="205">
        <v>0.0</v>
      </c>
      <c r="AU599" s="200">
        <f t="shared" ref="AU599:AX599" si="3010">countif($D599,"*"&amp;AU$2&amp;"*")</f>
        <v>1</v>
      </c>
      <c r="AV599" s="200">
        <f t="shared" si="3010"/>
        <v>0</v>
      </c>
      <c r="AW599" s="200">
        <f t="shared" si="3010"/>
        <v>0</v>
      </c>
      <c r="AX599" s="200">
        <f t="shared" si="3010"/>
        <v>0</v>
      </c>
      <c r="AY599" s="202">
        <v>0.0</v>
      </c>
      <c r="AZ599" s="200"/>
      <c r="BA599" s="171" t="str">
        <f t="shared" si="18"/>
        <v/>
      </c>
      <c r="BB599" s="171" t="str">
        <f t="shared" si="19"/>
        <v/>
      </c>
      <c r="BC599" s="171" t="str">
        <f t="shared" si="20"/>
        <v/>
      </c>
      <c r="BD599" s="171" t="str">
        <f t="shared" si="21"/>
        <v>Institutional</v>
      </c>
      <c r="BE599" s="171" t="str">
        <f t="shared" si="22"/>
        <v/>
      </c>
      <c r="BF599" s="171" t="str">
        <f t="shared" si="23"/>
        <v>Institutional</v>
      </c>
    </row>
    <row r="600">
      <c r="A600" s="171">
        <f t="array" ref="A600">XLOOKUP(C600,ICSE!A:A,ICSE!C:C,,2,1)</f>
        <v>2018</v>
      </c>
      <c r="B600" s="171" t="s">
        <v>5675</v>
      </c>
      <c r="C600" s="160">
        <v>1143.0</v>
      </c>
      <c r="D600" s="161" t="s">
        <v>987</v>
      </c>
      <c r="E600" s="197" t="str">
        <f t="array" ref="E600">XLOOKUP(C600,ICSE!A:A,ICSE!Z:Z,,0,1)</f>
        <v>Publicly available (1)</v>
      </c>
      <c r="F600" s="198" t="s">
        <v>20</v>
      </c>
      <c r="G600" s="163" t="str">
        <f t="array" ref="G600">IF(B600="ICSE",IF(COUNTIFS(B:B,B600,C:C,C600)=XLOOKUP(C600,ICSE!A:A,ICSE!AA:AA,"ERROR",0,1),"OK","ERROR"),IF(B600="FSE",IF(COUNTIFS(B:B,B600,C:C,C600)=XLOOKUP(C600,FSE!A:A,FSE!AA:AA,"ERROR",0,1),"OK","ERROR")))</f>
        <v>OK</v>
      </c>
      <c r="H600" s="199">
        <f t="shared" ref="H600:O600" si="3011">countif($D600,"*"&amp;H$2&amp;"*")</f>
        <v>1</v>
      </c>
      <c r="I600" s="200">
        <f t="shared" si="3011"/>
        <v>0</v>
      </c>
      <c r="J600" s="200">
        <f t="shared" si="3011"/>
        <v>0</v>
      </c>
      <c r="K600" s="200">
        <f t="shared" si="3011"/>
        <v>0</v>
      </c>
      <c r="L600" s="200">
        <f t="shared" si="3011"/>
        <v>0</v>
      </c>
      <c r="M600" s="200">
        <f t="shared" si="3011"/>
        <v>0</v>
      </c>
      <c r="N600" s="200">
        <f t="shared" si="3011"/>
        <v>0</v>
      </c>
      <c r="O600" s="200">
        <f t="shared" si="3011"/>
        <v>0</v>
      </c>
      <c r="P600" s="200">
        <f t="shared" si="9"/>
        <v>0</v>
      </c>
      <c r="Q600" s="200">
        <f t="shared" ref="Q600:AC600" si="3012">countif($D600,"*"&amp;Q$2&amp;"*")</f>
        <v>0</v>
      </c>
      <c r="R600" s="200">
        <f t="shared" si="3012"/>
        <v>0</v>
      </c>
      <c r="S600" s="200">
        <f t="shared" si="3012"/>
        <v>0</v>
      </c>
      <c r="T600" s="200">
        <f t="shared" si="3012"/>
        <v>0</v>
      </c>
      <c r="U600" s="200">
        <f t="shared" si="3012"/>
        <v>0</v>
      </c>
      <c r="V600" s="200">
        <f t="shared" si="3012"/>
        <v>0</v>
      </c>
      <c r="W600" s="200">
        <f t="shared" si="3012"/>
        <v>0</v>
      </c>
      <c r="X600" s="200">
        <f t="shared" si="3012"/>
        <v>0</v>
      </c>
      <c r="Y600" s="200">
        <f t="shared" si="3012"/>
        <v>0</v>
      </c>
      <c r="Z600" s="200">
        <f t="shared" si="3012"/>
        <v>0</v>
      </c>
      <c r="AA600" s="200">
        <f t="shared" si="3012"/>
        <v>0</v>
      </c>
      <c r="AB600" s="200">
        <f t="shared" si="3012"/>
        <v>0</v>
      </c>
      <c r="AC600" s="200">
        <f t="shared" si="3012"/>
        <v>0</v>
      </c>
      <c r="AD600" s="200">
        <f t="shared" si="11"/>
        <v>0</v>
      </c>
      <c r="AE600" s="200">
        <f t="shared" ref="AE600:AG600" si="3013">countif($D600,"*"&amp;AE$2&amp;"*")</f>
        <v>0</v>
      </c>
      <c r="AF600" s="200">
        <f t="shared" si="3013"/>
        <v>0</v>
      </c>
      <c r="AG600" s="200">
        <f t="shared" si="3013"/>
        <v>0</v>
      </c>
      <c r="AH600" s="171">
        <f t="shared" si="13"/>
        <v>0</v>
      </c>
      <c r="AI600" s="200">
        <f t="shared" si="14"/>
        <v>1</v>
      </c>
      <c r="AJ600" s="200">
        <f t="shared" ref="AJ600:AJ602" si="3019">SUM(AK600:AR600)</f>
        <v>0</v>
      </c>
      <c r="AK600" s="201">
        <f t="shared" ref="AK600:AS600" si="3014">countif($D600,"*"&amp;AK$2&amp;"*")</f>
        <v>0</v>
      </c>
      <c r="AL600" s="201">
        <f t="shared" si="3014"/>
        <v>0</v>
      </c>
      <c r="AM600" s="201">
        <f t="shared" si="3014"/>
        <v>0</v>
      </c>
      <c r="AN600" s="201">
        <f t="shared" si="3014"/>
        <v>0</v>
      </c>
      <c r="AO600" s="201">
        <f t="shared" si="3014"/>
        <v>0</v>
      </c>
      <c r="AP600" s="201">
        <f t="shared" si="3014"/>
        <v>0</v>
      </c>
      <c r="AQ600" s="201">
        <f t="shared" si="3014"/>
        <v>0</v>
      </c>
      <c r="AR600" s="200">
        <f t="shared" si="3014"/>
        <v>0</v>
      </c>
      <c r="AS600" s="200">
        <f t="shared" si="3014"/>
        <v>0</v>
      </c>
      <c r="AT600" s="173">
        <v>0.0</v>
      </c>
      <c r="AU600" s="200">
        <f t="shared" ref="AU600:AX600" si="3015">countif($D600,"*"&amp;AU$2&amp;"*")</f>
        <v>0</v>
      </c>
      <c r="AV600" s="200">
        <f t="shared" si="3015"/>
        <v>0</v>
      </c>
      <c r="AW600" s="200">
        <f t="shared" si="3015"/>
        <v>0</v>
      </c>
      <c r="AX600" s="200">
        <f t="shared" si="3015"/>
        <v>1</v>
      </c>
      <c r="AY600" s="202">
        <v>0.0</v>
      </c>
      <c r="AZ600" s="200"/>
      <c r="BA600" s="171" t="str">
        <f t="shared" si="18"/>
        <v>Archival</v>
      </c>
      <c r="BB600" s="171" t="str">
        <f t="shared" si="19"/>
        <v/>
      </c>
      <c r="BC600" s="171" t="str">
        <f t="shared" si="20"/>
        <v/>
      </c>
      <c r="BD600" s="171" t="str">
        <f t="shared" si="21"/>
        <v/>
      </c>
      <c r="BE600" s="171" t="str">
        <f t="shared" si="22"/>
        <v/>
      </c>
      <c r="BF600" s="171" t="str">
        <f t="shared" si="23"/>
        <v>Archival</v>
      </c>
    </row>
    <row r="601">
      <c r="A601" s="171">
        <f t="array" ref="A601">XLOOKUP(C601,ICSE!A:A,ICSE!C:C,,2,1)</f>
        <v>2018</v>
      </c>
      <c r="B601" s="171" t="s">
        <v>5675</v>
      </c>
      <c r="C601" s="160">
        <v>1145.0</v>
      </c>
      <c r="D601" s="161" t="s">
        <v>991</v>
      </c>
      <c r="E601" s="197" t="str">
        <f t="array" ref="E601">XLOOKUP(C601,ICSE!A:A,ICSE!Z:Z,,0,1)</f>
        <v>Not available (1) - Broken link.</v>
      </c>
      <c r="F601" s="198" t="s">
        <v>21</v>
      </c>
      <c r="G601" s="163" t="str">
        <f t="array" ref="G601">IF(B601="ICSE",IF(COUNTIFS(B:B,B601,C:C,C601)=XLOOKUP(C601,ICSE!A:A,ICSE!AA:AA,"ERROR",0,1),"OK","ERROR"),IF(B601="FSE",IF(COUNTIFS(B:B,B601,C:C,C601)=XLOOKUP(C601,FSE!A:A,FSE!AA:AA,"ERROR",0,1),"OK","ERROR")))</f>
        <v>OK</v>
      </c>
      <c r="H601" s="199">
        <f t="shared" ref="H601:O601" si="3016">countif($D601,"*"&amp;H$2&amp;"*")</f>
        <v>0</v>
      </c>
      <c r="I601" s="200">
        <f t="shared" si="3016"/>
        <v>0</v>
      </c>
      <c r="J601" s="200">
        <f t="shared" si="3016"/>
        <v>0</v>
      </c>
      <c r="K601" s="200">
        <f t="shared" si="3016"/>
        <v>0</v>
      </c>
      <c r="L601" s="200">
        <f t="shared" si="3016"/>
        <v>0</v>
      </c>
      <c r="M601" s="200">
        <f t="shared" si="3016"/>
        <v>0</v>
      </c>
      <c r="N601" s="200">
        <f t="shared" si="3016"/>
        <v>0</v>
      </c>
      <c r="O601" s="200">
        <f t="shared" si="3016"/>
        <v>0</v>
      </c>
      <c r="P601" s="200">
        <f t="shared" si="9"/>
        <v>0</v>
      </c>
      <c r="Q601" s="200">
        <f t="shared" ref="Q601:AC601" si="3017">countif($D601,"*"&amp;Q$2&amp;"*")</f>
        <v>0</v>
      </c>
      <c r="R601" s="200">
        <f t="shared" si="3017"/>
        <v>0</v>
      </c>
      <c r="S601" s="200">
        <f t="shared" si="3017"/>
        <v>0</v>
      </c>
      <c r="T601" s="200">
        <f t="shared" si="3017"/>
        <v>0</v>
      </c>
      <c r="U601" s="200">
        <f t="shared" si="3017"/>
        <v>0</v>
      </c>
      <c r="V601" s="200">
        <f t="shared" si="3017"/>
        <v>0</v>
      </c>
      <c r="W601" s="200">
        <f t="shared" si="3017"/>
        <v>0</v>
      </c>
      <c r="X601" s="200">
        <f t="shared" si="3017"/>
        <v>0</v>
      </c>
      <c r="Y601" s="200">
        <f t="shared" si="3017"/>
        <v>0</v>
      </c>
      <c r="Z601" s="200">
        <f t="shared" si="3017"/>
        <v>0</v>
      </c>
      <c r="AA601" s="200">
        <f t="shared" si="3017"/>
        <v>1</v>
      </c>
      <c r="AB601" s="200">
        <f t="shared" si="3017"/>
        <v>0</v>
      </c>
      <c r="AC601" s="200">
        <f t="shared" si="3017"/>
        <v>0</v>
      </c>
      <c r="AD601" s="200">
        <f t="shared" si="11"/>
        <v>0</v>
      </c>
      <c r="AE601" s="200">
        <f t="shared" ref="AE601:AG601" si="3018">countif($D601,"*"&amp;AE$2&amp;"*")</f>
        <v>0</v>
      </c>
      <c r="AF601" s="200">
        <f t="shared" si="3018"/>
        <v>0</v>
      </c>
      <c r="AG601" s="200">
        <f t="shared" si="3018"/>
        <v>0</v>
      </c>
      <c r="AH601" s="171">
        <f t="shared" si="13"/>
        <v>0</v>
      </c>
      <c r="AI601" s="200">
        <f t="shared" si="14"/>
        <v>0</v>
      </c>
      <c r="AJ601" s="200">
        <f t="shared" si="3019"/>
        <v>0</v>
      </c>
      <c r="AK601" s="201">
        <f t="shared" ref="AK601:AS601" si="3020">countif($D601,"*"&amp;AK$2&amp;"*")</f>
        <v>0</v>
      </c>
      <c r="AL601" s="201">
        <f t="shared" si="3020"/>
        <v>0</v>
      </c>
      <c r="AM601" s="201">
        <f t="shared" si="3020"/>
        <v>0</v>
      </c>
      <c r="AN601" s="201">
        <f t="shared" si="3020"/>
        <v>0</v>
      </c>
      <c r="AO601" s="201">
        <f t="shared" si="3020"/>
        <v>0</v>
      </c>
      <c r="AP601" s="201">
        <f t="shared" si="3020"/>
        <v>0</v>
      </c>
      <c r="AQ601" s="201">
        <f t="shared" si="3020"/>
        <v>0</v>
      </c>
      <c r="AR601" s="200">
        <f t="shared" si="3020"/>
        <v>0</v>
      </c>
      <c r="AS601" s="200">
        <f t="shared" si="3020"/>
        <v>1</v>
      </c>
      <c r="AT601" s="173">
        <v>0.0</v>
      </c>
      <c r="AU601" s="200">
        <f t="shared" ref="AU601:AX601" si="3021">countif($D601,"*"&amp;AU$2&amp;"*")</f>
        <v>0</v>
      </c>
      <c r="AV601" s="200">
        <f t="shared" si="3021"/>
        <v>0</v>
      </c>
      <c r="AW601" s="200">
        <f t="shared" si="3021"/>
        <v>0</v>
      </c>
      <c r="AX601" s="200">
        <f t="shared" si="3021"/>
        <v>0</v>
      </c>
      <c r="AY601" s="202">
        <v>0.0</v>
      </c>
      <c r="AZ601" s="200"/>
      <c r="BA601" s="171" t="str">
        <f t="shared" si="18"/>
        <v/>
      </c>
      <c r="BB601" s="171" t="str">
        <f t="shared" si="19"/>
        <v/>
      </c>
      <c r="BC601" s="171" t="str">
        <f t="shared" si="20"/>
        <v>General-purpose</v>
      </c>
      <c r="BD601" s="171" t="str">
        <f t="shared" si="21"/>
        <v/>
      </c>
      <c r="BE601" s="171" t="str">
        <f t="shared" si="22"/>
        <v/>
      </c>
      <c r="BF601" s="171" t="str">
        <f t="shared" si="23"/>
        <v>General-purpose</v>
      </c>
    </row>
    <row r="602">
      <c r="A602" s="171">
        <f t="array" ref="A602">XLOOKUP(C602,ICSE!A:A,ICSE!C:C,,2,1)</f>
        <v>2018</v>
      </c>
      <c r="B602" s="171" t="s">
        <v>5675</v>
      </c>
      <c r="C602" s="160">
        <v>1146.0</v>
      </c>
      <c r="D602" s="161" t="s">
        <v>994</v>
      </c>
      <c r="E602" s="197" t="str">
        <f t="array" ref="E602">XLOOKUP(C602,ICSE!A:A,ICSE!Z:Z,,0,1)</f>
        <v>Publicly available (1)</v>
      </c>
      <c r="F602" s="198" t="s">
        <v>20</v>
      </c>
      <c r="G602" s="163" t="str">
        <f t="array" ref="G602">IF(B602="ICSE",IF(COUNTIFS(B:B,B602,C:C,C602)=XLOOKUP(C602,ICSE!A:A,ICSE!AA:AA,"ERROR",0,1),"OK","ERROR"),IF(B602="FSE",IF(COUNTIFS(B:B,B602,C:C,C602)=XLOOKUP(C602,FSE!A:A,FSE!AA:AA,"ERROR",0,1),"OK","ERROR")))</f>
        <v>OK</v>
      </c>
      <c r="H602" s="199">
        <f t="shared" ref="H602:O602" si="3022">countif($D602,"*"&amp;H$2&amp;"*")</f>
        <v>0</v>
      </c>
      <c r="I602" s="200">
        <f t="shared" si="3022"/>
        <v>0</v>
      </c>
      <c r="J602" s="200">
        <f t="shared" si="3022"/>
        <v>0</v>
      </c>
      <c r="K602" s="200">
        <f t="shared" si="3022"/>
        <v>0</v>
      </c>
      <c r="L602" s="200">
        <f t="shared" si="3022"/>
        <v>0</v>
      </c>
      <c r="M602" s="200">
        <f t="shared" si="3022"/>
        <v>0</v>
      </c>
      <c r="N602" s="200">
        <f t="shared" si="3022"/>
        <v>0</v>
      </c>
      <c r="O602" s="200">
        <f t="shared" si="3022"/>
        <v>0</v>
      </c>
      <c r="P602" s="200">
        <f t="shared" si="9"/>
        <v>1</v>
      </c>
      <c r="Q602" s="200">
        <f t="shared" ref="Q602:AC602" si="3023">countif($D602,"*"&amp;Q$2&amp;"*")</f>
        <v>0</v>
      </c>
      <c r="R602" s="200">
        <f t="shared" si="3023"/>
        <v>0</v>
      </c>
      <c r="S602" s="200">
        <f t="shared" si="3023"/>
        <v>0</v>
      </c>
      <c r="T602" s="200">
        <f t="shared" si="3023"/>
        <v>0</v>
      </c>
      <c r="U602" s="200">
        <f t="shared" si="3023"/>
        <v>0</v>
      </c>
      <c r="V602" s="200">
        <f t="shared" si="3023"/>
        <v>0</v>
      </c>
      <c r="W602" s="200">
        <f t="shared" si="3023"/>
        <v>0</v>
      </c>
      <c r="X602" s="200">
        <f t="shared" si="3023"/>
        <v>0</v>
      </c>
      <c r="Y602" s="200">
        <f t="shared" si="3023"/>
        <v>0</v>
      </c>
      <c r="Z602" s="200">
        <f t="shared" si="3023"/>
        <v>0</v>
      </c>
      <c r="AA602" s="200">
        <f t="shared" si="3023"/>
        <v>0</v>
      </c>
      <c r="AB602" s="200">
        <f t="shared" si="3023"/>
        <v>0</v>
      </c>
      <c r="AC602" s="200">
        <f t="shared" si="3023"/>
        <v>0</v>
      </c>
      <c r="AD602" s="200">
        <f t="shared" si="11"/>
        <v>0</v>
      </c>
      <c r="AE602" s="200">
        <f t="shared" ref="AE602:AG602" si="3024">countif($D602,"*"&amp;AE$2&amp;"*")</f>
        <v>0</v>
      </c>
      <c r="AF602" s="200">
        <f t="shared" si="3024"/>
        <v>0</v>
      </c>
      <c r="AG602" s="200">
        <f t="shared" si="3024"/>
        <v>0</v>
      </c>
      <c r="AH602" s="171">
        <f t="shared" si="13"/>
        <v>0</v>
      </c>
      <c r="AI602" s="200">
        <f t="shared" si="14"/>
        <v>0</v>
      </c>
      <c r="AJ602" s="200">
        <f t="shared" si="3019"/>
        <v>0</v>
      </c>
      <c r="AK602" s="201">
        <f t="shared" ref="AK602:AS602" si="3025">countif($D602,"*"&amp;AK$2&amp;"*")</f>
        <v>0</v>
      </c>
      <c r="AL602" s="201">
        <f t="shared" si="3025"/>
        <v>0</v>
      </c>
      <c r="AM602" s="201">
        <f t="shared" si="3025"/>
        <v>0</v>
      </c>
      <c r="AN602" s="201">
        <f t="shared" si="3025"/>
        <v>0</v>
      </c>
      <c r="AO602" s="201">
        <f t="shared" si="3025"/>
        <v>0</v>
      </c>
      <c r="AP602" s="201">
        <f t="shared" si="3025"/>
        <v>0</v>
      </c>
      <c r="AQ602" s="201">
        <f t="shared" si="3025"/>
        <v>0</v>
      </c>
      <c r="AR602" s="200">
        <f t="shared" si="3025"/>
        <v>0</v>
      </c>
      <c r="AS602" s="200">
        <f t="shared" si="3025"/>
        <v>0</v>
      </c>
      <c r="AT602" s="173">
        <v>0.0</v>
      </c>
      <c r="AU602" s="200">
        <f t="shared" ref="AU602:AX602" si="3026">countif($D602,"*"&amp;AU$2&amp;"*")</f>
        <v>0</v>
      </c>
      <c r="AV602" s="200">
        <f t="shared" si="3026"/>
        <v>1</v>
      </c>
      <c r="AW602" s="200">
        <f t="shared" si="3026"/>
        <v>0</v>
      </c>
      <c r="AX602" s="200">
        <f t="shared" si="3026"/>
        <v>0</v>
      </c>
      <c r="AY602" s="202">
        <v>0.0</v>
      </c>
      <c r="AZ602" s="200"/>
      <c r="BA602" s="171" t="str">
        <f t="shared" si="18"/>
        <v/>
      </c>
      <c r="BB602" s="171" t="str">
        <f t="shared" si="19"/>
        <v>Code</v>
      </c>
      <c r="BC602" s="171" t="str">
        <f t="shared" si="20"/>
        <v/>
      </c>
      <c r="BD602" s="171" t="str">
        <f t="shared" si="21"/>
        <v/>
      </c>
      <c r="BE602" s="171" t="str">
        <f t="shared" si="22"/>
        <v/>
      </c>
      <c r="BF602" s="171" t="str">
        <f t="shared" si="23"/>
        <v>Code</v>
      </c>
    </row>
    <row r="603">
      <c r="A603" s="171">
        <f t="array" ref="A603">XLOOKUP(C603,ICSE!A:A,ICSE!C:C,,2,1)</f>
        <v>2018</v>
      </c>
      <c r="B603" s="171" t="s">
        <v>5675</v>
      </c>
      <c r="C603" s="160">
        <v>1147.0</v>
      </c>
      <c r="D603" s="161" t="s">
        <v>997</v>
      </c>
      <c r="E603" s="197" t="str">
        <f t="array" ref="E603">XLOOKUP(C603,ICSE!A:A,ICSE!Z:Z,,0,1)</f>
        <v>Not available (1) - Broken link.</v>
      </c>
      <c r="F603" s="198" t="s">
        <v>21</v>
      </c>
      <c r="G603" s="163" t="str">
        <f t="array" ref="G603">IF(B603="ICSE",IF(COUNTIFS(B:B,B603,C:C,C603)=XLOOKUP(C603,ICSE!A:A,ICSE!AA:AA,"ERROR",0,1),"OK","ERROR"),IF(B603="FSE",IF(COUNTIFS(B:B,B603,C:C,C603)=XLOOKUP(C603,FSE!A:A,FSE!AA:AA,"ERROR",0,1),"OK","ERROR")))</f>
        <v>OK</v>
      </c>
      <c r="H603" s="199">
        <f t="shared" ref="H603:O603" si="3027">countif($D603,"*"&amp;H$2&amp;"*")</f>
        <v>0</v>
      </c>
      <c r="I603" s="200">
        <f t="shared" si="3027"/>
        <v>0</v>
      </c>
      <c r="J603" s="200">
        <f t="shared" si="3027"/>
        <v>0</v>
      </c>
      <c r="K603" s="200">
        <f t="shared" si="3027"/>
        <v>0</v>
      </c>
      <c r="L603" s="200">
        <f t="shared" si="3027"/>
        <v>0</v>
      </c>
      <c r="M603" s="200">
        <f t="shared" si="3027"/>
        <v>0</v>
      </c>
      <c r="N603" s="200">
        <f t="shared" si="3027"/>
        <v>0</v>
      </c>
      <c r="O603" s="200">
        <f t="shared" si="3027"/>
        <v>0</v>
      </c>
      <c r="P603" s="200">
        <f t="shared" si="9"/>
        <v>0</v>
      </c>
      <c r="Q603" s="200">
        <f t="shared" ref="Q603:AC603" si="3028">countif($D603,"*"&amp;Q$2&amp;"*")</f>
        <v>0</v>
      </c>
      <c r="R603" s="200">
        <f t="shared" si="3028"/>
        <v>0</v>
      </c>
      <c r="S603" s="200">
        <f t="shared" si="3028"/>
        <v>0</v>
      </c>
      <c r="T603" s="200">
        <f t="shared" si="3028"/>
        <v>0</v>
      </c>
      <c r="U603" s="200">
        <f t="shared" si="3028"/>
        <v>0</v>
      </c>
      <c r="V603" s="200">
        <f t="shared" si="3028"/>
        <v>0</v>
      </c>
      <c r="W603" s="200">
        <f t="shared" si="3028"/>
        <v>0</v>
      </c>
      <c r="X603" s="200">
        <f t="shared" si="3028"/>
        <v>0</v>
      </c>
      <c r="Y603" s="200">
        <f t="shared" si="3028"/>
        <v>0</v>
      </c>
      <c r="Z603" s="200">
        <f t="shared" si="3028"/>
        <v>0</v>
      </c>
      <c r="AA603" s="200">
        <f t="shared" si="3028"/>
        <v>0</v>
      </c>
      <c r="AB603" s="200">
        <f t="shared" si="3028"/>
        <v>0</v>
      </c>
      <c r="AC603" s="200">
        <f t="shared" si="3028"/>
        <v>0</v>
      </c>
      <c r="AD603" s="200">
        <f t="shared" si="11"/>
        <v>1</v>
      </c>
      <c r="AE603" s="200">
        <f t="shared" ref="AE603:AG603" si="3029">countif($D603,"*"&amp;AE$2&amp;"*")</f>
        <v>0</v>
      </c>
      <c r="AF603" s="200">
        <f t="shared" si="3029"/>
        <v>0</v>
      </c>
      <c r="AG603" s="200">
        <f t="shared" si="3029"/>
        <v>0</v>
      </c>
      <c r="AH603" s="171">
        <f t="shared" si="13"/>
        <v>0</v>
      </c>
      <c r="AI603" s="200">
        <f t="shared" si="14"/>
        <v>0</v>
      </c>
      <c r="AJ603" s="200">
        <f>SUM(AK603:AQ603)</f>
        <v>0</v>
      </c>
      <c r="AK603" s="201">
        <f t="shared" ref="AK603:AS603" si="3030">countif($D603,"*"&amp;AK$2&amp;"*")</f>
        <v>0</v>
      </c>
      <c r="AL603" s="201">
        <f t="shared" si="3030"/>
        <v>0</v>
      </c>
      <c r="AM603" s="201">
        <f t="shared" si="3030"/>
        <v>0</v>
      </c>
      <c r="AN603" s="201">
        <f t="shared" si="3030"/>
        <v>0</v>
      </c>
      <c r="AO603" s="201">
        <f t="shared" si="3030"/>
        <v>0</v>
      </c>
      <c r="AP603" s="201">
        <f t="shared" si="3030"/>
        <v>0</v>
      </c>
      <c r="AQ603" s="201">
        <f t="shared" si="3030"/>
        <v>0</v>
      </c>
      <c r="AR603" s="201">
        <f t="shared" si="3030"/>
        <v>0</v>
      </c>
      <c r="AS603" s="200">
        <f t="shared" si="3030"/>
        <v>0</v>
      </c>
      <c r="AT603" s="205">
        <v>0.0</v>
      </c>
      <c r="AU603" s="200">
        <f t="shared" ref="AU603:AX603" si="3031">countif($D603,"*"&amp;AU$2&amp;"*")</f>
        <v>1</v>
      </c>
      <c r="AV603" s="200">
        <f t="shared" si="3031"/>
        <v>0</v>
      </c>
      <c r="AW603" s="200">
        <f t="shared" si="3031"/>
        <v>0</v>
      </c>
      <c r="AX603" s="200">
        <f t="shared" si="3031"/>
        <v>0</v>
      </c>
      <c r="AY603" s="202">
        <v>0.0</v>
      </c>
      <c r="AZ603" s="200"/>
      <c r="BA603" s="171" t="str">
        <f t="shared" si="18"/>
        <v/>
      </c>
      <c r="BB603" s="171" t="str">
        <f t="shared" si="19"/>
        <v/>
      </c>
      <c r="BC603" s="171" t="str">
        <f t="shared" si="20"/>
        <v/>
      </c>
      <c r="BD603" s="171" t="str">
        <f t="shared" si="21"/>
        <v>Institutional</v>
      </c>
      <c r="BE603" s="171" t="str">
        <f t="shared" si="22"/>
        <v/>
      </c>
      <c r="BF603" s="171" t="str">
        <f t="shared" si="23"/>
        <v>Institutional</v>
      </c>
    </row>
    <row r="604">
      <c r="A604" s="171">
        <f t="array" ref="A604">XLOOKUP(C604,ICSE!A:A,ICSE!C:C,,2,1)</f>
        <v>2018</v>
      </c>
      <c r="B604" s="171" t="s">
        <v>5675</v>
      </c>
      <c r="C604" s="160">
        <v>1148.0</v>
      </c>
      <c r="D604" s="161" t="s">
        <v>1000</v>
      </c>
      <c r="E604" s="197" t="str">
        <f t="array" ref="E604">XLOOKUP(C604,ICSE!A:A,ICSE!Z:Z,,0,1)</f>
        <v>Publicly available (1)</v>
      </c>
      <c r="F604" s="198" t="s">
        <v>20</v>
      </c>
      <c r="G604" s="163" t="str">
        <f t="array" ref="G604">IF(B604="ICSE",IF(COUNTIFS(B:B,B604,C:C,C604)=XLOOKUP(C604,ICSE!A:A,ICSE!AA:AA,"ERROR",0,1),"OK","ERROR"),IF(B604="FSE",IF(COUNTIFS(B:B,B604,C:C,C604)=XLOOKUP(C604,FSE!A:A,FSE!AA:AA,"ERROR",0,1),"OK","ERROR")))</f>
        <v>OK</v>
      </c>
      <c r="H604" s="199">
        <f t="shared" ref="H604:O604" si="3032">countif($D604,"*"&amp;H$2&amp;"*")</f>
        <v>0</v>
      </c>
      <c r="I604" s="200">
        <f t="shared" si="3032"/>
        <v>0</v>
      </c>
      <c r="J604" s="200">
        <f t="shared" si="3032"/>
        <v>0</v>
      </c>
      <c r="K604" s="200">
        <f t="shared" si="3032"/>
        <v>0</v>
      </c>
      <c r="L604" s="200">
        <f t="shared" si="3032"/>
        <v>0</v>
      </c>
      <c r="M604" s="200">
        <f t="shared" si="3032"/>
        <v>0</v>
      </c>
      <c r="N604" s="200">
        <f t="shared" si="3032"/>
        <v>0</v>
      </c>
      <c r="O604" s="200">
        <f t="shared" si="3032"/>
        <v>0</v>
      </c>
      <c r="P604" s="200">
        <f t="shared" si="9"/>
        <v>1</v>
      </c>
      <c r="Q604" s="200">
        <f t="shared" ref="Q604:AC604" si="3033">countif($D604,"*"&amp;Q$2&amp;"*")</f>
        <v>0</v>
      </c>
      <c r="R604" s="200">
        <f t="shared" si="3033"/>
        <v>0</v>
      </c>
      <c r="S604" s="200">
        <f t="shared" si="3033"/>
        <v>0</v>
      </c>
      <c r="T604" s="200">
        <f t="shared" si="3033"/>
        <v>0</v>
      </c>
      <c r="U604" s="200">
        <f t="shared" si="3033"/>
        <v>0</v>
      </c>
      <c r="V604" s="200">
        <f t="shared" si="3033"/>
        <v>0</v>
      </c>
      <c r="W604" s="200">
        <f t="shared" si="3033"/>
        <v>0</v>
      </c>
      <c r="X604" s="200">
        <f t="shared" si="3033"/>
        <v>0</v>
      </c>
      <c r="Y604" s="200">
        <f t="shared" si="3033"/>
        <v>0</v>
      </c>
      <c r="Z604" s="200">
        <f t="shared" si="3033"/>
        <v>0</v>
      </c>
      <c r="AA604" s="200">
        <f t="shared" si="3033"/>
        <v>0</v>
      </c>
      <c r="AB604" s="200">
        <f t="shared" si="3033"/>
        <v>0</v>
      </c>
      <c r="AC604" s="200">
        <f t="shared" si="3033"/>
        <v>0</v>
      </c>
      <c r="AD604" s="200">
        <f t="shared" si="11"/>
        <v>0</v>
      </c>
      <c r="AE604" s="200">
        <f t="shared" ref="AE604:AG604" si="3034">countif($D604,"*"&amp;AE$2&amp;"*")</f>
        <v>0</v>
      </c>
      <c r="AF604" s="200">
        <f t="shared" si="3034"/>
        <v>0</v>
      </c>
      <c r="AG604" s="200">
        <f t="shared" si="3034"/>
        <v>0</v>
      </c>
      <c r="AH604" s="171">
        <f t="shared" si="13"/>
        <v>0</v>
      </c>
      <c r="AI604" s="200">
        <f t="shared" si="14"/>
        <v>0</v>
      </c>
      <c r="AJ604" s="200">
        <f t="shared" ref="AJ604:AJ606" si="3040">SUM(AK604:AR604)</f>
        <v>0</v>
      </c>
      <c r="AK604" s="201">
        <f t="shared" ref="AK604:AS604" si="3035">countif($D604,"*"&amp;AK$2&amp;"*")</f>
        <v>0</v>
      </c>
      <c r="AL604" s="201">
        <f t="shared" si="3035"/>
        <v>0</v>
      </c>
      <c r="AM604" s="201">
        <f t="shared" si="3035"/>
        <v>0</v>
      </c>
      <c r="AN604" s="201">
        <f t="shared" si="3035"/>
        <v>0</v>
      </c>
      <c r="AO604" s="201">
        <f t="shared" si="3035"/>
        <v>0</v>
      </c>
      <c r="AP604" s="201">
        <f t="shared" si="3035"/>
        <v>0</v>
      </c>
      <c r="AQ604" s="201">
        <f t="shared" si="3035"/>
        <v>0</v>
      </c>
      <c r="AR604" s="200">
        <f t="shared" si="3035"/>
        <v>0</v>
      </c>
      <c r="AS604" s="200">
        <f t="shared" si="3035"/>
        <v>0</v>
      </c>
      <c r="AT604" s="173">
        <v>0.0</v>
      </c>
      <c r="AU604" s="200">
        <f t="shared" ref="AU604:AX604" si="3036">countif($D604,"*"&amp;AU$2&amp;"*")</f>
        <v>0</v>
      </c>
      <c r="AV604" s="200">
        <f t="shared" si="3036"/>
        <v>1</v>
      </c>
      <c r="AW604" s="200">
        <f t="shared" si="3036"/>
        <v>0</v>
      </c>
      <c r="AX604" s="200">
        <f t="shared" si="3036"/>
        <v>0</v>
      </c>
      <c r="AY604" s="202">
        <v>0.0</v>
      </c>
      <c r="AZ604" s="200"/>
      <c r="BA604" s="171" t="str">
        <f t="shared" si="18"/>
        <v/>
      </c>
      <c r="BB604" s="171" t="str">
        <f t="shared" si="19"/>
        <v>Code</v>
      </c>
      <c r="BC604" s="171" t="str">
        <f t="shared" si="20"/>
        <v/>
      </c>
      <c r="BD604" s="171" t="str">
        <f t="shared" si="21"/>
        <v/>
      </c>
      <c r="BE604" s="171" t="str">
        <f t="shared" si="22"/>
        <v/>
      </c>
      <c r="BF604" s="171" t="str">
        <f t="shared" si="23"/>
        <v>Code</v>
      </c>
    </row>
    <row r="605">
      <c r="A605" s="171">
        <f t="array" ref="A605">XLOOKUP(C605,ICSE!A:A,ICSE!C:C,,2,1)</f>
        <v>2018</v>
      </c>
      <c r="B605" s="171" t="s">
        <v>5675</v>
      </c>
      <c r="C605" s="160">
        <v>1149.0</v>
      </c>
      <c r="D605" s="161" t="s">
        <v>1003</v>
      </c>
      <c r="E605" s="197" t="str">
        <f t="array" ref="E605">XLOOKUP(C605,ICSE!A:A,ICSE!Z:Z,,0,1)</f>
        <v>Publicly available (1)</v>
      </c>
      <c r="F605" s="198" t="s">
        <v>20</v>
      </c>
      <c r="G605" s="163" t="str">
        <f t="array" ref="G605">IF(B605="ICSE",IF(COUNTIFS(B:B,B605,C:C,C605)=XLOOKUP(C605,ICSE!A:A,ICSE!AA:AA,"ERROR",0,1),"OK","ERROR"),IF(B605="FSE",IF(COUNTIFS(B:B,B605,C:C,C605)=XLOOKUP(C605,FSE!A:A,FSE!AA:AA,"ERROR",0,1),"OK","ERROR")))</f>
        <v>OK</v>
      </c>
      <c r="H605" s="199">
        <f t="shared" ref="H605:O605" si="3037">countif($D605,"*"&amp;H$2&amp;"*")</f>
        <v>0</v>
      </c>
      <c r="I605" s="200">
        <f t="shared" si="3037"/>
        <v>0</v>
      </c>
      <c r="J605" s="200">
        <f t="shared" si="3037"/>
        <v>0</v>
      </c>
      <c r="K605" s="200">
        <f t="shared" si="3037"/>
        <v>0</v>
      </c>
      <c r="L605" s="200">
        <f t="shared" si="3037"/>
        <v>0</v>
      </c>
      <c r="M605" s="200">
        <f t="shared" si="3037"/>
        <v>0</v>
      </c>
      <c r="N605" s="200">
        <f t="shared" si="3037"/>
        <v>0</v>
      </c>
      <c r="O605" s="200">
        <f t="shared" si="3037"/>
        <v>0</v>
      </c>
      <c r="P605" s="200">
        <f t="shared" si="9"/>
        <v>0</v>
      </c>
      <c r="Q605" s="200">
        <f t="shared" ref="Q605:AC605" si="3038">countif($D605,"*"&amp;Q$2&amp;"*")</f>
        <v>0</v>
      </c>
      <c r="R605" s="200">
        <f t="shared" si="3038"/>
        <v>0</v>
      </c>
      <c r="S605" s="200">
        <f t="shared" si="3038"/>
        <v>0</v>
      </c>
      <c r="T605" s="200">
        <f t="shared" si="3038"/>
        <v>0</v>
      </c>
      <c r="U605" s="200">
        <f t="shared" si="3038"/>
        <v>0</v>
      </c>
      <c r="V605" s="200">
        <f t="shared" si="3038"/>
        <v>0</v>
      </c>
      <c r="W605" s="200">
        <f t="shared" si="3038"/>
        <v>0</v>
      </c>
      <c r="X605" s="200">
        <f t="shared" si="3038"/>
        <v>0</v>
      </c>
      <c r="Y605" s="200">
        <f t="shared" si="3038"/>
        <v>0</v>
      </c>
      <c r="Z605" s="200">
        <f t="shared" si="3038"/>
        <v>0</v>
      </c>
      <c r="AA605" s="200">
        <f t="shared" si="3038"/>
        <v>0</v>
      </c>
      <c r="AB605" s="200">
        <f t="shared" si="3038"/>
        <v>0</v>
      </c>
      <c r="AC605" s="200">
        <f t="shared" si="3038"/>
        <v>0</v>
      </c>
      <c r="AD605" s="200">
        <f t="shared" si="11"/>
        <v>1</v>
      </c>
      <c r="AE605" s="200">
        <f t="shared" ref="AE605:AG605" si="3039">countif($D605,"*"&amp;AE$2&amp;"*")</f>
        <v>0</v>
      </c>
      <c r="AF605" s="200">
        <f t="shared" si="3039"/>
        <v>0</v>
      </c>
      <c r="AG605" s="200">
        <f t="shared" si="3039"/>
        <v>0</v>
      </c>
      <c r="AH605" s="171">
        <f t="shared" si="13"/>
        <v>0</v>
      </c>
      <c r="AI605" s="200">
        <f t="shared" si="14"/>
        <v>0</v>
      </c>
      <c r="AJ605" s="200">
        <f t="shared" si="3040"/>
        <v>0</v>
      </c>
      <c r="AK605" s="201">
        <f t="shared" ref="AK605:AS605" si="3041">countif($D605,"*"&amp;AK$2&amp;"*")</f>
        <v>0</v>
      </c>
      <c r="AL605" s="201">
        <f t="shared" si="3041"/>
        <v>0</v>
      </c>
      <c r="AM605" s="201">
        <f t="shared" si="3041"/>
        <v>0</v>
      </c>
      <c r="AN605" s="201">
        <f t="shared" si="3041"/>
        <v>0</v>
      </c>
      <c r="AO605" s="201">
        <f t="shared" si="3041"/>
        <v>0</v>
      </c>
      <c r="AP605" s="201">
        <f t="shared" si="3041"/>
        <v>0</v>
      </c>
      <c r="AQ605" s="201">
        <f t="shared" si="3041"/>
        <v>0</v>
      </c>
      <c r="AR605" s="200">
        <f t="shared" si="3041"/>
        <v>0</v>
      </c>
      <c r="AS605" s="200">
        <f t="shared" si="3041"/>
        <v>0</v>
      </c>
      <c r="AT605" s="173">
        <v>1.0</v>
      </c>
      <c r="AU605" s="200">
        <f t="shared" ref="AU605:AX605" si="3042">countif($D605,"*"&amp;AU$2&amp;"*")</f>
        <v>0</v>
      </c>
      <c r="AV605" s="200">
        <f t="shared" si="3042"/>
        <v>0</v>
      </c>
      <c r="AW605" s="200">
        <f t="shared" si="3042"/>
        <v>0</v>
      </c>
      <c r="AX605" s="200">
        <f t="shared" si="3042"/>
        <v>0</v>
      </c>
      <c r="AY605" s="202">
        <v>0.0</v>
      </c>
      <c r="AZ605" s="200"/>
      <c r="BA605" s="171" t="str">
        <f t="shared" si="18"/>
        <v/>
      </c>
      <c r="BB605" s="171" t="str">
        <f t="shared" si="19"/>
        <v/>
      </c>
      <c r="BC605" s="171" t="str">
        <f t="shared" si="20"/>
        <v/>
      </c>
      <c r="BD605" s="171" t="str">
        <f t="shared" si="21"/>
        <v>Institutional</v>
      </c>
      <c r="BE605" s="171" t="str">
        <f t="shared" si="22"/>
        <v/>
      </c>
      <c r="BF605" s="171" t="str">
        <f t="shared" si="23"/>
        <v>Institutional</v>
      </c>
    </row>
    <row r="606">
      <c r="A606" s="171">
        <f t="array" ref="A606">XLOOKUP(C606,ICSE!A:A,ICSE!C:C,,2,1)</f>
        <v>2018</v>
      </c>
      <c r="B606" s="171" t="s">
        <v>5675</v>
      </c>
      <c r="C606" s="160">
        <v>1152.0</v>
      </c>
      <c r="D606" s="161" t="s">
        <v>1008</v>
      </c>
      <c r="E606" s="197" t="str">
        <f t="array" ref="E606">XLOOKUP(C606,ICSE!A:A,ICSE!Z:Z,,0,1)</f>
        <v>Publicly available (1)</v>
      </c>
      <c r="F606" s="198" t="s">
        <v>20</v>
      </c>
      <c r="G606" s="163" t="str">
        <f t="array" ref="G606">IF(B606="ICSE",IF(COUNTIFS(B:B,B606,C:C,C606)=XLOOKUP(C606,ICSE!A:A,ICSE!AA:AA,"ERROR",0,1),"OK","ERROR"),IF(B606="FSE",IF(COUNTIFS(B:B,B606,C:C,C606)=XLOOKUP(C606,FSE!A:A,FSE!AA:AA,"ERROR",0,1),"OK","ERROR")))</f>
        <v>OK</v>
      </c>
      <c r="H606" s="199">
        <f t="shared" ref="H606:O606" si="3043">countif($D606,"*"&amp;H$2&amp;"*")</f>
        <v>0</v>
      </c>
      <c r="I606" s="200">
        <f t="shared" si="3043"/>
        <v>0</v>
      </c>
      <c r="J606" s="200">
        <f t="shared" si="3043"/>
        <v>0</v>
      </c>
      <c r="K606" s="200">
        <f t="shared" si="3043"/>
        <v>0</v>
      </c>
      <c r="L606" s="200">
        <f t="shared" si="3043"/>
        <v>0</v>
      </c>
      <c r="M606" s="200">
        <f t="shared" si="3043"/>
        <v>0</v>
      </c>
      <c r="N606" s="200">
        <f t="shared" si="3043"/>
        <v>0</v>
      </c>
      <c r="O606" s="200">
        <f t="shared" si="3043"/>
        <v>0</v>
      </c>
      <c r="P606" s="200">
        <f t="shared" si="9"/>
        <v>0</v>
      </c>
      <c r="Q606" s="200">
        <f t="shared" ref="Q606:AC606" si="3044">countif($D606,"*"&amp;Q$2&amp;"*")</f>
        <v>0</v>
      </c>
      <c r="R606" s="200">
        <f t="shared" si="3044"/>
        <v>0</v>
      </c>
      <c r="S606" s="200">
        <f t="shared" si="3044"/>
        <v>0</v>
      </c>
      <c r="T606" s="200">
        <f t="shared" si="3044"/>
        <v>0</v>
      </c>
      <c r="U606" s="200">
        <f t="shared" si="3044"/>
        <v>0</v>
      </c>
      <c r="V606" s="200">
        <f t="shared" si="3044"/>
        <v>0</v>
      </c>
      <c r="W606" s="200">
        <f t="shared" si="3044"/>
        <v>0</v>
      </c>
      <c r="X606" s="200">
        <f t="shared" si="3044"/>
        <v>0</v>
      </c>
      <c r="Y606" s="200">
        <f t="shared" si="3044"/>
        <v>0</v>
      </c>
      <c r="Z606" s="200">
        <f t="shared" si="3044"/>
        <v>0</v>
      </c>
      <c r="AA606" s="200">
        <f t="shared" si="3044"/>
        <v>0</v>
      </c>
      <c r="AB606" s="200">
        <f t="shared" si="3044"/>
        <v>0</v>
      </c>
      <c r="AC606" s="200">
        <f t="shared" si="3044"/>
        <v>0</v>
      </c>
      <c r="AD606" s="200">
        <f t="shared" si="11"/>
        <v>1</v>
      </c>
      <c r="AE606" s="200">
        <f t="shared" ref="AE606:AG606" si="3045">countif($D606,"*"&amp;AE$2&amp;"*")</f>
        <v>0</v>
      </c>
      <c r="AF606" s="200">
        <f t="shared" si="3045"/>
        <v>0</v>
      </c>
      <c r="AG606" s="200">
        <f t="shared" si="3045"/>
        <v>0</v>
      </c>
      <c r="AH606" s="171">
        <f t="shared" si="13"/>
        <v>0</v>
      </c>
      <c r="AI606" s="200">
        <f t="shared" si="14"/>
        <v>0</v>
      </c>
      <c r="AJ606" s="200">
        <f t="shared" si="3040"/>
        <v>0</v>
      </c>
      <c r="AK606" s="201">
        <f t="shared" ref="AK606:AS606" si="3046">countif($D606,"*"&amp;AK$2&amp;"*")</f>
        <v>0</v>
      </c>
      <c r="AL606" s="201">
        <f t="shared" si="3046"/>
        <v>0</v>
      </c>
      <c r="AM606" s="201">
        <f t="shared" si="3046"/>
        <v>0</v>
      </c>
      <c r="AN606" s="201">
        <f t="shared" si="3046"/>
        <v>0</v>
      </c>
      <c r="AO606" s="201">
        <f t="shared" si="3046"/>
        <v>0</v>
      </c>
      <c r="AP606" s="201">
        <f t="shared" si="3046"/>
        <v>0</v>
      </c>
      <c r="AQ606" s="201">
        <f t="shared" si="3046"/>
        <v>0</v>
      </c>
      <c r="AR606" s="200">
        <f t="shared" si="3046"/>
        <v>0</v>
      </c>
      <c r="AS606" s="200">
        <f t="shared" si="3046"/>
        <v>0</v>
      </c>
      <c r="AT606" s="173">
        <v>1.0</v>
      </c>
      <c r="AU606" s="200">
        <f t="shared" ref="AU606:AX606" si="3047">countif($D606,"*"&amp;AU$2&amp;"*")</f>
        <v>0</v>
      </c>
      <c r="AV606" s="200">
        <f t="shared" si="3047"/>
        <v>0</v>
      </c>
      <c r="AW606" s="200">
        <f t="shared" si="3047"/>
        <v>0</v>
      </c>
      <c r="AX606" s="200">
        <f t="shared" si="3047"/>
        <v>0</v>
      </c>
      <c r="AY606" s="202">
        <v>0.0</v>
      </c>
      <c r="AZ606" s="200"/>
      <c r="BA606" s="171" t="str">
        <f t="shared" si="18"/>
        <v/>
      </c>
      <c r="BB606" s="171" t="str">
        <f t="shared" si="19"/>
        <v/>
      </c>
      <c r="BC606" s="171" t="str">
        <f t="shared" si="20"/>
        <v/>
      </c>
      <c r="BD606" s="171" t="str">
        <f t="shared" si="21"/>
        <v>Institutional</v>
      </c>
      <c r="BE606" s="171" t="str">
        <f t="shared" si="22"/>
        <v/>
      </c>
      <c r="BF606" s="171" t="str">
        <f t="shared" si="23"/>
        <v>Institutional</v>
      </c>
    </row>
    <row r="607">
      <c r="A607" s="171">
        <f t="array" ref="A607">XLOOKUP(C607,ICSE!A:A,ICSE!C:C,,2,1)</f>
        <v>2018</v>
      </c>
      <c r="B607" s="171" t="s">
        <v>5675</v>
      </c>
      <c r="C607" s="160">
        <v>1154.0</v>
      </c>
      <c r="D607" s="161" t="s">
        <v>1011</v>
      </c>
      <c r="E607" s="197" t="str">
        <f t="array" ref="E607">XLOOKUP(C607,ICSE!A:A,ICSE!Z:Z,,0,1)</f>
        <v>Publicly available (1)</v>
      </c>
      <c r="F607" s="198" t="s">
        <v>20</v>
      </c>
      <c r="G607" s="163" t="str">
        <f t="array" ref="G607">IF(B607="ICSE",IF(COUNTIFS(B:B,B607,C:C,C607)=XLOOKUP(C607,ICSE!A:A,ICSE!AA:AA,"ERROR",0,1),"OK","ERROR"),IF(B607="FSE",IF(COUNTIFS(B:B,B607,C:C,C607)=XLOOKUP(C607,FSE!A:A,FSE!AA:AA,"ERROR",0,1),"OK","ERROR")))</f>
        <v>OK</v>
      </c>
      <c r="H607" s="199">
        <f t="shared" ref="H607:O607" si="3048">countif($D607,"*"&amp;H$2&amp;"*")</f>
        <v>0</v>
      </c>
      <c r="I607" s="200">
        <f t="shared" si="3048"/>
        <v>0</v>
      </c>
      <c r="J607" s="200">
        <f t="shared" si="3048"/>
        <v>0</v>
      </c>
      <c r="K607" s="200">
        <f t="shared" si="3048"/>
        <v>0</v>
      </c>
      <c r="L607" s="200">
        <f t="shared" si="3048"/>
        <v>0</v>
      </c>
      <c r="M607" s="200">
        <f t="shared" si="3048"/>
        <v>0</v>
      </c>
      <c r="N607" s="200">
        <f t="shared" si="3048"/>
        <v>0</v>
      </c>
      <c r="O607" s="200">
        <f t="shared" si="3048"/>
        <v>0</v>
      </c>
      <c r="P607" s="200">
        <f t="shared" si="9"/>
        <v>0</v>
      </c>
      <c r="Q607" s="200">
        <f t="shared" ref="Q607:AC607" si="3049">countif($D607,"*"&amp;Q$2&amp;"*")</f>
        <v>0</v>
      </c>
      <c r="R607" s="200">
        <f t="shared" si="3049"/>
        <v>0</v>
      </c>
      <c r="S607" s="200">
        <f t="shared" si="3049"/>
        <v>0</v>
      </c>
      <c r="T607" s="200">
        <f t="shared" si="3049"/>
        <v>0</v>
      </c>
      <c r="U607" s="200">
        <f t="shared" si="3049"/>
        <v>0</v>
      </c>
      <c r="V607" s="200">
        <f t="shared" si="3049"/>
        <v>0</v>
      </c>
      <c r="W607" s="200">
        <f t="shared" si="3049"/>
        <v>0</v>
      </c>
      <c r="X607" s="200">
        <f t="shared" si="3049"/>
        <v>0</v>
      </c>
      <c r="Y607" s="200">
        <f t="shared" si="3049"/>
        <v>0</v>
      </c>
      <c r="Z607" s="200">
        <f t="shared" si="3049"/>
        <v>0</v>
      </c>
      <c r="AA607" s="200">
        <f t="shared" si="3049"/>
        <v>0</v>
      </c>
      <c r="AB607" s="200">
        <f t="shared" si="3049"/>
        <v>0</v>
      </c>
      <c r="AC607" s="200">
        <f t="shared" si="3049"/>
        <v>0</v>
      </c>
      <c r="AD607" s="200">
        <f t="shared" si="11"/>
        <v>1</v>
      </c>
      <c r="AE607" s="200">
        <f t="shared" ref="AE607:AG607" si="3050">countif($D607,"*"&amp;AE$2&amp;"*")</f>
        <v>0</v>
      </c>
      <c r="AF607" s="200">
        <f t="shared" si="3050"/>
        <v>0</v>
      </c>
      <c r="AG607" s="200">
        <f t="shared" si="3050"/>
        <v>0</v>
      </c>
      <c r="AH607" s="171">
        <f t="shared" si="13"/>
        <v>0</v>
      </c>
      <c r="AI607" s="200">
        <f t="shared" si="14"/>
        <v>0</v>
      </c>
      <c r="AJ607" s="200">
        <f>SUM(AK607:AQ607)</f>
        <v>0</v>
      </c>
      <c r="AK607" s="201">
        <f t="shared" ref="AK607:AS607" si="3051">countif($D607,"*"&amp;AK$2&amp;"*")</f>
        <v>0</v>
      </c>
      <c r="AL607" s="201">
        <f t="shared" si="3051"/>
        <v>0</v>
      </c>
      <c r="AM607" s="201">
        <f t="shared" si="3051"/>
        <v>0</v>
      </c>
      <c r="AN607" s="201">
        <f t="shared" si="3051"/>
        <v>0</v>
      </c>
      <c r="AO607" s="201">
        <f t="shared" si="3051"/>
        <v>0</v>
      </c>
      <c r="AP607" s="201">
        <f t="shared" si="3051"/>
        <v>0</v>
      </c>
      <c r="AQ607" s="201">
        <f t="shared" si="3051"/>
        <v>0</v>
      </c>
      <c r="AR607" s="201">
        <f t="shared" si="3051"/>
        <v>0</v>
      </c>
      <c r="AS607" s="200">
        <f t="shared" si="3051"/>
        <v>0</v>
      </c>
      <c r="AT607" s="205">
        <v>0.0</v>
      </c>
      <c r="AU607" s="200">
        <f t="shared" ref="AU607:AX607" si="3052">countif($D607,"*"&amp;AU$2&amp;"*")</f>
        <v>1</v>
      </c>
      <c r="AV607" s="200">
        <f t="shared" si="3052"/>
        <v>0</v>
      </c>
      <c r="AW607" s="200">
        <f t="shared" si="3052"/>
        <v>0</v>
      </c>
      <c r="AX607" s="200">
        <f t="shared" si="3052"/>
        <v>0</v>
      </c>
      <c r="AY607" s="202">
        <v>0.0</v>
      </c>
      <c r="AZ607" s="200"/>
      <c r="BA607" s="171" t="str">
        <f t="shared" si="18"/>
        <v/>
      </c>
      <c r="BB607" s="171" t="str">
        <f t="shared" si="19"/>
        <v/>
      </c>
      <c r="BC607" s="171" t="str">
        <f t="shared" si="20"/>
        <v/>
      </c>
      <c r="BD607" s="171" t="str">
        <f t="shared" si="21"/>
        <v>Institutional</v>
      </c>
      <c r="BE607" s="171" t="str">
        <f t="shared" si="22"/>
        <v/>
      </c>
      <c r="BF607" s="171" t="str">
        <f t="shared" si="23"/>
        <v>Institutional</v>
      </c>
    </row>
    <row r="608">
      <c r="A608" s="171">
        <f t="array" ref="A608">XLOOKUP(C608,ICSE!A:A,ICSE!C:C,,2,1)</f>
        <v>2018</v>
      </c>
      <c r="B608" s="171" t="s">
        <v>5675</v>
      </c>
      <c r="C608" s="160">
        <v>1155.0</v>
      </c>
      <c r="D608" s="161" t="s">
        <v>1014</v>
      </c>
      <c r="E608" s="197" t="str">
        <f t="array" ref="E608">XLOOKUP(C608,ICSE!A:A,ICSE!Z:Z,,0,1)</f>
        <v>Not available (1) - Broken link.</v>
      </c>
      <c r="F608" s="198" t="s">
        <v>21</v>
      </c>
      <c r="G608" s="163" t="str">
        <f t="array" ref="G608">IF(B608="ICSE",IF(COUNTIFS(B:B,B608,C:C,C608)=XLOOKUP(C608,ICSE!A:A,ICSE!AA:AA,"ERROR",0,1),"OK","ERROR"),IF(B608="FSE",IF(COUNTIFS(B:B,B608,C:C,C608)=XLOOKUP(C608,FSE!A:A,FSE!AA:AA,"ERROR",0,1),"OK","ERROR")))</f>
        <v>OK</v>
      </c>
      <c r="H608" s="199">
        <f t="shared" ref="H608:O608" si="3053">countif($D608,"*"&amp;H$2&amp;"*")</f>
        <v>0</v>
      </c>
      <c r="I608" s="200">
        <f t="shared" si="3053"/>
        <v>0</v>
      </c>
      <c r="J608" s="200">
        <f t="shared" si="3053"/>
        <v>0</v>
      </c>
      <c r="K608" s="200">
        <f t="shared" si="3053"/>
        <v>0</v>
      </c>
      <c r="L608" s="200">
        <f t="shared" si="3053"/>
        <v>0</v>
      </c>
      <c r="M608" s="200">
        <f t="shared" si="3053"/>
        <v>0</v>
      </c>
      <c r="N608" s="200">
        <f t="shared" si="3053"/>
        <v>0</v>
      </c>
      <c r="O608" s="200">
        <f t="shared" si="3053"/>
        <v>0</v>
      </c>
      <c r="P608" s="200">
        <f t="shared" si="9"/>
        <v>0</v>
      </c>
      <c r="Q608" s="200">
        <f t="shared" ref="Q608:AC608" si="3054">countif($D608,"*"&amp;Q$2&amp;"*")</f>
        <v>0</v>
      </c>
      <c r="R608" s="200">
        <f t="shared" si="3054"/>
        <v>0</v>
      </c>
      <c r="S608" s="200">
        <f t="shared" si="3054"/>
        <v>0</v>
      </c>
      <c r="T608" s="200">
        <f t="shared" si="3054"/>
        <v>0</v>
      </c>
      <c r="U608" s="200">
        <f t="shared" si="3054"/>
        <v>0</v>
      </c>
      <c r="V608" s="200">
        <f t="shared" si="3054"/>
        <v>0</v>
      </c>
      <c r="W608" s="200">
        <f t="shared" si="3054"/>
        <v>0</v>
      </c>
      <c r="X608" s="200">
        <f t="shared" si="3054"/>
        <v>0</v>
      </c>
      <c r="Y608" s="200">
        <f t="shared" si="3054"/>
        <v>0</v>
      </c>
      <c r="Z608" s="200">
        <f t="shared" si="3054"/>
        <v>0</v>
      </c>
      <c r="AA608" s="200">
        <f t="shared" si="3054"/>
        <v>1</v>
      </c>
      <c r="AB608" s="200">
        <f t="shared" si="3054"/>
        <v>0</v>
      </c>
      <c r="AC608" s="200">
        <f t="shared" si="3054"/>
        <v>0</v>
      </c>
      <c r="AD608" s="200">
        <f t="shared" si="11"/>
        <v>0</v>
      </c>
      <c r="AE608" s="200">
        <f t="shared" ref="AE608:AG608" si="3055">countif($D608,"*"&amp;AE$2&amp;"*")</f>
        <v>0</v>
      </c>
      <c r="AF608" s="200">
        <f t="shared" si="3055"/>
        <v>0</v>
      </c>
      <c r="AG608" s="200">
        <f t="shared" si="3055"/>
        <v>0</v>
      </c>
      <c r="AH608" s="171">
        <f t="shared" si="13"/>
        <v>0</v>
      </c>
      <c r="AI608" s="200">
        <f t="shared" si="14"/>
        <v>0</v>
      </c>
      <c r="AJ608" s="200">
        <f t="shared" ref="AJ608:AJ610" si="3061">SUM(AK608:AR608)</f>
        <v>0</v>
      </c>
      <c r="AK608" s="201">
        <f t="shared" ref="AK608:AS608" si="3056">countif($D608,"*"&amp;AK$2&amp;"*")</f>
        <v>0</v>
      </c>
      <c r="AL608" s="201">
        <f t="shared" si="3056"/>
        <v>0</v>
      </c>
      <c r="AM608" s="201">
        <f t="shared" si="3056"/>
        <v>0</v>
      </c>
      <c r="AN608" s="201">
        <f t="shared" si="3056"/>
        <v>0</v>
      </c>
      <c r="AO608" s="201">
        <f t="shared" si="3056"/>
        <v>0</v>
      </c>
      <c r="AP608" s="201">
        <f t="shared" si="3056"/>
        <v>0</v>
      </c>
      <c r="AQ608" s="201">
        <f t="shared" si="3056"/>
        <v>0</v>
      </c>
      <c r="AR608" s="200">
        <f t="shared" si="3056"/>
        <v>0</v>
      </c>
      <c r="AS608" s="200">
        <f t="shared" si="3056"/>
        <v>0</v>
      </c>
      <c r="AT608" s="173">
        <v>0.0</v>
      </c>
      <c r="AU608" s="200">
        <f t="shared" ref="AU608:AX608" si="3057">countif($D608,"*"&amp;AU$2&amp;"*")</f>
        <v>0</v>
      </c>
      <c r="AV608" s="200">
        <f t="shared" si="3057"/>
        <v>0</v>
      </c>
      <c r="AW608" s="200">
        <f t="shared" si="3057"/>
        <v>0</v>
      </c>
      <c r="AX608" s="200">
        <f t="shared" si="3057"/>
        <v>0</v>
      </c>
      <c r="AY608" s="202">
        <v>0.0</v>
      </c>
      <c r="AZ608" s="200"/>
      <c r="BA608" s="171" t="str">
        <f t="shared" si="18"/>
        <v/>
      </c>
      <c r="BB608" s="171" t="str">
        <f t="shared" si="19"/>
        <v/>
      </c>
      <c r="BC608" s="171" t="str">
        <f t="shared" si="20"/>
        <v>General-purpose</v>
      </c>
      <c r="BD608" s="171" t="str">
        <f t="shared" si="21"/>
        <v/>
      </c>
      <c r="BE608" s="171" t="str">
        <f t="shared" si="22"/>
        <v/>
      </c>
      <c r="BF608" s="171" t="str">
        <f t="shared" si="23"/>
        <v>General-purpose</v>
      </c>
    </row>
    <row r="609">
      <c r="A609" s="171">
        <f t="array" ref="A609">XLOOKUP(C609,ICSE!A:A,ICSE!C:C,,2,1)</f>
        <v>2018</v>
      </c>
      <c r="B609" s="171" t="s">
        <v>5675</v>
      </c>
      <c r="C609" s="160">
        <v>1158.0</v>
      </c>
      <c r="D609" s="161" t="s">
        <v>1017</v>
      </c>
      <c r="E609" s="197" t="str">
        <f t="array" ref="E609">XLOOKUP(C609,ICSE!A:A,ICSE!Z:Z,,0,1)</f>
        <v>Publicly available (1)</v>
      </c>
      <c r="F609" s="198" t="s">
        <v>20</v>
      </c>
      <c r="G609" s="163" t="str">
        <f t="array" ref="G609">IF(B609="ICSE",IF(COUNTIFS(B:B,B609,C:C,C609)=XLOOKUP(C609,ICSE!A:A,ICSE!AA:AA,"ERROR",0,1),"OK","ERROR"),IF(B609="FSE",IF(COUNTIFS(B:B,B609,C:C,C609)=XLOOKUP(C609,FSE!A:A,FSE!AA:AA,"ERROR",0,1),"OK","ERROR")))</f>
        <v>OK</v>
      </c>
      <c r="H609" s="199">
        <f t="shared" ref="H609:O609" si="3058">countif($D609,"*"&amp;H$2&amp;"*")</f>
        <v>0</v>
      </c>
      <c r="I609" s="200">
        <f t="shared" si="3058"/>
        <v>1</v>
      </c>
      <c r="J609" s="200">
        <f t="shared" si="3058"/>
        <v>0</v>
      </c>
      <c r="K609" s="200">
        <f t="shared" si="3058"/>
        <v>0</v>
      </c>
      <c r="L609" s="200">
        <f t="shared" si="3058"/>
        <v>0</v>
      </c>
      <c r="M609" s="200">
        <f t="shared" si="3058"/>
        <v>0</v>
      </c>
      <c r="N609" s="200">
        <f t="shared" si="3058"/>
        <v>0</v>
      </c>
      <c r="O609" s="200">
        <f t="shared" si="3058"/>
        <v>0</v>
      </c>
      <c r="P609" s="200">
        <f t="shared" si="9"/>
        <v>0</v>
      </c>
      <c r="Q609" s="200">
        <f t="shared" ref="Q609:AC609" si="3059">countif($D609,"*"&amp;Q$2&amp;"*")</f>
        <v>0</v>
      </c>
      <c r="R609" s="200">
        <f t="shared" si="3059"/>
        <v>0</v>
      </c>
      <c r="S609" s="200">
        <f t="shared" si="3059"/>
        <v>0</v>
      </c>
      <c r="T609" s="200">
        <f t="shared" si="3059"/>
        <v>0</v>
      </c>
      <c r="U609" s="200">
        <f t="shared" si="3059"/>
        <v>0</v>
      </c>
      <c r="V609" s="200">
        <f t="shared" si="3059"/>
        <v>0</v>
      </c>
      <c r="W609" s="200">
        <f t="shared" si="3059"/>
        <v>0</v>
      </c>
      <c r="X609" s="200">
        <f t="shared" si="3059"/>
        <v>0</v>
      </c>
      <c r="Y609" s="200">
        <f t="shared" si="3059"/>
        <v>0</v>
      </c>
      <c r="Z609" s="200">
        <f t="shared" si="3059"/>
        <v>0</v>
      </c>
      <c r="AA609" s="200">
        <f t="shared" si="3059"/>
        <v>0</v>
      </c>
      <c r="AB609" s="200">
        <f t="shared" si="3059"/>
        <v>0</v>
      </c>
      <c r="AC609" s="200">
        <f t="shared" si="3059"/>
        <v>0</v>
      </c>
      <c r="AD609" s="200">
        <f t="shared" si="11"/>
        <v>0</v>
      </c>
      <c r="AE609" s="200">
        <f t="shared" ref="AE609:AG609" si="3060">countif($D609,"*"&amp;AE$2&amp;"*")</f>
        <v>0</v>
      </c>
      <c r="AF609" s="200">
        <f t="shared" si="3060"/>
        <v>0</v>
      </c>
      <c r="AG609" s="200">
        <f t="shared" si="3060"/>
        <v>0</v>
      </c>
      <c r="AH609" s="171">
        <f t="shared" si="13"/>
        <v>0</v>
      </c>
      <c r="AI609" s="200">
        <f t="shared" si="14"/>
        <v>1</v>
      </c>
      <c r="AJ609" s="200">
        <f t="shared" si="3061"/>
        <v>0</v>
      </c>
      <c r="AK609" s="201">
        <f t="shared" ref="AK609:AS609" si="3062">countif($D609,"*"&amp;AK$2&amp;"*")</f>
        <v>0</v>
      </c>
      <c r="AL609" s="201">
        <f t="shared" si="3062"/>
        <v>0</v>
      </c>
      <c r="AM609" s="201">
        <f t="shared" si="3062"/>
        <v>0</v>
      </c>
      <c r="AN609" s="201">
        <f t="shared" si="3062"/>
        <v>0</v>
      </c>
      <c r="AO609" s="201">
        <f t="shared" si="3062"/>
        <v>0</v>
      </c>
      <c r="AP609" s="201">
        <f t="shared" si="3062"/>
        <v>0</v>
      </c>
      <c r="AQ609" s="201">
        <f t="shared" si="3062"/>
        <v>0</v>
      </c>
      <c r="AR609" s="200">
        <f t="shared" si="3062"/>
        <v>0</v>
      </c>
      <c r="AS609" s="200">
        <f t="shared" si="3062"/>
        <v>0</v>
      </c>
      <c r="AT609" s="173">
        <v>0.0</v>
      </c>
      <c r="AU609" s="200">
        <f t="shared" ref="AU609:AX609" si="3063">countif($D609,"*"&amp;AU$2&amp;"*")</f>
        <v>0</v>
      </c>
      <c r="AV609" s="200">
        <f t="shared" si="3063"/>
        <v>0</v>
      </c>
      <c r="AW609" s="200">
        <f t="shared" si="3063"/>
        <v>0</v>
      </c>
      <c r="AX609" s="200">
        <f t="shared" si="3063"/>
        <v>1</v>
      </c>
      <c r="AY609" s="202">
        <v>0.0</v>
      </c>
      <c r="AZ609" s="200"/>
      <c r="BA609" s="171" t="str">
        <f t="shared" si="18"/>
        <v>Archival</v>
      </c>
      <c r="BB609" s="171" t="str">
        <f t="shared" si="19"/>
        <v/>
      </c>
      <c r="BC609" s="171" t="str">
        <f t="shared" si="20"/>
        <v/>
      </c>
      <c r="BD609" s="171" t="str">
        <f t="shared" si="21"/>
        <v/>
      </c>
      <c r="BE609" s="171" t="str">
        <f t="shared" si="22"/>
        <v/>
      </c>
      <c r="BF609" s="171" t="str">
        <f t="shared" si="23"/>
        <v>Archival</v>
      </c>
    </row>
    <row r="610">
      <c r="A610" s="171">
        <f t="array" ref="A610">XLOOKUP(C610,ICSE!A:A,ICSE!C:C,,2,1)</f>
        <v>2018</v>
      </c>
      <c r="B610" s="171" t="s">
        <v>5675</v>
      </c>
      <c r="C610" s="160">
        <v>1159.0</v>
      </c>
      <c r="D610" s="161" t="s">
        <v>1020</v>
      </c>
      <c r="E610" s="197" t="str">
        <f t="array" ref="E610">XLOOKUP(C610,ICSE!A:A,ICSE!Z:Z,,0,1)</f>
        <v>Publicly available (1)</v>
      </c>
      <c r="F610" s="198" t="s">
        <v>20</v>
      </c>
      <c r="G610" s="163" t="str">
        <f t="array" ref="G610">IF(B610="ICSE",IF(COUNTIFS(B:B,B610,C:C,C610)=XLOOKUP(C610,ICSE!A:A,ICSE!AA:AA,"ERROR",0,1),"OK","ERROR"),IF(B610="FSE",IF(COUNTIFS(B:B,B610,C:C,C610)=XLOOKUP(C610,FSE!A:A,FSE!AA:AA,"ERROR",0,1),"OK","ERROR")))</f>
        <v>OK</v>
      </c>
      <c r="H610" s="199">
        <f t="shared" ref="H610:O610" si="3064">countif($D610,"*"&amp;H$2&amp;"*")</f>
        <v>0</v>
      </c>
      <c r="I610" s="200">
        <f t="shared" si="3064"/>
        <v>0</v>
      </c>
      <c r="J610" s="200">
        <f t="shared" si="3064"/>
        <v>0</v>
      </c>
      <c r="K610" s="200">
        <f t="shared" si="3064"/>
        <v>0</v>
      </c>
      <c r="L610" s="200">
        <f t="shared" si="3064"/>
        <v>0</v>
      </c>
      <c r="M610" s="200">
        <f t="shared" si="3064"/>
        <v>0</v>
      </c>
      <c r="N610" s="200">
        <f t="shared" si="3064"/>
        <v>0</v>
      </c>
      <c r="O610" s="200">
        <f t="shared" si="3064"/>
        <v>0</v>
      </c>
      <c r="P610" s="200">
        <f t="shared" si="9"/>
        <v>1</v>
      </c>
      <c r="Q610" s="200">
        <f t="shared" ref="Q610:AC610" si="3065">countif($D610,"*"&amp;Q$2&amp;"*")</f>
        <v>0</v>
      </c>
      <c r="R610" s="200">
        <f t="shared" si="3065"/>
        <v>0</v>
      </c>
      <c r="S610" s="200">
        <f t="shared" si="3065"/>
        <v>0</v>
      </c>
      <c r="T610" s="200">
        <f t="shared" si="3065"/>
        <v>0</v>
      </c>
      <c r="U610" s="200">
        <f t="shared" si="3065"/>
        <v>0</v>
      </c>
      <c r="V610" s="200">
        <f t="shared" si="3065"/>
        <v>0</v>
      </c>
      <c r="W610" s="200">
        <f t="shared" si="3065"/>
        <v>0</v>
      </c>
      <c r="X610" s="200">
        <f t="shared" si="3065"/>
        <v>0</v>
      </c>
      <c r="Y610" s="200">
        <f t="shared" si="3065"/>
        <v>0</v>
      </c>
      <c r="Z610" s="200">
        <f t="shared" si="3065"/>
        <v>0</v>
      </c>
      <c r="AA610" s="200">
        <f t="shared" si="3065"/>
        <v>0</v>
      </c>
      <c r="AB610" s="200">
        <f t="shared" si="3065"/>
        <v>0</v>
      </c>
      <c r="AC610" s="200">
        <f t="shared" si="3065"/>
        <v>0</v>
      </c>
      <c r="AD610" s="200">
        <f t="shared" si="11"/>
        <v>0</v>
      </c>
      <c r="AE610" s="200">
        <f t="shared" ref="AE610:AG610" si="3066">countif($D610,"*"&amp;AE$2&amp;"*")</f>
        <v>0</v>
      </c>
      <c r="AF610" s="200">
        <f t="shared" si="3066"/>
        <v>0</v>
      </c>
      <c r="AG610" s="200">
        <f t="shared" si="3066"/>
        <v>0</v>
      </c>
      <c r="AH610" s="171">
        <f t="shared" si="13"/>
        <v>0</v>
      </c>
      <c r="AI610" s="200">
        <f t="shared" si="14"/>
        <v>0</v>
      </c>
      <c r="AJ610" s="200">
        <f t="shared" si="3061"/>
        <v>0</v>
      </c>
      <c r="AK610" s="201">
        <f t="shared" ref="AK610:AS610" si="3067">countif($D610,"*"&amp;AK$2&amp;"*")</f>
        <v>0</v>
      </c>
      <c r="AL610" s="201">
        <f t="shared" si="3067"/>
        <v>0</v>
      </c>
      <c r="AM610" s="201">
        <f t="shared" si="3067"/>
        <v>0</v>
      </c>
      <c r="AN610" s="201">
        <f t="shared" si="3067"/>
        <v>0</v>
      </c>
      <c r="AO610" s="201">
        <f t="shared" si="3067"/>
        <v>0</v>
      </c>
      <c r="AP610" s="201">
        <f t="shared" si="3067"/>
        <v>0</v>
      </c>
      <c r="AQ610" s="201">
        <f t="shared" si="3067"/>
        <v>0</v>
      </c>
      <c r="AR610" s="200">
        <f t="shared" si="3067"/>
        <v>0</v>
      </c>
      <c r="AS610" s="200">
        <f t="shared" si="3067"/>
        <v>0</v>
      </c>
      <c r="AT610" s="173">
        <v>0.0</v>
      </c>
      <c r="AU610" s="200">
        <f t="shared" ref="AU610:AX610" si="3068">countif($D610,"*"&amp;AU$2&amp;"*")</f>
        <v>0</v>
      </c>
      <c r="AV610" s="200">
        <f t="shared" si="3068"/>
        <v>1</v>
      </c>
      <c r="AW610" s="200">
        <f t="shared" si="3068"/>
        <v>0</v>
      </c>
      <c r="AX610" s="200">
        <f t="shared" si="3068"/>
        <v>0</v>
      </c>
      <c r="AY610" s="202">
        <v>0.0</v>
      </c>
      <c r="AZ610" s="200"/>
      <c r="BA610" s="171" t="str">
        <f t="shared" si="18"/>
        <v/>
      </c>
      <c r="BB610" s="171" t="str">
        <f t="shared" si="19"/>
        <v>Code</v>
      </c>
      <c r="BC610" s="171" t="str">
        <f t="shared" si="20"/>
        <v/>
      </c>
      <c r="BD610" s="171" t="str">
        <f t="shared" si="21"/>
        <v/>
      </c>
      <c r="BE610" s="171" t="str">
        <f t="shared" si="22"/>
        <v/>
      </c>
      <c r="BF610" s="171" t="str">
        <f t="shared" si="23"/>
        <v>Code</v>
      </c>
    </row>
    <row r="611">
      <c r="A611" s="171">
        <f t="array" ref="A611">XLOOKUP(C611,ICSE!A:A,ICSE!C:C,,2,1)</f>
        <v>2018</v>
      </c>
      <c r="B611" s="171" t="s">
        <v>5675</v>
      </c>
      <c r="C611" s="160">
        <v>1161.0</v>
      </c>
      <c r="D611" s="161" t="s">
        <v>1023</v>
      </c>
      <c r="E611" s="197" t="str">
        <f t="array" ref="E611">XLOOKUP(C611,ICSE!A:A,ICSE!Z:Z,,0,1)</f>
        <v>Publicly available (1)</v>
      </c>
      <c r="F611" s="198" t="s">
        <v>20</v>
      </c>
      <c r="G611" s="163" t="str">
        <f t="array" ref="G611">IF(B611="ICSE",IF(COUNTIFS(B:B,B611,C:C,C611)=XLOOKUP(C611,ICSE!A:A,ICSE!AA:AA,"ERROR",0,1),"OK","ERROR"),IF(B611="FSE",IF(COUNTIFS(B:B,B611,C:C,C611)=XLOOKUP(C611,FSE!A:A,FSE!AA:AA,"ERROR",0,1),"OK","ERROR")))</f>
        <v>OK</v>
      </c>
      <c r="H611" s="199">
        <f t="shared" ref="H611:O611" si="3069">countif($D611,"*"&amp;H$2&amp;"*")</f>
        <v>0</v>
      </c>
      <c r="I611" s="200">
        <f t="shared" si="3069"/>
        <v>0</v>
      </c>
      <c r="J611" s="200">
        <f t="shared" si="3069"/>
        <v>0</v>
      </c>
      <c r="K611" s="200">
        <f t="shared" si="3069"/>
        <v>0</v>
      </c>
      <c r="L611" s="200">
        <f t="shared" si="3069"/>
        <v>0</v>
      </c>
      <c r="M611" s="200">
        <f t="shared" si="3069"/>
        <v>0</v>
      </c>
      <c r="N611" s="200">
        <f t="shared" si="3069"/>
        <v>0</v>
      </c>
      <c r="O611" s="200">
        <f t="shared" si="3069"/>
        <v>0</v>
      </c>
      <c r="P611" s="200">
        <f t="shared" si="9"/>
        <v>0</v>
      </c>
      <c r="Q611" s="200">
        <f t="shared" ref="Q611:AC611" si="3070">countif($D611,"*"&amp;Q$2&amp;"*")</f>
        <v>0</v>
      </c>
      <c r="R611" s="200">
        <f t="shared" si="3070"/>
        <v>0</v>
      </c>
      <c r="S611" s="200">
        <f t="shared" si="3070"/>
        <v>0</v>
      </c>
      <c r="T611" s="200">
        <f t="shared" si="3070"/>
        <v>0</v>
      </c>
      <c r="U611" s="200">
        <f t="shared" si="3070"/>
        <v>0</v>
      </c>
      <c r="V611" s="200">
        <f t="shared" si="3070"/>
        <v>0</v>
      </c>
      <c r="W611" s="200">
        <f t="shared" si="3070"/>
        <v>0</v>
      </c>
      <c r="X611" s="200">
        <f t="shared" si="3070"/>
        <v>0</v>
      </c>
      <c r="Y611" s="200">
        <f t="shared" si="3070"/>
        <v>0</v>
      </c>
      <c r="Z611" s="200">
        <f t="shared" si="3070"/>
        <v>0</v>
      </c>
      <c r="AA611" s="200">
        <f t="shared" si="3070"/>
        <v>0</v>
      </c>
      <c r="AB611" s="200">
        <f t="shared" si="3070"/>
        <v>0</v>
      </c>
      <c r="AC611" s="200">
        <f t="shared" si="3070"/>
        <v>0</v>
      </c>
      <c r="AD611" s="200">
        <f t="shared" si="11"/>
        <v>1</v>
      </c>
      <c r="AE611" s="200">
        <f t="shared" ref="AE611:AG611" si="3071">countif($D611,"*"&amp;AE$2&amp;"*")</f>
        <v>0</v>
      </c>
      <c r="AF611" s="200">
        <f t="shared" si="3071"/>
        <v>0</v>
      </c>
      <c r="AG611" s="200">
        <f t="shared" si="3071"/>
        <v>0</v>
      </c>
      <c r="AH611" s="171">
        <f t="shared" si="13"/>
        <v>0</v>
      </c>
      <c r="AI611" s="200">
        <f t="shared" si="14"/>
        <v>0</v>
      </c>
      <c r="AJ611" s="200">
        <f>SUM(AK611:AQ611)</f>
        <v>0</v>
      </c>
      <c r="AK611" s="201">
        <f t="shared" ref="AK611:AS611" si="3072">countif($D611,"*"&amp;AK$2&amp;"*")</f>
        <v>0</v>
      </c>
      <c r="AL611" s="201">
        <f t="shared" si="3072"/>
        <v>0</v>
      </c>
      <c r="AM611" s="201">
        <f t="shared" si="3072"/>
        <v>0</v>
      </c>
      <c r="AN611" s="201">
        <f t="shared" si="3072"/>
        <v>0</v>
      </c>
      <c r="AO611" s="201">
        <f t="shared" si="3072"/>
        <v>0</v>
      </c>
      <c r="AP611" s="201">
        <f t="shared" si="3072"/>
        <v>0</v>
      </c>
      <c r="AQ611" s="201">
        <f t="shared" si="3072"/>
        <v>0</v>
      </c>
      <c r="AR611" s="201">
        <f t="shared" si="3072"/>
        <v>0</v>
      </c>
      <c r="AS611" s="200">
        <f t="shared" si="3072"/>
        <v>0</v>
      </c>
      <c r="AT611" s="205">
        <v>0.0</v>
      </c>
      <c r="AU611" s="200">
        <f t="shared" ref="AU611:AX611" si="3073">countif($D611,"*"&amp;AU$2&amp;"*")</f>
        <v>1</v>
      </c>
      <c r="AV611" s="200">
        <f t="shared" si="3073"/>
        <v>0</v>
      </c>
      <c r="AW611" s="200">
        <f t="shared" si="3073"/>
        <v>0</v>
      </c>
      <c r="AX611" s="200">
        <f t="shared" si="3073"/>
        <v>0</v>
      </c>
      <c r="AY611" s="202">
        <v>0.0</v>
      </c>
      <c r="AZ611" s="200"/>
      <c r="BA611" s="171" t="str">
        <f t="shared" si="18"/>
        <v/>
      </c>
      <c r="BB611" s="171" t="str">
        <f t="shared" si="19"/>
        <v/>
      </c>
      <c r="BC611" s="171" t="str">
        <f t="shared" si="20"/>
        <v/>
      </c>
      <c r="BD611" s="171" t="str">
        <f t="shared" si="21"/>
        <v>Institutional</v>
      </c>
      <c r="BE611" s="171" t="str">
        <f t="shared" si="22"/>
        <v/>
      </c>
      <c r="BF611" s="171" t="str">
        <f t="shared" si="23"/>
        <v>Institutional</v>
      </c>
    </row>
    <row r="612">
      <c r="A612" s="171">
        <f t="array" ref="A612">XLOOKUP(C612,ICSE!A:A,ICSE!C:C,,2,1)</f>
        <v>2018</v>
      </c>
      <c r="B612" s="171" t="s">
        <v>5675</v>
      </c>
      <c r="C612" s="160">
        <v>1163.0</v>
      </c>
      <c r="D612" s="161" t="s">
        <v>5936</v>
      </c>
      <c r="E612" s="197" t="str">
        <f t="array" ref="E612">XLOOKUP(C612,ICSE!A:A,ICSE!Z:Z,,0,1)</f>
        <v>Publicly available (2)</v>
      </c>
      <c r="F612" s="198" t="s">
        <v>20</v>
      </c>
      <c r="G612" s="163" t="str">
        <f t="array" ref="G612">IF(B612="ICSE",IF(COUNTIFS(B:B,B612,C:C,C612)=XLOOKUP(C612,ICSE!A:A,ICSE!AA:AA,"ERROR",0,1),"OK","ERROR"),IF(B612="FSE",IF(COUNTIFS(B:B,B612,C:C,C612)=XLOOKUP(C612,FSE!A:A,FSE!AA:AA,"ERROR",0,1),"OK","ERROR")))</f>
        <v>OK</v>
      </c>
      <c r="H612" s="199">
        <f t="shared" ref="H612:O612" si="3074">countif($D612,"*"&amp;H$2&amp;"*")</f>
        <v>0</v>
      </c>
      <c r="I612" s="200">
        <f t="shared" si="3074"/>
        <v>0</v>
      </c>
      <c r="J612" s="200">
        <f t="shared" si="3074"/>
        <v>0</v>
      </c>
      <c r="K612" s="200">
        <f t="shared" si="3074"/>
        <v>0</v>
      </c>
      <c r="L612" s="200">
        <f t="shared" si="3074"/>
        <v>0</v>
      </c>
      <c r="M612" s="200">
        <f t="shared" si="3074"/>
        <v>0</v>
      </c>
      <c r="N612" s="200">
        <f t="shared" si="3074"/>
        <v>0</v>
      </c>
      <c r="O612" s="200">
        <f t="shared" si="3074"/>
        <v>0</v>
      </c>
      <c r="P612" s="200">
        <f t="shared" si="9"/>
        <v>0</v>
      </c>
      <c r="Q612" s="200">
        <f t="shared" ref="Q612:AC612" si="3075">countif($D612,"*"&amp;Q$2&amp;"*")</f>
        <v>0</v>
      </c>
      <c r="R612" s="200">
        <f t="shared" si="3075"/>
        <v>0</v>
      </c>
      <c r="S612" s="200">
        <f t="shared" si="3075"/>
        <v>0</v>
      </c>
      <c r="T612" s="200">
        <f t="shared" si="3075"/>
        <v>0</v>
      </c>
      <c r="U612" s="200">
        <f t="shared" si="3075"/>
        <v>0</v>
      </c>
      <c r="V612" s="200">
        <f t="shared" si="3075"/>
        <v>0</v>
      </c>
      <c r="W612" s="200">
        <f t="shared" si="3075"/>
        <v>0</v>
      </c>
      <c r="X612" s="200">
        <f t="shared" si="3075"/>
        <v>0</v>
      </c>
      <c r="Y612" s="200">
        <f t="shared" si="3075"/>
        <v>0</v>
      </c>
      <c r="Z612" s="200">
        <f t="shared" si="3075"/>
        <v>0</v>
      </c>
      <c r="AA612" s="200">
        <f t="shared" si="3075"/>
        <v>0</v>
      </c>
      <c r="AB612" s="200">
        <f t="shared" si="3075"/>
        <v>0</v>
      </c>
      <c r="AC612" s="200">
        <f t="shared" si="3075"/>
        <v>0</v>
      </c>
      <c r="AD612" s="200">
        <f t="shared" si="11"/>
        <v>0</v>
      </c>
      <c r="AE612" s="200">
        <f t="shared" ref="AE612:AG612" si="3076">countif($D612,"*"&amp;AE$2&amp;"*")</f>
        <v>0</v>
      </c>
      <c r="AF612" s="200">
        <f t="shared" si="3076"/>
        <v>0</v>
      </c>
      <c r="AG612" s="200">
        <f t="shared" si="3076"/>
        <v>0</v>
      </c>
      <c r="AH612" s="171">
        <f t="shared" si="13"/>
        <v>1</v>
      </c>
      <c r="AI612" s="200">
        <f t="shared" si="14"/>
        <v>0</v>
      </c>
      <c r="AJ612" s="200">
        <f t="shared" ref="AJ612:AJ634" si="3082">SUM(AK612:AR612)</f>
        <v>0</v>
      </c>
      <c r="AK612" s="201">
        <f t="shared" ref="AK612:AS612" si="3077">countif($D612,"*"&amp;AK$2&amp;"*")</f>
        <v>0</v>
      </c>
      <c r="AL612" s="201">
        <f t="shared" si="3077"/>
        <v>0</v>
      </c>
      <c r="AM612" s="201">
        <f t="shared" si="3077"/>
        <v>0</v>
      </c>
      <c r="AN612" s="201">
        <f t="shared" si="3077"/>
        <v>0</v>
      </c>
      <c r="AO612" s="201">
        <f t="shared" si="3077"/>
        <v>0</v>
      </c>
      <c r="AP612" s="201">
        <f t="shared" si="3077"/>
        <v>0</v>
      </c>
      <c r="AQ612" s="201">
        <f t="shared" si="3077"/>
        <v>0</v>
      </c>
      <c r="AR612" s="200">
        <f t="shared" si="3077"/>
        <v>0</v>
      </c>
      <c r="AS612" s="200">
        <f t="shared" si="3077"/>
        <v>0</v>
      </c>
      <c r="AT612" s="173">
        <v>0.0</v>
      </c>
      <c r="AU612" s="200">
        <f t="shared" ref="AU612:AX612" si="3078">countif($D612,"*"&amp;AU$2&amp;"*")</f>
        <v>0</v>
      </c>
      <c r="AV612" s="200">
        <f t="shared" si="3078"/>
        <v>0</v>
      </c>
      <c r="AW612" s="200">
        <f t="shared" si="3078"/>
        <v>0</v>
      </c>
      <c r="AX612" s="200">
        <f t="shared" si="3078"/>
        <v>0</v>
      </c>
      <c r="AY612" s="202">
        <v>0.0</v>
      </c>
      <c r="AZ612" s="200"/>
      <c r="BA612" s="171" t="str">
        <f t="shared" si="18"/>
        <v/>
      </c>
      <c r="BB612" s="171" t="str">
        <f t="shared" si="19"/>
        <v/>
      </c>
      <c r="BC612" s="171" t="str">
        <f t="shared" si="20"/>
        <v/>
      </c>
      <c r="BD612" s="171" t="str">
        <f t="shared" si="21"/>
        <v/>
      </c>
      <c r="BE612" s="171" t="str">
        <f t="shared" si="22"/>
        <v>Others</v>
      </c>
      <c r="BF612" s="171" t="str">
        <f t="shared" si="23"/>
        <v>Others</v>
      </c>
    </row>
    <row r="613">
      <c r="A613" s="171">
        <f t="array" ref="A613">XLOOKUP(C613,ICSE!A:A,ICSE!C:C,,2,1)</f>
        <v>2018</v>
      </c>
      <c r="B613" s="171" t="s">
        <v>5675</v>
      </c>
      <c r="C613" s="160">
        <v>1163.0</v>
      </c>
      <c r="D613" s="161" t="s">
        <v>5937</v>
      </c>
      <c r="E613" s="197" t="str">
        <f t="array" ref="E613">XLOOKUP(C613,ICSE!A:A,ICSE!Z:Z,,0,1)</f>
        <v>Publicly available (2)</v>
      </c>
      <c r="F613" s="198" t="s">
        <v>20</v>
      </c>
      <c r="G613" s="163" t="str">
        <f t="array" ref="G613">IF(B613="ICSE",IF(COUNTIFS(B:B,B613,C:C,C613)=XLOOKUP(C613,ICSE!A:A,ICSE!AA:AA,"ERROR",0,1),"OK","ERROR"),IF(B613="FSE",IF(COUNTIFS(B:B,B613,C:C,C613)=XLOOKUP(C613,FSE!A:A,FSE!AA:AA,"ERROR",0,1),"OK","ERROR")))</f>
        <v>OK</v>
      </c>
      <c r="H613" s="199">
        <f t="shared" ref="H613:O613" si="3079">countif($D613,"*"&amp;H$2&amp;"*")</f>
        <v>0</v>
      </c>
      <c r="I613" s="200">
        <f t="shared" si="3079"/>
        <v>0</v>
      </c>
      <c r="J613" s="200">
        <f t="shared" si="3079"/>
        <v>0</v>
      </c>
      <c r="K613" s="200">
        <f t="shared" si="3079"/>
        <v>0</v>
      </c>
      <c r="L613" s="200">
        <f t="shared" si="3079"/>
        <v>0</v>
      </c>
      <c r="M613" s="200">
        <f t="shared" si="3079"/>
        <v>0</v>
      </c>
      <c r="N613" s="200">
        <f t="shared" si="3079"/>
        <v>0</v>
      </c>
      <c r="O613" s="200">
        <f t="shared" si="3079"/>
        <v>0</v>
      </c>
      <c r="P613" s="200">
        <f t="shared" si="9"/>
        <v>1</v>
      </c>
      <c r="Q613" s="200">
        <f t="shared" ref="Q613:AC613" si="3080">countif($D613,"*"&amp;Q$2&amp;"*")</f>
        <v>0</v>
      </c>
      <c r="R613" s="200">
        <f t="shared" si="3080"/>
        <v>0</v>
      </c>
      <c r="S613" s="200">
        <f t="shared" si="3080"/>
        <v>0</v>
      </c>
      <c r="T613" s="200">
        <f t="shared" si="3080"/>
        <v>0</v>
      </c>
      <c r="U613" s="200">
        <f t="shared" si="3080"/>
        <v>0</v>
      </c>
      <c r="V613" s="200">
        <f t="shared" si="3080"/>
        <v>0</v>
      </c>
      <c r="W613" s="200">
        <f t="shared" si="3080"/>
        <v>0</v>
      </c>
      <c r="X613" s="200">
        <f t="shared" si="3080"/>
        <v>0</v>
      </c>
      <c r="Y613" s="200">
        <f t="shared" si="3080"/>
        <v>0</v>
      </c>
      <c r="Z613" s="200">
        <f t="shared" si="3080"/>
        <v>0</v>
      </c>
      <c r="AA613" s="200">
        <f t="shared" si="3080"/>
        <v>0</v>
      </c>
      <c r="AB613" s="200">
        <f t="shared" si="3080"/>
        <v>0</v>
      </c>
      <c r="AC613" s="200">
        <f t="shared" si="3080"/>
        <v>0</v>
      </c>
      <c r="AD613" s="200">
        <f t="shared" si="11"/>
        <v>0</v>
      </c>
      <c r="AE613" s="200">
        <f t="shared" ref="AE613:AG613" si="3081">countif($D613,"*"&amp;AE$2&amp;"*")</f>
        <v>0</v>
      </c>
      <c r="AF613" s="200">
        <f t="shared" si="3081"/>
        <v>0</v>
      </c>
      <c r="AG613" s="200">
        <f t="shared" si="3081"/>
        <v>0</v>
      </c>
      <c r="AH613" s="171">
        <f t="shared" si="13"/>
        <v>0</v>
      </c>
      <c r="AI613" s="200">
        <f t="shared" si="14"/>
        <v>0</v>
      </c>
      <c r="AJ613" s="200">
        <f t="shared" si="3082"/>
        <v>0</v>
      </c>
      <c r="AK613" s="201">
        <f t="shared" ref="AK613:AS613" si="3083">countif($D613,"*"&amp;AK$2&amp;"*")</f>
        <v>0</v>
      </c>
      <c r="AL613" s="201">
        <f t="shared" si="3083"/>
        <v>0</v>
      </c>
      <c r="AM613" s="201">
        <f t="shared" si="3083"/>
        <v>0</v>
      </c>
      <c r="AN613" s="201">
        <f t="shared" si="3083"/>
        <v>0</v>
      </c>
      <c r="AO613" s="201">
        <f t="shared" si="3083"/>
        <v>0</v>
      </c>
      <c r="AP613" s="201">
        <f t="shared" si="3083"/>
        <v>0</v>
      </c>
      <c r="AQ613" s="201">
        <f t="shared" si="3083"/>
        <v>0</v>
      </c>
      <c r="AR613" s="200">
        <f t="shared" si="3083"/>
        <v>0</v>
      </c>
      <c r="AS613" s="200">
        <f t="shared" si="3083"/>
        <v>0</v>
      </c>
      <c r="AT613" s="173">
        <v>0.0</v>
      </c>
      <c r="AU613" s="200">
        <f t="shared" ref="AU613:AX613" si="3084">countif($D613,"*"&amp;AU$2&amp;"*")</f>
        <v>0</v>
      </c>
      <c r="AV613" s="200">
        <f t="shared" si="3084"/>
        <v>1</v>
      </c>
      <c r="AW613" s="200">
        <f t="shared" si="3084"/>
        <v>0</v>
      </c>
      <c r="AX613" s="200">
        <f t="shared" si="3084"/>
        <v>0</v>
      </c>
      <c r="AY613" s="202">
        <v>0.0</v>
      </c>
      <c r="AZ613" s="200"/>
      <c r="BA613" s="171" t="str">
        <f t="shared" si="18"/>
        <v/>
      </c>
      <c r="BB613" s="171" t="str">
        <f t="shared" si="19"/>
        <v>Code</v>
      </c>
      <c r="BC613" s="171" t="str">
        <f t="shared" si="20"/>
        <v/>
      </c>
      <c r="BD613" s="171" t="str">
        <f t="shared" si="21"/>
        <v/>
      </c>
      <c r="BE613" s="171" t="str">
        <f t="shared" si="22"/>
        <v/>
      </c>
      <c r="BF613" s="171" t="str">
        <f t="shared" si="23"/>
        <v>Code</v>
      </c>
    </row>
    <row r="614">
      <c r="A614" s="171">
        <f t="array" ref="A614">XLOOKUP(C614,ICSE!A:A,ICSE!C:C,,2,1)</f>
        <v>2018</v>
      </c>
      <c r="B614" s="171" t="s">
        <v>5675</v>
      </c>
      <c r="C614" s="160">
        <v>1164.0</v>
      </c>
      <c r="D614" s="161" t="s">
        <v>1030</v>
      </c>
      <c r="E614" s="197" t="str">
        <f t="array" ref="E614">XLOOKUP(C614,ICSE!A:A,ICSE!Z:Z,,0,1)</f>
        <v>Publicly available (1)</v>
      </c>
      <c r="F614" s="198" t="s">
        <v>20</v>
      </c>
      <c r="G614" s="163" t="str">
        <f t="array" ref="G614">IF(B614="ICSE",IF(COUNTIFS(B:B,B614,C:C,C614)=XLOOKUP(C614,ICSE!A:A,ICSE!AA:AA,"ERROR",0,1),"OK","ERROR"),IF(B614="FSE",IF(COUNTIFS(B:B,B614,C:C,C614)=XLOOKUP(C614,FSE!A:A,FSE!AA:AA,"ERROR",0,1),"OK","ERROR")))</f>
        <v>OK</v>
      </c>
      <c r="H614" s="199">
        <f t="shared" ref="H614:O614" si="3085">countif($D614,"*"&amp;H$2&amp;"*")</f>
        <v>0</v>
      </c>
      <c r="I614" s="200">
        <f t="shared" si="3085"/>
        <v>0</v>
      </c>
      <c r="J614" s="200">
        <f t="shared" si="3085"/>
        <v>0</v>
      </c>
      <c r="K614" s="200">
        <f t="shared" si="3085"/>
        <v>0</v>
      </c>
      <c r="L614" s="200">
        <f t="shared" si="3085"/>
        <v>0</v>
      </c>
      <c r="M614" s="200">
        <f t="shared" si="3085"/>
        <v>0</v>
      </c>
      <c r="N614" s="200">
        <f t="shared" si="3085"/>
        <v>0</v>
      </c>
      <c r="O614" s="200">
        <f t="shared" si="3085"/>
        <v>0</v>
      </c>
      <c r="P614" s="200">
        <f t="shared" si="9"/>
        <v>1</v>
      </c>
      <c r="Q614" s="200">
        <f t="shared" ref="Q614:AC614" si="3086">countif($D614,"*"&amp;Q$2&amp;"*")</f>
        <v>0</v>
      </c>
      <c r="R614" s="200">
        <f t="shared" si="3086"/>
        <v>0</v>
      </c>
      <c r="S614" s="200">
        <f t="shared" si="3086"/>
        <v>0</v>
      </c>
      <c r="T614" s="200">
        <f t="shared" si="3086"/>
        <v>0</v>
      </c>
      <c r="U614" s="200">
        <f t="shared" si="3086"/>
        <v>0</v>
      </c>
      <c r="V614" s="200">
        <f t="shared" si="3086"/>
        <v>0</v>
      </c>
      <c r="W614" s="200">
        <f t="shared" si="3086"/>
        <v>0</v>
      </c>
      <c r="X614" s="200">
        <f t="shared" si="3086"/>
        <v>0</v>
      </c>
      <c r="Y614" s="200">
        <f t="shared" si="3086"/>
        <v>0</v>
      </c>
      <c r="Z614" s="200">
        <f t="shared" si="3086"/>
        <v>0</v>
      </c>
      <c r="AA614" s="200">
        <f t="shared" si="3086"/>
        <v>0</v>
      </c>
      <c r="AB614" s="200">
        <f t="shared" si="3086"/>
        <v>0</v>
      </c>
      <c r="AC614" s="200">
        <f t="shared" si="3086"/>
        <v>0</v>
      </c>
      <c r="AD614" s="200">
        <f t="shared" si="11"/>
        <v>0</v>
      </c>
      <c r="AE614" s="200">
        <f t="shared" ref="AE614:AG614" si="3087">countif($D614,"*"&amp;AE$2&amp;"*")</f>
        <v>0</v>
      </c>
      <c r="AF614" s="200">
        <f t="shared" si="3087"/>
        <v>0</v>
      </c>
      <c r="AG614" s="200">
        <f t="shared" si="3087"/>
        <v>0</v>
      </c>
      <c r="AH614" s="171">
        <f t="shared" si="13"/>
        <v>0</v>
      </c>
      <c r="AI614" s="200">
        <f t="shared" si="14"/>
        <v>0</v>
      </c>
      <c r="AJ614" s="200">
        <f t="shared" si="3082"/>
        <v>0</v>
      </c>
      <c r="AK614" s="201">
        <f t="shared" ref="AK614:AS614" si="3088">countif($D614,"*"&amp;AK$2&amp;"*")</f>
        <v>0</v>
      </c>
      <c r="AL614" s="201">
        <f t="shared" si="3088"/>
        <v>0</v>
      </c>
      <c r="AM614" s="201">
        <f t="shared" si="3088"/>
        <v>0</v>
      </c>
      <c r="AN614" s="201">
        <f t="shared" si="3088"/>
        <v>0</v>
      </c>
      <c r="AO614" s="201">
        <f t="shared" si="3088"/>
        <v>0</v>
      </c>
      <c r="AP614" s="201">
        <f t="shared" si="3088"/>
        <v>0</v>
      </c>
      <c r="AQ614" s="201">
        <f t="shared" si="3088"/>
        <v>0</v>
      </c>
      <c r="AR614" s="200">
        <f t="shared" si="3088"/>
        <v>0</v>
      </c>
      <c r="AS614" s="200">
        <f t="shared" si="3088"/>
        <v>0</v>
      </c>
      <c r="AT614" s="173">
        <v>0.0</v>
      </c>
      <c r="AU614" s="200">
        <f t="shared" ref="AU614:AX614" si="3089">countif($D614,"*"&amp;AU$2&amp;"*")</f>
        <v>0</v>
      </c>
      <c r="AV614" s="200">
        <f t="shared" si="3089"/>
        <v>1</v>
      </c>
      <c r="AW614" s="200">
        <f t="shared" si="3089"/>
        <v>0</v>
      </c>
      <c r="AX614" s="200">
        <f t="shared" si="3089"/>
        <v>0</v>
      </c>
      <c r="AY614" s="202">
        <v>0.0</v>
      </c>
      <c r="AZ614" s="200"/>
      <c r="BA614" s="171" t="str">
        <f t="shared" si="18"/>
        <v/>
      </c>
      <c r="BB614" s="171" t="str">
        <f t="shared" si="19"/>
        <v>Code</v>
      </c>
      <c r="BC614" s="171" t="str">
        <f t="shared" si="20"/>
        <v/>
      </c>
      <c r="BD614" s="171" t="str">
        <f t="shared" si="21"/>
        <v/>
      </c>
      <c r="BE614" s="171" t="str">
        <f t="shared" si="22"/>
        <v/>
      </c>
      <c r="BF614" s="171" t="str">
        <f t="shared" si="23"/>
        <v>Code</v>
      </c>
    </row>
    <row r="615">
      <c r="A615" s="171">
        <f t="array" ref="A615">XLOOKUP(C615,ICSE!A:A,ICSE!C:C,,2,1)</f>
        <v>2018</v>
      </c>
      <c r="B615" s="171" t="s">
        <v>5675</v>
      </c>
      <c r="C615" s="160">
        <v>1165.0</v>
      </c>
      <c r="D615" s="161" t="s">
        <v>1033</v>
      </c>
      <c r="E615" s="197" t="str">
        <f t="array" ref="E615">XLOOKUP(C615,ICSE!A:A,ICSE!Z:Z,,0,1)</f>
        <v>Not available (1) - Broken link.</v>
      </c>
      <c r="F615" s="198" t="s">
        <v>21</v>
      </c>
      <c r="G615" s="163" t="str">
        <f t="array" ref="G615">IF(B615="ICSE",IF(COUNTIFS(B:B,B615,C:C,C615)=XLOOKUP(C615,ICSE!A:A,ICSE!AA:AA,"ERROR",0,1),"OK","ERROR"),IF(B615="FSE",IF(COUNTIFS(B:B,B615,C:C,C615)=XLOOKUP(C615,FSE!A:A,FSE!AA:AA,"ERROR",0,1),"OK","ERROR")))</f>
        <v>OK</v>
      </c>
      <c r="H615" s="199">
        <f t="shared" ref="H615:O615" si="3090">countif($D615,"*"&amp;H$2&amp;"*")</f>
        <v>0</v>
      </c>
      <c r="I615" s="200">
        <f t="shared" si="3090"/>
        <v>0</v>
      </c>
      <c r="J615" s="200">
        <f t="shared" si="3090"/>
        <v>0</v>
      </c>
      <c r="K615" s="200">
        <f t="shared" si="3090"/>
        <v>0</v>
      </c>
      <c r="L615" s="200">
        <f t="shared" si="3090"/>
        <v>0</v>
      </c>
      <c r="M615" s="200">
        <f t="shared" si="3090"/>
        <v>0</v>
      </c>
      <c r="N615" s="200">
        <f t="shared" si="3090"/>
        <v>0</v>
      </c>
      <c r="O615" s="200">
        <f t="shared" si="3090"/>
        <v>0</v>
      </c>
      <c r="P615" s="200">
        <f t="shared" si="9"/>
        <v>0</v>
      </c>
      <c r="Q615" s="200">
        <f t="shared" ref="Q615:AC615" si="3091">countif($D615,"*"&amp;Q$2&amp;"*")</f>
        <v>0</v>
      </c>
      <c r="R615" s="200">
        <f t="shared" si="3091"/>
        <v>0</v>
      </c>
      <c r="S615" s="200">
        <f t="shared" si="3091"/>
        <v>0</v>
      </c>
      <c r="T615" s="200">
        <f t="shared" si="3091"/>
        <v>0</v>
      </c>
      <c r="U615" s="200">
        <f t="shared" si="3091"/>
        <v>0</v>
      </c>
      <c r="V615" s="200">
        <f t="shared" si="3091"/>
        <v>0</v>
      </c>
      <c r="W615" s="200">
        <f t="shared" si="3091"/>
        <v>0</v>
      </c>
      <c r="X615" s="200">
        <f t="shared" si="3091"/>
        <v>0</v>
      </c>
      <c r="Y615" s="200">
        <f t="shared" si="3091"/>
        <v>0</v>
      </c>
      <c r="Z615" s="200">
        <f t="shared" si="3091"/>
        <v>0</v>
      </c>
      <c r="AA615" s="200">
        <f t="shared" si="3091"/>
        <v>0</v>
      </c>
      <c r="AB615" s="200">
        <f t="shared" si="3091"/>
        <v>0</v>
      </c>
      <c r="AC615" s="200">
        <f t="shared" si="3091"/>
        <v>0</v>
      </c>
      <c r="AD615" s="200">
        <f t="shared" si="11"/>
        <v>0</v>
      </c>
      <c r="AE615" s="200">
        <f t="shared" ref="AE615:AG615" si="3092">countif($D615,"*"&amp;AE$2&amp;"*")</f>
        <v>0</v>
      </c>
      <c r="AF615" s="200">
        <f t="shared" si="3092"/>
        <v>0</v>
      </c>
      <c r="AG615" s="200">
        <f t="shared" si="3092"/>
        <v>0</v>
      </c>
      <c r="AH615" s="171">
        <f t="shared" si="13"/>
        <v>1</v>
      </c>
      <c r="AI615" s="200">
        <f t="shared" si="14"/>
        <v>0</v>
      </c>
      <c r="AJ615" s="200">
        <f t="shared" si="3082"/>
        <v>0</v>
      </c>
      <c r="AK615" s="201">
        <f t="shared" ref="AK615:AS615" si="3093">countif($D615,"*"&amp;AK$2&amp;"*")</f>
        <v>0</v>
      </c>
      <c r="AL615" s="201">
        <f t="shared" si="3093"/>
        <v>0</v>
      </c>
      <c r="AM615" s="201">
        <f t="shared" si="3093"/>
        <v>0</v>
      </c>
      <c r="AN615" s="201">
        <f t="shared" si="3093"/>
        <v>0</v>
      </c>
      <c r="AO615" s="201">
        <f t="shared" si="3093"/>
        <v>0</v>
      </c>
      <c r="AP615" s="201">
        <f t="shared" si="3093"/>
        <v>0</v>
      </c>
      <c r="AQ615" s="201">
        <f t="shared" si="3093"/>
        <v>0</v>
      </c>
      <c r="AR615" s="200">
        <f t="shared" si="3093"/>
        <v>0</v>
      </c>
      <c r="AS615" s="200">
        <f t="shared" si="3093"/>
        <v>0</v>
      </c>
      <c r="AT615" s="173">
        <v>0.0</v>
      </c>
      <c r="AU615" s="200">
        <f t="shared" ref="AU615:AX615" si="3094">countif($D615,"*"&amp;AU$2&amp;"*")</f>
        <v>0</v>
      </c>
      <c r="AV615" s="200">
        <f t="shared" si="3094"/>
        <v>0</v>
      </c>
      <c r="AW615" s="200">
        <f t="shared" si="3094"/>
        <v>0</v>
      </c>
      <c r="AX615" s="200">
        <f t="shared" si="3094"/>
        <v>0</v>
      </c>
      <c r="AY615" s="202">
        <v>0.0</v>
      </c>
      <c r="AZ615" s="200"/>
      <c r="BA615" s="171" t="str">
        <f t="shared" si="18"/>
        <v/>
      </c>
      <c r="BB615" s="171" t="str">
        <f t="shared" si="19"/>
        <v/>
      </c>
      <c r="BC615" s="171" t="str">
        <f t="shared" si="20"/>
        <v/>
      </c>
      <c r="BD615" s="171" t="str">
        <f t="shared" si="21"/>
        <v/>
      </c>
      <c r="BE615" s="171" t="str">
        <f t="shared" si="22"/>
        <v>Others</v>
      </c>
      <c r="BF615" s="171" t="str">
        <f t="shared" si="23"/>
        <v>Others</v>
      </c>
    </row>
    <row r="616">
      <c r="A616" s="171">
        <f t="array" ref="A616">XLOOKUP(C616,ICSE!A:A,ICSE!C:C,,2,1)</f>
        <v>2018</v>
      </c>
      <c r="B616" s="171" t="s">
        <v>5675</v>
      </c>
      <c r="C616" s="160">
        <v>1166.0</v>
      </c>
      <c r="D616" s="161" t="s">
        <v>1036</v>
      </c>
      <c r="E616" s="197" t="str">
        <f t="array" ref="E616">XLOOKUP(C616,ICSE!A:A,ICSE!Z:Z,,0,1)</f>
        <v>Publicly available (1)</v>
      </c>
      <c r="F616" s="198" t="s">
        <v>20</v>
      </c>
      <c r="G616" s="163" t="str">
        <f t="array" ref="G616">IF(B616="ICSE",IF(COUNTIFS(B:B,B616,C:C,C616)=XLOOKUP(C616,ICSE!A:A,ICSE!AA:AA,"ERROR",0,1),"OK","ERROR"),IF(B616="FSE",IF(COUNTIFS(B:B,B616,C:C,C616)=XLOOKUP(C616,FSE!A:A,FSE!AA:AA,"ERROR",0,1),"OK","ERROR")))</f>
        <v>OK</v>
      </c>
      <c r="H616" s="199">
        <f t="shared" ref="H616:O616" si="3095">countif($D616,"*"&amp;H$2&amp;"*")</f>
        <v>0</v>
      </c>
      <c r="I616" s="200">
        <f t="shared" si="3095"/>
        <v>0</v>
      </c>
      <c r="J616" s="200">
        <f t="shared" si="3095"/>
        <v>0</v>
      </c>
      <c r="K616" s="200">
        <f t="shared" si="3095"/>
        <v>0</v>
      </c>
      <c r="L616" s="200">
        <f t="shared" si="3095"/>
        <v>0</v>
      </c>
      <c r="M616" s="200">
        <f t="shared" si="3095"/>
        <v>0</v>
      </c>
      <c r="N616" s="200">
        <f t="shared" si="3095"/>
        <v>0</v>
      </c>
      <c r="O616" s="200">
        <f t="shared" si="3095"/>
        <v>0</v>
      </c>
      <c r="P616" s="200">
        <f t="shared" si="9"/>
        <v>0</v>
      </c>
      <c r="Q616" s="200">
        <f t="shared" ref="Q616:AC616" si="3096">countif($D616,"*"&amp;Q$2&amp;"*")</f>
        <v>0</v>
      </c>
      <c r="R616" s="200">
        <f t="shared" si="3096"/>
        <v>0</v>
      </c>
      <c r="S616" s="200">
        <f t="shared" si="3096"/>
        <v>0</v>
      </c>
      <c r="T616" s="200">
        <f t="shared" si="3096"/>
        <v>0</v>
      </c>
      <c r="U616" s="200">
        <f t="shared" si="3096"/>
        <v>0</v>
      </c>
      <c r="V616" s="200">
        <f t="shared" si="3096"/>
        <v>0</v>
      </c>
      <c r="W616" s="200">
        <f t="shared" si="3096"/>
        <v>0</v>
      </c>
      <c r="X616" s="200">
        <f t="shared" si="3096"/>
        <v>0</v>
      </c>
      <c r="Y616" s="200">
        <f t="shared" si="3096"/>
        <v>0</v>
      </c>
      <c r="Z616" s="200">
        <f t="shared" si="3096"/>
        <v>0</v>
      </c>
      <c r="AA616" s="200">
        <f t="shared" si="3096"/>
        <v>0</v>
      </c>
      <c r="AB616" s="200">
        <f t="shared" si="3096"/>
        <v>0</v>
      </c>
      <c r="AC616" s="200">
        <f t="shared" si="3096"/>
        <v>0</v>
      </c>
      <c r="AD616" s="200">
        <f t="shared" si="11"/>
        <v>1</v>
      </c>
      <c r="AE616" s="200">
        <f t="shared" ref="AE616:AG616" si="3097">countif($D616,"*"&amp;AE$2&amp;"*")</f>
        <v>0</v>
      </c>
      <c r="AF616" s="200">
        <f t="shared" si="3097"/>
        <v>0</v>
      </c>
      <c r="AG616" s="200">
        <f t="shared" si="3097"/>
        <v>0</v>
      </c>
      <c r="AH616" s="171">
        <f t="shared" si="13"/>
        <v>0</v>
      </c>
      <c r="AI616" s="200">
        <f t="shared" si="14"/>
        <v>0</v>
      </c>
      <c r="AJ616" s="200">
        <f t="shared" si="3082"/>
        <v>0</v>
      </c>
      <c r="AK616" s="201">
        <f t="shared" ref="AK616:AS616" si="3098">countif($D616,"*"&amp;AK$2&amp;"*")</f>
        <v>0</v>
      </c>
      <c r="AL616" s="201">
        <f t="shared" si="3098"/>
        <v>0</v>
      </c>
      <c r="AM616" s="201">
        <f t="shared" si="3098"/>
        <v>0</v>
      </c>
      <c r="AN616" s="201">
        <f t="shared" si="3098"/>
        <v>0</v>
      </c>
      <c r="AO616" s="201">
        <f t="shared" si="3098"/>
        <v>0</v>
      </c>
      <c r="AP616" s="201">
        <f t="shared" si="3098"/>
        <v>0</v>
      </c>
      <c r="AQ616" s="201">
        <f t="shared" si="3098"/>
        <v>0</v>
      </c>
      <c r="AR616" s="200">
        <f t="shared" si="3098"/>
        <v>0</v>
      </c>
      <c r="AS616" s="200">
        <f t="shared" si="3098"/>
        <v>0</v>
      </c>
      <c r="AT616" s="173">
        <v>1.0</v>
      </c>
      <c r="AU616" s="200">
        <f t="shared" ref="AU616:AX616" si="3099">countif($D616,"*"&amp;AU$2&amp;"*")</f>
        <v>0</v>
      </c>
      <c r="AV616" s="200">
        <f t="shared" si="3099"/>
        <v>0</v>
      </c>
      <c r="AW616" s="200">
        <f t="shared" si="3099"/>
        <v>0</v>
      </c>
      <c r="AX616" s="200">
        <f t="shared" si="3099"/>
        <v>0</v>
      </c>
      <c r="AY616" s="202">
        <v>0.0</v>
      </c>
      <c r="AZ616" s="200"/>
      <c r="BA616" s="171" t="str">
        <f t="shared" si="18"/>
        <v/>
      </c>
      <c r="BB616" s="171" t="str">
        <f t="shared" si="19"/>
        <v/>
      </c>
      <c r="BC616" s="171" t="str">
        <f t="shared" si="20"/>
        <v/>
      </c>
      <c r="BD616" s="171" t="str">
        <f t="shared" si="21"/>
        <v>Institutional</v>
      </c>
      <c r="BE616" s="171" t="str">
        <f t="shared" si="22"/>
        <v/>
      </c>
      <c r="BF616" s="171" t="str">
        <f t="shared" si="23"/>
        <v>Institutional</v>
      </c>
    </row>
    <row r="617">
      <c r="A617" s="171">
        <f t="array" ref="A617">XLOOKUP(C617,ICSE!A:A,ICSE!C:C,,2,1)</f>
        <v>2018</v>
      </c>
      <c r="B617" s="171" t="s">
        <v>5675</v>
      </c>
      <c r="C617" s="160">
        <v>1170.0</v>
      </c>
      <c r="D617" s="161" t="s">
        <v>5938</v>
      </c>
      <c r="E617" s="197" t="str">
        <f t="array" ref="E617">XLOOKUP(C617,ICSE!A:A,ICSE!Z:Z,,0,1)</f>
        <v>Publicly available (1)
Not available (2) - Broken link.</v>
      </c>
      <c r="F617" s="198" t="s">
        <v>20</v>
      </c>
      <c r="G617" s="163" t="str">
        <f t="array" ref="G617">IF(B617="ICSE",IF(COUNTIFS(B:B,B617,C:C,C617)=XLOOKUP(C617,ICSE!A:A,ICSE!AA:AA,"ERROR",0,1),"OK","ERROR"),IF(B617="FSE",IF(COUNTIFS(B:B,B617,C:C,C617)=XLOOKUP(C617,FSE!A:A,FSE!AA:AA,"ERROR",0,1),"OK","ERROR")))</f>
        <v>OK</v>
      </c>
      <c r="H617" s="199">
        <f t="shared" ref="H617:O617" si="3100">countif($D617,"*"&amp;H$2&amp;"*")</f>
        <v>0</v>
      </c>
      <c r="I617" s="200">
        <f t="shared" si="3100"/>
        <v>0</v>
      </c>
      <c r="J617" s="200">
        <f t="shared" si="3100"/>
        <v>0</v>
      </c>
      <c r="K617" s="200">
        <f t="shared" si="3100"/>
        <v>0</v>
      </c>
      <c r="L617" s="200">
        <f t="shared" si="3100"/>
        <v>0</v>
      </c>
      <c r="M617" s="200">
        <f t="shared" si="3100"/>
        <v>0</v>
      </c>
      <c r="N617" s="200">
        <f t="shared" si="3100"/>
        <v>0</v>
      </c>
      <c r="O617" s="200">
        <f t="shared" si="3100"/>
        <v>0</v>
      </c>
      <c r="P617" s="200">
        <f t="shared" si="9"/>
        <v>1</v>
      </c>
      <c r="Q617" s="200">
        <f t="shared" ref="Q617:AC617" si="3101">countif($D617,"*"&amp;Q$2&amp;"*")</f>
        <v>0</v>
      </c>
      <c r="R617" s="200">
        <f t="shared" si="3101"/>
        <v>0</v>
      </c>
      <c r="S617" s="200">
        <f t="shared" si="3101"/>
        <v>0</v>
      </c>
      <c r="T617" s="200">
        <f t="shared" si="3101"/>
        <v>0</v>
      </c>
      <c r="U617" s="200">
        <f t="shared" si="3101"/>
        <v>0</v>
      </c>
      <c r="V617" s="200">
        <f t="shared" si="3101"/>
        <v>0</v>
      </c>
      <c r="W617" s="200">
        <f t="shared" si="3101"/>
        <v>0</v>
      </c>
      <c r="X617" s="200">
        <f t="shared" si="3101"/>
        <v>0</v>
      </c>
      <c r="Y617" s="200">
        <f t="shared" si="3101"/>
        <v>0</v>
      </c>
      <c r="Z617" s="200">
        <f t="shared" si="3101"/>
        <v>0</v>
      </c>
      <c r="AA617" s="200">
        <f t="shared" si="3101"/>
        <v>0</v>
      </c>
      <c r="AB617" s="200">
        <f t="shared" si="3101"/>
        <v>0</v>
      </c>
      <c r="AC617" s="200">
        <f t="shared" si="3101"/>
        <v>0</v>
      </c>
      <c r="AD617" s="200">
        <f t="shared" si="11"/>
        <v>0</v>
      </c>
      <c r="AE617" s="200">
        <f t="shared" ref="AE617:AG617" si="3102">countif($D617,"*"&amp;AE$2&amp;"*")</f>
        <v>0</v>
      </c>
      <c r="AF617" s="200">
        <f t="shared" si="3102"/>
        <v>0</v>
      </c>
      <c r="AG617" s="200">
        <f t="shared" si="3102"/>
        <v>0</v>
      </c>
      <c r="AH617" s="171">
        <f t="shared" si="13"/>
        <v>0</v>
      </c>
      <c r="AI617" s="200">
        <f t="shared" si="14"/>
        <v>0</v>
      </c>
      <c r="AJ617" s="200">
        <f t="shared" si="3082"/>
        <v>0</v>
      </c>
      <c r="AK617" s="201">
        <f t="shared" ref="AK617:AS617" si="3103">countif($D617,"*"&amp;AK$2&amp;"*")</f>
        <v>0</v>
      </c>
      <c r="AL617" s="201">
        <f t="shared" si="3103"/>
        <v>0</v>
      </c>
      <c r="AM617" s="201">
        <f t="shared" si="3103"/>
        <v>0</v>
      </c>
      <c r="AN617" s="201">
        <f t="shared" si="3103"/>
        <v>0</v>
      </c>
      <c r="AO617" s="201">
        <f t="shared" si="3103"/>
        <v>0</v>
      </c>
      <c r="AP617" s="201">
        <f t="shared" si="3103"/>
        <v>0</v>
      </c>
      <c r="AQ617" s="201">
        <f t="shared" si="3103"/>
        <v>0</v>
      </c>
      <c r="AR617" s="200">
        <f t="shared" si="3103"/>
        <v>0</v>
      </c>
      <c r="AS617" s="200">
        <f t="shared" si="3103"/>
        <v>0</v>
      </c>
      <c r="AT617" s="173">
        <v>0.0</v>
      </c>
      <c r="AU617" s="200">
        <f t="shared" ref="AU617:AX617" si="3104">countif($D617,"*"&amp;AU$2&amp;"*")</f>
        <v>0</v>
      </c>
      <c r="AV617" s="200">
        <f t="shared" si="3104"/>
        <v>1</v>
      </c>
      <c r="AW617" s="200">
        <f t="shared" si="3104"/>
        <v>0</v>
      </c>
      <c r="AX617" s="200">
        <f t="shared" si="3104"/>
        <v>0</v>
      </c>
      <c r="AY617" s="202">
        <v>0.0</v>
      </c>
      <c r="AZ617" s="200"/>
      <c r="BA617" s="171" t="str">
        <f t="shared" si="18"/>
        <v/>
      </c>
      <c r="BB617" s="171" t="str">
        <f t="shared" si="19"/>
        <v>Code</v>
      </c>
      <c r="BC617" s="171" t="str">
        <f t="shared" si="20"/>
        <v/>
      </c>
      <c r="BD617" s="171" t="str">
        <f t="shared" si="21"/>
        <v/>
      </c>
      <c r="BE617" s="171" t="str">
        <f t="shared" si="22"/>
        <v/>
      </c>
      <c r="BF617" s="171" t="str">
        <f t="shared" si="23"/>
        <v>Code</v>
      </c>
    </row>
    <row r="618">
      <c r="A618" s="171">
        <f t="array" ref="A618">XLOOKUP(C618,ICSE!A:A,ICSE!C:C,,2,1)</f>
        <v>2018</v>
      </c>
      <c r="B618" s="171" t="s">
        <v>5675</v>
      </c>
      <c r="C618" s="160">
        <v>1170.0</v>
      </c>
      <c r="D618" s="161" t="s">
        <v>5939</v>
      </c>
      <c r="E618" s="197" t="str">
        <f t="array" ref="E618">XLOOKUP(C618,ICSE!A:A,ICSE!Z:Z,,0,1)</f>
        <v>Publicly available (1)
Not available (2) - Broken link.</v>
      </c>
      <c r="F618" s="198" t="s">
        <v>21</v>
      </c>
      <c r="G618" s="163" t="str">
        <f t="array" ref="G618">IF(B618="ICSE",IF(COUNTIFS(B:B,B618,C:C,C618)=XLOOKUP(C618,ICSE!A:A,ICSE!AA:AA,"ERROR",0,1),"OK","ERROR"),IF(B618="FSE",IF(COUNTIFS(B:B,B618,C:C,C618)=XLOOKUP(C618,FSE!A:A,FSE!AA:AA,"ERROR",0,1),"OK","ERROR")))</f>
        <v>OK</v>
      </c>
      <c r="H618" s="199">
        <f t="shared" ref="H618:O618" si="3105">countif($D618,"*"&amp;H$2&amp;"*")</f>
        <v>0</v>
      </c>
      <c r="I618" s="200">
        <f t="shared" si="3105"/>
        <v>0</v>
      </c>
      <c r="J618" s="200">
        <f t="shared" si="3105"/>
        <v>0</v>
      </c>
      <c r="K618" s="200">
        <f t="shared" si="3105"/>
        <v>0</v>
      </c>
      <c r="L618" s="200">
        <f t="shared" si="3105"/>
        <v>0</v>
      </c>
      <c r="M618" s="200">
        <f t="shared" si="3105"/>
        <v>0</v>
      </c>
      <c r="N618" s="200">
        <f t="shared" si="3105"/>
        <v>0</v>
      </c>
      <c r="O618" s="200">
        <f t="shared" si="3105"/>
        <v>0</v>
      </c>
      <c r="P618" s="200">
        <f t="shared" si="9"/>
        <v>0</v>
      </c>
      <c r="Q618" s="200">
        <f t="shared" ref="Q618:AC618" si="3106">countif($D618,"*"&amp;Q$2&amp;"*")</f>
        <v>0</v>
      </c>
      <c r="R618" s="200">
        <f t="shared" si="3106"/>
        <v>0</v>
      </c>
      <c r="S618" s="200">
        <f t="shared" si="3106"/>
        <v>0</v>
      </c>
      <c r="T618" s="200">
        <f t="shared" si="3106"/>
        <v>0</v>
      </c>
      <c r="U618" s="200">
        <f t="shared" si="3106"/>
        <v>0</v>
      </c>
      <c r="V618" s="200">
        <f t="shared" si="3106"/>
        <v>0</v>
      </c>
      <c r="W618" s="200">
        <f t="shared" si="3106"/>
        <v>0</v>
      </c>
      <c r="X618" s="200">
        <f t="shared" si="3106"/>
        <v>0</v>
      </c>
      <c r="Y618" s="200">
        <f t="shared" si="3106"/>
        <v>0</v>
      </c>
      <c r="Z618" s="200">
        <f t="shared" si="3106"/>
        <v>0</v>
      </c>
      <c r="AA618" s="200">
        <f t="shared" si="3106"/>
        <v>0</v>
      </c>
      <c r="AB618" s="200">
        <f t="shared" si="3106"/>
        <v>0</v>
      </c>
      <c r="AC618" s="200">
        <f t="shared" si="3106"/>
        <v>0</v>
      </c>
      <c r="AD618" s="200">
        <f t="shared" si="11"/>
        <v>1</v>
      </c>
      <c r="AE618" s="200">
        <f t="shared" ref="AE618:AG618" si="3107">countif($D618,"*"&amp;AE$2&amp;"*")</f>
        <v>0</v>
      </c>
      <c r="AF618" s="200">
        <f t="shared" si="3107"/>
        <v>0</v>
      </c>
      <c r="AG618" s="200">
        <f t="shared" si="3107"/>
        <v>0</v>
      </c>
      <c r="AH618" s="171">
        <f t="shared" si="13"/>
        <v>0</v>
      </c>
      <c r="AI618" s="200">
        <f t="shared" si="14"/>
        <v>0</v>
      </c>
      <c r="AJ618" s="200">
        <f t="shared" si="3082"/>
        <v>0</v>
      </c>
      <c r="AK618" s="201">
        <f t="shared" ref="AK618:AS618" si="3108">countif($D618,"*"&amp;AK$2&amp;"*")</f>
        <v>0</v>
      </c>
      <c r="AL618" s="201">
        <f t="shared" si="3108"/>
        <v>0</v>
      </c>
      <c r="AM618" s="201">
        <f t="shared" si="3108"/>
        <v>0</v>
      </c>
      <c r="AN618" s="201">
        <f t="shared" si="3108"/>
        <v>0</v>
      </c>
      <c r="AO618" s="201">
        <f t="shared" si="3108"/>
        <v>0</v>
      </c>
      <c r="AP618" s="201">
        <f t="shared" si="3108"/>
        <v>0</v>
      </c>
      <c r="AQ618" s="201">
        <f t="shared" si="3108"/>
        <v>0</v>
      </c>
      <c r="AR618" s="200">
        <f t="shared" si="3108"/>
        <v>0</v>
      </c>
      <c r="AS618" s="200">
        <f t="shared" si="3108"/>
        <v>0</v>
      </c>
      <c r="AT618" s="173">
        <v>1.0</v>
      </c>
      <c r="AU618" s="200">
        <f t="shared" ref="AU618:AX618" si="3109">countif($D618,"*"&amp;AU$2&amp;"*")</f>
        <v>0</v>
      </c>
      <c r="AV618" s="200">
        <f t="shared" si="3109"/>
        <v>0</v>
      </c>
      <c r="AW618" s="200">
        <f t="shared" si="3109"/>
        <v>0</v>
      </c>
      <c r="AX618" s="200">
        <f t="shared" si="3109"/>
        <v>0</v>
      </c>
      <c r="AY618" s="202">
        <v>0.0</v>
      </c>
      <c r="AZ618" s="200"/>
      <c r="BA618" s="171" t="str">
        <f t="shared" si="18"/>
        <v/>
      </c>
      <c r="BB618" s="171" t="str">
        <f t="shared" si="19"/>
        <v/>
      </c>
      <c r="BC618" s="171" t="str">
        <f t="shared" si="20"/>
        <v/>
      </c>
      <c r="BD618" s="171" t="str">
        <f t="shared" si="21"/>
        <v>Institutional</v>
      </c>
      <c r="BE618" s="171" t="str">
        <f t="shared" si="22"/>
        <v/>
      </c>
      <c r="BF618" s="171" t="str">
        <f t="shared" si="23"/>
        <v>Institutional</v>
      </c>
    </row>
    <row r="619">
      <c r="A619" s="171">
        <f t="array" ref="A619">XLOOKUP(C619,ICSE!A:A,ICSE!C:C,,2,1)</f>
        <v>2018</v>
      </c>
      <c r="B619" s="171" t="s">
        <v>5675</v>
      </c>
      <c r="C619" s="160">
        <v>1170.0</v>
      </c>
      <c r="D619" s="161" t="s">
        <v>5940</v>
      </c>
      <c r="E619" s="197" t="str">
        <f t="array" ref="E619">XLOOKUP(C619,ICSE!A:A,ICSE!Z:Z,,0,1)</f>
        <v>Publicly available (1)
Not available (2) - Broken link.</v>
      </c>
      <c r="F619" s="198" t="s">
        <v>21</v>
      </c>
      <c r="G619" s="163" t="str">
        <f t="array" ref="G619">IF(B619="ICSE",IF(COUNTIFS(B:B,B619,C:C,C619)=XLOOKUP(C619,ICSE!A:A,ICSE!AA:AA,"ERROR",0,1),"OK","ERROR"),IF(B619="FSE",IF(COUNTIFS(B:B,B619,C:C,C619)=XLOOKUP(C619,FSE!A:A,FSE!AA:AA,"ERROR",0,1),"OK","ERROR")))</f>
        <v>OK</v>
      </c>
      <c r="H619" s="199">
        <f t="shared" ref="H619:O619" si="3110">countif($D619,"*"&amp;H$2&amp;"*")</f>
        <v>0</v>
      </c>
      <c r="I619" s="200">
        <f t="shared" si="3110"/>
        <v>0</v>
      </c>
      <c r="J619" s="200">
        <f t="shared" si="3110"/>
        <v>0</v>
      </c>
      <c r="K619" s="200">
        <f t="shared" si="3110"/>
        <v>0</v>
      </c>
      <c r="L619" s="200">
        <f t="shared" si="3110"/>
        <v>0</v>
      </c>
      <c r="M619" s="200">
        <f t="shared" si="3110"/>
        <v>0</v>
      </c>
      <c r="N619" s="200">
        <f t="shared" si="3110"/>
        <v>0</v>
      </c>
      <c r="O619" s="200">
        <f t="shared" si="3110"/>
        <v>0</v>
      </c>
      <c r="P619" s="200">
        <f t="shared" si="9"/>
        <v>1</v>
      </c>
      <c r="Q619" s="200">
        <f t="shared" ref="Q619:AC619" si="3111">countif($D619,"*"&amp;Q$2&amp;"*")</f>
        <v>0</v>
      </c>
      <c r="R619" s="200">
        <f t="shared" si="3111"/>
        <v>0</v>
      </c>
      <c r="S619" s="200">
        <f t="shared" si="3111"/>
        <v>0</v>
      </c>
      <c r="T619" s="200">
        <f t="shared" si="3111"/>
        <v>0</v>
      </c>
      <c r="U619" s="200">
        <f t="shared" si="3111"/>
        <v>0</v>
      </c>
      <c r="V619" s="200">
        <f t="shared" si="3111"/>
        <v>0</v>
      </c>
      <c r="W619" s="200">
        <f t="shared" si="3111"/>
        <v>0</v>
      </c>
      <c r="X619" s="200">
        <f t="shared" si="3111"/>
        <v>0</v>
      </c>
      <c r="Y619" s="200">
        <f t="shared" si="3111"/>
        <v>0</v>
      </c>
      <c r="Z619" s="200">
        <f t="shared" si="3111"/>
        <v>0</v>
      </c>
      <c r="AA619" s="200">
        <f t="shared" si="3111"/>
        <v>0</v>
      </c>
      <c r="AB619" s="200">
        <f t="shared" si="3111"/>
        <v>0</v>
      </c>
      <c r="AC619" s="200">
        <f t="shared" si="3111"/>
        <v>0</v>
      </c>
      <c r="AD619" s="200">
        <f t="shared" si="11"/>
        <v>0</v>
      </c>
      <c r="AE619" s="200">
        <f t="shared" ref="AE619:AG619" si="3112">countif($D619,"*"&amp;AE$2&amp;"*")</f>
        <v>0</v>
      </c>
      <c r="AF619" s="200">
        <f t="shared" si="3112"/>
        <v>0</v>
      </c>
      <c r="AG619" s="200">
        <f t="shared" si="3112"/>
        <v>0</v>
      </c>
      <c r="AH619" s="171">
        <f t="shared" si="13"/>
        <v>0</v>
      </c>
      <c r="AI619" s="200">
        <f t="shared" si="14"/>
        <v>0</v>
      </c>
      <c r="AJ619" s="200">
        <f t="shared" si="3082"/>
        <v>0</v>
      </c>
      <c r="AK619" s="201">
        <f t="shared" ref="AK619:AS619" si="3113">countif($D619,"*"&amp;AK$2&amp;"*")</f>
        <v>0</v>
      </c>
      <c r="AL619" s="201">
        <f t="shared" si="3113"/>
        <v>0</v>
      </c>
      <c r="AM619" s="201">
        <f t="shared" si="3113"/>
        <v>0</v>
      </c>
      <c r="AN619" s="201">
        <f t="shared" si="3113"/>
        <v>0</v>
      </c>
      <c r="AO619" s="201">
        <f t="shared" si="3113"/>
        <v>0</v>
      </c>
      <c r="AP619" s="201">
        <f t="shared" si="3113"/>
        <v>0</v>
      </c>
      <c r="AQ619" s="201">
        <f t="shared" si="3113"/>
        <v>0</v>
      </c>
      <c r="AR619" s="200">
        <f t="shared" si="3113"/>
        <v>0</v>
      </c>
      <c r="AS619" s="200">
        <f t="shared" si="3113"/>
        <v>0</v>
      </c>
      <c r="AT619" s="173">
        <v>0.0</v>
      </c>
      <c r="AU619" s="200">
        <f t="shared" ref="AU619:AX619" si="3114">countif($D619,"*"&amp;AU$2&amp;"*")</f>
        <v>0</v>
      </c>
      <c r="AV619" s="200">
        <f t="shared" si="3114"/>
        <v>1</v>
      </c>
      <c r="AW619" s="200">
        <f t="shared" si="3114"/>
        <v>0</v>
      </c>
      <c r="AX619" s="200">
        <f t="shared" si="3114"/>
        <v>0</v>
      </c>
      <c r="AY619" s="202">
        <v>0.0</v>
      </c>
      <c r="AZ619" s="200"/>
      <c r="BA619" s="171" t="str">
        <f t="shared" si="18"/>
        <v/>
      </c>
      <c r="BB619" s="171" t="str">
        <f t="shared" si="19"/>
        <v>Code</v>
      </c>
      <c r="BC619" s="171" t="str">
        <f t="shared" si="20"/>
        <v/>
      </c>
      <c r="BD619" s="171" t="str">
        <f t="shared" si="21"/>
        <v/>
      </c>
      <c r="BE619" s="171" t="str">
        <f t="shared" si="22"/>
        <v/>
      </c>
      <c r="BF619" s="171" t="str">
        <f t="shared" si="23"/>
        <v>Code</v>
      </c>
    </row>
    <row r="620">
      <c r="A620" s="171">
        <f t="array" ref="A620">XLOOKUP(C620,ICSE!A:A,ICSE!C:C,,2,1)</f>
        <v>2018</v>
      </c>
      <c r="B620" s="171" t="s">
        <v>5675</v>
      </c>
      <c r="C620" s="160">
        <v>1175.0</v>
      </c>
      <c r="D620" s="161" t="s">
        <v>1042</v>
      </c>
      <c r="E620" s="197" t="str">
        <f t="array" ref="E620">XLOOKUP(C620,ICSE!A:A,ICSE!Z:Z,,0,1)</f>
        <v>Publicly available (1)</v>
      </c>
      <c r="F620" s="198" t="s">
        <v>20</v>
      </c>
      <c r="G620" s="163" t="str">
        <f t="array" ref="G620">IF(B620="ICSE",IF(COUNTIFS(B:B,B620,C:C,C620)=XLOOKUP(C620,ICSE!A:A,ICSE!AA:AA,"ERROR",0,1),"OK","ERROR"),IF(B620="FSE",IF(COUNTIFS(B:B,B620,C:C,C620)=XLOOKUP(C620,FSE!A:A,FSE!AA:AA,"ERROR",0,1),"OK","ERROR")))</f>
        <v>OK</v>
      </c>
      <c r="H620" s="199">
        <f t="shared" ref="H620:O620" si="3115">countif($D620,"*"&amp;H$2&amp;"*")</f>
        <v>1</v>
      </c>
      <c r="I620" s="200">
        <f t="shared" si="3115"/>
        <v>0</v>
      </c>
      <c r="J620" s="200">
        <f t="shared" si="3115"/>
        <v>0</v>
      </c>
      <c r="K620" s="200">
        <f t="shared" si="3115"/>
        <v>0</v>
      </c>
      <c r="L620" s="200">
        <f t="shared" si="3115"/>
        <v>0</v>
      </c>
      <c r="M620" s="200">
        <f t="shared" si="3115"/>
        <v>0</v>
      </c>
      <c r="N620" s="200">
        <f t="shared" si="3115"/>
        <v>0</v>
      </c>
      <c r="O620" s="200">
        <f t="shared" si="3115"/>
        <v>0</v>
      </c>
      <c r="P620" s="200">
        <f t="shared" si="9"/>
        <v>0</v>
      </c>
      <c r="Q620" s="200">
        <f t="shared" ref="Q620:AC620" si="3116">countif($D620,"*"&amp;Q$2&amp;"*")</f>
        <v>0</v>
      </c>
      <c r="R620" s="200">
        <f t="shared" si="3116"/>
        <v>0</v>
      </c>
      <c r="S620" s="200">
        <f t="shared" si="3116"/>
        <v>0</v>
      </c>
      <c r="T620" s="200">
        <f t="shared" si="3116"/>
        <v>0</v>
      </c>
      <c r="U620" s="200">
        <f t="shared" si="3116"/>
        <v>0</v>
      </c>
      <c r="V620" s="200">
        <f t="shared" si="3116"/>
        <v>0</v>
      </c>
      <c r="W620" s="200">
        <f t="shared" si="3116"/>
        <v>0</v>
      </c>
      <c r="X620" s="200">
        <f t="shared" si="3116"/>
        <v>0</v>
      </c>
      <c r="Y620" s="200">
        <f t="shared" si="3116"/>
        <v>0</v>
      </c>
      <c r="Z620" s="200">
        <f t="shared" si="3116"/>
        <v>0</v>
      </c>
      <c r="AA620" s="200">
        <f t="shared" si="3116"/>
        <v>0</v>
      </c>
      <c r="AB620" s="200">
        <f t="shared" si="3116"/>
        <v>0</v>
      </c>
      <c r="AC620" s="200">
        <f t="shared" si="3116"/>
        <v>0</v>
      </c>
      <c r="AD620" s="200">
        <f t="shared" si="11"/>
        <v>0</v>
      </c>
      <c r="AE620" s="200">
        <f t="shared" ref="AE620:AG620" si="3117">countif($D620,"*"&amp;AE$2&amp;"*")</f>
        <v>0</v>
      </c>
      <c r="AF620" s="200">
        <f t="shared" si="3117"/>
        <v>0</v>
      </c>
      <c r="AG620" s="200">
        <f t="shared" si="3117"/>
        <v>0</v>
      </c>
      <c r="AH620" s="171">
        <f t="shared" si="13"/>
        <v>0</v>
      </c>
      <c r="AI620" s="200">
        <f t="shared" si="14"/>
        <v>1</v>
      </c>
      <c r="AJ620" s="200">
        <f t="shared" si="3082"/>
        <v>0</v>
      </c>
      <c r="AK620" s="201">
        <f t="shared" ref="AK620:AS620" si="3118">countif($D620,"*"&amp;AK$2&amp;"*")</f>
        <v>0</v>
      </c>
      <c r="AL620" s="201">
        <f t="shared" si="3118"/>
        <v>0</v>
      </c>
      <c r="AM620" s="201">
        <f t="shared" si="3118"/>
        <v>0</v>
      </c>
      <c r="AN620" s="201">
        <f t="shared" si="3118"/>
        <v>0</v>
      </c>
      <c r="AO620" s="201">
        <f t="shared" si="3118"/>
        <v>0</v>
      </c>
      <c r="AP620" s="201">
        <f t="shared" si="3118"/>
        <v>0</v>
      </c>
      <c r="AQ620" s="201">
        <f t="shared" si="3118"/>
        <v>0</v>
      </c>
      <c r="AR620" s="200">
        <f t="shared" si="3118"/>
        <v>0</v>
      </c>
      <c r="AS620" s="200">
        <f t="shared" si="3118"/>
        <v>0</v>
      </c>
      <c r="AT620" s="173">
        <v>0.0</v>
      </c>
      <c r="AU620" s="200">
        <f t="shared" ref="AU620:AX620" si="3119">countif($D620,"*"&amp;AU$2&amp;"*")</f>
        <v>0</v>
      </c>
      <c r="AV620" s="200">
        <f t="shared" si="3119"/>
        <v>0</v>
      </c>
      <c r="AW620" s="200">
        <f t="shared" si="3119"/>
        <v>0</v>
      </c>
      <c r="AX620" s="200">
        <f t="shared" si="3119"/>
        <v>0</v>
      </c>
      <c r="AY620" s="204">
        <v>1.0</v>
      </c>
      <c r="AZ620" s="200"/>
      <c r="BA620" s="171" t="str">
        <f t="shared" si="18"/>
        <v>Archival</v>
      </c>
      <c r="BB620" s="171" t="str">
        <f t="shared" si="19"/>
        <v/>
      </c>
      <c r="BC620" s="171" t="str">
        <f t="shared" si="20"/>
        <v/>
      </c>
      <c r="BD620" s="171" t="str">
        <f t="shared" si="21"/>
        <v/>
      </c>
      <c r="BE620" s="171" t="str">
        <f t="shared" si="22"/>
        <v/>
      </c>
      <c r="BF620" s="171" t="str">
        <f t="shared" si="23"/>
        <v>Archival</v>
      </c>
    </row>
    <row r="621">
      <c r="A621" s="171">
        <f t="array" ref="A621">XLOOKUP(C621,ICSE!A:A,ICSE!C:C,,2,1)</f>
        <v>2018</v>
      </c>
      <c r="B621" s="171" t="s">
        <v>5675</v>
      </c>
      <c r="C621" s="160">
        <v>1176.0</v>
      </c>
      <c r="D621" s="161" t="s">
        <v>1046</v>
      </c>
      <c r="E621" s="197" t="str">
        <f t="array" ref="E621">XLOOKUP(C621,ICSE!A:A,ICSE!Z:Z,,0,1)</f>
        <v>Publicly available (1)</v>
      </c>
      <c r="F621" s="198" t="s">
        <v>20</v>
      </c>
      <c r="G621" s="163" t="str">
        <f t="array" ref="G621">IF(B621="ICSE",IF(COUNTIFS(B:B,B621,C:C,C621)=XLOOKUP(C621,ICSE!A:A,ICSE!AA:AA,"ERROR",0,1),"OK","ERROR"),IF(B621="FSE",IF(COUNTIFS(B:B,B621,C:C,C621)=XLOOKUP(C621,FSE!A:A,FSE!AA:AA,"ERROR",0,1),"OK","ERROR")))</f>
        <v>OK</v>
      </c>
      <c r="H621" s="199">
        <f t="shared" ref="H621:O621" si="3120">countif($D621,"*"&amp;H$2&amp;"*")</f>
        <v>0</v>
      </c>
      <c r="I621" s="200">
        <f t="shared" si="3120"/>
        <v>0</v>
      </c>
      <c r="J621" s="200">
        <f t="shared" si="3120"/>
        <v>0</v>
      </c>
      <c r="K621" s="200">
        <f t="shared" si="3120"/>
        <v>0</v>
      </c>
      <c r="L621" s="200">
        <f t="shared" si="3120"/>
        <v>0</v>
      </c>
      <c r="M621" s="200">
        <f t="shared" si="3120"/>
        <v>0</v>
      </c>
      <c r="N621" s="200">
        <f t="shared" si="3120"/>
        <v>0</v>
      </c>
      <c r="O621" s="200">
        <f t="shared" si="3120"/>
        <v>0</v>
      </c>
      <c r="P621" s="200">
        <f t="shared" si="9"/>
        <v>1</v>
      </c>
      <c r="Q621" s="200">
        <f t="shared" ref="Q621:AC621" si="3121">countif($D621,"*"&amp;Q$2&amp;"*")</f>
        <v>0</v>
      </c>
      <c r="R621" s="200">
        <f t="shared" si="3121"/>
        <v>0</v>
      </c>
      <c r="S621" s="200">
        <f t="shared" si="3121"/>
        <v>0</v>
      </c>
      <c r="T621" s="200">
        <f t="shared" si="3121"/>
        <v>0</v>
      </c>
      <c r="U621" s="200">
        <f t="shared" si="3121"/>
        <v>0</v>
      </c>
      <c r="V621" s="200">
        <f t="shared" si="3121"/>
        <v>0</v>
      </c>
      <c r="W621" s="200">
        <f t="shared" si="3121"/>
        <v>0</v>
      </c>
      <c r="X621" s="200">
        <f t="shared" si="3121"/>
        <v>0</v>
      </c>
      <c r="Y621" s="200">
        <f t="shared" si="3121"/>
        <v>0</v>
      </c>
      <c r="Z621" s="200">
        <f t="shared" si="3121"/>
        <v>0</v>
      </c>
      <c r="AA621" s="200">
        <f t="shared" si="3121"/>
        <v>0</v>
      </c>
      <c r="AB621" s="200">
        <f t="shared" si="3121"/>
        <v>0</v>
      </c>
      <c r="AC621" s="200">
        <f t="shared" si="3121"/>
        <v>0</v>
      </c>
      <c r="AD621" s="200">
        <f t="shared" si="11"/>
        <v>0</v>
      </c>
      <c r="AE621" s="200">
        <f t="shared" ref="AE621:AG621" si="3122">countif($D621,"*"&amp;AE$2&amp;"*")</f>
        <v>0</v>
      </c>
      <c r="AF621" s="200">
        <f t="shared" si="3122"/>
        <v>0</v>
      </c>
      <c r="AG621" s="200">
        <f t="shared" si="3122"/>
        <v>0</v>
      </c>
      <c r="AH621" s="171">
        <f t="shared" si="13"/>
        <v>0</v>
      </c>
      <c r="AI621" s="200">
        <f t="shared" si="14"/>
        <v>0</v>
      </c>
      <c r="AJ621" s="200">
        <f t="shared" si="3082"/>
        <v>0</v>
      </c>
      <c r="AK621" s="201">
        <f t="shared" ref="AK621:AS621" si="3123">countif($D621,"*"&amp;AK$2&amp;"*")</f>
        <v>0</v>
      </c>
      <c r="AL621" s="201">
        <f t="shared" si="3123"/>
        <v>0</v>
      </c>
      <c r="AM621" s="201">
        <f t="shared" si="3123"/>
        <v>0</v>
      </c>
      <c r="AN621" s="201">
        <f t="shared" si="3123"/>
        <v>0</v>
      </c>
      <c r="AO621" s="201">
        <f t="shared" si="3123"/>
        <v>0</v>
      </c>
      <c r="AP621" s="201">
        <f t="shared" si="3123"/>
        <v>0</v>
      </c>
      <c r="AQ621" s="201">
        <f t="shared" si="3123"/>
        <v>0</v>
      </c>
      <c r="AR621" s="200">
        <f t="shared" si="3123"/>
        <v>0</v>
      </c>
      <c r="AS621" s="200">
        <f t="shared" si="3123"/>
        <v>0</v>
      </c>
      <c r="AT621" s="173">
        <v>0.0</v>
      </c>
      <c r="AU621" s="200">
        <f t="shared" ref="AU621:AX621" si="3124">countif($D621,"*"&amp;AU$2&amp;"*")</f>
        <v>0</v>
      </c>
      <c r="AV621" s="200">
        <f t="shared" si="3124"/>
        <v>1</v>
      </c>
      <c r="AW621" s="200">
        <f t="shared" si="3124"/>
        <v>0</v>
      </c>
      <c r="AX621" s="200">
        <f t="shared" si="3124"/>
        <v>0</v>
      </c>
      <c r="AY621" s="202">
        <v>0.0</v>
      </c>
      <c r="AZ621" s="200"/>
      <c r="BA621" s="171" t="str">
        <f t="shared" si="18"/>
        <v/>
      </c>
      <c r="BB621" s="171" t="str">
        <f t="shared" si="19"/>
        <v>Code</v>
      </c>
      <c r="BC621" s="171" t="str">
        <f t="shared" si="20"/>
        <v/>
      </c>
      <c r="BD621" s="171" t="str">
        <f t="shared" si="21"/>
        <v/>
      </c>
      <c r="BE621" s="171" t="str">
        <f t="shared" si="22"/>
        <v/>
      </c>
      <c r="BF621" s="171" t="str">
        <f t="shared" si="23"/>
        <v>Code</v>
      </c>
    </row>
    <row r="622">
      <c r="A622" s="171">
        <f t="array" ref="A622">XLOOKUP(C622,ICSE!A:A,ICSE!C:C,,2,1)</f>
        <v>2018</v>
      </c>
      <c r="B622" s="171" t="s">
        <v>5675</v>
      </c>
      <c r="C622" s="160">
        <v>1181.0</v>
      </c>
      <c r="D622" s="161" t="s">
        <v>1051</v>
      </c>
      <c r="E622" s="197" t="str">
        <f t="array" ref="E622">XLOOKUP(C622,ICSE!A:A,ICSE!Z:Z,,0,1)</f>
        <v>Publicly available (1)</v>
      </c>
      <c r="F622" s="198" t="s">
        <v>20</v>
      </c>
      <c r="G622" s="163" t="str">
        <f t="array" ref="G622">IF(B622="ICSE",IF(COUNTIFS(B:B,B622,C:C,C622)=XLOOKUP(C622,ICSE!A:A,ICSE!AA:AA,"ERROR",0,1),"OK","ERROR"),IF(B622="FSE",IF(COUNTIFS(B:B,B622,C:C,C622)=XLOOKUP(C622,FSE!A:A,FSE!AA:AA,"ERROR",0,1),"OK","ERROR")))</f>
        <v>OK</v>
      </c>
      <c r="H622" s="199">
        <f t="shared" ref="H622:O622" si="3125">countif($D622,"*"&amp;H$2&amp;"*")</f>
        <v>0</v>
      </c>
      <c r="I622" s="200">
        <f t="shared" si="3125"/>
        <v>0</v>
      </c>
      <c r="J622" s="200">
        <f t="shared" si="3125"/>
        <v>0</v>
      </c>
      <c r="K622" s="200">
        <f t="shared" si="3125"/>
        <v>0</v>
      </c>
      <c r="L622" s="200">
        <f t="shared" si="3125"/>
        <v>0</v>
      </c>
      <c r="M622" s="200">
        <f t="shared" si="3125"/>
        <v>0</v>
      </c>
      <c r="N622" s="200">
        <f t="shared" si="3125"/>
        <v>0</v>
      </c>
      <c r="O622" s="200">
        <f t="shared" si="3125"/>
        <v>0</v>
      </c>
      <c r="P622" s="200">
        <f t="shared" si="9"/>
        <v>1</v>
      </c>
      <c r="Q622" s="200">
        <f t="shared" ref="Q622:AC622" si="3126">countif($D622,"*"&amp;Q$2&amp;"*")</f>
        <v>0</v>
      </c>
      <c r="R622" s="200">
        <f t="shared" si="3126"/>
        <v>0</v>
      </c>
      <c r="S622" s="200">
        <f t="shared" si="3126"/>
        <v>0</v>
      </c>
      <c r="T622" s="200">
        <f t="shared" si="3126"/>
        <v>0</v>
      </c>
      <c r="U622" s="200">
        <f t="shared" si="3126"/>
        <v>0</v>
      </c>
      <c r="V622" s="200">
        <f t="shared" si="3126"/>
        <v>0</v>
      </c>
      <c r="W622" s="200">
        <f t="shared" si="3126"/>
        <v>0</v>
      </c>
      <c r="X622" s="200">
        <f t="shared" si="3126"/>
        <v>0</v>
      </c>
      <c r="Y622" s="200">
        <f t="shared" si="3126"/>
        <v>0</v>
      </c>
      <c r="Z622" s="200">
        <f t="shared" si="3126"/>
        <v>0</v>
      </c>
      <c r="AA622" s="200">
        <f t="shared" si="3126"/>
        <v>0</v>
      </c>
      <c r="AB622" s="200">
        <f t="shared" si="3126"/>
        <v>0</v>
      </c>
      <c r="AC622" s="200">
        <f t="shared" si="3126"/>
        <v>0</v>
      </c>
      <c r="AD622" s="200">
        <f t="shared" si="11"/>
        <v>0</v>
      </c>
      <c r="AE622" s="200">
        <f t="shared" ref="AE622:AG622" si="3127">countif($D622,"*"&amp;AE$2&amp;"*")</f>
        <v>0</v>
      </c>
      <c r="AF622" s="200">
        <f t="shared" si="3127"/>
        <v>0</v>
      </c>
      <c r="AG622" s="200">
        <f t="shared" si="3127"/>
        <v>0</v>
      </c>
      <c r="AH622" s="171">
        <f t="shared" si="13"/>
        <v>0</v>
      </c>
      <c r="AI622" s="200">
        <f t="shared" si="14"/>
        <v>0</v>
      </c>
      <c r="AJ622" s="200">
        <f t="shared" si="3082"/>
        <v>0</v>
      </c>
      <c r="AK622" s="201">
        <f t="shared" ref="AK622:AS622" si="3128">countif($D622,"*"&amp;AK$2&amp;"*")</f>
        <v>0</v>
      </c>
      <c r="AL622" s="201">
        <f t="shared" si="3128"/>
        <v>0</v>
      </c>
      <c r="AM622" s="201">
        <f t="shared" si="3128"/>
        <v>0</v>
      </c>
      <c r="AN622" s="201">
        <f t="shared" si="3128"/>
        <v>0</v>
      </c>
      <c r="AO622" s="201">
        <f t="shared" si="3128"/>
        <v>0</v>
      </c>
      <c r="AP622" s="201">
        <f t="shared" si="3128"/>
        <v>0</v>
      </c>
      <c r="AQ622" s="201">
        <f t="shared" si="3128"/>
        <v>0</v>
      </c>
      <c r="AR622" s="200">
        <f t="shared" si="3128"/>
        <v>0</v>
      </c>
      <c r="AS622" s="200">
        <f t="shared" si="3128"/>
        <v>0</v>
      </c>
      <c r="AT622" s="173">
        <v>0.0</v>
      </c>
      <c r="AU622" s="200">
        <f t="shared" ref="AU622:AX622" si="3129">countif($D622,"*"&amp;AU$2&amp;"*")</f>
        <v>0</v>
      </c>
      <c r="AV622" s="200">
        <f t="shared" si="3129"/>
        <v>1</v>
      </c>
      <c r="AW622" s="200">
        <f t="shared" si="3129"/>
        <v>0</v>
      </c>
      <c r="AX622" s="200">
        <f t="shared" si="3129"/>
        <v>0</v>
      </c>
      <c r="AY622" s="202">
        <v>0.0</v>
      </c>
      <c r="AZ622" s="200"/>
      <c r="BA622" s="171" t="str">
        <f t="shared" si="18"/>
        <v/>
      </c>
      <c r="BB622" s="171" t="str">
        <f t="shared" si="19"/>
        <v>Code</v>
      </c>
      <c r="BC622" s="171" t="str">
        <f t="shared" si="20"/>
        <v/>
      </c>
      <c r="BD622" s="171" t="str">
        <f t="shared" si="21"/>
        <v/>
      </c>
      <c r="BE622" s="171" t="str">
        <f t="shared" si="22"/>
        <v/>
      </c>
      <c r="BF622" s="171" t="str">
        <f t="shared" si="23"/>
        <v>Code</v>
      </c>
    </row>
    <row r="623">
      <c r="A623" s="171">
        <f t="array" ref="A623">XLOOKUP(C623,ICSE!A:A,ICSE!C:C,,2,1)</f>
        <v>2018</v>
      </c>
      <c r="B623" s="171" t="s">
        <v>5675</v>
      </c>
      <c r="C623" s="160">
        <v>1183.0</v>
      </c>
      <c r="D623" s="161" t="s">
        <v>1054</v>
      </c>
      <c r="E623" s="197" t="str">
        <f t="array" ref="E623">XLOOKUP(C623,ICSE!A:A,ICSE!Z:Z,,0,1)</f>
        <v>Not available (1) - Broken link - This item was deleted.</v>
      </c>
      <c r="F623" s="198" t="s">
        <v>21</v>
      </c>
      <c r="G623" s="163" t="str">
        <f t="array" ref="G623">IF(B623="ICSE",IF(COUNTIFS(B:B,B623,C:C,C623)=XLOOKUP(C623,ICSE!A:A,ICSE!AA:AA,"ERROR",0,1),"OK","ERROR"),IF(B623="FSE",IF(COUNTIFS(B:B,B623,C:C,C623)=XLOOKUP(C623,FSE!A:A,FSE!AA:AA,"ERROR",0,1),"OK","ERROR")))</f>
        <v>OK</v>
      </c>
      <c r="H623" s="199">
        <f t="shared" ref="H623:O623" si="3130">countif($D623,"*"&amp;H$2&amp;"*")</f>
        <v>0</v>
      </c>
      <c r="I623" s="200">
        <f t="shared" si="3130"/>
        <v>0</v>
      </c>
      <c r="J623" s="200">
        <f t="shared" si="3130"/>
        <v>0</v>
      </c>
      <c r="K623" s="200">
        <f t="shared" si="3130"/>
        <v>0</v>
      </c>
      <c r="L623" s="200">
        <f t="shared" si="3130"/>
        <v>0</v>
      </c>
      <c r="M623" s="200">
        <f t="shared" si="3130"/>
        <v>0</v>
      </c>
      <c r="N623" s="200">
        <f t="shared" si="3130"/>
        <v>0</v>
      </c>
      <c r="O623" s="200">
        <f t="shared" si="3130"/>
        <v>0</v>
      </c>
      <c r="P623" s="200">
        <f t="shared" si="9"/>
        <v>0</v>
      </c>
      <c r="Q623" s="200">
        <f t="shared" ref="Q623:AC623" si="3131">countif($D623,"*"&amp;Q$2&amp;"*")</f>
        <v>0</v>
      </c>
      <c r="R623" s="200">
        <f t="shared" si="3131"/>
        <v>0</v>
      </c>
      <c r="S623" s="200">
        <f t="shared" si="3131"/>
        <v>0</v>
      </c>
      <c r="T623" s="200">
        <f t="shared" si="3131"/>
        <v>0</v>
      </c>
      <c r="U623" s="200">
        <f t="shared" si="3131"/>
        <v>0</v>
      </c>
      <c r="V623" s="200">
        <f t="shared" si="3131"/>
        <v>0</v>
      </c>
      <c r="W623" s="200">
        <f t="shared" si="3131"/>
        <v>1</v>
      </c>
      <c r="X623" s="200">
        <f t="shared" si="3131"/>
        <v>0</v>
      </c>
      <c r="Y623" s="200">
        <f t="shared" si="3131"/>
        <v>0</v>
      </c>
      <c r="Z623" s="200">
        <f t="shared" si="3131"/>
        <v>0</v>
      </c>
      <c r="AA623" s="200">
        <f t="shared" si="3131"/>
        <v>0</v>
      </c>
      <c r="AB623" s="200">
        <f t="shared" si="3131"/>
        <v>0</v>
      </c>
      <c r="AC623" s="200">
        <f t="shared" si="3131"/>
        <v>0</v>
      </c>
      <c r="AD623" s="200">
        <f t="shared" si="11"/>
        <v>0</v>
      </c>
      <c r="AE623" s="200">
        <f t="shared" ref="AE623:AG623" si="3132">countif($D623,"*"&amp;AE$2&amp;"*")</f>
        <v>0</v>
      </c>
      <c r="AF623" s="200">
        <f t="shared" si="3132"/>
        <v>0</v>
      </c>
      <c r="AG623" s="200">
        <f t="shared" si="3132"/>
        <v>0</v>
      </c>
      <c r="AH623" s="171">
        <f t="shared" si="13"/>
        <v>0</v>
      </c>
      <c r="AI623" s="200">
        <f t="shared" si="14"/>
        <v>0</v>
      </c>
      <c r="AJ623" s="200">
        <f t="shared" si="3082"/>
        <v>0</v>
      </c>
      <c r="AK623" s="201">
        <f t="shared" ref="AK623:AS623" si="3133">countif($D623,"*"&amp;AK$2&amp;"*")</f>
        <v>0</v>
      </c>
      <c r="AL623" s="201">
        <f t="shared" si="3133"/>
        <v>0</v>
      </c>
      <c r="AM623" s="201">
        <f t="shared" si="3133"/>
        <v>0</v>
      </c>
      <c r="AN623" s="201">
        <f t="shared" si="3133"/>
        <v>0</v>
      </c>
      <c r="AO623" s="201">
        <f t="shared" si="3133"/>
        <v>0</v>
      </c>
      <c r="AP623" s="201">
        <f t="shared" si="3133"/>
        <v>0</v>
      </c>
      <c r="AQ623" s="201">
        <f t="shared" si="3133"/>
        <v>0</v>
      </c>
      <c r="AR623" s="200">
        <f t="shared" si="3133"/>
        <v>0</v>
      </c>
      <c r="AS623" s="200">
        <f t="shared" si="3133"/>
        <v>0</v>
      </c>
      <c r="AT623" s="173">
        <v>0.0</v>
      </c>
      <c r="AU623" s="200">
        <f t="shared" ref="AU623:AX623" si="3134">countif($D623,"*"&amp;AU$2&amp;"*")</f>
        <v>0</v>
      </c>
      <c r="AV623" s="200">
        <f t="shared" si="3134"/>
        <v>0</v>
      </c>
      <c r="AW623" s="200">
        <f t="shared" si="3134"/>
        <v>0</v>
      </c>
      <c r="AX623" s="200">
        <f t="shared" si="3134"/>
        <v>0</v>
      </c>
      <c r="AY623" s="202">
        <v>0.0</v>
      </c>
      <c r="AZ623" s="200"/>
      <c r="BA623" s="171" t="str">
        <f t="shared" si="18"/>
        <v/>
      </c>
      <c r="BB623" s="171" t="str">
        <f t="shared" si="19"/>
        <v/>
      </c>
      <c r="BC623" s="171" t="str">
        <f t="shared" si="20"/>
        <v>General-purpose</v>
      </c>
      <c r="BD623" s="171" t="str">
        <f t="shared" si="21"/>
        <v/>
      </c>
      <c r="BE623" s="171" t="str">
        <f t="shared" si="22"/>
        <v/>
      </c>
      <c r="BF623" s="171" t="str">
        <f t="shared" si="23"/>
        <v>General-purpose</v>
      </c>
    </row>
    <row r="624">
      <c r="A624" s="171">
        <f t="array" ref="A624">XLOOKUP(C624,ICSE!A:A,ICSE!C:C,,2,1)</f>
        <v>2018</v>
      </c>
      <c r="B624" s="171" t="s">
        <v>5675</v>
      </c>
      <c r="C624" s="160">
        <v>1184.0</v>
      </c>
      <c r="D624" s="161" t="s">
        <v>1058</v>
      </c>
      <c r="E624" s="197" t="str">
        <f t="array" ref="E624">XLOOKUP(C624,ICSE!A:A,ICSE!Z:Z,,0,1)</f>
        <v>Publicly available (1)</v>
      </c>
      <c r="F624" s="198" t="s">
        <v>20</v>
      </c>
      <c r="G624" s="163" t="str">
        <f t="array" ref="G624">IF(B624="ICSE",IF(COUNTIFS(B:B,B624,C:C,C624)=XLOOKUP(C624,ICSE!A:A,ICSE!AA:AA,"ERROR",0,1),"OK","ERROR"),IF(B624="FSE",IF(COUNTIFS(B:B,B624,C:C,C624)=XLOOKUP(C624,FSE!A:A,FSE!AA:AA,"ERROR",0,1),"OK","ERROR")))</f>
        <v>OK</v>
      </c>
      <c r="H624" s="199">
        <f t="shared" ref="H624:O624" si="3135">countif($D624,"*"&amp;H$2&amp;"*")</f>
        <v>0</v>
      </c>
      <c r="I624" s="200">
        <f t="shared" si="3135"/>
        <v>0</v>
      </c>
      <c r="J624" s="200">
        <f t="shared" si="3135"/>
        <v>0</v>
      </c>
      <c r="K624" s="200">
        <f t="shared" si="3135"/>
        <v>0</v>
      </c>
      <c r="L624" s="200">
        <f t="shared" si="3135"/>
        <v>1</v>
      </c>
      <c r="M624" s="200">
        <f t="shared" si="3135"/>
        <v>0</v>
      </c>
      <c r="N624" s="200">
        <f t="shared" si="3135"/>
        <v>0</v>
      </c>
      <c r="O624" s="200">
        <f t="shared" si="3135"/>
        <v>0</v>
      </c>
      <c r="P624" s="200">
        <f t="shared" si="9"/>
        <v>0</v>
      </c>
      <c r="Q624" s="200">
        <f t="shared" ref="Q624:AC624" si="3136">countif($D624,"*"&amp;Q$2&amp;"*")</f>
        <v>0</v>
      </c>
      <c r="R624" s="200">
        <f t="shared" si="3136"/>
        <v>0</v>
      </c>
      <c r="S624" s="200">
        <f t="shared" si="3136"/>
        <v>0</v>
      </c>
      <c r="T624" s="200">
        <f t="shared" si="3136"/>
        <v>0</v>
      </c>
      <c r="U624" s="200">
        <f t="shared" si="3136"/>
        <v>0</v>
      </c>
      <c r="V624" s="200">
        <f t="shared" si="3136"/>
        <v>0</v>
      </c>
      <c r="W624" s="200">
        <f t="shared" si="3136"/>
        <v>0</v>
      </c>
      <c r="X624" s="200">
        <f t="shared" si="3136"/>
        <v>0</v>
      </c>
      <c r="Y624" s="200">
        <f t="shared" si="3136"/>
        <v>0</v>
      </c>
      <c r="Z624" s="200">
        <f t="shared" si="3136"/>
        <v>0</v>
      </c>
      <c r="AA624" s="200">
        <f t="shared" si="3136"/>
        <v>0</v>
      </c>
      <c r="AB624" s="200">
        <f t="shared" si="3136"/>
        <v>0</v>
      </c>
      <c r="AC624" s="200">
        <f t="shared" si="3136"/>
        <v>0</v>
      </c>
      <c r="AD624" s="200">
        <f t="shared" si="11"/>
        <v>0</v>
      </c>
      <c r="AE624" s="200">
        <f t="shared" ref="AE624:AG624" si="3137">countif($D624,"*"&amp;AE$2&amp;"*")</f>
        <v>0</v>
      </c>
      <c r="AF624" s="200">
        <f t="shared" si="3137"/>
        <v>0</v>
      </c>
      <c r="AG624" s="200">
        <f t="shared" si="3137"/>
        <v>0</v>
      </c>
      <c r="AH624" s="171">
        <f t="shared" si="13"/>
        <v>0</v>
      </c>
      <c r="AI624" s="200">
        <f t="shared" si="14"/>
        <v>0</v>
      </c>
      <c r="AJ624" s="200">
        <f t="shared" si="3082"/>
        <v>0</v>
      </c>
      <c r="AK624" s="201">
        <f t="shared" ref="AK624:AS624" si="3138">countif($D624,"*"&amp;AK$2&amp;"*")</f>
        <v>0</v>
      </c>
      <c r="AL624" s="201">
        <f t="shared" si="3138"/>
        <v>0</v>
      </c>
      <c r="AM624" s="201">
        <f t="shared" si="3138"/>
        <v>0</v>
      </c>
      <c r="AN624" s="201">
        <f t="shared" si="3138"/>
        <v>0</v>
      </c>
      <c r="AO624" s="201">
        <f t="shared" si="3138"/>
        <v>0</v>
      </c>
      <c r="AP624" s="201">
        <f t="shared" si="3138"/>
        <v>0</v>
      </c>
      <c r="AQ624" s="201">
        <f t="shared" si="3138"/>
        <v>0</v>
      </c>
      <c r="AR624" s="200">
        <f t="shared" si="3138"/>
        <v>0</v>
      </c>
      <c r="AS624" s="200">
        <f t="shared" si="3138"/>
        <v>0</v>
      </c>
      <c r="AT624" s="173">
        <v>0.0</v>
      </c>
      <c r="AU624" s="200">
        <f t="shared" ref="AU624:AX624" si="3139">countif($D624,"*"&amp;AU$2&amp;"*")</f>
        <v>0</v>
      </c>
      <c r="AV624" s="200">
        <f t="shared" si="3139"/>
        <v>0</v>
      </c>
      <c r="AW624" s="200">
        <f t="shared" si="3139"/>
        <v>0</v>
      </c>
      <c r="AX624" s="200">
        <f t="shared" si="3139"/>
        <v>0</v>
      </c>
      <c r="AY624" s="202">
        <v>0.0</v>
      </c>
      <c r="AZ624" s="200"/>
      <c r="BA624" s="171" t="str">
        <f t="shared" si="18"/>
        <v>Archival</v>
      </c>
      <c r="BB624" s="171" t="str">
        <f t="shared" si="19"/>
        <v/>
      </c>
      <c r="BC624" s="171" t="str">
        <f t="shared" si="20"/>
        <v/>
      </c>
      <c r="BD624" s="171" t="str">
        <f t="shared" si="21"/>
        <v/>
      </c>
      <c r="BE624" s="171" t="str">
        <f t="shared" si="22"/>
        <v/>
      </c>
      <c r="BF624" s="171" t="str">
        <f t="shared" si="23"/>
        <v>Archival</v>
      </c>
    </row>
    <row r="625">
      <c r="A625" s="171">
        <f t="array" ref="A625">XLOOKUP(C625,ICSE!A:A,ICSE!C:C,,2,1)</f>
        <v>2018</v>
      </c>
      <c r="B625" s="171" t="s">
        <v>5675</v>
      </c>
      <c r="C625" s="160">
        <v>1189.0</v>
      </c>
      <c r="D625" s="161" t="s">
        <v>1063</v>
      </c>
      <c r="E625" s="197" t="str">
        <f t="array" ref="E625">XLOOKUP(C625,ICSE!A:A,ICSE!Z:Z,,0,1)</f>
        <v>Publicly available (1)</v>
      </c>
      <c r="F625" s="198" t="s">
        <v>20</v>
      </c>
      <c r="G625" s="163" t="str">
        <f t="array" ref="G625">IF(B625="ICSE",IF(COUNTIFS(B:B,B625,C:C,C625)=XLOOKUP(C625,ICSE!A:A,ICSE!AA:AA,"ERROR",0,1),"OK","ERROR"),IF(B625="FSE",IF(COUNTIFS(B:B,B625,C:C,C625)=XLOOKUP(C625,FSE!A:A,FSE!AA:AA,"ERROR",0,1),"OK","ERROR")))</f>
        <v>OK</v>
      </c>
      <c r="H625" s="199">
        <f t="shared" ref="H625:O625" si="3140">countif($D625,"*"&amp;H$2&amp;"*")</f>
        <v>0</v>
      </c>
      <c r="I625" s="200">
        <f t="shared" si="3140"/>
        <v>0</v>
      </c>
      <c r="J625" s="200">
        <f t="shared" si="3140"/>
        <v>0</v>
      </c>
      <c r="K625" s="200">
        <f t="shared" si="3140"/>
        <v>0</v>
      </c>
      <c r="L625" s="200">
        <f t="shared" si="3140"/>
        <v>0</v>
      </c>
      <c r="M625" s="200">
        <f t="shared" si="3140"/>
        <v>0</v>
      </c>
      <c r="N625" s="200">
        <f t="shared" si="3140"/>
        <v>0</v>
      </c>
      <c r="O625" s="200">
        <f t="shared" si="3140"/>
        <v>0</v>
      </c>
      <c r="P625" s="200">
        <f t="shared" si="9"/>
        <v>1</v>
      </c>
      <c r="Q625" s="200">
        <f t="shared" ref="Q625:AC625" si="3141">countif($D625,"*"&amp;Q$2&amp;"*")</f>
        <v>0</v>
      </c>
      <c r="R625" s="200">
        <f t="shared" si="3141"/>
        <v>0</v>
      </c>
      <c r="S625" s="200">
        <f t="shared" si="3141"/>
        <v>0</v>
      </c>
      <c r="T625" s="200">
        <f t="shared" si="3141"/>
        <v>0</v>
      </c>
      <c r="U625" s="200">
        <f t="shared" si="3141"/>
        <v>0</v>
      </c>
      <c r="V625" s="200">
        <f t="shared" si="3141"/>
        <v>0</v>
      </c>
      <c r="W625" s="200">
        <f t="shared" si="3141"/>
        <v>0</v>
      </c>
      <c r="X625" s="200">
        <f t="shared" si="3141"/>
        <v>0</v>
      </c>
      <c r="Y625" s="200">
        <f t="shared" si="3141"/>
        <v>0</v>
      </c>
      <c r="Z625" s="200">
        <f t="shared" si="3141"/>
        <v>0</v>
      </c>
      <c r="AA625" s="200">
        <f t="shared" si="3141"/>
        <v>0</v>
      </c>
      <c r="AB625" s="200">
        <f t="shared" si="3141"/>
        <v>0</v>
      </c>
      <c r="AC625" s="200">
        <f t="shared" si="3141"/>
        <v>0</v>
      </c>
      <c r="AD625" s="200">
        <f t="shared" si="11"/>
        <v>0</v>
      </c>
      <c r="AE625" s="200">
        <f t="shared" ref="AE625:AG625" si="3142">countif($D625,"*"&amp;AE$2&amp;"*")</f>
        <v>0</v>
      </c>
      <c r="AF625" s="200">
        <f t="shared" si="3142"/>
        <v>0</v>
      </c>
      <c r="AG625" s="200">
        <f t="shared" si="3142"/>
        <v>0</v>
      </c>
      <c r="AH625" s="171">
        <f t="shared" si="13"/>
        <v>0</v>
      </c>
      <c r="AI625" s="200">
        <f t="shared" si="14"/>
        <v>0</v>
      </c>
      <c r="AJ625" s="200">
        <f t="shared" si="3082"/>
        <v>0</v>
      </c>
      <c r="AK625" s="201">
        <f t="shared" ref="AK625:AS625" si="3143">countif($D625,"*"&amp;AK$2&amp;"*")</f>
        <v>0</v>
      </c>
      <c r="AL625" s="201">
        <f t="shared" si="3143"/>
        <v>0</v>
      </c>
      <c r="AM625" s="201">
        <f t="shared" si="3143"/>
        <v>0</v>
      </c>
      <c r="AN625" s="201">
        <f t="shared" si="3143"/>
        <v>0</v>
      </c>
      <c r="AO625" s="201">
        <f t="shared" si="3143"/>
        <v>0</v>
      </c>
      <c r="AP625" s="201">
        <f t="shared" si="3143"/>
        <v>0</v>
      </c>
      <c r="AQ625" s="201">
        <f t="shared" si="3143"/>
        <v>0</v>
      </c>
      <c r="AR625" s="200">
        <f t="shared" si="3143"/>
        <v>0</v>
      </c>
      <c r="AS625" s="200">
        <f t="shared" si="3143"/>
        <v>0</v>
      </c>
      <c r="AT625" s="173">
        <v>0.0</v>
      </c>
      <c r="AU625" s="200">
        <f t="shared" ref="AU625:AX625" si="3144">countif($D625,"*"&amp;AU$2&amp;"*")</f>
        <v>0</v>
      </c>
      <c r="AV625" s="200">
        <f t="shared" si="3144"/>
        <v>1</v>
      </c>
      <c r="AW625" s="200">
        <f t="shared" si="3144"/>
        <v>0</v>
      </c>
      <c r="AX625" s="200">
        <f t="shared" si="3144"/>
        <v>0</v>
      </c>
      <c r="AY625" s="202">
        <v>0.0</v>
      </c>
      <c r="AZ625" s="200"/>
      <c r="BA625" s="171" t="str">
        <f t="shared" si="18"/>
        <v/>
      </c>
      <c r="BB625" s="171" t="str">
        <f t="shared" si="19"/>
        <v>Code</v>
      </c>
      <c r="BC625" s="171" t="str">
        <f t="shared" si="20"/>
        <v/>
      </c>
      <c r="BD625" s="171" t="str">
        <f t="shared" si="21"/>
        <v/>
      </c>
      <c r="BE625" s="171" t="str">
        <f t="shared" si="22"/>
        <v/>
      </c>
      <c r="BF625" s="171" t="str">
        <f t="shared" si="23"/>
        <v>Code</v>
      </c>
    </row>
    <row r="626">
      <c r="A626" s="171">
        <f t="array" ref="A626">XLOOKUP(C626,ICSE!A:A,ICSE!C:C,,2,1)</f>
        <v>2018</v>
      </c>
      <c r="B626" s="171" t="s">
        <v>5675</v>
      </c>
      <c r="C626" s="160">
        <v>1192.0</v>
      </c>
      <c r="D626" s="161" t="s">
        <v>5941</v>
      </c>
      <c r="E626" s="197" t="str">
        <f t="array" ref="E626">XLOOKUP(C626,ICSE!A:A,ICSE!Z:Z,,0,1)</f>
        <v>Publicly available (1)</v>
      </c>
      <c r="F626" s="198" t="s">
        <v>20</v>
      </c>
      <c r="G626" s="163" t="str">
        <f t="array" ref="G626">IF(B626="ICSE",IF(COUNTIFS(B:B,B626,C:C,C626)=XLOOKUP(C626,ICSE!A:A,ICSE!AA:AA,"ERROR",0,1),"OK","ERROR"),IF(B626="FSE",IF(COUNTIFS(B:B,B626,C:C,C626)=XLOOKUP(C626,FSE!A:A,FSE!AA:AA,"ERROR",0,1),"OK","ERROR")))</f>
        <v>OK</v>
      </c>
      <c r="H626" s="199">
        <f t="shared" ref="H626:O626" si="3145">countif($D626,"*"&amp;H$2&amp;"*")</f>
        <v>0</v>
      </c>
      <c r="I626" s="200">
        <f t="shared" si="3145"/>
        <v>0</v>
      </c>
      <c r="J626" s="200">
        <f t="shared" si="3145"/>
        <v>0</v>
      </c>
      <c r="K626" s="200">
        <f t="shared" si="3145"/>
        <v>0</v>
      </c>
      <c r="L626" s="200">
        <f t="shared" si="3145"/>
        <v>0</v>
      </c>
      <c r="M626" s="200">
        <f t="shared" si="3145"/>
        <v>0</v>
      </c>
      <c r="N626" s="200">
        <f t="shared" si="3145"/>
        <v>0</v>
      </c>
      <c r="O626" s="200">
        <f t="shared" si="3145"/>
        <v>0</v>
      </c>
      <c r="P626" s="200">
        <f t="shared" si="9"/>
        <v>0</v>
      </c>
      <c r="Q626" s="200">
        <f t="shared" ref="Q626:AC626" si="3146">countif($D626,"*"&amp;Q$2&amp;"*")</f>
        <v>0</v>
      </c>
      <c r="R626" s="200">
        <f t="shared" si="3146"/>
        <v>0</v>
      </c>
      <c r="S626" s="200">
        <f t="shared" si="3146"/>
        <v>0</v>
      </c>
      <c r="T626" s="200">
        <f t="shared" si="3146"/>
        <v>0</v>
      </c>
      <c r="U626" s="200">
        <f t="shared" si="3146"/>
        <v>0</v>
      </c>
      <c r="V626" s="200">
        <f t="shared" si="3146"/>
        <v>0</v>
      </c>
      <c r="W626" s="200">
        <f t="shared" si="3146"/>
        <v>0</v>
      </c>
      <c r="X626" s="200">
        <f t="shared" si="3146"/>
        <v>0</v>
      </c>
      <c r="Y626" s="200">
        <f t="shared" si="3146"/>
        <v>0</v>
      </c>
      <c r="Z626" s="200">
        <f t="shared" si="3146"/>
        <v>1</v>
      </c>
      <c r="AA626" s="200">
        <f t="shared" si="3146"/>
        <v>0</v>
      </c>
      <c r="AB626" s="200">
        <f t="shared" si="3146"/>
        <v>0</v>
      </c>
      <c r="AC626" s="200">
        <f t="shared" si="3146"/>
        <v>0</v>
      </c>
      <c r="AD626" s="200">
        <f t="shared" si="11"/>
        <v>0</v>
      </c>
      <c r="AE626" s="200">
        <f t="shared" ref="AE626:AG626" si="3147">countif($D626,"*"&amp;AE$2&amp;"*")</f>
        <v>0</v>
      </c>
      <c r="AF626" s="200">
        <f t="shared" si="3147"/>
        <v>0</v>
      </c>
      <c r="AG626" s="200">
        <f t="shared" si="3147"/>
        <v>0</v>
      </c>
      <c r="AH626" s="171">
        <f t="shared" si="13"/>
        <v>0</v>
      </c>
      <c r="AI626" s="200">
        <f t="shared" si="14"/>
        <v>0</v>
      </c>
      <c r="AJ626" s="200">
        <f t="shared" si="3082"/>
        <v>1</v>
      </c>
      <c r="AK626" s="201">
        <f t="shared" ref="AK626:AS626" si="3148">countif($D626,"*"&amp;AK$2&amp;"*")</f>
        <v>0</v>
      </c>
      <c r="AL626" s="201">
        <f t="shared" si="3148"/>
        <v>1</v>
      </c>
      <c r="AM626" s="201">
        <f t="shared" si="3148"/>
        <v>0</v>
      </c>
      <c r="AN626" s="201">
        <f t="shared" si="3148"/>
        <v>0</v>
      </c>
      <c r="AO626" s="201">
        <f t="shared" si="3148"/>
        <v>0</v>
      </c>
      <c r="AP626" s="201">
        <f t="shared" si="3148"/>
        <v>0</v>
      </c>
      <c r="AQ626" s="201">
        <f t="shared" si="3148"/>
        <v>0</v>
      </c>
      <c r="AR626" s="200">
        <f t="shared" si="3148"/>
        <v>0</v>
      </c>
      <c r="AS626" s="200">
        <f t="shared" si="3148"/>
        <v>1</v>
      </c>
      <c r="AT626" s="173">
        <v>0.0</v>
      </c>
      <c r="AU626" s="200">
        <f t="shared" ref="AU626:AX626" si="3149">countif($D626,"*"&amp;AU$2&amp;"*")</f>
        <v>0</v>
      </c>
      <c r="AV626" s="200">
        <f t="shared" si="3149"/>
        <v>0</v>
      </c>
      <c r="AW626" s="200">
        <f t="shared" si="3149"/>
        <v>0</v>
      </c>
      <c r="AX626" s="200">
        <f t="shared" si="3149"/>
        <v>0</v>
      </c>
      <c r="AY626" s="202">
        <v>0.0</v>
      </c>
      <c r="AZ626" s="200"/>
      <c r="BA626" s="171" t="str">
        <f t="shared" si="18"/>
        <v/>
      </c>
      <c r="BB626" s="171" t="str">
        <f t="shared" si="19"/>
        <v/>
      </c>
      <c r="BC626" s="171" t="str">
        <f t="shared" si="20"/>
        <v>General-purpose</v>
      </c>
      <c r="BD626" s="171" t="str">
        <f t="shared" si="21"/>
        <v/>
      </c>
      <c r="BE626" s="171" t="str">
        <f t="shared" si="22"/>
        <v/>
      </c>
      <c r="BF626" s="171" t="str">
        <f t="shared" si="23"/>
        <v>General-purpose</v>
      </c>
    </row>
    <row r="627">
      <c r="A627" s="171">
        <f t="array" ref="A627">XLOOKUP(C627,ICSE!A:A,ICSE!C:C,,2,1)</f>
        <v>2018</v>
      </c>
      <c r="B627" s="171" t="s">
        <v>5675</v>
      </c>
      <c r="C627" s="160">
        <v>1193.0</v>
      </c>
      <c r="D627" s="161" t="s">
        <v>5942</v>
      </c>
      <c r="E627" s="197" t="str">
        <f t="array" ref="E627">XLOOKUP(C627,ICSE!A:A,ICSE!Z:Z,,0,1)</f>
        <v>Publicly available (2)</v>
      </c>
      <c r="F627" s="198" t="s">
        <v>20</v>
      </c>
      <c r="G627" s="163" t="str">
        <f t="array" ref="G627">IF(B627="ICSE",IF(COUNTIFS(B:B,B627,C:C,C627)=XLOOKUP(C627,ICSE!A:A,ICSE!AA:AA,"ERROR",0,1),"OK","ERROR"),IF(B627="FSE",IF(COUNTIFS(B:B,B627,C:C,C627)=XLOOKUP(C627,FSE!A:A,FSE!AA:AA,"ERROR",0,1),"OK","ERROR")))</f>
        <v>OK</v>
      </c>
      <c r="H627" s="199">
        <f t="shared" ref="H627:O627" si="3150">countif($D627,"*"&amp;H$2&amp;"*")</f>
        <v>0</v>
      </c>
      <c r="I627" s="200">
        <f t="shared" si="3150"/>
        <v>0</v>
      </c>
      <c r="J627" s="200">
        <f t="shared" si="3150"/>
        <v>1</v>
      </c>
      <c r="K627" s="200">
        <f t="shared" si="3150"/>
        <v>0</v>
      </c>
      <c r="L627" s="200">
        <f t="shared" si="3150"/>
        <v>0</v>
      </c>
      <c r="M627" s="200">
        <f t="shared" si="3150"/>
        <v>0</v>
      </c>
      <c r="N627" s="200">
        <f t="shared" si="3150"/>
        <v>0</v>
      </c>
      <c r="O627" s="200">
        <f t="shared" si="3150"/>
        <v>0</v>
      </c>
      <c r="P627" s="200">
        <f t="shared" si="9"/>
        <v>0</v>
      </c>
      <c r="Q627" s="200">
        <f t="shared" ref="Q627:AC627" si="3151">countif($D627,"*"&amp;Q$2&amp;"*")</f>
        <v>0</v>
      </c>
      <c r="R627" s="200">
        <f t="shared" si="3151"/>
        <v>0</v>
      </c>
      <c r="S627" s="200">
        <f t="shared" si="3151"/>
        <v>0</v>
      </c>
      <c r="T627" s="200">
        <f t="shared" si="3151"/>
        <v>0</v>
      </c>
      <c r="U627" s="200">
        <f t="shared" si="3151"/>
        <v>0</v>
      </c>
      <c r="V627" s="200">
        <f t="shared" si="3151"/>
        <v>0</v>
      </c>
      <c r="W627" s="200">
        <f t="shared" si="3151"/>
        <v>0</v>
      </c>
      <c r="X627" s="200">
        <f t="shared" si="3151"/>
        <v>0</v>
      </c>
      <c r="Y627" s="200">
        <f t="shared" si="3151"/>
        <v>0</v>
      </c>
      <c r="Z627" s="200">
        <f t="shared" si="3151"/>
        <v>0</v>
      </c>
      <c r="AA627" s="200">
        <f t="shared" si="3151"/>
        <v>0</v>
      </c>
      <c r="AB627" s="200">
        <f t="shared" si="3151"/>
        <v>0</v>
      </c>
      <c r="AC627" s="200">
        <f t="shared" si="3151"/>
        <v>0</v>
      </c>
      <c r="AD627" s="200">
        <f t="shared" si="11"/>
        <v>0</v>
      </c>
      <c r="AE627" s="200">
        <f t="shared" ref="AE627:AG627" si="3152">countif($D627,"*"&amp;AE$2&amp;"*")</f>
        <v>0</v>
      </c>
      <c r="AF627" s="200">
        <f t="shared" si="3152"/>
        <v>0</v>
      </c>
      <c r="AG627" s="200">
        <f t="shared" si="3152"/>
        <v>0</v>
      </c>
      <c r="AH627" s="171">
        <f t="shared" si="13"/>
        <v>0</v>
      </c>
      <c r="AI627" s="200">
        <f t="shared" si="14"/>
        <v>1</v>
      </c>
      <c r="AJ627" s="200">
        <f t="shared" si="3082"/>
        <v>0</v>
      </c>
      <c r="AK627" s="201">
        <f t="shared" ref="AK627:AS627" si="3153">countif($D627,"*"&amp;AK$2&amp;"*")</f>
        <v>0</v>
      </c>
      <c r="AL627" s="201">
        <f t="shared" si="3153"/>
        <v>0</v>
      </c>
      <c r="AM627" s="201">
        <f t="shared" si="3153"/>
        <v>0</v>
      </c>
      <c r="AN627" s="201">
        <f t="shared" si="3153"/>
        <v>0</v>
      </c>
      <c r="AO627" s="201">
        <f t="shared" si="3153"/>
        <v>0</v>
      </c>
      <c r="AP627" s="201">
        <f t="shared" si="3153"/>
        <v>0</v>
      </c>
      <c r="AQ627" s="201">
        <f t="shared" si="3153"/>
        <v>0</v>
      </c>
      <c r="AR627" s="200">
        <f t="shared" si="3153"/>
        <v>0</v>
      </c>
      <c r="AS627" s="200">
        <f t="shared" si="3153"/>
        <v>1</v>
      </c>
      <c r="AT627" s="173">
        <v>0.0</v>
      </c>
      <c r="AU627" s="200">
        <f t="shared" ref="AU627:AX627" si="3154">countif($D627,"*"&amp;AU$2&amp;"*")</f>
        <v>0</v>
      </c>
      <c r="AV627" s="200">
        <f t="shared" si="3154"/>
        <v>0</v>
      </c>
      <c r="AW627" s="200">
        <f t="shared" si="3154"/>
        <v>0</v>
      </c>
      <c r="AX627" s="200">
        <f t="shared" si="3154"/>
        <v>0</v>
      </c>
      <c r="AY627" s="204">
        <v>1.0</v>
      </c>
      <c r="AZ627" s="200"/>
      <c r="BA627" s="171" t="str">
        <f t="shared" si="18"/>
        <v>Archival</v>
      </c>
      <c r="BB627" s="171" t="str">
        <f t="shared" si="19"/>
        <v/>
      </c>
      <c r="BC627" s="171" t="str">
        <f t="shared" si="20"/>
        <v/>
      </c>
      <c r="BD627" s="171" t="str">
        <f t="shared" si="21"/>
        <v/>
      </c>
      <c r="BE627" s="171" t="str">
        <f t="shared" si="22"/>
        <v/>
      </c>
      <c r="BF627" s="171" t="str">
        <f t="shared" si="23"/>
        <v>Archival</v>
      </c>
    </row>
    <row r="628">
      <c r="A628" s="171">
        <f t="array" ref="A628">XLOOKUP(C628,ICSE!A:A,ICSE!C:C,,2,1)</f>
        <v>2018</v>
      </c>
      <c r="B628" s="171" t="s">
        <v>5675</v>
      </c>
      <c r="C628" s="160">
        <v>1193.0</v>
      </c>
      <c r="D628" s="161" t="s">
        <v>5943</v>
      </c>
      <c r="E628" s="197" t="str">
        <f t="array" ref="E628">XLOOKUP(C628,ICSE!A:A,ICSE!Z:Z,,0,1)</f>
        <v>Publicly available (2)</v>
      </c>
      <c r="F628" s="198" t="s">
        <v>20</v>
      </c>
      <c r="G628" s="163" t="str">
        <f t="array" ref="G628">IF(B628="ICSE",IF(COUNTIFS(B:B,B628,C:C,C628)=XLOOKUP(C628,ICSE!A:A,ICSE!AA:AA,"ERROR",0,1),"OK","ERROR"),IF(B628="FSE",IF(COUNTIFS(B:B,B628,C:C,C628)=XLOOKUP(C628,FSE!A:A,FSE!AA:AA,"ERROR",0,1),"OK","ERROR")))</f>
        <v>OK</v>
      </c>
      <c r="H628" s="199">
        <f t="shared" ref="H628:O628" si="3155">countif($D628,"*"&amp;H$2&amp;"*")</f>
        <v>0</v>
      </c>
      <c r="I628" s="200">
        <f t="shared" si="3155"/>
        <v>0</v>
      </c>
      <c r="J628" s="200">
        <f t="shared" si="3155"/>
        <v>0</v>
      </c>
      <c r="K628" s="200">
        <f t="shared" si="3155"/>
        <v>0</v>
      </c>
      <c r="L628" s="200">
        <f t="shared" si="3155"/>
        <v>0</v>
      </c>
      <c r="M628" s="200">
        <f t="shared" si="3155"/>
        <v>0</v>
      </c>
      <c r="N628" s="200">
        <f t="shared" si="3155"/>
        <v>0</v>
      </c>
      <c r="O628" s="200">
        <f t="shared" si="3155"/>
        <v>0</v>
      </c>
      <c r="P628" s="200">
        <f t="shared" si="9"/>
        <v>1</v>
      </c>
      <c r="Q628" s="200">
        <f t="shared" ref="Q628:AC628" si="3156">countif($D628,"*"&amp;Q$2&amp;"*")</f>
        <v>0</v>
      </c>
      <c r="R628" s="200">
        <f t="shared" si="3156"/>
        <v>0</v>
      </c>
      <c r="S628" s="200">
        <f t="shared" si="3156"/>
        <v>0</v>
      </c>
      <c r="T628" s="200">
        <f t="shared" si="3156"/>
        <v>0</v>
      </c>
      <c r="U628" s="200">
        <f t="shared" si="3156"/>
        <v>0</v>
      </c>
      <c r="V628" s="200">
        <f t="shared" si="3156"/>
        <v>0</v>
      </c>
      <c r="W628" s="200">
        <f t="shared" si="3156"/>
        <v>0</v>
      </c>
      <c r="X628" s="200">
        <f t="shared" si="3156"/>
        <v>0</v>
      </c>
      <c r="Y628" s="200">
        <f t="shared" si="3156"/>
        <v>0</v>
      </c>
      <c r="Z628" s="200">
        <f t="shared" si="3156"/>
        <v>0</v>
      </c>
      <c r="AA628" s="200">
        <f t="shared" si="3156"/>
        <v>0</v>
      </c>
      <c r="AB628" s="200">
        <f t="shared" si="3156"/>
        <v>0</v>
      </c>
      <c r="AC628" s="200">
        <f t="shared" si="3156"/>
        <v>0</v>
      </c>
      <c r="AD628" s="200">
        <f t="shared" si="11"/>
        <v>0</v>
      </c>
      <c r="AE628" s="200">
        <f t="shared" ref="AE628:AG628" si="3157">countif($D628,"*"&amp;AE$2&amp;"*")</f>
        <v>0</v>
      </c>
      <c r="AF628" s="200">
        <f t="shared" si="3157"/>
        <v>0</v>
      </c>
      <c r="AG628" s="200">
        <f t="shared" si="3157"/>
        <v>0</v>
      </c>
      <c r="AH628" s="171">
        <f t="shared" si="13"/>
        <v>0</v>
      </c>
      <c r="AI628" s="200">
        <f t="shared" si="14"/>
        <v>0</v>
      </c>
      <c r="AJ628" s="200">
        <f t="shared" si="3082"/>
        <v>0</v>
      </c>
      <c r="AK628" s="201">
        <f t="shared" ref="AK628:AS628" si="3158">countif($D628,"*"&amp;AK$2&amp;"*")</f>
        <v>0</v>
      </c>
      <c r="AL628" s="201">
        <f t="shared" si="3158"/>
        <v>0</v>
      </c>
      <c r="AM628" s="201">
        <f t="shared" si="3158"/>
        <v>0</v>
      </c>
      <c r="AN628" s="201">
        <f t="shared" si="3158"/>
        <v>0</v>
      </c>
      <c r="AO628" s="201">
        <f t="shared" si="3158"/>
        <v>0</v>
      </c>
      <c r="AP628" s="201">
        <f t="shared" si="3158"/>
        <v>0</v>
      </c>
      <c r="AQ628" s="201">
        <f t="shared" si="3158"/>
        <v>0</v>
      </c>
      <c r="AR628" s="200">
        <f t="shared" si="3158"/>
        <v>0</v>
      </c>
      <c r="AS628" s="200">
        <f t="shared" si="3158"/>
        <v>0</v>
      </c>
      <c r="AT628" s="173">
        <v>0.0</v>
      </c>
      <c r="AU628" s="200">
        <f t="shared" ref="AU628:AX628" si="3159">countif($D628,"*"&amp;AU$2&amp;"*")</f>
        <v>0</v>
      </c>
      <c r="AV628" s="200">
        <f t="shared" si="3159"/>
        <v>1</v>
      </c>
      <c r="AW628" s="200">
        <f t="shared" si="3159"/>
        <v>0</v>
      </c>
      <c r="AX628" s="200">
        <f t="shared" si="3159"/>
        <v>0</v>
      </c>
      <c r="AY628" s="202">
        <v>0.0</v>
      </c>
      <c r="AZ628" s="200"/>
      <c r="BA628" s="171" t="str">
        <f t="shared" si="18"/>
        <v/>
      </c>
      <c r="BB628" s="171" t="str">
        <f t="shared" si="19"/>
        <v>Code</v>
      </c>
      <c r="BC628" s="171" t="str">
        <f t="shared" si="20"/>
        <v/>
      </c>
      <c r="BD628" s="171" t="str">
        <f t="shared" si="21"/>
        <v/>
      </c>
      <c r="BE628" s="171" t="str">
        <f t="shared" si="22"/>
        <v/>
      </c>
      <c r="BF628" s="171" t="str">
        <f t="shared" si="23"/>
        <v>Code</v>
      </c>
    </row>
    <row r="629">
      <c r="A629" s="171">
        <f t="array" ref="A629">XLOOKUP(C629,ICSE!A:A,ICSE!C:C,,2,1)</f>
        <v>2018</v>
      </c>
      <c r="B629" s="171" t="s">
        <v>5675</v>
      </c>
      <c r="C629" s="160">
        <v>1194.0</v>
      </c>
      <c r="D629" s="161" t="s">
        <v>1076</v>
      </c>
      <c r="E629" s="197" t="str">
        <f t="array" ref="E629">XLOOKUP(C629,ICSE!A:A,ICSE!Z:Z,,0,1)</f>
        <v>Publicly available (1)</v>
      </c>
      <c r="F629" s="198" t="s">
        <v>20</v>
      </c>
      <c r="G629" s="163" t="str">
        <f t="array" ref="G629">IF(B629="ICSE",IF(COUNTIFS(B:B,B629,C:C,C629)=XLOOKUP(C629,ICSE!A:A,ICSE!AA:AA,"ERROR",0,1),"OK","ERROR"),IF(B629="FSE",IF(COUNTIFS(B:B,B629,C:C,C629)=XLOOKUP(C629,FSE!A:A,FSE!AA:AA,"ERROR",0,1),"OK","ERROR")))</f>
        <v>OK</v>
      </c>
      <c r="H629" s="199">
        <f t="shared" ref="H629:O629" si="3160">countif($D629,"*"&amp;H$2&amp;"*")</f>
        <v>0</v>
      </c>
      <c r="I629" s="200">
        <f t="shared" si="3160"/>
        <v>0</v>
      </c>
      <c r="J629" s="200">
        <f t="shared" si="3160"/>
        <v>0</v>
      </c>
      <c r="K629" s="200">
        <f t="shared" si="3160"/>
        <v>0</v>
      </c>
      <c r="L629" s="200">
        <f t="shared" si="3160"/>
        <v>0</v>
      </c>
      <c r="M629" s="200">
        <f t="shared" si="3160"/>
        <v>0</v>
      </c>
      <c r="N629" s="200">
        <f t="shared" si="3160"/>
        <v>0</v>
      </c>
      <c r="O629" s="200">
        <f t="shared" si="3160"/>
        <v>0</v>
      </c>
      <c r="P629" s="200">
        <f t="shared" si="9"/>
        <v>0</v>
      </c>
      <c r="Q629" s="200">
        <f t="shared" ref="Q629:AC629" si="3161">countif($D629,"*"&amp;Q$2&amp;"*")</f>
        <v>0</v>
      </c>
      <c r="R629" s="200">
        <f t="shared" si="3161"/>
        <v>0</v>
      </c>
      <c r="S629" s="200">
        <f t="shared" si="3161"/>
        <v>0</v>
      </c>
      <c r="T629" s="200">
        <f t="shared" si="3161"/>
        <v>0</v>
      </c>
      <c r="U629" s="200">
        <f t="shared" si="3161"/>
        <v>0</v>
      </c>
      <c r="V629" s="200">
        <f t="shared" si="3161"/>
        <v>0</v>
      </c>
      <c r="W629" s="200">
        <f t="shared" si="3161"/>
        <v>0</v>
      </c>
      <c r="X629" s="200">
        <f t="shared" si="3161"/>
        <v>0</v>
      </c>
      <c r="Y629" s="200">
        <f t="shared" si="3161"/>
        <v>0</v>
      </c>
      <c r="Z629" s="200">
        <f t="shared" si="3161"/>
        <v>0</v>
      </c>
      <c r="AA629" s="200">
        <f t="shared" si="3161"/>
        <v>0</v>
      </c>
      <c r="AB629" s="200">
        <f t="shared" si="3161"/>
        <v>0</v>
      </c>
      <c r="AC629" s="200">
        <f t="shared" si="3161"/>
        <v>0</v>
      </c>
      <c r="AD629" s="200">
        <f t="shared" si="11"/>
        <v>0</v>
      </c>
      <c r="AE629" s="200">
        <f t="shared" ref="AE629:AG629" si="3162">countif($D629,"*"&amp;AE$2&amp;"*")</f>
        <v>0</v>
      </c>
      <c r="AF629" s="200">
        <f t="shared" si="3162"/>
        <v>0</v>
      </c>
      <c r="AG629" s="200">
        <f t="shared" si="3162"/>
        <v>0</v>
      </c>
      <c r="AH629" s="171">
        <f t="shared" si="13"/>
        <v>1</v>
      </c>
      <c r="AI629" s="200">
        <f t="shared" si="14"/>
        <v>0</v>
      </c>
      <c r="AJ629" s="200">
        <f t="shared" si="3082"/>
        <v>0</v>
      </c>
      <c r="AK629" s="201">
        <f t="shared" ref="AK629:AS629" si="3163">countif($D629,"*"&amp;AK$2&amp;"*")</f>
        <v>0</v>
      </c>
      <c r="AL629" s="201">
        <f t="shared" si="3163"/>
        <v>0</v>
      </c>
      <c r="AM629" s="201">
        <f t="shared" si="3163"/>
        <v>0</v>
      </c>
      <c r="AN629" s="201">
        <f t="shared" si="3163"/>
        <v>0</v>
      </c>
      <c r="AO629" s="201">
        <f t="shared" si="3163"/>
        <v>0</v>
      </c>
      <c r="AP629" s="201">
        <f t="shared" si="3163"/>
        <v>0</v>
      </c>
      <c r="AQ629" s="201">
        <f t="shared" si="3163"/>
        <v>0</v>
      </c>
      <c r="AR629" s="200">
        <f t="shared" si="3163"/>
        <v>0</v>
      </c>
      <c r="AS629" s="200">
        <f t="shared" si="3163"/>
        <v>0</v>
      </c>
      <c r="AT629" s="173">
        <v>0.0</v>
      </c>
      <c r="AU629" s="200">
        <f t="shared" ref="AU629:AX629" si="3164">countif($D629,"*"&amp;AU$2&amp;"*")</f>
        <v>0</v>
      </c>
      <c r="AV629" s="200">
        <f t="shared" si="3164"/>
        <v>0</v>
      </c>
      <c r="AW629" s="200">
        <f t="shared" si="3164"/>
        <v>0</v>
      </c>
      <c r="AX629" s="200">
        <f t="shared" si="3164"/>
        <v>0</v>
      </c>
      <c r="AY629" s="202">
        <v>0.0</v>
      </c>
      <c r="AZ629" s="200"/>
      <c r="BA629" s="171" t="str">
        <f t="shared" si="18"/>
        <v/>
      </c>
      <c r="BB629" s="171" t="str">
        <f t="shared" si="19"/>
        <v/>
      </c>
      <c r="BC629" s="171" t="str">
        <f t="shared" si="20"/>
        <v/>
      </c>
      <c r="BD629" s="171" t="str">
        <f t="shared" si="21"/>
        <v/>
      </c>
      <c r="BE629" s="171" t="str">
        <f t="shared" si="22"/>
        <v>Others</v>
      </c>
      <c r="BF629" s="171" t="str">
        <f t="shared" si="23"/>
        <v>Others</v>
      </c>
    </row>
    <row r="630">
      <c r="A630" s="171">
        <f t="array" ref="A630">XLOOKUP(C630,ICSE!A:A,ICSE!C:C,,2,1)</f>
        <v>2018</v>
      </c>
      <c r="B630" s="171" t="s">
        <v>5675</v>
      </c>
      <c r="C630" s="160">
        <v>1195.0</v>
      </c>
      <c r="D630" s="161" t="s">
        <v>1079</v>
      </c>
      <c r="E630" s="197" t="str">
        <f t="array" ref="E630">XLOOKUP(C630,ICSE!A:A,ICSE!Z:Z,,0,1)</f>
        <v>Publicly available (1)</v>
      </c>
      <c r="F630" s="198" t="s">
        <v>20</v>
      </c>
      <c r="G630" s="163" t="str">
        <f t="array" ref="G630">IF(B630="ICSE",IF(COUNTIFS(B:B,B630,C:C,C630)=XLOOKUP(C630,ICSE!A:A,ICSE!AA:AA,"ERROR",0,1),"OK","ERROR"),IF(B630="FSE",IF(COUNTIFS(B:B,B630,C:C,C630)=XLOOKUP(C630,FSE!A:A,FSE!AA:AA,"ERROR",0,1),"OK","ERROR")))</f>
        <v>OK</v>
      </c>
      <c r="H630" s="199">
        <f t="shared" ref="H630:O630" si="3165">countif($D630,"*"&amp;H$2&amp;"*")</f>
        <v>1</v>
      </c>
      <c r="I630" s="200">
        <f t="shared" si="3165"/>
        <v>0</v>
      </c>
      <c r="J630" s="200">
        <f t="shared" si="3165"/>
        <v>0</v>
      </c>
      <c r="K630" s="200">
        <f t="shared" si="3165"/>
        <v>0</v>
      </c>
      <c r="L630" s="200">
        <f t="shared" si="3165"/>
        <v>0</v>
      </c>
      <c r="M630" s="200">
        <f t="shared" si="3165"/>
        <v>0</v>
      </c>
      <c r="N630" s="200">
        <f t="shared" si="3165"/>
        <v>0</v>
      </c>
      <c r="O630" s="200">
        <f t="shared" si="3165"/>
        <v>0</v>
      </c>
      <c r="P630" s="200">
        <f t="shared" si="9"/>
        <v>0</v>
      </c>
      <c r="Q630" s="200">
        <f t="shared" ref="Q630:AC630" si="3166">countif($D630,"*"&amp;Q$2&amp;"*")</f>
        <v>0</v>
      </c>
      <c r="R630" s="200">
        <f t="shared" si="3166"/>
        <v>0</v>
      </c>
      <c r="S630" s="200">
        <f t="shared" si="3166"/>
        <v>0</v>
      </c>
      <c r="T630" s="200">
        <f t="shared" si="3166"/>
        <v>0</v>
      </c>
      <c r="U630" s="200">
        <f t="shared" si="3166"/>
        <v>0</v>
      </c>
      <c r="V630" s="200">
        <f t="shared" si="3166"/>
        <v>0</v>
      </c>
      <c r="W630" s="200">
        <f t="shared" si="3166"/>
        <v>0</v>
      </c>
      <c r="X630" s="200">
        <f t="shared" si="3166"/>
        <v>0</v>
      </c>
      <c r="Y630" s="200">
        <f t="shared" si="3166"/>
        <v>0</v>
      </c>
      <c r="Z630" s="200">
        <f t="shared" si="3166"/>
        <v>0</v>
      </c>
      <c r="AA630" s="200">
        <f t="shared" si="3166"/>
        <v>0</v>
      </c>
      <c r="AB630" s="200">
        <f t="shared" si="3166"/>
        <v>0</v>
      </c>
      <c r="AC630" s="200">
        <f t="shared" si="3166"/>
        <v>0</v>
      </c>
      <c r="AD630" s="200">
        <f t="shared" si="11"/>
        <v>0</v>
      </c>
      <c r="AE630" s="200">
        <f t="shared" ref="AE630:AG630" si="3167">countif($D630,"*"&amp;AE$2&amp;"*")</f>
        <v>0</v>
      </c>
      <c r="AF630" s="200">
        <f t="shared" si="3167"/>
        <v>0</v>
      </c>
      <c r="AG630" s="200">
        <f t="shared" si="3167"/>
        <v>0</v>
      </c>
      <c r="AH630" s="171">
        <f t="shared" si="13"/>
        <v>0</v>
      </c>
      <c r="AI630" s="200">
        <f t="shared" si="14"/>
        <v>1</v>
      </c>
      <c r="AJ630" s="200">
        <f t="shared" si="3082"/>
        <v>0</v>
      </c>
      <c r="AK630" s="201">
        <f t="shared" ref="AK630:AS630" si="3168">countif($D630,"*"&amp;AK$2&amp;"*")</f>
        <v>0</v>
      </c>
      <c r="AL630" s="201">
        <f t="shared" si="3168"/>
        <v>0</v>
      </c>
      <c r="AM630" s="201">
        <f t="shared" si="3168"/>
        <v>0</v>
      </c>
      <c r="AN630" s="201">
        <f t="shared" si="3168"/>
        <v>0</v>
      </c>
      <c r="AO630" s="201">
        <f t="shared" si="3168"/>
        <v>0</v>
      </c>
      <c r="AP630" s="201">
        <f t="shared" si="3168"/>
        <v>0</v>
      </c>
      <c r="AQ630" s="201">
        <f t="shared" si="3168"/>
        <v>0</v>
      </c>
      <c r="AR630" s="200">
        <f t="shared" si="3168"/>
        <v>0</v>
      </c>
      <c r="AS630" s="200">
        <f t="shared" si="3168"/>
        <v>0</v>
      </c>
      <c r="AT630" s="173">
        <v>0.0</v>
      </c>
      <c r="AU630" s="200">
        <f t="shared" ref="AU630:AX630" si="3169">countif($D630,"*"&amp;AU$2&amp;"*")</f>
        <v>0</v>
      </c>
      <c r="AV630" s="200">
        <f t="shared" si="3169"/>
        <v>0</v>
      </c>
      <c r="AW630" s="200">
        <f t="shared" si="3169"/>
        <v>0</v>
      </c>
      <c r="AX630" s="200">
        <f t="shared" si="3169"/>
        <v>1</v>
      </c>
      <c r="AY630" s="202">
        <v>0.0</v>
      </c>
      <c r="AZ630" s="200"/>
      <c r="BA630" s="171" t="str">
        <f t="shared" si="18"/>
        <v>Archival</v>
      </c>
      <c r="BB630" s="171" t="str">
        <f t="shared" si="19"/>
        <v/>
      </c>
      <c r="BC630" s="171" t="str">
        <f t="shared" si="20"/>
        <v/>
      </c>
      <c r="BD630" s="171" t="str">
        <f t="shared" si="21"/>
        <v/>
      </c>
      <c r="BE630" s="171" t="str">
        <f t="shared" si="22"/>
        <v/>
      </c>
      <c r="BF630" s="171" t="str">
        <f t="shared" si="23"/>
        <v>Archival</v>
      </c>
    </row>
    <row r="631">
      <c r="A631" s="171">
        <f t="array" ref="A631">XLOOKUP(C631,ICSE!A:A,ICSE!C:C,,2,1)</f>
        <v>2018</v>
      </c>
      <c r="B631" s="171" t="s">
        <v>5675</v>
      </c>
      <c r="C631" s="160">
        <v>1196.0</v>
      </c>
      <c r="D631" s="161" t="s">
        <v>1082</v>
      </c>
      <c r="E631" s="197" t="str">
        <f t="array" ref="E631">XLOOKUP(C631,ICSE!A:A,ICSE!Z:Z,,0,1)</f>
        <v>Publicly available (1)</v>
      </c>
      <c r="F631" s="198" t="s">
        <v>20</v>
      </c>
      <c r="G631" s="163" t="str">
        <f t="array" ref="G631">IF(B631="ICSE",IF(COUNTIFS(B:B,B631,C:C,C631)=XLOOKUP(C631,ICSE!A:A,ICSE!AA:AA,"ERROR",0,1),"OK","ERROR"),IF(B631="FSE",IF(COUNTIFS(B:B,B631,C:C,C631)=XLOOKUP(C631,FSE!A:A,FSE!AA:AA,"ERROR",0,1),"OK","ERROR")))</f>
        <v>OK</v>
      </c>
      <c r="H631" s="199">
        <f t="shared" ref="H631:O631" si="3170">countif($D631,"*"&amp;H$2&amp;"*")</f>
        <v>0</v>
      </c>
      <c r="I631" s="200">
        <f t="shared" si="3170"/>
        <v>0</v>
      </c>
      <c r="J631" s="200">
        <f t="shared" si="3170"/>
        <v>0</v>
      </c>
      <c r="K631" s="200">
        <f t="shared" si="3170"/>
        <v>0</v>
      </c>
      <c r="L631" s="200">
        <f t="shared" si="3170"/>
        <v>0</v>
      </c>
      <c r="M631" s="200">
        <f t="shared" si="3170"/>
        <v>0</v>
      </c>
      <c r="N631" s="200">
        <f t="shared" si="3170"/>
        <v>0</v>
      </c>
      <c r="O631" s="200">
        <f t="shared" si="3170"/>
        <v>0</v>
      </c>
      <c r="P631" s="200">
        <f t="shared" si="9"/>
        <v>1</v>
      </c>
      <c r="Q631" s="200">
        <f t="shared" ref="Q631:AC631" si="3171">countif($D631,"*"&amp;Q$2&amp;"*")</f>
        <v>0</v>
      </c>
      <c r="R631" s="200">
        <f t="shared" si="3171"/>
        <v>0</v>
      </c>
      <c r="S631" s="200">
        <f t="shared" si="3171"/>
        <v>0</v>
      </c>
      <c r="T631" s="200">
        <f t="shared" si="3171"/>
        <v>0</v>
      </c>
      <c r="U631" s="200">
        <f t="shared" si="3171"/>
        <v>0</v>
      </c>
      <c r="V631" s="200">
        <f t="shared" si="3171"/>
        <v>0</v>
      </c>
      <c r="W631" s="200">
        <f t="shared" si="3171"/>
        <v>0</v>
      </c>
      <c r="X631" s="200">
        <f t="shared" si="3171"/>
        <v>0</v>
      </c>
      <c r="Y631" s="200">
        <f t="shared" si="3171"/>
        <v>0</v>
      </c>
      <c r="Z631" s="200">
        <f t="shared" si="3171"/>
        <v>0</v>
      </c>
      <c r="AA631" s="200">
        <f t="shared" si="3171"/>
        <v>0</v>
      </c>
      <c r="AB631" s="200">
        <f t="shared" si="3171"/>
        <v>0</v>
      </c>
      <c r="AC631" s="200">
        <f t="shared" si="3171"/>
        <v>0</v>
      </c>
      <c r="AD631" s="200">
        <f t="shared" si="11"/>
        <v>0</v>
      </c>
      <c r="AE631" s="200">
        <f t="shared" ref="AE631:AG631" si="3172">countif($D631,"*"&amp;AE$2&amp;"*")</f>
        <v>0</v>
      </c>
      <c r="AF631" s="200">
        <f t="shared" si="3172"/>
        <v>0</v>
      </c>
      <c r="AG631" s="200">
        <f t="shared" si="3172"/>
        <v>0</v>
      </c>
      <c r="AH631" s="171">
        <f t="shared" si="13"/>
        <v>0</v>
      </c>
      <c r="AI631" s="200">
        <f t="shared" si="14"/>
        <v>0</v>
      </c>
      <c r="AJ631" s="200">
        <f t="shared" si="3082"/>
        <v>0</v>
      </c>
      <c r="AK631" s="201">
        <f t="shared" ref="AK631:AS631" si="3173">countif($D631,"*"&amp;AK$2&amp;"*")</f>
        <v>0</v>
      </c>
      <c r="AL631" s="201">
        <f t="shared" si="3173"/>
        <v>0</v>
      </c>
      <c r="AM631" s="201">
        <f t="shared" si="3173"/>
        <v>0</v>
      </c>
      <c r="AN631" s="201">
        <f t="shared" si="3173"/>
        <v>0</v>
      </c>
      <c r="AO631" s="201">
        <f t="shared" si="3173"/>
        <v>0</v>
      </c>
      <c r="AP631" s="201">
        <f t="shared" si="3173"/>
        <v>0</v>
      </c>
      <c r="AQ631" s="201">
        <f t="shared" si="3173"/>
        <v>0</v>
      </c>
      <c r="AR631" s="200">
        <f t="shared" si="3173"/>
        <v>0</v>
      </c>
      <c r="AS631" s="200">
        <f t="shared" si="3173"/>
        <v>0</v>
      </c>
      <c r="AT631" s="173">
        <v>0.0</v>
      </c>
      <c r="AU631" s="200">
        <f t="shared" ref="AU631:AX631" si="3174">countif($D631,"*"&amp;AU$2&amp;"*")</f>
        <v>0</v>
      </c>
      <c r="AV631" s="200">
        <f t="shared" si="3174"/>
        <v>1</v>
      </c>
      <c r="AW631" s="200">
        <f t="shared" si="3174"/>
        <v>0</v>
      </c>
      <c r="AX631" s="200">
        <f t="shared" si="3174"/>
        <v>0</v>
      </c>
      <c r="AY631" s="202">
        <v>0.0</v>
      </c>
      <c r="AZ631" s="200"/>
      <c r="BA631" s="171" t="str">
        <f t="shared" si="18"/>
        <v/>
      </c>
      <c r="BB631" s="171" t="str">
        <f t="shared" si="19"/>
        <v>Code</v>
      </c>
      <c r="BC631" s="171" t="str">
        <f t="shared" si="20"/>
        <v/>
      </c>
      <c r="BD631" s="171" t="str">
        <f t="shared" si="21"/>
        <v/>
      </c>
      <c r="BE631" s="171" t="str">
        <f t="shared" si="22"/>
        <v/>
      </c>
      <c r="BF631" s="171" t="str">
        <f t="shared" si="23"/>
        <v>Code</v>
      </c>
    </row>
    <row r="632">
      <c r="A632" s="171">
        <f t="array" ref="A632">XLOOKUP(C632,ICSE!A:A,ICSE!C:C,,2,1)</f>
        <v>2018</v>
      </c>
      <c r="B632" s="171" t="s">
        <v>5675</v>
      </c>
      <c r="C632" s="160">
        <v>1203.0</v>
      </c>
      <c r="D632" s="161" t="s">
        <v>5944</v>
      </c>
      <c r="E632" s="197" t="str">
        <f t="array" ref="E632">XLOOKUP(C632,ICSE!A:A,ICSE!Z:Z,,0,1)</f>
        <v>Publicly available (2)
Not available (1) - Broken link.</v>
      </c>
      <c r="F632" s="198" t="s">
        <v>20</v>
      </c>
      <c r="G632" s="163" t="str">
        <f t="array" ref="G632">IF(B632="ICSE",IF(COUNTIFS(B:B,B632,C:C,C632)=XLOOKUP(C632,ICSE!A:A,ICSE!AA:AA,"ERROR",0,1),"OK","ERROR"),IF(B632="FSE",IF(COUNTIFS(B:B,B632,C:C,C632)=XLOOKUP(C632,FSE!A:A,FSE!AA:AA,"ERROR",0,1),"OK","ERROR")))</f>
        <v>OK</v>
      </c>
      <c r="H632" s="199">
        <f t="shared" ref="H632:O632" si="3175">countif($D632,"*"&amp;H$2&amp;"*")</f>
        <v>0</v>
      </c>
      <c r="I632" s="200">
        <f t="shared" si="3175"/>
        <v>0</v>
      </c>
      <c r="J632" s="200">
        <f t="shared" si="3175"/>
        <v>0</v>
      </c>
      <c r="K632" s="200">
        <f t="shared" si="3175"/>
        <v>0</v>
      </c>
      <c r="L632" s="200">
        <f t="shared" si="3175"/>
        <v>0</v>
      </c>
      <c r="M632" s="200">
        <f t="shared" si="3175"/>
        <v>0</v>
      </c>
      <c r="N632" s="200">
        <f t="shared" si="3175"/>
        <v>0</v>
      </c>
      <c r="O632" s="200">
        <f t="shared" si="3175"/>
        <v>0</v>
      </c>
      <c r="P632" s="200">
        <f t="shared" si="9"/>
        <v>0</v>
      </c>
      <c r="Q632" s="200">
        <f t="shared" ref="Q632:AC632" si="3176">countif($D632,"*"&amp;Q$2&amp;"*")</f>
        <v>0</v>
      </c>
      <c r="R632" s="200">
        <f t="shared" si="3176"/>
        <v>0</v>
      </c>
      <c r="S632" s="200">
        <f t="shared" si="3176"/>
        <v>0</v>
      </c>
      <c r="T632" s="200">
        <f t="shared" si="3176"/>
        <v>0</v>
      </c>
      <c r="U632" s="200">
        <f t="shared" si="3176"/>
        <v>0</v>
      </c>
      <c r="V632" s="200">
        <f t="shared" si="3176"/>
        <v>0</v>
      </c>
      <c r="W632" s="200">
        <f t="shared" si="3176"/>
        <v>0</v>
      </c>
      <c r="X632" s="200">
        <f t="shared" si="3176"/>
        <v>0</v>
      </c>
      <c r="Y632" s="200">
        <f t="shared" si="3176"/>
        <v>0</v>
      </c>
      <c r="Z632" s="200">
        <f t="shared" si="3176"/>
        <v>0</v>
      </c>
      <c r="AA632" s="200">
        <f t="shared" si="3176"/>
        <v>0</v>
      </c>
      <c r="AB632" s="200">
        <f t="shared" si="3176"/>
        <v>0</v>
      </c>
      <c r="AC632" s="200">
        <f t="shared" si="3176"/>
        <v>0</v>
      </c>
      <c r="AD632" s="200">
        <f t="shared" si="11"/>
        <v>1</v>
      </c>
      <c r="AE632" s="200">
        <f t="shared" ref="AE632:AG632" si="3177">countif($D632,"*"&amp;AE$2&amp;"*")</f>
        <v>0</v>
      </c>
      <c r="AF632" s="200">
        <f t="shared" si="3177"/>
        <v>0</v>
      </c>
      <c r="AG632" s="200">
        <f t="shared" si="3177"/>
        <v>0</v>
      </c>
      <c r="AH632" s="171">
        <f t="shared" si="13"/>
        <v>0</v>
      </c>
      <c r="AI632" s="200">
        <f t="shared" si="14"/>
        <v>0</v>
      </c>
      <c r="AJ632" s="200">
        <f t="shared" si="3082"/>
        <v>0</v>
      </c>
      <c r="AK632" s="201">
        <f t="shared" ref="AK632:AS632" si="3178">countif($D632,"*"&amp;AK$2&amp;"*")</f>
        <v>0</v>
      </c>
      <c r="AL632" s="201">
        <f t="shared" si="3178"/>
        <v>0</v>
      </c>
      <c r="AM632" s="201">
        <f t="shared" si="3178"/>
        <v>0</v>
      </c>
      <c r="AN632" s="201">
        <f t="shared" si="3178"/>
        <v>0</v>
      </c>
      <c r="AO632" s="201">
        <f t="shared" si="3178"/>
        <v>0</v>
      </c>
      <c r="AP632" s="201">
        <f t="shared" si="3178"/>
        <v>0</v>
      </c>
      <c r="AQ632" s="201">
        <f t="shared" si="3178"/>
        <v>0</v>
      </c>
      <c r="AR632" s="200">
        <f t="shared" si="3178"/>
        <v>0</v>
      </c>
      <c r="AS632" s="200">
        <f t="shared" si="3178"/>
        <v>0</v>
      </c>
      <c r="AT632" s="173">
        <v>1.0</v>
      </c>
      <c r="AU632" s="200">
        <f t="shared" ref="AU632:AX632" si="3179">countif($D632,"*"&amp;AU$2&amp;"*")</f>
        <v>0</v>
      </c>
      <c r="AV632" s="200">
        <f t="shared" si="3179"/>
        <v>0</v>
      </c>
      <c r="AW632" s="200">
        <f t="shared" si="3179"/>
        <v>0</v>
      </c>
      <c r="AX632" s="200">
        <f t="shared" si="3179"/>
        <v>0</v>
      </c>
      <c r="AY632" s="202">
        <v>0.0</v>
      </c>
      <c r="AZ632" s="200"/>
      <c r="BA632" s="171" t="str">
        <f t="shared" si="18"/>
        <v/>
      </c>
      <c r="BB632" s="171" t="str">
        <f t="shared" si="19"/>
        <v/>
      </c>
      <c r="BC632" s="171" t="str">
        <f t="shared" si="20"/>
        <v/>
      </c>
      <c r="BD632" s="171" t="str">
        <f t="shared" si="21"/>
        <v>Institutional</v>
      </c>
      <c r="BE632" s="171" t="str">
        <f t="shared" si="22"/>
        <v/>
      </c>
      <c r="BF632" s="171" t="str">
        <f t="shared" si="23"/>
        <v>Institutional</v>
      </c>
    </row>
    <row r="633">
      <c r="A633" s="171">
        <f t="array" ref="A633">XLOOKUP(C633,ICSE!A:A,ICSE!C:C,,2,1)</f>
        <v>2018</v>
      </c>
      <c r="B633" s="171" t="s">
        <v>5675</v>
      </c>
      <c r="C633" s="160">
        <v>1203.0</v>
      </c>
      <c r="D633" s="161" t="s">
        <v>5945</v>
      </c>
      <c r="E633" s="197" t="str">
        <f t="array" ref="E633">XLOOKUP(C633,ICSE!A:A,ICSE!Z:Z,,0,1)</f>
        <v>Publicly available (2)
Not available (1) - Broken link.</v>
      </c>
      <c r="F633" s="198" t="s">
        <v>20</v>
      </c>
      <c r="G633" s="163" t="str">
        <f t="array" ref="G633">IF(B633="ICSE",IF(COUNTIFS(B:B,B633,C:C,C633)=XLOOKUP(C633,ICSE!A:A,ICSE!AA:AA,"ERROR",0,1),"OK","ERROR"),IF(B633="FSE",IF(COUNTIFS(B:B,B633,C:C,C633)=XLOOKUP(C633,FSE!A:A,FSE!AA:AA,"ERROR",0,1),"OK","ERROR")))</f>
        <v>OK</v>
      </c>
      <c r="H633" s="199">
        <f t="shared" ref="H633:O633" si="3180">countif($D633,"*"&amp;H$2&amp;"*")</f>
        <v>0</v>
      </c>
      <c r="I633" s="200">
        <f t="shared" si="3180"/>
        <v>0</v>
      </c>
      <c r="J633" s="200">
        <f t="shared" si="3180"/>
        <v>0</v>
      </c>
      <c r="K633" s="200">
        <f t="shared" si="3180"/>
        <v>0</v>
      </c>
      <c r="L633" s="200">
        <f t="shared" si="3180"/>
        <v>0</v>
      </c>
      <c r="M633" s="200">
        <f t="shared" si="3180"/>
        <v>0</v>
      </c>
      <c r="N633" s="200">
        <f t="shared" si="3180"/>
        <v>0</v>
      </c>
      <c r="O633" s="200">
        <f t="shared" si="3180"/>
        <v>0</v>
      </c>
      <c r="P633" s="200">
        <f t="shared" si="9"/>
        <v>1</v>
      </c>
      <c r="Q633" s="200">
        <f t="shared" ref="Q633:AC633" si="3181">countif($D633,"*"&amp;Q$2&amp;"*")</f>
        <v>0</v>
      </c>
      <c r="R633" s="200">
        <f t="shared" si="3181"/>
        <v>0</v>
      </c>
      <c r="S633" s="200">
        <f t="shared" si="3181"/>
        <v>0</v>
      </c>
      <c r="T633" s="200">
        <f t="shared" si="3181"/>
        <v>0</v>
      </c>
      <c r="U633" s="200">
        <f t="shared" si="3181"/>
        <v>0</v>
      </c>
      <c r="V633" s="200">
        <f t="shared" si="3181"/>
        <v>0</v>
      </c>
      <c r="W633" s="200">
        <f t="shared" si="3181"/>
        <v>0</v>
      </c>
      <c r="X633" s="200">
        <f t="shared" si="3181"/>
        <v>0</v>
      </c>
      <c r="Y633" s="200">
        <f t="shared" si="3181"/>
        <v>0</v>
      </c>
      <c r="Z633" s="200">
        <f t="shared" si="3181"/>
        <v>0</v>
      </c>
      <c r="AA633" s="200">
        <f t="shared" si="3181"/>
        <v>0</v>
      </c>
      <c r="AB633" s="200">
        <f t="shared" si="3181"/>
        <v>0</v>
      </c>
      <c r="AC633" s="200">
        <f t="shared" si="3181"/>
        <v>0</v>
      </c>
      <c r="AD633" s="200">
        <f t="shared" si="11"/>
        <v>0</v>
      </c>
      <c r="AE633" s="200">
        <f t="shared" ref="AE633:AG633" si="3182">countif($D633,"*"&amp;AE$2&amp;"*")</f>
        <v>0</v>
      </c>
      <c r="AF633" s="200">
        <f t="shared" si="3182"/>
        <v>0</v>
      </c>
      <c r="AG633" s="200">
        <f t="shared" si="3182"/>
        <v>0</v>
      </c>
      <c r="AH633" s="171">
        <f t="shared" si="13"/>
        <v>0</v>
      </c>
      <c r="AI633" s="200">
        <f t="shared" si="14"/>
        <v>0</v>
      </c>
      <c r="AJ633" s="200">
        <f t="shared" si="3082"/>
        <v>0</v>
      </c>
      <c r="AK633" s="201">
        <f t="shared" ref="AK633:AS633" si="3183">countif($D633,"*"&amp;AK$2&amp;"*")</f>
        <v>0</v>
      </c>
      <c r="AL633" s="201">
        <f t="shared" si="3183"/>
        <v>0</v>
      </c>
      <c r="AM633" s="201">
        <f t="shared" si="3183"/>
        <v>0</v>
      </c>
      <c r="AN633" s="201">
        <f t="shared" si="3183"/>
        <v>0</v>
      </c>
      <c r="AO633" s="201">
        <f t="shared" si="3183"/>
        <v>0</v>
      </c>
      <c r="AP633" s="201">
        <f t="shared" si="3183"/>
        <v>0</v>
      </c>
      <c r="AQ633" s="201">
        <f t="shared" si="3183"/>
        <v>0</v>
      </c>
      <c r="AR633" s="200">
        <f t="shared" si="3183"/>
        <v>0</v>
      </c>
      <c r="AS633" s="200">
        <f t="shared" si="3183"/>
        <v>0</v>
      </c>
      <c r="AT633" s="173">
        <v>0.0</v>
      </c>
      <c r="AU633" s="200">
        <f t="shared" ref="AU633:AX633" si="3184">countif($D633,"*"&amp;AU$2&amp;"*")</f>
        <v>0</v>
      </c>
      <c r="AV633" s="200">
        <f t="shared" si="3184"/>
        <v>1</v>
      </c>
      <c r="AW633" s="200">
        <f t="shared" si="3184"/>
        <v>0</v>
      </c>
      <c r="AX633" s="200">
        <f t="shared" si="3184"/>
        <v>0</v>
      </c>
      <c r="AY633" s="202">
        <v>0.0</v>
      </c>
      <c r="AZ633" s="200"/>
      <c r="BA633" s="171" t="str">
        <f t="shared" si="18"/>
        <v/>
      </c>
      <c r="BB633" s="171" t="str">
        <f t="shared" si="19"/>
        <v>Code</v>
      </c>
      <c r="BC633" s="171" t="str">
        <f t="shared" si="20"/>
        <v/>
      </c>
      <c r="BD633" s="171" t="str">
        <f t="shared" si="21"/>
        <v/>
      </c>
      <c r="BE633" s="171" t="str">
        <f t="shared" si="22"/>
        <v/>
      </c>
      <c r="BF633" s="171" t="str">
        <f t="shared" si="23"/>
        <v>Code</v>
      </c>
    </row>
    <row r="634">
      <c r="A634" s="171">
        <f t="array" ref="A634">XLOOKUP(C634,ICSE!A:A,ICSE!C:C,,2,1)</f>
        <v>2018</v>
      </c>
      <c r="B634" s="171" t="s">
        <v>5675</v>
      </c>
      <c r="C634" s="160">
        <v>1203.0</v>
      </c>
      <c r="D634" s="161" t="s">
        <v>5946</v>
      </c>
      <c r="E634" s="197" t="str">
        <f t="array" ref="E634">XLOOKUP(C634,ICSE!A:A,ICSE!Z:Z,,0,1)</f>
        <v>Publicly available (2)
Not available (1) - Broken link.</v>
      </c>
      <c r="F634" s="198" t="s">
        <v>21</v>
      </c>
      <c r="G634" s="163" t="str">
        <f t="array" ref="G634">IF(B634="ICSE",IF(COUNTIFS(B:B,B634,C:C,C634)=XLOOKUP(C634,ICSE!A:A,ICSE!AA:AA,"ERROR",0,1),"OK","ERROR"),IF(B634="FSE",IF(COUNTIFS(B:B,B634,C:C,C634)=XLOOKUP(C634,FSE!A:A,FSE!AA:AA,"ERROR",0,1),"OK","ERROR")))</f>
        <v>OK</v>
      </c>
      <c r="H634" s="199">
        <f t="shared" ref="H634:O634" si="3185">countif($D634,"*"&amp;H$2&amp;"*")</f>
        <v>0</v>
      </c>
      <c r="I634" s="200">
        <f t="shared" si="3185"/>
        <v>0</v>
      </c>
      <c r="J634" s="200">
        <f t="shared" si="3185"/>
        <v>0</v>
      </c>
      <c r="K634" s="200">
        <f t="shared" si="3185"/>
        <v>0</v>
      </c>
      <c r="L634" s="200">
        <f t="shared" si="3185"/>
        <v>0</v>
      </c>
      <c r="M634" s="200">
        <f t="shared" si="3185"/>
        <v>0</v>
      </c>
      <c r="N634" s="200">
        <f t="shared" si="3185"/>
        <v>0</v>
      </c>
      <c r="O634" s="200">
        <f t="shared" si="3185"/>
        <v>0</v>
      </c>
      <c r="P634" s="200">
        <f t="shared" si="9"/>
        <v>0</v>
      </c>
      <c r="Q634" s="200">
        <f t="shared" ref="Q634:AC634" si="3186">countif($D634,"*"&amp;Q$2&amp;"*")</f>
        <v>0</v>
      </c>
      <c r="R634" s="200">
        <f t="shared" si="3186"/>
        <v>0</v>
      </c>
      <c r="S634" s="200">
        <f t="shared" si="3186"/>
        <v>0</v>
      </c>
      <c r="T634" s="200">
        <f t="shared" si="3186"/>
        <v>0</v>
      </c>
      <c r="U634" s="200">
        <f t="shared" si="3186"/>
        <v>0</v>
      </c>
      <c r="V634" s="200">
        <f t="shared" si="3186"/>
        <v>0</v>
      </c>
      <c r="W634" s="200">
        <f t="shared" si="3186"/>
        <v>0</v>
      </c>
      <c r="X634" s="200">
        <f t="shared" si="3186"/>
        <v>0</v>
      </c>
      <c r="Y634" s="200">
        <f t="shared" si="3186"/>
        <v>0</v>
      </c>
      <c r="Z634" s="200">
        <f t="shared" si="3186"/>
        <v>0</v>
      </c>
      <c r="AA634" s="200">
        <f t="shared" si="3186"/>
        <v>0</v>
      </c>
      <c r="AB634" s="200">
        <f t="shared" si="3186"/>
        <v>0</v>
      </c>
      <c r="AC634" s="200">
        <f t="shared" si="3186"/>
        <v>0</v>
      </c>
      <c r="AD634" s="200">
        <f t="shared" si="11"/>
        <v>1</v>
      </c>
      <c r="AE634" s="200">
        <f t="shared" ref="AE634:AG634" si="3187">countif($D634,"*"&amp;AE$2&amp;"*")</f>
        <v>0</v>
      </c>
      <c r="AF634" s="200">
        <f t="shared" si="3187"/>
        <v>0</v>
      </c>
      <c r="AG634" s="200">
        <f t="shared" si="3187"/>
        <v>0</v>
      </c>
      <c r="AH634" s="171">
        <f t="shared" si="13"/>
        <v>0</v>
      </c>
      <c r="AI634" s="200">
        <f t="shared" si="14"/>
        <v>0</v>
      </c>
      <c r="AJ634" s="200">
        <f t="shared" si="3082"/>
        <v>0</v>
      </c>
      <c r="AK634" s="201">
        <f t="shared" ref="AK634:AS634" si="3188">countif($D634,"*"&amp;AK$2&amp;"*")</f>
        <v>0</v>
      </c>
      <c r="AL634" s="201">
        <f t="shared" si="3188"/>
        <v>0</v>
      </c>
      <c r="AM634" s="201">
        <f t="shared" si="3188"/>
        <v>0</v>
      </c>
      <c r="AN634" s="201">
        <f t="shared" si="3188"/>
        <v>0</v>
      </c>
      <c r="AO634" s="201">
        <f t="shared" si="3188"/>
        <v>0</v>
      </c>
      <c r="AP634" s="201">
        <f t="shared" si="3188"/>
        <v>0</v>
      </c>
      <c r="AQ634" s="201">
        <f t="shared" si="3188"/>
        <v>0</v>
      </c>
      <c r="AR634" s="200">
        <f t="shared" si="3188"/>
        <v>0</v>
      </c>
      <c r="AS634" s="200">
        <f t="shared" si="3188"/>
        <v>1</v>
      </c>
      <c r="AT634" s="173">
        <v>1.0</v>
      </c>
      <c r="AU634" s="200">
        <f t="shared" ref="AU634:AX634" si="3189">countif($D634,"*"&amp;AU$2&amp;"*")</f>
        <v>0</v>
      </c>
      <c r="AV634" s="200">
        <f t="shared" si="3189"/>
        <v>0</v>
      </c>
      <c r="AW634" s="200">
        <f t="shared" si="3189"/>
        <v>0</v>
      </c>
      <c r="AX634" s="200">
        <f t="shared" si="3189"/>
        <v>0</v>
      </c>
      <c r="AY634" s="202">
        <v>0.0</v>
      </c>
      <c r="AZ634" s="200"/>
      <c r="BA634" s="171" t="str">
        <f t="shared" si="18"/>
        <v/>
      </c>
      <c r="BB634" s="171" t="str">
        <f t="shared" si="19"/>
        <v/>
      </c>
      <c r="BC634" s="171" t="str">
        <f t="shared" si="20"/>
        <v/>
      </c>
      <c r="BD634" s="171" t="str">
        <f t="shared" si="21"/>
        <v>Institutional</v>
      </c>
      <c r="BE634" s="171" t="str">
        <f t="shared" si="22"/>
        <v/>
      </c>
      <c r="BF634" s="171" t="str">
        <f t="shared" si="23"/>
        <v>Institutional</v>
      </c>
    </row>
    <row r="635">
      <c r="A635" s="171">
        <f t="array" ref="A635">XLOOKUP(C635,ICSE!A:A,ICSE!C:C,,2,1)</f>
        <v>2018</v>
      </c>
      <c r="B635" s="171" t="s">
        <v>5675</v>
      </c>
      <c r="C635" s="160">
        <v>1204.0</v>
      </c>
      <c r="D635" s="161" t="s">
        <v>1091</v>
      </c>
      <c r="E635" s="197" t="str">
        <f t="array" ref="E635">XLOOKUP(C635,ICSE!A:A,ICSE!Z:Z,,0,1)</f>
        <v>Not available (1) - Broken link.</v>
      </c>
      <c r="F635" s="198" t="s">
        <v>21</v>
      </c>
      <c r="G635" s="163" t="str">
        <f t="array" ref="G635">IF(B635="ICSE",IF(COUNTIFS(B:B,B635,C:C,C635)=XLOOKUP(C635,ICSE!A:A,ICSE!AA:AA,"ERROR",0,1),"OK","ERROR"),IF(B635="FSE",IF(COUNTIFS(B:B,B635,C:C,C635)=XLOOKUP(C635,FSE!A:A,FSE!AA:AA,"ERROR",0,1),"OK","ERROR")))</f>
        <v>OK</v>
      </c>
      <c r="H635" s="199">
        <f t="shared" ref="H635:O635" si="3190">countif($D635,"*"&amp;H$2&amp;"*")</f>
        <v>0</v>
      </c>
      <c r="I635" s="200">
        <f t="shared" si="3190"/>
        <v>0</v>
      </c>
      <c r="J635" s="200">
        <f t="shared" si="3190"/>
        <v>0</v>
      </c>
      <c r="K635" s="200">
        <f t="shared" si="3190"/>
        <v>0</v>
      </c>
      <c r="L635" s="200">
        <f t="shared" si="3190"/>
        <v>0</v>
      </c>
      <c r="M635" s="200">
        <f t="shared" si="3190"/>
        <v>0</v>
      </c>
      <c r="N635" s="200">
        <f t="shared" si="3190"/>
        <v>0</v>
      </c>
      <c r="O635" s="200">
        <f t="shared" si="3190"/>
        <v>0</v>
      </c>
      <c r="P635" s="200">
        <f t="shared" si="9"/>
        <v>0</v>
      </c>
      <c r="Q635" s="200">
        <f t="shared" ref="Q635:AC635" si="3191">countif($D635,"*"&amp;Q$2&amp;"*")</f>
        <v>0</v>
      </c>
      <c r="R635" s="200">
        <f t="shared" si="3191"/>
        <v>0</v>
      </c>
      <c r="S635" s="200">
        <f t="shared" si="3191"/>
        <v>0</v>
      </c>
      <c r="T635" s="200">
        <f t="shared" si="3191"/>
        <v>0</v>
      </c>
      <c r="U635" s="200">
        <f t="shared" si="3191"/>
        <v>0</v>
      </c>
      <c r="V635" s="200">
        <f t="shared" si="3191"/>
        <v>0</v>
      </c>
      <c r="W635" s="200">
        <f t="shared" si="3191"/>
        <v>0</v>
      </c>
      <c r="X635" s="200">
        <f t="shared" si="3191"/>
        <v>0</v>
      </c>
      <c r="Y635" s="200">
        <f t="shared" si="3191"/>
        <v>0</v>
      </c>
      <c r="Z635" s="200">
        <f t="shared" si="3191"/>
        <v>0</v>
      </c>
      <c r="AA635" s="200">
        <f t="shared" si="3191"/>
        <v>0</v>
      </c>
      <c r="AB635" s="200">
        <f t="shared" si="3191"/>
        <v>0</v>
      </c>
      <c r="AC635" s="200">
        <f t="shared" si="3191"/>
        <v>0</v>
      </c>
      <c r="AD635" s="200">
        <f t="shared" si="11"/>
        <v>1</v>
      </c>
      <c r="AE635" s="200">
        <f t="shared" ref="AE635:AG635" si="3192">countif($D635,"*"&amp;AE$2&amp;"*")</f>
        <v>0</v>
      </c>
      <c r="AF635" s="200">
        <f t="shared" si="3192"/>
        <v>0</v>
      </c>
      <c r="AG635" s="200">
        <f t="shared" si="3192"/>
        <v>0</v>
      </c>
      <c r="AH635" s="171">
        <f t="shared" si="13"/>
        <v>0</v>
      </c>
      <c r="AI635" s="200">
        <f t="shared" si="14"/>
        <v>0</v>
      </c>
      <c r="AJ635" s="200">
        <f>SUM(AK635:AQ635)</f>
        <v>0</v>
      </c>
      <c r="AK635" s="201">
        <f t="shared" ref="AK635:AS635" si="3193">countif($D635,"*"&amp;AK$2&amp;"*")</f>
        <v>0</v>
      </c>
      <c r="AL635" s="201">
        <f t="shared" si="3193"/>
        <v>0</v>
      </c>
      <c r="AM635" s="201">
        <f t="shared" si="3193"/>
        <v>0</v>
      </c>
      <c r="AN635" s="201">
        <f t="shared" si="3193"/>
        <v>0</v>
      </c>
      <c r="AO635" s="201">
        <f t="shared" si="3193"/>
        <v>0</v>
      </c>
      <c r="AP635" s="201">
        <f t="shared" si="3193"/>
        <v>0</v>
      </c>
      <c r="AQ635" s="201">
        <f t="shared" si="3193"/>
        <v>0</v>
      </c>
      <c r="AR635" s="201">
        <f t="shared" si="3193"/>
        <v>0</v>
      </c>
      <c r="AS635" s="200">
        <f t="shared" si="3193"/>
        <v>0</v>
      </c>
      <c r="AT635" s="205">
        <v>0.0</v>
      </c>
      <c r="AU635" s="200">
        <f t="shared" ref="AU635:AX635" si="3194">countif($D635,"*"&amp;AU$2&amp;"*")</f>
        <v>1</v>
      </c>
      <c r="AV635" s="200">
        <f t="shared" si="3194"/>
        <v>0</v>
      </c>
      <c r="AW635" s="200">
        <f t="shared" si="3194"/>
        <v>0</v>
      </c>
      <c r="AX635" s="200">
        <f t="shared" si="3194"/>
        <v>0</v>
      </c>
      <c r="AY635" s="202">
        <v>0.0</v>
      </c>
      <c r="AZ635" s="200"/>
      <c r="BA635" s="171" t="str">
        <f t="shared" si="18"/>
        <v/>
      </c>
      <c r="BB635" s="171" t="str">
        <f t="shared" si="19"/>
        <v/>
      </c>
      <c r="BC635" s="171" t="str">
        <f t="shared" si="20"/>
        <v/>
      </c>
      <c r="BD635" s="171" t="str">
        <f t="shared" si="21"/>
        <v>Institutional</v>
      </c>
      <c r="BE635" s="171" t="str">
        <f t="shared" si="22"/>
        <v/>
      </c>
      <c r="BF635" s="171" t="str">
        <f t="shared" si="23"/>
        <v>Institutional</v>
      </c>
    </row>
    <row r="636">
      <c r="A636" s="171">
        <f t="array" ref="A636">XLOOKUP(C636,ICSE!A:A,ICSE!C:C,,2,1)</f>
        <v>2018</v>
      </c>
      <c r="B636" s="171" t="s">
        <v>5675</v>
      </c>
      <c r="C636" s="160">
        <v>1206.0</v>
      </c>
      <c r="D636" s="161" t="s">
        <v>1094</v>
      </c>
      <c r="E636" s="197" t="str">
        <f t="array" ref="E636">XLOOKUP(C636,ICSE!A:A,ICSE!Z:Z,,0,1)</f>
        <v>Publicly available (1)</v>
      </c>
      <c r="F636" s="198" t="s">
        <v>20</v>
      </c>
      <c r="G636" s="163" t="str">
        <f t="array" ref="G636">IF(B636="ICSE",IF(COUNTIFS(B:B,B636,C:C,C636)=XLOOKUP(C636,ICSE!A:A,ICSE!AA:AA,"ERROR",0,1),"OK","ERROR"),IF(B636="FSE",IF(COUNTIFS(B:B,B636,C:C,C636)=XLOOKUP(C636,FSE!A:A,FSE!AA:AA,"ERROR",0,1),"OK","ERROR")))</f>
        <v>OK</v>
      </c>
      <c r="H636" s="199">
        <f t="shared" ref="H636:O636" si="3195">countif($D636,"*"&amp;H$2&amp;"*")</f>
        <v>0</v>
      </c>
      <c r="I636" s="200">
        <f t="shared" si="3195"/>
        <v>0</v>
      </c>
      <c r="J636" s="200">
        <f t="shared" si="3195"/>
        <v>0</v>
      </c>
      <c r="K636" s="200">
        <f t="shared" si="3195"/>
        <v>0</v>
      </c>
      <c r="L636" s="200">
        <f t="shared" si="3195"/>
        <v>0</v>
      </c>
      <c r="M636" s="200">
        <f t="shared" si="3195"/>
        <v>0</v>
      </c>
      <c r="N636" s="200">
        <f t="shared" si="3195"/>
        <v>0</v>
      </c>
      <c r="O636" s="200">
        <f t="shared" si="3195"/>
        <v>0</v>
      </c>
      <c r="P636" s="200">
        <f t="shared" si="9"/>
        <v>1</v>
      </c>
      <c r="Q636" s="200">
        <f t="shared" ref="Q636:AC636" si="3196">countif($D636,"*"&amp;Q$2&amp;"*")</f>
        <v>0</v>
      </c>
      <c r="R636" s="200">
        <f t="shared" si="3196"/>
        <v>0</v>
      </c>
      <c r="S636" s="200">
        <f t="shared" si="3196"/>
        <v>0</v>
      </c>
      <c r="T636" s="200">
        <f t="shared" si="3196"/>
        <v>0</v>
      </c>
      <c r="U636" s="200">
        <f t="shared" si="3196"/>
        <v>0</v>
      </c>
      <c r="V636" s="200">
        <f t="shared" si="3196"/>
        <v>0</v>
      </c>
      <c r="W636" s="200">
        <f t="shared" si="3196"/>
        <v>0</v>
      </c>
      <c r="X636" s="200">
        <f t="shared" si="3196"/>
        <v>0</v>
      </c>
      <c r="Y636" s="200">
        <f t="shared" si="3196"/>
        <v>0</v>
      </c>
      <c r="Z636" s="200">
        <f t="shared" si="3196"/>
        <v>0</v>
      </c>
      <c r="AA636" s="200">
        <f t="shared" si="3196"/>
        <v>0</v>
      </c>
      <c r="AB636" s="200">
        <f t="shared" si="3196"/>
        <v>0</v>
      </c>
      <c r="AC636" s="200">
        <f t="shared" si="3196"/>
        <v>0</v>
      </c>
      <c r="AD636" s="200">
        <f t="shared" si="11"/>
        <v>0</v>
      </c>
      <c r="AE636" s="200">
        <f t="shared" ref="AE636:AG636" si="3197">countif($D636,"*"&amp;AE$2&amp;"*")</f>
        <v>0</v>
      </c>
      <c r="AF636" s="200">
        <f t="shared" si="3197"/>
        <v>0</v>
      </c>
      <c r="AG636" s="200">
        <f t="shared" si="3197"/>
        <v>0</v>
      </c>
      <c r="AH636" s="171">
        <f t="shared" si="13"/>
        <v>0</v>
      </c>
      <c r="AI636" s="200">
        <f t="shared" si="14"/>
        <v>0</v>
      </c>
      <c r="AJ636" s="200">
        <f t="shared" ref="AJ636:AJ641" si="3203">SUM(AK636:AR636)</f>
        <v>0</v>
      </c>
      <c r="AK636" s="201">
        <f t="shared" ref="AK636:AS636" si="3198">countif($D636,"*"&amp;AK$2&amp;"*")</f>
        <v>0</v>
      </c>
      <c r="AL636" s="201">
        <f t="shared" si="3198"/>
        <v>0</v>
      </c>
      <c r="AM636" s="201">
        <f t="shared" si="3198"/>
        <v>0</v>
      </c>
      <c r="AN636" s="201">
        <f t="shared" si="3198"/>
        <v>0</v>
      </c>
      <c r="AO636" s="201">
        <f t="shared" si="3198"/>
        <v>0</v>
      </c>
      <c r="AP636" s="201">
        <f t="shared" si="3198"/>
        <v>0</v>
      </c>
      <c r="AQ636" s="201">
        <f t="shared" si="3198"/>
        <v>0</v>
      </c>
      <c r="AR636" s="200">
        <f t="shared" si="3198"/>
        <v>0</v>
      </c>
      <c r="AS636" s="200">
        <f t="shared" si="3198"/>
        <v>0</v>
      </c>
      <c r="AT636" s="173">
        <v>0.0</v>
      </c>
      <c r="AU636" s="200">
        <f t="shared" ref="AU636:AX636" si="3199">countif($D636,"*"&amp;AU$2&amp;"*")</f>
        <v>0</v>
      </c>
      <c r="AV636" s="200">
        <f t="shared" si="3199"/>
        <v>1</v>
      </c>
      <c r="AW636" s="200">
        <f t="shared" si="3199"/>
        <v>0</v>
      </c>
      <c r="AX636" s="200">
        <f t="shared" si="3199"/>
        <v>0</v>
      </c>
      <c r="AY636" s="202">
        <v>0.0</v>
      </c>
      <c r="AZ636" s="200"/>
      <c r="BA636" s="171" t="str">
        <f t="shared" si="18"/>
        <v/>
      </c>
      <c r="BB636" s="171" t="str">
        <f t="shared" si="19"/>
        <v>Code</v>
      </c>
      <c r="BC636" s="171" t="str">
        <f t="shared" si="20"/>
        <v/>
      </c>
      <c r="BD636" s="171" t="str">
        <f t="shared" si="21"/>
        <v/>
      </c>
      <c r="BE636" s="171" t="str">
        <f t="shared" si="22"/>
        <v/>
      </c>
      <c r="BF636" s="171" t="str">
        <f t="shared" si="23"/>
        <v>Code</v>
      </c>
    </row>
    <row r="637">
      <c r="A637" s="171">
        <f t="array" ref="A637">XLOOKUP(C637,ICSE!A:A,ICSE!C:C,,2,1)</f>
        <v>2018</v>
      </c>
      <c r="B637" s="171" t="s">
        <v>5675</v>
      </c>
      <c r="C637" s="160">
        <v>1207.0</v>
      </c>
      <c r="D637" s="161" t="s">
        <v>5947</v>
      </c>
      <c r="E637" s="197" t="str">
        <f t="array" ref="E637">XLOOKUP(C637,ICSE!A:A,ICSE!Z:Z,,0,1)</f>
        <v>Publicly available (2)</v>
      </c>
      <c r="F637" s="198" t="s">
        <v>20</v>
      </c>
      <c r="G637" s="163" t="str">
        <f t="array" ref="G637">IF(B637="ICSE",IF(COUNTIFS(B:B,B637,C:C,C637)=XLOOKUP(C637,ICSE!A:A,ICSE!AA:AA,"ERROR",0,1),"OK","ERROR"),IF(B637="FSE",IF(COUNTIFS(B:B,B637,C:C,C637)=XLOOKUP(C637,FSE!A:A,FSE!AA:AA,"ERROR",0,1),"OK","ERROR")))</f>
        <v>OK</v>
      </c>
      <c r="H637" s="199">
        <f t="shared" ref="H637:O637" si="3200">countif($D637,"*"&amp;H$2&amp;"*")</f>
        <v>0</v>
      </c>
      <c r="I637" s="200">
        <f t="shared" si="3200"/>
        <v>0</v>
      </c>
      <c r="J637" s="200">
        <f t="shared" si="3200"/>
        <v>0</v>
      </c>
      <c r="K637" s="200">
        <f t="shared" si="3200"/>
        <v>0</v>
      </c>
      <c r="L637" s="200">
        <f t="shared" si="3200"/>
        <v>0</v>
      </c>
      <c r="M637" s="200">
        <f t="shared" si="3200"/>
        <v>0</v>
      </c>
      <c r="N637" s="200">
        <f t="shared" si="3200"/>
        <v>0</v>
      </c>
      <c r="O637" s="200">
        <f t="shared" si="3200"/>
        <v>0</v>
      </c>
      <c r="P637" s="200">
        <f t="shared" si="9"/>
        <v>1</v>
      </c>
      <c r="Q637" s="200">
        <f t="shared" ref="Q637:AC637" si="3201">countif($D637,"*"&amp;Q$2&amp;"*")</f>
        <v>0</v>
      </c>
      <c r="R637" s="200">
        <f t="shared" si="3201"/>
        <v>0</v>
      </c>
      <c r="S637" s="200">
        <f t="shared" si="3201"/>
        <v>0</v>
      </c>
      <c r="T637" s="200">
        <f t="shared" si="3201"/>
        <v>0</v>
      </c>
      <c r="U637" s="200">
        <f t="shared" si="3201"/>
        <v>0</v>
      </c>
      <c r="V637" s="200">
        <f t="shared" si="3201"/>
        <v>0</v>
      </c>
      <c r="W637" s="200">
        <f t="shared" si="3201"/>
        <v>0</v>
      </c>
      <c r="X637" s="200">
        <f t="shared" si="3201"/>
        <v>0</v>
      </c>
      <c r="Y637" s="200">
        <f t="shared" si="3201"/>
        <v>0</v>
      </c>
      <c r="Z637" s="200">
        <f t="shared" si="3201"/>
        <v>0</v>
      </c>
      <c r="AA637" s="200">
        <f t="shared" si="3201"/>
        <v>0</v>
      </c>
      <c r="AB637" s="200">
        <f t="shared" si="3201"/>
        <v>0</v>
      </c>
      <c r="AC637" s="200">
        <f t="shared" si="3201"/>
        <v>0</v>
      </c>
      <c r="AD637" s="200">
        <f t="shared" si="11"/>
        <v>0</v>
      </c>
      <c r="AE637" s="200">
        <f t="shared" ref="AE637:AG637" si="3202">countif($D637,"*"&amp;AE$2&amp;"*")</f>
        <v>0</v>
      </c>
      <c r="AF637" s="200">
        <f t="shared" si="3202"/>
        <v>0</v>
      </c>
      <c r="AG637" s="200">
        <f t="shared" si="3202"/>
        <v>0</v>
      </c>
      <c r="AH637" s="171">
        <f t="shared" si="13"/>
        <v>0</v>
      </c>
      <c r="AI637" s="200">
        <f t="shared" si="14"/>
        <v>0</v>
      </c>
      <c r="AJ637" s="200">
        <f t="shared" si="3203"/>
        <v>0</v>
      </c>
      <c r="AK637" s="201">
        <f t="shared" ref="AK637:AS637" si="3204">countif($D637,"*"&amp;AK$2&amp;"*")</f>
        <v>0</v>
      </c>
      <c r="AL637" s="201">
        <f t="shared" si="3204"/>
        <v>0</v>
      </c>
      <c r="AM637" s="201">
        <f t="shared" si="3204"/>
        <v>0</v>
      </c>
      <c r="AN637" s="201">
        <f t="shared" si="3204"/>
        <v>0</v>
      </c>
      <c r="AO637" s="201">
        <f t="shared" si="3204"/>
        <v>0</v>
      </c>
      <c r="AP637" s="201">
        <f t="shared" si="3204"/>
        <v>0</v>
      </c>
      <c r="AQ637" s="201">
        <f t="shared" si="3204"/>
        <v>0</v>
      </c>
      <c r="AR637" s="200">
        <f t="shared" si="3204"/>
        <v>0</v>
      </c>
      <c r="AS637" s="200">
        <f t="shared" si="3204"/>
        <v>0</v>
      </c>
      <c r="AT637" s="173">
        <v>0.0</v>
      </c>
      <c r="AU637" s="200">
        <f t="shared" ref="AU637:AX637" si="3205">countif($D637,"*"&amp;AU$2&amp;"*")</f>
        <v>0</v>
      </c>
      <c r="AV637" s="200">
        <f t="shared" si="3205"/>
        <v>1</v>
      </c>
      <c r="AW637" s="200">
        <f t="shared" si="3205"/>
        <v>0</v>
      </c>
      <c r="AX637" s="200">
        <f t="shared" si="3205"/>
        <v>0</v>
      </c>
      <c r="AY637" s="202">
        <v>0.0</v>
      </c>
      <c r="AZ637" s="200"/>
      <c r="BA637" s="171" t="str">
        <f t="shared" si="18"/>
        <v/>
      </c>
      <c r="BB637" s="171" t="str">
        <f t="shared" si="19"/>
        <v>Code</v>
      </c>
      <c r="BC637" s="171" t="str">
        <f t="shared" si="20"/>
        <v/>
      </c>
      <c r="BD637" s="171" t="str">
        <f t="shared" si="21"/>
        <v/>
      </c>
      <c r="BE637" s="171" t="str">
        <f t="shared" si="22"/>
        <v/>
      </c>
      <c r="BF637" s="171" t="str">
        <f t="shared" si="23"/>
        <v>Code</v>
      </c>
    </row>
    <row r="638">
      <c r="A638" s="171">
        <f t="array" ref="A638">XLOOKUP(C638,ICSE!A:A,ICSE!C:C,,2,1)</f>
        <v>2018</v>
      </c>
      <c r="B638" s="171" t="s">
        <v>5675</v>
      </c>
      <c r="C638" s="160">
        <v>1207.0</v>
      </c>
      <c r="D638" s="161" t="s">
        <v>5948</v>
      </c>
      <c r="E638" s="197" t="str">
        <f t="array" ref="E638">XLOOKUP(C638,ICSE!A:A,ICSE!Z:Z,,0,1)</f>
        <v>Publicly available (2)</v>
      </c>
      <c r="F638" s="198" t="s">
        <v>20</v>
      </c>
      <c r="G638" s="163" t="str">
        <f t="array" ref="G638">IF(B638="ICSE",IF(COUNTIFS(B:B,B638,C:C,C638)=XLOOKUP(C638,ICSE!A:A,ICSE!AA:AA,"ERROR",0,1),"OK","ERROR"),IF(B638="FSE",IF(COUNTIFS(B:B,B638,C:C,C638)=XLOOKUP(C638,FSE!A:A,FSE!AA:AA,"ERROR",0,1),"OK","ERROR")))</f>
        <v>OK</v>
      </c>
      <c r="H638" s="199">
        <f t="shared" ref="H638:O638" si="3206">countif($D638,"*"&amp;H$2&amp;"*")</f>
        <v>1</v>
      </c>
      <c r="I638" s="200">
        <f t="shared" si="3206"/>
        <v>0</v>
      </c>
      <c r="J638" s="200">
        <f t="shared" si="3206"/>
        <v>0</v>
      </c>
      <c r="K638" s="200">
        <f t="shared" si="3206"/>
        <v>0</v>
      </c>
      <c r="L638" s="200">
        <f t="shared" si="3206"/>
        <v>0</v>
      </c>
      <c r="M638" s="200">
        <f t="shared" si="3206"/>
        <v>0</v>
      </c>
      <c r="N638" s="200">
        <f t="shared" si="3206"/>
        <v>0</v>
      </c>
      <c r="O638" s="200">
        <f t="shared" si="3206"/>
        <v>0</v>
      </c>
      <c r="P638" s="200">
        <f t="shared" si="9"/>
        <v>0</v>
      </c>
      <c r="Q638" s="200">
        <f t="shared" ref="Q638:AC638" si="3207">countif($D638,"*"&amp;Q$2&amp;"*")</f>
        <v>0</v>
      </c>
      <c r="R638" s="200">
        <f t="shared" si="3207"/>
        <v>0</v>
      </c>
      <c r="S638" s="200">
        <f t="shared" si="3207"/>
        <v>0</v>
      </c>
      <c r="T638" s="200">
        <f t="shared" si="3207"/>
        <v>0</v>
      </c>
      <c r="U638" s="200">
        <f t="shared" si="3207"/>
        <v>0</v>
      </c>
      <c r="V638" s="200">
        <f t="shared" si="3207"/>
        <v>0</v>
      </c>
      <c r="W638" s="200">
        <f t="shared" si="3207"/>
        <v>0</v>
      </c>
      <c r="X638" s="200">
        <f t="shared" si="3207"/>
        <v>0</v>
      </c>
      <c r="Y638" s="200">
        <f t="shared" si="3207"/>
        <v>0</v>
      </c>
      <c r="Z638" s="200">
        <f t="shared" si="3207"/>
        <v>0</v>
      </c>
      <c r="AA638" s="200">
        <f t="shared" si="3207"/>
        <v>0</v>
      </c>
      <c r="AB638" s="200">
        <f t="shared" si="3207"/>
        <v>0</v>
      </c>
      <c r="AC638" s="200">
        <f t="shared" si="3207"/>
        <v>0</v>
      </c>
      <c r="AD638" s="200">
        <f t="shared" si="11"/>
        <v>0</v>
      </c>
      <c r="AE638" s="200">
        <f t="shared" ref="AE638:AG638" si="3208">countif($D638,"*"&amp;AE$2&amp;"*")</f>
        <v>0</v>
      </c>
      <c r="AF638" s="200">
        <f t="shared" si="3208"/>
        <v>0</v>
      </c>
      <c r="AG638" s="200">
        <f t="shared" si="3208"/>
        <v>0</v>
      </c>
      <c r="AH638" s="171">
        <f t="shared" si="13"/>
        <v>0</v>
      </c>
      <c r="AI638" s="200">
        <f t="shared" si="14"/>
        <v>1</v>
      </c>
      <c r="AJ638" s="200">
        <f t="shared" si="3203"/>
        <v>0</v>
      </c>
      <c r="AK638" s="201">
        <f t="shared" ref="AK638:AS638" si="3209">countif($D638,"*"&amp;AK$2&amp;"*")</f>
        <v>0</v>
      </c>
      <c r="AL638" s="201">
        <f t="shared" si="3209"/>
        <v>0</v>
      </c>
      <c r="AM638" s="201">
        <f t="shared" si="3209"/>
        <v>0</v>
      </c>
      <c r="AN638" s="201">
        <f t="shared" si="3209"/>
        <v>0</v>
      </c>
      <c r="AO638" s="201">
        <f t="shared" si="3209"/>
        <v>0</v>
      </c>
      <c r="AP638" s="201">
        <f t="shared" si="3209"/>
        <v>0</v>
      </c>
      <c r="AQ638" s="201">
        <f t="shared" si="3209"/>
        <v>0</v>
      </c>
      <c r="AR638" s="200">
        <f t="shared" si="3209"/>
        <v>0</v>
      </c>
      <c r="AS638" s="200">
        <f t="shared" si="3209"/>
        <v>0</v>
      </c>
      <c r="AT638" s="173">
        <v>0.0</v>
      </c>
      <c r="AU638" s="200">
        <f t="shared" ref="AU638:AX638" si="3210">countif($D638,"*"&amp;AU$2&amp;"*")</f>
        <v>0</v>
      </c>
      <c r="AV638" s="200">
        <f t="shared" si="3210"/>
        <v>0</v>
      </c>
      <c r="AW638" s="200">
        <f t="shared" si="3210"/>
        <v>0</v>
      </c>
      <c r="AX638" s="200">
        <f t="shared" si="3210"/>
        <v>1</v>
      </c>
      <c r="AY638" s="202">
        <v>0.0</v>
      </c>
      <c r="AZ638" s="200"/>
      <c r="BA638" s="171" t="str">
        <f t="shared" si="18"/>
        <v>Archival</v>
      </c>
      <c r="BB638" s="171" t="str">
        <f t="shared" si="19"/>
        <v/>
      </c>
      <c r="BC638" s="171" t="str">
        <f t="shared" si="20"/>
        <v/>
      </c>
      <c r="BD638" s="171" t="str">
        <f t="shared" si="21"/>
        <v/>
      </c>
      <c r="BE638" s="171" t="str">
        <f t="shared" si="22"/>
        <v/>
      </c>
      <c r="BF638" s="171" t="str">
        <f t="shared" si="23"/>
        <v>Archival</v>
      </c>
    </row>
    <row r="639">
      <c r="A639" s="171">
        <f t="array" ref="A639">XLOOKUP(C639,ICSE!A:A,ICSE!C:C,,2,1)</f>
        <v>2018</v>
      </c>
      <c r="B639" s="171" t="s">
        <v>5675</v>
      </c>
      <c r="C639" s="160">
        <v>1208.0</v>
      </c>
      <c r="D639" s="161" t="s">
        <v>1100</v>
      </c>
      <c r="E639" s="197" t="str">
        <f t="array" ref="E639">XLOOKUP(C639,ICSE!A:A,ICSE!Z:Z,,0,1)</f>
        <v>Publicly available (1)</v>
      </c>
      <c r="F639" s="198" t="s">
        <v>20</v>
      </c>
      <c r="G639" s="163" t="str">
        <f t="array" ref="G639">IF(B639="ICSE",IF(COUNTIFS(B:B,B639,C:C,C639)=XLOOKUP(C639,ICSE!A:A,ICSE!AA:AA,"ERROR",0,1),"OK","ERROR"),IF(B639="FSE",IF(COUNTIFS(B:B,B639,C:C,C639)=XLOOKUP(C639,FSE!A:A,FSE!AA:AA,"ERROR",0,1),"OK","ERROR")))</f>
        <v>OK</v>
      </c>
      <c r="H639" s="199">
        <f t="shared" ref="H639:O639" si="3211">countif($D639,"*"&amp;H$2&amp;"*")</f>
        <v>0</v>
      </c>
      <c r="I639" s="200">
        <f t="shared" si="3211"/>
        <v>0</v>
      </c>
      <c r="J639" s="200">
        <f t="shared" si="3211"/>
        <v>0</v>
      </c>
      <c r="K639" s="200">
        <f t="shared" si="3211"/>
        <v>0</v>
      </c>
      <c r="L639" s="200">
        <f t="shared" si="3211"/>
        <v>0</v>
      </c>
      <c r="M639" s="200">
        <f t="shared" si="3211"/>
        <v>0</v>
      </c>
      <c r="N639" s="200">
        <f t="shared" si="3211"/>
        <v>0</v>
      </c>
      <c r="O639" s="200">
        <f t="shared" si="3211"/>
        <v>0</v>
      </c>
      <c r="P639" s="200">
        <f t="shared" si="9"/>
        <v>0</v>
      </c>
      <c r="Q639" s="200">
        <f t="shared" ref="Q639:AC639" si="3212">countif($D639,"*"&amp;Q$2&amp;"*")</f>
        <v>0</v>
      </c>
      <c r="R639" s="200">
        <f t="shared" si="3212"/>
        <v>1</v>
      </c>
      <c r="S639" s="200">
        <f t="shared" si="3212"/>
        <v>0</v>
      </c>
      <c r="T639" s="200">
        <f t="shared" si="3212"/>
        <v>0</v>
      </c>
      <c r="U639" s="200">
        <f t="shared" si="3212"/>
        <v>0</v>
      </c>
      <c r="V639" s="200">
        <f t="shared" si="3212"/>
        <v>0</v>
      </c>
      <c r="W639" s="200">
        <f t="shared" si="3212"/>
        <v>0</v>
      </c>
      <c r="X639" s="200">
        <f t="shared" si="3212"/>
        <v>0</v>
      </c>
      <c r="Y639" s="200">
        <f t="shared" si="3212"/>
        <v>0</v>
      </c>
      <c r="Z639" s="200">
        <f t="shared" si="3212"/>
        <v>0</v>
      </c>
      <c r="AA639" s="200">
        <f t="shared" si="3212"/>
        <v>0</v>
      </c>
      <c r="AB639" s="200">
        <f t="shared" si="3212"/>
        <v>0</v>
      </c>
      <c r="AC639" s="200">
        <f t="shared" si="3212"/>
        <v>0</v>
      </c>
      <c r="AD639" s="200">
        <f t="shared" si="11"/>
        <v>0</v>
      </c>
      <c r="AE639" s="200">
        <f t="shared" ref="AE639:AG639" si="3213">countif($D639,"*"&amp;AE$2&amp;"*")</f>
        <v>0</v>
      </c>
      <c r="AF639" s="200">
        <f t="shared" si="3213"/>
        <v>0</v>
      </c>
      <c r="AG639" s="200">
        <f t="shared" si="3213"/>
        <v>0</v>
      </c>
      <c r="AH639" s="171">
        <f t="shared" si="13"/>
        <v>0</v>
      </c>
      <c r="AI639" s="200">
        <f t="shared" si="14"/>
        <v>0</v>
      </c>
      <c r="AJ639" s="200">
        <f t="shared" si="3203"/>
        <v>0</v>
      </c>
      <c r="AK639" s="201">
        <f t="shared" ref="AK639:AS639" si="3214">countif($D639,"*"&amp;AK$2&amp;"*")</f>
        <v>0</v>
      </c>
      <c r="AL639" s="201">
        <f t="shared" si="3214"/>
        <v>0</v>
      </c>
      <c r="AM639" s="201">
        <f t="shared" si="3214"/>
        <v>0</v>
      </c>
      <c r="AN639" s="201">
        <f t="shared" si="3214"/>
        <v>0</v>
      </c>
      <c r="AO639" s="201">
        <f t="shared" si="3214"/>
        <v>0</v>
      </c>
      <c r="AP639" s="201">
        <f t="shared" si="3214"/>
        <v>0</v>
      </c>
      <c r="AQ639" s="201">
        <f t="shared" si="3214"/>
        <v>0</v>
      </c>
      <c r="AR639" s="200">
        <f t="shared" si="3214"/>
        <v>0</v>
      </c>
      <c r="AS639" s="200">
        <f t="shared" si="3214"/>
        <v>0</v>
      </c>
      <c r="AT639" s="173">
        <v>0.0</v>
      </c>
      <c r="AU639" s="200">
        <f t="shared" ref="AU639:AX639" si="3215">countif($D639,"*"&amp;AU$2&amp;"*")</f>
        <v>0</v>
      </c>
      <c r="AV639" s="200">
        <f t="shared" si="3215"/>
        <v>0</v>
      </c>
      <c r="AW639" s="200">
        <f t="shared" si="3215"/>
        <v>0</v>
      </c>
      <c r="AX639" s="200">
        <f t="shared" si="3215"/>
        <v>0</v>
      </c>
      <c r="AY639" s="202">
        <v>0.0</v>
      </c>
      <c r="AZ639" s="200"/>
      <c r="BA639" s="171" t="str">
        <f t="shared" si="18"/>
        <v/>
      </c>
      <c r="BB639" s="171" t="str">
        <f t="shared" si="19"/>
        <v>Code</v>
      </c>
      <c r="BC639" s="171" t="str">
        <f t="shared" si="20"/>
        <v/>
      </c>
      <c r="BD639" s="171" t="str">
        <f t="shared" si="21"/>
        <v/>
      </c>
      <c r="BE639" s="171" t="str">
        <f t="shared" si="22"/>
        <v/>
      </c>
      <c r="BF639" s="171" t="str">
        <f t="shared" si="23"/>
        <v>Code</v>
      </c>
    </row>
    <row r="640">
      <c r="A640" s="171">
        <f t="array" ref="A640">XLOOKUP(C640,ICSE!A:A,ICSE!C:C,,2,1)</f>
        <v>2018</v>
      </c>
      <c r="B640" s="171" t="s">
        <v>5675</v>
      </c>
      <c r="C640" s="160">
        <v>1209.0</v>
      </c>
      <c r="D640" s="161" t="s">
        <v>1103</v>
      </c>
      <c r="E640" s="197" t="str">
        <f t="array" ref="E640">XLOOKUP(C640,ICSE!A:A,ICSE!Z:Z,,0,1)</f>
        <v>Publicly available (1)</v>
      </c>
      <c r="F640" s="198" t="s">
        <v>20</v>
      </c>
      <c r="G640" s="163" t="str">
        <f t="array" ref="G640">IF(B640="ICSE",IF(COUNTIFS(B:B,B640,C:C,C640)=XLOOKUP(C640,ICSE!A:A,ICSE!AA:AA,"ERROR",0,1),"OK","ERROR"),IF(B640="FSE",IF(COUNTIFS(B:B,B640,C:C,C640)=XLOOKUP(C640,FSE!A:A,FSE!AA:AA,"ERROR",0,1),"OK","ERROR")))</f>
        <v>OK</v>
      </c>
      <c r="H640" s="199">
        <f t="shared" ref="H640:O640" si="3216">countif($D640,"*"&amp;H$2&amp;"*")</f>
        <v>0</v>
      </c>
      <c r="I640" s="200">
        <f t="shared" si="3216"/>
        <v>0</v>
      </c>
      <c r="J640" s="200">
        <f t="shared" si="3216"/>
        <v>0</v>
      </c>
      <c r="K640" s="200">
        <f t="shared" si="3216"/>
        <v>0</v>
      </c>
      <c r="L640" s="200">
        <f t="shared" si="3216"/>
        <v>0</v>
      </c>
      <c r="M640" s="200">
        <f t="shared" si="3216"/>
        <v>0</v>
      </c>
      <c r="N640" s="200">
        <f t="shared" si="3216"/>
        <v>0</v>
      </c>
      <c r="O640" s="200">
        <f t="shared" si="3216"/>
        <v>0</v>
      </c>
      <c r="P640" s="200">
        <f t="shared" si="9"/>
        <v>1</v>
      </c>
      <c r="Q640" s="200">
        <f t="shared" ref="Q640:AC640" si="3217">countif($D640,"*"&amp;Q$2&amp;"*")</f>
        <v>0</v>
      </c>
      <c r="R640" s="200">
        <f t="shared" si="3217"/>
        <v>0</v>
      </c>
      <c r="S640" s="200">
        <f t="shared" si="3217"/>
        <v>0</v>
      </c>
      <c r="T640" s="200">
        <f t="shared" si="3217"/>
        <v>0</v>
      </c>
      <c r="U640" s="200">
        <f t="shared" si="3217"/>
        <v>0</v>
      </c>
      <c r="V640" s="200">
        <f t="shared" si="3217"/>
        <v>0</v>
      </c>
      <c r="W640" s="200">
        <f t="shared" si="3217"/>
        <v>0</v>
      </c>
      <c r="X640" s="200">
        <f t="shared" si="3217"/>
        <v>0</v>
      </c>
      <c r="Y640" s="200">
        <f t="shared" si="3217"/>
        <v>0</v>
      </c>
      <c r="Z640" s="200">
        <f t="shared" si="3217"/>
        <v>0</v>
      </c>
      <c r="AA640" s="200">
        <f t="shared" si="3217"/>
        <v>0</v>
      </c>
      <c r="AB640" s="200">
        <f t="shared" si="3217"/>
        <v>0</v>
      </c>
      <c r="AC640" s="200">
        <f t="shared" si="3217"/>
        <v>0</v>
      </c>
      <c r="AD640" s="200">
        <f t="shared" si="11"/>
        <v>0</v>
      </c>
      <c r="AE640" s="200">
        <f t="shared" ref="AE640:AG640" si="3218">countif($D640,"*"&amp;AE$2&amp;"*")</f>
        <v>0</v>
      </c>
      <c r="AF640" s="200">
        <f t="shared" si="3218"/>
        <v>0</v>
      </c>
      <c r="AG640" s="200">
        <f t="shared" si="3218"/>
        <v>0</v>
      </c>
      <c r="AH640" s="171">
        <f t="shared" si="13"/>
        <v>0</v>
      </c>
      <c r="AI640" s="200">
        <f t="shared" si="14"/>
        <v>0</v>
      </c>
      <c r="AJ640" s="200">
        <f t="shared" si="3203"/>
        <v>0</v>
      </c>
      <c r="AK640" s="201">
        <f t="shared" ref="AK640:AS640" si="3219">countif($D640,"*"&amp;AK$2&amp;"*")</f>
        <v>0</v>
      </c>
      <c r="AL640" s="201">
        <f t="shared" si="3219"/>
        <v>0</v>
      </c>
      <c r="AM640" s="201">
        <f t="shared" si="3219"/>
        <v>0</v>
      </c>
      <c r="AN640" s="201">
        <f t="shared" si="3219"/>
        <v>0</v>
      </c>
      <c r="AO640" s="201">
        <f t="shared" si="3219"/>
        <v>0</v>
      </c>
      <c r="AP640" s="201">
        <f t="shared" si="3219"/>
        <v>0</v>
      </c>
      <c r="AQ640" s="201">
        <f t="shared" si="3219"/>
        <v>0</v>
      </c>
      <c r="AR640" s="200">
        <f t="shared" si="3219"/>
        <v>0</v>
      </c>
      <c r="AS640" s="200">
        <f t="shared" si="3219"/>
        <v>0</v>
      </c>
      <c r="AT640" s="173">
        <v>0.0</v>
      </c>
      <c r="AU640" s="200">
        <f t="shared" ref="AU640:AX640" si="3220">countif($D640,"*"&amp;AU$2&amp;"*")</f>
        <v>0</v>
      </c>
      <c r="AV640" s="200">
        <f t="shared" si="3220"/>
        <v>1</v>
      </c>
      <c r="AW640" s="200">
        <f t="shared" si="3220"/>
        <v>0</v>
      </c>
      <c r="AX640" s="200">
        <f t="shared" si="3220"/>
        <v>0</v>
      </c>
      <c r="AY640" s="202">
        <v>0.0</v>
      </c>
      <c r="AZ640" s="200"/>
      <c r="BA640" s="171" t="str">
        <f t="shared" si="18"/>
        <v/>
      </c>
      <c r="BB640" s="171" t="str">
        <f t="shared" si="19"/>
        <v>Code</v>
      </c>
      <c r="BC640" s="171" t="str">
        <f t="shared" si="20"/>
        <v/>
      </c>
      <c r="BD640" s="171" t="str">
        <f t="shared" si="21"/>
        <v/>
      </c>
      <c r="BE640" s="171" t="str">
        <f t="shared" si="22"/>
        <v/>
      </c>
      <c r="BF640" s="171" t="str">
        <f t="shared" si="23"/>
        <v>Code</v>
      </c>
    </row>
    <row r="641">
      <c r="A641" s="171">
        <f t="array" ref="A641">XLOOKUP(C641,ICSE!A:A,ICSE!C:C,,2,1)</f>
        <v>2018</v>
      </c>
      <c r="B641" s="171" t="s">
        <v>5675</v>
      </c>
      <c r="C641" s="160">
        <v>1211.0</v>
      </c>
      <c r="D641" s="161" t="s">
        <v>1106</v>
      </c>
      <c r="E641" s="197" t="str">
        <f t="array" ref="E641">XLOOKUP(C641,ICSE!A:A,ICSE!Z:Z,,0,1)</f>
        <v>Publicly available (1)</v>
      </c>
      <c r="F641" s="198" t="s">
        <v>20</v>
      </c>
      <c r="G641" s="163" t="str">
        <f t="array" ref="G641">IF(B641="ICSE",IF(COUNTIFS(B:B,B641,C:C,C641)=XLOOKUP(C641,ICSE!A:A,ICSE!AA:AA,"ERROR",0,1),"OK","ERROR"),IF(B641="FSE",IF(COUNTIFS(B:B,B641,C:C,C641)=XLOOKUP(C641,FSE!A:A,FSE!AA:AA,"ERROR",0,1),"OK","ERROR")))</f>
        <v>OK</v>
      </c>
      <c r="H641" s="199">
        <f t="shared" ref="H641:O641" si="3221">countif($D641,"*"&amp;H$2&amp;"*")</f>
        <v>0</v>
      </c>
      <c r="I641" s="200">
        <f t="shared" si="3221"/>
        <v>0</v>
      </c>
      <c r="J641" s="200">
        <f t="shared" si="3221"/>
        <v>0</v>
      </c>
      <c r="K641" s="200">
        <f t="shared" si="3221"/>
        <v>0</v>
      </c>
      <c r="L641" s="200">
        <f t="shared" si="3221"/>
        <v>0</v>
      </c>
      <c r="M641" s="200">
        <f t="shared" si="3221"/>
        <v>0</v>
      </c>
      <c r="N641" s="200">
        <f t="shared" si="3221"/>
        <v>0</v>
      </c>
      <c r="O641" s="200">
        <f t="shared" si="3221"/>
        <v>0</v>
      </c>
      <c r="P641" s="200">
        <f t="shared" si="9"/>
        <v>1</v>
      </c>
      <c r="Q641" s="200">
        <f t="shared" ref="Q641:AC641" si="3222">countif($D641,"*"&amp;Q$2&amp;"*")</f>
        <v>0</v>
      </c>
      <c r="R641" s="200">
        <f t="shared" si="3222"/>
        <v>0</v>
      </c>
      <c r="S641" s="200">
        <f t="shared" si="3222"/>
        <v>0</v>
      </c>
      <c r="T641" s="200">
        <f t="shared" si="3222"/>
        <v>0</v>
      </c>
      <c r="U641" s="200">
        <f t="shared" si="3222"/>
        <v>0</v>
      </c>
      <c r="V641" s="200">
        <f t="shared" si="3222"/>
        <v>0</v>
      </c>
      <c r="W641" s="200">
        <f t="shared" si="3222"/>
        <v>0</v>
      </c>
      <c r="X641" s="200">
        <f t="shared" si="3222"/>
        <v>0</v>
      </c>
      <c r="Y641" s="200">
        <f t="shared" si="3222"/>
        <v>0</v>
      </c>
      <c r="Z641" s="200">
        <f t="shared" si="3222"/>
        <v>0</v>
      </c>
      <c r="AA641" s="200">
        <f t="shared" si="3222"/>
        <v>0</v>
      </c>
      <c r="AB641" s="200">
        <f t="shared" si="3222"/>
        <v>0</v>
      </c>
      <c r="AC641" s="200">
        <f t="shared" si="3222"/>
        <v>0</v>
      </c>
      <c r="AD641" s="200">
        <f t="shared" si="11"/>
        <v>0</v>
      </c>
      <c r="AE641" s="200">
        <f t="shared" ref="AE641:AG641" si="3223">countif($D641,"*"&amp;AE$2&amp;"*")</f>
        <v>0</v>
      </c>
      <c r="AF641" s="200">
        <f t="shared" si="3223"/>
        <v>0</v>
      </c>
      <c r="AG641" s="200">
        <f t="shared" si="3223"/>
        <v>0</v>
      </c>
      <c r="AH641" s="171">
        <f t="shared" si="13"/>
        <v>0</v>
      </c>
      <c r="AI641" s="200">
        <f t="shared" si="14"/>
        <v>0</v>
      </c>
      <c r="AJ641" s="200">
        <f t="shared" si="3203"/>
        <v>0</v>
      </c>
      <c r="AK641" s="201">
        <f t="shared" ref="AK641:AS641" si="3224">countif($D641,"*"&amp;AK$2&amp;"*")</f>
        <v>0</v>
      </c>
      <c r="AL641" s="201">
        <f t="shared" si="3224"/>
        <v>0</v>
      </c>
      <c r="AM641" s="201">
        <f t="shared" si="3224"/>
        <v>0</v>
      </c>
      <c r="AN641" s="201">
        <f t="shared" si="3224"/>
        <v>0</v>
      </c>
      <c r="AO641" s="201">
        <f t="shared" si="3224"/>
        <v>0</v>
      </c>
      <c r="AP641" s="201">
        <f t="shared" si="3224"/>
        <v>0</v>
      </c>
      <c r="AQ641" s="201">
        <f t="shared" si="3224"/>
        <v>0</v>
      </c>
      <c r="AR641" s="200">
        <f t="shared" si="3224"/>
        <v>0</v>
      </c>
      <c r="AS641" s="200">
        <f t="shared" si="3224"/>
        <v>0</v>
      </c>
      <c r="AT641" s="173">
        <v>0.0</v>
      </c>
      <c r="AU641" s="200">
        <f t="shared" ref="AU641:AX641" si="3225">countif($D641,"*"&amp;AU$2&amp;"*")</f>
        <v>0</v>
      </c>
      <c r="AV641" s="200">
        <f t="shared" si="3225"/>
        <v>1</v>
      </c>
      <c r="AW641" s="200">
        <f t="shared" si="3225"/>
        <v>0</v>
      </c>
      <c r="AX641" s="200">
        <f t="shared" si="3225"/>
        <v>0</v>
      </c>
      <c r="AY641" s="202">
        <v>0.0</v>
      </c>
      <c r="AZ641" s="200"/>
      <c r="BA641" s="171" t="str">
        <f t="shared" si="18"/>
        <v/>
      </c>
      <c r="BB641" s="171" t="str">
        <f t="shared" si="19"/>
        <v>Code</v>
      </c>
      <c r="BC641" s="171" t="str">
        <f t="shared" si="20"/>
        <v/>
      </c>
      <c r="BD641" s="171" t="str">
        <f t="shared" si="21"/>
        <v/>
      </c>
      <c r="BE641" s="171" t="str">
        <f t="shared" si="22"/>
        <v/>
      </c>
      <c r="BF641" s="171" t="str">
        <f t="shared" si="23"/>
        <v>Code</v>
      </c>
    </row>
    <row r="642">
      <c r="A642" s="171">
        <f t="array" ref="A642">XLOOKUP(C642,ICSE!A:A,ICSE!C:C,,2,1)</f>
        <v>2018</v>
      </c>
      <c r="B642" s="171" t="s">
        <v>5675</v>
      </c>
      <c r="C642" s="160">
        <v>1212.0</v>
      </c>
      <c r="D642" s="161" t="s">
        <v>1109</v>
      </c>
      <c r="E642" s="197" t="str">
        <f t="array" ref="E642">XLOOKUP(C642,ICSE!A:A,ICSE!Z:Z,,0,1)</f>
        <v>Publicly available (1)</v>
      </c>
      <c r="F642" s="198" t="s">
        <v>20</v>
      </c>
      <c r="G642" s="163" t="str">
        <f t="array" ref="G642">IF(B642="ICSE",IF(COUNTIFS(B:B,B642,C:C,C642)=XLOOKUP(C642,ICSE!A:A,ICSE!AA:AA,"ERROR",0,1),"OK","ERROR"),IF(B642="FSE",IF(COUNTIFS(B:B,B642,C:C,C642)=XLOOKUP(C642,FSE!A:A,FSE!AA:AA,"ERROR",0,1),"OK","ERROR")))</f>
        <v>OK</v>
      </c>
      <c r="H642" s="199">
        <f t="shared" ref="H642:O642" si="3226">countif($D642,"*"&amp;H$2&amp;"*")</f>
        <v>0</v>
      </c>
      <c r="I642" s="200">
        <f t="shared" si="3226"/>
        <v>0</v>
      </c>
      <c r="J642" s="200">
        <f t="shared" si="3226"/>
        <v>0</v>
      </c>
      <c r="K642" s="200">
        <f t="shared" si="3226"/>
        <v>0</v>
      </c>
      <c r="L642" s="200">
        <f t="shared" si="3226"/>
        <v>0</v>
      </c>
      <c r="M642" s="200">
        <f t="shared" si="3226"/>
        <v>0</v>
      </c>
      <c r="N642" s="200">
        <f t="shared" si="3226"/>
        <v>0</v>
      </c>
      <c r="O642" s="200">
        <f t="shared" si="3226"/>
        <v>0</v>
      </c>
      <c r="P642" s="200">
        <f t="shared" si="9"/>
        <v>0</v>
      </c>
      <c r="Q642" s="200">
        <f t="shared" ref="Q642:AC642" si="3227">countif($D642,"*"&amp;Q$2&amp;"*")</f>
        <v>0</v>
      </c>
      <c r="R642" s="200">
        <f t="shared" si="3227"/>
        <v>0</v>
      </c>
      <c r="S642" s="200">
        <f t="shared" si="3227"/>
        <v>0</v>
      </c>
      <c r="T642" s="200">
        <f t="shared" si="3227"/>
        <v>0</v>
      </c>
      <c r="U642" s="200">
        <f t="shared" si="3227"/>
        <v>0</v>
      </c>
      <c r="V642" s="200">
        <f t="shared" si="3227"/>
        <v>0</v>
      </c>
      <c r="W642" s="200">
        <f t="shared" si="3227"/>
        <v>0</v>
      </c>
      <c r="X642" s="200">
        <f t="shared" si="3227"/>
        <v>0</v>
      </c>
      <c r="Y642" s="200">
        <f t="shared" si="3227"/>
        <v>0</v>
      </c>
      <c r="Z642" s="200">
        <f t="shared" si="3227"/>
        <v>0</v>
      </c>
      <c r="AA642" s="200">
        <f t="shared" si="3227"/>
        <v>0</v>
      </c>
      <c r="AB642" s="200">
        <f t="shared" si="3227"/>
        <v>0</v>
      </c>
      <c r="AC642" s="200">
        <f t="shared" si="3227"/>
        <v>0</v>
      </c>
      <c r="AD642" s="200">
        <f t="shared" si="11"/>
        <v>1</v>
      </c>
      <c r="AE642" s="200">
        <f t="shared" ref="AE642:AG642" si="3228">countif($D642,"*"&amp;AE$2&amp;"*")</f>
        <v>0</v>
      </c>
      <c r="AF642" s="200">
        <f t="shared" si="3228"/>
        <v>0</v>
      </c>
      <c r="AG642" s="200">
        <f t="shared" si="3228"/>
        <v>0</v>
      </c>
      <c r="AH642" s="171">
        <f t="shared" si="13"/>
        <v>0</v>
      </c>
      <c r="AI642" s="200">
        <f t="shared" si="14"/>
        <v>0</v>
      </c>
      <c r="AJ642" s="200">
        <f>SUM(AK642:AQ642)</f>
        <v>0</v>
      </c>
      <c r="AK642" s="201">
        <f t="shared" ref="AK642:AS642" si="3229">countif($D642,"*"&amp;AK$2&amp;"*")</f>
        <v>0</v>
      </c>
      <c r="AL642" s="201">
        <f t="shared" si="3229"/>
        <v>0</v>
      </c>
      <c r="AM642" s="201">
        <f t="shared" si="3229"/>
        <v>0</v>
      </c>
      <c r="AN642" s="201">
        <f t="shared" si="3229"/>
        <v>0</v>
      </c>
      <c r="AO642" s="201">
        <f t="shared" si="3229"/>
        <v>0</v>
      </c>
      <c r="AP642" s="201">
        <f t="shared" si="3229"/>
        <v>0</v>
      </c>
      <c r="AQ642" s="201">
        <f t="shared" si="3229"/>
        <v>0</v>
      </c>
      <c r="AR642" s="201">
        <f t="shared" si="3229"/>
        <v>0</v>
      </c>
      <c r="AS642" s="200">
        <f t="shared" si="3229"/>
        <v>0</v>
      </c>
      <c r="AT642" s="205">
        <v>0.0</v>
      </c>
      <c r="AU642" s="200">
        <f t="shared" ref="AU642:AX642" si="3230">countif($D642,"*"&amp;AU$2&amp;"*")</f>
        <v>1</v>
      </c>
      <c r="AV642" s="200">
        <f t="shared" si="3230"/>
        <v>0</v>
      </c>
      <c r="AW642" s="200">
        <f t="shared" si="3230"/>
        <v>0</v>
      </c>
      <c r="AX642" s="200">
        <f t="shared" si="3230"/>
        <v>0</v>
      </c>
      <c r="AY642" s="202">
        <v>0.0</v>
      </c>
      <c r="AZ642" s="200"/>
      <c r="BA642" s="171" t="str">
        <f t="shared" si="18"/>
        <v/>
      </c>
      <c r="BB642" s="171" t="str">
        <f t="shared" si="19"/>
        <v/>
      </c>
      <c r="BC642" s="171" t="str">
        <f t="shared" si="20"/>
        <v/>
      </c>
      <c r="BD642" s="171" t="str">
        <f t="shared" si="21"/>
        <v>Institutional</v>
      </c>
      <c r="BE642" s="171" t="str">
        <f t="shared" si="22"/>
        <v/>
      </c>
      <c r="BF642" s="171" t="str">
        <f t="shared" si="23"/>
        <v>Institutional</v>
      </c>
    </row>
    <row r="643">
      <c r="A643" s="171">
        <f t="array" ref="A643">XLOOKUP(C643,ICSE!A:A,ICSE!C:C,,2,1)</f>
        <v>2018</v>
      </c>
      <c r="B643" s="171" t="s">
        <v>5675</v>
      </c>
      <c r="C643" s="160">
        <v>1215.0</v>
      </c>
      <c r="D643" s="161" t="s">
        <v>5949</v>
      </c>
      <c r="E643" s="197" t="str">
        <f t="array" ref="E643">XLOOKUP(C643,ICSE!A:A,ICSE!Z:Z,,0,1)</f>
        <v>Publicly available (2)</v>
      </c>
      <c r="F643" s="198" t="s">
        <v>20</v>
      </c>
      <c r="G643" s="163" t="str">
        <f t="array" ref="G643">IF(B643="ICSE",IF(COUNTIFS(B:B,B643,C:C,C643)=XLOOKUP(C643,ICSE!A:A,ICSE!AA:AA,"ERROR",0,1),"OK","ERROR"),IF(B643="FSE",IF(COUNTIFS(B:B,B643,C:C,C643)=XLOOKUP(C643,FSE!A:A,FSE!AA:AA,"ERROR",0,1),"OK","ERROR")))</f>
        <v>OK</v>
      </c>
      <c r="H643" s="199">
        <f t="shared" ref="H643:O643" si="3231">countif($D643,"*"&amp;H$2&amp;"*")</f>
        <v>0</v>
      </c>
      <c r="I643" s="200">
        <f t="shared" si="3231"/>
        <v>0</v>
      </c>
      <c r="J643" s="200">
        <f t="shared" si="3231"/>
        <v>0</v>
      </c>
      <c r="K643" s="200">
        <f t="shared" si="3231"/>
        <v>0</v>
      </c>
      <c r="L643" s="200">
        <f t="shared" si="3231"/>
        <v>0</v>
      </c>
      <c r="M643" s="200">
        <f t="shared" si="3231"/>
        <v>0</v>
      </c>
      <c r="N643" s="200">
        <f t="shared" si="3231"/>
        <v>0</v>
      </c>
      <c r="O643" s="200">
        <f t="shared" si="3231"/>
        <v>0</v>
      </c>
      <c r="P643" s="200">
        <f t="shared" si="9"/>
        <v>0</v>
      </c>
      <c r="Q643" s="200">
        <f t="shared" ref="Q643:AC643" si="3232">countif($D643,"*"&amp;Q$2&amp;"*")</f>
        <v>0</v>
      </c>
      <c r="R643" s="200">
        <f t="shared" si="3232"/>
        <v>0</v>
      </c>
      <c r="S643" s="200">
        <f t="shared" si="3232"/>
        <v>0</v>
      </c>
      <c r="T643" s="200">
        <f t="shared" si="3232"/>
        <v>0</v>
      </c>
      <c r="U643" s="200">
        <f t="shared" si="3232"/>
        <v>0</v>
      </c>
      <c r="V643" s="200">
        <f t="shared" si="3232"/>
        <v>0</v>
      </c>
      <c r="W643" s="200">
        <f t="shared" si="3232"/>
        <v>0</v>
      </c>
      <c r="X643" s="200">
        <f t="shared" si="3232"/>
        <v>0</v>
      </c>
      <c r="Y643" s="200">
        <f t="shared" si="3232"/>
        <v>0</v>
      </c>
      <c r="Z643" s="200">
        <f t="shared" si="3232"/>
        <v>1</v>
      </c>
      <c r="AA643" s="200">
        <f t="shared" si="3232"/>
        <v>0</v>
      </c>
      <c r="AB643" s="200">
        <f t="shared" si="3232"/>
        <v>0</v>
      </c>
      <c r="AC643" s="200">
        <f t="shared" si="3232"/>
        <v>0</v>
      </c>
      <c r="AD643" s="200">
        <f t="shared" si="11"/>
        <v>0</v>
      </c>
      <c r="AE643" s="200">
        <f t="shared" ref="AE643:AG643" si="3233">countif($D643,"*"&amp;AE$2&amp;"*")</f>
        <v>0</v>
      </c>
      <c r="AF643" s="200">
        <f t="shared" si="3233"/>
        <v>0</v>
      </c>
      <c r="AG643" s="200">
        <f t="shared" si="3233"/>
        <v>0</v>
      </c>
      <c r="AH643" s="171">
        <f t="shared" si="13"/>
        <v>0</v>
      </c>
      <c r="AI643" s="200">
        <f t="shared" si="14"/>
        <v>0</v>
      </c>
      <c r="AJ643" s="200">
        <f t="shared" ref="AJ643:AJ644" si="3239">SUM(AK643:AR643)</f>
        <v>1</v>
      </c>
      <c r="AK643" s="201">
        <f t="shared" ref="AK643:AS643" si="3234">countif($D643,"*"&amp;AK$2&amp;"*")</f>
        <v>0</v>
      </c>
      <c r="AL643" s="201">
        <f t="shared" si="3234"/>
        <v>1</v>
      </c>
      <c r="AM643" s="201">
        <f t="shared" si="3234"/>
        <v>0</v>
      </c>
      <c r="AN643" s="201">
        <f t="shared" si="3234"/>
        <v>0</v>
      </c>
      <c r="AO643" s="201">
        <f t="shared" si="3234"/>
        <v>0</v>
      </c>
      <c r="AP643" s="201">
        <f t="shared" si="3234"/>
        <v>0</v>
      </c>
      <c r="AQ643" s="201">
        <f t="shared" si="3234"/>
        <v>0</v>
      </c>
      <c r="AR643" s="200">
        <f t="shared" si="3234"/>
        <v>0</v>
      </c>
      <c r="AS643" s="200">
        <f t="shared" si="3234"/>
        <v>1</v>
      </c>
      <c r="AT643" s="173">
        <v>0.0</v>
      </c>
      <c r="AU643" s="200">
        <f t="shared" ref="AU643:AX643" si="3235">countif($D643,"*"&amp;AU$2&amp;"*")</f>
        <v>0</v>
      </c>
      <c r="AV643" s="200">
        <f t="shared" si="3235"/>
        <v>0</v>
      </c>
      <c r="AW643" s="200">
        <f t="shared" si="3235"/>
        <v>0</v>
      </c>
      <c r="AX643" s="200">
        <f t="shared" si="3235"/>
        <v>0</v>
      </c>
      <c r="AY643" s="202">
        <v>0.0</v>
      </c>
      <c r="AZ643" s="200"/>
      <c r="BA643" s="171" t="str">
        <f t="shared" si="18"/>
        <v/>
      </c>
      <c r="BB643" s="171" t="str">
        <f t="shared" si="19"/>
        <v/>
      </c>
      <c r="BC643" s="171" t="str">
        <f t="shared" si="20"/>
        <v>General-purpose</v>
      </c>
      <c r="BD643" s="171" t="str">
        <f t="shared" si="21"/>
        <v/>
      </c>
      <c r="BE643" s="171" t="str">
        <f t="shared" si="22"/>
        <v/>
      </c>
      <c r="BF643" s="171" t="str">
        <f t="shared" si="23"/>
        <v>General-purpose</v>
      </c>
    </row>
    <row r="644">
      <c r="A644" s="171">
        <f t="array" ref="A644">XLOOKUP(C644,ICSE!A:A,ICSE!C:C,,2,1)</f>
        <v>2018</v>
      </c>
      <c r="B644" s="171" t="s">
        <v>5675</v>
      </c>
      <c r="C644" s="160">
        <v>1215.0</v>
      </c>
      <c r="D644" s="161" t="s">
        <v>5950</v>
      </c>
      <c r="E644" s="197" t="str">
        <f t="array" ref="E644">XLOOKUP(C644,ICSE!A:A,ICSE!Z:Z,,0,1)</f>
        <v>Publicly available (2)</v>
      </c>
      <c r="F644" s="198" t="s">
        <v>20</v>
      </c>
      <c r="G644" s="163" t="str">
        <f t="array" ref="G644">IF(B644="ICSE",IF(COUNTIFS(B:B,B644,C:C,C644)=XLOOKUP(C644,ICSE!A:A,ICSE!AA:AA,"ERROR",0,1),"OK","ERROR"),IF(B644="FSE",IF(COUNTIFS(B:B,B644,C:C,C644)=XLOOKUP(C644,FSE!A:A,FSE!AA:AA,"ERROR",0,1),"OK","ERROR")))</f>
        <v>OK</v>
      </c>
      <c r="H644" s="199">
        <f t="shared" ref="H644:O644" si="3236">countif($D644,"*"&amp;H$2&amp;"*")</f>
        <v>0</v>
      </c>
      <c r="I644" s="200">
        <f t="shared" si="3236"/>
        <v>0</v>
      </c>
      <c r="J644" s="200">
        <f t="shared" si="3236"/>
        <v>0</v>
      </c>
      <c r="K644" s="200">
        <f t="shared" si="3236"/>
        <v>0</v>
      </c>
      <c r="L644" s="200">
        <f t="shared" si="3236"/>
        <v>0</v>
      </c>
      <c r="M644" s="200">
        <f t="shared" si="3236"/>
        <v>0</v>
      </c>
      <c r="N644" s="200">
        <f t="shared" si="3236"/>
        <v>0</v>
      </c>
      <c r="O644" s="200">
        <f t="shared" si="3236"/>
        <v>0</v>
      </c>
      <c r="P644" s="200">
        <f t="shared" si="9"/>
        <v>0</v>
      </c>
      <c r="Q644" s="200">
        <f t="shared" ref="Q644:AC644" si="3237">countif($D644,"*"&amp;Q$2&amp;"*")</f>
        <v>0</v>
      </c>
      <c r="R644" s="200">
        <f t="shared" si="3237"/>
        <v>0</v>
      </c>
      <c r="S644" s="200">
        <f t="shared" si="3237"/>
        <v>0</v>
      </c>
      <c r="T644" s="200">
        <f t="shared" si="3237"/>
        <v>0</v>
      </c>
      <c r="U644" s="200">
        <f t="shared" si="3237"/>
        <v>0</v>
      </c>
      <c r="V644" s="200">
        <f t="shared" si="3237"/>
        <v>1</v>
      </c>
      <c r="W644" s="200">
        <f t="shared" si="3237"/>
        <v>0</v>
      </c>
      <c r="X644" s="200">
        <f t="shared" si="3237"/>
        <v>0</v>
      </c>
      <c r="Y644" s="200">
        <f t="shared" si="3237"/>
        <v>0</v>
      </c>
      <c r="Z644" s="200">
        <f t="shared" si="3237"/>
        <v>0</v>
      </c>
      <c r="AA644" s="200">
        <f t="shared" si="3237"/>
        <v>0</v>
      </c>
      <c r="AB644" s="200">
        <f t="shared" si="3237"/>
        <v>0</v>
      </c>
      <c r="AC644" s="200">
        <f t="shared" si="3237"/>
        <v>0</v>
      </c>
      <c r="AD644" s="200">
        <f t="shared" si="11"/>
        <v>0</v>
      </c>
      <c r="AE644" s="200">
        <f t="shared" ref="AE644:AG644" si="3238">countif($D644,"*"&amp;AE$2&amp;"*")</f>
        <v>0</v>
      </c>
      <c r="AF644" s="200">
        <f t="shared" si="3238"/>
        <v>0</v>
      </c>
      <c r="AG644" s="200">
        <f t="shared" si="3238"/>
        <v>0</v>
      </c>
      <c r="AH644" s="171">
        <f t="shared" si="13"/>
        <v>0</v>
      </c>
      <c r="AI644" s="200">
        <f t="shared" si="14"/>
        <v>0</v>
      </c>
      <c r="AJ644" s="200">
        <f t="shared" si="3239"/>
        <v>1</v>
      </c>
      <c r="AK644" s="201">
        <f t="shared" ref="AK644:AS644" si="3240">countif($D644,"*"&amp;AK$2&amp;"*")</f>
        <v>0</v>
      </c>
      <c r="AL644" s="201">
        <f t="shared" si="3240"/>
        <v>1</v>
      </c>
      <c r="AM644" s="201">
        <f t="shared" si="3240"/>
        <v>0</v>
      </c>
      <c r="AN644" s="201">
        <f t="shared" si="3240"/>
        <v>0</v>
      </c>
      <c r="AO644" s="201">
        <f t="shared" si="3240"/>
        <v>0</v>
      </c>
      <c r="AP644" s="201">
        <f t="shared" si="3240"/>
        <v>0</v>
      </c>
      <c r="AQ644" s="201">
        <f t="shared" si="3240"/>
        <v>0</v>
      </c>
      <c r="AR644" s="200">
        <f t="shared" si="3240"/>
        <v>0</v>
      </c>
      <c r="AS644" s="200">
        <f t="shared" si="3240"/>
        <v>1</v>
      </c>
      <c r="AT644" s="173">
        <v>0.0</v>
      </c>
      <c r="AU644" s="200">
        <f t="shared" ref="AU644:AX644" si="3241">countif($D644,"*"&amp;AU$2&amp;"*")</f>
        <v>0</v>
      </c>
      <c r="AV644" s="200">
        <f t="shared" si="3241"/>
        <v>0</v>
      </c>
      <c r="AW644" s="200">
        <f t="shared" si="3241"/>
        <v>0</v>
      </c>
      <c r="AX644" s="200">
        <f t="shared" si="3241"/>
        <v>0</v>
      </c>
      <c r="AY644" s="202">
        <v>0.0</v>
      </c>
      <c r="AZ644" s="200"/>
      <c r="BA644" s="171" t="str">
        <f t="shared" si="18"/>
        <v/>
      </c>
      <c r="BB644" s="171" t="str">
        <f t="shared" si="19"/>
        <v/>
      </c>
      <c r="BC644" s="171" t="str">
        <f t="shared" si="20"/>
        <v>General-purpose</v>
      </c>
      <c r="BD644" s="171" t="str">
        <f t="shared" si="21"/>
        <v/>
      </c>
      <c r="BE644" s="171" t="str">
        <f t="shared" si="22"/>
        <v/>
      </c>
      <c r="BF644" s="171" t="str">
        <f t="shared" si="23"/>
        <v>General-purpose</v>
      </c>
    </row>
    <row r="645">
      <c r="A645" s="171">
        <f t="array" ref="A645">XLOOKUP(C645,ICSE!A:A,ICSE!C:C,,2,1)</f>
        <v>2018</v>
      </c>
      <c r="B645" s="171" t="s">
        <v>5675</v>
      </c>
      <c r="C645" s="160">
        <v>1216.0</v>
      </c>
      <c r="D645" s="161" t="s">
        <v>5951</v>
      </c>
      <c r="E645" s="197" t="str">
        <f t="array" ref="E645">XLOOKUP(C645,ICSE!A:A,ICSE!Z:Z,,0,1)</f>
        <v>Publicly available (1)</v>
      </c>
      <c r="F645" s="198" t="s">
        <v>20</v>
      </c>
      <c r="G645" s="163" t="str">
        <f t="array" ref="G645">IF(B645="ICSE",IF(COUNTIFS(B:B,B645,C:C,C645)=XLOOKUP(C645,ICSE!A:A,ICSE!AA:AA,"ERROR",0,1),"OK","ERROR"),IF(B645="FSE",IF(COUNTIFS(B:B,B645,C:C,C645)=XLOOKUP(C645,FSE!A:A,FSE!AA:AA,"ERROR",0,1),"OK","ERROR")))</f>
        <v>OK</v>
      </c>
      <c r="H645" s="199">
        <f t="shared" ref="H645:O645" si="3242">countif($D645,"*"&amp;H$2&amp;"*")</f>
        <v>0</v>
      </c>
      <c r="I645" s="200">
        <f t="shared" si="3242"/>
        <v>0</v>
      </c>
      <c r="J645" s="200">
        <f t="shared" si="3242"/>
        <v>0</v>
      </c>
      <c r="K645" s="200">
        <f t="shared" si="3242"/>
        <v>0</v>
      </c>
      <c r="L645" s="200">
        <f t="shared" si="3242"/>
        <v>0</v>
      </c>
      <c r="M645" s="200">
        <f t="shared" si="3242"/>
        <v>0</v>
      </c>
      <c r="N645" s="200">
        <f t="shared" si="3242"/>
        <v>0</v>
      </c>
      <c r="O645" s="200">
        <f t="shared" si="3242"/>
        <v>0</v>
      </c>
      <c r="P645" s="200">
        <f t="shared" si="9"/>
        <v>0</v>
      </c>
      <c r="Q645" s="200">
        <f t="shared" ref="Q645:AC645" si="3243">countif($D645,"*"&amp;Q$2&amp;"*")</f>
        <v>0</v>
      </c>
      <c r="R645" s="200">
        <f t="shared" si="3243"/>
        <v>0</v>
      </c>
      <c r="S645" s="200">
        <f t="shared" si="3243"/>
        <v>0</v>
      </c>
      <c r="T645" s="200">
        <f t="shared" si="3243"/>
        <v>0</v>
      </c>
      <c r="U645" s="200">
        <f t="shared" si="3243"/>
        <v>0</v>
      </c>
      <c r="V645" s="200">
        <f t="shared" si="3243"/>
        <v>0</v>
      </c>
      <c r="W645" s="200">
        <f t="shared" si="3243"/>
        <v>0</v>
      </c>
      <c r="X645" s="200">
        <f t="shared" si="3243"/>
        <v>0</v>
      </c>
      <c r="Y645" s="200">
        <f t="shared" si="3243"/>
        <v>0</v>
      </c>
      <c r="Z645" s="200">
        <f t="shared" si="3243"/>
        <v>0</v>
      </c>
      <c r="AA645" s="200">
        <f t="shared" si="3243"/>
        <v>0</v>
      </c>
      <c r="AB645" s="200">
        <f t="shared" si="3243"/>
        <v>0</v>
      </c>
      <c r="AC645" s="200">
        <f t="shared" si="3243"/>
        <v>0</v>
      </c>
      <c r="AD645" s="200">
        <f t="shared" si="11"/>
        <v>1</v>
      </c>
      <c r="AE645" s="200">
        <f t="shared" ref="AE645:AG645" si="3244">countif($D645,"*"&amp;AE$2&amp;"*")</f>
        <v>0</v>
      </c>
      <c r="AF645" s="200">
        <f t="shared" si="3244"/>
        <v>0</v>
      </c>
      <c r="AG645" s="200">
        <f t="shared" si="3244"/>
        <v>0</v>
      </c>
      <c r="AH645" s="171">
        <f t="shared" si="13"/>
        <v>0</v>
      </c>
      <c r="AI645" s="200">
        <f t="shared" si="14"/>
        <v>1</v>
      </c>
      <c r="AJ645" s="171">
        <v>0.0</v>
      </c>
      <c r="AK645" s="201">
        <f t="shared" ref="AK645:AS645" si="3245">countif($D645,"*"&amp;AK$2&amp;"*")</f>
        <v>0</v>
      </c>
      <c r="AL645" s="201">
        <f t="shared" si="3245"/>
        <v>1</v>
      </c>
      <c r="AM645" s="201">
        <f t="shared" si="3245"/>
        <v>0</v>
      </c>
      <c r="AN645" s="201">
        <f t="shared" si="3245"/>
        <v>0</v>
      </c>
      <c r="AO645" s="201">
        <f t="shared" si="3245"/>
        <v>0</v>
      </c>
      <c r="AP645" s="201">
        <f t="shared" si="3245"/>
        <v>0</v>
      </c>
      <c r="AQ645" s="201">
        <f t="shared" si="3245"/>
        <v>0</v>
      </c>
      <c r="AR645" s="201">
        <f t="shared" si="3245"/>
        <v>0</v>
      </c>
      <c r="AS645" s="200">
        <f t="shared" si="3245"/>
        <v>1</v>
      </c>
      <c r="AT645" s="205">
        <v>0.0</v>
      </c>
      <c r="AU645" s="200">
        <f t="shared" ref="AU645:AX645" si="3246">countif($D645,"*"&amp;AU$2&amp;"*")</f>
        <v>1</v>
      </c>
      <c r="AV645" s="200">
        <f t="shared" si="3246"/>
        <v>0</v>
      </c>
      <c r="AW645" s="200">
        <f t="shared" si="3246"/>
        <v>0</v>
      </c>
      <c r="AX645" s="200">
        <f t="shared" si="3246"/>
        <v>1</v>
      </c>
      <c r="AY645" s="202">
        <v>0.0</v>
      </c>
      <c r="AZ645" s="200"/>
      <c r="BA645" s="171" t="str">
        <f t="shared" si="18"/>
        <v/>
      </c>
      <c r="BB645" s="171" t="str">
        <f t="shared" si="19"/>
        <v/>
      </c>
      <c r="BC645" s="171" t="str">
        <f t="shared" si="20"/>
        <v/>
      </c>
      <c r="BD645" s="171" t="str">
        <f t="shared" si="21"/>
        <v>Institutional</v>
      </c>
      <c r="BE645" s="171" t="str">
        <f t="shared" si="22"/>
        <v/>
      </c>
      <c r="BF645" s="171" t="str">
        <f t="shared" si="23"/>
        <v>Institutional</v>
      </c>
    </row>
    <row r="646">
      <c r="A646" s="171">
        <f t="array" ref="A646">XLOOKUP(C646,ICSE!A:A,ICSE!C:C,,2,1)</f>
        <v>2018</v>
      </c>
      <c r="B646" s="171" t="s">
        <v>5675</v>
      </c>
      <c r="C646" s="160">
        <v>1217.0</v>
      </c>
      <c r="D646" s="161" t="s">
        <v>1121</v>
      </c>
      <c r="E646" s="197" t="str">
        <f t="array" ref="E646">XLOOKUP(C646,ICSE!A:A,ICSE!Z:Z,,0,1)</f>
        <v>Publicly available (1)</v>
      </c>
      <c r="F646" s="198" t="s">
        <v>20</v>
      </c>
      <c r="G646" s="163" t="str">
        <f t="array" ref="G646">IF(B646="ICSE",IF(COUNTIFS(B:B,B646,C:C,C646)=XLOOKUP(C646,ICSE!A:A,ICSE!AA:AA,"ERROR",0,1),"OK","ERROR"),IF(B646="FSE",IF(COUNTIFS(B:B,B646,C:C,C646)=XLOOKUP(C646,FSE!A:A,FSE!AA:AA,"ERROR",0,1),"OK","ERROR")))</f>
        <v>OK</v>
      </c>
      <c r="H646" s="199">
        <f t="shared" ref="H646:O646" si="3247">countif($D646,"*"&amp;H$2&amp;"*")</f>
        <v>0</v>
      </c>
      <c r="I646" s="200">
        <f t="shared" si="3247"/>
        <v>0</v>
      </c>
      <c r="J646" s="200">
        <f t="shared" si="3247"/>
        <v>0</v>
      </c>
      <c r="K646" s="200">
        <f t="shared" si="3247"/>
        <v>0</v>
      </c>
      <c r="L646" s="200">
        <f t="shared" si="3247"/>
        <v>0</v>
      </c>
      <c r="M646" s="200">
        <f t="shared" si="3247"/>
        <v>0</v>
      </c>
      <c r="N646" s="200">
        <f t="shared" si="3247"/>
        <v>0</v>
      </c>
      <c r="O646" s="200">
        <f t="shared" si="3247"/>
        <v>0</v>
      </c>
      <c r="P646" s="200">
        <f t="shared" si="9"/>
        <v>0</v>
      </c>
      <c r="Q646" s="200">
        <f t="shared" ref="Q646:AC646" si="3248">countif($D646,"*"&amp;Q$2&amp;"*")</f>
        <v>0</v>
      </c>
      <c r="R646" s="200">
        <f t="shared" si="3248"/>
        <v>0</v>
      </c>
      <c r="S646" s="200">
        <f t="shared" si="3248"/>
        <v>0</v>
      </c>
      <c r="T646" s="200">
        <f t="shared" si="3248"/>
        <v>0</v>
      </c>
      <c r="U646" s="200">
        <f t="shared" si="3248"/>
        <v>0</v>
      </c>
      <c r="V646" s="200">
        <f t="shared" si="3248"/>
        <v>0</v>
      </c>
      <c r="W646" s="200">
        <f t="shared" si="3248"/>
        <v>0</v>
      </c>
      <c r="X646" s="200">
        <f t="shared" si="3248"/>
        <v>0</v>
      </c>
      <c r="Y646" s="200">
        <f t="shared" si="3248"/>
        <v>0</v>
      </c>
      <c r="Z646" s="200">
        <f t="shared" si="3248"/>
        <v>0</v>
      </c>
      <c r="AA646" s="200">
        <f t="shared" si="3248"/>
        <v>1</v>
      </c>
      <c r="AB646" s="200">
        <f t="shared" si="3248"/>
        <v>0</v>
      </c>
      <c r="AC646" s="200">
        <f t="shared" si="3248"/>
        <v>0</v>
      </c>
      <c r="AD646" s="200">
        <f t="shared" si="11"/>
        <v>0</v>
      </c>
      <c r="AE646" s="200">
        <f t="shared" ref="AE646:AG646" si="3249">countif($D646,"*"&amp;AE$2&amp;"*")</f>
        <v>0</v>
      </c>
      <c r="AF646" s="200">
        <f t="shared" si="3249"/>
        <v>0</v>
      </c>
      <c r="AG646" s="200">
        <f t="shared" si="3249"/>
        <v>0</v>
      </c>
      <c r="AH646" s="171">
        <f t="shared" si="13"/>
        <v>0</v>
      </c>
      <c r="AI646" s="200">
        <f t="shared" si="14"/>
        <v>0</v>
      </c>
      <c r="AJ646" s="200">
        <f>SUM(AK646:AR646)</f>
        <v>0</v>
      </c>
      <c r="AK646" s="201">
        <f t="shared" ref="AK646:AS646" si="3250">countif($D646,"*"&amp;AK$2&amp;"*")</f>
        <v>0</v>
      </c>
      <c r="AL646" s="201">
        <f t="shared" si="3250"/>
        <v>0</v>
      </c>
      <c r="AM646" s="201">
        <f t="shared" si="3250"/>
        <v>0</v>
      </c>
      <c r="AN646" s="201">
        <f t="shared" si="3250"/>
        <v>0</v>
      </c>
      <c r="AO646" s="201">
        <f t="shared" si="3250"/>
        <v>0</v>
      </c>
      <c r="AP646" s="201">
        <f t="shared" si="3250"/>
        <v>0</v>
      </c>
      <c r="AQ646" s="201">
        <f t="shared" si="3250"/>
        <v>0</v>
      </c>
      <c r="AR646" s="200">
        <f t="shared" si="3250"/>
        <v>0</v>
      </c>
      <c r="AS646" s="200">
        <f t="shared" si="3250"/>
        <v>0</v>
      </c>
      <c r="AT646" s="173">
        <v>0.0</v>
      </c>
      <c r="AU646" s="200">
        <f t="shared" ref="AU646:AX646" si="3251">countif($D646,"*"&amp;AU$2&amp;"*")</f>
        <v>0</v>
      </c>
      <c r="AV646" s="200">
        <f t="shared" si="3251"/>
        <v>0</v>
      </c>
      <c r="AW646" s="200">
        <f t="shared" si="3251"/>
        <v>0</v>
      </c>
      <c r="AX646" s="200">
        <f t="shared" si="3251"/>
        <v>0</v>
      </c>
      <c r="AY646" s="202">
        <v>0.0</v>
      </c>
      <c r="AZ646" s="200"/>
      <c r="BA646" s="171" t="str">
        <f t="shared" si="18"/>
        <v/>
      </c>
      <c r="BB646" s="171" t="str">
        <f t="shared" si="19"/>
        <v/>
      </c>
      <c r="BC646" s="171" t="str">
        <f t="shared" si="20"/>
        <v>General-purpose</v>
      </c>
      <c r="BD646" s="171" t="str">
        <f t="shared" si="21"/>
        <v/>
      </c>
      <c r="BE646" s="171" t="str">
        <f t="shared" si="22"/>
        <v/>
      </c>
      <c r="BF646" s="171" t="str">
        <f t="shared" si="23"/>
        <v>General-purpose</v>
      </c>
    </row>
    <row r="647">
      <c r="A647" s="171">
        <f t="array" ref="A647">XLOOKUP(C647,ICSE!A:A,ICSE!C:C,,2,1)</f>
        <v>2018</v>
      </c>
      <c r="B647" s="171" t="s">
        <v>5675</v>
      </c>
      <c r="C647" s="160">
        <v>1225.0</v>
      </c>
      <c r="D647" s="161" t="s">
        <v>1127</v>
      </c>
      <c r="E647" s="197" t="str">
        <f t="array" ref="E647">XLOOKUP(C647,ICSE!A:A,ICSE!Z:Z,,0,1)</f>
        <v>Restrict access (1) - You don't have permission to access this resource,</v>
      </c>
      <c r="F647" s="198" t="s">
        <v>22</v>
      </c>
      <c r="G647" s="163" t="str">
        <f t="array" ref="G647">IF(B647="ICSE",IF(COUNTIFS(B:B,B647,C:C,C647)=XLOOKUP(C647,ICSE!A:A,ICSE!AA:AA,"ERROR",0,1),"OK","ERROR"),IF(B647="FSE",IF(COUNTIFS(B:B,B647,C:C,C647)=XLOOKUP(C647,FSE!A:A,FSE!AA:AA,"ERROR",0,1),"OK","ERROR")))</f>
        <v>OK</v>
      </c>
      <c r="H647" s="199">
        <f t="shared" ref="H647:O647" si="3252">countif($D647,"*"&amp;H$2&amp;"*")</f>
        <v>0</v>
      </c>
      <c r="I647" s="200">
        <f t="shared" si="3252"/>
        <v>0</v>
      </c>
      <c r="J647" s="200">
        <f t="shared" si="3252"/>
        <v>0</v>
      </c>
      <c r="K647" s="200">
        <f t="shared" si="3252"/>
        <v>0</v>
      </c>
      <c r="L647" s="200">
        <f t="shared" si="3252"/>
        <v>0</v>
      </c>
      <c r="M647" s="200">
        <f t="shared" si="3252"/>
        <v>0</v>
      </c>
      <c r="N647" s="200">
        <f t="shared" si="3252"/>
        <v>0</v>
      </c>
      <c r="O647" s="200">
        <f t="shared" si="3252"/>
        <v>0</v>
      </c>
      <c r="P647" s="200">
        <f t="shared" si="9"/>
        <v>0</v>
      </c>
      <c r="Q647" s="200">
        <f t="shared" ref="Q647:AC647" si="3253">countif($D647,"*"&amp;Q$2&amp;"*")</f>
        <v>0</v>
      </c>
      <c r="R647" s="200">
        <f t="shared" si="3253"/>
        <v>0</v>
      </c>
      <c r="S647" s="200">
        <f t="shared" si="3253"/>
        <v>0</v>
      </c>
      <c r="T647" s="200">
        <f t="shared" si="3253"/>
        <v>0</v>
      </c>
      <c r="U647" s="200">
        <f t="shared" si="3253"/>
        <v>0</v>
      </c>
      <c r="V647" s="200">
        <f t="shared" si="3253"/>
        <v>0</v>
      </c>
      <c r="W647" s="200">
        <f t="shared" si="3253"/>
        <v>0</v>
      </c>
      <c r="X647" s="200">
        <f t="shared" si="3253"/>
        <v>0</v>
      </c>
      <c r="Y647" s="200">
        <f t="shared" si="3253"/>
        <v>0</v>
      </c>
      <c r="Z647" s="200">
        <f t="shared" si="3253"/>
        <v>0</v>
      </c>
      <c r="AA647" s="200">
        <f t="shared" si="3253"/>
        <v>0</v>
      </c>
      <c r="AB647" s="200">
        <f t="shared" si="3253"/>
        <v>0</v>
      </c>
      <c r="AC647" s="200">
        <f t="shared" si="3253"/>
        <v>0</v>
      </c>
      <c r="AD647" s="200">
        <f t="shared" si="11"/>
        <v>1</v>
      </c>
      <c r="AE647" s="200">
        <f t="shared" ref="AE647:AG647" si="3254">countif($D647,"*"&amp;AE$2&amp;"*")</f>
        <v>0</v>
      </c>
      <c r="AF647" s="200">
        <f t="shared" si="3254"/>
        <v>0</v>
      </c>
      <c r="AG647" s="200">
        <f t="shared" si="3254"/>
        <v>0</v>
      </c>
      <c r="AH647" s="171">
        <f t="shared" si="13"/>
        <v>0</v>
      </c>
      <c r="AI647" s="200">
        <f t="shared" si="14"/>
        <v>0</v>
      </c>
      <c r="AJ647" s="200">
        <f>SUM(AK647:AQ647)</f>
        <v>0</v>
      </c>
      <c r="AK647" s="201">
        <f t="shared" ref="AK647:AS647" si="3255">countif($D647,"*"&amp;AK$2&amp;"*")</f>
        <v>0</v>
      </c>
      <c r="AL647" s="201">
        <f t="shared" si="3255"/>
        <v>0</v>
      </c>
      <c r="AM647" s="201">
        <f t="shared" si="3255"/>
        <v>0</v>
      </c>
      <c r="AN647" s="201">
        <f t="shared" si="3255"/>
        <v>0</v>
      </c>
      <c r="AO647" s="201">
        <f t="shared" si="3255"/>
        <v>0</v>
      </c>
      <c r="AP647" s="201">
        <f t="shared" si="3255"/>
        <v>0</v>
      </c>
      <c r="AQ647" s="201">
        <f t="shared" si="3255"/>
        <v>0</v>
      </c>
      <c r="AR647" s="201">
        <f t="shared" si="3255"/>
        <v>0</v>
      </c>
      <c r="AS647" s="200">
        <f t="shared" si="3255"/>
        <v>0</v>
      </c>
      <c r="AT647" s="205">
        <v>0.0</v>
      </c>
      <c r="AU647" s="200">
        <f t="shared" ref="AU647:AX647" si="3256">countif($D647,"*"&amp;AU$2&amp;"*")</f>
        <v>1</v>
      </c>
      <c r="AV647" s="200">
        <f t="shared" si="3256"/>
        <v>0</v>
      </c>
      <c r="AW647" s="200">
        <f t="shared" si="3256"/>
        <v>0</v>
      </c>
      <c r="AX647" s="200">
        <f t="shared" si="3256"/>
        <v>0</v>
      </c>
      <c r="AY647" s="202">
        <v>0.0</v>
      </c>
      <c r="AZ647" s="200"/>
      <c r="BA647" s="171" t="str">
        <f t="shared" si="18"/>
        <v/>
      </c>
      <c r="BB647" s="171" t="str">
        <f t="shared" si="19"/>
        <v/>
      </c>
      <c r="BC647" s="171" t="str">
        <f t="shared" si="20"/>
        <v/>
      </c>
      <c r="BD647" s="171" t="str">
        <f t="shared" si="21"/>
        <v>Institutional</v>
      </c>
      <c r="BE647" s="171" t="str">
        <f t="shared" si="22"/>
        <v/>
      </c>
      <c r="BF647" s="171" t="str">
        <f t="shared" si="23"/>
        <v>Institutional</v>
      </c>
    </row>
    <row r="648">
      <c r="A648" s="171">
        <f t="array" ref="A648">XLOOKUP(C648,ICSE!A:A,ICSE!C:C,,2,1)</f>
        <v>2018</v>
      </c>
      <c r="B648" s="171" t="s">
        <v>5675</v>
      </c>
      <c r="C648" s="160">
        <v>1227.0</v>
      </c>
      <c r="D648" s="161" t="s">
        <v>1132</v>
      </c>
      <c r="E648" s="197" t="str">
        <f t="array" ref="E648">XLOOKUP(C648,ICSE!A:A,ICSE!Z:Z,,0,1)</f>
        <v>Publicly available (1)</v>
      </c>
      <c r="F648" s="198" t="s">
        <v>20</v>
      </c>
      <c r="G648" s="163" t="str">
        <f t="array" ref="G648">IF(B648="ICSE",IF(COUNTIFS(B:B,B648,C:C,C648)=XLOOKUP(C648,ICSE!A:A,ICSE!AA:AA,"ERROR",0,1),"OK","ERROR"),IF(B648="FSE",IF(COUNTIFS(B:B,B648,C:C,C648)=XLOOKUP(C648,FSE!A:A,FSE!AA:AA,"ERROR",0,1),"OK","ERROR")))</f>
        <v>OK</v>
      </c>
      <c r="H648" s="199">
        <f t="shared" ref="H648:O648" si="3257">countif($D648,"*"&amp;H$2&amp;"*")</f>
        <v>0</v>
      </c>
      <c r="I648" s="200">
        <f t="shared" si="3257"/>
        <v>0</v>
      </c>
      <c r="J648" s="200">
        <f t="shared" si="3257"/>
        <v>0</v>
      </c>
      <c r="K648" s="200">
        <f t="shared" si="3257"/>
        <v>0</v>
      </c>
      <c r="L648" s="200">
        <f t="shared" si="3257"/>
        <v>0</v>
      </c>
      <c r="M648" s="200">
        <f t="shared" si="3257"/>
        <v>0</v>
      </c>
      <c r="N648" s="200">
        <f t="shared" si="3257"/>
        <v>0</v>
      </c>
      <c r="O648" s="200">
        <f t="shared" si="3257"/>
        <v>0</v>
      </c>
      <c r="P648" s="200">
        <f t="shared" si="9"/>
        <v>1</v>
      </c>
      <c r="Q648" s="200">
        <f t="shared" ref="Q648:AC648" si="3258">countif($D648,"*"&amp;Q$2&amp;"*")</f>
        <v>0</v>
      </c>
      <c r="R648" s="200">
        <f t="shared" si="3258"/>
        <v>0</v>
      </c>
      <c r="S648" s="200">
        <f t="shared" si="3258"/>
        <v>0</v>
      </c>
      <c r="T648" s="200">
        <f t="shared" si="3258"/>
        <v>0</v>
      </c>
      <c r="U648" s="200">
        <f t="shared" si="3258"/>
        <v>0</v>
      </c>
      <c r="V648" s="200">
        <f t="shared" si="3258"/>
        <v>0</v>
      </c>
      <c r="W648" s="200">
        <f t="shared" si="3258"/>
        <v>0</v>
      </c>
      <c r="X648" s="200">
        <f t="shared" si="3258"/>
        <v>0</v>
      </c>
      <c r="Y648" s="200">
        <f t="shared" si="3258"/>
        <v>0</v>
      </c>
      <c r="Z648" s="200">
        <f t="shared" si="3258"/>
        <v>0</v>
      </c>
      <c r="AA648" s="200">
        <f t="shared" si="3258"/>
        <v>0</v>
      </c>
      <c r="AB648" s="200">
        <f t="shared" si="3258"/>
        <v>0</v>
      </c>
      <c r="AC648" s="200">
        <f t="shared" si="3258"/>
        <v>0</v>
      </c>
      <c r="AD648" s="200">
        <f t="shared" si="11"/>
        <v>0</v>
      </c>
      <c r="AE648" s="200">
        <f t="shared" ref="AE648:AG648" si="3259">countif($D648,"*"&amp;AE$2&amp;"*")</f>
        <v>0</v>
      </c>
      <c r="AF648" s="200">
        <f t="shared" si="3259"/>
        <v>0</v>
      </c>
      <c r="AG648" s="200">
        <f t="shared" si="3259"/>
        <v>0</v>
      </c>
      <c r="AH648" s="171">
        <f t="shared" si="13"/>
        <v>0</v>
      </c>
      <c r="AI648" s="200">
        <f t="shared" si="14"/>
        <v>0</v>
      </c>
      <c r="AJ648" s="200">
        <f t="shared" ref="AJ648:AJ658" si="3265">SUM(AK648:AR648)</f>
        <v>0</v>
      </c>
      <c r="AK648" s="201">
        <f t="shared" ref="AK648:AS648" si="3260">countif($D648,"*"&amp;AK$2&amp;"*")</f>
        <v>0</v>
      </c>
      <c r="AL648" s="201">
        <f t="shared" si="3260"/>
        <v>0</v>
      </c>
      <c r="AM648" s="201">
        <f t="shared" si="3260"/>
        <v>0</v>
      </c>
      <c r="AN648" s="201">
        <f t="shared" si="3260"/>
        <v>0</v>
      </c>
      <c r="AO648" s="201">
        <f t="shared" si="3260"/>
        <v>0</v>
      </c>
      <c r="AP648" s="201">
        <f t="shared" si="3260"/>
        <v>0</v>
      </c>
      <c r="AQ648" s="201">
        <f t="shared" si="3260"/>
        <v>0</v>
      </c>
      <c r="AR648" s="200">
        <f t="shared" si="3260"/>
        <v>0</v>
      </c>
      <c r="AS648" s="200">
        <f t="shared" si="3260"/>
        <v>0</v>
      </c>
      <c r="AT648" s="173">
        <v>0.0</v>
      </c>
      <c r="AU648" s="200">
        <f t="shared" ref="AU648:AX648" si="3261">countif($D648,"*"&amp;AU$2&amp;"*")</f>
        <v>0</v>
      </c>
      <c r="AV648" s="200">
        <f t="shared" si="3261"/>
        <v>1</v>
      </c>
      <c r="AW648" s="200">
        <f t="shared" si="3261"/>
        <v>0</v>
      </c>
      <c r="AX648" s="200">
        <f t="shared" si="3261"/>
        <v>0</v>
      </c>
      <c r="AY648" s="202">
        <v>0.0</v>
      </c>
      <c r="AZ648" s="200"/>
      <c r="BA648" s="171" t="str">
        <f t="shared" si="18"/>
        <v/>
      </c>
      <c r="BB648" s="171" t="str">
        <f t="shared" si="19"/>
        <v>Code</v>
      </c>
      <c r="BC648" s="171" t="str">
        <f t="shared" si="20"/>
        <v/>
      </c>
      <c r="BD648" s="171" t="str">
        <f t="shared" si="21"/>
        <v/>
      </c>
      <c r="BE648" s="171" t="str">
        <f t="shared" si="22"/>
        <v/>
      </c>
      <c r="BF648" s="171" t="str">
        <f t="shared" si="23"/>
        <v>Code</v>
      </c>
    </row>
    <row r="649">
      <c r="A649" s="171">
        <f t="array" ref="A649">XLOOKUP(C649,ICSE!A:A,ICSE!C:C,,2,1)</f>
        <v>2018</v>
      </c>
      <c r="B649" s="171" t="s">
        <v>5675</v>
      </c>
      <c r="C649" s="160">
        <v>1228.0</v>
      </c>
      <c r="D649" s="161" t="s">
        <v>5952</v>
      </c>
      <c r="E649" s="197" t="str">
        <f t="array" ref="E649">XLOOKUP(C649,ICSE!A:A,ICSE!Z:Z,,0,1)</f>
        <v>Publicly available (1)</v>
      </c>
      <c r="F649" s="198" t="s">
        <v>20</v>
      </c>
      <c r="G649" s="163" t="str">
        <f t="array" ref="G649">IF(B649="ICSE",IF(COUNTIFS(B:B,B649,C:C,C649)=XLOOKUP(C649,ICSE!A:A,ICSE!AA:AA,"ERROR",0,1),"OK","ERROR"),IF(B649="FSE",IF(COUNTIFS(B:B,B649,C:C,C649)=XLOOKUP(C649,FSE!A:A,FSE!AA:AA,"ERROR",0,1),"OK","ERROR")))</f>
        <v>OK</v>
      </c>
      <c r="H649" s="199">
        <f t="shared" ref="H649:O649" si="3262">countif($D649,"*"&amp;H$2&amp;"*")</f>
        <v>0</v>
      </c>
      <c r="I649" s="200">
        <f t="shared" si="3262"/>
        <v>0</v>
      </c>
      <c r="J649" s="200">
        <f t="shared" si="3262"/>
        <v>0</v>
      </c>
      <c r="K649" s="200">
        <f t="shared" si="3262"/>
        <v>0</v>
      </c>
      <c r="L649" s="200">
        <f t="shared" si="3262"/>
        <v>0</v>
      </c>
      <c r="M649" s="200">
        <f t="shared" si="3262"/>
        <v>0</v>
      </c>
      <c r="N649" s="200">
        <f t="shared" si="3262"/>
        <v>0</v>
      </c>
      <c r="O649" s="200">
        <f t="shared" si="3262"/>
        <v>0</v>
      </c>
      <c r="P649" s="200">
        <f t="shared" si="9"/>
        <v>0</v>
      </c>
      <c r="Q649" s="200">
        <f t="shared" ref="Q649:AC649" si="3263">countif($D649,"*"&amp;Q$2&amp;"*")</f>
        <v>0</v>
      </c>
      <c r="R649" s="200">
        <f t="shared" si="3263"/>
        <v>0</v>
      </c>
      <c r="S649" s="200">
        <f t="shared" si="3263"/>
        <v>0</v>
      </c>
      <c r="T649" s="200">
        <f t="shared" si="3263"/>
        <v>0</v>
      </c>
      <c r="U649" s="200">
        <f t="shared" si="3263"/>
        <v>0</v>
      </c>
      <c r="V649" s="200">
        <f t="shared" si="3263"/>
        <v>0</v>
      </c>
      <c r="W649" s="200">
        <f t="shared" si="3263"/>
        <v>0</v>
      </c>
      <c r="X649" s="200">
        <f t="shared" si="3263"/>
        <v>0</v>
      </c>
      <c r="Y649" s="200">
        <f t="shared" si="3263"/>
        <v>0</v>
      </c>
      <c r="Z649" s="200">
        <f t="shared" si="3263"/>
        <v>1</v>
      </c>
      <c r="AA649" s="200">
        <f t="shared" si="3263"/>
        <v>0</v>
      </c>
      <c r="AB649" s="200">
        <f t="shared" si="3263"/>
        <v>0</v>
      </c>
      <c r="AC649" s="200">
        <f t="shared" si="3263"/>
        <v>0</v>
      </c>
      <c r="AD649" s="200">
        <f t="shared" si="11"/>
        <v>0</v>
      </c>
      <c r="AE649" s="200">
        <f t="shared" ref="AE649:AG649" si="3264">countif($D649,"*"&amp;AE$2&amp;"*")</f>
        <v>0</v>
      </c>
      <c r="AF649" s="200">
        <f t="shared" si="3264"/>
        <v>0</v>
      </c>
      <c r="AG649" s="200">
        <f t="shared" si="3264"/>
        <v>0</v>
      </c>
      <c r="AH649" s="171">
        <f t="shared" si="13"/>
        <v>0</v>
      </c>
      <c r="AI649" s="200">
        <f t="shared" si="14"/>
        <v>0</v>
      </c>
      <c r="AJ649" s="200">
        <f t="shared" si="3265"/>
        <v>1</v>
      </c>
      <c r="AK649" s="201">
        <f t="shared" ref="AK649:AS649" si="3266">countif($D649,"*"&amp;AK$2&amp;"*")</f>
        <v>0</v>
      </c>
      <c r="AL649" s="201">
        <f t="shared" si="3266"/>
        <v>1</v>
      </c>
      <c r="AM649" s="201">
        <f t="shared" si="3266"/>
        <v>0</v>
      </c>
      <c r="AN649" s="201">
        <f t="shared" si="3266"/>
        <v>0</v>
      </c>
      <c r="AO649" s="201">
        <f t="shared" si="3266"/>
        <v>0</v>
      </c>
      <c r="AP649" s="201">
        <f t="shared" si="3266"/>
        <v>0</v>
      </c>
      <c r="AQ649" s="201">
        <f t="shared" si="3266"/>
        <v>0</v>
      </c>
      <c r="AR649" s="200">
        <f t="shared" si="3266"/>
        <v>0</v>
      </c>
      <c r="AS649" s="200">
        <f t="shared" si="3266"/>
        <v>1</v>
      </c>
      <c r="AT649" s="173">
        <v>0.0</v>
      </c>
      <c r="AU649" s="200">
        <f t="shared" ref="AU649:AX649" si="3267">countif($D649,"*"&amp;AU$2&amp;"*")</f>
        <v>0</v>
      </c>
      <c r="AV649" s="200">
        <f t="shared" si="3267"/>
        <v>0</v>
      </c>
      <c r="AW649" s="200">
        <f t="shared" si="3267"/>
        <v>0</v>
      </c>
      <c r="AX649" s="200">
        <f t="shared" si="3267"/>
        <v>0</v>
      </c>
      <c r="AY649" s="202">
        <v>0.0</v>
      </c>
      <c r="AZ649" s="200"/>
      <c r="BA649" s="171" t="str">
        <f t="shared" si="18"/>
        <v/>
      </c>
      <c r="BB649" s="171" t="str">
        <f t="shared" si="19"/>
        <v/>
      </c>
      <c r="BC649" s="171" t="str">
        <f t="shared" si="20"/>
        <v>General-purpose</v>
      </c>
      <c r="BD649" s="171" t="str">
        <f t="shared" si="21"/>
        <v/>
      </c>
      <c r="BE649" s="171" t="str">
        <f t="shared" si="22"/>
        <v/>
      </c>
      <c r="BF649" s="171" t="str">
        <f t="shared" si="23"/>
        <v>General-purpose</v>
      </c>
    </row>
    <row r="650">
      <c r="A650" s="171">
        <f t="array" ref="A650">XLOOKUP(C650,ICSE!A:A,ICSE!C:C,,2,1)</f>
        <v>2018</v>
      </c>
      <c r="B650" s="171" t="s">
        <v>5675</v>
      </c>
      <c r="C650" s="160">
        <v>1229.0</v>
      </c>
      <c r="D650" s="161" t="s">
        <v>1139</v>
      </c>
      <c r="E650" s="197" t="str">
        <f t="array" ref="E650">XLOOKUP(C650,ICSE!A:A,ICSE!Z:Z,,0,1)</f>
        <v>Publicly available (1)</v>
      </c>
      <c r="F650" s="198" t="s">
        <v>20</v>
      </c>
      <c r="G650" s="163" t="str">
        <f t="array" ref="G650">IF(B650="ICSE",IF(COUNTIFS(B:B,B650,C:C,C650)=XLOOKUP(C650,ICSE!A:A,ICSE!AA:AA,"ERROR",0,1),"OK","ERROR"),IF(B650="FSE",IF(COUNTIFS(B:B,B650,C:C,C650)=XLOOKUP(C650,FSE!A:A,FSE!AA:AA,"ERROR",0,1),"OK","ERROR")))</f>
        <v>OK</v>
      </c>
      <c r="H650" s="199">
        <f t="shared" ref="H650:O650" si="3268">countif($D650,"*"&amp;H$2&amp;"*")</f>
        <v>0</v>
      </c>
      <c r="I650" s="200">
        <f t="shared" si="3268"/>
        <v>0</v>
      </c>
      <c r="J650" s="200">
        <f t="shared" si="3268"/>
        <v>0</v>
      </c>
      <c r="K650" s="200">
        <f t="shared" si="3268"/>
        <v>0</v>
      </c>
      <c r="L650" s="200">
        <f t="shared" si="3268"/>
        <v>0</v>
      </c>
      <c r="M650" s="200">
        <f t="shared" si="3268"/>
        <v>0</v>
      </c>
      <c r="N650" s="200">
        <f t="shared" si="3268"/>
        <v>0</v>
      </c>
      <c r="O650" s="200">
        <f t="shared" si="3268"/>
        <v>0</v>
      </c>
      <c r="P650" s="200">
        <f t="shared" si="9"/>
        <v>1</v>
      </c>
      <c r="Q650" s="200">
        <f t="shared" ref="Q650:AC650" si="3269">countif($D650,"*"&amp;Q$2&amp;"*")</f>
        <v>0</v>
      </c>
      <c r="R650" s="200">
        <f t="shared" si="3269"/>
        <v>0</v>
      </c>
      <c r="S650" s="200">
        <f t="shared" si="3269"/>
        <v>0</v>
      </c>
      <c r="T650" s="200">
        <f t="shared" si="3269"/>
        <v>0</v>
      </c>
      <c r="U650" s="200">
        <f t="shared" si="3269"/>
        <v>0</v>
      </c>
      <c r="V650" s="200">
        <f t="shared" si="3269"/>
        <v>0</v>
      </c>
      <c r="W650" s="200">
        <f t="shared" si="3269"/>
        <v>0</v>
      </c>
      <c r="X650" s="200">
        <f t="shared" si="3269"/>
        <v>0</v>
      </c>
      <c r="Y650" s="200">
        <f t="shared" si="3269"/>
        <v>0</v>
      </c>
      <c r="Z650" s="200">
        <f t="shared" si="3269"/>
        <v>0</v>
      </c>
      <c r="AA650" s="200">
        <f t="shared" si="3269"/>
        <v>0</v>
      </c>
      <c r="AB650" s="200">
        <f t="shared" si="3269"/>
        <v>0</v>
      </c>
      <c r="AC650" s="200">
        <f t="shared" si="3269"/>
        <v>0</v>
      </c>
      <c r="AD650" s="200">
        <f t="shared" si="11"/>
        <v>0</v>
      </c>
      <c r="AE650" s="200">
        <f t="shared" ref="AE650:AG650" si="3270">countif($D650,"*"&amp;AE$2&amp;"*")</f>
        <v>0</v>
      </c>
      <c r="AF650" s="200">
        <f t="shared" si="3270"/>
        <v>0</v>
      </c>
      <c r="AG650" s="200">
        <f t="shared" si="3270"/>
        <v>0</v>
      </c>
      <c r="AH650" s="171">
        <f t="shared" si="13"/>
        <v>0</v>
      </c>
      <c r="AI650" s="200">
        <f t="shared" si="14"/>
        <v>0</v>
      </c>
      <c r="AJ650" s="200">
        <f t="shared" si="3265"/>
        <v>0</v>
      </c>
      <c r="AK650" s="201">
        <f t="shared" ref="AK650:AS650" si="3271">countif($D650,"*"&amp;AK$2&amp;"*")</f>
        <v>0</v>
      </c>
      <c r="AL650" s="201">
        <f t="shared" si="3271"/>
        <v>0</v>
      </c>
      <c r="AM650" s="201">
        <f t="shared" si="3271"/>
        <v>0</v>
      </c>
      <c r="AN650" s="201">
        <f t="shared" si="3271"/>
        <v>0</v>
      </c>
      <c r="AO650" s="201">
        <f t="shared" si="3271"/>
        <v>0</v>
      </c>
      <c r="AP650" s="201">
        <f t="shared" si="3271"/>
        <v>0</v>
      </c>
      <c r="AQ650" s="201">
        <f t="shared" si="3271"/>
        <v>0</v>
      </c>
      <c r="AR650" s="200">
        <f t="shared" si="3271"/>
        <v>0</v>
      </c>
      <c r="AS650" s="200">
        <f t="shared" si="3271"/>
        <v>0</v>
      </c>
      <c r="AT650" s="173">
        <v>0.0</v>
      </c>
      <c r="AU650" s="200">
        <f t="shared" ref="AU650:AX650" si="3272">countif($D650,"*"&amp;AU$2&amp;"*")</f>
        <v>0</v>
      </c>
      <c r="AV650" s="200">
        <f t="shared" si="3272"/>
        <v>1</v>
      </c>
      <c r="AW650" s="200">
        <f t="shared" si="3272"/>
        <v>0</v>
      </c>
      <c r="AX650" s="200">
        <f t="shared" si="3272"/>
        <v>0</v>
      </c>
      <c r="AY650" s="202">
        <v>0.0</v>
      </c>
      <c r="AZ650" s="200"/>
      <c r="BA650" s="171" t="str">
        <f t="shared" si="18"/>
        <v/>
      </c>
      <c r="BB650" s="171" t="str">
        <f t="shared" si="19"/>
        <v>Code</v>
      </c>
      <c r="BC650" s="171" t="str">
        <f t="shared" si="20"/>
        <v/>
      </c>
      <c r="BD650" s="171" t="str">
        <f t="shared" si="21"/>
        <v/>
      </c>
      <c r="BE650" s="171" t="str">
        <f t="shared" si="22"/>
        <v/>
      </c>
      <c r="BF650" s="171" t="str">
        <f t="shared" si="23"/>
        <v>Code</v>
      </c>
    </row>
    <row r="651">
      <c r="A651" s="171">
        <f t="array" ref="A651">XLOOKUP(C651,ICSE!A:A,ICSE!C:C,,2,1)</f>
        <v>2018</v>
      </c>
      <c r="B651" s="171" t="s">
        <v>5675</v>
      </c>
      <c r="C651" s="160">
        <v>1231.0</v>
      </c>
      <c r="D651" s="161" t="s">
        <v>1142</v>
      </c>
      <c r="E651" s="197" t="str">
        <f t="array" ref="E651">XLOOKUP(C651,ICSE!A:A,ICSE!Z:Z,,0,1)</f>
        <v>Not available (1) - Broken link.</v>
      </c>
      <c r="F651" s="198" t="s">
        <v>21</v>
      </c>
      <c r="G651" s="163" t="str">
        <f t="array" ref="G651">IF(B651="ICSE",IF(COUNTIFS(B:B,B651,C:C,C651)=XLOOKUP(C651,ICSE!A:A,ICSE!AA:AA,"ERROR",0,1),"OK","ERROR"),IF(B651="FSE",IF(COUNTIFS(B:B,B651,C:C,C651)=XLOOKUP(C651,FSE!A:A,FSE!AA:AA,"ERROR",0,1),"OK","ERROR")))</f>
        <v>OK</v>
      </c>
      <c r="H651" s="199">
        <f t="shared" ref="H651:O651" si="3273">countif($D651,"*"&amp;H$2&amp;"*")</f>
        <v>0</v>
      </c>
      <c r="I651" s="200">
        <f t="shared" si="3273"/>
        <v>0</v>
      </c>
      <c r="J651" s="200">
        <f t="shared" si="3273"/>
        <v>0</v>
      </c>
      <c r="K651" s="200">
        <f t="shared" si="3273"/>
        <v>0</v>
      </c>
      <c r="L651" s="200">
        <f t="shared" si="3273"/>
        <v>0</v>
      </c>
      <c r="M651" s="200">
        <f t="shared" si="3273"/>
        <v>0</v>
      </c>
      <c r="N651" s="200">
        <f t="shared" si="3273"/>
        <v>0</v>
      </c>
      <c r="O651" s="200">
        <f t="shared" si="3273"/>
        <v>0</v>
      </c>
      <c r="P651" s="200">
        <f t="shared" si="9"/>
        <v>1</v>
      </c>
      <c r="Q651" s="200">
        <f t="shared" ref="Q651:AC651" si="3274">countif($D651,"*"&amp;Q$2&amp;"*")</f>
        <v>0</v>
      </c>
      <c r="R651" s="200">
        <f t="shared" si="3274"/>
        <v>0</v>
      </c>
      <c r="S651" s="200">
        <f t="shared" si="3274"/>
        <v>0</v>
      </c>
      <c r="T651" s="200">
        <f t="shared" si="3274"/>
        <v>0</v>
      </c>
      <c r="U651" s="200">
        <f t="shared" si="3274"/>
        <v>0</v>
      </c>
      <c r="V651" s="200">
        <f t="shared" si="3274"/>
        <v>0</v>
      </c>
      <c r="W651" s="200">
        <f t="shared" si="3274"/>
        <v>0</v>
      </c>
      <c r="X651" s="200">
        <f t="shared" si="3274"/>
        <v>0</v>
      </c>
      <c r="Y651" s="200">
        <f t="shared" si="3274"/>
        <v>0</v>
      </c>
      <c r="Z651" s="200">
        <f t="shared" si="3274"/>
        <v>0</v>
      </c>
      <c r="AA651" s="200">
        <f t="shared" si="3274"/>
        <v>0</v>
      </c>
      <c r="AB651" s="200">
        <f t="shared" si="3274"/>
        <v>0</v>
      </c>
      <c r="AC651" s="200">
        <f t="shared" si="3274"/>
        <v>0</v>
      </c>
      <c r="AD651" s="200">
        <f t="shared" si="11"/>
        <v>0</v>
      </c>
      <c r="AE651" s="200">
        <f t="shared" ref="AE651:AG651" si="3275">countif($D651,"*"&amp;AE$2&amp;"*")</f>
        <v>0</v>
      </c>
      <c r="AF651" s="200">
        <f t="shared" si="3275"/>
        <v>0</v>
      </c>
      <c r="AG651" s="200">
        <f t="shared" si="3275"/>
        <v>0</v>
      </c>
      <c r="AH651" s="171">
        <f t="shared" si="13"/>
        <v>0</v>
      </c>
      <c r="AI651" s="200">
        <f t="shared" si="14"/>
        <v>0</v>
      </c>
      <c r="AJ651" s="200">
        <f t="shared" si="3265"/>
        <v>0</v>
      </c>
      <c r="AK651" s="201">
        <f t="shared" ref="AK651:AS651" si="3276">countif($D651,"*"&amp;AK$2&amp;"*")</f>
        <v>0</v>
      </c>
      <c r="AL651" s="201">
        <f t="shared" si="3276"/>
        <v>0</v>
      </c>
      <c r="AM651" s="201">
        <f t="shared" si="3276"/>
        <v>0</v>
      </c>
      <c r="AN651" s="201">
        <f t="shared" si="3276"/>
        <v>0</v>
      </c>
      <c r="AO651" s="201">
        <f t="shared" si="3276"/>
        <v>0</v>
      </c>
      <c r="AP651" s="201">
        <f t="shared" si="3276"/>
        <v>0</v>
      </c>
      <c r="AQ651" s="201">
        <f t="shared" si="3276"/>
        <v>0</v>
      </c>
      <c r="AR651" s="200">
        <f t="shared" si="3276"/>
        <v>0</v>
      </c>
      <c r="AS651" s="200">
        <f t="shared" si="3276"/>
        <v>0</v>
      </c>
      <c r="AT651" s="173">
        <v>0.0</v>
      </c>
      <c r="AU651" s="200">
        <f t="shared" ref="AU651:AX651" si="3277">countif($D651,"*"&amp;AU$2&amp;"*")</f>
        <v>0</v>
      </c>
      <c r="AV651" s="200">
        <f t="shared" si="3277"/>
        <v>1</v>
      </c>
      <c r="AW651" s="200">
        <f t="shared" si="3277"/>
        <v>0</v>
      </c>
      <c r="AX651" s="200">
        <f t="shared" si="3277"/>
        <v>0</v>
      </c>
      <c r="AY651" s="202">
        <v>0.0</v>
      </c>
      <c r="AZ651" s="200"/>
      <c r="BA651" s="171" t="str">
        <f t="shared" si="18"/>
        <v/>
      </c>
      <c r="BB651" s="171" t="str">
        <f t="shared" si="19"/>
        <v>Code</v>
      </c>
      <c r="BC651" s="171" t="str">
        <f t="shared" si="20"/>
        <v/>
      </c>
      <c r="BD651" s="171" t="str">
        <f t="shared" si="21"/>
        <v/>
      </c>
      <c r="BE651" s="171" t="str">
        <f t="shared" si="22"/>
        <v/>
      </c>
      <c r="BF651" s="171" t="str">
        <f t="shared" si="23"/>
        <v>Code</v>
      </c>
    </row>
    <row r="652">
      <c r="A652" s="171">
        <f t="array" ref="A652">XLOOKUP(C652,ICSE!A:A,ICSE!C:C,,2,1)</f>
        <v>2018</v>
      </c>
      <c r="B652" s="171" t="s">
        <v>5675</v>
      </c>
      <c r="C652" s="160">
        <v>1233.0</v>
      </c>
      <c r="D652" s="161" t="s">
        <v>1145</v>
      </c>
      <c r="E652" s="197" t="str">
        <f t="array" ref="E652">XLOOKUP(C652,ICSE!A:A,ICSE!Z:Z,,0,1)</f>
        <v>Publicly available (1)</v>
      </c>
      <c r="F652" s="198" t="s">
        <v>20</v>
      </c>
      <c r="G652" s="163" t="str">
        <f t="array" ref="G652">IF(B652="ICSE",IF(COUNTIFS(B:B,B652,C:C,C652)=XLOOKUP(C652,ICSE!A:A,ICSE!AA:AA,"ERROR",0,1),"OK","ERROR"),IF(B652="FSE",IF(COUNTIFS(B:B,B652,C:C,C652)=XLOOKUP(C652,FSE!A:A,FSE!AA:AA,"ERROR",0,1),"OK","ERROR")))</f>
        <v>OK</v>
      </c>
      <c r="H652" s="199">
        <f t="shared" ref="H652:O652" si="3278">countif($D652,"*"&amp;H$2&amp;"*")</f>
        <v>0</v>
      </c>
      <c r="I652" s="200">
        <f t="shared" si="3278"/>
        <v>0</v>
      </c>
      <c r="J652" s="200">
        <f t="shared" si="3278"/>
        <v>0</v>
      </c>
      <c r="K652" s="200">
        <f t="shared" si="3278"/>
        <v>0</v>
      </c>
      <c r="L652" s="200">
        <f t="shared" si="3278"/>
        <v>0</v>
      </c>
      <c r="M652" s="200">
        <f t="shared" si="3278"/>
        <v>0</v>
      </c>
      <c r="N652" s="200">
        <f t="shared" si="3278"/>
        <v>0</v>
      </c>
      <c r="O652" s="200">
        <f t="shared" si="3278"/>
        <v>0</v>
      </c>
      <c r="P652" s="200">
        <f t="shared" si="9"/>
        <v>1</v>
      </c>
      <c r="Q652" s="200">
        <f t="shared" ref="Q652:AC652" si="3279">countif($D652,"*"&amp;Q$2&amp;"*")</f>
        <v>0</v>
      </c>
      <c r="R652" s="200">
        <f t="shared" si="3279"/>
        <v>0</v>
      </c>
      <c r="S652" s="200">
        <f t="shared" si="3279"/>
        <v>0</v>
      </c>
      <c r="T652" s="200">
        <f t="shared" si="3279"/>
        <v>0</v>
      </c>
      <c r="U652" s="200">
        <f t="shared" si="3279"/>
        <v>0</v>
      </c>
      <c r="V652" s="200">
        <f t="shared" si="3279"/>
        <v>0</v>
      </c>
      <c r="W652" s="200">
        <f t="shared" si="3279"/>
        <v>0</v>
      </c>
      <c r="X652" s="200">
        <f t="shared" si="3279"/>
        <v>0</v>
      </c>
      <c r="Y652" s="200">
        <f t="shared" si="3279"/>
        <v>0</v>
      </c>
      <c r="Z652" s="200">
        <f t="shared" si="3279"/>
        <v>0</v>
      </c>
      <c r="AA652" s="200">
        <f t="shared" si="3279"/>
        <v>0</v>
      </c>
      <c r="AB652" s="200">
        <f t="shared" si="3279"/>
        <v>0</v>
      </c>
      <c r="AC652" s="200">
        <f t="shared" si="3279"/>
        <v>0</v>
      </c>
      <c r="AD652" s="200">
        <f t="shared" si="11"/>
        <v>0</v>
      </c>
      <c r="AE652" s="200">
        <f t="shared" ref="AE652:AG652" si="3280">countif($D652,"*"&amp;AE$2&amp;"*")</f>
        <v>0</v>
      </c>
      <c r="AF652" s="200">
        <f t="shared" si="3280"/>
        <v>0</v>
      </c>
      <c r="AG652" s="200">
        <f t="shared" si="3280"/>
        <v>0</v>
      </c>
      <c r="AH652" s="171">
        <f t="shared" si="13"/>
        <v>0</v>
      </c>
      <c r="AI652" s="200">
        <f t="shared" si="14"/>
        <v>0</v>
      </c>
      <c r="AJ652" s="200">
        <f t="shared" si="3265"/>
        <v>0</v>
      </c>
      <c r="AK652" s="201">
        <f t="shared" ref="AK652:AS652" si="3281">countif($D652,"*"&amp;AK$2&amp;"*")</f>
        <v>0</v>
      </c>
      <c r="AL652" s="201">
        <f t="shared" si="3281"/>
        <v>0</v>
      </c>
      <c r="AM652" s="201">
        <f t="shared" si="3281"/>
        <v>0</v>
      </c>
      <c r="AN652" s="201">
        <f t="shared" si="3281"/>
        <v>0</v>
      </c>
      <c r="AO652" s="201">
        <f t="shared" si="3281"/>
        <v>0</v>
      </c>
      <c r="AP652" s="201">
        <f t="shared" si="3281"/>
        <v>0</v>
      </c>
      <c r="AQ652" s="201">
        <f t="shared" si="3281"/>
        <v>0</v>
      </c>
      <c r="AR652" s="200">
        <f t="shared" si="3281"/>
        <v>0</v>
      </c>
      <c r="AS652" s="200">
        <f t="shared" si="3281"/>
        <v>0</v>
      </c>
      <c r="AT652" s="173">
        <v>0.0</v>
      </c>
      <c r="AU652" s="200">
        <f t="shared" ref="AU652:AX652" si="3282">countif($D652,"*"&amp;AU$2&amp;"*")</f>
        <v>0</v>
      </c>
      <c r="AV652" s="200">
        <f t="shared" si="3282"/>
        <v>1</v>
      </c>
      <c r="AW652" s="200">
        <f t="shared" si="3282"/>
        <v>0</v>
      </c>
      <c r="AX652" s="200">
        <f t="shared" si="3282"/>
        <v>0</v>
      </c>
      <c r="AY652" s="202">
        <v>0.0</v>
      </c>
      <c r="AZ652" s="200"/>
      <c r="BA652" s="171" t="str">
        <f t="shared" si="18"/>
        <v/>
      </c>
      <c r="BB652" s="171" t="str">
        <f t="shared" si="19"/>
        <v>Code</v>
      </c>
      <c r="BC652" s="171" t="str">
        <f t="shared" si="20"/>
        <v/>
      </c>
      <c r="BD652" s="171" t="str">
        <f t="shared" si="21"/>
        <v/>
      </c>
      <c r="BE652" s="171" t="str">
        <f t="shared" si="22"/>
        <v/>
      </c>
      <c r="BF652" s="171" t="str">
        <f t="shared" si="23"/>
        <v>Code</v>
      </c>
    </row>
    <row r="653">
      <c r="A653" s="171">
        <f t="array" ref="A653">XLOOKUP(C653,ICSE!A:A,ICSE!C:C,,2,1)</f>
        <v>2018</v>
      </c>
      <c r="B653" s="171" t="s">
        <v>5675</v>
      </c>
      <c r="C653" s="160">
        <v>1234.0</v>
      </c>
      <c r="D653" s="161" t="s">
        <v>1147</v>
      </c>
      <c r="E653" s="197" t="str">
        <f t="array" ref="E653">XLOOKUP(C653,ICSE!A:A,ICSE!Z:Z,,0,1)</f>
        <v>Not available (1) - Broken link.</v>
      </c>
      <c r="F653" s="198" t="s">
        <v>21</v>
      </c>
      <c r="G653" s="163" t="str">
        <f t="array" ref="G653">IF(B653="ICSE",IF(COUNTIFS(B:B,B653,C:C,C653)=XLOOKUP(C653,ICSE!A:A,ICSE!AA:AA,"ERROR",0,1),"OK","ERROR"),IF(B653="FSE",IF(COUNTIFS(B:B,B653,C:C,C653)=XLOOKUP(C653,FSE!A:A,FSE!AA:AA,"ERROR",0,1),"OK","ERROR")))</f>
        <v>OK</v>
      </c>
      <c r="H653" s="199">
        <f t="shared" ref="H653:O653" si="3283">countif($D653,"*"&amp;H$2&amp;"*")</f>
        <v>0</v>
      </c>
      <c r="I653" s="200">
        <f t="shared" si="3283"/>
        <v>0</v>
      </c>
      <c r="J653" s="200">
        <f t="shared" si="3283"/>
        <v>0</v>
      </c>
      <c r="K653" s="200">
        <f t="shared" si="3283"/>
        <v>0</v>
      </c>
      <c r="L653" s="200">
        <f t="shared" si="3283"/>
        <v>0</v>
      </c>
      <c r="M653" s="200">
        <f t="shared" si="3283"/>
        <v>0</v>
      </c>
      <c r="N653" s="200">
        <f t="shared" si="3283"/>
        <v>0</v>
      </c>
      <c r="O653" s="200">
        <f t="shared" si="3283"/>
        <v>0</v>
      </c>
      <c r="P653" s="200">
        <f t="shared" si="9"/>
        <v>0</v>
      </c>
      <c r="Q653" s="200">
        <f t="shared" ref="Q653:AC653" si="3284">countif($D653,"*"&amp;Q$2&amp;"*")</f>
        <v>0</v>
      </c>
      <c r="R653" s="200">
        <f t="shared" si="3284"/>
        <v>0</v>
      </c>
      <c r="S653" s="200">
        <f t="shared" si="3284"/>
        <v>0</v>
      </c>
      <c r="T653" s="200">
        <f t="shared" si="3284"/>
        <v>0</v>
      </c>
      <c r="U653" s="200">
        <f t="shared" si="3284"/>
        <v>0</v>
      </c>
      <c r="V653" s="200">
        <f t="shared" si="3284"/>
        <v>0</v>
      </c>
      <c r="W653" s="200">
        <f t="shared" si="3284"/>
        <v>0</v>
      </c>
      <c r="X653" s="200">
        <f t="shared" si="3284"/>
        <v>0</v>
      </c>
      <c r="Y653" s="200">
        <f t="shared" si="3284"/>
        <v>0</v>
      </c>
      <c r="Z653" s="200">
        <f t="shared" si="3284"/>
        <v>0</v>
      </c>
      <c r="AA653" s="200">
        <f t="shared" si="3284"/>
        <v>0</v>
      </c>
      <c r="AB653" s="200">
        <f t="shared" si="3284"/>
        <v>0</v>
      </c>
      <c r="AC653" s="200">
        <f t="shared" si="3284"/>
        <v>0</v>
      </c>
      <c r="AD653" s="200">
        <f t="shared" si="11"/>
        <v>0</v>
      </c>
      <c r="AE653" s="200">
        <f t="shared" ref="AE653:AG653" si="3285">countif($D653,"*"&amp;AE$2&amp;"*")</f>
        <v>0</v>
      </c>
      <c r="AF653" s="200">
        <f t="shared" si="3285"/>
        <v>0</v>
      </c>
      <c r="AG653" s="200">
        <f t="shared" si="3285"/>
        <v>0</v>
      </c>
      <c r="AH653" s="171">
        <f t="shared" si="13"/>
        <v>1</v>
      </c>
      <c r="AI653" s="200">
        <f t="shared" si="14"/>
        <v>0</v>
      </c>
      <c r="AJ653" s="200">
        <f t="shared" si="3265"/>
        <v>0</v>
      </c>
      <c r="AK653" s="201">
        <f t="shared" ref="AK653:AS653" si="3286">countif($D653,"*"&amp;AK$2&amp;"*")</f>
        <v>0</v>
      </c>
      <c r="AL653" s="201">
        <f t="shared" si="3286"/>
        <v>0</v>
      </c>
      <c r="AM653" s="201">
        <f t="shared" si="3286"/>
        <v>0</v>
      </c>
      <c r="AN653" s="201">
        <f t="shared" si="3286"/>
        <v>0</v>
      </c>
      <c r="AO653" s="201">
        <f t="shared" si="3286"/>
        <v>0</v>
      </c>
      <c r="AP653" s="201">
        <f t="shared" si="3286"/>
        <v>0</v>
      </c>
      <c r="AQ653" s="201">
        <f t="shared" si="3286"/>
        <v>0</v>
      </c>
      <c r="AR653" s="200">
        <f t="shared" si="3286"/>
        <v>0</v>
      </c>
      <c r="AS653" s="200">
        <f t="shared" si="3286"/>
        <v>0</v>
      </c>
      <c r="AT653" s="173">
        <v>0.0</v>
      </c>
      <c r="AU653" s="200">
        <f t="shared" ref="AU653:AX653" si="3287">countif($D653,"*"&amp;AU$2&amp;"*")</f>
        <v>0</v>
      </c>
      <c r="AV653" s="200">
        <f t="shared" si="3287"/>
        <v>0</v>
      </c>
      <c r="AW653" s="200">
        <f t="shared" si="3287"/>
        <v>0</v>
      </c>
      <c r="AX653" s="200">
        <f t="shared" si="3287"/>
        <v>0</v>
      </c>
      <c r="AY653" s="202">
        <v>0.0</v>
      </c>
      <c r="AZ653" s="200"/>
      <c r="BA653" s="171" t="str">
        <f t="shared" si="18"/>
        <v/>
      </c>
      <c r="BB653" s="171" t="str">
        <f t="shared" si="19"/>
        <v/>
      </c>
      <c r="BC653" s="171" t="str">
        <f t="shared" si="20"/>
        <v/>
      </c>
      <c r="BD653" s="171" t="str">
        <f t="shared" si="21"/>
        <v/>
      </c>
      <c r="BE653" s="171" t="str">
        <f t="shared" si="22"/>
        <v>Others</v>
      </c>
      <c r="BF653" s="171" t="str">
        <f t="shared" si="23"/>
        <v>Others</v>
      </c>
    </row>
    <row r="654">
      <c r="A654" s="171">
        <f t="array" ref="A654">XLOOKUP(C654,ICSE!A:A,ICSE!C:C,,2,1)</f>
        <v>2018</v>
      </c>
      <c r="B654" s="171" t="s">
        <v>5675</v>
      </c>
      <c r="C654" s="160">
        <v>1235.0</v>
      </c>
      <c r="D654" s="161" t="s">
        <v>1150</v>
      </c>
      <c r="E654" s="197" t="str">
        <f t="array" ref="E654">XLOOKUP(C654,ICSE!A:A,ICSE!Z:Z,,0,1)</f>
        <v>Publicly available (1)</v>
      </c>
      <c r="F654" s="198" t="s">
        <v>20</v>
      </c>
      <c r="G654" s="163" t="str">
        <f t="array" ref="G654">IF(B654="ICSE",IF(COUNTIFS(B:B,B654,C:C,C654)=XLOOKUP(C654,ICSE!A:A,ICSE!AA:AA,"ERROR",0,1),"OK","ERROR"),IF(B654="FSE",IF(COUNTIFS(B:B,B654,C:C,C654)=XLOOKUP(C654,FSE!A:A,FSE!AA:AA,"ERROR",0,1),"OK","ERROR")))</f>
        <v>OK</v>
      </c>
      <c r="H654" s="199">
        <f t="shared" ref="H654:O654" si="3288">countif($D654,"*"&amp;H$2&amp;"*")</f>
        <v>0</v>
      </c>
      <c r="I654" s="200">
        <f t="shared" si="3288"/>
        <v>0</v>
      </c>
      <c r="J654" s="200">
        <f t="shared" si="3288"/>
        <v>0</v>
      </c>
      <c r="K654" s="200">
        <f t="shared" si="3288"/>
        <v>0</v>
      </c>
      <c r="L654" s="200">
        <f t="shared" si="3288"/>
        <v>0</v>
      </c>
      <c r="M654" s="200">
        <f t="shared" si="3288"/>
        <v>0</v>
      </c>
      <c r="N654" s="200">
        <f t="shared" si="3288"/>
        <v>0</v>
      </c>
      <c r="O654" s="200">
        <f t="shared" si="3288"/>
        <v>0</v>
      </c>
      <c r="P654" s="200">
        <f t="shared" si="9"/>
        <v>1</v>
      </c>
      <c r="Q654" s="200">
        <f t="shared" ref="Q654:AC654" si="3289">countif($D654,"*"&amp;Q$2&amp;"*")</f>
        <v>0</v>
      </c>
      <c r="R654" s="200">
        <f t="shared" si="3289"/>
        <v>0</v>
      </c>
      <c r="S654" s="200">
        <f t="shared" si="3289"/>
        <v>0</v>
      </c>
      <c r="T654" s="200">
        <f t="shared" si="3289"/>
        <v>0</v>
      </c>
      <c r="U654" s="200">
        <f t="shared" si="3289"/>
        <v>0</v>
      </c>
      <c r="V654" s="200">
        <f t="shared" si="3289"/>
        <v>0</v>
      </c>
      <c r="W654" s="200">
        <f t="shared" si="3289"/>
        <v>0</v>
      </c>
      <c r="X654" s="200">
        <f t="shared" si="3289"/>
        <v>0</v>
      </c>
      <c r="Y654" s="200">
        <f t="shared" si="3289"/>
        <v>0</v>
      </c>
      <c r="Z654" s="200">
        <f t="shared" si="3289"/>
        <v>0</v>
      </c>
      <c r="AA654" s="200">
        <f t="shared" si="3289"/>
        <v>0</v>
      </c>
      <c r="AB654" s="200">
        <f t="shared" si="3289"/>
        <v>0</v>
      </c>
      <c r="AC654" s="200">
        <f t="shared" si="3289"/>
        <v>0</v>
      </c>
      <c r="AD654" s="200">
        <f t="shared" si="11"/>
        <v>0</v>
      </c>
      <c r="AE654" s="200">
        <f t="shared" ref="AE654:AG654" si="3290">countif($D654,"*"&amp;AE$2&amp;"*")</f>
        <v>0</v>
      </c>
      <c r="AF654" s="200">
        <f t="shared" si="3290"/>
        <v>0</v>
      </c>
      <c r="AG654" s="200">
        <f t="shared" si="3290"/>
        <v>0</v>
      </c>
      <c r="AH654" s="171">
        <f t="shared" si="13"/>
        <v>0</v>
      </c>
      <c r="AI654" s="200">
        <f t="shared" si="14"/>
        <v>0</v>
      </c>
      <c r="AJ654" s="200">
        <f t="shared" si="3265"/>
        <v>0</v>
      </c>
      <c r="AK654" s="201">
        <f t="shared" ref="AK654:AS654" si="3291">countif($D654,"*"&amp;AK$2&amp;"*")</f>
        <v>0</v>
      </c>
      <c r="AL654" s="201">
        <f t="shared" si="3291"/>
        <v>0</v>
      </c>
      <c r="AM654" s="201">
        <f t="shared" si="3291"/>
        <v>0</v>
      </c>
      <c r="AN654" s="201">
        <f t="shared" si="3291"/>
        <v>0</v>
      </c>
      <c r="AO654" s="201">
        <f t="shared" si="3291"/>
        <v>0</v>
      </c>
      <c r="AP654" s="201">
        <f t="shared" si="3291"/>
        <v>0</v>
      </c>
      <c r="AQ654" s="201">
        <f t="shared" si="3291"/>
        <v>0</v>
      </c>
      <c r="AR654" s="200">
        <f t="shared" si="3291"/>
        <v>0</v>
      </c>
      <c r="AS654" s="200">
        <f t="shared" si="3291"/>
        <v>0</v>
      </c>
      <c r="AT654" s="173">
        <v>0.0</v>
      </c>
      <c r="AU654" s="200">
        <f t="shared" ref="AU654:AX654" si="3292">countif($D654,"*"&amp;AU$2&amp;"*")</f>
        <v>0</v>
      </c>
      <c r="AV654" s="200">
        <f t="shared" si="3292"/>
        <v>1</v>
      </c>
      <c r="AW654" s="200">
        <f t="shared" si="3292"/>
        <v>0</v>
      </c>
      <c r="AX654" s="200">
        <f t="shared" si="3292"/>
        <v>0</v>
      </c>
      <c r="AY654" s="202">
        <v>0.0</v>
      </c>
      <c r="AZ654" s="200"/>
      <c r="BA654" s="171" t="str">
        <f t="shared" si="18"/>
        <v/>
      </c>
      <c r="BB654" s="171" t="str">
        <f t="shared" si="19"/>
        <v>Code</v>
      </c>
      <c r="BC654" s="171" t="str">
        <f t="shared" si="20"/>
        <v/>
      </c>
      <c r="BD654" s="171" t="str">
        <f t="shared" si="21"/>
        <v/>
      </c>
      <c r="BE654" s="171" t="str">
        <f t="shared" si="22"/>
        <v/>
      </c>
      <c r="BF654" s="171" t="str">
        <f t="shared" si="23"/>
        <v>Code</v>
      </c>
    </row>
    <row r="655">
      <c r="A655" s="171">
        <f t="array" ref="A655">XLOOKUP(C655,ICSE!A:A,ICSE!C:C,,2,1)</f>
        <v>2018</v>
      </c>
      <c r="B655" s="171" t="s">
        <v>5675</v>
      </c>
      <c r="C655" s="160">
        <v>1236.0</v>
      </c>
      <c r="D655" s="161" t="s">
        <v>1153</v>
      </c>
      <c r="E655" s="197" t="str">
        <f t="array" ref="E655">XLOOKUP(C655,ICSE!A:A,ICSE!Z:Z,,0,1)</f>
        <v>Publicly available (1)</v>
      </c>
      <c r="F655" s="198" t="s">
        <v>20</v>
      </c>
      <c r="G655" s="163" t="str">
        <f t="array" ref="G655">IF(B655="ICSE",IF(COUNTIFS(B:B,B655,C:C,C655)=XLOOKUP(C655,ICSE!A:A,ICSE!AA:AA,"ERROR",0,1),"OK","ERROR"),IF(B655="FSE",IF(COUNTIFS(B:B,B655,C:C,C655)=XLOOKUP(C655,FSE!A:A,FSE!AA:AA,"ERROR",0,1),"OK","ERROR")))</f>
        <v>OK</v>
      </c>
      <c r="H655" s="199">
        <f t="shared" ref="H655:O655" si="3293">countif($D655,"*"&amp;H$2&amp;"*")</f>
        <v>0</v>
      </c>
      <c r="I655" s="200">
        <f t="shared" si="3293"/>
        <v>0</v>
      </c>
      <c r="J655" s="200">
        <f t="shared" si="3293"/>
        <v>0</v>
      </c>
      <c r="K655" s="200">
        <f t="shared" si="3293"/>
        <v>0</v>
      </c>
      <c r="L655" s="200">
        <f t="shared" si="3293"/>
        <v>0</v>
      </c>
      <c r="M655" s="200">
        <f t="shared" si="3293"/>
        <v>0</v>
      </c>
      <c r="N655" s="200">
        <f t="shared" si="3293"/>
        <v>0</v>
      </c>
      <c r="O655" s="200">
        <f t="shared" si="3293"/>
        <v>0</v>
      </c>
      <c r="P655" s="200">
        <f t="shared" si="9"/>
        <v>1</v>
      </c>
      <c r="Q655" s="200">
        <f t="shared" ref="Q655:AC655" si="3294">countif($D655,"*"&amp;Q$2&amp;"*")</f>
        <v>0</v>
      </c>
      <c r="R655" s="200">
        <f t="shared" si="3294"/>
        <v>0</v>
      </c>
      <c r="S655" s="200">
        <f t="shared" si="3294"/>
        <v>0</v>
      </c>
      <c r="T655" s="200">
        <f t="shared" si="3294"/>
        <v>0</v>
      </c>
      <c r="U655" s="200">
        <f t="shared" si="3294"/>
        <v>0</v>
      </c>
      <c r="V655" s="200">
        <f t="shared" si="3294"/>
        <v>0</v>
      </c>
      <c r="W655" s="200">
        <f t="shared" si="3294"/>
        <v>0</v>
      </c>
      <c r="X655" s="200">
        <f t="shared" si="3294"/>
        <v>0</v>
      </c>
      <c r="Y655" s="200">
        <f t="shared" si="3294"/>
        <v>0</v>
      </c>
      <c r="Z655" s="200">
        <f t="shared" si="3294"/>
        <v>0</v>
      </c>
      <c r="AA655" s="200">
        <f t="shared" si="3294"/>
        <v>0</v>
      </c>
      <c r="AB655" s="200">
        <f t="shared" si="3294"/>
        <v>0</v>
      </c>
      <c r="AC655" s="200">
        <f t="shared" si="3294"/>
        <v>0</v>
      </c>
      <c r="AD655" s="200">
        <f t="shared" si="11"/>
        <v>0</v>
      </c>
      <c r="AE655" s="200">
        <f t="shared" ref="AE655:AG655" si="3295">countif($D655,"*"&amp;AE$2&amp;"*")</f>
        <v>0</v>
      </c>
      <c r="AF655" s="200">
        <f t="shared" si="3295"/>
        <v>0</v>
      </c>
      <c r="AG655" s="200">
        <f t="shared" si="3295"/>
        <v>0</v>
      </c>
      <c r="AH655" s="171">
        <f t="shared" si="13"/>
        <v>0</v>
      </c>
      <c r="AI655" s="200">
        <f t="shared" si="14"/>
        <v>0</v>
      </c>
      <c r="AJ655" s="200">
        <f t="shared" si="3265"/>
        <v>0</v>
      </c>
      <c r="AK655" s="201">
        <f t="shared" ref="AK655:AS655" si="3296">countif($D655,"*"&amp;AK$2&amp;"*")</f>
        <v>0</v>
      </c>
      <c r="AL655" s="201">
        <f t="shared" si="3296"/>
        <v>0</v>
      </c>
      <c r="AM655" s="201">
        <f t="shared" si="3296"/>
        <v>0</v>
      </c>
      <c r="AN655" s="201">
        <f t="shared" si="3296"/>
        <v>0</v>
      </c>
      <c r="AO655" s="201">
        <f t="shared" si="3296"/>
        <v>0</v>
      </c>
      <c r="AP655" s="201">
        <f t="shared" si="3296"/>
        <v>0</v>
      </c>
      <c r="AQ655" s="201">
        <f t="shared" si="3296"/>
        <v>0</v>
      </c>
      <c r="AR655" s="200">
        <f t="shared" si="3296"/>
        <v>0</v>
      </c>
      <c r="AS655" s="200">
        <f t="shared" si="3296"/>
        <v>0</v>
      </c>
      <c r="AT655" s="173">
        <v>0.0</v>
      </c>
      <c r="AU655" s="200">
        <f t="shared" ref="AU655:AX655" si="3297">countif($D655,"*"&amp;AU$2&amp;"*")</f>
        <v>0</v>
      </c>
      <c r="AV655" s="200">
        <f t="shared" si="3297"/>
        <v>1</v>
      </c>
      <c r="AW655" s="200">
        <f t="shared" si="3297"/>
        <v>0</v>
      </c>
      <c r="AX655" s="200">
        <f t="shared" si="3297"/>
        <v>0</v>
      </c>
      <c r="AY655" s="202">
        <v>0.0</v>
      </c>
      <c r="AZ655" s="200"/>
      <c r="BA655" s="171" t="str">
        <f t="shared" si="18"/>
        <v/>
      </c>
      <c r="BB655" s="171" t="str">
        <f t="shared" si="19"/>
        <v>Code</v>
      </c>
      <c r="BC655" s="171" t="str">
        <f t="shared" si="20"/>
        <v/>
      </c>
      <c r="BD655" s="171" t="str">
        <f t="shared" si="21"/>
        <v/>
      </c>
      <c r="BE655" s="171" t="str">
        <f t="shared" si="22"/>
        <v/>
      </c>
      <c r="BF655" s="171" t="str">
        <f t="shared" si="23"/>
        <v>Code</v>
      </c>
    </row>
    <row r="656">
      <c r="A656" s="171">
        <f t="array" ref="A656">XLOOKUP(C656,ICSE!A:A,ICSE!C:C,,2,1)</f>
        <v>2018</v>
      </c>
      <c r="B656" s="171" t="s">
        <v>5675</v>
      </c>
      <c r="C656" s="160">
        <v>1237.0</v>
      </c>
      <c r="D656" s="161" t="s">
        <v>1156</v>
      </c>
      <c r="E656" s="197" t="str">
        <f t="array" ref="E656">XLOOKUP(C656,ICSE!A:A,ICSE!Z:Z,,0,1)</f>
        <v>Publicly available (1)</v>
      </c>
      <c r="F656" s="198" t="s">
        <v>20</v>
      </c>
      <c r="G656" s="163" t="str">
        <f t="array" ref="G656">IF(B656="ICSE",IF(COUNTIFS(B:B,B656,C:C,C656)=XLOOKUP(C656,ICSE!A:A,ICSE!AA:AA,"ERROR",0,1),"OK","ERROR"),IF(B656="FSE",IF(COUNTIFS(B:B,B656,C:C,C656)=XLOOKUP(C656,FSE!A:A,FSE!AA:AA,"ERROR",0,1),"OK","ERROR")))</f>
        <v>OK</v>
      </c>
      <c r="H656" s="199">
        <f t="shared" ref="H656:O656" si="3298">countif($D656,"*"&amp;H$2&amp;"*")</f>
        <v>0</v>
      </c>
      <c r="I656" s="200">
        <f t="shared" si="3298"/>
        <v>0</v>
      </c>
      <c r="J656" s="200">
        <f t="shared" si="3298"/>
        <v>0</v>
      </c>
      <c r="K656" s="200">
        <f t="shared" si="3298"/>
        <v>0</v>
      </c>
      <c r="L656" s="200">
        <f t="shared" si="3298"/>
        <v>0</v>
      </c>
      <c r="M656" s="200">
        <f t="shared" si="3298"/>
        <v>0</v>
      </c>
      <c r="N656" s="200">
        <f t="shared" si="3298"/>
        <v>0</v>
      </c>
      <c r="O656" s="200">
        <f t="shared" si="3298"/>
        <v>0</v>
      </c>
      <c r="P656" s="200">
        <f t="shared" si="9"/>
        <v>0</v>
      </c>
      <c r="Q656" s="200">
        <f t="shared" ref="Q656:AC656" si="3299">countif($D656,"*"&amp;Q$2&amp;"*")</f>
        <v>0</v>
      </c>
      <c r="R656" s="200">
        <f t="shared" si="3299"/>
        <v>0</v>
      </c>
      <c r="S656" s="200">
        <f t="shared" si="3299"/>
        <v>0</v>
      </c>
      <c r="T656" s="200">
        <f t="shared" si="3299"/>
        <v>0</v>
      </c>
      <c r="U656" s="200">
        <f t="shared" si="3299"/>
        <v>0</v>
      </c>
      <c r="V656" s="200">
        <f t="shared" si="3299"/>
        <v>0</v>
      </c>
      <c r="W656" s="200">
        <f t="shared" si="3299"/>
        <v>0</v>
      </c>
      <c r="X656" s="200">
        <f t="shared" si="3299"/>
        <v>0</v>
      </c>
      <c r="Y656" s="200">
        <f t="shared" si="3299"/>
        <v>0</v>
      </c>
      <c r="Z656" s="200">
        <f t="shared" si="3299"/>
        <v>0</v>
      </c>
      <c r="AA656" s="200">
        <f t="shared" si="3299"/>
        <v>0</v>
      </c>
      <c r="AB656" s="200">
        <f t="shared" si="3299"/>
        <v>0</v>
      </c>
      <c r="AC656" s="200">
        <f t="shared" si="3299"/>
        <v>0</v>
      </c>
      <c r="AD656" s="200">
        <f t="shared" si="11"/>
        <v>0</v>
      </c>
      <c r="AE656" s="200">
        <f t="shared" ref="AE656:AG656" si="3300">countif($D656,"*"&amp;AE$2&amp;"*")</f>
        <v>0</v>
      </c>
      <c r="AF656" s="200">
        <f t="shared" si="3300"/>
        <v>0</v>
      </c>
      <c r="AG656" s="200">
        <f t="shared" si="3300"/>
        <v>0</v>
      </c>
      <c r="AH656" s="171">
        <f t="shared" si="13"/>
        <v>1</v>
      </c>
      <c r="AI656" s="200">
        <f t="shared" si="14"/>
        <v>0</v>
      </c>
      <c r="AJ656" s="200">
        <f t="shared" si="3265"/>
        <v>0</v>
      </c>
      <c r="AK656" s="201">
        <f t="shared" ref="AK656:AS656" si="3301">countif($D656,"*"&amp;AK$2&amp;"*")</f>
        <v>0</v>
      </c>
      <c r="AL656" s="201">
        <f t="shared" si="3301"/>
        <v>0</v>
      </c>
      <c r="AM656" s="201">
        <f t="shared" si="3301"/>
        <v>0</v>
      </c>
      <c r="AN656" s="201">
        <f t="shared" si="3301"/>
        <v>0</v>
      </c>
      <c r="AO656" s="201">
        <f t="shared" si="3301"/>
        <v>0</v>
      </c>
      <c r="AP656" s="201">
        <f t="shared" si="3301"/>
        <v>0</v>
      </c>
      <c r="AQ656" s="201">
        <f t="shared" si="3301"/>
        <v>0</v>
      </c>
      <c r="AR656" s="200">
        <f t="shared" si="3301"/>
        <v>0</v>
      </c>
      <c r="AS656" s="200">
        <f t="shared" si="3301"/>
        <v>0</v>
      </c>
      <c r="AT656" s="173">
        <v>0.0</v>
      </c>
      <c r="AU656" s="200">
        <f t="shared" ref="AU656:AX656" si="3302">countif($D656,"*"&amp;AU$2&amp;"*")</f>
        <v>0</v>
      </c>
      <c r="AV656" s="200">
        <f t="shared" si="3302"/>
        <v>0</v>
      </c>
      <c r="AW656" s="200">
        <f t="shared" si="3302"/>
        <v>0</v>
      </c>
      <c r="AX656" s="200">
        <f t="shared" si="3302"/>
        <v>0</v>
      </c>
      <c r="AY656" s="202">
        <v>0.0</v>
      </c>
      <c r="AZ656" s="200"/>
      <c r="BA656" s="171" t="str">
        <f t="shared" si="18"/>
        <v/>
      </c>
      <c r="BB656" s="171" t="str">
        <f t="shared" si="19"/>
        <v/>
      </c>
      <c r="BC656" s="171" t="str">
        <f t="shared" si="20"/>
        <v/>
      </c>
      <c r="BD656" s="171" t="str">
        <f t="shared" si="21"/>
        <v/>
      </c>
      <c r="BE656" s="171" t="str">
        <f t="shared" si="22"/>
        <v>Others</v>
      </c>
      <c r="BF656" s="171" t="str">
        <f t="shared" si="23"/>
        <v>Others</v>
      </c>
    </row>
    <row r="657">
      <c r="A657" s="171">
        <f t="array" ref="A657">XLOOKUP(C657,ICSE!A:A,ICSE!C:C,,2,1)</f>
        <v>2018</v>
      </c>
      <c r="B657" s="171" t="s">
        <v>5675</v>
      </c>
      <c r="C657" s="160">
        <v>1239.0</v>
      </c>
      <c r="D657" s="161" t="s">
        <v>1160</v>
      </c>
      <c r="E657" s="197" t="str">
        <f t="array" ref="E657">XLOOKUP(C657,ICSE!A:A,ICSE!Z:Z,,0,1)</f>
        <v>Not available (1) - Broken link.</v>
      </c>
      <c r="F657" s="198" t="s">
        <v>21</v>
      </c>
      <c r="G657" s="163" t="str">
        <f t="array" ref="G657">IF(B657="ICSE",IF(COUNTIFS(B:B,B657,C:C,C657)=XLOOKUP(C657,ICSE!A:A,ICSE!AA:AA,"ERROR",0,1),"OK","ERROR"),IF(B657="FSE",IF(COUNTIFS(B:B,B657,C:C,C657)=XLOOKUP(C657,FSE!A:A,FSE!AA:AA,"ERROR",0,1),"OK","ERROR")))</f>
        <v>OK</v>
      </c>
      <c r="H657" s="199">
        <f t="shared" ref="H657:O657" si="3303">countif($D657,"*"&amp;H$2&amp;"*")</f>
        <v>0</v>
      </c>
      <c r="I657" s="200">
        <f t="shared" si="3303"/>
        <v>0</v>
      </c>
      <c r="J657" s="200">
        <f t="shared" si="3303"/>
        <v>0</v>
      </c>
      <c r="K657" s="200">
        <f t="shared" si="3303"/>
        <v>0</v>
      </c>
      <c r="L657" s="200">
        <f t="shared" si="3303"/>
        <v>0</v>
      </c>
      <c r="M657" s="200">
        <f t="shared" si="3303"/>
        <v>0</v>
      </c>
      <c r="N657" s="200">
        <f t="shared" si="3303"/>
        <v>0</v>
      </c>
      <c r="O657" s="200">
        <f t="shared" si="3303"/>
        <v>0</v>
      </c>
      <c r="P657" s="200">
        <f t="shared" si="9"/>
        <v>0</v>
      </c>
      <c r="Q657" s="200">
        <f t="shared" ref="Q657:AC657" si="3304">countif($D657,"*"&amp;Q$2&amp;"*")</f>
        <v>0</v>
      </c>
      <c r="R657" s="200">
        <f t="shared" si="3304"/>
        <v>0</v>
      </c>
      <c r="S657" s="200">
        <f t="shared" si="3304"/>
        <v>0</v>
      </c>
      <c r="T657" s="200">
        <f t="shared" si="3304"/>
        <v>0</v>
      </c>
      <c r="U657" s="200">
        <f t="shared" si="3304"/>
        <v>0</v>
      </c>
      <c r="V657" s="200">
        <f t="shared" si="3304"/>
        <v>0</v>
      </c>
      <c r="W657" s="200">
        <f t="shared" si="3304"/>
        <v>0</v>
      </c>
      <c r="X657" s="200">
        <f t="shared" si="3304"/>
        <v>0</v>
      </c>
      <c r="Y657" s="200">
        <f t="shared" si="3304"/>
        <v>0</v>
      </c>
      <c r="Z657" s="200">
        <f t="shared" si="3304"/>
        <v>0</v>
      </c>
      <c r="AA657" s="200">
        <f t="shared" si="3304"/>
        <v>1</v>
      </c>
      <c r="AB657" s="200">
        <f t="shared" si="3304"/>
        <v>0</v>
      </c>
      <c r="AC657" s="200">
        <f t="shared" si="3304"/>
        <v>0</v>
      </c>
      <c r="AD657" s="200">
        <f t="shared" si="11"/>
        <v>0</v>
      </c>
      <c r="AE657" s="200">
        <f t="shared" ref="AE657:AG657" si="3305">countif($D657,"*"&amp;AE$2&amp;"*")</f>
        <v>0</v>
      </c>
      <c r="AF657" s="200">
        <f t="shared" si="3305"/>
        <v>0</v>
      </c>
      <c r="AG657" s="200">
        <f t="shared" si="3305"/>
        <v>0</v>
      </c>
      <c r="AH657" s="171">
        <f t="shared" si="13"/>
        <v>0</v>
      </c>
      <c r="AI657" s="200">
        <f t="shared" si="14"/>
        <v>0</v>
      </c>
      <c r="AJ657" s="200">
        <f t="shared" si="3265"/>
        <v>0</v>
      </c>
      <c r="AK657" s="201">
        <f t="shared" ref="AK657:AS657" si="3306">countif($D657,"*"&amp;AK$2&amp;"*")</f>
        <v>0</v>
      </c>
      <c r="AL657" s="201">
        <f t="shared" si="3306"/>
        <v>0</v>
      </c>
      <c r="AM657" s="201">
        <f t="shared" si="3306"/>
        <v>0</v>
      </c>
      <c r="AN657" s="201">
        <f t="shared" si="3306"/>
        <v>0</v>
      </c>
      <c r="AO657" s="201">
        <f t="shared" si="3306"/>
        <v>0</v>
      </c>
      <c r="AP657" s="201">
        <f t="shared" si="3306"/>
        <v>0</v>
      </c>
      <c r="AQ657" s="201">
        <f t="shared" si="3306"/>
        <v>0</v>
      </c>
      <c r="AR657" s="200">
        <f t="shared" si="3306"/>
        <v>0</v>
      </c>
      <c r="AS657" s="200">
        <f t="shared" si="3306"/>
        <v>0</v>
      </c>
      <c r="AT657" s="173">
        <v>0.0</v>
      </c>
      <c r="AU657" s="200">
        <f t="shared" ref="AU657:AX657" si="3307">countif($D657,"*"&amp;AU$2&amp;"*")</f>
        <v>0</v>
      </c>
      <c r="AV657" s="200">
        <f t="shared" si="3307"/>
        <v>0</v>
      </c>
      <c r="AW657" s="200">
        <f t="shared" si="3307"/>
        <v>0</v>
      </c>
      <c r="AX657" s="200">
        <f t="shared" si="3307"/>
        <v>0</v>
      </c>
      <c r="AY657" s="202">
        <v>0.0</v>
      </c>
      <c r="AZ657" s="200"/>
      <c r="BA657" s="171" t="str">
        <f t="shared" si="18"/>
        <v/>
      </c>
      <c r="BB657" s="171" t="str">
        <f t="shared" si="19"/>
        <v/>
      </c>
      <c r="BC657" s="171" t="str">
        <f t="shared" si="20"/>
        <v>General-purpose</v>
      </c>
      <c r="BD657" s="171" t="str">
        <f t="shared" si="21"/>
        <v/>
      </c>
      <c r="BE657" s="171" t="str">
        <f t="shared" si="22"/>
        <v/>
      </c>
      <c r="BF657" s="171" t="str">
        <f t="shared" si="23"/>
        <v>General-purpose</v>
      </c>
    </row>
    <row r="658">
      <c r="A658" s="171">
        <f t="array" ref="A658">XLOOKUP(C658,ICSE!A:A,ICSE!C:C,,2,1)</f>
        <v>2018</v>
      </c>
      <c r="B658" s="171" t="s">
        <v>5675</v>
      </c>
      <c r="C658" s="160">
        <v>1240.0</v>
      </c>
      <c r="D658" s="161" t="s">
        <v>1162</v>
      </c>
      <c r="E658" s="197" t="str">
        <f t="array" ref="E658">XLOOKUP(C658,ICSE!A:A,ICSE!Z:Z,,0,1)</f>
        <v>Publicly available (1)</v>
      </c>
      <c r="F658" s="198" t="s">
        <v>20</v>
      </c>
      <c r="G658" s="163" t="str">
        <f t="array" ref="G658">IF(B658="ICSE",IF(COUNTIFS(B:B,B658,C:C,C658)=XLOOKUP(C658,ICSE!A:A,ICSE!AA:AA,"ERROR",0,1),"OK","ERROR"),IF(B658="FSE",IF(COUNTIFS(B:B,B658,C:C,C658)=XLOOKUP(C658,FSE!A:A,FSE!AA:AA,"ERROR",0,1),"OK","ERROR")))</f>
        <v>OK</v>
      </c>
      <c r="H658" s="199">
        <f t="shared" ref="H658:O658" si="3308">countif($D658,"*"&amp;H$2&amp;"*")</f>
        <v>0</v>
      </c>
      <c r="I658" s="200">
        <f t="shared" si="3308"/>
        <v>0</v>
      </c>
      <c r="J658" s="200">
        <f t="shared" si="3308"/>
        <v>0</v>
      </c>
      <c r="K658" s="200">
        <f t="shared" si="3308"/>
        <v>0</v>
      </c>
      <c r="L658" s="200">
        <f t="shared" si="3308"/>
        <v>0</v>
      </c>
      <c r="M658" s="200">
        <f t="shared" si="3308"/>
        <v>0</v>
      </c>
      <c r="N658" s="200">
        <f t="shared" si="3308"/>
        <v>0</v>
      </c>
      <c r="O658" s="200">
        <f t="shared" si="3308"/>
        <v>0</v>
      </c>
      <c r="P658" s="200">
        <f t="shared" si="9"/>
        <v>1</v>
      </c>
      <c r="Q658" s="200">
        <f t="shared" ref="Q658:AC658" si="3309">countif($D658,"*"&amp;Q$2&amp;"*")</f>
        <v>0</v>
      </c>
      <c r="R658" s="200">
        <f t="shared" si="3309"/>
        <v>0</v>
      </c>
      <c r="S658" s="200">
        <f t="shared" si="3309"/>
        <v>0</v>
      </c>
      <c r="T658" s="200">
        <f t="shared" si="3309"/>
        <v>0</v>
      </c>
      <c r="U658" s="200">
        <f t="shared" si="3309"/>
        <v>0</v>
      </c>
      <c r="V658" s="200">
        <f t="shared" si="3309"/>
        <v>0</v>
      </c>
      <c r="W658" s="200">
        <f t="shared" si="3309"/>
        <v>0</v>
      </c>
      <c r="X658" s="200">
        <f t="shared" si="3309"/>
        <v>0</v>
      </c>
      <c r="Y658" s="200">
        <f t="shared" si="3309"/>
        <v>0</v>
      </c>
      <c r="Z658" s="200">
        <f t="shared" si="3309"/>
        <v>0</v>
      </c>
      <c r="AA658" s="200">
        <f t="shared" si="3309"/>
        <v>0</v>
      </c>
      <c r="AB658" s="200">
        <f t="shared" si="3309"/>
        <v>0</v>
      </c>
      <c r="AC658" s="200">
        <f t="shared" si="3309"/>
        <v>0</v>
      </c>
      <c r="AD658" s="200">
        <f t="shared" si="11"/>
        <v>0</v>
      </c>
      <c r="AE658" s="200">
        <f t="shared" ref="AE658:AG658" si="3310">countif($D658,"*"&amp;AE$2&amp;"*")</f>
        <v>0</v>
      </c>
      <c r="AF658" s="200">
        <f t="shared" si="3310"/>
        <v>0</v>
      </c>
      <c r="AG658" s="200">
        <f t="shared" si="3310"/>
        <v>0</v>
      </c>
      <c r="AH658" s="171">
        <f t="shared" si="13"/>
        <v>0</v>
      </c>
      <c r="AI658" s="200">
        <f t="shared" si="14"/>
        <v>0</v>
      </c>
      <c r="AJ658" s="200">
        <f t="shared" si="3265"/>
        <v>0</v>
      </c>
      <c r="AK658" s="201">
        <f t="shared" ref="AK658:AS658" si="3311">countif($D658,"*"&amp;AK$2&amp;"*")</f>
        <v>0</v>
      </c>
      <c r="AL658" s="201">
        <f t="shared" si="3311"/>
        <v>0</v>
      </c>
      <c r="AM658" s="201">
        <f t="shared" si="3311"/>
        <v>0</v>
      </c>
      <c r="AN658" s="201">
        <f t="shared" si="3311"/>
        <v>0</v>
      </c>
      <c r="AO658" s="201">
        <f t="shared" si="3311"/>
        <v>0</v>
      </c>
      <c r="AP658" s="201">
        <f t="shared" si="3311"/>
        <v>0</v>
      </c>
      <c r="AQ658" s="201">
        <f t="shared" si="3311"/>
        <v>0</v>
      </c>
      <c r="AR658" s="200">
        <f t="shared" si="3311"/>
        <v>0</v>
      </c>
      <c r="AS658" s="200">
        <f t="shared" si="3311"/>
        <v>0</v>
      </c>
      <c r="AT658" s="173">
        <v>0.0</v>
      </c>
      <c r="AU658" s="200">
        <f t="shared" ref="AU658:AX658" si="3312">countif($D658,"*"&amp;AU$2&amp;"*")</f>
        <v>0</v>
      </c>
      <c r="AV658" s="200">
        <f t="shared" si="3312"/>
        <v>1</v>
      </c>
      <c r="AW658" s="200">
        <f t="shared" si="3312"/>
        <v>0</v>
      </c>
      <c r="AX658" s="200">
        <f t="shared" si="3312"/>
        <v>0</v>
      </c>
      <c r="AY658" s="202">
        <v>0.0</v>
      </c>
      <c r="AZ658" s="200"/>
      <c r="BA658" s="171" t="str">
        <f t="shared" si="18"/>
        <v/>
      </c>
      <c r="BB658" s="171" t="str">
        <f t="shared" si="19"/>
        <v>Code</v>
      </c>
      <c r="BC658" s="171" t="str">
        <f t="shared" si="20"/>
        <v/>
      </c>
      <c r="BD658" s="171" t="str">
        <f t="shared" si="21"/>
        <v/>
      </c>
      <c r="BE658" s="171" t="str">
        <f t="shared" si="22"/>
        <v/>
      </c>
      <c r="BF658" s="171" t="str">
        <f t="shared" si="23"/>
        <v>Code</v>
      </c>
    </row>
    <row r="659">
      <c r="A659" s="171">
        <f t="array" ref="A659">XLOOKUP(C659,ICSE!A:A,ICSE!C:C,,2,1)</f>
        <v>2018</v>
      </c>
      <c r="B659" s="171" t="s">
        <v>5675</v>
      </c>
      <c r="C659" s="160">
        <v>1241.0</v>
      </c>
      <c r="D659" s="161" t="s">
        <v>1165</v>
      </c>
      <c r="E659" s="197" t="str">
        <f t="array" ref="E659">XLOOKUP(C659,ICSE!A:A,ICSE!Z:Z,,0,1)</f>
        <v>Publicly available (1)</v>
      </c>
      <c r="F659" s="198" t="s">
        <v>20</v>
      </c>
      <c r="G659" s="163" t="str">
        <f t="array" ref="G659">IF(B659="ICSE",IF(COUNTIFS(B:B,B659,C:C,C659)=XLOOKUP(C659,ICSE!A:A,ICSE!AA:AA,"ERROR",0,1),"OK","ERROR"),IF(B659="FSE",IF(COUNTIFS(B:B,B659,C:C,C659)=XLOOKUP(C659,FSE!A:A,FSE!AA:AA,"ERROR",0,1),"OK","ERROR")))</f>
        <v>OK</v>
      </c>
      <c r="H659" s="199">
        <f t="shared" ref="H659:O659" si="3313">countif($D659,"*"&amp;H$2&amp;"*")</f>
        <v>0</v>
      </c>
      <c r="I659" s="200">
        <f t="shared" si="3313"/>
        <v>0</v>
      </c>
      <c r="J659" s="200">
        <f t="shared" si="3313"/>
        <v>0</v>
      </c>
      <c r="K659" s="200">
        <f t="shared" si="3313"/>
        <v>0</v>
      </c>
      <c r="L659" s="200">
        <f t="shared" si="3313"/>
        <v>0</v>
      </c>
      <c r="M659" s="200">
        <f t="shared" si="3313"/>
        <v>0</v>
      </c>
      <c r="N659" s="200">
        <f t="shared" si="3313"/>
        <v>0</v>
      </c>
      <c r="O659" s="200">
        <f t="shared" si="3313"/>
        <v>0</v>
      </c>
      <c r="P659" s="200">
        <f t="shared" si="9"/>
        <v>0</v>
      </c>
      <c r="Q659" s="200">
        <f t="shared" ref="Q659:AC659" si="3314">countif($D659,"*"&amp;Q$2&amp;"*")</f>
        <v>0</v>
      </c>
      <c r="R659" s="200">
        <f t="shared" si="3314"/>
        <v>0</v>
      </c>
      <c r="S659" s="200">
        <f t="shared" si="3314"/>
        <v>0</v>
      </c>
      <c r="T659" s="200">
        <f t="shared" si="3314"/>
        <v>0</v>
      </c>
      <c r="U659" s="200">
        <f t="shared" si="3314"/>
        <v>0</v>
      </c>
      <c r="V659" s="200">
        <f t="shared" si="3314"/>
        <v>0</v>
      </c>
      <c r="W659" s="200">
        <f t="shared" si="3314"/>
        <v>0</v>
      </c>
      <c r="X659" s="200">
        <f t="shared" si="3314"/>
        <v>0</v>
      </c>
      <c r="Y659" s="200">
        <f t="shared" si="3314"/>
        <v>0</v>
      </c>
      <c r="Z659" s="200">
        <f t="shared" si="3314"/>
        <v>0</v>
      </c>
      <c r="AA659" s="200">
        <f t="shared" si="3314"/>
        <v>0</v>
      </c>
      <c r="AB659" s="200">
        <f t="shared" si="3314"/>
        <v>0</v>
      </c>
      <c r="AC659" s="200">
        <f t="shared" si="3314"/>
        <v>0</v>
      </c>
      <c r="AD659" s="200">
        <f t="shared" si="11"/>
        <v>1</v>
      </c>
      <c r="AE659" s="200">
        <f t="shared" ref="AE659:AG659" si="3315">countif($D659,"*"&amp;AE$2&amp;"*")</f>
        <v>0</v>
      </c>
      <c r="AF659" s="200">
        <f t="shared" si="3315"/>
        <v>0</v>
      </c>
      <c r="AG659" s="200">
        <f t="shared" si="3315"/>
        <v>0</v>
      </c>
      <c r="AH659" s="171">
        <f t="shared" si="13"/>
        <v>0</v>
      </c>
      <c r="AI659" s="200">
        <f t="shared" si="14"/>
        <v>0</v>
      </c>
      <c r="AJ659" s="200">
        <f>SUM(AK659:AQ659)</f>
        <v>0</v>
      </c>
      <c r="AK659" s="201">
        <f t="shared" ref="AK659:AS659" si="3316">countif($D659,"*"&amp;AK$2&amp;"*")</f>
        <v>0</v>
      </c>
      <c r="AL659" s="201">
        <f t="shared" si="3316"/>
        <v>0</v>
      </c>
      <c r="AM659" s="201">
        <f t="shared" si="3316"/>
        <v>0</v>
      </c>
      <c r="AN659" s="201">
        <f t="shared" si="3316"/>
        <v>0</v>
      </c>
      <c r="AO659" s="201">
        <f t="shared" si="3316"/>
        <v>0</v>
      </c>
      <c r="AP659" s="201">
        <f t="shared" si="3316"/>
        <v>0</v>
      </c>
      <c r="AQ659" s="201">
        <f t="shared" si="3316"/>
        <v>0</v>
      </c>
      <c r="AR659" s="201">
        <f t="shared" si="3316"/>
        <v>0</v>
      </c>
      <c r="AS659" s="200">
        <f t="shared" si="3316"/>
        <v>0</v>
      </c>
      <c r="AT659" s="205">
        <v>0.0</v>
      </c>
      <c r="AU659" s="200">
        <f t="shared" ref="AU659:AX659" si="3317">countif($D659,"*"&amp;AU$2&amp;"*")</f>
        <v>1</v>
      </c>
      <c r="AV659" s="200">
        <f t="shared" si="3317"/>
        <v>0</v>
      </c>
      <c r="AW659" s="200">
        <f t="shared" si="3317"/>
        <v>0</v>
      </c>
      <c r="AX659" s="200">
        <f t="shared" si="3317"/>
        <v>0</v>
      </c>
      <c r="AY659" s="202">
        <v>0.0</v>
      </c>
      <c r="AZ659" s="200"/>
      <c r="BA659" s="171" t="str">
        <f t="shared" si="18"/>
        <v/>
      </c>
      <c r="BB659" s="171" t="str">
        <f t="shared" si="19"/>
        <v/>
      </c>
      <c r="BC659" s="171" t="str">
        <f t="shared" si="20"/>
        <v/>
      </c>
      <c r="BD659" s="171" t="str">
        <f t="shared" si="21"/>
        <v>Institutional</v>
      </c>
      <c r="BE659" s="171" t="str">
        <f t="shared" si="22"/>
        <v/>
      </c>
      <c r="BF659" s="171" t="str">
        <f t="shared" si="23"/>
        <v>Institutional</v>
      </c>
    </row>
    <row r="660">
      <c r="A660" s="171">
        <f t="array" ref="A660">XLOOKUP(C660,ICSE!A:A,ICSE!C:C,,2,1)</f>
        <v>2018</v>
      </c>
      <c r="B660" s="171" t="s">
        <v>5675</v>
      </c>
      <c r="C660" s="160">
        <v>1242.0</v>
      </c>
      <c r="D660" s="161" t="s">
        <v>5953</v>
      </c>
      <c r="E660" s="197" t="str">
        <f t="array" ref="E660">XLOOKUP(C660,ICSE!A:A,ICSE!Z:Z,,0,1)</f>
        <v>Publicly available (2)</v>
      </c>
      <c r="F660" s="198" t="s">
        <v>20</v>
      </c>
      <c r="G660" s="163" t="str">
        <f t="array" ref="G660">IF(B660="ICSE",IF(COUNTIFS(B:B,B660,C:C,C660)=XLOOKUP(C660,ICSE!A:A,ICSE!AA:AA,"ERROR",0,1),"OK","ERROR"),IF(B660="FSE",IF(COUNTIFS(B:B,B660,C:C,C660)=XLOOKUP(C660,FSE!A:A,FSE!AA:AA,"ERROR",0,1),"OK","ERROR")))</f>
        <v>OK</v>
      </c>
      <c r="H660" s="199">
        <f t="shared" ref="H660:O660" si="3318">countif($D660,"*"&amp;H$2&amp;"*")</f>
        <v>0</v>
      </c>
      <c r="I660" s="200">
        <f t="shared" si="3318"/>
        <v>0</v>
      </c>
      <c r="J660" s="200">
        <f t="shared" si="3318"/>
        <v>0</v>
      </c>
      <c r="K660" s="200">
        <f t="shared" si="3318"/>
        <v>0</v>
      </c>
      <c r="L660" s="200">
        <f t="shared" si="3318"/>
        <v>0</v>
      </c>
      <c r="M660" s="200">
        <f t="shared" si="3318"/>
        <v>0</v>
      </c>
      <c r="N660" s="200">
        <f t="shared" si="3318"/>
        <v>0</v>
      </c>
      <c r="O660" s="200">
        <f t="shared" si="3318"/>
        <v>0</v>
      </c>
      <c r="P660" s="200">
        <f t="shared" si="9"/>
        <v>1</v>
      </c>
      <c r="Q660" s="200">
        <f t="shared" ref="Q660:AC660" si="3319">countif($D660,"*"&amp;Q$2&amp;"*")</f>
        <v>0</v>
      </c>
      <c r="R660" s="200">
        <f t="shared" si="3319"/>
        <v>0</v>
      </c>
      <c r="S660" s="200">
        <f t="shared" si="3319"/>
        <v>0</v>
      </c>
      <c r="T660" s="200">
        <f t="shared" si="3319"/>
        <v>0</v>
      </c>
      <c r="U660" s="200">
        <f t="shared" si="3319"/>
        <v>0</v>
      </c>
      <c r="V660" s="200">
        <f t="shared" si="3319"/>
        <v>0</v>
      </c>
      <c r="W660" s="200">
        <f t="shared" si="3319"/>
        <v>0</v>
      </c>
      <c r="X660" s="200">
        <f t="shared" si="3319"/>
        <v>0</v>
      </c>
      <c r="Y660" s="200">
        <f t="shared" si="3319"/>
        <v>0</v>
      </c>
      <c r="Z660" s="200">
        <f t="shared" si="3319"/>
        <v>0</v>
      </c>
      <c r="AA660" s="200">
        <f t="shared" si="3319"/>
        <v>0</v>
      </c>
      <c r="AB660" s="200">
        <f t="shared" si="3319"/>
        <v>0</v>
      </c>
      <c r="AC660" s="200">
        <f t="shared" si="3319"/>
        <v>0</v>
      </c>
      <c r="AD660" s="200">
        <f t="shared" si="11"/>
        <v>0</v>
      </c>
      <c r="AE660" s="200">
        <f t="shared" ref="AE660:AG660" si="3320">countif($D660,"*"&amp;AE$2&amp;"*")</f>
        <v>0</v>
      </c>
      <c r="AF660" s="200">
        <f t="shared" si="3320"/>
        <v>0</v>
      </c>
      <c r="AG660" s="200">
        <f t="shared" si="3320"/>
        <v>0</v>
      </c>
      <c r="AH660" s="171">
        <f t="shared" si="13"/>
        <v>0</v>
      </c>
      <c r="AI660" s="200">
        <f t="shared" si="14"/>
        <v>0</v>
      </c>
      <c r="AJ660" s="200">
        <f t="shared" ref="AJ660:AJ669" si="3326">SUM(AK660:AR660)</f>
        <v>1</v>
      </c>
      <c r="AK660" s="201">
        <f t="shared" ref="AK660:AS660" si="3321">countif($D660,"*"&amp;AK$2&amp;"*")</f>
        <v>0</v>
      </c>
      <c r="AL660" s="201">
        <f t="shared" si="3321"/>
        <v>0</v>
      </c>
      <c r="AM660" s="201">
        <f t="shared" si="3321"/>
        <v>0</v>
      </c>
      <c r="AN660" s="201">
        <f t="shared" si="3321"/>
        <v>1</v>
      </c>
      <c r="AO660" s="201">
        <f t="shared" si="3321"/>
        <v>0</v>
      </c>
      <c r="AP660" s="201">
        <f t="shared" si="3321"/>
        <v>0</v>
      </c>
      <c r="AQ660" s="201">
        <f t="shared" si="3321"/>
        <v>0</v>
      </c>
      <c r="AR660" s="200">
        <f t="shared" si="3321"/>
        <v>0</v>
      </c>
      <c r="AS660" s="200">
        <f t="shared" si="3321"/>
        <v>1</v>
      </c>
      <c r="AT660" s="173">
        <v>0.0</v>
      </c>
      <c r="AU660" s="200">
        <f t="shared" ref="AU660:AX660" si="3322">countif($D660,"*"&amp;AU$2&amp;"*")</f>
        <v>0</v>
      </c>
      <c r="AV660" s="200">
        <f t="shared" si="3322"/>
        <v>1</v>
      </c>
      <c r="AW660" s="200">
        <f t="shared" si="3322"/>
        <v>0</v>
      </c>
      <c r="AX660" s="200">
        <f t="shared" si="3322"/>
        <v>0</v>
      </c>
      <c r="AY660" s="202">
        <v>0.0</v>
      </c>
      <c r="AZ660" s="200"/>
      <c r="BA660" s="171" t="str">
        <f t="shared" si="18"/>
        <v/>
      </c>
      <c r="BB660" s="171" t="str">
        <f t="shared" si="19"/>
        <v>Code</v>
      </c>
      <c r="BC660" s="171" t="str">
        <f t="shared" si="20"/>
        <v/>
      </c>
      <c r="BD660" s="171" t="str">
        <f t="shared" si="21"/>
        <v/>
      </c>
      <c r="BE660" s="171" t="str">
        <f t="shared" si="22"/>
        <v/>
      </c>
      <c r="BF660" s="171" t="str">
        <f t="shared" si="23"/>
        <v>Code</v>
      </c>
    </row>
    <row r="661">
      <c r="A661" s="171">
        <f t="array" ref="A661">XLOOKUP(C661,ICSE!A:A,ICSE!C:C,,2,1)</f>
        <v>2018</v>
      </c>
      <c r="B661" s="171" t="s">
        <v>5675</v>
      </c>
      <c r="C661" s="160">
        <v>1242.0</v>
      </c>
      <c r="D661" s="161" t="s">
        <v>5954</v>
      </c>
      <c r="E661" s="197" t="str">
        <f t="array" ref="E661">XLOOKUP(C661,ICSE!A:A,ICSE!Z:Z,,0,1)</f>
        <v>Publicly available (2)</v>
      </c>
      <c r="F661" s="198" t="s">
        <v>20</v>
      </c>
      <c r="G661" s="163" t="str">
        <f t="array" ref="G661">IF(B661="ICSE",IF(COUNTIFS(B:B,B661,C:C,C661)=XLOOKUP(C661,ICSE!A:A,ICSE!AA:AA,"ERROR",0,1),"OK","ERROR"),IF(B661="FSE",IF(COUNTIFS(B:B,B661,C:C,C661)=XLOOKUP(C661,FSE!A:A,FSE!AA:AA,"ERROR",0,1),"OK","ERROR")))</f>
        <v>OK</v>
      </c>
      <c r="H661" s="199">
        <f t="shared" ref="H661:O661" si="3323">countif($D661,"*"&amp;H$2&amp;"*")</f>
        <v>0</v>
      </c>
      <c r="I661" s="200">
        <f t="shared" si="3323"/>
        <v>0</v>
      </c>
      <c r="J661" s="200">
        <f t="shared" si="3323"/>
        <v>0</v>
      </c>
      <c r="K661" s="200">
        <f t="shared" si="3323"/>
        <v>0</v>
      </c>
      <c r="L661" s="200">
        <f t="shared" si="3323"/>
        <v>0</v>
      </c>
      <c r="M661" s="200">
        <f t="shared" si="3323"/>
        <v>0</v>
      </c>
      <c r="N661" s="200">
        <f t="shared" si="3323"/>
        <v>0</v>
      </c>
      <c r="O661" s="200">
        <f t="shared" si="3323"/>
        <v>0</v>
      </c>
      <c r="P661" s="200">
        <f t="shared" si="9"/>
        <v>1</v>
      </c>
      <c r="Q661" s="200">
        <f t="shared" ref="Q661:AC661" si="3324">countif($D661,"*"&amp;Q$2&amp;"*")</f>
        <v>0</v>
      </c>
      <c r="R661" s="200">
        <f t="shared" si="3324"/>
        <v>0</v>
      </c>
      <c r="S661" s="200">
        <f t="shared" si="3324"/>
        <v>0</v>
      </c>
      <c r="T661" s="200">
        <f t="shared" si="3324"/>
        <v>0</v>
      </c>
      <c r="U661" s="200">
        <f t="shared" si="3324"/>
        <v>0</v>
      </c>
      <c r="V661" s="200">
        <f t="shared" si="3324"/>
        <v>0</v>
      </c>
      <c r="W661" s="200">
        <f t="shared" si="3324"/>
        <v>0</v>
      </c>
      <c r="X661" s="200">
        <f t="shared" si="3324"/>
        <v>0</v>
      </c>
      <c r="Y661" s="200">
        <f t="shared" si="3324"/>
        <v>0</v>
      </c>
      <c r="Z661" s="200">
        <f t="shared" si="3324"/>
        <v>0</v>
      </c>
      <c r="AA661" s="200">
        <f t="shared" si="3324"/>
        <v>0</v>
      </c>
      <c r="AB661" s="200">
        <f t="shared" si="3324"/>
        <v>0</v>
      </c>
      <c r="AC661" s="200">
        <f t="shared" si="3324"/>
        <v>0</v>
      </c>
      <c r="AD661" s="200">
        <f t="shared" si="11"/>
        <v>0</v>
      </c>
      <c r="AE661" s="200">
        <f t="shared" ref="AE661:AG661" si="3325">countif($D661,"*"&amp;AE$2&amp;"*")</f>
        <v>0</v>
      </c>
      <c r="AF661" s="200">
        <f t="shared" si="3325"/>
        <v>0</v>
      </c>
      <c r="AG661" s="200">
        <f t="shared" si="3325"/>
        <v>0</v>
      </c>
      <c r="AH661" s="171">
        <f t="shared" si="13"/>
        <v>0</v>
      </c>
      <c r="AI661" s="200">
        <f t="shared" si="14"/>
        <v>0</v>
      </c>
      <c r="AJ661" s="200">
        <f t="shared" si="3326"/>
        <v>1</v>
      </c>
      <c r="AK661" s="201">
        <f t="shared" ref="AK661:AS661" si="3327">countif($D661,"*"&amp;AK$2&amp;"*")</f>
        <v>0</v>
      </c>
      <c r="AL661" s="201">
        <f t="shared" si="3327"/>
        <v>0</v>
      </c>
      <c r="AM661" s="201">
        <f t="shared" si="3327"/>
        <v>0</v>
      </c>
      <c r="AN661" s="201">
        <f t="shared" si="3327"/>
        <v>1</v>
      </c>
      <c r="AO661" s="201">
        <f t="shared" si="3327"/>
        <v>0</v>
      </c>
      <c r="AP661" s="201">
        <f t="shared" si="3327"/>
        <v>0</v>
      </c>
      <c r="AQ661" s="201">
        <f t="shared" si="3327"/>
        <v>0</v>
      </c>
      <c r="AR661" s="200">
        <f t="shared" si="3327"/>
        <v>0</v>
      </c>
      <c r="AS661" s="200">
        <f t="shared" si="3327"/>
        <v>1</v>
      </c>
      <c r="AT661" s="173">
        <v>0.0</v>
      </c>
      <c r="AU661" s="200">
        <f t="shared" ref="AU661:AX661" si="3328">countif($D661,"*"&amp;AU$2&amp;"*")</f>
        <v>0</v>
      </c>
      <c r="AV661" s="200">
        <f t="shared" si="3328"/>
        <v>1</v>
      </c>
      <c r="AW661" s="200">
        <f t="shared" si="3328"/>
        <v>0</v>
      </c>
      <c r="AX661" s="200">
        <f t="shared" si="3328"/>
        <v>0</v>
      </c>
      <c r="AY661" s="202">
        <v>0.0</v>
      </c>
      <c r="AZ661" s="200"/>
      <c r="BA661" s="171" t="str">
        <f t="shared" si="18"/>
        <v/>
      </c>
      <c r="BB661" s="171" t="str">
        <f t="shared" si="19"/>
        <v>Code</v>
      </c>
      <c r="BC661" s="171" t="str">
        <f t="shared" si="20"/>
        <v/>
      </c>
      <c r="BD661" s="171" t="str">
        <f t="shared" si="21"/>
        <v/>
      </c>
      <c r="BE661" s="171" t="str">
        <f t="shared" si="22"/>
        <v/>
      </c>
      <c r="BF661" s="171" t="str">
        <f t="shared" si="23"/>
        <v>Code</v>
      </c>
    </row>
    <row r="662">
      <c r="A662" s="171">
        <f t="array" ref="A662">XLOOKUP(C662,ICSE!A:A,ICSE!C:C,,2,1)</f>
        <v>2018</v>
      </c>
      <c r="B662" s="171" t="s">
        <v>5675</v>
      </c>
      <c r="C662" s="160">
        <v>1247.0</v>
      </c>
      <c r="D662" s="161" t="s">
        <v>5955</v>
      </c>
      <c r="E662" s="197" t="str">
        <f t="array" ref="E662">XLOOKUP(C662,ICSE!A:A,ICSE!Z:Z,,0,1)</f>
        <v>Restrict access (1) - You need to request access,</v>
      </c>
      <c r="F662" s="198" t="s">
        <v>22</v>
      </c>
      <c r="G662" s="163" t="str">
        <f t="array" ref="G662">IF(B662="ICSE",IF(COUNTIFS(B:B,B662,C:C,C662)=XLOOKUP(C662,ICSE!A:A,ICSE!AA:AA,"ERROR",0,1),"OK","ERROR"),IF(B662="FSE",IF(COUNTIFS(B:B,B662,C:C,C662)=XLOOKUP(C662,FSE!A:A,FSE!AA:AA,"ERROR",0,1),"OK","ERROR")))</f>
        <v>OK</v>
      </c>
      <c r="H662" s="199">
        <f t="shared" ref="H662:O662" si="3329">countif($D662,"*"&amp;H$2&amp;"*")</f>
        <v>0</v>
      </c>
      <c r="I662" s="200">
        <f t="shared" si="3329"/>
        <v>0</v>
      </c>
      <c r="J662" s="200">
        <f t="shared" si="3329"/>
        <v>0</v>
      </c>
      <c r="K662" s="200">
        <f t="shared" si="3329"/>
        <v>0</v>
      </c>
      <c r="L662" s="200">
        <f t="shared" si="3329"/>
        <v>0</v>
      </c>
      <c r="M662" s="200">
        <f t="shared" si="3329"/>
        <v>0</v>
      </c>
      <c r="N662" s="200">
        <f t="shared" si="3329"/>
        <v>0</v>
      </c>
      <c r="O662" s="200">
        <f t="shared" si="3329"/>
        <v>0</v>
      </c>
      <c r="P662" s="200">
        <f t="shared" si="9"/>
        <v>0</v>
      </c>
      <c r="Q662" s="200">
        <f t="shared" ref="Q662:AC662" si="3330">countif($D662,"*"&amp;Q$2&amp;"*")</f>
        <v>0</v>
      </c>
      <c r="R662" s="200">
        <f t="shared" si="3330"/>
        <v>0</v>
      </c>
      <c r="S662" s="200">
        <f t="shared" si="3330"/>
        <v>0</v>
      </c>
      <c r="T662" s="200">
        <f t="shared" si="3330"/>
        <v>0</v>
      </c>
      <c r="U662" s="200">
        <f t="shared" si="3330"/>
        <v>0</v>
      </c>
      <c r="V662" s="200">
        <f t="shared" si="3330"/>
        <v>1</v>
      </c>
      <c r="W662" s="200">
        <f t="shared" si="3330"/>
        <v>0</v>
      </c>
      <c r="X662" s="200">
        <f t="shared" si="3330"/>
        <v>0</v>
      </c>
      <c r="Y662" s="200">
        <f t="shared" si="3330"/>
        <v>0</v>
      </c>
      <c r="Z662" s="200">
        <f t="shared" si="3330"/>
        <v>0</v>
      </c>
      <c r="AA662" s="200">
        <f t="shared" si="3330"/>
        <v>0</v>
      </c>
      <c r="AB662" s="200">
        <f t="shared" si="3330"/>
        <v>0</v>
      </c>
      <c r="AC662" s="200">
        <f t="shared" si="3330"/>
        <v>0</v>
      </c>
      <c r="AD662" s="200">
        <f t="shared" si="11"/>
        <v>0</v>
      </c>
      <c r="AE662" s="200">
        <f t="shared" ref="AE662:AG662" si="3331">countif($D662,"*"&amp;AE$2&amp;"*")</f>
        <v>0</v>
      </c>
      <c r="AF662" s="200">
        <f t="shared" si="3331"/>
        <v>0</v>
      </c>
      <c r="AG662" s="200">
        <f t="shared" si="3331"/>
        <v>0</v>
      </c>
      <c r="AH662" s="171">
        <f t="shared" si="13"/>
        <v>0</v>
      </c>
      <c r="AI662" s="200">
        <f t="shared" si="14"/>
        <v>0</v>
      </c>
      <c r="AJ662" s="200">
        <f t="shared" si="3326"/>
        <v>1</v>
      </c>
      <c r="AK662" s="201">
        <f t="shared" ref="AK662:AS662" si="3332">countif($D662,"*"&amp;AK$2&amp;"*")</f>
        <v>0</v>
      </c>
      <c r="AL662" s="201">
        <f t="shared" si="3332"/>
        <v>1</v>
      </c>
      <c r="AM662" s="201">
        <f t="shared" si="3332"/>
        <v>0</v>
      </c>
      <c r="AN662" s="201">
        <f t="shared" si="3332"/>
        <v>0</v>
      </c>
      <c r="AO662" s="201">
        <f t="shared" si="3332"/>
        <v>0</v>
      </c>
      <c r="AP662" s="201">
        <f t="shared" si="3332"/>
        <v>0</v>
      </c>
      <c r="AQ662" s="201">
        <f t="shared" si="3332"/>
        <v>0</v>
      </c>
      <c r="AR662" s="200">
        <f t="shared" si="3332"/>
        <v>0</v>
      </c>
      <c r="AS662" s="200">
        <f t="shared" si="3332"/>
        <v>1</v>
      </c>
      <c r="AT662" s="173">
        <v>0.0</v>
      </c>
      <c r="AU662" s="200">
        <f t="shared" ref="AU662:AX662" si="3333">countif($D662,"*"&amp;AU$2&amp;"*")</f>
        <v>0</v>
      </c>
      <c r="AV662" s="200">
        <f t="shared" si="3333"/>
        <v>0</v>
      </c>
      <c r="AW662" s="200">
        <f t="shared" si="3333"/>
        <v>0</v>
      </c>
      <c r="AX662" s="200">
        <f t="shared" si="3333"/>
        <v>0</v>
      </c>
      <c r="AY662" s="202">
        <v>0.0</v>
      </c>
      <c r="AZ662" s="200"/>
      <c r="BA662" s="171" t="str">
        <f t="shared" si="18"/>
        <v/>
      </c>
      <c r="BB662" s="171" t="str">
        <f t="shared" si="19"/>
        <v/>
      </c>
      <c r="BC662" s="171" t="str">
        <f t="shared" si="20"/>
        <v>General-purpose</v>
      </c>
      <c r="BD662" s="171" t="str">
        <f t="shared" si="21"/>
        <v/>
      </c>
      <c r="BE662" s="171" t="str">
        <f t="shared" si="22"/>
        <v/>
      </c>
      <c r="BF662" s="171" t="str">
        <f t="shared" si="23"/>
        <v>General-purpose</v>
      </c>
    </row>
    <row r="663">
      <c r="A663" s="171">
        <f t="array" ref="A663">XLOOKUP(C663,ICSE!A:A,ICSE!C:C,,2,1)</f>
        <v>2018</v>
      </c>
      <c r="B663" s="171" t="s">
        <v>5675</v>
      </c>
      <c r="C663" s="160">
        <v>1248.0</v>
      </c>
      <c r="D663" s="161" t="s">
        <v>1176</v>
      </c>
      <c r="E663" s="197" t="str">
        <f t="array" ref="E663">XLOOKUP(C663,ICSE!A:A,ICSE!Z:Z,,0,1)</f>
        <v>Not available (1) - Broken link.</v>
      </c>
      <c r="F663" s="198" t="s">
        <v>21</v>
      </c>
      <c r="G663" s="163" t="str">
        <f t="array" ref="G663">IF(B663="ICSE",IF(COUNTIFS(B:B,B663,C:C,C663)=XLOOKUP(C663,ICSE!A:A,ICSE!AA:AA,"ERROR",0,1),"OK","ERROR"),IF(B663="FSE",IF(COUNTIFS(B:B,B663,C:C,C663)=XLOOKUP(C663,FSE!A:A,FSE!AA:AA,"ERROR",0,1),"OK","ERROR")))</f>
        <v>OK</v>
      </c>
      <c r="H663" s="199">
        <f t="shared" ref="H663:O663" si="3334">countif($D663,"*"&amp;H$2&amp;"*")</f>
        <v>0</v>
      </c>
      <c r="I663" s="200">
        <f t="shared" si="3334"/>
        <v>0</v>
      </c>
      <c r="J663" s="200">
        <f t="shared" si="3334"/>
        <v>0</v>
      </c>
      <c r="K663" s="200">
        <f t="shared" si="3334"/>
        <v>0</v>
      </c>
      <c r="L663" s="200">
        <f t="shared" si="3334"/>
        <v>0</v>
      </c>
      <c r="M663" s="200">
        <f t="shared" si="3334"/>
        <v>0</v>
      </c>
      <c r="N663" s="200">
        <f t="shared" si="3334"/>
        <v>0</v>
      </c>
      <c r="O663" s="200">
        <f t="shared" si="3334"/>
        <v>0</v>
      </c>
      <c r="P663" s="200">
        <f t="shared" si="9"/>
        <v>0</v>
      </c>
      <c r="Q663" s="200">
        <f t="shared" ref="Q663:AC663" si="3335">countif($D663,"*"&amp;Q$2&amp;"*")</f>
        <v>0</v>
      </c>
      <c r="R663" s="200">
        <f t="shared" si="3335"/>
        <v>0</v>
      </c>
      <c r="S663" s="200">
        <f t="shared" si="3335"/>
        <v>0</v>
      </c>
      <c r="T663" s="200">
        <f t="shared" si="3335"/>
        <v>0</v>
      </c>
      <c r="U663" s="200">
        <f t="shared" si="3335"/>
        <v>0</v>
      </c>
      <c r="V663" s="200">
        <f t="shared" si="3335"/>
        <v>0</v>
      </c>
      <c r="W663" s="200">
        <f t="shared" si="3335"/>
        <v>0</v>
      </c>
      <c r="X663" s="200">
        <f t="shared" si="3335"/>
        <v>0</v>
      </c>
      <c r="Y663" s="200">
        <f t="shared" si="3335"/>
        <v>0</v>
      </c>
      <c r="Z663" s="200">
        <f t="shared" si="3335"/>
        <v>0</v>
      </c>
      <c r="AA663" s="200">
        <f t="shared" si="3335"/>
        <v>1</v>
      </c>
      <c r="AB663" s="200">
        <f t="shared" si="3335"/>
        <v>0</v>
      </c>
      <c r="AC663" s="200">
        <f t="shared" si="3335"/>
        <v>0</v>
      </c>
      <c r="AD663" s="200">
        <f t="shared" si="11"/>
        <v>0</v>
      </c>
      <c r="AE663" s="200">
        <f t="shared" ref="AE663:AG663" si="3336">countif($D663,"*"&amp;AE$2&amp;"*")</f>
        <v>0</v>
      </c>
      <c r="AF663" s="200">
        <f t="shared" si="3336"/>
        <v>0</v>
      </c>
      <c r="AG663" s="200">
        <f t="shared" si="3336"/>
        <v>0</v>
      </c>
      <c r="AH663" s="171">
        <f t="shared" si="13"/>
        <v>0</v>
      </c>
      <c r="AI663" s="200">
        <f t="shared" si="14"/>
        <v>0</v>
      </c>
      <c r="AJ663" s="200">
        <f t="shared" si="3326"/>
        <v>0</v>
      </c>
      <c r="AK663" s="201">
        <f t="shared" ref="AK663:AS663" si="3337">countif($D663,"*"&amp;AK$2&amp;"*")</f>
        <v>0</v>
      </c>
      <c r="AL663" s="201">
        <f t="shared" si="3337"/>
        <v>0</v>
      </c>
      <c r="AM663" s="201">
        <f t="shared" si="3337"/>
        <v>0</v>
      </c>
      <c r="AN663" s="201">
        <f t="shared" si="3337"/>
        <v>0</v>
      </c>
      <c r="AO663" s="201">
        <f t="shared" si="3337"/>
        <v>0</v>
      </c>
      <c r="AP663" s="201">
        <f t="shared" si="3337"/>
        <v>0</v>
      </c>
      <c r="AQ663" s="201">
        <f t="shared" si="3337"/>
        <v>0</v>
      </c>
      <c r="AR663" s="200">
        <f t="shared" si="3337"/>
        <v>0</v>
      </c>
      <c r="AS663" s="200">
        <f t="shared" si="3337"/>
        <v>0</v>
      </c>
      <c r="AT663" s="173">
        <v>0.0</v>
      </c>
      <c r="AU663" s="200">
        <f t="shared" ref="AU663:AX663" si="3338">countif($D663,"*"&amp;AU$2&amp;"*")</f>
        <v>0</v>
      </c>
      <c r="AV663" s="200">
        <f t="shared" si="3338"/>
        <v>0</v>
      </c>
      <c r="AW663" s="200">
        <f t="shared" si="3338"/>
        <v>0</v>
      </c>
      <c r="AX663" s="200">
        <f t="shared" si="3338"/>
        <v>0</v>
      </c>
      <c r="AY663" s="202">
        <v>0.0</v>
      </c>
      <c r="AZ663" s="200"/>
      <c r="BA663" s="171" t="str">
        <f t="shared" si="18"/>
        <v/>
      </c>
      <c r="BB663" s="171" t="str">
        <f t="shared" si="19"/>
        <v/>
      </c>
      <c r="BC663" s="171" t="str">
        <f t="shared" si="20"/>
        <v>General-purpose</v>
      </c>
      <c r="BD663" s="171" t="str">
        <f t="shared" si="21"/>
        <v/>
      </c>
      <c r="BE663" s="171" t="str">
        <f t="shared" si="22"/>
        <v/>
      </c>
      <c r="BF663" s="171" t="str">
        <f t="shared" si="23"/>
        <v>General-purpose</v>
      </c>
    </row>
    <row r="664">
      <c r="A664" s="171">
        <f t="array" ref="A664">XLOOKUP(C664,ICSE!A:A,ICSE!C:C,,2,1)</f>
        <v>2018</v>
      </c>
      <c r="B664" s="171" t="s">
        <v>5675</v>
      </c>
      <c r="C664" s="160">
        <v>1249.0</v>
      </c>
      <c r="D664" s="161" t="s">
        <v>5956</v>
      </c>
      <c r="E664" s="197" t="str">
        <f t="array" ref="E664">XLOOKUP(C664,ICSE!A:A,ICSE!Z:Z,,0,1)</f>
        <v>Publicly available (3)</v>
      </c>
      <c r="F664" s="198" t="s">
        <v>20</v>
      </c>
      <c r="G664" s="163" t="str">
        <f t="array" ref="G664">IF(B664="ICSE",IF(COUNTIFS(B:B,B664,C:C,C664)=XLOOKUP(C664,ICSE!A:A,ICSE!AA:AA,"ERROR",0,1),"OK","ERROR"),IF(B664="FSE",IF(COUNTIFS(B:B,B664,C:C,C664)=XLOOKUP(C664,FSE!A:A,FSE!AA:AA,"ERROR",0,1),"OK","ERROR")))</f>
        <v>OK</v>
      </c>
      <c r="H664" s="199">
        <f t="shared" ref="H664:O664" si="3339">countif($D664,"*"&amp;H$2&amp;"*")</f>
        <v>1</v>
      </c>
      <c r="I664" s="200">
        <f t="shared" si="3339"/>
        <v>0</v>
      </c>
      <c r="J664" s="200">
        <f t="shared" si="3339"/>
        <v>0</v>
      </c>
      <c r="K664" s="200">
        <f t="shared" si="3339"/>
        <v>0</v>
      </c>
      <c r="L664" s="200">
        <f t="shared" si="3339"/>
        <v>0</v>
      </c>
      <c r="M664" s="200">
        <f t="shared" si="3339"/>
        <v>0</v>
      </c>
      <c r="N664" s="200">
        <f t="shared" si="3339"/>
        <v>0</v>
      </c>
      <c r="O664" s="200">
        <f t="shared" si="3339"/>
        <v>0</v>
      </c>
      <c r="P664" s="200">
        <f t="shared" si="9"/>
        <v>0</v>
      </c>
      <c r="Q664" s="200">
        <f t="shared" ref="Q664:AC664" si="3340">countif($D664,"*"&amp;Q$2&amp;"*")</f>
        <v>0</v>
      </c>
      <c r="R664" s="200">
        <f t="shared" si="3340"/>
        <v>0</v>
      </c>
      <c r="S664" s="200">
        <f t="shared" si="3340"/>
        <v>0</v>
      </c>
      <c r="T664" s="200">
        <f t="shared" si="3340"/>
        <v>0</v>
      </c>
      <c r="U664" s="200">
        <f t="shared" si="3340"/>
        <v>0</v>
      </c>
      <c r="V664" s="200">
        <f t="shared" si="3340"/>
        <v>0</v>
      </c>
      <c r="W664" s="200">
        <f t="shared" si="3340"/>
        <v>0</v>
      </c>
      <c r="X664" s="200">
        <f t="shared" si="3340"/>
        <v>0</v>
      </c>
      <c r="Y664" s="200">
        <f t="shared" si="3340"/>
        <v>0</v>
      </c>
      <c r="Z664" s="200">
        <f t="shared" si="3340"/>
        <v>0</v>
      </c>
      <c r="AA664" s="200">
        <f t="shared" si="3340"/>
        <v>0</v>
      </c>
      <c r="AB664" s="200">
        <f t="shared" si="3340"/>
        <v>0</v>
      </c>
      <c r="AC664" s="200">
        <f t="shared" si="3340"/>
        <v>0</v>
      </c>
      <c r="AD664" s="200">
        <f t="shared" si="11"/>
        <v>0</v>
      </c>
      <c r="AE664" s="200">
        <f t="shared" ref="AE664:AG664" si="3341">countif($D664,"*"&amp;AE$2&amp;"*")</f>
        <v>0</v>
      </c>
      <c r="AF664" s="200">
        <f t="shared" si="3341"/>
        <v>0</v>
      </c>
      <c r="AG664" s="200">
        <f t="shared" si="3341"/>
        <v>0</v>
      </c>
      <c r="AH664" s="171">
        <f t="shared" si="13"/>
        <v>0</v>
      </c>
      <c r="AI664" s="200">
        <f t="shared" si="14"/>
        <v>1</v>
      </c>
      <c r="AJ664" s="200">
        <f t="shared" si="3326"/>
        <v>0</v>
      </c>
      <c r="AK664" s="201">
        <f t="shared" ref="AK664:AS664" si="3342">countif($D664,"*"&amp;AK$2&amp;"*")</f>
        <v>0</v>
      </c>
      <c r="AL664" s="201">
        <f t="shared" si="3342"/>
        <v>0</v>
      </c>
      <c r="AM664" s="201">
        <f t="shared" si="3342"/>
        <v>0</v>
      </c>
      <c r="AN664" s="201">
        <f t="shared" si="3342"/>
        <v>0</v>
      </c>
      <c r="AO664" s="201">
        <f t="shared" si="3342"/>
        <v>0</v>
      </c>
      <c r="AP664" s="201">
        <f t="shared" si="3342"/>
        <v>0</v>
      </c>
      <c r="AQ664" s="201">
        <f t="shared" si="3342"/>
        <v>0</v>
      </c>
      <c r="AR664" s="200">
        <f t="shared" si="3342"/>
        <v>0</v>
      </c>
      <c r="AS664" s="200">
        <f t="shared" si="3342"/>
        <v>0</v>
      </c>
      <c r="AT664" s="173">
        <v>0.0</v>
      </c>
      <c r="AU664" s="200">
        <f t="shared" ref="AU664:AX664" si="3343">countif($D664,"*"&amp;AU$2&amp;"*")</f>
        <v>0</v>
      </c>
      <c r="AV664" s="200">
        <f t="shared" si="3343"/>
        <v>0</v>
      </c>
      <c r="AW664" s="200">
        <f t="shared" si="3343"/>
        <v>0</v>
      </c>
      <c r="AX664" s="200">
        <f t="shared" si="3343"/>
        <v>1</v>
      </c>
      <c r="AY664" s="202">
        <v>0.0</v>
      </c>
      <c r="AZ664" s="200"/>
      <c r="BA664" s="171" t="str">
        <f t="shared" si="18"/>
        <v>Archival</v>
      </c>
      <c r="BB664" s="171" t="str">
        <f t="shared" si="19"/>
        <v/>
      </c>
      <c r="BC664" s="171" t="str">
        <f t="shared" si="20"/>
        <v/>
      </c>
      <c r="BD664" s="171" t="str">
        <f t="shared" si="21"/>
        <v/>
      </c>
      <c r="BE664" s="171" t="str">
        <f t="shared" si="22"/>
        <v/>
      </c>
      <c r="BF664" s="171" t="str">
        <f t="shared" si="23"/>
        <v>Archival</v>
      </c>
    </row>
    <row r="665">
      <c r="A665" s="171">
        <f t="array" ref="A665">XLOOKUP(C665,ICSE!A:A,ICSE!C:C,,2,1)</f>
        <v>2018</v>
      </c>
      <c r="B665" s="171" t="s">
        <v>5675</v>
      </c>
      <c r="C665" s="160">
        <v>1249.0</v>
      </c>
      <c r="D665" s="161" t="s">
        <v>5957</v>
      </c>
      <c r="E665" s="197" t="str">
        <f t="array" ref="E665">XLOOKUP(C665,ICSE!A:A,ICSE!Z:Z,,0,1)</f>
        <v>Publicly available (3)</v>
      </c>
      <c r="F665" s="198" t="s">
        <v>20</v>
      </c>
      <c r="G665" s="163" t="str">
        <f t="array" ref="G665">IF(B665="ICSE",IF(COUNTIFS(B:B,B665,C:C,C665)=XLOOKUP(C665,ICSE!A:A,ICSE!AA:AA,"ERROR",0,1),"OK","ERROR"),IF(B665="FSE",IF(COUNTIFS(B:B,B665,C:C,C665)=XLOOKUP(C665,FSE!A:A,FSE!AA:AA,"ERROR",0,1),"OK","ERROR")))</f>
        <v>OK</v>
      </c>
      <c r="H665" s="199">
        <f t="shared" ref="H665:O665" si="3344">countif($D665,"*"&amp;H$2&amp;"*")</f>
        <v>1</v>
      </c>
      <c r="I665" s="200">
        <f t="shared" si="3344"/>
        <v>0</v>
      </c>
      <c r="J665" s="200">
        <f t="shared" si="3344"/>
        <v>0</v>
      </c>
      <c r="K665" s="200">
        <f t="shared" si="3344"/>
        <v>0</v>
      </c>
      <c r="L665" s="200">
        <f t="shared" si="3344"/>
        <v>0</v>
      </c>
      <c r="M665" s="200">
        <f t="shared" si="3344"/>
        <v>0</v>
      </c>
      <c r="N665" s="200">
        <f t="shared" si="3344"/>
        <v>0</v>
      </c>
      <c r="O665" s="200">
        <f t="shared" si="3344"/>
        <v>0</v>
      </c>
      <c r="P665" s="200">
        <f t="shared" si="9"/>
        <v>0</v>
      </c>
      <c r="Q665" s="200">
        <f t="shared" ref="Q665:AC665" si="3345">countif($D665,"*"&amp;Q$2&amp;"*")</f>
        <v>0</v>
      </c>
      <c r="R665" s="200">
        <f t="shared" si="3345"/>
        <v>0</v>
      </c>
      <c r="S665" s="200">
        <f t="shared" si="3345"/>
        <v>0</v>
      </c>
      <c r="T665" s="200">
        <f t="shared" si="3345"/>
        <v>0</v>
      </c>
      <c r="U665" s="200">
        <f t="shared" si="3345"/>
        <v>0</v>
      </c>
      <c r="V665" s="200">
        <f t="shared" si="3345"/>
        <v>0</v>
      </c>
      <c r="W665" s="200">
        <f t="shared" si="3345"/>
        <v>0</v>
      </c>
      <c r="X665" s="200">
        <f t="shared" si="3345"/>
        <v>0</v>
      </c>
      <c r="Y665" s="200">
        <f t="shared" si="3345"/>
        <v>0</v>
      </c>
      <c r="Z665" s="200">
        <f t="shared" si="3345"/>
        <v>0</v>
      </c>
      <c r="AA665" s="200">
        <f t="shared" si="3345"/>
        <v>0</v>
      </c>
      <c r="AB665" s="200">
        <f t="shared" si="3345"/>
        <v>0</v>
      </c>
      <c r="AC665" s="200">
        <f t="shared" si="3345"/>
        <v>0</v>
      </c>
      <c r="AD665" s="200">
        <f t="shared" si="11"/>
        <v>0</v>
      </c>
      <c r="AE665" s="200">
        <f t="shared" ref="AE665:AG665" si="3346">countif($D665,"*"&amp;AE$2&amp;"*")</f>
        <v>0</v>
      </c>
      <c r="AF665" s="200">
        <f t="shared" si="3346"/>
        <v>0</v>
      </c>
      <c r="AG665" s="200">
        <f t="shared" si="3346"/>
        <v>0</v>
      </c>
      <c r="AH665" s="171">
        <f t="shared" si="13"/>
        <v>0</v>
      </c>
      <c r="AI665" s="200">
        <f t="shared" si="14"/>
        <v>1</v>
      </c>
      <c r="AJ665" s="200">
        <f t="shared" si="3326"/>
        <v>0</v>
      </c>
      <c r="AK665" s="201">
        <f t="shared" ref="AK665:AS665" si="3347">countif($D665,"*"&amp;AK$2&amp;"*")</f>
        <v>0</v>
      </c>
      <c r="AL665" s="201">
        <f t="shared" si="3347"/>
        <v>0</v>
      </c>
      <c r="AM665" s="201">
        <f t="shared" si="3347"/>
        <v>0</v>
      </c>
      <c r="AN665" s="201">
        <f t="shared" si="3347"/>
        <v>0</v>
      </c>
      <c r="AO665" s="201">
        <f t="shared" si="3347"/>
        <v>0</v>
      </c>
      <c r="AP665" s="201">
        <f t="shared" si="3347"/>
        <v>0</v>
      </c>
      <c r="AQ665" s="201">
        <f t="shared" si="3347"/>
        <v>0</v>
      </c>
      <c r="AR665" s="200">
        <f t="shared" si="3347"/>
        <v>0</v>
      </c>
      <c r="AS665" s="200">
        <f t="shared" si="3347"/>
        <v>0</v>
      </c>
      <c r="AT665" s="173">
        <v>0.0</v>
      </c>
      <c r="AU665" s="200">
        <f t="shared" ref="AU665:AX665" si="3348">countif($D665,"*"&amp;AU$2&amp;"*")</f>
        <v>0</v>
      </c>
      <c r="AV665" s="200">
        <f t="shared" si="3348"/>
        <v>0</v>
      </c>
      <c r="AW665" s="200">
        <f t="shared" si="3348"/>
        <v>0</v>
      </c>
      <c r="AX665" s="200">
        <f t="shared" si="3348"/>
        <v>1</v>
      </c>
      <c r="AY665" s="202">
        <v>0.0</v>
      </c>
      <c r="AZ665" s="200"/>
      <c r="BA665" s="171" t="str">
        <f t="shared" si="18"/>
        <v>Archival</v>
      </c>
      <c r="BB665" s="171" t="str">
        <f t="shared" si="19"/>
        <v/>
      </c>
      <c r="BC665" s="171" t="str">
        <f t="shared" si="20"/>
        <v/>
      </c>
      <c r="BD665" s="171" t="str">
        <f t="shared" si="21"/>
        <v/>
      </c>
      <c r="BE665" s="171" t="str">
        <f t="shared" si="22"/>
        <v/>
      </c>
      <c r="BF665" s="171" t="str">
        <f t="shared" si="23"/>
        <v>Archival</v>
      </c>
    </row>
    <row r="666">
      <c r="A666" s="171">
        <f t="array" ref="A666">XLOOKUP(C666,ICSE!A:A,ICSE!C:C,,2,1)</f>
        <v>2018</v>
      </c>
      <c r="B666" s="171" t="s">
        <v>5675</v>
      </c>
      <c r="C666" s="160">
        <v>1249.0</v>
      </c>
      <c r="D666" s="161" t="s">
        <v>5958</v>
      </c>
      <c r="E666" s="197" t="str">
        <f t="array" ref="E666">XLOOKUP(C666,ICSE!A:A,ICSE!Z:Z,,0,1)</f>
        <v>Publicly available (3)</v>
      </c>
      <c r="F666" s="198" t="s">
        <v>20</v>
      </c>
      <c r="G666" s="163" t="str">
        <f t="array" ref="G666">IF(B666="ICSE",IF(COUNTIFS(B:B,B666,C:C,C666)=XLOOKUP(C666,ICSE!A:A,ICSE!AA:AA,"ERROR",0,1),"OK","ERROR"),IF(B666="FSE",IF(COUNTIFS(B:B,B666,C:C,C666)=XLOOKUP(C666,FSE!A:A,FSE!AA:AA,"ERROR",0,1),"OK","ERROR")))</f>
        <v>OK</v>
      </c>
      <c r="H666" s="199">
        <f t="shared" ref="H666:O666" si="3349">countif($D666,"*"&amp;H$2&amp;"*")</f>
        <v>1</v>
      </c>
      <c r="I666" s="200">
        <f t="shared" si="3349"/>
        <v>0</v>
      </c>
      <c r="J666" s="200">
        <f t="shared" si="3349"/>
        <v>0</v>
      </c>
      <c r="K666" s="200">
        <f t="shared" si="3349"/>
        <v>0</v>
      </c>
      <c r="L666" s="200">
        <f t="shared" si="3349"/>
        <v>0</v>
      </c>
      <c r="M666" s="200">
        <f t="shared" si="3349"/>
        <v>0</v>
      </c>
      <c r="N666" s="200">
        <f t="shared" si="3349"/>
        <v>0</v>
      </c>
      <c r="O666" s="200">
        <f t="shared" si="3349"/>
        <v>0</v>
      </c>
      <c r="P666" s="200">
        <f t="shared" si="9"/>
        <v>0</v>
      </c>
      <c r="Q666" s="200">
        <f t="shared" ref="Q666:AC666" si="3350">countif($D666,"*"&amp;Q$2&amp;"*")</f>
        <v>0</v>
      </c>
      <c r="R666" s="200">
        <f t="shared" si="3350"/>
        <v>0</v>
      </c>
      <c r="S666" s="200">
        <f t="shared" si="3350"/>
        <v>0</v>
      </c>
      <c r="T666" s="200">
        <f t="shared" si="3350"/>
        <v>0</v>
      </c>
      <c r="U666" s="200">
        <f t="shared" si="3350"/>
        <v>0</v>
      </c>
      <c r="V666" s="200">
        <f t="shared" si="3350"/>
        <v>0</v>
      </c>
      <c r="W666" s="200">
        <f t="shared" si="3350"/>
        <v>0</v>
      </c>
      <c r="X666" s="200">
        <f t="shared" si="3350"/>
        <v>0</v>
      </c>
      <c r="Y666" s="200">
        <f t="shared" si="3350"/>
        <v>0</v>
      </c>
      <c r="Z666" s="200">
        <f t="shared" si="3350"/>
        <v>0</v>
      </c>
      <c r="AA666" s="200">
        <f t="shared" si="3350"/>
        <v>0</v>
      </c>
      <c r="AB666" s="200">
        <f t="shared" si="3350"/>
        <v>0</v>
      </c>
      <c r="AC666" s="200">
        <f t="shared" si="3350"/>
        <v>0</v>
      </c>
      <c r="AD666" s="200">
        <f t="shared" si="11"/>
        <v>0</v>
      </c>
      <c r="AE666" s="200">
        <f t="shared" ref="AE666:AG666" si="3351">countif($D666,"*"&amp;AE$2&amp;"*")</f>
        <v>0</v>
      </c>
      <c r="AF666" s="200">
        <f t="shared" si="3351"/>
        <v>0</v>
      </c>
      <c r="AG666" s="200">
        <f t="shared" si="3351"/>
        <v>0</v>
      </c>
      <c r="AH666" s="171">
        <f t="shared" si="13"/>
        <v>0</v>
      </c>
      <c r="AI666" s="200">
        <f t="shared" si="14"/>
        <v>1</v>
      </c>
      <c r="AJ666" s="200">
        <f t="shared" si="3326"/>
        <v>0</v>
      </c>
      <c r="AK666" s="201">
        <f t="shared" ref="AK666:AS666" si="3352">countif($D666,"*"&amp;AK$2&amp;"*")</f>
        <v>0</v>
      </c>
      <c r="AL666" s="201">
        <f t="shared" si="3352"/>
        <v>0</v>
      </c>
      <c r="AM666" s="201">
        <f t="shared" si="3352"/>
        <v>0</v>
      </c>
      <c r="AN666" s="201">
        <f t="shared" si="3352"/>
        <v>0</v>
      </c>
      <c r="AO666" s="201">
        <f t="shared" si="3352"/>
        <v>0</v>
      </c>
      <c r="AP666" s="201">
        <f t="shared" si="3352"/>
        <v>0</v>
      </c>
      <c r="AQ666" s="201">
        <f t="shared" si="3352"/>
        <v>0</v>
      </c>
      <c r="AR666" s="200">
        <f t="shared" si="3352"/>
        <v>0</v>
      </c>
      <c r="AS666" s="200">
        <f t="shared" si="3352"/>
        <v>0</v>
      </c>
      <c r="AT666" s="173">
        <v>0.0</v>
      </c>
      <c r="AU666" s="200">
        <f t="shared" ref="AU666:AX666" si="3353">countif($D666,"*"&amp;AU$2&amp;"*")</f>
        <v>0</v>
      </c>
      <c r="AV666" s="200">
        <f t="shared" si="3353"/>
        <v>0</v>
      </c>
      <c r="AW666" s="200">
        <f t="shared" si="3353"/>
        <v>0</v>
      </c>
      <c r="AX666" s="200">
        <f t="shared" si="3353"/>
        <v>1</v>
      </c>
      <c r="AY666" s="202">
        <v>0.0</v>
      </c>
      <c r="AZ666" s="200"/>
      <c r="BA666" s="171" t="str">
        <f t="shared" si="18"/>
        <v>Archival</v>
      </c>
      <c r="BB666" s="171" t="str">
        <f t="shared" si="19"/>
        <v/>
      </c>
      <c r="BC666" s="171" t="str">
        <f t="shared" si="20"/>
        <v/>
      </c>
      <c r="BD666" s="171" t="str">
        <f t="shared" si="21"/>
        <v/>
      </c>
      <c r="BE666" s="171" t="str">
        <f t="shared" si="22"/>
        <v/>
      </c>
      <c r="BF666" s="171" t="str">
        <f t="shared" si="23"/>
        <v>Archival</v>
      </c>
    </row>
    <row r="667">
      <c r="A667" s="171">
        <f t="array" ref="A667">XLOOKUP(C667,ICSE!A:A,ICSE!C:C,,2,1)</f>
        <v>2018</v>
      </c>
      <c r="B667" s="171" t="s">
        <v>5675</v>
      </c>
      <c r="C667" s="160">
        <v>1250.0</v>
      </c>
      <c r="D667" s="161" t="s">
        <v>1183</v>
      </c>
      <c r="E667" s="197" t="str">
        <f t="array" ref="E667">XLOOKUP(C667,ICSE!A:A,ICSE!Z:Z,,0,1)</f>
        <v>Not available (1) - Broken link.</v>
      </c>
      <c r="F667" s="198" t="s">
        <v>21</v>
      </c>
      <c r="G667" s="163" t="str">
        <f t="array" ref="G667">IF(B667="ICSE",IF(COUNTIFS(B:B,B667,C:C,C667)=XLOOKUP(C667,ICSE!A:A,ICSE!AA:AA,"ERROR",0,1),"OK","ERROR"),IF(B667="FSE",IF(COUNTIFS(B:B,B667,C:C,C667)=XLOOKUP(C667,FSE!A:A,FSE!AA:AA,"ERROR",0,1),"OK","ERROR")))</f>
        <v>OK</v>
      </c>
      <c r="H667" s="199">
        <f t="shared" ref="H667:O667" si="3354">countif($D667,"*"&amp;H$2&amp;"*")</f>
        <v>0</v>
      </c>
      <c r="I667" s="200">
        <f t="shared" si="3354"/>
        <v>0</v>
      </c>
      <c r="J667" s="200">
        <f t="shared" si="3354"/>
        <v>0</v>
      </c>
      <c r="K667" s="200">
        <f t="shared" si="3354"/>
        <v>0</v>
      </c>
      <c r="L667" s="200">
        <f t="shared" si="3354"/>
        <v>0</v>
      </c>
      <c r="M667" s="200">
        <f t="shared" si="3354"/>
        <v>0</v>
      </c>
      <c r="N667" s="200">
        <f t="shared" si="3354"/>
        <v>0</v>
      </c>
      <c r="O667" s="200">
        <f t="shared" si="3354"/>
        <v>0</v>
      </c>
      <c r="P667" s="200">
        <f t="shared" si="9"/>
        <v>1</v>
      </c>
      <c r="Q667" s="200">
        <f t="shared" ref="Q667:AC667" si="3355">countif($D667,"*"&amp;Q$2&amp;"*")</f>
        <v>0</v>
      </c>
      <c r="R667" s="200">
        <f t="shared" si="3355"/>
        <v>0</v>
      </c>
      <c r="S667" s="200">
        <f t="shared" si="3355"/>
        <v>0</v>
      </c>
      <c r="T667" s="200">
        <f t="shared" si="3355"/>
        <v>0</v>
      </c>
      <c r="U667" s="200">
        <f t="shared" si="3355"/>
        <v>0</v>
      </c>
      <c r="V667" s="200">
        <f t="shared" si="3355"/>
        <v>0</v>
      </c>
      <c r="W667" s="200">
        <f t="shared" si="3355"/>
        <v>0</v>
      </c>
      <c r="X667" s="200">
        <f t="shared" si="3355"/>
        <v>0</v>
      </c>
      <c r="Y667" s="200">
        <f t="shared" si="3355"/>
        <v>0</v>
      </c>
      <c r="Z667" s="200">
        <f t="shared" si="3355"/>
        <v>0</v>
      </c>
      <c r="AA667" s="200">
        <f t="shared" si="3355"/>
        <v>0</v>
      </c>
      <c r="AB667" s="200">
        <f t="shared" si="3355"/>
        <v>0</v>
      </c>
      <c r="AC667" s="200">
        <f t="shared" si="3355"/>
        <v>0</v>
      </c>
      <c r="AD667" s="200">
        <f t="shared" si="11"/>
        <v>0</v>
      </c>
      <c r="AE667" s="200">
        <f t="shared" ref="AE667:AG667" si="3356">countif($D667,"*"&amp;AE$2&amp;"*")</f>
        <v>0</v>
      </c>
      <c r="AF667" s="200">
        <f t="shared" si="3356"/>
        <v>0</v>
      </c>
      <c r="AG667" s="200">
        <f t="shared" si="3356"/>
        <v>0</v>
      </c>
      <c r="AH667" s="171">
        <f t="shared" si="13"/>
        <v>0</v>
      </c>
      <c r="AI667" s="200">
        <f t="shared" si="14"/>
        <v>0</v>
      </c>
      <c r="AJ667" s="200">
        <f t="shared" si="3326"/>
        <v>0</v>
      </c>
      <c r="AK667" s="201">
        <f t="shared" ref="AK667:AS667" si="3357">countif($D667,"*"&amp;AK$2&amp;"*")</f>
        <v>0</v>
      </c>
      <c r="AL667" s="201">
        <f t="shared" si="3357"/>
        <v>0</v>
      </c>
      <c r="AM667" s="201">
        <f t="shared" si="3357"/>
        <v>0</v>
      </c>
      <c r="AN667" s="201">
        <f t="shared" si="3357"/>
        <v>0</v>
      </c>
      <c r="AO667" s="201">
        <f t="shared" si="3357"/>
        <v>0</v>
      </c>
      <c r="AP667" s="201">
        <f t="shared" si="3357"/>
        <v>0</v>
      </c>
      <c r="AQ667" s="201">
        <f t="shared" si="3357"/>
        <v>0</v>
      </c>
      <c r="AR667" s="200">
        <f t="shared" si="3357"/>
        <v>0</v>
      </c>
      <c r="AS667" s="200">
        <f t="shared" si="3357"/>
        <v>0</v>
      </c>
      <c r="AT667" s="173">
        <v>0.0</v>
      </c>
      <c r="AU667" s="200">
        <f t="shared" ref="AU667:AX667" si="3358">countif($D667,"*"&amp;AU$2&amp;"*")</f>
        <v>0</v>
      </c>
      <c r="AV667" s="200">
        <f t="shared" si="3358"/>
        <v>1</v>
      </c>
      <c r="AW667" s="200">
        <f t="shared" si="3358"/>
        <v>0</v>
      </c>
      <c r="AX667" s="200">
        <f t="shared" si="3358"/>
        <v>0</v>
      </c>
      <c r="AY667" s="202">
        <v>0.0</v>
      </c>
      <c r="AZ667" s="200"/>
      <c r="BA667" s="171" t="str">
        <f t="shared" si="18"/>
        <v/>
      </c>
      <c r="BB667" s="171" t="str">
        <f t="shared" si="19"/>
        <v>Code</v>
      </c>
      <c r="BC667" s="171" t="str">
        <f t="shared" si="20"/>
        <v/>
      </c>
      <c r="BD667" s="171" t="str">
        <f t="shared" si="21"/>
        <v/>
      </c>
      <c r="BE667" s="171" t="str">
        <f t="shared" si="22"/>
        <v/>
      </c>
      <c r="BF667" s="171" t="str">
        <f t="shared" si="23"/>
        <v>Code</v>
      </c>
    </row>
    <row r="668">
      <c r="A668" s="171">
        <f t="array" ref="A668">XLOOKUP(C668,ICSE!A:A,ICSE!C:C,,2,1)</f>
        <v>2018</v>
      </c>
      <c r="B668" s="171" t="s">
        <v>5675</v>
      </c>
      <c r="C668" s="160">
        <v>1251.0</v>
      </c>
      <c r="D668" s="161" t="s">
        <v>5959</v>
      </c>
      <c r="E668" s="197" t="str">
        <f t="array" ref="E668">XLOOKUP(C668,ICSE!A:A,ICSE!Z:Z,,0,1)</f>
        <v>Publicly available (2)</v>
      </c>
      <c r="F668" s="198" t="s">
        <v>20</v>
      </c>
      <c r="G668" s="163" t="str">
        <f t="array" ref="G668">IF(B668="ICSE",IF(COUNTIFS(B:B,B668,C:C,C668)=XLOOKUP(C668,ICSE!A:A,ICSE!AA:AA,"ERROR",0,1),"OK","ERROR"),IF(B668="FSE",IF(COUNTIFS(B:B,B668,C:C,C668)=XLOOKUP(C668,FSE!A:A,FSE!AA:AA,"ERROR",0,1),"OK","ERROR")))</f>
        <v>OK</v>
      </c>
      <c r="H668" s="199">
        <f t="shared" ref="H668:O668" si="3359">countif($D668,"*"&amp;H$2&amp;"*")</f>
        <v>0</v>
      </c>
      <c r="I668" s="200">
        <f t="shared" si="3359"/>
        <v>0</v>
      </c>
      <c r="J668" s="200">
        <f t="shared" si="3359"/>
        <v>0</v>
      </c>
      <c r="K668" s="200">
        <f t="shared" si="3359"/>
        <v>0</v>
      </c>
      <c r="L668" s="200">
        <f t="shared" si="3359"/>
        <v>0</v>
      </c>
      <c r="M668" s="200">
        <f t="shared" si="3359"/>
        <v>0</v>
      </c>
      <c r="N668" s="200">
        <f t="shared" si="3359"/>
        <v>0</v>
      </c>
      <c r="O668" s="200">
        <f t="shared" si="3359"/>
        <v>0</v>
      </c>
      <c r="P668" s="200">
        <f t="shared" si="9"/>
        <v>0</v>
      </c>
      <c r="Q668" s="200">
        <f t="shared" ref="Q668:AC668" si="3360">countif($D668,"*"&amp;Q$2&amp;"*")</f>
        <v>0</v>
      </c>
      <c r="R668" s="200">
        <f t="shared" si="3360"/>
        <v>1</v>
      </c>
      <c r="S668" s="200">
        <f t="shared" si="3360"/>
        <v>0</v>
      </c>
      <c r="T668" s="200">
        <f t="shared" si="3360"/>
        <v>0</v>
      </c>
      <c r="U668" s="200">
        <f t="shared" si="3360"/>
        <v>0</v>
      </c>
      <c r="V668" s="200">
        <f t="shared" si="3360"/>
        <v>0</v>
      </c>
      <c r="W668" s="200">
        <f t="shared" si="3360"/>
        <v>0</v>
      </c>
      <c r="X668" s="200">
        <f t="shared" si="3360"/>
        <v>0</v>
      </c>
      <c r="Y668" s="200">
        <f t="shared" si="3360"/>
        <v>0</v>
      </c>
      <c r="Z668" s="200">
        <f t="shared" si="3360"/>
        <v>0</v>
      </c>
      <c r="AA668" s="200">
        <f t="shared" si="3360"/>
        <v>0</v>
      </c>
      <c r="AB668" s="200">
        <f t="shared" si="3360"/>
        <v>0</v>
      </c>
      <c r="AC668" s="200">
        <f t="shared" si="3360"/>
        <v>0</v>
      </c>
      <c r="AD668" s="200">
        <f t="shared" si="11"/>
        <v>0</v>
      </c>
      <c r="AE668" s="200">
        <f t="shared" ref="AE668:AG668" si="3361">countif($D668,"*"&amp;AE$2&amp;"*")</f>
        <v>0</v>
      </c>
      <c r="AF668" s="200">
        <f t="shared" si="3361"/>
        <v>0</v>
      </c>
      <c r="AG668" s="200">
        <f t="shared" si="3361"/>
        <v>0</v>
      </c>
      <c r="AH668" s="171">
        <f t="shared" si="13"/>
        <v>0</v>
      </c>
      <c r="AI668" s="200">
        <f t="shared" si="14"/>
        <v>0</v>
      </c>
      <c r="AJ668" s="200">
        <f t="shared" si="3326"/>
        <v>0</v>
      </c>
      <c r="AK668" s="201">
        <f t="shared" ref="AK668:AS668" si="3362">countif($D668,"*"&amp;AK$2&amp;"*")</f>
        <v>0</v>
      </c>
      <c r="AL668" s="201">
        <f t="shared" si="3362"/>
        <v>0</v>
      </c>
      <c r="AM668" s="201">
        <f t="shared" si="3362"/>
        <v>0</v>
      </c>
      <c r="AN668" s="201">
        <f t="shared" si="3362"/>
        <v>0</v>
      </c>
      <c r="AO668" s="201">
        <f t="shared" si="3362"/>
        <v>0</v>
      </c>
      <c r="AP668" s="201">
        <f t="shared" si="3362"/>
        <v>0</v>
      </c>
      <c r="AQ668" s="201">
        <f t="shared" si="3362"/>
        <v>0</v>
      </c>
      <c r="AR668" s="200">
        <f t="shared" si="3362"/>
        <v>0</v>
      </c>
      <c r="AS668" s="200">
        <f t="shared" si="3362"/>
        <v>0</v>
      </c>
      <c r="AT668" s="173">
        <v>0.0</v>
      </c>
      <c r="AU668" s="200">
        <f t="shared" ref="AU668:AX668" si="3363">countif($D668,"*"&amp;AU$2&amp;"*")</f>
        <v>0</v>
      </c>
      <c r="AV668" s="200">
        <f t="shared" si="3363"/>
        <v>0</v>
      </c>
      <c r="AW668" s="200">
        <f t="shared" si="3363"/>
        <v>0</v>
      </c>
      <c r="AX668" s="200">
        <f t="shared" si="3363"/>
        <v>0</v>
      </c>
      <c r="AY668" s="202">
        <v>0.0</v>
      </c>
      <c r="AZ668" s="200"/>
      <c r="BA668" s="171" t="str">
        <f t="shared" si="18"/>
        <v/>
      </c>
      <c r="BB668" s="171" t="str">
        <f t="shared" si="19"/>
        <v>Code</v>
      </c>
      <c r="BC668" s="171" t="str">
        <f t="shared" si="20"/>
        <v/>
      </c>
      <c r="BD668" s="171" t="str">
        <f t="shared" si="21"/>
        <v/>
      </c>
      <c r="BE668" s="171" t="str">
        <f t="shared" si="22"/>
        <v/>
      </c>
      <c r="BF668" s="171" t="str">
        <f t="shared" si="23"/>
        <v>Code</v>
      </c>
    </row>
    <row r="669">
      <c r="A669" s="171">
        <f t="array" ref="A669">XLOOKUP(C669,ICSE!A:A,ICSE!C:C,,2,1)</f>
        <v>2018</v>
      </c>
      <c r="B669" s="171" t="s">
        <v>5675</v>
      </c>
      <c r="C669" s="160">
        <v>1251.0</v>
      </c>
      <c r="D669" s="161" t="s">
        <v>5960</v>
      </c>
      <c r="E669" s="197" t="str">
        <f t="array" ref="E669">XLOOKUP(C669,ICSE!A:A,ICSE!Z:Z,,0,1)</f>
        <v>Publicly available (2)</v>
      </c>
      <c r="F669" s="198" t="s">
        <v>20</v>
      </c>
      <c r="G669" s="163" t="str">
        <f t="array" ref="G669">IF(B669="ICSE",IF(COUNTIFS(B:B,B669,C:C,C669)=XLOOKUP(C669,ICSE!A:A,ICSE!AA:AA,"ERROR",0,1),"OK","ERROR"),IF(B669="FSE",IF(COUNTIFS(B:B,B669,C:C,C669)=XLOOKUP(C669,FSE!A:A,FSE!AA:AA,"ERROR",0,1),"OK","ERROR")))</f>
        <v>OK</v>
      </c>
      <c r="H669" s="199">
        <f t="shared" ref="H669:O669" si="3364">countif($D669,"*"&amp;H$2&amp;"*")</f>
        <v>0</v>
      </c>
      <c r="I669" s="200">
        <f t="shared" si="3364"/>
        <v>0</v>
      </c>
      <c r="J669" s="200">
        <f t="shared" si="3364"/>
        <v>0</v>
      </c>
      <c r="K669" s="200">
        <f t="shared" si="3364"/>
        <v>0</v>
      </c>
      <c r="L669" s="200">
        <f t="shared" si="3364"/>
        <v>0</v>
      </c>
      <c r="M669" s="200">
        <f t="shared" si="3364"/>
        <v>0</v>
      </c>
      <c r="N669" s="200">
        <f t="shared" si="3364"/>
        <v>0</v>
      </c>
      <c r="O669" s="200">
        <f t="shared" si="3364"/>
        <v>0</v>
      </c>
      <c r="P669" s="200">
        <f t="shared" si="9"/>
        <v>0</v>
      </c>
      <c r="Q669" s="200">
        <f t="shared" ref="Q669:AC669" si="3365">countif($D669,"*"&amp;Q$2&amp;"*")</f>
        <v>0</v>
      </c>
      <c r="R669" s="200">
        <f t="shared" si="3365"/>
        <v>1</v>
      </c>
      <c r="S669" s="200">
        <f t="shared" si="3365"/>
        <v>0</v>
      </c>
      <c r="T669" s="200">
        <f t="shared" si="3365"/>
        <v>0</v>
      </c>
      <c r="U669" s="200">
        <f t="shared" si="3365"/>
        <v>0</v>
      </c>
      <c r="V669" s="200">
        <f t="shared" si="3365"/>
        <v>0</v>
      </c>
      <c r="W669" s="200">
        <f t="shared" si="3365"/>
        <v>0</v>
      </c>
      <c r="X669" s="200">
        <f t="shared" si="3365"/>
        <v>0</v>
      </c>
      <c r="Y669" s="200">
        <f t="shared" si="3365"/>
        <v>0</v>
      </c>
      <c r="Z669" s="200">
        <f t="shared" si="3365"/>
        <v>0</v>
      </c>
      <c r="AA669" s="200">
        <f t="shared" si="3365"/>
        <v>0</v>
      </c>
      <c r="AB669" s="200">
        <f t="shared" si="3365"/>
        <v>0</v>
      </c>
      <c r="AC669" s="200">
        <f t="shared" si="3365"/>
        <v>0</v>
      </c>
      <c r="AD669" s="200">
        <f t="shared" si="11"/>
        <v>0</v>
      </c>
      <c r="AE669" s="200">
        <f t="shared" ref="AE669:AG669" si="3366">countif($D669,"*"&amp;AE$2&amp;"*")</f>
        <v>0</v>
      </c>
      <c r="AF669" s="200">
        <f t="shared" si="3366"/>
        <v>0</v>
      </c>
      <c r="AG669" s="200">
        <f t="shared" si="3366"/>
        <v>0</v>
      </c>
      <c r="AH669" s="171">
        <f t="shared" si="13"/>
        <v>0</v>
      </c>
      <c r="AI669" s="200">
        <f t="shared" si="14"/>
        <v>0</v>
      </c>
      <c r="AJ669" s="200">
        <f t="shared" si="3326"/>
        <v>0</v>
      </c>
      <c r="AK669" s="201">
        <f t="shared" ref="AK669:AS669" si="3367">countif($D669,"*"&amp;AK$2&amp;"*")</f>
        <v>0</v>
      </c>
      <c r="AL669" s="201">
        <f t="shared" si="3367"/>
        <v>0</v>
      </c>
      <c r="AM669" s="201">
        <f t="shared" si="3367"/>
        <v>0</v>
      </c>
      <c r="AN669" s="201">
        <f t="shared" si="3367"/>
        <v>0</v>
      </c>
      <c r="AO669" s="201">
        <f t="shared" si="3367"/>
        <v>0</v>
      </c>
      <c r="AP669" s="201">
        <f t="shared" si="3367"/>
        <v>0</v>
      </c>
      <c r="AQ669" s="201">
        <f t="shared" si="3367"/>
        <v>0</v>
      </c>
      <c r="AR669" s="200">
        <f t="shared" si="3367"/>
        <v>0</v>
      </c>
      <c r="AS669" s="200">
        <f t="shared" si="3367"/>
        <v>0</v>
      </c>
      <c r="AT669" s="173">
        <v>0.0</v>
      </c>
      <c r="AU669" s="200">
        <f t="shared" ref="AU669:AX669" si="3368">countif($D669,"*"&amp;AU$2&amp;"*")</f>
        <v>0</v>
      </c>
      <c r="AV669" s="200">
        <f t="shared" si="3368"/>
        <v>0</v>
      </c>
      <c r="AW669" s="200">
        <f t="shared" si="3368"/>
        <v>0</v>
      </c>
      <c r="AX669" s="200">
        <f t="shared" si="3368"/>
        <v>0</v>
      </c>
      <c r="AY669" s="202">
        <v>0.0</v>
      </c>
      <c r="AZ669" s="200"/>
      <c r="BA669" s="171" t="str">
        <f t="shared" si="18"/>
        <v/>
      </c>
      <c r="BB669" s="171" t="str">
        <f t="shared" si="19"/>
        <v>Code</v>
      </c>
      <c r="BC669" s="171" t="str">
        <f t="shared" si="20"/>
        <v/>
      </c>
      <c r="BD669" s="171" t="str">
        <f t="shared" si="21"/>
        <v/>
      </c>
      <c r="BE669" s="171" t="str">
        <f t="shared" si="22"/>
        <v/>
      </c>
      <c r="BF669" s="171" t="str">
        <f t="shared" si="23"/>
        <v>Code</v>
      </c>
    </row>
    <row r="670">
      <c r="A670" s="171">
        <f t="array" ref="A670">XLOOKUP(C670,ICSE!A:A,ICSE!C:C,,2,1)</f>
        <v>2018</v>
      </c>
      <c r="B670" s="171" t="s">
        <v>5675</v>
      </c>
      <c r="C670" s="160">
        <v>1252.0</v>
      </c>
      <c r="D670" s="161" t="s">
        <v>1189</v>
      </c>
      <c r="E670" s="197" t="str">
        <f t="array" ref="E670">XLOOKUP(C670,ICSE!A:A,ICSE!Z:Z,,0,1)</f>
        <v>Publicly available (1)</v>
      </c>
      <c r="F670" s="198" t="s">
        <v>20</v>
      </c>
      <c r="G670" s="163" t="str">
        <f t="array" ref="G670">IF(B670="ICSE",IF(COUNTIFS(B:B,B670,C:C,C670)=XLOOKUP(C670,ICSE!A:A,ICSE!AA:AA,"ERROR",0,1),"OK","ERROR"),IF(B670="FSE",IF(COUNTIFS(B:B,B670,C:C,C670)=XLOOKUP(C670,FSE!A:A,FSE!AA:AA,"ERROR",0,1),"OK","ERROR")))</f>
        <v>OK</v>
      </c>
      <c r="H670" s="199">
        <f t="shared" ref="H670:O670" si="3369">countif($D670,"*"&amp;H$2&amp;"*")</f>
        <v>0</v>
      </c>
      <c r="I670" s="200">
        <f t="shared" si="3369"/>
        <v>0</v>
      </c>
      <c r="J670" s="200">
        <f t="shared" si="3369"/>
        <v>0</v>
      </c>
      <c r="K670" s="200">
        <f t="shared" si="3369"/>
        <v>0</v>
      </c>
      <c r="L670" s="200">
        <f t="shared" si="3369"/>
        <v>0</v>
      </c>
      <c r="M670" s="200">
        <f t="shared" si="3369"/>
        <v>0</v>
      </c>
      <c r="N670" s="200">
        <f t="shared" si="3369"/>
        <v>0</v>
      </c>
      <c r="O670" s="200">
        <f t="shared" si="3369"/>
        <v>0</v>
      </c>
      <c r="P670" s="200">
        <f t="shared" si="9"/>
        <v>0</v>
      </c>
      <c r="Q670" s="200">
        <f t="shared" ref="Q670:AC670" si="3370">countif($D670,"*"&amp;Q$2&amp;"*")</f>
        <v>0</v>
      </c>
      <c r="R670" s="200">
        <f t="shared" si="3370"/>
        <v>0</v>
      </c>
      <c r="S670" s="200">
        <f t="shared" si="3370"/>
        <v>0</v>
      </c>
      <c r="T670" s="200">
        <f t="shared" si="3370"/>
        <v>0</v>
      </c>
      <c r="U670" s="200">
        <f t="shared" si="3370"/>
        <v>0</v>
      </c>
      <c r="V670" s="200">
        <f t="shared" si="3370"/>
        <v>0</v>
      </c>
      <c r="W670" s="200">
        <f t="shared" si="3370"/>
        <v>0</v>
      </c>
      <c r="X670" s="200">
        <f t="shared" si="3370"/>
        <v>0</v>
      </c>
      <c r="Y670" s="200">
        <f t="shared" si="3370"/>
        <v>0</v>
      </c>
      <c r="Z670" s="200">
        <f t="shared" si="3370"/>
        <v>0</v>
      </c>
      <c r="AA670" s="200">
        <f t="shared" si="3370"/>
        <v>0</v>
      </c>
      <c r="AB670" s="200">
        <f t="shared" si="3370"/>
        <v>0</v>
      </c>
      <c r="AC670" s="200">
        <f t="shared" si="3370"/>
        <v>0</v>
      </c>
      <c r="AD670" s="200">
        <f t="shared" si="11"/>
        <v>1</v>
      </c>
      <c r="AE670" s="200">
        <f t="shared" ref="AE670:AG670" si="3371">countif($D670,"*"&amp;AE$2&amp;"*")</f>
        <v>0</v>
      </c>
      <c r="AF670" s="200">
        <f t="shared" si="3371"/>
        <v>0</v>
      </c>
      <c r="AG670" s="200">
        <f t="shared" si="3371"/>
        <v>0</v>
      </c>
      <c r="AH670" s="171">
        <f t="shared" si="13"/>
        <v>0</v>
      </c>
      <c r="AI670" s="200">
        <f t="shared" si="14"/>
        <v>0</v>
      </c>
      <c r="AJ670" s="200">
        <f>SUM(AK670:AQ670)</f>
        <v>0</v>
      </c>
      <c r="AK670" s="201">
        <f t="shared" ref="AK670:AS670" si="3372">countif($D670,"*"&amp;AK$2&amp;"*")</f>
        <v>0</v>
      </c>
      <c r="AL670" s="201">
        <f t="shared" si="3372"/>
        <v>0</v>
      </c>
      <c r="AM670" s="201">
        <f t="shared" si="3372"/>
        <v>0</v>
      </c>
      <c r="AN670" s="201">
        <f t="shared" si="3372"/>
        <v>0</v>
      </c>
      <c r="AO670" s="201">
        <f t="shared" si="3372"/>
        <v>0</v>
      </c>
      <c r="AP670" s="201">
        <f t="shared" si="3372"/>
        <v>0</v>
      </c>
      <c r="AQ670" s="201">
        <f t="shared" si="3372"/>
        <v>0</v>
      </c>
      <c r="AR670" s="201">
        <f t="shared" si="3372"/>
        <v>0</v>
      </c>
      <c r="AS670" s="200">
        <f t="shared" si="3372"/>
        <v>0</v>
      </c>
      <c r="AT670" s="205">
        <v>0.0</v>
      </c>
      <c r="AU670" s="200">
        <f t="shared" ref="AU670:AX670" si="3373">countif($D670,"*"&amp;AU$2&amp;"*")</f>
        <v>1</v>
      </c>
      <c r="AV670" s="200">
        <f t="shared" si="3373"/>
        <v>0</v>
      </c>
      <c r="AW670" s="200">
        <f t="shared" si="3373"/>
        <v>0</v>
      </c>
      <c r="AX670" s="200">
        <f t="shared" si="3373"/>
        <v>0</v>
      </c>
      <c r="AY670" s="202">
        <v>0.0</v>
      </c>
      <c r="AZ670" s="200"/>
      <c r="BA670" s="171" t="str">
        <f t="shared" si="18"/>
        <v/>
      </c>
      <c r="BB670" s="171" t="str">
        <f t="shared" si="19"/>
        <v/>
      </c>
      <c r="BC670" s="171" t="str">
        <f t="shared" si="20"/>
        <v/>
      </c>
      <c r="BD670" s="171" t="str">
        <f t="shared" si="21"/>
        <v>Institutional</v>
      </c>
      <c r="BE670" s="171" t="str">
        <f t="shared" si="22"/>
        <v/>
      </c>
      <c r="BF670" s="171" t="str">
        <f t="shared" si="23"/>
        <v>Institutional</v>
      </c>
    </row>
    <row r="671">
      <c r="A671" s="171">
        <f t="array" ref="A671">XLOOKUP(C671,ICSE!A:A,ICSE!C:C,,2,1)</f>
        <v>2018</v>
      </c>
      <c r="B671" s="171" t="s">
        <v>5675</v>
      </c>
      <c r="C671" s="160">
        <v>1254.0</v>
      </c>
      <c r="D671" s="161" t="s">
        <v>1192</v>
      </c>
      <c r="E671" s="197" t="str">
        <f t="array" ref="E671">XLOOKUP(C671,ICSE!A:A,ICSE!Z:Z,,0,1)</f>
        <v>Publicly available (1)</v>
      </c>
      <c r="F671" s="198" t="s">
        <v>20</v>
      </c>
      <c r="G671" s="163" t="str">
        <f t="array" ref="G671">IF(B671="ICSE",IF(COUNTIFS(B:B,B671,C:C,C671)=XLOOKUP(C671,ICSE!A:A,ICSE!AA:AA,"ERROR",0,1),"OK","ERROR"),IF(B671="FSE",IF(COUNTIFS(B:B,B671,C:C,C671)=XLOOKUP(C671,FSE!A:A,FSE!AA:AA,"ERROR",0,1),"OK","ERROR")))</f>
        <v>OK</v>
      </c>
      <c r="H671" s="199">
        <f t="shared" ref="H671:O671" si="3374">countif($D671,"*"&amp;H$2&amp;"*")</f>
        <v>0</v>
      </c>
      <c r="I671" s="200">
        <f t="shared" si="3374"/>
        <v>0</v>
      </c>
      <c r="J671" s="200">
        <f t="shared" si="3374"/>
        <v>0</v>
      </c>
      <c r="K671" s="200">
        <f t="shared" si="3374"/>
        <v>0</v>
      </c>
      <c r="L671" s="200">
        <f t="shared" si="3374"/>
        <v>0</v>
      </c>
      <c r="M671" s="200">
        <f t="shared" si="3374"/>
        <v>0</v>
      </c>
      <c r="N671" s="200">
        <f t="shared" si="3374"/>
        <v>0</v>
      </c>
      <c r="O671" s="200">
        <f t="shared" si="3374"/>
        <v>0</v>
      </c>
      <c r="P671" s="200">
        <f t="shared" si="9"/>
        <v>0</v>
      </c>
      <c r="Q671" s="200">
        <f t="shared" ref="Q671:AC671" si="3375">countif($D671,"*"&amp;Q$2&amp;"*")</f>
        <v>0</v>
      </c>
      <c r="R671" s="200">
        <f t="shared" si="3375"/>
        <v>0</v>
      </c>
      <c r="S671" s="200">
        <f t="shared" si="3375"/>
        <v>0</v>
      </c>
      <c r="T671" s="200">
        <f t="shared" si="3375"/>
        <v>0</v>
      </c>
      <c r="U671" s="200">
        <f t="shared" si="3375"/>
        <v>0</v>
      </c>
      <c r="V671" s="200">
        <f t="shared" si="3375"/>
        <v>0</v>
      </c>
      <c r="W671" s="200">
        <f t="shared" si="3375"/>
        <v>0</v>
      </c>
      <c r="X671" s="200">
        <f t="shared" si="3375"/>
        <v>0</v>
      </c>
      <c r="Y671" s="200">
        <f t="shared" si="3375"/>
        <v>0</v>
      </c>
      <c r="Z671" s="200">
        <f t="shared" si="3375"/>
        <v>0</v>
      </c>
      <c r="AA671" s="200">
        <f t="shared" si="3375"/>
        <v>0</v>
      </c>
      <c r="AB671" s="200">
        <f t="shared" si="3375"/>
        <v>0</v>
      </c>
      <c r="AC671" s="200">
        <f t="shared" si="3375"/>
        <v>0</v>
      </c>
      <c r="AD671" s="200">
        <f t="shared" si="11"/>
        <v>1</v>
      </c>
      <c r="AE671" s="200">
        <f t="shared" ref="AE671:AG671" si="3376">countif($D671,"*"&amp;AE$2&amp;"*")</f>
        <v>0</v>
      </c>
      <c r="AF671" s="200">
        <f t="shared" si="3376"/>
        <v>0</v>
      </c>
      <c r="AG671" s="200">
        <f t="shared" si="3376"/>
        <v>0</v>
      </c>
      <c r="AH671" s="171">
        <f t="shared" si="13"/>
        <v>0</v>
      </c>
      <c r="AI671" s="200">
        <f t="shared" si="14"/>
        <v>0</v>
      </c>
      <c r="AJ671" s="200">
        <f t="shared" ref="AJ671:AJ688" si="3382">SUM(AK671:AR671)</f>
        <v>0</v>
      </c>
      <c r="AK671" s="201">
        <f t="shared" ref="AK671:AS671" si="3377">countif($D671,"*"&amp;AK$2&amp;"*")</f>
        <v>0</v>
      </c>
      <c r="AL671" s="201">
        <f t="shared" si="3377"/>
        <v>0</v>
      </c>
      <c r="AM671" s="201">
        <f t="shared" si="3377"/>
        <v>0</v>
      </c>
      <c r="AN671" s="201">
        <f t="shared" si="3377"/>
        <v>0</v>
      </c>
      <c r="AO671" s="201">
        <f t="shared" si="3377"/>
        <v>0</v>
      </c>
      <c r="AP671" s="201">
        <f t="shared" si="3377"/>
        <v>0</v>
      </c>
      <c r="AQ671" s="201">
        <f t="shared" si="3377"/>
        <v>0</v>
      </c>
      <c r="AR671" s="200">
        <f t="shared" si="3377"/>
        <v>0</v>
      </c>
      <c r="AS671" s="200">
        <f t="shared" si="3377"/>
        <v>0</v>
      </c>
      <c r="AT671" s="173">
        <v>1.0</v>
      </c>
      <c r="AU671" s="200">
        <f t="shared" ref="AU671:AX671" si="3378">countif($D671,"*"&amp;AU$2&amp;"*")</f>
        <v>0</v>
      </c>
      <c r="AV671" s="200">
        <f t="shared" si="3378"/>
        <v>0</v>
      </c>
      <c r="AW671" s="200">
        <f t="shared" si="3378"/>
        <v>0</v>
      </c>
      <c r="AX671" s="200">
        <f t="shared" si="3378"/>
        <v>0</v>
      </c>
      <c r="AY671" s="202">
        <v>0.0</v>
      </c>
      <c r="AZ671" s="200"/>
      <c r="BA671" s="171" t="str">
        <f t="shared" si="18"/>
        <v/>
      </c>
      <c r="BB671" s="171" t="str">
        <f t="shared" si="19"/>
        <v/>
      </c>
      <c r="BC671" s="171" t="str">
        <f t="shared" si="20"/>
        <v/>
      </c>
      <c r="BD671" s="171" t="str">
        <f t="shared" si="21"/>
        <v>Institutional</v>
      </c>
      <c r="BE671" s="171" t="str">
        <f t="shared" si="22"/>
        <v/>
      </c>
      <c r="BF671" s="171" t="str">
        <f t="shared" si="23"/>
        <v>Institutional</v>
      </c>
    </row>
    <row r="672">
      <c r="A672" s="171">
        <f t="array" ref="A672">XLOOKUP(C672,ICSE!A:A,ICSE!C:C,,2,1)</f>
        <v>2018</v>
      </c>
      <c r="B672" s="171" t="s">
        <v>5675</v>
      </c>
      <c r="C672" s="160">
        <v>1255.0</v>
      </c>
      <c r="D672" s="208" t="s">
        <v>1195</v>
      </c>
      <c r="E672" s="197" t="str">
        <f t="array" ref="E672">XLOOKUP(C672,ICSE!A:A,ICSE!Z:Z,,0,1)</f>
        <v>Publicly available (1)</v>
      </c>
      <c r="F672" s="198" t="s">
        <v>20</v>
      </c>
      <c r="G672" s="163" t="str">
        <f t="array" ref="G672">IF(B672="ICSE",IF(COUNTIFS(B:B,B672,C:C,C672)=XLOOKUP(C672,ICSE!A:A,ICSE!AA:AA,"ERROR",0,1),"OK","ERROR"),IF(B672="FSE",IF(COUNTIFS(B:B,B672,C:C,C672)=XLOOKUP(C672,FSE!A:A,FSE!AA:AA,"ERROR",0,1),"OK","ERROR")))</f>
        <v>OK</v>
      </c>
      <c r="H672" s="199">
        <f t="shared" ref="H672:O672" si="3379">countif($D672,"*"&amp;H$2&amp;"*")</f>
        <v>0</v>
      </c>
      <c r="I672" s="200">
        <f t="shared" si="3379"/>
        <v>0</v>
      </c>
      <c r="J672" s="200">
        <f t="shared" si="3379"/>
        <v>0</v>
      </c>
      <c r="K672" s="200">
        <f t="shared" si="3379"/>
        <v>0</v>
      </c>
      <c r="L672" s="200">
        <f t="shared" si="3379"/>
        <v>0</v>
      </c>
      <c r="M672" s="200">
        <f t="shared" si="3379"/>
        <v>0</v>
      </c>
      <c r="N672" s="200">
        <f t="shared" si="3379"/>
        <v>0</v>
      </c>
      <c r="O672" s="200">
        <f t="shared" si="3379"/>
        <v>0</v>
      </c>
      <c r="P672" s="200">
        <f t="shared" si="9"/>
        <v>1</v>
      </c>
      <c r="Q672" s="200">
        <f t="shared" ref="Q672:AC672" si="3380">countif($D672,"*"&amp;Q$2&amp;"*")</f>
        <v>0</v>
      </c>
      <c r="R672" s="200">
        <f t="shared" si="3380"/>
        <v>1</v>
      </c>
      <c r="S672" s="200">
        <f t="shared" si="3380"/>
        <v>0</v>
      </c>
      <c r="T672" s="200">
        <f t="shared" si="3380"/>
        <v>0</v>
      </c>
      <c r="U672" s="200">
        <f t="shared" si="3380"/>
        <v>0</v>
      </c>
      <c r="V672" s="200">
        <f t="shared" si="3380"/>
        <v>0</v>
      </c>
      <c r="W672" s="200">
        <f t="shared" si="3380"/>
        <v>0</v>
      </c>
      <c r="X672" s="200">
        <f t="shared" si="3380"/>
        <v>0</v>
      </c>
      <c r="Y672" s="200">
        <f t="shared" si="3380"/>
        <v>0</v>
      </c>
      <c r="Z672" s="200">
        <f t="shared" si="3380"/>
        <v>0</v>
      </c>
      <c r="AA672" s="200">
        <f t="shared" si="3380"/>
        <v>0</v>
      </c>
      <c r="AB672" s="200">
        <f t="shared" si="3380"/>
        <v>0</v>
      </c>
      <c r="AC672" s="200">
        <f t="shared" si="3380"/>
        <v>0</v>
      </c>
      <c r="AD672" s="200">
        <f t="shared" si="11"/>
        <v>0</v>
      </c>
      <c r="AE672" s="200">
        <f t="shared" ref="AE672:AG672" si="3381">countif($D672,"*"&amp;AE$2&amp;"*")</f>
        <v>0</v>
      </c>
      <c r="AF672" s="200">
        <f t="shared" si="3381"/>
        <v>0</v>
      </c>
      <c r="AG672" s="200">
        <f t="shared" si="3381"/>
        <v>0</v>
      </c>
      <c r="AH672" s="171">
        <f t="shared" si="13"/>
        <v>0</v>
      </c>
      <c r="AI672" s="200">
        <f t="shared" si="14"/>
        <v>0</v>
      </c>
      <c r="AJ672" s="200">
        <f t="shared" si="3382"/>
        <v>0</v>
      </c>
      <c r="AK672" s="201">
        <f t="shared" ref="AK672:AS672" si="3383">countif($D672,"*"&amp;AK$2&amp;"*")</f>
        <v>0</v>
      </c>
      <c r="AL672" s="201">
        <f t="shared" si="3383"/>
        <v>0</v>
      </c>
      <c r="AM672" s="201">
        <f t="shared" si="3383"/>
        <v>0</v>
      </c>
      <c r="AN672" s="201">
        <f t="shared" si="3383"/>
        <v>0</v>
      </c>
      <c r="AO672" s="201">
        <f t="shared" si="3383"/>
        <v>0</v>
      </c>
      <c r="AP672" s="201">
        <f t="shared" si="3383"/>
        <v>0</v>
      </c>
      <c r="AQ672" s="201">
        <f t="shared" si="3383"/>
        <v>0</v>
      </c>
      <c r="AR672" s="200">
        <f t="shared" si="3383"/>
        <v>0</v>
      </c>
      <c r="AS672" s="200">
        <f t="shared" si="3383"/>
        <v>0</v>
      </c>
      <c r="AT672" s="173">
        <v>0.0</v>
      </c>
      <c r="AU672" s="200">
        <f t="shared" ref="AU672:AX672" si="3384">countif($D672,"*"&amp;AU$2&amp;"*")</f>
        <v>0</v>
      </c>
      <c r="AV672" s="200">
        <f t="shared" si="3384"/>
        <v>1</v>
      </c>
      <c r="AW672" s="200">
        <f t="shared" si="3384"/>
        <v>0</v>
      </c>
      <c r="AX672" s="200">
        <f t="shared" si="3384"/>
        <v>0</v>
      </c>
      <c r="AY672" s="202">
        <v>0.0</v>
      </c>
      <c r="AZ672" s="200"/>
      <c r="BA672" s="171" t="str">
        <f t="shared" si="18"/>
        <v/>
      </c>
      <c r="BB672" s="171" t="str">
        <f t="shared" si="19"/>
        <v>Code</v>
      </c>
      <c r="BC672" s="171" t="str">
        <f t="shared" si="20"/>
        <v/>
      </c>
      <c r="BD672" s="171" t="str">
        <f t="shared" si="21"/>
        <v/>
      </c>
      <c r="BE672" s="171" t="str">
        <f t="shared" si="22"/>
        <v/>
      </c>
      <c r="BF672" s="171" t="str">
        <f t="shared" si="23"/>
        <v>Code</v>
      </c>
    </row>
    <row r="673">
      <c r="A673" s="171">
        <f t="array" ref="A673">XLOOKUP(C673,ICSE!A:A,ICSE!C:C,,2,1)</f>
        <v>2018</v>
      </c>
      <c r="B673" s="171" t="s">
        <v>5675</v>
      </c>
      <c r="C673" s="160">
        <v>1256.0</v>
      </c>
      <c r="D673" s="161" t="s">
        <v>5961</v>
      </c>
      <c r="E673" s="197" t="str">
        <f t="array" ref="E673">XLOOKUP(C673,ICSE!A:A,ICSE!Z:Z,,0,1)</f>
        <v>Publicly available (2)</v>
      </c>
      <c r="F673" s="198" t="s">
        <v>20</v>
      </c>
      <c r="G673" s="163" t="str">
        <f t="array" ref="G673">IF(B673="ICSE",IF(COUNTIFS(B:B,B673,C:C,C673)=XLOOKUP(C673,ICSE!A:A,ICSE!AA:AA,"ERROR",0,1),"OK","ERROR"),IF(B673="FSE",IF(COUNTIFS(B:B,B673,C:C,C673)=XLOOKUP(C673,FSE!A:A,FSE!AA:AA,"ERROR",0,1),"OK","ERROR")))</f>
        <v>OK</v>
      </c>
      <c r="H673" s="199">
        <f t="shared" ref="H673:O673" si="3385">countif($D673,"*"&amp;H$2&amp;"*")</f>
        <v>0</v>
      </c>
      <c r="I673" s="200">
        <f t="shared" si="3385"/>
        <v>0</v>
      </c>
      <c r="J673" s="200">
        <f t="shared" si="3385"/>
        <v>0</v>
      </c>
      <c r="K673" s="200">
        <f t="shared" si="3385"/>
        <v>0</v>
      </c>
      <c r="L673" s="200">
        <f t="shared" si="3385"/>
        <v>0</v>
      </c>
      <c r="M673" s="200">
        <f t="shared" si="3385"/>
        <v>0</v>
      </c>
      <c r="N673" s="200">
        <f t="shared" si="3385"/>
        <v>0</v>
      </c>
      <c r="O673" s="200">
        <f t="shared" si="3385"/>
        <v>0</v>
      </c>
      <c r="P673" s="200">
        <f t="shared" si="9"/>
        <v>1</v>
      </c>
      <c r="Q673" s="200">
        <f t="shared" ref="Q673:AC673" si="3386">countif($D673,"*"&amp;Q$2&amp;"*")</f>
        <v>0</v>
      </c>
      <c r="R673" s="200">
        <f t="shared" si="3386"/>
        <v>0</v>
      </c>
      <c r="S673" s="200">
        <f t="shared" si="3386"/>
        <v>0</v>
      </c>
      <c r="T673" s="200">
        <f t="shared" si="3386"/>
        <v>0</v>
      </c>
      <c r="U673" s="200">
        <f t="shared" si="3386"/>
        <v>0</v>
      </c>
      <c r="V673" s="200">
        <f t="shared" si="3386"/>
        <v>0</v>
      </c>
      <c r="W673" s="200">
        <f t="shared" si="3386"/>
        <v>0</v>
      </c>
      <c r="X673" s="200">
        <f t="shared" si="3386"/>
        <v>0</v>
      </c>
      <c r="Y673" s="200">
        <f t="shared" si="3386"/>
        <v>0</v>
      </c>
      <c r="Z673" s="200">
        <f t="shared" si="3386"/>
        <v>0</v>
      </c>
      <c r="AA673" s="200">
        <f t="shared" si="3386"/>
        <v>0</v>
      </c>
      <c r="AB673" s="200">
        <f t="shared" si="3386"/>
        <v>0</v>
      </c>
      <c r="AC673" s="200">
        <f t="shared" si="3386"/>
        <v>0</v>
      </c>
      <c r="AD673" s="200">
        <f t="shared" si="11"/>
        <v>0</v>
      </c>
      <c r="AE673" s="200">
        <f t="shared" ref="AE673:AG673" si="3387">countif($D673,"*"&amp;AE$2&amp;"*")</f>
        <v>0</v>
      </c>
      <c r="AF673" s="200">
        <f t="shared" si="3387"/>
        <v>0</v>
      </c>
      <c r="AG673" s="200">
        <f t="shared" si="3387"/>
        <v>0</v>
      </c>
      <c r="AH673" s="171">
        <f t="shared" si="13"/>
        <v>0</v>
      </c>
      <c r="AI673" s="200">
        <f t="shared" si="14"/>
        <v>0</v>
      </c>
      <c r="AJ673" s="200">
        <f t="shared" si="3382"/>
        <v>0</v>
      </c>
      <c r="AK673" s="201">
        <f t="shared" ref="AK673:AS673" si="3388">countif($D673,"*"&amp;AK$2&amp;"*")</f>
        <v>0</v>
      </c>
      <c r="AL673" s="201">
        <f t="shared" si="3388"/>
        <v>0</v>
      </c>
      <c r="AM673" s="201">
        <f t="shared" si="3388"/>
        <v>0</v>
      </c>
      <c r="AN673" s="201">
        <f t="shared" si="3388"/>
        <v>0</v>
      </c>
      <c r="AO673" s="201">
        <f t="shared" si="3388"/>
        <v>0</v>
      </c>
      <c r="AP673" s="201">
        <f t="shared" si="3388"/>
        <v>0</v>
      </c>
      <c r="AQ673" s="201">
        <f t="shared" si="3388"/>
        <v>0</v>
      </c>
      <c r="AR673" s="200">
        <f t="shared" si="3388"/>
        <v>0</v>
      </c>
      <c r="AS673" s="200">
        <f t="shared" si="3388"/>
        <v>0</v>
      </c>
      <c r="AT673" s="173">
        <v>0.0</v>
      </c>
      <c r="AU673" s="200">
        <f t="shared" ref="AU673:AX673" si="3389">countif($D673,"*"&amp;AU$2&amp;"*")</f>
        <v>0</v>
      </c>
      <c r="AV673" s="200">
        <f t="shared" si="3389"/>
        <v>1</v>
      </c>
      <c r="AW673" s="200">
        <f t="shared" si="3389"/>
        <v>0</v>
      </c>
      <c r="AX673" s="200">
        <f t="shared" si="3389"/>
        <v>0</v>
      </c>
      <c r="AY673" s="202">
        <v>0.0</v>
      </c>
      <c r="AZ673" s="200"/>
      <c r="BA673" s="171" t="str">
        <f t="shared" si="18"/>
        <v/>
      </c>
      <c r="BB673" s="171" t="str">
        <f t="shared" si="19"/>
        <v>Code</v>
      </c>
      <c r="BC673" s="171" t="str">
        <f t="shared" si="20"/>
        <v/>
      </c>
      <c r="BD673" s="171" t="str">
        <f t="shared" si="21"/>
        <v/>
      </c>
      <c r="BE673" s="171" t="str">
        <f t="shared" si="22"/>
        <v/>
      </c>
      <c r="BF673" s="171" t="str">
        <f t="shared" si="23"/>
        <v>Code</v>
      </c>
    </row>
    <row r="674">
      <c r="A674" s="171">
        <f t="array" ref="A674">XLOOKUP(C674,ICSE!A:A,ICSE!C:C,,2,1)</f>
        <v>2018</v>
      </c>
      <c r="B674" s="171" t="s">
        <v>5675</v>
      </c>
      <c r="C674" s="160">
        <v>1256.0</v>
      </c>
      <c r="D674" s="161" t="s">
        <v>5962</v>
      </c>
      <c r="E674" s="197" t="str">
        <f t="array" ref="E674">XLOOKUP(C674,ICSE!A:A,ICSE!Z:Z,,0,1)</f>
        <v>Publicly available (2)</v>
      </c>
      <c r="F674" s="198" t="s">
        <v>20</v>
      </c>
      <c r="G674" s="163" t="str">
        <f t="array" ref="G674">IF(B674="ICSE",IF(COUNTIFS(B:B,B674,C:C,C674)=XLOOKUP(C674,ICSE!A:A,ICSE!AA:AA,"ERROR",0,1),"OK","ERROR"),IF(B674="FSE",IF(COUNTIFS(B:B,B674,C:C,C674)=XLOOKUP(C674,FSE!A:A,FSE!AA:AA,"ERROR",0,1),"OK","ERROR")))</f>
        <v>OK</v>
      </c>
      <c r="H674" s="199">
        <f t="shared" ref="H674:O674" si="3390">countif($D674,"*"&amp;H$2&amp;"*")</f>
        <v>0</v>
      </c>
      <c r="I674" s="200">
        <f t="shared" si="3390"/>
        <v>0</v>
      </c>
      <c r="J674" s="200">
        <f t="shared" si="3390"/>
        <v>1</v>
      </c>
      <c r="K674" s="200">
        <f t="shared" si="3390"/>
        <v>0</v>
      </c>
      <c r="L674" s="200">
        <f t="shared" si="3390"/>
        <v>0</v>
      </c>
      <c r="M674" s="200">
        <f t="shared" si="3390"/>
        <v>0</v>
      </c>
      <c r="N674" s="200">
        <f t="shared" si="3390"/>
        <v>0</v>
      </c>
      <c r="O674" s="200">
        <f t="shared" si="3390"/>
        <v>0</v>
      </c>
      <c r="P674" s="200">
        <f t="shared" si="9"/>
        <v>0</v>
      </c>
      <c r="Q674" s="200">
        <f t="shared" ref="Q674:AC674" si="3391">countif($D674,"*"&amp;Q$2&amp;"*")</f>
        <v>0</v>
      </c>
      <c r="R674" s="200">
        <f t="shared" si="3391"/>
        <v>0</v>
      </c>
      <c r="S674" s="200">
        <f t="shared" si="3391"/>
        <v>0</v>
      </c>
      <c r="T674" s="200">
        <f t="shared" si="3391"/>
        <v>0</v>
      </c>
      <c r="U674" s="200">
        <f t="shared" si="3391"/>
        <v>0</v>
      </c>
      <c r="V674" s="200">
        <f t="shared" si="3391"/>
        <v>0</v>
      </c>
      <c r="W674" s="200">
        <f t="shared" si="3391"/>
        <v>0</v>
      </c>
      <c r="X674" s="200">
        <f t="shared" si="3391"/>
        <v>0</v>
      </c>
      <c r="Y674" s="200">
        <f t="shared" si="3391"/>
        <v>0</v>
      </c>
      <c r="Z674" s="200">
        <f t="shared" si="3391"/>
        <v>0</v>
      </c>
      <c r="AA674" s="200">
        <f t="shared" si="3391"/>
        <v>0</v>
      </c>
      <c r="AB674" s="200">
        <f t="shared" si="3391"/>
        <v>0</v>
      </c>
      <c r="AC674" s="200">
        <f t="shared" si="3391"/>
        <v>0</v>
      </c>
      <c r="AD674" s="200">
        <f t="shared" si="11"/>
        <v>0</v>
      </c>
      <c r="AE674" s="200">
        <f t="shared" ref="AE674:AG674" si="3392">countif($D674,"*"&amp;AE$2&amp;"*")</f>
        <v>0</v>
      </c>
      <c r="AF674" s="200">
        <f t="shared" si="3392"/>
        <v>0</v>
      </c>
      <c r="AG674" s="200">
        <f t="shared" si="3392"/>
        <v>0</v>
      </c>
      <c r="AH674" s="171">
        <f t="shared" si="13"/>
        <v>0</v>
      </c>
      <c r="AI674" s="200">
        <f t="shared" si="14"/>
        <v>1</v>
      </c>
      <c r="AJ674" s="200">
        <f t="shared" si="3382"/>
        <v>0</v>
      </c>
      <c r="AK674" s="201">
        <f t="shared" ref="AK674:AS674" si="3393">countif($D674,"*"&amp;AK$2&amp;"*")</f>
        <v>0</v>
      </c>
      <c r="AL674" s="201">
        <f t="shared" si="3393"/>
        <v>0</v>
      </c>
      <c r="AM674" s="201">
        <f t="shared" si="3393"/>
        <v>0</v>
      </c>
      <c r="AN674" s="201">
        <f t="shared" si="3393"/>
        <v>0</v>
      </c>
      <c r="AO674" s="201">
        <f t="shared" si="3393"/>
        <v>0</v>
      </c>
      <c r="AP674" s="201">
        <f t="shared" si="3393"/>
        <v>0</v>
      </c>
      <c r="AQ674" s="201">
        <f t="shared" si="3393"/>
        <v>0</v>
      </c>
      <c r="AR674" s="200">
        <f t="shared" si="3393"/>
        <v>0</v>
      </c>
      <c r="AS674" s="200">
        <f t="shared" si="3393"/>
        <v>0</v>
      </c>
      <c r="AT674" s="173">
        <v>0.0</v>
      </c>
      <c r="AU674" s="200">
        <f t="shared" ref="AU674:AX674" si="3394">countif($D674,"*"&amp;AU$2&amp;"*")</f>
        <v>0</v>
      </c>
      <c r="AV674" s="200">
        <f t="shared" si="3394"/>
        <v>0</v>
      </c>
      <c r="AW674" s="200">
        <f t="shared" si="3394"/>
        <v>0</v>
      </c>
      <c r="AX674" s="200">
        <f t="shared" si="3394"/>
        <v>0</v>
      </c>
      <c r="AY674" s="204">
        <v>1.0</v>
      </c>
      <c r="AZ674" s="200"/>
      <c r="BA674" s="171" t="str">
        <f t="shared" si="18"/>
        <v>Archival</v>
      </c>
      <c r="BB674" s="171" t="str">
        <f t="shared" si="19"/>
        <v/>
      </c>
      <c r="BC674" s="171" t="str">
        <f t="shared" si="20"/>
        <v/>
      </c>
      <c r="BD674" s="171" t="str">
        <f t="shared" si="21"/>
        <v/>
      </c>
      <c r="BE674" s="171" t="str">
        <f t="shared" si="22"/>
        <v/>
      </c>
      <c r="BF674" s="171" t="str">
        <f t="shared" si="23"/>
        <v>Archival</v>
      </c>
    </row>
    <row r="675">
      <c r="A675" s="171">
        <f t="array" ref="A675">XLOOKUP(C675,ICSE!A:A,ICSE!C:C,,2,1)</f>
        <v>2018</v>
      </c>
      <c r="B675" s="171" t="s">
        <v>5675</v>
      </c>
      <c r="C675" s="160">
        <v>1258.0</v>
      </c>
      <c r="D675" s="161" t="s">
        <v>5963</v>
      </c>
      <c r="E675" s="197" t="str">
        <f t="array" ref="E675">XLOOKUP(C675,ICSE!A:A,ICSE!Z:Z,,0,1)</f>
        <v>Publicly available (2)</v>
      </c>
      <c r="F675" s="198" t="s">
        <v>20</v>
      </c>
      <c r="G675" s="163" t="str">
        <f t="array" ref="G675">IF(B675="ICSE",IF(COUNTIFS(B:B,B675,C:C,C675)=XLOOKUP(C675,ICSE!A:A,ICSE!AA:AA,"ERROR",0,1),"OK","ERROR"),IF(B675="FSE",IF(COUNTIFS(B:B,B675,C:C,C675)=XLOOKUP(C675,FSE!A:A,FSE!AA:AA,"ERROR",0,1),"OK","ERROR")))</f>
        <v>OK</v>
      </c>
      <c r="H675" s="199">
        <f t="shared" ref="H675:O675" si="3395">countif($D675,"*"&amp;H$2&amp;"*")</f>
        <v>0</v>
      </c>
      <c r="I675" s="200">
        <f t="shared" si="3395"/>
        <v>0</v>
      </c>
      <c r="J675" s="200">
        <f t="shared" si="3395"/>
        <v>0</v>
      </c>
      <c r="K675" s="200">
        <f t="shared" si="3395"/>
        <v>0</v>
      </c>
      <c r="L675" s="200">
        <f t="shared" si="3395"/>
        <v>0</v>
      </c>
      <c r="M675" s="200">
        <f t="shared" si="3395"/>
        <v>0</v>
      </c>
      <c r="N675" s="200">
        <f t="shared" si="3395"/>
        <v>0</v>
      </c>
      <c r="O675" s="200">
        <f t="shared" si="3395"/>
        <v>0</v>
      </c>
      <c r="P675" s="200">
        <f t="shared" si="9"/>
        <v>0</v>
      </c>
      <c r="Q675" s="200">
        <f t="shared" ref="Q675:AC675" si="3396">countif($D675,"*"&amp;Q$2&amp;"*")</f>
        <v>0</v>
      </c>
      <c r="R675" s="200">
        <f t="shared" si="3396"/>
        <v>0</v>
      </c>
      <c r="S675" s="200">
        <f t="shared" si="3396"/>
        <v>0</v>
      </c>
      <c r="T675" s="200">
        <f t="shared" si="3396"/>
        <v>0</v>
      </c>
      <c r="U675" s="200">
        <f t="shared" si="3396"/>
        <v>0</v>
      </c>
      <c r="V675" s="200">
        <f t="shared" si="3396"/>
        <v>0</v>
      </c>
      <c r="W675" s="200">
        <f t="shared" si="3396"/>
        <v>0</v>
      </c>
      <c r="X675" s="200">
        <f t="shared" si="3396"/>
        <v>0</v>
      </c>
      <c r="Y675" s="200">
        <f t="shared" si="3396"/>
        <v>0</v>
      </c>
      <c r="Z675" s="200">
        <f t="shared" si="3396"/>
        <v>0</v>
      </c>
      <c r="AA675" s="200">
        <f t="shared" si="3396"/>
        <v>0</v>
      </c>
      <c r="AB675" s="200">
        <f t="shared" si="3396"/>
        <v>0</v>
      </c>
      <c r="AC675" s="200">
        <f t="shared" si="3396"/>
        <v>0</v>
      </c>
      <c r="AD675" s="200">
        <f t="shared" si="11"/>
        <v>0</v>
      </c>
      <c r="AE675" s="200">
        <f t="shared" ref="AE675:AG675" si="3397">countif($D675,"*"&amp;AE$2&amp;"*")</f>
        <v>0</v>
      </c>
      <c r="AF675" s="200">
        <f t="shared" si="3397"/>
        <v>0</v>
      </c>
      <c r="AG675" s="200">
        <f t="shared" si="3397"/>
        <v>0</v>
      </c>
      <c r="AH675" s="171">
        <f t="shared" si="13"/>
        <v>1</v>
      </c>
      <c r="AI675" s="200">
        <f t="shared" si="14"/>
        <v>0</v>
      </c>
      <c r="AJ675" s="200">
        <f t="shared" si="3382"/>
        <v>0</v>
      </c>
      <c r="AK675" s="201">
        <f t="shared" ref="AK675:AS675" si="3398">countif($D675,"*"&amp;AK$2&amp;"*")</f>
        <v>0</v>
      </c>
      <c r="AL675" s="201">
        <f t="shared" si="3398"/>
        <v>0</v>
      </c>
      <c r="AM675" s="201">
        <f t="shared" si="3398"/>
        <v>0</v>
      </c>
      <c r="AN675" s="201">
        <f t="shared" si="3398"/>
        <v>0</v>
      </c>
      <c r="AO675" s="201">
        <f t="shared" si="3398"/>
        <v>0</v>
      </c>
      <c r="AP675" s="201">
        <f t="shared" si="3398"/>
        <v>0</v>
      </c>
      <c r="AQ675" s="201">
        <f t="shared" si="3398"/>
        <v>0</v>
      </c>
      <c r="AR675" s="200">
        <f t="shared" si="3398"/>
        <v>0</v>
      </c>
      <c r="AS675" s="200">
        <f t="shared" si="3398"/>
        <v>0</v>
      </c>
      <c r="AT675" s="173">
        <v>0.0</v>
      </c>
      <c r="AU675" s="200">
        <f t="shared" ref="AU675:AX675" si="3399">countif($D675,"*"&amp;AU$2&amp;"*")</f>
        <v>0</v>
      </c>
      <c r="AV675" s="200">
        <f t="shared" si="3399"/>
        <v>0</v>
      </c>
      <c r="AW675" s="200">
        <f t="shared" si="3399"/>
        <v>0</v>
      </c>
      <c r="AX675" s="200">
        <f t="shared" si="3399"/>
        <v>0</v>
      </c>
      <c r="AY675" s="202">
        <v>0.0</v>
      </c>
      <c r="AZ675" s="200"/>
      <c r="BA675" s="171" t="str">
        <f t="shared" si="18"/>
        <v/>
      </c>
      <c r="BB675" s="171" t="str">
        <f t="shared" si="19"/>
        <v/>
      </c>
      <c r="BC675" s="171" t="str">
        <f t="shared" si="20"/>
        <v/>
      </c>
      <c r="BD675" s="171" t="str">
        <f t="shared" si="21"/>
        <v/>
      </c>
      <c r="BE675" s="171" t="str">
        <f t="shared" si="22"/>
        <v>Others</v>
      </c>
      <c r="BF675" s="171" t="str">
        <f t="shared" si="23"/>
        <v>Others</v>
      </c>
    </row>
    <row r="676">
      <c r="A676" s="171">
        <f t="array" ref="A676">XLOOKUP(C676,ICSE!A:A,ICSE!C:C,,2,1)</f>
        <v>2018</v>
      </c>
      <c r="B676" s="171" t="s">
        <v>5675</v>
      </c>
      <c r="C676" s="160">
        <v>1258.0</v>
      </c>
      <c r="D676" s="161" t="s">
        <v>5964</v>
      </c>
      <c r="E676" s="197" t="str">
        <f t="array" ref="E676">XLOOKUP(C676,ICSE!A:A,ICSE!Z:Z,,0,1)</f>
        <v>Publicly available (2)</v>
      </c>
      <c r="F676" s="198" t="s">
        <v>20</v>
      </c>
      <c r="G676" s="163" t="str">
        <f t="array" ref="G676">IF(B676="ICSE",IF(COUNTIFS(B:B,B676,C:C,C676)=XLOOKUP(C676,ICSE!A:A,ICSE!AA:AA,"ERROR",0,1),"OK","ERROR"),IF(B676="FSE",IF(COUNTIFS(B:B,B676,C:C,C676)=XLOOKUP(C676,FSE!A:A,FSE!AA:AA,"ERROR",0,1),"OK","ERROR")))</f>
        <v>OK</v>
      </c>
      <c r="H676" s="199">
        <f t="shared" ref="H676:O676" si="3400">countif($D676,"*"&amp;H$2&amp;"*")</f>
        <v>1</v>
      </c>
      <c r="I676" s="200">
        <f t="shared" si="3400"/>
        <v>0</v>
      </c>
      <c r="J676" s="200">
        <f t="shared" si="3400"/>
        <v>0</v>
      </c>
      <c r="K676" s="200">
        <f t="shared" si="3400"/>
        <v>0</v>
      </c>
      <c r="L676" s="200">
        <f t="shared" si="3400"/>
        <v>0</v>
      </c>
      <c r="M676" s="200">
        <f t="shared" si="3400"/>
        <v>0</v>
      </c>
      <c r="N676" s="200">
        <f t="shared" si="3400"/>
        <v>0</v>
      </c>
      <c r="O676" s="200">
        <f t="shared" si="3400"/>
        <v>0</v>
      </c>
      <c r="P676" s="200">
        <f t="shared" si="9"/>
        <v>0</v>
      </c>
      <c r="Q676" s="200">
        <f t="shared" ref="Q676:AC676" si="3401">countif($D676,"*"&amp;Q$2&amp;"*")</f>
        <v>0</v>
      </c>
      <c r="R676" s="200">
        <f t="shared" si="3401"/>
        <v>0</v>
      </c>
      <c r="S676" s="200">
        <f t="shared" si="3401"/>
        <v>0</v>
      </c>
      <c r="T676" s="200">
        <f t="shared" si="3401"/>
        <v>0</v>
      </c>
      <c r="U676" s="200">
        <f t="shared" si="3401"/>
        <v>0</v>
      </c>
      <c r="V676" s="200">
        <f t="shared" si="3401"/>
        <v>0</v>
      </c>
      <c r="W676" s="200">
        <f t="shared" si="3401"/>
        <v>0</v>
      </c>
      <c r="X676" s="200">
        <f t="shared" si="3401"/>
        <v>0</v>
      </c>
      <c r="Y676" s="200">
        <f t="shared" si="3401"/>
        <v>0</v>
      </c>
      <c r="Z676" s="200">
        <f t="shared" si="3401"/>
        <v>0</v>
      </c>
      <c r="AA676" s="200">
        <f t="shared" si="3401"/>
        <v>0</v>
      </c>
      <c r="AB676" s="200">
        <f t="shared" si="3401"/>
        <v>0</v>
      </c>
      <c r="AC676" s="200">
        <f t="shared" si="3401"/>
        <v>0</v>
      </c>
      <c r="AD676" s="200">
        <f t="shared" si="11"/>
        <v>0</v>
      </c>
      <c r="AE676" s="200">
        <f t="shared" ref="AE676:AG676" si="3402">countif($D676,"*"&amp;AE$2&amp;"*")</f>
        <v>0</v>
      </c>
      <c r="AF676" s="200">
        <f t="shared" si="3402"/>
        <v>0</v>
      </c>
      <c r="AG676" s="200">
        <f t="shared" si="3402"/>
        <v>0</v>
      </c>
      <c r="AH676" s="171">
        <f t="shared" si="13"/>
        <v>0</v>
      </c>
      <c r="AI676" s="200">
        <f t="shared" si="14"/>
        <v>1</v>
      </c>
      <c r="AJ676" s="200">
        <f t="shared" si="3382"/>
        <v>0</v>
      </c>
      <c r="AK676" s="201">
        <f t="shared" ref="AK676:AS676" si="3403">countif($D676,"*"&amp;AK$2&amp;"*")</f>
        <v>0</v>
      </c>
      <c r="AL676" s="201">
        <f t="shared" si="3403"/>
        <v>0</v>
      </c>
      <c r="AM676" s="201">
        <f t="shared" si="3403"/>
        <v>0</v>
      </c>
      <c r="AN676" s="201">
        <f t="shared" si="3403"/>
        <v>0</v>
      </c>
      <c r="AO676" s="201">
        <f t="shared" si="3403"/>
        <v>0</v>
      </c>
      <c r="AP676" s="201">
        <f t="shared" si="3403"/>
        <v>0</v>
      </c>
      <c r="AQ676" s="201">
        <f t="shared" si="3403"/>
        <v>0</v>
      </c>
      <c r="AR676" s="200">
        <f t="shared" si="3403"/>
        <v>0</v>
      </c>
      <c r="AS676" s="200">
        <f t="shared" si="3403"/>
        <v>0</v>
      </c>
      <c r="AT676" s="173">
        <v>0.0</v>
      </c>
      <c r="AU676" s="200">
        <f t="shared" ref="AU676:AX676" si="3404">countif($D676,"*"&amp;AU$2&amp;"*")</f>
        <v>0</v>
      </c>
      <c r="AV676" s="200">
        <f t="shared" si="3404"/>
        <v>0</v>
      </c>
      <c r="AW676" s="200">
        <f t="shared" si="3404"/>
        <v>0</v>
      </c>
      <c r="AX676" s="200">
        <f t="shared" si="3404"/>
        <v>1</v>
      </c>
      <c r="AY676" s="202">
        <v>0.0</v>
      </c>
      <c r="AZ676" s="200"/>
      <c r="BA676" s="171" t="str">
        <f t="shared" si="18"/>
        <v>Archival</v>
      </c>
      <c r="BB676" s="171" t="str">
        <f t="shared" si="19"/>
        <v/>
      </c>
      <c r="BC676" s="171" t="str">
        <f t="shared" si="20"/>
        <v/>
      </c>
      <c r="BD676" s="171" t="str">
        <f t="shared" si="21"/>
        <v/>
      </c>
      <c r="BE676" s="171" t="str">
        <f t="shared" si="22"/>
        <v/>
      </c>
      <c r="BF676" s="171" t="str">
        <f t="shared" si="23"/>
        <v>Archival</v>
      </c>
    </row>
    <row r="677">
      <c r="A677" s="171">
        <f t="array" ref="A677">XLOOKUP(C677,ICSE!A:A,ICSE!C:C,,2,1)</f>
        <v>2018</v>
      </c>
      <c r="B677" s="171" t="s">
        <v>5675</v>
      </c>
      <c r="C677" s="160">
        <v>1260.0</v>
      </c>
      <c r="D677" s="161" t="s">
        <v>5965</v>
      </c>
      <c r="E677" s="197" t="str">
        <f t="array" ref="E677">XLOOKUP(C677,ICSE!A:A,ICSE!Z:Z,,0,1)</f>
        <v>Restrict access (1) - You need to request access,
Publicly available (4)</v>
      </c>
      <c r="F677" s="198" t="s">
        <v>22</v>
      </c>
      <c r="G677" s="163" t="str">
        <f t="array" ref="G677">IF(B677="ICSE",IF(COUNTIFS(B:B,B677,C:C,C677)=XLOOKUP(C677,ICSE!A:A,ICSE!AA:AA,"ERROR",0,1),"OK","ERROR"),IF(B677="FSE",IF(COUNTIFS(B:B,B677,C:C,C677)=XLOOKUP(C677,FSE!A:A,FSE!AA:AA,"ERROR",0,1),"OK","ERROR")))</f>
        <v>OK</v>
      </c>
      <c r="H677" s="199">
        <f t="shared" ref="H677:O677" si="3405">countif($D677,"*"&amp;H$2&amp;"*")</f>
        <v>0</v>
      </c>
      <c r="I677" s="200">
        <f t="shared" si="3405"/>
        <v>0</v>
      </c>
      <c r="J677" s="200">
        <f t="shared" si="3405"/>
        <v>0</v>
      </c>
      <c r="K677" s="200">
        <f t="shared" si="3405"/>
        <v>0</v>
      </c>
      <c r="L677" s="200">
        <f t="shared" si="3405"/>
        <v>0</v>
      </c>
      <c r="M677" s="200">
        <f t="shared" si="3405"/>
        <v>0</v>
      </c>
      <c r="N677" s="200">
        <f t="shared" si="3405"/>
        <v>0</v>
      </c>
      <c r="O677" s="200">
        <f t="shared" si="3405"/>
        <v>0</v>
      </c>
      <c r="P677" s="200">
        <f t="shared" si="9"/>
        <v>0</v>
      </c>
      <c r="Q677" s="200">
        <f t="shared" ref="Q677:AC677" si="3406">countif($D677,"*"&amp;Q$2&amp;"*")</f>
        <v>0</v>
      </c>
      <c r="R677" s="200">
        <f t="shared" si="3406"/>
        <v>0</v>
      </c>
      <c r="S677" s="200">
        <f t="shared" si="3406"/>
        <v>0</v>
      </c>
      <c r="T677" s="200">
        <f t="shared" si="3406"/>
        <v>0</v>
      </c>
      <c r="U677" s="200">
        <f t="shared" si="3406"/>
        <v>0</v>
      </c>
      <c r="V677" s="200">
        <f t="shared" si="3406"/>
        <v>1</v>
      </c>
      <c r="W677" s="200">
        <f t="shared" si="3406"/>
        <v>0</v>
      </c>
      <c r="X677" s="200">
        <f t="shared" si="3406"/>
        <v>0</v>
      </c>
      <c r="Y677" s="200">
        <f t="shared" si="3406"/>
        <v>0</v>
      </c>
      <c r="Z677" s="200">
        <f t="shared" si="3406"/>
        <v>0</v>
      </c>
      <c r="AA677" s="200">
        <f t="shared" si="3406"/>
        <v>0</v>
      </c>
      <c r="AB677" s="200">
        <f t="shared" si="3406"/>
        <v>0</v>
      </c>
      <c r="AC677" s="200">
        <f t="shared" si="3406"/>
        <v>0</v>
      </c>
      <c r="AD677" s="200">
        <f t="shared" si="11"/>
        <v>0</v>
      </c>
      <c r="AE677" s="200">
        <f t="shared" ref="AE677:AG677" si="3407">countif($D677,"*"&amp;AE$2&amp;"*")</f>
        <v>0</v>
      </c>
      <c r="AF677" s="200">
        <f t="shared" si="3407"/>
        <v>0</v>
      </c>
      <c r="AG677" s="200">
        <f t="shared" si="3407"/>
        <v>0</v>
      </c>
      <c r="AH677" s="171">
        <f t="shared" si="13"/>
        <v>0</v>
      </c>
      <c r="AI677" s="200">
        <f t="shared" si="14"/>
        <v>0</v>
      </c>
      <c r="AJ677" s="200">
        <f t="shared" si="3382"/>
        <v>1</v>
      </c>
      <c r="AK677" s="201">
        <f t="shared" ref="AK677:AS677" si="3408">countif($D677,"*"&amp;AK$2&amp;"*")</f>
        <v>0</v>
      </c>
      <c r="AL677" s="201">
        <f t="shared" si="3408"/>
        <v>1</v>
      </c>
      <c r="AM677" s="201">
        <f t="shared" si="3408"/>
        <v>0</v>
      </c>
      <c r="AN677" s="201">
        <f t="shared" si="3408"/>
        <v>0</v>
      </c>
      <c r="AO677" s="201">
        <f t="shared" si="3408"/>
        <v>0</v>
      </c>
      <c r="AP677" s="201">
        <f t="shared" si="3408"/>
        <v>0</v>
      </c>
      <c r="AQ677" s="201">
        <f t="shared" si="3408"/>
        <v>0</v>
      </c>
      <c r="AR677" s="200">
        <f t="shared" si="3408"/>
        <v>0</v>
      </c>
      <c r="AS677" s="200">
        <f t="shared" si="3408"/>
        <v>1</v>
      </c>
      <c r="AT677" s="173">
        <v>0.0</v>
      </c>
      <c r="AU677" s="200">
        <f t="shared" ref="AU677:AX677" si="3409">countif($D677,"*"&amp;AU$2&amp;"*")</f>
        <v>0</v>
      </c>
      <c r="AV677" s="200">
        <f t="shared" si="3409"/>
        <v>0</v>
      </c>
      <c r="AW677" s="200">
        <f t="shared" si="3409"/>
        <v>0</v>
      </c>
      <c r="AX677" s="200">
        <f t="shared" si="3409"/>
        <v>0</v>
      </c>
      <c r="AY677" s="202">
        <v>0.0</v>
      </c>
      <c r="AZ677" s="200"/>
      <c r="BA677" s="171" t="str">
        <f t="shared" si="18"/>
        <v/>
      </c>
      <c r="BB677" s="171" t="str">
        <f t="shared" si="19"/>
        <v/>
      </c>
      <c r="BC677" s="171" t="str">
        <f t="shared" si="20"/>
        <v>General-purpose</v>
      </c>
      <c r="BD677" s="171" t="str">
        <f t="shared" si="21"/>
        <v/>
      </c>
      <c r="BE677" s="171" t="str">
        <f t="shared" si="22"/>
        <v/>
      </c>
      <c r="BF677" s="171" t="str">
        <f t="shared" si="23"/>
        <v>General-purpose</v>
      </c>
    </row>
    <row r="678">
      <c r="A678" s="171">
        <f t="array" ref="A678">XLOOKUP(C678,ICSE!A:A,ICSE!C:C,,2,1)</f>
        <v>2018</v>
      </c>
      <c r="B678" s="171" t="s">
        <v>5675</v>
      </c>
      <c r="C678" s="160">
        <v>1260.0</v>
      </c>
      <c r="D678" s="161" t="s">
        <v>5966</v>
      </c>
      <c r="E678" s="197" t="str">
        <f t="array" ref="E678">XLOOKUP(C678,ICSE!A:A,ICSE!Z:Z,,0,1)</f>
        <v>Restrict access (1) - You need to request access,
Publicly available (4)</v>
      </c>
      <c r="F678" s="198" t="s">
        <v>20</v>
      </c>
      <c r="G678" s="163" t="str">
        <f t="array" ref="G678">IF(B678="ICSE",IF(COUNTIFS(B:B,B678,C:C,C678)=XLOOKUP(C678,ICSE!A:A,ICSE!AA:AA,"ERROR",0,1),"OK","ERROR"),IF(B678="FSE",IF(COUNTIFS(B:B,B678,C:C,C678)=XLOOKUP(C678,FSE!A:A,FSE!AA:AA,"ERROR",0,1),"OK","ERROR")))</f>
        <v>OK</v>
      </c>
      <c r="H678" s="199">
        <f t="shared" ref="H678:O678" si="3410">countif($D678,"*"&amp;H$2&amp;"*")</f>
        <v>0</v>
      </c>
      <c r="I678" s="200">
        <f t="shared" si="3410"/>
        <v>0</v>
      </c>
      <c r="J678" s="200">
        <f t="shared" si="3410"/>
        <v>0</v>
      </c>
      <c r="K678" s="200">
        <f t="shared" si="3410"/>
        <v>0</v>
      </c>
      <c r="L678" s="200">
        <f t="shared" si="3410"/>
        <v>0</v>
      </c>
      <c r="M678" s="200">
        <f t="shared" si="3410"/>
        <v>0</v>
      </c>
      <c r="N678" s="200">
        <f t="shared" si="3410"/>
        <v>0</v>
      </c>
      <c r="O678" s="200">
        <f t="shared" si="3410"/>
        <v>0</v>
      </c>
      <c r="P678" s="200">
        <f t="shared" si="9"/>
        <v>0</v>
      </c>
      <c r="Q678" s="200">
        <f t="shared" ref="Q678:AC678" si="3411">countif($D678,"*"&amp;Q$2&amp;"*")</f>
        <v>0</v>
      </c>
      <c r="R678" s="200">
        <f t="shared" si="3411"/>
        <v>0</v>
      </c>
      <c r="S678" s="200">
        <f t="shared" si="3411"/>
        <v>0</v>
      </c>
      <c r="T678" s="200">
        <f t="shared" si="3411"/>
        <v>0</v>
      </c>
      <c r="U678" s="200">
        <f t="shared" si="3411"/>
        <v>0</v>
      </c>
      <c r="V678" s="200">
        <f t="shared" si="3411"/>
        <v>0</v>
      </c>
      <c r="W678" s="200">
        <f t="shared" si="3411"/>
        <v>0</v>
      </c>
      <c r="X678" s="200">
        <f t="shared" si="3411"/>
        <v>0</v>
      </c>
      <c r="Y678" s="200">
        <f t="shared" si="3411"/>
        <v>0</v>
      </c>
      <c r="Z678" s="200">
        <f t="shared" si="3411"/>
        <v>1</v>
      </c>
      <c r="AA678" s="200">
        <f t="shared" si="3411"/>
        <v>0</v>
      </c>
      <c r="AB678" s="200">
        <f t="shared" si="3411"/>
        <v>0</v>
      </c>
      <c r="AC678" s="200">
        <f t="shared" si="3411"/>
        <v>0</v>
      </c>
      <c r="AD678" s="200">
        <f t="shared" si="11"/>
        <v>0</v>
      </c>
      <c r="AE678" s="200">
        <f t="shared" ref="AE678:AG678" si="3412">countif($D678,"*"&amp;AE$2&amp;"*")</f>
        <v>0</v>
      </c>
      <c r="AF678" s="200">
        <f t="shared" si="3412"/>
        <v>0</v>
      </c>
      <c r="AG678" s="200">
        <f t="shared" si="3412"/>
        <v>0</v>
      </c>
      <c r="AH678" s="171">
        <f t="shared" si="13"/>
        <v>0</v>
      </c>
      <c r="AI678" s="200">
        <f t="shared" si="14"/>
        <v>0</v>
      </c>
      <c r="AJ678" s="200">
        <f t="shared" si="3382"/>
        <v>1</v>
      </c>
      <c r="AK678" s="201">
        <f t="shared" ref="AK678:AS678" si="3413">countif($D678,"*"&amp;AK$2&amp;"*")</f>
        <v>0</v>
      </c>
      <c r="AL678" s="201">
        <f t="shared" si="3413"/>
        <v>1</v>
      </c>
      <c r="AM678" s="201">
        <f t="shared" si="3413"/>
        <v>0</v>
      </c>
      <c r="AN678" s="201">
        <f t="shared" si="3413"/>
        <v>0</v>
      </c>
      <c r="AO678" s="201">
        <f t="shared" si="3413"/>
        <v>0</v>
      </c>
      <c r="AP678" s="201">
        <f t="shared" si="3413"/>
        <v>0</v>
      </c>
      <c r="AQ678" s="201">
        <f t="shared" si="3413"/>
        <v>0</v>
      </c>
      <c r="AR678" s="200">
        <f t="shared" si="3413"/>
        <v>0</v>
      </c>
      <c r="AS678" s="200">
        <f t="shared" si="3413"/>
        <v>1</v>
      </c>
      <c r="AT678" s="173">
        <v>0.0</v>
      </c>
      <c r="AU678" s="200">
        <f t="shared" ref="AU678:AX678" si="3414">countif($D678,"*"&amp;AU$2&amp;"*")</f>
        <v>0</v>
      </c>
      <c r="AV678" s="200">
        <f t="shared" si="3414"/>
        <v>0</v>
      </c>
      <c r="AW678" s="200">
        <f t="shared" si="3414"/>
        <v>0</v>
      </c>
      <c r="AX678" s="200">
        <f t="shared" si="3414"/>
        <v>0</v>
      </c>
      <c r="AY678" s="202">
        <v>0.0</v>
      </c>
      <c r="AZ678" s="200"/>
      <c r="BA678" s="171" t="str">
        <f t="shared" si="18"/>
        <v/>
      </c>
      <c r="BB678" s="171" t="str">
        <f t="shared" si="19"/>
        <v/>
      </c>
      <c r="BC678" s="171" t="str">
        <f t="shared" si="20"/>
        <v>General-purpose</v>
      </c>
      <c r="BD678" s="171" t="str">
        <f t="shared" si="21"/>
        <v/>
      </c>
      <c r="BE678" s="171" t="str">
        <f t="shared" si="22"/>
        <v/>
      </c>
      <c r="BF678" s="171" t="str">
        <f t="shared" si="23"/>
        <v>General-purpose</v>
      </c>
    </row>
    <row r="679">
      <c r="A679" s="171">
        <f t="array" ref="A679">XLOOKUP(C679,ICSE!A:A,ICSE!C:C,,2,1)</f>
        <v>2018</v>
      </c>
      <c r="B679" s="171" t="s">
        <v>5675</v>
      </c>
      <c r="C679" s="160">
        <v>1260.0</v>
      </c>
      <c r="D679" s="161" t="s">
        <v>5967</v>
      </c>
      <c r="E679" s="197" t="str">
        <f t="array" ref="E679">XLOOKUP(C679,ICSE!A:A,ICSE!Z:Z,,0,1)</f>
        <v>Restrict access (1) - You need to request access,
Publicly available (4)</v>
      </c>
      <c r="F679" s="198" t="s">
        <v>20</v>
      </c>
      <c r="G679" s="163" t="str">
        <f t="array" ref="G679">IF(B679="ICSE",IF(COUNTIFS(B:B,B679,C:C,C679)=XLOOKUP(C679,ICSE!A:A,ICSE!AA:AA,"ERROR",0,1),"OK","ERROR"),IF(B679="FSE",IF(COUNTIFS(B:B,B679,C:C,C679)=XLOOKUP(C679,FSE!A:A,FSE!AA:AA,"ERROR",0,1),"OK","ERROR")))</f>
        <v>OK</v>
      </c>
      <c r="H679" s="199">
        <f t="shared" ref="H679:O679" si="3415">countif($D679,"*"&amp;H$2&amp;"*")</f>
        <v>0</v>
      </c>
      <c r="I679" s="200">
        <f t="shared" si="3415"/>
        <v>0</v>
      </c>
      <c r="J679" s="200">
        <f t="shared" si="3415"/>
        <v>0</v>
      </c>
      <c r="K679" s="200">
        <f t="shared" si="3415"/>
        <v>0</v>
      </c>
      <c r="L679" s="200">
        <f t="shared" si="3415"/>
        <v>0</v>
      </c>
      <c r="M679" s="200">
        <f t="shared" si="3415"/>
        <v>0</v>
      </c>
      <c r="N679" s="200">
        <f t="shared" si="3415"/>
        <v>0</v>
      </c>
      <c r="O679" s="200">
        <f t="shared" si="3415"/>
        <v>0</v>
      </c>
      <c r="P679" s="200">
        <f t="shared" si="9"/>
        <v>0</v>
      </c>
      <c r="Q679" s="200">
        <f t="shared" ref="Q679:AC679" si="3416">countif($D679,"*"&amp;Q$2&amp;"*")</f>
        <v>0</v>
      </c>
      <c r="R679" s="200">
        <f t="shared" si="3416"/>
        <v>0</v>
      </c>
      <c r="S679" s="200">
        <f t="shared" si="3416"/>
        <v>0</v>
      </c>
      <c r="T679" s="200">
        <f t="shared" si="3416"/>
        <v>0</v>
      </c>
      <c r="U679" s="200">
        <f t="shared" si="3416"/>
        <v>0</v>
      </c>
      <c r="V679" s="200">
        <f t="shared" si="3416"/>
        <v>0</v>
      </c>
      <c r="W679" s="200">
        <f t="shared" si="3416"/>
        <v>0</v>
      </c>
      <c r="X679" s="200">
        <f t="shared" si="3416"/>
        <v>0</v>
      </c>
      <c r="Y679" s="200">
        <f t="shared" si="3416"/>
        <v>0</v>
      </c>
      <c r="Z679" s="200">
        <f t="shared" si="3416"/>
        <v>1</v>
      </c>
      <c r="AA679" s="200">
        <f t="shared" si="3416"/>
        <v>0</v>
      </c>
      <c r="AB679" s="200">
        <f t="shared" si="3416"/>
        <v>0</v>
      </c>
      <c r="AC679" s="200">
        <f t="shared" si="3416"/>
        <v>0</v>
      </c>
      <c r="AD679" s="200">
        <f t="shared" si="11"/>
        <v>0</v>
      </c>
      <c r="AE679" s="200">
        <f t="shared" ref="AE679:AG679" si="3417">countif($D679,"*"&amp;AE$2&amp;"*")</f>
        <v>0</v>
      </c>
      <c r="AF679" s="200">
        <f t="shared" si="3417"/>
        <v>0</v>
      </c>
      <c r="AG679" s="200">
        <f t="shared" si="3417"/>
        <v>0</v>
      </c>
      <c r="AH679" s="171">
        <f t="shared" si="13"/>
        <v>0</v>
      </c>
      <c r="AI679" s="200">
        <f t="shared" si="14"/>
        <v>0</v>
      </c>
      <c r="AJ679" s="200">
        <f t="shared" si="3382"/>
        <v>1</v>
      </c>
      <c r="AK679" s="201">
        <f t="shared" ref="AK679:AS679" si="3418">countif($D679,"*"&amp;AK$2&amp;"*")</f>
        <v>0</v>
      </c>
      <c r="AL679" s="201">
        <f t="shared" si="3418"/>
        <v>1</v>
      </c>
      <c r="AM679" s="201">
        <f t="shared" si="3418"/>
        <v>0</v>
      </c>
      <c r="AN679" s="201">
        <f t="shared" si="3418"/>
        <v>0</v>
      </c>
      <c r="AO679" s="201">
        <f t="shared" si="3418"/>
        <v>0</v>
      </c>
      <c r="AP679" s="201">
        <f t="shared" si="3418"/>
        <v>0</v>
      </c>
      <c r="AQ679" s="201">
        <f t="shared" si="3418"/>
        <v>0</v>
      </c>
      <c r="AR679" s="200">
        <f t="shared" si="3418"/>
        <v>0</v>
      </c>
      <c r="AS679" s="200">
        <f t="shared" si="3418"/>
        <v>1</v>
      </c>
      <c r="AT679" s="173">
        <v>0.0</v>
      </c>
      <c r="AU679" s="200">
        <f t="shared" ref="AU679:AX679" si="3419">countif($D679,"*"&amp;AU$2&amp;"*")</f>
        <v>0</v>
      </c>
      <c r="AV679" s="200">
        <f t="shared" si="3419"/>
        <v>0</v>
      </c>
      <c r="AW679" s="200">
        <f t="shared" si="3419"/>
        <v>0</v>
      </c>
      <c r="AX679" s="200">
        <f t="shared" si="3419"/>
        <v>0</v>
      </c>
      <c r="AY679" s="202">
        <v>0.0</v>
      </c>
      <c r="AZ679" s="200"/>
      <c r="BA679" s="171" t="str">
        <f t="shared" si="18"/>
        <v/>
      </c>
      <c r="BB679" s="171" t="str">
        <f t="shared" si="19"/>
        <v/>
      </c>
      <c r="BC679" s="171" t="str">
        <f t="shared" si="20"/>
        <v>General-purpose</v>
      </c>
      <c r="BD679" s="171" t="str">
        <f t="shared" si="21"/>
        <v/>
      </c>
      <c r="BE679" s="171" t="str">
        <f t="shared" si="22"/>
        <v/>
      </c>
      <c r="BF679" s="171" t="str">
        <f t="shared" si="23"/>
        <v>General-purpose</v>
      </c>
    </row>
    <row r="680">
      <c r="A680" s="171">
        <f t="array" ref="A680">XLOOKUP(C680,ICSE!A:A,ICSE!C:C,,2,1)</f>
        <v>2018</v>
      </c>
      <c r="B680" s="171" t="s">
        <v>5675</v>
      </c>
      <c r="C680" s="160">
        <v>1260.0</v>
      </c>
      <c r="D680" s="161" t="s">
        <v>5968</v>
      </c>
      <c r="E680" s="197" t="str">
        <f t="array" ref="E680">XLOOKUP(C680,ICSE!A:A,ICSE!Z:Z,,0,1)</f>
        <v>Restrict access (1) - You need to request access,
Publicly available (4)</v>
      </c>
      <c r="F680" s="198" t="s">
        <v>20</v>
      </c>
      <c r="G680" s="163" t="str">
        <f t="array" ref="G680">IF(B680="ICSE",IF(COUNTIFS(B:B,B680,C:C,C680)=XLOOKUP(C680,ICSE!A:A,ICSE!AA:AA,"ERROR",0,1),"OK","ERROR"),IF(B680="FSE",IF(COUNTIFS(B:B,B680,C:C,C680)=XLOOKUP(C680,FSE!A:A,FSE!AA:AA,"ERROR",0,1),"OK","ERROR")))</f>
        <v>OK</v>
      </c>
      <c r="H680" s="199">
        <f t="shared" ref="H680:O680" si="3420">countif($D680,"*"&amp;H$2&amp;"*")</f>
        <v>0</v>
      </c>
      <c r="I680" s="200">
        <f t="shared" si="3420"/>
        <v>0</v>
      </c>
      <c r="J680" s="200">
        <f t="shared" si="3420"/>
        <v>0</v>
      </c>
      <c r="K680" s="200">
        <f t="shared" si="3420"/>
        <v>0</v>
      </c>
      <c r="L680" s="200">
        <f t="shared" si="3420"/>
        <v>0</v>
      </c>
      <c r="M680" s="200">
        <f t="shared" si="3420"/>
        <v>0</v>
      </c>
      <c r="N680" s="200">
        <f t="shared" si="3420"/>
        <v>0</v>
      </c>
      <c r="O680" s="200">
        <f t="shared" si="3420"/>
        <v>0</v>
      </c>
      <c r="P680" s="200">
        <f t="shared" si="9"/>
        <v>0</v>
      </c>
      <c r="Q680" s="200">
        <f t="shared" ref="Q680:AC680" si="3421">countif($D680,"*"&amp;Q$2&amp;"*")</f>
        <v>0</v>
      </c>
      <c r="R680" s="200">
        <f t="shared" si="3421"/>
        <v>0</v>
      </c>
      <c r="S680" s="200">
        <f t="shared" si="3421"/>
        <v>0</v>
      </c>
      <c r="T680" s="200">
        <f t="shared" si="3421"/>
        <v>0</v>
      </c>
      <c r="U680" s="200">
        <f t="shared" si="3421"/>
        <v>0</v>
      </c>
      <c r="V680" s="200">
        <f t="shared" si="3421"/>
        <v>0</v>
      </c>
      <c r="W680" s="200">
        <f t="shared" si="3421"/>
        <v>0</v>
      </c>
      <c r="X680" s="200">
        <f t="shared" si="3421"/>
        <v>0</v>
      </c>
      <c r="Y680" s="200">
        <f t="shared" si="3421"/>
        <v>0</v>
      </c>
      <c r="Z680" s="200">
        <f t="shared" si="3421"/>
        <v>1</v>
      </c>
      <c r="AA680" s="200">
        <f t="shared" si="3421"/>
        <v>0</v>
      </c>
      <c r="AB680" s="200">
        <f t="shared" si="3421"/>
        <v>0</v>
      </c>
      <c r="AC680" s="200">
        <f t="shared" si="3421"/>
        <v>0</v>
      </c>
      <c r="AD680" s="200">
        <f t="shared" si="11"/>
        <v>0</v>
      </c>
      <c r="AE680" s="200">
        <f t="shared" ref="AE680:AG680" si="3422">countif($D680,"*"&amp;AE$2&amp;"*")</f>
        <v>0</v>
      </c>
      <c r="AF680" s="200">
        <f t="shared" si="3422"/>
        <v>0</v>
      </c>
      <c r="AG680" s="200">
        <f t="shared" si="3422"/>
        <v>0</v>
      </c>
      <c r="AH680" s="171">
        <f t="shared" si="13"/>
        <v>0</v>
      </c>
      <c r="AI680" s="200">
        <f t="shared" si="14"/>
        <v>0</v>
      </c>
      <c r="AJ680" s="200">
        <f t="shared" si="3382"/>
        <v>1</v>
      </c>
      <c r="AK680" s="201">
        <f t="shared" ref="AK680:AS680" si="3423">countif($D680,"*"&amp;AK$2&amp;"*")</f>
        <v>0</v>
      </c>
      <c r="AL680" s="201">
        <f t="shared" si="3423"/>
        <v>1</v>
      </c>
      <c r="AM680" s="201">
        <f t="shared" si="3423"/>
        <v>0</v>
      </c>
      <c r="AN680" s="201">
        <f t="shared" si="3423"/>
        <v>0</v>
      </c>
      <c r="AO680" s="201">
        <f t="shared" si="3423"/>
        <v>0</v>
      </c>
      <c r="AP680" s="201">
        <f t="shared" si="3423"/>
        <v>0</v>
      </c>
      <c r="AQ680" s="201">
        <f t="shared" si="3423"/>
        <v>0</v>
      </c>
      <c r="AR680" s="200">
        <f t="shared" si="3423"/>
        <v>0</v>
      </c>
      <c r="AS680" s="200">
        <f t="shared" si="3423"/>
        <v>1</v>
      </c>
      <c r="AT680" s="173">
        <v>0.0</v>
      </c>
      <c r="AU680" s="200">
        <f t="shared" ref="AU680:AX680" si="3424">countif($D680,"*"&amp;AU$2&amp;"*")</f>
        <v>0</v>
      </c>
      <c r="AV680" s="200">
        <f t="shared" si="3424"/>
        <v>0</v>
      </c>
      <c r="AW680" s="200">
        <f t="shared" si="3424"/>
        <v>0</v>
      </c>
      <c r="AX680" s="200">
        <f t="shared" si="3424"/>
        <v>0</v>
      </c>
      <c r="AY680" s="202">
        <v>0.0</v>
      </c>
      <c r="AZ680" s="200"/>
      <c r="BA680" s="171" t="str">
        <f t="shared" si="18"/>
        <v/>
      </c>
      <c r="BB680" s="171" t="str">
        <f t="shared" si="19"/>
        <v/>
      </c>
      <c r="BC680" s="171" t="str">
        <f t="shared" si="20"/>
        <v>General-purpose</v>
      </c>
      <c r="BD680" s="171" t="str">
        <f t="shared" si="21"/>
        <v/>
      </c>
      <c r="BE680" s="171" t="str">
        <f t="shared" si="22"/>
        <v/>
      </c>
      <c r="BF680" s="171" t="str">
        <f t="shared" si="23"/>
        <v>General-purpose</v>
      </c>
    </row>
    <row r="681">
      <c r="A681" s="171">
        <f t="array" ref="A681">XLOOKUP(C681,ICSE!A:A,ICSE!C:C,,2,1)</f>
        <v>2018</v>
      </c>
      <c r="B681" s="171" t="s">
        <v>5675</v>
      </c>
      <c r="C681" s="160">
        <v>1260.0</v>
      </c>
      <c r="D681" s="161" t="s">
        <v>5969</v>
      </c>
      <c r="E681" s="197" t="str">
        <f t="array" ref="E681">XLOOKUP(C681,ICSE!A:A,ICSE!Z:Z,,0,1)</f>
        <v>Restrict access (1) - You need to request access,
Publicly available (4)</v>
      </c>
      <c r="F681" s="198" t="s">
        <v>20</v>
      </c>
      <c r="G681" s="163" t="str">
        <f t="array" ref="G681">IF(B681="ICSE",IF(COUNTIFS(B:B,B681,C:C,C681)=XLOOKUP(C681,ICSE!A:A,ICSE!AA:AA,"ERROR",0,1),"OK","ERROR"),IF(B681="FSE",IF(COUNTIFS(B:B,B681,C:C,C681)=XLOOKUP(C681,FSE!A:A,FSE!AA:AA,"ERROR",0,1),"OK","ERROR")))</f>
        <v>OK</v>
      </c>
      <c r="H681" s="199">
        <f t="shared" ref="H681:O681" si="3425">countif($D681,"*"&amp;H$2&amp;"*")</f>
        <v>0</v>
      </c>
      <c r="I681" s="200">
        <f t="shared" si="3425"/>
        <v>0</v>
      </c>
      <c r="J681" s="200">
        <f t="shared" si="3425"/>
        <v>0</v>
      </c>
      <c r="K681" s="200">
        <f t="shared" si="3425"/>
        <v>0</v>
      </c>
      <c r="L681" s="200">
        <f t="shared" si="3425"/>
        <v>0</v>
      </c>
      <c r="M681" s="200">
        <f t="shared" si="3425"/>
        <v>0</v>
      </c>
      <c r="N681" s="200">
        <f t="shared" si="3425"/>
        <v>0</v>
      </c>
      <c r="O681" s="200">
        <f t="shared" si="3425"/>
        <v>0</v>
      </c>
      <c r="P681" s="200">
        <f t="shared" si="9"/>
        <v>0</v>
      </c>
      <c r="Q681" s="200">
        <f t="shared" ref="Q681:AC681" si="3426">countif($D681,"*"&amp;Q$2&amp;"*")</f>
        <v>0</v>
      </c>
      <c r="R681" s="200">
        <f t="shared" si="3426"/>
        <v>0</v>
      </c>
      <c r="S681" s="200">
        <f t="shared" si="3426"/>
        <v>0</v>
      </c>
      <c r="T681" s="200">
        <f t="shared" si="3426"/>
        <v>0</v>
      </c>
      <c r="U681" s="200">
        <f t="shared" si="3426"/>
        <v>0</v>
      </c>
      <c r="V681" s="200">
        <f t="shared" si="3426"/>
        <v>0</v>
      </c>
      <c r="W681" s="200">
        <f t="shared" si="3426"/>
        <v>0</v>
      </c>
      <c r="X681" s="200">
        <f t="shared" si="3426"/>
        <v>0</v>
      </c>
      <c r="Y681" s="200">
        <f t="shared" si="3426"/>
        <v>0</v>
      </c>
      <c r="Z681" s="200">
        <f t="shared" si="3426"/>
        <v>1</v>
      </c>
      <c r="AA681" s="200">
        <f t="shared" si="3426"/>
        <v>0</v>
      </c>
      <c r="AB681" s="200">
        <f t="shared" si="3426"/>
        <v>0</v>
      </c>
      <c r="AC681" s="200">
        <f t="shared" si="3426"/>
        <v>0</v>
      </c>
      <c r="AD681" s="200">
        <f t="shared" si="11"/>
        <v>0</v>
      </c>
      <c r="AE681" s="200">
        <f t="shared" ref="AE681:AG681" si="3427">countif($D681,"*"&amp;AE$2&amp;"*")</f>
        <v>0</v>
      </c>
      <c r="AF681" s="200">
        <f t="shared" si="3427"/>
        <v>0</v>
      </c>
      <c r="AG681" s="200">
        <f t="shared" si="3427"/>
        <v>0</v>
      </c>
      <c r="AH681" s="171">
        <f t="shared" si="13"/>
        <v>0</v>
      </c>
      <c r="AI681" s="200">
        <f t="shared" si="14"/>
        <v>0</v>
      </c>
      <c r="AJ681" s="200">
        <f t="shared" si="3382"/>
        <v>1</v>
      </c>
      <c r="AK681" s="201">
        <f t="shared" ref="AK681:AS681" si="3428">countif($D681,"*"&amp;AK$2&amp;"*")</f>
        <v>0</v>
      </c>
      <c r="AL681" s="201">
        <f t="shared" si="3428"/>
        <v>1</v>
      </c>
      <c r="AM681" s="201">
        <f t="shared" si="3428"/>
        <v>0</v>
      </c>
      <c r="AN681" s="201">
        <f t="shared" si="3428"/>
        <v>0</v>
      </c>
      <c r="AO681" s="201">
        <f t="shared" si="3428"/>
        <v>0</v>
      </c>
      <c r="AP681" s="201">
        <f t="shared" si="3428"/>
        <v>0</v>
      </c>
      <c r="AQ681" s="201">
        <f t="shared" si="3428"/>
        <v>0</v>
      </c>
      <c r="AR681" s="200">
        <f t="shared" si="3428"/>
        <v>0</v>
      </c>
      <c r="AS681" s="200">
        <f t="shared" si="3428"/>
        <v>1</v>
      </c>
      <c r="AT681" s="173">
        <v>0.0</v>
      </c>
      <c r="AU681" s="200">
        <f t="shared" ref="AU681:AX681" si="3429">countif($D681,"*"&amp;AU$2&amp;"*")</f>
        <v>0</v>
      </c>
      <c r="AV681" s="200">
        <f t="shared" si="3429"/>
        <v>0</v>
      </c>
      <c r="AW681" s="200">
        <f t="shared" si="3429"/>
        <v>0</v>
      </c>
      <c r="AX681" s="200">
        <f t="shared" si="3429"/>
        <v>0</v>
      </c>
      <c r="AY681" s="202">
        <v>0.0</v>
      </c>
      <c r="AZ681" s="200"/>
      <c r="BA681" s="171" t="str">
        <f t="shared" si="18"/>
        <v/>
      </c>
      <c r="BB681" s="171" t="str">
        <f t="shared" si="19"/>
        <v/>
      </c>
      <c r="BC681" s="171" t="str">
        <f t="shared" si="20"/>
        <v>General-purpose</v>
      </c>
      <c r="BD681" s="171" t="str">
        <f t="shared" si="21"/>
        <v/>
      </c>
      <c r="BE681" s="171" t="str">
        <f t="shared" si="22"/>
        <v/>
      </c>
      <c r="BF681" s="171" t="str">
        <f t="shared" si="23"/>
        <v>General-purpose</v>
      </c>
    </row>
    <row r="682">
      <c r="A682" s="171">
        <f t="array" ref="A682">XLOOKUP(C682,ICSE!A:A,ICSE!C:C,,2,1)</f>
        <v>2018</v>
      </c>
      <c r="B682" s="171" t="s">
        <v>5675</v>
      </c>
      <c r="C682" s="160">
        <v>1263.0</v>
      </c>
      <c r="D682" s="161" t="s">
        <v>5970</v>
      </c>
      <c r="E682" s="197" t="str">
        <f t="array" ref="E682">XLOOKUP(C682,ICSE!A:A,ICSE!Z:Z,,0,1)</f>
        <v>Publicly available (2)</v>
      </c>
      <c r="F682" s="198" t="s">
        <v>20</v>
      </c>
      <c r="G682" s="163" t="str">
        <f t="array" ref="G682">IF(B682="ICSE",IF(COUNTIFS(B:B,B682,C:C,C682)=XLOOKUP(C682,ICSE!A:A,ICSE!AA:AA,"ERROR",0,1),"OK","ERROR"),IF(B682="FSE",IF(COUNTIFS(B:B,B682,C:C,C682)=XLOOKUP(C682,FSE!A:A,FSE!AA:AA,"ERROR",0,1),"OK","ERROR")))</f>
        <v>OK</v>
      </c>
      <c r="H682" s="199">
        <f t="shared" ref="H682:O682" si="3430">countif($D682,"*"&amp;H$2&amp;"*")</f>
        <v>1</v>
      </c>
      <c r="I682" s="200">
        <f t="shared" si="3430"/>
        <v>0</v>
      </c>
      <c r="J682" s="200">
        <f t="shared" si="3430"/>
        <v>0</v>
      </c>
      <c r="K682" s="200">
        <f t="shared" si="3430"/>
        <v>0</v>
      </c>
      <c r="L682" s="200">
        <f t="shared" si="3430"/>
        <v>0</v>
      </c>
      <c r="M682" s="200">
        <f t="shared" si="3430"/>
        <v>0</v>
      </c>
      <c r="N682" s="200">
        <f t="shared" si="3430"/>
        <v>0</v>
      </c>
      <c r="O682" s="200">
        <f t="shared" si="3430"/>
        <v>0</v>
      </c>
      <c r="P682" s="200">
        <f t="shared" si="9"/>
        <v>0</v>
      </c>
      <c r="Q682" s="200">
        <f t="shared" ref="Q682:AC682" si="3431">countif($D682,"*"&amp;Q$2&amp;"*")</f>
        <v>0</v>
      </c>
      <c r="R682" s="200">
        <f t="shared" si="3431"/>
        <v>0</v>
      </c>
      <c r="S682" s="200">
        <f t="shared" si="3431"/>
        <v>0</v>
      </c>
      <c r="T682" s="200">
        <f t="shared" si="3431"/>
        <v>0</v>
      </c>
      <c r="U682" s="200">
        <f t="shared" si="3431"/>
        <v>0</v>
      </c>
      <c r="V682" s="200">
        <f t="shared" si="3431"/>
        <v>0</v>
      </c>
      <c r="W682" s="200">
        <f t="shared" si="3431"/>
        <v>0</v>
      </c>
      <c r="X682" s="200">
        <f t="shared" si="3431"/>
        <v>0</v>
      </c>
      <c r="Y682" s="200">
        <f t="shared" si="3431"/>
        <v>0</v>
      </c>
      <c r="Z682" s="200">
        <f t="shared" si="3431"/>
        <v>0</v>
      </c>
      <c r="AA682" s="200">
        <f t="shared" si="3431"/>
        <v>0</v>
      </c>
      <c r="AB682" s="200">
        <f t="shared" si="3431"/>
        <v>0</v>
      </c>
      <c r="AC682" s="200">
        <f t="shared" si="3431"/>
        <v>0</v>
      </c>
      <c r="AD682" s="200">
        <f t="shared" si="11"/>
        <v>0</v>
      </c>
      <c r="AE682" s="200">
        <f t="shared" ref="AE682:AG682" si="3432">countif($D682,"*"&amp;AE$2&amp;"*")</f>
        <v>0</v>
      </c>
      <c r="AF682" s="200">
        <f t="shared" si="3432"/>
        <v>0</v>
      </c>
      <c r="AG682" s="200">
        <f t="shared" si="3432"/>
        <v>0</v>
      </c>
      <c r="AH682" s="171">
        <f t="shared" si="13"/>
        <v>0</v>
      </c>
      <c r="AI682" s="200">
        <f t="shared" si="14"/>
        <v>1</v>
      </c>
      <c r="AJ682" s="200">
        <f t="shared" si="3382"/>
        <v>0</v>
      </c>
      <c r="AK682" s="201">
        <f t="shared" ref="AK682:AS682" si="3433">countif($D682,"*"&amp;AK$2&amp;"*")</f>
        <v>0</v>
      </c>
      <c r="AL682" s="201">
        <f t="shared" si="3433"/>
        <v>0</v>
      </c>
      <c r="AM682" s="201">
        <f t="shared" si="3433"/>
        <v>0</v>
      </c>
      <c r="AN682" s="201">
        <f t="shared" si="3433"/>
        <v>0</v>
      </c>
      <c r="AO682" s="201">
        <f t="shared" si="3433"/>
        <v>0</v>
      </c>
      <c r="AP682" s="201">
        <f t="shared" si="3433"/>
        <v>0</v>
      </c>
      <c r="AQ682" s="201">
        <f t="shared" si="3433"/>
        <v>0</v>
      </c>
      <c r="AR682" s="200">
        <f t="shared" si="3433"/>
        <v>0</v>
      </c>
      <c r="AS682" s="200">
        <f t="shared" si="3433"/>
        <v>0</v>
      </c>
      <c r="AT682" s="173">
        <v>0.0</v>
      </c>
      <c r="AU682" s="200">
        <f t="shared" ref="AU682:AX682" si="3434">countif($D682,"*"&amp;AU$2&amp;"*")</f>
        <v>0</v>
      </c>
      <c r="AV682" s="200">
        <f t="shared" si="3434"/>
        <v>0</v>
      </c>
      <c r="AW682" s="200">
        <f t="shared" si="3434"/>
        <v>0</v>
      </c>
      <c r="AX682" s="200">
        <f t="shared" si="3434"/>
        <v>1</v>
      </c>
      <c r="AY682" s="202">
        <v>0.0</v>
      </c>
      <c r="AZ682" s="200"/>
      <c r="BA682" s="171" t="str">
        <f t="shared" si="18"/>
        <v>Archival</v>
      </c>
      <c r="BB682" s="171" t="str">
        <f t="shared" si="19"/>
        <v/>
      </c>
      <c r="BC682" s="171" t="str">
        <f t="shared" si="20"/>
        <v/>
      </c>
      <c r="BD682" s="171" t="str">
        <f t="shared" si="21"/>
        <v/>
      </c>
      <c r="BE682" s="171" t="str">
        <f t="shared" si="22"/>
        <v/>
      </c>
      <c r="BF682" s="171" t="str">
        <f t="shared" si="23"/>
        <v>Archival</v>
      </c>
    </row>
    <row r="683">
      <c r="A683" s="171">
        <f t="array" ref="A683">XLOOKUP(C683,ICSE!A:A,ICSE!C:C,,2,1)</f>
        <v>2018</v>
      </c>
      <c r="B683" s="171" t="s">
        <v>5675</v>
      </c>
      <c r="C683" s="160">
        <v>1263.0</v>
      </c>
      <c r="D683" s="161" t="s">
        <v>5971</v>
      </c>
      <c r="E683" s="197" t="str">
        <f t="array" ref="E683">XLOOKUP(C683,ICSE!A:A,ICSE!Z:Z,,0,1)</f>
        <v>Publicly available (2)</v>
      </c>
      <c r="F683" s="198" t="s">
        <v>20</v>
      </c>
      <c r="G683" s="163" t="str">
        <f t="array" ref="G683">IF(B683="ICSE",IF(COUNTIFS(B:B,B683,C:C,C683)=XLOOKUP(C683,ICSE!A:A,ICSE!AA:AA,"ERROR",0,1),"OK","ERROR"),IF(B683="FSE",IF(COUNTIFS(B:B,B683,C:C,C683)=XLOOKUP(C683,FSE!A:A,FSE!AA:AA,"ERROR",0,1),"OK","ERROR")))</f>
        <v>OK</v>
      </c>
      <c r="H683" s="199">
        <f t="shared" ref="H683:O683" si="3435">countif($D683,"*"&amp;H$2&amp;"*")</f>
        <v>0</v>
      </c>
      <c r="I683" s="200">
        <f t="shared" si="3435"/>
        <v>0</v>
      </c>
      <c r="J683" s="200">
        <f t="shared" si="3435"/>
        <v>0</v>
      </c>
      <c r="K683" s="200">
        <f t="shared" si="3435"/>
        <v>0</v>
      </c>
      <c r="L683" s="200">
        <f t="shared" si="3435"/>
        <v>0</v>
      </c>
      <c r="M683" s="200">
        <f t="shared" si="3435"/>
        <v>0</v>
      </c>
      <c r="N683" s="200">
        <f t="shared" si="3435"/>
        <v>0</v>
      </c>
      <c r="O683" s="200">
        <f t="shared" si="3435"/>
        <v>0</v>
      </c>
      <c r="P683" s="200">
        <f t="shared" si="9"/>
        <v>1</v>
      </c>
      <c r="Q683" s="200">
        <f t="shared" ref="Q683:AC683" si="3436">countif($D683,"*"&amp;Q$2&amp;"*")</f>
        <v>0</v>
      </c>
      <c r="R683" s="200">
        <f t="shared" si="3436"/>
        <v>0</v>
      </c>
      <c r="S683" s="200">
        <f t="shared" si="3436"/>
        <v>0</v>
      </c>
      <c r="T683" s="200">
        <f t="shared" si="3436"/>
        <v>0</v>
      </c>
      <c r="U683" s="200">
        <f t="shared" si="3436"/>
        <v>0</v>
      </c>
      <c r="V683" s="200">
        <f t="shared" si="3436"/>
        <v>0</v>
      </c>
      <c r="W683" s="200">
        <f t="shared" si="3436"/>
        <v>0</v>
      </c>
      <c r="X683" s="200">
        <f t="shared" si="3436"/>
        <v>0</v>
      </c>
      <c r="Y683" s="200">
        <f t="shared" si="3436"/>
        <v>0</v>
      </c>
      <c r="Z683" s="200">
        <f t="shared" si="3436"/>
        <v>0</v>
      </c>
      <c r="AA683" s="200">
        <f t="shared" si="3436"/>
        <v>0</v>
      </c>
      <c r="AB683" s="200">
        <f t="shared" si="3436"/>
        <v>0</v>
      </c>
      <c r="AC683" s="200">
        <f t="shared" si="3436"/>
        <v>0</v>
      </c>
      <c r="AD683" s="200">
        <f t="shared" si="11"/>
        <v>0</v>
      </c>
      <c r="AE683" s="200">
        <f t="shared" ref="AE683:AG683" si="3437">countif($D683,"*"&amp;AE$2&amp;"*")</f>
        <v>0</v>
      </c>
      <c r="AF683" s="200">
        <f t="shared" si="3437"/>
        <v>0</v>
      </c>
      <c r="AG683" s="200">
        <f t="shared" si="3437"/>
        <v>0</v>
      </c>
      <c r="AH683" s="171">
        <f t="shared" si="13"/>
        <v>0</v>
      </c>
      <c r="AI683" s="200">
        <f t="shared" si="14"/>
        <v>0</v>
      </c>
      <c r="AJ683" s="200">
        <f t="shared" si="3382"/>
        <v>0</v>
      </c>
      <c r="AK683" s="201">
        <f t="shared" ref="AK683:AS683" si="3438">countif($D683,"*"&amp;AK$2&amp;"*")</f>
        <v>0</v>
      </c>
      <c r="AL683" s="201">
        <f t="shared" si="3438"/>
        <v>0</v>
      </c>
      <c r="AM683" s="201">
        <f t="shared" si="3438"/>
        <v>0</v>
      </c>
      <c r="AN683" s="201">
        <f t="shared" si="3438"/>
        <v>0</v>
      </c>
      <c r="AO683" s="201">
        <f t="shared" si="3438"/>
        <v>0</v>
      </c>
      <c r="AP683" s="201">
        <f t="shared" si="3438"/>
        <v>0</v>
      </c>
      <c r="AQ683" s="201">
        <f t="shared" si="3438"/>
        <v>0</v>
      </c>
      <c r="AR683" s="200">
        <f t="shared" si="3438"/>
        <v>0</v>
      </c>
      <c r="AS683" s="200">
        <f t="shared" si="3438"/>
        <v>0</v>
      </c>
      <c r="AT683" s="173">
        <v>0.0</v>
      </c>
      <c r="AU683" s="200">
        <f t="shared" ref="AU683:AX683" si="3439">countif($D683,"*"&amp;AU$2&amp;"*")</f>
        <v>0</v>
      </c>
      <c r="AV683" s="200">
        <f t="shared" si="3439"/>
        <v>1</v>
      </c>
      <c r="AW683" s="200">
        <f t="shared" si="3439"/>
        <v>0</v>
      </c>
      <c r="AX683" s="200">
        <f t="shared" si="3439"/>
        <v>0</v>
      </c>
      <c r="AY683" s="202">
        <v>0.0</v>
      </c>
      <c r="AZ683" s="200"/>
      <c r="BA683" s="171" t="str">
        <f t="shared" si="18"/>
        <v/>
      </c>
      <c r="BB683" s="171" t="str">
        <f t="shared" si="19"/>
        <v>Code</v>
      </c>
      <c r="BC683" s="171" t="str">
        <f t="shared" si="20"/>
        <v/>
      </c>
      <c r="BD683" s="171" t="str">
        <f t="shared" si="21"/>
        <v/>
      </c>
      <c r="BE683" s="171" t="str">
        <f t="shared" si="22"/>
        <v/>
      </c>
      <c r="BF683" s="171" t="str">
        <f t="shared" si="23"/>
        <v>Code</v>
      </c>
    </row>
    <row r="684">
      <c r="A684" s="171">
        <f t="array" ref="A684">XLOOKUP(C684,ICSE!A:A,ICSE!C:C,,2,1)</f>
        <v>2018</v>
      </c>
      <c r="B684" s="171" t="s">
        <v>5675</v>
      </c>
      <c r="C684" s="160">
        <v>1264.0</v>
      </c>
      <c r="D684" s="161" t="s">
        <v>1218</v>
      </c>
      <c r="E684" s="197" t="str">
        <f t="array" ref="E684">XLOOKUP(C684,ICSE!A:A,ICSE!Z:Z,,0,1)</f>
        <v>Publicly available (1)</v>
      </c>
      <c r="F684" s="198" t="s">
        <v>20</v>
      </c>
      <c r="G684" s="163" t="str">
        <f t="array" ref="G684">IF(B684="ICSE",IF(COUNTIFS(B:B,B684,C:C,C684)=XLOOKUP(C684,ICSE!A:A,ICSE!AA:AA,"ERROR",0,1),"OK","ERROR"),IF(B684="FSE",IF(COUNTIFS(B:B,B684,C:C,C684)=XLOOKUP(C684,FSE!A:A,FSE!AA:AA,"ERROR",0,1),"OK","ERROR")))</f>
        <v>OK</v>
      </c>
      <c r="H684" s="199">
        <f t="shared" ref="H684:O684" si="3440">countif($D684,"*"&amp;H$2&amp;"*")</f>
        <v>0</v>
      </c>
      <c r="I684" s="200">
        <f t="shared" si="3440"/>
        <v>0</v>
      </c>
      <c r="J684" s="200">
        <f t="shared" si="3440"/>
        <v>0</v>
      </c>
      <c r="K684" s="200">
        <f t="shared" si="3440"/>
        <v>0</v>
      </c>
      <c r="L684" s="200">
        <f t="shared" si="3440"/>
        <v>0</v>
      </c>
      <c r="M684" s="200">
        <f t="shared" si="3440"/>
        <v>0</v>
      </c>
      <c r="N684" s="200">
        <f t="shared" si="3440"/>
        <v>0</v>
      </c>
      <c r="O684" s="200">
        <f t="shared" si="3440"/>
        <v>0</v>
      </c>
      <c r="P684" s="200">
        <f t="shared" si="9"/>
        <v>0</v>
      </c>
      <c r="Q684" s="200">
        <f t="shared" ref="Q684:AC684" si="3441">countif($D684,"*"&amp;Q$2&amp;"*")</f>
        <v>0</v>
      </c>
      <c r="R684" s="200">
        <f t="shared" si="3441"/>
        <v>0</v>
      </c>
      <c r="S684" s="200">
        <f t="shared" si="3441"/>
        <v>0</v>
      </c>
      <c r="T684" s="200">
        <f t="shared" si="3441"/>
        <v>0</v>
      </c>
      <c r="U684" s="200">
        <f t="shared" si="3441"/>
        <v>0</v>
      </c>
      <c r="V684" s="200">
        <f t="shared" si="3441"/>
        <v>0</v>
      </c>
      <c r="W684" s="200">
        <f t="shared" si="3441"/>
        <v>0</v>
      </c>
      <c r="X684" s="200">
        <f t="shared" si="3441"/>
        <v>0</v>
      </c>
      <c r="Y684" s="200">
        <f t="shared" si="3441"/>
        <v>0</v>
      </c>
      <c r="Z684" s="200">
        <f t="shared" si="3441"/>
        <v>0</v>
      </c>
      <c r="AA684" s="200">
        <f t="shared" si="3441"/>
        <v>1</v>
      </c>
      <c r="AB684" s="200">
        <f t="shared" si="3441"/>
        <v>0</v>
      </c>
      <c r="AC684" s="200">
        <f t="shared" si="3441"/>
        <v>0</v>
      </c>
      <c r="AD684" s="200">
        <f t="shared" si="11"/>
        <v>0</v>
      </c>
      <c r="AE684" s="200">
        <f t="shared" ref="AE684:AG684" si="3442">countif($D684,"*"&amp;AE$2&amp;"*")</f>
        <v>0</v>
      </c>
      <c r="AF684" s="200">
        <f t="shared" si="3442"/>
        <v>0</v>
      </c>
      <c r="AG684" s="200">
        <f t="shared" si="3442"/>
        <v>0</v>
      </c>
      <c r="AH684" s="171">
        <f t="shared" si="13"/>
        <v>0</v>
      </c>
      <c r="AI684" s="200">
        <f t="shared" si="14"/>
        <v>0</v>
      </c>
      <c r="AJ684" s="200">
        <f t="shared" si="3382"/>
        <v>0</v>
      </c>
      <c r="AK684" s="201">
        <f t="shared" ref="AK684:AS684" si="3443">countif($D684,"*"&amp;AK$2&amp;"*")</f>
        <v>0</v>
      </c>
      <c r="AL684" s="201">
        <f t="shared" si="3443"/>
        <v>0</v>
      </c>
      <c r="AM684" s="201">
        <f t="shared" si="3443"/>
        <v>0</v>
      </c>
      <c r="AN684" s="201">
        <f t="shared" si="3443"/>
        <v>0</v>
      </c>
      <c r="AO684" s="201">
        <f t="shared" si="3443"/>
        <v>0</v>
      </c>
      <c r="AP684" s="201">
        <f t="shared" si="3443"/>
        <v>0</v>
      </c>
      <c r="AQ684" s="201">
        <f t="shared" si="3443"/>
        <v>0</v>
      </c>
      <c r="AR684" s="200">
        <f t="shared" si="3443"/>
        <v>0</v>
      </c>
      <c r="AS684" s="200">
        <f t="shared" si="3443"/>
        <v>0</v>
      </c>
      <c r="AT684" s="173">
        <v>0.0</v>
      </c>
      <c r="AU684" s="200">
        <f t="shared" ref="AU684:AX684" si="3444">countif($D684,"*"&amp;AU$2&amp;"*")</f>
        <v>0</v>
      </c>
      <c r="AV684" s="200">
        <f t="shared" si="3444"/>
        <v>0</v>
      </c>
      <c r="AW684" s="200">
        <f t="shared" si="3444"/>
        <v>0</v>
      </c>
      <c r="AX684" s="200">
        <f t="shared" si="3444"/>
        <v>0</v>
      </c>
      <c r="AY684" s="202">
        <v>0.0</v>
      </c>
      <c r="AZ684" s="200"/>
      <c r="BA684" s="171" t="str">
        <f t="shared" si="18"/>
        <v/>
      </c>
      <c r="BB684" s="171" t="str">
        <f t="shared" si="19"/>
        <v/>
      </c>
      <c r="BC684" s="171" t="str">
        <f t="shared" si="20"/>
        <v>General-purpose</v>
      </c>
      <c r="BD684" s="171" t="str">
        <f t="shared" si="21"/>
        <v/>
      </c>
      <c r="BE684" s="171" t="str">
        <f t="shared" si="22"/>
        <v/>
      </c>
      <c r="BF684" s="171" t="str">
        <f t="shared" si="23"/>
        <v>General-purpose</v>
      </c>
    </row>
    <row r="685">
      <c r="A685" s="171">
        <f t="array" ref="A685">XLOOKUP(C685,ICSE!A:A,ICSE!C:C,,2,1)</f>
        <v>2018</v>
      </c>
      <c r="B685" s="171" t="s">
        <v>5675</v>
      </c>
      <c r="C685" s="160">
        <v>1266.0</v>
      </c>
      <c r="D685" s="161" t="s">
        <v>1220</v>
      </c>
      <c r="E685" s="197" t="str">
        <f t="array" ref="E685">XLOOKUP(C685,ICSE!A:A,ICSE!Z:Z,,0,1)</f>
        <v>Publicly available (1)</v>
      </c>
      <c r="F685" s="198" t="s">
        <v>20</v>
      </c>
      <c r="G685" s="163" t="str">
        <f t="array" ref="G685">IF(B685="ICSE",IF(COUNTIFS(B:B,B685,C:C,C685)=XLOOKUP(C685,ICSE!A:A,ICSE!AA:AA,"ERROR",0,1),"OK","ERROR"),IF(B685="FSE",IF(COUNTIFS(B:B,B685,C:C,C685)=XLOOKUP(C685,FSE!A:A,FSE!AA:AA,"ERROR",0,1),"OK","ERROR")))</f>
        <v>OK</v>
      </c>
      <c r="H685" s="199">
        <f t="shared" ref="H685:O685" si="3445">countif($D685,"*"&amp;H$2&amp;"*")</f>
        <v>0</v>
      </c>
      <c r="I685" s="200">
        <f t="shared" si="3445"/>
        <v>0</v>
      </c>
      <c r="J685" s="200">
        <f t="shared" si="3445"/>
        <v>0</v>
      </c>
      <c r="K685" s="200">
        <f t="shared" si="3445"/>
        <v>0</v>
      </c>
      <c r="L685" s="200">
        <f t="shared" si="3445"/>
        <v>0</v>
      </c>
      <c r="M685" s="200">
        <f t="shared" si="3445"/>
        <v>0</v>
      </c>
      <c r="N685" s="200">
        <f t="shared" si="3445"/>
        <v>0</v>
      </c>
      <c r="O685" s="200">
        <f t="shared" si="3445"/>
        <v>0</v>
      </c>
      <c r="P685" s="200">
        <f t="shared" si="9"/>
        <v>1</v>
      </c>
      <c r="Q685" s="200">
        <f t="shared" ref="Q685:AC685" si="3446">countif($D685,"*"&amp;Q$2&amp;"*")</f>
        <v>0</v>
      </c>
      <c r="R685" s="200">
        <f t="shared" si="3446"/>
        <v>0</v>
      </c>
      <c r="S685" s="200">
        <f t="shared" si="3446"/>
        <v>0</v>
      </c>
      <c r="T685" s="200">
        <f t="shared" si="3446"/>
        <v>0</v>
      </c>
      <c r="U685" s="200">
        <f t="shared" si="3446"/>
        <v>0</v>
      </c>
      <c r="V685" s="200">
        <f t="shared" si="3446"/>
        <v>0</v>
      </c>
      <c r="W685" s="200">
        <f t="shared" si="3446"/>
        <v>0</v>
      </c>
      <c r="X685" s="200">
        <f t="shared" si="3446"/>
        <v>0</v>
      </c>
      <c r="Y685" s="200">
        <f t="shared" si="3446"/>
        <v>0</v>
      </c>
      <c r="Z685" s="200">
        <f t="shared" si="3446"/>
        <v>0</v>
      </c>
      <c r="AA685" s="200">
        <f t="shared" si="3446"/>
        <v>0</v>
      </c>
      <c r="AB685" s="200">
        <f t="shared" si="3446"/>
        <v>0</v>
      </c>
      <c r="AC685" s="200">
        <f t="shared" si="3446"/>
        <v>0</v>
      </c>
      <c r="AD685" s="200">
        <f t="shared" si="11"/>
        <v>0</v>
      </c>
      <c r="AE685" s="200">
        <f t="shared" ref="AE685:AG685" si="3447">countif($D685,"*"&amp;AE$2&amp;"*")</f>
        <v>0</v>
      </c>
      <c r="AF685" s="200">
        <f t="shared" si="3447"/>
        <v>0</v>
      </c>
      <c r="AG685" s="200">
        <f t="shared" si="3447"/>
        <v>0</v>
      </c>
      <c r="AH685" s="171">
        <f t="shared" si="13"/>
        <v>0</v>
      </c>
      <c r="AI685" s="200">
        <f t="shared" si="14"/>
        <v>0</v>
      </c>
      <c r="AJ685" s="200">
        <f t="shared" si="3382"/>
        <v>0</v>
      </c>
      <c r="AK685" s="201">
        <f t="shared" ref="AK685:AS685" si="3448">countif($D685,"*"&amp;AK$2&amp;"*")</f>
        <v>0</v>
      </c>
      <c r="AL685" s="201">
        <f t="shared" si="3448"/>
        <v>0</v>
      </c>
      <c r="AM685" s="201">
        <f t="shared" si="3448"/>
        <v>0</v>
      </c>
      <c r="AN685" s="201">
        <f t="shared" si="3448"/>
        <v>0</v>
      </c>
      <c r="AO685" s="201">
        <f t="shared" si="3448"/>
        <v>0</v>
      </c>
      <c r="AP685" s="201">
        <f t="shared" si="3448"/>
        <v>0</v>
      </c>
      <c r="AQ685" s="201">
        <f t="shared" si="3448"/>
        <v>0</v>
      </c>
      <c r="AR685" s="200">
        <f t="shared" si="3448"/>
        <v>0</v>
      </c>
      <c r="AS685" s="200">
        <f t="shared" si="3448"/>
        <v>0</v>
      </c>
      <c r="AT685" s="173">
        <v>0.0</v>
      </c>
      <c r="AU685" s="200">
        <f t="shared" ref="AU685:AX685" si="3449">countif($D685,"*"&amp;AU$2&amp;"*")</f>
        <v>0</v>
      </c>
      <c r="AV685" s="200">
        <f t="shared" si="3449"/>
        <v>1</v>
      </c>
      <c r="AW685" s="200">
        <f t="shared" si="3449"/>
        <v>0</v>
      </c>
      <c r="AX685" s="200">
        <f t="shared" si="3449"/>
        <v>0</v>
      </c>
      <c r="AY685" s="202">
        <v>0.0</v>
      </c>
      <c r="AZ685" s="200"/>
      <c r="BA685" s="171" t="str">
        <f t="shared" si="18"/>
        <v/>
      </c>
      <c r="BB685" s="171" t="str">
        <f t="shared" si="19"/>
        <v>Code</v>
      </c>
      <c r="BC685" s="171" t="str">
        <f t="shared" si="20"/>
        <v/>
      </c>
      <c r="BD685" s="171" t="str">
        <f t="shared" si="21"/>
        <v/>
      </c>
      <c r="BE685" s="171" t="str">
        <f t="shared" si="22"/>
        <v/>
      </c>
      <c r="BF685" s="171" t="str">
        <f t="shared" si="23"/>
        <v>Code</v>
      </c>
    </row>
    <row r="686">
      <c r="A686" s="171">
        <f t="array" ref="A686">XLOOKUP(C686,ICSE!A:A,ICSE!C:C,,2,1)</f>
        <v>2017</v>
      </c>
      <c r="B686" s="171" t="s">
        <v>5675</v>
      </c>
      <c r="C686" s="160">
        <v>1364.0</v>
      </c>
      <c r="D686" s="161" t="s">
        <v>733</v>
      </c>
      <c r="E686" s="197" t="str">
        <f t="array" ref="E686">XLOOKUP(C686,ICSE!A:A,ICSE!Z:Z,,0,1)</f>
        <v>Publicly available (1)</v>
      </c>
      <c r="F686" s="198" t="s">
        <v>20</v>
      </c>
      <c r="G686" s="163" t="str">
        <f t="array" ref="G686">IF(B686="ICSE",IF(COUNTIFS(B:B,B686,C:C,C686)=XLOOKUP(C686,ICSE!A:A,ICSE!AA:AA,"ERROR",0,1),"OK","ERROR"),IF(B686="FSE",IF(COUNTIFS(B:B,B686,C:C,C686)=XLOOKUP(C686,FSE!A:A,FSE!AA:AA,"ERROR",0,1),"OK","ERROR")))</f>
        <v>OK</v>
      </c>
      <c r="H686" s="199">
        <f t="shared" ref="H686:O686" si="3450">countif($D686,"*"&amp;H$2&amp;"*")</f>
        <v>0</v>
      </c>
      <c r="I686" s="200">
        <f t="shared" si="3450"/>
        <v>0</v>
      </c>
      <c r="J686" s="200">
        <f t="shared" si="3450"/>
        <v>0</v>
      </c>
      <c r="K686" s="200">
        <f t="shared" si="3450"/>
        <v>0</v>
      </c>
      <c r="L686" s="200">
        <f t="shared" si="3450"/>
        <v>0</v>
      </c>
      <c r="M686" s="200">
        <f t="shared" si="3450"/>
        <v>0</v>
      </c>
      <c r="N686" s="200">
        <f t="shared" si="3450"/>
        <v>0</v>
      </c>
      <c r="O686" s="200">
        <f t="shared" si="3450"/>
        <v>0</v>
      </c>
      <c r="P686" s="200">
        <f t="shared" si="9"/>
        <v>1</v>
      </c>
      <c r="Q686" s="200">
        <f t="shared" ref="Q686:AC686" si="3451">countif($D686,"*"&amp;Q$2&amp;"*")</f>
        <v>0</v>
      </c>
      <c r="R686" s="200">
        <f t="shared" si="3451"/>
        <v>0</v>
      </c>
      <c r="S686" s="200">
        <f t="shared" si="3451"/>
        <v>0</v>
      </c>
      <c r="T686" s="200">
        <f t="shared" si="3451"/>
        <v>0</v>
      </c>
      <c r="U686" s="200">
        <f t="shared" si="3451"/>
        <v>0</v>
      </c>
      <c r="V686" s="200">
        <f t="shared" si="3451"/>
        <v>0</v>
      </c>
      <c r="W686" s="200">
        <f t="shared" si="3451"/>
        <v>0</v>
      </c>
      <c r="X686" s="200">
        <f t="shared" si="3451"/>
        <v>0</v>
      </c>
      <c r="Y686" s="200">
        <f t="shared" si="3451"/>
        <v>0</v>
      </c>
      <c r="Z686" s="200">
        <f t="shared" si="3451"/>
        <v>0</v>
      </c>
      <c r="AA686" s="200">
        <f t="shared" si="3451"/>
        <v>0</v>
      </c>
      <c r="AB686" s="200">
        <f t="shared" si="3451"/>
        <v>0</v>
      </c>
      <c r="AC686" s="200">
        <f t="shared" si="3451"/>
        <v>0</v>
      </c>
      <c r="AD686" s="200">
        <f t="shared" si="11"/>
        <v>0</v>
      </c>
      <c r="AE686" s="200">
        <f t="shared" ref="AE686:AG686" si="3452">countif($D686,"*"&amp;AE$2&amp;"*")</f>
        <v>0</v>
      </c>
      <c r="AF686" s="200">
        <f t="shared" si="3452"/>
        <v>0</v>
      </c>
      <c r="AG686" s="200">
        <f t="shared" si="3452"/>
        <v>0</v>
      </c>
      <c r="AH686" s="171">
        <f t="shared" si="13"/>
        <v>0</v>
      </c>
      <c r="AI686" s="200">
        <f t="shared" si="14"/>
        <v>0</v>
      </c>
      <c r="AJ686" s="200">
        <f t="shared" si="3382"/>
        <v>0</v>
      </c>
      <c r="AK686" s="201">
        <f t="shared" ref="AK686:AS686" si="3453">countif($D686,"*"&amp;AK$2&amp;"*")</f>
        <v>0</v>
      </c>
      <c r="AL686" s="201">
        <f t="shared" si="3453"/>
        <v>0</v>
      </c>
      <c r="AM686" s="201">
        <f t="shared" si="3453"/>
        <v>0</v>
      </c>
      <c r="AN686" s="201">
        <f t="shared" si="3453"/>
        <v>0</v>
      </c>
      <c r="AO686" s="201">
        <f t="shared" si="3453"/>
        <v>0</v>
      </c>
      <c r="AP686" s="201">
        <f t="shared" si="3453"/>
        <v>0</v>
      </c>
      <c r="AQ686" s="201">
        <f t="shared" si="3453"/>
        <v>0</v>
      </c>
      <c r="AR686" s="200">
        <f t="shared" si="3453"/>
        <v>0</v>
      </c>
      <c r="AS686" s="200">
        <f t="shared" si="3453"/>
        <v>0</v>
      </c>
      <c r="AT686" s="173">
        <v>0.0</v>
      </c>
      <c r="AU686" s="200">
        <f t="shared" ref="AU686:AX686" si="3454">countif($D686,"*"&amp;AU$2&amp;"*")</f>
        <v>0</v>
      </c>
      <c r="AV686" s="200">
        <f t="shared" si="3454"/>
        <v>1</v>
      </c>
      <c r="AW686" s="200">
        <f t="shared" si="3454"/>
        <v>0</v>
      </c>
      <c r="AX686" s="200">
        <f t="shared" si="3454"/>
        <v>0</v>
      </c>
      <c r="AY686" s="202">
        <v>0.0</v>
      </c>
      <c r="AZ686" s="200"/>
      <c r="BA686" s="171" t="str">
        <f t="shared" si="18"/>
        <v/>
      </c>
      <c r="BB686" s="171" t="str">
        <f t="shared" si="19"/>
        <v>Code</v>
      </c>
      <c r="BC686" s="171" t="str">
        <f t="shared" si="20"/>
        <v/>
      </c>
      <c r="BD686" s="171" t="str">
        <f t="shared" si="21"/>
        <v/>
      </c>
      <c r="BE686" s="171" t="str">
        <f t="shared" si="22"/>
        <v/>
      </c>
      <c r="BF686" s="171" t="str">
        <f t="shared" si="23"/>
        <v>Code</v>
      </c>
    </row>
    <row r="687">
      <c r="A687" s="171">
        <f t="array" ref="A687">XLOOKUP(C687,ICSE!A:A,ICSE!C:C,,2,1)</f>
        <v>2017</v>
      </c>
      <c r="B687" s="171" t="s">
        <v>5675</v>
      </c>
      <c r="C687" s="160">
        <v>1366.0</v>
      </c>
      <c r="D687" s="161" t="s">
        <v>737</v>
      </c>
      <c r="E687" s="197" t="str">
        <f t="array" ref="E687">XLOOKUP(C687,ICSE!A:A,ICSE!Z:Z,,0,1)</f>
        <v>Not available (1) - Broken link.</v>
      </c>
      <c r="F687" s="198" t="s">
        <v>21</v>
      </c>
      <c r="G687" s="163" t="str">
        <f t="array" ref="G687">IF(B687="ICSE",IF(COUNTIFS(B:B,B687,C:C,C687)=XLOOKUP(C687,ICSE!A:A,ICSE!AA:AA,"ERROR",0,1),"OK","ERROR"),IF(B687="FSE",IF(COUNTIFS(B:B,B687,C:C,C687)=XLOOKUP(C687,FSE!A:A,FSE!AA:AA,"ERROR",0,1),"OK","ERROR")))</f>
        <v>OK</v>
      </c>
      <c r="H687" s="199">
        <f t="shared" ref="H687:O687" si="3455">countif($D687,"*"&amp;H$2&amp;"*")</f>
        <v>0</v>
      </c>
      <c r="I687" s="200">
        <f t="shared" si="3455"/>
        <v>0</v>
      </c>
      <c r="J687" s="200">
        <f t="shared" si="3455"/>
        <v>0</v>
      </c>
      <c r="K687" s="200">
        <f t="shared" si="3455"/>
        <v>0</v>
      </c>
      <c r="L687" s="200">
        <f t="shared" si="3455"/>
        <v>0</v>
      </c>
      <c r="M687" s="200">
        <f t="shared" si="3455"/>
        <v>0</v>
      </c>
      <c r="N687" s="200">
        <f t="shared" si="3455"/>
        <v>0</v>
      </c>
      <c r="O687" s="200">
        <f t="shared" si="3455"/>
        <v>0</v>
      </c>
      <c r="P687" s="200">
        <f t="shared" si="9"/>
        <v>0</v>
      </c>
      <c r="Q687" s="200">
        <f t="shared" ref="Q687:AC687" si="3456">countif($D687,"*"&amp;Q$2&amp;"*")</f>
        <v>0</v>
      </c>
      <c r="R687" s="200">
        <f t="shared" si="3456"/>
        <v>0</v>
      </c>
      <c r="S687" s="200">
        <f t="shared" si="3456"/>
        <v>0</v>
      </c>
      <c r="T687" s="200">
        <f t="shared" si="3456"/>
        <v>0</v>
      </c>
      <c r="U687" s="200">
        <f t="shared" si="3456"/>
        <v>0</v>
      </c>
      <c r="V687" s="200">
        <f t="shared" si="3456"/>
        <v>0</v>
      </c>
      <c r="W687" s="200">
        <f t="shared" si="3456"/>
        <v>0</v>
      </c>
      <c r="X687" s="200">
        <f t="shared" si="3456"/>
        <v>0</v>
      </c>
      <c r="Y687" s="200">
        <f t="shared" si="3456"/>
        <v>0</v>
      </c>
      <c r="Z687" s="200">
        <f t="shared" si="3456"/>
        <v>0</v>
      </c>
      <c r="AA687" s="200">
        <f t="shared" si="3456"/>
        <v>0</v>
      </c>
      <c r="AB687" s="200">
        <f t="shared" si="3456"/>
        <v>0</v>
      </c>
      <c r="AC687" s="200">
        <f t="shared" si="3456"/>
        <v>0</v>
      </c>
      <c r="AD687" s="200">
        <f t="shared" si="11"/>
        <v>1</v>
      </c>
      <c r="AE687" s="200">
        <f t="shared" ref="AE687:AG687" si="3457">countif($D687,"*"&amp;AE$2&amp;"*")</f>
        <v>0</v>
      </c>
      <c r="AF687" s="200">
        <f t="shared" si="3457"/>
        <v>0</v>
      </c>
      <c r="AG687" s="200">
        <f t="shared" si="3457"/>
        <v>0</v>
      </c>
      <c r="AH687" s="171">
        <f t="shared" si="13"/>
        <v>0</v>
      </c>
      <c r="AI687" s="200">
        <f t="shared" si="14"/>
        <v>0</v>
      </c>
      <c r="AJ687" s="200">
        <f t="shared" si="3382"/>
        <v>0</v>
      </c>
      <c r="AK687" s="201">
        <f t="shared" ref="AK687:AS687" si="3458">countif($D687,"*"&amp;AK$2&amp;"*")</f>
        <v>0</v>
      </c>
      <c r="AL687" s="201">
        <f t="shared" si="3458"/>
        <v>0</v>
      </c>
      <c r="AM687" s="201">
        <f t="shared" si="3458"/>
        <v>0</v>
      </c>
      <c r="AN687" s="201">
        <f t="shared" si="3458"/>
        <v>0</v>
      </c>
      <c r="AO687" s="201">
        <f t="shared" si="3458"/>
        <v>0</v>
      </c>
      <c r="AP687" s="201">
        <f t="shared" si="3458"/>
        <v>0</v>
      </c>
      <c r="AQ687" s="201">
        <f t="shared" si="3458"/>
        <v>0</v>
      </c>
      <c r="AR687" s="200">
        <f t="shared" si="3458"/>
        <v>0</v>
      </c>
      <c r="AS687" s="200">
        <f t="shared" si="3458"/>
        <v>0</v>
      </c>
      <c r="AT687" s="173">
        <v>1.0</v>
      </c>
      <c r="AU687" s="200">
        <f t="shared" ref="AU687:AX687" si="3459">countif($D687,"*"&amp;AU$2&amp;"*")</f>
        <v>0</v>
      </c>
      <c r="AV687" s="200">
        <f t="shared" si="3459"/>
        <v>0</v>
      </c>
      <c r="AW687" s="200">
        <f t="shared" si="3459"/>
        <v>0</v>
      </c>
      <c r="AX687" s="200">
        <f t="shared" si="3459"/>
        <v>0</v>
      </c>
      <c r="AY687" s="202">
        <v>0.0</v>
      </c>
      <c r="AZ687" s="200"/>
      <c r="BA687" s="171" t="str">
        <f t="shared" si="18"/>
        <v/>
      </c>
      <c r="BB687" s="171" t="str">
        <f t="shared" si="19"/>
        <v/>
      </c>
      <c r="BC687" s="171" t="str">
        <f t="shared" si="20"/>
        <v/>
      </c>
      <c r="BD687" s="171" t="str">
        <f t="shared" si="21"/>
        <v>Institutional</v>
      </c>
      <c r="BE687" s="171" t="str">
        <f t="shared" si="22"/>
        <v/>
      </c>
      <c r="BF687" s="171" t="str">
        <f t="shared" si="23"/>
        <v>Institutional</v>
      </c>
    </row>
    <row r="688">
      <c r="A688" s="171">
        <f t="array" ref="A688">XLOOKUP(C688,ICSE!A:A,ICSE!C:C,,2,1)</f>
        <v>2017</v>
      </c>
      <c r="B688" s="171" t="s">
        <v>5675</v>
      </c>
      <c r="C688" s="160">
        <v>1367.0</v>
      </c>
      <c r="D688" s="161" t="s">
        <v>739</v>
      </c>
      <c r="E688" s="197" t="str">
        <f t="array" ref="E688">XLOOKUP(C688,ICSE!A:A,ICSE!Z:Z,,0,1)</f>
        <v>Publicly available (1)</v>
      </c>
      <c r="F688" s="198" t="s">
        <v>20</v>
      </c>
      <c r="G688" s="163" t="str">
        <f t="array" ref="G688">IF(B688="ICSE",IF(COUNTIFS(B:B,B688,C:C,C688)=XLOOKUP(C688,ICSE!A:A,ICSE!AA:AA,"ERROR",0,1),"OK","ERROR"),IF(B688="FSE",IF(COUNTIFS(B:B,B688,C:C,C688)=XLOOKUP(C688,FSE!A:A,FSE!AA:AA,"ERROR",0,1),"OK","ERROR")))</f>
        <v>OK</v>
      </c>
      <c r="H688" s="199">
        <f t="shared" ref="H688:O688" si="3460">countif($D688,"*"&amp;H$2&amp;"*")</f>
        <v>0</v>
      </c>
      <c r="I688" s="200">
        <f t="shared" si="3460"/>
        <v>0</v>
      </c>
      <c r="J688" s="200">
        <f t="shared" si="3460"/>
        <v>0</v>
      </c>
      <c r="K688" s="200">
        <f t="shared" si="3460"/>
        <v>0</v>
      </c>
      <c r="L688" s="200">
        <f t="shared" si="3460"/>
        <v>0</v>
      </c>
      <c r="M688" s="200">
        <f t="shared" si="3460"/>
        <v>0</v>
      </c>
      <c r="N688" s="200">
        <f t="shared" si="3460"/>
        <v>0</v>
      </c>
      <c r="O688" s="200">
        <f t="shared" si="3460"/>
        <v>0</v>
      </c>
      <c r="P688" s="200">
        <f t="shared" si="9"/>
        <v>0</v>
      </c>
      <c r="Q688" s="200">
        <f t="shared" ref="Q688:AC688" si="3461">countif($D688,"*"&amp;Q$2&amp;"*")</f>
        <v>0</v>
      </c>
      <c r="R688" s="200">
        <f t="shared" si="3461"/>
        <v>0</v>
      </c>
      <c r="S688" s="200">
        <f t="shared" si="3461"/>
        <v>0</v>
      </c>
      <c r="T688" s="200">
        <f t="shared" si="3461"/>
        <v>0</v>
      </c>
      <c r="U688" s="200">
        <f t="shared" si="3461"/>
        <v>0</v>
      </c>
      <c r="V688" s="200">
        <f t="shared" si="3461"/>
        <v>0</v>
      </c>
      <c r="W688" s="200">
        <f t="shared" si="3461"/>
        <v>0</v>
      </c>
      <c r="X688" s="200">
        <f t="shared" si="3461"/>
        <v>0</v>
      </c>
      <c r="Y688" s="200">
        <f t="shared" si="3461"/>
        <v>0</v>
      </c>
      <c r="Z688" s="200">
        <f t="shared" si="3461"/>
        <v>0</v>
      </c>
      <c r="AA688" s="200">
        <f t="shared" si="3461"/>
        <v>0</v>
      </c>
      <c r="AB688" s="200">
        <f t="shared" si="3461"/>
        <v>0</v>
      </c>
      <c r="AC688" s="200">
        <f t="shared" si="3461"/>
        <v>0</v>
      </c>
      <c r="AD688" s="200">
        <f t="shared" si="11"/>
        <v>0</v>
      </c>
      <c r="AE688" s="200">
        <f t="shared" ref="AE688:AG688" si="3462">countif($D688,"*"&amp;AE$2&amp;"*")</f>
        <v>0</v>
      </c>
      <c r="AF688" s="200">
        <f t="shared" si="3462"/>
        <v>0</v>
      </c>
      <c r="AG688" s="200">
        <f t="shared" si="3462"/>
        <v>0</v>
      </c>
      <c r="AH688" s="171">
        <f t="shared" si="13"/>
        <v>1</v>
      </c>
      <c r="AI688" s="200">
        <f t="shared" si="14"/>
        <v>0</v>
      </c>
      <c r="AJ688" s="200">
        <f t="shared" si="3382"/>
        <v>0</v>
      </c>
      <c r="AK688" s="201">
        <f t="shared" ref="AK688:AS688" si="3463">countif($D688,"*"&amp;AK$2&amp;"*")</f>
        <v>0</v>
      </c>
      <c r="AL688" s="201">
        <f t="shared" si="3463"/>
        <v>0</v>
      </c>
      <c r="AM688" s="201">
        <f t="shared" si="3463"/>
        <v>0</v>
      </c>
      <c r="AN688" s="201">
        <f t="shared" si="3463"/>
        <v>0</v>
      </c>
      <c r="AO688" s="201">
        <f t="shared" si="3463"/>
        <v>0</v>
      </c>
      <c r="AP688" s="201">
        <f t="shared" si="3463"/>
        <v>0</v>
      </c>
      <c r="AQ688" s="201">
        <f t="shared" si="3463"/>
        <v>0</v>
      </c>
      <c r="AR688" s="200">
        <f t="shared" si="3463"/>
        <v>0</v>
      </c>
      <c r="AS688" s="200">
        <f t="shared" si="3463"/>
        <v>0</v>
      </c>
      <c r="AT688" s="173">
        <v>0.0</v>
      </c>
      <c r="AU688" s="200">
        <f t="shared" ref="AU688:AX688" si="3464">countif($D688,"*"&amp;AU$2&amp;"*")</f>
        <v>0</v>
      </c>
      <c r="AV688" s="200">
        <f t="shared" si="3464"/>
        <v>0</v>
      </c>
      <c r="AW688" s="200">
        <f t="shared" si="3464"/>
        <v>0</v>
      </c>
      <c r="AX688" s="200">
        <f t="shared" si="3464"/>
        <v>0</v>
      </c>
      <c r="AY688" s="202">
        <v>0.0</v>
      </c>
      <c r="AZ688" s="200"/>
      <c r="BA688" s="171" t="str">
        <f t="shared" si="18"/>
        <v/>
      </c>
      <c r="BB688" s="171" t="str">
        <f t="shared" si="19"/>
        <v/>
      </c>
      <c r="BC688" s="171" t="str">
        <f t="shared" si="20"/>
        <v/>
      </c>
      <c r="BD688" s="171" t="str">
        <f t="shared" si="21"/>
        <v/>
      </c>
      <c r="BE688" s="171" t="str">
        <f t="shared" si="22"/>
        <v>Others</v>
      </c>
      <c r="BF688" s="171" t="str">
        <f t="shared" si="23"/>
        <v>Others</v>
      </c>
    </row>
    <row r="689">
      <c r="A689" s="171">
        <f t="array" ref="A689">XLOOKUP(C689,ICSE!A:A,ICSE!C:C,,2,1)</f>
        <v>2017</v>
      </c>
      <c r="B689" s="171" t="s">
        <v>5675</v>
      </c>
      <c r="C689" s="160">
        <v>1368.0</v>
      </c>
      <c r="D689" s="161" t="s">
        <v>742</v>
      </c>
      <c r="E689" s="197" t="str">
        <f t="array" ref="E689">XLOOKUP(C689,ICSE!A:A,ICSE!Z:Z,,0,1)</f>
        <v>Not available (1) - Broken link.</v>
      </c>
      <c r="F689" s="198" t="s">
        <v>21</v>
      </c>
      <c r="G689" s="163" t="str">
        <f t="array" ref="G689">IF(B689="ICSE",IF(COUNTIFS(B:B,B689,C:C,C689)=XLOOKUP(C689,ICSE!A:A,ICSE!AA:AA,"ERROR",0,1),"OK","ERROR"),IF(B689="FSE",IF(COUNTIFS(B:B,B689,C:C,C689)=XLOOKUP(C689,FSE!A:A,FSE!AA:AA,"ERROR",0,1),"OK","ERROR")))</f>
        <v>OK</v>
      </c>
      <c r="H689" s="199">
        <f t="shared" ref="H689:O689" si="3465">countif($D689,"*"&amp;H$2&amp;"*")</f>
        <v>0</v>
      </c>
      <c r="I689" s="200">
        <f t="shared" si="3465"/>
        <v>0</v>
      </c>
      <c r="J689" s="200">
        <f t="shared" si="3465"/>
        <v>0</v>
      </c>
      <c r="K689" s="200">
        <f t="shared" si="3465"/>
        <v>0</v>
      </c>
      <c r="L689" s="200">
        <f t="shared" si="3465"/>
        <v>0</v>
      </c>
      <c r="M689" s="200">
        <f t="shared" si="3465"/>
        <v>0</v>
      </c>
      <c r="N689" s="200">
        <f t="shared" si="3465"/>
        <v>0</v>
      </c>
      <c r="O689" s="200">
        <f t="shared" si="3465"/>
        <v>0</v>
      </c>
      <c r="P689" s="200">
        <f t="shared" si="9"/>
        <v>0</v>
      </c>
      <c r="Q689" s="200">
        <f t="shared" ref="Q689:AC689" si="3466">countif($D689,"*"&amp;Q$2&amp;"*")</f>
        <v>0</v>
      </c>
      <c r="R689" s="200">
        <f t="shared" si="3466"/>
        <v>0</v>
      </c>
      <c r="S689" s="200">
        <f t="shared" si="3466"/>
        <v>0</v>
      </c>
      <c r="T689" s="200">
        <f t="shared" si="3466"/>
        <v>0</v>
      </c>
      <c r="U689" s="200">
        <f t="shared" si="3466"/>
        <v>0</v>
      </c>
      <c r="V689" s="200">
        <f t="shared" si="3466"/>
        <v>0</v>
      </c>
      <c r="W689" s="200">
        <f t="shared" si="3466"/>
        <v>0</v>
      </c>
      <c r="X689" s="200">
        <f t="shared" si="3466"/>
        <v>0</v>
      </c>
      <c r="Y689" s="200">
        <f t="shared" si="3466"/>
        <v>0</v>
      </c>
      <c r="Z689" s="200">
        <f t="shared" si="3466"/>
        <v>0</v>
      </c>
      <c r="AA689" s="200">
        <f t="shared" si="3466"/>
        <v>0</v>
      </c>
      <c r="AB689" s="200">
        <f t="shared" si="3466"/>
        <v>0</v>
      </c>
      <c r="AC689" s="200">
        <f t="shared" si="3466"/>
        <v>0</v>
      </c>
      <c r="AD689" s="200">
        <f t="shared" si="11"/>
        <v>1</v>
      </c>
      <c r="AE689" s="200">
        <f t="shared" ref="AE689:AG689" si="3467">countif($D689,"*"&amp;AE$2&amp;"*")</f>
        <v>0</v>
      </c>
      <c r="AF689" s="200">
        <f t="shared" si="3467"/>
        <v>0</v>
      </c>
      <c r="AG689" s="200">
        <f t="shared" si="3467"/>
        <v>0</v>
      </c>
      <c r="AH689" s="171">
        <f t="shared" si="13"/>
        <v>0</v>
      </c>
      <c r="AI689" s="200">
        <f t="shared" si="14"/>
        <v>0</v>
      </c>
      <c r="AJ689" s="200">
        <f>SUM(AK689:AQ689)</f>
        <v>0</v>
      </c>
      <c r="AK689" s="201">
        <f t="shared" ref="AK689:AS689" si="3468">countif($D689,"*"&amp;AK$2&amp;"*")</f>
        <v>0</v>
      </c>
      <c r="AL689" s="201">
        <f t="shared" si="3468"/>
        <v>0</v>
      </c>
      <c r="AM689" s="201">
        <f t="shared" si="3468"/>
        <v>0</v>
      </c>
      <c r="AN689" s="201">
        <f t="shared" si="3468"/>
        <v>0</v>
      </c>
      <c r="AO689" s="201">
        <f t="shared" si="3468"/>
        <v>0</v>
      </c>
      <c r="AP689" s="201">
        <f t="shared" si="3468"/>
        <v>0</v>
      </c>
      <c r="AQ689" s="201">
        <f t="shared" si="3468"/>
        <v>0</v>
      </c>
      <c r="AR689" s="201">
        <f t="shared" si="3468"/>
        <v>0</v>
      </c>
      <c r="AS689" s="200">
        <f t="shared" si="3468"/>
        <v>0</v>
      </c>
      <c r="AT689" s="205">
        <v>0.0</v>
      </c>
      <c r="AU689" s="200">
        <f t="shared" ref="AU689:AX689" si="3469">countif($D689,"*"&amp;AU$2&amp;"*")</f>
        <v>1</v>
      </c>
      <c r="AV689" s="200">
        <f t="shared" si="3469"/>
        <v>0</v>
      </c>
      <c r="AW689" s="200">
        <f t="shared" si="3469"/>
        <v>0</v>
      </c>
      <c r="AX689" s="200">
        <f t="shared" si="3469"/>
        <v>0</v>
      </c>
      <c r="AY689" s="202">
        <v>0.0</v>
      </c>
      <c r="AZ689" s="200"/>
      <c r="BA689" s="171" t="str">
        <f t="shared" si="18"/>
        <v/>
      </c>
      <c r="BB689" s="171" t="str">
        <f t="shared" si="19"/>
        <v/>
      </c>
      <c r="BC689" s="171" t="str">
        <f t="shared" si="20"/>
        <v/>
      </c>
      <c r="BD689" s="171" t="str">
        <f t="shared" si="21"/>
        <v>Institutional</v>
      </c>
      <c r="BE689" s="171" t="str">
        <f t="shared" si="22"/>
        <v/>
      </c>
      <c r="BF689" s="171" t="str">
        <f t="shared" si="23"/>
        <v>Institutional</v>
      </c>
    </row>
    <row r="690">
      <c r="A690" s="171">
        <f t="array" ref="A690">XLOOKUP(C690,ICSE!A:A,ICSE!C:C,,2,1)</f>
        <v>2017</v>
      </c>
      <c r="B690" s="171" t="s">
        <v>5675</v>
      </c>
      <c r="C690" s="160">
        <v>1369.0</v>
      </c>
      <c r="D690" s="161" t="s">
        <v>5972</v>
      </c>
      <c r="E690" s="197" t="str">
        <f t="array" ref="E690">XLOOKUP(C690,ICSE!A:A,ICSE!Z:Z,,0,1)</f>
        <v>Publicly available (3)</v>
      </c>
      <c r="F690" s="198" t="s">
        <v>20</v>
      </c>
      <c r="G690" s="163" t="str">
        <f t="array" ref="G690">IF(B690="ICSE",IF(COUNTIFS(B:B,B690,C:C,C690)=XLOOKUP(C690,ICSE!A:A,ICSE!AA:AA,"ERROR",0,1),"OK","ERROR"),IF(B690="FSE",IF(COUNTIFS(B:B,B690,C:C,C690)=XLOOKUP(C690,FSE!A:A,FSE!AA:AA,"ERROR",0,1),"OK","ERROR")))</f>
        <v>OK</v>
      </c>
      <c r="H690" s="199">
        <f t="shared" ref="H690:O690" si="3470">countif($D690,"*"&amp;H$2&amp;"*")</f>
        <v>0</v>
      </c>
      <c r="I690" s="200">
        <f t="shared" si="3470"/>
        <v>0</v>
      </c>
      <c r="J690" s="200">
        <f t="shared" si="3470"/>
        <v>0</v>
      </c>
      <c r="K690" s="200">
        <f t="shared" si="3470"/>
        <v>0</v>
      </c>
      <c r="L690" s="200">
        <f t="shared" si="3470"/>
        <v>0</v>
      </c>
      <c r="M690" s="200">
        <f t="shared" si="3470"/>
        <v>0</v>
      </c>
      <c r="N690" s="200">
        <f t="shared" si="3470"/>
        <v>0</v>
      </c>
      <c r="O690" s="200">
        <f t="shared" si="3470"/>
        <v>0</v>
      </c>
      <c r="P690" s="200">
        <f t="shared" si="9"/>
        <v>0</v>
      </c>
      <c r="Q690" s="200">
        <f t="shared" ref="Q690:AC690" si="3471">countif($D690,"*"&amp;Q$2&amp;"*")</f>
        <v>0</v>
      </c>
      <c r="R690" s="200">
        <f t="shared" si="3471"/>
        <v>0</v>
      </c>
      <c r="S690" s="200">
        <f t="shared" si="3471"/>
        <v>0</v>
      </c>
      <c r="T690" s="200">
        <f t="shared" si="3471"/>
        <v>0</v>
      </c>
      <c r="U690" s="200">
        <f t="shared" si="3471"/>
        <v>0</v>
      </c>
      <c r="V690" s="200">
        <f t="shared" si="3471"/>
        <v>0</v>
      </c>
      <c r="W690" s="200">
        <f t="shared" si="3471"/>
        <v>0</v>
      </c>
      <c r="X690" s="200">
        <f t="shared" si="3471"/>
        <v>0</v>
      </c>
      <c r="Y690" s="200">
        <f t="shared" si="3471"/>
        <v>0</v>
      </c>
      <c r="Z690" s="200">
        <f t="shared" si="3471"/>
        <v>0</v>
      </c>
      <c r="AA690" s="200">
        <f t="shared" si="3471"/>
        <v>0</v>
      </c>
      <c r="AB690" s="200">
        <f t="shared" si="3471"/>
        <v>0</v>
      </c>
      <c r="AC690" s="200">
        <f t="shared" si="3471"/>
        <v>0</v>
      </c>
      <c r="AD690" s="200">
        <f t="shared" si="11"/>
        <v>1</v>
      </c>
      <c r="AE690" s="200">
        <f t="shared" ref="AE690:AG690" si="3472">countif($D690,"*"&amp;AE$2&amp;"*")</f>
        <v>0</v>
      </c>
      <c r="AF690" s="200">
        <f t="shared" si="3472"/>
        <v>0</v>
      </c>
      <c r="AG690" s="200">
        <f t="shared" si="3472"/>
        <v>0</v>
      </c>
      <c r="AH690" s="171">
        <f t="shared" si="13"/>
        <v>0</v>
      </c>
      <c r="AI690" s="200">
        <f t="shared" si="14"/>
        <v>0</v>
      </c>
      <c r="AJ690" s="200">
        <f t="shared" ref="AJ690:AJ697" si="3478">SUM(AK690:AR690)</f>
        <v>1</v>
      </c>
      <c r="AK690" s="201">
        <f t="shared" ref="AK690:AS690" si="3473">countif($D690,"*"&amp;AK$2&amp;"*")</f>
        <v>0</v>
      </c>
      <c r="AL690" s="201">
        <f t="shared" si="3473"/>
        <v>0</v>
      </c>
      <c r="AM690" s="201">
        <f t="shared" si="3473"/>
        <v>0</v>
      </c>
      <c r="AN690" s="201">
        <f t="shared" si="3473"/>
        <v>1</v>
      </c>
      <c r="AO690" s="201">
        <f t="shared" si="3473"/>
        <v>0</v>
      </c>
      <c r="AP690" s="201">
        <f t="shared" si="3473"/>
        <v>0</v>
      </c>
      <c r="AQ690" s="201">
        <f t="shared" si="3473"/>
        <v>0</v>
      </c>
      <c r="AR690" s="200">
        <f t="shared" si="3473"/>
        <v>0</v>
      </c>
      <c r="AS690" s="200">
        <f t="shared" si="3473"/>
        <v>1</v>
      </c>
      <c r="AT690" s="173">
        <v>1.0</v>
      </c>
      <c r="AU690" s="200">
        <f t="shared" ref="AU690:AX690" si="3474">countif($D690,"*"&amp;AU$2&amp;"*")</f>
        <v>0</v>
      </c>
      <c r="AV690" s="200">
        <f t="shared" si="3474"/>
        <v>0</v>
      </c>
      <c r="AW690" s="200">
        <f t="shared" si="3474"/>
        <v>0</v>
      </c>
      <c r="AX690" s="200">
        <f t="shared" si="3474"/>
        <v>0</v>
      </c>
      <c r="AY690" s="202">
        <v>0.0</v>
      </c>
      <c r="AZ690" s="200"/>
      <c r="BA690" s="171" t="str">
        <f t="shared" si="18"/>
        <v/>
      </c>
      <c r="BB690" s="171" t="str">
        <f t="shared" si="19"/>
        <v/>
      </c>
      <c r="BC690" s="171" t="str">
        <f t="shared" si="20"/>
        <v/>
      </c>
      <c r="BD690" s="171" t="str">
        <f t="shared" si="21"/>
        <v>Institutional</v>
      </c>
      <c r="BE690" s="171" t="str">
        <f t="shared" si="22"/>
        <v/>
      </c>
      <c r="BF690" s="171" t="str">
        <f t="shared" si="23"/>
        <v>Institutional</v>
      </c>
    </row>
    <row r="691">
      <c r="A691" s="171">
        <f t="array" ref="A691">XLOOKUP(C691,ICSE!A:A,ICSE!C:C,,2,1)</f>
        <v>2017</v>
      </c>
      <c r="B691" s="171" t="s">
        <v>5675</v>
      </c>
      <c r="C691" s="160">
        <v>1369.0</v>
      </c>
      <c r="D691" s="161" t="s">
        <v>5973</v>
      </c>
      <c r="E691" s="197" t="str">
        <f t="array" ref="E691">XLOOKUP(C691,ICSE!A:A,ICSE!Z:Z,,0,1)</f>
        <v>Publicly available (3)</v>
      </c>
      <c r="F691" s="198" t="s">
        <v>20</v>
      </c>
      <c r="G691" s="163" t="str">
        <f t="array" ref="G691">IF(B691="ICSE",IF(COUNTIFS(B:B,B691,C:C,C691)=XLOOKUP(C691,ICSE!A:A,ICSE!AA:AA,"ERROR",0,1),"OK","ERROR"),IF(B691="FSE",IF(COUNTIFS(B:B,B691,C:C,C691)=XLOOKUP(C691,FSE!A:A,FSE!AA:AA,"ERROR",0,1),"OK","ERROR")))</f>
        <v>OK</v>
      </c>
      <c r="H691" s="199">
        <f t="shared" ref="H691:O691" si="3475">countif($D691,"*"&amp;H$2&amp;"*")</f>
        <v>0</v>
      </c>
      <c r="I691" s="200">
        <f t="shared" si="3475"/>
        <v>0</v>
      </c>
      <c r="J691" s="200">
        <f t="shared" si="3475"/>
        <v>0</v>
      </c>
      <c r="K691" s="200">
        <f t="shared" si="3475"/>
        <v>0</v>
      </c>
      <c r="L691" s="200">
        <f t="shared" si="3475"/>
        <v>0</v>
      </c>
      <c r="M691" s="200">
        <f t="shared" si="3475"/>
        <v>0</v>
      </c>
      <c r="N691" s="200">
        <f t="shared" si="3475"/>
        <v>0</v>
      </c>
      <c r="O691" s="200">
        <f t="shared" si="3475"/>
        <v>0</v>
      </c>
      <c r="P691" s="200">
        <f t="shared" si="9"/>
        <v>1</v>
      </c>
      <c r="Q691" s="200">
        <f t="shared" ref="Q691:AC691" si="3476">countif($D691,"*"&amp;Q$2&amp;"*")</f>
        <v>0</v>
      </c>
      <c r="R691" s="200">
        <f t="shared" si="3476"/>
        <v>0</v>
      </c>
      <c r="S691" s="200">
        <f t="shared" si="3476"/>
        <v>0</v>
      </c>
      <c r="T691" s="200">
        <f t="shared" si="3476"/>
        <v>0</v>
      </c>
      <c r="U691" s="200">
        <f t="shared" si="3476"/>
        <v>0</v>
      </c>
      <c r="V691" s="200">
        <f t="shared" si="3476"/>
        <v>0</v>
      </c>
      <c r="W691" s="200">
        <f t="shared" si="3476"/>
        <v>0</v>
      </c>
      <c r="X691" s="200">
        <f t="shared" si="3476"/>
        <v>0</v>
      </c>
      <c r="Y691" s="200">
        <f t="shared" si="3476"/>
        <v>0</v>
      </c>
      <c r="Z691" s="200">
        <f t="shared" si="3476"/>
        <v>0</v>
      </c>
      <c r="AA691" s="200">
        <f t="shared" si="3476"/>
        <v>0</v>
      </c>
      <c r="AB691" s="200">
        <f t="shared" si="3476"/>
        <v>0</v>
      </c>
      <c r="AC691" s="200">
        <f t="shared" si="3476"/>
        <v>0</v>
      </c>
      <c r="AD691" s="200">
        <f t="shared" si="11"/>
        <v>0</v>
      </c>
      <c r="AE691" s="200">
        <f t="shared" ref="AE691:AG691" si="3477">countif($D691,"*"&amp;AE$2&amp;"*")</f>
        <v>0</v>
      </c>
      <c r="AF691" s="200">
        <f t="shared" si="3477"/>
        <v>0</v>
      </c>
      <c r="AG691" s="200">
        <f t="shared" si="3477"/>
        <v>0</v>
      </c>
      <c r="AH691" s="171">
        <f t="shared" si="13"/>
        <v>0</v>
      </c>
      <c r="AI691" s="200">
        <f t="shared" si="14"/>
        <v>0</v>
      </c>
      <c r="AJ691" s="200">
        <f t="shared" si="3478"/>
        <v>0</v>
      </c>
      <c r="AK691" s="201">
        <f t="shared" ref="AK691:AS691" si="3479">countif($D691,"*"&amp;AK$2&amp;"*")</f>
        <v>0</v>
      </c>
      <c r="AL691" s="201">
        <f t="shared" si="3479"/>
        <v>0</v>
      </c>
      <c r="AM691" s="201">
        <f t="shared" si="3479"/>
        <v>0</v>
      </c>
      <c r="AN691" s="201">
        <f t="shared" si="3479"/>
        <v>0</v>
      </c>
      <c r="AO691" s="201">
        <f t="shared" si="3479"/>
        <v>0</v>
      </c>
      <c r="AP691" s="201">
        <f t="shared" si="3479"/>
        <v>0</v>
      </c>
      <c r="AQ691" s="201">
        <f t="shared" si="3479"/>
        <v>0</v>
      </c>
      <c r="AR691" s="200">
        <f t="shared" si="3479"/>
        <v>0</v>
      </c>
      <c r="AS691" s="200">
        <f t="shared" si="3479"/>
        <v>0</v>
      </c>
      <c r="AT691" s="173">
        <v>0.0</v>
      </c>
      <c r="AU691" s="200">
        <f t="shared" ref="AU691:AX691" si="3480">countif($D691,"*"&amp;AU$2&amp;"*")</f>
        <v>0</v>
      </c>
      <c r="AV691" s="200">
        <f t="shared" si="3480"/>
        <v>1</v>
      </c>
      <c r="AW691" s="200">
        <f t="shared" si="3480"/>
        <v>0</v>
      </c>
      <c r="AX691" s="200">
        <f t="shared" si="3480"/>
        <v>0</v>
      </c>
      <c r="AY691" s="202">
        <v>0.0</v>
      </c>
      <c r="AZ691" s="200"/>
      <c r="BA691" s="171" t="str">
        <f t="shared" si="18"/>
        <v/>
      </c>
      <c r="BB691" s="171" t="str">
        <f t="shared" si="19"/>
        <v>Code</v>
      </c>
      <c r="BC691" s="171" t="str">
        <f t="shared" si="20"/>
        <v/>
      </c>
      <c r="BD691" s="171" t="str">
        <f t="shared" si="21"/>
        <v/>
      </c>
      <c r="BE691" s="171" t="str">
        <f t="shared" si="22"/>
        <v/>
      </c>
      <c r="BF691" s="171" t="str">
        <f t="shared" si="23"/>
        <v>Code</v>
      </c>
    </row>
    <row r="692">
      <c r="A692" s="171">
        <f t="array" ref="A692">XLOOKUP(C692,ICSE!A:A,ICSE!C:C,,2,1)</f>
        <v>2017</v>
      </c>
      <c r="B692" s="171" t="s">
        <v>5675</v>
      </c>
      <c r="C692" s="160">
        <v>1369.0</v>
      </c>
      <c r="D692" s="161" t="s">
        <v>5974</v>
      </c>
      <c r="E692" s="197" t="str">
        <f t="array" ref="E692">XLOOKUP(C692,ICSE!A:A,ICSE!Z:Z,,0,1)</f>
        <v>Publicly available (3)</v>
      </c>
      <c r="F692" s="198" t="s">
        <v>20</v>
      </c>
      <c r="G692" s="163" t="str">
        <f t="array" ref="G692">IF(B692="ICSE",IF(COUNTIFS(B:B,B692,C:C,C692)=XLOOKUP(C692,ICSE!A:A,ICSE!AA:AA,"ERROR",0,1),"OK","ERROR"),IF(B692="FSE",IF(COUNTIFS(B:B,B692,C:C,C692)=XLOOKUP(C692,FSE!A:A,FSE!AA:AA,"ERROR",0,1),"OK","ERROR")))</f>
        <v>OK</v>
      </c>
      <c r="H692" s="199">
        <f t="shared" ref="H692:O692" si="3481">countif($D692,"*"&amp;H$2&amp;"*")</f>
        <v>0</v>
      </c>
      <c r="I692" s="200">
        <f t="shared" si="3481"/>
        <v>0</v>
      </c>
      <c r="J692" s="200">
        <f t="shared" si="3481"/>
        <v>0</v>
      </c>
      <c r="K692" s="200">
        <f t="shared" si="3481"/>
        <v>0</v>
      </c>
      <c r="L692" s="200">
        <f t="shared" si="3481"/>
        <v>0</v>
      </c>
      <c r="M692" s="200">
        <f t="shared" si="3481"/>
        <v>0</v>
      </c>
      <c r="N692" s="200">
        <f t="shared" si="3481"/>
        <v>0</v>
      </c>
      <c r="O692" s="200">
        <f t="shared" si="3481"/>
        <v>0</v>
      </c>
      <c r="P692" s="200">
        <f t="shared" si="9"/>
        <v>1</v>
      </c>
      <c r="Q692" s="200">
        <f t="shared" ref="Q692:AC692" si="3482">countif($D692,"*"&amp;Q$2&amp;"*")</f>
        <v>0</v>
      </c>
      <c r="R692" s="200">
        <f t="shared" si="3482"/>
        <v>0</v>
      </c>
      <c r="S692" s="200">
        <f t="shared" si="3482"/>
        <v>0</v>
      </c>
      <c r="T692" s="200">
        <f t="shared" si="3482"/>
        <v>0</v>
      </c>
      <c r="U692" s="200">
        <f t="shared" si="3482"/>
        <v>0</v>
      </c>
      <c r="V692" s="200">
        <f t="shared" si="3482"/>
        <v>0</v>
      </c>
      <c r="W692" s="200">
        <f t="shared" si="3482"/>
        <v>0</v>
      </c>
      <c r="X692" s="200">
        <f t="shared" si="3482"/>
        <v>0</v>
      </c>
      <c r="Y692" s="200">
        <f t="shared" si="3482"/>
        <v>0</v>
      </c>
      <c r="Z692" s="200">
        <f t="shared" si="3482"/>
        <v>0</v>
      </c>
      <c r="AA692" s="200">
        <f t="shared" si="3482"/>
        <v>0</v>
      </c>
      <c r="AB692" s="200">
        <f t="shared" si="3482"/>
        <v>0</v>
      </c>
      <c r="AC692" s="200">
        <f t="shared" si="3482"/>
        <v>0</v>
      </c>
      <c r="AD692" s="200">
        <f t="shared" si="11"/>
        <v>0</v>
      </c>
      <c r="AE692" s="200">
        <f t="shared" ref="AE692:AG692" si="3483">countif($D692,"*"&amp;AE$2&amp;"*")</f>
        <v>0</v>
      </c>
      <c r="AF692" s="200">
        <f t="shared" si="3483"/>
        <v>0</v>
      </c>
      <c r="AG692" s="200">
        <f t="shared" si="3483"/>
        <v>0</v>
      </c>
      <c r="AH692" s="171">
        <f t="shared" si="13"/>
        <v>0</v>
      </c>
      <c r="AI692" s="200">
        <f t="shared" si="14"/>
        <v>0</v>
      </c>
      <c r="AJ692" s="200">
        <f t="shared" si="3478"/>
        <v>0</v>
      </c>
      <c r="AK692" s="201">
        <f t="shared" ref="AK692:AS692" si="3484">countif($D692,"*"&amp;AK$2&amp;"*")</f>
        <v>0</v>
      </c>
      <c r="AL692" s="201">
        <f t="shared" si="3484"/>
        <v>0</v>
      </c>
      <c r="AM692" s="201">
        <f t="shared" si="3484"/>
        <v>0</v>
      </c>
      <c r="AN692" s="201">
        <f t="shared" si="3484"/>
        <v>0</v>
      </c>
      <c r="AO692" s="201">
        <f t="shared" si="3484"/>
        <v>0</v>
      </c>
      <c r="AP692" s="201">
        <f t="shared" si="3484"/>
        <v>0</v>
      </c>
      <c r="AQ692" s="201">
        <f t="shared" si="3484"/>
        <v>0</v>
      </c>
      <c r="AR692" s="200">
        <f t="shared" si="3484"/>
        <v>0</v>
      </c>
      <c r="AS692" s="200">
        <f t="shared" si="3484"/>
        <v>0</v>
      </c>
      <c r="AT692" s="173">
        <v>0.0</v>
      </c>
      <c r="AU692" s="200">
        <f t="shared" ref="AU692:AX692" si="3485">countif($D692,"*"&amp;AU$2&amp;"*")</f>
        <v>0</v>
      </c>
      <c r="AV692" s="200">
        <f t="shared" si="3485"/>
        <v>1</v>
      </c>
      <c r="AW692" s="200">
        <f t="shared" si="3485"/>
        <v>0</v>
      </c>
      <c r="AX692" s="200">
        <f t="shared" si="3485"/>
        <v>0</v>
      </c>
      <c r="AY692" s="202">
        <v>0.0</v>
      </c>
      <c r="AZ692" s="200"/>
      <c r="BA692" s="171" t="str">
        <f t="shared" si="18"/>
        <v/>
      </c>
      <c r="BB692" s="171" t="str">
        <f t="shared" si="19"/>
        <v>Code</v>
      </c>
      <c r="BC692" s="171" t="str">
        <f t="shared" si="20"/>
        <v/>
      </c>
      <c r="BD692" s="171" t="str">
        <f t="shared" si="21"/>
        <v/>
      </c>
      <c r="BE692" s="171" t="str">
        <f t="shared" si="22"/>
        <v/>
      </c>
      <c r="BF692" s="171" t="str">
        <f t="shared" si="23"/>
        <v>Code</v>
      </c>
    </row>
    <row r="693">
      <c r="A693" s="171">
        <f t="array" ref="A693">XLOOKUP(C693,ICSE!A:A,ICSE!C:C,,2,1)</f>
        <v>2017</v>
      </c>
      <c r="B693" s="171" t="s">
        <v>5675</v>
      </c>
      <c r="C693" s="160">
        <v>1370.0</v>
      </c>
      <c r="D693" s="161" t="s">
        <v>750</v>
      </c>
      <c r="E693" s="197" t="str">
        <f t="array" ref="E693">XLOOKUP(C693,ICSE!A:A,ICSE!Z:Z,,0,1)</f>
        <v>Not available (1) - Broken link.</v>
      </c>
      <c r="F693" s="198" t="s">
        <v>21</v>
      </c>
      <c r="G693" s="163" t="str">
        <f t="array" ref="G693">IF(B693="ICSE",IF(COUNTIFS(B:B,B693,C:C,C693)=XLOOKUP(C693,ICSE!A:A,ICSE!AA:AA,"ERROR",0,1),"OK","ERROR"),IF(B693="FSE",IF(COUNTIFS(B:B,B693,C:C,C693)=XLOOKUP(C693,FSE!A:A,FSE!AA:AA,"ERROR",0,1),"OK","ERROR")))</f>
        <v>OK</v>
      </c>
      <c r="H693" s="199">
        <f t="shared" ref="H693:O693" si="3486">countif($D693,"*"&amp;H$2&amp;"*")</f>
        <v>0</v>
      </c>
      <c r="I693" s="200">
        <f t="shared" si="3486"/>
        <v>0</v>
      </c>
      <c r="J693" s="200">
        <f t="shared" si="3486"/>
        <v>0</v>
      </c>
      <c r="K693" s="200">
        <f t="shared" si="3486"/>
        <v>0</v>
      </c>
      <c r="L693" s="200">
        <f t="shared" si="3486"/>
        <v>0</v>
      </c>
      <c r="M693" s="200">
        <f t="shared" si="3486"/>
        <v>0</v>
      </c>
      <c r="N693" s="200">
        <f t="shared" si="3486"/>
        <v>0</v>
      </c>
      <c r="O693" s="200">
        <f t="shared" si="3486"/>
        <v>0</v>
      </c>
      <c r="P693" s="200">
        <f t="shared" si="9"/>
        <v>1</v>
      </c>
      <c r="Q693" s="200">
        <f t="shared" ref="Q693:AC693" si="3487">countif($D693,"*"&amp;Q$2&amp;"*")</f>
        <v>0</v>
      </c>
      <c r="R693" s="200">
        <f t="shared" si="3487"/>
        <v>0</v>
      </c>
      <c r="S693" s="200">
        <f t="shared" si="3487"/>
        <v>0</v>
      </c>
      <c r="T693" s="200">
        <f t="shared" si="3487"/>
        <v>0</v>
      </c>
      <c r="U693" s="200">
        <f t="shared" si="3487"/>
        <v>0</v>
      </c>
      <c r="V693" s="200">
        <f t="shared" si="3487"/>
        <v>0</v>
      </c>
      <c r="W693" s="200">
        <f t="shared" si="3487"/>
        <v>0</v>
      </c>
      <c r="X693" s="200">
        <f t="shared" si="3487"/>
        <v>0</v>
      </c>
      <c r="Y693" s="200">
        <f t="shared" si="3487"/>
        <v>0</v>
      </c>
      <c r="Z693" s="200">
        <f t="shared" si="3487"/>
        <v>0</v>
      </c>
      <c r="AA693" s="200">
        <f t="shared" si="3487"/>
        <v>0</v>
      </c>
      <c r="AB693" s="200">
        <f t="shared" si="3487"/>
        <v>0</v>
      </c>
      <c r="AC693" s="200">
        <f t="shared" si="3487"/>
        <v>0</v>
      </c>
      <c r="AD693" s="200">
        <f t="shared" si="11"/>
        <v>0</v>
      </c>
      <c r="AE693" s="200">
        <f t="shared" ref="AE693:AG693" si="3488">countif($D693,"*"&amp;AE$2&amp;"*")</f>
        <v>0</v>
      </c>
      <c r="AF693" s="200">
        <f t="shared" si="3488"/>
        <v>0</v>
      </c>
      <c r="AG693" s="200">
        <f t="shared" si="3488"/>
        <v>0</v>
      </c>
      <c r="AH693" s="171">
        <f t="shared" si="13"/>
        <v>0</v>
      </c>
      <c r="AI693" s="200">
        <f t="shared" si="14"/>
        <v>0</v>
      </c>
      <c r="AJ693" s="200">
        <f t="shared" si="3478"/>
        <v>0</v>
      </c>
      <c r="AK693" s="201">
        <f t="shared" ref="AK693:AS693" si="3489">countif($D693,"*"&amp;AK$2&amp;"*")</f>
        <v>0</v>
      </c>
      <c r="AL693" s="201">
        <f t="shared" si="3489"/>
        <v>0</v>
      </c>
      <c r="AM693" s="201">
        <f t="shared" si="3489"/>
        <v>0</v>
      </c>
      <c r="AN693" s="201">
        <f t="shared" si="3489"/>
        <v>0</v>
      </c>
      <c r="AO693" s="201">
        <f t="shared" si="3489"/>
        <v>0</v>
      </c>
      <c r="AP693" s="201">
        <f t="shared" si="3489"/>
        <v>0</v>
      </c>
      <c r="AQ693" s="201">
        <f t="shared" si="3489"/>
        <v>0</v>
      </c>
      <c r="AR693" s="200">
        <f t="shared" si="3489"/>
        <v>0</v>
      </c>
      <c r="AS693" s="200">
        <f t="shared" si="3489"/>
        <v>0</v>
      </c>
      <c r="AT693" s="173">
        <v>0.0</v>
      </c>
      <c r="AU693" s="200">
        <f t="shared" ref="AU693:AX693" si="3490">countif($D693,"*"&amp;AU$2&amp;"*")</f>
        <v>0</v>
      </c>
      <c r="AV693" s="200">
        <f t="shared" si="3490"/>
        <v>1</v>
      </c>
      <c r="AW693" s="200">
        <f t="shared" si="3490"/>
        <v>0</v>
      </c>
      <c r="AX693" s="200">
        <f t="shared" si="3490"/>
        <v>0</v>
      </c>
      <c r="AY693" s="202">
        <v>0.0</v>
      </c>
      <c r="AZ693" s="200"/>
      <c r="BA693" s="171" t="str">
        <f t="shared" si="18"/>
        <v/>
      </c>
      <c r="BB693" s="171" t="str">
        <f t="shared" si="19"/>
        <v>Code</v>
      </c>
      <c r="BC693" s="171" t="str">
        <f t="shared" si="20"/>
        <v/>
      </c>
      <c r="BD693" s="171" t="str">
        <f t="shared" si="21"/>
        <v/>
      </c>
      <c r="BE693" s="171" t="str">
        <f t="shared" si="22"/>
        <v/>
      </c>
      <c r="BF693" s="171" t="str">
        <f t="shared" si="23"/>
        <v>Code</v>
      </c>
    </row>
    <row r="694">
      <c r="A694" s="171">
        <f t="array" ref="A694">XLOOKUP(C694,ICSE!A:A,ICSE!C:C,,2,1)</f>
        <v>2017</v>
      </c>
      <c r="B694" s="171" t="s">
        <v>5675</v>
      </c>
      <c r="C694" s="160">
        <v>1371.0</v>
      </c>
      <c r="D694" s="161" t="s">
        <v>5975</v>
      </c>
      <c r="E694" s="197" t="str">
        <f t="array" ref="E694">XLOOKUP(C694,ICSE!A:A,ICSE!Z:Z,,0,1)</f>
        <v>Publicly available (2)</v>
      </c>
      <c r="F694" s="198" t="s">
        <v>20</v>
      </c>
      <c r="G694" s="163" t="str">
        <f t="array" ref="G694">IF(B694="ICSE",IF(COUNTIFS(B:B,B694,C:C,C694)=XLOOKUP(C694,ICSE!A:A,ICSE!AA:AA,"ERROR",0,1),"OK","ERROR"),IF(B694="FSE",IF(COUNTIFS(B:B,B694,C:C,C694)=XLOOKUP(C694,FSE!A:A,FSE!AA:AA,"ERROR",0,1),"OK","ERROR")))</f>
        <v>OK</v>
      </c>
      <c r="H694" s="199">
        <f t="shared" ref="H694:O694" si="3491">countif($D694,"*"&amp;H$2&amp;"*")</f>
        <v>0</v>
      </c>
      <c r="I694" s="200">
        <f t="shared" si="3491"/>
        <v>0</v>
      </c>
      <c r="J694" s="200">
        <f t="shared" si="3491"/>
        <v>0</v>
      </c>
      <c r="K694" s="200">
        <f t="shared" si="3491"/>
        <v>0</v>
      </c>
      <c r="L694" s="200">
        <f t="shared" si="3491"/>
        <v>0</v>
      </c>
      <c r="M694" s="200">
        <f t="shared" si="3491"/>
        <v>0</v>
      </c>
      <c r="N694" s="200">
        <f t="shared" si="3491"/>
        <v>0</v>
      </c>
      <c r="O694" s="200">
        <f t="shared" si="3491"/>
        <v>0</v>
      </c>
      <c r="P694" s="200">
        <f t="shared" si="9"/>
        <v>0</v>
      </c>
      <c r="Q694" s="200">
        <f t="shared" ref="Q694:AC694" si="3492">countif($D694,"*"&amp;Q$2&amp;"*")</f>
        <v>0</v>
      </c>
      <c r="R694" s="200">
        <f t="shared" si="3492"/>
        <v>0</v>
      </c>
      <c r="S694" s="200">
        <f t="shared" si="3492"/>
        <v>0</v>
      </c>
      <c r="T694" s="200">
        <f t="shared" si="3492"/>
        <v>0</v>
      </c>
      <c r="U694" s="200">
        <f t="shared" si="3492"/>
        <v>0</v>
      </c>
      <c r="V694" s="200">
        <f t="shared" si="3492"/>
        <v>0</v>
      </c>
      <c r="W694" s="200">
        <f t="shared" si="3492"/>
        <v>0</v>
      </c>
      <c r="X694" s="200">
        <f t="shared" si="3492"/>
        <v>0</v>
      </c>
      <c r="Y694" s="200">
        <f t="shared" si="3492"/>
        <v>0</v>
      </c>
      <c r="Z694" s="200">
        <f t="shared" si="3492"/>
        <v>0</v>
      </c>
      <c r="AA694" s="200">
        <f t="shared" si="3492"/>
        <v>0</v>
      </c>
      <c r="AB694" s="200">
        <f t="shared" si="3492"/>
        <v>0</v>
      </c>
      <c r="AC694" s="200">
        <f t="shared" si="3492"/>
        <v>0</v>
      </c>
      <c r="AD694" s="200">
        <f t="shared" si="11"/>
        <v>0</v>
      </c>
      <c r="AE694" s="200">
        <f t="shared" ref="AE694:AG694" si="3493">countif($D694,"*"&amp;AE$2&amp;"*")</f>
        <v>0</v>
      </c>
      <c r="AF694" s="200">
        <f t="shared" si="3493"/>
        <v>0</v>
      </c>
      <c r="AG694" s="200">
        <f t="shared" si="3493"/>
        <v>0</v>
      </c>
      <c r="AH694" s="171">
        <f t="shared" si="13"/>
        <v>1</v>
      </c>
      <c r="AI694" s="200">
        <f t="shared" si="14"/>
        <v>0</v>
      </c>
      <c r="AJ694" s="200">
        <f t="shared" si="3478"/>
        <v>0</v>
      </c>
      <c r="AK694" s="201">
        <f t="shared" ref="AK694:AS694" si="3494">countif($D694,"*"&amp;AK$2&amp;"*")</f>
        <v>0</v>
      </c>
      <c r="AL694" s="201">
        <f t="shared" si="3494"/>
        <v>0</v>
      </c>
      <c r="AM694" s="201">
        <f t="shared" si="3494"/>
        <v>0</v>
      </c>
      <c r="AN694" s="201">
        <f t="shared" si="3494"/>
        <v>0</v>
      </c>
      <c r="AO694" s="201">
        <f t="shared" si="3494"/>
        <v>0</v>
      </c>
      <c r="AP694" s="201">
        <f t="shared" si="3494"/>
        <v>0</v>
      </c>
      <c r="AQ694" s="201">
        <f t="shared" si="3494"/>
        <v>0</v>
      </c>
      <c r="AR694" s="200">
        <f t="shared" si="3494"/>
        <v>0</v>
      </c>
      <c r="AS694" s="200">
        <f t="shared" si="3494"/>
        <v>0</v>
      </c>
      <c r="AT694" s="173">
        <v>0.0</v>
      </c>
      <c r="AU694" s="200">
        <f t="shared" ref="AU694:AX694" si="3495">countif($D694,"*"&amp;AU$2&amp;"*")</f>
        <v>0</v>
      </c>
      <c r="AV694" s="200">
        <f t="shared" si="3495"/>
        <v>0</v>
      </c>
      <c r="AW694" s="200">
        <f t="shared" si="3495"/>
        <v>0</v>
      </c>
      <c r="AX694" s="200">
        <f t="shared" si="3495"/>
        <v>0</v>
      </c>
      <c r="AY694" s="202">
        <v>0.0</v>
      </c>
      <c r="AZ694" s="200"/>
      <c r="BA694" s="171" t="str">
        <f t="shared" si="18"/>
        <v/>
      </c>
      <c r="BB694" s="171" t="str">
        <f t="shared" si="19"/>
        <v/>
      </c>
      <c r="BC694" s="171" t="str">
        <f t="shared" si="20"/>
        <v/>
      </c>
      <c r="BD694" s="171" t="str">
        <f t="shared" si="21"/>
        <v/>
      </c>
      <c r="BE694" s="171" t="str">
        <f t="shared" si="22"/>
        <v>Others</v>
      </c>
      <c r="BF694" s="171" t="str">
        <f t="shared" si="23"/>
        <v>Others</v>
      </c>
    </row>
    <row r="695">
      <c r="A695" s="171">
        <f t="array" ref="A695">XLOOKUP(C695,ICSE!A:A,ICSE!C:C,,2,1)</f>
        <v>2017</v>
      </c>
      <c r="B695" s="171" t="s">
        <v>5675</v>
      </c>
      <c r="C695" s="160">
        <v>1371.0</v>
      </c>
      <c r="D695" s="161" t="s">
        <v>5976</v>
      </c>
      <c r="E695" s="197" t="str">
        <f t="array" ref="E695">XLOOKUP(C695,ICSE!A:A,ICSE!Z:Z,,0,1)</f>
        <v>Publicly available (2)</v>
      </c>
      <c r="F695" s="198" t="s">
        <v>20</v>
      </c>
      <c r="G695" s="163" t="str">
        <f t="array" ref="G695">IF(B695="ICSE",IF(COUNTIFS(B:B,B695,C:C,C695)=XLOOKUP(C695,ICSE!A:A,ICSE!AA:AA,"ERROR",0,1),"OK","ERROR"),IF(B695="FSE",IF(COUNTIFS(B:B,B695,C:C,C695)=XLOOKUP(C695,FSE!A:A,FSE!AA:AA,"ERROR",0,1),"OK","ERROR")))</f>
        <v>OK</v>
      </c>
      <c r="H695" s="199">
        <f t="shared" ref="H695:O695" si="3496">countif($D695,"*"&amp;H$2&amp;"*")</f>
        <v>0</v>
      </c>
      <c r="I695" s="200">
        <f t="shared" si="3496"/>
        <v>0</v>
      </c>
      <c r="J695" s="200">
        <f t="shared" si="3496"/>
        <v>0</v>
      </c>
      <c r="K695" s="200">
        <f t="shared" si="3496"/>
        <v>0</v>
      </c>
      <c r="L695" s="200">
        <f t="shared" si="3496"/>
        <v>0</v>
      </c>
      <c r="M695" s="200">
        <f t="shared" si="3496"/>
        <v>0</v>
      </c>
      <c r="N695" s="200">
        <f t="shared" si="3496"/>
        <v>0</v>
      </c>
      <c r="O695" s="200">
        <f t="shared" si="3496"/>
        <v>0</v>
      </c>
      <c r="P695" s="200">
        <f t="shared" si="9"/>
        <v>1</v>
      </c>
      <c r="Q695" s="200">
        <f t="shared" ref="Q695:AC695" si="3497">countif($D695,"*"&amp;Q$2&amp;"*")</f>
        <v>0</v>
      </c>
      <c r="R695" s="200">
        <f t="shared" si="3497"/>
        <v>0</v>
      </c>
      <c r="S695" s="200">
        <f t="shared" si="3497"/>
        <v>0</v>
      </c>
      <c r="T695" s="200">
        <f t="shared" si="3497"/>
        <v>0</v>
      </c>
      <c r="U695" s="200">
        <f t="shared" si="3497"/>
        <v>0</v>
      </c>
      <c r="V695" s="200">
        <f t="shared" si="3497"/>
        <v>0</v>
      </c>
      <c r="W695" s="200">
        <f t="shared" si="3497"/>
        <v>0</v>
      </c>
      <c r="X695" s="200">
        <f t="shared" si="3497"/>
        <v>0</v>
      </c>
      <c r="Y695" s="200">
        <f t="shared" si="3497"/>
        <v>0</v>
      </c>
      <c r="Z695" s="200">
        <f t="shared" si="3497"/>
        <v>0</v>
      </c>
      <c r="AA695" s="200">
        <f t="shared" si="3497"/>
        <v>0</v>
      </c>
      <c r="AB695" s="200">
        <f t="shared" si="3497"/>
        <v>0</v>
      </c>
      <c r="AC695" s="200">
        <f t="shared" si="3497"/>
        <v>0</v>
      </c>
      <c r="AD695" s="200">
        <f t="shared" si="11"/>
        <v>0</v>
      </c>
      <c r="AE695" s="200">
        <f t="shared" ref="AE695:AG695" si="3498">countif($D695,"*"&amp;AE$2&amp;"*")</f>
        <v>0</v>
      </c>
      <c r="AF695" s="200">
        <f t="shared" si="3498"/>
        <v>0</v>
      </c>
      <c r="AG695" s="200">
        <f t="shared" si="3498"/>
        <v>0</v>
      </c>
      <c r="AH695" s="171">
        <f t="shared" si="13"/>
        <v>0</v>
      </c>
      <c r="AI695" s="200">
        <f t="shared" si="14"/>
        <v>0</v>
      </c>
      <c r="AJ695" s="200">
        <f t="shared" si="3478"/>
        <v>0</v>
      </c>
      <c r="AK695" s="201">
        <f t="shared" ref="AK695:AS695" si="3499">countif($D695,"*"&amp;AK$2&amp;"*")</f>
        <v>0</v>
      </c>
      <c r="AL695" s="201">
        <f t="shared" si="3499"/>
        <v>0</v>
      </c>
      <c r="AM695" s="201">
        <f t="shared" si="3499"/>
        <v>0</v>
      </c>
      <c r="AN695" s="201">
        <f t="shared" si="3499"/>
        <v>0</v>
      </c>
      <c r="AO695" s="201">
        <f t="shared" si="3499"/>
        <v>0</v>
      </c>
      <c r="AP695" s="201">
        <f t="shared" si="3499"/>
        <v>0</v>
      </c>
      <c r="AQ695" s="201">
        <f t="shared" si="3499"/>
        <v>0</v>
      </c>
      <c r="AR695" s="200">
        <f t="shared" si="3499"/>
        <v>0</v>
      </c>
      <c r="AS695" s="200">
        <f t="shared" si="3499"/>
        <v>1</v>
      </c>
      <c r="AT695" s="173">
        <v>0.0</v>
      </c>
      <c r="AU695" s="200">
        <f t="shared" ref="AU695:AX695" si="3500">countif($D695,"*"&amp;AU$2&amp;"*")</f>
        <v>0</v>
      </c>
      <c r="AV695" s="200">
        <f t="shared" si="3500"/>
        <v>1</v>
      </c>
      <c r="AW695" s="200">
        <f t="shared" si="3500"/>
        <v>0</v>
      </c>
      <c r="AX695" s="200">
        <f t="shared" si="3500"/>
        <v>0</v>
      </c>
      <c r="AY695" s="202">
        <v>0.0</v>
      </c>
      <c r="AZ695" s="200"/>
      <c r="BA695" s="171" t="str">
        <f t="shared" si="18"/>
        <v/>
      </c>
      <c r="BB695" s="171" t="str">
        <f t="shared" si="19"/>
        <v>Code</v>
      </c>
      <c r="BC695" s="171" t="str">
        <f t="shared" si="20"/>
        <v/>
      </c>
      <c r="BD695" s="171" t="str">
        <f t="shared" si="21"/>
        <v/>
      </c>
      <c r="BE695" s="171" t="str">
        <f t="shared" si="22"/>
        <v/>
      </c>
      <c r="BF695" s="171" t="str">
        <f t="shared" si="23"/>
        <v>Code</v>
      </c>
    </row>
    <row r="696">
      <c r="A696" s="171">
        <f t="array" ref="A696">XLOOKUP(C696,ICSE!A:A,ICSE!C:C,,2,1)</f>
        <v>2017</v>
      </c>
      <c r="B696" s="171" t="s">
        <v>5675</v>
      </c>
      <c r="C696" s="160">
        <v>1372.0</v>
      </c>
      <c r="D696" s="161" t="s">
        <v>757</v>
      </c>
      <c r="E696" s="197" t="str">
        <f t="array" ref="E696">XLOOKUP(C696,ICSE!A:A,ICSE!Z:Z,,0,1)</f>
        <v>Publicly available (1)</v>
      </c>
      <c r="F696" s="198" t="s">
        <v>20</v>
      </c>
      <c r="G696" s="163" t="str">
        <f t="array" ref="G696">IF(B696="ICSE",IF(COUNTIFS(B:B,B696,C:C,C696)=XLOOKUP(C696,ICSE!A:A,ICSE!AA:AA,"ERROR",0,1),"OK","ERROR"),IF(B696="FSE",IF(COUNTIFS(B:B,B696,C:C,C696)=XLOOKUP(C696,FSE!A:A,FSE!AA:AA,"ERROR",0,1),"OK","ERROR")))</f>
        <v>OK</v>
      </c>
      <c r="H696" s="199">
        <f t="shared" ref="H696:O696" si="3501">countif($D696,"*"&amp;H$2&amp;"*")</f>
        <v>0</v>
      </c>
      <c r="I696" s="200">
        <f t="shared" si="3501"/>
        <v>0</v>
      </c>
      <c r="J696" s="200">
        <f t="shared" si="3501"/>
        <v>0</v>
      </c>
      <c r="K696" s="200">
        <f t="shared" si="3501"/>
        <v>0</v>
      </c>
      <c r="L696" s="200">
        <f t="shared" si="3501"/>
        <v>0</v>
      </c>
      <c r="M696" s="200">
        <f t="shared" si="3501"/>
        <v>0</v>
      </c>
      <c r="N696" s="200">
        <f t="shared" si="3501"/>
        <v>0</v>
      </c>
      <c r="O696" s="200">
        <f t="shared" si="3501"/>
        <v>0</v>
      </c>
      <c r="P696" s="200">
        <f t="shared" si="9"/>
        <v>0</v>
      </c>
      <c r="Q696" s="200">
        <f t="shared" ref="Q696:AC696" si="3502">countif($D696,"*"&amp;Q$2&amp;"*")</f>
        <v>0</v>
      </c>
      <c r="R696" s="200">
        <f t="shared" si="3502"/>
        <v>0</v>
      </c>
      <c r="S696" s="200">
        <f t="shared" si="3502"/>
        <v>0</v>
      </c>
      <c r="T696" s="200">
        <f t="shared" si="3502"/>
        <v>0</v>
      </c>
      <c r="U696" s="200">
        <f t="shared" si="3502"/>
        <v>0</v>
      </c>
      <c r="V696" s="200">
        <f t="shared" si="3502"/>
        <v>0</v>
      </c>
      <c r="W696" s="200">
        <f t="shared" si="3502"/>
        <v>0</v>
      </c>
      <c r="X696" s="200">
        <f t="shared" si="3502"/>
        <v>0</v>
      </c>
      <c r="Y696" s="200">
        <f t="shared" si="3502"/>
        <v>0</v>
      </c>
      <c r="Z696" s="200">
        <f t="shared" si="3502"/>
        <v>0</v>
      </c>
      <c r="AA696" s="200">
        <f t="shared" si="3502"/>
        <v>0</v>
      </c>
      <c r="AB696" s="200">
        <f t="shared" si="3502"/>
        <v>0</v>
      </c>
      <c r="AC696" s="200">
        <f t="shared" si="3502"/>
        <v>0</v>
      </c>
      <c r="AD696" s="200">
        <f t="shared" si="11"/>
        <v>1</v>
      </c>
      <c r="AE696" s="200">
        <f t="shared" ref="AE696:AG696" si="3503">countif($D696,"*"&amp;AE$2&amp;"*")</f>
        <v>0</v>
      </c>
      <c r="AF696" s="200">
        <f t="shared" si="3503"/>
        <v>0</v>
      </c>
      <c r="AG696" s="200">
        <f t="shared" si="3503"/>
        <v>0</v>
      </c>
      <c r="AH696" s="171">
        <f t="shared" si="13"/>
        <v>0</v>
      </c>
      <c r="AI696" s="200">
        <f t="shared" si="14"/>
        <v>0</v>
      </c>
      <c r="AJ696" s="200">
        <f t="shared" si="3478"/>
        <v>0</v>
      </c>
      <c r="AK696" s="201">
        <f t="shared" ref="AK696:AS696" si="3504">countif($D696,"*"&amp;AK$2&amp;"*")</f>
        <v>0</v>
      </c>
      <c r="AL696" s="201">
        <f t="shared" si="3504"/>
        <v>0</v>
      </c>
      <c r="AM696" s="201">
        <f t="shared" si="3504"/>
        <v>0</v>
      </c>
      <c r="AN696" s="201">
        <f t="shared" si="3504"/>
        <v>0</v>
      </c>
      <c r="AO696" s="201">
        <f t="shared" si="3504"/>
        <v>0</v>
      </c>
      <c r="AP696" s="201">
        <f t="shared" si="3504"/>
        <v>0</v>
      </c>
      <c r="AQ696" s="201">
        <f t="shared" si="3504"/>
        <v>0</v>
      </c>
      <c r="AR696" s="200">
        <f t="shared" si="3504"/>
        <v>0</v>
      </c>
      <c r="AS696" s="200">
        <f t="shared" si="3504"/>
        <v>0</v>
      </c>
      <c r="AT696" s="173">
        <v>1.0</v>
      </c>
      <c r="AU696" s="200">
        <f t="shared" ref="AU696:AX696" si="3505">countif($D696,"*"&amp;AU$2&amp;"*")</f>
        <v>0</v>
      </c>
      <c r="AV696" s="200">
        <f t="shared" si="3505"/>
        <v>0</v>
      </c>
      <c r="AW696" s="200">
        <f t="shared" si="3505"/>
        <v>0</v>
      </c>
      <c r="AX696" s="200">
        <f t="shared" si="3505"/>
        <v>0</v>
      </c>
      <c r="AY696" s="202">
        <v>0.0</v>
      </c>
      <c r="AZ696" s="200"/>
      <c r="BA696" s="171" t="str">
        <f t="shared" si="18"/>
        <v/>
      </c>
      <c r="BB696" s="171" t="str">
        <f t="shared" si="19"/>
        <v/>
      </c>
      <c r="BC696" s="171" t="str">
        <f t="shared" si="20"/>
        <v/>
      </c>
      <c r="BD696" s="171" t="str">
        <f t="shared" si="21"/>
        <v>Institutional</v>
      </c>
      <c r="BE696" s="171" t="str">
        <f t="shared" si="22"/>
        <v/>
      </c>
      <c r="BF696" s="171" t="str">
        <f t="shared" si="23"/>
        <v>Institutional</v>
      </c>
    </row>
    <row r="697">
      <c r="A697" s="171">
        <f t="array" ref="A697">XLOOKUP(C697,ICSE!A:A,ICSE!C:C,,2,1)</f>
        <v>2017</v>
      </c>
      <c r="B697" s="171" t="s">
        <v>5675</v>
      </c>
      <c r="C697" s="160">
        <v>1373.0</v>
      </c>
      <c r="D697" s="161" t="s">
        <v>760</v>
      </c>
      <c r="E697" s="197" t="str">
        <f t="array" ref="E697">XLOOKUP(C697,ICSE!A:A,ICSE!Z:Z,,0,1)</f>
        <v>Publicly available (1)</v>
      </c>
      <c r="F697" s="198" t="s">
        <v>20</v>
      </c>
      <c r="G697" s="163" t="str">
        <f t="array" ref="G697">IF(B697="ICSE",IF(COUNTIFS(B:B,B697,C:C,C697)=XLOOKUP(C697,ICSE!A:A,ICSE!AA:AA,"ERROR",0,1),"OK","ERROR"),IF(B697="FSE",IF(COUNTIFS(B:B,B697,C:C,C697)=XLOOKUP(C697,FSE!A:A,FSE!AA:AA,"ERROR",0,1),"OK","ERROR")))</f>
        <v>OK</v>
      </c>
      <c r="H697" s="199">
        <f t="shared" ref="H697:O697" si="3506">countif($D697,"*"&amp;H$2&amp;"*")</f>
        <v>0</v>
      </c>
      <c r="I697" s="200">
        <f t="shared" si="3506"/>
        <v>0</v>
      </c>
      <c r="J697" s="200">
        <f t="shared" si="3506"/>
        <v>0</v>
      </c>
      <c r="K697" s="200">
        <f t="shared" si="3506"/>
        <v>0</v>
      </c>
      <c r="L697" s="200">
        <f t="shared" si="3506"/>
        <v>0</v>
      </c>
      <c r="M697" s="200">
        <f t="shared" si="3506"/>
        <v>0</v>
      </c>
      <c r="N697" s="200">
        <f t="shared" si="3506"/>
        <v>0</v>
      </c>
      <c r="O697" s="200">
        <f t="shared" si="3506"/>
        <v>0</v>
      </c>
      <c r="P697" s="200">
        <f t="shared" si="9"/>
        <v>0</v>
      </c>
      <c r="Q697" s="200">
        <f t="shared" ref="Q697:AC697" si="3507">countif($D697,"*"&amp;Q$2&amp;"*")</f>
        <v>0</v>
      </c>
      <c r="R697" s="200">
        <f t="shared" si="3507"/>
        <v>0</v>
      </c>
      <c r="S697" s="200">
        <f t="shared" si="3507"/>
        <v>0</v>
      </c>
      <c r="T697" s="200">
        <f t="shared" si="3507"/>
        <v>0</v>
      </c>
      <c r="U697" s="200">
        <f t="shared" si="3507"/>
        <v>0</v>
      </c>
      <c r="V697" s="200">
        <f t="shared" si="3507"/>
        <v>0</v>
      </c>
      <c r="W697" s="200">
        <f t="shared" si="3507"/>
        <v>0</v>
      </c>
      <c r="X697" s="200">
        <f t="shared" si="3507"/>
        <v>0</v>
      </c>
      <c r="Y697" s="200">
        <f t="shared" si="3507"/>
        <v>0</v>
      </c>
      <c r="Z697" s="200">
        <f t="shared" si="3507"/>
        <v>0</v>
      </c>
      <c r="AA697" s="200">
        <f t="shared" si="3507"/>
        <v>1</v>
      </c>
      <c r="AB697" s="200">
        <f t="shared" si="3507"/>
        <v>0</v>
      </c>
      <c r="AC697" s="200">
        <f t="shared" si="3507"/>
        <v>0</v>
      </c>
      <c r="AD697" s="200">
        <f t="shared" si="11"/>
        <v>0</v>
      </c>
      <c r="AE697" s="200">
        <f t="shared" ref="AE697:AG697" si="3508">countif($D697,"*"&amp;AE$2&amp;"*")</f>
        <v>0</v>
      </c>
      <c r="AF697" s="200">
        <f t="shared" si="3508"/>
        <v>0</v>
      </c>
      <c r="AG697" s="200">
        <f t="shared" si="3508"/>
        <v>0</v>
      </c>
      <c r="AH697" s="171">
        <f t="shared" si="13"/>
        <v>0</v>
      </c>
      <c r="AI697" s="200">
        <f t="shared" si="14"/>
        <v>0</v>
      </c>
      <c r="AJ697" s="200">
        <f t="shared" si="3478"/>
        <v>0</v>
      </c>
      <c r="AK697" s="201">
        <f t="shared" ref="AK697:AS697" si="3509">countif($D697,"*"&amp;AK$2&amp;"*")</f>
        <v>0</v>
      </c>
      <c r="AL697" s="201">
        <f t="shared" si="3509"/>
        <v>0</v>
      </c>
      <c r="AM697" s="201">
        <f t="shared" si="3509"/>
        <v>0</v>
      </c>
      <c r="AN697" s="201">
        <f t="shared" si="3509"/>
        <v>0</v>
      </c>
      <c r="AO697" s="201">
        <f t="shared" si="3509"/>
        <v>0</v>
      </c>
      <c r="AP697" s="201">
        <f t="shared" si="3509"/>
        <v>0</v>
      </c>
      <c r="AQ697" s="201">
        <f t="shared" si="3509"/>
        <v>0</v>
      </c>
      <c r="AR697" s="200">
        <f t="shared" si="3509"/>
        <v>0</v>
      </c>
      <c r="AS697" s="200">
        <f t="shared" si="3509"/>
        <v>0</v>
      </c>
      <c r="AT697" s="173">
        <v>0.0</v>
      </c>
      <c r="AU697" s="200">
        <f t="shared" ref="AU697:AX697" si="3510">countif($D697,"*"&amp;AU$2&amp;"*")</f>
        <v>0</v>
      </c>
      <c r="AV697" s="200">
        <f t="shared" si="3510"/>
        <v>0</v>
      </c>
      <c r="AW697" s="200">
        <f t="shared" si="3510"/>
        <v>0</v>
      </c>
      <c r="AX697" s="200">
        <f t="shared" si="3510"/>
        <v>0</v>
      </c>
      <c r="AY697" s="202">
        <v>0.0</v>
      </c>
      <c r="AZ697" s="200"/>
      <c r="BA697" s="171" t="str">
        <f t="shared" si="18"/>
        <v/>
      </c>
      <c r="BB697" s="171" t="str">
        <f t="shared" si="19"/>
        <v/>
      </c>
      <c r="BC697" s="171" t="str">
        <f t="shared" si="20"/>
        <v>General-purpose</v>
      </c>
      <c r="BD697" s="171" t="str">
        <f t="shared" si="21"/>
        <v/>
      </c>
      <c r="BE697" s="171" t="str">
        <f t="shared" si="22"/>
        <v/>
      </c>
      <c r="BF697" s="171" t="str">
        <f t="shared" si="23"/>
        <v>General-purpose</v>
      </c>
    </row>
    <row r="698">
      <c r="A698" s="171">
        <f t="array" ref="A698">XLOOKUP(C698,ICSE!A:A,ICSE!C:C,,2,1)</f>
        <v>2017</v>
      </c>
      <c r="B698" s="171" t="s">
        <v>5675</v>
      </c>
      <c r="C698" s="160">
        <v>1374.0</v>
      </c>
      <c r="D698" s="161" t="s">
        <v>763</v>
      </c>
      <c r="E698" s="197" t="str">
        <f t="array" ref="E698">XLOOKUP(C698,ICSE!A:A,ICSE!Z:Z,,0,1)</f>
        <v>Publicly available (1)</v>
      </c>
      <c r="F698" s="198" t="s">
        <v>20</v>
      </c>
      <c r="G698" s="163" t="str">
        <f t="array" ref="G698">IF(B698="ICSE",IF(COUNTIFS(B:B,B698,C:C,C698)=XLOOKUP(C698,ICSE!A:A,ICSE!AA:AA,"ERROR",0,1),"OK","ERROR"),IF(B698="FSE",IF(COUNTIFS(B:B,B698,C:C,C698)=XLOOKUP(C698,FSE!A:A,FSE!AA:AA,"ERROR",0,1),"OK","ERROR")))</f>
        <v>OK</v>
      </c>
      <c r="H698" s="199">
        <f t="shared" ref="H698:O698" si="3511">countif($D698,"*"&amp;H$2&amp;"*")</f>
        <v>0</v>
      </c>
      <c r="I698" s="200">
        <f t="shared" si="3511"/>
        <v>0</v>
      </c>
      <c r="J698" s="200">
        <f t="shared" si="3511"/>
        <v>0</v>
      </c>
      <c r="K698" s="200">
        <f t="shared" si="3511"/>
        <v>0</v>
      </c>
      <c r="L698" s="200">
        <f t="shared" si="3511"/>
        <v>0</v>
      </c>
      <c r="M698" s="200">
        <f t="shared" si="3511"/>
        <v>0</v>
      </c>
      <c r="N698" s="200">
        <f t="shared" si="3511"/>
        <v>0</v>
      </c>
      <c r="O698" s="200">
        <f t="shared" si="3511"/>
        <v>0</v>
      </c>
      <c r="P698" s="200">
        <f t="shared" si="9"/>
        <v>0</v>
      </c>
      <c r="Q698" s="200">
        <f t="shared" ref="Q698:AC698" si="3512">countif($D698,"*"&amp;Q$2&amp;"*")</f>
        <v>0</v>
      </c>
      <c r="R698" s="200">
        <f t="shared" si="3512"/>
        <v>0</v>
      </c>
      <c r="S698" s="200">
        <f t="shared" si="3512"/>
        <v>0</v>
      </c>
      <c r="T698" s="200">
        <f t="shared" si="3512"/>
        <v>0</v>
      </c>
      <c r="U698" s="200">
        <f t="shared" si="3512"/>
        <v>0</v>
      </c>
      <c r="V698" s="200">
        <f t="shared" si="3512"/>
        <v>0</v>
      </c>
      <c r="W698" s="200">
        <f t="shared" si="3512"/>
        <v>0</v>
      </c>
      <c r="X698" s="200">
        <f t="shared" si="3512"/>
        <v>0</v>
      </c>
      <c r="Y698" s="200">
        <f t="shared" si="3512"/>
        <v>0</v>
      </c>
      <c r="Z698" s="200">
        <f t="shared" si="3512"/>
        <v>0</v>
      </c>
      <c r="AA698" s="200">
        <f t="shared" si="3512"/>
        <v>0</v>
      </c>
      <c r="AB698" s="200">
        <f t="shared" si="3512"/>
        <v>0</v>
      </c>
      <c r="AC698" s="200">
        <f t="shared" si="3512"/>
        <v>0</v>
      </c>
      <c r="AD698" s="200">
        <f t="shared" si="11"/>
        <v>1</v>
      </c>
      <c r="AE698" s="200">
        <f t="shared" ref="AE698:AG698" si="3513">countif($D698,"*"&amp;AE$2&amp;"*")</f>
        <v>0</v>
      </c>
      <c r="AF698" s="200">
        <f t="shared" si="3513"/>
        <v>0</v>
      </c>
      <c r="AG698" s="200">
        <f t="shared" si="3513"/>
        <v>0</v>
      </c>
      <c r="AH698" s="171">
        <f t="shared" si="13"/>
        <v>0</v>
      </c>
      <c r="AI698" s="200">
        <f t="shared" si="14"/>
        <v>0</v>
      </c>
      <c r="AJ698" s="200">
        <f>SUM(AK698:AQ698)</f>
        <v>0</v>
      </c>
      <c r="AK698" s="201">
        <f t="shared" ref="AK698:AS698" si="3514">countif($D698,"*"&amp;AK$2&amp;"*")</f>
        <v>0</v>
      </c>
      <c r="AL698" s="201">
        <f t="shared" si="3514"/>
        <v>0</v>
      </c>
      <c r="AM698" s="201">
        <f t="shared" si="3514"/>
        <v>0</v>
      </c>
      <c r="AN698" s="201">
        <f t="shared" si="3514"/>
        <v>0</v>
      </c>
      <c r="AO698" s="201">
        <f t="shared" si="3514"/>
        <v>0</v>
      </c>
      <c r="AP698" s="201">
        <f t="shared" si="3514"/>
        <v>0</v>
      </c>
      <c r="AQ698" s="201">
        <f t="shared" si="3514"/>
        <v>0</v>
      </c>
      <c r="AR698" s="201">
        <f t="shared" si="3514"/>
        <v>0</v>
      </c>
      <c r="AS698" s="200">
        <f t="shared" si="3514"/>
        <v>0</v>
      </c>
      <c r="AT698" s="205">
        <v>0.0</v>
      </c>
      <c r="AU698" s="200">
        <f t="shared" ref="AU698:AX698" si="3515">countif($D698,"*"&amp;AU$2&amp;"*")</f>
        <v>1</v>
      </c>
      <c r="AV698" s="200">
        <f t="shared" si="3515"/>
        <v>0</v>
      </c>
      <c r="AW698" s="200">
        <f t="shared" si="3515"/>
        <v>0</v>
      </c>
      <c r="AX698" s="200">
        <f t="shared" si="3515"/>
        <v>0</v>
      </c>
      <c r="AY698" s="202">
        <v>0.0</v>
      </c>
      <c r="AZ698" s="200"/>
      <c r="BA698" s="171" t="str">
        <f t="shared" si="18"/>
        <v/>
      </c>
      <c r="BB698" s="171" t="str">
        <f t="shared" si="19"/>
        <v/>
      </c>
      <c r="BC698" s="171" t="str">
        <f t="shared" si="20"/>
        <v/>
      </c>
      <c r="BD698" s="171" t="str">
        <f t="shared" si="21"/>
        <v>Institutional</v>
      </c>
      <c r="BE698" s="171" t="str">
        <f t="shared" si="22"/>
        <v/>
      </c>
      <c r="BF698" s="171" t="str">
        <f t="shared" si="23"/>
        <v>Institutional</v>
      </c>
    </row>
    <row r="699">
      <c r="A699" s="171">
        <f t="array" ref="A699">XLOOKUP(C699,ICSE!A:A,ICSE!C:C,,2,1)</f>
        <v>2017</v>
      </c>
      <c r="B699" s="171" t="s">
        <v>5675</v>
      </c>
      <c r="C699" s="160">
        <v>1378.0</v>
      </c>
      <c r="D699" s="161" t="s">
        <v>769</v>
      </c>
      <c r="E699" s="197" t="str">
        <f t="array" ref="E699">XLOOKUP(C699,ICSE!A:A,ICSE!Z:Z,,0,1)</f>
        <v>Publicly available (1)</v>
      </c>
      <c r="F699" s="198" t="s">
        <v>20</v>
      </c>
      <c r="G699" s="163" t="str">
        <f t="array" ref="G699">IF(B699="ICSE",IF(COUNTIFS(B:B,B699,C:C,C699)=XLOOKUP(C699,ICSE!A:A,ICSE!AA:AA,"ERROR",0,1),"OK","ERROR"),IF(B699="FSE",IF(COUNTIFS(B:B,B699,C:C,C699)=XLOOKUP(C699,FSE!A:A,FSE!AA:AA,"ERROR",0,1),"OK","ERROR")))</f>
        <v>OK</v>
      </c>
      <c r="H699" s="199">
        <f t="shared" ref="H699:O699" si="3516">countif($D699,"*"&amp;H$2&amp;"*")</f>
        <v>0</v>
      </c>
      <c r="I699" s="200">
        <f t="shared" si="3516"/>
        <v>0</v>
      </c>
      <c r="J699" s="200">
        <f t="shared" si="3516"/>
        <v>0</v>
      </c>
      <c r="K699" s="200">
        <f t="shared" si="3516"/>
        <v>0</v>
      </c>
      <c r="L699" s="200">
        <f t="shared" si="3516"/>
        <v>0</v>
      </c>
      <c r="M699" s="200">
        <f t="shared" si="3516"/>
        <v>0</v>
      </c>
      <c r="N699" s="200">
        <f t="shared" si="3516"/>
        <v>0</v>
      </c>
      <c r="O699" s="200">
        <f t="shared" si="3516"/>
        <v>0</v>
      </c>
      <c r="P699" s="200">
        <f t="shared" si="9"/>
        <v>1</v>
      </c>
      <c r="Q699" s="200">
        <f t="shared" ref="Q699:AC699" si="3517">countif($D699,"*"&amp;Q$2&amp;"*")</f>
        <v>0</v>
      </c>
      <c r="R699" s="200">
        <f t="shared" si="3517"/>
        <v>0</v>
      </c>
      <c r="S699" s="200">
        <f t="shared" si="3517"/>
        <v>0</v>
      </c>
      <c r="T699" s="200">
        <f t="shared" si="3517"/>
        <v>0</v>
      </c>
      <c r="U699" s="200">
        <f t="shared" si="3517"/>
        <v>0</v>
      </c>
      <c r="V699" s="200">
        <f t="shared" si="3517"/>
        <v>0</v>
      </c>
      <c r="W699" s="200">
        <f t="shared" si="3517"/>
        <v>0</v>
      </c>
      <c r="X699" s="200">
        <f t="shared" si="3517"/>
        <v>0</v>
      </c>
      <c r="Y699" s="200">
        <f t="shared" si="3517"/>
        <v>0</v>
      </c>
      <c r="Z699" s="200">
        <f t="shared" si="3517"/>
        <v>0</v>
      </c>
      <c r="AA699" s="200">
        <f t="shared" si="3517"/>
        <v>0</v>
      </c>
      <c r="AB699" s="200">
        <f t="shared" si="3517"/>
        <v>0</v>
      </c>
      <c r="AC699" s="200">
        <f t="shared" si="3517"/>
        <v>0</v>
      </c>
      <c r="AD699" s="200">
        <f t="shared" si="11"/>
        <v>0</v>
      </c>
      <c r="AE699" s="200">
        <f t="shared" ref="AE699:AG699" si="3518">countif($D699,"*"&amp;AE$2&amp;"*")</f>
        <v>0</v>
      </c>
      <c r="AF699" s="200">
        <f t="shared" si="3518"/>
        <v>0</v>
      </c>
      <c r="AG699" s="200">
        <f t="shared" si="3518"/>
        <v>0</v>
      </c>
      <c r="AH699" s="171">
        <f t="shared" si="13"/>
        <v>0</v>
      </c>
      <c r="AI699" s="200">
        <f t="shared" si="14"/>
        <v>0</v>
      </c>
      <c r="AJ699" s="200">
        <f>SUM(AK699:AR699)</f>
        <v>0</v>
      </c>
      <c r="AK699" s="201">
        <f t="shared" ref="AK699:AS699" si="3519">countif($D699,"*"&amp;AK$2&amp;"*")</f>
        <v>0</v>
      </c>
      <c r="AL699" s="201">
        <f t="shared" si="3519"/>
        <v>0</v>
      </c>
      <c r="AM699" s="201">
        <f t="shared" si="3519"/>
        <v>0</v>
      </c>
      <c r="AN699" s="201">
        <f t="shared" si="3519"/>
        <v>0</v>
      </c>
      <c r="AO699" s="201">
        <f t="shared" si="3519"/>
        <v>0</v>
      </c>
      <c r="AP699" s="201">
        <f t="shared" si="3519"/>
        <v>0</v>
      </c>
      <c r="AQ699" s="201">
        <f t="shared" si="3519"/>
        <v>0</v>
      </c>
      <c r="AR699" s="200">
        <f t="shared" si="3519"/>
        <v>0</v>
      </c>
      <c r="AS699" s="200">
        <f t="shared" si="3519"/>
        <v>0</v>
      </c>
      <c r="AT699" s="173">
        <v>0.0</v>
      </c>
      <c r="AU699" s="200">
        <f t="shared" ref="AU699:AX699" si="3520">countif($D699,"*"&amp;AU$2&amp;"*")</f>
        <v>0</v>
      </c>
      <c r="AV699" s="200">
        <f t="shared" si="3520"/>
        <v>1</v>
      </c>
      <c r="AW699" s="200">
        <f t="shared" si="3520"/>
        <v>0</v>
      </c>
      <c r="AX699" s="200">
        <f t="shared" si="3520"/>
        <v>0</v>
      </c>
      <c r="AY699" s="202">
        <v>0.0</v>
      </c>
      <c r="AZ699" s="200"/>
      <c r="BA699" s="171" t="str">
        <f t="shared" si="18"/>
        <v/>
      </c>
      <c r="BB699" s="171" t="str">
        <f t="shared" si="19"/>
        <v>Code</v>
      </c>
      <c r="BC699" s="171" t="str">
        <f t="shared" si="20"/>
        <v/>
      </c>
      <c r="BD699" s="171" t="str">
        <f t="shared" si="21"/>
        <v/>
      </c>
      <c r="BE699" s="171" t="str">
        <f t="shared" si="22"/>
        <v/>
      </c>
      <c r="BF699" s="171" t="str">
        <f t="shared" si="23"/>
        <v>Code</v>
      </c>
    </row>
    <row r="700">
      <c r="A700" s="171">
        <f t="array" ref="A700">XLOOKUP(C700,ICSE!A:A,ICSE!C:C,,2,1)</f>
        <v>2017</v>
      </c>
      <c r="B700" s="171" t="s">
        <v>5675</v>
      </c>
      <c r="C700" s="160">
        <v>1379.0</v>
      </c>
      <c r="D700" s="161" t="s">
        <v>772</v>
      </c>
      <c r="E700" s="197" t="str">
        <f t="array" ref="E700">XLOOKUP(C700,ICSE!A:A,ICSE!Z:Z,,0,1)</f>
        <v>Not available (1) - Broken link.</v>
      </c>
      <c r="F700" s="198" t="s">
        <v>21</v>
      </c>
      <c r="G700" s="163" t="str">
        <f t="array" ref="G700">IF(B700="ICSE",IF(COUNTIFS(B:B,B700,C:C,C700)=XLOOKUP(C700,ICSE!A:A,ICSE!AA:AA,"ERROR",0,1),"OK","ERROR"),IF(B700="FSE",IF(COUNTIFS(B:B,B700,C:C,C700)=XLOOKUP(C700,FSE!A:A,FSE!AA:AA,"ERROR",0,1),"OK","ERROR")))</f>
        <v>OK</v>
      </c>
      <c r="H700" s="199">
        <f t="shared" ref="H700:O700" si="3521">countif($D700,"*"&amp;H$2&amp;"*")</f>
        <v>0</v>
      </c>
      <c r="I700" s="200">
        <f t="shared" si="3521"/>
        <v>0</v>
      </c>
      <c r="J700" s="200">
        <f t="shared" si="3521"/>
        <v>0</v>
      </c>
      <c r="K700" s="200">
        <f t="shared" si="3521"/>
        <v>0</v>
      </c>
      <c r="L700" s="200">
        <f t="shared" si="3521"/>
        <v>0</v>
      </c>
      <c r="M700" s="200">
        <f t="shared" si="3521"/>
        <v>0</v>
      </c>
      <c r="N700" s="200">
        <f t="shared" si="3521"/>
        <v>0</v>
      </c>
      <c r="O700" s="200">
        <f t="shared" si="3521"/>
        <v>0</v>
      </c>
      <c r="P700" s="200">
        <f t="shared" si="9"/>
        <v>0</v>
      </c>
      <c r="Q700" s="200">
        <f t="shared" ref="Q700:AC700" si="3522">countif($D700,"*"&amp;Q$2&amp;"*")</f>
        <v>0</v>
      </c>
      <c r="R700" s="200">
        <f t="shared" si="3522"/>
        <v>0</v>
      </c>
      <c r="S700" s="200">
        <f t="shared" si="3522"/>
        <v>0</v>
      </c>
      <c r="T700" s="200">
        <f t="shared" si="3522"/>
        <v>0</v>
      </c>
      <c r="U700" s="200">
        <f t="shared" si="3522"/>
        <v>0</v>
      </c>
      <c r="V700" s="200">
        <f t="shared" si="3522"/>
        <v>0</v>
      </c>
      <c r="W700" s="200">
        <f t="shared" si="3522"/>
        <v>0</v>
      </c>
      <c r="X700" s="200">
        <f t="shared" si="3522"/>
        <v>0</v>
      </c>
      <c r="Y700" s="200">
        <f t="shared" si="3522"/>
        <v>0</v>
      </c>
      <c r="Z700" s="200">
        <f t="shared" si="3522"/>
        <v>0</v>
      </c>
      <c r="AA700" s="200">
        <f t="shared" si="3522"/>
        <v>0</v>
      </c>
      <c r="AB700" s="200">
        <f t="shared" si="3522"/>
        <v>0</v>
      </c>
      <c r="AC700" s="200">
        <f t="shared" si="3522"/>
        <v>0</v>
      </c>
      <c r="AD700" s="200">
        <f t="shared" si="11"/>
        <v>1</v>
      </c>
      <c r="AE700" s="200">
        <f t="shared" ref="AE700:AG700" si="3523">countif($D700,"*"&amp;AE$2&amp;"*")</f>
        <v>0</v>
      </c>
      <c r="AF700" s="200">
        <f t="shared" si="3523"/>
        <v>0</v>
      </c>
      <c r="AG700" s="200">
        <f t="shared" si="3523"/>
        <v>0</v>
      </c>
      <c r="AH700" s="171">
        <f t="shared" si="13"/>
        <v>0</v>
      </c>
      <c r="AI700" s="200">
        <f t="shared" si="14"/>
        <v>0</v>
      </c>
      <c r="AJ700" s="200">
        <f t="shared" ref="AJ700:AJ701" si="3529">SUM(AK700:AQ700)</f>
        <v>0</v>
      </c>
      <c r="AK700" s="201">
        <f t="shared" ref="AK700:AS700" si="3524">countif($D700,"*"&amp;AK$2&amp;"*")</f>
        <v>0</v>
      </c>
      <c r="AL700" s="201">
        <f t="shared" si="3524"/>
        <v>0</v>
      </c>
      <c r="AM700" s="201">
        <f t="shared" si="3524"/>
        <v>0</v>
      </c>
      <c r="AN700" s="201">
        <f t="shared" si="3524"/>
        <v>0</v>
      </c>
      <c r="AO700" s="201">
        <f t="shared" si="3524"/>
        <v>0</v>
      </c>
      <c r="AP700" s="201">
        <f t="shared" si="3524"/>
        <v>0</v>
      </c>
      <c r="AQ700" s="201">
        <f t="shared" si="3524"/>
        <v>0</v>
      </c>
      <c r="AR700" s="201">
        <f t="shared" si="3524"/>
        <v>0</v>
      </c>
      <c r="AS700" s="200">
        <f t="shared" si="3524"/>
        <v>0</v>
      </c>
      <c r="AT700" s="205">
        <v>0.0</v>
      </c>
      <c r="AU700" s="200">
        <f t="shared" ref="AU700:AX700" si="3525">countif($D700,"*"&amp;AU$2&amp;"*")</f>
        <v>1</v>
      </c>
      <c r="AV700" s="200">
        <f t="shared" si="3525"/>
        <v>0</v>
      </c>
      <c r="AW700" s="200">
        <f t="shared" si="3525"/>
        <v>0</v>
      </c>
      <c r="AX700" s="200">
        <f t="shared" si="3525"/>
        <v>0</v>
      </c>
      <c r="AY700" s="202">
        <v>0.0</v>
      </c>
      <c r="AZ700" s="200"/>
      <c r="BA700" s="171" t="str">
        <f t="shared" si="18"/>
        <v/>
      </c>
      <c r="BB700" s="171" t="str">
        <f t="shared" si="19"/>
        <v/>
      </c>
      <c r="BC700" s="171" t="str">
        <f t="shared" si="20"/>
        <v/>
      </c>
      <c r="BD700" s="171" t="str">
        <f t="shared" si="21"/>
        <v>Institutional</v>
      </c>
      <c r="BE700" s="171" t="str">
        <f t="shared" si="22"/>
        <v/>
      </c>
      <c r="BF700" s="171" t="str">
        <f t="shared" si="23"/>
        <v>Institutional</v>
      </c>
    </row>
    <row r="701">
      <c r="A701" s="171">
        <f t="array" ref="A701">XLOOKUP(C701,ICSE!A:A,ICSE!C:C,,2,1)</f>
        <v>2017</v>
      </c>
      <c r="B701" s="171" t="s">
        <v>5675</v>
      </c>
      <c r="C701" s="160">
        <v>1380.0</v>
      </c>
      <c r="D701" s="161" t="s">
        <v>775</v>
      </c>
      <c r="E701" s="197" t="str">
        <f t="array" ref="E701">XLOOKUP(C701,ICSE!A:A,ICSE!Z:Z,,0,1)</f>
        <v>Not available (1) - Broken link.</v>
      </c>
      <c r="F701" s="198" t="s">
        <v>21</v>
      </c>
      <c r="G701" s="163" t="str">
        <f t="array" ref="G701">IF(B701="ICSE",IF(COUNTIFS(B:B,B701,C:C,C701)=XLOOKUP(C701,ICSE!A:A,ICSE!AA:AA,"ERROR",0,1),"OK","ERROR"),IF(B701="FSE",IF(COUNTIFS(B:B,B701,C:C,C701)=XLOOKUP(C701,FSE!A:A,FSE!AA:AA,"ERROR",0,1),"OK","ERROR")))</f>
        <v>OK</v>
      </c>
      <c r="H701" s="199">
        <f t="shared" ref="H701:O701" si="3526">countif($D701,"*"&amp;H$2&amp;"*")</f>
        <v>0</v>
      </c>
      <c r="I701" s="200">
        <f t="shared" si="3526"/>
        <v>0</v>
      </c>
      <c r="J701" s="200">
        <f t="shared" si="3526"/>
        <v>0</v>
      </c>
      <c r="K701" s="200">
        <f t="shared" si="3526"/>
        <v>0</v>
      </c>
      <c r="L701" s="200">
        <f t="shared" si="3526"/>
        <v>0</v>
      </c>
      <c r="M701" s="200">
        <f t="shared" si="3526"/>
        <v>0</v>
      </c>
      <c r="N701" s="200">
        <f t="shared" si="3526"/>
        <v>0</v>
      </c>
      <c r="O701" s="200">
        <f t="shared" si="3526"/>
        <v>0</v>
      </c>
      <c r="P701" s="200">
        <f t="shared" si="9"/>
        <v>0</v>
      </c>
      <c r="Q701" s="200">
        <f t="shared" ref="Q701:AC701" si="3527">countif($D701,"*"&amp;Q$2&amp;"*")</f>
        <v>0</v>
      </c>
      <c r="R701" s="200">
        <f t="shared" si="3527"/>
        <v>0</v>
      </c>
      <c r="S701" s="200">
        <f t="shared" si="3527"/>
        <v>0</v>
      </c>
      <c r="T701" s="200">
        <f t="shared" si="3527"/>
        <v>0</v>
      </c>
      <c r="U701" s="200">
        <f t="shared" si="3527"/>
        <v>0</v>
      </c>
      <c r="V701" s="200">
        <f t="shared" si="3527"/>
        <v>0</v>
      </c>
      <c r="W701" s="200">
        <f t="shared" si="3527"/>
        <v>0</v>
      </c>
      <c r="X701" s="200">
        <f t="shared" si="3527"/>
        <v>0</v>
      </c>
      <c r="Y701" s="200">
        <f t="shared" si="3527"/>
        <v>0</v>
      </c>
      <c r="Z701" s="200">
        <f t="shared" si="3527"/>
        <v>0</v>
      </c>
      <c r="AA701" s="200">
        <f t="shared" si="3527"/>
        <v>0</v>
      </c>
      <c r="AB701" s="200">
        <f t="shared" si="3527"/>
        <v>0</v>
      </c>
      <c r="AC701" s="200">
        <f t="shared" si="3527"/>
        <v>0</v>
      </c>
      <c r="AD701" s="200">
        <f t="shared" si="11"/>
        <v>1</v>
      </c>
      <c r="AE701" s="200">
        <f t="shared" ref="AE701:AG701" si="3528">countif($D701,"*"&amp;AE$2&amp;"*")</f>
        <v>0</v>
      </c>
      <c r="AF701" s="200">
        <f t="shared" si="3528"/>
        <v>0</v>
      </c>
      <c r="AG701" s="200">
        <f t="shared" si="3528"/>
        <v>0</v>
      </c>
      <c r="AH701" s="171">
        <f t="shared" si="13"/>
        <v>0</v>
      </c>
      <c r="AI701" s="200">
        <f t="shared" si="14"/>
        <v>0</v>
      </c>
      <c r="AJ701" s="200">
        <f t="shared" si="3529"/>
        <v>0</v>
      </c>
      <c r="AK701" s="201">
        <f t="shared" ref="AK701:AS701" si="3530">countif($D701,"*"&amp;AK$2&amp;"*")</f>
        <v>0</v>
      </c>
      <c r="AL701" s="201">
        <f t="shared" si="3530"/>
        <v>0</v>
      </c>
      <c r="AM701" s="201">
        <f t="shared" si="3530"/>
        <v>0</v>
      </c>
      <c r="AN701" s="201">
        <f t="shared" si="3530"/>
        <v>0</v>
      </c>
      <c r="AO701" s="201">
        <f t="shared" si="3530"/>
        <v>0</v>
      </c>
      <c r="AP701" s="201">
        <f t="shared" si="3530"/>
        <v>0</v>
      </c>
      <c r="AQ701" s="201">
        <f t="shared" si="3530"/>
        <v>0</v>
      </c>
      <c r="AR701" s="201">
        <f t="shared" si="3530"/>
        <v>0</v>
      </c>
      <c r="AS701" s="200">
        <f t="shared" si="3530"/>
        <v>0</v>
      </c>
      <c r="AT701" s="205">
        <v>0.0</v>
      </c>
      <c r="AU701" s="200">
        <f t="shared" ref="AU701:AX701" si="3531">countif($D701,"*"&amp;AU$2&amp;"*")</f>
        <v>1</v>
      </c>
      <c r="AV701" s="200">
        <f t="shared" si="3531"/>
        <v>0</v>
      </c>
      <c r="AW701" s="200">
        <f t="shared" si="3531"/>
        <v>0</v>
      </c>
      <c r="AX701" s="200">
        <f t="shared" si="3531"/>
        <v>0</v>
      </c>
      <c r="AY701" s="202">
        <v>0.0</v>
      </c>
      <c r="AZ701" s="200"/>
      <c r="BA701" s="171" t="str">
        <f t="shared" si="18"/>
        <v/>
      </c>
      <c r="BB701" s="171" t="str">
        <f t="shared" si="19"/>
        <v/>
      </c>
      <c r="BC701" s="171" t="str">
        <f t="shared" si="20"/>
        <v/>
      </c>
      <c r="BD701" s="171" t="str">
        <f t="shared" si="21"/>
        <v>Institutional</v>
      </c>
      <c r="BE701" s="171" t="str">
        <f t="shared" si="22"/>
        <v/>
      </c>
      <c r="BF701" s="171" t="str">
        <f t="shared" si="23"/>
        <v>Institutional</v>
      </c>
    </row>
    <row r="702">
      <c r="A702" s="171">
        <f t="array" ref="A702">XLOOKUP(C702,ICSE!A:A,ICSE!C:C,,2,1)</f>
        <v>2017</v>
      </c>
      <c r="B702" s="171" t="s">
        <v>5675</v>
      </c>
      <c r="C702" s="160">
        <v>1381.0</v>
      </c>
      <c r="D702" s="161" t="s">
        <v>778</v>
      </c>
      <c r="E702" s="197" t="str">
        <f t="array" ref="E702">XLOOKUP(C702,ICSE!A:A,ICSE!Z:Z,,0,1)</f>
        <v>Publicly available (1)</v>
      </c>
      <c r="F702" s="198" t="s">
        <v>20</v>
      </c>
      <c r="G702" s="163" t="str">
        <f t="array" ref="G702">IF(B702="ICSE",IF(COUNTIFS(B:B,B702,C:C,C702)=XLOOKUP(C702,ICSE!A:A,ICSE!AA:AA,"ERROR",0,1),"OK","ERROR"),IF(B702="FSE",IF(COUNTIFS(B:B,B702,C:C,C702)=XLOOKUP(C702,FSE!A:A,FSE!AA:AA,"ERROR",0,1),"OK","ERROR")))</f>
        <v>OK</v>
      </c>
      <c r="H702" s="199">
        <f t="shared" ref="H702:O702" si="3532">countif($D702,"*"&amp;H$2&amp;"*")</f>
        <v>0</v>
      </c>
      <c r="I702" s="200">
        <f t="shared" si="3532"/>
        <v>0</v>
      </c>
      <c r="J702" s="200">
        <f t="shared" si="3532"/>
        <v>0</v>
      </c>
      <c r="K702" s="200">
        <f t="shared" si="3532"/>
        <v>0</v>
      </c>
      <c r="L702" s="200">
        <f t="shared" si="3532"/>
        <v>0</v>
      </c>
      <c r="M702" s="200">
        <f t="shared" si="3532"/>
        <v>0</v>
      </c>
      <c r="N702" s="200">
        <f t="shared" si="3532"/>
        <v>0</v>
      </c>
      <c r="O702" s="200">
        <f t="shared" si="3532"/>
        <v>0</v>
      </c>
      <c r="P702" s="200">
        <f t="shared" si="9"/>
        <v>1</v>
      </c>
      <c r="Q702" s="200">
        <f t="shared" ref="Q702:AC702" si="3533">countif($D702,"*"&amp;Q$2&amp;"*")</f>
        <v>0</v>
      </c>
      <c r="R702" s="200">
        <f t="shared" si="3533"/>
        <v>0</v>
      </c>
      <c r="S702" s="200">
        <f t="shared" si="3533"/>
        <v>0</v>
      </c>
      <c r="T702" s="200">
        <f t="shared" si="3533"/>
        <v>0</v>
      </c>
      <c r="U702" s="200">
        <f t="shared" si="3533"/>
        <v>0</v>
      </c>
      <c r="V702" s="200">
        <f t="shared" si="3533"/>
        <v>0</v>
      </c>
      <c r="W702" s="200">
        <f t="shared" si="3533"/>
        <v>0</v>
      </c>
      <c r="X702" s="200">
        <f t="shared" si="3533"/>
        <v>0</v>
      </c>
      <c r="Y702" s="200">
        <f t="shared" si="3533"/>
        <v>0</v>
      </c>
      <c r="Z702" s="200">
        <f t="shared" si="3533"/>
        <v>0</v>
      </c>
      <c r="AA702" s="200">
        <f t="shared" si="3533"/>
        <v>0</v>
      </c>
      <c r="AB702" s="200">
        <f t="shared" si="3533"/>
        <v>0</v>
      </c>
      <c r="AC702" s="200">
        <f t="shared" si="3533"/>
        <v>0</v>
      </c>
      <c r="AD702" s="200">
        <f t="shared" si="11"/>
        <v>0</v>
      </c>
      <c r="AE702" s="200">
        <f t="shared" ref="AE702:AG702" si="3534">countif($D702,"*"&amp;AE$2&amp;"*")</f>
        <v>0</v>
      </c>
      <c r="AF702" s="200">
        <f t="shared" si="3534"/>
        <v>0</v>
      </c>
      <c r="AG702" s="200">
        <f t="shared" si="3534"/>
        <v>0</v>
      </c>
      <c r="AH702" s="171">
        <f t="shared" si="13"/>
        <v>0</v>
      </c>
      <c r="AI702" s="200">
        <f t="shared" si="14"/>
        <v>0</v>
      </c>
      <c r="AJ702" s="200">
        <f t="shared" ref="AJ702:AJ709" si="3540">SUM(AK702:AR702)</f>
        <v>0</v>
      </c>
      <c r="AK702" s="201">
        <f t="shared" ref="AK702:AS702" si="3535">countif($D702,"*"&amp;AK$2&amp;"*")</f>
        <v>0</v>
      </c>
      <c r="AL702" s="201">
        <f t="shared" si="3535"/>
        <v>0</v>
      </c>
      <c r="AM702" s="201">
        <f t="shared" si="3535"/>
        <v>0</v>
      </c>
      <c r="AN702" s="201">
        <f t="shared" si="3535"/>
        <v>0</v>
      </c>
      <c r="AO702" s="201">
        <f t="shared" si="3535"/>
        <v>0</v>
      </c>
      <c r="AP702" s="201">
        <f t="shared" si="3535"/>
        <v>0</v>
      </c>
      <c r="AQ702" s="201">
        <f t="shared" si="3535"/>
        <v>0</v>
      </c>
      <c r="AR702" s="200">
        <f t="shared" si="3535"/>
        <v>0</v>
      </c>
      <c r="AS702" s="200">
        <f t="shared" si="3535"/>
        <v>0</v>
      </c>
      <c r="AT702" s="173">
        <v>0.0</v>
      </c>
      <c r="AU702" s="200">
        <f t="shared" ref="AU702:AX702" si="3536">countif($D702,"*"&amp;AU$2&amp;"*")</f>
        <v>0</v>
      </c>
      <c r="AV702" s="200">
        <f t="shared" si="3536"/>
        <v>1</v>
      </c>
      <c r="AW702" s="200">
        <f t="shared" si="3536"/>
        <v>0</v>
      </c>
      <c r="AX702" s="200">
        <f t="shared" si="3536"/>
        <v>0</v>
      </c>
      <c r="AY702" s="202">
        <v>0.0</v>
      </c>
      <c r="AZ702" s="200"/>
      <c r="BA702" s="171" t="str">
        <f t="shared" si="18"/>
        <v/>
      </c>
      <c r="BB702" s="171" t="str">
        <f t="shared" si="19"/>
        <v>Code</v>
      </c>
      <c r="BC702" s="171" t="str">
        <f t="shared" si="20"/>
        <v/>
      </c>
      <c r="BD702" s="171" t="str">
        <f t="shared" si="21"/>
        <v/>
      </c>
      <c r="BE702" s="171" t="str">
        <f t="shared" si="22"/>
        <v/>
      </c>
      <c r="BF702" s="171" t="str">
        <f t="shared" si="23"/>
        <v>Code</v>
      </c>
    </row>
    <row r="703">
      <c r="A703" s="171">
        <f t="array" ref="A703">XLOOKUP(C703,ICSE!A:A,ICSE!C:C,,2,1)</f>
        <v>2017</v>
      </c>
      <c r="B703" s="171" t="s">
        <v>5675</v>
      </c>
      <c r="C703" s="160">
        <v>1382.0</v>
      </c>
      <c r="D703" s="161" t="s">
        <v>781</v>
      </c>
      <c r="E703" s="197" t="str">
        <f t="array" ref="E703">XLOOKUP(C703,ICSE!A:A,ICSE!Z:Z,,0,1)</f>
        <v>Not available (1) - Broken link.</v>
      </c>
      <c r="F703" s="198" t="s">
        <v>21</v>
      </c>
      <c r="G703" s="163" t="str">
        <f t="array" ref="G703">IF(B703="ICSE",IF(COUNTIFS(B:B,B703,C:C,C703)=XLOOKUP(C703,ICSE!A:A,ICSE!AA:AA,"ERROR",0,1),"OK","ERROR"),IF(B703="FSE",IF(COUNTIFS(B:B,B703,C:C,C703)=XLOOKUP(C703,FSE!A:A,FSE!AA:AA,"ERROR",0,1),"OK","ERROR")))</f>
        <v>OK</v>
      </c>
      <c r="H703" s="199">
        <f t="shared" ref="H703:O703" si="3537">countif($D703,"*"&amp;H$2&amp;"*")</f>
        <v>0</v>
      </c>
      <c r="I703" s="200">
        <f t="shared" si="3537"/>
        <v>0</v>
      </c>
      <c r="J703" s="200">
        <f t="shared" si="3537"/>
        <v>0</v>
      </c>
      <c r="K703" s="200">
        <f t="shared" si="3537"/>
        <v>0</v>
      </c>
      <c r="L703" s="200">
        <f t="shared" si="3537"/>
        <v>0</v>
      </c>
      <c r="M703" s="200">
        <f t="shared" si="3537"/>
        <v>0</v>
      </c>
      <c r="N703" s="200">
        <f t="shared" si="3537"/>
        <v>0</v>
      </c>
      <c r="O703" s="200">
        <f t="shared" si="3537"/>
        <v>0</v>
      </c>
      <c r="P703" s="200">
        <f t="shared" si="9"/>
        <v>0</v>
      </c>
      <c r="Q703" s="200">
        <f t="shared" ref="Q703:AC703" si="3538">countif($D703,"*"&amp;Q$2&amp;"*")</f>
        <v>0</v>
      </c>
      <c r="R703" s="200">
        <f t="shared" si="3538"/>
        <v>0</v>
      </c>
      <c r="S703" s="200">
        <f t="shared" si="3538"/>
        <v>0</v>
      </c>
      <c r="T703" s="200">
        <f t="shared" si="3538"/>
        <v>0</v>
      </c>
      <c r="U703" s="200">
        <f t="shared" si="3538"/>
        <v>0</v>
      </c>
      <c r="V703" s="200">
        <f t="shared" si="3538"/>
        <v>0</v>
      </c>
      <c r="W703" s="200">
        <f t="shared" si="3538"/>
        <v>0</v>
      </c>
      <c r="X703" s="200">
        <f t="shared" si="3538"/>
        <v>0</v>
      </c>
      <c r="Y703" s="200">
        <f t="shared" si="3538"/>
        <v>0</v>
      </c>
      <c r="Z703" s="200">
        <f t="shared" si="3538"/>
        <v>0</v>
      </c>
      <c r="AA703" s="200">
        <f t="shared" si="3538"/>
        <v>0</v>
      </c>
      <c r="AB703" s="200">
        <f t="shared" si="3538"/>
        <v>0</v>
      </c>
      <c r="AC703" s="200">
        <f t="shared" si="3538"/>
        <v>0</v>
      </c>
      <c r="AD703" s="200">
        <f t="shared" si="11"/>
        <v>0</v>
      </c>
      <c r="AE703" s="200">
        <f t="shared" ref="AE703:AG703" si="3539">countif($D703,"*"&amp;AE$2&amp;"*")</f>
        <v>0</v>
      </c>
      <c r="AF703" s="200">
        <f t="shared" si="3539"/>
        <v>0</v>
      </c>
      <c r="AG703" s="200">
        <f t="shared" si="3539"/>
        <v>0</v>
      </c>
      <c r="AH703" s="171">
        <f t="shared" si="13"/>
        <v>1</v>
      </c>
      <c r="AI703" s="200">
        <f t="shared" si="14"/>
        <v>0</v>
      </c>
      <c r="AJ703" s="200">
        <f t="shared" si="3540"/>
        <v>0</v>
      </c>
      <c r="AK703" s="201">
        <f t="shared" ref="AK703:AS703" si="3541">countif($D703,"*"&amp;AK$2&amp;"*")</f>
        <v>0</v>
      </c>
      <c r="AL703" s="201">
        <f t="shared" si="3541"/>
        <v>0</v>
      </c>
      <c r="AM703" s="201">
        <f t="shared" si="3541"/>
        <v>0</v>
      </c>
      <c r="AN703" s="201">
        <f t="shared" si="3541"/>
        <v>0</v>
      </c>
      <c r="AO703" s="201">
        <f t="shared" si="3541"/>
        <v>0</v>
      </c>
      <c r="AP703" s="201">
        <f t="shared" si="3541"/>
        <v>0</v>
      </c>
      <c r="AQ703" s="201">
        <f t="shared" si="3541"/>
        <v>0</v>
      </c>
      <c r="AR703" s="200">
        <f t="shared" si="3541"/>
        <v>0</v>
      </c>
      <c r="AS703" s="200">
        <f t="shared" si="3541"/>
        <v>0</v>
      </c>
      <c r="AT703" s="173">
        <v>0.0</v>
      </c>
      <c r="AU703" s="200">
        <f t="shared" ref="AU703:AX703" si="3542">countif($D703,"*"&amp;AU$2&amp;"*")</f>
        <v>0</v>
      </c>
      <c r="AV703" s="200">
        <f t="shared" si="3542"/>
        <v>0</v>
      </c>
      <c r="AW703" s="200">
        <f t="shared" si="3542"/>
        <v>0</v>
      </c>
      <c r="AX703" s="200">
        <f t="shared" si="3542"/>
        <v>0</v>
      </c>
      <c r="AY703" s="202">
        <v>0.0</v>
      </c>
      <c r="AZ703" s="200"/>
      <c r="BA703" s="171" t="str">
        <f t="shared" si="18"/>
        <v/>
      </c>
      <c r="BB703" s="171" t="str">
        <f t="shared" si="19"/>
        <v/>
      </c>
      <c r="BC703" s="171" t="str">
        <f t="shared" si="20"/>
        <v/>
      </c>
      <c r="BD703" s="171" t="str">
        <f t="shared" si="21"/>
        <v/>
      </c>
      <c r="BE703" s="171" t="str">
        <f t="shared" si="22"/>
        <v>Others</v>
      </c>
      <c r="BF703" s="171" t="str">
        <f t="shared" si="23"/>
        <v>Others</v>
      </c>
    </row>
    <row r="704">
      <c r="A704" s="171">
        <f t="array" ref="A704">XLOOKUP(C704,ICSE!A:A,ICSE!C:C,,2,1)</f>
        <v>2017</v>
      </c>
      <c r="B704" s="171" t="s">
        <v>5675</v>
      </c>
      <c r="C704" s="160">
        <v>1383.0</v>
      </c>
      <c r="D704" s="161" t="s">
        <v>784</v>
      </c>
      <c r="E704" s="197" t="str">
        <f t="array" ref="E704">XLOOKUP(C704,ICSE!A:A,ICSE!Z:Z,,0,1)</f>
        <v>Not available (1) - Broken link - Repository not found.</v>
      </c>
      <c r="F704" s="198" t="s">
        <v>21</v>
      </c>
      <c r="G704" s="163" t="str">
        <f t="array" ref="G704">IF(B704="ICSE",IF(COUNTIFS(B:B,B704,C:C,C704)=XLOOKUP(C704,ICSE!A:A,ICSE!AA:AA,"ERROR",0,1),"OK","ERROR"),IF(B704="FSE",IF(COUNTIFS(B:B,B704,C:C,C704)=XLOOKUP(C704,FSE!A:A,FSE!AA:AA,"ERROR",0,1),"OK","ERROR")))</f>
        <v>OK</v>
      </c>
      <c r="H704" s="199">
        <f t="shared" ref="H704:O704" si="3543">countif($D704,"*"&amp;H$2&amp;"*")</f>
        <v>0</v>
      </c>
      <c r="I704" s="200">
        <f t="shared" si="3543"/>
        <v>0</v>
      </c>
      <c r="J704" s="200">
        <f t="shared" si="3543"/>
        <v>0</v>
      </c>
      <c r="K704" s="200">
        <f t="shared" si="3543"/>
        <v>0</v>
      </c>
      <c r="L704" s="200">
        <f t="shared" si="3543"/>
        <v>0</v>
      </c>
      <c r="M704" s="200">
        <f t="shared" si="3543"/>
        <v>0</v>
      </c>
      <c r="N704" s="200">
        <f t="shared" si="3543"/>
        <v>0</v>
      </c>
      <c r="O704" s="200">
        <f t="shared" si="3543"/>
        <v>0</v>
      </c>
      <c r="P704" s="200">
        <f t="shared" si="9"/>
        <v>0</v>
      </c>
      <c r="Q704" s="200">
        <f t="shared" ref="Q704:AC704" si="3544">countif($D704,"*"&amp;Q$2&amp;"*")</f>
        <v>0</v>
      </c>
      <c r="R704" s="200">
        <f t="shared" si="3544"/>
        <v>1</v>
      </c>
      <c r="S704" s="200">
        <f t="shared" si="3544"/>
        <v>0</v>
      </c>
      <c r="T704" s="200">
        <f t="shared" si="3544"/>
        <v>0</v>
      </c>
      <c r="U704" s="200">
        <f t="shared" si="3544"/>
        <v>0</v>
      </c>
      <c r="V704" s="200">
        <f t="shared" si="3544"/>
        <v>0</v>
      </c>
      <c r="W704" s="200">
        <f t="shared" si="3544"/>
        <v>0</v>
      </c>
      <c r="X704" s="200">
        <f t="shared" si="3544"/>
        <v>0</v>
      </c>
      <c r="Y704" s="200">
        <f t="shared" si="3544"/>
        <v>0</v>
      </c>
      <c r="Z704" s="200">
        <f t="shared" si="3544"/>
        <v>0</v>
      </c>
      <c r="AA704" s="200">
        <f t="shared" si="3544"/>
        <v>0</v>
      </c>
      <c r="AB704" s="200">
        <f t="shared" si="3544"/>
        <v>0</v>
      </c>
      <c r="AC704" s="200">
        <f t="shared" si="3544"/>
        <v>0</v>
      </c>
      <c r="AD704" s="200">
        <f t="shared" si="11"/>
        <v>0</v>
      </c>
      <c r="AE704" s="200">
        <f t="shared" ref="AE704:AG704" si="3545">countif($D704,"*"&amp;AE$2&amp;"*")</f>
        <v>0</v>
      </c>
      <c r="AF704" s="200">
        <f t="shared" si="3545"/>
        <v>0</v>
      </c>
      <c r="AG704" s="200">
        <f t="shared" si="3545"/>
        <v>0</v>
      </c>
      <c r="AH704" s="171">
        <f t="shared" si="13"/>
        <v>0</v>
      </c>
      <c r="AI704" s="200">
        <f t="shared" si="14"/>
        <v>0</v>
      </c>
      <c r="AJ704" s="200">
        <f t="shared" si="3540"/>
        <v>0</v>
      </c>
      <c r="AK704" s="201">
        <f t="shared" ref="AK704:AS704" si="3546">countif($D704,"*"&amp;AK$2&amp;"*")</f>
        <v>0</v>
      </c>
      <c r="AL704" s="201">
        <f t="shared" si="3546"/>
        <v>0</v>
      </c>
      <c r="AM704" s="201">
        <f t="shared" si="3546"/>
        <v>0</v>
      </c>
      <c r="AN704" s="201">
        <f t="shared" si="3546"/>
        <v>0</v>
      </c>
      <c r="AO704" s="201">
        <f t="shared" si="3546"/>
        <v>0</v>
      </c>
      <c r="AP704" s="201">
        <f t="shared" si="3546"/>
        <v>0</v>
      </c>
      <c r="AQ704" s="201">
        <f t="shared" si="3546"/>
        <v>0</v>
      </c>
      <c r="AR704" s="200">
        <f t="shared" si="3546"/>
        <v>0</v>
      </c>
      <c r="AS704" s="200">
        <f t="shared" si="3546"/>
        <v>0</v>
      </c>
      <c r="AT704" s="173">
        <v>0.0</v>
      </c>
      <c r="AU704" s="200">
        <f t="shared" ref="AU704:AX704" si="3547">countif($D704,"*"&amp;AU$2&amp;"*")</f>
        <v>0</v>
      </c>
      <c r="AV704" s="200">
        <f t="shared" si="3547"/>
        <v>0</v>
      </c>
      <c r="AW704" s="200">
        <f t="shared" si="3547"/>
        <v>0</v>
      </c>
      <c r="AX704" s="200">
        <f t="shared" si="3547"/>
        <v>0</v>
      </c>
      <c r="AY704" s="202">
        <v>0.0</v>
      </c>
      <c r="AZ704" s="200"/>
      <c r="BA704" s="171" t="str">
        <f t="shared" si="18"/>
        <v/>
      </c>
      <c r="BB704" s="171" t="str">
        <f t="shared" si="19"/>
        <v>Code</v>
      </c>
      <c r="BC704" s="171" t="str">
        <f t="shared" si="20"/>
        <v/>
      </c>
      <c r="BD704" s="171" t="str">
        <f t="shared" si="21"/>
        <v/>
      </c>
      <c r="BE704" s="171" t="str">
        <f t="shared" si="22"/>
        <v/>
      </c>
      <c r="BF704" s="171" t="str">
        <f t="shared" si="23"/>
        <v>Code</v>
      </c>
    </row>
    <row r="705">
      <c r="A705" s="171">
        <f t="array" ref="A705">XLOOKUP(C705,ICSE!A:A,ICSE!C:C,,2,1)</f>
        <v>2017</v>
      </c>
      <c r="B705" s="171" t="s">
        <v>5675</v>
      </c>
      <c r="C705" s="160">
        <v>1384.0</v>
      </c>
      <c r="D705" s="161" t="s">
        <v>788</v>
      </c>
      <c r="E705" s="197" t="str">
        <f t="array" ref="E705">XLOOKUP(C705,ICSE!A:A,ICSE!Z:Z,,0,1)</f>
        <v>Publicly available (1)</v>
      </c>
      <c r="F705" s="198" t="s">
        <v>20</v>
      </c>
      <c r="G705" s="163" t="str">
        <f t="array" ref="G705">IF(B705="ICSE",IF(COUNTIFS(B:B,B705,C:C,C705)=XLOOKUP(C705,ICSE!A:A,ICSE!AA:AA,"ERROR",0,1),"OK","ERROR"),IF(B705="FSE",IF(COUNTIFS(B:B,B705,C:C,C705)=XLOOKUP(C705,FSE!A:A,FSE!AA:AA,"ERROR",0,1),"OK","ERROR")))</f>
        <v>OK</v>
      </c>
      <c r="H705" s="199">
        <f t="shared" ref="H705:O705" si="3548">countif($D705,"*"&amp;H$2&amp;"*")</f>
        <v>0</v>
      </c>
      <c r="I705" s="200">
        <f t="shared" si="3548"/>
        <v>0</v>
      </c>
      <c r="J705" s="200">
        <f t="shared" si="3548"/>
        <v>0</v>
      </c>
      <c r="K705" s="200">
        <f t="shared" si="3548"/>
        <v>0</v>
      </c>
      <c r="L705" s="200">
        <f t="shared" si="3548"/>
        <v>0</v>
      </c>
      <c r="M705" s="200">
        <f t="shared" si="3548"/>
        <v>0</v>
      </c>
      <c r="N705" s="200">
        <f t="shared" si="3548"/>
        <v>0</v>
      </c>
      <c r="O705" s="200">
        <f t="shared" si="3548"/>
        <v>0</v>
      </c>
      <c r="P705" s="200">
        <f t="shared" si="9"/>
        <v>1</v>
      </c>
      <c r="Q705" s="200">
        <f t="shared" ref="Q705:AC705" si="3549">countif($D705,"*"&amp;Q$2&amp;"*")</f>
        <v>0</v>
      </c>
      <c r="R705" s="200">
        <f t="shared" si="3549"/>
        <v>0</v>
      </c>
      <c r="S705" s="200">
        <f t="shared" si="3549"/>
        <v>0</v>
      </c>
      <c r="T705" s="200">
        <f t="shared" si="3549"/>
        <v>0</v>
      </c>
      <c r="U705" s="200">
        <f t="shared" si="3549"/>
        <v>0</v>
      </c>
      <c r="V705" s="200">
        <f t="shared" si="3549"/>
        <v>0</v>
      </c>
      <c r="W705" s="200">
        <f t="shared" si="3549"/>
        <v>0</v>
      </c>
      <c r="X705" s="200">
        <f t="shared" si="3549"/>
        <v>0</v>
      </c>
      <c r="Y705" s="200">
        <f t="shared" si="3549"/>
        <v>0</v>
      </c>
      <c r="Z705" s="200">
        <f t="shared" si="3549"/>
        <v>0</v>
      </c>
      <c r="AA705" s="200">
        <f t="shared" si="3549"/>
        <v>0</v>
      </c>
      <c r="AB705" s="200">
        <f t="shared" si="3549"/>
        <v>0</v>
      </c>
      <c r="AC705" s="200">
        <f t="shared" si="3549"/>
        <v>0</v>
      </c>
      <c r="AD705" s="200">
        <f t="shared" si="11"/>
        <v>0</v>
      </c>
      <c r="AE705" s="200">
        <f t="shared" ref="AE705:AG705" si="3550">countif($D705,"*"&amp;AE$2&amp;"*")</f>
        <v>0</v>
      </c>
      <c r="AF705" s="200">
        <f t="shared" si="3550"/>
        <v>0</v>
      </c>
      <c r="AG705" s="200">
        <f t="shared" si="3550"/>
        <v>0</v>
      </c>
      <c r="AH705" s="171">
        <f t="shared" si="13"/>
        <v>0</v>
      </c>
      <c r="AI705" s="200">
        <f t="shared" si="14"/>
        <v>0</v>
      </c>
      <c r="AJ705" s="200">
        <f t="shared" si="3540"/>
        <v>0</v>
      </c>
      <c r="AK705" s="201">
        <f t="shared" ref="AK705:AS705" si="3551">countif($D705,"*"&amp;AK$2&amp;"*")</f>
        <v>0</v>
      </c>
      <c r="AL705" s="201">
        <f t="shared" si="3551"/>
        <v>0</v>
      </c>
      <c r="AM705" s="201">
        <f t="shared" si="3551"/>
        <v>0</v>
      </c>
      <c r="AN705" s="201">
        <f t="shared" si="3551"/>
        <v>0</v>
      </c>
      <c r="AO705" s="201">
        <f t="shared" si="3551"/>
        <v>0</v>
      </c>
      <c r="AP705" s="201">
        <f t="shared" si="3551"/>
        <v>0</v>
      </c>
      <c r="AQ705" s="201">
        <f t="shared" si="3551"/>
        <v>0</v>
      </c>
      <c r="AR705" s="200">
        <f t="shared" si="3551"/>
        <v>0</v>
      </c>
      <c r="AS705" s="200">
        <f t="shared" si="3551"/>
        <v>0</v>
      </c>
      <c r="AT705" s="173">
        <v>0.0</v>
      </c>
      <c r="AU705" s="200">
        <f t="shared" ref="AU705:AX705" si="3552">countif($D705,"*"&amp;AU$2&amp;"*")</f>
        <v>0</v>
      </c>
      <c r="AV705" s="200">
        <f t="shared" si="3552"/>
        <v>1</v>
      </c>
      <c r="AW705" s="200">
        <f t="shared" si="3552"/>
        <v>0</v>
      </c>
      <c r="AX705" s="200">
        <f t="shared" si="3552"/>
        <v>0</v>
      </c>
      <c r="AY705" s="202">
        <v>0.0</v>
      </c>
      <c r="AZ705" s="200"/>
      <c r="BA705" s="171" t="str">
        <f t="shared" si="18"/>
        <v/>
      </c>
      <c r="BB705" s="171" t="str">
        <f t="shared" si="19"/>
        <v>Code</v>
      </c>
      <c r="BC705" s="171" t="str">
        <f t="shared" si="20"/>
        <v/>
      </c>
      <c r="BD705" s="171" t="str">
        <f t="shared" si="21"/>
        <v/>
      </c>
      <c r="BE705" s="171" t="str">
        <f t="shared" si="22"/>
        <v/>
      </c>
      <c r="BF705" s="171" t="str">
        <f t="shared" si="23"/>
        <v>Code</v>
      </c>
    </row>
    <row r="706">
      <c r="A706" s="171">
        <f t="array" ref="A706">XLOOKUP(C706,ICSE!A:A,ICSE!C:C,,2,1)</f>
        <v>2017</v>
      </c>
      <c r="B706" s="171" t="s">
        <v>5675</v>
      </c>
      <c r="C706" s="160">
        <v>1386.0</v>
      </c>
      <c r="D706" s="161" t="s">
        <v>793</v>
      </c>
      <c r="E706" s="197" t="str">
        <f t="array" ref="E706">XLOOKUP(C706,ICSE!A:A,ICSE!Z:Z,,0,1)</f>
        <v>Not available (1) - Broken link.</v>
      </c>
      <c r="F706" s="198" t="s">
        <v>21</v>
      </c>
      <c r="G706" s="163" t="str">
        <f t="array" ref="G706">IF(B706="ICSE",IF(COUNTIFS(B:B,B706,C:C,C706)=XLOOKUP(C706,ICSE!A:A,ICSE!AA:AA,"ERROR",0,1),"OK","ERROR"),IF(B706="FSE",IF(COUNTIFS(B:B,B706,C:C,C706)=XLOOKUP(C706,FSE!A:A,FSE!AA:AA,"ERROR",0,1),"OK","ERROR")))</f>
        <v>OK</v>
      </c>
      <c r="H706" s="199">
        <f t="shared" ref="H706:O706" si="3553">countif($D706,"*"&amp;H$2&amp;"*")</f>
        <v>0</v>
      </c>
      <c r="I706" s="200">
        <f t="shared" si="3553"/>
        <v>0</v>
      </c>
      <c r="J706" s="200">
        <f t="shared" si="3553"/>
        <v>0</v>
      </c>
      <c r="K706" s="200">
        <f t="shared" si="3553"/>
        <v>0</v>
      </c>
      <c r="L706" s="200">
        <f t="shared" si="3553"/>
        <v>0</v>
      </c>
      <c r="M706" s="200">
        <f t="shared" si="3553"/>
        <v>0</v>
      </c>
      <c r="N706" s="200">
        <f t="shared" si="3553"/>
        <v>0</v>
      </c>
      <c r="O706" s="200">
        <f t="shared" si="3553"/>
        <v>0</v>
      </c>
      <c r="P706" s="200">
        <f t="shared" si="9"/>
        <v>0</v>
      </c>
      <c r="Q706" s="200">
        <f t="shared" ref="Q706:AC706" si="3554">countif($D706,"*"&amp;Q$2&amp;"*")</f>
        <v>0</v>
      </c>
      <c r="R706" s="200">
        <f t="shared" si="3554"/>
        <v>0</v>
      </c>
      <c r="S706" s="200">
        <f t="shared" si="3554"/>
        <v>0</v>
      </c>
      <c r="T706" s="200">
        <f t="shared" si="3554"/>
        <v>0</v>
      </c>
      <c r="U706" s="200">
        <f t="shared" si="3554"/>
        <v>0</v>
      </c>
      <c r="V706" s="200">
        <f t="shared" si="3554"/>
        <v>0</v>
      </c>
      <c r="W706" s="200">
        <f t="shared" si="3554"/>
        <v>0</v>
      </c>
      <c r="X706" s="200">
        <f t="shared" si="3554"/>
        <v>0</v>
      </c>
      <c r="Y706" s="200">
        <f t="shared" si="3554"/>
        <v>0</v>
      </c>
      <c r="Z706" s="200">
        <f t="shared" si="3554"/>
        <v>0</v>
      </c>
      <c r="AA706" s="200">
        <f t="shared" si="3554"/>
        <v>0</v>
      </c>
      <c r="AB706" s="200">
        <f t="shared" si="3554"/>
        <v>0</v>
      </c>
      <c r="AC706" s="200">
        <f t="shared" si="3554"/>
        <v>0</v>
      </c>
      <c r="AD706" s="200">
        <f t="shared" si="11"/>
        <v>1</v>
      </c>
      <c r="AE706" s="200">
        <f t="shared" ref="AE706:AG706" si="3555">countif($D706,"*"&amp;AE$2&amp;"*")</f>
        <v>0</v>
      </c>
      <c r="AF706" s="200">
        <f t="shared" si="3555"/>
        <v>0</v>
      </c>
      <c r="AG706" s="200">
        <f t="shared" si="3555"/>
        <v>0</v>
      </c>
      <c r="AH706" s="171">
        <f t="shared" si="13"/>
        <v>0</v>
      </c>
      <c r="AI706" s="200">
        <f t="shared" si="14"/>
        <v>0</v>
      </c>
      <c r="AJ706" s="200">
        <f t="shared" si="3540"/>
        <v>0</v>
      </c>
      <c r="AK706" s="201">
        <f t="shared" ref="AK706:AS706" si="3556">countif($D706,"*"&amp;AK$2&amp;"*")</f>
        <v>0</v>
      </c>
      <c r="AL706" s="201">
        <f t="shared" si="3556"/>
        <v>0</v>
      </c>
      <c r="AM706" s="201">
        <f t="shared" si="3556"/>
        <v>0</v>
      </c>
      <c r="AN706" s="201">
        <f t="shared" si="3556"/>
        <v>0</v>
      </c>
      <c r="AO706" s="201">
        <f t="shared" si="3556"/>
        <v>0</v>
      </c>
      <c r="AP706" s="201">
        <f t="shared" si="3556"/>
        <v>0</v>
      </c>
      <c r="AQ706" s="201">
        <f t="shared" si="3556"/>
        <v>0</v>
      </c>
      <c r="AR706" s="200">
        <f t="shared" si="3556"/>
        <v>0</v>
      </c>
      <c r="AS706" s="200">
        <f t="shared" si="3556"/>
        <v>0</v>
      </c>
      <c r="AT706" s="173">
        <v>1.0</v>
      </c>
      <c r="AU706" s="200">
        <f t="shared" ref="AU706:AX706" si="3557">countif($D706,"*"&amp;AU$2&amp;"*")</f>
        <v>0</v>
      </c>
      <c r="AV706" s="200">
        <f t="shared" si="3557"/>
        <v>0</v>
      </c>
      <c r="AW706" s="200">
        <f t="shared" si="3557"/>
        <v>0</v>
      </c>
      <c r="AX706" s="200">
        <f t="shared" si="3557"/>
        <v>0</v>
      </c>
      <c r="AY706" s="202">
        <v>0.0</v>
      </c>
      <c r="AZ706" s="200"/>
      <c r="BA706" s="171" t="str">
        <f t="shared" si="18"/>
        <v/>
      </c>
      <c r="BB706" s="171" t="str">
        <f t="shared" si="19"/>
        <v/>
      </c>
      <c r="BC706" s="171" t="str">
        <f t="shared" si="20"/>
        <v/>
      </c>
      <c r="BD706" s="171" t="str">
        <f t="shared" si="21"/>
        <v>Institutional</v>
      </c>
      <c r="BE706" s="171" t="str">
        <f t="shared" si="22"/>
        <v/>
      </c>
      <c r="BF706" s="171" t="str">
        <f t="shared" si="23"/>
        <v>Institutional</v>
      </c>
    </row>
    <row r="707">
      <c r="A707" s="171">
        <f t="array" ref="A707">XLOOKUP(C707,ICSE!A:A,ICSE!C:C,,2,1)</f>
        <v>2017</v>
      </c>
      <c r="B707" s="171" t="s">
        <v>5675</v>
      </c>
      <c r="C707" s="160">
        <v>1387.0</v>
      </c>
      <c r="D707" s="161" t="s">
        <v>796</v>
      </c>
      <c r="E707" s="197" t="str">
        <f t="array" ref="E707">XLOOKUP(C707,ICSE!A:A,ICSE!Z:Z,,0,1)</f>
        <v>Publicly available (1)</v>
      </c>
      <c r="F707" s="198" t="s">
        <v>20</v>
      </c>
      <c r="G707" s="163" t="str">
        <f t="array" ref="G707">IF(B707="ICSE",IF(COUNTIFS(B:B,B707,C:C,C707)=XLOOKUP(C707,ICSE!A:A,ICSE!AA:AA,"ERROR",0,1),"OK","ERROR"),IF(B707="FSE",IF(COUNTIFS(B:B,B707,C:C,C707)=XLOOKUP(C707,FSE!A:A,FSE!AA:AA,"ERROR",0,1),"OK","ERROR")))</f>
        <v>OK</v>
      </c>
      <c r="H707" s="199">
        <f t="shared" ref="H707:O707" si="3558">countif($D707,"*"&amp;H$2&amp;"*")</f>
        <v>0</v>
      </c>
      <c r="I707" s="200">
        <f t="shared" si="3558"/>
        <v>0</v>
      </c>
      <c r="J707" s="200">
        <f t="shared" si="3558"/>
        <v>0</v>
      </c>
      <c r="K707" s="200">
        <f t="shared" si="3558"/>
        <v>0</v>
      </c>
      <c r="L707" s="200">
        <f t="shared" si="3558"/>
        <v>0</v>
      </c>
      <c r="M707" s="200">
        <f t="shared" si="3558"/>
        <v>0</v>
      </c>
      <c r="N707" s="200">
        <f t="shared" si="3558"/>
        <v>0</v>
      </c>
      <c r="O707" s="200">
        <f t="shared" si="3558"/>
        <v>0</v>
      </c>
      <c r="P707" s="200">
        <f t="shared" si="9"/>
        <v>1</v>
      </c>
      <c r="Q707" s="200">
        <f t="shared" ref="Q707:AC707" si="3559">countif($D707,"*"&amp;Q$2&amp;"*")</f>
        <v>0</v>
      </c>
      <c r="R707" s="200">
        <f t="shared" si="3559"/>
        <v>0</v>
      </c>
      <c r="S707" s="200">
        <f t="shared" si="3559"/>
        <v>0</v>
      </c>
      <c r="T707" s="200">
        <f t="shared" si="3559"/>
        <v>0</v>
      </c>
      <c r="U707" s="200">
        <f t="shared" si="3559"/>
        <v>0</v>
      </c>
      <c r="V707" s="200">
        <f t="shared" si="3559"/>
        <v>0</v>
      </c>
      <c r="W707" s="200">
        <f t="shared" si="3559"/>
        <v>0</v>
      </c>
      <c r="X707" s="200">
        <f t="shared" si="3559"/>
        <v>0</v>
      </c>
      <c r="Y707" s="200">
        <f t="shared" si="3559"/>
        <v>0</v>
      </c>
      <c r="Z707" s="200">
        <f t="shared" si="3559"/>
        <v>0</v>
      </c>
      <c r="AA707" s="200">
        <f t="shared" si="3559"/>
        <v>0</v>
      </c>
      <c r="AB707" s="200">
        <f t="shared" si="3559"/>
        <v>0</v>
      </c>
      <c r="AC707" s="200">
        <f t="shared" si="3559"/>
        <v>0</v>
      </c>
      <c r="AD707" s="200">
        <f t="shared" si="11"/>
        <v>0</v>
      </c>
      <c r="AE707" s="200">
        <f t="shared" ref="AE707:AG707" si="3560">countif($D707,"*"&amp;AE$2&amp;"*")</f>
        <v>0</v>
      </c>
      <c r="AF707" s="200">
        <f t="shared" si="3560"/>
        <v>0</v>
      </c>
      <c r="AG707" s="200">
        <f t="shared" si="3560"/>
        <v>0</v>
      </c>
      <c r="AH707" s="171">
        <f t="shared" si="13"/>
        <v>0</v>
      </c>
      <c r="AI707" s="200">
        <f t="shared" si="14"/>
        <v>0</v>
      </c>
      <c r="AJ707" s="200">
        <f t="shared" si="3540"/>
        <v>0</v>
      </c>
      <c r="AK707" s="201">
        <f t="shared" ref="AK707:AS707" si="3561">countif($D707,"*"&amp;AK$2&amp;"*")</f>
        <v>0</v>
      </c>
      <c r="AL707" s="201">
        <f t="shared" si="3561"/>
        <v>0</v>
      </c>
      <c r="AM707" s="201">
        <f t="shared" si="3561"/>
        <v>0</v>
      </c>
      <c r="AN707" s="201">
        <f t="shared" si="3561"/>
        <v>0</v>
      </c>
      <c r="AO707" s="201">
        <f t="shared" si="3561"/>
        <v>0</v>
      </c>
      <c r="AP707" s="201">
        <f t="shared" si="3561"/>
        <v>0</v>
      </c>
      <c r="AQ707" s="201">
        <f t="shared" si="3561"/>
        <v>0</v>
      </c>
      <c r="AR707" s="200">
        <f t="shared" si="3561"/>
        <v>0</v>
      </c>
      <c r="AS707" s="200">
        <f t="shared" si="3561"/>
        <v>0</v>
      </c>
      <c r="AT707" s="173">
        <v>0.0</v>
      </c>
      <c r="AU707" s="200">
        <f t="shared" ref="AU707:AX707" si="3562">countif($D707,"*"&amp;AU$2&amp;"*")</f>
        <v>0</v>
      </c>
      <c r="AV707" s="200">
        <f t="shared" si="3562"/>
        <v>1</v>
      </c>
      <c r="AW707" s="200">
        <f t="shared" si="3562"/>
        <v>0</v>
      </c>
      <c r="AX707" s="200">
        <f t="shared" si="3562"/>
        <v>0</v>
      </c>
      <c r="AY707" s="202">
        <v>0.0</v>
      </c>
      <c r="AZ707" s="200"/>
      <c r="BA707" s="171" t="str">
        <f t="shared" si="18"/>
        <v/>
      </c>
      <c r="BB707" s="171" t="str">
        <f t="shared" si="19"/>
        <v>Code</v>
      </c>
      <c r="BC707" s="171" t="str">
        <f t="shared" si="20"/>
        <v/>
      </c>
      <c r="BD707" s="171" t="str">
        <f t="shared" si="21"/>
        <v/>
      </c>
      <c r="BE707" s="171" t="str">
        <f t="shared" si="22"/>
        <v/>
      </c>
      <c r="BF707" s="171" t="str">
        <f t="shared" si="23"/>
        <v>Code</v>
      </c>
    </row>
    <row r="708">
      <c r="A708" s="171">
        <f t="array" ref="A708">XLOOKUP(C708,ICSE!A:A,ICSE!C:C,,2,1)</f>
        <v>2017</v>
      </c>
      <c r="B708" s="171" t="s">
        <v>5675</v>
      </c>
      <c r="C708" s="160">
        <v>1389.0</v>
      </c>
      <c r="D708" s="161" t="s">
        <v>800</v>
      </c>
      <c r="E708" s="197" t="str">
        <f t="array" ref="E708">XLOOKUP(C708,ICSE!A:A,ICSE!Z:Z,,0,1)</f>
        <v>Publicly available (1)</v>
      </c>
      <c r="F708" s="198" t="s">
        <v>20</v>
      </c>
      <c r="G708" s="163" t="str">
        <f t="array" ref="G708">IF(B708="ICSE",IF(COUNTIFS(B:B,B708,C:C,C708)=XLOOKUP(C708,ICSE!A:A,ICSE!AA:AA,"ERROR",0,1),"OK","ERROR"),IF(B708="FSE",IF(COUNTIFS(B:B,B708,C:C,C708)=XLOOKUP(C708,FSE!A:A,FSE!AA:AA,"ERROR",0,1),"OK","ERROR")))</f>
        <v>OK</v>
      </c>
      <c r="H708" s="199">
        <f t="shared" ref="H708:O708" si="3563">countif($D708,"*"&amp;H$2&amp;"*")</f>
        <v>0</v>
      </c>
      <c r="I708" s="200">
        <f t="shared" si="3563"/>
        <v>0</v>
      </c>
      <c r="J708" s="200">
        <f t="shared" si="3563"/>
        <v>0</v>
      </c>
      <c r="K708" s="200">
        <f t="shared" si="3563"/>
        <v>0</v>
      </c>
      <c r="L708" s="200">
        <f t="shared" si="3563"/>
        <v>0</v>
      </c>
      <c r="M708" s="200">
        <f t="shared" si="3563"/>
        <v>0</v>
      </c>
      <c r="N708" s="200">
        <f t="shared" si="3563"/>
        <v>0</v>
      </c>
      <c r="O708" s="200">
        <f t="shared" si="3563"/>
        <v>0</v>
      </c>
      <c r="P708" s="200">
        <f t="shared" si="9"/>
        <v>1</v>
      </c>
      <c r="Q708" s="200">
        <f t="shared" ref="Q708:AC708" si="3564">countif($D708,"*"&amp;Q$2&amp;"*")</f>
        <v>0</v>
      </c>
      <c r="R708" s="200">
        <f t="shared" si="3564"/>
        <v>0</v>
      </c>
      <c r="S708" s="200">
        <f t="shared" si="3564"/>
        <v>0</v>
      </c>
      <c r="T708" s="200">
        <f t="shared" si="3564"/>
        <v>0</v>
      </c>
      <c r="U708" s="200">
        <f t="shared" si="3564"/>
        <v>0</v>
      </c>
      <c r="V708" s="200">
        <f t="shared" si="3564"/>
        <v>0</v>
      </c>
      <c r="W708" s="200">
        <f t="shared" si="3564"/>
        <v>0</v>
      </c>
      <c r="X708" s="200">
        <f t="shared" si="3564"/>
        <v>0</v>
      </c>
      <c r="Y708" s="200">
        <f t="shared" si="3564"/>
        <v>0</v>
      </c>
      <c r="Z708" s="200">
        <f t="shared" si="3564"/>
        <v>0</v>
      </c>
      <c r="AA708" s="200">
        <f t="shared" si="3564"/>
        <v>0</v>
      </c>
      <c r="AB708" s="200">
        <f t="shared" si="3564"/>
        <v>0</v>
      </c>
      <c r="AC708" s="200">
        <f t="shared" si="3564"/>
        <v>0</v>
      </c>
      <c r="AD708" s="200">
        <f t="shared" si="11"/>
        <v>0</v>
      </c>
      <c r="AE708" s="200">
        <f t="shared" ref="AE708:AG708" si="3565">countif($D708,"*"&amp;AE$2&amp;"*")</f>
        <v>0</v>
      </c>
      <c r="AF708" s="200">
        <f t="shared" si="3565"/>
        <v>0</v>
      </c>
      <c r="AG708" s="200">
        <f t="shared" si="3565"/>
        <v>0</v>
      </c>
      <c r="AH708" s="171">
        <f t="shared" si="13"/>
        <v>0</v>
      </c>
      <c r="AI708" s="200">
        <f t="shared" si="14"/>
        <v>0</v>
      </c>
      <c r="AJ708" s="200">
        <f t="shared" si="3540"/>
        <v>0</v>
      </c>
      <c r="AK708" s="201">
        <f t="shared" ref="AK708:AS708" si="3566">countif($D708,"*"&amp;AK$2&amp;"*")</f>
        <v>0</v>
      </c>
      <c r="AL708" s="201">
        <f t="shared" si="3566"/>
        <v>0</v>
      </c>
      <c r="AM708" s="201">
        <f t="shared" si="3566"/>
        <v>0</v>
      </c>
      <c r="AN708" s="201">
        <f t="shared" si="3566"/>
        <v>0</v>
      </c>
      <c r="AO708" s="201">
        <f t="shared" si="3566"/>
        <v>0</v>
      </c>
      <c r="AP708" s="201">
        <f t="shared" si="3566"/>
        <v>0</v>
      </c>
      <c r="AQ708" s="201">
        <f t="shared" si="3566"/>
        <v>0</v>
      </c>
      <c r="AR708" s="200">
        <f t="shared" si="3566"/>
        <v>0</v>
      </c>
      <c r="AS708" s="200">
        <f t="shared" si="3566"/>
        <v>0</v>
      </c>
      <c r="AT708" s="173">
        <v>0.0</v>
      </c>
      <c r="AU708" s="200">
        <f t="shared" ref="AU708:AX708" si="3567">countif($D708,"*"&amp;AU$2&amp;"*")</f>
        <v>0</v>
      </c>
      <c r="AV708" s="200">
        <f t="shared" si="3567"/>
        <v>1</v>
      </c>
      <c r="AW708" s="200">
        <f t="shared" si="3567"/>
        <v>0</v>
      </c>
      <c r="AX708" s="200">
        <f t="shared" si="3567"/>
        <v>0</v>
      </c>
      <c r="AY708" s="202">
        <v>0.0</v>
      </c>
      <c r="AZ708" s="200"/>
      <c r="BA708" s="171" t="str">
        <f t="shared" si="18"/>
        <v/>
      </c>
      <c r="BB708" s="171" t="str">
        <f t="shared" si="19"/>
        <v>Code</v>
      </c>
      <c r="BC708" s="171" t="str">
        <f t="shared" si="20"/>
        <v/>
      </c>
      <c r="BD708" s="171" t="str">
        <f t="shared" si="21"/>
        <v/>
      </c>
      <c r="BE708" s="171" t="str">
        <f t="shared" si="22"/>
        <v/>
      </c>
      <c r="BF708" s="171" t="str">
        <f t="shared" si="23"/>
        <v>Code</v>
      </c>
    </row>
    <row r="709">
      <c r="A709" s="171">
        <f t="array" ref="A709">XLOOKUP(C709,ICSE!A:A,ICSE!C:C,,2,1)</f>
        <v>2017</v>
      </c>
      <c r="B709" s="171" t="s">
        <v>5675</v>
      </c>
      <c r="C709" s="160">
        <v>1390.0</v>
      </c>
      <c r="D709" s="161" t="s">
        <v>803</v>
      </c>
      <c r="E709" s="197" t="str">
        <f t="array" ref="E709">XLOOKUP(C709,ICSE!A:A,ICSE!Z:Z,,0,1)</f>
        <v>Publicly available (1)</v>
      </c>
      <c r="F709" s="198" t="s">
        <v>20</v>
      </c>
      <c r="G709" s="163" t="str">
        <f t="array" ref="G709">IF(B709="ICSE",IF(COUNTIFS(B:B,B709,C:C,C709)=XLOOKUP(C709,ICSE!A:A,ICSE!AA:AA,"ERROR",0,1),"OK","ERROR"),IF(B709="FSE",IF(COUNTIFS(B:B,B709,C:C,C709)=XLOOKUP(C709,FSE!A:A,FSE!AA:AA,"ERROR",0,1),"OK","ERROR")))</f>
        <v>OK</v>
      </c>
      <c r="H709" s="199">
        <f t="shared" ref="H709:O709" si="3568">countif($D709,"*"&amp;H$2&amp;"*")</f>
        <v>0</v>
      </c>
      <c r="I709" s="200">
        <f t="shared" si="3568"/>
        <v>0</v>
      </c>
      <c r="J709" s="200">
        <f t="shared" si="3568"/>
        <v>0</v>
      </c>
      <c r="K709" s="200">
        <f t="shared" si="3568"/>
        <v>0</v>
      </c>
      <c r="L709" s="200">
        <f t="shared" si="3568"/>
        <v>0</v>
      </c>
      <c r="M709" s="200">
        <f t="shared" si="3568"/>
        <v>0</v>
      </c>
      <c r="N709" s="200">
        <f t="shared" si="3568"/>
        <v>0</v>
      </c>
      <c r="O709" s="200">
        <f t="shared" si="3568"/>
        <v>0</v>
      </c>
      <c r="P709" s="200">
        <f t="shared" si="9"/>
        <v>1</v>
      </c>
      <c r="Q709" s="200">
        <f t="shared" ref="Q709:AC709" si="3569">countif($D709,"*"&amp;Q$2&amp;"*")</f>
        <v>0</v>
      </c>
      <c r="R709" s="200">
        <f t="shared" si="3569"/>
        <v>0</v>
      </c>
      <c r="S709" s="200">
        <f t="shared" si="3569"/>
        <v>0</v>
      </c>
      <c r="T709" s="200">
        <f t="shared" si="3569"/>
        <v>0</v>
      </c>
      <c r="U709" s="200">
        <f t="shared" si="3569"/>
        <v>0</v>
      </c>
      <c r="V709" s="200">
        <f t="shared" si="3569"/>
        <v>0</v>
      </c>
      <c r="W709" s="200">
        <f t="shared" si="3569"/>
        <v>0</v>
      </c>
      <c r="X709" s="200">
        <f t="shared" si="3569"/>
        <v>0</v>
      </c>
      <c r="Y709" s="200">
        <f t="shared" si="3569"/>
        <v>0</v>
      </c>
      <c r="Z709" s="200">
        <f t="shared" si="3569"/>
        <v>0</v>
      </c>
      <c r="AA709" s="200">
        <f t="shared" si="3569"/>
        <v>0</v>
      </c>
      <c r="AB709" s="200">
        <f t="shared" si="3569"/>
        <v>0</v>
      </c>
      <c r="AC709" s="200">
        <f t="shared" si="3569"/>
        <v>0</v>
      </c>
      <c r="AD709" s="200">
        <f t="shared" si="11"/>
        <v>0</v>
      </c>
      <c r="AE709" s="200">
        <f t="shared" ref="AE709:AG709" si="3570">countif($D709,"*"&amp;AE$2&amp;"*")</f>
        <v>0</v>
      </c>
      <c r="AF709" s="200">
        <f t="shared" si="3570"/>
        <v>0</v>
      </c>
      <c r="AG709" s="200">
        <f t="shared" si="3570"/>
        <v>0</v>
      </c>
      <c r="AH709" s="171">
        <f t="shared" si="13"/>
        <v>0</v>
      </c>
      <c r="AI709" s="200">
        <f t="shared" si="14"/>
        <v>0</v>
      </c>
      <c r="AJ709" s="200">
        <f t="shared" si="3540"/>
        <v>0</v>
      </c>
      <c r="AK709" s="201">
        <f t="shared" ref="AK709:AS709" si="3571">countif($D709,"*"&amp;AK$2&amp;"*")</f>
        <v>0</v>
      </c>
      <c r="AL709" s="201">
        <f t="shared" si="3571"/>
        <v>0</v>
      </c>
      <c r="AM709" s="201">
        <f t="shared" si="3571"/>
        <v>0</v>
      </c>
      <c r="AN709" s="201">
        <f t="shared" si="3571"/>
        <v>0</v>
      </c>
      <c r="AO709" s="201">
        <f t="shared" si="3571"/>
        <v>0</v>
      </c>
      <c r="AP709" s="201">
        <f t="shared" si="3571"/>
        <v>0</v>
      </c>
      <c r="AQ709" s="201">
        <f t="shared" si="3571"/>
        <v>0</v>
      </c>
      <c r="AR709" s="200">
        <f t="shared" si="3571"/>
        <v>0</v>
      </c>
      <c r="AS709" s="200">
        <f t="shared" si="3571"/>
        <v>0</v>
      </c>
      <c r="AT709" s="173">
        <v>0.0</v>
      </c>
      <c r="AU709" s="200">
        <f t="shared" ref="AU709:AX709" si="3572">countif($D709,"*"&amp;AU$2&amp;"*")</f>
        <v>0</v>
      </c>
      <c r="AV709" s="200">
        <f t="shared" si="3572"/>
        <v>1</v>
      </c>
      <c r="AW709" s="200">
        <f t="shared" si="3572"/>
        <v>0</v>
      </c>
      <c r="AX709" s="200">
        <f t="shared" si="3572"/>
        <v>0</v>
      </c>
      <c r="AY709" s="202">
        <v>0.0</v>
      </c>
      <c r="AZ709" s="200"/>
      <c r="BA709" s="171" t="str">
        <f t="shared" si="18"/>
        <v/>
      </c>
      <c r="BB709" s="171" t="str">
        <f t="shared" si="19"/>
        <v>Code</v>
      </c>
      <c r="BC709" s="171" t="str">
        <f t="shared" si="20"/>
        <v/>
      </c>
      <c r="BD709" s="171" t="str">
        <f t="shared" si="21"/>
        <v/>
      </c>
      <c r="BE709" s="171" t="str">
        <f t="shared" si="22"/>
        <v/>
      </c>
      <c r="BF709" s="171" t="str">
        <f t="shared" si="23"/>
        <v>Code</v>
      </c>
    </row>
    <row r="710">
      <c r="A710" s="171">
        <f t="array" ref="A710">XLOOKUP(C710,ICSE!A:A,ICSE!C:C,,2,1)</f>
        <v>2017</v>
      </c>
      <c r="B710" s="171" t="s">
        <v>5675</v>
      </c>
      <c r="C710" s="160">
        <v>1391.0</v>
      </c>
      <c r="D710" s="161" t="s">
        <v>806</v>
      </c>
      <c r="E710" s="197" t="str">
        <f t="array" ref="E710">XLOOKUP(C710,ICSE!A:A,ICSE!Z:Z,,0,1)</f>
        <v>Not available (1) - Broken link - File or directory not found.</v>
      </c>
      <c r="F710" s="198" t="s">
        <v>21</v>
      </c>
      <c r="G710" s="163" t="str">
        <f t="array" ref="G710">IF(B710="ICSE",IF(COUNTIFS(B:B,B710,C:C,C710)=XLOOKUP(C710,ICSE!A:A,ICSE!AA:AA,"ERROR",0,1),"OK","ERROR"),IF(B710="FSE",IF(COUNTIFS(B:B,B710,C:C,C710)=XLOOKUP(C710,FSE!A:A,FSE!AA:AA,"ERROR",0,1),"OK","ERROR")))</f>
        <v>OK</v>
      </c>
      <c r="H710" s="199">
        <f t="shared" ref="H710:O710" si="3573">countif($D710,"*"&amp;H$2&amp;"*")</f>
        <v>0</v>
      </c>
      <c r="I710" s="200">
        <f t="shared" si="3573"/>
        <v>0</v>
      </c>
      <c r="J710" s="200">
        <f t="shared" si="3573"/>
        <v>0</v>
      </c>
      <c r="K710" s="200">
        <f t="shared" si="3573"/>
        <v>0</v>
      </c>
      <c r="L710" s="200">
        <f t="shared" si="3573"/>
        <v>0</v>
      </c>
      <c r="M710" s="200">
        <f t="shared" si="3573"/>
        <v>0</v>
      </c>
      <c r="N710" s="200">
        <f t="shared" si="3573"/>
        <v>0</v>
      </c>
      <c r="O710" s="200">
        <f t="shared" si="3573"/>
        <v>0</v>
      </c>
      <c r="P710" s="200">
        <f t="shared" si="9"/>
        <v>0</v>
      </c>
      <c r="Q710" s="200">
        <f t="shared" ref="Q710:AC710" si="3574">countif($D710,"*"&amp;Q$2&amp;"*")</f>
        <v>0</v>
      </c>
      <c r="R710" s="200">
        <f t="shared" si="3574"/>
        <v>0</v>
      </c>
      <c r="S710" s="200">
        <f t="shared" si="3574"/>
        <v>0</v>
      </c>
      <c r="T710" s="200">
        <f t="shared" si="3574"/>
        <v>0</v>
      </c>
      <c r="U710" s="200">
        <f t="shared" si="3574"/>
        <v>0</v>
      </c>
      <c r="V710" s="200">
        <f t="shared" si="3574"/>
        <v>0</v>
      </c>
      <c r="W710" s="200">
        <f t="shared" si="3574"/>
        <v>0</v>
      </c>
      <c r="X710" s="200">
        <f t="shared" si="3574"/>
        <v>0</v>
      </c>
      <c r="Y710" s="200">
        <f t="shared" si="3574"/>
        <v>0</v>
      </c>
      <c r="Z710" s="200">
        <f t="shared" si="3574"/>
        <v>0</v>
      </c>
      <c r="AA710" s="200">
        <f t="shared" si="3574"/>
        <v>0</v>
      </c>
      <c r="AB710" s="200">
        <f t="shared" si="3574"/>
        <v>0</v>
      </c>
      <c r="AC710" s="200">
        <f t="shared" si="3574"/>
        <v>0</v>
      </c>
      <c r="AD710" s="200">
        <f t="shared" si="11"/>
        <v>1</v>
      </c>
      <c r="AE710" s="200">
        <f t="shared" ref="AE710:AG710" si="3575">countif($D710,"*"&amp;AE$2&amp;"*")</f>
        <v>0</v>
      </c>
      <c r="AF710" s="200">
        <f t="shared" si="3575"/>
        <v>0</v>
      </c>
      <c r="AG710" s="200">
        <f t="shared" si="3575"/>
        <v>0</v>
      </c>
      <c r="AH710" s="171">
        <f t="shared" si="13"/>
        <v>0</v>
      </c>
      <c r="AI710" s="200">
        <f t="shared" si="14"/>
        <v>0</v>
      </c>
      <c r="AJ710" s="200">
        <f t="shared" ref="AJ710:AJ711" si="3581">SUM(AK710:AQ710)</f>
        <v>0</v>
      </c>
      <c r="AK710" s="201">
        <f t="shared" ref="AK710:AS710" si="3576">countif($D710,"*"&amp;AK$2&amp;"*")</f>
        <v>0</v>
      </c>
      <c r="AL710" s="201">
        <f t="shared" si="3576"/>
        <v>0</v>
      </c>
      <c r="AM710" s="201">
        <f t="shared" si="3576"/>
        <v>0</v>
      </c>
      <c r="AN710" s="201">
        <f t="shared" si="3576"/>
        <v>0</v>
      </c>
      <c r="AO710" s="201">
        <f t="shared" si="3576"/>
        <v>0</v>
      </c>
      <c r="AP710" s="201">
        <f t="shared" si="3576"/>
        <v>0</v>
      </c>
      <c r="AQ710" s="201">
        <f t="shared" si="3576"/>
        <v>0</v>
      </c>
      <c r="AR710" s="201">
        <f t="shared" si="3576"/>
        <v>0</v>
      </c>
      <c r="AS710" s="200">
        <f t="shared" si="3576"/>
        <v>0</v>
      </c>
      <c r="AT710" s="205">
        <v>0.0</v>
      </c>
      <c r="AU710" s="200">
        <f t="shared" ref="AU710:AX710" si="3577">countif($D710,"*"&amp;AU$2&amp;"*")</f>
        <v>1</v>
      </c>
      <c r="AV710" s="200">
        <f t="shared" si="3577"/>
        <v>0</v>
      </c>
      <c r="AW710" s="200">
        <f t="shared" si="3577"/>
        <v>0</v>
      </c>
      <c r="AX710" s="200">
        <f t="shared" si="3577"/>
        <v>0</v>
      </c>
      <c r="AY710" s="202">
        <v>0.0</v>
      </c>
      <c r="AZ710" s="200"/>
      <c r="BA710" s="171" t="str">
        <f t="shared" si="18"/>
        <v/>
      </c>
      <c r="BB710" s="171" t="str">
        <f t="shared" si="19"/>
        <v/>
      </c>
      <c r="BC710" s="171" t="str">
        <f t="shared" si="20"/>
        <v/>
      </c>
      <c r="BD710" s="171" t="str">
        <f t="shared" si="21"/>
        <v>Institutional</v>
      </c>
      <c r="BE710" s="171" t="str">
        <f t="shared" si="22"/>
        <v/>
      </c>
      <c r="BF710" s="171" t="str">
        <f t="shared" si="23"/>
        <v>Institutional</v>
      </c>
    </row>
    <row r="711">
      <c r="A711" s="171">
        <f t="array" ref="A711">XLOOKUP(C711,ICSE!A:A,ICSE!C:C,,2,1)</f>
        <v>2017</v>
      </c>
      <c r="B711" s="171" t="s">
        <v>5675</v>
      </c>
      <c r="C711" s="160">
        <v>1392.0</v>
      </c>
      <c r="D711" s="161" t="s">
        <v>810</v>
      </c>
      <c r="E711" s="197" t="str">
        <f t="array" ref="E711">XLOOKUP(C711,ICSE!A:A,ICSE!Z:Z,,0,1)</f>
        <v>Not available (1) - Broken link - The requested URL was not found on this server.</v>
      </c>
      <c r="F711" s="198" t="s">
        <v>21</v>
      </c>
      <c r="G711" s="163" t="str">
        <f t="array" ref="G711">IF(B711="ICSE",IF(COUNTIFS(B:B,B711,C:C,C711)=XLOOKUP(C711,ICSE!A:A,ICSE!AA:AA,"ERROR",0,1),"OK","ERROR"),IF(B711="FSE",IF(COUNTIFS(B:B,B711,C:C,C711)=XLOOKUP(C711,FSE!A:A,FSE!AA:AA,"ERROR",0,1),"OK","ERROR")))</f>
        <v>OK</v>
      </c>
      <c r="H711" s="199">
        <f t="shared" ref="H711:O711" si="3578">countif($D711,"*"&amp;H$2&amp;"*")</f>
        <v>0</v>
      </c>
      <c r="I711" s="200">
        <f t="shared" si="3578"/>
        <v>0</v>
      </c>
      <c r="J711" s="200">
        <f t="shared" si="3578"/>
        <v>0</v>
      </c>
      <c r="K711" s="200">
        <f t="shared" si="3578"/>
        <v>0</v>
      </c>
      <c r="L711" s="200">
        <f t="shared" si="3578"/>
        <v>0</v>
      </c>
      <c r="M711" s="200">
        <f t="shared" si="3578"/>
        <v>0</v>
      </c>
      <c r="N711" s="200">
        <f t="shared" si="3578"/>
        <v>0</v>
      </c>
      <c r="O711" s="200">
        <f t="shared" si="3578"/>
        <v>0</v>
      </c>
      <c r="P711" s="200">
        <f t="shared" si="9"/>
        <v>0</v>
      </c>
      <c r="Q711" s="200">
        <f t="shared" ref="Q711:AC711" si="3579">countif($D711,"*"&amp;Q$2&amp;"*")</f>
        <v>0</v>
      </c>
      <c r="R711" s="200">
        <f t="shared" si="3579"/>
        <v>0</v>
      </c>
      <c r="S711" s="200">
        <f t="shared" si="3579"/>
        <v>0</v>
      </c>
      <c r="T711" s="200">
        <f t="shared" si="3579"/>
        <v>0</v>
      </c>
      <c r="U711" s="200">
        <f t="shared" si="3579"/>
        <v>0</v>
      </c>
      <c r="V711" s="200">
        <f t="shared" si="3579"/>
        <v>0</v>
      </c>
      <c r="W711" s="200">
        <f t="shared" si="3579"/>
        <v>0</v>
      </c>
      <c r="X711" s="200">
        <f t="shared" si="3579"/>
        <v>0</v>
      </c>
      <c r="Y711" s="200">
        <f t="shared" si="3579"/>
        <v>0</v>
      </c>
      <c r="Z711" s="200">
        <f t="shared" si="3579"/>
        <v>0</v>
      </c>
      <c r="AA711" s="200">
        <f t="shared" si="3579"/>
        <v>0</v>
      </c>
      <c r="AB711" s="200">
        <f t="shared" si="3579"/>
        <v>0</v>
      </c>
      <c r="AC711" s="200">
        <f t="shared" si="3579"/>
        <v>0</v>
      </c>
      <c r="AD711" s="200">
        <f t="shared" si="11"/>
        <v>1</v>
      </c>
      <c r="AE711" s="200">
        <f t="shared" ref="AE711:AG711" si="3580">countif($D711,"*"&amp;AE$2&amp;"*")</f>
        <v>0</v>
      </c>
      <c r="AF711" s="200">
        <f t="shared" si="3580"/>
        <v>0</v>
      </c>
      <c r="AG711" s="200">
        <f t="shared" si="3580"/>
        <v>0</v>
      </c>
      <c r="AH711" s="171">
        <f t="shared" si="13"/>
        <v>0</v>
      </c>
      <c r="AI711" s="200">
        <f t="shared" si="14"/>
        <v>0</v>
      </c>
      <c r="AJ711" s="200">
        <f t="shared" si="3581"/>
        <v>0</v>
      </c>
      <c r="AK711" s="201">
        <f t="shared" ref="AK711:AS711" si="3582">countif($D711,"*"&amp;AK$2&amp;"*")</f>
        <v>0</v>
      </c>
      <c r="AL711" s="201">
        <f t="shared" si="3582"/>
        <v>0</v>
      </c>
      <c r="AM711" s="201">
        <f t="shared" si="3582"/>
        <v>0</v>
      </c>
      <c r="AN711" s="201">
        <f t="shared" si="3582"/>
        <v>0</v>
      </c>
      <c r="AO711" s="201">
        <f t="shared" si="3582"/>
        <v>0</v>
      </c>
      <c r="AP711" s="201">
        <f t="shared" si="3582"/>
        <v>0</v>
      </c>
      <c r="AQ711" s="201">
        <f t="shared" si="3582"/>
        <v>0</v>
      </c>
      <c r="AR711" s="201">
        <f t="shared" si="3582"/>
        <v>0</v>
      </c>
      <c r="AS711" s="200">
        <f t="shared" si="3582"/>
        <v>0</v>
      </c>
      <c r="AT711" s="205">
        <v>0.0</v>
      </c>
      <c r="AU711" s="200">
        <f t="shared" ref="AU711:AX711" si="3583">countif($D711,"*"&amp;AU$2&amp;"*")</f>
        <v>1</v>
      </c>
      <c r="AV711" s="200">
        <f t="shared" si="3583"/>
        <v>0</v>
      </c>
      <c r="AW711" s="200">
        <f t="shared" si="3583"/>
        <v>0</v>
      </c>
      <c r="AX711" s="200">
        <f t="shared" si="3583"/>
        <v>0</v>
      </c>
      <c r="AY711" s="202">
        <v>0.0</v>
      </c>
      <c r="AZ711" s="200"/>
      <c r="BA711" s="171" t="str">
        <f t="shared" si="18"/>
        <v/>
      </c>
      <c r="BB711" s="171" t="str">
        <f t="shared" si="19"/>
        <v/>
      </c>
      <c r="BC711" s="171" t="str">
        <f t="shared" si="20"/>
        <v/>
      </c>
      <c r="BD711" s="171" t="str">
        <f t="shared" si="21"/>
        <v>Institutional</v>
      </c>
      <c r="BE711" s="171" t="str">
        <f t="shared" si="22"/>
        <v/>
      </c>
      <c r="BF711" s="171" t="str">
        <f t="shared" si="23"/>
        <v>Institutional</v>
      </c>
    </row>
    <row r="712">
      <c r="A712" s="171">
        <f t="array" ref="A712">XLOOKUP(C712,ICSE!A:A,ICSE!C:C,,2,1)</f>
        <v>2017</v>
      </c>
      <c r="B712" s="171" t="s">
        <v>5675</v>
      </c>
      <c r="C712" s="160">
        <v>1393.0</v>
      </c>
      <c r="D712" s="161" t="s">
        <v>813</v>
      </c>
      <c r="E712" s="197" t="str">
        <f t="array" ref="E712">XLOOKUP(C712,ICSE!A:A,ICSE!Z:Z,,0,1)</f>
        <v>Publicly available (1)</v>
      </c>
      <c r="F712" s="198" t="s">
        <v>20</v>
      </c>
      <c r="G712" s="163" t="str">
        <f t="array" ref="G712">IF(B712="ICSE",IF(COUNTIFS(B:B,B712,C:C,C712)=XLOOKUP(C712,ICSE!A:A,ICSE!AA:AA,"ERROR",0,1),"OK","ERROR"),IF(B712="FSE",IF(COUNTIFS(B:B,B712,C:C,C712)=XLOOKUP(C712,FSE!A:A,FSE!AA:AA,"ERROR",0,1),"OK","ERROR")))</f>
        <v>OK</v>
      </c>
      <c r="H712" s="199">
        <f t="shared" ref="H712:O712" si="3584">countif($D712,"*"&amp;H$2&amp;"*")</f>
        <v>0</v>
      </c>
      <c r="I712" s="200">
        <f t="shared" si="3584"/>
        <v>0</v>
      </c>
      <c r="J712" s="200">
        <f t="shared" si="3584"/>
        <v>0</v>
      </c>
      <c r="K712" s="200">
        <f t="shared" si="3584"/>
        <v>0</v>
      </c>
      <c r="L712" s="200">
        <f t="shared" si="3584"/>
        <v>0</v>
      </c>
      <c r="M712" s="200">
        <f t="shared" si="3584"/>
        <v>0</v>
      </c>
      <c r="N712" s="200">
        <f t="shared" si="3584"/>
        <v>0</v>
      </c>
      <c r="O712" s="200">
        <f t="shared" si="3584"/>
        <v>0</v>
      </c>
      <c r="P712" s="200">
        <f t="shared" si="9"/>
        <v>1</v>
      </c>
      <c r="Q712" s="200">
        <f t="shared" ref="Q712:AC712" si="3585">countif($D712,"*"&amp;Q$2&amp;"*")</f>
        <v>0</v>
      </c>
      <c r="R712" s="200">
        <f t="shared" si="3585"/>
        <v>0</v>
      </c>
      <c r="S712" s="200">
        <f t="shared" si="3585"/>
        <v>0</v>
      </c>
      <c r="T712" s="200">
        <f t="shared" si="3585"/>
        <v>0</v>
      </c>
      <c r="U712" s="200">
        <f t="shared" si="3585"/>
        <v>0</v>
      </c>
      <c r="V712" s="200">
        <f t="shared" si="3585"/>
        <v>0</v>
      </c>
      <c r="W712" s="200">
        <f t="shared" si="3585"/>
        <v>0</v>
      </c>
      <c r="X712" s="200">
        <f t="shared" si="3585"/>
        <v>0</v>
      </c>
      <c r="Y712" s="200">
        <f t="shared" si="3585"/>
        <v>0</v>
      </c>
      <c r="Z712" s="200">
        <f t="shared" si="3585"/>
        <v>0</v>
      </c>
      <c r="AA712" s="200">
        <f t="shared" si="3585"/>
        <v>0</v>
      </c>
      <c r="AB712" s="200">
        <f t="shared" si="3585"/>
        <v>0</v>
      </c>
      <c r="AC712" s="200">
        <f t="shared" si="3585"/>
        <v>0</v>
      </c>
      <c r="AD712" s="200">
        <f t="shared" si="11"/>
        <v>0</v>
      </c>
      <c r="AE712" s="200">
        <f t="shared" ref="AE712:AG712" si="3586">countif($D712,"*"&amp;AE$2&amp;"*")</f>
        <v>0</v>
      </c>
      <c r="AF712" s="200">
        <f t="shared" si="3586"/>
        <v>0</v>
      </c>
      <c r="AG712" s="200">
        <f t="shared" si="3586"/>
        <v>0</v>
      </c>
      <c r="AH712" s="171">
        <f t="shared" si="13"/>
        <v>0</v>
      </c>
      <c r="AI712" s="200">
        <f t="shared" si="14"/>
        <v>0</v>
      </c>
      <c r="AJ712" s="200">
        <f t="shared" ref="AJ712:AJ720" si="3592">SUM(AK712:AR712)</f>
        <v>0</v>
      </c>
      <c r="AK712" s="201">
        <f t="shared" ref="AK712:AS712" si="3587">countif($D712,"*"&amp;AK$2&amp;"*")</f>
        <v>0</v>
      </c>
      <c r="AL712" s="201">
        <f t="shared" si="3587"/>
        <v>0</v>
      </c>
      <c r="AM712" s="201">
        <f t="shared" si="3587"/>
        <v>0</v>
      </c>
      <c r="AN712" s="201">
        <f t="shared" si="3587"/>
        <v>0</v>
      </c>
      <c r="AO712" s="201">
        <f t="shared" si="3587"/>
        <v>0</v>
      </c>
      <c r="AP712" s="201">
        <f t="shared" si="3587"/>
        <v>0</v>
      </c>
      <c r="AQ712" s="201">
        <f t="shared" si="3587"/>
        <v>0</v>
      </c>
      <c r="AR712" s="200">
        <f t="shared" si="3587"/>
        <v>0</v>
      </c>
      <c r="AS712" s="200">
        <f t="shared" si="3587"/>
        <v>0</v>
      </c>
      <c r="AT712" s="173">
        <v>0.0</v>
      </c>
      <c r="AU712" s="200">
        <f t="shared" ref="AU712:AX712" si="3588">countif($D712,"*"&amp;AU$2&amp;"*")</f>
        <v>0</v>
      </c>
      <c r="AV712" s="200">
        <f t="shared" si="3588"/>
        <v>1</v>
      </c>
      <c r="AW712" s="200">
        <f t="shared" si="3588"/>
        <v>0</v>
      </c>
      <c r="AX712" s="200">
        <f t="shared" si="3588"/>
        <v>0</v>
      </c>
      <c r="AY712" s="202">
        <v>0.0</v>
      </c>
      <c r="AZ712" s="200"/>
      <c r="BA712" s="171" t="str">
        <f t="shared" si="18"/>
        <v/>
      </c>
      <c r="BB712" s="171" t="str">
        <f t="shared" si="19"/>
        <v>Code</v>
      </c>
      <c r="BC712" s="171" t="str">
        <f t="shared" si="20"/>
        <v/>
      </c>
      <c r="BD712" s="171" t="str">
        <f t="shared" si="21"/>
        <v/>
      </c>
      <c r="BE712" s="171" t="str">
        <f t="shared" si="22"/>
        <v/>
      </c>
      <c r="BF712" s="171" t="str">
        <f t="shared" si="23"/>
        <v>Code</v>
      </c>
    </row>
    <row r="713">
      <c r="A713" s="171">
        <f t="array" ref="A713">XLOOKUP(C713,ICSE!A:A,ICSE!C:C,,2,1)</f>
        <v>2017</v>
      </c>
      <c r="B713" s="171" t="s">
        <v>5675</v>
      </c>
      <c r="C713" s="160">
        <v>1394.0</v>
      </c>
      <c r="D713" s="161" t="s">
        <v>816</v>
      </c>
      <c r="E713" s="197" t="str">
        <f t="array" ref="E713">XLOOKUP(C713,ICSE!A:A,ICSE!Z:Z,,0,1)</f>
        <v>Publicly available (1)</v>
      </c>
      <c r="F713" s="198" t="s">
        <v>20</v>
      </c>
      <c r="G713" s="163" t="str">
        <f t="array" ref="G713">IF(B713="ICSE",IF(COUNTIFS(B:B,B713,C:C,C713)=XLOOKUP(C713,ICSE!A:A,ICSE!AA:AA,"ERROR",0,1),"OK","ERROR"),IF(B713="FSE",IF(COUNTIFS(B:B,B713,C:C,C713)=XLOOKUP(C713,FSE!A:A,FSE!AA:AA,"ERROR",0,1),"OK","ERROR")))</f>
        <v>OK</v>
      </c>
      <c r="H713" s="199">
        <f t="shared" ref="H713:O713" si="3589">countif($D713,"*"&amp;H$2&amp;"*")</f>
        <v>0</v>
      </c>
      <c r="I713" s="200">
        <f t="shared" si="3589"/>
        <v>0</v>
      </c>
      <c r="J713" s="200">
        <f t="shared" si="3589"/>
        <v>0</v>
      </c>
      <c r="K713" s="200">
        <f t="shared" si="3589"/>
        <v>0</v>
      </c>
      <c r="L713" s="200">
        <f t="shared" si="3589"/>
        <v>0</v>
      </c>
      <c r="M713" s="200">
        <f t="shared" si="3589"/>
        <v>0</v>
      </c>
      <c r="N713" s="200">
        <f t="shared" si="3589"/>
        <v>0</v>
      </c>
      <c r="O713" s="200">
        <f t="shared" si="3589"/>
        <v>0</v>
      </c>
      <c r="P713" s="200">
        <f t="shared" si="9"/>
        <v>1</v>
      </c>
      <c r="Q713" s="200">
        <f t="shared" ref="Q713:AC713" si="3590">countif($D713,"*"&amp;Q$2&amp;"*")</f>
        <v>0</v>
      </c>
      <c r="R713" s="200">
        <f t="shared" si="3590"/>
        <v>0</v>
      </c>
      <c r="S713" s="200">
        <f t="shared" si="3590"/>
        <v>0</v>
      </c>
      <c r="T713" s="200">
        <f t="shared" si="3590"/>
        <v>0</v>
      </c>
      <c r="U713" s="200">
        <f t="shared" si="3590"/>
        <v>0</v>
      </c>
      <c r="V713" s="200">
        <f t="shared" si="3590"/>
        <v>0</v>
      </c>
      <c r="W713" s="200">
        <f t="shared" si="3590"/>
        <v>0</v>
      </c>
      <c r="X713" s="200">
        <f t="shared" si="3590"/>
        <v>0</v>
      </c>
      <c r="Y713" s="200">
        <f t="shared" si="3590"/>
        <v>0</v>
      </c>
      <c r="Z713" s="200">
        <f t="shared" si="3590"/>
        <v>0</v>
      </c>
      <c r="AA713" s="200">
        <f t="shared" si="3590"/>
        <v>0</v>
      </c>
      <c r="AB713" s="200">
        <f t="shared" si="3590"/>
        <v>0</v>
      </c>
      <c r="AC713" s="200">
        <f t="shared" si="3590"/>
        <v>0</v>
      </c>
      <c r="AD713" s="200">
        <f t="shared" si="11"/>
        <v>0</v>
      </c>
      <c r="AE713" s="200">
        <f t="shared" ref="AE713:AG713" si="3591">countif($D713,"*"&amp;AE$2&amp;"*")</f>
        <v>0</v>
      </c>
      <c r="AF713" s="200">
        <f t="shared" si="3591"/>
        <v>0</v>
      </c>
      <c r="AG713" s="200">
        <f t="shared" si="3591"/>
        <v>0</v>
      </c>
      <c r="AH713" s="171">
        <f t="shared" si="13"/>
        <v>0</v>
      </c>
      <c r="AI713" s="200">
        <f t="shared" si="14"/>
        <v>0</v>
      </c>
      <c r="AJ713" s="200">
        <f t="shared" si="3592"/>
        <v>0</v>
      </c>
      <c r="AK713" s="201">
        <f t="shared" ref="AK713:AS713" si="3593">countif($D713,"*"&amp;AK$2&amp;"*")</f>
        <v>0</v>
      </c>
      <c r="AL713" s="201">
        <f t="shared" si="3593"/>
        <v>0</v>
      </c>
      <c r="AM713" s="201">
        <f t="shared" si="3593"/>
        <v>0</v>
      </c>
      <c r="AN713" s="201">
        <f t="shared" si="3593"/>
        <v>0</v>
      </c>
      <c r="AO713" s="201">
        <f t="shared" si="3593"/>
        <v>0</v>
      </c>
      <c r="AP713" s="201">
        <f t="shared" si="3593"/>
        <v>0</v>
      </c>
      <c r="AQ713" s="201">
        <f t="shared" si="3593"/>
        <v>0</v>
      </c>
      <c r="AR713" s="200">
        <f t="shared" si="3593"/>
        <v>0</v>
      </c>
      <c r="AS713" s="200">
        <f t="shared" si="3593"/>
        <v>0</v>
      </c>
      <c r="AT713" s="173">
        <v>0.0</v>
      </c>
      <c r="AU713" s="200">
        <f t="shared" ref="AU713:AX713" si="3594">countif($D713,"*"&amp;AU$2&amp;"*")</f>
        <v>0</v>
      </c>
      <c r="AV713" s="200">
        <f t="shared" si="3594"/>
        <v>1</v>
      </c>
      <c r="AW713" s="200">
        <f t="shared" si="3594"/>
        <v>0</v>
      </c>
      <c r="AX713" s="200">
        <f t="shared" si="3594"/>
        <v>0</v>
      </c>
      <c r="AY713" s="202">
        <v>0.0</v>
      </c>
      <c r="AZ713" s="200"/>
      <c r="BA713" s="171" t="str">
        <f t="shared" si="18"/>
        <v/>
      </c>
      <c r="BB713" s="171" t="str">
        <f t="shared" si="19"/>
        <v>Code</v>
      </c>
      <c r="BC713" s="171" t="str">
        <f t="shared" si="20"/>
        <v/>
      </c>
      <c r="BD713" s="171" t="str">
        <f t="shared" si="21"/>
        <v/>
      </c>
      <c r="BE713" s="171" t="str">
        <f t="shared" si="22"/>
        <v/>
      </c>
      <c r="BF713" s="171" t="str">
        <f t="shared" si="23"/>
        <v>Code</v>
      </c>
    </row>
    <row r="714">
      <c r="A714" s="171">
        <f t="array" ref="A714">XLOOKUP(C714,ICSE!A:A,ICSE!C:C,,2,1)</f>
        <v>2017</v>
      </c>
      <c r="B714" s="171" t="s">
        <v>5675</v>
      </c>
      <c r="C714" s="160">
        <v>1395.0</v>
      </c>
      <c r="D714" s="161" t="s">
        <v>820</v>
      </c>
      <c r="E714" s="197" t="str">
        <f t="array" ref="E714">XLOOKUP(C714,ICSE!A:A,ICSE!Z:Z,,0,1)</f>
        <v>Not available (1) - Broken link.</v>
      </c>
      <c r="F714" s="198" t="s">
        <v>21</v>
      </c>
      <c r="G714" s="163" t="str">
        <f t="array" ref="G714">IF(B714="ICSE",IF(COUNTIFS(B:B,B714,C:C,C714)=XLOOKUP(C714,ICSE!A:A,ICSE!AA:AA,"ERROR",0,1),"OK","ERROR"),IF(B714="FSE",IF(COUNTIFS(B:B,B714,C:C,C714)=XLOOKUP(C714,FSE!A:A,FSE!AA:AA,"ERROR",0,1),"OK","ERROR")))</f>
        <v>OK</v>
      </c>
      <c r="H714" s="199">
        <f t="shared" ref="H714:O714" si="3595">countif($D714,"*"&amp;H$2&amp;"*")</f>
        <v>0</v>
      </c>
      <c r="I714" s="200">
        <f t="shared" si="3595"/>
        <v>0</v>
      </c>
      <c r="J714" s="200">
        <f t="shared" si="3595"/>
        <v>0</v>
      </c>
      <c r="K714" s="200">
        <f t="shared" si="3595"/>
        <v>0</v>
      </c>
      <c r="L714" s="200">
        <f t="shared" si="3595"/>
        <v>0</v>
      </c>
      <c r="M714" s="200">
        <f t="shared" si="3595"/>
        <v>0</v>
      </c>
      <c r="N714" s="200">
        <f t="shared" si="3595"/>
        <v>0</v>
      </c>
      <c r="O714" s="200">
        <f t="shared" si="3595"/>
        <v>0</v>
      </c>
      <c r="P714" s="200">
        <f t="shared" si="9"/>
        <v>0</v>
      </c>
      <c r="Q714" s="200">
        <f t="shared" ref="Q714:AC714" si="3596">countif($D714,"*"&amp;Q$2&amp;"*")</f>
        <v>0</v>
      </c>
      <c r="R714" s="200">
        <f t="shared" si="3596"/>
        <v>0</v>
      </c>
      <c r="S714" s="200">
        <f t="shared" si="3596"/>
        <v>0</v>
      </c>
      <c r="T714" s="200">
        <f t="shared" si="3596"/>
        <v>0</v>
      </c>
      <c r="U714" s="200">
        <f t="shared" si="3596"/>
        <v>0</v>
      </c>
      <c r="V714" s="200">
        <f t="shared" si="3596"/>
        <v>0</v>
      </c>
      <c r="W714" s="200">
        <f t="shared" si="3596"/>
        <v>0</v>
      </c>
      <c r="X714" s="200">
        <f t="shared" si="3596"/>
        <v>0</v>
      </c>
      <c r="Y714" s="200">
        <f t="shared" si="3596"/>
        <v>0</v>
      </c>
      <c r="Z714" s="200">
        <f t="shared" si="3596"/>
        <v>0</v>
      </c>
      <c r="AA714" s="200">
        <f t="shared" si="3596"/>
        <v>1</v>
      </c>
      <c r="AB714" s="200">
        <f t="shared" si="3596"/>
        <v>0</v>
      </c>
      <c r="AC714" s="200">
        <f t="shared" si="3596"/>
        <v>0</v>
      </c>
      <c r="AD714" s="200">
        <f t="shared" si="11"/>
        <v>0</v>
      </c>
      <c r="AE714" s="200">
        <f t="shared" ref="AE714:AG714" si="3597">countif($D714,"*"&amp;AE$2&amp;"*")</f>
        <v>0</v>
      </c>
      <c r="AF714" s="200">
        <f t="shared" si="3597"/>
        <v>0</v>
      </c>
      <c r="AG714" s="200">
        <f t="shared" si="3597"/>
        <v>0</v>
      </c>
      <c r="AH714" s="171">
        <f t="shared" si="13"/>
        <v>0</v>
      </c>
      <c r="AI714" s="200">
        <f t="shared" si="14"/>
        <v>0</v>
      </c>
      <c r="AJ714" s="200">
        <f t="shared" si="3592"/>
        <v>0</v>
      </c>
      <c r="AK714" s="201">
        <f t="shared" ref="AK714:AS714" si="3598">countif($D714,"*"&amp;AK$2&amp;"*")</f>
        <v>0</v>
      </c>
      <c r="AL714" s="201">
        <f t="shared" si="3598"/>
        <v>0</v>
      </c>
      <c r="AM714" s="201">
        <f t="shared" si="3598"/>
        <v>0</v>
      </c>
      <c r="AN714" s="201">
        <f t="shared" si="3598"/>
        <v>0</v>
      </c>
      <c r="AO714" s="201">
        <f t="shared" si="3598"/>
        <v>0</v>
      </c>
      <c r="AP714" s="201">
        <f t="shared" si="3598"/>
        <v>0</v>
      </c>
      <c r="AQ714" s="201">
        <f t="shared" si="3598"/>
        <v>0</v>
      </c>
      <c r="AR714" s="200">
        <f t="shared" si="3598"/>
        <v>0</v>
      </c>
      <c r="AS714" s="200">
        <f t="shared" si="3598"/>
        <v>0</v>
      </c>
      <c r="AT714" s="173">
        <v>0.0</v>
      </c>
      <c r="AU714" s="200">
        <f t="shared" ref="AU714:AX714" si="3599">countif($D714,"*"&amp;AU$2&amp;"*")</f>
        <v>0</v>
      </c>
      <c r="AV714" s="200">
        <f t="shared" si="3599"/>
        <v>0</v>
      </c>
      <c r="AW714" s="200">
        <f t="shared" si="3599"/>
        <v>0</v>
      </c>
      <c r="AX714" s="200">
        <f t="shared" si="3599"/>
        <v>0</v>
      </c>
      <c r="AY714" s="202">
        <v>0.0</v>
      </c>
      <c r="AZ714" s="200"/>
      <c r="BA714" s="171" t="str">
        <f t="shared" si="18"/>
        <v/>
      </c>
      <c r="BB714" s="171" t="str">
        <f t="shared" si="19"/>
        <v/>
      </c>
      <c r="BC714" s="171" t="str">
        <f t="shared" si="20"/>
        <v>General-purpose</v>
      </c>
      <c r="BD714" s="171" t="str">
        <f t="shared" si="21"/>
        <v/>
      </c>
      <c r="BE714" s="171" t="str">
        <f t="shared" si="22"/>
        <v/>
      </c>
      <c r="BF714" s="171" t="str">
        <f t="shared" si="23"/>
        <v>General-purpose</v>
      </c>
    </row>
    <row r="715">
      <c r="A715" s="171">
        <f t="array" ref="A715">XLOOKUP(C715,ICSE!A:A,ICSE!C:C,,2,1)</f>
        <v>2017</v>
      </c>
      <c r="B715" s="171" t="s">
        <v>5675</v>
      </c>
      <c r="C715" s="160">
        <v>1397.0</v>
      </c>
      <c r="D715" s="161" t="s">
        <v>5977</v>
      </c>
      <c r="E715" s="197" t="str">
        <f t="array" ref="E715">XLOOKUP(C715,ICSE!A:A,ICSE!Z:Z,,0,1)</f>
        <v>Publicly available (1)
Not available (2) - Broken link.</v>
      </c>
      <c r="F715" s="198" t="s">
        <v>20</v>
      </c>
      <c r="G715" s="163" t="str">
        <f t="array" ref="G715">IF(B715="ICSE",IF(COUNTIFS(B:B,B715,C:C,C715)=XLOOKUP(C715,ICSE!A:A,ICSE!AA:AA,"ERROR",0,1),"OK","ERROR"),IF(B715="FSE",IF(COUNTIFS(B:B,B715,C:C,C715)=XLOOKUP(C715,FSE!A:A,FSE!AA:AA,"ERROR",0,1),"OK","ERROR")))</f>
        <v>OK</v>
      </c>
      <c r="H715" s="199">
        <f t="shared" ref="H715:O715" si="3600">countif($D715,"*"&amp;H$2&amp;"*")</f>
        <v>0</v>
      </c>
      <c r="I715" s="200">
        <f t="shared" si="3600"/>
        <v>0</v>
      </c>
      <c r="J715" s="200">
        <f t="shared" si="3600"/>
        <v>0</v>
      </c>
      <c r="K715" s="200">
        <f t="shared" si="3600"/>
        <v>0</v>
      </c>
      <c r="L715" s="200">
        <f t="shared" si="3600"/>
        <v>0</v>
      </c>
      <c r="M715" s="200">
        <f t="shared" si="3600"/>
        <v>0</v>
      </c>
      <c r="N715" s="200">
        <f t="shared" si="3600"/>
        <v>0</v>
      </c>
      <c r="O715" s="200">
        <f t="shared" si="3600"/>
        <v>0</v>
      </c>
      <c r="P715" s="200">
        <f t="shared" si="9"/>
        <v>1</v>
      </c>
      <c r="Q715" s="200">
        <f t="shared" ref="Q715:AC715" si="3601">countif($D715,"*"&amp;Q$2&amp;"*")</f>
        <v>0</v>
      </c>
      <c r="R715" s="200">
        <f t="shared" si="3601"/>
        <v>0</v>
      </c>
      <c r="S715" s="200">
        <f t="shared" si="3601"/>
        <v>0</v>
      </c>
      <c r="T715" s="200">
        <f t="shared" si="3601"/>
        <v>0</v>
      </c>
      <c r="U715" s="200">
        <f t="shared" si="3601"/>
        <v>0</v>
      </c>
      <c r="V715" s="200">
        <f t="shared" si="3601"/>
        <v>0</v>
      </c>
      <c r="W715" s="200">
        <f t="shared" si="3601"/>
        <v>0</v>
      </c>
      <c r="X715" s="200">
        <f t="shared" si="3601"/>
        <v>0</v>
      </c>
      <c r="Y715" s="200">
        <f t="shared" si="3601"/>
        <v>0</v>
      </c>
      <c r="Z715" s="200">
        <f t="shared" si="3601"/>
        <v>0</v>
      </c>
      <c r="AA715" s="200">
        <f t="shared" si="3601"/>
        <v>0</v>
      </c>
      <c r="AB715" s="200">
        <f t="shared" si="3601"/>
        <v>0</v>
      </c>
      <c r="AC715" s="200">
        <f t="shared" si="3601"/>
        <v>0</v>
      </c>
      <c r="AD715" s="200">
        <f t="shared" si="11"/>
        <v>0</v>
      </c>
      <c r="AE715" s="200">
        <f t="shared" ref="AE715:AG715" si="3602">countif($D715,"*"&amp;AE$2&amp;"*")</f>
        <v>0</v>
      </c>
      <c r="AF715" s="200">
        <f t="shared" si="3602"/>
        <v>0</v>
      </c>
      <c r="AG715" s="200">
        <f t="shared" si="3602"/>
        <v>0</v>
      </c>
      <c r="AH715" s="171">
        <f t="shared" si="13"/>
        <v>0</v>
      </c>
      <c r="AI715" s="200">
        <f t="shared" si="14"/>
        <v>0</v>
      </c>
      <c r="AJ715" s="200">
        <f t="shared" si="3592"/>
        <v>0</v>
      </c>
      <c r="AK715" s="201">
        <f t="shared" ref="AK715:AS715" si="3603">countif($D715,"*"&amp;AK$2&amp;"*")</f>
        <v>0</v>
      </c>
      <c r="AL715" s="201">
        <f t="shared" si="3603"/>
        <v>0</v>
      </c>
      <c r="AM715" s="201">
        <f t="shared" si="3603"/>
        <v>0</v>
      </c>
      <c r="AN715" s="201">
        <f t="shared" si="3603"/>
        <v>0</v>
      </c>
      <c r="AO715" s="201">
        <f t="shared" si="3603"/>
        <v>0</v>
      </c>
      <c r="AP715" s="201">
        <f t="shared" si="3603"/>
        <v>0</v>
      </c>
      <c r="AQ715" s="201">
        <f t="shared" si="3603"/>
        <v>0</v>
      </c>
      <c r="AR715" s="200">
        <f t="shared" si="3603"/>
        <v>0</v>
      </c>
      <c r="AS715" s="200">
        <f t="shared" si="3603"/>
        <v>0</v>
      </c>
      <c r="AT715" s="173">
        <v>0.0</v>
      </c>
      <c r="AU715" s="200">
        <f t="shared" ref="AU715:AX715" si="3604">countif($D715,"*"&amp;AU$2&amp;"*")</f>
        <v>0</v>
      </c>
      <c r="AV715" s="200">
        <f t="shared" si="3604"/>
        <v>1</v>
      </c>
      <c r="AW715" s="200">
        <f t="shared" si="3604"/>
        <v>0</v>
      </c>
      <c r="AX715" s="200">
        <f t="shared" si="3604"/>
        <v>0</v>
      </c>
      <c r="AY715" s="202">
        <v>0.0</v>
      </c>
      <c r="AZ715" s="200"/>
      <c r="BA715" s="171" t="str">
        <f t="shared" si="18"/>
        <v/>
      </c>
      <c r="BB715" s="171" t="str">
        <f t="shared" si="19"/>
        <v>Code</v>
      </c>
      <c r="BC715" s="171" t="str">
        <f t="shared" si="20"/>
        <v/>
      </c>
      <c r="BD715" s="171" t="str">
        <f t="shared" si="21"/>
        <v/>
      </c>
      <c r="BE715" s="171" t="str">
        <f t="shared" si="22"/>
        <v/>
      </c>
      <c r="BF715" s="171" t="str">
        <f t="shared" si="23"/>
        <v>Code</v>
      </c>
    </row>
    <row r="716">
      <c r="A716" s="171">
        <f t="array" ref="A716">XLOOKUP(C716,ICSE!A:A,ICSE!C:C,,2,1)</f>
        <v>2017</v>
      </c>
      <c r="B716" s="171" t="s">
        <v>5675</v>
      </c>
      <c r="C716" s="160">
        <v>1397.0</v>
      </c>
      <c r="D716" s="161" t="s">
        <v>5978</v>
      </c>
      <c r="E716" s="197" t="str">
        <f t="array" ref="E716">XLOOKUP(C716,ICSE!A:A,ICSE!Z:Z,,0,1)</f>
        <v>Publicly available (1)
Not available (2) - Broken link.</v>
      </c>
      <c r="F716" s="198" t="s">
        <v>21</v>
      </c>
      <c r="G716" s="163" t="str">
        <f t="array" ref="G716">IF(B716="ICSE",IF(COUNTIFS(B:B,B716,C:C,C716)=XLOOKUP(C716,ICSE!A:A,ICSE!AA:AA,"ERROR",0,1),"OK","ERROR"),IF(B716="FSE",IF(COUNTIFS(B:B,B716,C:C,C716)=XLOOKUP(C716,FSE!A:A,FSE!AA:AA,"ERROR",0,1),"OK","ERROR")))</f>
        <v>OK</v>
      </c>
      <c r="H716" s="199">
        <f t="shared" ref="H716:O716" si="3605">countif($D716,"*"&amp;H$2&amp;"*")</f>
        <v>0</v>
      </c>
      <c r="I716" s="200">
        <f t="shared" si="3605"/>
        <v>0</v>
      </c>
      <c r="J716" s="200">
        <f t="shared" si="3605"/>
        <v>0</v>
      </c>
      <c r="K716" s="200">
        <f t="shared" si="3605"/>
        <v>0</v>
      </c>
      <c r="L716" s="200">
        <f t="shared" si="3605"/>
        <v>0</v>
      </c>
      <c r="M716" s="200">
        <f t="shared" si="3605"/>
        <v>0</v>
      </c>
      <c r="N716" s="200">
        <f t="shared" si="3605"/>
        <v>0</v>
      </c>
      <c r="O716" s="200">
        <f t="shared" si="3605"/>
        <v>0</v>
      </c>
      <c r="P716" s="200">
        <f t="shared" si="9"/>
        <v>0</v>
      </c>
      <c r="Q716" s="200">
        <f t="shared" ref="Q716:AC716" si="3606">countif($D716,"*"&amp;Q$2&amp;"*")</f>
        <v>0</v>
      </c>
      <c r="R716" s="200">
        <f t="shared" si="3606"/>
        <v>0</v>
      </c>
      <c r="S716" s="200">
        <f t="shared" si="3606"/>
        <v>0</v>
      </c>
      <c r="T716" s="200">
        <f t="shared" si="3606"/>
        <v>0</v>
      </c>
      <c r="U716" s="200">
        <f t="shared" si="3606"/>
        <v>0</v>
      </c>
      <c r="V716" s="200">
        <f t="shared" si="3606"/>
        <v>0</v>
      </c>
      <c r="W716" s="200">
        <f t="shared" si="3606"/>
        <v>0</v>
      </c>
      <c r="X716" s="200">
        <f t="shared" si="3606"/>
        <v>0</v>
      </c>
      <c r="Y716" s="200">
        <f t="shared" si="3606"/>
        <v>0</v>
      </c>
      <c r="Z716" s="200">
        <f t="shared" si="3606"/>
        <v>0</v>
      </c>
      <c r="AA716" s="200">
        <f t="shared" si="3606"/>
        <v>0</v>
      </c>
      <c r="AB716" s="200">
        <f t="shared" si="3606"/>
        <v>0</v>
      </c>
      <c r="AC716" s="200">
        <f t="shared" si="3606"/>
        <v>0</v>
      </c>
      <c r="AD716" s="200">
        <f t="shared" si="11"/>
        <v>0</v>
      </c>
      <c r="AE716" s="200">
        <f t="shared" ref="AE716:AG716" si="3607">countif($D716,"*"&amp;AE$2&amp;"*")</f>
        <v>0</v>
      </c>
      <c r="AF716" s="200">
        <f t="shared" si="3607"/>
        <v>0</v>
      </c>
      <c r="AG716" s="200">
        <f t="shared" si="3607"/>
        <v>0</v>
      </c>
      <c r="AH716" s="171">
        <f t="shared" si="13"/>
        <v>1</v>
      </c>
      <c r="AI716" s="200">
        <f t="shared" si="14"/>
        <v>0</v>
      </c>
      <c r="AJ716" s="200">
        <f t="shared" si="3592"/>
        <v>0</v>
      </c>
      <c r="AK716" s="201">
        <f t="shared" ref="AK716:AS716" si="3608">countif($D716,"*"&amp;AK$2&amp;"*")</f>
        <v>0</v>
      </c>
      <c r="AL716" s="201">
        <f t="shared" si="3608"/>
        <v>0</v>
      </c>
      <c r="AM716" s="201">
        <f t="shared" si="3608"/>
        <v>0</v>
      </c>
      <c r="AN716" s="201">
        <f t="shared" si="3608"/>
        <v>0</v>
      </c>
      <c r="AO716" s="201">
        <f t="shared" si="3608"/>
        <v>0</v>
      </c>
      <c r="AP716" s="201">
        <f t="shared" si="3608"/>
        <v>0</v>
      </c>
      <c r="AQ716" s="201">
        <f t="shared" si="3608"/>
        <v>0</v>
      </c>
      <c r="AR716" s="200">
        <f t="shared" si="3608"/>
        <v>0</v>
      </c>
      <c r="AS716" s="200">
        <f t="shared" si="3608"/>
        <v>0</v>
      </c>
      <c r="AT716" s="173">
        <v>0.0</v>
      </c>
      <c r="AU716" s="200">
        <f t="shared" ref="AU716:AX716" si="3609">countif($D716,"*"&amp;AU$2&amp;"*")</f>
        <v>0</v>
      </c>
      <c r="AV716" s="200">
        <f t="shared" si="3609"/>
        <v>0</v>
      </c>
      <c r="AW716" s="200">
        <f t="shared" si="3609"/>
        <v>0</v>
      </c>
      <c r="AX716" s="200">
        <f t="shared" si="3609"/>
        <v>0</v>
      </c>
      <c r="AY716" s="202">
        <v>0.0</v>
      </c>
      <c r="AZ716" s="200"/>
      <c r="BA716" s="171" t="str">
        <f t="shared" si="18"/>
        <v/>
      </c>
      <c r="BB716" s="171" t="str">
        <f t="shared" si="19"/>
        <v/>
      </c>
      <c r="BC716" s="171" t="str">
        <f t="shared" si="20"/>
        <v/>
      </c>
      <c r="BD716" s="171" t="str">
        <f t="shared" si="21"/>
        <v/>
      </c>
      <c r="BE716" s="171" t="str">
        <f t="shared" si="22"/>
        <v>Others</v>
      </c>
      <c r="BF716" s="171" t="str">
        <f t="shared" si="23"/>
        <v>Others</v>
      </c>
    </row>
    <row r="717">
      <c r="A717" s="171">
        <f t="array" ref="A717">XLOOKUP(C717,ICSE!A:A,ICSE!C:C,,2,1)</f>
        <v>2017</v>
      </c>
      <c r="B717" s="171" t="s">
        <v>5675</v>
      </c>
      <c r="C717" s="160">
        <v>1397.0</v>
      </c>
      <c r="D717" s="161" t="s">
        <v>5979</v>
      </c>
      <c r="E717" s="197" t="str">
        <f t="array" ref="E717">XLOOKUP(C717,ICSE!A:A,ICSE!Z:Z,,0,1)</f>
        <v>Publicly available (1)
Not available (2) - Broken link.</v>
      </c>
      <c r="F717" s="198" t="s">
        <v>21</v>
      </c>
      <c r="G717" s="163" t="str">
        <f t="array" ref="G717">IF(B717="ICSE",IF(COUNTIFS(B:B,B717,C:C,C717)=XLOOKUP(C717,ICSE!A:A,ICSE!AA:AA,"ERROR",0,1),"OK","ERROR"),IF(B717="FSE",IF(COUNTIFS(B:B,B717,C:C,C717)=XLOOKUP(C717,FSE!A:A,FSE!AA:AA,"ERROR",0,1),"OK","ERROR")))</f>
        <v>OK</v>
      </c>
      <c r="H717" s="199">
        <f t="shared" ref="H717:O717" si="3610">countif($D717,"*"&amp;H$2&amp;"*")</f>
        <v>0</v>
      </c>
      <c r="I717" s="200">
        <f t="shared" si="3610"/>
        <v>0</v>
      </c>
      <c r="J717" s="200">
        <f t="shared" si="3610"/>
        <v>0</v>
      </c>
      <c r="K717" s="200">
        <f t="shared" si="3610"/>
        <v>0</v>
      </c>
      <c r="L717" s="200">
        <f t="shared" si="3610"/>
        <v>0</v>
      </c>
      <c r="M717" s="200">
        <f t="shared" si="3610"/>
        <v>0</v>
      </c>
      <c r="N717" s="200">
        <f t="shared" si="3610"/>
        <v>0</v>
      </c>
      <c r="O717" s="200">
        <f t="shared" si="3610"/>
        <v>0</v>
      </c>
      <c r="P717" s="200">
        <f t="shared" si="9"/>
        <v>0</v>
      </c>
      <c r="Q717" s="200">
        <f t="shared" ref="Q717:AC717" si="3611">countif($D717,"*"&amp;Q$2&amp;"*")</f>
        <v>0</v>
      </c>
      <c r="R717" s="200">
        <f t="shared" si="3611"/>
        <v>0</v>
      </c>
      <c r="S717" s="200">
        <f t="shared" si="3611"/>
        <v>0</v>
      </c>
      <c r="T717" s="200">
        <f t="shared" si="3611"/>
        <v>0</v>
      </c>
      <c r="U717" s="200">
        <f t="shared" si="3611"/>
        <v>0</v>
      </c>
      <c r="V717" s="200">
        <f t="shared" si="3611"/>
        <v>0</v>
      </c>
      <c r="W717" s="200">
        <f t="shared" si="3611"/>
        <v>0</v>
      </c>
      <c r="X717" s="200">
        <f t="shared" si="3611"/>
        <v>0</v>
      </c>
      <c r="Y717" s="200">
        <f t="shared" si="3611"/>
        <v>0</v>
      </c>
      <c r="Z717" s="200">
        <f t="shared" si="3611"/>
        <v>0</v>
      </c>
      <c r="AA717" s="200">
        <f t="shared" si="3611"/>
        <v>0</v>
      </c>
      <c r="AB717" s="200">
        <f t="shared" si="3611"/>
        <v>0</v>
      </c>
      <c r="AC717" s="200">
        <f t="shared" si="3611"/>
        <v>0</v>
      </c>
      <c r="AD717" s="200">
        <f t="shared" si="11"/>
        <v>0</v>
      </c>
      <c r="AE717" s="200">
        <f t="shared" ref="AE717:AG717" si="3612">countif($D717,"*"&amp;AE$2&amp;"*")</f>
        <v>0</v>
      </c>
      <c r="AF717" s="200">
        <f t="shared" si="3612"/>
        <v>0</v>
      </c>
      <c r="AG717" s="200">
        <f t="shared" si="3612"/>
        <v>0</v>
      </c>
      <c r="AH717" s="171">
        <f t="shared" si="13"/>
        <v>1</v>
      </c>
      <c r="AI717" s="200">
        <f t="shared" si="14"/>
        <v>0</v>
      </c>
      <c r="AJ717" s="200">
        <f t="shared" si="3592"/>
        <v>0</v>
      </c>
      <c r="AK717" s="201">
        <f t="shared" ref="AK717:AS717" si="3613">countif($D717,"*"&amp;AK$2&amp;"*")</f>
        <v>0</v>
      </c>
      <c r="AL717" s="201">
        <f t="shared" si="3613"/>
        <v>0</v>
      </c>
      <c r="AM717" s="201">
        <f t="shared" si="3613"/>
        <v>0</v>
      </c>
      <c r="AN717" s="201">
        <f t="shared" si="3613"/>
        <v>0</v>
      </c>
      <c r="AO717" s="201">
        <f t="shared" si="3613"/>
        <v>0</v>
      </c>
      <c r="AP717" s="201">
        <f t="shared" si="3613"/>
        <v>0</v>
      </c>
      <c r="AQ717" s="201">
        <f t="shared" si="3613"/>
        <v>0</v>
      </c>
      <c r="AR717" s="200">
        <f t="shared" si="3613"/>
        <v>0</v>
      </c>
      <c r="AS717" s="200">
        <f t="shared" si="3613"/>
        <v>0</v>
      </c>
      <c r="AT717" s="173">
        <v>0.0</v>
      </c>
      <c r="AU717" s="200">
        <f t="shared" ref="AU717:AX717" si="3614">countif($D717,"*"&amp;AU$2&amp;"*")</f>
        <v>0</v>
      </c>
      <c r="AV717" s="200">
        <f t="shared" si="3614"/>
        <v>0</v>
      </c>
      <c r="AW717" s="200">
        <f t="shared" si="3614"/>
        <v>0</v>
      </c>
      <c r="AX717" s="200">
        <f t="shared" si="3614"/>
        <v>0</v>
      </c>
      <c r="AY717" s="202">
        <v>0.0</v>
      </c>
      <c r="AZ717" s="200"/>
      <c r="BA717" s="171" t="str">
        <f t="shared" si="18"/>
        <v/>
      </c>
      <c r="BB717" s="171" t="str">
        <f t="shared" si="19"/>
        <v/>
      </c>
      <c r="BC717" s="171" t="str">
        <f t="shared" si="20"/>
        <v/>
      </c>
      <c r="BD717" s="171" t="str">
        <f t="shared" si="21"/>
        <v/>
      </c>
      <c r="BE717" s="171" t="str">
        <f t="shared" si="22"/>
        <v>Others</v>
      </c>
      <c r="BF717" s="171" t="str">
        <f t="shared" si="23"/>
        <v>Others</v>
      </c>
    </row>
    <row r="718">
      <c r="A718" s="171">
        <f t="array" ref="A718">XLOOKUP(C718,ICSE!A:A,ICSE!C:C,,2,1)</f>
        <v>2017</v>
      </c>
      <c r="B718" s="171" t="s">
        <v>5675</v>
      </c>
      <c r="C718" s="160">
        <v>1398.0</v>
      </c>
      <c r="D718" s="161" t="s">
        <v>5980</v>
      </c>
      <c r="E718" s="197" t="str">
        <f t="array" ref="E718">XLOOKUP(C718,ICSE!A:A,ICSE!Z:Z,,0,1)</f>
        <v>Publicly available (3)</v>
      </c>
      <c r="F718" s="198" t="s">
        <v>20</v>
      </c>
      <c r="G718" s="163" t="str">
        <f t="array" ref="G718">IF(B718="ICSE",IF(COUNTIFS(B:B,B718,C:C,C718)=XLOOKUP(C718,ICSE!A:A,ICSE!AA:AA,"ERROR",0,1),"OK","ERROR"),IF(B718="FSE",IF(COUNTIFS(B:B,B718,C:C,C718)=XLOOKUP(C718,FSE!A:A,FSE!AA:AA,"ERROR",0,1),"OK","ERROR")))</f>
        <v>OK</v>
      </c>
      <c r="H718" s="199">
        <f t="shared" ref="H718:O718" si="3615">countif($D718,"*"&amp;H$2&amp;"*")</f>
        <v>0</v>
      </c>
      <c r="I718" s="200">
        <f t="shared" si="3615"/>
        <v>0</v>
      </c>
      <c r="J718" s="200">
        <f t="shared" si="3615"/>
        <v>0</v>
      </c>
      <c r="K718" s="200">
        <f t="shared" si="3615"/>
        <v>0</v>
      </c>
      <c r="L718" s="200">
        <f t="shared" si="3615"/>
        <v>0</v>
      </c>
      <c r="M718" s="200">
        <f t="shared" si="3615"/>
        <v>0</v>
      </c>
      <c r="N718" s="200">
        <f t="shared" si="3615"/>
        <v>0</v>
      </c>
      <c r="O718" s="200">
        <f t="shared" si="3615"/>
        <v>0</v>
      </c>
      <c r="P718" s="200">
        <f t="shared" si="9"/>
        <v>0</v>
      </c>
      <c r="Q718" s="200">
        <f t="shared" ref="Q718:AC718" si="3616">countif($D718,"*"&amp;Q$2&amp;"*")</f>
        <v>0</v>
      </c>
      <c r="R718" s="200">
        <f t="shared" si="3616"/>
        <v>0</v>
      </c>
      <c r="S718" s="200">
        <f t="shared" si="3616"/>
        <v>0</v>
      </c>
      <c r="T718" s="200">
        <f t="shared" si="3616"/>
        <v>0</v>
      </c>
      <c r="U718" s="200">
        <f t="shared" si="3616"/>
        <v>0</v>
      </c>
      <c r="V718" s="200">
        <f t="shared" si="3616"/>
        <v>0</v>
      </c>
      <c r="W718" s="200">
        <f t="shared" si="3616"/>
        <v>0</v>
      </c>
      <c r="X718" s="200">
        <f t="shared" si="3616"/>
        <v>0</v>
      </c>
      <c r="Y718" s="200">
        <f t="shared" si="3616"/>
        <v>0</v>
      </c>
      <c r="Z718" s="200">
        <f t="shared" si="3616"/>
        <v>0</v>
      </c>
      <c r="AA718" s="200">
        <f t="shared" si="3616"/>
        <v>0</v>
      </c>
      <c r="AB718" s="200">
        <f t="shared" si="3616"/>
        <v>0</v>
      </c>
      <c r="AC718" s="200">
        <f t="shared" si="3616"/>
        <v>0</v>
      </c>
      <c r="AD718" s="200">
        <f t="shared" si="11"/>
        <v>0</v>
      </c>
      <c r="AE718" s="200">
        <f t="shared" ref="AE718:AG718" si="3617">countif($D718,"*"&amp;AE$2&amp;"*")</f>
        <v>0</v>
      </c>
      <c r="AF718" s="200">
        <f t="shared" si="3617"/>
        <v>0</v>
      </c>
      <c r="AG718" s="200">
        <f t="shared" si="3617"/>
        <v>0</v>
      </c>
      <c r="AH718" s="171">
        <f t="shared" si="13"/>
        <v>1</v>
      </c>
      <c r="AI718" s="200">
        <f t="shared" si="14"/>
        <v>0</v>
      </c>
      <c r="AJ718" s="200">
        <f t="shared" si="3592"/>
        <v>0</v>
      </c>
      <c r="AK718" s="201">
        <f t="shared" ref="AK718:AS718" si="3618">countif($D718,"*"&amp;AK$2&amp;"*")</f>
        <v>0</v>
      </c>
      <c r="AL718" s="201">
        <f t="shared" si="3618"/>
        <v>0</v>
      </c>
      <c r="AM718" s="201">
        <f t="shared" si="3618"/>
        <v>0</v>
      </c>
      <c r="AN718" s="201">
        <f t="shared" si="3618"/>
        <v>0</v>
      </c>
      <c r="AO718" s="201">
        <f t="shared" si="3618"/>
        <v>0</v>
      </c>
      <c r="AP718" s="201">
        <f t="shared" si="3618"/>
        <v>0</v>
      </c>
      <c r="AQ718" s="201">
        <f t="shared" si="3618"/>
        <v>0</v>
      </c>
      <c r="AR718" s="200">
        <f t="shared" si="3618"/>
        <v>0</v>
      </c>
      <c r="AS718" s="200">
        <f t="shared" si="3618"/>
        <v>0</v>
      </c>
      <c r="AT718" s="173">
        <v>0.0</v>
      </c>
      <c r="AU718" s="200">
        <f t="shared" ref="AU718:AX718" si="3619">countif($D718,"*"&amp;AU$2&amp;"*")</f>
        <v>0</v>
      </c>
      <c r="AV718" s="200">
        <f t="shared" si="3619"/>
        <v>0</v>
      </c>
      <c r="AW718" s="200">
        <f t="shared" si="3619"/>
        <v>0</v>
      </c>
      <c r="AX718" s="200">
        <f t="shared" si="3619"/>
        <v>0</v>
      </c>
      <c r="AY718" s="202">
        <v>0.0</v>
      </c>
      <c r="AZ718" s="200"/>
      <c r="BA718" s="171" t="str">
        <f t="shared" si="18"/>
        <v/>
      </c>
      <c r="BB718" s="171" t="str">
        <f t="shared" si="19"/>
        <v/>
      </c>
      <c r="BC718" s="171" t="str">
        <f t="shared" si="20"/>
        <v/>
      </c>
      <c r="BD718" s="171" t="str">
        <f t="shared" si="21"/>
        <v/>
      </c>
      <c r="BE718" s="171" t="str">
        <f t="shared" si="22"/>
        <v>Others</v>
      </c>
      <c r="BF718" s="171" t="str">
        <f t="shared" si="23"/>
        <v>Others</v>
      </c>
    </row>
    <row r="719">
      <c r="A719" s="171">
        <f t="array" ref="A719">XLOOKUP(C719,ICSE!A:A,ICSE!C:C,,2,1)</f>
        <v>2017</v>
      </c>
      <c r="B719" s="171" t="s">
        <v>5675</v>
      </c>
      <c r="C719" s="160">
        <v>1398.0</v>
      </c>
      <c r="D719" s="161" t="s">
        <v>5981</v>
      </c>
      <c r="E719" s="197" t="str">
        <f t="array" ref="E719">XLOOKUP(C719,ICSE!A:A,ICSE!Z:Z,,0,1)</f>
        <v>Publicly available (3)</v>
      </c>
      <c r="F719" s="198" t="s">
        <v>20</v>
      </c>
      <c r="G719" s="163" t="str">
        <f t="array" ref="G719">IF(B719="ICSE",IF(COUNTIFS(B:B,B719,C:C,C719)=XLOOKUP(C719,ICSE!A:A,ICSE!AA:AA,"ERROR",0,1),"OK","ERROR"),IF(B719="FSE",IF(COUNTIFS(B:B,B719,C:C,C719)=XLOOKUP(C719,FSE!A:A,FSE!AA:AA,"ERROR",0,1),"OK","ERROR")))</f>
        <v>OK</v>
      </c>
      <c r="H719" s="199">
        <f t="shared" ref="H719:O719" si="3620">countif($D719,"*"&amp;H$2&amp;"*")</f>
        <v>0</v>
      </c>
      <c r="I719" s="200">
        <f t="shared" si="3620"/>
        <v>0</v>
      </c>
      <c r="J719" s="200">
        <f t="shared" si="3620"/>
        <v>0</v>
      </c>
      <c r="K719" s="200">
        <f t="shared" si="3620"/>
        <v>0</v>
      </c>
      <c r="L719" s="200">
        <f t="shared" si="3620"/>
        <v>0</v>
      </c>
      <c r="M719" s="200">
        <f t="shared" si="3620"/>
        <v>0</v>
      </c>
      <c r="N719" s="200">
        <f t="shared" si="3620"/>
        <v>0</v>
      </c>
      <c r="O719" s="200">
        <f t="shared" si="3620"/>
        <v>0</v>
      </c>
      <c r="P719" s="200">
        <f t="shared" si="9"/>
        <v>1</v>
      </c>
      <c r="Q719" s="200">
        <f t="shared" ref="Q719:AC719" si="3621">countif($D719,"*"&amp;Q$2&amp;"*")</f>
        <v>0</v>
      </c>
      <c r="R719" s="200">
        <f t="shared" si="3621"/>
        <v>0</v>
      </c>
      <c r="S719" s="200">
        <f t="shared" si="3621"/>
        <v>0</v>
      </c>
      <c r="T719" s="200">
        <f t="shared" si="3621"/>
        <v>0</v>
      </c>
      <c r="U719" s="200">
        <f t="shared" si="3621"/>
        <v>0</v>
      </c>
      <c r="V719" s="200">
        <f t="shared" si="3621"/>
        <v>0</v>
      </c>
      <c r="W719" s="200">
        <f t="shared" si="3621"/>
        <v>0</v>
      </c>
      <c r="X719" s="200">
        <f t="shared" si="3621"/>
        <v>0</v>
      </c>
      <c r="Y719" s="200">
        <f t="shared" si="3621"/>
        <v>0</v>
      </c>
      <c r="Z719" s="200">
        <f t="shared" si="3621"/>
        <v>0</v>
      </c>
      <c r="AA719" s="200">
        <f t="shared" si="3621"/>
        <v>0</v>
      </c>
      <c r="AB719" s="200">
        <f t="shared" si="3621"/>
        <v>0</v>
      </c>
      <c r="AC719" s="200">
        <f t="shared" si="3621"/>
        <v>0</v>
      </c>
      <c r="AD719" s="200">
        <f t="shared" si="11"/>
        <v>0</v>
      </c>
      <c r="AE719" s="200">
        <f t="shared" ref="AE719:AG719" si="3622">countif($D719,"*"&amp;AE$2&amp;"*")</f>
        <v>0</v>
      </c>
      <c r="AF719" s="200">
        <f t="shared" si="3622"/>
        <v>0</v>
      </c>
      <c r="AG719" s="200">
        <f t="shared" si="3622"/>
        <v>0</v>
      </c>
      <c r="AH719" s="171">
        <f t="shared" si="13"/>
        <v>0</v>
      </c>
      <c r="AI719" s="200">
        <f t="shared" si="14"/>
        <v>0</v>
      </c>
      <c r="AJ719" s="200">
        <f t="shared" si="3592"/>
        <v>0</v>
      </c>
      <c r="AK719" s="201">
        <f t="shared" ref="AK719:AS719" si="3623">countif($D719,"*"&amp;AK$2&amp;"*")</f>
        <v>0</v>
      </c>
      <c r="AL719" s="201">
        <f t="shared" si="3623"/>
        <v>0</v>
      </c>
      <c r="AM719" s="201">
        <f t="shared" si="3623"/>
        <v>0</v>
      </c>
      <c r="AN719" s="201">
        <f t="shared" si="3623"/>
        <v>0</v>
      </c>
      <c r="AO719" s="201">
        <f t="shared" si="3623"/>
        <v>0</v>
      </c>
      <c r="AP719" s="201">
        <f t="shared" si="3623"/>
        <v>0</v>
      </c>
      <c r="AQ719" s="201">
        <f t="shared" si="3623"/>
        <v>0</v>
      </c>
      <c r="AR719" s="200">
        <f t="shared" si="3623"/>
        <v>0</v>
      </c>
      <c r="AS719" s="200">
        <f t="shared" si="3623"/>
        <v>0</v>
      </c>
      <c r="AT719" s="173">
        <v>0.0</v>
      </c>
      <c r="AU719" s="200">
        <f t="shared" ref="AU719:AX719" si="3624">countif($D719,"*"&amp;AU$2&amp;"*")</f>
        <v>0</v>
      </c>
      <c r="AV719" s="200">
        <f t="shared" si="3624"/>
        <v>1</v>
      </c>
      <c r="AW719" s="200">
        <f t="shared" si="3624"/>
        <v>0</v>
      </c>
      <c r="AX719" s="200">
        <f t="shared" si="3624"/>
        <v>0</v>
      </c>
      <c r="AY719" s="202">
        <v>0.0</v>
      </c>
      <c r="AZ719" s="200"/>
      <c r="BA719" s="171" t="str">
        <f t="shared" si="18"/>
        <v/>
      </c>
      <c r="BB719" s="171" t="str">
        <f t="shared" si="19"/>
        <v>Code</v>
      </c>
      <c r="BC719" s="171" t="str">
        <f t="shared" si="20"/>
        <v/>
      </c>
      <c r="BD719" s="171" t="str">
        <f t="shared" si="21"/>
        <v/>
      </c>
      <c r="BE719" s="171" t="str">
        <f t="shared" si="22"/>
        <v/>
      </c>
      <c r="BF719" s="171" t="str">
        <f t="shared" si="23"/>
        <v>Code</v>
      </c>
    </row>
    <row r="720">
      <c r="A720" s="171">
        <f t="array" ref="A720">XLOOKUP(C720,ICSE!A:A,ICSE!C:C,,2,1)</f>
        <v>2017</v>
      </c>
      <c r="B720" s="171" t="s">
        <v>5675</v>
      </c>
      <c r="C720" s="160">
        <v>1398.0</v>
      </c>
      <c r="D720" s="161" t="s">
        <v>5982</v>
      </c>
      <c r="E720" s="197" t="str">
        <f t="array" ref="E720">XLOOKUP(C720,ICSE!A:A,ICSE!Z:Z,,0,1)</f>
        <v>Publicly available (3)</v>
      </c>
      <c r="F720" s="198" t="s">
        <v>20</v>
      </c>
      <c r="G720" s="163" t="str">
        <f t="array" ref="G720">IF(B720="ICSE",IF(COUNTIFS(B:B,B720,C:C,C720)=XLOOKUP(C720,ICSE!A:A,ICSE!AA:AA,"ERROR",0,1),"OK","ERROR"),IF(B720="FSE",IF(COUNTIFS(B:B,B720,C:C,C720)=XLOOKUP(C720,FSE!A:A,FSE!AA:AA,"ERROR",0,1),"OK","ERROR")))</f>
        <v>OK</v>
      </c>
      <c r="H720" s="199">
        <f t="shared" ref="H720:O720" si="3625">countif($D720,"*"&amp;H$2&amp;"*")</f>
        <v>0</v>
      </c>
      <c r="I720" s="200">
        <f t="shared" si="3625"/>
        <v>0</v>
      </c>
      <c r="J720" s="200">
        <f t="shared" si="3625"/>
        <v>0</v>
      </c>
      <c r="K720" s="200">
        <f t="shared" si="3625"/>
        <v>0</v>
      </c>
      <c r="L720" s="200">
        <f t="shared" si="3625"/>
        <v>0</v>
      </c>
      <c r="M720" s="200">
        <f t="shared" si="3625"/>
        <v>0</v>
      </c>
      <c r="N720" s="200">
        <f t="shared" si="3625"/>
        <v>0</v>
      </c>
      <c r="O720" s="200">
        <f t="shared" si="3625"/>
        <v>0</v>
      </c>
      <c r="P720" s="200">
        <f t="shared" si="9"/>
        <v>1</v>
      </c>
      <c r="Q720" s="200">
        <f t="shared" ref="Q720:AC720" si="3626">countif($D720,"*"&amp;Q$2&amp;"*")</f>
        <v>0</v>
      </c>
      <c r="R720" s="200">
        <f t="shared" si="3626"/>
        <v>0</v>
      </c>
      <c r="S720" s="200">
        <f t="shared" si="3626"/>
        <v>0</v>
      </c>
      <c r="T720" s="200">
        <f t="shared" si="3626"/>
        <v>0</v>
      </c>
      <c r="U720" s="200">
        <f t="shared" si="3626"/>
        <v>0</v>
      </c>
      <c r="V720" s="200">
        <f t="shared" si="3626"/>
        <v>0</v>
      </c>
      <c r="W720" s="200">
        <f t="shared" si="3626"/>
        <v>0</v>
      </c>
      <c r="X720" s="200">
        <f t="shared" si="3626"/>
        <v>0</v>
      </c>
      <c r="Y720" s="200">
        <f t="shared" si="3626"/>
        <v>0</v>
      </c>
      <c r="Z720" s="200">
        <f t="shared" si="3626"/>
        <v>0</v>
      </c>
      <c r="AA720" s="200">
        <f t="shared" si="3626"/>
        <v>0</v>
      </c>
      <c r="AB720" s="200">
        <f t="shared" si="3626"/>
        <v>0</v>
      </c>
      <c r="AC720" s="200">
        <f t="shared" si="3626"/>
        <v>0</v>
      </c>
      <c r="AD720" s="200">
        <f t="shared" si="11"/>
        <v>0</v>
      </c>
      <c r="AE720" s="200">
        <f t="shared" ref="AE720:AG720" si="3627">countif($D720,"*"&amp;AE$2&amp;"*")</f>
        <v>0</v>
      </c>
      <c r="AF720" s="200">
        <f t="shared" si="3627"/>
        <v>0</v>
      </c>
      <c r="AG720" s="200">
        <f t="shared" si="3627"/>
        <v>0</v>
      </c>
      <c r="AH720" s="171">
        <f t="shared" si="13"/>
        <v>0</v>
      </c>
      <c r="AI720" s="200">
        <f t="shared" si="14"/>
        <v>0</v>
      </c>
      <c r="AJ720" s="200">
        <f t="shared" si="3592"/>
        <v>0</v>
      </c>
      <c r="AK720" s="201">
        <f t="shared" ref="AK720:AS720" si="3628">countif($D720,"*"&amp;AK$2&amp;"*")</f>
        <v>0</v>
      </c>
      <c r="AL720" s="201">
        <f t="shared" si="3628"/>
        <v>0</v>
      </c>
      <c r="AM720" s="201">
        <f t="shared" si="3628"/>
        <v>0</v>
      </c>
      <c r="AN720" s="201">
        <f t="shared" si="3628"/>
        <v>0</v>
      </c>
      <c r="AO720" s="201">
        <f t="shared" si="3628"/>
        <v>0</v>
      </c>
      <c r="AP720" s="201">
        <f t="shared" si="3628"/>
        <v>0</v>
      </c>
      <c r="AQ720" s="201">
        <f t="shared" si="3628"/>
        <v>0</v>
      </c>
      <c r="AR720" s="200">
        <f t="shared" si="3628"/>
        <v>0</v>
      </c>
      <c r="AS720" s="200">
        <f t="shared" si="3628"/>
        <v>0</v>
      </c>
      <c r="AT720" s="173">
        <v>0.0</v>
      </c>
      <c r="AU720" s="200">
        <f t="shared" ref="AU720:AX720" si="3629">countif($D720,"*"&amp;AU$2&amp;"*")</f>
        <v>0</v>
      </c>
      <c r="AV720" s="200">
        <f t="shared" si="3629"/>
        <v>1</v>
      </c>
      <c r="AW720" s="200">
        <f t="shared" si="3629"/>
        <v>0</v>
      </c>
      <c r="AX720" s="200">
        <f t="shared" si="3629"/>
        <v>0</v>
      </c>
      <c r="AY720" s="202">
        <v>0.0</v>
      </c>
      <c r="AZ720" s="200"/>
      <c r="BA720" s="171" t="str">
        <f t="shared" si="18"/>
        <v/>
      </c>
      <c r="BB720" s="171" t="str">
        <f t="shared" si="19"/>
        <v>Code</v>
      </c>
      <c r="BC720" s="171" t="str">
        <f t="shared" si="20"/>
        <v/>
      </c>
      <c r="BD720" s="171" t="str">
        <f t="shared" si="21"/>
        <v/>
      </c>
      <c r="BE720" s="171" t="str">
        <f t="shared" si="22"/>
        <v/>
      </c>
      <c r="BF720" s="171" t="str">
        <f t="shared" si="23"/>
        <v>Code</v>
      </c>
    </row>
    <row r="721">
      <c r="A721" s="171">
        <f t="array" ref="A721">XLOOKUP(C721,ICSE!A:A,ICSE!C:C,,2,1)</f>
        <v>2017</v>
      </c>
      <c r="B721" s="171" t="s">
        <v>5675</v>
      </c>
      <c r="C721" s="160">
        <v>1399.0</v>
      </c>
      <c r="D721" s="161" t="s">
        <v>834</v>
      </c>
      <c r="E721" s="197" t="str">
        <f t="array" ref="E721">XLOOKUP(C721,ICSE!A:A,ICSE!Z:Z,,0,1)</f>
        <v>Publicly available (1)</v>
      </c>
      <c r="F721" s="198" t="s">
        <v>20</v>
      </c>
      <c r="G721" s="163" t="str">
        <f t="array" ref="G721">IF(B721="ICSE",IF(COUNTIFS(B:B,B721,C:C,C721)=XLOOKUP(C721,ICSE!A:A,ICSE!AA:AA,"ERROR",0,1),"OK","ERROR"),IF(B721="FSE",IF(COUNTIFS(B:B,B721,C:C,C721)=XLOOKUP(C721,FSE!A:A,FSE!AA:AA,"ERROR",0,1),"OK","ERROR")))</f>
        <v>OK</v>
      </c>
      <c r="H721" s="199">
        <f t="shared" ref="H721:O721" si="3630">countif($D721,"*"&amp;H$2&amp;"*")</f>
        <v>0</v>
      </c>
      <c r="I721" s="200">
        <f t="shared" si="3630"/>
        <v>0</v>
      </c>
      <c r="J721" s="200">
        <f t="shared" si="3630"/>
        <v>0</v>
      </c>
      <c r="K721" s="200">
        <f t="shared" si="3630"/>
        <v>0</v>
      </c>
      <c r="L721" s="200">
        <f t="shared" si="3630"/>
        <v>0</v>
      </c>
      <c r="M721" s="200">
        <f t="shared" si="3630"/>
        <v>0</v>
      </c>
      <c r="N721" s="200">
        <f t="shared" si="3630"/>
        <v>0</v>
      </c>
      <c r="O721" s="200">
        <f t="shared" si="3630"/>
        <v>0</v>
      </c>
      <c r="P721" s="200">
        <f t="shared" si="9"/>
        <v>0</v>
      </c>
      <c r="Q721" s="200">
        <f t="shared" ref="Q721:AC721" si="3631">countif($D721,"*"&amp;Q$2&amp;"*")</f>
        <v>0</v>
      </c>
      <c r="R721" s="200">
        <f t="shared" si="3631"/>
        <v>0</v>
      </c>
      <c r="S721" s="200">
        <f t="shared" si="3631"/>
        <v>0</v>
      </c>
      <c r="T721" s="200">
        <f t="shared" si="3631"/>
        <v>0</v>
      </c>
      <c r="U721" s="200">
        <f t="shared" si="3631"/>
        <v>0</v>
      </c>
      <c r="V721" s="200">
        <f t="shared" si="3631"/>
        <v>0</v>
      </c>
      <c r="W721" s="200">
        <f t="shared" si="3631"/>
        <v>0</v>
      </c>
      <c r="X721" s="200">
        <f t="shared" si="3631"/>
        <v>0</v>
      </c>
      <c r="Y721" s="200">
        <f t="shared" si="3631"/>
        <v>0</v>
      </c>
      <c r="Z721" s="200">
        <f t="shared" si="3631"/>
        <v>0</v>
      </c>
      <c r="AA721" s="200">
        <f t="shared" si="3631"/>
        <v>0</v>
      </c>
      <c r="AB721" s="200">
        <f t="shared" si="3631"/>
        <v>0</v>
      </c>
      <c r="AC721" s="200">
        <f t="shared" si="3631"/>
        <v>0</v>
      </c>
      <c r="AD721" s="200">
        <f t="shared" si="11"/>
        <v>1</v>
      </c>
      <c r="AE721" s="200">
        <f t="shared" ref="AE721:AG721" si="3632">countif($D721,"*"&amp;AE$2&amp;"*")</f>
        <v>0</v>
      </c>
      <c r="AF721" s="200">
        <f t="shared" si="3632"/>
        <v>0</v>
      </c>
      <c r="AG721" s="200">
        <f t="shared" si="3632"/>
        <v>0</v>
      </c>
      <c r="AH721" s="171">
        <f t="shared" si="13"/>
        <v>0</v>
      </c>
      <c r="AI721" s="200">
        <f t="shared" si="14"/>
        <v>0</v>
      </c>
      <c r="AJ721" s="200">
        <f>SUM(AK721:AQ721)</f>
        <v>0</v>
      </c>
      <c r="AK721" s="201">
        <f t="shared" ref="AK721:AS721" si="3633">countif($D721,"*"&amp;AK$2&amp;"*")</f>
        <v>0</v>
      </c>
      <c r="AL721" s="201">
        <f t="shared" si="3633"/>
        <v>0</v>
      </c>
      <c r="AM721" s="201">
        <f t="shared" si="3633"/>
        <v>0</v>
      </c>
      <c r="AN721" s="201">
        <f t="shared" si="3633"/>
        <v>0</v>
      </c>
      <c r="AO721" s="201">
        <f t="shared" si="3633"/>
        <v>0</v>
      </c>
      <c r="AP721" s="201">
        <f t="shared" si="3633"/>
        <v>0</v>
      </c>
      <c r="AQ721" s="201">
        <f t="shared" si="3633"/>
        <v>0</v>
      </c>
      <c r="AR721" s="201">
        <f t="shared" si="3633"/>
        <v>0</v>
      </c>
      <c r="AS721" s="200">
        <f t="shared" si="3633"/>
        <v>0</v>
      </c>
      <c r="AT721" s="205">
        <v>0.0</v>
      </c>
      <c r="AU721" s="200">
        <f t="shared" ref="AU721:AX721" si="3634">countif($D721,"*"&amp;AU$2&amp;"*")</f>
        <v>1</v>
      </c>
      <c r="AV721" s="200">
        <f t="shared" si="3634"/>
        <v>0</v>
      </c>
      <c r="AW721" s="200">
        <f t="shared" si="3634"/>
        <v>0</v>
      </c>
      <c r="AX721" s="200">
        <f t="shared" si="3634"/>
        <v>0</v>
      </c>
      <c r="AY721" s="202">
        <v>0.0</v>
      </c>
      <c r="AZ721" s="200"/>
      <c r="BA721" s="171" t="str">
        <f t="shared" si="18"/>
        <v/>
      </c>
      <c r="BB721" s="171" t="str">
        <f t="shared" si="19"/>
        <v/>
      </c>
      <c r="BC721" s="171" t="str">
        <f t="shared" si="20"/>
        <v/>
      </c>
      <c r="BD721" s="171" t="str">
        <f t="shared" si="21"/>
        <v>Institutional</v>
      </c>
      <c r="BE721" s="171" t="str">
        <f t="shared" si="22"/>
        <v/>
      </c>
      <c r="BF721" s="171" t="str">
        <f t="shared" si="23"/>
        <v>Institutional</v>
      </c>
    </row>
    <row r="722">
      <c r="A722" s="171">
        <f t="array" ref="A722">XLOOKUP(C722,ICSE!A:A,ICSE!C:C,,2,1)</f>
        <v>2017</v>
      </c>
      <c r="B722" s="171" t="s">
        <v>5675</v>
      </c>
      <c r="C722" s="160">
        <v>1400.0</v>
      </c>
      <c r="D722" s="161" t="s">
        <v>5983</v>
      </c>
      <c r="E722" s="197" t="str">
        <f t="array" ref="E722">XLOOKUP(C722,ICSE!A:A,ICSE!Z:Z,,0,1)</f>
        <v>Publicly available (2)</v>
      </c>
      <c r="F722" s="198" t="s">
        <v>20</v>
      </c>
      <c r="G722" s="163" t="str">
        <f t="array" ref="G722">IF(B722="ICSE",IF(COUNTIFS(B:B,B722,C:C,C722)=XLOOKUP(C722,ICSE!A:A,ICSE!AA:AA,"ERROR",0,1),"OK","ERROR"),IF(B722="FSE",IF(COUNTIFS(B:B,B722,C:C,C722)=XLOOKUP(C722,FSE!A:A,FSE!AA:AA,"ERROR",0,1),"OK","ERROR")))</f>
        <v>OK</v>
      </c>
      <c r="H722" s="199">
        <f t="shared" ref="H722:O722" si="3635">countif($D722,"*"&amp;H$2&amp;"*")</f>
        <v>0</v>
      </c>
      <c r="I722" s="200">
        <f t="shared" si="3635"/>
        <v>0</v>
      </c>
      <c r="J722" s="200">
        <f t="shared" si="3635"/>
        <v>1</v>
      </c>
      <c r="K722" s="200">
        <f t="shared" si="3635"/>
        <v>0</v>
      </c>
      <c r="L722" s="200">
        <f t="shared" si="3635"/>
        <v>0</v>
      </c>
      <c r="M722" s="200">
        <f t="shared" si="3635"/>
        <v>0</v>
      </c>
      <c r="N722" s="200">
        <f t="shared" si="3635"/>
        <v>0</v>
      </c>
      <c r="O722" s="200">
        <f t="shared" si="3635"/>
        <v>0</v>
      </c>
      <c r="P722" s="200">
        <f t="shared" si="9"/>
        <v>0</v>
      </c>
      <c r="Q722" s="200">
        <f t="shared" ref="Q722:AC722" si="3636">countif($D722,"*"&amp;Q$2&amp;"*")</f>
        <v>0</v>
      </c>
      <c r="R722" s="200">
        <f t="shared" si="3636"/>
        <v>0</v>
      </c>
      <c r="S722" s="200">
        <f t="shared" si="3636"/>
        <v>0</v>
      </c>
      <c r="T722" s="200">
        <f t="shared" si="3636"/>
        <v>0</v>
      </c>
      <c r="U722" s="200">
        <f t="shared" si="3636"/>
        <v>0</v>
      </c>
      <c r="V722" s="200">
        <f t="shared" si="3636"/>
        <v>0</v>
      </c>
      <c r="W722" s="200">
        <f t="shared" si="3636"/>
        <v>0</v>
      </c>
      <c r="X722" s="200">
        <f t="shared" si="3636"/>
        <v>0</v>
      </c>
      <c r="Y722" s="200">
        <f t="shared" si="3636"/>
        <v>0</v>
      </c>
      <c r="Z722" s="200">
        <f t="shared" si="3636"/>
        <v>0</v>
      </c>
      <c r="AA722" s="200">
        <f t="shared" si="3636"/>
        <v>0</v>
      </c>
      <c r="AB722" s="200">
        <f t="shared" si="3636"/>
        <v>0</v>
      </c>
      <c r="AC722" s="200">
        <f t="shared" si="3636"/>
        <v>0</v>
      </c>
      <c r="AD722" s="200">
        <f t="shared" si="11"/>
        <v>0</v>
      </c>
      <c r="AE722" s="200">
        <f t="shared" ref="AE722:AG722" si="3637">countif($D722,"*"&amp;AE$2&amp;"*")</f>
        <v>0</v>
      </c>
      <c r="AF722" s="200">
        <f t="shared" si="3637"/>
        <v>0</v>
      </c>
      <c r="AG722" s="200">
        <f t="shared" si="3637"/>
        <v>0</v>
      </c>
      <c r="AH722" s="171">
        <f t="shared" si="13"/>
        <v>0</v>
      </c>
      <c r="AI722" s="200">
        <f t="shared" si="14"/>
        <v>1</v>
      </c>
      <c r="AJ722" s="200">
        <f t="shared" ref="AJ722:AJ723" si="3643">SUM(AK722:AR722)</f>
        <v>0</v>
      </c>
      <c r="AK722" s="201">
        <f t="shared" ref="AK722:AS722" si="3638">countif($D722,"*"&amp;AK$2&amp;"*")</f>
        <v>0</v>
      </c>
      <c r="AL722" s="201">
        <f t="shared" si="3638"/>
        <v>0</v>
      </c>
      <c r="AM722" s="201">
        <f t="shared" si="3638"/>
        <v>0</v>
      </c>
      <c r="AN722" s="201">
        <f t="shared" si="3638"/>
        <v>0</v>
      </c>
      <c r="AO722" s="201">
        <f t="shared" si="3638"/>
        <v>0</v>
      </c>
      <c r="AP722" s="201">
        <f t="shared" si="3638"/>
        <v>0</v>
      </c>
      <c r="AQ722" s="201">
        <f t="shared" si="3638"/>
        <v>0</v>
      </c>
      <c r="AR722" s="200">
        <f t="shared" si="3638"/>
        <v>0</v>
      </c>
      <c r="AS722" s="200">
        <f t="shared" si="3638"/>
        <v>1</v>
      </c>
      <c r="AT722" s="173">
        <v>0.0</v>
      </c>
      <c r="AU722" s="200">
        <f t="shared" ref="AU722:AX722" si="3639">countif($D722,"*"&amp;AU$2&amp;"*")</f>
        <v>0</v>
      </c>
      <c r="AV722" s="200">
        <f t="shared" si="3639"/>
        <v>0</v>
      </c>
      <c r="AW722" s="200">
        <f t="shared" si="3639"/>
        <v>0</v>
      </c>
      <c r="AX722" s="200">
        <f t="shared" si="3639"/>
        <v>0</v>
      </c>
      <c r="AY722" s="204">
        <v>1.0</v>
      </c>
      <c r="AZ722" s="200"/>
      <c r="BA722" s="171" t="str">
        <f t="shared" si="18"/>
        <v>Archival</v>
      </c>
      <c r="BB722" s="171" t="str">
        <f t="shared" si="19"/>
        <v/>
      </c>
      <c r="BC722" s="171" t="str">
        <f t="shared" si="20"/>
        <v/>
      </c>
      <c r="BD722" s="171" t="str">
        <f t="shared" si="21"/>
        <v/>
      </c>
      <c r="BE722" s="171" t="str">
        <f t="shared" si="22"/>
        <v/>
      </c>
      <c r="BF722" s="171" t="str">
        <f t="shared" si="23"/>
        <v>Archival</v>
      </c>
    </row>
    <row r="723">
      <c r="A723" s="171">
        <f t="array" ref="A723">XLOOKUP(C723,ICSE!A:A,ICSE!C:C,,2,1)</f>
        <v>2017</v>
      </c>
      <c r="B723" s="171" t="s">
        <v>5675</v>
      </c>
      <c r="C723" s="160">
        <v>1400.0</v>
      </c>
      <c r="D723" s="161" t="s">
        <v>5984</v>
      </c>
      <c r="E723" s="197" t="str">
        <f t="array" ref="E723">XLOOKUP(C723,ICSE!A:A,ICSE!Z:Z,,0,1)</f>
        <v>Publicly available (2)</v>
      </c>
      <c r="F723" s="198" t="s">
        <v>20</v>
      </c>
      <c r="G723" s="163" t="str">
        <f t="array" ref="G723">IF(B723="ICSE",IF(COUNTIFS(B:B,B723,C:C,C723)=XLOOKUP(C723,ICSE!A:A,ICSE!AA:AA,"ERROR",0,1),"OK","ERROR"),IF(B723="FSE",IF(COUNTIFS(B:B,B723,C:C,C723)=XLOOKUP(C723,FSE!A:A,FSE!AA:AA,"ERROR",0,1),"OK","ERROR")))</f>
        <v>OK</v>
      </c>
      <c r="H723" s="199">
        <f t="shared" ref="H723:O723" si="3640">countif($D723,"*"&amp;H$2&amp;"*")</f>
        <v>0</v>
      </c>
      <c r="I723" s="200">
        <f t="shared" si="3640"/>
        <v>0</v>
      </c>
      <c r="J723" s="200">
        <f t="shared" si="3640"/>
        <v>0</v>
      </c>
      <c r="K723" s="200">
        <f t="shared" si="3640"/>
        <v>0</v>
      </c>
      <c r="L723" s="200">
        <f t="shared" si="3640"/>
        <v>0</v>
      </c>
      <c r="M723" s="200">
        <f t="shared" si="3640"/>
        <v>0</v>
      </c>
      <c r="N723" s="200">
        <f t="shared" si="3640"/>
        <v>0</v>
      </c>
      <c r="O723" s="200">
        <f t="shared" si="3640"/>
        <v>0</v>
      </c>
      <c r="P723" s="200">
        <f t="shared" si="9"/>
        <v>1</v>
      </c>
      <c r="Q723" s="200">
        <f t="shared" ref="Q723:AC723" si="3641">countif($D723,"*"&amp;Q$2&amp;"*")</f>
        <v>0</v>
      </c>
      <c r="R723" s="200">
        <f t="shared" si="3641"/>
        <v>0</v>
      </c>
      <c r="S723" s="200">
        <f t="shared" si="3641"/>
        <v>0</v>
      </c>
      <c r="T723" s="200">
        <f t="shared" si="3641"/>
        <v>0</v>
      </c>
      <c r="U723" s="200">
        <f t="shared" si="3641"/>
        <v>0</v>
      </c>
      <c r="V723" s="200">
        <f t="shared" si="3641"/>
        <v>0</v>
      </c>
      <c r="W723" s="200">
        <f t="shared" si="3641"/>
        <v>0</v>
      </c>
      <c r="X723" s="200">
        <f t="shared" si="3641"/>
        <v>0</v>
      </c>
      <c r="Y723" s="200">
        <f t="shared" si="3641"/>
        <v>0</v>
      </c>
      <c r="Z723" s="200">
        <f t="shared" si="3641"/>
        <v>0</v>
      </c>
      <c r="AA723" s="200">
        <f t="shared" si="3641"/>
        <v>0</v>
      </c>
      <c r="AB723" s="200">
        <f t="shared" si="3641"/>
        <v>0</v>
      </c>
      <c r="AC723" s="200">
        <f t="shared" si="3641"/>
        <v>0</v>
      </c>
      <c r="AD723" s="200">
        <f t="shared" si="11"/>
        <v>0</v>
      </c>
      <c r="AE723" s="200">
        <f t="shared" ref="AE723:AG723" si="3642">countif($D723,"*"&amp;AE$2&amp;"*")</f>
        <v>0</v>
      </c>
      <c r="AF723" s="200">
        <f t="shared" si="3642"/>
        <v>0</v>
      </c>
      <c r="AG723" s="200">
        <f t="shared" si="3642"/>
        <v>0</v>
      </c>
      <c r="AH723" s="171">
        <f t="shared" si="13"/>
        <v>0</v>
      </c>
      <c r="AI723" s="200">
        <f t="shared" si="14"/>
        <v>0</v>
      </c>
      <c r="AJ723" s="200">
        <f t="shared" si="3643"/>
        <v>0</v>
      </c>
      <c r="AK723" s="201">
        <f t="shared" ref="AK723:AS723" si="3644">countif($D723,"*"&amp;AK$2&amp;"*")</f>
        <v>0</v>
      </c>
      <c r="AL723" s="201">
        <f t="shared" si="3644"/>
        <v>0</v>
      </c>
      <c r="AM723" s="201">
        <f t="shared" si="3644"/>
        <v>0</v>
      </c>
      <c r="AN723" s="201">
        <f t="shared" si="3644"/>
        <v>0</v>
      </c>
      <c r="AO723" s="201">
        <f t="shared" si="3644"/>
        <v>0</v>
      </c>
      <c r="AP723" s="201">
        <f t="shared" si="3644"/>
        <v>0</v>
      </c>
      <c r="AQ723" s="201">
        <f t="shared" si="3644"/>
        <v>0</v>
      </c>
      <c r="AR723" s="200">
        <f t="shared" si="3644"/>
        <v>0</v>
      </c>
      <c r="AS723" s="200">
        <f t="shared" si="3644"/>
        <v>0</v>
      </c>
      <c r="AT723" s="173">
        <v>0.0</v>
      </c>
      <c r="AU723" s="200">
        <f t="shared" ref="AU723:AX723" si="3645">countif($D723,"*"&amp;AU$2&amp;"*")</f>
        <v>0</v>
      </c>
      <c r="AV723" s="200">
        <f t="shared" si="3645"/>
        <v>1</v>
      </c>
      <c r="AW723" s="200">
        <f t="shared" si="3645"/>
        <v>0</v>
      </c>
      <c r="AX723" s="200">
        <f t="shared" si="3645"/>
        <v>0</v>
      </c>
      <c r="AY723" s="202">
        <v>0.0</v>
      </c>
      <c r="AZ723" s="200"/>
      <c r="BA723" s="171" t="str">
        <f t="shared" si="18"/>
        <v/>
      </c>
      <c r="BB723" s="171" t="str">
        <f t="shared" si="19"/>
        <v>Code</v>
      </c>
      <c r="BC723" s="171" t="str">
        <f t="shared" si="20"/>
        <v/>
      </c>
      <c r="BD723" s="171" t="str">
        <f t="shared" si="21"/>
        <v/>
      </c>
      <c r="BE723" s="171" t="str">
        <f t="shared" si="22"/>
        <v/>
      </c>
      <c r="BF723" s="171" t="str">
        <f t="shared" si="23"/>
        <v>Code</v>
      </c>
    </row>
    <row r="724">
      <c r="A724" s="171">
        <f t="array" ref="A724">XLOOKUP(C724,ICSE!A:A,ICSE!C:C,,2,1)</f>
        <v>2017</v>
      </c>
      <c r="B724" s="171" t="s">
        <v>5675</v>
      </c>
      <c r="C724" s="160">
        <v>1402.0</v>
      </c>
      <c r="D724" s="161" t="s">
        <v>842</v>
      </c>
      <c r="E724" s="197" t="str">
        <f t="array" ref="E724">XLOOKUP(C724,ICSE!A:A,ICSE!Z:Z,,0,1)</f>
        <v>Publicly available (1)</v>
      </c>
      <c r="F724" s="198" t="s">
        <v>20</v>
      </c>
      <c r="G724" s="163" t="str">
        <f t="array" ref="G724">IF(B724="ICSE",IF(COUNTIFS(B:B,B724,C:C,C724)=XLOOKUP(C724,ICSE!A:A,ICSE!AA:AA,"ERROR",0,1),"OK","ERROR"),IF(B724="FSE",IF(COUNTIFS(B:B,B724,C:C,C724)=XLOOKUP(C724,FSE!A:A,FSE!AA:AA,"ERROR",0,1),"OK","ERROR")))</f>
        <v>OK</v>
      </c>
      <c r="H724" s="199">
        <f t="shared" ref="H724:O724" si="3646">countif($D724,"*"&amp;H$2&amp;"*")</f>
        <v>0</v>
      </c>
      <c r="I724" s="200">
        <f t="shared" si="3646"/>
        <v>0</v>
      </c>
      <c r="J724" s="200">
        <f t="shared" si="3646"/>
        <v>0</v>
      </c>
      <c r="K724" s="200">
        <f t="shared" si="3646"/>
        <v>0</v>
      </c>
      <c r="L724" s="200">
        <f t="shared" si="3646"/>
        <v>0</v>
      </c>
      <c r="M724" s="200">
        <f t="shared" si="3646"/>
        <v>0</v>
      </c>
      <c r="N724" s="200">
        <f t="shared" si="3646"/>
        <v>0</v>
      </c>
      <c r="O724" s="200">
        <f t="shared" si="3646"/>
        <v>0</v>
      </c>
      <c r="P724" s="200">
        <f t="shared" si="9"/>
        <v>0</v>
      </c>
      <c r="Q724" s="200">
        <f t="shared" ref="Q724:AC724" si="3647">countif($D724,"*"&amp;Q$2&amp;"*")</f>
        <v>0</v>
      </c>
      <c r="R724" s="200">
        <f t="shared" si="3647"/>
        <v>0</v>
      </c>
      <c r="S724" s="200">
        <f t="shared" si="3647"/>
        <v>0</v>
      </c>
      <c r="T724" s="200">
        <f t="shared" si="3647"/>
        <v>0</v>
      </c>
      <c r="U724" s="200">
        <f t="shared" si="3647"/>
        <v>0</v>
      </c>
      <c r="V724" s="200">
        <f t="shared" si="3647"/>
        <v>0</v>
      </c>
      <c r="W724" s="200">
        <f t="shared" si="3647"/>
        <v>0</v>
      </c>
      <c r="X724" s="200">
        <f t="shared" si="3647"/>
        <v>0</v>
      </c>
      <c r="Y724" s="200">
        <f t="shared" si="3647"/>
        <v>0</v>
      </c>
      <c r="Z724" s="200">
        <f t="shared" si="3647"/>
        <v>0</v>
      </c>
      <c r="AA724" s="200">
        <f t="shared" si="3647"/>
        <v>0</v>
      </c>
      <c r="AB724" s="200">
        <f t="shared" si="3647"/>
        <v>0</v>
      </c>
      <c r="AC724" s="200">
        <f t="shared" si="3647"/>
        <v>0</v>
      </c>
      <c r="AD724" s="200">
        <f t="shared" si="11"/>
        <v>1</v>
      </c>
      <c r="AE724" s="200">
        <f t="shared" ref="AE724:AG724" si="3648">countif($D724,"*"&amp;AE$2&amp;"*")</f>
        <v>0</v>
      </c>
      <c r="AF724" s="200">
        <f t="shared" si="3648"/>
        <v>0</v>
      </c>
      <c r="AG724" s="200">
        <f t="shared" si="3648"/>
        <v>0</v>
      </c>
      <c r="AH724" s="171">
        <f t="shared" si="13"/>
        <v>0</v>
      </c>
      <c r="AI724" s="200">
        <f t="shared" si="14"/>
        <v>0</v>
      </c>
      <c r="AJ724" s="200">
        <f>SUM(AK724:AQ724)</f>
        <v>0</v>
      </c>
      <c r="AK724" s="201">
        <f t="shared" ref="AK724:AS724" si="3649">countif($D724,"*"&amp;AK$2&amp;"*")</f>
        <v>0</v>
      </c>
      <c r="AL724" s="201">
        <f t="shared" si="3649"/>
        <v>0</v>
      </c>
      <c r="AM724" s="201">
        <f t="shared" si="3649"/>
        <v>0</v>
      </c>
      <c r="AN724" s="201">
        <f t="shared" si="3649"/>
        <v>0</v>
      </c>
      <c r="AO724" s="201">
        <f t="shared" si="3649"/>
        <v>0</v>
      </c>
      <c r="AP724" s="201">
        <f t="shared" si="3649"/>
        <v>0</v>
      </c>
      <c r="AQ724" s="201">
        <f t="shared" si="3649"/>
        <v>0</v>
      </c>
      <c r="AR724" s="201">
        <f t="shared" si="3649"/>
        <v>0</v>
      </c>
      <c r="AS724" s="200">
        <f t="shared" si="3649"/>
        <v>0</v>
      </c>
      <c r="AT724" s="205">
        <v>0.0</v>
      </c>
      <c r="AU724" s="200">
        <f t="shared" ref="AU724:AX724" si="3650">countif($D724,"*"&amp;AU$2&amp;"*")</f>
        <v>1</v>
      </c>
      <c r="AV724" s="200">
        <f t="shared" si="3650"/>
        <v>0</v>
      </c>
      <c r="AW724" s="200">
        <f t="shared" si="3650"/>
        <v>0</v>
      </c>
      <c r="AX724" s="200">
        <f t="shared" si="3650"/>
        <v>0</v>
      </c>
      <c r="AY724" s="202">
        <v>0.0</v>
      </c>
      <c r="AZ724" s="200"/>
      <c r="BA724" s="171" t="str">
        <f t="shared" si="18"/>
        <v/>
      </c>
      <c r="BB724" s="171" t="str">
        <f t="shared" si="19"/>
        <v/>
      </c>
      <c r="BC724" s="171" t="str">
        <f t="shared" si="20"/>
        <v/>
      </c>
      <c r="BD724" s="171" t="str">
        <f t="shared" si="21"/>
        <v>Institutional</v>
      </c>
      <c r="BE724" s="171" t="str">
        <f t="shared" si="22"/>
        <v/>
      </c>
      <c r="BF724" s="171" t="str">
        <f t="shared" si="23"/>
        <v>Institutional</v>
      </c>
    </row>
    <row r="725">
      <c r="A725" s="171">
        <f t="array" ref="A725">XLOOKUP(C725,ICSE!A:A,ICSE!C:C,,2,1)</f>
        <v>2017</v>
      </c>
      <c r="B725" s="171" t="s">
        <v>5675</v>
      </c>
      <c r="C725" s="160">
        <v>1403.0</v>
      </c>
      <c r="D725" s="161" t="s">
        <v>845</v>
      </c>
      <c r="E725" s="197" t="str">
        <f t="array" ref="E725">XLOOKUP(C725,ICSE!A:A,ICSE!Z:Z,,0,1)</f>
        <v>Publicly available (1)</v>
      </c>
      <c r="F725" s="198" t="s">
        <v>20</v>
      </c>
      <c r="G725" s="163" t="str">
        <f t="array" ref="G725">IF(B725="ICSE",IF(COUNTIFS(B:B,B725,C:C,C725)=XLOOKUP(C725,ICSE!A:A,ICSE!AA:AA,"ERROR",0,1),"OK","ERROR"),IF(B725="FSE",IF(COUNTIFS(B:B,B725,C:C,C725)=XLOOKUP(C725,FSE!A:A,FSE!AA:AA,"ERROR",0,1),"OK","ERROR")))</f>
        <v>OK</v>
      </c>
      <c r="H725" s="199">
        <f t="shared" ref="H725:O725" si="3651">countif($D725,"*"&amp;H$2&amp;"*")</f>
        <v>0</v>
      </c>
      <c r="I725" s="200">
        <f t="shared" si="3651"/>
        <v>0</v>
      </c>
      <c r="J725" s="200">
        <f t="shared" si="3651"/>
        <v>0</v>
      </c>
      <c r="K725" s="200">
        <f t="shared" si="3651"/>
        <v>0</v>
      </c>
      <c r="L725" s="200">
        <f t="shared" si="3651"/>
        <v>0</v>
      </c>
      <c r="M725" s="200">
        <f t="shared" si="3651"/>
        <v>0</v>
      </c>
      <c r="N725" s="200">
        <f t="shared" si="3651"/>
        <v>0</v>
      </c>
      <c r="O725" s="200">
        <f t="shared" si="3651"/>
        <v>0</v>
      </c>
      <c r="P725" s="200">
        <f t="shared" si="9"/>
        <v>0</v>
      </c>
      <c r="Q725" s="200">
        <f t="shared" ref="Q725:AC725" si="3652">countif($D725,"*"&amp;Q$2&amp;"*")</f>
        <v>0</v>
      </c>
      <c r="R725" s="200">
        <f t="shared" si="3652"/>
        <v>0</v>
      </c>
      <c r="S725" s="200">
        <f t="shared" si="3652"/>
        <v>0</v>
      </c>
      <c r="T725" s="200">
        <f t="shared" si="3652"/>
        <v>0</v>
      </c>
      <c r="U725" s="200">
        <f t="shared" si="3652"/>
        <v>0</v>
      </c>
      <c r="V725" s="200">
        <f t="shared" si="3652"/>
        <v>0</v>
      </c>
      <c r="W725" s="200">
        <f t="shared" si="3652"/>
        <v>0</v>
      </c>
      <c r="X725" s="200">
        <f t="shared" si="3652"/>
        <v>0</v>
      </c>
      <c r="Y725" s="200">
        <f t="shared" si="3652"/>
        <v>0</v>
      </c>
      <c r="Z725" s="200">
        <f t="shared" si="3652"/>
        <v>0</v>
      </c>
      <c r="AA725" s="200">
        <f t="shared" si="3652"/>
        <v>0</v>
      </c>
      <c r="AB725" s="200">
        <f t="shared" si="3652"/>
        <v>0</v>
      </c>
      <c r="AC725" s="200">
        <f t="shared" si="3652"/>
        <v>0</v>
      </c>
      <c r="AD725" s="200">
        <f t="shared" si="11"/>
        <v>0</v>
      </c>
      <c r="AE725" s="200">
        <f t="shared" ref="AE725:AG725" si="3653">countif($D725,"*"&amp;AE$2&amp;"*")</f>
        <v>0</v>
      </c>
      <c r="AF725" s="200">
        <f t="shared" si="3653"/>
        <v>0</v>
      </c>
      <c r="AG725" s="200">
        <f t="shared" si="3653"/>
        <v>0</v>
      </c>
      <c r="AH725" s="171">
        <f t="shared" si="13"/>
        <v>1</v>
      </c>
      <c r="AI725" s="200">
        <f t="shared" si="14"/>
        <v>0</v>
      </c>
      <c r="AJ725" s="200">
        <f>SUM(AK725:AR725)</f>
        <v>0</v>
      </c>
      <c r="AK725" s="201">
        <f t="shared" ref="AK725:AS725" si="3654">countif($D725,"*"&amp;AK$2&amp;"*")</f>
        <v>0</v>
      </c>
      <c r="AL725" s="201">
        <f t="shared" si="3654"/>
        <v>0</v>
      </c>
      <c r="AM725" s="201">
        <f t="shared" si="3654"/>
        <v>0</v>
      </c>
      <c r="AN725" s="201">
        <f t="shared" si="3654"/>
        <v>0</v>
      </c>
      <c r="AO725" s="201">
        <f t="shared" si="3654"/>
        <v>0</v>
      </c>
      <c r="AP725" s="201">
        <f t="shared" si="3654"/>
        <v>0</v>
      </c>
      <c r="AQ725" s="201">
        <f t="shared" si="3654"/>
        <v>0</v>
      </c>
      <c r="AR725" s="200">
        <f t="shared" si="3654"/>
        <v>0</v>
      </c>
      <c r="AS725" s="200">
        <f t="shared" si="3654"/>
        <v>0</v>
      </c>
      <c r="AT725" s="173">
        <v>0.0</v>
      </c>
      <c r="AU725" s="200">
        <f t="shared" ref="AU725:AX725" si="3655">countif($D725,"*"&amp;AU$2&amp;"*")</f>
        <v>0</v>
      </c>
      <c r="AV725" s="200">
        <f t="shared" si="3655"/>
        <v>0</v>
      </c>
      <c r="AW725" s="200">
        <f t="shared" si="3655"/>
        <v>0</v>
      </c>
      <c r="AX725" s="200">
        <f t="shared" si="3655"/>
        <v>0</v>
      </c>
      <c r="AY725" s="202">
        <v>0.0</v>
      </c>
      <c r="AZ725" s="200"/>
      <c r="BA725" s="171" t="str">
        <f t="shared" si="18"/>
        <v/>
      </c>
      <c r="BB725" s="171" t="str">
        <f t="shared" si="19"/>
        <v/>
      </c>
      <c r="BC725" s="171" t="str">
        <f t="shared" si="20"/>
        <v/>
      </c>
      <c r="BD725" s="171" t="str">
        <f t="shared" si="21"/>
        <v/>
      </c>
      <c r="BE725" s="171" t="str">
        <f t="shared" si="22"/>
        <v>Others</v>
      </c>
      <c r="BF725" s="171" t="str">
        <f t="shared" si="23"/>
        <v>Others</v>
      </c>
    </row>
    <row r="726">
      <c r="A726" s="171">
        <f t="array" ref="A726">XLOOKUP(C726,ICSE!A:A,ICSE!C:C,,2,1)</f>
        <v>2017</v>
      </c>
      <c r="B726" s="171" t="s">
        <v>5675</v>
      </c>
      <c r="C726" s="160">
        <v>1404.0</v>
      </c>
      <c r="D726" s="161" t="s">
        <v>848</v>
      </c>
      <c r="E726" s="197" t="str">
        <f t="array" ref="E726">XLOOKUP(C726,ICSE!A:A,ICSE!Z:Z,,0,1)</f>
        <v>Not available (1) - Broken link.</v>
      </c>
      <c r="F726" s="198" t="s">
        <v>21</v>
      </c>
      <c r="G726" s="163" t="str">
        <f t="array" ref="G726">IF(B726="ICSE",IF(COUNTIFS(B:B,B726,C:C,C726)=XLOOKUP(C726,ICSE!A:A,ICSE!AA:AA,"ERROR",0,1),"OK","ERROR"),IF(B726="FSE",IF(COUNTIFS(B:B,B726,C:C,C726)=XLOOKUP(C726,FSE!A:A,FSE!AA:AA,"ERROR",0,1),"OK","ERROR")))</f>
        <v>OK</v>
      </c>
      <c r="H726" s="199">
        <f t="shared" ref="H726:O726" si="3656">countif($D726,"*"&amp;H$2&amp;"*")</f>
        <v>0</v>
      </c>
      <c r="I726" s="200">
        <f t="shared" si="3656"/>
        <v>0</v>
      </c>
      <c r="J726" s="200">
        <f t="shared" si="3656"/>
        <v>0</v>
      </c>
      <c r="K726" s="200">
        <f t="shared" si="3656"/>
        <v>0</v>
      </c>
      <c r="L726" s="200">
        <f t="shared" si="3656"/>
        <v>0</v>
      </c>
      <c r="M726" s="200">
        <f t="shared" si="3656"/>
        <v>0</v>
      </c>
      <c r="N726" s="200">
        <f t="shared" si="3656"/>
        <v>0</v>
      </c>
      <c r="O726" s="200">
        <f t="shared" si="3656"/>
        <v>0</v>
      </c>
      <c r="P726" s="200">
        <f t="shared" si="9"/>
        <v>0</v>
      </c>
      <c r="Q726" s="200">
        <f t="shared" ref="Q726:AC726" si="3657">countif($D726,"*"&amp;Q$2&amp;"*")</f>
        <v>0</v>
      </c>
      <c r="R726" s="200">
        <f t="shared" si="3657"/>
        <v>0</v>
      </c>
      <c r="S726" s="200">
        <f t="shared" si="3657"/>
        <v>0</v>
      </c>
      <c r="T726" s="200">
        <f t="shared" si="3657"/>
        <v>0</v>
      </c>
      <c r="U726" s="200">
        <f t="shared" si="3657"/>
        <v>0</v>
      </c>
      <c r="V726" s="200">
        <f t="shared" si="3657"/>
        <v>0</v>
      </c>
      <c r="W726" s="200">
        <f t="shared" si="3657"/>
        <v>0</v>
      </c>
      <c r="X726" s="200">
        <f t="shared" si="3657"/>
        <v>0</v>
      </c>
      <c r="Y726" s="200">
        <f t="shared" si="3657"/>
        <v>0</v>
      </c>
      <c r="Z726" s="200">
        <f t="shared" si="3657"/>
        <v>0</v>
      </c>
      <c r="AA726" s="200">
        <f t="shared" si="3657"/>
        <v>0</v>
      </c>
      <c r="AB726" s="200">
        <f t="shared" si="3657"/>
        <v>0</v>
      </c>
      <c r="AC726" s="200">
        <f t="shared" si="3657"/>
        <v>0</v>
      </c>
      <c r="AD726" s="200">
        <f t="shared" si="11"/>
        <v>1</v>
      </c>
      <c r="AE726" s="200">
        <f t="shared" ref="AE726:AG726" si="3658">countif($D726,"*"&amp;AE$2&amp;"*")</f>
        <v>0</v>
      </c>
      <c r="AF726" s="200">
        <f t="shared" si="3658"/>
        <v>0</v>
      </c>
      <c r="AG726" s="200">
        <f t="shared" si="3658"/>
        <v>0</v>
      </c>
      <c r="AH726" s="171">
        <f t="shared" si="13"/>
        <v>0</v>
      </c>
      <c r="AI726" s="200">
        <f t="shared" si="14"/>
        <v>0</v>
      </c>
      <c r="AJ726" s="200">
        <f>SUM(AK726:AQ726)</f>
        <v>0</v>
      </c>
      <c r="AK726" s="201">
        <f t="shared" ref="AK726:AS726" si="3659">countif($D726,"*"&amp;AK$2&amp;"*")</f>
        <v>0</v>
      </c>
      <c r="AL726" s="201">
        <f t="shared" si="3659"/>
        <v>0</v>
      </c>
      <c r="AM726" s="201">
        <f t="shared" si="3659"/>
        <v>0</v>
      </c>
      <c r="AN726" s="201">
        <f t="shared" si="3659"/>
        <v>0</v>
      </c>
      <c r="AO726" s="201">
        <f t="shared" si="3659"/>
        <v>0</v>
      </c>
      <c r="AP726" s="201">
        <f t="shared" si="3659"/>
        <v>0</v>
      </c>
      <c r="AQ726" s="201">
        <f t="shared" si="3659"/>
        <v>0</v>
      </c>
      <c r="AR726" s="201">
        <f t="shared" si="3659"/>
        <v>0</v>
      </c>
      <c r="AS726" s="200">
        <f t="shared" si="3659"/>
        <v>0</v>
      </c>
      <c r="AT726" s="205">
        <v>0.0</v>
      </c>
      <c r="AU726" s="200">
        <f t="shared" ref="AU726:AX726" si="3660">countif($D726,"*"&amp;AU$2&amp;"*")</f>
        <v>1</v>
      </c>
      <c r="AV726" s="200">
        <f t="shared" si="3660"/>
        <v>0</v>
      </c>
      <c r="AW726" s="200">
        <f t="shared" si="3660"/>
        <v>0</v>
      </c>
      <c r="AX726" s="200">
        <f t="shared" si="3660"/>
        <v>0</v>
      </c>
      <c r="AY726" s="202">
        <v>0.0</v>
      </c>
      <c r="AZ726" s="200"/>
      <c r="BA726" s="171" t="str">
        <f t="shared" si="18"/>
        <v/>
      </c>
      <c r="BB726" s="171" t="str">
        <f t="shared" si="19"/>
        <v/>
      </c>
      <c r="BC726" s="171" t="str">
        <f t="shared" si="20"/>
        <v/>
      </c>
      <c r="BD726" s="171" t="str">
        <f t="shared" si="21"/>
        <v>Institutional</v>
      </c>
      <c r="BE726" s="171" t="str">
        <f t="shared" si="22"/>
        <v/>
      </c>
      <c r="BF726" s="171" t="str">
        <f t="shared" si="23"/>
        <v>Institutional</v>
      </c>
    </row>
    <row r="727">
      <c r="A727" s="171">
        <f t="array" ref="A727">XLOOKUP(C727,ICSE!A:A,ICSE!C:C,,2,1)</f>
        <v>2017</v>
      </c>
      <c r="B727" s="171" t="s">
        <v>5675</v>
      </c>
      <c r="C727" s="160">
        <v>1405.0</v>
      </c>
      <c r="D727" s="161" t="s">
        <v>851</v>
      </c>
      <c r="E727" s="197" t="str">
        <f t="array" ref="E727">XLOOKUP(C727,ICSE!A:A,ICSE!Z:Z,,0,1)</f>
        <v>Publicly available (1)</v>
      </c>
      <c r="F727" s="198" t="s">
        <v>20</v>
      </c>
      <c r="G727" s="163" t="str">
        <f t="array" ref="G727">IF(B727="ICSE",IF(COUNTIFS(B:B,B727,C:C,C727)=XLOOKUP(C727,ICSE!A:A,ICSE!AA:AA,"ERROR",0,1),"OK","ERROR"),IF(B727="FSE",IF(COUNTIFS(B:B,B727,C:C,C727)=XLOOKUP(C727,FSE!A:A,FSE!AA:AA,"ERROR",0,1),"OK","ERROR")))</f>
        <v>OK</v>
      </c>
      <c r="H727" s="199">
        <f t="shared" ref="H727:O727" si="3661">countif($D727,"*"&amp;H$2&amp;"*")</f>
        <v>0</v>
      </c>
      <c r="I727" s="200">
        <f t="shared" si="3661"/>
        <v>0</v>
      </c>
      <c r="J727" s="200">
        <f t="shared" si="3661"/>
        <v>0</v>
      </c>
      <c r="K727" s="200">
        <f t="shared" si="3661"/>
        <v>0</v>
      </c>
      <c r="L727" s="200">
        <f t="shared" si="3661"/>
        <v>0</v>
      </c>
      <c r="M727" s="200">
        <f t="shared" si="3661"/>
        <v>0</v>
      </c>
      <c r="N727" s="200">
        <f t="shared" si="3661"/>
        <v>0</v>
      </c>
      <c r="O727" s="200">
        <f t="shared" si="3661"/>
        <v>0</v>
      </c>
      <c r="P727" s="200">
        <f t="shared" si="9"/>
        <v>1</v>
      </c>
      <c r="Q727" s="200">
        <f t="shared" ref="Q727:AC727" si="3662">countif($D727,"*"&amp;Q$2&amp;"*")</f>
        <v>0</v>
      </c>
      <c r="R727" s="200">
        <f t="shared" si="3662"/>
        <v>0</v>
      </c>
      <c r="S727" s="200">
        <f t="shared" si="3662"/>
        <v>0</v>
      </c>
      <c r="T727" s="200">
        <f t="shared" si="3662"/>
        <v>0</v>
      </c>
      <c r="U727" s="200">
        <f t="shared" si="3662"/>
        <v>0</v>
      </c>
      <c r="V727" s="200">
        <f t="shared" si="3662"/>
        <v>0</v>
      </c>
      <c r="W727" s="200">
        <f t="shared" si="3662"/>
        <v>0</v>
      </c>
      <c r="X727" s="200">
        <f t="shared" si="3662"/>
        <v>0</v>
      </c>
      <c r="Y727" s="200">
        <f t="shared" si="3662"/>
        <v>0</v>
      </c>
      <c r="Z727" s="200">
        <f t="shared" si="3662"/>
        <v>0</v>
      </c>
      <c r="AA727" s="200">
        <f t="shared" si="3662"/>
        <v>0</v>
      </c>
      <c r="AB727" s="200">
        <f t="shared" si="3662"/>
        <v>0</v>
      </c>
      <c r="AC727" s="200">
        <f t="shared" si="3662"/>
        <v>0</v>
      </c>
      <c r="AD727" s="200">
        <f t="shared" si="11"/>
        <v>0</v>
      </c>
      <c r="AE727" s="200">
        <f t="shared" ref="AE727:AG727" si="3663">countif($D727,"*"&amp;AE$2&amp;"*")</f>
        <v>0</v>
      </c>
      <c r="AF727" s="200">
        <f t="shared" si="3663"/>
        <v>0</v>
      </c>
      <c r="AG727" s="200">
        <f t="shared" si="3663"/>
        <v>0</v>
      </c>
      <c r="AH727" s="171">
        <f t="shared" si="13"/>
        <v>0</v>
      </c>
      <c r="AI727" s="200">
        <f t="shared" si="14"/>
        <v>0</v>
      </c>
      <c r="AJ727" s="200">
        <f>SUM(AK727:AR727)</f>
        <v>0</v>
      </c>
      <c r="AK727" s="201">
        <f t="shared" ref="AK727:AS727" si="3664">countif($D727,"*"&amp;AK$2&amp;"*")</f>
        <v>0</v>
      </c>
      <c r="AL727" s="201">
        <f t="shared" si="3664"/>
        <v>0</v>
      </c>
      <c r="AM727" s="201">
        <f t="shared" si="3664"/>
        <v>0</v>
      </c>
      <c r="AN727" s="201">
        <f t="shared" si="3664"/>
        <v>0</v>
      </c>
      <c r="AO727" s="201">
        <f t="shared" si="3664"/>
        <v>0</v>
      </c>
      <c r="AP727" s="201">
        <f t="shared" si="3664"/>
        <v>0</v>
      </c>
      <c r="AQ727" s="201">
        <f t="shared" si="3664"/>
        <v>0</v>
      </c>
      <c r="AR727" s="200">
        <f t="shared" si="3664"/>
        <v>0</v>
      </c>
      <c r="AS727" s="200">
        <f t="shared" si="3664"/>
        <v>0</v>
      </c>
      <c r="AT727" s="173">
        <v>0.0</v>
      </c>
      <c r="AU727" s="200">
        <f t="shared" ref="AU727:AX727" si="3665">countif($D727,"*"&amp;AU$2&amp;"*")</f>
        <v>0</v>
      </c>
      <c r="AV727" s="200">
        <f t="shared" si="3665"/>
        <v>1</v>
      </c>
      <c r="AW727" s="200">
        <f t="shared" si="3665"/>
        <v>0</v>
      </c>
      <c r="AX727" s="200">
        <f t="shared" si="3665"/>
        <v>0</v>
      </c>
      <c r="AY727" s="202">
        <v>0.0</v>
      </c>
      <c r="AZ727" s="200"/>
      <c r="BA727" s="171" t="str">
        <f t="shared" si="18"/>
        <v/>
      </c>
      <c r="BB727" s="171" t="str">
        <f t="shared" si="19"/>
        <v>Code</v>
      </c>
      <c r="BC727" s="171" t="str">
        <f t="shared" si="20"/>
        <v/>
      </c>
      <c r="BD727" s="171" t="str">
        <f t="shared" si="21"/>
        <v/>
      </c>
      <c r="BE727" s="171" t="str">
        <f t="shared" si="22"/>
        <v/>
      </c>
      <c r="BF727" s="171" t="str">
        <f t="shared" si="23"/>
        <v>Code</v>
      </c>
    </row>
    <row r="728">
      <c r="A728" s="171">
        <f t="array" ref="A728">XLOOKUP(C728,ICSE!A:A,ICSE!C:C,,2,1)</f>
        <v>2017</v>
      </c>
      <c r="B728" s="171" t="s">
        <v>5675</v>
      </c>
      <c r="C728" s="160">
        <v>1406.0</v>
      </c>
      <c r="D728" s="161" t="s">
        <v>854</v>
      </c>
      <c r="E728" s="197" t="str">
        <f t="array" ref="E728">XLOOKUP(C728,ICSE!A:A,ICSE!Z:Z,,0,1)</f>
        <v>Not available (1) - Broken link.</v>
      </c>
      <c r="F728" s="198" t="s">
        <v>21</v>
      </c>
      <c r="G728" s="163" t="str">
        <f t="array" ref="G728">IF(B728="ICSE",IF(COUNTIFS(B:B,B728,C:C,C728)=XLOOKUP(C728,ICSE!A:A,ICSE!AA:AA,"ERROR",0,1),"OK","ERROR"),IF(B728="FSE",IF(COUNTIFS(B:B,B728,C:C,C728)=XLOOKUP(C728,FSE!A:A,FSE!AA:AA,"ERROR",0,1),"OK","ERROR")))</f>
        <v>OK</v>
      </c>
      <c r="H728" s="199">
        <f t="shared" ref="H728:O728" si="3666">countif($D728,"*"&amp;H$2&amp;"*")</f>
        <v>0</v>
      </c>
      <c r="I728" s="200">
        <f t="shared" si="3666"/>
        <v>0</v>
      </c>
      <c r="J728" s="200">
        <f t="shared" si="3666"/>
        <v>0</v>
      </c>
      <c r="K728" s="200">
        <f t="shared" si="3666"/>
        <v>0</v>
      </c>
      <c r="L728" s="200">
        <f t="shared" si="3666"/>
        <v>0</v>
      </c>
      <c r="M728" s="200">
        <f t="shared" si="3666"/>
        <v>0</v>
      </c>
      <c r="N728" s="200">
        <f t="shared" si="3666"/>
        <v>0</v>
      </c>
      <c r="O728" s="200">
        <f t="shared" si="3666"/>
        <v>0</v>
      </c>
      <c r="P728" s="200">
        <f t="shared" si="9"/>
        <v>0</v>
      </c>
      <c r="Q728" s="200">
        <f t="shared" ref="Q728:AC728" si="3667">countif($D728,"*"&amp;Q$2&amp;"*")</f>
        <v>0</v>
      </c>
      <c r="R728" s="200">
        <f t="shared" si="3667"/>
        <v>0</v>
      </c>
      <c r="S728" s="200">
        <f t="shared" si="3667"/>
        <v>0</v>
      </c>
      <c r="T728" s="200">
        <f t="shared" si="3667"/>
        <v>0</v>
      </c>
      <c r="U728" s="200">
        <f t="shared" si="3667"/>
        <v>0</v>
      </c>
      <c r="V728" s="200">
        <f t="shared" si="3667"/>
        <v>0</v>
      </c>
      <c r="W728" s="200">
        <f t="shared" si="3667"/>
        <v>0</v>
      </c>
      <c r="X728" s="200">
        <f t="shared" si="3667"/>
        <v>0</v>
      </c>
      <c r="Y728" s="200">
        <f t="shared" si="3667"/>
        <v>0</v>
      </c>
      <c r="Z728" s="200">
        <f t="shared" si="3667"/>
        <v>0</v>
      </c>
      <c r="AA728" s="200">
        <f t="shared" si="3667"/>
        <v>0</v>
      </c>
      <c r="AB728" s="200">
        <f t="shared" si="3667"/>
        <v>0</v>
      </c>
      <c r="AC728" s="200">
        <f t="shared" si="3667"/>
        <v>0</v>
      </c>
      <c r="AD728" s="200">
        <f t="shared" si="11"/>
        <v>1</v>
      </c>
      <c r="AE728" s="200">
        <f t="shared" ref="AE728:AG728" si="3668">countif($D728,"*"&amp;AE$2&amp;"*")</f>
        <v>0</v>
      </c>
      <c r="AF728" s="200">
        <f t="shared" si="3668"/>
        <v>0</v>
      </c>
      <c r="AG728" s="200">
        <f t="shared" si="3668"/>
        <v>0</v>
      </c>
      <c r="AH728" s="171">
        <f t="shared" si="13"/>
        <v>0</v>
      </c>
      <c r="AI728" s="200">
        <f t="shared" si="14"/>
        <v>0</v>
      </c>
      <c r="AJ728" s="200">
        <f>SUM(AK728:AQ728)</f>
        <v>0</v>
      </c>
      <c r="AK728" s="201">
        <f t="shared" ref="AK728:AS728" si="3669">countif($D728,"*"&amp;AK$2&amp;"*")</f>
        <v>0</v>
      </c>
      <c r="AL728" s="201">
        <f t="shared" si="3669"/>
        <v>0</v>
      </c>
      <c r="AM728" s="201">
        <f t="shared" si="3669"/>
        <v>0</v>
      </c>
      <c r="AN728" s="201">
        <f t="shared" si="3669"/>
        <v>0</v>
      </c>
      <c r="AO728" s="201">
        <f t="shared" si="3669"/>
        <v>0</v>
      </c>
      <c r="AP728" s="201">
        <f t="shared" si="3669"/>
        <v>0</v>
      </c>
      <c r="AQ728" s="201">
        <f t="shared" si="3669"/>
        <v>0</v>
      </c>
      <c r="AR728" s="201">
        <f t="shared" si="3669"/>
        <v>0</v>
      </c>
      <c r="AS728" s="200">
        <f t="shared" si="3669"/>
        <v>0</v>
      </c>
      <c r="AT728" s="205">
        <v>0.0</v>
      </c>
      <c r="AU728" s="200">
        <f t="shared" ref="AU728:AX728" si="3670">countif($D728,"*"&amp;AU$2&amp;"*")</f>
        <v>1</v>
      </c>
      <c r="AV728" s="200">
        <f t="shared" si="3670"/>
        <v>0</v>
      </c>
      <c r="AW728" s="200">
        <f t="shared" si="3670"/>
        <v>0</v>
      </c>
      <c r="AX728" s="200">
        <f t="shared" si="3670"/>
        <v>0</v>
      </c>
      <c r="AY728" s="202">
        <v>0.0</v>
      </c>
      <c r="AZ728" s="200"/>
      <c r="BA728" s="171" t="str">
        <f t="shared" si="18"/>
        <v/>
      </c>
      <c r="BB728" s="171" t="str">
        <f t="shared" si="19"/>
        <v/>
      </c>
      <c r="BC728" s="171" t="str">
        <f t="shared" si="20"/>
        <v/>
      </c>
      <c r="BD728" s="171" t="str">
        <f t="shared" si="21"/>
        <v>Institutional</v>
      </c>
      <c r="BE728" s="171" t="str">
        <f t="shared" si="22"/>
        <v/>
      </c>
      <c r="BF728" s="171" t="str">
        <f t="shared" si="23"/>
        <v>Institutional</v>
      </c>
    </row>
    <row r="729">
      <c r="A729" s="171">
        <f t="array" ref="A729">XLOOKUP(C729,ICSE!A:A,ICSE!C:C,,2,1)</f>
        <v>2017</v>
      </c>
      <c r="B729" s="171" t="s">
        <v>5675</v>
      </c>
      <c r="C729" s="160">
        <v>1407.0</v>
      </c>
      <c r="D729" s="161" t="s">
        <v>5985</v>
      </c>
      <c r="E729" s="197" t="str">
        <f t="array" ref="E729">XLOOKUP(C729,ICSE!A:A,ICSE!Z:Z,,0,1)</f>
        <v>Publicly available (1)</v>
      </c>
      <c r="F729" s="198" t="s">
        <v>20</v>
      </c>
      <c r="G729" s="163" t="str">
        <f t="array" ref="G729">IF(B729="ICSE",IF(COUNTIFS(B:B,B729,C:C,C729)=XLOOKUP(C729,ICSE!A:A,ICSE!AA:AA,"ERROR",0,1),"OK","ERROR"),IF(B729="FSE",IF(COUNTIFS(B:B,B729,C:C,C729)=XLOOKUP(C729,FSE!A:A,FSE!AA:AA,"ERROR",0,1),"OK","ERROR")))</f>
        <v>OK</v>
      </c>
      <c r="H729" s="199">
        <f t="shared" ref="H729:O729" si="3671">countif($D729,"*"&amp;H$2&amp;"*")</f>
        <v>0</v>
      </c>
      <c r="I729" s="200">
        <f t="shared" si="3671"/>
        <v>0</v>
      </c>
      <c r="J729" s="200">
        <f t="shared" si="3671"/>
        <v>0</v>
      </c>
      <c r="K729" s="200">
        <f t="shared" si="3671"/>
        <v>0</v>
      </c>
      <c r="L729" s="200">
        <f t="shared" si="3671"/>
        <v>0</v>
      </c>
      <c r="M729" s="200">
        <f t="shared" si="3671"/>
        <v>0</v>
      </c>
      <c r="N729" s="200">
        <f t="shared" si="3671"/>
        <v>0</v>
      </c>
      <c r="O729" s="200">
        <f t="shared" si="3671"/>
        <v>0</v>
      </c>
      <c r="P729" s="200">
        <f t="shared" si="9"/>
        <v>1</v>
      </c>
      <c r="Q729" s="200">
        <f t="shared" ref="Q729:AC729" si="3672">countif($D729,"*"&amp;Q$2&amp;"*")</f>
        <v>0</v>
      </c>
      <c r="R729" s="200">
        <f t="shared" si="3672"/>
        <v>0</v>
      </c>
      <c r="S729" s="200">
        <f t="shared" si="3672"/>
        <v>0</v>
      </c>
      <c r="T729" s="200">
        <f t="shared" si="3672"/>
        <v>0</v>
      </c>
      <c r="U729" s="200">
        <f t="shared" si="3672"/>
        <v>0</v>
      </c>
      <c r="V729" s="200">
        <f t="shared" si="3672"/>
        <v>0</v>
      </c>
      <c r="W729" s="200">
        <f t="shared" si="3672"/>
        <v>0</v>
      </c>
      <c r="X729" s="200">
        <f t="shared" si="3672"/>
        <v>0</v>
      </c>
      <c r="Y729" s="200">
        <f t="shared" si="3672"/>
        <v>0</v>
      </c>
      <c r="Z729" s="200">
        <f t="shared" si="3672"/>
        <v>0</v>
      </c>
      <c r="AA729" s="200">
        <f t="shared" si="3672"/>
        <v>0</v>
      </c>
      <c r="AB729" s="200">
        <f t="shared" si="3672"/>
        <v>0</v>
      </c>
      <c r="AC729" s="200">
        <f t="shared" si="3672"/>
        <v>0</v>
      </c>
      <c r="AD729" s="200">
        <f t="shared" si="11"/>
        <v>0</v>
      </c>
      <c r="AE729" s="200">
        <f t="shared" ref="AE729:AG729" si="3673">countif($D729,"*"&amp;AE$2&amp;"*")</f>
        <v>0</v>
      </c>
      <c r="AF729" s="200">
        <f t="shared" si="3673"/>
        <v>0</v>
      </c>
      <c r="AG729" s="200">
        <f t="shared" si="3673"/>
        <v>0</v>
      </c>
      <c r="AH729" s="171">
        <f t="shared" si="13"/>
        <v>0</v>
      </c>
      <c r="AI729" s="200">
        <f t="shared" si="14"/>
        <v>0</v>
      </c>
      <c r="AJ729" s="200">
        <f t="shared" ref="AJ729:AJ731" si="3679">SUM(AK729:AR729)</f>
        <v>0</v>
      </c>
      <c r="AK729" s="201">
        <f t="shared" ref="AK729:AS729" si="3674">countif($D729,"*"&amp;AK$2&amp;"*")</f>
        <v>0</v>
      </c>
      <c r="AL729" s="201">
        <f t="shared" si="3674"/>
        <v>0</v>
      </c>
      <c r="AM729" s="201">
        <f t="shared" si="3674"/>
        <v>0</v>
      </c>
      <c r="AN729" s="201">
        <f t="shared" si="3674"/>
        <v>0</v>
      </c>
      <c r="AO729" s="201">
        <f t="shared" si="3674"/>
        <v>0</v>
      </c>
      <c r="AP729" s="201">
        <f t="shared" si="3674"/>
        <v>0</v>
      </c>
      <c r="AQ729" s="201">
        <f t="shared" si="3674"/>
        <v>0</v>
      </c>
      <c r="AR729" s="200">
        <f t="shared" si="3674"/>
        <v>0</v>
      </c>
      <c r="AS729" s="200">
        <f t="shared" si="3674"/>
        <v>1</v>
      </c>
      <c r="AT729" s="173">
        <v>0.0</v>
      </c>
      <c r="AU729" s="200">
        <f t="shared" ref="AU729:AX729" si="3675">countif($D729,"*"&amp;AU$2&amp;"*")</f>
        <v>0</v>
      </c>
      <c r="AV729" s="200">
        <f t="shared" si="3675"/>
        <v>1</v>
      </c>
      <c r="AW729" s="200">
        <f t="shared" si="3675"/>
        <v>0</v>
      </c>
      <c r="AX729" s="200">
        <f t="shared" si="3675"/>
        <v>0</v>
      </c>
      <c r="AY729" s="202">
        <v>0.0</v>
      </c>
      <c r="AZ729" s="200"/>
      <c r="BA729" s="171" t="str">
        <f t="shared" si="18"/>
        <v/>
      </c>
      <c r="BB729" s="171" t="str">
        <f t="shared" si="19"/>
        <v>Code</v>
      </c>
      <c r="BC729" s="171" t="str">
        <f t="shared" si="20"/>
        <v/>
      </c>
      <c r="BD729" s="171" t="str">
        <f t="shared" si="21"/>
        <v/>
      </c>
      <c r="BE729" s="171" t="str">
        <f t="shared" si="22"/>
        <v/>
      </c>
      <c r="BF729" s="171" t="str">
        <f t="shared" si="23"/>
        <v>Code</v>
      </c>
    </row>
    <row r="730">
      <c r="A730" s="171">
        <f t="array" ref="A730">XLOOKUP(C730,ICSE!A:A,ICSE!C:C,,2,1)</f>
        <v>2017</v>
      </c>
      <c r="B730" s="171" t="s">
        <v>5675</v>
      </c>
      <c r="C730" s="160">
        <v>1408.0</v>
      </c>
      <c r="D730" s="161" t="s">
        <v>5986</v>
      </c>
      <c r="E730" s="197" t="str">
        <f t="array" ref="E730">XLOOKUP(C730,ICSE!A:A,ICSE!Z:Z,,0,1)</f>
        <v>Publicly available (2)</v>
      </c>
      <c r="F730" s="198" t="s">
        <v>20</v>
      </c>
      <c r="G730" s="163" t="str">
        <f t="array" ref="G730">IF(B730="ICSE",IF(COUNTIFS(B:B,B730,C:C,C730)=XLOOKUP(C730,ICSE!A:A,ICSE!AA:AA,"ERROR",0,1),"OK","ERROR"),IF(B730="FSE",IF(COUNTIFS(B:B,B730,C:C,C730)=XLOOKUP(C730,FSE!A:A,FSE!AA:AA,"ERROR",0,1),"OK","ERROR")))</f>
        <v>OK</v>
      </c>
      <c r="H730" s="199">
        <f t="shared" ref="H730:O730" si="3676">countif($D730,"*"&amp;H$2&amp;"*")</f>
        <v>1</v>
      </c>
      <c r="I730" s="200">
        <f t="shared" si="3676"/>
        <v>0</v>
      </c>
      <c r="J730" s="200">
        <f t="shared" si="3676"/>
        <v>0</v>
      </c>
      <c r="K730" s="200">
        <f t="shared" si="3676"/>
        <v>0</v>
      </c>
      <c r="L730" s="200">
        <f t="shared" si="3676"/>
        <v>0</v>
      </c>
      <c r="M730" s="200">
        <f t="shared" si="3676"/>
        <v>0</v>
      </c>
      <c r="N730" s="200">
        <f t="shared" si="3676"/>
        <v>0</v>
      </c>
      <c r="O730" s="200">
        <f t="shared" si="3676"/>
        <v>0</v>
      </c>
      <c r="P730" s="200">
        <f t="shared" si="9"/>
        <v>0</v>
      </c>
      <c r="Q730" s="200">
        <f t="shared" ref="Q730:AC730" si="3677">countif($D730,"*"&amp;Q$2&amp;"*")</f>
        <v>0</v>
      </c>
      <c r="R730" s="200">
        <f t="shared" si="3677"/>
        <v>0</v>
      </c>
      <c r="S730" s="200">
        <f t="shared" si="3677"/>
        <v>0</v>
      </c>
      <c r="T730" s="200">
        <f t="shared" si="3677"/>
        <v>0</v>
      </c>
      <c r="U730" s="200">
        <f t="shared" si="3677"/>
        <v>0</v>
      </c>
      <c r="V730" s="200">
        <f t="shared" si="3677"/>
        <v>0</v>
      </c>
      <c r="W730" s="200">
        <f t="shared" si="3677"/>
        <v>0</v>
      </c>
      <c r="X730" s="200">
        <f t="shared" si="3677"/>
        <v>0</v>
      </c>
      <c r="Y730" s="200">
        <f t="shared" si="3677"/>
        <v>0</v>
      </c>
      <c r="Z730" s="200">
        <f t="shared" si="3677"/>
        <v>0</v>
      </c>
      <c r="AA730" s="200">
        <f t="shared" si="3677"/>
        <v>0</v>
      </c>
      <c r="AB730" s="200">
        <f t="shared" si="3677"/>
        <v>0</v>
      </c>
      <c r="AC730" s="200">
        <f t="shared" si="3677"/>
        <v>0</v>
      </c>
      <c r="AD730" s="200">
        <f t="shared" si="11"/>
        <v>0</v>
      </c>
      <c r="AE730" s="200">
        <f t="shared" ref="AE730:AG730" si="3678">countif($D730,"*"&amp;AE$2&amp;"*")</f>
        <v>0</v>
      </c>
      <c r="AF730" s="200">
        <f t="shared" si="3678"/>
        <v>0</v>
      </c>
      <c r="AG730" s="200">
        <f t="shared" si="3678"/>
        <v>0</v>
      </c>
      <c r="AH730" s="171">
        <f t="shared" si="13"/>
        <v>0</v>
      </c>
      <c r="AI730" s="200">
        <f t="shared" si="14"/>
        <v>1</v>
      </c>
      <c r="AJ730" s="200">
        <f t="shared" si="3679"/>
        <v>0</v>
      </c>
      <c r="AK730" s="201">
        <f t="shared" ref="AK730:AS730" si="3680">countif($D730,"*"&amp;AK$2&amp;"*")</f>
        <v>0</v>
      </c>
      <c r="AL730" s="201">
        <f t="shared" si="3680"/>
        <v>0</v>
      </c>
      <c r="AM730" s="201">
        <f t="shared" si="3680"/>
        <v>0</v>
      </c>
      <c r="AN730" s="201">
        <f t="shared" si="3680"/>
        <v>0</v>
      </c>
      <c r="AO730" s="201">
        <f t="shared" si="3680"/>
        <v>0</v>
      </c>
      <c r="AP730" s="201">
        <f t="shared" si="3680"/>
        <v>0</v>
      </c>
      <c r="AQ730" s="201">
        <f t="shared" si="3680"/>
        <v>0</v>
      </c>
      <c r="AR730" s="200">
        <f t="shared" si="3680"/>
        <v>0</v>
      </c>
      <c r="AS730" s="200">
        <f t="shared" si="3680"/>
        <v>0</v>
      </c>
      <c r="AT730" s="173">
        <v>0.0</v>
      </c>
      <c r="AU730" s="200">
        <f t="shared" ref="AU730:AX730" si="3681">countif($D730,"*"&amp;AU$2&amp;"*")</f>
        <v>0</v>
      </c>
      <c r="AV730" s="200">
        <f t="shared" si="3681"/>
        <v>0</v>
      </c>
      <c r="AW730" s="200">
        <f t="shared" si="3681"/>
        <v>0</v>
      </c>
      <c r="AX730" s="200">
        <f t="shared" si="3681"/>
        <v>1</v>
      </c>
      <c r="AY730" s="202">
        <v>0.0</v>
      </c>
      <c r="AZ730" s="200"/>
      <c r="BA730" s="171" t="str">
        <f t="shared" si="18"/>
        <v>Archival</v>
      </c>
      <c r="BB730" s="171" t="str">
        <f t="shared" si="19"/>
        <v/>
      </c>
      <c r="BC730" s="171" t="str">
        <f t="shared" si="20"/>
        <v/>
      </c>
      <c r="BD730" s="171" t="str">
        <f t="shared" si="21"/>
        <v/>
      </c>
      <c r="BE730" s="171" t="str">
        <f t="shared" si="22"/>
        <v/>
      </c>
      <c r="BF730" s="171" t="str">
        <f t="shared" si="23"/>
        <v>Archival</v>
      </c>
    </row>
    <row r="731">
      <c r="A731" s="171">
        <f t="array" ref="A731">XLOOKUP(C731,ICSE!A:A,ICSE!C:C,,2,1)</f>
        <v>2017</v>
      </c>
      <c r="B731" s="171" t="s">
        <v>5675</v>
      </c>
      <c r="C731" s="160">
        <v>1408.0</v>
      </c>
      <c r="D731" s="161" t="s">
        <v>5987</v>
      </c>
      <c r="E731" s="197" t="str">
        <f t="array" ref="E731">XLOOKUP(C731,ICSE!A:A,ICSE!Z:Z,,0,1)</f>
        <v>Publicly available (2)</v>
      </c>
      <c r="F731" s="198" t="s">
        <v>20</v>
      </c>
      <c r="G731" s="163" t="str">
        <f t="array" ref="G731">IF(B731="ICSE",IF(COUNTIFS(B:B,B731,C:C,C731)=XLOOKUP(C731,ICSE!A:A,ICSE!AA:AA,"ERROR",0,1),"OK","ERROR"),IF(B731="FSE",IF(COUNTIFS(B:B,B731,C:C,C731)=XLOOKUP(C731,FSE!A:A,FSE!AA:AA,"ERROR",0,1),"OK","ERROR")))</f>
        <v>OK</v>
      </c>
      <c r="H731" s="199">
        <f t="shared" ref="H731:O731" si="3682">countif($D731,"*"&amp;H$2&amp;"*")</f>
        <v>1</v>
      </c>
      <c r="I731" s="200">
        <f t="shared" si="3682"/>
        <v>0</v>
      </c>
      <c r="J731" s="200">
        <f t="shared" si="3682"/>
        <v>0</v>
      </c>
      <c r="K731" s="200">
        <f t="shared" si="3682"/>
        <v>0</v>
      </c>
      <c r="L731" s="200">
        <f t="shared" si="3682"/>
        <v>0</v>
      </c>
      <c r="M731" s="200">
        <f t="shared" si="3682"/>
        <v>0</v>
      </c>
      <c r="N731" s="200">
        <f t="shared" si="3682"/>
        <v>0</v>
      </c>
      <c r="O731" s="200">
        <f t="shared" si="3682"/>
        <v>0</v>
      </c>
      <c r="P731" s="200">
        <f t="shared" si="9"/>
        <v>0</v>
      </c>
      <c r="Q731" s="200">
        <f t="shared" ref="Q731:AC731" si="3683">countif($D731,"*"&amp;Q$2&amp;"*")</f>
        <v>0</v>
      </c>
      <c r="R731" s="200">
        <f t="shared" si="3683"/>
        <v>0</v>
      </c>
      <c r="S731" s="200">
        <f t="shared" si="3683"/>
        <v>0</v>
      </c>
      <c r="T731" s="200">
        <f t="shared" si="3683"/>
        <v>0</v>
      </c>
      <c r="U731" s="200">
        <f t="shared" si="3683"/>
        <v>0</v>
      </c>
      <c r="V731" s="200">
        <f t="shared" si="3683"/>
        <v>0</v>
      </c>
      <c r="W731" s="200">
        <f t="shared" si="3683"/>
        <v>0</v>
      </c>
      <c r="X731" s="200">
        <f t="shared" si="3683"/>
        <v>0</v>
      </c>
      <c r="Y731" s="200">
        <f t="shared" si="3683"/>
        <v>0</v>
      </c>
      <c r="Z731" s="200">
        <f t="shared" si="3683"/>
        <v>0</v>
      </c>
      <c r="AA731" s="200">
        <f t="shared" si="3683"/>
        <v>0</v>
      </c>
      <c r="AB731" s="200">
        <f t="shared" si="3683"/>
        <v>0</v>
      </c>
      <c r="AC731" s="200">
        <f t="shared" si="3683"/>
        <v>0</v>
      </c>
      <c r="AD731" s="200">
        <f t="shared" si="11"/>
        <v>0</v>
      </c>
      <c r="AE731" s="200">
        <f t="shared" ref="AE731:AG731" si="3684">countif($D731,"*"&amp;AE$2&amp;"*")</f>
        <v>0</v>
      </c>
      <c r="AF731" s="200">
        <f t="shared" si="3684"/>
        <v>0</v>
      </c>
      <c r="AG731" s="200">
        <f t="shared" si="3684"/>
        <v>0</v>
      </c>
      <c r="AH731" s="171">
        <f t="shared" si="13"/>
        <v>0</v>
      </c>
      <c r="AI731" s="200">
        <f t="shared" si="14"/>
        <v>1</v>
      </c>
      <c r="AJ731" s="200">
        <f t="shared" si="3679"/>
        <v>0</v>
      </c>
      <c r="AK731" s="201">
        <f t="shared" ref="AK731:AS731" si="3685">countif($D731,"*"&amp;AK$2&amp;"*")</f>
        <v>0</v>
      </c>
      <c r="AL731" s="201">
        <f t="shared" si="3685"/>
        <v>0</v>
      </c>
      <c r="AM731" s="201">
        <f t="shared" si="3685"/>
        <v>0</v>
      </c>
      <c r="AN731" s="201">
        <f t="shared" si="3685"/>
        <v>0</v>
      </c>
      <c r="AO731" s="201">
        <f t="shared" si="3685"/>
        <v>0</v>
      </c>
      <c r="AP731" s="201">
        <f t="shared" si="3685"/>
        <v>0</v>
      </c>
      <c r="AQ731" s="201">
        <f t="shared" si="3685"/>
        <v>0</v>
      </c>
      <c r="AR731" s="200">
        <f t="shared" si="3685"/>
        <v>0</v>
      </c>
      <c r="AS731" s="200">
        <f t="shared" si="3685"/>
        <v>0</v>
      </c>
      <c r="AT731" s="173">
        <v>0.0</v>
      </c>
      <c r="AU731" s="200">
        <f t="shared" ref="AU731:AX731" si="3686">countif($D731,"*"&amp;AU$2&amp;"*")</f>
        <v>0</v>
      </c>
      <c r="AV731" s="200">
        <f t="shared" si="3686"/>
        <v>0</v>
      </c>
      <c r="AW731" s="200">
        <f t="shared" si="3686"/>
        <v>0</v>
      </c>
      <c r="AX731" s="200">
        <f t="shared" si="3686"/>
        <v>1</v>
      </c>
      <c r="AY731" s="202">
        <v>0.0</v>
      </c>
      <c r="AZ731" s="200"/>
      <c r="BA731" s="171" t="str">
        <f t="shared" si="18"/>
        <v>Archival</v>
      </c>
      <c r="BB731" s="171" t="str">
        <f t="shared" si="19"/>
        <v/>
      </c>
      <c r="BC731" s="171" t="str">
        <f t="shared" si="20"/>
        <v/>
      </c>
      <c r="BD731" s="171" t="str">
        <f t="shared" si="21"/>
        <v/>
      </c>
      <c r="BE731" s="171" t="str">
        <f t="shared" si="22"/>
        <v/>
      </c>
      <c r="BF731" s="171" t="str">
        <f t="shared" si="23"/>
        <v>Archival</v>
      </c>
    </row>
    <row r="732">
      <c r="A732" s="171">
        <f t="array" ref="A732">XLOOKUP(C732,ICSE!A:A,ICSE!C:C,,2,1)</f>
        <v>2017</v>
      </c>
      <c r="B732" s="171" t="s">
        <v>5675</v>
      </c>
      <c r="C732" s="160">
        <v>1410.0</v>
      </c>
      <c r="D732" s="161" t="s">
        <v>866</v>
      </c>
      <c r="E732" s="197" t="str">
        <f t="array" ref="E732">XLOOKUP(C732,ICSE!A:A,ICSE!Z:Z,,0,1)</f>
        <v>Publicly available (1)</v>
      </c>
      <c r="F732" s="198" t="s">
        <v>20</v>
      </c>
      <c r="G732" s="163" t="str">
        <f t="array" ref="G732">IF(B732="ICSE",IF(COUNTIFS(B:B,B732,C:C,C732)=XLOOKUP(C732,ICSE!A:A,ICSE!AA:AA,"ERROR",0,1),"OK","ERROR"),IF(B732="FSE",IF(COUNTIFS(B:B,B732,C:C,C732)=XLOOKUP(C732,FSE!A:A,FSE!AA:AA,"ERROR",0,1),"OK","ERROR")))</f>
        <v>OK</v>
      </c>
      <c r="H732" s="199">
        <f t="shared" ref="H732:O732" si="3687">countif($D732,"*"&amp;H$2&amp;"*")</f>
        <v>0</v>
      </c>
      <c r="I732" s="200">
        <f t="shared" si="3687"/>
        <v>0</v>
      </c>
      <c r="J732" s="200">
        <f t="shared" si="3687"/>
        <v>0</v>
      </c>
      <c r="K732" s="200">
        <f t="shared" si="3687"/>
        <v>0</v>
      </c>
      <c r="L732" s="200">
        <f t="shared" si="3687"/>
        <v>0</v>
      </c>
      <c r="M732" s="200">
        <f t="shared" si="3687"/>
        <v>0</v>
      </c>
      <c r="N732" s="200">
        <f t="shared" si="3687"/>
        <v>0</v>
      </c>
      <c r="O732" s="200">
        <f t="shared" si="3687"/>
        <v>0</v>
      </c>
      <c r="P732" s="200">
        <f t="shared" si="9"/>
        <v>0</v>
      </c>
      <c r="Q732" s="200">
        <f t="shared" ref="Q732:AC732" si="3688">countif($D732,"*"&amp;Q$2&amp;"*")</f>
        <v>0</v>
      </c>
      <c r="R732" s="200">
        <f t="shared" si="3688"/>
        <v>0</v>
      </c>
      <c r="S732" s="200">
        <f t="shared" si="3688"/>
        <v>0</v>
      </c>
      <c r="T732" s="200">
        <f t="shared" si="3688"/>
        <v>0</v>
      </c>
      <c r="U732" s="200">
        <f t="shared" si="3688"/>
        <v>0</v>
      </c>
      <c r="V732" s="200">
        <f t="shared" si="3688"/>
        <v>0</v>
      </c>
      <c r="W732" s="200">
        <f t="shared" si="3688"/>
        <v>0</v>
      </c>
      <c r="X732" s="200">
        <f t="shared" si="3688"/>
        <v>0</v>
      </c>
      <c r="Y732" s="200">
        <f t="shared" si="3688"/>
        <v>0</v>
      </c>
      <c r="Z732" s="200">
        <f t="shared" si="3688"/>
        <v>0</v>
      </c>
      <c r="AA732" s="200">
        <f t="shared" si="3688"/>
        <v>0</v>
      </c>
      <c r="AB732" s="200">
        <f t="shared" si="3688"/>
        <v>0</v>
      </c>
      <c r="AC732" s="200">
        <f t="shared" si="3688"/>
        <v>0</v>
      </c>
      <c r="AD732" s="200">
        <f t="shared" si="11"/>
        <v>1</v>
      </c>
      <c r="AE732" s="200">
        <f t="shared" ref="AE732:AG732" si="3689">countif($D732,"*"&amp;AE$2&amp;"*")</f>
        <v>0</v>
      </c>
      <c r="AF732" s="200">
        <f t="shared" si="3689"/>
        <v>0</v>
      </c>
      <c r="AG732" s="200">
        <f t="shared" si="3689"/>
        <v>0</v>
      </c>
      <c r="AH732" s="171">
        <f t="shared" si="13"/>
        <v>0</v>
      </c>
      <c r="AI732" s="200">
        <f t="shared" si="14"/>
        <v>0</v>
      </c>
      <c r="AJ732" s="200">
        <f>SUM(AK732:AQ732)</f>
        <v>0</v>
      </c>
      <c r="AK732" s="201">
        <f t="shared" ref="AK732:AS732" si="3690">countif($D732,"*"&amp;AK$2&amp;"*")</f>
        <v>0</v>
      </c>
      <c r="AL732" s="201">
        <f t="shared" si="3690"/>
        <v>0</v>
      </c>
      <c r="AM732" s="201">
        <f t="shared" si="3690"/>
        <v>0</v>
      </c>
      <c r="AN732" s="201">
        <f t="shared" si="3690"/>
        <v>0</v>
      </c>
      <c r="AO732" s="201">
        <f t="shared" si="3690"/>
        <v>0</v>
      </c>
      <c r="AP732" s="201">
        <f t="shared" si="3690"/>
        <v>0</v>
      </c>
      <c r="AQ732" s="201">
        <f t="shared" si="3690"/>
        <v>0</v>
      </c>
      <c r="AR732" s="201">
        <f t="shared" si="3690"/>
        <v>0</v>
      </c>
      <c r="AS732" s="200">
        <f t="shared" si="3690"/>
        <v>0</v>
      </c>
      <c r="AT732" s="205">
        <v>0.0</v>
      </c>
      <c r="AU732" s="200">
        <f t="shared" ref="AU732:AX732" si="3691">countif($D732,"*"&amp;AU$2&amp;"*")</f>
        <v>1</v>
      </c>
      <c r="AV732" s="200">
        <f t="shared" si="3691"/>
        <v>0</v>
      </c>
      <c r="AW732" s="200">
        <f t="shared" si="3691"/>
        <v>0</v>
      </c>
      <c r="AX732" s="200">
        <f t="shared" si="3691"/>
        <v>0</v>
      </c>
      <c r="AY732" s="202">
        <v>0.0</v>
      </c>
      <c r="AZ732" s="200"/>
      <c r="BA732" s="171" t="str">
        <f t="shared" si="18"/>
        <v/>
      </c>
      <c r="BB732" s="171" t="str">
        <f t="shared" si="19"/>
        <v/>
      </c>
      <c r="BC732" s="171" t="str">
        <f t="shared" si="20"/>
        <v/>
      </c>
      <c r="BD732" s="171" t="str">
        <f t="shared" si="21"/>
        <v>Institutional</v>
      </c>
      <c r="BE732" s="171" t="str">
        <f t="shared" si="22"/>
        <v/>
      </c>
      <c r="BF732" s="171" t="str">
        <f t="shared" si="23"/>
        <v>Institutional</v>
      </c>
    </row>
    <row r="733">
      <c r="A733" s="171">
        <f t="array" ref="A733">XLOOKUP(C733,ICSE!A:A,ICSE!C:C,,2,1)</f>
        <v>2017</v>
      </c>
      <c r="B733" s="171" t="s">
        <v>5675</v>
      </c>
      <c r="C733" s="160">
        <v>1411.0</v>
      </c>
      <c r="D733" s="161" t="s">
        <v>869</v>
      </c>
      <c r="E733" s="197" t="str">
        <f t="array" ref="E733">XLOOKUP(C733,ICSE!A:A,ICSE!Z:Z,,0,1)</f>
        <v>Publicly available (1)</v>
      </c>
      <c r="F733" s="198" t="s">
        <v>20</v>
      </c>
      <c r="G733" s="163" t="str">
        <f t="array" ref="G733">IF(B733="ICSE",IF(COUNTIFS(B:B,B733,C:C,C733)=XLOOKUP(C733,ICSE!A:A,ICSE!AA:AA,"ERROR",0,1),"OK","ERROR"),IF(B733="FSE",IF(COUNTIFS(B:B,B733,C:C,C733)=XLOOKUP(C733,FSE!A:A,FSE!AA:AA,"ERROR",0,1),"OK","ERROR")))</f>
        <v>OK</v>
      </c>
      <c r="H733" s="199">
        <f t="shared" ref="H733:O733" si="3692">countif($D733,"*"&amp;H$2&amp;"*")</f>
        <v>0</v>
      </c>
      <c r="I733" s="200">
        <f t="shared" si="3692"/>
        <v>0</v>
      </c>
      <c r="J733" s="200">
        <f t="shared" si="3692"/>
        <v>0</v>
      </c>
      <c r="K733" s="200">
        <f t="shared" si="3692"/>
        <v>0</v>
      </c>
      <c r="L733" s="200">
        <f t="shared" si="3692"/>
        <v>0</v>
      </c>
      <c r="M733" s="200">
        <f t="shared" si="3692"/>
        <v>0</v>
      </c>
      <c r="N733" s="200">
        <f t="shared" si="3692"/>
        <v>0</v>
      </c>
      <c r="O733" s="200">
        <f t="shared" si="3692"/>
        <v>0</v>
      </c>
      <c r="P733" s="200">
        <f t="shared" si="9"/>
        <v>0</v>
      </c>
      <c r="Q733" s="200">
        <f t="shared" ref="Q733:AC733" si="3693">countif($D733,"*"&amp;Q$2&amp;"*")</f>
        <v>0</v>
      </c>
      <c r="R733" s="200">
        <f t="shared" si="3693"/>
        <v>0</v>
      </c>
      <c r="S733" s="200">
        <f t="shared" si="3693"/>
        <v>0</v>
      </c>
      <c r="T733" s="200">
        <f t="shared" si="3693"/>
        <v>0</v>
      </c>
      <c r="U733" s="200">
        <f t="shared" si="3693"/>
        <v>0</v>
      </c>
      <c r="V733" s="200">
        <f t="shared" si="3693"/>
        <v>0</v>
      </c>
      <c r="W733" s="200">
        <f t="shared" si="3693"/>
        <v>0</v>
      </c>
      <c r="X733" s="200">
        <f t="shared" si="3693"/>
        <v>0</v>
      </c>
      <c r="Y733" s="200">
        <f t="shared" si="3693"/>
        <v>0</v>
      </c>
      <c r="Z733" s="200">
        <f t="shared" si="3693"/>
        <v>0</v>
      </c>
      <c r="AA733" s="200">
        <f t="shared" si="3693"/>
        <v>0</v>
      </c>
      <c r="AB733" s="200">
        <f t="shared" si="3693"/>
        <v>0</v>
      </c>
      <c r="AC733" s="200">
        <f t="shared" si="3693"/>
        <v>0</v>
      </c>
      <c r="AD733" s="200">
        <f t="shared" si="11"/>
        <v>1</v>
      </c>
      <c r="AE733" s="200">
        <f t="shared" ref="AE733:AG733" si="3694">countif($D733,"*"&amp;AE$2&amp;"*")</f>
        <v>0</v>
      </c>
      <c r="AF733" s="200">
        <f t="shared" si="3694"/>
        <v>0</v>
      </c>
      <c r="AG733" s="200">
        <f t="shared" si="3694"/>
        <v>0</v>
      </c>
      <c r="AH733" s="171">
        <f t="shared" si="13"/>
        <v>0</v>
      </c>
      <c r="AI733" s="200">
        <f t="shared" si="14"/>
        <v>0</v>
      </c>
      <c r="AJ733" s="200">
        <f t="shared" ref="AJ733:AJ745" si="3700">SUM(AK733:AR733)</f>
        <v>0</v>
      </c>
      <c r="AK733" s="201">
        <f t="shared" ref="AK733:AS733" si="3695">countif($D733,"*"&amp;AK$2&amp;"*")</f>
        <v>0</v>
      </c>
      <c r="AL733" s="201">
        <f t="shared" si="3695"/>
        <v>0</v>
      </c>
      <c r="AM733" s="201">
        <f t="shared" si="3695"/>
        <v>0</v>
      </c>
      <c r="AN733" s="201">
        <f t="shared" si="3695"/>
        <v>0</v>
      </c>
      <c r="AO733" s="201">
        <f t="shared" si="3695"/>
        <v>0</v>
      </c>
      <c r="AP733" s="201">
        <f t="shared" si="3695"/>
        <v>0</v>
      </c>
      <c r="AQ733" s="201">
        <f t="shared" si="3695"/>
        <v>0</v>
      </c>
      <c r="AR733" s="200">
        <f t="shared" si="3695"/>
        <v>0</v>
      </c>
      <c r="AS733" s="200">
        <f t="shared" si="3695"/>
        <v>0</v>
      </c>
      <c r="AT733" s="173">
        <v>1.0</v>
      </c>
      <c r="AU733" s="200">
        <f t="shared" ref="AU733:AX733" si="3696">countif($D733,"*"&amp;AU$2&amp;"*")</f>
        <v>0</v>
      </c>
      <c r="AV733" s="200">
        <f t="shared" si="3696"/>
        <v>0</v>
      </c>
      <c r="AW733" s="200">
        <f t="shared" si="3696"/>
        <v>0</v>
      </c>
      <c r="AX733" s="200">
        <f t="shared" si="3696"/>
        <v>0</v>
      </c>
      <c r="AY733" s="202">
        <v>0.0</v>
      </c>
      <c r="AZ733" s="200"/>
      <c r="BA733" s="171" t="str">
        <f t="shared" si="18"/>
        <v/>
      </c>
      <c r="BB733" s="171" t="str">
        <f t="shared" si="19"/>
        <v/>
      </c>
      <c r="BC733" s="171" t="str">
        <f t="shared" si="20"/>
        <v/>
      </c>
      <c r="BD733" s="171" t="str">
        <f t="shared" si="21"/>
        <v>Institutional</v>
      </c>
      <c r="BE733" s="171" t="str">
        <f t="shared" si="22"/>
        <v/>
      </c>
      <c r="BF733" s="171" t="str">
        <f t="shared" si="23"/>
        <v>Institutional</v>
      </c>
    </row>
    <row r="734">
      <c r="A734" s="171">
        <f t="array" ref="A734">XLOOKUP(C734,ICSE!A:A,ICSE!C:C,,2,1)</f>
        <v>2017</v>
      </c>
      <c r="B734" s="171" t="s">
        <v>5675</v>
      </c>
      <c r="C734" s="160">
        <v>1412.0</v>
      </c>
      <c r="D734" s="161" t="s">
        <v>872</v>
      </c>
      <c r="E734" s="197" t="str">
        <f t="array" ref="E734">XLOOKUP(C734,ICSE!A:A,ICSE!Z:Z,,0,1)</f>
        <v>Publicly available (1)</v>
      </c>
      <c r="F734" s="198" t="s">
        <v>20</v>
      </c>
      <c r="G734" s="163" t="str">
        <f t="array" ref="G734">IF(B734="ICSE",IF(COUNTIFS(B:B,B734,C:C,C734)=XLOOKUP(C734,ICSE!A:A,ICSE!AA:AA,"ERROR",0,1),"OK","ERROR"),IF(B734="FSE",IF(COUNTIFS(B:B,B734,C:C,C734)=XLOOKUP(C734,FSE!A:A,FSE!AA:AA,"ERROR",0,1),"OK","ERROR")))</f>
        <v>OK</v>
      </c>
      <c r="H734" s="199">
        <f t="shared" ref="H734:O734" si="3697">countif($D734,"*"&amp;H$2&amp;"*")</f>
        <v>0</v>
      </c>
      <c r="I734" s="200">
        <f t="shared" si="3697"/>
        <v>0</v>
      </c>
      <c r="J734" s="200">
        <f t="shared" si="3697"/>
        <v>0</v>
      </c>
      <c r="K734" s="200">
        <f t="shared" si="3697"/>
        <v>0</v>
      </c>
      <c r="L734" s="200">
        <f t="shared" si="3697"/>
        <v>0</v>
      </c>
      <c r="M734" s="200">
        <f t="shared" si="3697"/>
        <v>0</v>
      </c>
      <c r="N734" s="200">
        <f t="shared" si="3697"/>
        <v>0</v>
      </c>
      <c r="O734" s="200">
        <f t="shared" si="3697"/>
        <v>0</v>
      </c>
      <c r="P734" s="200">
        <f t="shared" si="9"/>
        <v>1</v>
      </c>
      <c r="Q734" s="200">
        <f t="shared" ref="Q734:AC734" si="3698">countif($D734,"*"&amp;Q$2&amp;"*")</f>
        <v>0</v>
      </c>
      <c r="R734" s="200">
        <f t="shared" si="3698"/>
        <v>0</v>
      </c>
      <c r="S734" s="200">
        <f t="shared" si="3698"/>
        <v>0</v>
      </c>
      <c r="T734" s="200">
        <f t="shared" si="3698"/>
        <v>0</v>
      </c>
      <c r="U734" s="200">
        <f t="shared" si="3698"/>
        <v>0</v>
      </c>
      <c r="V734" s="200">
        <f t="shared" si="3698"/>
        <v>0</v>
      </c>
      <c r="W734" s="200">
        <f t="shared" si="3698"/>
        <v>0</v>
      </c>
      <c r="X734" s="200">
        <f t="shared" si="3698"/>
        <v>0</v>
      </c>
      <c r="Y734" s="200">
        <f t="shared" si="3698"/>
        <v>0</v>
      </c>
      <c r="Z734" s="200">
        <f t="shared" si="3698"/>
        <v>0</v>
      </c>
      <c r="AA734" s="200">
        <f t="shared" si="3698"/>
        <v>0</v>
      </c>
      <c r="AB734" s="200">
        <f t="shared" si="3698"/>
        <v>0</v>
      </c>
      <c r="AC734" s="200">
        <f t="shared" si="3698"/>
        <v>0</v>
      </c>
      <c r="AD734" s="200">
        <f t="shared" si="11"/>
        <v>0</v>
      </c>
      <c r="AE734" s="200">
        <f t="shared" ref="AE734:AG734" si="3699">countif($D734,"*"&amp;AE$2&amp;"*")</f>
        <v>0</v>
      </c>
      <c r="AF734" s="200">
        <f t="shared" si="3699"/>
        <v>0</v>
      </c>
      <c r="AG734" s="200">
        <f t="shared" si="3699"/>
        <v>0</v>
      </c>
      <c r="AH734" s="171">
        <f t="shared" si="13"/>
        <v>0</v>
      </c>
      <c r="AI734" s="200">
        <f t="shared" si="14"/>
        <v>0</v>
      </c>
      <c r="AJ734" s="200">
        <f t="shared" si="3700"/>
        <v>0</v>
      </c>
      <c r="AK734" s="201">
        <f t="shared" ref="AK734:AS734" si="3701">countif($D734,"*"&amp;AK$2&amp;"*")</f>
        <v>0</v>
      </c>
      <c r="AL734" s="201">
        <f t="shared" si="3701"/>
        <v>0</v>
      </c>
      <c r="AM734" s="201">
        <f t="shared" si="3701"/>
        <v>0</v>
      </c>
      <c r="AN734" s="201">
        <f t="shared" si="3701"/>
        <v>0</v>
      </c>
      <c r="AO734" s="201">
        <f t="shared" si="3701"/>
        <v>0</v>
      </c>
      <c r="AP734" s="201">
        <f t="shared" si="3701"/>
        <v>0</v>
      </c>
      <c r="AQ734" s="201">
        <f t="shared" si="3701"/>
        <v>0</v>
      </c>
      <c r="AR734" s="200">
        <f t="shared" si="3701"/>
        <v>0</v>
      </c>
      <c r="AS734" s="200">
        <f t="shared" si="3701"/>
        <v>0</v>
      </c>
      <c r="AT734" s="173">
        <v>0.0</v>
      </c>
      <c r="AU734" s="200">
        <f t="shared" ref="AU734:AX734" si="3702">countif($D734,"*"&amp;AU$2&amp;"*")</f>
        <v>0</v>
      </c>
      <c r="AV734" s="200">
        <f t="shared" si="3702"/>
        <v>1</v>
      </c>
      <c r="AW734" s="200">
        <f t="shared" si="3702"/>
        <v>0</v>
      </c>
      <c r="AX734" s="200">
        <f t="shared" si="3702"/>
        <v>0</v>
      </c>
      <c r="AY734" s="202">
        <v>0.0</v>
      </c>
      <c r="AZ734" s="200"/>
      <c r="BA734" s="171" t="str">
        <f t="shared" si="18"/>
        <v/>
      </c>
      <c r="BB734" s="171" t="str">
        <f t="shared" si="19"/>
        <v>Code</v>
      </c>
      <c r="BC734" s="171" t="str">
        <f t="shared" si="20"/>
        <v/>
      </c>
      <c r="BD734" s="171" t="str">
        <f t="shared" si="21"/>
        <v/>
      </c>
      <c r="BE734" s="171" t="str">
        <f t="shared" si="22"/>
        <v/>
      </c>
      <c r="BF734" s="171" t="str">
        <f t="shared" si="23"/>
        <v>Code</v>
      </c>
    </row>
    <row r="735">
      <c r="A735" s="171">
        <f t="array" ref="A735">XLOOKUP(C735,ICSE!A:A,ICSE!C:C,,2,1)</f>
        <v>2017</v>
      </c>
      <c r="B735" s="171" t="s">
        <v>5675</v>
      </c>
      <c r="C735" s="160">
        <v>1413.0</v>
      </c>
      <c r="D735" s="161" t="s">
        <v>875</v>
      </c>
      <c r="E735" s="197" t="str">
        <f t="array" ref="E735">XLOOKUP(C735,ICSE!A:A,ICSE!Z:Z,,0,1)</f>
        <v>Not available (1) - Broken link.</v>
      </c>
      <c r="F735" s="198" t="s">
        <v>21</v>
      </c>
      <c r="G735" s="163" t="str">
        <f t="array" ref="G735">IF(B735="ICSE",IF(COUNTIFS(B:B,B735,C:C,C735)=XLOOKUP(C735,ICSE!A:A,ICSE!AA:AA,"ERROR",0,1),"OK","ERROR"),IF(B735="FSE",IF(COUNTIFS(B:B,B735,C:C,C735)=XLOOKUP(C735,FSE!A:A,FSE!AA:AA,"ERROR",0,1),"OK","ERROR")))</f>
        <v>OK</v>
      </c>
      <c r="H735" s="199">
        <f t="shared" ref="H735:O735" si="3703">countif($D735,"*"&amp;H$2&amp;"*")</f>
        <v>0</v>
      </c>
      <c r="I735" s="200">
        <f t="shared" si="3703"/>
        <v>0</v>
      </c>
      <c r="J735" s="200">
        <f t="shared" si="3703"/>
        <v>0</v>
      </c>
      <c r="K735" s="200">
        <f t="shared" si="3703"/>
        <v>0</v>
      </c>
      <c r="L735" s="200">
        <f t="shared" si="3703"/>
        <v>0</v>
      </c>
      <c r="M735" s="200">
        <f t="shared" si="3703"/>
        <v>0</v>
      </c>
      <c r="N735" s="200">
        <f t="shared" si="3703"/>
        <v>0</v>
      </c>
      <c r="O735" s="200">
        <f t="shared" si="3703"/>
        <v>0</v>
      </c>
      <c r="P735" s="200">
        <f t="shared" si="9"/>
        <v>0</v>
      </c>
      <c r="Q735" s="200">
        <f t="shared" ref="Q735:AC735" si="3704">countif($D735,"*"&amp;Q$2&amp;"*")</f>
        <v>0</v>
      </c>
      <c r="R735" s="200">
        <f t="shared" si="3704"/>
        <v>0</v>
      </c>
      <c r="S735" s="200">
        <f t="shared" si="3704"/>
        <v>0</v>
      </c>
      <c r="T735" s="200">
        <f t="shared" si="3704"/>
        <v>0</v>
      </c>
      <c r="U735" s="200">
        <f t="shared" si="3704"/>
        <v>0</v>
      </c>
      <c r="V735" s="200">
        <f t="shared" si="3704"/>
        <v>0</v>
      </c>
      <c r="W735" s="200">
        <f t="shared" si="3704"/>
        <v>0</v>
      </c>
      <c r="X735" s="200">
        <f t="shared" si="3704"/>
        <v>0</v>
      </c>
      <c r="Y735" s="200">
        <f t="shared" si="3704"/>
        <v>0</v>
      </c>
      <c r="Z735" s="200">
        <f t="shared" si="3704"/>
        <v>0</v>
      </c>
      <c r="AA735" s="200">
        <f t="shared" si="3704"/>
        <v>0</v>
      </c>
      <c r="AB735" s="200">
        <f t="shared" si="3704"/>
        <v>0</v>
      </c>
      <c r="AC735" s="200">
        <f t="shared" si="3704"/>
        <v>0</v>
      </c>
      <c r="AD735" s="200">
        <f t="shared" si="11"/>
        <v>0</v>
      </c>
      <c r="AE735" s="200">
        <f t="shared" ref="AE735:AG735" si="3705">countif($D735,"*"&amp;AE$2&amp;"*")</f>
        <v>0</v>
      </c>
      <c r="AF735" s="200">
        <f t="shared" si="3705"/>
        <v>0</v>
      </c>
      <c r="AG735" s="200">
        <f t="shared" si="3705"/>
        <v>0</v>
      </c>
      <c r="AH735" s="171">
        <f t="shared" si="13"/>
        <v>1</v>
      </c>
      <c r="AI735" s="200">
        <f t="shared" si="14"/>
        <v>0</v>
      </c>
      <c r="AJ735" s="200">
        <f t="shared" si="3700"/>
        <v>0</v>
      </c>
      <c r="AK735" s="201">
        <f t="shared" ref="AK735:AS735" si="3706">countif($D735,"*"&amp;AK$2&amp;"*")</f>
        <v>0</v>
      </c>
      <c r="AL735" s="201">
        <f t="shared" si="3706"/>
        <v>0</v>
      </c>
      <c r="AM735" s="201">
        <f t="shared" si="3706"/>
        <v>0</v>
      </c>
      <c r="AN735" s="201">
        <f t="shared" si="3706"/>
        <v>0</v>
      </c>
      <c r="AO735" s="201">
        <f t="shared" si="3706"/>
        <v>0</v>
      </c>
      <c r="AP735" s="201">
        <f t="shared" si="3706"/>
        <v>0</v>
      </c>
      <c r="AQ735" s="201">
        <f t="shared" si="3706"/>
        <v>0</v>
      </c>
      <c r="AR735" s="200">
        <f t="shared" si="3706"/>
        <v>0</v>
      </c>
      <c r="AS735" s="200">
        <f t="shared" si="3706"/>
        <v>0</v>
      </c>
      <c r="AT735" s="173">
        <v>0.0</v>
      </c>
      <c r="AU735" s="200">
        <f t="shared" ref="AU735:AX735" si="3707">countif($D735,"*"&amp;AU$2&amp;"*")</f>
        <v>0</v>
      </c>
      <c r="AV735" s="200">
        <f t="shared" si="3707"/>
        <v>0</v>
      </c>
      <c r="AW735" s="200">
        <f t="shared" si="3707"/>
        <v>0</v>
      </c>
      <c r="AX735" s="200">
        <f t="shared" si="3707"/>
        <v>0</v>
      </c>
      <c r="AY735" s="202">
        <v>0.0</v>
      </c>
      <c r="AZ735" s="200"/>
      <c r="BA735" s="171" t="str">
        <f t="shared" si="18"/>
        <v/>
      </c>
      <c r="BB735" s="171" t="str">
        <f t="shared" si="19"/>
        <v/>
      </c>
      <c r="BC735" s="171" t="str">
        <f t="shared" si="20"/>
        <v/>
      </c>
      <c r="BD735" s="171" t="str">
        <f t="shared" si="21"/>
        <v/>
      </c>
      <c r="BE735" s="171" t="str">
        <f t="shared" si="22"/>
        <v>Others</v>
      </c>
      <c r="BF735" s="171" t="str">
        <f t="shared" si="23"/>
        <v>Others</v>
      </c>
    </row>
    <row r="736">
      <c r="A736" s="171">
        <f t="array" ref="A736">XLOOKUP(C736,ICSE!A:A,ICSE!C:C,,2,1)</f>
        <v>2017</v>
      </c>
      <c r="B736" s="171" t="s">
        <v>5675</v>
      </c>
      <c r="C736" s="160">
        <v>1414.0</v>
      </c>
      <c r="D736" s="161" t="s">
        <v>5988</v>
      </c>
      <c r="E736" s="197" t="str">
        <f t="array" ref="E736">XLOOKUP(C736,ICSE!A:A,ICSE!Z:Z,,0,1)</f>
        <v>Publicly available (1)</v>
      </c>
      <c r="F736" s="198" t="s">
        <v>20</v>
      </c>
      <c r="G736" s="163" t="str">
        <f t="array" ref="G736">IF(B736="ICSE",IF(COUNTIFS(B:B,B736,C:C,C736)=XLOOKUP(C736,ICSE!A:A,ICSE!AA:AA,"ERROR",0,1),"OK","ERROR"),IF(B736="FSE",IF(COUNTIFS(B:B,B736,C:C,C736)=XLOOKUP(C736,FSE!A:A,FSE!AA:AA,"ERROR",0,1),"OK","ERROR")))</f>
        <v>OK</v>
      </c>
      <c r="H736" s="199">
        <f t="shared" ref="H736:O736" si="3708">countif($D736,"*"&amp;H$2&amp;"*")</f>
        <v>0</v>
      </c>
      <c r="I736" s="200">
        <f t="shared" si="3708"/>
        <v>0</v>
      </c>
      <c r="J736" s="200">
        <f t="shared" si="3708"/>
        <v>0</v>
      </c>
      <c r="K736" s="200">
        <f t="shared" si="3708"/>
        <v>0</v>
      </c>
      <c r="L736" s="200">
        <f t="shared" si="3708"/>
        <v>0</v>
      </c>
      <c r="M736" s="200">
        <f t="shared" si="3708"/>
        <v>0</v>
      </c>
      <c r="N736" s="200">
        <f t="shared" si="3708"/>
        <v>0</v>
      </c>
      <c r="O736" s="200">
        <f t="shared" si="3708"/>
        <v>0</v>
      </c>
      <c r="P736" s="200">
        <f t="shared" si="9"/>
        <v>0</v>
      </c>
      <c r="Q736" s="200">
        <f t="shared" ref="Q736:AC736" si="3709">countif($D736,"*"&amp;Q$2&amp;"*")</f>
        <v>0</v>
      </c>
      <c r="R736" s="200">
        <f t="shared" si="3709"/>
        <v>0</v>
      </c>
      <c r="S736" s="200">
        <f t="shared" si="3709"/>
        <v>0</v>
      </c>
      <c r="T736" s="200">
        <f t="shared" si="3709"/>
        <v>0</v>
      </c>
      <c r="U736" s="200">
        <f t="shared" si="3709"/>
        <v>0</v>
      </c>
      <c r="V736" s="200">
        <f t="shared" si="3709"/>
        <v>0</v>
      </c>
      <c r="W736" s="200">
        <f t="shared" si="3709"/>
        <v>0</v>
      </c>
      <c r="X736" s="200">
        <f t="shared" si="3709"/>
        <v>0</v>
      </c>
      <c r="Y736" s="200">
        <f t="shared" si="3709"/>
        <v>0</v>
      </c>
      <c r="Z736" s="200">
        <f t="shared" si="3709"/>
        <v>0</v>
      </c>
      <c r="AA736" s="200">
        <f t="shared" si="3709"/>
        <v>0</v>
      </c>
      <c r="AB736" s="200">
        <f t="shared" si="3709"/>
        <v>0</v>
      </c>
      <c r="AC736" s="200">
        <f t="shared" si="3709"/>
        <v>0</v>
      </c>
      <c r="AD736" s="200">
        <f t="shared" si="11"/>
        <v>0</v>
      </c>
      <c r="AE736" s="200">
        <f t="shared" ref="AE736:AG736" si="3710">countif($D736,"*"&amp;AE$2&amp;"*")</f>
        <v>0</v>
      </c>
      <c r="AF736" s="200">
        <f t="shared" si="3710"/>
        <v>0</v>
      </c>
      <c r="AG736" s="200">
        <f t="shared" si="3710"/>
        <v>0</v>
      </c>
      <c r="AH736" s="171">
        <f t="shared" si="13"/>
        <v>1</v>
      </c>
      <c r="AI736" s="200">
        <f t="shared" si="14"/>
        <v>0</v>
      </c>
      <c r="AJ736" s="200">
        <f t="shared" si="3700"/>
        <v>0</v>
      </c>
      <c r="AK736" s="201">
        <f t="shared" ref="AK736:AS736" si="3711">countif($D736,"*"&amp;AK$2&amp;"*")</f>
        <v>0</v>
      </c>
      <c r="AL736" s="201">
        <f t="shared" si="3711"/>
        <v>0</v>
      </c>
      <c r="AM736" s="201">
        <f t="shared" si="3711"/>
        <v>0</v>
      </c>
      <c r="AN736" s="201">
        <f t="shared" si="3711"/>
        <v>0</v>
      </c>
      <c r="AO736" s="201">
        <f t="shared" si="3711"/>
        <v>0</v>
      </c>
      <c r="AP736" s="201">
        <f t="shared" si="3711"/>
        <v>0</v>
      </c>
      <c r="AQ736" s="201">
        <f t="shared" si="3711"/>
        <v>0</v>
      </c>
      <c r="AR736" s="200">
        <f t="shared" si="3711"/>
        <v>0</v>
      </c>
      <c r="AS736" s="200">
        <f t="shared" si="3711"/>
        <v>1</v>
      </c>
      <c r="AT736" s="173">
        <v>0.0</v>
      </c>
      <c r="AU736" s="200">
        <f t="shared" ref="AU736:AX736" si="3712">countif($D736,"*"&amp;AU$2&amp;"*")</f>
        <v>0</v>
      </c>
      <c r="AV736" s="200">
        <f t="shared" si="3712"/>
        <v>0</v>
      </c>
      <c r="AW736" s="200">
        <f t="shared" si="3712"/>
        <v>0</v>
      </c>
      <c r="AX736" s="200">
        <f t="shared" si="3712"/>
        <v>0</v>
      </c>
      <c r="AY736" s="202">
        <v>0.0</v>
      </c>
      <c r="AZ736" s="200"/>
      <c r="BA736" s="171" t="str">
        <f t="shared" si="18"/>
        <v/>
      </c>
      <c r="BB736" s="171" t="str">
        <f t="shared" si="19"/>
        <v/>
      </c>
      <c r="BC736" s="171" t="str">
        <f t="shared" si="20"/>
        <v/>
      </c>
      <c r="BD736" s="171" t="str">
        <f t="shared" si="21"/>
        <v/>
      </c>
      <c r="BE736" s="171" t="str">
        <f t="shared" si="22"/>
        <v>Others</v>
      </c>
      <c r="BF736" s="171" t="str">
        <f t="shared" si="23"/>
        <v>Others</v>
      </c>
    </row>
    <row r="737">
      <c r="A737" s="171">
        <f t="array" ref="A737">XLOOKUP(C737,ICSE!A:A,ICSE!C:C,,2,1)</f>
        <v>2017</v>
      </c>
      <c r="B737" s="171" t="s">
        <v>5675</v>
      </c>
      <c r="C737" s="160">
        <v>1416.0</v>
      </c>
      <c r="D737" s="161" t="s">
        <v>883</v>
      </c>
      <c r="E737" s="197" t="str">
        <f t="array" ref="E737">XLOOKUP(C737,ICSE!A:A,ICSE!Z:Z,,0,1)</f>
        <v>Not available (1) - Broken link.</v>
      </c>
      <c r="F737" s="198" t="s">
        <v>21</v>
      </c>
      <c r="G737" s="163" t="str">
        <f t="array" ref="G737">IF(B737="ICSE",IF(COUNTIFS(B:B,B737,C:C,C737)=XLOOKUP(C737,ICSE!A:A,ICSE!AA:AA,"ERROR",0,1),"OK","ERROR"),IF(B737="FSE",IF(COUNTIFS(B:B,B737,C:C,C737)=XLOOKUP(C737,FSE!A:A,FSE!AA:AA,"ERROR",0,1),"OK","ERROR")))</f>
        <v>OK</v>
      </c>
      <c r="H737" s="199">
        <f t="shared" ref="H737:O737" si="3713">countif($D737,"*"&amp;H$2&amp;"*")</f>
        <v>0</v>
      </c>
      <c r="I737" s="200">
        <f t="shared" si="3713"/>
        <v>0</v>
      </c>
      <c r="J737" s="200">
        <f t="shared" si="3713"/>
        <v>0</v>
      </c>
      <c r="K737" s="200">
        <f t="shared" si="3713"/>
        <v>0</v>
      </c>
      <c r="L737" s="200">
        <f t="shared" si="3713"/>
        <v>0</v>
      </c>
      <c r="M737" s="200">
        <f t="shared" si="3713"/>
        <v>0</v>
      </c>
      <c r="N737" s="200">
        <f t="shared" si="3713"/>
        <v>0</v>
      </c>
      <c r="O737" s="200">
        <f t="shared" si="3713"/>
        <v>0</v>
      </c>
      <c r="P737" s="200">
        <f t="shared" si="9"/>
        <v>0</v>
      </c>
      <c r="Q737" s="200">
        <f t="shared" ref="Q737:AC737" si="3714">countif($D737,"*"&amp;Q$2&amp;"*")</f>
        <v>0</v>
      </c>
      <c r="R737" s="200">
        <f t="shared" si="3714"/>
        <v>0</v>
      </c>
      <c r="S737" s="200">
        <f t="shared" si="3714"/>
        <v>0</v>
      </c>
      <c r="T737" s="200">
        <f t="shared" si="3714"/>
        <v>0</v>
      </c>
      <c r="U737" s="200">
        <f t="shared" si="3714"/>
        <v>0</v>
      </c>
      <c r="V737" s="200">
        <f t="shared" si="3714"/>
        <v>0</v>
      </c>
      <c r="W737" s="200">
        <f t="shared" si="3714"/>
        <v>0</v>
      </c>
      <c r="X737" s="200">
        <f t="shared" si="3714"/>
        <v>0</v>
      </c>
      <c r="Y737" s="200">
        <f t="shared" si="3714"/>
        <v>0</v>
      </c>
      <c r="Z737" s="200">
        <f t="shared" si="3714"/>
        <v>0</v>
      </c>
      <c r="AA737" s="200">
        <f t="shared" si="3714"/>
        <v>1</v>
      </c>
      <c r="AB737" s="200">
        <f t="shared" si="3714"/>
        <v>0</v>
      </c>
      <c r="AC737" s="200">
        <f t="shared" si="3714"/>
        <v>0</v>
      </c>
      <c r="AD737" s="200">
        <f t="shared" si="11"/>
        <v>0</v>
      </c>
      <c r="AE737" s="200">
        <f t="shared" ref="AE737:AG737" si="3715">countif($D737,"*"&amp;AE$2&amp;"*")</f>
        <v>0</v>
      </c>
      <c r="AF737" s="200">
        <f t="shared" si="3715"/>
        <v>0</v>
      </c>
      <c r="AG737" s="200">
        <f t="shared" si="3715"/>
        <v>0</v>
      </c>
      <c r="AH737" s="171">
        <f t="shared" si="13"/>
        <v>0</v>
      </c>
      <c r="AI737" s="200">
        <f t="shared" si="14"/>
        <v>0</v>
      </c>
      <c r="AJ737" s="200">
        <f t="shared" si="3700"/>
        <v>0</v>
      </c>
      <c r="AK737" s="201">
        <f t="shared" ref="AK737:AS737" si="3716">countif($D737,"*"&amp;AK$2&amp;"*")</f>
        <v>0</v>
      </c>
      <c r="AL737" s="201">
        <f t="shared" si="3716"/>
        <v>0</v>
      </c>
      <c r="AM737" s="201">
        <f t="shared" si="3716"/>
        <v>0</v>
      </c>
      <c r="AN737" s="201">
        <f t="shared" si="3716"/>
        <v>0</v>
      </c>
      <c r="AO737" s="201">
        <f t="shared" si="3716"/>
        <v>0</v>
      </c>
      <c r="AP737" s="201">
        <f t="shared" si="3716"/>
        <v>0</v>
      </c>
      <c r="AQ737" s="201">
        <f t="shared" si="3716"/>
        <v>0</v>
      </c>
      <c r="AR737" s="200">
        <f t="shared" si="3716"/>
        <v>0</v>
      </c>
      <c r="AS737" s="200">
        <f t="shared" si="3716"/>
        <v>0</v>
      </c>
      <c r="AT737" s="173">
        <v>0.0</v>
      </c>
      <c r="AU737" s="200">
        <f t="shared" ref="AU737:AX737" si="3717">countif($D737,"*"&amp;AU$2&amp;"*")</f>
        <v>0</v>
      </c>
      <c r="AV737" s="200">
        <f t="shared" si="3717"/>
        <v>0</v>
      </c>
      <c r="AW737" s="200">
        <f t="shared" si="3717"/>
        <v>0</v>
      </c>
      <c r="AX737" s="200">
        <f t="shared" si="3717"/>
        <v>0</v>
      </c>
      <c r="AY737" s="202">
        <v>0.0</v>
      </c>
      <c r="AZ737" s="200"/>
      <c r="BA737" s="171" t="str">
        <f t="shared" si="18"/>
        <v/>
      </c>
      <c r="BB737" s="171" t="str">
        <f t="shared" si="19"/>
        <v/>
      </c>
      <c r="BC737" s="171" t="str">
        <f t="shared" si="20"/>
        <v>General-purpose</v>
      </c>
      <c r="BD737" s="171" t="str">
        <f t="shared" si="21"/>
        <v/>
      </c>
      <c r="BE737" s="171" t="str">
        <f t="shared" si="22"/>
        <v/>
      </c>
      <c r="BF737" s="171" t="str">
        <f t="shared" si="23"/>
        <v>General-purpose</v>
      </c>
    </row>
    <row r="738">
      <c r="A738" s="171">
        <f t="array" ref="A738">XLOOKUP(C738,ICSE!A:A,ICSE!C:C,,2,1)</f>
        <v>2017</v>
      </c>
      <c r="B738" s="171" t="s">
        <v>5675</v>
      </c>
      <c r="C738" s="160">
        <v>1417.0</v>
      </c>
      <c r="D738" s="161" t="s">
        <v>886</v>
      </c>
      <c r="E738" s="197" t="str">
        <f t="array" ref="E738">XLOOKUP(C738,ICSE!A:A,ICSE!Z:Z,,0,1)</f>
        <v>Publicly available (1)</v>
      </c>
      <c r="F738" s="198" t="s">
        <v>20</v>
      </c>
      <c r="G738" s="163" t="str">
        <f t="array" ref="G738">IF(B738="ICSE",IF(COUNTIFS(B:B,B738,C:C,C738)=XLOOKUP(C738,ICSE!A:A,ICSE!AA:AA,"ERROR",0,1),"OK","ERROR"),IF(B738="FSE",IF(COUNTIFS(B:B,B738,C:C,C738)=XLOOKUP(C738,FSE!A:A,FSE!AA:AA,"ERROR",0,1),"OK","ERROR")))</f>
        <v>OK</v>
      </c>
      <c r="H738" s="199">
        <f t="shared" ref="H738:O738" si="3718">countif($D738,"*"&amp;H$2&amp;"*")</f>
        <v>0</v>
      </c>
      <c r="I738" s="200">
        <f t="shared" si="3718"/>
        <v>0</v>
      </c>
      <c r="J738" s="200">
        <f t="shared" si="3718"/>
        <v>0</v>
      </c>
      <c r="K738" s="200">
        <f t="shared" si="3718"/>
        <v>0</v>
      </c>
      <c r="L738" s="200">
        <f t="shared" si="3718"/>
        <v>0</v>
      </c>
      <c r="M738" s="200">
        <f t="shared" si="3718"/>
        <v>0</v>
      </c>
      <c r="N738" s="200">
        <f t="shared" si="3718"/>
        <v>0</v>
      </c>
      <c r="O738" s="200">
        <f t="shared" si="3718"/>
        <v>0</v>
      </c>
      <c r="P738" s="200">
        <f t="shared" si="9"/>
        <v>0</v>
      </c>
      <c r="Q738" s="200">
        <f t="shared" ref="Q738:AC738" si="3719">countif($D738,"*"&amp;Q$2&amp;"*")</f>
        <v>0</v>
      </c>
      <c r="R738" s="200">
        <f t="shared" si="3719"/>
        <v>1</v>
      </c>
      <c r="S738" s="200">
        <f t="shared" si="3719"/>
        <v>0</v>
      </c>
      <c r="T738" s="200">
        <f t="shared" si="3719"/>
        <v>0</v>
      </c>
      <c r="U738" s="200">
        <f t="shared" si="3719"/>
        <v>0</v>
      </c>
      <c r="V738" s="200">
        <f t="shared" si="3719"/>
        <v>0</v>
      </c>
      <c r="W738" s="200">
        <f t="shared" si="3719"/>
        <v>0</v>
      </c>
      <c r="X738" s="200">
        <f t="shared" si="3719"/>
        <v>0</v>
      </c>
      <c r="Y738" s="200">
        <f t="shared" si="3719"/>
        <v>0</v>
      </c>
      <c r="Z738" s="200">
        <f t="shared" si="3719"/>
        <v>0</v>
      </c>
      <c r="AA738" s="200">
        <f t="shared" si="3719"/>
        <v>0</v>
      </c>
      <c r="AB738" s="200">
        <f t="shared" si="3719"/>
        <v>0</v>
      </c>
      <c r="AC738" s="200">
        <f t="shared" si="3719"/>
        <v>0</v>
      </c>
      <c r="AD738" s="200">
        <f t="shared" si="11"/>
        <v>0</v>
      </c>
      <c r="AE738" s="200">
        <f t="shared" ref="AE738:AG738" si="3720">countif($D738,"*"&amp;AE$2&amp;"*")</f>
        <v>0</v>
      </c>
      <c r="AF738" s="200">
        <f t="shared" si="3720"/>
        <v>0</v>
      </c>
      <c r="AG738" s="200">
        <f t="shared" si="3720"/>
        <v>0</v>
      </c>
      <c r="AH738" s="171">
        <f t="shared" si="13"/>
        <v>0</v>
      </c>
      <c r="AI738" s="200">
        <f t="shared" si="14"/>
        <v>0</v>
      </c>
      <c r="AJ738" s="200">
        <f t="shared" si="3700"/>
        <v>0</v>
      </c>
      <c r="AK738" s="201">
        <f t="shared" ref="AK738:AS738" si="3721">countif($D738,"*"&amp;AK$2&amp;"*")</f>
        <v>0</v>
      </c>
      <c r="AL738" s="201">
        <f t="shared" si="3721"/>
        <v>0</v>
      </c>
      <c r="AM738" s="201">
        <f t="shared" si="3721"/>
        <v>0</v>
      </c>
      <c r="AN738" s="201">
        <f t="shared" si="3721"/>
        <v>0</v>
      </c>
      <c r="AO738" s="201">
        <f t="shared" si="3721"/>
        <v>0</v>
      </c>
      <c r="AP738" s="201">
        <f t="shared" si="3721"/>
        <v>0</v>
      </c>
      <c r="AQ738" s="201">
        <f t="shared" si="3721"/>
        <v>0</v>
      </c>
      <c r="AR738" s="200">
        <f t="shared" si="3721"/>
        <v>0</v>
      </c>
      <c r="AS738" s="200">
        <f t="shared" si="3721"/>
        <v>0</v>
      </c>
      <c r="AT738" s="173">
        <v>0.0</v>
      </c>
      <c r="AU738" s="200">
        <f t="shared" ref="AU738:AX738" si="3722">countif($D738,"*"&amp;AU$2&amp;"*")</f>
        <v>0</v>
      </c>
      <c r="AV738" s="200">
        <f t="shared" si="3722"/>
        <v>0</v>
      </c>
      <c r="AW738" s="200">
        <f t="shared" si="3722"/>
        <v>0</v>
      </c>
      <c r="AX738" s="200">
        <f t="shared" si="3722"/>
        <v>0</v>
      </c>
      <c r="AY738" s="202">
        <v>0.0</v>
      </c>
      <c r="AZ738" s="200"/>
      <c r="BA738" s="171" t="str">
        <f t="shared" si="18"/>
        <v/>
      </c>
      <c r="BB738" s="171" t="str">
        <f t="shared" si="19"/>
        <v>Code</v>
      </c>
      <c r="BC738" s="171" t="str">
        <f t="shared" si="20"/>
        <v/>
      </c>
      <c r="BD738" s="171" t="str">
        <f t="shared" si="21"/>
        <v/>
      </c>
      <c r="BE738" s="171" t="str">
        <f t="shared" si="22"/>
        <v/>
      </c>
      <c r="BF738" s="171" t="str">
        <f t="shared" si="23"/>
        <v>Code</v>
      </c>
    </row>
    <row r="739">
      <c r="A739" s="171">
        <f t="array" ref="A739">XLOOKUP(C739,ICSE!A:A,ICSE!C:C,,2,1)</f>
        <v>2017</v>
      </c>
      <c r="B739" s="171" t="s">
        <v>5675</v>
      </c>
      <c r="C739" s="160">
        <v>1418.0</v>
      </c>
      <c r="D739" s="161" t="s">
        <v>889</v>
      </c>
      <c r="E739" s="197" t="str">
        <f t="array" ref="E739">XLOOKUP(C739,ICSE!A:A,ICSE!Z:Z,,0,1)</f>
        <v>Publicly available (1)</v>
      </c>
      <c r="F739" s="198" t="s">
        <v>20</v>
      </c>
      <c r="G739" s="163" t="str">
        <f t="array" ref="G739">IF(B739="ICSE",IF(COUNTIFS(B:B,B739,C:C,C739)=XLOOKUP(C739,ICSE!A:A,ICSE!AA:AA,"ERROR",0,1),"OK","ERROR"),IF(B739="FSE",IF(COUNTIFS(B:B,B739,C:C,C739)=XLOOKUP(C739,FSE!A:A,FSE!AA:AA,"ERROR",0,1),"OK","ERROR")))</f>
        <v>OK</v>
      </c>
      <c r="H739" s="199">
        <f t="shared" ref="H739:O739" si="3723">countif($D739,"*"&amp;H$2&amp;"*")</f>
        <v>0</v>
      </c>
      <c r="I739" s="200">
        <f t="shared" si="3723"/>
        <v>0</v>
      </c>
      <c r="J739" s="200">
        <f t="shared" si="3723"/>
        <v>0</v>
      </c>
      <c r="K739" s="200">
        <f t="shared" si="3723"/>
        <v>0</v>
      </c>
      <c r="L739" s="200">
        <f t="shared" si="3723"/>
        <v>0</v>
      </c>
      <c r="M739" s="200">
        <f t="shared" si="3723"/>
        <v>0</v>
      </c>
      <c r="N739" s="200">
        <f t="shared" si="3723"/>
        <v>0</v>
      </c>
      <c r="O739" s="200">
        <f t="shared" si="3723"/>
        <v>0</v>
      </c>
      <c r="P739" s="200">
        <f t="shared" si="9"/>
        <v>0</v>
      </c>
      <c r="Q739" s="200">
        <f t="shared" ref="Q739:AC739" si="3724">countif($D739,"*"&amp;Q$2&amp;"*")</f>
        <v>0</v>
      </c>
      <c r="R739" s="200">
        <f t="shared" si="3724"/>
        <v>0</v>
      </c>
      <c r="S739" s="200">
        <f t="shared" si="3724"/>
        <v>0</v>
      </c>
      <c r="T739" s="200">
        <f t="shared" si="3724"/>
        <v>0</v>
      </c>
      <c r="U739" s="200">
        <f t="shared" si="3724"/>
        <v>0</v>
      </c>
      <c r="V739" s="200">
        <f t="shared" si="3724"/>
        <v>0</v>
      </c>
      <c r="W739" s="200">
        <f t="shared" si="3724"/>
        <v>0</v>
      </c>
      <c r="X739" s="200">
        <f t="shared" si="3724"/>
        <v>0</v>
      </c>
      <c r="Y739" s="200">
        <f t="shared" si="3724"/>
        <v>0</v>
      </c>
      <c r="Z739" s="200">
        <f t="shared" si="3724"/>
        <v>0</v>
      </c>
      <c r="AA739" s="200">
        <f t="shared" si="3724"/>
        <v>0</v>
      </c>
      <c r="AB739" s="200">
        <f t="shared" si="3724"/>
        <v>0</v>
      </c>
      <c r="AC739" s="200">
        <f t="shared" si="3724"/>
        <v>0</v>
      </c>
      <c r="AD739" s="200">
        <f t="shared" si="11"/>
        <v>1</v>
      </c>
      <c r="AE739" s="200">
        <f t="shared" ref="AE739:AG739" si="3725">countif($D739,"*"&amp;AE$2&amp;"*")</f>
        <v>0</v>
      </c>
      <c r="AF739" s="200">
        <f t="shared" si="3725"/>
        <v>0</v>
      </c>
      <c r="AG739" s="200">
        <f t="shared" si="3725"/>
        <v>0</v>
      </c>
      <c r="AH739" s="171">
        <f t="shared" si="13"/>
        <v>0</v>
      </c>
      <c r="AI739" s="200">
        <f t="shared" si="14"/>
        <v>0</v>
      </c>
      <c r="AJ739" s="200">
        <f t="shared" si="3700"/>
        <v>0</v>
      </c>
      <c r="AK739" s="201">
        <f t="shared" ref="AK739:AS739" si="3726">countif($D739,"*"&amp;AK$2&amp;"*")</f>
        <v>0</v>
      </c>
      <c r="AL739" s="201">
        <f t="shared" si="3726"/>
        <v>0</v>
      </c>
      <c r="AM739" s="201">
        <f t="shared" si="3726"/>
        <v>0</v>
      </c>
      <c r="AN739" s="201">
        <f t="shared" si="3726"/>
        <v>0</v>
      </c>
      <c r="AO739" s="201">
        <f t="shared" si="3726"/>
        <v>0</v>
      </c>
      <c r="AP739" s="201">
        <f t="shared" si="3726"/>
        <v>0</v>
      </c>
      <c r="AQ739" s="201">
        <f t="shared" si="3726"/>
        <v>0</v>
      </c>
      <c r="AR739" s="200">
        <f t="shared" si="3726"/>
        <v>0</v>
      </c>
      <c r="AS739" s="200">
        <f t="shared" si="3726"/>
        <v>0</v>
      </c>
      <c r="AT739" s="173">
        <v>1.0</v>
      </c>
      <c r="AU739" s="200">
        <f t="shared" ref="AU739:AX739" si="3727">countif($D739,"*"&amp;AU$2&amp;"*")</f>
        <v>0</v>
      </c>
      <c r="AV739" s="200">
        <f t="shared" si="3727"/>
        <v>0</v>
      </c>
      <c r="AW739" s="200">
        <f t="shared" si="3727"/>
        <v>0</v>
      </c>
      <c r="AX739" s="200">
        <f t="shared" si="3727"/>
        <v>0</v>
      </c>
      <c r="AY739" s="202">
        <v>0.0</v>
      </c>
      <c r="AZ739" s="200"/>
      <c r="BA739" s="171" t="str">
        <f t="shared" si="18"/>
        <v/>
      </c>
      <c r="BB739" s="171" t="str">
        <f t="shared" si="19"/>
        <v/>
      </c>
      <c r="BC739" s="171" t="str">
        <f t="shared" si="20"/>
        <v/>
      </c>
      <c r="BD739" s="171" t="str">
        <f t="shared" si="21"/>
        <v>Institutional</v>
      </c>
      <c r="BE739" s="171" t="str">
        <f t="shared" si="22"/>
        <v/>
      </c>
      <c r="BF739" s="171" t="str">
        <f t="shared" si="23"/>
        <v>Institutional</v>
      </c>
    </row>
    <row r="740">
      <c r="A740" s="171">
        <f t="array" ref="A740">XLOOKUP(C740,ICSE!A:A,ICSE!C:C,,2,1)</f>
        <v>2017</v>
      </c>
      <c r="B740" s="171" t="s">
        <v>5675</v>
      </c>
      <c r="C740" s="160">
        <v>1419.0</v>
      </c>
      <c r="D740" s="161" t="s">
        <v>892</v>
      </c>
      <c r="E740" s="197" t="str">
        <f t="array" ref="E740">XLOOKUP(C740,ICSE!A:A,ICSE!Z:Z,,0,1)</f>
        <v>Publicly available (1)</v>
      </c>
      <c r="F740" s="198" t="s">
        <v>20</v>
      </c>
      <c r="G740" s="163" t="str">
        <f t="array" ref="G740">IF(B740="ICSE",IF(COUNTIFS(B:B,B740,C:C,C740)=XLOOKUP(C740,ICSE!A:A,ICSE!AA:AA,"ERROR",0,1),"OK","ERROR"),IF(B740="FSE",IF(COUNTIFS(B:B,B740,C:C,C740)=XLOOKUP(C740,FSE!A:A,FSE!AA:AA,"ERROR",0,1),"OK","ERROR")))</f>
        <v>OK</v>
      </c>
      <c r="H740" s="199">
        <f t="shared" ref="H740:O740" si="3728">countif($D740,"*"&amp;H$2&amp;"*")</f>
        <v>0</v>
      </c>
      <c r="I740" s="200">
        <f t="shared" si="3728"/>
        <v>0</v>
      </c>
      <c r="J740" s="200">
        <f t="shared" si="3728"/>
        <v>0</v>
      </c>
      <c r="K740" s="200">
        <f t="shared" si="3728"/>
        <v>0</v>
      </c>
      <c r="L740" s="200">
        <f t="shared" si="3728"/>
        <v>0</v>
      </c>
      <c r="M740" s="200">
        <f t="shared" si="3728"/>
        <v>0</v>
      </c>
      <c r="N740" s="200">
        <f t="shared" si="3728"/>
        <v>0</v>
      </c>
      <c r="O740" s="200">
        <f t="shared" si="3728"/>
        <v>0</v>
      </c>
      <c r="P740" s="200">
        <f t="shared" si="9"/>
        <v>1</v>
      </c>
      <c r="Q740" s="200">
        <f t="shared" ref="Q740:AC740" si="3729">countif($D740,"*"&amp;Q$2&amp;"*")</f>
        <v>0</v>
      </c>
      <c r="R740" s="200">
        <f t="shared" si="3729"/>
        <v>0</v>
      </c>
      <c r="S740" s="200">
        <f t="shared" si="3729"/>
        <v>0</v>
      </c>
      <c r="T740" s="200">
        <f t="shared" si="3729"/>
        <v>0</v>
      </c>
      <c r="U740" s="200">
        <f t="shared" si="3729"/>
        <v>0</v>
      </c>
      <c r="V740" s="200">
        <f t="shared" si="3729"/>
        <v>0</v>
      </c>
      <c r="W740" s="200">
        <f t="shared" si="3729"/>
        <v>0</v>
      </c>
      <c r="X740" s="200">
        <f t="shared" si="3729"/>
        <v>0</v>
      </c>
      <c r="Y740" s="200">
        <f t="shared" si="3729"/>
        <v>0</v>
      </c>
      <c r="Z740" s="200">
        <f t="shared" si="3729"/>
        <v>0</v>
      </c>
      <c r="AA740" s="200">
        <f t="shared" si="3729"/>
        <v>0</v>
      </c>
      <c r="AB740" s="200">
        <f t="shared" si="3729"/>
        <v>0</v>
      </c>
      <c r="AC740" s="200">
        <f t="shared" si="3729"/>
        <v>0</v>
      </c>
      <c r="AD740" s="200">
        <f t="shared" si="11"/>
        <v>0</v>
      </c>
      <c r="AE740" s="200">
        <f t="shared" ref="AE740:AG740" si="3730">countif($D740,"*"&amp;AE$2&amp;"*")</f>
        <v>0</v>
      </c>
      <c r="AF740" s="200">
        <f t="shared" si="3730"/>
        <v>0</v>
      </c>
      <c r="AG740" s="200">
        <f t="shared" si="3730"/>
        <v>0</v>
      </c>
      <c r="AH740" s="171">
        <f t="shared" si="13"/>
        <v>0</v>
      </c>
      <c r="AI740" s="200">
        <f t="shared" si="14"/>
        <v>0</v>
      </c>
      <c r="AJ740" s="200">
        <f t="shared" si="3700"/>
        <v>0</v>
      </c>
      <c r="AK740" s="201">
        <f t="shared" ref="AK740:AS740" si="3731">countif($D740,"*"&amp;AK$2&amp;"*")</f>
        <v>0</v>
      </c>
      <c r="AL740" s="201">
        <f t="shared" si="3731"/>
        <v>0</v>
      </c>
      <c r="AM740" s="201">
        <f t="shared" si="3731"/>
        <v>0</v>
      </c>
      <c r="AN740" s="201">
        <f t="shared" si="3731"/>
        <v>0</v>
      </c>
      <c r="AO740" s="201">
        <f t="shared" si="3731"/>
        <v>0</v>
      </c>
      <c r="AP740" s="201">
        <f t="shared" si="3731"/>
        <v>0</v>
      </c>
      <c r="AQ740" s="201">
        <f t="shared" si="3731"/>
        <v>0</v>
      </c>
      <c r="AR740" s="200">
        <f t="shared" si="3731"/>
        <v>0</v>
      </c>
      <c r="AS740" s="200">
        <f t="shared" si="3731"/>
        <v>0</v>
      </c>
      <c r="AT740" s="173">
        <v>0.0</v>
      </c>
      <c r="AU740" s="200">
        <f t="shared" ref="AU740:AX740" si="3732">countif($D740,"*"&amp;AU$2&amp;"*")</f>
        <v>0</v>
      </c>
      <c r="AV740" s="200">
        <f t="shared" si="3732"/>
        <v>1</v>
      </c>
      <c r="AW740" s="200">
        <f t="shared" si="3732"/>
        <v>0</v>
      </c>
      <c r="AX740" s="200">
        <f t="shared" si="3732"/>
        <v>0</v>
      </c>
      <c r="AY740" s="202">
        <v>0.0</v>
      </c>
      <c r="AZ740" s="200"/>
      <c r="BA740" s="171" t="str">
        <f t="shared" si="18"/>
        <v/>
      </c>
      <c r="BB740" s="171" t="str">
        <f t="shared" si="19"/>
        <v>Code</v>
      </c>
      <c r="BC740" s="171" t="str">
        <f t="shared" si="20"/>
        <v/>
      </c>
      <c r="BD740" s="171" t="str">
        <f t="shared" si="21"/>
        <v/>
      </c>
      <c r="BE740" s="171" t="str">
        <f t="shared" si="22"/>
        <v/>
      </c>
      <c r="BF740" s="171" t="str">
        <f t="shared" si="23"/>
        <v>Code</v>
      </c>
    </row>
    <row r="741">
      <c r="A741" s="171">
        <f t="array" ref="A741">XLOOKUP(C741,ICSE!A:A,ICSE!C:C,,2,1)</f>
        <v>2017</v>
      </c>
      <c r="B741" s="171" t="s">
        <v>5675</v>
      </c>
      <c r="C741" s="160">
        <v>1420.0</v>
      </c>
      <c r="D741" s="161" t="s">
        <v>5989</v>
      </c>
      <c r="E741" s="197" t="str">
        <f t="array" ref="E741">XLOOKUP(C741,ICSE!A:A,ICSE!Z:Z,,0,1)</f>
        <v>Not available (3) - Broken link.</v>
      </c>
      <c r="F741" s="198" t="s">
        <v>21</v>
      </c>
      <c r="G741" s="163" t="str">
        <f t="array" ref="G741">IF(B741="ICSE",IF(COUNTIFS(B:B,B741,C:C,C741)=XLOOKUP(C741,ICSE!A:A,ICSE!AA:AA,"ERROR",0,1),"OK","ERROR"),IF(B741="FSE",IF(COUNTIFS(B:B,B741,C:C,C741)=XLOOKUP(C741,FSE!A:A,FSE!AA:AA,"ERROR",0,1),"OK","ERROR")))</f>
        <v>OK</v>
      </c>
      <c r="H741" s="199">
        <f t="shared" ref="H741:O741" si="3733">countif($D741,"*"&amp;H$2&amp;"*")</f>
        <v>0</v>
      </c>
      <c r="I741" s="200">
        <f t="shared" si="3733"/>
        <v>0</v>
      </c>
      <c r="J741" s="200">
        <f t="shared" si="3733"/>
        <v>0</v>
      </c>
      <c r="K741" s="200">
        <f t="shared" si="3733"/>
        <v>0</v>
      </c>
      <c r="L741" s="200">
        <f t="shared" si="3733"/>
        <v>0</v>
      </c>
      <c r="M741" s="200">
        <f t="shared" si="3733"/>
        <v>0</v>
      </c>
      <c r="N741" s="200">
        <f t="shared" si="3733"/>
        <v>0</v>
      </c>
      <c r="O741" s="200">
        <f t="shared" si="3733"/>
        <v>0</v>
      </c>
      <c r="P741" s="200">
        <f t="shared" si="9"/>
        <v>0</v>
      </c>
      <c r="Q741" s="200">
        <f t="shared" ref="Q741:AC741" si="3734">countif($D741,"*"&amp;Q$2&amp;"*")</f>
        <v>0</v>
      </c>
      <c r="R741" s="200">
        <f t="shared" si="3734"/>
        <v>0</v>
      </c>
      <c r="S741" s="200">
        <f t="shared" si="3734"/>
        <v>0</v>
      </c>
      <c r="T741" s="200">
        <f t="shared" si="3734"/>
        <v>0</v>
      </c>
      <c r="U741" s="200">
        <f t="shared" si="3734"/>
        <v>0</v>
      </c>
      <c r="V741" s="200">
        <f t="shared" si="3734"/>
        <v>0</v>
      </c>
      <c r="W741" s="200">
        <f t="shared" si="3734"/>
        <v>0</v>
      </c>
      <c r="X741" s="200">
        <f t="shared" si="3734"/>
        <v>0</v>
      </c>
      <c r="Y741" s="200">
        <f t="shared" si="3734"/>
        <v>0</v>
      </c>
      <c r="Z741" s="200">
        <f t="shared" si="3734"/>
        <v>0</v>
      </c>
      <c r="AA741" s="200">
        <f t="shared" si="3734"/>
        <v>1</v>
      </c>
      <c r="AB741" s="200">
        <f t="shared" si="3734"/>
        <v>0</v>
      </c>
      <c r="AC741" s="200">
        <f t="shared" si="3734"/>
        <v>0</v>
      </c>
      <c r="AD741" s="200">
        <f t="shared" si="11"/>
        <v>0</v>
      </c>
      <c r="AE741" s="200">
        <f t="shared" ref="AE741:AG741" si="3735">countif($D741,"*"&amp;AE$2&amp;"*")</f>
        <v>0</v>
      </c>
      <c r="AF741" s="200">
        <f t="shared" si="3735"/>
        <v>0</v>
      </c>
      <c r="AG741" s="200">
        <f t="shared" si="3735"/>
        <v>0</v>
      </c>
      <c r="AH741" s="171">
        <f t="shared" si="13"/>
        <v>0</v>
      </c>
      <c r="AI741" s="200">
        <f t="shared" si="14"/>
        <v>0</v>
      </c>
      <c r="AJ741" s="200">
        <f t="shared" si="3700"/>
        <v>0</v>
      </c>
      <c r="AK741" s="201">
        <f t="shared" ref="AK741:AS741" si="3736">countif($D741,"*"&amp;AK$2&amp;"*")</f>
        <v>0</v>
      </c>
      <c r="AL741" s="201">
        <f t="shared" si="3736"/>
        <v>0</v>
      </c>
      <c r="AM741" s="201">
        <f t="shared" si="3736"/>
        <v>0</v>
      </c>
      <c r="AN741" s="201">
        <f t="shared" si="3736"/>
        <v>0</v>
      </c>
      <c r="AO741" s="201">
        <f t="shared" si="3736"/>
        <v>0</v>
      </c>
      <c r="AP741" s="201">
        <f t="shared" si="3736"/>
        <v>0</v>
      </c>
      <c r="AQ741" s="201">
        <f t="shared" si="3736"/>
        <v>0</v>
      </c>
      <c r="AR741" s="200">
        <f t="shared" si="3736"/>
        <v>0</v>
      </c>
      <c r="AS741" s="200">
        <f t="shared" si="3736"/>
        <v>0</v>
      </c>
      <c r="AT741" s="173">
        <v>0.0</v>
      </c>
      <c r="AU741" s="200">
        <f t="shared" ref="AU741:AX741" si="3737">countif($D741,"*"&amp;AU$2&amp;"*")</f>
        <v>0</v>
      </c>
      <c r="AV741" s="200">
        <f t="shared" si="3737"/>
        <v>0</v>
      </c>
      <c r="AW741" s="200">
        <f t="shared" si="3737"/>
        <v>0</v>
      </c>
      <c r="AX741" s="200">
        <f t="shared" si="3737"/>
        <v>0</v>
      </c>
      <c r="AY741" s="202">
        <v>0.0</v>
      </c>
      <c r="AZ741" s="200"/>
      <c r="BA741" s="171" t="str">
        <f t="shared" si="18"/>
        <v/>
      </c>
      <c r="BB741" s="171" t="str">
        <f t="shared" si="19"/>
        <v/>
      </c>
      <c r="BC741" s="171" t="str">
        <f t="shared" si="20"/>
        <v>General-purpose</v>
      </c>
      <c r="BD741" s="171" t="str">
        <f t="shared" si="21"/>
        <v/>
      </c>
      <c r="BE741" s="171" t="str">
        <f t="shared" si="22"/>
        <v/>
      </c>
      <c r="BF741" s="171" t="str">
        <f t="shared" si="23"/>
        <v>General-purpose</v>
      </c>
    </row>
    <row r="742">
      <c r="A742" s="171">
        <f t="array" ref="A742">XLOOKUP(C742,ICSE!A:A,ICSE!C:C,,2,1)</f>
        <v>2017</v>
      </c>
      <c r="B742" s="171" t="s">
        <v>5675</v>
      </c>
      <c r="C742" s="160">
        <v>1420.0</v>
      </c>
      <c r="D742" s="161" t="s">
        <v>5990</v>
      </c>
      <c r="E742" s="197" t="str">
        <f t="array" ref="E742">XLOOKUP(C742,ICSE!A:A,ICSE!Z:Z,,0,1)</f>
        <v>Not available (3) - Broken link.</v>
      </c>
      <c r="F742" s="198" t="s">
        <v>21</v>
      </c>
      <c r="G742" s="163" t="str">
        <f t="array" ref="G742">IF(B742="ICSE",IF(COUNTIFS(B:B,B742,C:C,C742)=XLOOKUP(C742,ICSE!A:A,ICSE!AA:AA,"ERROR",0,1),"OK","ERROR"),IF(B742="FSE",IF(COUNTIFS(B:B,B742,C:C,C742)=XLOOKUP(C742,FSE!A:A,FSE!AA:AA,"ERROR",0,1),"OK","ERROR")))</f>
        <v>OK</v>
      </c>
      <c r="H742" s="199">
        <f t="shared" ref="H742:O742" si="3738">countif($D742,"*"&amp;H$2&amp;"*")</f>
        <v>0</v>
      </c>
      <c r="I742" s="200">
        <f t="shared" si="3738"/>
        <v>0</v>
      </c>
      <c r="J742" s="200">
        <f t="shared" si="3738"/>
        <v>0</v>
      </c>
      <c r="K742" s="200">
        <f t="shared" si="3738"/>
        <v>0</v>
      </c>
      <c r="L742" s="200">
        <f t="shared" si="3738"/>
        <v>0</v>
      </c>
      <c r="M742" s="200">
        <f t="shared" si="3738"/>
        <v>0</v>
      </c>
      <c r="N742" s="200">
        <f t="shared" si="3738"/>
        <v>0</v>
      </c>
      <c r="O742" s="200">
        <f t="shared" si="3738"/>
        <v>0</v>
      </c>
      <c r="P742" s="200">
        <f t="shared" si="9"/>
        <v>0</v>
      </c>
      <c r="Q742" s="200">
        <f t="shared" ref="Q742:AC742" si="3739">countif($D742,"*"&amp;Q$2&amp;"*")</f>
        <v>0</v>
      </c>
      <c r="R742" s="200">
        <f t="shared" si="3739"/>
        <v>0</v>
      </c>
      <c r="S742" s="200">
        <f t="shared" si="3739"/>
        <v>0</v>
      </c>
      <c r="T742" s="200">
        <f t="shared" si="3739"/>
        <v>0</v>
      </c>
      <c r="U742" s="200">
        <f t="shared" si="3739"/>
        <v>0</v>
      </c>
      <c r="V742" s="200">
        <f t="shared" si="3739"/>
        <v>0</v>
      </c>
      <c r="W742" s="200">
        <f t="shared" si="3739"/>
        <v>0</v>
      </c>
      <c r="X742" s="200">
        <f t="shared" si="3739"/>
        <v>0</v>
      </c>
      <c r="Y742" s="200">
        <f t="shared" si="3739"/>
        <v>0</v>
      </c>
      <c r="Z742" s="200">
        <f t="shared" si="3739"/>
        <v>0</v>
      </c>
      <c r="AA742" s="200">
        <f t="shared" si="3739"/>
        <v>1</v>
      </c>
      <c r="AB742" s="200">
        <f t="shared" si="3739"/>
        <v>0</v>
      </c>
      <c r="AC742" s="200">
        <f t="shared" si="3739"/>
        <v>0</v>
      </c>
      <c r="AD742" s="200">
        <f t="shared" si="11"/>
        <v>0</v>
      </c>
      <c r="AE742" s="200">
        <f t="shared" ref="AE742:AG742" si="3740">countif($D742,"*"&amp;AE$2&amp;"*")</f>
        <v>0</v>
      </c>
      <c r="AF742" s="200">
        <f t="shared" si="3740"/>
        <v>0</v>
      </c>
      <c r="AG742" s="200">
        <f t="shared" si="3740"/>
        <v>0</v>
      </c>
      <c r="AH742" s="171">
        <f t="shared" si="13"/>
        <v>0</v>
      </c>
      <c r="AI742" s="200">
        <f t="shared" si="14"/>
        <v>0</v>
      </c>
      <c r="AJ742" s="200">
        <f t="shared" si="3700"/>
        <v>0</v>
      </c>
      <c r="AK742" s="201">
        <f t="shared" ref="AK742:AS742" si="3741">countif($D742,"*"&amp;AK$2&amp;"*")</f>
        <v>0</v>
      </c>
      <c r="AL742" s="201">
        <f t="shared" si="3741"/>
        <v>0</v>
      </c>
      <c r="AM742" s="201">
        <f t="shared" si="3741"/>
        <v>0</v>
      </c>
      <c r="AN742" s="201">
        <f t="shared" si="3741"/>
        <v>0</v>
      </c>
      <c r="AO742" s="201">
        <f t="shared" si="3741"/>
        <v>0</v>
      </c>
      <c r="AP742" s="201">
        <f t="shared" si="3741"/>
        <v>0</v>
      </c>
      <c r="AQ742" s="201">
        <f t="shared" si="3741"/>
        <v>0</v>
      </c>
      <c r="AR742" s="200">
        <f t="shared" si="3741"/>
        <v>0</v>
      </c>
      <c r="AS742" s="200">
        <f t="shared" si="3741"/>
        <v>0</v>
      </c>
      <c r="AT742" s="173">
        <v>0.0</v>
      </c>
      <c r="AU742" s="200">
        <f t="shared" ref="AU742:AX742" si="3742">countif($D742,"*"&amp;AU$2&amp;"*")</f>
        <v>0</v>
      </c>
      <c r="AV742" s="200">
        <f t="shared" si="3742"/>
        <v>0</v>
      </c>
      <c r="AW742" s="200">
        <f t="shared" si="3742"/>
        <v>0</v>
      </c>
      <c r="AX742" s="200">
        <f t="shared" si="3742"/>
        <v>0</v>
      </c>
      <c r="AY742" s="202">
        <v>0.0</v>
      </c>
      <c r="AZ742" s="200"/>
      <c r="BA742" s="171" t="str">
        <f t="shared" si="18"/>
        <v/>
      </c>
      <c r="BB742" s="171" t="str">
        <f t="shared" si="19"/>
        <v/>
      </c>
      <c r="BC742" s="171" t="str">
        <f t="shared" si="20"/>
        <v>General-purpose</v>
      </c>
      <c r="BD742" s="171" t="str">
        <f t="shared" si="21"/>
        <v/>
      </c>
      <c r="BE742" s="171" t="str">
        <f t="shared" si="22"/>
        <v/>
      </c>
      <c r="BF742" s="171" t="str">
        <f t="shared" si="23"/>
        <v>General-purpose</v>
      </c>
    </row>
    <row r="743">
      <c r="A743" s="171">
        <f t="array" ref="A743">XLOOKUP(C743,ICSE!A:A,ICSE!C:C,,2,1)</f>
        <v>2017</v>
      </c>
      <c r="B743" s="171" t="s">
        <v>5675</v>
      </c>
      <c r="C743" s="160">
        <v>1420.0</v>
      </c>
      <c r="D743" s="161" t="s">
        <v>5991</v>
      </c>
      <c r="E743" s="197" t="str">
        <f t="array" ref="E743">XLOOKUP(C743,ICSE!A:A,ICSE!Z:Z,,0,1)</f>
        <v>Not available (3) - Broken link.</v>
      </c>
      <c r="F743" s="198" t="s">
        <v>21</v>
      </c>
      <c r="G743" s="163" t="str">
        <f t="array" ref="G743">IF(B743="ICSE",IF(COUNTIFS(B:B,B743,C:C,C743)=XLOOKUP(C743,ICSE!A:A,ICSE!AA:AA,"ERROR",0,1),"OK","ERROR"),IF(B743="FSE",IF(COUNTIFS(B:B,B743,C:C,C743)=XLOOKUP(C743,FSE!A:A,FSE!AA:AA,"ERROR",0,1),"OK","ERROR")))</f>
        <v>OK</v>
      </c>
      <c r="H743" s="199">
        <f t="shared" ref="H743:O743" si="3743">countif($D743,"*"&amp;H$2&amp;"*")</f>
        <v>0</v>
      </c>
      <c r="I743" s="200">
        <f t="shared" si="3743"/>
        <v>0</v>
      </c>
      <c r="J743" s="200">
        <f t="shared" si="3743"/>
        <v>0</v>
      </c>
      <c r="K743" s="200">
        <f t="shared" si="3743"/>
        <v>0</v>
      </c>
      <c r="L743" s="200">
        <f t="shared" si="3743"/>
        <v>0</v>
      </c>
      <c r="M743" s="200">
        <f t="shared" si="3743"/>
        <v>0</v>
      </c>
      <c r="N743" s="200">
        <f t="shared" si="3743"/>
        <v>0</v>
      </c>
      <c r="O743" s="200">
        <f t="shared" si="3743"/>
        <v>0</v>
      </c>
      <c r="P743" s="200">
        <f t="shared" si="9"/>
        <v>0</v>
      </c>
      <c r="Q743" s="200">
        <f t="shared" ref="Q743:AC743" si="3744">countif($D743,"*"&amp;Q$2&amp;"*")</f>
        <v>0</v>
      </c>
      <c r="R743" s="200">
        <f t="shared" si="3744"/>
        <v>0</v>
      </c>
      <c r="S743" s="200">
        <f t="shared" si="3744"/>
        <v>0</v>
      </c>
      <c r="T743" s="200">
        <f t="shared" si="3744"/>
        <v>0</v>
      </c>
      <c r="U743" s="200">
        <f t="shared" si="3744"/>
        <v>0</v>
      </c>
      <c r="V743" s="200">
        <f t="shared" si="3744"/>
        <v>0</v>
      </c>
      <c r="W743" s="200">
        <f t="shared" si="3744"/>
        <v>0</v>
      </c>
      <c r="X743" s="200">
        <f t="shared" si="3744"/>
        <v>0</v>
      </c>
      <c r="Y743" s="200">
        <f t="shared" si="3744"/>
        <v>0</v>
      </c>
      <c r="Z743" s="200">
        <f t="shared" si="3744"/>
        <v>0</v>
      </c>
      <c r="AA743" s="200">
        <f t="shared" si="3744"/>
        <v>1</v>
      </c>
      <c r="AB743" s="200">
        <f t="shared" si="3744"/>
        <v>0</v>
      </c>
      <c r="AC743" s="200">
        <f t="shared" si="3744"/>
        <v>0</v>
      </c>
      <c r="AD743" s="200">
        <f t="shared" si="11"/>
        <v>0</v>
      </c>
      <c r="AE743" s="200">
        <f t="shared" ref="AE743:AG743" si="3745">countif($D743,"*"&amp;AE$2&amp;"*")</f>
        <v>0</v>
      </c>
      <c r="AF743" s="200">
        <f t="shared" si="3745"/>
        <v>0</v>
      </c>
      <c r="AG743" s="200">
        <f t="shared" si="3745"/>
        <v>0</v>
      </c>
      <c r="AH743" s="171">
        <f t="shared" si="13"/>
        <v>0</v>
      </c>
      <c r="AI743" s="200">
        <f t="shared" si="14"/>
        <v>0</v>
      </c>
      <c r="AJ743" s="200">
        <f t="shared" si="3700"/>
        <v>0</v>
      </c>
      <c r="AK743" s="201">
        <f t="shared" ref="AK743:AS743" si="3746">countif($D743,"*"&amp;AK$2&amp;"*")</f>
        <v>0</v>
      </c>
      <c r="AL743" s="201">
        <f t="shared" si="3746"/>
        <v>0</v>
      </c>
      <c r="AM743" s="201">
        <f t="shared" si="3746"/>
        <v>0</v>
      </c>
      <c r="AN743" s="201">
        <f t="shared" si="3746"/>
        <v>0</v>
      </c>
      <c r="AO743" s="201">
        <f t="shared" si="3746"/>
        <v>0</v>
      </c>
      <c r="AP743" s="201">
        <f t="shared" si="3746"/>
        <v>0</v>
      </c>
      <c r="AQ743" s="201">
        <f t="shared" si="3746"/>
        <v>0</v>
      </c>
      <c r="AR743" s="200">
        <f t="shared" si="3746"/>
        <v>0</v>
      </c>
      <c r="AS743" s="200">
        <f t="shared" si="3746"/>
        <v>0</v>
      </c>
      <c r="AT743" s="173">
        <v>0.0</v>
      </c>
      <c r="AU743" s="200">
        <f t="shared" ref="AU743:AX743" si="3747">countif($D743,"*"&amp;AU$2&amp;"*")</f>
        <v>0</v>
      </c>
      <c r="AV743" s="200">
        <f t="shared" si="3747"/>
        <v>0</v>
      </c>
      <c r="AW743" s="200">
        <f t="shared" si="3747"/>
        <v>0</v>
      </c>
      <c r="AX743" s="200">
        <f t="shared" si="3747"/>
        <v>0</v>
      </c>
      <c r="AY743" s="202">
        <v>0.0</v>
      </c>
      <c r="AZ743" s="200"/>
      <c r="BA743" s="171" t="str">
        <f t="shared" si="18"/>
        <v/>
      </c>
      <c r="BB743" s="171" t="str">
        <f t="shared" si="19"/>
        <v/>
      </c>
      <c r="BC743" s="171" t="str">
        <f t="shared" si="20"/>
        <v>General-purpose</v>
      </c>
      <c r="BD743" s="171" t="str">
        <f t="shared" si="21"/>
        <v/>
      </c>
      <c r="BE743" s="171" t="str">
        <f t="shared" si="22"/>
        <v/>
      </c>
      <c r="BF743" s="171" t="str">
        <f t="shared" si="23"/>
        <v>General-purpose</v>
      </c>
    </row>
    <row r="744">
      <c r="A744" s="171">
        <f t="array" ref="A744">XLOOKUP(C744,ICSE!A:A,ICSE!C:C,,2,1)</f>
        <v>2017</v>
      </c>
      <c r="B744" s="171" t="s">
        <v>5675</v>
      </c>
      <c r="C744" s="160">
        <v>1421.0</v>
      </c>
      <c r="D744" s="161" t="s">
        <v>5992</v>
      </c>
      <c r="E744" s="197" t="str">
        <f t="array" ref="E744">XLOOKUP(C744,ICSE!A:A,ICSE!Z:Z,,0,1)</f>
        <v>Publicly available (2)</v>
      </c>
      <c r="F744" s="198" t="s">
        <v>20</v>
      </c>
      <c r="G744" s="163" t="str">
        <f t="array" ref="G744">IF(B744="ICSE",IF(COUNTIFS(B:B,B744,C:C,C744)=XLOOKUP(C744,ICSE!A:A,ICSE!AA:AA,"ERROR",0,1),"OK","ERROR"),IF(B744="FSE",IF(COUNTIFS(B:B,B744,C:C,C744)=XLOOKUP(C744,FSE!A:A,FSE!AA:AA,"ERROR",0,1),"OK","ERROR")))</f>
        <v>OK</v>
      </c>
      <c r="H744" s="199">
        <f t="shared" ref="H744:O744" si="3748">countif($D744,"*"&amp;H$2&amp;"*")</f>
        <v>0</v>
      </c>
      <c r="I744" s="200">
        <f t="shared" si="3748"/>
        <v>0</v>
      </c>
      <c r="J744" s="200">
        <f t="shared" si="3748"/>
        <v>0</v>
      </c>
      <c r="K744" s="200">
        <f t="shared" si="3748"/>
        <v>0</v>
      </c>
      <c r="L744" s="200">
        <f t="shared" si="3748"/>
        <v>0</v>
      </c>
      <c r="M744" s="200">
        <f t="shared" si="3748"/>
        <v>0</v>
      </c>
      <c r="N744" s="200">
        <f t="shared" si="3748"/>
        <v>0</v>
      </c>
      <c r="O744" s="200">
        <f t="shared" si="3748"/>
        <v>0</v>
      </c>
      <c r="P744" s="200">
        <f t="shared" si="9"/>
        <v>1</v>
      </c>
      <c r="Q744" s="200">
        <f t="shared" ref="Q744:AC744" si="3749">countif($D744,"*"&amp;Q$2&amp;"*")</f>
        <v>0</v>
      </c>
      <c r="R744" s="200">
        <f t="shared" si="3749"/>
        <v>0</v>
      </c>
      <c r="S744" s="200">
        <f t="shared" si="3749"/>
        <v>0</v>
      </c>
      <c r="T744" s="200">
        <f t="shared" si="3749"/>
        <v>0</v>
      </c>
      <c r="U744" s="200">
        <f t="shared" si="3749"/>
        <v>0</v>
      </c>
      <c r="V744" s="200">
        <f t="shared" si="3749"/>
        <v>0</v>
      </c>
      <c r="W744" s="200">
        <f t="shared" si="3749"/>
        <v>0</v>
      </c>
      <c r="X744" s="200">
        <f t="shared" si="3749"/>
        <v>0</v>
      </c>
      <c r="Y744" s="200">
        <f t="shared" si="3749"/>
        <v>0</v>
      </c>
      <c r="Z744" s="200">
        <f t="shared" si="3749"/>
        <v>0</v>
      </c>
      <c r="AA744" s="200">
        <f t="shared" si="3749"/>
        <v>0</v>
      </c>
      <c r="AB744" s="200">
        <f t="shared" si="3749"/>
        <v>0</v>
      </c>
      <c r="AC744" s="200">
        <f t="shared" si="3749"/>
        <v>0</v>
      </c>
      <c r="AD744" s="200">
        <f t="shared" si="11"/>
        <v>0</v>
      </c>
      <c r="AE744" s="200">
        <f t="shared" ref="AE744:AG744" si="3750">countif($D744,"*"&amp;AE$2&amp;"*")</f>
        <v>0</v>
      </c>
      <c r="AF744" s="200">
        <f t="shared" si="3750"/>
        <v>0</v>
      </c>
      <c r="AG744" s="200">
        <f t="shared" si="3750"/>
        <v>0</v>
      </c>
      <c r="AH744" s="171">
        <f t="shared" si="13"/>
        <v>0</v>
      </c>
      <c r="AI744" s="200">
        <f t="shared" si="14"/>
        <v>0</v>
      </c>
      <c r="AJ744" s="200">
        <f t="shared" si="3700"/>
        <v>0</v>
      </c>
      <c r="AK744" s="201">
        <f t="shared" ref="AK744:AS744" si="3751">countif($D744,"*"&amp;AK$2&amp;"*")</f>
        <v>0</v>
      </c>
      <c r="AL744" s="201">
        <f t="shared" si="3751"/>
        <v>0</v>
      </c>
      <c r="AM744" s="201">
        <f t="shared" si="3751"/>
        <v>0</v>
      </c>
      <c r="AN744" s="201">
        <f t="shared" si="3751"/>
        <v>0</v>
      </c>
      <c r="AO744" s="201">
        <f t="shared" si="3751"/>
        <v>0</v>
      </c>
      <c r="AP744" s="201">
        <f t="shared" si="3751"/>
        <v>0</v>
      </c>
      <c r="AQ744" s="201">
        <f t="shared" si="3751"/>
        <v>0</v>
      </c>
      <c r="AR744" s="200">
        <f t="shared" si="3751"/>
        <v>0</v>
      </c>
      <c r="AS744" s="200">
        <f t="shared" si="3751"/>
        <v>0</v>
      </c>
      <c r="AT744" s="173">
        <v>0.0</v>
      </c>
      <c r="AU744" s="200">
        <f t="shared" ref="AU744:AX744" si="3752">countif($D744,"*"&amp;AU$2&amp;"*")</f>
        <v>0</v>
      </c>
      <c r="AV744" s="200">
        <f t="shared" si="3752"/>
        <v>1</v>
      </c>
      <c r="AW744" s="200">
        <f t="shared" si="3752"/>
        <v>0</v>
      </c>
      <c r="AX744" s="200">
        <f t="shared" si="3752"/>
        <v>0</v>
      </c>
      <c r="AY744" s="202">
        <v>0.0</v>
      </c>
      <c r="AZ744" s="200"/>
      <c r="BA744" s="171" t="str">
        <f t="shared" si="18"/>
        <v/>
      </c>
      <c r="BB744" s="171" t="str">
        <f t="shared" si="19"/>
        <v>Code</v>
      </c>
      <c r="BC744" s="171" t="str">
        <f t="shared" si="20"/>
        <v/>
      </c>
      <c r="BD744" s="171" t="str">
        <f t="shared" si="21"/>
        <v/>
      </c>
      <c r="BE744" s="171" t="str">
        <f t="shared" si="22"/>
        <v/>
      </c>
      <c r="BF744" s="171" t="str">
        <f t="shared" si="23"/>
        <v>Code</v>
      </c>
    </row>
    <row r="745">
      <c r="A745" s="171">
        <f t="array" ref="A745">XLOOKUP(C745,ICSE!A:A,ICSE!C:C,,2,1)</f>
        <v>2017</v>
      </c>
      <c r="B745" s="171" t="s">
        <v>5675</v>
      </c>
      <c r="C745" s="160">
        <v>1421.0</v>
      </c>
      <c r="D745" s="161" t="s">
        <v>5993</v>
      </c>
      <c r="E745" s="197" t="str">
        <f t="array" ref="E745">XLOOKUP(C745,ICSE!A:A,ICSE!Z:Z,,0,1)</f>
        <v>Publicly available (2)</v>
      </c>
      <c r="F745" s="198" t="s">
        <v>20</v>
      </c>
      <c r="G745" s="163" t="str">
        <f t="array" ref="G745">IF(B745="ICSE",IF(COUNTIFS(B:B,B745,C:C,C745)=XLOOKUP(C745,ICSE!A:A,ICSE!AA:AA,"ERROR",0,1),"OK","ERROR"),IF(B745="FSE",IF(COUNTIFS(B:B,B745,C:C,C745)=XLOOKUP(C745,FSE!A:A,FSE!AA:AA,"ERROR",0,1),"OK","ERROR")))</f>
        <v>OK</v>
      </c>
      <c r="H745" s="199">
        <f t="shared" ref="H745:O745" si="3753">countif($D745,"*"&amp;H$2&amp;"*")</f>
        <v>0</v>
      </c>
      <c r="I745" s="200">
        <f t="shared" si="3753"/>
        <v>0</v>
      </c>
      <c r="J745" s="200">
        <f t="shared" si="3753"/>
        <v>0</v>
      </c>
      <c r="K745" s="200">
        <f t="shared" si="3753"/>
        <v>0</v>
      </c>
      <c r="L745" s="200">
        <f t="shared" si="3753"/>
        <v>0</v>
      </c>
      <c r="M745" s="200">
        <f t="shared" si="3753"/>
        <v>0</v>
      </c>
      <c r="N745" s="200">
        <f t="shared" si="3753"/>
        <v>0</v>
      </c>
      <c r="O745" s="200">
        <f t="shared" si="3753"/>
        <v>0</v>
      </c>
      <c r="P745" s="200">
        <f t="shared" si="9"/>
        <v>1</v>
      </c>
      <c r="Q745" s="200">
        <f t="shared" ref="Q745:AC745" si="3754">countif($D745,"*"&amp;Q$2&amp;"*")</f>
        <v>0</v>
      </c>
      <c r="R745" s="200">
        <f t="shared" si="3754"/>
        <v>0</v>
      </c>
      <c r="S745" s="200">
        <f t="shared" si="3754"/>
        <v>0</v>
      </c>
      <c r="T745" s="200">
        <f t="shared" si="3754"/>
        <v>0</v>
      </c>
      <c r="U745" s="200">
        <f t="shared" si="3754"/>
        <v>0</v>
      </c>
      <c r="V745" s="200">
        <f t="shared" si="3754"/>
        <v>0</v>
      </c>
      <c r="W745" s="200">
        <f t="shared" si="3754"/>
        <v>0</v>
      </c>
      <c r="X745" s="200">
        <f t="shared" si="3754"/>
        <v>0</v>
      </c>
      <c r="Y745" s="200">
        <f t="shared" si="3754"/>
        <v>0</v>
      </c>
      <c r="Z745" s="200">
        <f t="shared" si="3754"/>
        <v>0</v>
      </c>
      <c r="AA745" s="200">
        <f t="shared" si="3754"/>
        <v>0</v>
      </c>
      <c r="AB745" s="200">
        <f t="shared" si="3754"/>
        <v>0</v>
      </c>
      <c r="AC745" s="200">
        <f t="shared" si="3754"/>
        <v>0</v>
      </c>
      <c r="AD745" s="200">
        <f t="shared" si="11"/>
        <v>0</v>
      </c>
      <c r="AE745" s="200">
        <f t="shared" ref="AE745:AG745" si="3755">countif($D745,"*"&amp;AE$2&amp;"*")</f>
        <v>0</v>
      </c>
      <c r="AF745" s="200">
        <f t="shared" si="3755"/>
        <v>0</v>
      </c>
      <c r="AG745" s="200">
        <f t="shared" si="3755"/>
        <v>0</v>
      </c>
      <c r="AH745" s="171">
        <f t="shared" si="13"/>
        <v>0</v>
      </c>
      <c r="AI745" s="200">
        <f t="shared" si="14"/>
        <v>0</v>
      </c>
      <c r="AJ745" s="200">
        <f t="shared" si="3700"/>
        <v>0</v>
      </c>
      <c r="AK745" s="201">
        <f t="shared" ref="AK745:AS745" si="3756">countif($D745,"*"&amp;AK$2&amp;"*")</f>
        <v>0</v>
      </c>
      <c r="AL745" s="201">
        <f t="shared" si="3756"/>
        <v>0</v>
      </c>
      <c r="AM745" s="201">
        <f t="shared" si="3756"/>
        <v>0</v>
      </c>
      <c r="AN745" s="201">
        <f t="shared" si="3756"/>
        <v>0</v>
      </c>
      <c r="AO745" s="201">
        <f t="shared" si="3756"/>
        <v>0</v>
      </c>
      <c r="AP745" s="201">
        <f t="shared" si="3756"/>
        <v>0</v>
      </c>
      <c r="AQ745" s="201">
        <f t="shared" si="3756"/>
        <v>0</v>
      </c>
      <c r="AR745" s="200">
        <f t="shared" si="3756"/>
        <v>0</v>
      </c>
      <c r="AS745" s="200">
        <f t="shared" si="3756"/>
        <v>0</v>
      </c>
      <c r="AT745" s="173">
        <v>0.0</v>
      </c>
      <c r="AU745" s="200">
        <f t="shared" ref="AU745:AX745" si="3757">countif($D745,"*"&amp;AU$2&amp;"*")</f>
        <v>0</v>
      </c>
      <c r="AV745" s="200">
        <f t="shared" si="3757"/>
        <v>1</v>
      </c>
      <c r="AW745" s="200">
        <f t="shared" si="3757"/>
        <v>0</v>
      </c>
      <c r="AX745" s="200">
        <f t="shared" si="3757"/>
        <v>0</v>
      </c>
      <c r="AY745" s="202">
        <v>0.0</v>
      </c>
      <c r="AZ745" s="200"/>
      <c r="BA745" s="171" t="str">
        <f t="shared" si="18"/>
        <v/>
      </c>
      <c r="BB745" s="171" t="str">
        <f t="shared" si="19"/>
        <v>Code</v>
      </c>
      <c r="BC745" s="171" t="str">
        <f t="shared" si="20"/>
        <v/>
      </c>
      <c r="BD745" s="171" t="str">
        <f t="shared" si="21"/>
        <v/>
      </c>
      <c r="BE745" s="171" t="str">
        <f t="shared" si="22"/>
        <v/>
      </c>
      <c r="BF745" s="171" t="str">
        <f t="shared" si="23"/>
        <v>Code</v>
      </c>
    </row>
    <row r="746">
      <c r="A746" s="171">
        <f t="array" ref="A746">XLOOKUP(C746,ICSE!A:A,ICSE!C:C,,2,1)</f>
        <v>2017</v>
      </c>
      <c r="B746" s="171" t="s">
        <v>5675</v>
      </c>
      <c r="C746" s="160">
        <v>1422.0</v>
      </c>
      <c r="D746" s="161" t="s">
        <v>903</v>
      </c>
      <c r="E746" s="197" t="str">
        <f t="array" ref="E746">XLOOKUP(C746,ICSE!A:A,ICSE!Z:Z,,0,1)</f>
        <v>Not available (1) - Broken link.</v>
      </c>
      <c r="F746" s="198" t="s">
        <v>21</v>
      </c>
      <c r="G746" s="163" t="str">
        <f t="array" ref="G746">IF(B746="ICSE",IF(COUNTIFS(B:B,B746,C:C,C746)=XLOOKUP(C746,ICSE!A:A,ICSE!AA:AA,"ERROR",0,1),"OK","ERROR"),IF(B746="FSE",IF(COUNTIFS(B:B,B746,C:C,C746)=XLOOKUP(C746,FSE!A:A,FSE!AA:AA,"ERROR",0,1),"OK","ERROR")))</f>
        <v>OK</v>
      </c>
      <c r="H746" s="199">
        <f t="shared" ref="H746:O746" si="3758">countif($D746,"*"&amp;H$2&amp;"*")</f>
        <v>0</v>
      </c>
      <c r="I746" s="200">
        <f t="shared" si="3758"/>
        <v>0</v>
      </c>
      <c r="J746" s="200">
        <f t="shared" si="3758"/>
        <v>0</v>
      </c>
      <c r="K746" s="200">
        <f t="shared" si="3758"/>
        <v>0</v>
      </c>
      <c r="L746" s="200">
        <f t="shared" si="3758"/>
        <v>0</v>
      </c>
      <c r="M746" s="200">
        <f t="shared" si="3758"/>
        <v>0</v>
      </c>
      <c r="N746" s="200">
        <f t="shared" si="3758"/>
        <v>0</v>
      </c>
      <c r="O746" s="200">
        <f t="shared" si="3758"/>
        <v>0</v>
      </c>
      <c r="P746" s="200">
        <f t="shared" si="9"/>
        <v>0</v>
      </c>
      <c r="Q746" s="200">
        <f t="shared" ref="Q746:AC746" si="3759">countif($D746,"*"&amp;Q$2&amp;"*")</f>
        <v>0</v>
      </c>
      <c r="R746" s="200">
        <f t="shared" si="3759"/>
        <v>0</v>
      </c>
      <c r="S746" s="200">
        <f t="shared" si="3759"/>
        <v>0</v>
      </c>
      <c r="T746" s="200">
        <f t="shared" si="3759"/>
        <v>0</v>
      </c>
      <c r="U746" s="200">
        <f t="shared" si="3759"/>
        <v>0</v>
      </c>
      <c r="V746" s="200">
        <f t="shared" si="3759"/>
        <v>0</v>
      </c>
      <c r="W746" s="200">
        <f t="shared" si="3759"/>
        <v>0</v>
      </c>
      <c r="X746" s="200">
        <f t="shared" si="3759"/>
        <v>0</v>
      </c>
      <c r="Y746" s="200">
        <f t="shared" si="3759"/>
        <v>0</v>
      </c>
      <c r="Z746" s="200">
        <f t="shared" si="3759"/>
        <v>0</v>
      </c>
      <c r="AA746" s="200">
        <f t="shared" si="3759"/>
        <v>0</v>
      </c>
      <c r="AB746" s="200">
        <f t="shared" si="3759"/>
        <v>0</v>
      </c>
      <c r="AC746" s="200">
        <f t="shared" si="3759"/>
        <v>0</v>
      </c>
      <c r="AD746" s="200">
        <f t="shared" si="11"/>
        <v>1</v>
      </c>
      <c r="AE746" s="200">
        <f t="shared" ref="AE746:AG746" si="3760">countif($D746,"*"&amp;AE$2&amp;"*")</f>
        <v>0</v>
      </c>
      <c r="AF746" s="200">
        <f t="shared" si="3760"/>
        <v>0</v>
      </c>
      <c r="AG746" s="200">
        <f t="shared" si="3760"/>
        <v>0</v>
      </c>
      <c r="AH746" s="171">
        <f t="shared" si="13"/>
        <v>0</v>
      </c>
      <c r="AI746" s="200">
        <f t="shared" si="14"/>
        <v>0</v>
      </c>
      <c r="AJ746" s="200">
        <f>SUM(AK746:AQ746)</f>
        <v>0</v>
      </c>
      <c r="AK746" s="201">
        <f t="shared" ref="AK746:AS746" si="3761">countif($D746,"*"&amp;AK$2&amp;"*")</f>
        <v>0</v>
      </c>
      <c r="AL746" s="201">
        <f t="shared" si="3761"/>
        <v>0</v>
      </c>
      <c r="AM746" s="201">
        <f t="shared" si="3761"/>
        <v>0</v>
      </c>
      <c r="AN746" s="201">
        <f t="shared" si="3761"/>
        <v>0</v>
      </c>
      <c r="AO746" s="201">
        <f t="shared" si="3761"/>
        <v>0</v>
      </c>
      <c r="AP746" s="201">
        <f t="shared" si="3761"/>
        <v>0</v>
      </c>
      <c r="AQ746" s="201">
        <f t="shared" si="3761"/>
        <v>0</v>
      </c>
      <c r="AR746" s="201">
        <f t="shared" si="3761"/>
        <v>0</v>
      </c>
      <c r="AS746" s="200">
        <f t="shared" si="3761"/>
        <v>0</v>
      </c>
      <c r="AT746" s="205">
        <v>0.0</v>
      </c>
      <c r="AU746" s="200">
        <f t="shared" ref="AU746:AX746" si="3762">countif($D746,"*"&amp;AU$2&amp;"*")</f>
        <v>1</v>
      </c>
      <c r="AV746" s="200">
        <f t="shared" si="3762"/>
        <v>0</v>
      </c>
      <c r="AW746" s="200">
        <f t="shared" si="3762"/>
        <v>0</v>
      </c>
      <c r="AX746" s="200">
        <f t="shared" si="3762"/>
        <v>0</v>
      </c>
      <c r="AY746" s="202">
        <v>0.0</v>
      </c>
      <c r="AZ746" s="200"/>
      <c r="BA746" s="171" t="str">
        <f t="shared" si="18"/>
        <v/>
      </c>
      <c r="BB746" s="171" t="str">
        <f t="shared" si="19"/>
        <v/>
      </c>
      <c r="BC746" s="171" t="str">
        <f t="shared" si="20"/>
        <v/>
      </c>
      <c r="BD746" s="171" t="str">
        <f t="shared" si="21"/>
        <v>Institutional</v>
      </c>
      <c r="BE746" s="171" t="str">
        <f t="shared" si="22"/>
        <v/>
      </c>
      <c r="BF746" s="171" t="str">
        <f t="shared" si="23"/>
        <v>Institutional</v>
      </c>
    </row>
    <row r="747">
      <c r="A747" s="171">
        <f t="array" ref="A747">XLOOKUP(C747,ICSE!A:A,ICSE!C:C,,2,1)</f>
        <v>2017</v>
      </c>
      <c r="B747" s="171" t="s">
        <v>5675</v>
      </c>
      <c r="C747" s="160">
        <v>1423.0</v>
      </c>
      <c r="D747" s="161" t="s">
        <v>5994</v>
      </c>
      <c r="E747" s="197" t="str">
        <f t="array" ref="E747">XLOOKUP(C747,ICSE!A:A,ICSE!Z:Z,,0,1)</f>
        <v>Publicly available (2)</v>
      </c>
      <c r="F747" s="198" t="s">
        <v>20</v>
      </c>
      <c r="G747" s="163" t="str">
        <f t="array" ref="G747">IF(B747="ICSE",IF(COUNTIFS(B:B,B747,C:C,C747)=XLOOKUP(C747,ICSE!A:A,ICSE!AA:AA,"ERROR",0,1),"OK","ERROR"),IF(B747="FSE",IF(COUNTIFS(B:B,B747,C:C,C747)=XLOOKUP(C747,FSE!A:A,FSE!AA:AA,"ERROR",0,1),"OK","ERROR")))</f>
        <v>OK</v>
      </c>
      <c r="H747" s="199">
        <f t="shared" ref="H747:O747" si="3763">countif($D747,"*"&amp;H$2&amp;"*")</f>
        <v>0</v>
      </c>
      <c r="I747" s="200">
        <f t="shared" si="3763"/>
        <v>0</v>
      </c>
      <c r="J747" s="200">
        <f t="shared" si="3763"/>
        <v>0</v>
      </c>
      <c r="K747" s="200">
        <f t="shared" si="3763"/>
        <v>0</v>
      </c>
      <c r="L747" s="200">
        <f t="shared" si="3763"/>
        <v>0</v>
      </c>
      <c r="M747" s="200">
        <f t="shared" si="3763"/>
        <v>0</v>
      </c>
      <c r="N747" s="200">
        <f t="shared" si="3763"/>
        <v>0</v>
      </c>
      <c r="O747" s="200">
        <f t="shared" si="3763"/>
        <v>0</v>
      </c>
      <c r="P747" s="200">
        <f t="shared" si="9"/>
        <v>0</v>
      </c>
      <c r="Q747" s="200">
        <f t="shared" ref="Q747:AC747" si="3764">countif($D747,"*"&amp;Q$2&amp;"*")</f>
        <v>0</v>
      </c>
      <c r="R747" s="200">
        <f t="shared" si="3764"/>
        <v>0</v>
      </c>
      <c r="S747" s="200">
        <f t="shared" si="3764"/>
        <v>0</v>
      </c>
      <c r="T747" s="200">
        <f t="shared" si="3764"/>
        <v>0</v>
      </c>
      <c r="U747" s="200">
        <f t="shared" si="3764"/>
        <v>0</v>
      </c>
      <c r="V747" s="200">
        <f t="shared" si="3764"/>
        <v>0</v>
      </c>
      <c r="W747" s="200">
        <f t="shared" si="3764"/>
        <v>0</v>
      </c>
      <c r="X747" s="200">
        <f t="shared" si="3764"/>
        <v>0</v>
      </c>
      <c r="Y747" s="200">
        <f t="shared" si="3764"/>
        <v>0</v>
      </c>
      <c r="Z747" s="200">
        <f t="shared" si="3764"/>
        <v>0</v>
      </c>
      <c r="AA747" s="200">
        <f t="shared" si="3764"/>
        <v>0</v>
      </c>
      <c r="AB747" s="200">
        <f t="shared" si="3764"/>
        <v>0</v>
      </c>
      <c r="AC747" s="200">
        <f t="shared" si="3764"/>
        <v>0</v>
      </c>
      <c r="AD747" s="200">
        <f t="shared" si="11"/>
        <v>0</v>
      </c>
      <c r="AE747" s="200">
        <f t="shared" ref="AE747:AG747" si="3765">countif($D747,"*"&amp;AE$2&amp;"*")</f>
        <v>0</v>
      </c>
      <c r="AF747" s="200">
        <f t="shared" si="3765"/>
        <v>0</v>
      </c>
      <c r="AG747" s="200">
        <f t="shared" si="3765"/>
        <v>0</v>
      </c>
      <c r="AH747" s="171">
        <f t="shared" si="13"/>
        <v>1</v>
      </c>
      <c r="AI747" s="200">
        <f t="shared" si="14"/>
        <v>0</v>
      </c>
      <c r="AJ747" s="200">
        <f t="shared" ref="AJ747:AJ748" si="3771">SUM(AK747:AR747)</f>
        <v>0</v>
      </c>
      <c r="AK747" s="201">
        <f t="shared" ref="AK747:AS747" si="3766">countif($D747,"*"&amp;AK$2&amp;"*")</f>
        <v>0</v>
      </c>
      <c r="AL747" s="201">
        <f t="shared" si="3766"/>
        <v>0</v>
      </c>
      <c r="AM747" s="201">
        <f t="shared" si="3766"/>
        <v>0</v>
      </c>
      <c r="AN747" s="201">
        <f t="shared" si="3766"/>
        <v>0</v>
      </c>
      <c r="AO747" s="201">
        <f t="shared" si="3766"/>
        <v>0</v>
      </c>
      <c r="AP747" s="201">
        <f t="shared" si="3766"/>
        <v>0</v>
      </c>
      <c r="AQ747" s="201">
        <f t="shared" si="3766"/>
        <v>0</v>
      </c>
      <c r="AR747" s="200">
        <f t="shared" si="3766"/>
        <v>0</v>
      </c>
      <c r="AS747" s="200">
        <f t="shared" si="3766"/>
        <v>0</v>
      </c>
      <c r="AT747" s="173">
        <v>0.0</v>
      </c>
      <c r="AU747" s="200">
        <f t="shared" ref="AU747:AX747" si="3767">countif($D747,"*"&amp;AU$2&amp;"*")</f>
        <v>0</v>
      </c>
      <c r="AV747" s="200">
        <f t="shared" si="3767"/>
        <v>0</v>
      </c>
      <c r="AW747" s="200">
        <f t="shared" si="3767"/>
        <v>0</v>
      </c>
      <c r="AX747" s="200">
        <f t="shared" si="3767"/>
        <v>0</v>
      </c>
      <c r="AY747" s="202">
        <v>0.0</v>
      </c>
      <c r="AZ747" s="200"/>
      <c r="BA747" s="171" t="str">
        <f t="shared" si="18"/>
        <v/>
      </c>
      <c r="BB747" s="171" t="str">
        <f t="shared" si="19"/>
        <v/>
      </c>
      <c r="BC747" s="171" t="str">
        <f t="shared" si="20"/>
        <v/>
      </c>
      <c r="BD747" s="171" t="str">
        <f t="shared" si="21"/>
        <v/>
      </c>
      <c r="BE747" s="171" t="str">
        <f t="shared" si="22"/>
        <v>Others</v>
      </c>
      <c r="BF747" s="171" t="str">
        <f t="shared" si="23"/>
        <v>Others</v>
      </c>
    </row>
    <row r="748">
      <c r="A748" s="171">
        <f t="array" ref="A748">XLOOKUP(C748,ICSE!A:A,ICSE!C:C,,2,1)</f>
        <v>2017</v>
      </c>
      <c r="B748" s="171" t="s">
        <v>5675</v>
      </c>
      <c r="C748" s="160">
        <v>1423.0</v>
      </c>
      <c r="D748" s="161" t="s">
        <v>5995</v>
      </c>
      <c r="E748" s="197" t="str">
        <f t="array" ref="E748">XLOOKUP(C748,ICSE!A:A,ICSE!Z:Z,,0,1)</f>
        <v>Publicly available (2)</v>
      </c>
      <c r="F748" s="198" t="s">
        <v>20</v>
      </c>
      <c r="G748" s="163" t="str">
        <f t="array" ref="G748">IF(B748="ICSE",IF(COUNTIFS(B:B,B748,C:C,C748)=XLOOKUP(C748,ICSE!A:A,ICSE!AA:AA,"ERROR",0,1),"OK","ERROR"),IF(B748="FSE",IF(COUNTIFS(B:B,B748,C:C,C748)=XLOOKUP(C748,FSE!A:A,FSE!AA:AA,"ERROR",0,1),"OK","ERROR")))</f>
        <v>OK</v>
      </c>
      <c r="H748" s="199">
        <f t="shared" ref="H748:O748" si="3768">countif($D748,"*"&amp;H$2&amp;"*")</f>
        <v>0</v>
      </c>
      <c r="I748" s="200">
        <f t="shared" si="3768"/>
        <v>0</v>
      </c>
      <c r="J748" s="200">
        <f t="shared" si="3768"/>
        <v>0</v>
      </c>
      <c r="K748" s="200">
        <f t="shared" si="3768"/>
        <v>0</v>
      </c>
      <c r="L748" s="200">
        <f t="shared" si="3768"/>
        <v>0</v>
      </c>
      <c r="M748" s="200">
        <f t="shared" si="3768"/>
        <v>0</v>
      </c>
      <c r="N748" s="200">
        <f t="shared" si="3768"/>
        <v>0</v>
      </c>
      <c r="O748" s="200">
        <f t="shared" si="3768"/>
        <v>0</v>
      </c>
      <c r="P748" s="200">
        <f t="shared" si="9"/>
        <v>0</v>
      </c>
      <c r="Q748" s="200">
        <f t="shared" ref="Q748:AC748" si="3769">countif($D748,"*"&amp;Q$2&amp;"*")</f>
        <v>0</v>
      </c>
      <c r="R748" s="200">
        <f t="shared" si="3769"/>
        <v>0</v>
      </c>
      <c r="S748" s="200">
        <f t="shared" si="3769"/>
        <v>0</v>
      </c>
      <c r="T748" s="200">
        <f t="shared" si="3769"/>
        <v>0</v>
      </c>
      <c r="U748" s="200">
        <f t="shared" si="3769"/>
        <v>0</v>
      </c>
      <c r="V748" s="200">
        <f t="shared" si="3769"/>
        <v>0</v>
      </c>
      <c r="W748" s="200">
        <f t="shared" si="3769"/>
        <v>0</v>
      </c>
      <c r="X748" s="200">
        <f t="shared" si="3769"/>
        <v>0</v>
      </c>
      <c r="Y748" s="200">
        <f t="shared" si="3769"/>
        <v>0</v>
      </c>
      <c r="Z748" s="200">
        <f t="shared" si="3769"/>
        <v>0</v>
      </c>
      <c r="AA748" s="200">
        <f t="shared" si="3769"/>
        <v>0</v>
      </c>
      <c r="AB748" s="200">
        <f t="shared" si="3769"/>
        <v>0</v>
      </c>
      <c r="AC748" s="200">
        <f t="shared" si="3769"/>
        <v>0</v>
      </c>
      <c r="AD748" s="200">
        <f t="shared" si="11"/>
        <v>0</v>
      </c>
      <c r="AE748" s="200">
        <f t="shared" ref="AE748:AG748" si="3770">countif($D748,"*"&amp;AE$2&amp;"*")</f>
        <v>0</v>
      </c>
      <c r="AF748" s="200">
        <f t="shared" si="3770"/>
        <v>0</v>
      </c>
      <c r="AG748" s="200">
        <f t="shared" si="3770"/>
        <v>0</v>
      </c>
      <c r="AH748" s="171">
        <f t="shared" si="13"/>
        <v>1</v>
      </c>
      <c r="AI748" s="200">
        <f t="shared" si="14"/>
        <v>0</v>
      </c>
      <c r="AJ748" s="200">
        <f t="shared" si="3771"/>
        <v>0</v>
      </c>
      <c r="AK748" s="201">
        <f t="shared" ref="AK748:AS748" si="3772">countif($D748,"*"&amp;AK$2&amp;"*")</f>
        <v>0</v>
      </c>
      <c r="AL748" s="201">
        <f t="shared" si="3772"/>
        <v>0</v>
      </c>
      <c r="AM748" s="201">
        <f t="shared" si="3772"/>
        <v>0</v>
      </c>
      <c r="AN748" s="201">
        <f t="shared" si="3772"/>
        <v>0</v>
      </c>
      <c r="AO748" s="201">
        <f t="shared" si="3772"/>
        <v>0</v>
      </c>
      <c r="AP748" s="201">
        <f t="shared" si="3772"/>
        <v>0</v>
      </c>
      <c r="AQ748" s="201">
        <f t="shared" si="3772"/>
        <v>0</v>
      </c>
      <c r="AR748" s="200">
        <f t="shared" si="3772"/>
        <v>0</v>
      </c>
      <c r="AS748" s="200">
        <f t="shared" si="3772"/>
        <v>0</v>
      </c>
      <c r="AT748" s="173">
        <v>0.0</v>
      </c>
      <c r="AU748" s="200">
        <f t="shared" ref="AU748:AX748" si="3773">countif($D748,"*"&amp;AU$2&amp;"*")</f>
        <v>0</v>
      </c>
      <c r="AV748" s="200">
        <f t="shared" si="3773"/>
        <v>0</v>
      </c>
      <c r="AW748" s="200">
        <f t="shared" si="3773"/>
        <v>0</v>
      </c>
      <c r="AX748" s="200">
        <f t="shared" si="3773"/>
        <v>0</v>
      </c>
      <c r="AY748" s="202">
        <v>0.0</v>
      </c>
      <c r="AZ748" s="200"/>
      <c r="BA748" s="171" t="str">
        <f t="shared" si="18"/>
        <v/>
      </c>
      <c r="BB748" s="171" t="str">
        <f t="shared" si="19"/>
        <v/>
      </c>
      <c r="BC748" s="171" t="str">
        <f t="shared" si="20"/>
        <v/>
      </c>
      <c r="BD748" s="171" t="str">
        <f t="shared" si="21"/>
        <v/>
      </c>
      <c r="BE748" s="171" t="str">
        <f t="shared" si="22"/>
        <v>Others</v>
      </c>
      <c r="BF748" s="171" t="str">
        <f t="shared" si="23"/>
        <v>Others</v>
      </c>
    </row>
    <row r="749">
      <c r="A749" s="171">
        <f t="array" ref="A749">XLOOKUP(C749,ICSE!A:A,ICSE!C:C,,2,1)</f>
        <v>2017</v>
      </c>
      <c r="B749" s="171" t="s">
        <v>5675</v>
      </c>
      <c r="C749" s="160">
        <v>1424.0</v>
      </c>
      <c r="D749" s="161" t="s">
        <v>909</v>
      </c>
      <c r="E749" s="197" t="str">
        <f t="array" ref="E749">XLOOKUP(C749,ICSE!A:A,ICSE!Z:Z,,0,1)</f>
        <v>Publicly available (1)</v>
      </c>
      <c r="F749" s="198" t="s">
        <v>20</v>
      </c>
      <c r="G749" s="163" t="str">
        <f t="array" ref="G749">IF(B749="ICSE",IF(COUNTIFS(B:B,B749,C:C,C749)=XLOOKUP(C749,ICSE!A:A,ICSE!AA:AA,"ERROR",0,1),"OK","ERROR"),IF(B749="FSE",IF(COUNTIFS(B:B,B749,C:C,C749)=XLOOKUP(C749,FSE!A:A,FSE!AA:AA,"ERROR",0,1),"OK","ERROR")))</f>
        <v>OK</v>
      </c>
      <c r="H749" s="199">
        <f t="shared" ref="H749:O749" si="3774">countif($D749,"*"&amp;H$2&amp;"*")</f>
        <v>0</v>
      </c>
      <c r="I749" s="200">
        <f t="shared" si="3774"/>
        <v>0</v>
      </c>
      <c r="J749" s="200">
        <f t="shared" si="3774"/>
        <v>0</v>
      </c>
      <c r="K749" s="200">
        <f t="shared" si="3774"/>
        <v>0</v>
      </c>
      <c r="L749" s="200">
        <f t="shared" si="3774"/>
        <v>0</v>
      </c>
      <c r="M749" s="200">
        <f t="shared" si="3774"/>
        <v>0</v>
      </c>
      <c r="N749" s="200">
        <f t="shared" si="3774"/>
        <v>0</v>
      </c>
      <c r="O749" s="200">
        <f t="shared" si="3774"/>
        <v>0</v>
      </c>
      <c r="P749" s="200">
        <f t="shared" si="9"/>
        <v>0</v>
      </c>
      <c r="Q749" s="200">
        <f t="shared" ref="Q749:AC749" si="3775">countif($D749,"*"&amp;Q$2&amp;"*")</f>
        <v>0</v>
      </c>
      <c r="R749" s="200">
        <f t="shared" si="3775"/>
        <v>0</v>
      </c>
      <c r="S749" s="200">
        <f t="shared" si="3775"/>
        <v>0</v>
      </c>
      <c r="T749" s="200">
        <f t="shared" si="3775"/>
        <v>0</v>
      </c>
      <c r="U749" s="200">
        <f t="shared" si="3775"/>
        <v>0</v>
      </c>
      <c r="V749" s="200">
        <f t="shared" si="3775"/>
        <v>0</v>
      </c>
      <c r="W749" s="200">
        <f t="shared" si="3775"/>
        <v>0</v>
      </c>
      <c r="X749" s="200">
        <f t="shared" si="3775"/>
        <v>0</v>
      </c>
      <c r="Y749" s="200">
        <f t="shared" si="3775"/>
        <v>0</v>
      </c>
      <c r="Z749" s="200">
        <f t="shared" si="3775"/>
        <v>0</v>
      </c>
      <c r="AA749" s="200">
        <f t="shared" si="3775"/>
        <v>0</v>
      </c>
      <c r="AB749" s="200">
        <f t="shared" si="3775"/>
        <v>0</v>
      </c>
      <c r="AC749" s="200">
        <f t="shared" si="3775"/>
        <v>0</v>
      </c>
      <c r="AD749" s="200">
        <f t="shared" si="11"/>
        <v>1</v>
      </c>
      <c r="AE749" s="200">
        <f t="shared" ref="AE749:AG749" si="3776">countif($D749,"*"&amp;AE$2&amp;"*")</f>
        <v>0</v>
      </c>
      <c r="AF749" s="200">
        <f t="shared" si="3776"/>
        <v>0</v>
      </c>
      <c r="AG749" s="200">
        <f t="shared" si="3776"/>
        <v>0</v>
      </c>
      <c r="AH749" s="171">
        <f t="shared" si="13"/>
        <v>0</v>
      </c>
      <c r="AI749" s="200">
        <f t="shared" si="14"/>
        <v>0</v>
      </c>
      <c r="AJ749" s="200">
        <f>SUM(AK749:AQ749)</f>
        <v>0</v>
      </c>
      <c r="AK749" s="201">
        <f t="shared" ref="AK749:AS749" si="3777">countif($D749,"*"&amp;AK$2&amp;"*")</f>
        <v>0</v>
      </c>
      <c r="AL749" s="201">
        <f t="shared" si="3777"/>
        <v>0</v>
      </c>
      <c r="AM749" s="201">
        <f t="shared" si="3777"/>
        <v>0</v>
      </c>
      <c r="AN749" s="201">
        <f t="shared" si="3777"/>
        <v>0</v>
      </c>
      <c r="AO749" s="201">
        <f t="shared" si="3777"/>
        <v>0</v>
      </c>
      <c r="AP749" s="201">
        <f t="shared" si="3777"/>
        <v>0</v>
      </c>
      <c r="AQ749" s="201">
        <f t="shared" si="3777"/>
        <v>0</v>
      </c>
      <c r="AR749" s="201">
        <f t="shared" si="3777"/>
        <v>0</v>
      </c>
      <c r="AS749" s="200">
        <f t="shared" si="3777"/>
        <v>0</v>
      </c>
      <c r="AT749" s="205">
        <v>0.0</v>
      </c>
      <c r="AU749" s="200">
        <f t="shared" ref="AU749:AX749" si="3778">countif($D749,"*"&amp;AU$2&amp;"*")</f>
        <v>1</v>
      </c>
      <c r="AV749" s="200">
        <f t="shared" si="3778"/>
        <v>0</v>
      </c>
      <c r="AW749" s="200">
        <f t="shared" si="3778"/>
        <v>0</v>
      </c>
      <c r="AX749" s="200">
        <f t="shared" si="3778"/>
        <v>0</v>
      </c>
      <c r="AY749" s="202">
        <v>0.0</v>
      </c>
      <c r="AZ749" s="200"/>
      <c r="BA749" s="171" t="str">
        <f t="shared" si="18"/>
        <v/>
      </c>
      <c r="BB749" s="171" t="str">
        <f t="shared" si="19"/>
        <v/>
      </c>
      <c r="BC749" s="171" t="str">
        <f t="shared" si="20"/>
        <v/>
      </c>
      <c r="BD749" s="171" t="str">
        <f t="shared" si="21"/>
        <v>Institutional</v>
      </c>
      <c r="BE749" s="171" t="str">
        <f t="shared" si="22"/>
        <v/>
      </c>
      <c r="BF749" s="171" t="str">
        <f t="shared" si="23"/>
        <v>Institutional</v>
      </c>
    </row>
    <row r="750">
      <c r="A750" s="171">
        <f t="array" ref="A750">XLOOKUP(C750,ICSE!A:A,ICSE!C:C,,2,1)</f>
        <v>2017</v>
      </c>
      <c r="B750" s="171" t="s">
        <v>5675</v>
      </c>
      <c r="C750" s="160">
        <v>1425.0</v>
      </c>
      <c r="D750" s="161" t="s">
        <v>913</v>
      </c>
      <c r="E750" s="197" t="str">
        <f t="array" ref="E750">XLOOKUP(C750,ICSE!A:A,ICSE!Z:Z,,0,1)</f>
        <v>Publicly available (1)</v>
      </c>
      <c r="F750" s="198" t="s">
        <v>20</v>
      </c>
      <c r="G750" s="163" t="str">
        <f t="array" ref="G750">IF(B750="ICSE",IF(COUNTIFS(B:B,B750,C:C,C750)=XLOOKUP(C750,ICSE!A:A,ICSE!AA:AA,"ERROR",0,1),"OK","ERROR"),IF(B750="FSE",IF(COUNTIFS(B:B,B750,C:C,C750)=XLOOKUP(C750,FSE!A:A,FSE!AA:AA,"ERROR",0,1),"OK","ERROR")))</f>
        <v>OK</v>
      </c>
      <c r="H750" s="199">
        <f t="shared" ref="H750:O750" si="3779">countif($D750,"*"&amp;H$2&amp;"*")</f>
        <v>0</v>
      </c>
      <c r="I750" s="200">
        <f t="shared" si="3779"/>
        <v>0</v>
      </c>
      <c r="J750" s="200">
        <f t="shared" si="3779"/>
        <v>0</v>
      </c>
      <c r="K750" s="200">
        <f t="shared" si="3779"/>
        <v>0</v>
      </c>
      <c r="L750" s="200">
        <f t="shared" si="3779"/>
        <v>0</v>
      </c>
      <c r="M750" s="200">
        <f t="shared" si="3779"/>
        <v>0</v>
      </c>
      <c r="N750" s="200">
        <f t="shared" si="3779"/>
        <v>0</v>
      </c>
      <c r="O750" s="200">
        <f t="shared" si="3779"/>
        <v>0</v>
      </c>
      <c r="P750" s="200">
        <f t="shared" si="9"/>
        <v>1</v>
      </c>
      <c r="Q750" s="200">
        <f t="shared" ref="Q750:AC750" si="3780">countif($D750,"*"&amp;Q$2&amp;"*")</f>
        <v>0</v>
      </c>
      <c r="R750" s="200">
        <f t="shared" si="3780"/>
        <v>0</v>
      </c>
      <c r="S750" s="200">
        <f t="shared" si="3780"/>
        <v>0</v>
      </c>
      <c r="T750" s="200">
        <f t="shared" si="3780"/>
        <v>0</v>
      </c>
      <c r="U750" s="200">
        <f t="shared" si="3780"/>
        <v>0</v>
      </c>
      <c r="V750" s="200">
        <f t="shared" si="3780"/>
        <v>0</v>
      </c>
      <c r="W750" s="200">
        <f t="shared" si="3780"/>
        <v>0</v>
      </c>
      <c r="X750" s="200">
        <f t="shared" si="3780"/>
        <v>0</v>
      </c>
      <c r="Y750" s="200">
        <f t="shared" si="3780"/>
        <v>0</v>
      </c>
      <c r="Z750" s="200">
        <f t="shared" si="3780"/>
        <v>0</v>
      </c>
      <c r="AA750" s="200">
        <f t="shared" si="3780"/>
        <v>0</v>
      </c>
      <c r="AB750" s="200">
        <f t="shared" si="3780"/>
        <v>0</v>
      </c>
      <c r="AC750" s="200">
        <f t="shared" si="3780"/>
        <v>0</v>
      </c>
      <c r="AD750" s="200">
        <f t="shared" si="11"/>
        <v>0</v>
      </c>
      <c r="AE750" s="200">
        <f t="shared" ref="AE750:AG750" si="3781">countif($D750,"*"&amp;AE$2&amp;"*")</f>
        <v>0</v>
      </c>
      <c r="AF750" s="200">
        <f t="shared" si="3781"/>
        <v>0</v>
      </c>
      <c r="AG750" s="200">
        <f t="shared" si="3781"/>
        <v>0</v>
      </c>
      <c r="AH750" s="171">
        <f t="shared" si="13"/>
        <v>0</v>
      </c>
      <c r="AI750" s="200">
        <f t="shared" si="14"/>
        <v>0</v>
      </c>
      <c r="AJ750" s="200">
        <f t="shared" ref="AJ750:AJ753" si="3787">SUM(AK750:AR750)</f>
        <v>0</v>
      </c>
      <c r="AK750" s="201">
        <f t="shared" ref="AK750:AS750" si="3782">countif($D750,"*"&amp;AK$2&amp;"*")</f>
        <v>0</v>
      </c>
      <c r="AL750" s="201">
        <f t="shared" si="3782"/>
        <v>0</v>
      </c>
      <c r="AM750" s="201">
        <f t="shared" si="3782"/>
        <v>0</v>
      </c>
      <c r="AN750" s="201">
        <f t="shared" si="3782"/>
        <v>0</v>
      </c>
      <c r="AO750" s="201">
        <f t="shared" si="3782"/>
        <v>0</v>
      </c>
      <c r="AP750" s="201">
        <f t="shared" si="3782"/>
        <v>0</v>
      </c>
      <c r="AQ750" s="201">
        <f t="shared" si="3782"/>
        <v>0</v>
      </c>
      <c r="AR750" s="200">
        <f t="shared" si="3782"/>
        <v>0</v>
      </c>
      <c r="AS750" s="200">
        <f t="shared" si="3782"/>
        <v>0</v>
      </c>
      <c r="AT750" s="173">
        <v>0.0</v>
      </c>
      <c r="AU750" s="200">
        <f t="shared" ref="AU750:AX750" si="3783">countif($D750,"*"&amp;AU$2&amp;"*")</f>
        <v>0</v>
      </c>
      <c r="AV750" s="200">
        <f t="shared" si="3783"/>
        <v>1</v>
      </c>
      <c r="AW750" s="200">
        <f t="shared" si="3783"/>
        <v>0</v>
      </c>
      <c r="AX750" s="200">
        <f t="shared" si="3783"/>
        <v>0</v>
      </c>
      <c r="AY750" s="202">
        <v>0.0</v>
      </c>
      <c r="AZ750" s="200"/>
      <c r="BA750" s="171" t="str">
        <f t="shared" si="18"/>
        <v/>
      </c>
      <c r="BB750" s="171" t="str">
        <f t="shared" si="19"/>
        <v>Code</v>
      </c>
      <c r="BC750" s="171" t="str">
        <f t="shared" si="20"/>
        <v/>
      </c>
      <c r="BD750" s="171" t="str">
        <f t="shared" si="21"/>
        <v/>
      </c>
      <c r="BE750" s="171" t="str">
        <f t="shared" si="22"/>
        <v/>
      </c>
      <c r="BF750" s="171" t="str">
        <f t="shared" si="23"/>
        <v>Code</v>
      </c>
    </row>
    <row r="751">
      <c r="A751" s="171">
        <f t="array" ref="A751">XLOOKUP(C751,ICSE!A:A,ICSE!C:C,,2,1)</f>
        <v>2017</v>
      </c>
      <c r="B751" s="171" t="s">
        <v>5675</v>
      </c>
      <c r="C751" s="160">
        <v>1427.0</v>
      </c>
      <c r="D751" s="161" t="s">
        <v>5996</v>
      </c>
      <c r="E751" s="197" t="str">
        <f t="array" ref="E751">XLOOKUP(C751,ICSE!A:A,ICSE!Z:Z,,0,1)</f>
        <v>Restrict access (1) - Access not allowed,
Publicly available (1)</v>
      </c>
      <c r="F751" s="198" t="s">
        <v>22</v>
      </c>
      <c r="G751" s="163" t="str">
        <f t="array" ref="G751">IF(B751="ICSE",IF(COUNTIFS(B:B,B751,C:C,C751)=XLOOKUP(C751,ICSE!A:A,ICSE!AA:AA,"ERROR",0,1),"OK","ERROR"),IF(B751="FSE",IF(COUNTIFS(B:B,B751,C:C,C751)=XLOOKUP(C751,FSE!A:A,FSE!AA:AA,"ERROR",0,1),"OK","ERROR")))</f>
        <v>OK</v>
      </c>
      <c r="H751" s="199">
        <f t="shared" ref="H751:O751" si="3784">countif($D751,"*"&amp;H$2&amp;"*")</f>
        <v>0</v>
      </c>
      <c r="I751" s="200">
        <f t="shared" si="3784"/>
        <v>0</v>
      </c>
      <c r="J751" s="200">
        <f t="shared" si="3784"/>
        <v>0</v>
      </c>
      <c r="K751" s="200">
        <f t="shared" si="3784"/>
        <v>0</v>
      </c>
      <c r="L751" s="200">
        <f t="shared" si="3784"/>
        <v>0</v>
      </c>
      <c r="M751" s="200">
        <f t="shared" si="3784"/>
        <v>0</v>
      </c>
      <c r="N751" s="200">
        <f t="shared" si="3784"/>
        <v>0</v>
      </c>
      <c r="O751" s="200">
        <f t="shared" si="3784"/>
        <v>0</v>
      </c>
      <c r="P751" s="200">
        <f t="shared" si="9"/>
        <v>0</v>
      </c>
      <c r="Q751" s="200">
        <f t="shared" ref="Q751:AC751" si="3785">countif($D751,"*"&amp;Q$2&amp;"*")</f>
        <v>0</v>
      </c>
      <c r="R751" s="200">
        <f t="shared" si="3785"/>
        <v>0</v>
      </c>
      <c r="S751" s="200">
        <f t="shared" si="3785"/>
        <v>0</v>
      </c>
      <c r="T751" s="200">
        <f t="shared" si="3785"/>
        <v>0</v>
      </c>
      <c r="U751" s="200">
        <f t="shared" si="3785"/>
        <v>0</v>
      </c>
      <c r="V751" s="200">
        <f t="shared" si="3785"/>
        <v>1</v>
      </c>
      <c r="W751" s="200">
        <f t="shared" si="3785"/>
        <v>0</v>
      </c>
      <c r="X751" s="200">
        <f t="shared" si="3785"/>
        <v>0</v>
      </c>
      <c r="Y751" s="200">
        <f t="shared" si="3785"/>
        <v>0</v>
      </c>
      <c r="Z751" s="200">
        <f t="shared" si="3785"/>
        <v>0</v>
      </c>
      <c r="AA751" s="200">
        <f t="shared" si="3785"/>
        <v>0</v>
      </c>
      <c r="AB751" s="200">
        <f t="shared" si="3785"/>
        <v>0</v>
      </c>
      <c r="AC751" s="200">
        <f t="shared" si="3785"/>
        <v>0</v>
      </c>
      <c r="AD751" s="200">
        <f t="shared" si="11"/>
        <v>0</v>
      </c>
      <c r="AE751" s="200">
        <f t="shared" ref="AE751:AG751" si="3786">countif($D751,"*"&amp;AE$2&amp;"*")</f>
        <v>0</v>
      </c>
      <c r="AF751" s="200">
        <f t="shared" si="3786"/>
        <v>0</v>
      </c>
      <c r="AG751" s="200">
        <f t="shared" si="3786"/>
        <v>0</v>
      </c>
      <c r="AH751" s="171">
        <f t="shared" si="13"/>
        <v>0</v>
      </c>
      <c r="AI751" s="200">
        <f t="shared" si="14"/>
        <v>0</v>
      </c>
      <c r="AJ751" s="200">
        <f t="shared" si="3787"/>
        <v>1</v>
      </c>
      <c r="AK751" s="201">
        <f t="shared" ref="AK751:AS751" si="3788">countif($D751,"*"&amp;AK$2&amp;"*")</f>
        <v>0</v>
      </c>
      <c r="AL751" s="201">
        <f t="shared" si="3788"/>
        <v>0</v>
      </c>
      <c r="AM751" s="201">
        <f t="shared" si="3788"/>
        <v>1</v>
      </c>
      <c r="AN751" s="201">
        <f t="shared" si="3788"/>
        <v>0</v>
      </c>
      <c r="AO751" s="201">
        <f t="shared" si="3788"/>
        <v>0</v>
      </c>
      <c r="AP751" s="201">
        <f t="shared" si="3788"/>
        <v>0</v>
      </c>
      <c r="AQ751" s="201">
        <f t="shared" si="3788"/>
        <v>0</v>
      </c>
      <c r="AR751" s="200">
        <f t="shared" si="3788"/>
        <v>0</v>
      </c>
      <c r="AS751" s="200">
        <f t="shared" si="3788"/>
        <v>1</v>
      </c>
      <c r="AT751" s="173">
        <v>0.0</v>
      </c>
      <c r="AU751" s="200">
        <f t="shared" ref="AU751:AX751" si="3789">countif($D751,"*"&amp;AU$2&amp;"*")</f>
        <v>0</v>
      </c>
      <c r="AV751" s="200">
        <f t="shared" si="3789"/>
        <v>0</v>
      </c>
      <c r="AW751" s="200">
        <f t="shared" si="3789"/>
        <v>0</v>
      </c>
      <c r="AX751" s="200">
        <f t="shared" si="3789"/>
        <v>0</v>
      </c>
      <c r="AY751" s="202">
        <v>0.0</v>
      </c>
      <c r="AZ751" s="200"/>
      <c r="BA751" s="171" t="str">
        <f t="shared" si="18"/>
        <v/>
      </c>
      <c r="BB751" s="171" t="str">
        <f t="shared" si="19"/>
        <v/>
      </c>
      <c r="BC751" s="171" t="str">
        <f t="shared" si="20"/>
        <v>General-purpose</v>
      </c>
      <c r="BD751" s="171" t="str">
        <f t="shared" si="21"/>
        <v/>
      </c>
      <c r="BE751" s="171" t="str">
        <f t="shared" si="22"/>
        <v/>
      </c>
      <c r="BF751" s="171" t="str">
        <f t="shared" si="23"/>
        <v>General-purpose</v>
      </c>
    </row>
    <row r="752">
      <c r="A752" s="171">
        <f t="array" ref="A752">XLOOKUP(C752,ICSE!A:A,ICSE!C:C,,2,1)</f>
        <v>2017</v>
      </c>
      <c r="B752" s="171" t="s">
        <v>5675</v>
      </c>
      <c r="C752" s="160">
        <v>1427.0</v>
      </c>
      <c r="D752" s="161" t="s">
        <v>185</v>
      </c>
      <c r="E752" s="197" t="str">
        <f t="array" ref="E752">XLOOKUP(C752,ICSE!A:A,ICSE!Z:Z,,0,1)</f>
        <v>Restrict access (1) - Access not allowed,
Publicly available (1)</v>
      </c>
      <c r="F752" s="198" t="s">
        <v>20</v>
      </c>
      <c r="G752" s="163" t="str">
        <f t="array" ref="G752">IF(B752="ICSE",IF(COUNTIFS(B:B,B752,C:C,C752)=XLOOKUP(C752,ICSE!A:A,ICSE!AA:AA,"ERROR",0,1),"OK","ERROR"),IF(B752="FSE",IF(COUNTIFS(B:B,B752,C:C,C752)=XLOOKUP(C752,FSE!A:A,FSE!AA:AA,"ERROR",0,1),"OK","ERROR")))</f>
        <v>OK</v>
      </c>
      <c r="H752" s="199">
        <f t="shared" ref="H752:O752" si="3790">countif($D752,"*"&amp;H$2&amp;"*")</f>
        <v>0</v>
      </c>
      <c r="I752" s="200">
        <f t="shared" si="3790"/>
        <v>0</v>
      </c>
      <c r="J752" s="200">
        <f t="shared" si="3790"/>
        <v>0</v>
      </c>
      <c r="K752" s="200">
        <f t="shared" si="3790"/>
        <v>0</v>
      </c>
      <c r="L752" s="200">
        <f t="shared" si="3790"/>
        <v>0</v>
      </c>
      <c r="M752" s="200">
        <f t="shared" si="3790"/>
        <v>0</v>
      </c>
      <c r="N752" s="200">
        <f t="shared" si="3790"/>
        <v>0</v>
      </c>
      <c r="O752" s="200">
        <f t="shared" si="3790"/>
        <v>0</v>
      </c>
      <c r="P752" s="200">
        <f t="shared" si="9"/>
        <v>1</v>
      </c>
      <c r="Q752" s="200">
        <f t="shared" ref="Q752:AC752" si="3791">countif($D752,"*"&amp;Q$2&amp;"*")</f>
        <v>0</v>
      </c>
      <c r="R752" s="200">
        <f t="shared" si="3791"/>
        <v>0</v>
      </c>
      <c r="S752" s="200">
        <f t="shared" si="3791"/>
        <v>0</v>
      </c>
      <c r="T752" s="200">
        <f t="shared" si="3791"/>
        <v>0</v>
      </c>
      <c r="U752" s="200">
        <f t="shared" si="3791"/>
        <v>0</v>
      </c>
      <c r="V752" s="200">
        <f t="shared" si="3791"/>
        <v>0</v>
      </c>
      <c r="W752" s="200">
        <f t="shared" si="3791"/>
        <v>0</v>
      </c>
      <c r="X752" s="200">
        <f t="shared" si="3791"/>
        <v>0</v>
      </c>
      <c r="Y752" s="200">
        <f t="shared" si="3791"/>
        <v>0</v>
      </c>
      <c r="Z752" s="200">
        <f t="shared" si="3791"/>
        <v>0</v>
      </c>
      <c r="AA752" s="200">
        <f t="shared" si="3791"/>
        <v>0</v>
      </c>
      <c r="AB752" s="200">
        <f t="shared" si="3791"/>
        <v>0</v>
      </c>
      <c r="AC752" s="200">
        <f t="shared" si="3791"/>
        <v>0</v>
      </c>
      <c r="AD752" s="200">
        <f t="shared" si="11"/>
        <v>0</v>
      </c>
      <c r="AE752" s="200">
        <f t="shared" ref="AE752:AG752" si="3792">countif($D752,"*"&amp;AE$2&amp;"*")</f>
        <v>0</v>
      </c>
      <c r="AF752" s="200">
        <f t="shared" si="3792"/>
        <v>0</v>
      </c>
      <c r="AG752" s="200">
        <f t="shared" si="3792"/>
        <v>0</v>
      </c>
      <c r="AH752" s="171">
        <f t="shared" si="13"/>
        <v>0</v>
      </c>
      <c r="AI752" s="200">
        <f t="shared" si="14"/>
        <v>0</v>
      </c>
      <c r="AJ752" s="200">
        <f t="shared" si="3787"/>
        <v>0</v>
      </c>
      <c r="AK752" s="201">
        <f t="shared" ref="AK752:AS752" si="3793">countif($D752,"*"&amp;AK$2&amp;"*")</f>
        <v>0</v>
      </c>
      <c r="AL752" s="201">
        <f t="shared" si="3793"/>
        <v>0</v>
      </c>
      <c r="AM752" s="201">
        <f t="shared" si="3793"/>
        <v>0</v>
      </c>
      <c r="AN752" s="201">
        <f t="shared" si="3793"/>
        <v>0</v>
      </c>
      <c r="AO752" s="201">
        <f t="shared" si="3793"/>
        <v>0</v>
      </c>
      <c r="AP752" s="201">
        <f t="shared" si="3793"/>
        <v>0</v>
      </c>
      <c r="AQ752" s="201">
        <f t="shared" si="3793"/>
        <v>0</v>
      </c>
      <c r="AR752" s="200">
        <f t="shared" si="3793"/>
        <v>0</v>
      </c>
      <c r="AS752" s="200">
        <f t="shared" si="3793"/>
        <v>0</v>
      </c>
      <c r="AT752" s="173">
        <v>0.0</v>
      </c>
      <c r="AU752" s="200">
        <f t="shared" ref="AU752:AX752" si="3794">countif($D752,"*"&amp;AU$2&amp;"*")</f>
        <v>0</v>
      </c>
      <c r="AV752" s="200">
        <f t="shared" si="3794"/>
        <v>1</v>
      </c>
      <c r="AW752" s="200">
        <f t="shared" si="3794"/>
        <v>0</v>
      </c>
      <c r="AX752" s="200">
        <f t="shared" si="3794"/>
        <v>0</v>
      </c>
      <c r="AY752" s="202">
        <v>0.0</v>
      </c>
      <c r="AZ752" s="200"/>
      <c r="BA752" s="171" t="str">
        <f t="shared" si="18"/>
        <v/>
      </c>
      <c r="BB752" s="171" t="str">
        <f t="shared" si="19"/>
        <v>Code</v>
      </c>
      <c r="BC752" s="171" t="str">
        <f t="shared" si="20"/>
        <v/>
      </c>
      <c r="BD752" s="171" t="str">
        <f t="shared" si="21"/>
        <v/>
      </c>
      <c r="BE752" s="171" t="str">
        <f t="shared" si="22"/>
        <v/>
      </c>
      <c r="BF752" s="171" t="str">
        <f t="shared" si="23"/>
        <v>Code</v>
      </c>
    </row>
    <row r="753">
      <c r="A753" s="171">
        <f t="array" ref="A753">XLOOKUP(C753,ICSE!A:A,ICSE!C:C,,2,1)</f>
        <v>2017</v>
      </c>
      <c r="B753" s="171" t="s">
        <v>5675</v>
      </c>
      <c r="C753" s="160">
        <v>1428.0</v>
      </c>
      <c r="D753" s="161" t="s">
        <v>5997</v>
      </c>
      <c r="E753" s="197" t="str">
        <f t="array" ref="E753">XLOOKUP(C753,ICSE!A:A,ICSE!Z:Z,,0,1)</f>
        <v>Restrict access (1) - You need to request access,</v>
      </c>
      <c r="F753" s="198" t="s">
        <v>22</v>
      </c>
      <c r="G753" s="163" t="str">
        <f t="array" ref="G753">IF(B753="ICSE",IF(COUNTIFS(B:B,B753,C:C,C753)=XLOOKUP(C753,ICSE!A:A,ICSE!AA:AA,"ERROR",0,1),"OK","ERROR"),IF(B753="FSE",IF(COUNTIFS(B:B,B753,C:C,C753)=XLOOKUP(C753,FSE!A:A,FSE!AA:AA,"ERROR",0,1),"OK","ERROR")))</f>
        <v>OK</v>
      </c>
      <c r="H753" s="199">
        <f t="shared" ref="H753:O753" si="3795">countif($D753,"*"&amp;H$2&amp;"*")</f>
        <v>0</v>
      </c>
      <c r="I753" s="200">
        <f t="shared" si="3795"/>
        <v>0</v>
      </c>
      <c r="J753" s="200">
        <f t="shared" si="3795"/>
        <v>0</v>
      </c>
      <c r="K753" s="200">
        <f t="shared" si="3795"/>
        <v>0</v>
      </c>
      <c r="L753" s="200">
        <f t="shared" si="3795"/>
        <v>0</v>
      </c>
      <c r="M753" s="200">
        <f t="shared" si="3795"/>
        <v>0</v>
      </c>
      <c r="N753" s="200">
        <f t="shared" si="3795"/>
        <v>0</v>
      </c>
      <c r="O753" s="200">
        <f t="shared" si="3795"/>
        <v>0</v>
      </c>
      <c r="P753" s="200">
        <f t="shared" si="9"/>
        <v>0</v>
      </c>
      <c r="Q753" s="200">
        <f t="shared" ref="Q753:AC753" si="3796">countif($D753,"*"&amp;Q$2&amp;"*")</f>
        <v>0</v>
      </c>
      <c r="R753" s="200">
        <f t="shared" si="3796"/>
        <v>0</v>
      </c>
      <c r="S753" s="200">
        <f t="shared" si="3796"/>
        <v>0</v>
      </c>
      <c r="T753" s="200">
        <f t="shared" si="3796"/>
        <v>0</v>
      </c>
      <c r="U753" s="200">
        <f t="shared" si="3796"/>
        <v>0</v>
      </c>
      <c r="V753" s="200">
        <f t="shared" si="3796"/>
        <v>0</v>
      </c>
      <c r="W753" s="200">
        <f t="shared" si="3796"/>
        <v>0</v>
      </c>
      <c r="X753" s="200">
        <f t="shared" si="3796"/>
        <v>0</v>
      </c>
      <c r="Y753" s="200">
        <f t="shared" si="3796"/>
        <v>0</v>
      </c>
      <c r="Z753" s="200">
        <f t="shared" si="3796"/>
        <v>0</v>
      </c>
      <c r="AA753" s="200">
        <f t="shared" si="3796"/>
        <v>1</v>
      </c>
      <c r="AB753" s="200">
        <f t="shared" si="3796"/>
        <v>0</v>
      </c>
      <c r="AC753" s="200">
        <f t="shared" si="3796"/>
        <v>0</v>
      </c>
      <c r="AD753" s="200">
        <f t="shared" si="11"/>
        <v>0</v>
      </c>
      <c r="AE753" s="200">
        <f t="shared" ref="AE753:AG753" si="3797">countif($D753,"*"&amp;AE$2&amp;"*")</f>
        <v>0</v>
      </c>
      <c r="AF753" s="200">
        <f t="shared" si="3797"/>
        <v>0</v>
      </c>
      <c r="AG753" s="200">
        <f t="shared" si="3797"/>
        <v>0</v>
      </c>
      <c r="AH753" s="171">
        <f t="shared" si="13"/>
        <v>0</v>
      </c>
      <c r="AI753" s="200">
        <f t="shared" si="14"/>
        <v>0</v>
      </c>
      <c r="AJ753" s="200">
        <f t="shared" si="3787"/>
        <v>1</v>
      </c>
      <c r="AK753" s="201">
        <f t="shared" ref="AK753:AS753" si="3798">countif($D753,"*"&amp;AK$2&amp;"*")</f>
        <v>0</v>
      </c>
      <c r="AL753" s="201">
        <f t="shared" si="3798"/>
        <v>0</v>
      </c>
      <c r="AM753" s="201">
        <f t="shared" si="3798"/>
        <v>1</v>
      </c>
      <c r="AN753" s="201">
        <f t="shared" si="3798"/>
        <v>0</v>
      </c>
      <c r="AO753" s="201">
        <f t="shared" si="3798"/>
        <v>0</v>
      </c>
      <c r="AP753" s="201">
        <f t="shared" si="3798"/>
        <v>0</v>
      </c>
      <c r="AQ753" s="201">
        <f t="shared" si="3798"/>
        <v>0</v>
      </c>
      <c r="AR753" s="200">
        <f t="shared" si="3798"/>
        <v>0</v>
      </c>
      <c r="AS753" s="200">
        <f t="shared" si="3798"/>
        <v>1</v>
      </c>
      <c r="AT753" s="173">
        <v>0.0</v>
      </c>
      <c r="AU753" s="200">
        <f t="shared" ref="AU753:AX753" si="3799">countif($D753,"*"&amp;AU$2&amp;"*")</f>
        <v>0</v>
      </c>
      <c r="AV753" s="200">
        <f t="shared" si="3799"/>
        <v>0</v>
      </c>
      <c r="AW753" s="200">
        <f t="shared" si="3799"/>
        <v>0</v>
      </c>
      <c r="AX753" s="200">
        <f t="shared" si="3799"/>
        <v>0</v>
      </c>
      <c r="AY753" s="202">
        <v>0.0</v>
      </c>
      <c r="AZ753" s="200"/>
      <c r="BA753" s="171" t="str">
        <f t="shared" si="18"/>
        <v/>
      </c>
      <c r="BB753" s="171" t="str">
        <f t="shared" si="19"/>
        <v/>
      </c>
      <c r="BC753" s="171" t="str">
        <f t="shared" si="20"/>
        <v>General-purpose</v>
      </c>
      <c r="BD753" s="171" t="str">
        <f t="shared" si="21"/>
        <v/>
      </c>
      <c r="BE753" s="171" t="str">
        <f t="shared" si="22"/>
        <v/>
      </c>
      <c r="BF753" s="171" t="str">
        <f t="shared" si="23"/>
        <v>General-purpose</v>
      </c>
    </row>
    <row r="754">
      <c r="A754" s="171">
        <f t="array" ref="A754">XLOOKUP(C754,ICSE!A:A,ICSE!C:C,,2,1)</f>
        <v>2017</v>
      </c>
      <c r="B754" s="171" t="s">
        <v>5675</v>
      </c>
      <c r="C754" s="160">
        <v>1429.0</v>
      </c>
      <c r="D754" s="161" t="s">
        <v>926</v>
      </c>
      <c r="E754" s="197" t="str">
        <f t="array" ref="E754">XLOOKUP(C754,ICSE!A:A,ICSE!Z:Z,,0,1)</f>
        <v>Not available (1) - Broken link.</v>
      </c>
      <c r="F754" s="198" t="s">
        <v>21</v>
      </c>
      <c r="G754" s="163" t="str">
        <f t="array" ref="G754">IF(B754="ICSE",IF(COUNTIFS(B:B,B754,C:C,C754)=XLOOKUP(C754,ICSE!A:A,ICSE!AA:AA,"ERROR",0,1),"OK","ERROR"),IF(B754="FSE",IF(COUNTIFS(B:B,B754,C:C,C754)=XLOOKUP(C754,FSE!A:A,FSE!AA:AA,"ERROR",0,1),"OK","ERROR")))</f>
        <v>OK</v>
      </c>
      <c r="H754" s="199">
        <f t="shared" ref="H754:O754" si="3800">countif($D754,"*"&amp;H$2&amp;"*")</f>
        <v>0</v>
      </c>
      <c r="I754" s="200">
        <f t="shared" si="3800"/>
        <v>0</v>
      </c>
      <c r="J754" s="200">
        <f t="shared" si="3800"/>
        <v>0</v>
      </c>
      <c r="K754" s="200">
        <f t="shared" si="3800"/>
        <v>0</v>
      </c>
      <c r="L754" s="200">
        <f t="shared" si="3800"/>
        <v>0</v>
      </c>
      <c r="M754" s="200">
        <f t="shared" si="3800"/>
        <v>0</v>
      </c>
      <c r="N754" s="200">
        <f t="shared" si="3800"/>
        <v>0</v>
      </c>
      <c r="O754" s="200">
        <f t="shared" si="3800"/>
        <v>0</v>
      </c>
      <c r="P754" s="200">
        <f t="shared" si="9"/>
        <v>0</v>
      </c>
      <c r="Q754" s="200">
        <f t="shared" ref="Q754:AC754" si="3801">countif($D754,"*"&amp;Q$2&amp;"*")</f>
        <v>0</v>
      </c>
      <c r="R754" s="200">
        <f t="shared" si="3801"/>
        <v>0</v>
      </c>
      <c r="S754" s="200">
        <f t="shared" si="3801"/>
        <v>0</v>
      </c>
      <c r="T754" s="200">
        <f t="shared" si="3801"/>
        <v>0</v>
      </c>
      <c r="U754" s="200">
        <f t="shared" si="3801"/>
        <v>0</v>
      </c>
      <c r="V754" s="200">
        <f t="shared" si="3801"/>
        <v>0</v>
      </c>
      <c r="W754" s="200">
        <f t="shared" si="3801"/>
        <v>0</v>
      </c>
      <c r="X754" s="200">
        <f t="shared" si="3801"/>
        <v>0</v>
      </c>
      <c r="Y754" s="200">
        <f t="shared" si="3801"/>
        <v>0</v>
      </c>
      <c r="Z754" s="200">
        <f t="shared" si="3801"/>
        <v>0</v>
      </c>
      <c r="AA754" s="200">
        <f t="shared" si="3801"/>
        <v>0</v>
      </c>
      <c r="AB754" s="200">
        <f t="shared" si="3801"/>
        <v>0</v>
      </c>
      <c r="AC754" s="200">
        <f t="shared" si="3801"/>
        <v>0</v>
      </c>
      <c r="AD754" s="200">
        <f t="shared" si="11"/>
        <v>1</v>
      </c>
      <c r="AE754" s="200">
        <f t="shared" ref="AE754:AG754" si="3802">countif($D754,"*"&amp;AE$2&amp;"*")</f>
        <v>0</v>
      </c>
      <c r="AF754" s="200">
        <f t="shared" si="3802"/>
        <v>0</v>
      </c>
      <c r="AG754" s="200">
        <f t="shared" si="3802"/>
        <v>0</v>
      </c>
      <c r="AH754" s="171">
        <f t="shared" si="13"/>
        <v>0</v>
      </c>
      <c r="AI754" s="200">
        <f t="shared" si="14"/>
        <v>0</v>
      </c>
      <c r="AJ754" s="200">
        <f>SUM(AK754:AQ754)</f>
        <v>0</v>
      </c>
      <c r="AK754" s="201">
        <f t="shared" ref="AK754:AS754" si="3803">countif($D754,"*"&amp;AK$2&amp;"*")</f>
        <v>0</v>
      </c>
      <c r="AL754" s="201">
        <f t="shared" si="3803"/>
        <v>0</v>
      </c>
      <c r="AM754" s="201">
        <f t="shared" si="3803"/>
        <v>0</v>
      </c>
      <c r="AN754" s="201">
        <f t="shared" si="3803"/>
        <v>0</v>
      </c>
      <c r="AO754" s="201">
        <f t="shared" si="3803"/>
        <v>0</v>
      </c>
      <c r="AP754" s="201">
        <f t="shared" si="3803"/>
        <v>0</v>
      </c>
      <c r="AQ754" s="201">
        <f t="shared" si="3803"/>
        <v>0</v>
      </c>
      <c r="AR754" s="201">
        <f t="shared" si="3803"/>
        <v>0</v>
      </c>
      <c r="AS754" s="200">
        <f t="shared" si="3803"/>
        <v>0</v>
      </c>
      <c r="AT754" s="205">
        <v>0.0</v>
      </c>
      <c r="AU754" s="200">
        <f t="shared" ref="AU754:AX754" si="3804">countif($D754,"*"&amp;AU$2&amp;"*")</f>
        <v>1</v>
      </c>
      <c r="AV754" s="200">
        <f t="shared" si="3804"/>
        <v>0</v>
      </c>
      <c r="AW754" s="200">
        <f t="shared" si="3804"/>
        <v>0</v>
      </c>
      <c r="AX754" s="200">
        <f t="shared" si="3804"/>
        <v>0</v>
      </c>
      <c r="AY754" s="202">
        <v>0.0</v>
      </c>
      <c r="AZ754" s="200"/>
      <c r="BA754" s="171" t="str">
        <f t="shared" si="18"/>
        <v/>
      </c>
      <c r="BB754" s="171" t="str">
        <f t="shared" si="19"/>
        <v/>
      </c>
      <c r="BC754" s="171" t="str">
        <f t="shared" si="20"/>
        <v/>
      </c>
      <c r="BD754" s="171" t="str">
        <f t="shared" si="21"/>
        <v>Institutional</v>
      </c>
      <c r="BE754" s="171" t="str">
        <f t="shared" si="22"/>
        <v/>
      </c>
      <c r="BF754" s="171" t="str">
        <f t="shared" si="23"/>
        <v>Institutional</v>
      </c>
    </row>
    <row r="755">
      <c r="A755" s="171">
        <f t="array" ref="A755">XLOOKUP(C755,ICSE!A:A,ICSE!C:C,,2,1)</f>
        <v>2017</v>
      </c>
      <c r="B755" s="171" t="s">
        <v>5675</v>
      </c>
      <c r="C755" s="160">
        <v>1430.0</v>
      </c>
      <c r="D755" s="161" t="s">
        <v>929</v>
      </c>
      <c r="E755" s="197" t="str">
        <f t="array" ref="E755">XLOOKUP(C755,ICSE!A:A,ICSE!Z:Z,,0,1)</f>
        <v>Not available (1) - Broken link.</v>
      </c>
      <c r="F755" s="198" t="s">
        <v>21</v>
      </c>
      <c r="G755" s="163" t="str">
        <f t="array" ref="G755">IF(B755="ICSE",IF(COUNTIFS(B:B,B755,C:C,C755)=XLOOKUP(C755,ICSE!A:A,ICSE!AA:AA,"ERROR",0,1),"OK","ERROR"),IF(B755="FSE",IF(COUNTIFS(B:B,B755,C:C,C755)=XLOOKUP(C755,FSE!A:A,FSE!AA:AA,"ERROR",0,1),"OK","ERROR")))</f>
        <v>OK</v>
      </c>
      <c r="H755" s="199">
        <f t="shared" ref="H755:O755" si="3805">countif($D755,"*"&amp;H$2&amp;"*")</f>
        <v>0</v>
      </c>
      <c r="I755" s="200">
        <f t="shared" si="3805"/>
        <v>0</v>
      </c>
      <c r="J755" s="200">
        <f t="shared" si="3805"/>
        <v>0</v>
      </c>
      <c r="K755" s="200">
        <f t="shared" si="3805"/>
        <v>0</v>
      </c>
      <c r="L755" s="200">
        <f t="shared" si="3805"/>
        <v>0</v>
      </c>
      <c r="M755" s="200">
        <f t="shared" si="3805"/>
        <v>0</v>
      </c>
      <c r="N755" s="200">
        <f t="shared" si="3805"/>
        <v>0</v>
      </c>
      <c r="O755" s="200">
        <f t="shared" si="3805"/>
        <v>0</v>
      </c>
      <c r="P755" s="200">
        <f t="shared" si="9"/>
        <v>0</v>
      </c>
      <c r="Q755" s="200">
        <f t="shared" ref="Q755:AC755" si="3806">countif($D755,"*"&amp;Q$2&amp;"*")</f>
        <v>0</v>
      </c>
      <c r="R755" s="200">
        <f t="shared" si="3806"/>
        <v>0</v>
      </c>
      <c r="S755" s="200">
        <f t="shared" si="3806"/>
        <v>0</v>
      </c>
      <c r="T755" s="200">
        <f t="shared" si="3806"/>
        <v>0</v>
      </c>
      <c r="U755" s="200">
        <f t="shared" si="3806"/>
        <v>0</v>
      </c>
      <c r="V755" s="200">
        <f t="shared" si="3806"/>
        <v>0</v>
      </c>
      <c r="W755" s="200">
        <f t="shared" si="3806"/>
        <v>0</v>
      </c>
      <c r="X755" s="200">
        <f t="shared" si="3806"/>
        <v>0</v>
      </c>
      <c r="Y755" s="200">
        <f t="shared" si="3806"/>
        <v>0</v>
      </c>
      <c r="Z755" s="200">
        <f t="shared" si="3806"/>
        <v>0</v>
      </c>
      <c r="AA755" s="200">
        <f t="shared" si="3806"/>
        <v>0</v>
      </c>
      <c r="AB755" s="200">
        <f t="shared" si="3806"/>
        <v>0</v>
      </c>
      <c r="AC755" s="200">
        <f t="shared" si="3806"/>
        <v>0</v>
      </c>
      <c r="AD755" s="200">
        <f t="shared" si="11"/>
        <v>1</v>
      </c>
      <c r="AE755" s="200">
        <f t="shared" ref="AE755:AG755" si="3807">countif($D755,"*"&amp;AE$2&amp;"*")</f>
        <v>0</v>
      </c>
      <c r="AF755" s="200">
        <f t="shared" si="3807"/>
        <v>0</v>
      </c>
      <c r="AG755" s="200">
        <f t="shared" si="3807"/>
        <v>0</v>
      </c>
      <c r="AH755" s="171">
        <f t="shared" si="13"/>
        <v>0</v>
      </c>
      <c r="AI755" s="200">
        <f t="shared" si="14"/>
        <v>0</v>
      </c>
      <c r="AJ755" s="200">
        <f t="shared" ref="AJ755:AJ756" si="3813">SUM(AK755:AR755)</f>
        <v>0</v>
      </c>
      <c r="AK755" s="201">
        <f t="shared" ref="AK755:AS755" si="3808">countif($D755,"*"&amp;AK$2&amp;"*")</f>
        <v>0</v>
      </c>
      <c r="AL755" s="201">
        <f t="shared" si="3808"/>
        <v>0</v>
      </c>
      <c r="AM755" s="201">
        <f t="shared" si="3808"/>
        <v>0</v>
      </c>
      <c r="AN755" s="201">
        <f t="shared" si="3808"/>
        <v>0</v>
      </c>
      <c r="AO755" s="201">
        <f t="shared" si="3808"/>
        <v>0</v>
      </c>
      <c r="AP755" s="201">
        <f t="shared" si="3808"/>
        <v>0</v>
      </c>
      <c r="AQ755" s="201">
        <f t="shared" si="3808"/>
        <v>0</v>
      </c>
      <c r="AR755" s="200">
        <f t="shared" si="3808"/>
        <v>0</v>
      </c>
      <c r="AS755" s="200">
        <f t="shared" si="3808"/>
        <v>0</v>
      </c>
      <c r="AT755" s="173">
        <v>1.0</v>
      </c>
      <c r="AU755" s="200">
        <f t="shared" ref="AU755:AX755" si="3809">countif($D755,"*"&amp;AU$2&amp;"*")</f>
        <v>0</v>
      </c>
      <c r="AV755" s="200">
        <f t="shared" si="3809"/>
        <v>0</v>
      </c>
      <c r="AW755" s="200">
        <f t="shared" si="3809"/>
        <v>0</v>
      </c>
      <c r="AX755" s="200">
        <f t="shared" si="3809"/>
        <v>0</v>
      </c>
      <c r="AY755" s="202">
        <v>0.0</v>
      </c>
      <c r="AZ755" s="200"/>
      <c r="BA755" s="171" t="str">
        <f t="shared" si="18"/>
        <v/>
      </c>
      <c r="BB755" s="171" t="str">
        <f t="shared" si="19"/>
        <v/>
      </c>
      <c r="BC755" s="171" t="str">
        <f t="shared" si="20"/>
        <v/>
      </c>
      <c r="BD755" s="171" t="str">
        <f t="shared" si="21"/>
        <v>Institutional</v>
      </c>
      <c r="BE755" s="171" t="str">
        <f t="shared" si="22"/>
        <v/>
      </c>
      <c r="BF755" s="171" t="str">
        <f t="shared" si="23"/>
        <v>Institutional</v>
      </c>
    </row>
    <row r="756">
      <c r="A756" s="171">
        <f t="array" ref="A756">XLOOKUP(C756,ICSE!A:A,ICSE!C:C,,2,1)</f>
        <v>2016</v>
      </c>
      <c r="B756" s="171" t="s">
        <v>5675</v>
      </c>
      <c r="C756" s="160">
        <v>1507.0</v>
      </c>
      <c r="D756" s="161" t="s">
        <v>473</v>
      </c>
      <c r="E756" s="197" t="str">
        <f t="array" ref="E756">XLOOKUP(C756,ICSE!A:A,ICSE!Z:Z,,0,1)</f>
        <v>Not available (1) - Broken link.</v>
      </c>
      <c r="F756" s="198" t="s">
        <v>21</v>
      </c>
      <c r="G756" s="163" t="str">
        <f t="array" ref="G756">IF(B756="ICSE",IF(COUNTIFS(B:B,B756,C:C,C756)=XLOOKUP(C756,ICSE!A:A,ICSE!AA:AA,"ERROR",0,1),"OK","ERROR"),IF(B756="FSE",IF(COUNTIFS(B:B,B756,C:C,C756)=XLOOKUP(C756,FSE!A:A,FSE!AA:AA,"ERROR",0,1),"OK","ERROR")))</f>
        <v>OK</v>
      </c>
      <c r="H756" s="199">
        <f t="shared" ref="H756:O756" si="3810">countif($D756,"*"&amp;H$2&amp;"*")</f>
        <v>0</v>
      </c>
      <c r="I756" s="200">
        <f t="shared" si="3810"/>
        <v>0</v>
      </c>
      <c r="J756" s="200">
        <f t="shared" si="3810"/>
        <v>0</v>
      </c>
      <c r="K756" s="200">
        <f t="shared" si="3810"/>
        <v>0</v>
      </c>
      <c r="L756" s="200">
        <f t="shared" si="3810"/>
        <v>0</v>
      </c>
      <c r="M756" s="200">
        <f t="shared" si="3810"/>
        <v>0</v>
      </c>
      <c r="N756" s="200">
        <f t="shared" si="3810"/>
        <v>0</v>
      </c>
      <c r="O756" s="200">
        <f t="shared" si="3810"/>
        <v>0</v>
      </c>
      <c r="P756" s="200">
        <f t="shared" si="9"/>
        <v>0</v>
      </c>
      <c r="Q756" s="200">
        <f t="shared" ref="Q756:AC756" si="3811">countif($D756,"*"&amp;Q$2&amp;"*")</f>
        <v>0</v>
      </c>
      <c r="R756" s="200">
        <f t="shared" si="3811"/>
        <v>0</v>
      </c>
      <c r="S756" s="200">
        <f t="shared" si="3811"/>
        <v>0</v>
      </c>
      <c r="T756" s="200">
        <f t="shared" si="3811"/>
        <v>0</v>
      </c>
      <c r="U756" s="200">
        <f t="shared" si="3811"/>
        <v>0</v>
      </c>
      <c r="V756" s="200">
        <f t="shared" si="3811"/>
        <v>0</v>
      </c>
      <c r="W756" s="200">
        <f t="shared" si="3811"/>
        <v>0</v>
      </c>
      <c r="X756" s="200">
        <f t="shared" si="3811"/>
        <v>0</v>
      </c>
      <c r="Y756" s="200">
        <f t="shared" si="3811"/>
        <v>0</v>
      </c>
      <c r="Z756" s="200">
        <f t="shared" si="3811"/>
        <v>0</v>
      </c>
      <c r="AA756" s="200">
        <f t="shared" si="3811"/>
        <v>0</v>
      </c>
      <c r="AB756" s="200">
        <f t="shared" si="3811"/>
        <v>0</v>
      </c>
      <c r="AC756" s="200">
        <f t="shared" si="3811"/>
        <v>0</v>
      </c>
      <c r="AD756" s="200">
        <f t="shared" si="11"/>
        <v>1</v>
      </c>
      <c r="AE756" s="200">
        <f t="shared" ref="AE756:AG756" si="3812">countif($D756,"*"&amp;AE$2&amp;"*")</f>
        <v>0</v>
      </c>
      <c r="AF756" s="200">
        <f t="shared" si="3812"/>
        <v>0</v>
      </c>
      <c r="AG756" s="200">
        <f t="shared" si="3812"/>
        <v>0</v>
      </c>
      <c r="AH756" s="171">
        <f t="shared" si="13"/>
        <v>0</v>
      </c>
      <c r="AI756" s="200">
        <f t="shared" si="14"/>
        <v>0</v>
      </c>
      <c r="AJ756" s="200">
        <f t="shared" si="3813"/>
        <v>0</v>
      </c>
      <c r="AK756" s="201">
        <f t="shared" ref="AK756:AS756" si="3814">countif($D756,"*"&amp;AK$2&amp;"*")</f>
        <v>0</v>
      </c>
      <c r="AL756" s="201">
        <f t="shared" si="3814"/>
        <v>0</v>
      </c>
      <c r="AM756" s="201">
        <f t="shared" si="3814"/>
        <v>0</v>
      </c>
      <c r="AN756" s="201">
        <f t="shared" si="3814"/>
        <v>0</v>
      </c>
      <c r="AO756" s="201">
        <f t="shared" si="3814"/>
        <v>0</v>
      </c>
      <c r="AP756" s="201">
        <f t="shared" si="3814"/>
        <v>0</v>
      </c>
      <c r="AQ756" s="201">
        <f t="shared" si="3814"/>
        <v>0</v>
      </c>
      <c r="AR756" s="200">
        <f t="shared" si="3814"/>
        <v>0</v>
      </c>
      <c r="AS756" s="200">
        <f t="shared" si="3814"/>
        <v>0</v>
      </c>
      <c r="AT756" s="173">
        <v>1.0</v>
      </c>
      <c r="AU756" s="200">
        <f t="shared" ref="AU756:AX756" si="3815">countif($D756,"*"&amp;AU$2&amp;"*")</f>
        <v>0</v>
      </c>
      <c r="AV756" s="200">
        <f t="shared" si="3815"/>
        <v>0</v>
      </c>
      <c r="AW756" s="200">
        <f t="shared" si="3815"/>
        <v>0</v>
      </c>
      <c r="AX756" s="200">
        <f t="shared" si="3815"/>
        <v>0</v>
      </c>
      <c r="AY756" s="202">
        <v>0.0</v>
      </c>
      <c r="AZ756" s="200"/>
      <c r="BA756" s="171" t="str">
        <f t="shared" si="18"/>
        <v/>
      </c>
      <c r="BB756" s="171" t="str">
        <f t="shared" si="19"/>
        <v/>
      </c>
      <c r="BC756" s="171" t="str">
        <f t="shared" si="20"/>
        <v/>
      </c>
      <c r="BD756" s="171" t="str">
        <f t="shared" si="21"/>
        <v>Institutional</v>
      </c>
      <c r="BE756" s="171" t="str">
        <f t="shared" si="22"/>
        <v/>
      </c>
      <c r="BF756" s="171" t="str">
        <f t="shared" si="23"/>
        <v>Institutional</v>
      </c>
    </row>
    <row r="757">
      <c r="A757" s="171">
        <f t="array" ref="A757">XLOOKUP(C757,ICSE!A:A,ICSE!C:C,,2,1)</f>
        <v>2016</v>
      </c>
      <c r="B757" s="171" t="s">
        <v>5675</v>
      </c>
      <c r="C757" s="160">
        <v>1508.0</v>
      </c>
      <c r="D757" s="161" t="s">
        <v>476</v>
      </c>
      <c r="E757" s="197" t="str">
        <f t="array" ref="E757">XLOOKUP(C757,ICSE!A:A,ICSE!Z:Z,,0,1)</f>
        <v>Not available (1) - Broken link.</v>
      </c>
      <c r="F757" s="198" t="s">
        <v>21</v>
      </c>
      <c r="G757" s="163" t="str">
        <f t="array" ref="G757">IF(B757="ICSE",IF(COUNTIFS(B:B,B757,C:C,C757)=XLOOKUP(C757,ICSE!A:A,ICSE!AA:AA,"ERROR",0,1),"OK","ERROR"),IF(B757="FSE",IF(COUNTIFS(B:B,B757,C:C,C757)=XLOOKUP(C757,FSE!A:A,FSE!AA:AA,"ERROR",0,1),"OK","ERROR")))</f>
        <v>OK</v>
      </c>
      <c r="H757" s="199">
        <f t="shared" ref="H757:O757" si="3816">countif($D757,"*"&amp;H$2&amp;"*")</f>
        <v>0</v>
      </c>
      <c r="I757" s="200">
        <f t="shared" si="3816"/>
        <v>0</v>
      </c>
      <c r="J757" s="200">
        <f t="shared" si="3816"/>
        <v>0</v>
      </c>
      <c r="K757" s="200">
        <f t="shared" si="3816"/>
        <v>0</v>
      </c>
      <c r="L757" s="200">
        <f t="shared" si="3816"/>
        <v>0</v>
      </c>
      <c r="M757" s="200">
        <f t="shared" si="3816"/>
        <v>0</v>
      </c>
      <c r="N757" s="200">
        <f t="shared" si="3816"/>
        <v>0</v>
      </c>
      <c r="O757" s="200">
        <f t="shared" si="3816"/>
        <v>0</v>
      </c>
      <c r="P757" s="200">
        <f t="shared" si="9"/>
        <v>0</v>
      </c>
      <c r="Q757" s="200">
        <f t="shared" ref="Q757:AC757" si="3817">countif($D757,"*"&amp;Q$2&amp;"*")</f>
        <v>0</v>
      </c>
      <c r="R757" s="200">
        <f t="shared" si="3817"/>
        <v>0</v>
      </c>
      <c r="S757" s="200">
        <f t="shared" si="3817"/>
        <v>0</v>
      </c>
      <c r="T757" s="200">
        <f t="shared" si="3817"/>
        <v>0</v>
      </c>
      <c r="U757" s="200">
        <f t="shared" si="3817"/>
        <v>0</v>
      </c>
      <c r="V757" s="200">
        <f t="shared" si="3817"/>
        <v>0</v>
      </c>
      <c r="W757" s="200">
        <f t="shared" si="3817"/>
        <v>0</v>
      </c>
      <c r="X757" s="200">
        <f t="shared" si="3817"/>
        <v>0</v>
      </c>
      <c r="Y757" s="200">
        <f t="shared" si="3817"/>
        <v>0</v>
      </c>
      <c r="Z757" s="200">
        <f t="shared" si="3817"/>
        <v>0</v>
      </c>
      <c r="AA757" s="200">
        <f t="shared" si="3817"/>
        <v>0</v>
      </c>
      <c r="AB757" s="200">
        <f t="shared" si="3817"/>
        <v>0</v>
      </c>
      <c r="AC757" s="200">
        <f t="shared" si="3817"/>
        <v>0</v>
      </c>
      <c r="AD757" s="200">
        <f t="shared" si="11"/>
        <v>1</v>
      </c>
      <c r="AE757" s="200">
        <f t="shared" ref="AE757:AG757" si="3818">countif($D757,"*"&amp;AE$2&amp;"*")</f>
        <v>0</v>
      </c>
      <c r="AF757" s="200">
        <f t="shared" si="3818"/>
        <v>0</v>
      </c>
      <c r="AG757" s="200">
        <f t="shared" si="3818"/>
        <v>0</v>
      </c>
      <c r="AH757" s="171">
        <f t="shared" si="13"/>
        <v>0</v>
      </c>
      <c r="AI757" s="200">
        <f t="shared" si="14"/>
        <v>0</v>
      </c>
      <c r="AJ757" s="200">
        <f>SUM(AK757:AQ757)</f>
        <v>0</v>
      </c>
      <c r="AK757" s="201">
        <f t="shared" ref="AK757:AS757" si="3819">countif($D757,"*"&amp;AK$2&amp;"*")</f>
        <v>0</v>
      </c>
      <c r="AL757" s="201">
        <f t="shared" si="3819"/>
        <v>0</v>
      </c>
      <c r="AM757" s="201">
        <f t="shared" si="3819"/>
        <v>0</v>
      </c>
      <c r="AN757" s="201">
        <f t="shared" si="3819"/>
        <v>0</v>
      </c>
      <c r="AO757" s="201">
        <f t="shared" si="3819"/>
        <v>0</v>
      </c>
      <c r="AP757" s="201">
        <f t="shared" si="3819"/>
        <v>0</v>
      </c>
      <c r="AQ757" s="201">
        <f t="shared" si="3819"/>
        <v>0</v>
      </c>
      <c r="AR757" s="201">
        <f t="shared" si="3819"/>
        <v>0</v>
      </c>
      <c r="AS757" s="200">
        <f t="shared" si="3819"/>
        <v>0</v>
      </c>
      <c r="AT757" s="205">
        <v>0.0</v>
      </c>
      <c r="AU757" s="200">
        <f t="shared" ref="AU757:AX757" si="3820">countif($D757,"*"&amp;AU$2&amp;"*")</f>
        <v>1</v>
      </c>
      <c r="AV757" s="200">
        <f t="shared" si="3820"/>
        <v>0</v>
      </c>
      <c r="AW757" s="200">
        <f t="shared" si="3820"/>
        <v>0</v>
      </c>
      <c r="AX757" s="200">
        <f t="shared" si="3820"/>
        <v>0</v>
      </c>
      <c r="AY757" s="202">
        <v>0.0</v>
      </c>
      <c r="AZ757" s="200"/>
      <c r="BA757" s="171" t="str">
        <f t="shared" si="18"/>
        <v/>
      </c>
      <c r="BB757" s="171" t="str">
        <f t="shared" si="19"/>
        <v/>
      </c>
      <c r="BC757" s="171" t="str">
        <f t="shared" si="20"/>
        <v/>
      </c>
      <c r="BD757" s="171" t="str">
        <f t="shared" si="21"/>
        <v>Institutional</v>
      </c>
      <c r="BE757" s="171" t="str">
        <f t="shared" si="22"/>
        <v/>
      </c>
      <c r="BF757" s="171" t="str">
        <f t="shared" si="23"/>
        <v>Institutional</v>
      </c>
    </row>
    <row r="758">
      <c r="A758" s="171">
        <f t="array" ref="A758">XLOOKUP(C758,ICSE!A:A,ICSE!C:C,,2,1)</f>
        <v>2016</v>
      </c>
      <c r="B758" s="171" t="s">
        <v>5675</v>
      </c>
      <c r="C758" s="160">
        <v>1509.0</v>
      </c>
      <c r="D758" s="161" t="s">
        <v>479</v>
      </c>
      <c r="E758" s="197" t="str">
        <f t="array" ref="E758">XLOOKUP(C758,ICSE!A:A,ICSE!Z:Z,,0,1)</f>
        <v>Not available (1) - Broken link.</v>
      </c>
      <c r="F758" s="198" t="s">
        <v>21</v>
      </c>
      <c r="G758" s="163" t="str">
        <f t="array" ref="G758">IF(B758="ICSE",IF(COUNTIFS(B:B,B758,C:C,C758)=XLOOKUP(C758,ICSE!A:A,ICSE!AA:AA,"ERROR",0,1),"OK","ERROR"),IF(B758="FSE",IF(COUNTIFS(B:B,B758,C:C,C758)=XLOOKUP(C758,FSE!A:A,FSE!AA:AA,"ERROR",0,1),"OK","ERROR")))</f>
        <v>OK</v>
      </c>
      <c r="H758" s="199">
        <f t="shared" ref="H758:O758" si="3821">countif($D758,"*"&amp;H$2&amp;"*")</f>
        <v>0</v>
      </c>
      <c r="I758" s="200">
        <f t="shared" si="3821"/>
        <v>0</v>
      </c>
      <c r="J758" s="200">
        <f t="shared" si="3821"/>
        <v>0</v>
      </c>
      <c r="K758" s="200">
        <f t="shared" si="3821"/>
        <v>0</v>
      </c>
      <c r="L758" s="200">
        <f t="shared" si="3821"/>
        <v>0</v>
      </c>
      <c r="M758" s="200">
        <f t="shared" si="3821"/>
        <v>0</v>
      </c>
      <c r="N758" s="200">
        <f t="shared" si="3821"/>
        <v>0</v>
      </c>
      <c r="O758" s="200">
        <f t="shared" si="3821"/>
        <v>0</v>
      </c>
      <c r="P758" s="200">
        <f t="shared" si="9"/>
        <v>0</v>
      </c>
      <c r="Q758" s="200">
        <f t="shared" ref="Q758:AC758" si="3822">countif($D758,"*"&amp;Q$2&amp;"*")</f>
        <v>0</v>
      </c>
      <c r="R758" s="200">
        <f t="shared" si="3822"/>
        <v>0</v>
      </c>
      <c r="S758" s="200">
        <f t="shared" si="3822"/>
        <v>0</v>
      </c>
      <c r="T758" s="200">
        <f t="shared" si="3822"/>
        <v>0</v>
      </c>
      <c r="U758" s="200">
        <f t="shared" si="3822"/>
        <v>0</v>
      </c>
      <c r="V758" s="200">
        <f t="shared" si="3822"/>
        <v>0</v>
      </c>
      <c r="W758" s="200">
        <f t="shared" si="3822"/>
        <v>0</v>
      </c>
      <c r="X758" s="200">
        <f t="shared" si="3822"/>
        <v>0</v>
      </c>
      <c r="Y758" s="200">
        <f t="shared" si="3822"/>
        <v>0</v>
      </c>
      <c r="Z758" s="200">
        <f t="shared" si="3822"/>
        <v>0</v>
      </c>
      <c r="AA758" s="200">
        <f t="shared" si="3822"/>
        <v>0</v>
      </c>
      <c r="AB758" s="200">
        <f t="shared" si="3822"/>
        <v>0</v>
      </c>
      <c r="AC758" s="200">
        <f t="shared" si="3822"/>
        <v>0</v>
      </c>
      <c r="AD758" s="200">
        <f t="shared" si="11"/>
        <v>0</v>
      </c>
      <c r="AE758" s="200">
        <f t="shared" ref="AE758:AG758" si="3823">countif($D758,"*"&amp;AE$2&amp;"*")</f>
        <v>0</v>
      </c>
      <c r="AF758" s="200">
        <f t="shared" si="3823"/>
        <v>0</v>
      </c>
      <c r="AG758" s="200">
        <f t="shared" si="3823"/>
        <v>0</v>
      </c>
      <c r="AH758" s="171">
        <f t="shared" si="13"/>
        <v>1</v>
      </c>
      <c r="AI758" s="200">
        <f t="shared" si="14"/>
        <v>0</v>
      </c>
      <c r="AJ758" s="200">
        <f>SUM(AK758:AR758)</f>
        <v>0</v>
      </c>
      <c r="AK758" s="201">
        <f t="shared" ref="AK758:AS758" si="3824">countif($D758,"*"&amp;AK$2&amp;"*")</f>
        <v>0</v>
      </c>
      <c r="AL758" s="201">
        <f t="shared" si="3824"/>
        <v>0</v>
      </c>
      <c r="AM758" s="201">
        <f t="shared" si="3824"/>
        <v>0</v>
      </c>
      <c r="AN758" s="201">
        <f t="shared" si="3824"/>
        <v>0</v>
      </c>
      <c r="AO758" s="201">
        <f t="shared" si="3824"/>
        <v>0</v>
      </c>
      <c r="AP758" s="201">
        <f t="shared" si="3824"/>
        <v>0</v>
      </c>
      <c r="AQ758" s="201">
        <f t="shared" si="3824"/>
        <v>0</v>
      </c>
      <c r="AR758" s="200">
        <f t="shared" si="3824"/>
        <v>0</v>
      </c>
      <c r="AS758" s="200">
        <f t="shared" si="3824"/>
        <v>0</v>
      </c>
      <c r="AT758" s="173">
        <v>0.0</v>
      </c>
      <c r="AU758" s="200">
        <f t="shared" ref="AU758:AX758" si="3825">countif($D758,"*"&amp;AU$2&amp;"*")</f>
        <v>0</v>
      </c>
      <c r="AV758" s="200">
        <f t="shared" si="3825"/>
        <v>0</v>
      </c>
      <c r="AW758" s="200">
        <f t="shared" si="3825"/>
        <v>0</v>
      </c>
      <c r="AX758" s="200">
        <f t="shared" si="3825"/>
        <v>0</v>
      </c>
      <c r="AY758" s="202">
        <v>0.0</v>
      </c>
      <c r="AZ758" s="200"/>
      <c r="BA758" s="171" t="str">
        <f t="shared" si="18"/>
        <v/>
      </c>
      <c r="BB758" s="171" t="str">
        <f t="shared" si="19"/>
        <v/>
      </c>
      <c r="BC758" s="171" t="str">
        <f t="shared" si="20"/>
        <v/>
      </c>
      <c r="BD758" s="171" t="str">
        <f t="shared" si="21"/>
        <v/>
      </c>
      <c r="BE758" s="171" t="str">
        <f t="shared" si="22"/>
        <v>Others</v>
      </c>
      <c r="BF758" s="171" t="str">
        <f t="shared" si="23"/>
        <v>Others</v>
      </c>
    </row>
    <row r="759">
      <c r="A759" s="171">
        <f t="array" ref="A759">XLOOKUP(C759,ICSE!A:A,ICSE!C:C,,2,1)</f>
        <v>2016</v>
      </c>
      <c r="B759" s="171" t="s">
        <v>5675</v>
      </c>
      <c r="C759" s="160">
        <v>1510.0</v>
      </c>
      <c r="D759" s="161" t="s">
        <v>482</v>
      </c>
      <c r="E759" s="197" t="str">
        <f t="array" ref="E759">XLOOKUP(C759,ICSE!A:A,ICSE!Z:Z,,0,1)</f>
        <v>Not available (1) - Broken link.</v>
      </c>
      <c r="F759" s="198" t="s">
        <v>21</v>
      </c>
      <c r="G759" s="163" t="str">
        <f t="array" ref="G759">IF(B759="ICSE",IF(COUNTIFS(B:B,B759,C:C,C759)=XLOOKUP(C759,ICSE!A:A,ICSE!AA:AA,"ERROR",0,1),"OK","ERROR"),IF(B759="FSE",IF(COUNTIFS(B:B,B759,C:C,C759)=XLOOKUP(C759,FSE!A:A,FSE!AA:AA,"ERROR",0,1),"OK","ERROR")))</f>
        <v>OK</v>
      </c>
      <c r="H759" s="199">
        <f t="shared" ref="H759:O759" si="3826">countif($D759,"*"&amp;H$2&amp;"*")</f>
        <v>0</v>
      </c>
      <c r="I759" s="200">
        <f t="shared" si="3826"/>
        <v>0</v>
      </c>
      <c r="J759" s="200">
        <f t="shared" si="3826"/>
        <v>0</v>
      </c>
      <c r="K759" s="200">
        <f t="shared" si="3826"/>
        <v>0</v>
      </c>
      <c r="L759" s="200">
        <f t="shared" si="3826"/>
        <v>0</v>
      </c>
      <c r="M759" s="200">
        <f t="shared" si="3826"/>
        <v>0</v>
      </c>
      <c r="N759" s="200">
        <f t="shared" si="3826"/>
        <v>0</v>
      </c>
      <c r="O759" s="200">
        <f t="shared" si="3826"/>
        <v>0</v>
      </c>
      <c r="P759" s="200">
        <f t="shared" si="9"/>
        <v>0</v>
      </c>
      <c r="Q759" s="200">
        <f t="shared" ref="Q759:AC759" si="3827">countif($D759,"*"&amp;Q$2&amp;"*")</f>
        <v>0</v>
      </c>
      <c r="R759" s="200">
        <f t="shared" si="3827"/>
        <v>0</v>
      </c>
      <c r="S759" s="200">
        <f t="shared" si="3827"/>
        <v>0</v>
      </c>
      <c r="T759" s="200">
        <f t="shared" si="3827"/>
        <v>0</v>
      </c>
      <c r="U759" s="200">
        <f t="shared" si="3827"/>
        <v>0</v>
      </c>
      <c r="V759" s="200">
        <f t="shared" si="3827"/>
        <v>0</v>
      </c>
      <c r="W759" s="200">
        <f t="shared" si="3827"/>
        <v>0</v>
      </c>
      <c r="X759" s="200">
        <f t="shared" si="3827"/>
        <v>0</v>
      </c>
      <c r="Y759" s="200">
        <f t="shared" si="3827"/>
        <v>0</v>
      </c>
      <c r="Z759" s="200">
        <f t="shared" si="3827"/>
        <v>0</v>
      </c>
      <c r="AA759" s="200">
        <f t="shared" si="3827"/>
        <v>0</v>
      </c>
      <c r="AB759" s="200">
        <f t="shared" si="3827"/>
        <v>0</v>
      </c>
      <c r="AC759" s="200">
        <f t="shared" si="3827"/>
        <v>0</v>
      </c>
      <c r="AD759" s="200">
        <f t="shared" si="11"/>
        <v>1</v>
      </c>
      <c r="AE759" s="200">
        <f t="shared" ref="AE759:AG759" si="3828">countif($D759,"*"&amp;AE$2&amp;"*")</f>
        <v>0</v>
      </c>
      <c r="AF759" s="200">
        <f t="shared" si="3828"/>
        <v>0</v>
      </c>
      <c r="AG759" s="200">
        <f t="shared" si="3828"/>
        <v>0</v>
      </c>
      <c r="AH759" s="171">
        <f t="shared" si="13"/>
        <v>0</v>
      </c>
      <c r="AI759" s="200">
        <f t="shared" si="14"/>
        <v>0</v>
      </c>
      <c r="AJ759" s="200">
        <f>SUM(AK759:AQ759)</f>
        <v>0</v>
      </c>
      <c r="AK759" s="201">
        <f t="shared" ref="AK759:AS759" si="3829">countif($D759,"*"&amp;AK$2&amp;"*")</f>
        <v>0</v>
      </c>
      <c r="AL759" s="201">
        <f t="shared" si="3829"/>
        <v>0</v>
      </c>
      <c r="AM759" s="201">
        <f t="shared" si="3829"/>
        <v>0</v>
      </c>
      <c r="AN759" s="201">
        <f t="shared" si="3829"/>
        <v>0</v>
      </c>
      <c r="AO759" s="201">
        <f t="shared" si="3829"/>
        <v>0</v>
      </c>
      <c r="AP759" s="201">
        <f t="shared" si="3829"/>
        <v>0</v>
      </c>
      <c r="AQ759" s="201">
        <f t="shared" si="3829"/>
        <v>0</v>
      </c>
      <c r="AR759" s="201">
        <f t="shared" si="3829"/>
        <v>0</v>
      </c>
      <c r="AS759" s="200">
        <f t="shared" si="3829"/>
        <v>0</v>
      </c>
      <c r="AT759" s="205">
        <v>0.0</v>
      </c>
      <c r="AU759" s="200">
        <f t="shared" ref="AU759:AX759" si="3830">countif($D759,"*"&amp;AU$2&amp;"*")</f>
        <v>1</v>
      </c>
      <c r="AV759" s="200">
        <f t="shared" si="3830"/>
        <v>0</v>
      </c>
      <c r="AW759" s="200">
        <f t="shared" si="3830"/>
        <v>0</v>
      </c>
      <c r="AX759" s="200">
        <f t="shared" si="3830"/>
        <v>0</v>
      </c>
      <c r="AY759" s="202">
        <v>0.0</v>
      </c>
      <c r="AZ759" s="200"/>
      <c r="BA759" s="171" t="str">
        <f t="shared" si="18"/>
        <v/>
      </c>
      <c r="BB759" s="171" t="str">
        <f t="shared" si="19"/>
        <v/>
      </c>
      <c r="BC759" s="171" t="str">
        <f t="shared" si="20"/>
        <v/>
      </c>
      <c r="BD759" s="171" t="str">
        <f t="shared" si="21"/>
        <v>Institutional</v>
      </c>
      <c r="BE759" s="171" t="str">
        <f t="shared" si="22"/>
        <v/>
      </c>
      <c r="BF759" s="171" t="str">
        <f t="shared" si="23"/>
        <v>Institutional</v>
      </c>
    </row>
    <row r="760">
      <c r="A760" s="171">
        <f t="array" ref="A760">XLOOKUP(C760,ICSE!A:A,ICSE!C:C,,2,1)</f>
        <v>2016</v>
      </c>
      <c r="B760" s="171" t="s">
        <v>5675</v>
      </c>
      <c r="C760" s="160">
        <v>1511.0</v>
      </c>
      <c r="D760" s="161" t="s">
        <v>485</v>
      </c>
      <c r="E760" s="197" t="str">
        <f t="array" ref="E760">XLOOKUP(C760,ICSE!A:A,ICSE!Z:Z,,0,1)</f>
        <v>Publicly available (1)</v>
      </c>
      <c r="F760" s="198" t="s">
        <v>20</v>
      </c>
      <c r="G760" s="163" t="str">
        <f t="array" ref="G760">IF(B760="ICSE",IF(COUNTIFS(B:B,B760,C:C,C760)=XLOOKUP(C760,ICSE!A:A,ICSE!AA:AA,"ERROR",0,1),"OK","ERROR"),IF(B760="FSE",IF(COUNTIFS(B:B,B760,C:C,C760)=XLOOKUP(C760,FSE!A:A,FSE!AA:AA,"ERROR",0,1),"OK","ERROR")))</f>
        <v>OK</v>
      </c>
      <c r="H760" s="199">
        <f t="shared" ref="H760:O760" si="3831">countif($D760,"*"&amp;H$2&amp;"*")</f>
        <v>0</v>
      </c>
      <c r="I760" s="200">
        <f t="shared" si="3831"/>
        <v>0</v>
      </c>
      <c r="J760" s="200">
        <f t="shared" si="3831"/>
        <v>0</v>
      </c>
      <c r="K760" s="200">
        <f t="shared" si="3831"/>
        <v>0</v>
      </c>
      <c r="L760" s="200">
        <f t="shared" si="3831"/>
        <v>0</v>
      </c>
      <c r="M760" s="200">
        <f t="shared" si="3831"/>
        <v>0</v>
      </c>
      <c r="N760" s="200">
        <f t="shared" si="3831"/>
        <v>0</v>
      </c>
      <c r="O760" s="200">
        <f t="shared" si="3831"/>
        <v>0</v>
      </c>
      <c r="P760" s="200">
        <f t="shared" si="9"/>
        <v>1</v>
      </c>
      <c r="Q760" s="200">
        <f t="shared" ref="Q760:AC760" si="3832">countif($D760,"*"&amp;Q$2&amp;"*")</f>
        <v>0</v>
      </c>
      <c r="R760" s="200">
        <f t="shared" si="3832"/>
        <v>0</v>
      </c>
      <c r="S760" s="200">
        <f t="shared" si="3832"/>
        <v>0</v>
      </c>
      <c r="T760" s="200">
        <f t="shared" si="3832"/>
        <v>0</v>
      </c>
      <c r="U760" s="200">
        <f t="shared" si="3832"/>
        <v>0</v>
      </c>
      <c r="V760" s="200">
        <f t="shared" si="3832"/>
        <v>0</v>
      </c>
      <c r="W760" s="200">
        <f t="shared" si="3832"/>
        <v>0</v>
      </c>
      <c r="X760" s="200">
        <f t="shared" si="3832"/>
        <v>0</v>
      </c>
      <c r="Y760" s="200">
        <f t="shared" si="3832"/>
        <v>0</v>
      </c>
      <c r="Z760" s="200">
        <f t="shared" si="3832"/>
        <v>0</v>
      </c>
      <c r="AA760" s="200">
        <f t="shared" si="3832"/>
        <v>0</v>
      </c>
      <c r="AB760" s="200">
        <f t="shared" si="3832"/>
        <v>0</v>
      </c>
      <c r="AC760" s="200">
        <f t="shared" si="3832"/>
        <v>0</v>
      </c>
      <c r="AD760" s="200">
        <f t="shared" si="11"/>
        <v>0</v>
      </c>
      <c r="AE760" s="200">
        <f t="shared" ref="AE760:AG760" si="3833">countif($D760,"*"&amp;AE$2&amp;"*")</f>
        <v>0</v>
      </c>
      <c r="AF760" s="200">
        <f t="shared" si="3833"/>
        <v>0</v>
      </c>
      <c r="AG760" s="200">
        <f t="shared" si="3833"/>
        <v>0</v>
      </c>
      <c r="AH760" s="171">
        <f t="shared" si="13"/>
        <v>0</v>
      </c>
      <c r="AI760" s="200">
        <f t="shared" si="14"/>
        <v>0</v>
      </c>
      <c r="AJ760" s="200">
        <f>SUM(AK760:AR760)</f>
        <v>0</v>
      </c>
      <c r="AK760" s="201">
        <f t="shared" ref="AK760:AS760" si="3834">countif($D760,"*"&amp;AK$2&amp;"*")</f>
        <v>0</v>
      </c>
      <c r="AL760" s="201">
        <f t="shared" si="3834"/>
        <v>0</v>
      </c>
      <c r="AM760" s="201">
        <f t="shared" si="3834"/>
        <v>0</v>
      </c>
      <c r="AN760" s="201">
        <f t="shared" si="3834"/>
        <v>0</v>
      </c>
      <c r="AO760" s="201">
        <f t="shared" si="3834"/>
        <v>0</v>
      </c>
      <c r="AP760" s="201">
        <f t="shared" si="3834"/>
        <v>0</v>
      </c>
      <c r="AQ760" s="201">
        <f t="shared" si="3834"/>
        <v>0</v>
      </c>
      <c r="AR760" s="200">
        <f t="shared" si="3834"/>
        <v>0</v>
      </c>
      <c r="AS760" s="200">
        <f t="shared" si="3834"/>
        <v>0</v>
      </c>
      <c r="AT760" s="173">
        <v>0.0</v>
      </c>
      <c r="AU760" s="200">
        <f t="shared" ref="AU760:AX760" si="3835">countif($D760,"*"&amp;AU$2&amp;"*")</f>
        <v>0</v>
      </c>
      <c r="AV760" s="200">
        <f t="shared" si="3835"/>
        <v>1</v>
      </c>
      <c r="AW760" s="200">
        <f t="shared" si="3835"/>
        <v>0</v>
      </c>
      <c r="AX760" s="200">
        <f t="shared" si="3835"/>
        <v>0</v>
      </c>
      <c r="AY760" s="202">
        <v>0.0</v>
      </c>
      <c r="AZ760" s="200"/>
      <c r="BA760" s="171" t="str">
        <f t="shared" si="18"/>
        <v/>
      </c>
      <c r="BB760" s="171" t="str">
        <f t="shared" si="19"/>
        <v>Code</v>
      </c>
      <c r="BC760" s="171" t="str">
        <f t="shared" si="20"/>
        <v/>
      </c>
      <c r="BD760" s="171" t="str">
        <f t="shared" si="21"/>
        <v/>
      </c>
      <c r="BE760" s="171" t="str">
        <f t="shared" si="22"/>
        <v/>
      </c>
      <c r="BF760" s="171" t="str">
        <f t="shared" si="23"/>
        <v>Code</v>
      </c>
    </row>
    <row r="761">
      <c r="A761" s="171">
        <f t="array" ref="A761">XLOOKUP(C761,ICSE!A:A,ICSE!C:C,,2,1)</f>
        <v>2016</v>
      </c>
      <c r="B761" s="171" t="s">
        <v>5675</v>
      </c>
      <c r="C761" s="160">
        <v>1512.0</v>
      </c>
      <c r="D761" s="161" t="s">
        <v>488</v>
      </c>
      <c r="E761" s="197" t="str">
        <f t="array" ref="E761">XLOOKUP(C761,ICSE!A:A,ICSE!Z:Z,,0,1)</f>
        <v>Not available (1) - Broken link.</v>
      </c>
      <c r="F761" s="198" t="s">
        <v>21</v>
      </c>
      <c r="G761" s="163" t="str">
        <f t="array" ref="G761">IF(B761="ICSE",IF(COUNTIFS(B:B,B761,C:C,C761)=XLOOKUP(C761,ICSE!A:A,ICSE!AA:AA,"ERROR",0,1),"OK","ERROR"),IF(B761="FSE",IF(COUNTIFS(B:B,B761,C:C,C761)=XLOOKUP(C761,FSE!A:A,FSE!AA:AA,"ERROR",0,1),"OK","ERROR")))</f>
        <v>OK</v>
      </c>
      <c r="H761" s="199">
        <f t="shared" ref="H761:O761" si="3836">countif($D761,"*"&amp;H$2&amp;"*")</f>
        <v>0</v>
      </c>
      <c r="I761" s="200">
        <f t="shared" si="3836"/>
        <v>0</v>
      </c>
      <c r="J761" s="200">
        <f t="shared" si="3836"/>
        <v>0</v>
      </c>
      <c r="K761" s="200">
        <f t="shared" si="3836"/>
        <v>0</v>
      </c>
      <c r="L761" s="200">
        <f t="shared" si="3836"/>
        <v>0</v>
      </c>
      <c r="M761" s="200">
        <f t="shared" si="3836"/>
        <v>0</v>
      </c>
      <c r="N761" s="200">
        <f t="shared" si="3836"/>
        <v>0</v>
      </c>
      <c r="O761" s="200">
        <f t="shared" si="3836"/>
        <v>0</v>
      </c>
      <c r="P761" s="200">
        <f t="shared" si="9"/>
        <v>0</v>
      </c>
      <c r="Q761" s="200">
        <f t="shared" ref="Q761:AC761" si="3837">countif($D761,"*"&amp;Q$2&amp;"*")</f>
        <v>0</v>
      </c>
      <c r="R761" s="200">
        <f t="shared" si="3837"/>
        <v>0</v>
      </c>
      <c r="S761" s="200">
        <f t="shared" si="3837"/>
        <v>0</v>
      </c>
      <c r="T761" s="200">
        <f t="shared" si="3837"/>
        <v>0</v>
      </c>
      <c r="U761" s="200">
        <f t="shared" si="3837"/>
        <v>0</v>
      </c>
      <c r="V761" s="200">
        <f t="shared" si="3837"/>
        <v>0</v>
      </c>
      <c r="W761" s="200">
        <f t="shared" si="3837"/>
        <v>0</v>
      </c>
      <c r="X761" s="200">
        <f t="shared" si="3837"/>
        <v>0</v>
      </c>
      <c r="Y761" s="200">
        <f t="shared" si="3837"/>
        <v>0</v>
      </c>
      <c r="Z761" s="200">
        <f t="shared" si="3837"/>
        <v>0</v>
      </c>
      <c r="AA761" s="200">
        <f t="shared" si="3837"/>
        <v>0</v>
      </c>
      <c r="AB761" s="200">
        <f t="shared" si="3837"/>
        <v>0</v>
      </c>
      <c r="AC761" s="200">
        <f t="shared" si="3837"/>
        <v>0</v>
      </c>
      <c r="AD761" s="200">
        <f t="shared" si="11"/>
        <v>1</v>
      </c>
      <c r="AE761" s="200">
        <f t="shared" ref="AE761:AG761" si="3838">countif($D761,"*"&amp;AE$2&amp;"*")</f>
        <v>0</v>
      </c>
      <c r="AF761" s="200">
        <f t="shared" si="3838"/>
        <v>0</v>
      </c>
      <c r="AG761" s="200">
        <f t="shared" si="3838"/>
        <v>0</v>
      </c>
      <c r="AH761" s="171">
        <f t="shared" si="13"/>
        <v>0</v>
      </c>
      <c r="AI761" s="200">
        <f t="shared" si="14"/>
        <v>0</v>
      </c>
      <c r="AJ761" s="200">
        <f>SUM(AK761:AQ761)</f>
        <v>0</v>
      </c>
      <c r="AK761" s="201">
        <f t="shared" ref="AK761:AS761" si="3839">countif($D761,"*"&amp;AK$2&amp;"*")</f>
        <v>0</v>
      </c>
      <c r="AL761" s="201">
        <f t="shared" si="3839"/>
        <v>0</v>
      </c>
      <c r="AM761" s="201">
        <f t="shared" si="3839"/>
        <v>0</v>
      </c>
      <c r="AN761" s="201">
        <f t="shared" si="3839"/>
        <v>0</v>
      </c>
      <c r="AO761" s="201">
        <f t="shared" si="3839"/>
        <v>0</v>
      </c>
      <c r="AP761" s="201">
        <f t="shared" si="3839"/>
        <v>0</v>
      </c>
      <c r="AQ761" s="201">
        <f t="shared" si="3839"/>
        <v>0</v>
      </c>
      <c r="AR761" s="201">
        <f t="shared" si="3839"/>
        <v>0</v>
      </c>
      <c r="AS761" s="200">
        <f t="shared" si="3839"/>
        <v>0</v>
      </c>
      <c r="AT761" s="205">
        <v>0.0</v>
      </c>
      <c r="AU761" s="200">
        <f t="shared" ref="AU761:AX761" si="3840">countif($D761,"*"&amp;AU$2&amp;"*")</f>
        <v>1</v>
      </c>
      <c r="AV761" s="200">
        <f t="shared" si="3840"/>
        <v>0</v>
      </c>
      <c r="AW761" s="200">
        <f t="shared" si="3840"/>
        <v>0</v>
      </c>
      <c r="AX761" s="200">
        <f t="shared" si="3840"/>
        <v>0</v>
      </c>
      <c r="AY761" s="202">
        <v>0.0</v>
      </c>
      <c r="AZ761" s="200"/>
      <c r="BA761" s="171" t="str">
        <f t="shared" si="18"/>
        <v/>
      </c>
      <c r="BB761" s="171" t="str">
        <f t="shared" si="19"/>
        <v/>
      </c>
      <c r="BC761" s="171" t="str">
        <f t="shared" si="20"/>
        <v/>
      </c>
      <c r="BD761" s="171" t="str">
        <f t="shared" si="21"/>
        <v>Institutional</v>
      </c>
      <c r="BE761" s="171" t="str">
        <f t="shared" si="22"/>
        <v/>
      </c>
      <c r="BF761" s="171" t="str">
        <f t="shared" si="23"/>
        <v>Institutional</v>
      </c>
    </row>
    <row r="762">
      <c r="A762" s="171">
        <f t="array" ref="A762">XLOOKUP(C762,ICSE!A:A,ICSE!C:C,,2,1)</f>
        <v>2016</v>
      </c>
      <c r="B762" s="171" t="s">
        <v>5675</v>
      </c>
      <c r="C762" s="160">
        <v>1514.0</v>
      </c>
      <c r="D762" s="161" t="s">
        <v>492</v>
      </c>
      <c r="E762" s="197" t="str">
        <f t="array" ref="E762">XLOOKUP(C762,ICSE!A:A,ICSE!Z:Z,,0,1)</f>
        <v>Not available (1) - Broken link.</v>
      </c>
      <c r="F762" s="198" t="s">
        <v>21</v>
      </c>
      <c r="G762" s="163" t="str">
        <f t="array" ref="G762">IF(B762="ICSE",IF(COUNTIFS(B:B,B762,C:C,C762)=XLOOKUP(C762,ICSE!A:A,ICSE!AA:AA,"ERROR",0,1),"OK","ERROR"),IF(B762="FSE",IF(COUNTIFS(B:B,B762,C:C,C762)=XLOOKUP(C762,FSE!A:A,FSE!AA:AA,"ERROR",0,1),"OK","ERROR")))</f>
        <v>OK</v>
      </c>
      <c r="H762" s="199">
        <f t="shared" ref="H762:O762" si="3841">countif($D762,"*"&amp;H$2&amp;"*")</f>
        <v>0</v>
      </c>
      <c r="I762" s="200">
        <f t="shared" si="3841"/>
        <v>0</v>
      </c>
      <c r="J762" s="200">
        <f t="shared" si="3841"/>
        <v>0</v>
      </c>
      <c r="K762" s="200">
        <f t="shared" si="3841"/>
        <v>0</v>
      </c>
      <c r="L762" s="200">
        <f t="shared" si="3841"/>
        <v>0</v>
      </c>
      <c r="M762" s="200">
        <f t="shared" si="3841"/>
        <v>0</v>
      </c>
      <c r="N762" s="200">
        <f t="shared" si="3841"/>
        <v>0</v>
      </c>
      <c r="O762" s="200">
        <f t="shared" si="3841"/>
        <v>0</v>
      </c>
      <c r="P762" s="200">
        <f t="shared" si="9"/>
        <v>0</v>
      </c>
      <c r="Q762" s="200">
        <f t="shared" ref="Q762:AC762" si="3842">countif($D762,"*"&amp;Q$2&amp;"*")</f>
        <v>0</v>
      </c>
      <c r="R762" s="200">
        <f t="shared" si="3842"/>
        <v>0</v>
      </c>
      <c r="S762" s="200">
        <f t="shared" si="3842"/>
        <v>0</v>
      </c>
      <c r="T762" s="200">
        <f t="shared" si="3842"/>
        <v>0</v>
      </c>
      <c r="U762" s="200">
        <f t="shared" si="3842"/>
        <v>0</v>
      </c>
      <c r="V762" s="200">
        <f t="shared" si="3842"/>
        <v>0</v>
      </c>
      <c r="W762" s="200">
        <f t="shared" si="3842"/>
        <v>0</v>
      </c>
      <c r="X762" s="200">
        <f t="shared" si="3842"/>
        <v>0</v>
      </c>
      <c r="Y762" s="200">
        <f t="shared" si="3842"/>
        <v>0</v>
      </c>
      <c r="Z762" s="200">
        <f t="shared" si="3842"/>
        <v>0</v>
      </c>
      <c r="AA762" s="200">
        <f t="shared" si="3842"/>
        <v>0</v>
      </c>
      <c r="AB762" s="200">
        <f t="shared" si="3842"/>
        <v>0</v>
      </c>
      <c r="AC762" s="200">
        <f t="shared" si="3842"/>
        <v>0</v>
      </c>
      <c r="AD762" s="200">
        <f t="shared" si="11"/>
        <v>0</v>
      </c>
      <c r="AE762" s="200">
        <f t="shared" ref="AE762:AG762" si="3843">countif($D762,"*"&amp;AE$2&amp;"*")</f>
        <v>1</v>
      </c>
      <c r="AF762" s="200">
        <f t="shared" si="3843"/>
        <v>0</v>
      </c>
      <c r="AG762" s="200">
        <f t="shared" si="3843"/>
        <v>0</v>
      </c>
      <c r="AH762" s="171">
        <f t="shared" si="13"/>
        <v>0</v>
      </c>
      <c r="AI762" s="200">
        <f t="shared" si="14"/>
        <v>0</v>
      </c>
      <c r="AJ762" s="200">
        <f t="shared" ref="AJ762:AJ783" si="3849">SUM(AK762:AR762)</f>
        <v>0</v>
      </c>
      <c r="AK762" s="201">
        <f t="shared" ref="AK762:AS762" si="3844">countif($D762,"*"&amp;AK$2&amp;"*")</f>
        <v>0</v>
      </c>
      <c r="AL762" s="201">
        <f t="shared" si="3844"/>
        <v>0</v>
      </c>
      <c r="AM762" s="201">
        <f t="shared" si="3844"/>
        <v>0</v>
      </c>
      <c r="AN762" s="201">
        <f t="shared" si="3844"/>
        <v>0</v>
      </c>
      <c r="AO762" s="201">
        <f t="shared" si="3844"/>
        <v>0</v>
      </c>
      <c r="AP762" s="201">
        <f t="shared" si="3844"/>
        <v>0</v>
      </c>
      <c r="AQ762" s="201">
        <f t="shared" si="3844"/>
        <v>0</v>
      </c>
      <c r="AR762" s="200">
        <f t="shared" si="3844"/>
        <v>0</v>
      </c>
      <c r="AS762" s="200">
        <f t="shared" si="3844"/>
        <v>0</v>
      </c>
      <c r="AT762" s="173">
        <v>0.0</v>
      </c>
      <c r="AU762" s="200">
        <f t="shared" ref="AU762:AX762" si="3845">countif($D762,"*"&amp;AU$2&amp;"*")</f>
        <v>0</v>
      </c>
      <c r="AV762" s="200">
        <f t="shared" si="3845"/>
        <v>0</v>
      </c>
      <c r="AW762" s="200">
        <f t="shared" si="3845"/>
        <v>0</v>
      </c>
      <c r="AX762" s="200">
        <f t="shared" si="3845"/>
        <v>0</v>
      </c>
      <c r="AY762" s="202">
        <v>0.0</v>
      </c>
      <c r="AZ762" s="200"/>
      <c r="BA762" s="171" t="str">
        <f t="shared" si="18"/>
        <v/>
      </c>
      <c r="BB762" s="171" t="str">
        <f t="shared" si="19"/>
        <v/>
      </c>
      <c r="BC762" s="171" t="str">
        <f t="shared" si="20"/>
        <v/>
      </c>
      <c r="BD762" s="171" t="str">
        <f t="shared" si="21"/>
        <v>Institutional</v>
      </c>
      <c r="BE762" s="171" t="str">
        <f t="shared" si="22"/>
        <v/>
      </c>
      <c r="BF762" s="171" t="str">
        <f t="shared" si="23"/>
        <v>Institutional</v>
      </c>
    </row>
    <row r="763">
      <c r="A763" s="171">
        <f t="array" ref="A763">XLOOKUP(C763,ICSE!A:A,ICSE!C:C,,2,1)</f>
        <v>2016</v>
      </c>
      <c r="B763" s="171" t="s">
        <v>5675</v>
      </c>
      <c r="C763" s="160">
        <v>1517.0</v>
      </c>
      <c r="D763" s="161" t="s">
        <v>5998</v>
      </c>
      <c r="E763" s="197" t="str">
        <f t="array" ref="E763">XLOOKUP(C763,ICSE!A:A,ICSE!Z:Z,,0,1)</f>
        <v>Publicly available (1)</v>
      </c>
      <c r="F763" s="198" t="s">
        <v>20</v>
      </c>
      <c r="G763" s="163" t="str">
        <f t="array" ref="G763">IF(B763="ICSE",IF(COUNTIFS(B:B,B763,C:C,C763)=XLOOKUP(C763,ICSE!A:A,ICSE!AA:AA,"ERROR",0,1),"OK","ERROR"),IF(B763="FSE",IF(COUNTIFS(B:B,B763,C:C,C763)=XLOOKUP(C763,FSE!A:A,FSE!AA:AA,"ERROR",0,1),"OK","ERROR")))</f>
        <v>OK</v>
      </c>
      <c r="H763" s="199">
        <f t="shared" ref="H763:O763" si="3846">countif($D763,"*"&amp;H$2&amp;"*")</f>
        <v>0</v>
      </c>
      <c r="I763" s="200">
        <f t="shared" si="3846"/>
        <v>0</v>
      </c>
      <c r="J763" s="200">
        <f t="shared" si="3846"/>
        <v>0</v>
      </c>
      <c r="K763" s="200">
        <f t="shared" si="3846"/>
        <v>0</v>
      </c>
      <c r="L763" s="200">
        <f t="shared" si="3846"/>
        <v>0</v>
      </c>
      <c r="M763" s="200">
        <f t="shared" si="3846"/>
        <v>0</v>
      </c>
      <c r="N763" s="200">
        <f t="shared" si="3846"/>
        <v>0</v>
      </c>
      <c r="O763" s="200">
        <f t="shared" si="3846"/>
        <v>0</v>
      </c>
      <c r="P763" s="200">
        <f t="shared" si="9"/>
        <v>0</v>
      </c>
      <c r="Q763" s="200">
        <f t="shared" ref="Q763:AC763" si="3847">countif($D763,"*"&amp;Q$2&amp;"*")</f>
        <v>0</v>
      </c>
      <c r="R763" s="200">
        <f t="shared" si="3847"/>
        <v>0</v>
      </c>
      <c r="S763" s="200">
        <f t="shared" si="3847"/>
        <v>0</v>
      </c>
      <c r="T763" s="200">
        <f t="shared" si="3847"/>
        <v>0</v>
      </c>
      <c r="U763" s="200">
        <f t="shared" si="3847"/>
        <v>0</v>
      </c>
      <c r="V763" s="200">
        <f t="shared" si="3847"/>
        <v>0</v>
      </c>
      <c r="W763" s="200">
        <f t="shared" si="3847"/>
        <v>0</v>
      </c>
      <c r="X763" s="200">
        <f t="shared" si="3847"/>
        <v>0</v>
      </c>
      <c r="Y763" s="200">
        <f t="shared" si="3847"/>
        <v>0</v>
      </c>
      <c r="Z763" s="200">
        <f t="shared" si="3847"/>
        <v>1</v>
      </c>
      <c r="AA763" s="200">
        <f t="shared" si="3847"/>
        <v>0</v>
      </c>
      <c r="AB763" s="200">
        <f t="shared" si="3847"/>
        <v>0</v>
      </c>
      <c r="AC763" s="200">
        <f t="shared" si="3847"/>
        <v>0</v>
      </c>
      <c r="AD763" s="200">
        <f t="shared" si="11"/>
        <v>0</v>
      </c>
      <c r="AE763" s="200">
        <f t="shared" ref="AE763:AG763" si="3848">countif($D763,"*"&amp;AE$2&amp;"*")</f>
        <v>0</v>
      </c>
      <c r="AF763" s="200">
        <f t="shared" si="3848"/>
        <v>0</v>
      </c>
      <c r="AG763" s="200">
        <f t="shared" si="3848"/>
        <v>0</v>
      </c>
      <c r="AH763" s="171">
        <f t="shared" si="13"/>
        <v>0</v>
      </c>
      <c r="AI763" s="200">
        <f t="shared" si="14"/>
        <v>0</v>
      </c>
      <c r="AJ763" s="200">
        <f t="shared" si="3849"/>
        <v>1</v>
      </c>
      <c r="AK763" s="201">
        <f t="shared" ref="AK763:AS763" si="3850">countif($D763,"*"&amp;AK$2&amp;"*")</f>
        <v>1</v>
      </c>
      <c r="AL763" s="201">
        <f t="shared" si="3850"/>
        <v>0</v>
      </c>
      <c r="AM763" s="201">
        <f t="shared" si="3850"/>
        <v>0</v>
      </c>
      <c r="AN763" s="201">
        <f t="shared" si="3850"/>
        <v>0</v>
      </c>
      <c r="AO763" s="201">
        <f t="shared" si="3850"/>
        <v>0</v>
      </c>
      <c r="AP763" s="201">
        <f t="shared" si="3850"/>
        <v>0</v>
      </c>
      <c r="AQ763" s="201">
        <f t="shared" si="3850"/>
        <v>0</v>
      </c>
      <c r="AR763" s="200">
        <f t="shared" si="3850"/>
        <v>0</v>
      </c>
      <c r="AS763" s="200">
        <f t="shared" si="3850"/>
        <v>1</v>
      </c>
      <c r="AT763" s="173">
        <v>0.0</v>
      </c>
      <c r="AU763" s="200">
        <f t="shared" ref="AU763:AX763" si="3851">countif($D763,"*"&amp;AU$2&amp;"*")</f>
        <v>0</v>
      </c>
      <c r="AV763" s="200">
        <f t="shared" si="3851"/>
        <v>0</v>
      </c>
      <c r="AW763" s="200">
        <f t="shared" si="3851"/>
        <v>0</v>
      </c>
      <c r="AX763" s="200">
        <f t="shared" si="3851"/>
        <v>0</v>
      </c>
      <c r="AY763" s="202">
        <v>0.0</v>
      </c>
      <c r="AZ763" s="200"/>
      <c r="BA763" s="171" t="str">
        <f t="shared" si="18"/>
        <v/>
      </c>
      <c r="BB763" s="171" t="str">
        <f t="shared" si="19"/>
        <v/>
      </c>
      <c r="BC763" s="171" t="str">
        <f t="shared" si="20"/>
        <v>General-purpose</v>
      </c>
      <c r="BD763" s="171" t="str">
        <f t="shared" si="21"/>
        <v/>
      </c>
      <c r="BE763" s="171" t="str">
        <f t="shared" si="22"/>
        <v/>
      </c>
      <c r="BF763" s="171" t="str">
        <f t="shared" si="23"/>
        <v>General-purpose</v>
      </c>
    </row>
    <row r="764">
      <c r="A764" s="171">
        <f t="array" ref="A764">XLOOKUP(C764,ICSE!A:A,ICSE!C:C,,2,1)</f>
        <v>2016</v>
      </c>
      <c r="B764" s="171" t="s">
        <v>5675</v>
      </c>
      <c r="C764" s="160">
        <v>1519.0</v>
      </c>
      <c r="D764" s="161" t="s">
        <v>502</v>
      </c>
      <c r="E764" s="197" t="str">
        <f t="array" ref="E764">XLOOKUP(C764,ICSE!A:A,ICSE!Z:Z,,0,1)</f>
        <v>Publicly available (1)</v>
      </c>
      <c r="F764" s="198" t="s">
        <v>20</v>
      </c>
      <c r="G764" s="163" t="str">
        <f t="array" ref="G764">IF(B764="ICSE",IF(COUNTIFS(B:B,B764,C:C,C764)=XLOOKUP(C764,ICSE!A:A,ICSE!AA:AA,"ERROR",0,1),"OK","ERROR"),IF(B764="FSE",IF(COUNTIFS(B:B,B764,C:C,C764)=XLOOKUP(C764,FSE!A:A,FSE!AA:AA,"ERROR",0,1),"OK","ERROR")))</f>
        <v>OK</v>
      </c>
      <c r="H764" s="199">
        <f t="shared" ref="H764:O764" si="3852">countif($D764,"*"&amp;H$2&amp;"*")</f>
        <v>0</v>
      </c>
      <c r="I764" s="200">
        <f t="shared" si="3852"/>
        <v>0</v>
      </c>
      <c r="J764" s="200">
        <f t="shared" si="3852"/>
        <v>0</v>
      </c>
      <c r="K764" s="200">
        <f t="shared" si="3852"/>
        <v>0</v>
      </c>
      <c r="L764" s="200">
        <f t="shared" si="3852"/>
        <v>0</v>
      </c>
      <c r="M764" s="200">
        <f t="shared" si="3852"/>
        <v>0</v>
      </c>
      <c r="N764" s="200">
        <f t="shared" si="3852"/>
        <v>0</v>
      </c>
      <c r="O764" s="200">
        <f t="shared" si="3852"/>
        <v>0</v>
      </c>
      <c r="P764" s="200">
        <f t="shared" si="9"/>
        <v>1</v>
      </c>
      <c r="Q764" s="200">
        <f t="shared" ref="Q764:AC764" si="3853">countif($D764,"*"&amp;Q$2&amp;"*")</f>
        <v>0</v>
      </c>
      <c r="R764" s="200">
        <f t="shared" si="3853"/>
        <v>0</v>
      </c>
      <c r="S764" s="200">
        <f t="shared" si="3853"/>
        <v>0</v>
      </c>
      <c r="T764" s="200">
        <f t="shared" si="3853"/>
        <v>0</v>
      </c>
      <c r="U764" s="200">
        <f t="shared" si="3853"/>
        <v>0</v>
      </c>
      <c r="V764" s="200">
        <f t="shared" si="3853"/>
        <v>0</v>
      </c>
      <c r="W764" s="200">
        <f t="shared" si="3853"/>
        <v>0</v>
      </c>
      <c r="X764" s="200">
        <f t="shared" si="3853"/>
        <v>0</v>
      </c>
      <c r="Y764" s="200">
        <f t="shared" si="3853"/>
        <v>0</v>
      </c>
      <c r="Z764" s="200">
        <f t="shared" si="3853"/>
        <v>0</v>
      </c>
      <c r="AA764" s="200">
        <f t="shared" si="3853"/>
        <v>0</v>
      </c>
      <c r="AB764" s="200">
        <f t="shared" si="3853"/>
        <v>0</v>
      </c>
      <c r="AC764" s="200">
        <f t="shared" si="3853"/>
        <v>0</v>
      </c>
      <c r="AD764" s="200">
        <f t="shared" si="11"/>
        <v>0</v>
      </c>
      <c r="AE764" s="200">
        <f t="shared" ref="AE764:AG764" si="3854">countif($D764,"*"&amp;AE$2&amp;"*")</f>
        <v>0</v>
      </c>
      <c r="AF764" s="200">
        <f t="shared" si="3854"/>
        <v>0</v>
      </c>
      <c r="AG764" s="200">
        <f t="shared" si="3854"/>
        <v>0</v>
      </c>
      <c r="AH764" s="171">
        <f t="shared" si="13"/>
        <v>0</v>
      </c>
      <c r="AI764" s="200">
        <f t="shared" si="14"/>
        <v>0</v>
      </c>
      <c r="AJ764" s="200">
        <f t="shared" si="3849"/>
        <v>0</v>
      </c>
      <c r="AK764" s="201">
        <f t="shared" ref="AK764:AS764" si="3855">countif($D764,"*"&amp;AK$2&amp;"*")</f>
        <v>0</v>
      </c>
      <c r="AL764" s="201">
        <f t="shared" si="3855"/>
        <v>0</v>
      </c>
      <c r="AM764" s="201">
        <f t="shared" si="3855"/>
        <v>0</v>
      </c>
      <c r="AN764" s="201">
        <f t="shared" si="3855"/>
        <v>0</v>
      </c>
      <c r="AO764" s="201">
        <f t="shared" si="3855"/>
        <v>0</v>
      </c>
      <c r="AP764" s="201">
        <f t="shared" si="3855"/>
        <v>0</v>
      </c>
      <c r="AQ764" s="201">
        <f t="shared" si="3855"/>
        <v>0</v>
      </c>
      <c r="AR764" s="200">
        <f t="shared" si="3855"/>
        <v>0</v>
      </c>
      <c r="AS764" s="200">
        <f t="shared" si="3855"/>
        <v>0</v>
      </c>
      <c r="AT764" s="173">
        <v>0.0</v>
      </c>
      <c r="AU764" s="200">
        <f t="shared" ref="AU764:AX764" si="3856">countif($D764,"*"&amp;AU$2&amp;"*")</f>
        <v>0</v>
      </c>
      <c r="AV764" s="200">
        <f t="shared" si="3856"/>
        <v>1</v>
      </c>
      <c r="AW764" s="200">
        <f t="shared" si="3856"/>
        <v>0</v>
      </c>
      <c r="AX764" s="200">
        <f t="shared" si="3856"/>
        <v>0</v>
      </c>
      <c r="AY764" s="202">
        <v>0.0</v>
      </c>
      <c r="AZ764" s="200"/>
      <c r="BA764" s="171" t="str">
        <f t="shared" si="18"/>
        <v/>
      </c>
      <c r="BB764" s="171" t="str">
        <f t="shared" si="19"/>
        <v>Code</v>
      </c>
      <c r="BC764" s="171" t="str">
        <f t="shared" si="20"/>
        <v/>
      </c>
      <c r="BD764" s="171" t="str">
        <f t="shared" si="21"/>
        <v/>
      </c>
      <c r="BE764" s="171" t="str">
        <f t="shared" si="22"/>
        <v/>
      </c>
      <c r="BF764" s="171" t="str">
        <f t="shared" si="23"/>
        <v>Code</v>
      </c>
    </row>
    <row r="765">
      <c r="A765" s="171">
        <f t="array" ref="A765">XLOOKUP(C765,ICSE!A:A,ICSE!C:C,,2,1)</f>
        <v>2016</v>
      </c>
      <c r="B765" s="171" t="s">
        <v>5675</v>
      </c>
      <c r="C765" s="160">
        <v>1521.0</v>
      </c>
      <c r="D765" s="161" t="s">
        <v>506</v>
      </c>
      <c r="E765" s="197" t="str">
        <f t="array" ref="E765">XLOOKUP(C765,ICSE!A:A,ICSE!Z:Z,,0,1)</f>
        <v>Publicly available (1)</v>
      </c>
      <c r="F765" s="198" t="s">
        <v>20</v>
      </c>
      <c r="G765" s="163" t="str">
        <f t="array" ref="G765">IF(B765="ICSE",IF(COUNTIFS(B:B,B765,C:C,C765)=XLOOKUP(C765,ICSE!A:A,ICSE!AA:AA,"ERROR",0,1),"OK","ERROR"),IF(B765="FSE",IF(COUNTIFS(B:B,B765,C:C,C765)=XLOOKUP(C765,FSE!A:A,FSE!AA:AA,"ERROR",0,1),"OK","ERROR")))</f>
        <v>OK</v>
      </c>
      <c r="H765" s="199">
        <f t="shared" ref="H765:O765" si="3857">countif($D765,"*"&amp;H$2&amp;"*")</f>
        <v>0</v>
      </c>
      <c r="I765" s="200">
        <f t="shared" si="3857"/>
        <v>0</v>
      </c>
      <c r="J765" s="200">
        <f t="shared" si="3857"/>
        <v>0</v>
      </c>
      <c r="K765" s="200">
        <f t="shared" si="3857"/>
        <v>0</v>
      </c>
      <c r="L765" s="200">
        <f t="shared" si="3857"/>
        <v>0</v>
      </c>
      <c r="M765" s="200">
        <f t="shared" si="3857"/>
        <v>0</v>
      </c>
      <c r="N765" s="200">
        <f t="shared" si="3857"/>
        <v>0</v>
      </c>
      <c r="O765" s="200">
        <f t="shared" si="3857"/>
        <v>0</v>
      </c>
      <c r="P765" s="200">
        <f t="shared" si="9"/>
        <v>1</v>
      </c>
      <c r="Q765" s="200">
        <f t="shared" ref="Q765:AC765" si="3858">countif($D765,"*"&amp;Q$2&amp;"*")</f>
        <v>0</v>
      </c>
      <c r="R765" s="200">
        <f t="shared" si="3858"/>
        <v>0</v>
      </c>
      <c r="S765" s="200">
        <f t="shared" si="3858"/>
        <v>0</v>
      </c>
      <c r="T765" s="200">
        <f t="shared" si="3858"/>
        <v>0</v>
      </c>
      <c r="U765" s="200">
        <f t="shared" si="3858"/>
        <v>0</v>
      </c>
      <c r="V765" s="200">
        <f t="shared" si="3858"/>
        <v>0</v>
      </c>
      <c r="W765" s="200">
        <f t="shared" si="3858"/>
        <v>0</v>
      </c>
      <c r="X765" s="200">
        <f t="shared" si="3858"/>
        <v>0</v>
      </c>
      <c r="Y765" s="200">
        <f t="shared" si="3858"/>
        <v>0</v>
      </c>
      <c r="Z765" s="200">
        <f t="shared" si="3858"/>
        <v>0</v>
      </c>
      <c r="AA765" s="200">
        <f t="shared" si="3858"/>
        <v>0</v>
      </c>
      <c r="AB765" s="200">
        <f t="shared" si="3858"/>
        <v>0</v>
      </c>
      <c r="AC765" s="200">
        <f t="shared" si="3858"/>
        <v>0</v>
      </c>
      <c r="AD765" s="200">
        <f t="shared" si="11"/>
        <v>0</v>
      </c>
      <c r="AE765" s="200">
        <f t="shared" ref="AE765:AG765" si="3859">countif($D765,"*"&amp;AE$2&amp;"*")</f>
        <v>0</v>
      </c>
      <c r="AF765" s="200">
        <f t="shared" si="3859"/>
        <v>0</v>
      </c>
      <c r="AG765" s="200">
        <f t="shared" si="3859"/>
        <v>0</v>
      </c>
      <c r="AH765" s="171">
        <f t="shared" si="13"/>
        <v>0</v>
      </c>
      <c r="AI765" s="200">
        <f t="shared" si="14"/>
        <v>0</v>
      </c>
      <c r="AJ765" s="200">
        <f t="shared" si="3849"/>
        <v>0</v>
      </c>
      <c r="AK765" s="201">
        <f t="shared" ref="AK765:AS765" si="3860">countif($D765,"*"&amp;AK$2&amp;"*")</f>
        <v>0</v>
      </c>
      <c r="AL765" s="201">
        <f t="shared" si="3860"/>
        <v>0</v>
      </c>
      <c r="AM765" s="201">
        <f t="shared" si="3860"/>
        <v>0</v>
      </c>
      <c r="AN765" s="201">
        <f t="shared" si="3860"/>
        <v>0</v>
      </c>
      <c r="AO765" s="201">
        <f t="shared" si="3860"/>
        <v>0</v>
      </c>
      <c r="AP765" s="201">
        <f t="shared" si="3860"/>
        <v>0</v>
      </c>
      <c r="AQ765" s="201">
        <f t="shared" si="3860"/>
        <v>0</v>
      </c>
      <c r="AR765" s="200">
        <f t="shared" si="3860"/>
        <v>0</v>
      </c>
      <c r="AS765" s="200">
        <f t="shared" si="3860"/>
        <v>0</v>
      </c>
      <c r="AT765" s="173">
        <v>0.0</v>
      </c>
      <c r="AU765" s="200">
        <f t="shared" ref="AU765:AX765" si="3861">countif($D765,"*"&amp;AU$2&amp;"*")</f>
        <v>0</v>
      </c>
      <c r="AV765" s="200">
        <f t="shared" si="3861"/>
        <v>1</v>
      </c>
      <c r="AW765" s="200">
        <f t="shared" si="3861"/>
        <v>0</v>
      </c>
      <c r="AX765" s="200">
        <f t="shared" si="3861"/>
        <v>0</v>
      </c>
      <c r="AY765" s="202">
        <v>0.0</v>
      </c>
      <c r="AZ765" s="200"/>
      <c r="BA765" s="171" t="str">
        <f t="shared" si="18"/>
        <v/>
      </c>
      <c r="BB765" s="171" t="str">
        <f t="shared" si="19"/>
        <v>Code</v>
      </c>
      <c r="BC765" s="171" t="str">
        <f t="shared" si="20"/>
        <v/>
      </c>
      <c r="BD765" s="171" t="str">
        <f t="shared" si="21"/>
        <v/>
      </c>
      <c r="BE765" s="171" t="str">
        <f t="shared" si="22"/>
        <v/>
      </c>
      <c r="BF765" s="171" t="str">
        <f t="shared" si="23"/>
        <v>Code</v>
      </c>
    </row>
    <row r="766">
      <c r="A766" s="171">
        <f t="array" ref="A766">XLOOKUP(C766,ICSE!A:A,ICSE!C:C,,2,1)</f>
        <v>2016</v>
      </c>
      <c r="B766" s="171" t="s">
        <v>5675</v>
      </c>
      <c r="C766" s="160">
        <v>1523.0</v>
      </c>
      <c r="D766" s="161" t="s">
        <v>510</v>
      </c>
      <c r="E766" s="197" t="str">
        <f t="array" ref="E766">XLOOKUP(C766,ICSE!A:A,ICSE!Z:Z,,0,1)</f>
        <v>Not available (1) - Broken link.</v>
      </c>
      <c r="F766" s="198" t="s">
        <v>21</v>
      </c>
      <c r="G766" s="163" t="str">
        <f t="array" ref="G766">IF(B766="ICSE",IF(COUNTIFS(B:B,B766,C:C,C766)=XLOOKUP(C766,ICSE!A:A,ICSE!AA:AA,"ERROR",0,1),"OK","ERROR"),IF(B766="FSE",IF(COUNTIFS(B:B,B766,C:C,C766)=XLOOKUP(C766,FSE!A:A,FSE!AA:AA,"ERROR",0,1),"OK","ERROR")))</f>
        <v>OK</v>
      </c>
      <c r="H766" s="199">
        <f t="shared" ref="H766:O766" si="3862">countif($D766,"*"&amp;H$2&amp;"*")</f>
        <v>0</v>
      </c>
      <c r="I766" s="200">
        <f t="shared" si="3862"/>
        <v>0</v>
      </c>
      <c r="J766" s="200">
        <f t="shared" si="3862"/>
        <v>0</v>
      </c>
      <c r="K766" s="200">
        <f t="shared" si="3862"/>
        <v>0</v>
      </c>
      <c r="L766" s="200">
        <f t="shared" si="3862"/>
        <v>0</v>
      </c>
      <c r="M766" s="200">
        <f t="shared" si="3862"/>
        <v>0</v>
      </c>
      <c r="N766" s="200">
        <f t="shared" si="3862"/>
        <v>0</v>
      </c>
      <c r="O766" s="200">
        <f t="shared" si="3862"/>
        <v>0</v>
      </c>
      <c r="P766" s="200">
        <f t="shared" si="9"/>
        <v>0</v>
      </c>
      <c r="Q766" s="200">
        <f t="shared" ref="Q766:AC766" si="3863">countif($D766,"*"&amp;Q$2&amp;"*")</f>
        <v>0</v>
      </c>
      <c r="R766" s="200">
        <f t="shared" si="3863"/>
        <v>1</v>
      </c>
      <c r="S766" s="200">
        <f t="shared" si="3863"/>
        <v>0</v>
      </c>
      <c r="T766" s="200">
        <f t="shared" si="3863"/>
        <v>0</v>
      </c>
      <c r="U766" s="200">
        <f t="shared" si="3863"/>
        <v>0</v>
      </c>
      <c r="V766" s="200">
        <f t="shared" si="3863"/>
        <v>0</v>
      </c>
      <c r="W766" s="200">
        <f t="shared" si="3863"/>
        <v>0</v>
      </c>
      <c r="X766" s="200">
        <f t="shared" si="3863"/>
        <v>0</v>
      </c>
      <c r="Y766" s="200">
        <f t="shared" si="3863"/>
        <v>0</v>
      </c>
      <c r="Z766" s="200">
        <f t="shared" si="3863"/>
        <v>0</v>
      </c>
      <c r="AA766" s="200">
        <f t="shared" si="3863"/>
        <v>0</v>
      </c>
      <c r="AB766" s="200">
        <f t="shared" si="3863"/>
        <v>0</v>
      </c>
      <c r="AC766" s="200">
        <f t="shared" si="3863"/>
        <v>0</v>
      </c>
      <c r="AD766" s="200">
        <f t="shared" si="11"/>
        <v>0</v>
      </c>
      <c r="AE766" s="200">
        <f t="shared" ref="AE766:AG766" si="3864">countif($D766,"*"&amp;AE$2&amp;"*")</f>
        <v>0</v>
      </c>
      <c r="AF766" s="200">
        <f t="shared" si="3864"/>
        <v>0</v>
      </c>
      <c r="AG766" s="200">
        <f t="shared" si="3864"/>
        <v>0</v>
      </c>
      <c r="AH766" s="171">
        <f t="shared" si="13"/>
        <v>0</v>
      </c>
      <c r="AI766" s="200">
        <f t="shared" si="14"/>
        <v>0</v>
      </c>
      <c r="AJ766" s="200">
        <f t="shared" si="3849"/>
        <v>0</v>
      </c>
      <c r="AK766" s="201">
        <f t="shared" ref="AK766:AS766" si="3865">countif($D766,"*"&amp;AK$2&amp;"*")</f>
        <v>0</v>
      </c>
      <c r="AL766" s="201">
        <f t="shared" si="3865"/>
        <v>0</v>
      </c>
      <c r="AM766" s="201">
        <f t="shared" si="3865"/>
        <v>0</v>
      </c>
      <c r="AN766" s="201">
        <f t="shared" si="3865"/>
        <v>0</v>
      </c>
      <c r="AO766" s="201">
        <f t="shared" si="3865"/>
        <v>0</v>
      </c>
      <c r="AP766" s="201">
        <f t="shared" si="3865"/>
        <v>0</v>
      </c>
      <c r="AQ766" s="201">
        <f t="shared" si="3865"/>
        <v>0</v>
      </c>
      <c r="AR766" s="200">
        <f t="shared" si="3865"/>
        <v>0</v>
      </c>
      <c r="AS766" s="200">
        <f t="shared" si="3865"/>
        <v>0</v>
      </c>
      <c r="AT766" s="173">
        <v>0.0</v>
      </c>
      <c r="AU766" s="200">
        <f t="shared" ref="AU766:AX766" si="3866">countif($D766,"*"&amp;AU$2&amp;"*")</f>
        <v>0</v>
      </c>
      <c r="AV766" s="200">
        <f t="shared" si="3866"/>
        <v>0</v>
      </c>
      <c r="AW766" s="200">
        <f t="shared" si="3866"/>
        <v>0</v>
      </c>
      <c r="AX766" s="200">
        <f t="shared" si="3866"/>
        <v>0</v>
      </c>
      <c r="AY766" s="202">
        <v>0.0</v>
      </c>
      <c r="AZ766" s="200"/>
      <c r="BA766" s="171" t="str">
        <f t="shared" si="18"/>
        <v/>
      </c>
      <c r="BB766" s="171" t="str">
        <f t="shared" si="19"/>
        <v>Code</v>
      </c>
      <c r="BC766" s="171" t="str">
        <f t="shared" si="20"/>
        <v/>
      </c>
      <c r="BD766" s="171" t="str">
        <f t="shared" si="21"/>
        <v/>
      </c>
      <c r="BE766" s="171" t="str">
        <f t="shared" si="22"/>
        <v/>
      </c>
      <c r="BF766" s="171" t="str">
        <f t="shared" si="23"/>
        <v>Code</v>
      </c>
    </row>
    <row r="767">
      <c r="A767" s="171">
        <f t="array" ref="A767">XLOOKUP(C767,ICSE!A:A,ICSE!C:C,,2,1)</f>
        <v>2016</v>
      </c>
      <c r="B767" s="171" t="s">
        <v>5675</v>
      </c>
      <c r="C767" s="160">
        <v>1525.0</v>
      </c>
      <c r="D767" s="161" t="s">
        <v>515</v>
      </c>
      <c r="E767" s="197" t="str">
        <f t="array" ref="E767">XLOOKUP(C767,ICSE!A:A,ICSE!Z:Z,,0,1)</f>
        <v>Not available (1) - Broken link.</v>
      </c>
      <c r="F767" s="198" t="s">
        <v>21</v>
      </c>
      <c r="G767" s="163" t="str">
        <f t="array" ref="G767">IF(B767="ICSE",IF(COUNTIFS(B:B,B767,C:C,C767)=XLOOKUP(C767,ICSE!A:A,ICSE!AA:AA,"ERROR",0,1),"OK","ERROR"),IF(B767="FSE",IF(COUNTIFS(B:B,B767,C:C,C767)=XLOOKUP(C767,FSE!A:A,FSE!AA:AA,"ERROR",0,1),"OK","ERROR")))</f>
        <v>OK</v>
      </c>
      <c r="H767" s="199">
        <f t="shared" ref="H767:O767" si="3867">countif($D767,"*"&amp;H$2&amp;"*")</f>
        <v>0</v>
      </c>
      <c r="I767" s="200">
        <f t="shared" si="3867"/>
        <v>0</v>
      </c>
      <c r="J767" s="200">
        <f t="shared" si="3867"/>
        <v>0</v>
      </c>
      <c r="K767" s="200">
        <f t="shared" si="3867"/>
        <v>0</v>
      </c>
      <c r="L767" s="200">
        <f t="shared" si="3867"/>
        <v>0</v>
      </c>
      <c r="M767" s="200">
        <f t="shared" si="3867"/>
        <v>0</v>
      </c>
      <c r="N767" s="200">
        <f t="shared" si="3867"/>
        <v>0</v>
      </c>
      <c r="O767" s="200">
        <f t="shared" si="3867"/>
        <v>0</v>
      </c>
      <c r="P767" s="200">
        <f t="shared" si="9"/>
        <v>0</v>
      </c>
      <c r="Q767" s="200">
        <f t="shared" ref="Q767:AC767" si="3868">countif($D767,"*"&amp;Q$2&amp;"*")</f>
        <v>0</v>
      </c>
      <c r="R767" s="200">
        <f t="shared" si="3868"/>
        <v>0</v>
      </c>
      <c r="S767" s="200">
        <f t="shared" si="3868"/>
        <v>0</v>
      </c>
      <c r="T767" s="200">
        <f t="shared" si="3868"/>
        <v>0</v>
      </c>
      <c r="U767" s="200">
        <f t="shared" si="3868"/>
        <v>0</v>
      </c>
      <c r="V767" s="200">
        <f t="shared" si="3868"/>
        <v>0</v>
      </c>
      <c r="W767" s="200">
        <f t="shared" si="3868"/>
        <v>0</v>
      </c>
      <c r="X767" s="200">
        <f t="shared" si="3868"/>
        <v>0</v>
      </c>
      <c r="Y767" s="200">
        <f t="shared" si="3868"/>
        <v>0</v>
      </c>
      <c r="Z767" s="200">
        <f t="shared" si="3868"/>
        <v>0</v>
      </c>
      <c r="AA767" s="200">
        <f t="shared" si="3868"/>
        <v>1</v>
      </c>
      <c r="AB767" s="200">
        <f t="shared" si="3868"/>
        <v>0</v>
      </c>
      <c r="AC767" s="200">
        <f t="shared" si="3868"/>
        <v>0</v>
      </c>
      <c r="AD767" s="200">
        <f t="shared" si="11"/>
        <v>0</v>
      </c>
      <c r="AE767" s="200">
        <f t="shared" ref="AE767:AG767" si="3869">countif($D767,"*"&amp;AE$2&amp;"*")</f>
        <v>0</v>
      </c>
      <c r="AF767" s="200">
        <f t="shared" si="3869"/>
        <v>0</v>
      </c>
      <c r="AG767" s="200">
        <f t="shared" si="3869"/>
        <v>0</v>
      </c>
      <c r="AH767" s="171">
        <f t="shared" si="13"/>
        <v>0</v>
      </c>
      <c r="AI767" s="200">
        <f t="shared" si="14"/>
        <v>0</v>
      </c>
      <c r="AJ767" s="200">
        <f t="shared" si="3849"/>
        <v>0</v>
      </c>
      <c r="AK767" s="201">
        <f t="shared" ref="AK767:AS767" si="3870">countif($D767,"*"&amp;AK$2&amp;"*")</f>
        <v>0</v>
      </c>
      <c r="AL767" s="201">
        <f t="shared" si="3870"/>
        <v>0</v>
      </c>
      <c r="AM767" s="201">
        <f t="shared" si="3870"/>
        <v>0</v>
      </c>
      <c r="AN767" s="201">
        <f t="shared" si="3870"/>
        <v>0</v>
      </c>
      <c r="AO767" s="201">
        <f t="shared" si="3870"/>
        <v>0</v>
      </c>
      <c r="AP767" s="201">
        <f t="shared" si="3870"/>
        <v>0</v>
      </c>
      <c r="AQ767" s="201">
        <f t="shared" si="3870"/>
        <v>0</v>
      </c>
      <c r="AR767" s="200">
        <f t="shared" si="3870"/>
        <v>0</v>
      </c>
      <c r="AS767" s="200">
        <f t="shared" si="3870"/>
        <v>0</v>
      </c>
      <c r="AT767" s="173">
        <v>0.0</v>
      </c>
      <c r="AU767" s="200">
        <f t="shared" ref="AU767:AX767" si="3871">countif($D767,"*"&amp;AU$2&amp;"*")</f>
        <v>0</v>
      </c>
      <c r="AV767" s="200">
        <f t="shared" si="3871"/>
        <v>0</v>
      </c>
      <c r="AW767" s="200">
        <f t="shared" si="3871"/>
        <v>0</v>
      </c>
      <c r="AX767" s="200">
        <f t="shared" si="3871"/>
        <v>0</v>
      </c>
      <c r="AY767" s="202">
        <v>0.0</v>
      </c>
      <c r="AZ767" s="200"/>
      <c r="BA767" s="171" t="str">
        <f t="shared" si="18"/>
        <v/>
      </c>
      <c r="BB767" s="171" t="str">
        <f t="shared" si="19"/>
        <v/>
      </c>
      <c r="BC767" s="171" t="str">
        <f t="shared" si="20"/>
        <v>General-purpose</v>
      </c>
      <c r="BD767" s="171" t="str">
        <f t="shared" si="21"/>
        <v/>
      </c>
      <c r="BE767" s="171" t="str">
        <f t="shared" si="22"/>
        <v/>
      </c>
      <c r="BF767" s="171" t="str">
        <f t="shared" si="23"/>
        <v>General-purpose</v>
      </c>
    </row>
    <row r="768">
      <c r="A768" s="171">
        <f t="array" ref="A768">XLOOKUP(C768,ICSE!A:A,ICSE!C:C,,2,1)</f>
        <v>2016</v>
      </c>
      <c r="B768" s="171" t="s">
        <v>5675</v>
      </c>
      <c r="C768" s="160">
        <v>1526.0</v>
      </c>
      <c r="D768" s="161" t="s">
        <v>518</v>
      </c>
      <c r="E768" s="197" t="str">
        <f t="array" ref="E768">XLOOKUP(C768,ICSE!A:A,ICSE!Z:Z,,0,1)</f>
        <v>Not available (1) - Broken link.</v>
      </c>
      <c r="F768" s="198" t="s">
        <v>21</v>
      </c>
      <c r="G768" s="163" t="str">
        <f t="array" ref="G768">IF(B768="ICSE",IF(COUNTIFS(B:B,B768,C:C,C768)=XLOOKUP(C768,ICSE!A:A,ICSE!AA:AA,"ERROR",0,1),"OK","ERROR"),IF(B768="FSE",IF(COUNTIFS(B:B,B768,C:C,C768)=XLOOKUP(C768,FSE!A:A,FSE!AA:AA,"ERROR",0,1),"OK","ERROR")))</f>
        <v>OK</v>
      </c>
      <c r="H768" s="199">
        <f t="shared" ref="H768:O768" si="3872">countif($D768,"*"&amp;H$2&amp;"*")</f>
        <v>0</v>
      </c>
      <c r="I768" s="200">
        <f t="shared" si="3872"/>
        <v>0</v>
      </c>
      <c r="J768" s="200">
        <f t="shared" si="3872"/>
        <v>0</v>
      </c>
      <c r="K768" s="200">
        <f t="shared" si="3872"/>
        <v>0</v>
      </c>
      <c r="L768" s="200">
        <f t="shared" si="3872"/>
        <v>0</v>
      </c>
      <c r="M768" s="200">
        <f t="shared" si="3872"/>
        <v>0</v>
      </c>
      <c r="N768" s="200">
        <f t="shared" si="3872"/>
        <v>0</v>
      </c>
      <c r="O768" s="200">
        <f t="shared" si="3872"/>
        <v>0</v>
      </c>
      <c r="P768" s="200">
        <f t="shared" si="9"/>
        <v>0</v>
      </c>
      <c r="Q768" s="200">
        <f t="shared" ref="Q768:AC768" si="3873">countif($D768,"*"&amp;Q$2&amp;"*")</f>
        <v>0</v>
      </c>
      <c r="R768" s="200">
        <f t="shared" si="3873"/>
        <v>0</v>
      </c>
      <c r="S768" s="200">
        <f t="shared" si="3873"/>
        <v>0</v>
      </c>
      <c r="T768" s="200">
        <f t="shared" si="3873"/>
        <v>0</v>
      </c>
      <c r="U768" s="200">
        <f t="shared" si="3873"/>
        <v>0</v>
      </c>
      <c r="V768" s="200">
        <f t="shared" si="3873"/>
        <v>0</v>
      </c>
      <c r="W768" s="200">
        <f t="shared" si="3873"/>
        <v>0</v>
      </c>
      <c r="X768" s="200">
        <f t="shared" si="3873"/>
        <v>0</v>
      </c>
      <c r="Y768" s="200">
        <f t="shared" si="3873"/>
        <v>0</v>
      </c>
      <c r="Z768" s="200">
        <f t="shared" si="3873"/>
        <v>0</v>
      </c>
      <c r="AA768" s="200">
        <f t="shared" si="3873"/>
        <v>0</v>
      </c>
      <c r="AB768" s="200">
        <f t="shared" si="3873"/>
        <v>0</v>
      </c>
      <c r="AC768" s="200">
        <f t="shared" si="3873"/>
        <v>0</v>
      </c>
      <c r="AD768" s="200">
        <f t="shared" si="11"/>
        <v>0</v>
      </c>
      <c r="AE768" s="200">
        <f t="shared" ref="AE768:AG768" si="3874">countif($D768,"*"&amp;AE$2&amp;"*")</f>
        <v>1</v>
      </c>
      <c r="AF768" s="200">
        <f t="shared" si="3874"/>
        <v>0</v>
      </c>
      <c r="AG768" s="200">
        <f t="shared" si="3874"/>
        <v>0</v>
      </c>
      <c r="AH768" s="171">
        <f t="shared" si="13"/>
        <v>0</v>
      </c>
      <c r="AI768" s="200">
        <f t="shared" si="14"/>
        <v>0</v>
      </c>
      <c r="AJ768" s="200">
        <f t="shared" si="3849"/>
        <v>0</v>
      </c>
      <c r="AK768" s="201">
        <f t="shared" ref="AK768:AS768" si="3875">countif($D768,"*"&amp;AK$2&amp;"*")</f>
        <v>0</v>
      </c>
      <c r="AL768" s="201">
        <f t="shared" si="3875"/>
        <v>0</v>
      </c>
      <c r="AM768" s="201">
        <f t="shared" si="3875"/>
        <v>0</v>
      </c>
      <c r="AN768" s="201">
        <f t="shared" si="3875"/>
        <v>0</v>
      </c>
      <c r="AO768" s="201">
        <f t="shared" si="3875"/>
        <v>0</v>
      </c>
      <c r="AP768" s="201">
        <f t="shared" si="3875"/>
        <v>0</v>
      </c>
      <c r="AQ768" s="201">
        <f t="shared" si="3875"/>
        <v>0</v>
      </c>
      <c r="AR768" s="200">
        <f t="shared" si="3875"/>
        <v>0</v>
      </c>
      <c r="AS768" s="200">
        <f t="shared" si="3875"/>
        <v>0</v>
      </c>
      <c r="AT768" s="173">
        <v>0.0</v>
      </c>
      <c r="AU768" s="200">
        <f t="shared" ref="AU768:AX768" si="3876">countif($D768,"*"&amp;AU$2&amp;"*")</f>
        <v>0</v>
      </c>
      <c r="AV768" s="200">
        <f t="shared" si="3876"/>
        <v>0</v>
      </c>
      <c r="AW768" s="200">
        <f t="shared" si="3876"/>
        <v>0</v>
      </c>
      <c r="AX768" s="200">
        <f t="shared" si="3876"/>
        <v>0</v>
      </c>
      <c r="AY768" s="202">
        <v>0.0</v>
      </c>
      <c r="AZ768" s="200"/>
      <c r="BA768" s="171" t="str">
        <f t="shared" si="18"/>
        <v/>
      </c>
      <c r="BB768" s="171" t="str">
        <f t="shared" si="19"/>
        <v/>
      </c>
      <c r="BC768" s="171" t="str">
        <f t="shared" si="20"/>
        <v/>
      </c>
      <c r="BD768" s="171" t="str">
        <f t="shared" si="21"/>
        <v>Institutional</v>
      </c>
      <c r="BE768" s="171" t="str">
        <f t="shared" si="22"/>
        <v/>
      </c>
      <c r="BF768" s="171" t="str">
        <f t="shared" si="23"/>
        <v>Institutional</v>
      </c>
    </row>
    <row r="769">
      <c r="A769" s="171">
        <f t="array" ref="A769">XLOOKUP(C769,ICSE!A:A,ICSE!C:C,,2,1)</f>
        <v>2016</v>
      </c>
      <c r="B769" s="171" t="s">
        <v>5675</v>
      </c>
      <c r="C769" s="160">
        <v>1528.0</v>
      </c>
      <c r="D769" s="161" t="s">
        <v>5999</v>
      </c>
      <c r="E769" s="197" t="str">
        <f t="array" ref="E769">XLOOKUP(C769,ICSE!A:A,ICSE!Z:Z,,0,1)</f>
        <v>Publicly available (3)
Not available (3) - Broken link.</v>
      </c>
      <c r="F769" s="198" t="s">
        <v>20</v>
      </c>
      <c r="G769" s="163" t="str">
        <f t="array" ref="G769">IF(B769="ICSE",IF(COUNTIFS(B:B,B769,C:C,C769)=XLOOKUP(C769,ICSE!A:A,ICSE!AA:AA,"ERROR",0,1),"OK","ERROR"),IF(B769="FSE",IF(COUNTIFS(B:B,B769,C:C,C769)=XLOOKUP(C769,FSE!A:A,FSE!AA:AA,"ERROR",0,1),"OK","ERROR")))</f>
        <v>OK</v>
      </c>
      <c r="H769" s="199">
        <f t="shared" ref="H769:O769" si="3877">countif($D769,"*"&amp;H$2&amp;"*")</f>
        <v>0</v>
      </c>
      <c r="I769" s="200">
        <f t="shared" si="3877"/>
        <v>0</v>
      </c>
      <c r="J769" s="200">
        <f t="shared" si="3877"/>
        <v>0</v>
      </c>
      <c r="K769" s="200">
        <f t="shared" si="3877"/>
        <v>0</v>
      </c>
      <c r="L769" s="200">
        <f t="shared" si="3877"/>
        <v>0</v>
      </c>
      <c r="M769" s="200">
        <f t="shared" si="3877"/>
        <v>0</v>
      </c>
      <c r="N769" s="200">
        <f t="shared" si="3877"/>
        <v>0</v>
      </c>
      <c r="O769" s="200">
        <f t="shared" si="3877"/>
        <v>0</v>
      </c>
      <c r="P769" s="200">
        <f t="shared" si="9"/>
        <v>0</v>
      </c>
      <c r="Q769" s="200">
        <f t="shared" ref="Q769:AC769" si="3878">countif($D769,"*"&amp;Q$2&amp;"*")</f>
        <v>0</v>
      </c>
      <c r="R769" s="200">
        <f t="shared" si="3878"/>
        <v>0</v>
      </c>
      <c r="S769" s="200">
        <f t="shared" si="3878"/>
        <v>0</v>
      </c>
      <c r="T769" s="200">
        <f t="shared" si="3878"/>
        <v>0</v>
      </c>
      <c r="U769" s="200">
        <f t="shared" si="3878"/>
        <v>0</v>
      </c>
      <c r="V769" s="200">
        <f t="shared" si="3878"/>
        <v>0</v>
      </c>
      <c r="W769" s="200">
        <f t="shared" si="3878"/>
        <v>0</v>
      </c>
      <c r="X769" s="200">
        <f t="shared" si="3878"/>
        <v>0</v>
      </c>
      <c r="Y769" s="200">
        <f t="shared" si="3878"/>
        <v>0</v>
      </c>
      <c r="Z769" s="200">
        <f t="shared" si="3878"/>
        <v>0</v>
      </c>
      <c r="AA769" s="200">
        <f t="shared" si="3878"/>
        <v>0</v>
      </c>
      <c r="AB769" s="200">
        <f t="shared" si="3878"/>
        <v>0</v>
      </c>
      <c r="AC769" s="200">
        <f t="shared" si="3878"/>
        <v>0</v>
      </c>
      <c r="AD769" s="200">
        <f t="shared" si="11"/>
        <v>1</v>
      </c>
      <c r="AE769" s="200">
        <f t="shared" ref="AE769:AG769" si="3879">countif($D769,"*"&amp;AE$2&amp;"*")</f>
        <v>0</v>
      </c>
      <c r="AF769" s="200">
        <f t="shared" si="3879"/>
        <v>0</v>
      </c>
      <c r="AG769" s="200">
        <f t="shared" si="3879"/>
        <v>0</v>
      </c>
      <c r="AH769" s="171">
        <f t="shared" si="13"/>
        <v>0</v>
      </c>
      <c r="AI769" s="200">
        <f t="shared" si="14"/>
        <v>0</v>
      </c>
      <c r="AJ769" s="200">
        <f t="shared" si="3849"/>
        <v>0</v>
      </c>
      <c r="AK769" s="201">
        <f t="shared" ref="AK769:AS769" si="3880">countif($D769,"*"&amp;AK$2&amp;"*")</f>
        <v>0</v>
      </c>
      <c r="AL769" s="201">
        <f t="shared" si="3880"/>
        <v>0</v>
      </c>
      <c r="AM769" s="201">
        <f t="shared" si="3880"/>
        <v>0</v>
      </c>
      <c r="AN769" s="201">
        <f t="shared" si="3880"/>
        <v>0</v>
      </c>
      <c r="AO769" s="201">
        <f t="shared" si="3880"/>
        <v>0</v>
      </c>
      <c r="AP769" s="201">
        <f t="shared" si="3880"/>
        <v>0</v>
      </c>
      <c r="AQ769" s="201">
        <f t="shared" si="3880"/>
        <v>0</v>
      </c>
      <c r="AR769" s="200">
        <f t="shared" si="3880"/>
        <v>0</v>
      </c>
      <c r="AS769" s="200">
        <f t="shared" si="3880"/>
        <v>0</v>
      </c>
      <c r="AT769" s="173">
        <v>1.0</v>
      </c>
      <c r="AU769" s="200">
        <f t="shared" ref="AU769:AX769" si="3881">countif($D769,"*"&amp;AU$2&amp;"*")</f>
        <v>0</v>
      </c>
      <c r="AV769" s="200">
        <f t="shared" si="3881"/>
        <v>0</v>
      </c>
      <c r="AW769" s="200">
        <f t="shared" si="3881"/>
        <v>0</v>
      </c>
      <c r="AX769" s="200">
        <f t="shared" si="3881"/>
        <v>0</v>
      </c>
      <c r="AY769" s="202">
        <v>0.0</v>
      </c>
      <c r="AZ769" s="200"/>
      <c r="BA769" s="171" t="str">
        <f t="shared" si="18"/>
        <v/>
      </c>
      <c r="BB769" s="171" t="str">
        <f t="shared" si="19"/>
        <v/>
      </c>
      <c r="BC769" s="171" t="str">
        <f t="shared" si="20"/>
        <v/>
      </c>
      <c r="BD769" s="171" t="str">
        <f t="shared" si="21"/>
        <v>Institutional</v>
      </c>
      <c r="BE769" s="171" t="str">
        <f t="shared" si="22"/>
        <v/>
      </c>
      <c r="BF769" s="171" t="str">
        <f t="shared" si="23"/>
        <v>Institutional</v>
      </c>
    </row>
    <row r="770">
      <c r="A770" s="171">
        <f t="array" ref="A770">XLOOKUP(C770,ICSE!A:A,ICSE!C:C,,2,1)</f>
        <v>2016</v>
      </c>
      <c r="B770" s="171" t="s">
        <v>5675</v>
      </c>
      <c r="C770" s="160">
        <v>1528.0</v>
      </c>
      <c r="D770" s="161" t="s">
        <v>6000</v>
      </c>
      <c r="E770" s="197" t="str">
        <f t="array" ref="E770">XLOOKUP(C770,ICSE!A:A,ICSE!Z:Z,,0,1)</f>
        <v>Publicly available (3)
Not available (3) - Broken link.</v>
      </c>
      <c r="F770" s="198" t="s">
        <v>20</v>
      </c>
      <c r="G770" s="163" t="str">
        <f t="array" ref="G770">IF(B770="ICSE",IF(COUNTIFS(B:B,B770,C:C,C770)=XLOOKUP(C770,ICSE!A:A,ICSE!AA:AA,"ERROR",0,1),"OK","ERROR"),IF(B770="FSE",IF(COUNTIFS(B:B,B770,C:C,C770)=XLOOKUP(C770,FSE!A:A,FSE!AA:AA,"ERROR",0,1),"OK","ERROR")))</f>
        <v>OK</v>
      </c>
      <c r="H770" s="199">
        <f t="shared" ref="H770:O770" si="3882">countif($D770,"*"&amp;H$2&amp;"*")</f>
        <v>0</v>
      </c>
      <c r="I770" s="200">
        <f t="shared" si="3882"/>
        <v>0</v>
      </c>
      <c r="J770" s="200">
        <f t="shared" si="3882"/>
        <v>0</v>
      </c>
      <c r="K770" s="200">
        <f t="shared" si="3882"/>
        <v>0</v>
      </c>
      <c r="L770" s="200">
        <f t="shared" si="3882"/>
        <v>0</v>
      </c>
      <c r="M770" s="200">
        <f t="shared" si="3882"/>
        <v>0</v>
      </c>
      <c r="N770" s="200">
        <f t="shared" si="3882"/>
        <v>0</v>
      </c>
      <c r="O770" s="200">
        <f t="shared" si="3882"/>
        <v>0</v>
      </c>
      <c r="P770" s="200">
        <f t="shared" si="9"/>
        <v>0</v>
      </c>
      <c r="Q770" s="200">
        <f t="shared" ref="Q770:AC770" si="3883">countif($D770,"*"&amp;Q$2&amp;"*")</f>
        <v>0</v>
      </c>
      <c r="R770" s="200">
        <f t="shared" si="3883"/>
        <v>0</v>
      </c>
      <c r="S770" s="200">
        <f t="shared" si="3883"/>
        <v>0</v>
      </c>
      <c r="T770" s="200">
        <f t="shared" si="3883"/>
        <v>0</v>
      </c>
      <c r="U770" s="200">
        <f t="shared" si="3883"/>
        <v>0</v>
      </c>
      <c r="V770" s="200">
        <f t="shared" si="3883"/>
        <v>0</v>
      </c>
      <c r="W770" s="200">
        <f t="shared" si="3883"/>
        <v>0</v>
      </c>
      <c r="X770" s="200">
        <f t="shared" si="3883"/>
        <v>0</v>
      </c>
      <c r="Y770" s="200">
        <f t="shared" si="3883"/>
        <v>0</v>
      </c>
      <c r="Z770" s="200">
        <f t="shared" si="3883"/>
        <v>0</v>
      </c>
      <c r="AA770" s="200">
        <f t="shared" si="3883"/>
        <v>0</v>
      </c>
      <c r="AB770" s="200">
        <f t="shared" si="3883"/>
        <v>0</v>
      </c>
      <c r="AC770" s="200">
        <f t="shared" si="3883"/>
        <v>0</v>
      </c>
      <c r="AD770" s="200">
        <f t="shared" si="11"/>
        <v>1</v>
      </c>
      <c r="AE770" s="200">
        <f t="shared" ref="AE770:AG770" si="3884">countif($D770,"*"&amp;AE$2&amp;"*")</f>
        <v>0</v>
      </c>
      <c r="AF770" s="200">
        <f t="shared" si="3884"/>
        <v>0</v>
      </c>
      <c r="AG770" s="200">
        <f t="shared" si="3884"/>
        <v>0</v>
      </c>
      <c r="AH770" s="171">
        <f t="shared" si="13"/>
        <v>0</v>
      </c>
      <c r="AI770" s="200">
        <f t="shared" si="14"/>
        <v>0</v>
      </c>
      <c r="AJ770" s="200">
        <f t="shared" si="3849"/>
        <v>0</v>
      </c>
      <c r="AK770" s="201">
        <f t="shared" ref="AK770:AS770" si="3885">countif($D770,"*"&amp;AK$2&amp;"*")</f>
        <v>0</v>
      </c>
      <c r="AL770" s="201">
        <f t="shared" si="3885"/>
        <v>0</v>
      </c>
      <c r="AM770" s="201">
        <f t="shared" si="3885"/>
        <v>0</v>
      </c>
      <c r="AN770" s="201">
        <f t="shared" si="3885"/>
        <v>0</v>
      </c>
      <c r="AO770" s="201">
        <f t="shared" si="3885"/>
        <v>0</v>
      </c>
      <c r="AP770" s="201">
        <f t="shared" si="3885"/>
        <v>0</v>
      </c>
      <c r="AQ770" s="201">
        <f t="shared" si="3885"/>
        <v>0</v>
      </c>
      <c r="AR770" s="200">
        <f t="shared" si="3885"/>
        <v>0</v>
      </c>
      <c r="AS770" s="200">
        <f t="shared" si="3885"/>
        <v>0</v>
      </c>
      <c r="AT770" s="173">
        <v>1.0</v>
      </c>
      <c r="AU770" s="200">
        <f t="shared" ref="AU770:AX770" si="3886">countif($D770,"*"&amp;AU$2&amp;"*")</f>
        <v>0</v>
      </c>
      <c r="AV770" s="200">
        <f t="shared" si="3886"/>
        <v>0</v>
      </c>
      <c r="AW770" s="200">
        <f t="shared" si="3886"/>
        <v>0</v>
      </c>
      <c r="AX770" s="200">
        <f t="shared" si="3886"/>
        <v>0</v>
      </c>
      <c r="AY770" s="202">
        <v>0.0</v>
      </c>
      <c r="AZ770" s="200"/>
      <c r="BA770" s="171" t="str">
        <f t="shared" si="18"/>
        <v/>
      </c>
      <c r="BB770" s="171" t="str">
        <f t="shared" si="19"/>
        <v/>
      </c>
      <c r="BC770" s="171" t="str">
        <f t="shared" si="20"/>
        <v/>
      </c>
      <c r="BD770" s="171" t="str">
        <f t="shared" si="21"/>
        <v>Institutional</v>
      </c>
      <c r="BE770" s="171" t="str">
        <f t="shared" si="22"/>
        <v/>
      </c>
      <c r="BF770" s="171" t="str">
        <f t="shared" si="23"/>
        <v>Institutional</v>
      </c>
    </row>
    <row r="771">
      <c r="A771" s="171">
        <f t="array" ref="A771">XLOOKUP(C771,ICSE!A:A,ICSE!C:C,,2,1)</f>
        <v>2016</v>
      </c>
      <c r="B771" s="171" t="s">
        <v>5675</v>
      </c>
      <c r="C771" s="160">
        <v>1528.0</v>
      </c>
      <c r="D771" s="161" t="s">
        <v>6001</v>
      </c>
      <c r="E771" s="197" t="str">
        <f t="array" ref="E771">XLOOKUP(C771,ICSE!A:A,ICSE!Z:Z,,0,1)</f>
        <v>Publicly available (3)
Not available (3) - Broken link.</v>
      </c>
      <c r="F771" s="198" t="s">
        <v>20</v>
      </c>
      <c r="G771" s="163" t="str">
        <f t="array" ref="G771">IF(B771="ICSE",IF(COUNTIFS(B:B,B771,C:C,C771)=XLOOKUP(C771,ICSE!A:A,ICSE!AA:AA,"ERROR",0,1),"OK","ERROR"),IF(B771="FSE",IF(COUNTIFS(B:B,B771,C:C,C771)=XLOOKUP(C771,FSE!A:A,FSE!AA:AA,"ERROR",0,1),"OK","ERROR")))</f>
        <v>OK</v>
      </c>
      <c r="H771" s="199">
        <f t="shared" ref="H771:O771" si="3887">countif($D771,"*"&amp;H$2&amp;"*")</f>
        <v>0</v>
      </c>
      <c r="I771" s="200">
        <f t="shared" si="3887"/>
        <v>0</v>
      </c>
      <c r="J771" s="200">
        <f t="shared" si="3887"/>
        <v>0</v>
      </c>
      <c r="K771" s="200">
        <f t="shared" si="3887"/>
        <v>0</v>
      </c>
      <c r="L771" s="200">
        <f t="shared" si="3887"/>
        <v>0</v>
      </c>
      <c r="M771" s="200">
        <f t="shared" si="3887"/>
        <v>0</v>
      </c>
      <c r="N771" s="200">
        <f t="shared" si="3887"/>
        <v>0</v>
      </c>
      <c r="O771" s="200">
        <f t="shared" si="3887"/>
        <v>0</v>
      </c>
      <c r="P771" s="200">
        <f t="shared" si="9"/>
        <v>0</v>
      </c>
      <c r="Q771" s="200">
        <f t="shared" ref="Q771:AC771" si="3888">countif($D771,"*"&amp;Q$2&amp;"*")</f>
        <v>0</v>
      </c>
      <c r="R771" s="200">
        <f t="shared" si="3888"/>
        <v>0</v>
      </c>
      <c r="S771" s="200">
        <f t="shared" si="3888"/>
        <v>0</v>
      </c>
      <c r="T771" s="200">
        <f t="shared" si="3888"/>
        <v>0</v>
      </c>
      <c r="U771" s="200">
        <f t="shared" si="3888"/>
        <v>0</v>
      </c>
      <c r="V771" s="200">
        <f t="shared" si="3888"/>
        <v>0</v>
      </c>
      <c r="W771" s="200">
        <f t="shared" si="3888"/>
        <v>0</v>
      </c>
      <c r="X771" s="200">
        <f t="shared" si="3888"/>
        <v>0</v>
      </c>
      <c r="Y771" s="200">
        <f t="shared" si="3888"/>
        <v>0</v>
      </c>
      <c r="Z771" s="200">
        <f t="shared" si="3888"/>
        <v>0</v>
      </c>
      <c r="AA771" s="200">
        <f t="shared" si="3888"/>
        <v>0</v>
      </c>
      <c r="AB771" s="200">
        <f t="shared" si="3888"/>
        <v>0</v>
      </c>
      <c r="AC771" s="200">
        <f t="shared" si="3888"/>
        <v>0</v>
      </c>
      <c r="AD771" s="200">
        <f t="shared" si="11"/>
        <v>1</v>
      </c>
      <c r="AE771" s="200">
        <f t="shared" ref="AE771:AG771" si="3889">countif($D771,"*"&amp;AE$2&amp;"*")</f>
        <v>0</v>
      </c>
      <c r="AF771" s="200">
        <f t="shared" si="3889"/>
        <v>0</v>
      </c>
      <c r="AG771" s="200">
        <f t="shared" si="3889"/>
        <v>0</v>
      </c>
      <c r="AH771" s="171">
        <f t="shared" si="13"/>
        <v>0</v>
      </c>
      <c r="AI771" s="200">
        <f t="shared" si="14"/>
        <v>0</v>
      </c>
      <c r="AJ771" s="200">
        <f t="shared" si="3849"/>
        <v>0</v>
      </c>
      <c r="AK771" s="201">
        <f t="shared" ref="AK771:AS771" si="3890">countif($D771,"*"&amp;AK$2&amp;"*")</f>
        <v>0</v>
      </c>
      <c r="AL771" s="201">
        <f t="shared" si="3890"/>
        <v>0</v>
      </c>
      <c r="AM771" s="201">
        <f t="shared" si="3890"/>
        <v>0</v>
      </c>
      <c r="AN771" s="201">
        <f t="shared" si="3890"/>
        <v>0</v>
      </c>
      <c r="AO771" s="201">
        <f t="shared" si="3890"/>
        <v>0</v>
      </c>
      <c r="AP771" s="201">
        <f t="shared" si="3890"/>
        <v>0</v>
      </c>
      <c r="AQ771" s="201">
        <f t="shared" si="3890"/>
        <v>0</v>
      </c>
      <c r="AR771" s="200">
        <f t="shared" si="3890"/>
        <v>0</v>
      </c>
      <c r="AS771" s="200">
        <f t="shared" si="3890"/>
        <v>0</v>
      </c>
      <c r="AT771" s="173">
        <v>1.0</v>
      </c>
      <c r="AU771" s="200">
        <f t="shared" ref="AU771:AX771" si="3891">countif($D771,"*"&amp;AU$2&amp;"*")</f>
        <v>0</v>
      </c>
      <c r="AV771" s="200">
        <f t="shared" si="3891"/>
        <v>0</v>
      </c>
      <c r="AW771" s="200">
        <f t="shared" si="3891"/>
        <v>0</v>
      </c>
      <c r="AX771" s="200">
        <f t="shared" si="3891"/>
        <v>0</v>
      </c>
      <c r="AY771" s="202">
        <v>0.0</v>
      </c>
      <c r="AZ771" s="200"/>
      <c r="BA771" s="171" t="str">
        <f t="shared" si="18"/>
        <v/>
      </c>
      <c r="BB771" s="171" t="str">
        <f t="shared" si="19"/>
        <v/>
      </c>
      <c r="BC771" s="171" t="str">
        <f t="shared" si="20"/>
        <v/>
      </c>
      <c r="BD771" s="171" t="str">
        <f t="shared" si="21"/>
        <v>Institutional</v>
      </c>
      <c r="BE771" s="171" t="str">
        <f t="shared" si="22"/>
        <v/>
      </c>
      <c r="BF771" s="171" t="str">
        <f t="shared" si="23"/>
        <v>Institutional</v>
      </c>
    </row>
    <row r="772">
      <c r="A772" s="171">
        <f t="array" ref="A772">XLOOKUP(C772,ICSE!A:A,ICSE!C:C,,2,1)</f>
        <v>2016</v>
      </c>
      <c r="B772" s="171" t="s">
        <v>5675</v>
      </c>
      <c r="C772" s="160">
        <v>1528.0</v>
      </c>
      <c r="D772" s="161" t="s">
        <v>6002</v>
      </c>
      <c r="E772" s="197" t="str">
        <f t="array" ref="E772">XLOOKUP(C772,ICSE!A:A,ICSE!Z:Z,,0,1)</f>
        <v>Publicly available (3)
Not available (3) - Broken link.</v>
      </c>
      <c r="F772" s="198" t="s">
        <v>21</v>
      </c>
      <c r="G772" s="163" t="str">
        <f t="array" ref="G772">IF(B772="ICSE",IF(COUNTIFS(B:B,B772,C:C,C772)=XLOOKUP(C772,ICSE!A:A,ICSE!AA:AA,"ERROR",0,1),"OK","ERROR"),IF(B772="FSE",IF(COUNTIFS(B:B,B772,C:C,C772)=XLOOKUP(C772,FSE!A:A,FSE!AA:AA,"ERROR",0,1),"OK","ERROR")))</f>
        <v>OK</v>
      </c>
      <c r="H772" s="199">
        <f t="shared" ref="H772:O772" si="3892">countif($D772,"*"&amp;H$2&amp;"*")</f>
        <v>0</v>
      </c>
      <c r="I772" s="200">
        <f t="shared" si="3892"/>
        <v>0</v>
      </c>
      <c r="J772" s="200">
        <f t="shared" si="3892"/>
        <v>0</v>
      </c>
      <c r="K772" s="200">
        <f t="shared" si="3892"/>
        <v>0</v>
      </c>
      <c r="L772" s="200">
        <f t="shared" si="3892"/>
        <v>0</v>
      </c>
      <c r="M772" s="200">
        <f t="shared" si="3892"/>
        <v>0</v>
      </c>
      <c r="N772" s="200">
        <f t="shared" si="3892"/>
        <v>0</v>
      </c>
      <c r="O772" s="200">
        <f t="shared" si="3892"/>
        <v>0</v>
      </c>
      <c r="P772" s="200">
        <f t="shared" si="9"/>
        <v>0</v>
      </c>
      <c r="Q772" s="200">
        <f t="shared" ref="Q772:AC772" si="3893">countif($D772,"*"&amp;Q$2&amp;"*")</f>
        <v>0</v>
      </c>
      <c r="R772" s="200">
        <f t="shared" si="3893"/>
        <v>0</v>
      </c>
      <c r="S772" s="200">
        <f t="shared" si="3893"/>
        <v>0</v>
      </c>
      <c r="T772" s="200">
        <f t="shared" si="3893"/>
        <v>0</v>
      </c>
      <c r="U772" s="200">
        <f t="shared" si="3893"/>
        <v>0</v>
      </c>
      <c r="V772" s="200">
        <f t="shared" si="3893"/>
        <v>0</v>
      </c>
      <c r="W772" s="200">
        <f t="shared" si="3893"/>
        <v>0</v>
      </c>
      <c r="X772" s="200">
        <f t="shared" si="3893"/>
        <v>0</v>
      </c>
      <c r="Y772" s="200">
        <f t="shared" si="3893"/>
        <v>0</v>
      </c>
      <c r="Z772" s="200">
        <f t="shared" si="3893"/>
        <v>0</v>
      </c>
      <c r="AA772" s="200">
        <f t="shared" si="3893"/>
        <v>0</v>
      </c>
      <c r="AB772" s="200">
        <f t="shared" si="3893"/>
        <v>0</v>
      </c>
      <c r="AC772" s="200">
        <f t="shared" si="3893"/>
        <v>0</v>
      </c>
      <c r="AD772" s="200">
        <f t="shared" si="11"/>
        <v>1</v>
      </c>
      <c r="AE772" s="200">
        <f t="shared" ref="AE772:AG772" si="3894">countif($D772,"*"&amp;AE$2&amp;"*")</f>
        <v>0</v>
      </c>
      <c r="AF772" s="200">
        <f t="shared" si="3894"/>
        <v>0</v>
      </c>
      <c r="AG772" s="200">
        <f t="shared" si="3894"/>
        <v>0</v>
      </c>
      <c r="AH772" s="171">
        <f t="shared" si="13"/>
        <v>0</v>
      </c>
      <c r="AI772" s="200">
        <f t="shared" si="14"/>
        <v>0</v>
      </c>
      <c r="AJ772" s="200">
        <f t="shared" si="3849"/>
        <v>0</v>
      </c>
      <c r="AK772" s="201">
        <f t="shared" ref="AK772:AS772" si="3895">countif($D772,"*"&amp;AK$2&amp;"*")</f>
        <v>0</v>
      </c>
      <c r="AL772" s="201">
        <f t="shared" si="3895"/>
        <v>0</v>
      </c>
      <c r="AM772" s="201">
        <f t="shared" si="3895"/>
        <v>0</v>
      </c>
      <c r="AN772" s="201">
        <f t="shared" si="3895"/>
        <v>0</v>
      </c>
      <c r="AO772" s="201">
        <f t="shared" si="3895"/>
        <v>0</v>
      </c>
      <c r="AP772" s="201">
        <f t="shared" si="3895"/>
        <v>0</v>
      </c>
      <c r="AQ772" s="201">
        <f t="shared" si="3895"/>
        <v>0</v>
      </c>
      <c r="AR772" s="200">
        <f t="shared" si="3895"/>
        <v>0</v>
      </c>
      <c r="AS772" s="200">
        <f t="shared" si="3895"/>
        <v>0</v>
      </c>
      <c r="AT772" s="173">
        <v>1.0</v>
      </c>
      <c r="AU772" s="200">
        <f t="shared" ref="AU772:AX772" si="3896">countif($D772,"*"&amp;AU$2&amp;"*")</f>
        <v>0</v>
      </c>
      <c r="AV772" s="200">
        <f t="shared" si="3896"/>
        <v>0</v>
      </c>
      <c r="AW772" s="200">
        <f t="shared" si="3896"/>
        <v>0</v>
      </c>
      <c r="AX772" s="200">
        <f t="shared" si="3896"/>
        <v>0</v>
      </c>
      <c r="AY772" s="202">
        <v>0.0</v>
      </c>
      <c r="AZ772" s="200"/>
      <c r="BA772" s="171" t="str">
        <f t="shared" si="18"/>
        <v/>
      </c>
      <c r="BB772" s="171" t="str">
        <f t="shared" si="19"/>
        <v/>
      </c>
      <c r="BC772" s="171" t="str">
        <f t="shared" si="20"/>
        <v/>
      </c>
      <c r="BD772" s="171" t="str">
        <f t="shared" si="21"/>
        <v>Institutional</v>
      </c>
      <c r="BE772" s="171" t="str">
        <f t="shared" si="22"/>
        <v/>
      </c>
      <c r="BF772" s="171" t="str">
        <f t="shared" si="23"/>
        <v>Institutional</v>
      </c>
    </row>
    <row r="773">
      <c r="A773" s="171">
        <f t="array" ref="A773">XLOOKUP(C773,ICSE!A:A,ICSE!C:C,,2,1)</f>
        <v>2016</v>
      </c>
      <c r="B773" s="171" t="s">
        <v>5675</v>
      </c>
      <c r="C773" s="160">
        <v>1528.0</v>
      </c>
      <c r="D773" s="161" t="s">
        <v>6003</v>
      </c>
      <c r="E773" s="197" t="str">
        <f t="array" ref="E773">XLOOKUP(C773,ICSE!A:A,ICSE!Z:Z,,0,1)</f>
        <v>Publicly available (3)
Not available (3) - Broken link.</v>
      </c>
      <c r="F773" s="198" t="s">
        <v>21</v>
      </c>
      <c r="G773" s="163" t="str">
        <f t="array" ref="G773">IF(B773="ICSE",IF(COUNTIFS(B:B,B773,C:C,C773)=XLOOKUP(C773,ICSE!A:A,ICSE!AA:AA,"ERROR",0,1),"OK","ERROR"),IF(B773="FSE",IF(COUNTIFS(B:B,B773,C:C,C773)=XLOOKUP(C773,FSE!A:A,FSE!AA:AA,"ERROR",0,1),"OK","ERROR")))</f>
        <v>OK</v>
      </c>
      <c r="H773" s="199">
        <f t="shared" ref="H773:O773" si="3897">countif($D773,"*"&amp;H$2&amp;"*")</f>
        <v>0</v>
      </c>
      <c r="I773" s="200">
        <f t="shared" si="3897"/>
        <v>0</v>
      </c>
      <c r="J773" s="200">
        <f t="shared" si="3897"/>
        <v>0</v>
      </c>
      <c r="K773" s="200">
        <f t="shared" si="3897"/>
        <v>0</v>
      </c>
      <c r="L773" s="200">
        <f t="shared" si="3897"/>
        <v>0</v>
      </c>
      <c r="M773" s="200">
        <f t="shared" si="3897"/>
        <v>0</v>
      </c>
      <c r="N773" s="200">
        <f t="shared" si="3897"/>
        <v>0</v>
      </c>
      <c r="O773" s="200">
        <f t="shared" si="3897"/>
        <v>0</v>
      </c>
      <c r="P773" s="200">
        <f t="shared" si="9"/>
        <v>0</v>
      </c>
      <c r="Q773" s="200">
        <f t="shared" ref="Q773:AC773" si="3898">countif($D773,"*"&amp;Q$2&amp;"*")</f>
        <v>0</v>
      </c>
      <c r="R773" s="200">
        <f t="shared" si="3898"/>
        <v>0</v>
      </c>
      <c r="S773" s="200">
        <f t="shared" si="3898"/>
        <v>0</v>
      </c>
      <c r="T773" s="200">
        <f t="shared" si="3898"/>
        <v>0</v>
      </c>
      <c r="U773" s="200">
        <f t="shared" si="3898"/>
        <v>0</v>
      </c>
      <c r="V773" s="200">
        <f t="shared" si="3898"/>
        <v>0</v>
      </c>
      <c r="W773" s="200">
        <f t="shared" si="3898"/>
        <v>0</v>
      </c>
      <c r="X773" s="200">
        <f t="shared" si="3898"/>
        <v>0</v>
      </c>
      <c r="Y773" s="200">
        <f t="shared" si="3898"/>
        <v>0</v>
      </c>
      <c r="Z773" s="200">
        <f t="shared" si="3898"/>
        <v>0</v>
      </c>
      <c r="AA773" s="200">
        <f t="shared" si="3898"/>
        <v>0</v>
      </c>
      <c r="AB773" s="200">
        <f t="shared" si="3898"/>
        <v>0</v>
      </c>
      <c r="AC773" s="200">
        <f t="shared" si="3898"/>
        <v>0</v>
      </c>
      <c r="AD773" s="200">
        <f t="shared" si="11"/>
        <v>1</v>
      </c>
      <c r="AE773" s="200">
        <f t="shared" ref="AE773:AG773" si="3899">countif($D773,"*"&amp;AE$2&amp;"*")</f>
        <v>0</v>
      </c>
      <c r="AF773" s="200">
        <f t="shared" si="3899"/>
        <v>0</v>
      </c>
      <c r="AG773" s="200">
        <f t="shared" si="3899"/>
        <v>0</v>
      </c>
      <c r="AH773" s="171">
        <f t="shared" si="13"/>
        <v>0</v>
      </c>
      <c r="AI773" s="200">
        <f t="shared" si="14"/>
        <v>0</v>
      </c>
      <c r="AJ773" s="200">
        <f t="shared" si="3849"/>
        <v>0</v>
      </c>
      <c r="AK773" s="201">
        <f t="shared" ref="AK773:AS773" si="3900">countif($D773,"*"&amp;AK$2&amp;"*")</f>
        <v>0</v>
      </c>
      <c r="AL773" s="201">
        <f t="shared" si="3900"/>
        <v>0</v>
      </c>
      <c r="AM773" s="201">
        <f t="shared" si="3900"/>
        <v>0</v>
      </c>
      <c r="AN773" s="201">
        <f t="shared" si="3900"/>
        <v>0</v>
      </c>
      <c r="AO773" s="201">
        <f t="shared" si="3900"/>
        <v>0</v>
      </c>
      <c r="AP773" s="201">
        <f t="shared" si="3900"/>
        <v>0</v>
      </c>
      <c r="AQ773" s="201">
        <f t="shared" si="3900"/>
        <v>0</v>
      </c>
      <c r="AR773" s="200">
        <f t="shared" si="3900"/>
        <v>0</v>
      </c>
      <c r="AS773" s="200">
        <f t="shared" si="3900"/>
        <v>0</v>
      </c>
      <c r="AT773" s="173">
        <v>1.0</v>
      </c>
      <c r="AU773" s="200">
        <f t="shared" ref="AU773:AX773" si="3901">countif($D773,"*"&amp;AU$2&amp;"*")</f>
        <v>0</v>
      </c>
      <c r="AV773" s="200">
        <f t="shared" si="3901"/>
        <v>0</v>
      </c>
      <c r="AW773" s="200">
        <f t="shared" si="3901"/>
        <v>0</v>
      </c>
      <c r="AX773" s="200">
        <f t="shared" si="3901"/>
        <v>0</v>
      </c>
      <c r="AY773" s="202">
        <v>0.0</v>
      </c>
      <c r="AZ773" s="200"/>
      <c r="BA773" s="171" t="str">
        <f t="shared" si="18"/>
        <v/>
      </c>
      <c r="BB773" s="171" t="str">
        <f t="shared" si="19"/>
        <v/>
      </c>
      <c r="BC773" s="171" t="str">
        <f t="shared" si="20"/>
        <v/>
      </c>
      <c r="BD773" s="171" t="str">
        <f t="shared" si="21"/>
        <v>Institutional</v>
      </c>
      <c r="BE773" s="171" t="str">
        <f t="shared" si="22"/>
        <v/>
      </c>
      <c r="BF773" s="171" t="str">
        <f t="shared" si="23"/>
        <v>Institutional</v>
      </c>
    </row>
    <row r="774">
      <c r="A774" s="171">
        <f t="array" ref="A774">XLOOKUP(C774,ICSE!A:A,ICSE!C:C,,2,1)</f>
        <v>2016</v>
      </c>
      <c r="B774" s="171" t="s">
        <v>5675</v>
      </c>
      <c r="C774" s="160">
        <v>1528.0</v>
      </c>
      <c r="D774" s="161" t="s">
        <v>6004</v>
      </c>
      <c r="E774" s="197" t="str">
        <f t="array" ref="E774">XLOOKUP(C774,ICSE!A:A,ICSE!Z:Z,,0,1)</f>
        <v>Publicly available (3)
Not available (3) - Broken link.</v>
      </c>
      <c r="F774" s="198" t="s">
        <v>21</v>
      </c>
      <c r="G774" s="163" t="str">
        <f t="array" ref="G774">IF(B774="ICSE",IF(COUNTIFS(B:B,B774,C:C,C774)=XLOOKUP(C774,ICSE!A:A,ICSE!AA:AA,"ERROR",0,1),"OK","ERROR"),IF(B774="FSE",IF(COUNTIFS(B:B,B774,C:C,C774)=XLOOKUP(C774,FSE!A:A,FSE!AA:AA,"ERROR",0,1),"OK","ERROR")))</f>
        <v>OK</v>
      </c>
      <c r="H774" s="199">
        <f t="shared" ref="H774:O774" si="3902">countif($D774,"*"&amp;H$2&amp;"*")</f>
        <v>0</v>
      </c>
      <c r="I774" s="200">
        <f t="shared" si="3902"/>
        <v>0</v>
      </c>
      <c r="J774" s="200">
        <f t="shared" si="3902"/>
        <v>0</v>
      </c>
      <c r="K774" s="200">
        <f t="shared" si="3902"/>
        <v>0</v>
      </c>
      <c r="L774" s="200">
        <f t="shared" si="3902"/>
        <v>0</v>
      </c>
      <c r="M774" s="200">
        <f t="shared" si="3902"/>
        <v>0</v>
      </c>
      <c r="N774" s="200">
        <f t="shared" si="3902"/>
        <v>0</v>
      </c>
      <c r="O774" s="200">
        <f t="shared" si="3902"/>
        <v>0</v>
      </c>
      <c r="P774" s="200">
        <f t="shared" si="9"/>
        <v>0</v>
      </c>
      <c r="Q774" s="200">
        <f t="shared" ref="Q774:AC774" si="3903">countif($D774,"*"&amp;Q$2&amp;"*")</f>
        <v>0</v>
      </c>
      <c r="R774" s="200">
        <f t="shared" si="3903"/>
        <v>0</v>
      </c>
      <c r="S774" s="200">
        <f t="shared" si="3903"/>
        <v>0</v>
      </c>
      <c r="T774" s="200">
        <f t="shared" si="3903"/>
        <v>0</v>
      </c>
      <c r="U774" s="200">
        <f t="shared" si="3903"/>
        <v>0</v>
      </c>
      <c r="V774" s="200">
        <f t="shared" si="3903"/>
        <v>0</v>
      </c>
      <c r="W774" s="200">
        <f t="shared" si="3903"/>
        <v>0</v>
      </c>
      <c r="X774" s="200">
        <f t="shared" si="3903"/>
        <v>0</v>
      </c>
      <c r="Y774" s="200">
        <f t="shared" si="3903"/>
        <v>0</v>
      </c>
      <c r="Z774" s="200">
        <f t="shared" si="3903"/>
        <v>0</v>
      </c>
      <c r="AA774" s="200">
        <f t="shared" si="3903"/>
        <v>0</v>
      </c>
      <c r="AB774" s="200">
        <f t="shared" si="3903"/>
        <v>0</v>
      </c>
      <c r="AC774" s="200">
        <f t="shared" si="3903"/>
        <v>0</v>
      </c>
      <c r="AD774" s="200">
        <f t="shared" si="11"/>
        <v>1</v>
      </c>
      <c r="AE774" s="200">
        <f t="shared" ref="AE774:AG774" si="3904">countif($D774,"*"&amp;AE$2&amp;"*")</f>
        <v>0</v>
      </c>
      <c r="AF774" s="200">
        <f t="shared" si="3904"/>
        <v>0</v>
      </c>
      <c r="AG774" s="200">
        <f t="shared" si="3904"/>
        <v>0</v>
      </c>
      <c r="AH774" s="171">
        <f t="shared" si="13"/>
        <v>0</v>
      </c>
      <c r="AI774" s="200">
        <f t="shared" si="14"/>
        <v>0</v>
      </c>
      <c r="AJ774" s="200">
        <f t="shared" si="3849"/>
        <v>0</v>
      </c>
      <c r="AK774" s="201">
        <f t="shared" ref="AK774:AS774" si="3905">countif($D774,"*"&amp;AK$2&amp;"*")</f>
        <v>0</v>
      </c>
      <c r="AL774" s="201">
        <f t="shared" si="3905"/>
        <v>0</v>
      </c>
      <c r="AM774" s="201">
        <f t="shared" si="3905"/>
        <v>0</v>
      </c>
      <c r="AN774" s="201">
        <f t="shared" si="3905"/>
        <v>0</v>
      </c>
      <c r="AO774" s="201">
        <f t="shared" si="3905"/>
        <v>0</v>
      </c>
      <c r="AP774" s="201">
        <f t="shared" si="3905"/>
        <v>0</v>
      </c>
      <c r="AQ774" s="201">
        <f t="shared" si="3905"/>
        <v>0</v>
      </c>
      <c r="AR774" s="200">
        <f t="shared" si="3905"/>
        <v>0</v>
      </c>
      <c r="AS774" s="200">
        <f t="shared" si="3905"/>
        <v>0</v>
      </c>
      <c r="AT774" s="173">
        <v>1.0</v>
      </c>
      <c r="AU774" s="200">
        <f t="shared" ref="AU774:AX774" si="3906">countif($D774,"*"&amp;AU$2&amp;"*")</f>
        <v>0</v>
      </c>
      <c r="AV774" s="200">
        <f t="shared" si="3906"/>
        <v>0</v>
      </c>
      <c r="AW774" s="200">
        <f t="shared" si="3906"/>
        <v>0</v>
      </c>
      <c r="AX774" s="200">
        <f t="shared" si="3906"/>
        <v>0</v>
      </c>
      <c r="AY774" s="202">
        <v>0.0</v>
      </c>
      <c r="AZ774" s="200"/>
      <c r="BA774" s="171" t="str">
        <f t="shared" si="18"/>
        <v/>
      </c>
      <c r="BB774" s="171" t="str">
        <f t="shared" si="19"/>
        <v/>
      </c>
      <c r="BC774" s="171" t="str">
        <f t="shared" si="20"/>
        <v/>
      </c>
      <c r="BD774" s="171" t="str">
        <f t="shared" si="21"/>
        <v>Institutional</v>
      </c>
      <c r="BE774" s="171" t="str">
        <f t="shared" si="22"/>
        <v/>
      </c>
      <c r="BF774" s="171" t="str">
        <f t="shared" si="23"/>
        <v>Institutional</v>
      </c>
    </row>
    <row r="775">
      <c r="A775" s="171">
        <f t="array" ref="A775">XLOOKUP(C775,ICSE!A:A,ICSE!C:C,,2,1)</f>
        <v>2016</v>
      </c>
      <c r="B775" s="171" t="s">
        <v>5675</v>
      </c>
      <c r="C775" s="160">
        <v>1530.0</v>
      </c>
      <c r="D775" s="161" t="s">
        <v>6005</v>
      </c>
      <c r="E775" s="197" t="str">
        <f t="array" ref="E775">XLOOKUP(C775,ICSE!A:A,ICSE!Z:Z,,0,1)</f>
        <v>Publicly available (1)
Not available (1) - Broken link.</v>
      </c>
      <c r="F775" s="198" t="s">
        <v>20</v>
      </c>
      <c r="G775" s="163" t="str">
        <f t="array" ref="G775">IF(B775="ICSE",IF(COUNTIFS(B:B,B775,C:C,C775)=XLOOKUP(C775,ICSE!A:A,ICSE!AA:AA,"ERROR",0,1),"OK","ERROR"),IF(B775="FSE",IF(COUNTIFS(B:B,B775,C:C,C775)=XLOOKUP(C775,FSE!A:A,FSE!AA:AA,"ERROR",0,1),"OK","ERROR")))</f>
        <v>OK</v>
      </c>
      <c r="H775" s="199">
        <f t="shared" ref="H775:O775" si="3907">countif($D775,"*"&amp;H$2&amp;"*")</f>
        <v>1</v>
      </c>
      <c r="I775" s="200">
        <f t="shared" si="3907"/>
        <v>0</v>
      </c>
      <c r="J775" s="200">
        <f t="shared" si="3907"/>
        <v>0</v>
      </c>
      <c r="K775" s="200">
        <f t="shared" si="3907"/>
        <v>0</v>
      </c>
      <c r="L775" s="200">
        <f t="shared" si="3907"/>
        <v>0</v>
      </c>
      <c r="M775" s="200">
        <f t="shared" si="3907"/>
        <v>0</v>
      </c>
      <c r="N775" s="200">
        <f t="shared" si="3907"/>
        <v>0</v>
      </c>
      <c r="O775" s="200">
        <f t="shared" si="3907"/>
        <v>0</v>
      </c>
      <c r="P775" s="200">
        <f t="shared" si="9"/>
        <v>0</v>
      </c>
      <c r="Q775" s="200">
        <f t="shared" ref="Q775:AC775" si="3908">countif($D775,"*"&amp;Q$2&amp;"*")</f>
        <v>0</v>
      </c>
      <c r="R775" s="200">
        <f t="shared" si="3908"/>
        <v>0</v>
      </c>
      <c r="S775" s="200">
        <f t="shared" si="3908"/>
        <v>0</v>
      </c>
      <c r="T775" s="200">
        <f t="shared" si="3908"/>
        <v>0</v>
      </c>
      <c r="U775" s="200">
        <f t="shared" si="3908"/>
        <v>0</v>
      </c>
      <c r="V775" s="200">
        <f t="shared" si="3908"/>
        <v>0</v>
      </c>
      <c r="W775" s="200">
        <f t="shared" si="3908"/>
        <v>0</v>
      </c>
      <c r="X775" s="200">
        <f t="shared" si="3908"/>
        <v>0</v>
      </c>
      <c r="Y775" s="200">
        <f t="shared" si="3908"/>
        <v>0</v>
      </c>
      <c r="Z775" s="200">
        <f t="shared" si="3908"/>
        <v>0</v>
      </c>
      <c r="AA775" s="200">
        <f t="shared" si="3908"/>
        <v>0</v>
      </c>
      <c r="AB775" s="200">
        <f t="shared" si="3908"/>
        <v>0</v>
      </c>
      <c r="AC775" s="200">
        <f t="shared" si="3908"/>
        <v>0</v>
      </c>
      <c r="AD775" s="200">
        <f t="shared" si="11"/>
        <v>0</v>
      </c>
      <c r="AE775" s="200">
        <f t="shared" ref="AE775:AG775" si="3909">countif($D775,"*"&amp;AE$2&amp;"*")</f>
        <v>0</v>
      </c>
      <c r="AF775" s="200">
        <f t="shared" si="3909"/>
        <v>0</v>
      </c>
      <c r="AG775" s="200">
        <f t="shared" si="3909"/>
        <v>0</v>
      </c>
      <c r="AH775" s="171">
        <f t="shared" si="13"/>
        <v>0</v>
      </c>
      <c r="AI775" s="200">
        <f t="shared" si="14"/>
        <v>1</v>
      </c>
      <c r="AJ775" s="200">
        <f t="shared" si="3849"/>
        <v>0</v>
      </c>
      <c r="AK775" s="201">
        <f t="shared" ref="AK775:AS775" si="3910">countif($D775,"*"&amp;AK$2&amp;"*")</f>
        <v>0</v>
      </c>
      <c r="AL775" s="201">
        <f t="shared" si="3910"/>
        <v>0</v>
      </c>
      <c r="AM775" s="201">
        <f t="shared" si="3910"/>
        <v>0</v>
      </c>
      <c r="AN775" s="201">
        <f t="shared" si="3910"/>
        <v>0</v>
      </c>
      <c r="AO775" s="201">
        <f t="shared" si="3910"/>
        <v>0</v>
      </c>
      <c r="AP775" s="201">
        <f t="shared" si="3910"/>
        <v>0</v>
      </c>
      <c r="AQ775" s="201">
        <f t="shared" si="3910"/>
        <v>0</v>
      </c>
      <c r="AR775" s="200">
        <f t="shared" si="3910"/>
        <v>0</v>
      </c>
      <c r="AS775" s="200">
        <f t="shared" si="3910"/>
        <v>0</v>
      </c>
      <c r="AT775" s="173">
        <v>0.0</v>
      </c>
      <c r="AU775" s="200">
        <f t="shared" ref="AU775:AX775" si="3911">countif($D775,"*"&amp;AU$2&amp;"*")</f>
        <v>0</v>
      </c>
      <c r="AV775" s="200">
        <f t="shared" si="3911"/>
        <v>0</v>
      </c>
      <c r="AW775" s="200">
        <f t="shared" si="3911"/>
        <v>0</v>
      </c>
      <c r="AX775" s="200">
        <f t="shared" si="3911"/>
        <v>1</v>
      </c>
      <c r="AY775" s="202">
        <v>0.0</v>
      </c>
      <c r="AZ775" s="200"/>
      <c r="BA775" s="171" t="str">
        <f t="shared" si="18"/>
        <v>Archival</v>
      </c>
      <c r="BB775" s="171" t="str">
        <f t="shared" si="19"/>
        <v/>
      </c>
      <c r="BC775" s="171" t="str">
        <f t="shared" si="20"/>
        <v/>
      </c>
      <c r="BD775" s="171" t="str">
        <f t="shared" si="21"/>
        <v/>
      </c>
      <c r="BE775" s="171" t="str">
        <f t="shared" si="22"/>
        <v/>
      </c>
      <c r="BF775" s="171" t="str">
        <f t="shared" si="23"/>
        <v>Archival</v>
      </c>
    </row>
    <row r="776">
      <c r="A776" s="171">
        <f t="array" ref="A776">XLOOKUP(C776,ICSE!A:A,ICSE!C:C,,2,1)</f>
        <v>2016</v>
      </c>
      <c r="B776" s="171" t="s">
        <v>5675</v>
      </c>
      <c r="C776" s="160">
        <v>1530.0</v>
      </c>
      <c r="D776" s="161" t="s">
        <v>6006</v>
      </c>
      <c r="E776" s="197" t="str">
        <f t="array" ref="E776">XLOOKUP(C776,ICSE!A:A,ICSE!Z:Z,,0,1)</f>
        <v>Publicly available (1)
Not available (1) - Broken link.</v>
      </c>
      <c r="F776" s="198" t="s">
        <v>21</v>
      </c>
      <c r="G776" s="163" t="str">
        <f t="array" ref="G776">IF(B776="ICSE",IF(COUNTIFS(B:B,B776,C:C,C776)=XLOOKUP(C776,ICSE!A:A,ICSE!AA:AA,"ERROR",0,1),"OK","ERROR"),IF(B776="FSE",IF(COUNTIFS(B:B,B776,C:C,C776)=XLOOKUP(C776,FSE!A:A,FSE!AA:AA,"ERROR",0,1),"OK","ERROR")))</f>
        <v>OK</v>
      </c>
      <c r="H776" s="199">
        <f t="shared" ref="H776:O776" si="3912">countif($D776,"*"&amp;H$2&amp;"*")</f>
        <v>0</v>
      </c>
      <c r="I776" s="200">
        <f t="shared" si="3912"/>
        <v>0</v>
      </c>
      <c r="J776" s="200">
        <f t="shared" si="3912"/>
        <v>0</v>
      </c>
      <c r="K776" s="200">
        <f t="shared" si="3912"/>
        <v>0</v>
      </c>
      <c r="L776" s="200">
        <f t="shared" si="3912"/>
        <v>0</v>
      </c>
      <c r="M776" s="200">
        <f t="shared" si="3912"/>
        <v>0</v>
      </c>
      <c r="N776" s="200">
        <f t="shared" si="3912"/>
        <v>0</v>
      </c>
      <c r="O776" s="200">
        <f t="shared" si="3912"/>
        <v>0</v>
      </c>
      <c r="P776" s="200">
        <f t="shared" si="9"/>
        <v>0</v>
      </c>
      <c r="Q776" s="200">
        <f t="shared" ref="Q776:AC776" si="3913">countif($D776,"*"&amp;Q$2&amp;"*")</f>
        <v>0</v>
      </c>
      <c r="R776" s="200">
        <f t="shared" si="3913"/>
        <v>0</v>
      </c>
      <c r="S776" s="200">
        <f t="shared" si="3913"/>
        <v>0</v>
      </c>
      <c r="T776" s="200">
        <f t="shared" si="3913"/>
        <v>0</v>
      </c>
      <c r="U776" s="200">
        <f t="shared" si="3913"/>
        <v>0</v>
      </c>
      <c r="V776" s="200">
        <f t="shared" si="3913"/>
        <v>0</v>
      </c>
      <c r="W776" s="200">
        <f t="shared" si="3913"/>
        <v>0</v>
      </c>
      <c r="X776" s="200">
        <f t="shared" si="3913"/>
        <v>0</v>
      </c>
      <c r="Y776" s="200">
        <f t="shared" si="3913"/>
        <v>0</v>
      </c>
      <c r="Z776" s="200">
        <f t="shared" si="3913"/>
        <v>0</v>
      </c>
      <c r="AA776" s="200">
        <f t="shared" si="3913"/>
        <v>0</v>
      </c>
      <c r="AB776" s="200">
        <f t="shared" si="3913"/>
        <v>0</v>
      </c>
      <c r="AC776" s="200">
        <f t="shared" si="3913"/>
        <v>0</v>
      </c>
      <c r="AD776" s="200">
        <f t="shared" si="11"/>
        <v>0</v>
      </c>
      <c r="AE776" s="200">
        <f t="shared" ref="AE776:AG776" si="3914">countif($D776,"*"&amp;AE$2&amp;"*")</f>
        <v>0</v>
      </c>
      <c r="AF776" s="200">
        <f t="shared" si="3914"/>
        <v>0</v>
      </c>
      <c r="AG776" s="200">
        <f t="shared" si="3914"/>
        <v>0</v>
      </c>
      <c r="AH776" s="171">
        <f t="shared" si="13"/>
        <v>1</v>
      </c>
      <c r="AI776" s="200">
        <f t="shared" si="14"/>
        <v>0</v>
      </c>
      <c r="AJ776" s="200">
        <f t="shared" si="3849"/>
        <v>0</v>
      </c>
      <c r="AK776" s="201">
        <f t="shared" ref="AK776:AS776" si="3915">countif($D776,"*"&amp;AK$2&amp;"*")</f>
        <v>0</v>
      </c>
      <c r="AL776" s="201">
        <f t="shared" si="3915"/>
        <v>0</v>
      </c>
      <c r="AM776" s="201">
        <f t="shared" si="3915"/>
        <v>0</v>
      </c>
      <c r="AN776" s="201">
        <f t="shared" si="3915"/>
        <v>0</v>
      </c>
      <c r="AO776" s="201">
        <f t="shared" si="3915"/>
        <v>0</v>
      </c>
      <c r="AP776" s="201">
        <f t="shared" si="3915"/>
        <v>0</v>
      </c>
      <c r="AQ776" s="201">
        <f t="shared" si="3915"/>
        <v>0</v>
      </c>
      <c r="AR776" s="200">
        <f t="shared" si="3915"/>
        <v>0</v>
      </c>
      <c r="AS776" s="200">
        <f t="shared" si="3915"/>
        <v>0</v>
      </c>
      <c r="AT776" s="173">
        <v>0.0</v>
      </c>
      <c r="AU776" s="200">
        <f t="shared" ref="AU776:AX776" si="3916">countif($D776,"*"&amp;AU$2&amp;"*")</f>
        <v>0</v>
      </c>
      <c r="AV776" s="200">
        <f t="shared" si="3916"/>
        <v>0</v>
      </c>
      <c r="AW776" s="200">
        <f t="shared" si="3916"/>
        <v>0</v>
      </c>
      <c r="AX776" s="200">
        <f t="shared" si="3916"/>
        <v>0</v>
      </c>
      <c r="AY776" s="202">
        <v>0.0</v>
      </c>
      <c r="AZ776" s="200"/>
      <c r="BA776" s="171" t="str">
        <f t="shared" si="18"/>
        <v/>
      </c>
      <c r="BB776" s="171" t="str">
        <f t="shared" si="19"/>
        <v/>
      </c>
      <c r="BC776" s="171" t="str">
        <f t="shared" si="20"/>
        <v/>
      </c>
      <c r="BD776" s="171" t="str">
        <f t="shared" si="21"/>
        <v/>
      </c>
      <c r="BE776" s="171" t="str">
        <f t="shared" si="22"/>
        <v>Others</v>
      </c>
      <c r="BF776" s="171" t="str">
        <f t="shared" si="23"/>
        <v>Others</v>
      </c>
    </row>
    <row r="777">
      <c r="A777" s="171">
        <f t="array" ref="A777">XLOOKUP(C777,ICSE!A:A,ICSE!C:C,,2,1)</f>
        <v>2016</v>
      </c>
      <c r="B777" s="171" t="s">
        <v>5675</v>
      </c>
      <c r="C777" s="160">
        <v>1535.0</v>
      </c>
      <c r="D777" s="161" t="s">
        <v>536</v>
      </c>
      <c r="E777" s="197" t="str">
        <f t="array" ref="E777">XLOOKUP(C777,ICSE!A:A,ICSE!Z:Z,,0,1)</f>
        <v>Not available (1) - Broken link.</v>
      </c>
      <c r="F777" s="198" t="s">
        <v>21</v>
      </c>
      <c r="G777" s="163" t="str">
        <f t="array" ref="G777">IF(B777="ICSE",IF(COUNTIFS(B:B,B777,C:C,C777)=XLOOKUP(C777,ICSE!A:A,ICSE!AA:AA,"ERROR",0,1),"OK","ERROR"),IF(B777="FSE",IF(COUNTIFS(B:B,B777,C:C,C777)=XLOOKUP(C777,FSE!A:A,FSE!AA:AA,"ERROR",0,1),"OK","ERROR")))</f>
        <v>OK</v>
      </c>
      <c r="H777" s="199">
        <f t="shared" ref="H777:O777" si="3917">countif($D777,"*"&amp;H$2&amp;"*")</f>
        <v>0</v>
      </c>
      <c r="I777" s="200">
        <f t="shared" si="3917"/>
        <v>0</v>
      </c>
      <c r="J777" s="200">
        <f t="shared" si="3917"/>
        <v>0</v>
      </c>
      <c r="K777" s="200">
        <f t="shared" si="3917"/>
        <v>0</v>
      </c>
      <c r="L777" s="200">
        <f t="shared" si="3917"/>
        <v>0</v>
      </c>
      <c r="M777" s="200">
        <f t="shared" si="3917"/>
        <v>0</v>
      </c>
      <c r="N777" s="200">
        <f t="shared" si="3917"/>
        <v>0</v>
      </c>
      <c r="O777" s="200">
        <f t="shared" si="3917"/>
        <v>0</v>
      </c>
      <c r="P777" s="200">
        <f t="shared" si="9"/>
        <v>0</v>
      </c>
      <c r="Q777" s="200">
        <f t="shared" ref="Q777:AC777" si="3918">countif($D777,"*"&amp;Q$2&amp;"*")</f>
        <v>0</v>
      </c>
      <c r="R777" s="200">
        <f t="shared" si="3918"/>
        <v>0</v>
      </c>
      <c r="S777" s="200">
        <f t="shared" si="3918"/>
        <v>0</v>
      </c>
      <c r="T777" s="200">
        <f t="shared" si="3918"/>
        <v>0</v>
      </c>
      <c r="U777" s="200">
        <f t="shared" si="3918"/>
        <v>0</v>
      </c>
      <c r="V777" s="200">
        <f t="shared" si="3918"/>
        <v>0</v>
      </c>
      <c r="W777" s="200">
        <f t="shared" si="3918"/>
        <v>0</v>
      </c>
      <c r="X777" s="200">
        <f t="shared" si="3918"/>
        <v>0</v>
      </c>
      <c r="Y777" s="200">
        <f t="shared" si="3918"/>
        <v>0</v>
      </c>
      <c r="Z777" s="200">
        <f t="shared" si="3918"/>
        <v>0</v>
      </c>
      <c r="AA777" s="200">
        <f t="shared" si="3918"/>
        <v>1</v>
      </c>
      <c r="AB777" s="200">
        <f t="shared" si="3918"/>
        <v>0</v>
      </c>
      <c r="AC777" s="200">
        <f t="shared" si="3918"/>
        <v>0</v>
      </c>
      <c r="AD777" s="200">
        <f t="shared" si="11"/>
        <v>0</v>
      </c>
      <c r="AE777" s="200">
        <f t="shared" ref="AE777:AG777" si="3919">countif($D777,"*"&amp;AE$2&amp;"*")</f>
        <v>0</v>
      </c>
      <c r="AF777" s="200">
        <f t="shared" si="3919"/>
        <v>0</v>
      </c>
      <c r="AG777" s="200">
        <f t="shared" si="3919"/>
        <v>0</v>
      </c>
      <c r="AH777" s="171">
        <f t="shared" si="13"/>
        <v>0</v>
      </c>
      <c r="AI777" s="200">
        <f t="shared" si="14"/>
        <v>0</v>
      </c>
      <c r="AJ777" s="200">
        <f t="shared" si="3849"/>
        <v>0</v>
      </c>
      <c r="AK777" s="201">
        <f t="shared" ref="AK777:AS777" si="3920">countif($D777,"*"&amp;AK$2&amp;"*")</f>
        <v>0</v>
      </c>
      <c r="AL777" s="201">
        <f t="shared" si="3920"/>
        <v>0</v>
      </c>
      <c r="AM777" s="201">
        <f t="shared" si="3920"/>
        <v>0</v>
      </c>
      <c r="AN777" s="201">
        <f t="shared" si="3920"/>
        <v>0</v>
      </c>
      <c r="AO777" s="201">
        <f t="shared" si="3920"/>
        <v>0</v>
      </c>
      <c r="AP777" s="201">
        <f t="shared" si="3920"/>
        <v>0</v>
      </c>
      <c r="AQ777" s="201">
        <f t="shared" si="3920"/>
        <v>0</v>
      </c>
      <c r="AR777" s="200">
        <f t="shared" si="3920"/>
        <v>0</v>
      </c>
      <c r="AS777" s="200">
        <f t="shared" si="3920"/>
        <v>0</v>
      </c>
      <c r="AT777" s="173">
        <v>0.0</v>
      </c>
      <c r="AU777" s="200">
        <f t="shared" ref="AU777:AX777" si="3921">countif($D777,"*"&amp;AU$2&amp;"*")</f>
        <v>0</v>
      </c>
      <c r="AV777" s="200">
        <f t="shared" si="3921"/>
        <v>0</v>
      </c>
      <c r="AW777" s="200">
        <f t="shared" si="3921"/>
        <v>0</v>
      </c>
      <c r="AX777" s="200">
        <f t="shared" si="3921"/>
        <v>0</v>
      </c>
      <c r="AY777" s="202">
        <v>0.0</v>
      </c>
      <c r="AZ777" s="200"/>
      <c r="BA777" s="171" t="str">
        <f t="shared" si="18"/>
        <v/>
      </c>
      <c r="BB777" s="171" t="str">
        <f t="shared" si="19"/>
        <v/>
      </c>
      <c r="BC777" s="171" t="str">
        <f t="shared" si="20"/>
        <v>General-purpose</v>
      </c>
      <c r="BD777" s="171" t="str">
        <f t="shared" si="21"/>
        <v/>
      </c>
      <c r="BE777" s="171" t="str">
        <f t="shared" si="22"/>
        <v/>
      </c>
      <c r="BF777" s="171" t="str">
        <f t="shared" si="23"/>
        <v>General-purpose</v>
      </c>
    </row>
    <row r="778">
      <c r="A778" s="171">
        <f t="array" ref="A778">XLOOKUP(C778,ICSE!A:A,ICSE!C:C,,2,1)</f>
        <v>2016</v>
      </c>
      <c r="B778" s="171" t="s">
        <v>5675</v>
      </c>
      <c r="C778" s="160">
        <v>1536.0</v>
      </c>
      <c r="D778" s="161" t="s">
        <v>539</v>
      </c>
      <c r="E778" s="197" t="str">
        <f t="array" ref="E778">XLOOKUP(C778,ICSE!A:A,ICSE!Z:Z,,0,1)</f>
        <v>Not available (1) - Broken link.</v>
      </c>
      <c r="F778" s="198" t="s">
        <v>21</v>
      </c>
      <c r="G778" s="163" t="str">
        <f t="array" ref="G778">IF(B778="ICSE",IF(COUNTIFS(B:B,B778,C:C,C778)=XLOOKUP(C778,ICSE!A:A,ICSE!AA:AA,"ERROR",0,1),"OK","ERROR"),IF(B778="FSE",IF(COUNTIFS(B:B,B778,C:C,C778)=XLOOKUP(C778,FSE!A:A,FSE!AA:AA,"ERROR",0,1),"OK","ERROR")))</f>
        <v>OK</v>
      </c>
      <c r="H778" s="199">
        <f t="shared" ref="H778:O778" si="3922">countif($D778,"*"&amp;H$2&amp;"*")</f>
        <v>0</v>
      </c>
      <c r="I778" s="200">
        <f t="shared" si="3922"/>
        <v>0</v>
      </c>
      <c r="J778" s="200">
        <f t="shared" si="3922"/>
        <v>1</v>
      </c>
      <c r="K778" s="200">
        <f t="shared" si="3922"/>
        <v>0</v>
      </c>
      <c r="L778" s="200">
        <f t="shared" si="3922"/>
        <v>0</v>
      </c>
      <c r="M778" s="200">
        <f t="shared" si="3922"/>
        <v>0</v>
      </c>
      <c r="N778" s="200">
        <f t="shared" si="3922"/>
        <v>0</v>
      </c>
      <c r="O778" s="200">
        <f t="shared" si="3922"/>
        <v>0</v>
      </c>
      <c r="P778" s="200">
        <f t="shared" si="9"/>
        <v>0</v>
      </c>
      <c r="Q778" s="200">
        <f t="shared" ref="Q778:AC778" si="3923">countif($D778,"*"&amp;Q$2&amp;"*")</f>
        <v>0</v>
      </c>
      <c r="R778" s="200">
        <f t="shared" si="3923"/>
        <v>0</v>
      </c>
      <c r="S778" s="200">
        <f t="shared" si="3923"/>
        <v>0</v>
      </c>
      <c r="T778" s="200">
        <f t="shared" si="3923"/>
        <v>0</v>
      </c>
      <c r="U778" s="200">
        <f t="shared" si="3923"/>
        <v>0</v>
      </c>
      <c r="V778" s="200">
        <f t="shared" si="3923"/>
        <v>0</v>
      </c>
      <c r="W778" s="200">
        <f t="shared" si="3923"/>
        <v>0</v>
      </c>
      <c r="X778" s="200">
        <f t="shared" si="3923"/>
        <v>0</v>
      </c>
      <c r="Y778" s="200">
        <f t="shared" si="3923"/>
        <v>0</v>
      </c>
      <c r="Z778" s="200">
        <f t="shared" si="3923"/>
        <v>0</v>
      </c>
      <c r="AA778" s="200">
        <f t="shared" si="3923"/>
        <v>0</v>
      </c>
      <c r="AB778" s="200">
        <f t="shared" si="3923"/>
        <v>0</v>
      </c>
      <c r="AC778" s="200">
        <f t="shared" si="3923"/>
        <v>0</v>
      </c>
      <c r="AD778" s="200">
        <f t="shared" si="11"/>
        <v>0</v>
      </c>
      <c r="AE778" s="200">
        <f t="shared" ref="AE778:AG778" si="3924">countif($D778,"*"&amp;AE$2&amp;"*")</f>
        <v>0</v>
      </c>
      <c r="AF778" s="200">
        <f t="shared" si="3924"/>
        <v>0</v>
      </c>
      <c r="AG778" s="200">
        <f t="shared" si="3924"/>
        <v>0</v>
      </c>
      <c r="AH778" s="171">
        <f t="shared" si="13"/>
        <v>0</v>
      </c>
      <c r="AI778" s="200">
        <f t="shared" si="14"/>
        <v>1</v>
      </c>
      <c r="AJ778" s="200">
        <f t="shared" si="3849"/>
        <v>0</v>
      </c>
      <c r="AK778" s="201">
        <f t="shared" ref="AK778:AS778" si="3925">countif($D778,"*"&amp;AK$2&amp;"*")</f>
        <v>0</v>
      </c>
      <c r="AL778" s="201">
        <f t="shared" si="3925"/>
        <v>0</v>
      </c>
      <c r="AM778" s="201">
        <f t="shared" si="3925"/>
        <v>0</v>
      </c>
      <c r="AN778" s="201">
        <f t="shared" si="3925"/>
        <v>0</v>
      </c>
      <c r="AO778" s="201">
        <f t="shared" si="3925"/>
        <v>0</v>
      </c>
      <c r="AP778" s="201">
        <f t="shared" si="3925"/>
        <v>0</v>
      </c>
      <c r="AQ778" s="201">
        <f t="shared" si="3925"/>
        <v>0</v>
      </c>
      <c r="AR778" s="200">
        <f t="shared" si="3925"/>
        <v>0</v>
      </c>
      <c r="AS778" s="200">
        <f t="shared" si="3925"/>
        <v>0</v>
      </c>
      <c r="AT778" s="173">
        <v>0.0</v>
      </c>
      <c r="AU778" s="200">
        <f t="shared" ref="AU778:AX778" si="3926">countif($D778,"*"&amp;AU$2&amp;"*")</f>
        <v>0</v>
      </c>
      <c r="AV778" s="200">
        <f t="shared" si="3926"/>
        <v>0</v>
      </c>
      <c r="AW778" s="200">
        <f t="shared" si="3926"/>
        <v>0</v>
      </c>
      <c r="AX778" s="200">
        <f t="shared" si="3926"/>
        <v>0</v>
      </c>
      <c r="AY778" s="204">
        <v>1.0</v>
      </c>
      <c r="AZ778" s="200"/>
      <c r="BA778" s="171" t="str">
        <f t="shared" si="18"/>
        <v>Archival</v>
      </c>
      <c r="BB778" s="171" t="str">
        <f t="shared" si="19"/>
        <v/>
      </c>
      <c r="BC778" s="171" t="str">
        <f t="shared" si="20"/>
        <v/>
      </c>
      <c r="BD778" s="171" t="str">
        <f t="shared" si="21"/>
        <v/>
      </c>
      <c r="BE778" s="171" t="str">
        <f t="shared" si="22"/>
        <v/>
      </c>
      <c r="BF778" s="171" t="str">
        <f t="shared" si="23"/>
        <v>Archival</v>
      </c>
    </row>
    <row r="779">
      <c r="A779" s="171">
        <f t="array" ref="A779">XLOOKUP(C779,ICSE!A:A,ICSE!C:C,,2,1)</f>
        <v>2016</v>
      </c>
      <c r="B779" s="171" t="s">
        <v>5675</v>
      </c>
      <c r="C779" s="160">
        <v>1539.0</v>
      </c>
      <c r="D779" s="161" t="s">
        <v>544</v>
      </c>
      <c r="E779" s="197" t="str">
        <f t="array" ref="E779">XLOOKUP(C779,ICSE!A:A,ICSE!Z:Z,,0,1)</f>
        <v>Publicly available (1)</v>
      </c>
      <c r="F779" s="198" t="s">
        <v>20</v>
      </c>
      <c r="G779" s="163" t="str">
        <f t="array" ref="G779">IF(B779="ICSE",IF(COUNTIFS(B:B,B779,C:C,C779)=XLOOKUP(C779,ICSE!A:A,ICSE!AA:AA,"ERROR",0,1),"OK","ERROR"),IF(B779="FSE",IF(COUNTIFS(B:B,B779,C:C,C779)=XLOOKUP(C779,FSE!A:A,FSE!AA:AA,"ERROR",0,1),"OK","ERROR")))</f>
        <v>OK</v>
      </c>
      <c r="H779" s="199">
        <f t="shared" ref="H779:O779" si="3927">countif($D779,"*"&amp;H$2&amp;"*")</f>
        <v>0</v>
      </c>
      <c r="I779" s="200">
        <f t="shared" si="3927"/>
        <v>0</v>
      </c>
      <c r="J779" s="200">
        <f t="shared" si="3927"/>
        <v>0</v>
      </c>
      <c r="K779" s="200">
        <f t="shared" si="3927"/>
        <v>0</v>
      </c>
      <c r="L779" s="200">
        <f t="shared" si="3927"/>
        <v>0</v>
      </c>
      <c r="M779" s="200">
        <f t="shared" si="3927"/>
        <v>0</v>
      </c>
      <c r="N779" s="200">
        <f t="shared" si="3927"/>
        <v>0</v>
      </c>
      <c r="O779" s="200">
        <f t="shared" si="3927"/>
        <v>0</v>
      </c>
      <c r="P779" s="200">
        <f t="shared" si="9"/>
        <v>0</v>
      </c>
      <c r="Q779" s="200">
        <f t="shared" ref="Q779:AC779" si="3928">countif($D779,"*"&amp;Q$2&amp;"*")</f>
        <v>0</v>
      </c>
      <c r="R779" s="200">
        <f t="shared" si="3928"/>
        <v>0</v>
      </c>
      <c r="S779" s="200">
        <f t="shared" si="3928"/>
        <v>0</v>
      </c>
      <c r="T779" s="200">
        <f t="shared" si="3928"/>
        <v>0</v>
      </c>
      <c r="U779" s="200">
        <f t="shared" si="3928"/>
        <v>0</v>
      </c>
      <c r="V779" s="200">
        <f t="shared" si="3928"/>
        <v>0</v>
      </c>
      <c r="W779" s="200">
        <f t="shared" si="3928"/>
        <v>0</v>
      </c>
      <c r="X779" s="200">
        <f t="shared" si="3928"/>
        <v>0</v>
      </c>
      <c r="Y779" s="200">
        <f t="shared" si="3928"/>
        <v>0</v>
      </c>
      <c r="Z779" s="200">
        <f t="shared" si="3928"/>
        <v>0</v>
      </c>
      <c r="AA779" s="200">
        <f t="shared" si="3928"/>
        <v>0</v>
      </c>
      <c r="AB779" s="200">
        <f t="shared" si="3928"/>
        <v>0</v>
      </c>
      <c r="AC779" s="200">
        <f t="shared" si="3928"/>
        <v>0</v>
      </c>
      <c r="AD779" s="200">
        <f t="shared" si="11"/>
        <v>1</v>
      </c>
      <c r="AE779" s="200">
        <f t="shared" ref="AE779:AG779" si="3929">countif($D779,"*"&amp;AE$2&amp;"*")</f>
        <v>0</v>
      </c>
      <c r="AF779" s="200">
        <f t="shared" si="3929"/>
        <v>0</v>
      </c>
      <c r="AG779" s="200">
        <f t="shared" si="3929"/>
        <v>0</v>
      </c>
      <c r="AH779" s="171">
        <f t="shared" si="13"/>
        <v>0</v>
      </c>
      <c r="AI779" s="200">
        <f t="shared" si="14"/>
        <v>0</v>
      </c>
      <c r="AJ779" s="200">
        <f t="shared" si="3849"/>
        <v>0</v>
      </c>
      <c r="AK779" s="201">
        <f t="shared" ref="AK779:AS779" si="3930">countif($D779,"*"&amp;AK$2&amp;"*")</f>
        <v>0</v>
      </c>
      <c r="AL779" s="201">
        <f t="shared" si="3930"/>
        <v>0</v>
      </c>
      <c r="AM779" s="201">
        <f t="shared" si="3930"/>
        <v>0</v>
      </c>
      <c r="AN779" s="201">
        <f t="shared" si="3930"/>
        <v>0</v>
      </c>
      <c r="AO779" s="201">
        <f t="shared" si="3930"/>
        <v>0</v>
      </c>
      <c r="AP779" s="201">
        <f t="shared" si="3930"/>
        <v>0</v>
      </c>
      <c r="AQ779" s="201">
        <f t="shared" si="3930"/>
        <v>0</v>
      </c>
      <c r="AR779" s="200">
        <f t="shared" si="3930"/>
        <v>0</v>
      </c>
      <c r="AS779" s="200">
        <f t="shared" si="3930"/>
        <v>0</v>
      </c>
      <c r="AT779" s="173">
        <v>1.0</v>
      </c>
      <c r="AU779" s="200">
        <f t="shared" ref="AU779:AX779" si="3931">countif($D779,"*"&amp;AU$2&amp;"*")</f>
        <v>0</v>
      </c>
      <c r="AV779" s="200">
        <f t="shared" si="3931"/>
        <v>0</v>
      </c>
      <c r="AW779" s="200">
        <f t="shared" si="3931"/>
        <v>0</v>
      </c>
      <c r="AX779" s="200">
        <f t="shared" si="3931"/>
        <v>0</v>
      </c>
      <c r="AY779" s="202">
        <v>0.0</v>
      </c>
      <c r="AZ779" s="200"/>
      <c r="BA779" s="171" t="str">
        <f t="shared" si="18"/>
        <v/>
      </c>
      <c r="BB779" s="171" t="str">
        <f t="shared" si="19"/>
        <v/>
      </c>
      <c r="BC779" s="171" t="str">
        <f t="shared" si="20"/>
        <v/>
      </c>
      <c r="BD779" s="171" t="str">
        <f t="shared" si="21"/>
        <v>Institutional</v>
      </c>
      <c r="BE779" s="171" t="str">
        <f t="shared" si="22"/>
        <v/>
      </c>
      <c r="BF779" s="171" t="str">
        <f t="shared" si="23"/>
        <v>Institutional</v>
      </c>
    </row>
    <row r="780">
      <c r="A780" s="171">
        <f t="array" ref="A780">XLOOKUP(C780,ICSE!A:A,ICSE!C:C,,2,1)</f>
        <v>2016</v>
      </c>
      <c r="B780" s="171" t="s">
        <v>5675</v>
      </c>
      <c r="C780" s="160">
        <v>1542.0</v>
      </c>
      <c r="D780" s="161" t="s">
        <v>548</v>
      </c>
      <c r="E780" s="197" t="str">
        <f t="array" ref="E780">XLOOKUP(C780,ICSE!A:A,ICSE!Z:Z,,0,1)</f>
        <v>Publicly available (1)</v>
      </c>
      <c r="F780" s="198" t="s">
        <v>20</v>
      </c>
      <c r="G780" s="163" t="str">
        <f t="array" ref="G780">IF(B780="ICSE",IF(COUNTIFS(B:B,B780,C:C,C780)=XLOOKUP(C780,ICSE!A:A,ICSE!AA:AA,"ERROR",0,1),"OK","ERROR"),IF(B780="FSE",IF(COUNTIFS(B:B,B780,C:C,C780)=XLOOKUP(C780,FSE!A:A,FSE!AA:AA,"ERROR",0,1),"OK","ERROR")))</f>
        <v>OK</v>
      </c>
      <c r="H780" s="199">
        <f t="shared" ref="H780:O780" si="3932">countif($D780,"*"&amp;H$2&amp;"*")</f>
        <v>0</v>
      </c>
      <c r="I780" s="200">
        <f t="shared" si="3932"/>
        <v>0</v>
      </c>
      <c r="J780" s="200">
        <f t="shared" si="3932"/>
        <v>0</v>
      </c>
      <c r="K780" s="200">
        <f t="shared" si="3932"/>
        <v>0</v>
      </c>
      <c r="L780" s="200">
        <f t="shared" si="3932"/>
        <v>0</v>
      </c>
      <c r="M780" s="200">
        <f t="shared" si="3932"/>
        <v>0</v>
      </c>
      <c r="N780" s="200">
        <f t="shared" si="3932"/>
        <v>0</v>
      </c>
      <c r="O780" s="200">
        <f t="shared" si="3932"/>
        <v>0</v>
      </c>
      <c r="P780" s="200">
        <f t="shared" si="9"/>
        <v>1</v>
      </c>
      <c r="Q780" s="200">
        <f t="shared" ref="Q780:AC780" si="3933">countif($D780,"*"&amp;Q$2&amp;"*")</f>
        <v>0</v>
      </c>
      <c r="R780" s="200">
        <f t="shared" si="3933"/>
        <v>0</v>
      </c>
      <c r="S780" s="200">
        <f t="shared" si="3933"/>
        <v>0</v>
      </c>
      <c r="T780" s="200">
        <f t="shared" si="3933"/>
        <v>0</v>
      </c>
      <c r="U780" s="200">
        <f t="shared" si="3933"/>
        <v>0</v>
      </c>
      <c r="V780" s="200">
        <f t="shared" si="3933"/>
        <v>0</v>
      </c>
      <c r="W780" s="200">
        <f t="shared" si="3933"/>
        <v>0</v>
      </c>
      <c r="X780" s="200">
        <f t="shared" si="3933"/>
        <v>0</v>
      </c>
      <c r="Y780" s="200">
        <f t="shared" si="3933"/>
        <v>0</v>
      </c>
      <c r="Z780" s="200">
        <f t="shared" si="3933"/>
        <v>0</v>
      </c>
      <c r="AA780" s="200">
        <f t="shared" si="3933"/>
        <v>0</v>
      </c>
      <c r="AB780" s="200">
        <f t="shared" si="3933"/>
        <v>0</v>
      </c>
      <c r="AC780" s="200">
        <f t="shared" si="3933"/>
        <v>0</v>
      </c>
      <c r="AD780" s="200">
        <f t="shared" si="11"/>
        <v>0</v>
      </c>
      <c r="AE780" s="200">
        <f t="shared" ref="AE780:AG780" si="3934">countif($D780,"*"&amp;AE$2&amp;"*")</f>
        <v>0</v>
      </c>
      <c r="AF780" s="200">
        <f t="shared" si="3934"/>
        <v>0</v>
      </c>
      <c r="AG780" s="200">
        <f t="shared" si="3934"/>
        <v>0</v>
      </c>
      <c r="AH780" s="171">
        <f t="shared" si="13"/>
        <v>0</v>
      </c>
      <c r="AI780" s="200">
        <f t="shared" si="14"/>
        <v>0</v>
      </c>
      <c r="AJ780" s="200">
        <f t="shared" si="3849"/>
        <v>0</v>
      </c>
      <c r="AK780" s="201">
        <f t="shared" ref="AK780:AS780" si="3935">countif($D780,"*"&amp;AK$2&amp;"*")</f>
        <v>0</v>
      </c>
      <c r="AL780" s="201">
        <f t="shared" si="3935"/>
        <v>0</v>
      </c>
      <c r="AM780" s="201">
        <f t="shared" si="3935"/>
        <v>0</v>
      </c>
      <c r="AN780" s="201">
        <f t="shared" si="3935"/>
        <v>0</v>
      </c>
      <c r="AO780" s="201">
        <f t="shared" si="3935"/>
        <v>0</v>
      </c>
      <c r="AP780" s="201">
        <f t="shared" si="3935"/>
        <v>0</v>
      </c>
      <c r="AQ780" s="201">
        <f t="shared" si="3935"/>
        <v>0</v>
      </c>
      <c r="AR780" s="200">
        <f t="shared" si="3935"/>
        <v>0</v>
      </c>
      <c r="AS780" s="200">
        <f t="shared" si="3935"/>
        <v>0</v>
      </c>
      <c r="AT780" s="173">
        <v>0.0</v>
      </c>
      <c r="AU780" s="200">
        <f t="shared" ref="AU780:AX780" si="3936">countif($D780,"*"&amp;AU$2&amp;"*")</f>
        <v>0</v>
      </c>
      <c r="AV780" s="200">
        <f t="shared" si="3936"/>
        <v>1</v>
      </c>
      <c r="AW780" s="200">
        <f t="shared" si="3936"/>
        <v>0</v>
      </c>
      <c r="AX780" s="200">
        <f t="shared" si="3936"/>
        <v>0</v>
      </c>
      <c r="AY780" s="202">
        <v>0.0</v>
      </c>
      <c r="AZ780" s="200"/>
      <c r="BA780" s="171" t="str">
        <f t="shared" si="18"/>
        <v/>
      </c>
      <c r="BB780" s="171" t="str">
        <f t="shared" si="19"/>
        <v>Code</v>
      </c>
      <c r="BC780" s="171" t="str">
        <f t="shared" si="20"/>
        <v/>
      </c>
      <c r="BD780" s="171" t="str">
        <f t="shared" si="21"/>
        <v/>
      </c>
      <c r="BE780" s="171" t="str">
        <f t="shared" si="22"/>
        <v/>
      </c>
      <c r="BF780" s="171" t="str">
        <f t="shared" si="23"/>
        <v>Code</v>
      </c>
    </row>
    <row r="781">
      <c r="A781" s="171">
        <f t="array" ref="A781">XLOOKUP(C781,ICSE!A:A,ICSE!C:C,,2,1)</f>
        <v>2016</v>
      </c>
      <c r="B781" s="171" t="s">
        <v>5675</v>
      </c>
      <c r="C781" s="160">
        <v>1543.0</v>
      </c>
      <c r="D781" s="161" t="s">
        <v>551</v>
      </c>
      <c r="E781" s="197" t="str">
        <f t="array" ref="E781">XLOOKUP(C781,ICSE!A:A,ICSE!Z:Z,,0,1)</f>
        <v>Not available (1) - Broken link.</v>
      </c>
      <c r="F781" s="198" t="s">
        <v>21</v>
      </c>
      <c r="G781" s="163" t="str">
        <f t="array" ref="G781">IF(B781="ICSE",IF(COUNTIFS(B:B,B781,C:C,C781)=XLOOKUP(C781,ICSE!A:A,ICSE!AA:AA,"ERROR",0,1),"OK","ERROR"),IF(B781="FSE",IF(COUNTIFS(B:B,B781,C:C,C781)=XLOOKUP(C781,FSE!A:A,FSE!AA:AA,"ERROR",0,1),"OK","ERROR")))</f>
        <v>OK</v>
      </c>
      <c r="H781" s="199">
        <f t="shared" ref="H781:O781" si="3937">countif($D781,"*"&amp;H$2&amp;"*")</f>
        <v>0</v>
      </c>
      <c r="I781" s="200">
        <f t="shared" si="3937"/>
        <v>0</v>
      </c>
      <c r="J781" s="200">
        <f t="shared" si="3937"/>
        <v>0</v>
      </c>
      <c r="K781" s="200">
        <f t="shared" si="3937"/>
        <v>0</v>
      </c>
      <c r="L781" s="200">
        <f t="shared" si="3937"/>
        <v>0</v>
      </c>
      <c r="M781" s="200">
        <f t="shared" si="3937"/>
        <v>0</v>
      </c>
      <c r="N781" s="200">
        <f t="shared" si="3937"/>
        <v>0</v>
      </c>
      <c r="O781" s="200">
        <f t="shared" si="3937"/>
        <v>0</v>
      </c>
      <c r="P781" s="200">
        <f t="shared" si="9"/>
        <v>0</v>
      </c>
      <c r="Q781" s="200">
        <f t="shared" ref="Q781:AC781" si="3938">countif($D781,"*"&amp;Q$2&amp;"*")</f>
        <v>0</v>
      </c>
      <c r="R781" s="200">
        <f t="shared" si="3938"/>
        <v>0</v>
      </c>
      <c r="S781" s="200">
        <f t="shared" si="3938"/>
        <v>0</v>
      </c>
      <c r="T781" s="200">
        <f t="shared" si="3938"/>
        <v>0</v>
      </c>
      <c r="U781" s="200">
        <f t="shared" si="3938"/>
        <v>0</v>
      </c>
      <c r="V781" s="200">
        <f t="shared" si="3938"/>
        <v>0</v>
      </c>
      <c r="W781" s="200">
        <f t="shared" si="3938"/>
        <v>0</v>
      </c>
      <c r="X781" s="200">
        <f t="shared" si="3938"/>
        <v>0</v>
      </c>
      <c r="Y781" s="200">
        <f t="shared" si="3938"/>
        <v>0</v>
      </c>
      <c r="Z781" s="200">
        <f t="shared" si="3938"/>
        <v>0</v>
      </c>
      <c r="AA781" s="200">
        <f t="shared" si="3938"/>
        <v>0</v>
      </c>
      <c r="AB781" s="200">
        <f t="shared" si="3938"/>
        <v>0</v>
      </c>
      <c r="AC781" s="200">
        <f t="shared" si="3938"/>
        <v>0</v>
      </c>
      <c r="AD781" s="200">
        <f t="shared" si="11"/>
        <v>1</v>
      </c>
      <c r="AE781" s="200">
        <f t="shared" ref="AE781:AG781" si="3939">countif($D781,"*"&amp;AE$2&amp;"*")</f>
        <v>0</v>
      </c>
      <c r="AF781" s="200">
        <f t="shared" si="3939"/>
        <v>0</v>
      </c>
      <c r="AG781" s="200">
        <f t="shared" si="3939"/>
        <v>0</v>
      </c>
      <c r="AH781" s="171">
        <f t="shared" si="13"/>
        <v>0</v>
      </c>
      <c r="AI781" s="200">
        <f t="shared" si="14"/>
        <v>0</v>
      </c>
      <c r="AJ781" s="200">
        <f t="shared" si="3849"/>
        <v>0</v>
      </c>
      <c r="AK781" s="201">
        <f t="shared" ref="AK781:AS781" si="3940">countif($D781,"*"&amp;AK$2&amp;"*")</f>
        <v>0</v>
      </c>
      <c r="AL781" s="201">
        <f t="shared" si="3940"/>
        <v>0</v>
      </c>
      <c r="AM781" s="201">
        <f t="shared" si="3940"/>
        <v>0</v>
      </c>
      <c r="AN781" s="201">
        <f t="shared" si="3940"/>
        <v>0</v>
      </c>
      <c r="AO781" s="201">
        <f t="shared" si="3940"/>
        <v>0</v>
      </c>
      <c r="AP781" s="201">
        <f t="shared" si="3940"/>
        <v>0</v>
      </c>
      <c r="AQ781" s="201">
        <f t="shared" si="3940"/>
        <v>0</v>
      </c>
      <c r="AR781" s="200">
        <f t="shared" si="3940"/>
        <v>0</v>
      </c>
      <c r="AS781" s="200">
        <f t="shared" si="3940"/>
        <v>0</v>
      </c>
      <c r="AT781" s="173">
        <v>1.0</v>
      </c>
      <c r="AU781" s="200">
        <f t="shared" ref="AU781:AX781" si="3941">countif($D781,"*"&amp;AU$2&amp;"*")</f>
        <v>0</v>
      </c>
      <c r="AV781" s="200">
        <f t="shared" si="3941"/>
        <v>0</v>
      </c>
      <c r="AW781" s="200">
        <f t="shared" si="3941"/>
        <v>0</v>
      </c>
      <c r="AX781" s="200">
        <f t="shared" si="3941"/>
        <v>0</v>
      </c>
      <c r="AY781" s="202">
        <v>0.0</v>
      </c>
      <c r="AZ781" s="200"/>
      <c r="BA781" s="171" t="str">
        <f t="shared" si="18"/>
        <v/>
      </c>
      <c r="BB781" s="171" t="str">
        <f t="shared" si="19"/>
        <v/>
      </c>
      <c r="BC781" s="171" t="str">
        <f t="shared" si="20"/>
        <v/>
      </c>
      <c r="BD781" s="171" t="str">
        <f t="shared" si="21"/>
        <v>Institutional</v>
      </c>
      <c r="BE781" s="171" t="str">
        <f t="shared" si="22"/>
        <v/>
      </c>
      <c r="BF781" s="171" t="str">
        <f t="shared" si="23"/>
        <v>Institutional</v>
      </c>
    </row>
    <row r="782">
      <c r="A782" s="171">
        <f t="array" ref="A782">XLOOKUP(C782,ICSE!A:A,ICSE!C:C,,2,1)</f>
        <v>2016</v>
      </c>
      <c r="B782" s="171" t="s">
        <v>5675</v>
      </c>
      <c r="C782" s="160">
        <v>1544.0</v>
      </c>
      <c r="D782" s="161" t="s">
        <v>555</v>
      </c>
      <c r="E782" s="197" t="str">
        <f t="array" ref="E782">XLOOKUP(C782,ICSE!A:A,ICSE!Z:Z,,0,1)</f>
        <v>Restrict access (1) - You need to request access,</v>
      </c>
      <c r="F782" s="198" t="s">
        <v>22</v>
      </c>
      <c r="G782" s="163" t="str">
        <f t="array" ref="G782">IF(B782="ICSE",IF(COUNTIFS(B:B,B782,C:C,C782)=XLOOKUP(C782,ICSE!A:A,ICSE!AA:AA,"ERROR",0,1),"OK","ERROR"),IF(B782="FSE",IF(COUNTIFS(B:B,B782,C:C,C782)=XLOOKUP(C782,FSE!A:A,FSE!AA:AA,"ERROR",0,1),"OK","ERROR")))</f>
        <v>OK</v>
      </c>
      <c r="H782" s="199">
        <f t="shared" ref="H782:O782" si="3942">countif($D782,"*"&amp;H$2&amp;"*")</f>
        <v>0</v>
      </c>
      <c r="I782" s="200">
        <f t="shared" si="3942"/>
        <v>0</v>
      </c>
      <c r="J782" s="200">
        <f t="shared" si="3942"/>
        <v>0</v>
      </c>
      <c r="K782" s="200">
        <f t="shared" si="3942"/>
        <v>0</v>
      </c>
      <c r="L782" s="200">
        <f t="shared" si="3942"/>
        <v>0</v>
      </c>
      <c r="M782" s="200">
        <f t="shared" si="3942"/>
        <v>0</v>
      </c>
      <c r="N782" s="200">
        <f t="shared" si="3942"/>
        <v>0</v>
      </c>
      <c r="O782" s="200">
        <f t="shared" si="3942"/>
        <v>0</v>
      </c>
      <c r="P782" s="200">
        <f t="shared" si="9"/>
        <v>0</v>
      </c>
      <c r="Q782" s="200">
        <f t="shared" ref="Q782:AC782" si="3943">countif($D782,"*"&amp;Q$2&amp;"*")</f>
        <v>0</v>
      </c>
      <c r="R782" s="200">
        <f t="shared" si="3943"/>
        <v>0</v>
      </c>
      <c r="S782" s="200">
        <f t="shared" si="3943"/>
        <v>0</v>
      </c>
      <c r="T782" s="200">
        <f t="shared" si="3943"/>
        <v>0</v>
      </c>
      <c r="U782" s="200">
        <f t="shared" si="3943"/>
        <v>0</v>
      </c>
      <c r="V782" s="200">
        <f t="shared" si="3943"/>
        <v>0</v>
      </c>
      <c r="W782" s="200">
        <f t="shared" si="3943"/>
        <v>0</v>
      </c>
      <c r="X782" s="200">
        <f t="shared" si="3943"/>
        <v>0</v>
      </c>
      <c r="Y782" s="200">
        <f t="shared" si="3943"/>
        <v>0</v>
      </c>
      <c r="Z782" s="200">
        <f t="shared" si="3943"/>
        <v>0</v>
      </c>
      <c r="AA782" s="200">
        <f t="shared" si="3943"/>
        <v>0</v>
      </c>
      <c r="AB782" s="200">
        <f t="shared" si="3943"/>
        <v>0</v>
      </c>
      <c r="AC782" s="200">
        <f t="shared" si="3943"/>
        <v>0</v>
      </c>
      <c r="AD782" s="200">
        <f t="shared" si="11"/>
        <v>1</v>
      </c>
      <c r="AE782" s="200">
        <f t="shared" ref="AE782:AG782" si="3944">countif($D782,"*"&amp;AE$2&amp;"*")</f>
        <v>0</v>
      </c>
      <c r="AF782" s="200">
        <f t="shared" si="3944"/>
        <v>0</v>
      </c>
      <c r="AG782" s="200">
        <f t="shared" si="3944"/>
        <v>0</v>
      </c>
      <c r="AH782" s="171">
        <f t="shared" si="13"/>
        <v>0</v>
      </c>
      <c r="AI782" s="200">
        <f t="shared" si="14"/>
        <v>0</v>
      </c>
      <c r="AJ782" s="200">
        <f t="shared" si="3849"/>
        <v>0</v>
      </c>
      <c r="AK782" s="201">
        <f t="shared" ref="AK782:AS782" si="3945">countif($D782,"*"&amp;AK$2&amp;"*")</f>
        <v>0</v>
      </c>
      <c r="AL782" s="201">
        <f t="shared" si="3945"/>
        <v>0</v>
      </c>
      <c r="AM782" s="201">
        <f t="shared" si="3945"/>
        <v>0</v>
      </c>
      <c r="AN782" s="201">
        <f t="shared" si="3945"/>
        <v>0</v>
      </c>
      <c r="AO782" s="201">
        <f t="shared" si="3945"/>
        <v>0</v>
      </c>
      <c r="AP782" s="201">
        <f t="shared" si="3945"/>
        <v>0</v>
      </c>
      <c r="AQ782" s="201">
        <f t="shared" si="3945"/>
        <v>0</v>
      </c>
      <c r="AR782" s="200">
        <f t="shared" si="3945"/>
        <v>0</v>
      </c>
      <c r="AS782" s="200">
        <f t="shared" si="3945"/>
        <v>0</v>
      </c>
      <c r="AT782" s="173">
        <v>1.0</v>
      </c>
      <c r="AU782" s="200">
        <f t="shared" ref="AU782:AX782" si="3946">countif($D782,"*"&amp;AU$2&amp;"*")</f>
        <v>0</v>
      </c>
      <c r="AV782" s="200">
        <f t="shared" si="3946"/>
        <v>0</v>
      </c>
      <c r="AW782" s="200">
        <f t="shared" si="3946"/>
        <v>0</v>
      </c>
      <c r="AX782" s="200">
        <f t="shared" si="3946"/>
        <v>0</v>
      </c>
      <c r="AY782" s="202">
        <v>0.0</v>
      </c>
      <c r="AZ782" s="200"/>
      <c r="BA782" s="171" t="str">
        <f t="shared" si="18"/>
        <v/>
      </c>
      <c r="BB782" s="171" t="str">
        <f t="shared" si="19"/>
        <v/>
      </c>
      <c r="BC782" s="171" t="str">
        <f t="shared" si="20"/>
        <v/>
      </c>
      <c r="BD782" s="171" t="str">
        <f t="shared" si="21"/>
        <v>Institutional</v>
      </c>
      <c r="BE782" s="171" t="str">
        <f t="shared" si="22"/>
        <v/>
      </c>
      <c r="BF782" s="171" t="str">
        <f t="shared" si="23"/>
        <v>Institutional</v>
      </c>
    </row>
    <row r="783">
      <c r="A783" s="171">
        <f t="array" ref="A783">XLOOKUP(C783,ICSE!A:A,ICSE!C:C,,2,1)</f>
        <v>2016</v>
      </c>
      <c r="B783" s="171" t="s">
        <v>5675</v>
      </c>
      <c r="C783" s="160">
        <v>1545.0</v>
      </c>
      <c r="D783" s="161" t="s">
        <v>560</v>
      </c>
      <c r="E783" s="197" t="str">
        <f t="array" ref="E783">XLOOKUP(C783,ICSE!A:A,ICSE!Z:Z,,0,1)</f>
        <v>Not available (1) - Broken link.</v>
      </c>
      <c r="F783" s="198" t="s">
        <v>21</v>
      </c>
      <c r="G783" s="163" t="str">
        <f t="array" ref="G783">IF(B783="ICSE",IF(COUNTIFS(B:B,B783,C:C,C783)=XLOOKUP(C783,ICSE!A:A,ICSE!AA:AA,"ERROR",0,1),"OK","ERROR"),IF(B783="FSE",IF(COUNTIFS(B:B,B783,C:C,C783)=XLOOKUP(C783,FSE!A:A,FSE!AA:AA,"ERROR",0,1),"OK","ERROR")))</f>
        <v>OK</v>
      </c>
      <c r="H783" s="199">
        <f t="shared" ref="H783:O783" si="3947">countif($D783,"*"&amp;H$2&amp;"*")</f>
        <v>0</v>
      </c>
      <c r="I783" s="200">
        <f t="shared" si="3947"/>
        <v>0</v>
      </c>
      <c r="J783" s="200">
        <f t="shared" si="3947"/>
        <v>0</v>
      </c>
      <c r="K783" s="200">
        <f t="shared" si="3947"/>
        <v>0</v>
      </c>
      <c r="L783" s="200">
        <f t="shared" si="3947"/>
        <v>0</v>
      </c>
      <c r="M783" s="200">
        <f t="shared" si="3947"/>
        <v>0</v>
      </c>
      <c r="N783" s="200">
        <f t="shared" si="3947"/>
        <v>0</v>
      </c>
      <c r="O783" s="200">
        <f t="shared" si="3947"/>
        <v>0</v>
      </c>
      <c r="P783" s="200">
        <f t="shared" si="9"/>
        <v>0</v>
      </c>
      <c r="Q783" s="200">
        <f t="shared" ref="Q783:AC783" si="3948">countif($D783,"*"&amp;Q$2&amp;"*")</f>
        <v>0</v>
      </c>
      <c r="R783" s="200">
        <f t="shared" si="3948"/>
        <v>0</v>
      </c>
      <c r="S783" s="200">
        <f t="shared" si="3948"/>
        <v>0</v>
      </c>
      <c r="T783" s="200">
        <f t="shared" si="3948"/>
        <v>0</v>
      </c>
      <c r="U783" s="200">
        <f t="shared" si="3948"/>
        <v>0</v>
      </c>
      <c r="V783" s="200">
        <f t="shared" si="3948"/>
        <v>0</v>
      </c>
      <c r="W783" s="200">
        <f t="shared" si="3948"/>
        <v>0</v>
      </c>
      <c r="X783" s="200">
        <f t="shared" si="3948"/>
        <v>0</v>
      </c>
      <c r="Y783" s="200">
        <f t="shared" si="3948"/>
        <v>0</v>
      </c>
      <c r="Z783" s="200">
        <f t="shared" si="3948"/>
        <v>0</v>
      </c>
      <c r="AA783" s="200">
        <f t="shared" si="3948"/>
        <v>0</v>
      </c>
      <c r="AB783" s="200">
        <f t="shared" si="3948"/>
        <v>0</v>
      </c>
      <c r="AC783" s="200">
        <f t="shared" si="3948"/>
        <v>0</v>
      </c>
      <c r="AD783" s="200">
        <f t="shared" si="11"/>
        <v>1</v>
      </c>
      <c r="AE783" s="200">
        <f t="shared" ref="AE783:AG783" si="3949">countif($D783,"*"&amp;AE$2&amp;"*")</f>
        <v>0</v>
      </c>
      <c r="AF783" s="200">
        <f t="shared" si="3949"/>
        <v>0</v>
      </c>
      <c r="AG783" s="200">
        <f t="shared" si="3949"/>
        <v>0</v>
      </c>
      <c r="AH783" s="171">
        <f t="shared" si="13"/>
        <v>0</v>
      </c>
      <c r="AI783" s="200">
        <f t="shared" si="14"/>
        <v>0</v>
      </c>
      <c r="AJ783" s="200">
        <f t="shared" si="3849"/>
        <v>0</v>
      </c>
      <c r="AK783" s="201">
        <f t="shared" ref="AK783:AS783" si="3950">countif($D783,"*"&amp;AK$2&amp;"*")</f>
        <v>0</v>
      </c>
      <c r="AL783" s="201">
        <f t="shared" si="3950"/>
        <v>0</v>
      </c>
      <c r="AM783" s="201">
        <f t="shared" si="3950"/>
        <v>0</v>
      </c>
      <c r="AN783" s="201">
        <f t="shared" si="3950"/>
        <v>0</v>
      </c>
      <c r="AO783" s="201">
        <f t="shared" si="3950"/>
        <v>0</v>
      </c>
      <c r="AP783" s="201">
        <f t="shared" si="3950"/>
        <v>0</v>
      </c>
      <c r="AQ783" s="201">
        <f t="shared" si="3950"/>
        <v>0</v>
      </c>
      <c r="AR783" s="200">
        <f t="shared" si="3950"/>
        <v>0</v>
      </c>
      <c r="AS783" s="200">
        <f t="shared" si="3950"/>
        <v>0</v>
      </c>
      <c r="AT783" s="173">
        <v>1.0</v>
      </c>
      <c r="AU783" s="200">
        <f t="shared" ref="AU783:AX783" si="3951">countif($D783,"*"&amp;AU$2&amp;"*")</f>
        <v>0</v>
      </c>
      <c r="AV783" s="200">
        <f t="shared" si="3951"/>
        <v>0</v>
      </c>
      <c r="AW783" s="200">
        <f t="shared" si="3951"/>
        <v>0</v>
      </c>
      <c r="AX783" s="200">
        <f t="shared" si="3951"/>
        <v>0</v>
      </c>
      <c r="AY783" s="202">
        <v>0.0</v>
      </c>
      <c r="AZ783" s="200"/>
      <c r="BA783" s="171" t="str">
        <f t="shared" si="18"/>
        <v/>
      </c>
      <c r="BB783" s="171" t="str">
        <f t="shared" si="19"/>
        <v/>
      </c>
      <c r="BC783" s="171" t="str">
        <f t="shared" si="20"/>
        <v/>
      </c>
      <c r="BD783" s="171" t="str">
        <f t="shared" si="21"/>
        <v>Institutional</v>
      </c>
      <c r="BE783" s="171" t="str">
        <f t="shared" si="22"/>
        <v/>
      </c>
      <c r="BF783" s="171" t="str">
        <f t="shared" si="23"/>
        <v>Institutional</v>
      </c>
    </row>
    <row r="784">
      <c r="A784" s="171">
        <f t="array" ref="A784">XLOOKUP(C784,ICSE!A:A,ICSE!C:C,,2,1)</f>
        <v>2016</v>
      </c>
      <c r="B784" s="171" t="s">
        <v>5675</v>
      </c>
      <c r="C784" s="160">
        <v>1547.0</v>
      </c>
      <c r="D784" s="161" t="s">
        <v>564</v>
      </c>
      <c r="E784" s="197" t="str">
        <f t="array" ref="E784">XLOOKUP(C784,ICSE!A:A,ICSE!Z:Z,,0,1)</f>
        <v>Not available (1) - Broken link.</v>
      </c>
      <c r="F784" s="198" t="s">
        <v>21</v>
      </c>
      <c r="G784" s="163" t="str">
        <f t="array" ref="G784">IF(B784="ICSE",IF(COUNTIFS(B:B,B784,C:C,C784)=XLOOKUP(C784,ICSE!A:A,ICSE!AA:AA,"ERROR",0,1),"OK","ERROR"),IF(B784="FSE",IF(COUNTIFS(B:B,B784,C:C,C784)=XLOOKUP(C784,FSE!A:A,FSE!AA:AA,"ERROR",0,1),"OK","ERROR")))</f>
        <v>OK</v>
      </c>
      <c r="H784" s="199">
        <f t="shared" ref="H784:O784" si="3952">countif($D784,"*"&amp;H$2&amp;"*")</f>
        <v>0</v>
      </c>
      <c r="I784" s="200">
        <f t="shared" si="3952"/>
        <v>0</v>
      </c>
      <c r="J784" s="200">
        <f t="shared" si="3952"/>
        <v>0</v>
      </c>
      <c r="K784" s="200">
        <f t="shared" si="3952"/>
        <v>0</v>
      </c>
      <c r="L784" s="200">
        <f t="shared" si="3952"/>
        <v>0</v>
      </c>
      <c r="M784" s="200">
        <f t="shared" si="3952"/>
        <v>0</v>
      </c>
      <c r="N784" s="200">
        <f t="shared" si="3952"/>
        <v>0</v>
      </c>
      <c r="O784" s="200">
        <f t="shared" si="3952"/>
        <v>0</v>
      </c>
      <c r="P784" s="200">
        <f t="shared" si="9"/>
        <v>0</v>
      </c>
      <c r="Q784" s="200">
        <f t="shared" ref="Q784:AC784" si="3953">countif($D784,"*"&amp;Q$2&amp;"*")</f>
        <v>0</v>
      </c>
      <c r="R784" s="200">
        <f t="shared" si="3953"/>
        <v>0</v>
      </c>
      <c r="S784" s="200">
        <f t="shared" si="3953"/>
        <v>0</v>
      </c>
      <c r="T784" s="200">
        <f t="shared" si="3953"/>
        <v>0</v>
      </c>
      <c r="U784" s="200">
        <f t="shared" si="3953"/>
        <v>0</v>
      </c>
      <c r="V784" s="200">
        <f t="shared" si="3953"/>
        <v>0</v>
      </c>
      <c r="W784" s="200">
        <f t="shared" si="3953"/>
        <v>0</v>
      </c>
      <c r="X784" s="200">
        <f t="shared" si="3953"/>
        <v>0</v>
      </c>
      <c r="Y784" s="200">
        <f t="shared" si="3953"/>
        <v>0</v>
      </c>
      <c r="Z784" s="200">
        <f t="shared" si="3953"/>
        <v>0</v>
      </c>
      <c r="AA784" s="200">
        <f t="shared" si="3953"/>
        <v>0</v>
      </c>
      <c r="AB784" s="200">
        <f t="shared" si="3953"/>
        <v>0</v>
      </c>
      <c r="AC784" s="200">
        <f t="shared" si="3953"/>
        <v>0</v>
      </c>
      <c r="AD784" s="200">
        <f t="shared" si="11"/>
        <v>1</v>
      </c>
      <c r="AE784" s="200">
        <f t="shared" ref="AE784:AG784" si="3954">countif($D784,"*"&amp;AE$2&amp;"*")</f>
        <v>0</v>
      </c>
      <c r="AF784" s="200">
        <f t="shared" si="3954"/>
        <v>0</v>
      </c>
      <c r="AG784" s="200">
        <f t="shared" si="3954"/>
        <v>0</v>
      </c>
      <c r="AH784" s="171">
        <f t="shared" si="13"/>
        <v>0</v>
      </c>
      <c r="AI784" s="200">
        <f t="shared" si="14"/>
        <v>0</v>
      </c>
      <c r="AJ784" s="200">
        <f t="shared" ref="AJ784:AJ785" si="3960">SUM(AK784:AQ784)</f>
        <v>0</v>
      </c>
      <c r="AK784" s="201">
        <f t="shared" ref="AK784:AS784" si="3955">countif($D784,"*"&amp;AK$2&amp;"*")</f>
        <v>0</v>
      </c>
      <c r="AL784" s="201">
        <f t="shared" si="3955"/>
        <v>0</v>
      </c>
      <c r="AM784" s="201">
        <f t="shared" si="3955"/>
        <v>0</v>
      </c>
      <c r="AN784" s="201">
        <f t="shared" si="3955"/>
        <v>0</v>
      </c>
      <c r="AO784" s="201">
        <f t="shared" si="3955"/>
        <v>0</v>
      </c>
      <c r="AP784" s="201">
        <f t="shared" si="3955"/>
        <v>0</v>
      </c>
      <c r="AQ784" s="201">
        <f t="shared" si="3955"/>
        <v>0</v>
      </c>
      <c r="AR784" s="201">
        <f t="shared" si="3955"/>
        <v>0</v>
      </c>
      <c r="AS784" s="200">
        <f t="shared" si="3955"/>
        <v>0</v>
      </c>
      <c r="AT784" s="205">
        <v>0.0</v>
      </c>
      <c r="AU784" s="200">
        <f t="shared" ref="AU784:AX784" si="3956">countif($D784,"*"&amp;AU$2&amp;"*")</f>
        <v>1</v>
      </c>
      <c r="AV784" s="200">
        <f t="shared" si="3956"/>
        <v>0</v>
      </c>
      <c r="AW784" s="200">
        <f t="shared" si="3956"/>
        <v>0</v>
      </c>
      <c r="AX784" s="200">
        <f t="shared" si="3956"/>
        <v>0</v>
      </c>
      <c r="AY784" s="202">
        <v>0.0</v>
      </c>
      <c r="AZ784" s="200"/>
      <c r="BA784" s="171" t="str">
        <f t="shared" si="18"/>
        <v/>
      </c>
      <c r="BB784" s="171" t="str">
        <f t="shared" si="19"/>
        <v/>
      </c>
      <c r="BC784" s="171" t="str">
        <f t="shared" si="20"/>
        <v/>
      </c>
      <c r="BD784" s="171" t="str">
        <f t="shared" si="21"/>
        <v>Institutional</v>
      </c>
      <c r="BE784" s="171" t="str">
        <f t="shared" si="22"/>
        <v/>
      </c>
      <c r="BF784" s="171" t="str">
        <f t="shared" si="23"/>
        <v>Institutional</v>
      </c>
    </row>
    <row r="785">
      <c r="A785" s="171">
        <f t="array" ref="A785">XLOOKUP(C785,ICSE!A:A,ICSE!C:C,,2,1)</f>
        <v>2016</v>
      </c>
      <c r="B785" s="171" t="s">
        <v>5675</v>
      </c>
      <c r="C785" s="160">
        <v>1548.0</v>
      </c>
      <c r="D785" s="161" t="s">
        <v>567</v>
      </c>
      <c r="E785" s="197" t="str">
        <f t="array" ref="E785">XLOOKUP(C785,ICSE!A:A,ICSE!Z:Z,,0,1)</f>
        <v>Not available (1) - Broken link.</v>
      </c>
      <c r="F785" s="198" t="s">
        <v>21</v>
      </c>
      <c r="G785" s="163" t="str">
        <f t="array" ref="G785">IF(B785="ICSE",IF(COUNTIFS(B:B,B785,C:C,C785)=XLOOKUP(C785,ICSE!A:A,ICSE!AA:AA,"ERROR",0,1),"OK","ERROR"),IF(B785="FSE",IF(COUNTIFS(B:B,B785,C:C,C785)=XLOOKUP(C785,FSE!A:A,FSE!AA:AA,"ERROR",0,1),"OK","ERROR")))</f>
        <v>OK</v>
      </c>
      <c r="H785" s="199">
        <f t="shared" ref="H785:O785" si="3957">countif($D785,"*"&amp;H$2&amp;"*")</f>
        <v>0</v>
      </c>
      <c r="I785" s="200">
        <f t="shared" si="3957"/>
        <v>0</v>
      </c>
      <c r="J785" s="200">
        <f t="shared" si="3957"/>
        <v>0</v>
      </c>
      <c r="K785" s="200">
        <f t="shared" si="3957"/>
        <v>0</v>
      </c>
      <c r="L785" s="200">
        <f t="shared" si="3957"/>
        <v>0</v>
      </c>
      <c r="M785" s="200">
        <f t="shared" si="3957"/>
        <v>0</v>
      </c>
      <c r="N785" s="200">
        <f t="shared" si="3957"/>
        <v>0</v>
      </c>
      <c r="O785" s="200">
        <f t="shared" si="3957"/>
        <v>0</v>
      </c>
      <c r="P785" s="200">
        <f t="shared" si="9"/>
        <v>0</v>
      </c>
      <c r="Q785" s="200">
        <f t="shared" ref="Q785:AC785" si="3958">countif($D785,"*"&amp;Q$2&amp;"*")</f>
        <v>0</v>
      </c>
      <c r="R785" s="200">
        <f t="shared" si="3958"/>
        <v>0</v>
      </c>
      <c r="S785" s="200">
        <f t="shared" si="3958"/>
        <v>0</v>
      </c>
      <c r="T785" s="200">
        <f t="shared" si="3958"/>
        <v>0</v>
      </c>
      <c r="U785" s="200">
        <f t="shared" si="3958"/>
        <v>0</v>
      </c>
      <c r="V785" s="200">
        <f t="shared" si="3958"/>
        <v>0</v>
      </c>
      <c r="W785" s="200">
        <f t="shared" si="3958"/>
        <v>0</v>
      </c>
      <c r="X785" s="200">
        <f t="shared" si="3958"/>
        <v>0</v>
      </c>
      <c r="Y785" s="200">
        <f t="shared" si="3958"/>
        <v>0</v>
      </c>
      <c r="Z785" s="200">
        <f t="shared" si="3958"/>
        <v>0</v>
      </c>
      <c r="AA785" s="200">
        <f t="shared" si="3958"/>
        <v>0</v>
      </c>
      <c r="AB785" s="200">
        <f t="shared" si="3958"/>
        <v>0</v>
      </c>
      <c r="AC785" s="200">
        <f t="shared" si="3958"/>
        <v>0</v>
      </c>
      <c r="AD785" s="200">
        <f t="shared" si="11"/>
        <v>1</v>
      </c>
      <c r="AE785" s="200">
        <f t="shared" ref="AE785:AG785" si="3959">countif($D785,"*"&amp;AE$2&amp;"*")</f>
        <v>0</v>
      </c>
      <c r="AF785" s="200">
        <f t="shared" si="3959"/>
        <v>0</v>
      </c>
      <c r="AG785" s="200">
        <f t="shared" si="3959"/>
        <v>0</v>
      </c>
      <c r="AH785" s="171">
        <f t="shared" si="13"/>
        <v>0</v>
      </c>
      <c r="AI785" s="200">
        <f t="shared" si="14"/>
        <v>0</v>
      </c>
      <c r="AJ785" s="200">
        <f t="shared" si="3960"/>
        <v>0</v>
      </c>
      <c r="AK785" s="201">
        <f t="shared" ref="AK785:AS785" si="3961">countif($D785,"*"&amp;AK$2&amp;"*")</f>
        <v>0</v>
      </c>
      <c r="AL785" s="201">
        <f t="shared" si="3961"/>
        <v>0</v>
      </c>
      <c r="AM785" s="201">
        <f t="shared" si="3961"/>
        <v>0</v>
      </c>
      <c r="AN785" s="201">
        <f t="shared" si="3961"/>
        <v>0</v>
      </c>
      <c r="AO785" s="201">
        <f t="shared" si="3961"/>
        <v>0</v>
      </c>
      <c r="AP785" s="201">
        <f t="shared" si="3961"/>
        <v>0</v>
      </c>
      <c r="AQ785" s="201">
        <f t="shared" si="3961"/>
        <v>0</v>
      </c>
      <c r="AR785" s="201">
        <f t="shared" si="3961"/>
        <v>0</v>
      </c>
      <c r="AS785" s="200">
        <f t="shared" si="3961"/>
        <v>0</v>
      </c>
      <c r="AT785" s="205">
        <v>0.0</v>
      </c>
      <c r="AU785" s="200">
        <f t="shared" ref="AU785:AX785" si="3962">countif($D785,"*"&amp;AU$2&amp;"*")</f>
        <v>1</v>
      </c>
      <c r="AV785" s="200">
        <f t="shared" si="3962"/>
        <v>0</v>
      </c>
      <c r="AW785" s="200">
        <f t="shared" si="3962"/>
        <v>0</v>
      </c>
      <c r="AX785" s="200">
        <f t="shared" si="3962"/>
        <v>0</v>
      </c>
      <c r="AY785" s="202">
        <v>0.0</v>
      </c>
      <c r="AZ785" s="200"/>
      <c r="BA785" s="171" t="str">
        <f t="shared" si="18"/>
        <v/>
      </c>
      <c r="BB785" s="171" t="str">
        <f t="shared" si="19"/>
        <v/>
      </c>
      <c r="BC785" s="171" t="str">
        <f t="shared" si="20"/>
        <v/>
      </c>
      <c r="BD785" s="171" t="str">
        <f t="shared" si="21"/>
        <v>Institutional</v>
      </c>
      <c r="BE785" s="171" t="str">
        <f t="shared" si="22"/>
        <v/>
      </c>
      <c r="BF785" s="171" t="str">
        <f t="shared" si="23"/>
        <v>Institutional</v>
      </c>
    </row>
    <row r="786">
      <c r="A786" s="171">
        <f t="array" ref="A786">XLOOKUP(C786,ICSE!A:A,ICSE!C:C,,2,1)</f>
        <v>2016</v>
      </c>
      <c r="B786" s="171" t="s">
        <v>5675</v>
      </c>
      <c r="C786" s="160">
        <v>1549.0</v>
      </c>
      <c r="D786" s="161" t="s">
        <v>570</v>
      </c>
      <c r="E786" s="197" t="str">
        <f t="array" ref="E786">XLOOKUP(C786,ICSE!A:A,ICSE!Z:Z,,0,1)</f>
        <v>Not available (1) - Broken link.</v>
      </c>
      <c r="F786" s="198" t="s">
        <v>21</v>
      </c>
      <c r="G786" s="163" t="str">
        <f t="array" ref="G786">IF(B786="ICSE",IF(COUNTIFS(B:B,B786,C:C,C786)=XLOOKUP(C786,ICSE!A:A,ICSE!AA:AA,"ERROR",0,1),"OK","ERROR"),IF(B786="FSE",IF(COUNTIFS(B:B,B786,C:C,C786)=XLOOKUP(C786,FSE!A:A,FSE!AA:AA,"ERROR",0,1),"OK","ERROR")))</f>
        <v>OK</v>
      </c>
      <c r="H786" s="199">
        <f t="shared" ref="H786:O786" si="3963">countif($D786,"*"&amp;H$2&amp;"*")</f>
        <v>0</v>
      </c>
      <c r="I786" s="200">
        <f t="shared" si="3963"/>
        <v>0</v>
      </c>
      <c r="J786" s="200">
        <f t="shared" si="3963"/>
        <v>0</v>
      </c>
      <c r="K786" s="200">
        <f t="shared" si="3963"/>
        <v>0</v>
      </c>
      <c r="L786" s="200">
        <f t="shared" si="3963"/>
        <v>0</v>
      </c>
      <c r="M786" s="200">
        <f t="shared" si="3963"/>
        <v>0</v>
      </c>
      <c r="N786" s="200">
        <f t="shared" si="3963"/>
        <v>0</v>
      </c>
      <c r="O786" s="200">
        <f t="shared" si="3963"/>
        <v>0</v>
      </c>
      <c r="P786" s="200">
        <f t="shared" si="9"/>
        <v>0</v>
      </c>
      <c r="Q786" s="200">
        <f t="shared" ref="Q786:AC786" si="3964">countif($D786,"*"&amp;Q$2&amp;"*")</f>
        <v>0</v>
      </c>
      <c r="R786" s="200">
        <f t="shared" si="3964"/>
        <v>0</v>
      </c>
      <c r="S786" s="200">
        <f t="shared" si="3964"/>
        <v>0</v>
      </c>
      <c r="T786" s="200">
        <f t="shared" si="3964"/>
        <v>0</v>
      </c>
      <c r="U786" s="200">
        <f t="shared" si="3964"/>
        <v>0</v>
      </c>
      <c r="V786" s="200">
        <f t="shared" si="3964"/>
        <v>0</v>
      </c>
      <c r="W786" s="200">
        <f t="shared" si="3964"/>
        <v>0</v>
      </c>
      <c r="X786" s="200">
        <f t="shared" si="3964"/>
        <v>0</v>
      </c>
      <c r="Y786" s="200">
        <f t="shared" si="3964"/>
        <v>0</v>
      </c>
      <c r="Z786" s="200">
        <f t="shared" si="3964"/>
        <v>0</v>
      </c>
      <c r="AA786" s="200">
        <f t="shared" si="3964"/>
        <v>0</v>
      </c>
      <c r="AB786" s="200">
        <f t="shared" si="3964"/>
        <v>0</v>
      </c>
      <c r="AC786" s="200">
        <f t="shared" si="3964"/>
        <v>0</v>
      </c>
      <c r="AD786" s="200">
        <f t="shared" si="11"/>
        <v>0</v>
      </c>
      <c r="AE786" s="200">
        <f t="shared" ref="AE786:AG786" si="3965">countif($D786,"*"&amp;AE$2&amp;"*")</f>
        <v>0</v>
      </c>
      <c r="AF786" s="200">
        <f t="shared" si="3965"/>
        <v>0</v>
      </c>
      <c r="AG786" s="200">
        <f t="shared" si="3965"/>
        <v>0</v>
      </c>
      <c r="AH786" s="171">
        <f t="shared" si="13"/>
        <v>1</v>
      </c>
      <c r="AI786" s="200">
        <f t="shared" si="14"/>
        <v>0</v>
      </c>
      <c r="AJ786" s="200">
        <f t="shared" ref="AJ786:AJ787" si="3971">SUM(AK786:AR786)</f>
        <v>0</v>
      </c>
      <c r="AK786" s="201">
        <f t="shared" ref="AK786:AS786" si="3966">countif($D786,"*"&amp;AK$2&amp;"*")</f>
        <v>0</v>
      </c>
      <c r="AL786" s="201">
        <f t="shared" si="3966"/>
        <v>0</v>
      </c>
      <c r="AM786" s="201">
        <f t="shared" si="3966"/>
        <v>0</v>
      </c>
      <c r="AN786" s="201">
        <f t="shared" si="3966"/>
        <v>0</v>
      </c>
      <c r="AO786" s="201">
        <f t="shared" si="3966"/>
        <v>0</v>
      </c>
      <c r="AP786" s="201">
        <f t="shared" si="3966"/>
        <v>0</v>
      </c>
      <c r="AQ786" s="201">
        <f t="shared" si="3966"/>
        <v>0</v>
      </c>
      <c r="AR786" s="200">
        <f t="shared" si="3966"/>
        <v>0</v>
      </c>
      <c r="AS786" s="200">
        <f t="shared" si="3966"/>
        <v>0</v>
      </c>
      <c r="AT786" s="173">
        <v>0.0</v>
      </c>
      <c r="AU786" s="200">
        <f t="shared" ref="AU786:AX786" si="3967">countif($D786,"*"&amp;AU$2&amp;"*")</f>
        <v>0</v>
      </c>
      <c r="AV786" s="200">
        <f t="shared" si="3967"/>
        <v>0</v>
      </c>
      <c r="AW786" s="200">
        <f t="shared" si="3967"/>
        <v>0</v>
      </c>
      <c r="AX786" s="200">
        <f t="shared" si="3967"/>
        <v>0</v>
      </c>
      <c r="AY786" s="202">
        <v>0.0</v>
      </c>
      <c r="AZ786" s="200"/>
      <c r="BA786" s="171" t="str">
        <f t="shared" si="18"/>
        <v/>
      </c>
      <c r="BB786" s="171" t="str">
        <f t="shared" si="19"/>
        <v/>
      </c>
      <c r="BC786" s="171" t="str">
        <f t="shared" si="20"/>
        <v/>
      </c>
      <c r="BD786" s="171" t="str">
        <f t="shared" si="21"/>
        <v/>
      </c>
      <c r="BE786" s="171" t="str">
        <f t="shared" si="22"/>
        <v>Others</v>
      </c>
      <c r="BF786" s="171" t="str">
        <f t="shared" si="23"/>
        <v>Others</v>
      </c>
    </row>
    <row r="787">
      <c r="A787" s="171">
        <f t="array" ref="A787">XLOOKUP(C787,ICSE!A:A,ICSE!C:C,,2,1)</f>
        <v>2016</v>
      </c>
      <c r="B787" s="171" t="s">
        <v>5675</v>
      </c>
      <c r="C787" s="160">
        <v>1550.0</v>
      </c>
      <c r="D787" s="161" t="s">
        <v>573</v>
      </c>
      <c r="E787" s="197" t="str">
        <f t="array" ref="E787">XLOOKUP(C787,ICSE!A:A,ICSE!Z:Z,,0,1)</f>
        <v>Publicly available (1)</v>
      </c>
      <c r="F787" s="198" t="s">
        <v>20</v>
      </c>
      <c r="G787" s="163" t="str">
        <f t="array" ref="G787">IF(B787="ICSE",IF(COUNTIFS(B:B,B787,C:C,C787)=XLOOKUP(C787,ICSE!A:A,ICSE!AA:AA,"ERROR",0,1),"OK","ERROR"),IF(B787="FSE",IF(COUNTIFS(B:B,B787,C:C,C787)=XLOOKUP(C787,FSE!A:A,FSE!AA:AA,"ERROR",0,1),"OK","ERROR")))</f>
        <v>OK</v>
      </c>
      <c r="H787" s="199">
        <f t="shared" ref="H787:O787" si="3968">countif($D787,"*"&amp;H$2&amp;"*")</f>
        <v>0</v>
      </c>
      <c r="I787" s="200">
        <f t="shared" si="3968"/>
        <v>0</v>
      </c>
      <c r="J787" s="200">
        <f t="shared" si="3968"/>
        <v>0</v>
      </c>
      <c r="K787" s="200">
        <f t="shared" si="3968"/>
        <v>0</v>
      </c>
      <c r="L787" s="200">
        <f t="shared" si="3968"/>
        <v>0</v>
      </c>
      <c r="M787" s="200">
        <f t="shared" si="3968"/>
        <v>0</v>
      </c>
      <c r="N787" s="200">
        <f t="shared" si="3968"/>
        <v>0</v>
      </c>
      <c r="O787" s="200">
        <f t="shared" si="3968"/>
        <v>0</v>
      </c>
      <c r="P787" s="200">
        <f t="shared" si="9"/>
        <v>0</v>
      </c>
      <c r="Q787" s="200">
        <f t="shared" ref="Q787:AC787" si="3969">countif($D787,"*"&amp;Q$2&amp;"*")</f>
        <v>0</v>
      </c>
      <c r="R787" s="200">
        <f t="shared" si="3969"/>
        <v>0</v>
      </c>
      <c r="S787" s="200">
        <f t="shared" si="3969"/>
        <v>0</v>
      </c>
      <c r="T787" s="200">
        <f t="shared" si="3969"/>
        <v>0</v>
      </c>
      <c r="U787" s="200">
        <f t="shared" si="3969"/>
        <v>0</v>
      </c>
      <c r="V787" s="200">
        <f t="shared" si="3969"/>
        <v>0</v>
      </c>
      <c r="W787" s="200">
        <f t="shared" si="3969"/>
        <v>0</v>
      </c>
      <c r="X787" s="200">
        <f t="shared" si="3969"/>
        <v>0</v>
      </c>
      <c r="Y787" s="200">
        <f t="shared" si="3969"/>
        <v>0</v>
      </c>
      <c r="Z787" s="200">
        <f t="shared" si="3969"/>
        <v>0</v>
      </c>
      <c r="AA787" s="200">
        <f t="shared" si="3969"/>
        <v>0</v>
      </c>
      <c r="AB787" s="200">
        <f t="shared" si="3969"/>
        <v>0</v>
      </c>
      <c r="AC787" s="200">
        <f t="shared" si="3969"/>
        <v>0</v>
      </c>
      <c r="AD787" s="200">
        <f t="shared" si="11"/>
        <v>0</v>
      </c>
      <c r="AE787" s="200">
        <f t="shared" ref="AE787:AG787" si="3970">countif($D787,"*"&amp;AE$2&amp;"*")</f>
        <v>0</v>
      </c>
      <c r="AF787" s="200">
        <f t="shared" si="3970"/>
        <v>0</v>
      </c>
      <c r="AG787" s="200">
        <f t="shared" si="3970"/>
        <v>0</v>
      </c>
      <c r="AH787" s="171">
        <f t="shared" si="13"/>
        <v>1</v>
      </c>
      <c r="AI787" s="200">
        <f t="shared" si="14"/>
        <v>0</v>
      </c>
      <c r="AJ787" s="200">
        <f t="shared" si="3971"/>
        <v>0</v>
      </c>
      <c r="AK787" s="201">
        <f t="shared" ref="AK787:AS787" si="3972">countif($D787,"*"&amp;AK$2&amp;"*")</f>
        <v>0</v>
      </c>
      <c r="AL787" s="201">
        <f t="shared" si="3972"/>
        <v>0</v>
      </c>
      <c r="AM787" s="201">
        <f t="shared" si="3972"/>
        <v>0</v>
      </c>
      <c r="AN787" s="201">
        <f t="shared" si="3972"/>
        <v>0</v>
      </c>
      <c r="AO787" s="201">
        <f t="shared" si="3972"/>
        <v>0</v>
      </c>
      <c r="AP787" s="201">
        <f t="shared" si="3972"/>
        <v>0</v>
      </c>
      <c r="AQ787" s="201">
        <f t="shared" si="3972"/>
        <v>0</v>
      </c>
      <c r="AR787" s="200">
        <f t="shared" si="3972"/>
        <v>0</v>
      </c>
      <c r="AS787" s="200">
        <f t="shared" si="3972"/>
        <v>0</v>
      </c>
      <c r="AT787" s="173">
        <v>0.0</v>
      </c>
      <c r="AU787" s="200">
        <f t="shared" ref="AU787:AX787" si="3973">countif($D787,"*"&amp;AU$2&amp;"*")</f>
        <v>0</v>
      </c>
      <c r="AV787" s="200">
        <f t="shared" si="3973"/>
        <v>0</v>
      </c>
      <c r="AW787" s="200">
        <f t="shared" si="3973"/>
        <v>0</v>
      </c>
      <c r="AX787" s="200">
        <f t="shared" si="3973"/>
        <v>0</v>
      </c>
      <c r="AY787" s="202">
        <v>0.0</v>
      </c>
      <c r="AZ787" s="200"/>
      <c r="BA787" s="171" t="str">
        <f t="shared" si="18"/>
        <v/>
      </c>
      <c r="BB787" s="171" t="str">
        <f t="shared" si="19"/>
        <v/>
      </c>
      <c r="BC787" s="171" t="str">
        <f t="shared" si="20"/>
        <v/>
      </c>
      <c r="BD787" s="171" t="str">
        <f t="shared" si="21"/>
        <v/>
      </c>
      <c r="BE787" s="171" t="str">
        <f t="shared" si="22"/>
        <v>Others</v>
      </c>
      <c r="BF787" s="171" t="str">
        <f t="shared" si="23"/>
        <v>Others</v>
      </c>
    </row>
    <row r="788">
      <c r="A788" s="171">
        <f t="array" ref="A788">XLOOKUP(C788,ICSE!A:A,ICSE!C:C,,2,1)</f>
        <v>2016</v>
      </c>
      <c r="B788" s="171" t="s">
        <v>5675</v>
      </c>
      <c r="C788" s="160">
        <v>1551.0</v>
      </c>
      <c r="D788" s="161" t="s">
        <v>576</v>
      </c>
      <c r="E788" s="197" t="str">
        <f t="array" ref="E788">XLOOKUP(C788,ICSE!A:A,ICSE!Z:Z,,0,1)</f>
        <v>Not available (1) - Broken link.</v>
      </c>
      <c r="F788" s="198" t="s">
        <v>21</v>
      </c>
      <c r="G788" s="163" t="str">
        <f t="array" ref="G788">IF(B788="ICSE",IF(COUNTIFS(B:B,B788,C:C,C788)=XLOOKUP(C788,ICSE!A:A,ICSE!AA:AA,"ERROR",0,1),"OK","ERROR"),IF(B788="FSE",IF(COUNTIFS(B:B,B788,C:C,C788)=XLOOKUP(C788,FSE!A:A,FSE!AA:AA,"ERROR",0,1),"OK","ERROR")))</f>
        <v>OK</v>
      </c>
      <c r="H788" s="199">
        <f t="shared" ref="H788:O788" si="3974">countif($D788,"*"&amp;H$2&amp;"*")</f>
        <v>0</v>
      </c>
      <c r="I788" s="200">
        <f t="shared" si="3974"/>
        <v>0</v>
      </c>
      <c r="J788" s="200">
        <f t="shared" si="3974"/>
        <v>0</v>
      </c>
      <c r="K788" s="200">
        <f t="shared" si="3974"/>
        <v>0</v>
      </c>
      <c r="L788" s="200">
        <f t="shared" si="3974"/>
        <v>0</v>
      </c>
      <c r="M788" s="200">
        <f t="shared" si="3974"/>
        <v>0</v>
      </c>
      <c r="N788" s="200">
        <f t="shared" si="3974"/>
        <v>0</v>
      </c>
      <c r="O788" s="200">
        <f t="shared" si="3974"/>
        <v>0</v>
      </c>
      <c r="P788" s="200">
        <f t="shared" si="9"/>
        <v>0</v>
      </c>
      <c r="Q788" s="200">
        <f t="shared" ref="Q788:AC788" si="3975">countif($D788,"*"&amp;Q$2&amp;"*")</f>
        <v>0</v>
      </c>
      <c r="R788" s="200">
        <f t="shared" si="3975"/>
        <v>0</v>
      </c>
      <c r="S788" s="200">
        <f t="shared" si="3975"/>
        <v>0</v>
      </c>
      <c r="T788" s="200">
        <f t="shared" si="3975"/>
        <v>0</v>
      </c>
      <c r="U788" s="200">
        <f t="shared" si="3975"/>
        <v>0</v>
      </c>
      <c r="V788" s="200">
        <f t="shared" si="3975"/>
        <v>0</v>
      </c>
      <c r="W788" s="200">
        <f t="shared" si="3975"/>
        <v>0</v>
      </c>
      <c r="X788" s="200">
        <f t="shared" si="3975"/>
        <v>0</v>
      </c>
      <c r="Y788" s="200">
        <f t="shared" si="3975"/>
        <v>0</v>
      </c>
      <c r="Z788" s="200">
        <f t="shared" si="3975"/>
        <v>0</v>
      </c>
      <c r="AA788" s="200">
        <f t="shared" si="3975"/>
        <v>0</v>
      </c>
      <c r="AB788" s="200">
        <f t="shared" si="3975"/>
        <v>0</v>
      </c>
      <c r="AC788" s="200">
        <f t="shared" si="3975"/>
        <v>0</v>
      </c>
      <c r="AD788" s="200">
        <f t="shared" si="11"/>
        <v>1</v>
      </c>
      <c r="AE788" s="200">
        <f t="shared" ref="AE788:AG788" si="3976">countif($D788,"*"&amp;AE$2&amp;"*")</f>
        <v>0</v>
      </c>
      <c r="AF788" s="200">
        <f t="shared" si="3976"/>
        <v>0</v>
      </c>
      <c r="AG788" s="200">
        <f t="shared" si="3976"/>
        <v>0</v>
      </c>
      <c r="AH788" s="171">
        <f t="shared" si="13"/>
        <v>0</v>
      </c>
      <c r="AI788" s="200">
        <f t="shared" si="14"/>
        <v>0</v>
      </c>
      <c r="AJ788" s="200">
        <f>SUM(AK788:AQ788)</f>
        <v>0</v>
      </c>
      <c r="AK788" s="201">
        <f t="shared" ref="AK788:AS788" si="3977">countif($D788,"*"&amp;AK$2&amp;"*")</f>
        <v>0</v>
      </c>
      <c r="AL788" s="201">
        <f t="shared" si="3977"/>
        <v>0</v>
      </c>
      <c r="AM788" s="201">
        <f t="shared" si="3977"/>
        <v>0</v>
      </c>
      <c r="AN788" s="201">
        <f t="shared" si="3977"/>
        <v>0</v>
      </c>
      <c r="AO788" s="201">
        <f t="shared" si="3977"/>
        <v>0</v>
      </c>
      <c r="AP788" s="201">
        <f t="shared" si="3977"/>
        <v>0</v>
      </c>
      <c r="AQ788" s="201">
        <f t="shared" si="3977"/>
        <v>0</v>
      </c>
      <c r="AR788" s="201">
        <f t="shared" si="3977"/>
        <v>0</v>
      </c>
      <c r="AS788" s="200">
        <f t="shared" si="3977"/>
        <v>0</v>
      </c>
      <c r="AT788" s="205">
        <v>0.0</v>
      </c>
      <c r="AU788" s="200">
        <f t="shared" ref="AU788:AX788" si="3978">countif($D788,"*"&amp;AU$2&amp;"*")</f>
        <v>1</v>
      </c>
      <c r="AV788" s="200">
        <f t="shared" si="3978"/>
        <v>0</v>
      </c>
      <c r="AW788" s="200">
        <f t="shared" si="3978"/>
        <v>0</v>
      </c>
      <c r="AX788" s="200">
        <f t="shared" si="3978"/>
        <v>0</v>
      </c>
      <c r="AY788" s="202">
        <v>0.0</v>
      </c>
      <c r="AZ788" s="200"/>
      <c r="BA788" s="171" t="str">
        <f t="shared" si="18"/>
        <v/>
      </c>
      <c r="BB788" s="171" t="str">
        <f t="shared" si="19"/>
        <v/>
      </c>
      <c r="BC788" s="171" t="str">
        <f t="shared" si="20"/>
        <v/>
      </c>
      <c r="BD788" s="171" t="str">
        <f t="shared" si="21"/>
        <v>Institutional</v>
      </c>
      <c r="BE788" s="171" t="str">
        <f t="shared" si="22"/>
        <v/>
      </c>
      <c r="BF788" s="171" t="str">
        <f t="shared" si="23"/>
        <v>Institutional</v>
      </c>
    </row>
    <row r="789">
      <c r="A789" s="171">
        <f t="array" ref="A789">XLOOKUP(C789,ICSE!A:A,ICSE!C:C,,2,1)</f>
        <v>2016</v>
      </c>
      <c r="B789" s="171" t="s">
        <v>5675</v>
      </c>
      <c r="C789" s="160">
        <v>1552.0</v>
      </c>
      <c r="D789" s="161" t="s">
        <v>6007</v>
      </c>
      <c r="E789" s="197" t="str">
        <f t="array" ref="E789">XLOOKUP(C789,ICSE!A:A,ICSE!Z:Z,,0,1)</f>
        <v>Publicly available (3)</v>
      </c>
      <c r="F789" s="198" t="s">
        <v>20</v>
      </c>
      <c r="G789" s="163" t="str">
        <f t="array" ref="G789">IF(B789="ICSE",IF(COUNTIFS(B:B,B789,C:C,C789)=XLOOKUP(C789,ICSE!A:A,ICSE!AA:AA,"ERROR",0,1),"OK","ERROR"),IF(B789="FSE",IF(COUNTIFS(B:B,B789,C:C,C789)=XLOOKUP(C789,FSE!A:A,FSE!AA:AA,"ERROR",0,1),"OK","ERROR")))</f>
        <v>OK</v>
      </c>
      <c r="H789" s="199">
        <f t="shared" ref="H789:O789" si="3979">countif($D789,"*"&amp;H$2&amp;"*")</f>
        <v>1</v>
      </c>
      <c r="I789" s="200">
        <f t="shared" si="3979"/>
        <v>0</v>
      </c>
      <c r="J789" s="200">
        <f t="shared" si="3979"/>
        <v>0</v>
      </c>
      <c r="K789" s="200">
        <f t="shared" si="3979"/>
        <v>0</v>
      </c>
      <c r="L789" s="200">
        <f t="shared" si="3979"/>
        <v>0</v>
      </c>
      <c r="M789" s="200">
        <f t="shared" si="3979"/>
        <v>0</v>
      </c>
      <c r="N789" s="200">
        <f t="shared" si="3979"/>
        <v>0</v>
      </c>
      <c r="O789" s="200">
        <f t="shared" si="3979"/>
        <v>0</v>
      </c>
      <c r="P789" s="200">
        <f t="shared" si="9"/>
        <v>0</v>
      </c>
      <c r="Q789" s="200">
        <f t="shared" ref="Q789:AC789" si="3980">countif($D789,"*"&amp;Q$2&amp;"*")</f>
        <v>0</v>
      </c>
      <c r="R789" s="200">
        <f t="shared" si="3980"/>
        <v>0</v>
      </c>
      <c r="S789" s="200">
        <f t="shared" si="3980"/>
        <v>0</v>
      </c>
      <c r="T789" s="200">
        <f t="shared" si="3980"/>
        <v>0</v>
      </c>
      <c r="U789" s="200">
        <f t="shared" si="3980"/>
        <v>0</v>
      </c>
      <c r="V789" s="200">
        <f t="shared" si="3980"/>
        <v>0</v>
      </c>
      <c r="W789" s="200">
        <f t="shared" si="3980"/>
        <v>0</v>
      </c>
      <c r="X789" s="200">
        <f t="shared" si="3980"/>
        <v>0</v>
      </c>
      <c r="Y789" s="200">
        <f t="shared" si="3980"/>
        <v>0</v>
      </c>
      <c r="Z789" s="200">
        <f t="shared" si="3980"/>
        <v>0</v>
      </c>
      <c r="AA789" s="200">
        <f t="shared" si="3980"/>
        <v>0</v>
      </c>
      <c r="AB789" s="200">
        <f t="shared" si="3980"/>
        <v>0</v>
      </c>
      <c r="AC789" s="200">
        <f t="shared" si="3980"/>
        <v>0</v>
      </c>
      <c r="AD789" s="200">
        <f t="shared" si="11"/>
        <v>0</v>
      </c>
      <c r="AE789" s="200">
        <f t="shared" ref="AE789:AG789" si="3981">countif($D789,"*"&amp;AE$2&amp;"*")</f>
        <v>0</v>
      </c>
      <c r="AF789" s="200">
        <f t="shared" si="3981"/>
        <v>0</v>
      </c>
      <c r="AG789" s="200">
        <f t="shared" si="3981"/>
        <v>0</v>
      </c>
      <c r="AH789" s="171">
        <f t="shared" si="13"/>
        <v>0</v>
      </c>
      <c r="AI789" s="200">
        <f t="shared" si="14"/>
        <v>1</v>
      </c>
      <c r="AJ789" s="200">
        <f t="shared" ref="AJ789:AJ791" si="3987">SUM(AK789:AR789)</f>
        <v>0</v>
      </c>
      <c r="AK789" s="201">
        <f t="shared" ref="AK789:AS789" si="3982">countif($D789,"*"&amp;AK$2&amp;"*")</f>
        <v>0</v>
      </c>
      <c r="AL789" s="201">
        <f t="shared" si="3982"/>
        <v>0</v>
      </c>
      <c r="AM789" s="201">
        <f t="shared" si="3982"/>
        <v>0</v>
      </c>
      <c r="AN789" s="201">
        <f t="shared" si="3982"/>
        <v>0</v>
      </c>
      <c r="AO789" s="201">
        <f t="shared" si="3982"/>
        <v>0</v>
      </c>
      <c r="AP789" s="201">
        <f t="shared" si="3982"/>
        <v>0</v>
      </c>
      <c r="AQ789" s="201">
        <f t="shared" si="3982"/>
        <v>0</v>
      </c>
      <c r="AR789" s="200">
        <f t="shared" si="3982"/>
        <v>0</v>
      </c>
      <c r="AS789" s="200">
        <f t="shared" si="3982"/>
        <v>0</v>
      </c>
      <c r="AT789" s="173">
        <v>0.0</v>
      </c>
      <c r="AU789" s="200">
        <f t="shared" ref="AU789:AX789" si="3983">countif($D789,"*"&amp;AU$2&amp;"*")</f>
        <v>0</v>
      </c>
      <c r="AV789" s="200">
        <f t="shared" si="3983"/>
        <v>0</v>
      </c>
      <c r="AW789" s="200">
        <f t="shared" si="3983"/>
        <v>0</v>
      </c>
      <c r="AX789" s="200">
        <f t="shared" si="3983"/>
        <v>1</v>
      </c>
      <c r="AY789" s="202">
        <v>0.0</v>
      </c>
      <c r="AZ789" s="200"/>
      <c r="BA789" s="171" t="str">
        <f t="shared" si="18"/>
        <v>Archival</v>
      </c>
      <c r="BB789" s="171" t="str">
        <f t="shared" si="19"/>
        <v/>
      </c>
      <c r="BC789" s="171" t="str">
        <f t="shared" si="20"/>
        <v/>
      </c>
      <c r="BD789" s="171" t="str">
        <f t="shared" si="21"/>
        <v/>
      </c>
      <c r="BE789" s="171" t="str">
        <f t="shared" si="22"/>
        <v/>
      </c>
      <c r="BF789" s="171" t="str">
        <f t="shared" si="23"/>
        <v>Archival</v>
      </c>
    </row>
    <row r="790">
      <c r="A790" s="171">
        <f t="array" ref="A790">XLOOKUP(C790,ICSE!A:A,ICSE!C:C,,2,1)</f>
        <v>2016</v>
      </c>
      <c r="B790" s="171" t="s">
        <v>5675</v>
      </c>
      <c r="C790" s="160">
        <v>1552.0</v>
      </c>
      <c r="D790" s="161" t="s">
        <v>6008</v>
      </c>
      <c r="E790" s="197" t="str">
        <f t="array" ref="E790">XLOOKUP(C790,ICSE!A:A,ICSE!Z:Z,,0,1)</f>
        <v>Publicly available (3)</v>
      </c>
      <c r="F790" s="198" t="s">
        <v>20</v>
      </c>
      <c r="G790" s="163" t="str">
        <f t="array" ref="G790">IF(B790="ICSE",IF(COUNTIFS(B:B,B790,C:C,C790)=XLOOKUP(C790,ICSE!A:A,ICSE!AA:AA,"ERROR",0,1),"OK","ERROR"),IF(B790="FSE",IF(COUNTIFS(B:B,B790,C:C,C790)=XLOOKUP(C790,FSE!A:A,FSE!AA:AA,"ERROR",0,1),"OK","ERROR")))</f>
        <v>OK</v>
      </c>
      <c r="H790" s="199">
        <f t="shared" ref="H790:O790" si="3984">countif($D790,"*"&amp;H$2&amp;"*")</f>
        <v>0</v>
      </c>
      <c r="I790" s="200">
        <f t="shared" si="3984"/>
        <v>0</v>
      </c>
      <c r="J790" s="200">
        <f t="shared" si="3984"/>
        <v>0</v>
      </c>
      <c r="K790" s="200">
        <f t="shared" si="3984"/>
        <v>0</v>
      </c>
      <c r="L790" s="200">
        <f t="shared" si="3984"/>
        <v>0</v>
      </c>
      <c r="M790" s="200">
        <f t="shared" si="3984"/>
        <v>0</v>
      </c>
      <c r="N790" s="200">
        <f t="shared" si="3984"/>
        <v>0</v>
      </c>
      <c r="O790" s="200">
        <f t="shared" si="3984"/>
        <v>0</v>
      </c>
      <c r="P790" s="200">
        <f t="shared" si="9"/>
        <v>0</v>
      </c>
      <c r="Q790" s="200">
        <f t="shared" ref="Q790:AC790" si="3985">countif($D790,"*"&amp;Q$2&amp;"*")</f>
        <v>0</v>
      </c>
      <c r="R790" s="200">
        <f t="shared" si="3985"/>
        <v>0</v>
      </c>
      <c r="S790" s="200">
        <f t="shared" si="3985"/>
        <v>0</v>
      </c>
      <c r="T790" s="200">
        <f t="shared" si="3985"/>
        <v>0</v>
      </c>
      <c r="U790" s="200">
        <f t="shared" si="3985"/>
        <v>0</v>
      </c>
      <c r="V790" s="200">
        <f t="shared" si="3985"/>
        <v>0</v>
      </c>
      <c r="W790" s="200">
        <f t="shared" si="3985"/>
        <v>0</v>
      </c>
      <c r="X790" s="200">
        <f t="shared" si="3985"/>
        <v>0</v>
      </c>
      <c r="Y790" s="200">
        <f t="shared" si="3985"/>
        <v>0</v>
      </c>
      <c r="Z790" s="200">
        <f t="shared" si="3985"/>
        <v>0</v>
      </c>
      <c r="AA790" s="200">
        <f t="shared" si="3985"/>
        <v>0</v>
      </c>
      <c r="AB790" s="200">
        <f t="shared" si="3985"/>
        <v>0</v>
      </c>
      <c r="AC790" s="200">
        <f t="shared" si="3985"/>
        <v>0</v>
      </c>
      <c r="AD790" s="200">
        <f t="shared" si="11"/>
        <v>1</v>
      </c>
      <c r="AE790" s="200">
        <f t="shared" ref="AE790:AG790" si="3986">countif($D790,"*"&amp;AE$2&amp;"*")</f>
        <v>0</v>
      </c>
      <c r="AF790" s="200">
        <f t="shared" si="3986"/>
        <v>0</v>
      </c>
      <c r="AG790" s="200">
        <f t="shared" si="3986"/>
        <v>0</v>
      </c>
      <c r="AH790" s="171">
        <f t="shared" si="13"/>
        <v>0</v>
      </c>
      <c r="AI790" s="200">
        <f t="shared" si="14"/>
        <v>0</v>
      </c>
      <c r="AJ790" s="200">
        <f t="shared" si="3987"/>
        <v>0</v>
      </c>
      <c r="AK790" s="201">
        <f t="shared" ref="AK790:AS790" si="3988">countif($D790,"*"&amp;AK$2&amp;"*")</f>
        <v>0</v>
      </c>
      <c r="AL790" s="201">
        <f t="shared" si="3988"/>
        <v>0</v>
      </c>
      <c r="AM790" s="201">
        <f t="shared" si="3988"/>
        <v>0</v>
      </c>
      <c r="AN790" s="201">
        <f t="shared" si="3988"/>
        <v>0</v>
      </c>
      <c r="AO790" s="201">
        <f t="shared" si="3988"/>
        <v>0</v>
      </c>
      <c r="AP790" s="201">
        <f t="shared" si="3988"/>
        <v>0</v>
      </c>
      <c r="AQ790" s="201">
        <f t="shared" si="3988"/>
        <v>0</v>
      </c>
      <c r="AR790" s="200">
        <f t="shared" si="3988"/>
        <v>0</v>
      </c>
      <c r="AS790" s="200">
        <f t="shared" si="3988"/>
        <v>0</v>
      </c>
      <c r="AT790" s="173">
        <v>1.0</v>
      </c>
      <c r="AU790" s="200">
        <f t="shared" ref="AU790:AX790" si="3989">countif($D790,"*"&amp;AU$2&amp;"*")</f>
        <v>0</v>
      </c>
      <c r="AV790" s="200">
        <f t="shared" si="3989"/>
        <v>0</v>
      </c>
      <c r="AW790" s="200">
        <f t="shared" si="3989"/>
        <v>0</v>
      </c>
      <c r="AX790" s="200">
        <f t="shared" si="3989"/>
        <v>0</v>
      </c>
      <c r="AY790" s="202">
        <v>0.0</v>
      </c>
      <c r="AZ790" s="200"/>
      <c r="BA790" s="171" t="str">
        <f t="shared" si="18"/>
        <v/>
      </c>
      <c r="BB790" s="171" t="str">
        <f t="shared" si="19"/>
        <v/>
      </c>
      <c r="BC790" s="171" t="str">
        <f t="shared" si="20"/>
        <v/>
      </c>
      <c r="BD790" s="171" t="str">
        <f t="shared" si="21"/>
        <v>Institutional</v>
      </c>
      <c r="BE790" s="171" t="str">
        <f t="shared" si="22"/>
        <v/>
      </c>
      <c r="BF790" s="171" t="str">
        <f t="shared" si="23"/>
        <v>Institutional</v>
      </c>
    </row>
    <row r="791">
      <c r="A791" s="171">
        <f t="array" ref="A791">XLOOKUP(C791,ICSE!A:A,ICSE!C:C,,2,1)</f>
        <v>2016</v>
      </c>
      <c r="B791" s="171" t="s">
        <v>5675</v>
      </c>
      <c r="C791" s="160">
        <v>1552.0</v>
      </c>
      <c r="D791" s="161" t="s">
        <v>6009</v>
      </c>
      <c r="E791" s="197" t="str">
        <f t="array" ref="E791">XLOOKUP(C791,ICSE!A:A,ICSE!Z:Z,,0,1)</f>
        <v>Publicly available (3)</v>
      </c>
      <c r="F791" s="198" t="s">
        <v>20</v>
      </c>
      <c r="G791" s="163" t="str">
        <f t="array" ref="G791">IF(B791="ICSE",IF(COUNTIFS(B:B,B791,C:C,C791)=XLOOKUP(C791,ICSE!A:A,ICSE!AA:AA,"ERROR",0,1),"OK","ERROR"),IF(B791="FSE",IF(COUNTIFS(B:B,B791,C:C,C791)=XLOOKUP(C791,FSE!A:A,FSE!AA:AA,"ERROR",0,1),"OK","ERROR")))</f>
        <v>OK</v>
      </c>
      <c r="H791" s="199">
        <f t="shared" ref="H791:O791" si="3990">countif($D791,"*"&amp;H$2&amp;"*")</f>
        <v>0</v>
      </c>
      <c r="I791" s="200">
        <f t="shared" si="3990"/>
        <v>0</v>
      </c>
      <c r="J791" s="200">
        <f t="shared" si="3990"/>
        <v>0</v>
      </c>
      <c r="K791" s="200">
        <f t="shared" si="3990"/>
        <v>0</v>
      </c>
      <c r="L791" s="200">
        <f t="shared" si="3990"/>
        <v>0</v>
      </c>
      <c r="M791" s="200">
        <f t="shared" si="3990"/>
        <v>0</v>
      </c>
      <c r="N791" s="200">
        <f t="shared" si="3990"/>
        <v>0</v>
      </c>
      <c r="O791" s="200">
        <f t="shared" si="3990"/>
        <v>0</v>
      </c>
      <c r="P791" s="200">
        <f t="shared" si="9"/>
        <v>0</v>
      </c>
      <c r="Q791" s="200">
        <f t="shared" ref="Q791:AC791" si="3991">countif($D791,"*"&amp;Q$2&amp;"*")</f>
        <v>0</v>
      </c>
      <c r="R791" s="200">
        <f t="shared" si="3991"/>
        <v>0</v>
      </c>
      <c r="S791" s="200">
        <f t="shared" si="3991"/>
        <v>0</v>
      </c>
      <c r="T791" s="200">
        <f t="shared" si="3991"/>
        <v>0</v>
      </c>
      <c r="U791" s="200">
        <f t="shared" si="3991"/>
        <v>0</v>
      </c>
      <c r="V791" s="200">
        <f t="shared" si="3991"/>
        <v>0</v>
      </c>
      <c r="W791" s="200">
        <f t="shared" si="3991"/>
        <v>0</v>
      </c>
      <c r="X791" s="200">
        <f t="shared" si="3991"/>
        <v>0</v>
      </c>
      <c r="Y791" s="200">
        <f t="shared" si="3991"/>
        <v>0</v>
      </c>
      <c r="Z791" s="200">
        <f t="shared" si="3991"/>
        <v>0</v>
      </c>
      <c r="AA791" s="200">
        <f t="shared" si="3991"/>
        <v>0</v>
      </c>
      <c r="AB791" s="200">
        <f t="shared" si="3991"/>
        <v>0</v>
      </c>
      <c r="AC791" s="200">
        <f t="shared" si="3991"/>
        <v>0</v>
      </c>
      <c r="AD791" s="200">
        <f t="shared" si="11"/>
        <v>1</v>
      </c>
      <c r="AE791" s="200">
        <f t="shared" ref="AE791:AG791" si="3992">countif($D791,"*"&amp;AE$2&amp;"*")</f>
        <v>0</v>
      </c>
      <c r="AF791" s="200">
        <f t="shared" si="3992"/>
        <v>0</v>
      </c>
      <c r="AG791" s="200">
        <f t="shared" si="3992"/>
        <v>0</v>
      </c>
      <c r="AH791" s="171">
        <f t="shared" si="13"/>
        <v>0</v>
      </c>
      <c r="AI791" s="200">
        <f t="shared" si="14"/>
        <v>0</v>
      </c>
      <c r="AJ791" s="200">
        <f t="shared" si="3987"/>
        <v>0</v>
      </c>
      <c r="AK791" s="201">
        <f t="shared" ref="AK791:AS791" si="3993">countif($D791,"*"&amp;AK$2&amp;"*")</f>
        <v>0</v>
      </c>
      <c r="AL791" s="201">
        <f t="shared" si="3993"/>
        <v>0</v>
      </c>
      <c r="AM791" s="201">
        <f t="shared" si="3993"/>
        <v>0</v>
      </c>
      <c r="AN791" s="201">
        <f t="shared" si="3993"/>
        <v>0</v>
      </c>
      <c r="AO791" s="201">
        <f t="shared" si="3993"/>
        <v>0</v>
      </c>
      <c r="AP791" s="201">
        <f t="shared" si="3993"/>
        <v>0</v>
      </c>
      <c r="AQ791" s="201">
        <f t="shared" si="3993"/>
        <v>0</v>
      </c>
      <c r="AR791" s="200">
        <f t="shared" si="3993"/>
        <v>0</v>
      </c>
      <c r="AS791" s="200">
        <f t="shared" si="3993"/>
        <v>0</v>
      </c>
      <c r="AT791" s="173">
        <v>1.0</v>
      </c>
      <c r="AU791" s="200">
        <f t="shared" ref="AU791:AX791" si="3994">countif($D791,"*"&amp;AU$2&amp;"*")</f>
        <v>0</v>
      </c>
      <c r="AV791" s="200">
        <f t="shared" si="3994"/>
        <v>0</v>
      </c>
      <c r="AW791" s="200">
        <f t="shared" si="3994"/>
        <v>0</v>
      </c>
      <c r="AX791" s="200">
        <f t="shared" si="3994"/>
        <v>0</v>
      </c>
      <c r="AY791" s="202">
        <v>0.0</v>
      </c>
      <c r="AZ791" s="200"/>
      <c r="BA791" s="171" t="str">
        <f t="shared" si="18"/>
        <v/>
      </c>
      <c r="BB791" s="171" t="str">
        <f t="shared" si="19"/>
        <v/>
      </c>
      <c r="BC791" s="171" t="str">
        <f t="shared" si="20"/>
        <v/>
      </c>
      <c r="BD791" s="171" t="str">
        <f t="shared" si="21"/>
        <v>Institutional</v>
      </c>
      <c r="BE791" s="171" t="str">
        <f t="shared" si="22"/>
        <v/>
      </c>
      <c r="BF791" s="171" t="str">
        <f t="shared" si="23"/>
        <v>Institutional</v>
      </c>
    </row>
    <row r="792">
      <c r="A792" s="171">
        <f t="array" ref="A792">XLOOKUP(C792,ICSE!A:A,ICSE!C:C,,2,1)</f>
        <v>2016</v>
      </c>
      <c r="B792" s="171" t="s">
        <v>5675</v>
      </c>
      <c r="C792" s="160">
        <v>1553.0</v>
      </c>
      <c r="D792" s="161" t="s">
        <v>583</v>
      </c>
      <c r="E792" s="197" t="str">
        <f t="array" ref="E792">XLOOKUP(C792,ICSE!A:A,ICSE!Z:Z,,0,1)</f>
        <v>Publicly available (1)</v>
      </c>
      <c r="F792" s="198" t="s">
        <v>20</v>
      </c>
      <c r="G792" s="163" t="str">
        <f t="array" ref="G792">IF(B792="ICSE",IF(COUNTIFS(B:B,B792,C:C,C792)=XLOOKUP(C792,ICSE!A:A,ICSE!AA:AA,"ERROR",0,1),"OK","ERROR"),IF(B792="FSE",IF(COUNTIFS(B:B,B792,C:C,C792)=XLOOKUP(C792,FSE!A:A,FSE!AA:AA,"ERROR",0,1),"OK","ERROR")))</f>
        <v>OK</v>
      </c>
      <c r="H792" s="199">
        <f t="shared" ref="H792:O792" si="3995">countif($D792,"*"&amp;H$2&amp;"*")</f>
        <v>0</v>
      </c>
      <c r="I792" s="200">
        <f t="shared" si="3995"/>
        <v>0</v>
      </c>
      <c r="J792" s="200">
        <f t="shared" si="3995"/>
        <v>0</v>
      </c>
      <c r="K792" s="200">
        <f t="shared" si="3995"/>
        <v>0</v>
      </c>
      <c r="L792" s="200">
        <f t="shared" si="3995"/>
        <v>0</v>
      </c>
      <c r="M792" s="200">
        <f t="shared" si="3995"/>
        <v>0</v>
      </c>
      <c r="N792" s="200">
        <f t="shared" si="3995"/>
        <v>0</v>
      </c>
      <c r="O792" s="200">
        <f t="shared" si="3995"/>
        <v>0</v>
      </c>
      <c r="P792" s="200">
        <f t="shared" si="9"/>
        <v>0</v>
      </c>
      <c r="Q792" s="200">
        <f t="shared" ref="Q792:AC792" si="3996">countif($D792,"*"&amp;Q$2&amp;"*")</f>
        <v>0</v>
      </c>
      <c r="R792" s="200">
        <f t="shared" si="3996"/>
        <v>0</v>
      </c>
      <c r="S792" s="200">
        <f t="shared" si="3996"/>
        <v>0</v>
      </c>
      <c r="T792" s="200">
        <f t="shared" si="3996"/>
        <v>0</v>
      </c>
      <c r="U792" s="200">
        <f t="shared" si="3996"/>
        <v>0</v>
      </c>
      <c r="V792" s="200">
        <f t="shared" si="3996"/>
        <v>0</v>
      </c>
      <c r="W792" s="200">
        <f t="shared" si="3996"/>
        <v>0</v>
      </c>
      <c r="X792" s="200">
        <f t="shared" si="3996"/>
        <v>0</v>
      </c>
      <c r="Y792" s="200">
        <f t="shared" si="3996"/>
        <v>0</v>
      </c>
      <c r="Z792" s="200">
        <f t="shared" si="3996"/>
        <v>0</v>
      </c>
      <c r="AA792" s="200">
        <f t="shared" si="3996"/>
        <v>0</v>
      </c>
      <c r="AB792" s="200">
        <f t="shared" si="3996"/>
        <v>0</v>
      </c>
      <c r="AC792" s="200">
        <f t="shared" si="3996"/>
        <v>0</v>
      </c>
      <c r="AD792" s="200">
        <f t="shared" si="11"/>
        <v>1</v>
      </c>
      <c r="AE792" s="200">
        <f t="shared" ref="AE792:AG792" si="3997">countif($D792,"*"&amp;AE$2&amp;"*")</f>
        <v>0</v>
      </c>
      <c r="AF792" s="200">
        <f t="shared" si="3997"/>
        <v>0</v>
      </c>
      <c r="AG792" s="200">
        <f t="shared" si="3997"/>
        <v>0</v>
      </c>
      <c r="AH792" s="171">
        <f t="shared" si="13"/>
        <v>0</v>
      </c>
      <c r="AI792" s="200">
        <f t="shared" si="14"/>
        <v>0</v>
      </c>
      <c r="AJ792" s="200">
        <f t="shared" ref="AJ792:AJ793" si="4003">SUM(AK792:AQ792)</f>
        <v>0</v>
      </c>
      <c r="AK792" s="201">
        <f t="shared" ref="AK792:AS792" si="3998">countif($D792,"*"&amp;AK$2&amp;"*")</f>
        <v>0</v>
      </c>
      <c r="AL792" s="201">
        <f t="shared" si="3998"/>
        <v>0</v>
      </c>
      <c r="AM792" s="201">
        <f t="shared" si="3998"/>
        <v>0</v>
      </c>
      <c r="AN792" s="201">
        <f t="shared" si="3998"/>
        <v>0</v>
      </c>
      <c r="AO792" s="201">
        <f t="shared" si="3998"/>
        <v>0</v>
      </c>
      <c r="AP792" s="201">
        <f t="shared" si="3998"/>
        <v>0</v>
      </c>
      <c r="AQ792" s="201">
        <f t="shared" si="3998"/>
        <v>0</v>
      </c>
      <c r="AR792" s="201">
        <f t="shared" si="3998"/>
        <v>0</v>
      </c>
      <c r="AS792" s="200">
        <f t="shared" si="3998"/>
        <v>0</v>
      </c>
      <c r="AT792" s="205">
        <v>0.0</v>
      </c>
      <c r="AU792" s="200">
        <f t="shared" ref="AU792:AX792" si="3999">countif($D792,"*"&amp;AU$2&amp;"*")</f>
        <v>1</v>
      </c>
      <c r="AV792" s="200">
        <f t="shared" si="3999"/>
        <v>0</v>
      </c>
      <c r="AW792" s="200">
        <f t="shared" si="3999"/>
        <v>0</v>
      </c>
      <c r="AX792" s="200">
        <f t="shared" si="3999"/>
        <v>0</v>
      </c>
      <c r="AY792" s="202">
        <v>0.0</v>
      </c>
      <c r="AZ792" s="200"/>
      <c r="BA792" s="171" t="str">
        <f t="shared" si="18"/>
        <v/>
      </c>
      <c r="BB792" s="171" t="str">
        <f t="shared" si="19"/>
        <v/>
      </c>
      <c r="BC792" s="171" t="str">
        <f t="shared" si="20"/>
        <v/>
      </c>
      <c r="BD792" s="171" t="str">
        <f t="shared" si="21"/>
        <v>Institutional</v>
      </c>
      <c r="BE792" s="171" t="str">
        <f t="shared" si="22"/>
        <v/>
      </c>
      <c r="BF792" s="171" t="str">
        <f t="shared" si="23"/>
        <v>Institutional</v>
      </c>
    </row>
    <row r="793">
      <c r="A793" s="171">
        <f t="array" ref="A793">XLOOKUP(C793,ICSE!A:A,ICSE!C:C,,2,1)</f>
        <v>2016</v>
      </c>
      <c r="B793" s="171" t="s">
        <v>5675</v>
      </c>
      <c r="C793" s="160">
        <v>1555.0</v>
      </c>
      <c r="D793" s="161" t="s">
        <v>587</v>
      </c>
      <c r="E793" s="197" t="str">
        <f t="array" ref="E793">XLOOKUP(C793,ICSE!A:A,ICSE!Z:Z,,0,1)</f>
        <v>Not available (1) - Broken link.</v>
      </c>
      <c r="F793" s="198" t="s">
        <v>21</v>
      </c>
      <c r="G793" s="163" t="str">
        <f t="array" ref="G793">IF(B793="ICSE",IF(COUNTIFS(B:B,B793,C:C,C793)=XLOOKUP(C793,ICSE!A:A,ICSE!AA:AA,"ERROR",0,1),"OK","ERROR"),IF(B793="FSE",IF(COUNTIFS(B:B,B793,C:C,C793)=XLOOKUP(C793,FSE!A:A,FSE!AA:AA,"ERROR",0,1),"OK","ERROR")))</f>
        <v>OK</v>
      </c>
      <c r="H793" s="199">
        <f t="shared" ref="H793:O793" si="4000">countif($D793,"*"&amp;H$2&amp;"*")</f>
        <v>0</v>
      </c>
      <c r="I793" s="200">
        <f t="shared" si="4000"/>
        <v>0</v>
      </c>
      <c r="J793" s="200">
        <f t="shared" si="4000"/>
        <v>0</v>
      </c>
      <c r="K793" s="200">
        <f t="shared" si="4000"/>
        <v>0</v>
      </c>
      <c r="L793" s="200">
        <f t="shared" si="4000"/>
        <v>0</v>
      </c>
      <c r="M793" s="200">
        <f t="shared" si="4000"/>
        <v>0</v>
      </c>
      <c r="N793" s="200">
        <f t="shared" si="4000"/>
        <v>0</v>
      </c>
      <c r="O793" s="200">
        <f t="shared" si="4000"/>
        <v>0</v>
      </c>
      <c r="P793" s="200">
        <f t="shared" si="9"/>
        <v>0</v>
      </c>
      <c r="Q793" s="200">
        <f t="shared" ref="Q793:AC793" si="4001">countif($D793,"*"&amp;Q$2&amp;"*")</f>
        <v>0</v>
      </c>
      <c r="R793" s="200">
        <f t="shared" si="4001"/>
        <v>0</v>
      </c>
      <c r="S793" s="200">
        <f t="shared" si="4001"/>
        <v>0</v>
      </c>
      <c r="T793" s="200">
        <f t="shared" si="4001"/>
        <v>0</v>
      </c>
      <c r="U793" s="200">
        <f t="shared" si="4001"/>
        <v>0</v>
      </c>
      <c r="V793" s="200">
        <f t="shared" si="4001"/>
        <v>0</v>
      </c>
      <c r="W793" s="200">
        <f t="shared" si="4001"/>
        <v>0</v>
      </c>
      <c r="X793" s="200">
        <f t="shared" si="4001"/>
        <v>0</v>
      </c>
      <c r="Y793" s="200">
        <f t="shared" si="4001"/>
        <v>0</v>
      </c>
      <c r="Z793" s="200">
        <f t="shared" si="4001"/>
        <v>0</v>
      </c>
      <c r="AA793" s="200">
        <f t="shared" si="4001"/>
        <v>0</v>
      </c>
      <c r="AB793" s="200">
        <f t="shared" si="4001"/>
        <v>0</v>
      </c>
      <c r="AC793" s="200">
        <f t="shared" si="4001"/>
        <v>0</v>
      </c>
      <c r="AD793" s="200">
        <f t="shared" si="11"/>
        <v>1</v>
      </c>
      <c r="AE793" s="200">
        <f t="shared" ref="AE793:AG793" si="4002">countif($D793,"*"&amp;AE$2&amp;"*")</f>
        <v>0</v>
      </c>
      <c r="AF793" s="200">
        <f t="shared" si="4002"/>
        <v>0</v>
      </c>
      <c r="AG793" s="200">
        <f t="shared" si="4002"/>
        <v>0</v>
      </c>
      <c r="AH793" s="171">
        <f t="shared" si="13"/>
        <v>0</v>
      </c>
      <c r="AI793" s="200">
        <f t="shared" si="14"/>
        <v>0</v>
      </c>
      <c r="AJ793" s="200">
        <f t="shared" si="4003"/>
        <v>0</v>
      </c>
      <c r="AK793" s="201">
        <f t="shared" ref="AK793:AS793" si="4004">countif($D793,"*"&amp;AK$2&amp;"*")</f>
        <v>0</v>
      </c>
      <c r="AL793" s="201">
        <f t="shared" si="4004"/>
        <v>0</v>
      </c>
      <c r="AM793" s="201">
        <f t="shared" si="4004"/>
        <v>0</v>
      </c>
      <c r="AN793" s="201">
        <f t="shared" si="4004"/>
        <v>0</v>
      </c>
      <c r="AO793" s="201">
        <f t="shared" si="4004"/>
        <v>0</v>
      </c>
      <c r="AP793" s="201">
        <f t="shared" si="4004"/>
        <v>0</v>
      </c>
      <c r="AQ793" s="201">
        <f t="shared" si="4004"/>
        <v>0</v>
      </c>
      <c r="AR793" s="201">
        <f t="shared" si="4004"/>
        <v>0</v>
      </c>
      <c r="AS793" s="200">
        <f t="shared" si="4004"/>
        <v>0</v>
      </c>
      <c r="AT793" s="205">
        <v>0.0</v>
      </c>
      <c r="AU793" s="200">
        <f t="shared" ref="AU793:AX793" si="4005">countif($D793,"*"&amp;AU$2&amp;"*")</f>
        <v>1</v>
      </c>
      <c r="AV793" s="200">
        <f t="shared" si="4005"/>
        <v>0</v>
      </c>
      <c r="AW793" s="200">
        <f t="shared" si="4005"/>
        <v>0</v>
      </c>
      <c r="AX793" s="200">
        <f t="shared" si="4005"/>
        <v>0</v>
      </c>
      <c r="AY793" s="202">
        <v>0.0</v>
      </c>
      <c r="AZ793" s="200"/>
      <c r="BA793" s="171" t="str">
        <f t="shared" si="18"/>
        <v/>
      </c>
      <c r="BB793" s="171" t="str">
        <f t="shared" si="19"/>
        <v/>
      </c>
      <c r="BC793" s="171" t="str">
        <f t="shared" si="20"/>
        <v/>
      </c>
      <c r="BD793" s="171" t="str">
        <f t="shared" si="21"/>
        <v>Institutional</v>
      </c>
      <c r="BE793" s="171" t="str">
        <f t="shared" si="22"/>
        <v/>
      </c>
      <c r="BF793" s="171" t="str">
        <f t="shared" si="23"/>
        <v>Institutional</v>
      </c>
    </row>
    <row r="794">
      <c r="A794" s="171">
        <f t="array" ref="A794">XLOOKUP(C794,ICSE!A:A,ICSE!C:C,,2,1)</f>
        <v>2016</v>
      </c>
      <c r="B794" s="171" t="s">
        <v>5675</v>
      </c>
      <c r="C794" s="160">
        <v>1556.0</v>
      </c>
      <c r="D794" s="161" t="s">
        <v>590</v>
      </c>
      <c r="E794" s="197" t="str">
        <f t="array" ref="E794">XLOOKUP(C794,ICSE!A:A,ICSE!Z:Z,,0,1)</f>
        <v>Not available (1) - Broken link.</v>
      </c>
      <c r="F794" s="198" t="s">
        <v>21</v>
      </c>
      <c r="G794" s="163" t="str">
        <f t="array" ref="G794">IF(B794="ICSE",IF(COUNTIFS(B:B,B794,C:C,C794)=XLOOKUP(C794,ICSE!A:A,ICSE!AA:AA,"ERROR",0,1),"OK","ERROR"),IF(B794="FSE",IF(COUNTIFS(B:B,B794,C:C,C794)=XLOOKUP(C794,FSE!A:A,FSE!AA:AA,"ERROR",0,1),"OK","ERROR")))</f>
        <v>OK</v>
      </c>
      <c r="H794" s="199">
        <f t="shared" ref="H794:O794" si="4006">countif($D794,"*"&amp;H$2&amp;"*")</f>
        <v>0</v>
      </c>
      <c r="I794" s="200">
        <f t="shared" si="4006"/>
        <v>0</v>
      </c>
      <c r="J794" s="200">
        <f t="shared" si="4006"/>
        <v>0</v>
      </c>
      <c r="K794" s="200">
        <f t="shared" si="4006"/>
        <v>0</v>
      </c>
      <c r="L794" s="200">
        <f t="shared" si="4006"/>
        <v>0</v>
      </c>
      <c r="M794" s="200">
        <f t="shared" si="4006"/>
        <v>0</v>
      </c>
      <c r="N794" s="200">
        <f t="shared" si="4006"/>
        <v>0</v>
      </c>
      <c r="O794" s="200">
        <f t="shared" si="4006"/>
        <v>0</v>
      </c>
      <c r="P794" s="200">
        <f t="shared" si="9"/>
        <v>0</v>
      </c>
      <c r="Q794" s="200">
        <f t="shared" ref="Q794:AC794" si="4007">countif($D794,"*"&amp;Q$2&amp;"*")</f>
        <v>0</v>
      </c>
      <c r="R794" s="200">
        <f t="shared" si="4007"/>
        <v>0</v>
      </c>
      <c r="S794" s="200">
        <f t="shared" si="4007"/>
        <v>0</v>
      </c>
      <c r="T794" s="200">
        <f t="shared" si="4007"/>
        <v>0</v>
      </c>
      <c r="U794" s="200">
        <f t="shared" si="4007"/>
        <v>0</v>
      </c>
      <c r="V794" s="200">
        <f t="shared" si="4007"/>
        <v>0</v>
      </c>
      <c r="W794" s="200">
        <f t="shared" si="4007"/>
        <v>0</v>
      </c>
      <c r="X794" s="200">
        <f t="shared" si="4007"/>
        <v>0</v>
      </c>
      <c r="Y794" s="200">
        <f t="shared" si="4007"/>
        <v>0</v>
      </c>
      <c r="Z794" s="200">
        <f t="shared" si="4007"/>
        <v>0</v>
      </c>
      <c r="AA794" s="200">
        <f t="shared" si="4007"/>
        <v>1</v>
      </c>
      <c r="AB794" s="200">
        <f t="shared" si="4007"/>
        <v>0</v>
      </c>
      <c r="AC794" s="200">
        <f t="shared" si="4007"/>
        <v>0</v>
      </c>
      <c r="AD794" s="200">
        <f t="shared" si="11"/>
        <v>0</v>
      </c>
      <c r="AE794" s="200">
        <f t="shared" ref="AE794:AG794" si="4008">countif($D794,"*"&amp;AE$2&amp;"*")</f>
        <v>0</v>
      </c>
      <c r="AF794" s="200">
        <f t="shared" si="4008"/>
        <v>0</v>
      </c>
      <c r="AG794" s="200">
        <f t="shared" si="4008"/>
        <v>0</v>
      </c>
      <c r="AH794" s="171">
        <f t="shared" si="13"/>
        <v>0</v>
      </c>
      <c r="AI794" s="200">
        <f t="shared" si="14"/>
        <v>0</v>
      </c>
      <c r="AJ794" s="200">
        <f t="shared" ref="AJ794:AJ797" si="4014">SUM(AK794:AR794)</f>
        <v>0</v>
      </c>
      <c r="AK794" s="201">
        <f t="shared" ref="AK794:AS794" si="4009">countif($D794,"*"&amp;AK$2&amp;"*")</f>
        <v>0</v>
      </c>
      <c r="AL794" s="201">
        <f t="shared" si="4009"/>
        <v>0</v>
      </c>
      <c r="AM794" s="201">
        <f t="shared" si="4009"/>
        <v>0</v>
      </c>
      <c r="AN794" s="201">
        <f t="shared" si="4009"/>
        <v>0</v>
      </c>
      <c r="AO794" s="201">
        <f t="shared" si="4009"/>
        <v>0</v>
      </c>
      <c r="AP794" s="201">
        <f t="shared" si="4009"/>
        <v>0</v>
      </c>
      <c r="AQ794" s="201">
        <f t="shared" si="4009"/>
        <v>0</v>
      </c>
      <c r="AR794" s="200">
        <f t="shared" si="4009"/>
        <v>0</v>
      </c>
      <c r="AS794" s="200">
        <f t="shared" si="4009"/>
        <v>0</v>
      </c>
      <c r="AT794" s="173">
        <v>0.0</v>
      </c>
      <c r="AU794" s="200">
        <f t="shared" ref="AU794:AX794" si="4010">countif($D794,"*"&amp;AU$2&amp;"*")</f>
        <v>0</v>
      </c>
      <c r="AV794" s="200">
        <f t="shared" si="4010"/>
        <v>0</v>
      </c>
      <c r="AW794" s="200">
        <f t="shared" si="4010"/>
        <v>0</v>
      </c>
      <c r="AX794" s="200">
        <f t="shared" si="4010"/>
        <v>0</v>
      </c>
      <c r="AY794" s="202">
        <v>0.0</v>
      </c>
      <c r="AZ794" s="200"/>
      <c r="BA794" s="171" t="str">
        <f t="shared" si="18"/>
        <v/>
      </c>
      <c r="BB794" s="171" t="str">
        <f t="shared" si="19"/>
        <v/>
      </c>
      <c r="BC794" s="171" t="str">
        <f t="shared" si="20"/>
        <v>General-purpose</v>
      </c>
      <c r="BD794" s="171" t="str">
        <f t="shared" si="21"/>
        <v/>
      </c>
      <c r="BE794" s="171" t="str">
        <f t="shared" si="22"/>
        <v/>
      </c>
      <c r="BF794" s="171" t="str">
        <f t="shared" si="23"/>
        <v>General-purpose</v>
      </c>
    </row>
    <row r="795">
      <c r="A795" s="171">
        <f t="array" ref="A795">XLOOKUP(C795,ICSE!A:A,ICSE!C:C,,2,1)</f>
        <v>2016</v>
      </c>
      <c r="B795" s="171" t="s">
        <v>5675</v>
      </c>
      <c r="C795" s="160">
        <v>1557.0</v>
      </c>
      <c r="D795" s="161" t="s">
        <v>593</v>
      </c>
      <c r="E795" s="197" t="str">
        <f t="array" ref="E795">XLOOKUP(C795,ICSE!A:A,ICSE!Z:Z,,0,1)</f>
        <v>Not available (1) - Broken link.</v>
      </c>
      <c r="F795" s="198" t="s">
        <v>21</v>
      </c>
      <c r="G795" s="163" t="str">
        <f t="array" ref="G795">IF(B795="ICSE",IF(COUNTIFS(B:B,B795,C:C,C795)=XLOOKUP(C795,ICSE!A:A,ICSE!AA:AA,"ERROR",0,1),"OK","ERROR"),IF(B795="FSE",IF(COUNTIFS(B:B,B795,C:C,C795)=XLOOKUP(C795,FSE!A:A,FSE!AA:AA,"ERROR",0,1),"OK","ERROR")))</f>
        <v>OK</v>
      </c>
      <c r="H795" s="199">
        <f t="shared" ref="H795:O795" si="4011">countif($D795,"*"&amp;H$2&amp;"*")</f>
        <v>0</v>
      </c>
      <c r="I795" s="200">
        <f t="shared" si="4011"/>
        <v>0</v>
      </c>
      <c r="J795" s="200">
        <f t="shared" si="4011"/>
        <v>0</v>
      </c>
      <c r="K795" s="200">
        <f t="shared" si="4011"/>
        <v>0</v>
      </c>
      <c r="L795" s="200">
        <f t="shared" si="4011"/>
        <v>0</v>
      </c>
      <c r="M795" s="200">
        <f t="shared" si="4011"/>
        <v>0</v>
      </c>
      <c r="N795" s="200">
        <f t="shared" si="4011"/>
        <v>0</v>
      </c>
      <c r="O795" s="200">
        <f t="shared" si="4011"/>
        <v>0</v>
      </c>
      <c r="P795" s="200">
        <f t="shared" si="9"/>
        <v>0</v>
      </c>
      <c r="Q795" s="200">
        <f t="shared" ref="Q795:AC795" si="4012">countif($D795,"*"&amp;Q$2&amp;"*")</f>
        <v>0</v>
      </c>
      <c r="R795" s="200">
        <f t="shared" si="4012"/>
        <v>0</v>
      </c>
      <c r="S795" s="200">
        <f t="shared" si="4012"/>
        <v>0</v>
      </c>
      <c r="T795" s="200">
        <f t="shared" si="4012"/>
        <v>0</v>
      </c>
      <c r="U795" s="200">
        <f t="shared" si="4012"/>
        <v>0</v>
      </c>
      <c r="V795" s="200">
        <f t="shared" si="4012"/>
        <v>0</v>
      </c>
      <c r="W795" s="200">
        <f t="shared" si="4012"/>
        <v>0</v>
      </c>
      <c r="X795" s="200">
        <f t="shared" si="4012"/>
        <v>0</v>
      </c>
      <c r="Y795" s="200">
        <f t="shared" si="4012"/>
        <v>0</v>
      </c>
      <c r="Z795" s="200">
        <f t="shared" si="4012"/>
        <v>0</v>
      </c>
      <c r="AA795" s="200">
        <f t="shared" si="4012"/>
        <v>1</v>
      </c>
      <c r="AB795" s="200">
        <f t="shared" si="4012"/>
        <v>0</v>
      </c>
      <c r="AC795" s="200">
        <f t="shared" si="4012"/>
        <v>0</v>
      </c>
      <c r="AD795" s="200">
        <f t="shared" si="11"/>
        <v>0</v>
      </c>
      <c r="AE795" s="200">
        <f t="shared" ref="AE795:AG795" si="4013">countif($D795,"*"&amp;AE$2&amp;"*")</f>
        <v>0</v>
      </c>
      <c r="AF795" s="200">
        <f t="shared" si="4013"/>
        <v>0</v>
      </c>
      <c r="AG795" s="200">
        <f t="shared" si="4013"/>
        <v>0</v>
      </c>
      <c r="AH795" s="171">
        <f t="shared" si="13"/>
        <v>0</v>
      </c>
      <c r="AI795" s="200">
        <f t="shared" si="14"/>
        <v>0</v>
      </c>
      <c r="AJ795" s="200">
        <f t="shared" si="4014"/>
        <v>0</v>
      </c>
      <c r="AK795" s="201">
        <f t="shared" ref="AK795:AS795" si="4015">countif($D795,"*"&amp;AK$2&amp;"*")</f>
        <v>0</v>
      </c>
      <c r="AL795" s="201">
        <f t="shared" si="4015"/>
        <v>0</v>
      </c>
      <c r="AM795" s="201">
        <f t="shared" si="4015"/>
        <v>0</v>
      </c>
      <c r="AN795" s="201">
        <f t="shared" si="4015"/>
        <v>0</v>
      </c>
      <c r="AO795" s="201">
        <f t="shared" si="4015"/>
        <v>0</v>
      </c>
      <c r="AP795" s="201">
        <f t="shared" si="4015"/>
        <v>0</v>
      </c>
      <c r="AQ795" s="201">
        <f t="shared" si="4015"/>
        <v>0</v>
      </c>
      <c r="AR795" s="200">
        <f t="shared" si="4015"/>
        <v>0</v>
      </c>
      <c r="AS795" s="200">
        <f t="shared" si="4015"/>
        <v>0</v>
      </c>
      <c r="AT795" s="173">
        <v>0.0</v>
      </c>
      <c r="AU795" s="200">
        <f t="shared" ref="AU795:AX795" si="4016">countif($D795,"*"&amp;AU$2&amp;"*")</f>
        <v>0</v>
      </c>
      <c r="AV795" s="200">
        <f t="shared" si="4016"/>
        <v>0</v>
      </c>
      <c r="AW795" s="200">
        <f t="shared" si="4016"/>
        <v>0</v>
      </c>
      <c r="AX795" s="200">
        <f t="shared" si="4016"/>
        <v>0</v>
      </c>
      <c r="AY795" s="202">
        <v>0.0</v>
      </c>
      <c r="AZ795" s="200"/>
      <c r="BA795" s="171" t="str">
        <f t="shared" si="18"/>
        <v/>
      </c>
      <c r="BB795" s="171" t="str">
        <f t="shared" si="19"/>
        <v/>
      </c>
      <c r="BC795" s="171" t="str">
        <f t="shared" si="20"/>
        <v>General-purpose</v>
      </c>
      <c r="BD795" s="171" t="str">
        <f t="shared" si="21"/>
        <v/>
      </c>
      <c r="BE795" s="171" t="str">
        <f t="shared" si="22"/>
        <v/>
      </c>
      <c r="BF795" s="171" t="str">
        <f t="shared" si="23"/>
        <v>General-purpose</v>
      </c>
    </row>
    <row r="796">
      <c r="A796" s="171">
        <f t="array" ref="A796">XLOOKUP(C796,ICSE!A:A,ICSE!C:C,,2,1)</f>
        <v>2016</v>
      </c>
      <c r="B796" s="171" t="s">
        <v>5675</v>
      </c>
      <c r="C796" s="160">
        <v>1558.0</v>
      </c>
      <c r="D796" s="161" t="s">
        <v>596</v>
      </c>
      <c r="E796" s="197" t="str">
        <f t="array" ref="E796">XLOOKUP(C796,ICSE!A:A,ICSE!Z:Z,,0,1)</f>
        <v>Publicly available (1)</v>
      </c>
      <c r="F796" s="198" t="s">
        <v>20</v>
      </c>
      <c r="G796" s="163" t="str">
        <f t="array" ref="G796">IF(B796="ICSE",IF(COUNTIFS(B:B,B796,C:C,C796)=XLOOKUP(C796,ICSE!A:A,ICSE!AA:AA,"ERROR",0,1),"OK","ERROR"),IF(B796="FSE",IF(COUNTIFS(B:B,B796,C:C,C796)=XLOOKUP(C796,FSE!A:A,FSE!AA:AA,"ERROR",0,1),"OK","ERROR")))</f>
        <v>OK</v>
      </c>
      <c r="H796" s="199">
        <f t="shared" ref="H796:O796" si="4017">countif($D796,"*"&amp;H$2&amp;"*")</f>
        <v>0</v>
      </c>
      <c r="I796" s="200">
        <f t="shared" si="4017"/>
        <v>0</v>
      </c>
      <c r="J796" s="200">
        <f t="shared" si="4017"/>
        <v>0</v>
      </c>
      <c r="K796" s="200">
        <f t="shared" si="4017"/>
        <v>0</v>
      </c>
      <c r="L796" s="200">
        <f t="shared" si="4017"/>
        <v>0</v>
      </c>
      <c r="M796" s="200">
        <f t="shared" si="4017"/>
        <v>0</v>
      </c>
      <c r="N796" s="200">
        <f t="shared" si="4017"/>
        <v>0</v>
      </c>
      <c r="O796" s="200">
        <f t="shared" si="4017"/>
        <v>0</v>
      </c>
      <c r="P796" s="200">
        <f t="shared" si="9"/>
        <v>0</v>
      </c>
      <c r="Q796" s="200">
        <f t="shared" ref="Q796:AC796" si="4018">countif($D796,"*"&amp;Q$2&amp;"*")</f>
        <v>0</v>
      </c>
      <c r="R796" s="200">
        <f t="shared" si="4018"/>
        <v>0</v>
      </c>
      <c r="S796" s="200">
        <f t="shared" si="4018"/>
        <v>0</v>
      </c>
      <c r="T796" s="200">
        <f t="shared" si="4018"/>
        <v>0</v>
      </c>
      <c r="U796" s="200">
        <f t="shared" si="4018"/>
        <v>0</v>
      </c>
      <c r="V796" s="200">
        <f t="shared" si="4018"/>
        <v>0</v>
      </c>
      <c r="W796" s="200">
        <f t="shared" si="4018"/>
        <v>0</v>
      </c>
      <c r="X796" s="200">
        <f t="shared" si="4018"/>
        <v>0</v>
      </c>
      <c r="Y796" s="200">
        <f t="shared" si="4018"/>
        <v>0</v>
      </c>
      <c r="Z796" s="200">
        <f t="shared" si="4018"/>
        <v>0</v>
      </c>
      <c r="AA796" s="200">
        <f t="shared" si="4018"/>
        <v>0</v>
      </c>
      <c r="AB796" s="200">
        <f t="shared" si="4018"/>
        <v>0</v>
      </c>
      <c r="AC796" s="200">
        <f t="shared" si="4018"/>
        <v>0</v>
      </c>
      <c r="AD796" s="200">
        <f t="shared" si="11"/>
        <v>1</v>
      </c>
      <c r="AE796" s="200">
        <f t="shared" ref="AE796:AG796" si="4019">countif($D796,"*"&amp;AE$2&amp;"*")</f>
        <v>0</v>
      </c>
      <c r="AF796" s="200">
        <f t="shared" si="4019"/>
        <v>0</v>
      </c>
      <c r="AG796" s="200">
        <f t="shared" si="4019"/>
        <v>0</v>
      </c>
      <c r="AH796" s="171">
        <f t="shared" si="13"/>
        <v>0</v>
      </c>
      <c r="AI796" s="200">
        <f t="shared" si="14"/>
        <v>0</v>
      </c>
      <c r="AJ796" s="200">
        <f t="shared" si="4014"/>
        <v>0</v>
      </c>
      <c r="AK796" s="201">
        <f t="shared" ref="AK796:AS796" si="4020">countif($D796,"*"&amp;AK$2&amp;"*")</f>
        <v>0</v>
      </c>
      <c r="AL796" s="201">
        <f t="shared" si="4020"/>
        <v>0</v>
      </c>
      <c r="AM796" s="201">
        <f t="shared" si="4020"/>
        <v>0</v>
      </c>
      <c r="AN796" s="201">
        <f t="shared" si="4020"/>
        <v>0</v>
      </c>
      <c r="AO796" s="201">
        <f t="shared" si="4020"/>
        <v>0</v>
      </c>
      <c r="AP796" s="201">
        <f t="shared" si="4020"/>
        <v>0</v>
      </c>
      <c r="AQ796" s="201">
        <f t="shared" si="4020"/>
        <v>0</v>
      </c>
      <c r="AR796" s="200">
        <f t="shared" si="4020"/>
        <v>0</v>
      </c>
      <c r="AS796" s="200">
        <f t="shared" si="4020"/>
        <v>0</v>
      </c>
      <c r="AT796" s="173">
        <v>1.0</v>
      </c>
      <c r="AU796" s="200">
        <f t="shared" ref="AU796:AX796" si="4021">countif($D796,"*"&amp;AU$2&amp;"*")</f>
        <v>0</v>
      </c>
      <c r="AV796" s="200">
        <f t="shared" si="4021"/>
        <v>0</v>
      </c>
      <c r="AW796" s="200">
        <f t="shared" si="4021"/>
        <v>0</v>
      </c>
      <c r="AX796" s="200">
        <f t="shared" si="4021"/>
        <v>0</v>
      </c>
      <c r="AY796" s="202">
        <v>0.0</v>
      </c>
      <c r="AZ796" s="200"/>
      <c r="BA796" s="171" t="str">
        <f t="shared" si="18"/>
        <v/>
      </c>
      <c r="BB796" s="171" t="str">
        <f t="shared" si="19"/>
        <v/>
      </c>
      <c r="BC796" s="171" t="str">
        <f t="shared" si="20"/>
        <v/>
      </c>
      <c r="BD796" s="171" t="str">
        <f t="shared" si="21"/>
        <v>Institutional</v>
      </c>
      <c r="BE796" s="171" t="str">
        <f t="shared" si="22"/>
        <v/>
      </c>
      <c r="BF796" s="171" t="str">
        <f t="shared" si="23"/>
        <v>Institutional</v>
      </c>
    </row>
    <row r="797">
      <c r="A797" s="171">
        <f t="array" ref="A797">XLOOKUP(C797,ICSE!A:A,ICSE!C:C,,2,1)</f>
        <v>2016</v>
      </c>
      <c r="B797" s="171" t="s">
        <v>5675</v>
      </c>
      <c r="C797" s="160">
        <v>1559.0</v>
      </c>
      <c r="D797" s="161" t="s">
        <v>599</v>
      </c>
      <c r="E797" s="197" t="str">
        <f t="array" ref="E797">XLOOKUP(C797,ICSE!A:A,ICSE!Z:Z,,0,1)</f>
        <v>Not available (1) - Broken link.</v>
      </c>
      <c r="F797" s="198" t="s">
        <v>21</v>
      </c>
      <c r="G797" s="163" t="str">
        <f t="array" ref="G797">IF(B797="ICSE",IF(COUNTIFS(B:B,B797,C:C,C797)=XLOOKUP(C797,ICSE!A:A,ICSE!AA:AA,"ERROR",0,1),"OK","ERROR"),IF(B797="FSE",IF(COUNTIFS(B:B,B797,C:C,C797)=XLOOKUP(C797,FSE!A:A,FSE!AA:AA,"ERROR",0,1),"OK","ERROR")))</f>
        <v>OK</v>
      </c>
      <c r="H797" s="199">
        <f t="shared" ref="H797:O797" si="4022">countif($D797,"*"&amp;H$2&amp;"*")</f>
        <v>0</v>
      </c>
      <c r="I797" s="200">
        <f t="shared" si="4022"/>
        <v>0</v>
      </c>
      <c r="J797" s="200">
        <f t="shared" si="4022"/>
        <v>0</v>
      </c>
      <c r="K797" s="200">
        <f t="shared" si="4022"/>
        <v>0</v>
      </c>
      <c r="L797" s="200">
        <f t="shared" si="4022"/>
        <v>0</v>
      </c>
      <c r="M797" s="200">
        <f t="shared" si="4022"/>
        <v>0</v>
      </c>
      <c r="N797" s="200">
        <f t="shared" si="4022"/>
        <v>0</v>
      </c>
      <c r="O797" s="200">
        <f t="shared" si="4022"/>
        <v>0</v>
      </c>
      <c r="P797" s="200">
        <f t="shared" si="9"/>
        <v>0</v>
      </c>
      <c r="Q797" s="200">
        <f t="shared" ref="Q797:AC797" si="4023">countif($D797,"*"&amp;Q$2&amp;"*")</f>
        <v>0</v>
      </c>
      <c r="R797" s="200">
        <f t="shared" si="4023"/>
        <v>0</v>
      </c>
      <c r="S797" s="200">
        <f t="shared" si="4023"/>
        <v>0</v>
      </c>
      <c r="T797" s="200">
        <f t="shared" si="4023"/>
        <v>0</v>
      </c>
      <c r="U797" s="200">
        <f t="shared" si="4023"/>
        <v>0</v>
      </c>
      <c r="V797" s="200">
        <f t="shared" si="4023"/>
        <v>0</v>
      </c>
      <c r="W797" s="200">
        <f t="shared" si="4023"/>
        <v>0</v>
      </c>
      <c r="X797" s="200">
        <f t="shared" si="4023"/>
        <v>0</v>
      </c>
      <c r="Y797" s="200">
        <f t="shared" si="4023"/>
        <v>0</v>
      </c>
      <c r="Z797" s="200">
        <f t="shared" si="4023"/>
        <v>0</v>
      </c>
      <c r="AA797" s="200">
        <f t="shared" si="4023"/>
        <v>0</v>
      </c>
      <c r="AB797" s="200">
        <f t="shared" si="4023"/>
        <v>0</v>
      </c>
      <c r="AC797" s="200">
        <f t="shared" si="4023"/>
        <v>0</v>
      </c>
      <c r="AD797" s="200">
        <f t="shared" si="11"/>
        <v>0</v>
      </c>
      <c r="AE797" s="200">
        <f t="shared" ref="AE797:AG797" si="4024">countif($D797,"*"&amp;AE$2&amp;"*")</f>
        <v>0</v>
      </c>
      <c r="AF797" s="200">
        <f t="shared" si="4024"/>
        <v>0</v>
      </c>
      <c r="AG797" s="200">
        <f t="shared" si="4024"/>
        <v>0</v>
      </c>
      <c r="AH797" s="171">
        <f t="shared" si="13"/>
        <v>1</v>
      </c>
      <c r="AI797" s="200">
        <f t="shared" si="14"/>
        <v>0</v>
      </c>
      <c r="AJ797" s="200">
        <f t="shared" si="4014"/>
        <v>0</v>
      </c>
      <c r="AK797" s="201">
        <f t="shared" ref="AK797:AS797" si="4025">countif($D797,"*"&amp;AK$2&amp;"*")</f>
        <v>0</v>
      </c>
      <c r="AL797" s="201">
        <f t="shared" si="4025"/>
        <v>0</v>
      </c>
      <c r="AM797" s="201">
        <f t="shared" si="4025"/>
        <v>0</v>
      </c>
      <c r="AN797" s="201">
        <f t="shared" si="4025"/>
        <v>0</v>
      </c>
      <c r="AO797" s="201">
        <f t="shared" si="4025"/>
        <v>0</v>
      </c>
      <c r="AP797" s="201">
        <f t="shared" si="4025"/>
        <v>0</v>
      </c>
      <c r="AQ797" s="201">
        <f t="shared" si="4025"/>
        <v>0</v>
      </c>
      <c r="AR797" s="200">
        <f t="shared" si="4025"/>
        <v>0</v>
      </c>
      <c r="AS797" s="200">
        <f t="shared" si="4025"/>
        <v>0</v>
      </c>
      <c r="AT797" s="173">
        <v>0.0</v>
      </c>
      <c r="AU797" s="200">
        <f t="shared" ref="AU797:AX797" si="4026">countif($D797,"*"&amp;AU$2&amp;"*")</f>
        <v>0</v>
      </c>
      <c r="AV797" s="200">
        <f t="shared" si="4026"/>
        <v>0</v>
      </c>
      <c r="AW797" s="200">
        <f t="shared" si="4026"/>
        <v>0</v>
      </c>
      <c r="AX797" s="200">
        <f t="shared" si="4026"/>
        <v>0</v>
      </c>
      <c r="AY797" s="202">
        <v>0.0</v>
      </c>
      <c r="AZ797" s="200"/>
      <c r="BA797" s="171" t="str">
        <f t="shared" si="18"/>
        <v/>
      </c>
      <c r="BB797" s="171" t="str">
        <f t="shared" si="19"/>
        <v/>
      </c>
      <c r="BC797" s="171" t="str">
        <f t="shared" si="20"/>
        <v/>
      </c>
      <c r="BD797" s="171" t="str">
        <f t="shared" si="21"/>
        <v/>
      </c>
      <c r="BE797" s="171" t="str">
        <f t="shared" si="22"/>
        <v>Others</v>
      </c>
      <c r="BF797" s="171" t="str">
        <f t="shared" si="23"/>
        <v>Others</v>
      </c>
    </row>
    <row r="798">
      <c r="A798" s="171">
        <f t="array" ref="A798">XLOOKUP(C798,ICSE!A:A,ICSE!C:C,,2,1)</f>
        <v>2016</v>
      </c>
      <c r="B798" s="171" t="s">
        <v>5675</v>
      </c>
      <c r="C798" s="160">
        <v>1560.0</v>
      </c>
      <c r="D798" s="161" t="s">
        <v>6010</v>
      </c>
      <c r="E798" s="197" t="str">
        <f t="array" ref="E798">XLOOKUP(C798,ICSE!A:A,ICSE!Z:Z,,0,1)</f>
        <v>Publicly available (2)</v>
      </c>
      <c r="F798" s="198" t="s">
        <v>20</v>
      </c>
      <c r="G798" s="163" t="str">
        <f t="array" ref="G798">IF(B798="ICSE",IF(COUNTIFS(B:B,B798,C:C,C798)=XLOOKUP(C798,ICSE!A:A,ICSE!AA:AA,"ERROR",0,1),"OK","ERROR"),IF(B798="FSE",IF(COUNTIFS(B:B,B798,C:C,C798)=XLOOKUP(C798,FSE!A:A,FSE!AA:AA,"ERROR",0,1),"OK","ERROR")))</f>
        <v>OK</v>
      </c>
      <c r="H798" s="199">
        <f t="shared" ref="H798:O798" si="4027">countif($D798,"*"&amp;H$2&amp;"*")</f>
        <v>0</v>
      </c>
      <c r="I798" s="200">
        <f t="shared" si="4027"/>
        <v>0</v>
      </c>
      <c r="J798" s="200">
        <f t="shared" si="4027"/>
        <v>0</v>
      </c>
      <c r="K798" s="200">
        <f t="shared" si="4027"/>
        <v>0</v>
      </c>
      <c r="L798" s="200">
        <f t="shared" si="4027"/>
        <v>0</v>
      </c>
      <c r="M798" s="200">
        <f t="shared" si="4027"/>
        <v>0</v>
      </c>
      <c r="N798" s="200">
        <f t="shared" si="4027"/>
        <v>0</v>
      </c>
      <c r="O798" s="200">
        <f t="shared" si="4027"/>
        <v>0</v>
      </c>
      <c r="P798" s="200">
        <f t="shared" si="9"/>
        <v>0</v>
      </c>
      <c r="Q798" s="200">
        <f t="shared" ref="Q798:AC798" si="4028">countif($D798,"*"&amp;Q$2&amp;"*")</f>
        <v>0</v>
      </c>
      <c r="R798" s="200">
        <f t="shared" si="4028"/>
        <v>0</v>
      </c>
      <c r="S798" s="200">
        <f t="shared" si="4028"/>
        <v>0</v>
      </c>
      <c r="T798" s="200">
        <f t="shared" si="4028"/>
        <v>0</v>
      </c>
      <c r="U798" s="200">
        <f t="shared" si="4028"/>
        <v>0</v>
      </c>
      <c r="V798" s="200">
        <f t="shared" si="4028"/>
        <v>0</v>
      </c>
      <c r="W798" s="200">
        <f t="shared" si="4028"/>
        <v>0</v>
      </c>
      <c r="X798" s="200">
        <f t="shared" si="4028"/>
        <v>0</v>
      </c>
      <c r="Y798" s="200">
        <f t="shared" si="4028"/>
        <v>0</v>
      </c>
      <c r="Z798" s="200">
        <f t="shared" si="4028"/>
        <v>0</v>
      </c>
      <c r="AA798" s="200">
        <f t="shared" si="4028"/>
        <v>0</v>
      </c>
      <c r="AB798" s="200">
        <f t="shared" si="4028"/>
        <v>0</v>
      </c>
      <c r="AC798" s="200">
        <f t="shared" si="4028"/>
        <v>0</v>
      </c>
      <c r="AD798" s="200">
        <f t="shared" si="11"/>
        <v>1</v>
      </c>
      <c r="AE798" s="200">
        <f t="shared" ref="AE798:AG798" si="4029">countif($D798,"*"&amp;AE$2&amp;"*")</f>
        <v>0</v>
      </c>
      <c r="AF798" s="200">
        <f t="shared" si="4029"/>
        <v>0</v>
      </c>
      <c r="AG798" s="200">
        <f t="shared" si="4029"/>
        <v>0</v>
      </c>
      <c r="AH798" s="171">
        <f t="shared" si="13"/>
        <v>0</v>
      </c>
      <c r="AI798" s="200">
        <f t="shared" si="14"/>
        <v>0</v>
      </c>
      <c r="AJ798" s="200">
        <f>SUM(AK798:AQ798)</f>
        <v>0</v>
      </c>
      <c r="AK798" s="201">
        <f t="shared" ref="AK798:AS798" si="4030">countif($D798,"*"&amp;AK$2&amp;"*")</f>
        <v>0</v>
      </c>
      <c r="AL798" s="201">
        <f t="shared" si="4030"/>
        <v>0</v>
      </c>
      <c r="AM798" s="201">
        <f t="shared" si="4030"/>
        <v>0</v>
      </c>
      <c r="AN798" s="201">
        <f t="shared" si="4030"/>
        <v>0</v>
      </c>
      <c r="AO798" s="201">
        <f t="shared" si="4030"/>
        <v>0</v>
      </c>
      <c r="AP798" s="201">
        <f t="shared" si="4030"/>
        <v>0</v>
      </c>
      <c r="AQ798" s="201">
        <f t="shared" si="4030"/>
        <v>0</v>
      </c>
      <c r="AR798" s="201">
        <f t="shared" si="4030"/>
        <v>0</v>
      </c>
      <c r="AS798" s="200">
        <f t="shared" si="4030"/>
        <v>0</v>
      </c>
      <c r="AT798" s="205">
        <v>0.0</v>
      </c>
      <c r="AU798" s="200">
        <f t="shared" ref="AU798:AX798" si="4031">countif($D798,"*"&amp;AU$2&amp;"*")</f>
        <v>1</v>
      </c>
      <c r="AV798" s="200">
        <f t="shared" si="4031"/>
        <v>0</v>
      </c>
      <c r="AW798" s="200">
        <f t="shared" si="4031"/>
        <v>0</v>
      </c>
      <c r="AX798" s="200">
        <f t="shared" si="4031"/>
        <v>0</v>
      </c>
      <c r="AY798" s="202">
        <v>0.0</v>
      </c>
      <c r="AZ798" s="200"/>
      <c r="BA798" s="171" t="str">
        <f t="shared" si="18"/>
        <v/>
      </c>
      <c r="BB798" s="171" t="str">
        <f t="shared" si="19"/>
        <v/>
      </c>
      <c r="BC798" s="171" t="str">
        <f t="shared" si="20"/>
        <v/>
      </c>
      <c r="BD798" s="171" t="str">
        <f t="shared" si="21"/>
        <v>Institutional</v>
      </c>
      <c r="BE798" s="171" t="str">
        <f t="shared" si="22"/>
        <v/>
      </c>
      <c r="BF798" s="171" t="str">
        <f t="shared" si="23"/>
        <v>Institutional</v>
      </c>
    </row>
    <row r="799">
      <c r="A799" s="171">
        <f t="array" ref="A799">XLOOKUP(C799,ICSE!A:A,ICSE!C:C,,2,1)</f>
        <v>2016</v>
      </c>
      <c r="B799" s="171" t="s">
        <v>5675</v>
      </c>
      <c r="C799" s="160">
        <v>1560.0</v>
      </c>
      <c r="D799" s="161" t="s">
        <v>6011</v>
      </c>
      <c r="E799" s="197" t="str">
        <f t="array" ref="E799">XLOOKUP(C799,ICSE!A:A,ICSE!Z:Z,,0,1)</f>
        <v>Publicly available (2)</v>
      </c>
      <c r="F799" s="198" t="s">
        <v>20</v>
      </c>
      <c r="G799" s="163" t="str">
        <f t="array" ref="G799">IF(B799="ICSE",IF(COUNTIFS(B:B,B799,C:C,C799)=XLOOKUP(C799,ICSE!A:A,ICSE!AA:AA,"ERROR",0,1),"OK","ERROR"),IF(B799="FSE",IF(COUNTIFS(B:B,B799,C:C,C799)=XLOOKUP(C799,FSE!A:A,FSE!AA:AA,"ERROR",0,1),"OK","ERROR")))</f>
        <v>OK</v>
      </c>
      <c r="H799" s="199">
        <f t="shared" ref="H799:O799" si="4032">countif($D799,"*"&amp;H$2&amp;"*")</f>
        <v>0</v>
      </c>
      <c r="I799" s="200">
        <f t="shared" si="4032"/>
        <v>0</v>
      </c>
      <c r="J799" s="200">
        <f t="shared" si="4032"/>
        <v>1</v>
      </c>
      <c r="K799" s="200">
        <f t="shared" si="4032"/>
        <v>0</v>
      </c>
      <c r="L799" s="200">
        <f t="shared" si="4032"/>
        <v>0</v>
      </c>
      <c r="M799" s="200">
        <f t="shared" si="4032"/>
        <v>0</v>
      </c>
      <c r="N799" s="200">
        <f t="shared" si="4032"/>
        <v>0</v>
      </c>
      <c r="O799" s="200">
        <f t="shared" si="4032"/>
        <v>0</v>
      </c>
      <c r="P799" s="200">
        <f t="shared" si="9"/>
        <v>0</v>
      </c>
      <c r="Q799" s="200">
        <f t="shared" ref="Q799:AC799" si="4033">countif($D799,"*"&amp;Q$2&amp;"*")</f>
        <v>0</v>
      </c>
      <c r="R799" s="200">
        <f t="shared" si="4033"/>
        <v>0</v>
      </c>
      <c r="S799" s="200">
        <f t="shared" si="4033"/>
        <v>0</v>
      </c>
      <c r="T799" s="200">
        <f t="shared" si="4033"/>
        <v>0</v>
      </c>
      <c r="U799" s="200">
        <f t="shared" si="4033"/>
        <v>0</v>
      </c>
      <c r="V799" s="200">
        <f t="shared" si="4033"/>
        <v>0</v>
      </c>
      <c r="W799" s="200">
        <f t="shared" si="4033"/>
        <v>0</v>
      </c>
      <c r="X799" s="200">
        <f t="shared" si="4033"/>
        <v>0</v>
      </c>
      <c r="Y799" s="200">
        <f t="shared" si="4033"/>
        <v>0</v>
      </c>
      <c r="Z799" s="200">
        <f t="shared" si="4033"/>
        <v>0</v>
      </c>
      <c r="AA799" s="200">
        <f t="shared" si="4033"/>
        <v>0</v>
      </c>
      <c r="AB799" s="200">
        <f t="shared" si="4033"/>
        <v>0</v>
      </c>
      <c r="AC799" s="200">
        <f t="shared" si="4033"/>
        <v>0</v>
      </c>
      <c r="AD799" s="200">
        <f t="shared" si="11"/>
        <v>0</v>
      </c>
      <c r="AE799" s="200">
        <f t="shared" ref="AE799:AG799" si="4034">countif($D799,"*"&amp;AE$2&amp;"*")</f>
        <v>0</v>
      </c>
      <c r="AF799" s="200">
        <f t="shared" si="4034"/>
        <v>0</v>
      </c>
      <c r="AG799" s="200">
        <f t="shared" si="4034"/>
        <v>0</v>
      </c>
      <c r="AH799" s="171">
        <f t="shared" si="13"/>
        <v>0</v>
      </c>
      <c r="AI799" s="200">
        <f t="shared" si="14"/>
        <v>1</v>
      </c>
      <c r="AJ799" s="200">
        <f t="shared" ref="AJ799:AJ802" si="4040">SUM(AK799:AR799)</f>
        <v>0</v>
      </c>
      <c r="AK799" s="201">
        <f t="shared" ref="AK799:AS799" si="4035">countif($D799,"*"&amp;AK$2&amp;"*")</f>
        <v>0</v>
      </c>
      <c r="AL799" s="201">
        <f t="shared" si="4035"/>
        <v>0</v>
      </c>
      <c r="AM799" s="201">
        <f t="shared" si="4035"/>
        <v>0</v>
      </c>
      <c r="AN799" s="201">
        <f t="shared" si="4035"/>
        <v>0</v>
      </c>
      <c r="AO799" s="201">
        <f t="shared" si="4035"/>
        <v>0</v>
      </c>
      <c r="AP799" s="201">
        <f t="shared" si="4035"/>
        <v>0</v>
      </c>
      <c r="AQ799" s="201">
        <f t="shared" si="4035"/>
        <v>0</v>
      </c>
      <c r="AR799" s="200">
        <f t="shared" si="4035"/>
        <v>0</v>
      </c>
      <c r="AS799" s="200">
        <f t="shared" si="4035"/>
        <v>1</v>
      </c>
      <c r="AT799" s="173">
        <v>0.0</v>
      </c>
      <c r="AU799" s="200">
        <f t="shared" ref="AU799:AX799" si="4036">countif($D799,"*"&amp;AU$2&amp;"*")</f>
        <v>0</v>
      </c>
      <c r="AV799" s="200">
        <f t="shared" si="4036"/>
        <v>0</v>
      </c>
      <c r="AW799" s="200">
        <f t="shared" si="4036"/>
        <v>0</v>
      </c>
      <c r="AX799" s="200">
        <f t="shared" si="4036"/>
        <v>0</v>
      </c>
      <c r="AY799" s="204">
        <v>1.0</v>
      </c>
      <c r="AZ799" s="200"/>
      <c r="BA799" s="171" t="str">
        <f t="shared" si="18"/>
        <v>Archival</v>
      </c>
      <c r="BB799" s="171" t="str">
        <f t="shared" si="19"/>
        <v/>
      </c>
      <c r="BC799" s="171" t="str">
        <f t="shared" si="20"/>
        <v/>
      </c>
      <c r="BD799" s="171" t="str">
        <f t="shared" si="21"/>
        <v/>
      </c>
      <c r="BE799" s="171" t="str">
        <f t="shared" si="22"/>
        <v/>
      </c>
      <c r="BF799" s="171" t="str">
        <f t="shared" si="23"/>
        <v>Archival</v>
      </c>
    </row>
    <row r="800">
      <c r="A800" s="171">
        <f t="array" ref="A800">XLOOKUP(C800,ICSE!A:A,ICSE!C:C,,2,1)</f>
        <v>2016</v>
      </c>
      <c r="B800" s="171" t="s">
        <v>5675</v>
      </c>
      <c r="C800" s="160">
        <v>1561.0</v>
      </c>
      <c r="D800" s="161" t="s">
        <v>606</v>
      </c>
      <c r="E800" s="197" t="str">
        <f t="array" ref="E800">XLOOKUP(C800,ICSE!A:A,ICSE!Z:Z,,0,1)</f>
        <v>Publicly available (1)</v>
      </c>
      <c r="F800" s="198" t="s">
        <v>20</v>
      </c>
      <c r="G800" s="163" t="str">
        <f t="array" ref="G800">IF(B800="ICSE",IF(COUNTIFS(B:B,B800,C:C,C800)=XLOOKUP(C800,ICSE!A:A,ICSE!AA:AA,"ERROR",0,1),"OK","ERROR"),IF(B800="FSE",IF(COUNTIFS(B:B,B800,C:C,C800)=XLOOKUP(C800,FSE!A:A,FSE!AA:AA,"ERROR",0,1),"OK","ERROR")))</f>
        <v>OK</v>
      </c>
      <c r="H800" s="199">
        <f t="shared" ref="H800:O800" si="4037">countif($D800,"*"&amp;H$2&amp;"*")</f>
        <v>0</v>
      </c>
      <c r="I800" s="200">
        <f t="shared" si="4037"/>
        <v>0</v>
      </c>
      <c r="J800" s="200">
        <f t="shared" si="4037"/>
        <v>0</v>
      </c>
      <c r="K800" s="200">
        <f t="shared" si="4037"/>
        <v>0</v>
      </c>
      <c r="L800" s="200">
        <f t="shared" si="4037"/>
        <v>0</v>
      </c>
      <c r="M800" s="200">
        <f t="shared" si="4037"/>
        <v>0</v>
      </c>
      <c r="N800" s="200">
        <f t="shared" si="4037"/>
        <v>0</v>
      </c>
      <c r="O800" s="200">
        <f t="shared" si="4037"/>
        <v>0</v>
      </c>
      <c r="P800" s="200">
        <f t="shared" si="9"/>
        <v>0</v>
      </c>
      <c r="Q800" s="200">
        <f t="shared" ref="Q800:AC800" si="4038">countif($D800,"*"&amp;Q$2&amp;"*")</f>
        <v>0</v>
      </c>
      <c r="R800" s="200">
        <f t="shared" si="4038"/>
        <v>0</v>
      </c>
      <c r="S800" s="200">
        <f t="shared" si="4038"/>
        <v>0</v>
      </c>
      <c r="T800" s="200">
        <f t="shared" si="4038"/>
        <v>0</v>
      </c>
      <c r="U800" s="200">
        <f t="shared" si="4038"/>
        <v>0</v>
      </c>
      <c r="V800" s="200">
        <f t="shared" si="4038"/>
        <v>0</v>
      </c>
      <c r="W800" s="200">
        <f t="shared" si="4038"/>
        <v>0</v>
      </c>
      <c r="X800" s="200">
        <f t="shared" si="4038"/>
        <v>0</v>
      </c>
      <c r="Y800" s="200">
        <f t="shared" si="4038"/>
        <v>0</v>
      </c>
      <c r="Z800" s="200">
        <f t="shared" si="4038"/>
        <v>0</v>
      </c>
      <c r="AA800" s="200">
        <f t="shared" si="4038"/>
        <v>0</v>
      </c>
      <c r="AB800" s="200">
        <f t="shared" si="4038"/>
        <v>0</v>
      </c>
      <c r="AC800" s="200">
        <f t="shared" si="4038"/>
        <v>0</v>
      </c>
      <c r="AD800" s="200">
        <f t="shared" si="11"/>
        <v>1</v>
      </c>
      <c r="AE800" s="200">
        <f t="shared" ref="AE800:AG800" si="4039">countif($D800,"*"&amp;AE$2&amp;"*")</f>
        <v>0</v>
      </c>
      <c r="AF800" s="200">
        <f t="shared" si="4039"/>
        <v>0</v>
      </c>
      <c r="AG800" s="200">
        <f t="shared" si="4039"/>
        <v>0</v>
      </c>
      <c r="AH800" s="171">
        <f t="shared" si="13"/>
        <v>0</v>
      </c>
      <c r="AI800" s="200">
        <f t="shared" si="14"/>
        <v>0</v>
      </c>
      <c r="AJ800" s="200">
        <f t="shared" si="4040"/>
        <v>0</v>
      </c>
      <c r="AK800" s="201">
        <f t="shared" ref="AK800:AS800" si="4041">countif($D800,"*"&amp;AK$2&amp;"*")</f>
        <v>0</v>
      </c>
      <c r="AL800" s="201">
        <f t="shared" si="4041"/>
        <v>0</v>
      </c>
      <c r="AM800" s="201">
        <f t="shared" si="4041"/>
        <v>0</v>
      </c>
      <c r="AN800" s="201">
        <f t="shared" si="4041"/>
        <v>0</v>
      </c>
      <c r="AO800" s="201">
        <f t="shared" si="4041"/>
        <v>0</v>
      </c>
      <c r="AP800" s="201">
        <f t="shared" si="4041"/>
        <v>0</v>
      </c>
      <c r="AQ800" s="201">
        <f t="shared" si="4041"/>
        <v>0</v>
      </c>
      <c r="AR800" s="200">
        <f t="shared" si="4041"/>
        <v>0</v>
      </c>
      <c r="AS800" s="200">
        <f t="shared" si="4041"/>
        <v>0</v>
      </c>
      <c r="AT800" s="173">
        <v>1.0</v>
      </c>
      <c r="AU800" s="200">
        <f t="shared" ref="AU800:AX800" si="4042">countif($D800,"*"&amp;AU$2&amp;"*")</f>
        <v>0</v>
      </c>
      <c r="AV800" s="200">
        <f t="shared" si="4042"/>
        <v>0</v>
      </c>
      <c r="AW800" s="200">
        <f t="shared" si="4042"/>
        <v>0</v>
      </c>
      <c r="AX800" s="200">
        <f t="shared" si="4042"/>
        <v>0</v>
      </c>
      <c r="AY800" s="202">
        <v>0.0</v>
      </c>
      <c r="AZ800" s="200"/>
      <c r="BA800" s="171" t="str">
        <f t="shared" si="18"/>
        <v/>
      </c>
      <c r="BB800" s="171" t="str">
        <f t="shared" si="19"/>
        <v/>
      </c>
      <c r="BC800" s="171" t="str">
        <f t="shared" si="20"/>
        <v/>
      </c>
      <c r="BD800" s="171" t="str">
        <f t="shared" si="21"/>
        <v>Institutional</v>
      </c>
      <c r="BE800" s="171" t="str">
        <f t="shared" si="22"/>
        <v/>
      </c>
      <c r="BF800" s="171" t="str">
        <f t="shared" si="23"/>
        <v>Institutional</v>
      </c>
    </row>
    <row r="801">
      <c r="A801" s="171">
        <f t="array" ref="A801">XLOOKUP(C801,ICSE!A:A,ICSE!C:C,,2,1)</f>
        <v>2016</v>
      </c>
      <c r="B801" s="171" t="s">
        <v>5675</v>
      </c>
      <c r="C801" s="160">
        <v>1562.0</v>
      </c>
      <c r="D801" s="161" t="s">
        <v>610</v>
      </c>
      <c r="E801" s="197" t="str">
        <f t="array" ref="E801">XLOOKUP(C801,ICSE!A:A,ICSE!Z:Z,,0,1)</f>
        <v>Publicly available (1)</v>
      </c>
      <c r="F801" s="198" t="s">
        <v>20</v>
      </c>
      <c r="G801" s="163" t="str">
        <f t="array" ref="G801">IF(B801="ICSE",IF(COUNTIFS(B:B,B801,C:C,C801)=XLOOKUP(C801,ICSE!A:A,ICSE!AA:AA,"ERROR",0,1),"OK","ERROR"),IF(B801="FSE",IF(COUNTIFS(B:B,B801,C:C,C801)=XLOOKUP(C801,FSE!A:A,FSE!AA:AA,"ERROR",0,1),"OK","ERROR")))</f>
        <v>OK</v>
      </c>
      <c r="H801" s="199">
        <f t="shared" ref="H801:O801" si="4043">countif($D801,"*"&amp;H$2&amp;"*")</f>
        <v>0</v>
      </c>
      <c r="I801" s="200">
        <f t="shared" si="4043"/>
        <v>0</v>
      </c>
      <c r="J801" s="200">
        <f t="shared" si="4043"/>
        <v>0</v>
      </c>
      <c r="K801" s="200">
        <f t="shared" si="4043"/>
        <v>0</v>
      </c>
      <c r="L801" s="200">
        <f t="shared" si="4043"/>
        <v>0</v>
      </c>
      <c r="M801" s="200">
        <f t="shared" si="4043"/>
        <v>0</v>
      </c>
      <c r="N801" s="200">
        <f t="shared" si="4043"/>
        <v>0</v>
      </c>
      <c r="O801" s="200">
        <f t="shared" si="4043"/>
        <v>0</v>
      </c>
      <c r="P801" s="200">
        <f t="shared" si="9"/>
        <v>0</v>
      </c>
      <c r="Q801" s="200">
        <f t="shared" ref="Q801:AC801" si="4044">countif($D801,"*"&amp;Q$2&amp;"*")</f>
        <v>0</v>
      </c>
      <c r="R801" s="200">
        <f t="shared" si="4044"/>
        <v>0</v>
      </c>
      <c r="S801" s="200">
        <f t="shared" si="4044"/>
        <v>0</v>
      </c>
      <c r="T801" s="200">
        <f t="shared" si="4044"/>
        <v>0</v>
      </c>
      <c r="U801" s="200">
        <f t="shared" si="4044"/>
        <v>0</v>
      </c>
      <c r="V801" s="200">
        <f t="shared" si="4044"/>
        <v>0</v>
      </c>
      <c r="W801" s="200">
        <f t="shared" si="4044"/>
        <v>0</v>
      </c>
      <c r="X801" s="200">
        <f t="shared" si="4044"/>
        <v>0</v>
      </c>
      <c r="Y801" s="200">
        <f t="shared" si="4044"/>
        <v>0</v>
      </c>
      <c r="Z801" s="200">
        <f t="shared" si="4044"/>
        <v>0</v>
      </c>
      <c r="AA801" s="200">
        <f t="shared" si="4044"/>
        <v>0</v>
      </c>
      <c r="AB801" s="200">
        <f t="shared" si="4044"/>
        <v>0</v>
      </c>
      <c r="AC801" s="200">
        <f t="shared" si="4044"/>
        <v>0</v>
      </c>
      <c r="AD801" s="200">
        <f t="shared" si="11"/>
        <v>1</v>
      </c>
      <c r="AE801" s="200">
        <f t="shared" ref="AE801:AG801" si="4045">countif($D801,"*"&amp;AE$2&amp;"*")</f>
        <v>0</v>
      </c>
      <c r="AF801" s="200">
        <f t="shared" si="4045"/>
        <v>0</v>
      </c>
      <c r="AG801" s="200">
        <f t="shared" si="4045"/>
        <v>0</v>
      </c>
      <c r="AH801" s="171">
        <f t="shared" si="13"/>
        <v>0</v>
      </c>
      <c r="AI801" s="200">
        <f t="shared" si="14"/>
        <v>0</v>
      </c>
      <c r="AJ801" s="200">
        <f t="shared" si="4040"/>
        <v>0</v>
      </c>
      <c r="AK801" s="201">
        <f t="shared" ref="AK801:AS801" si="4046">countif($D801,"*"&amp;AK$2&amp;"*")</f>
        <v>0</v>
      </c>
      <c r="AL801" s="201">
        <f t="shared" si="4046"/>
        <v>0</v>
      </c>
      <c r="AM801" s="201">
        <f t="shared" si="4046"/>
        <v>0</v>
      </c>
      <c r="AN801" s="201">
        <f t="shared" si="4046"/>
        <v>0</v>
      </c>
      <c r="AO801" s="201">
        <f t="shared" si="4046"/>
        <v>0</v>
      </c>
      <c r="AP801" s="201">
        <f t="shared" si="4046"/>
        <v>0</v>
      </c>
      <c r="AQ801" s="201">
        <f t="shared" si="4046"/>
        <v>0</v>
      </c>
      <c r="AR801" s="200">
        <f t="shared" si="4046"/>
        <v>0</v>
      </c>
      <c r="AS801" s="200">
        <f t="shared" si="4046"/>
        <v>1</v>
      </c>
      <c r="AT801" s="173">
        <v>1.0</v>
      </c>
      <c r="AU801" s="200">
        <f t="shared" ref="AU801:AX801" si="4047">countif($D801,"*"&amp;AU$2&amp;"*")</f>
        <v>0</v>
      </c>
      <c r="AV801" s="200">
        <f t="shared" si="4047"/>
        <v>0</v>
      </c>
      <c r="AW801" s="200">
        <f t="shared" si="4047"/>
        <v>0</v>
      </c>
      <c r="AX801" s="200">
        <f t="shared" si="4047"/>
        <v>0</v>
      </c>
      <c r="AY801" s="202">
        <v>0.0</v>
      </c>
      <c r="AZ801" s="200"/>
      <c r="BA801" s="171" t="str">
        <f t="shared" si="18"/>
        <v/>
      </c>
      <c r="BB801" s="171" t="str">
        <f t="shared" si="19"/>
        <v/>
      </c>
      <c r="BC801" s="171" t="str">
        <f t="shared" si="20"/>
        <v/>
      </c>
      <c r="BD801" s="171" t="str">
        <f t="shared" si="21"/>
        <v>Institutional</v>
      </c>
      <c r="BE801" s="171" t="str">
        <f t="shared" si="22"/>
        <v/>
      </c>
      <c r="BF801" s="171" t="str">
        <f t="shared" si="23"/>
        <v>Institutional</v>
      </c>
    </row>
    <row r="802">
      <c r="A802" s="171">
        <f t="array" ref="A802">XLOOKUP(C802,ICSE!A:A,ICSE!C:C,,2,1)</f>
        <v>2016</v>
      </c>
      <c r="B802" s="171" t="s">
        <v>5675</v>
      </c>
      <c r="C802" s="160">
        <v>1563.0</v>
      </c>
      <c r="D802" s="161" t="s">
        <v>613</v>
      </c>
      <c r="E802" s="197" t="str">
        <f t="array" ref="E802">XLOOKUP(C802,ICSE!A:A,ICSE!Z:Z,,0,1)</f>
        <v>Not available (1) - Broken link.</v>
      </c>
      <c r="F802" s="198" t="s">
        <v>21</v>
      </c>
      <c r="G802" s="163" t="str">
        <f t="array" ref="G802">IF(B802="ICSE",IF(COUNTIFS(B:B,B802,C:C,C802)=XLOOKUP(C802,ICSE!A:A,ICSE!AA:AA,"ERROR",0,1),"OK","ERROR"),IF(B802="FSE",IF(COUNTIFS(B:B,B802,C:C,C802)=XLOOKUP(C802,FSE!A:A,FSE!AA:AA,"ERROR",0,1),"OK","ERROR")))</f>
        <v>OK</v>
      </c>
      <c r="H802" s="199">
        <f t="shared" ref="H802:O802" si="4048">countif($D802,"*"&amp;H$2&amp;"*")</f>
        <v>0</v>
      </c>
      <c r="I802" s="200">
        <f t="shared" si="4048"/>
        <v>0</v>
      </c>
      <c r="J802" s="200">
        <f t="shared" si="4048"/>
        <v>0</v>
      </c>
      <c r="K802" s="200">
        <f t="shared" si="4048"/>
        <v>0</v>
      </c>
      <c r="L802" s="200">
        <f t="shared" si="4048"/>
        <v>0</v>
      </c>
      <c r="M802" s="200">
        <f t="shared" si="4048"/>
        <v>0</v>
      </c>
      <c r="N802" s="200">
        <f t="shared" si="4048"/>
        <v>0</v>
      </c>
      <c r="O802" s="200">
        <f t="shared" si="4048"/>
        <v>0</v>
      </c>
      <c r="P802" s="200">
        <f t="shared" si="9"/>
        <v>0</v>
      </c>
      <c r="Q802" s="200">
        <f t="shared" ref="Q802:AC802" si="4049">countif($D802,"*"&amp;Q$2&amp;"*")</f>
        <v>0</v>
      </c>
      <c r="R802" s="200">
        <f t="shared" si="4049"/>
        <v>0</v>
      </c>
      <c r="S802" s="200">
        <f t="shared" si="4049"/>
        <v>0</v>
      </c>
      <c r="T802" s="200">
        <f t="shared" si="4049"/>
        <v>0</v>
      </c>
      <c r="U802" s="200">
        <f t="shared" si="4049"/>
        <v>0</v>
      </c>
      <c r="V802" s="200">
        <f t="shared" si="4049"/>
        <v>0</v>
      </c>
      <c r="W802" s="200">
        <f t="shared" si="4049"/>
        <v>0</v>
      </c>
      <c r="X802" s="200">
        <f t="shared" si="4049"/>
        <v>0</v>
      </c>
      <c r="Y802" s="200">
        <f t="shared" si="4049"/>
        <v>0</v>
      </c>
      <c r="Z802" s="200">
        <f t="shared" si="4049"/>
        <v>0</v>
      </c>
      <c r="AA802" s="200">
        <f t="shared" si="4049"/>
        <v>0</v>
      </c>
      <c r="AB802" s="200">
        <f t="shared" si="4049"/>
        <v>0</v>
      </c>
      <c r="AC802" s="200">
        <f t="shared" si="4049"/>
        <v>0</v>
      </c>
      <c r="AD802" s="200">
        <f t="shared" si="11"/>
        <v>1</v>
      </c>
      <c r="AE802" s="200">
        <f t="shared" ref="AE802:AG802" si="4050">countif($D802,"*"&amp;AE$2&amp;"*")</f>
        <v>0</v>
      </c>
      <c r="AF802" s="200">
        <f t="shared" si="4050"/>
        <v>0</v>
      </c>
      <c r="AG802" s="200">
        <f t="shared" si="4050"/>
        <v>0</v>
      </c>
      <c r="AH802" s="171">
        <f t="shared" si="13"/>
        <v>0</v>
      </c>
      <c r="AI802" s="200">
        <f t="shared" si="14"/>
        <v>0</v>
      </c>
      <c r="AJ802" s="200">
        <f t="shared" si="4040"/>
        <v>0</v>
      </c>
      <c r="AK802" s="201">
        <f t="shared" ref="AK802:AS802" si="4051">countif($D802,"*"&amp;AK$2&amp;"*")</f>
        <v>0</v>
      </c>
      <c r="AL802" s="201">
        <f t="shared" si="4051"/>
        <v>0</v>
      </c>
      <c r="AM802" s="201">
        <f t="shared" si="4051"/>
        <v>0</v>
      </c>
      <c r="AN802" s="201">
        <f t="shared" si="4051"/>
        <v>0</v>
      </c>
      <c r="AO802" s="201">
        <f t="shared" si="4051"/>
        <v>0</v>
      </c>
      <c r="AP802" s="201">
        <f t="shared" si="4051"/>
        <v>0</v>
      </c>
      <c r="AQ802" s="201">
        <f t="shared" si="4051"/>
        <v>0</v>
      </c>
      <c r="AR802" s="200">
        <f t="shared" si="4051"/>
        <v>0</v>
      </c>
      <c r="AS802" s="200">
        <f t="shared" si="4051"/>
        <v>0</v>
      </c>
      <c r="AT802" s="173">
        <v>1.0</v>
      </c>
      <c r="AU802" s="200">
        <f t="shared" ref="AU802:AX802" si="4052">countif($D802,"*"&amp;AU$2&amp;"*")</f>
        <v>0</v>
      </c>
      <c r="AV802" s="200">
        <f t="shared" si="4052"/>
        <v>0</v>
      </c>
      <c r="AW802" s="200">
        <f t="shared" si="4052"/>
        <v>0</v>
      </c>
      <c r="AX802" s="200">
        <f t="shared" si="4052"/>
        <v>0</v>
      </c>
      <c r="AY802" s="202">
        <v>0.0</v>
      </c>
      <c r="AZ802" s="200"/>
      <c r="BA802" s="171" t="str">
        <f t="shared" si="18"/>
        <v/>
      </c>
      <c r="BB802" s="171" t="str">
        <f t="shared" si="19"/>
        <v/>
      </c>
      <c r="BC802" s="171" t="str">
        <f t="shared" si="20"/>
        <v/>
      </c>
      <c r="BD802" s="171" t="str">
        <f t="shared" si="21"/>
        <v>Institutional</v>
      </c>
      <c r="BE802" s="171" t="str">
        <f t="shared" si="22"/>
        <v/>
      </c>
      <c r="BF802" s="171" t="str">
        <f t="shared" si="23"/>
        <v>Institutional</v>
      </c>
    </row>
    <row r="803">
      <c r="A803" s="171">
        <f t="array" ref="A803">XLOOKUP(C803,ICSE!A:A,ICSE!C:C,,2,1)</f>
        <v>2016</v>
      </c>
      <c r="B803" s="171" t="s">
        <v>5675</v>
      </c>
      <c r="C803" s="160">
        <v>1564.0</v>
      </c>
      <c r="D803" s="161" t="s">
        <v>616</v>
      </c>
      <c r="E803" s="197" t="str">
        <f t="array" ref="E803">XLOOKUP(C803,ICSE!A:A,ICSE!Z:Z,,0,1)</f>
        <v>Publicly available (1)</v>
      </c>
      <c r="F803" s="198" t="s">
        <v>20</v>
      </c>
      <c r="G803" s="163" t="str">
        <f t="array" ref="G803">IF(B803="ICSE",IF(COUNTIFS(B:B,B803,C:C,C803)=XLOOKUP(C803,ICSE!A:A,ICSE!AA:AA,"ERROR",0,1),"OK","ERROR"),IF(B803="FSE",IF(COUNTIFS(B:B,B803,C:C,C803)=XLOOKUP(C803,FSE!A:A,FSE!AA:AA,"ERROR",0,1),"OK","ERROR")))</f>
        <v>OK</v>
      </c>
      <c r="H803" s="199">
        <f t="shared" ref="H803:O803" si="4053">countif($D803,"*"&amp;H$2&amp;"*")</f>
        <v>0</v>
      </c>
      <c r="I803" s="200">
        <f t="shared" si="4053"/>
        <v>0</v>
      </c>
      <c r="J803" s="200">
        <f t="shared" si="4053"/>
        <v>0</v>
      </c>
      <c r="K803" s="200">
        <f t="shared" si="4053"/>
        <v>0</v>
      </c>
      <c r="L803" s="200">
        <f t="shared" si="4053"/>
        <v>0</v>
      </c>
      <c r="M803" s="200">
        <f t="shared" si="4053"/>
        <v>0</v>
      </c>
      <c r="N803" s="200">
        <f t="shared" si="4053"/>
        <v>0</v>
      </c>
      <c r="O803" s="200">
        <f t="shared" si="4053"/>
        <v>0</v>
      </c>
      <c r="P803" s="200">
        <f t="shared" si="9"/>
        <v>0</v>
      </c>
      <c r="Q803" s="200">
        <f t="shared" ref="Q803:AC803" si="4054">countif($D803,"*"&amp;Q$2&amp;"*")</f>
        <v>0</v>
      </c>
      <c r="R803" s="200">
        <f t="shared" si="4054"/>
        <v>0</v>
      </c>
      <c r="S803" s="200">
        <f t="shared" si="4054"/>
        <v>0</v>
      </c>
      <c r="T803" s="200">
        <f t="shared" si="4054"/>
        <v>0</v>
      </c>
      <c r="U803" s="200">
        <f t="shared" si="4054"/>
        <v>0</v>
      </c>
      <c r="V803" s="200">
        <f t="shared" si="4054"/>
        <v>0</v>
      </c>
      <c r="W803" s="200">
        <f t="shared" si="4054"/>
        <v>0</v>
      </c>
      <c r="X803" s="200">
        <f t="shared" si="4054"/>
        <v>0</v>
      </c>
      <c r="Y803" s="200">
        <f t="shared" si="4054"/>
        <v>0</v>
      </c>
      <c r="Z803" s="200">
        <f t="shared" si="4054"/>
        <v>0</v>
      </c>
      <c r="AA803" s="200">
        <f t="shared" si="4054"/>
        <v>0</v>
      </c>
      <c r="AB803" s="200">
        <f t="shared" si="4054"/>
        <v>0</v>
      </c>
      <c r="AC803" s="200">
        <f t="shared" si="4054"/>
        <v>0</v>
      </c>
      <c r="AD803" s="200">
        <f t="shared" si="11"/>
        <v>1</v>
      </c>
      <c r="AE803" s="200">
        <f t="shared" ref="AE803:AG803" si="4055">countif($D803,"*"&amp;AE$2&amp;"*")</f>
        <v>0</v>
      </c>
      <c r="AF803" s="200">
        <f t="shared" si="4055"/>
        <v>0</v>
      </c>
      <c r="AG803" s="200">
        <f t="shared" si="4055"/>
        <v>0</v>
      </c>
      <c r="AH803" s="171">
        <f t="shared" si="13"/>
        <v>0</v>
      </c>
      <c r="AI803" s="200">
        <f t="shared" si="14"/>
        <v>0</v>
      </c>
      <c r="AJ803" s="200">
        <f t="shared" ref="AJ803:AJ804" si="4061">SUM(AK803:AQ803)</f>
        <v>0</v>
      </c>
      <c r="AK803" s="201">
        <f t="shared" ref="AK803:AS803" si="4056">countif($D803,"*"&amp;AK$2&amp;"*")</f>
        <v>0</v>
      </c>
      <c r="AL803" s="201">
        <f t="shared" si="4056"/>
        <v>0</v>
      </c>
      <c r="AM803" s="201">
        <f t="shared" si="4056"/>
        <v>0</v>
      </c>
      <c r="AN803" s="201">
        <f t="shared" si="4056"/>
        <v>0</v>
      </c>
      <c r="AO803" s="201">
        <f t="shared" si="4056"/>
        <v>0</v>
      </c>
      <c r="AP803" s="201">
        <f t="shared" si="4056"/>
        <v>0</v>
      </c>
      <c r="AQ803" s="201">
        <f t="shared" si="4056"/>
        <v>0</v>
      </c>
      <c r="AR803" s="201">
        <f t="shared" si="4056"/>
        <v>0</v>
      </c>
      <c r="AS803" s="200">
        <f t="shared" si="4056"/>
        <v>0</v>
      </c>
      <c r="AT803" s="205">
        <v>0.0</v>
      </c>
      <c r="AU803" s="200">
        <f t="shared" ref="AU803:AX803" si="4057">countif($D803,"*"&amp;AU$2&amp;"*")</f>
        <v>1</v>
      </c>
      <c r="AV803" s="200">
        <f t="shared" si="4057"/>
        <v>0</v>
      </c>
      <c r="AW803" s="200">
        <f t="shared" si="4057"/>
        <v>0</v>
      </c>
      <c r="AX803" s="200">
        <f t="shared" si="4057"/>
        <v>0</v>
      </c>
      <c r="AY803" s="202">
        <v>0.0</v>
      </c>
      <c r="AZ803" s="200"/>
      <c r="BA803" s="171" t="str">
        <f t="shared" si="18"/>
        <v/>
      </c>
      <c r="BB803" s="171" t="str">
        <f t="shared" si="19"/>
        <v/>
      </c>
      <c r="BC803" s="171" t="str">
        <f t="shared" si="20"/>
        <v/>
      </c>
      <c r="BD803" s="171" t="str">
        <f t="shared" si="21"/>
        <v>Institutional</v>
      </c>
      <c r="BE803" s="171" t="str">
        <f t="shared" si="22"/>
        <v/>
      </c>
      <c r="BF803" s="171" t="str">
        <f t="shared" si="23"/>
        <v>Institutional</v>
      </c>
    </row>
    <row r="804">
      <c r="A804" s="171">
        <f t="array" ref="A804">XLOOKUP(C804,ICSE!A:A,ICSE!C:C,,2,1)</f>
        <v>2016</v>
      </c>
      <c r="B804" s="171" t="s">
        <v>5675</v>
      </c>
      <c r="C804" s="160">
        <v>1565.0</v>
      </c>
      <c r="D804" s="161" t="s">
        <v>620</v>
      </c>
      <c r="E804" s="197" t="str">
        <f t="array" ref="E804">XLOOKUP(C804,ICSE!A:A,ICSE!Z:Z,,0,1)</f>
        <v>Publicly available (1)</v>
      </c>
      <c r="F804" s="198" t="s">
        <v>20</v>
      </c>
      <c r="G804" s="163" t="str">
        <f t="array" ref="G804">IF(B804="ICSE",IF(COUNTIFS(B:B,B804,C:C,C804)=XLOOKUP(C804,ICSE!A:A,ICSE!AA:AA,"ERROR",0,1),"OK","ERROR"),IF(B804="FSE",IF(COUNTIFS(B:B,B804,C:C,C804)=XLOOKUP(C804,FSE!A:A,FSE!AA:AA,"ERROR",0,1),"OK","ERROR")))</f>
        <v>OK</v>
      </c>
      <c r="H804" s="199">
        <f t="shared" ref="H804:O804" si="4058">countif($D804,"*"&amp;H$2&amp;"*")</f>
        <v>0</v>
      </c>
      <c r="I804" s="200">
        <f t="shared" si="4058"/>
        <v>0</v>
      </c>
      <c r="J804" s="200">
        <f t="shared" si="4058"/>
        <v>0</v>
      </c>
      <c r="K804" s="200">
        <f t="shared" si="4058"/>
        <v>0</v>
      </c>
      <c r="L804" s="200">
        <f t="shared" si="4058"/>
        <v>0</v>
      </c>
      <c r="M804" s="200">
        <f t="shared" si="4058"/>
        <v>0</v>
      </c>
      <c r="N804" s="200">
        <f t="shared" si="4058"/>
        <v>0</v>
      </c>
      <c r="O804" s="200">
        <f t="shared" si="4058"/>
        <v>0</v>
      </c>
      <c r="P804" s="200">
        <f t="shared" si="9"/>
        <v>0</v>
      </c>
      <c r="Q804" s="200">
        <f t="shared" ref="Q804:AC804" si="4059">countif($D804,"*"&amp;Q$2&amp;"*")</f>
        <v>0</v>
      </c>
      <c r="R804" s="200">
        <f t="shared" si="4059"/>
        <v>0</v>
      </c>
      <c r="S804" s="200">
        <f t="shared" si="4059"/>
        <v>0</v>
      </c>
      <c r="T804" s="200">
        <f t="shared" si="4059"/>
        <v>0</v>
      </c>
      <c r="U804" s="200">
        <f t="shared" si="4059"/>
        <v>0</v>
      </c>
      <c r="V804" s="200">
        <f t="shared" si="4059"/>
        <v>0</v>
      </c>
      <c r="W804" s="200">
        <f t="shared" si="4059"/>
        <v>0</v>
      </c>
      <c r="X804" s="200">
        <f t="shared" si="4059"/>
        <v>0</v>
      </c>
      <c r="Y804" s="200">
        <f t="shared" si="4059"/>
        <v>0</v>
      </c>
      <c r="Z804" s="200">
        <f t="shared" si="4059"/>
        <v>0</v>
      </c>
      <c r="AA804" s="200">
        <f t="shared" si="4059"/>
        <v>0</v>
      </c>
      <c r="AB804" s="200">
        <f t="shared" si="4059"/>
        <v>0</v>
      </c>
      <c r="AC804" s="200">
        <f t="shared" si="4059"/>
        <v>0</v>
      </c>
      <c r="AD804" s="200">
        <f t="shared" si="11"/>
        <v>1</v>
      </c>
      <c r="AE804" s="200">
        <f t="shared" ref="AE804:AG804" si="4060">countif($D804,"*"&amp;AE$2&amp;"*")</f>
        <v>0</v>
      </c>
      <c r="AF804" s="200">
        <f t="shared" si="4060"/>
        <v>0</v>
      </c>
      <c r="AG804" s="200">
        <f t="shared" si="4060"/>
        <v>0</v>
      </c>
      <c r="AH804" s="171">
        <f t="shared" si="13"/>
        <v>0</v>
      </c>
      <c r="AI804" s="200">
        <f t="shared" si="14"/>
        <v>0</v>
      </c>
      <c r="AJ804" s="200">
        <f t="shared" si="4061"/>
        <v>0</v>
      </c>
      <c r="AK804" s="201">
        <f t="shared" ref="AK804:AS804" si="4062">countif($D804,"*"&amp;AK$2&amp;"*")</f>
        <v>0</v>
      </c>
      <c r="AL804" s="201">
        <f t="shared" si="4062"/>
        <v>0</v>
      </c>
      <c r="AM804" s="201">
        <f t="shared" si="4062"/>
        <v>0</v>
      </c>
      <c r="AN804" s="201">
        <f t="shared" si="4062"/>
        <v>0</v>
      </c>
      <c r="AO804" s="201">
        <f t="shared" si="4062"/>
        <v>0</v>
      </c>
      <c r="AP804" s="201">
        <f t="shared" si="4062"/>
        <v>0</v>
      </c>
      <c r="AQ804" s="201">
        <f t="shared" si="4062"/>
        <v>0</v>
      </c>
      <c r="AR804" s="201">
        <f t="shared" si="4062"/>
        <v>0</v>
      </c>
      <c r="AS804" s="200">
        <f t="shared" si="4062"/>
        <v>1</v>
      </c>
      <c r="AT804" s="205">
        <v>0.0</v>
      </c>
      <c r="AU804" s="200">
        <f t="shared" ref="AU804:AX804" si="4063">countif($D804,"*"&amp;AU$2&amp;"*")</f>
        <v>1</v>
      </c>
      <c r="AV804" s="200">
        <f t="shared" si="4063"/>
        <v>0</v>
      </c>
      <c r="AW804" s="200">
        <f t="shared" si="4063"/>
        <v>0</v>
      </c>
      <c r="AX804" s="200">
        <f t="shared" si="4063"/>
        <v>0</v>
      </c>
      <c r="AY804" s="202">
        <v>0.0</v>
      </c>
      <c r="AZ804" s="200"/>
      <c r="BA804" s="171" t="str">
        <f t="shared" si="18"/>
        <v/>
      </c>
      <c r="BB804" s="171" t="str">
        <f t="shared" si="19"/>
        <v/>
      </c>
      <c r="BC804" s="171" t="str">
        <f t="shared" si="20"/>
        <v/>
      </c>
      <c r="BD804" s="171" t="str">
        <f t="shared" si="21"/>
        <v>Institutional</v>
      </c>
      <c r="BE804" s="171" t="str">
        <f t="shared" si="22"/>
        <v/>
      </c>
      <c r="BF804" s="171" t="str">
        <f t="shared" si="23"/>
        <v>Institutional</v>
      </c>
    </row>
    <row r="805">
      <c r="A805" s="171">
        <f t="array" ref="A805">XLOOKUP(C805,ICSE!A:A,ICSE!C:C,,2,1)</f>
        <v>2016</v>
      </c>
      <c r="B805" s="171" t="s">
        <v>5675</v>
      </c>
      <c r="C805" s="160">
        <v>1567.0</v>
      </c>
      <c r="D805" s="161" t="s">
        <v>623</v>
      </c>
      <c r="E805" s="197" t="str">
        <f t="array" ref="E805">XLOOKUP(C805,ICSE!A:A,ICSE!Z:Z,,0,1)</f>
        <v>Publicly available (1)</v>
      </c>
      <c r="F805" s="198" t="s">
        <v>20</v>
      </c>
      <c r="G805" s="163" t="str">
        <f t="array" ref="G805">IF(B805="ICSE",IF(COUNTIFS(B:B,B805,C:C,C805)=XLOOKUP(C805,ICSE!A:A,ICSE!AA:AA,"ERROR",0,1),"OK","ERROR"),IF(B805="FSE",IF(COUNTIFS(B:B,B805,C:C,C805)=XLOOKUP(C805,FSE!A:A,FSE!AA:AA,"ERROR",0,1),"OK","ERROR")))</f>
        <v>OK</v>
      </c>
      <c r="H805" s="199">
        <f t="shared" ref="H805:O805" si="4064">countif($D805,"*"&amp;H$2&amp;"*")</f>
        <v>0</v>
      </c>
      <c r="I805" s="200">
        <f t="shared" si="4064"/>
        <v>0</v>
      </c>
      <c r="J805" s="200">
        <f t="shared" si="4064"/>
        <v>0</v>
      </c>
      <c r="K805" s="200">
        <f t="shared" si="4064"/>
        <v>0</v>
      </c>
      <c r="L805" s="200">
        <f t="shared" si="4064"/>
        <v>0</v>
      </c>
      <c r="M805" s="200">
        <f t="shared" si="4064"/>
        <v>0</v>
      </c>
      <c r="N805" s="200">
        <f t="shared" si="4064"/>
        <v>0</v>
      </c>
      <c r="O805" s="200">
        <f t="shared" si="4064"/>
        <v>0</v>
      </c>
      <c r="P805" s="200">
        <f t="shared" si="9"/>
        <v>0</v>
      </c>
      <c r="Q805" s="200">
        <f t="shared" ref="Q805:AC805" si="4065">countif($D805,"*"&amp;Q$2&amp;"*")</f>
        <v>0</v>
      </c>
      <c r="R805" s="200">
        <f t="shared" si="4065"/>
        <v>0</v>
      </c>
      <c r="S805" s="200">
        <f t="shared" si="4065"/>
        <v>0</v>
      </c>
      <c r="T805" s="200">
        <f t="shared" si="4065"/>
        <v>0</v>
      </c>
      <c r="U805" s="200">
        <f t="shared" si="4065"/>
        <v>0</v>
      </c>
      <c r="V805" s="200">
        <f t="shared" si="4065"/>
        <v>0</v>
      </c>
      <c r="W805" s="200">
        <f t="shared" si="4065"/>
        <v>0</v>
      </c>
      <c r="X805" s="200">
        <f t="shared" si="4065"/>
        <v>0</v>
      </c>
      <c r="Y805" s="200">
        <f t="shared" si="4065"/>
        <v>0</v>
      </c>
      <c r="Z805" s="200">
        <f t="shared" si="4065"/>
        <v>0</v>
      </c>
      <c r="AA805" s="200">
        <f t="shared" si="4065"/>
        <v>0</v>
      </c>
      <c r="AB805" s="200">
        <f t="shared" si="4065"/>
        <v>0</v>
      </c>
      <c r="AC805" s="200">
        <f t="shared" si="4065"/>
        <v>0</v>
      </c>
      <c r="AD805" s="200">
        <f t="shared" si="11"/>
        <v>1</v>
      </c>
      <c r="AE805" s="200">
        <f t="shared" ref="AE805:AG805" si="4066">countif($D805,"*"&amp;AE$2&amp;"*")</f>
        <v>0</v>
      </c>
      <c r="AF805" s="200">
        <f t="shared" si="4066"/>
        <v>0</v>
      </c>
      <c r="AG805" s="200">
        <f t="shared" si="4066"/>
        <v>0</v>
      </c>
      <c r="AH805" s="171">
        <f t="shared" si="13"/>
        <v>0</v>
      </c>
      <c r="AI805" s="200">
        <f t="shared" si="14"/>
        <v>0</v>
      </c>
      <c r="AJ805" s="200">
        <f>SUM(AK805:AR805)</f>
        <v>0</v>
      </c>
      <c r="AK805" s="201">
        <f t="shared" ref="AK805:AS805" si="4067">countif($D805,"*"&amp;AK$2&amp;"*")</f>
        <v>0</v>
      </c>
      <c r="AL805" s="201">
        <f t="shared" si="4067"/>
        <v>0</v>
      </c>
      <c r="AM805" s="201">
        <f t="shared" si="4067"/>
        <v>0</v>
      </c>
      <c r="AN805" s="201">
        <f t="shared" si="4067"/>
        <v>0</v>
      </c>
      <c r="AO805" s="201">
        <f t="shared" si="4067"/>
        <v>0</v>
      </c>
      <c r="AP805" s="201">
        <f t="shared" si="4067"/>
        <v>0</v>
      </c>
      <c r="AQ805" s="201">
        <f t="shared" si="4067"/>
        <v>0</v>
      </c>
      <c r="AR805" s="200">
        <f t="shared" si="4067"/>
        <v>0</v>
      </c>
      <c r="AS805" s="200">
        <f t="shared" si="4067"/>
        <v>0</v>
      </c>
      <c r="AT805" s="173">
        <v>1.0</v>
      </c>
      <c r="AU805" s="200">
        <f t="shared" ref="AU805:AX805" si="4068">countif($D805,"*"&amp;AU$2&amp;"*")</f>
        <v>0</v>
      </c>
      <c r="AV805" s="200">
        <f t="shared" si="4068"/>
        <v>0</v>
      </c>
      <c r="AW805" s="200">
        <f t="shared" si="4068"/>
        <v>0</v>
      </c>
      <c r="AX805" s="200">
        <f t="shared" si="4068"/>
        <v>0</v>
      </c>
      <c r="AY805" s="202">
        <v>0.0</v>
      </c>
      <c r="AZ805" s="200"/>
      <c r="BA805" s="171" t="str">
        <f t="shared" si="18"/>
        <v/>
      </c>
      <c r="BB805" s="171" t="str">
        <f t="shared" si="19"/>
        <v/>
      </c>
      <c r="BC805" s="171" t="str">
        <f t="shared" si="20"/>
        <v/>
      </c>
      <c r="BD805" s="171" t="str">
        <f t="shared" si="21"/>
        <v>Institutional</v>
      </c>
      <c r="BE805" s="171" t="str">
        <f t="shared" si="22"/>
        <v/>
      </c>
      <c r="BF805" s="171" t="str">
        <f t="shared" si="23"/>
        <v>Institutional</v>
      </c>
    </row>
    <row r="806">
      <c r="A806" s="171">
        <f t="array" ref="A806">XLOOKUP(C806,ICSE!A:A,ICSE!C:C,,2,1)</f>
        <v>2016</v>
      </c>
      <c r="B806" s="171" t="s">
        <v>5675</v>
      </c>
      <c r="C806" s="160">
        <v>1568.0</v>
      </c>
      <c r="D806" s="161" t="s">
        <v>627</v>
      </c>
      <c r="E806" s="197" t="str">
        <f t="array" ref="E806">XLOOKUP(C806,ICSE!A:A,ICSE!Z:Z,,0,1)</f>
        <v>Publicly available (1)</v>
      </c>
      <c r="F806" s="198" t="s">
        <v>20</v>
      </c>
      <c r="G806" s="163" t="str">
        <f t="array" ref="G806">IF(B806="ICSE",IF(COUNTIFS(B:B,B806,C:C,C806)=XLOOKUP(C806,ICSE!A:A,ICSE!AA:AA,"ERROR",0,1),"OK","ERROR"),IF(B806="FSE",IF(COUNTIFS(B:B,B806,C:C,C806)=XLOOKUP(C806,FSE!A:A,FSE!AA:AA,"ERROR",0,1),"OK","ERROR")))</f>
        <v>OK</v>
      </c>
      <c r="H806" s="199">
        <f t="shared" ref="H806:O806" si="4069">countif($D806,"*"&amp;H$2&amp;"*")</f>
        <v>0</v>
      </c>
      <c r="I806" s="200">
        <f t="shared" si="4069"/>
        <v>0</v>
      </c>
      <c r="J806" s="200">
        <f t="shared" si="4069"/>
        <v>0</v>
      </c>
      <c r="K806" s="200">
        <f t="shared" si="4069"/>
        <v>0</v>
      </c>
      <c r="L806" s="200">
        <f t="shared" si="4069"/>
        <v>0</v>
      </c>
      <c r="M806" s="200">
        <f t="shared" si="4069"/>
        <v>0</v>
      </c>
      <c r="N806" s="200">
        <f t="shared" si="4069"/>
        <v>0</v>
      </c>
      <c r="O806" s="200">
        <f t="shared" si="4069"/>
        <v>0</v>
      </c>
      <c r="P806" s="200">
        <f t="shared" si="9"/>
        <v>0</v>
      </c>
      <c r="Q806" s="200">
        <f t="shared" ref="Q806:AC806" si="4070">countif($D806,"*"&amp;Q$2&amp;"*")</f>
        <v>0</v>
      </c>
      <c r="R806" s="200">
        <f t="shared" si="4070"/>
        <v>0</v>
      </c>
      <c r="S806" s="200">
        <f t="shared" si="4070"/>
        <v>0</v>
      </c>
      <c r="T806" s="200">
        <f t="shared" si="4070"/>
        <v>0</v>
      </c>
      <c r="U806" s="200">
        <f t="shared" si="4070"/>
        <v>0</v>
      </c>
      <c r="V806" s="200">
        <f t="shared" si="4070"/>
        <v>0</v>
      </c>
      <c r="W806" s="200">
        <f t="shared" si="4070"/>
        <v>0</v>
      </c>
      <c r="X806" s="200">
        <f t="shared" si="4070"/>
        <v>0</v>
      </c>
      <c r="Y806" s="200">
        <f t="shared" si="4070"/>
        <v>0</v>
      </c>
      <c r="Z806" s="200">
        <f t="shared" si="4070"/>
        <v>0</v>
      </c>
      <c r="AA806" s="200">
        <f t="shared" si="4070"/>
        <v>0</v>
      </c>
      <c r="AB806" s="200">
        <f t="shared" si="4070"/>
        <v>0</v>
      </c>
      <c r="AC806" s="200">
        <f t="shared" si="4070"/>
        <v>0</v>
      </c>
      <c r="AD806" s="200">
        <f t="shared" si="11"/>
        <v>1</v>
      </c>
      <c r="AE806" s="200">
        <f t="shared" ref="AE806:AG806" si="4071">countif($D806,"*"&amp;AE$2&amp;"*")</f>
        <v>0</v>
      </c>
      <c r="AF806" s="200">
        <f t="shared" si="4071"/>
        <v>0</v>
      </c>
      <c r="AG806" s="200">
        <f t="shared" si="4071"/>
        <v>0</v>
      </c>
      <c r="AH806" s="171">
        <f t="shared" si="13"/>
        <v>0</v>
      </c>
      <c r="AI806" s="200">
        <f t="shared" si="14"/>
        <v>0</v>
      </c>
      <c r="AJ806" s="200">
        <f>SUM(AK806:AQ806)</f>
        <v>0</v>
      </c>
      <c r="AK806" s="201">
        <f t="shared" ref="AK806:AS806" si="4072">countif($D806,"*"&amp;AK$2&amp;"*")</f>
        <v>0</v>
      </c>
      <c r="AL806" s="201">
        <f t="shared" si="4072"/>
        <v>0</v>
      </c>
      <c r="AM806" s="201">
        <f t="shared" si="4072"/>
        <v>0</v>
      </c>
      <c r="AN806" s="201">
        <f t="shared" si="4072"/>
        <v>0</v>
      </c>
      <c r="AO806" s="201">
        <f t="shared" si="4072"/>
        <v>0</v>
      </c>
      <c r="AP806" s="201">
        <f t="shared" si="4072"/>
        <v>0</v>
      </c>
      <c r="AQ806" s="201">
        <f t="shared" si="4072"/>
        <v>0</v>
      </c>
      <c r="AR806" s="201">
        <f t="shared" si="4072"/>
        <v>0</v>
      </c>
      <c r="AS806" s="200">
        <f t="shared" si="4072"/>
        <v>1</v>
      </c>
      <c r="AT806" s="205">
        <v>0.0</v>
      </c>
      <c r="AU806" s="200">
        <f t="shared" ref="AU806:AX806" si="4073">countif($D806,"*"&amp;AU$2&amp;"*")</f>
        <v>1</v>
      </c>
      <c r="AV806" s="200">
        <f t="shared" si="4073"/>
        <v>0</v>
      </c>
      <c r="AW806" s="200">
        <f t="shared" si="4073"/>
        <v>0</v>
      </c>
      <c r="AX806" s="200">
        <f t="shared" si="4073"/>
        <v>0</v>
      </c>
      <c r="AY806" s="202">
        <v>0.0</v>
      </c>
      <c r="AZ806" s="200"/>
      <c r="BA806" s="171" t="str">
        <f t="shared" si="18"/>
        <v/>
      </c>
      <c r="BB806" s="171" t="str">
        <f t="shared" si="19"/>
        <v/>
      </c>
      <c r="BC806" s="171" t="str">
        <f t="shared" si="20"/>
        <v/>
      </c>
      <c r="BD806" s="171" t="str">
        <f t="shared" si="21"/>
        <v>Institutional</v>
      </c>
      <c r="BE806" s="171" t="str">
        <f t="shared" si="22"/>
        <v/>
      </c>
      <c r="BF806" s="171" t="str">
        <f t="shared" si="23"/>
        <v>Institutional</v>
      </c>
    </row>
    <row r="807">
      <c r="A807" s="171">
        <f t="array" ref="A807">XLOOKUP(C807,ICSE!A:A,ICSE!C:C,,2,1)</f>
        <v>2016</v>
      </c>
      <c r="B807" s="171" t="s">
        <v>5675</v>
      </c>
      <c r="C807" s="160">
        <v>1569.0</v>
      </c>
      <c r="D807" s="161" t="s">
        <v>630</v>
      </c>
      <c r="E807" s="197" t="str">
        <f t="array" ref="E807">XLOOKUP(C807,ICSE!A:A,ICSE!Z:Z,,0,1)</f>
        <v>Publicly available (1)</v>
      </c>
      <c r="F807" s="198" t="s">
        <v>20</v>
      </c>
      <c r="G807" s="163" t="str">
        <f t="array" ref="G807">IF(B807="ICSE",IF(COUNTIFS(B:B,B807,C:C,C807)=XLOOKUP(C807,ICSE!A:A,ICSE!AA:AA,"ERROR",0,1),"OK","ERROR"),IF(B807="FSE",IF(COUNTIFS(B:B,B807,C:C,C807)=XLOOKUP(C807,FSE!A:A,FSE!AA:AA,"ERROR",0,1),"OK","ERROR")))</f>
        <v>OK</v>
      </c>
      <c r="H807" s="199">
        <f t="shared" ref="H807:O807" si="4074">countif($D807,"*"&amp;H$2&amp;"*")</f>
        <v>0</v>
      </c>
      <c r="I807" s="200">
        <f t="shared" si="4074"/>
        <v>0</v>
      </c>
      <c r="J807" s="200">
        <f t="shared" si="4074"/>
        <v>0</v>
      </c>
      <c r="K807" s="200">
        <f t="shared" si="4074"/>
        <v>0</v>
      </c>
      <c r="L807" s="200">
        <f t="shared" si="4074"/>
        <v>0</v>
      </c>
      <c r="M807" s="200">
        <f t="shared" si="4074"/>
        <v>0</v>
      </c>
      <c r="N807" s="200">
        <f t="shared" si="4074"/>
        <v>0</v>
      </c>
      <c r="O807" s="200">
        <f t="shared" si="4074"/>
        <v>0</v>
      </c>
      <c r="P807" s="200">
        <f t="shared" si="9"/>
        <v>1</v>
      </c>
      <c r="Q807" s="200">
        <f t="shared" ref="Q807:AC807" si="4075">countif($D807,"*"&amp;Q$2&amp;"*")</f>
        <v>0</v>
      </c>
      <c r="R807" s="200">
        <f t="shared" si="4075"/>
        <v>0</v>
      </c>
      <c r="S807" s="200">
        <f t="shared" si="4075"/>
        <v>0</v>
      </c>
      <c r="T807" s="200">
        <f t="shared" si="4075"/>
        <v>0</v>
      </c>
      <c r="U807" s="200">
        <f t="shared" si="4075"/>
        <v>0</v>
      </c>
      <c r="V807" s="200">
        <f t="shared" si="4075"/>
        <v>0</v>
      </c>
      <c r="W807" s="200">
        <f t="shared" si="4075"/>
        <v>0</v>
      </c>
      <c r="X807" s="200">
        <f t="shared" si="4075"/>
        <v>0</v>
      </c>
      <c r="Y807" s="200">
        <f t="shared" si="4075"/>
        <v>0</v>
      </c>
      <c r="Z807" s="200">
        <f t="shared" si="4075"/>
        <v>0</v>
      </c>
      <c r="AA807" s="200">
        <f t="shared" si="4075"/>
        <v>0</v>
      </c>
      <c r="AB807" s="200">
        <f t="shared" si="4075"/>
        <v>0</v>
      </c>
      <c r="AC807" s="200">
        <f t="shared" si="4075"/>
        <v>0</v>
      </c>
      <c r="AD807" s="200">
        <f t="shared" si="11"/>
        <v>0</v>
      </c>
      <c r="AE807" s="200">
        <f t="shared" ref="AE807:AG807" si="4076">countif($D807,"*"&amp;AE$2&amp;"*")</f>
        <v>0</v>
      </c>
      <c r="AF807" s="200">
        <f t="shared" si="4076"/>
        <v>0</v>
      </c>
      <c r="AG807" s="200">
        <f t="shared" si="4076"/>
        <v>0</v>
      </c>
      <c r="AH807" s="171">
        <f t="shared" si="13"/>
        <v>0</v>
      </c>
      <c r="AI807" s="200">
        <f t="shared" si="14"/>
        <v>0</v>
      </c>
      <c r="AJ807" s="200">
        <f t="shared" ref="AJ807:AJ808" si="4082">SUM(AK807:AR807)</f>
        <v>0</v>
      </c>
      <c r="AK807" s="201">
        <f t="shared" ref="AK807:AS807" si="4077">countif($D807,"*"&amp;AK$2&amp;"*")</f>
        <v>0</v>
      </c>
      <c r="AL807" s="201">
        <f t="shared" si="4077"/>
        <v>0</v>
      </c>
      <c r="AM807" s="201">
        <f t="shared" si="4077"/>
        <v>0</v>
      </c>
      <c r="AN807" s="201">
        <f t="shared" si="4077"/>
        <v>0</v>
      </c>
      <c r="AO807" s="201">
        <f t="shared" si="4077"/>
        <v>0</v>
      </c>
      <c r="AP807" s="201">
        <f t="shared" si="4077"/>
        <v>0</v>
      </c>
      <c r="AQ807" s="201">
        <f t="shared" si="4077"/>
        <v>0</v>
      </c>
      <c r="AR807" s="200">
        <f t="shared" si="4077"/>
        <v>0</v>
      </c>
      <c r="AS807" s="200">
        <f t="shared" si="4077"/>
        <v>0</v>
      </c>
      <c r="AT807" s="173">
        <v>0.0</v>
      </c>
      <c r="AU807" s="200">
        <f t="shared" ref="AU807:AX807" si="4078">countif($D807,"*"&amp;AU$2&amp;"*")</f>
        <v>0</v>
      </c>
      <c r="AV807" s="200">
        <f t="shared" si="4078"/>
        <v>1</v>
      </c>
      <c r="AW807" s="200">
        <f t="shared" si="4078"/>
        <v>0</v>
      </c>
      <c r="AX807" s="200">
        <f t="shared" si="4078"/>
        <v>0</v>
      </c>
      <c r="AY807" s="202">
        <v>0.0</v>
      </c>
      <c r="AZ807" s="200"/>
      <c r="BA807" s="171" t="str">
        <f t="shared" si="18"/>
        <v/>
      </c>
      <c r="BB807" s="171" t="str">
        <f t="shared" si="19"/>
        <v>Code</v>
      </c>
      <c r="BC807" s="171" t="str">
        <f t="shared" si="20"/>
        <v/>
      </c>
      <c r="BD807" s="171" t="str">
        <f t="shared" si="21"/>
        <v/>
      </c>
      <c r="BE807" s="171" t="str">
        <f t="shared" si="22"/>
        <v/>
      </c>
      <c r="BF807" s="171" t="str">
        <f t="shared" si="23"/>
        <v>Code</v>
      </c>
    </row>
    <row r="808">
      <c r="A808" s="171">
        <f t="array" ref="A808">XLOOKUP(C808,ICSE!A:A,ICSE!C:C,,2,1)</f>
        <v>2016</v>
      </c>
      <c r="B808" s="171" t="s">
        <v>5675</v>
      </c>
      <c r="C808" s="160">
        <v>1571.0</v>
      </c>
      <c r="D808" s="161" t="s">
        <v>635</v>
      </c>
      <c r="E808" s="197" t="str">
        <f t="array" ref="E808">XLOOKUP(C808,ICSE!A:A,ICSE!Z:Z,,0,1)</f>
        <v>Not available (1) - Broken link.</v>
      </c>
      <c r="F808" s="198" t="s">
        <v>21</v>
      </c>
      <c r="G808" s="163" t="str">
        <f t="array" ref="G808">IF(B808="ICSE",IF(COUNTIFS(B:B,B808,C:C,C808)=XLOOKUP(C808,ICSE!A:A,ICSE!AA:AA,"ERROR",0,1),"OK","ERROR"),IF(B808="FSE",IF(COUNTIFS(B:B,B808,C:C,C808)=XLOOKUP(C808,FSE!A:A,FSE!AA:AA,"ERROR",0,1),"OK","ERROR")))</f>
        <v>OK</v>
      </c>
      <c r="H808" s="199">
        <f t="shared" ref="H808:O808" si="4079">countif($D808,"*"&amp;H$2&amp;"*")</f>
        <v>0</v>
      </c>
      <c r="I808" s="200">
        <f t="shared" si="4079"/>
        <v>0</v>
      </c>
      <c r="J808" s="200">
        <f t="shared" si="4079"/>
        <v>0</v>
      </c>
      <c r="K808" s="200">
        <f t="shared" si="4079"/>
        <v>0</v>
      </c>
      <c r="L808" s="200">
        <f t="shared" si="4079"/>
        <v>0</v>
      </c>
      <c r="M808" s="200">
        <f t="shared" si="4079"/>
        <v>0</v>
      </c>
      <c r="N808" s="200">
        <f t="shared" si="4079"/>
        <v>0</v>
      </c>
      <c r="O808" s="200">
        <f t="shared" si="4079"/>
        <v>0</v>
      </c>
      <c r="P808" s="200">
        <f t="shared" si="9"/>
        <v>0</v>
      </c>
      <c r="Q808" s="200">
        <f t="shared" ref="Q808:AC808" si="4080">countif($D808,"*"&amp;Q$2&amp;"*")</f>
        <v>0</v>
      </c>
      <c r="R808" s="200">
        <f t="shared" si="4080"/>
        <v>0</v>
      </c>
      <c r="S808" s="200">
        <f t="shared" si="4080"/>
        <v>0</v>
      </c>
      <c r="T808" s="200">
        <f t="shared" si="4080"/>
        <v>0</v>
      </c>
      <c r="U808" s="200">
        <f t="shared" si="4080"/>
        <v>0</v>
      </c>
      <c r="V808" s="200">
        <f t="shared" si="4080"/>
        <v>0</v>
      </c>
      <c r="W808" s="200">
        <f t="shared" si="4080"/>
        <v>0</v>
      </c>
      <c r="X808" s="200">
        <f t="shared" si="4080"/>
        <v>0</v>
      </c>
      <c r="Y808" s="200">
        <f t="shared" si="4080"/>
        <v>0</v>
      </c>
      <c r="Z808" s="200">
        <f t="shared" si="4080"/>
        <v>0</v>
      </c>
      <c r="AA808" s="200">
        <f t="shared" si="4080"/>
        <v>1</v>
      </c>
      <c r="AB808" s="200">
        <f t="shared" si="4080"/>
        <v>0</v>
      </c>
      <c r="AC808" s="200">
        <f t="shared" si="4080"/>
        <v>0</v>
      </c>
      <c r="AD808" s="200">
        <f t="shared" si="11"/>
        <v>0</v>
      </c>
      <c r="AE808" s="200">
        <f t="shared" ref="AE808:AG808" si="4081">countif($D808,"*"&amp;AE$2&amp;"*")</f>
        <v>0</v>
      </c>
      <c r="AF808" s="200">
        <f t="shared" si="4081"/>
        <v>0</v>
      </c>
      <c r="AG808" s="200">
        <f t="shared" si="4081"/>
        <v>0</v>
      </c>
      <c r="AH808" s="171">
        <f t="shared" si="13"/>
        <v>0</v>
      </c>
      <c r="AI808" s="200">
        <f t="shared" si="14"/>
        <v>0</v>
      </c>
      <c r="AJ808" s="200">
        <f t="shared" si="4082"/>
        <v>0</v>
      </c>
      <c r="AK808" s="201">
        <f t="shared" ref="AK808:AS808" si="4083">countif($D808,"*"&amp;AK$2&amp;"*")</f>
        <v>0</v>
      </c>
      <c r="AL808" s="201">
        <f t="shared" si="4083"/>
        <v>0</v>
      </c>
      <c r="AM808" s="201">
        <f t="shared" si="4083"/>
        <v>0</v>
      </c>
      <c r="AN808" s="201">
        <f t="shared" si="4083"/>
        <v>0</v>
      </c>
      <c r="AO808" s="201">
        <f t="shared" si="4083"/>
        <v>0</v>
      </c>
      <c r="AP808" s="201">
        <f t="shared" si="4083"/>
        <v>0</v>
      </c>
      <c r="AQ808" s="201">
        <f t="shared" si="4083"/>
        <v>0</v>
      </c>
      <c r="AR808" s="200">
        <f t="shared" si="4083"/>
        <v>0</v>
      </c>
      <c r="AS808" s="200">
        <f t="shared" si="4083"/>
        <v>0</v>
      </c>
      <c r="AT808" s="173">
        <v>0.0</v>
      </c>
      <c r="AU808" s="200">
        <f t="shared" ref="AU808:AX808" si="4084">countif($D808,"*"&amp;AU$2&amp;"*")</f>
        <v>0</v>
      </c>
      <c r="AV808" s="200">
        <f t="shared" si="4084"/>
        <v>0</v>
      </c>
      <c r="AW808" s="200">
        <f t="shared" si="4084"/>
        <v>0</v>
      </c>
      <c r="AX808" s="200">
        <f t="shared" si="4084"/>
        <v>0</v>
      </c>
      <c r="AY808" s="202">
        <v>0.0</v>
      </c>
      <c r="AZ808" s="200"/>
      <c r="BA808" s="171" t="str">
        <f t="shared" si="18"/>
        <v/>
      </c>
      <c r="BB808" s="171" t="str">
        <f t="shared" si="19"/>
        <v/>
      </c>
      <c r="BC808" s="171" t="str">
        <f t="shared" si="20"/>
        <v>General-purpose</v>
      </c>
      <c r="BD808" s="171" t="str">
        <f t="shared" si="21"/>
        <v/>
      </c>
      <c r="BE808" s="171" t="str">
        <f t="shared" si="22"/>
        <v/>
      </c>
      <c r="BF808" s="171" t="str">
        <f t="shared" si="23"/>
        <v>General-purpose</v>
      </c>
    </row>
    <row r="809">
      <c r="A809" s="171">
        <f t="array" ref="A809">XLOOKUP(C809,ICSE!A:A,ICSE!C:C,,2,1)</f>
        <v>2016</v>
      </c>
      <c r="B809" s="171" t="s">
        <v>5675</v>
      </c>
      <c r="C809" s="160">
        <v>1572.0</v>
      </c>
      <c r="D809" s="161" t="s">
        <v>638</v>
      </c>
      <c r="E809" s="197" t="str">
        <f t="array" ref="E809">XLOOKUP(C809,ICSE!A:A,ICSE!Z:Z,,0,1)</f>
        <v>Publicly available (1)</v>
      </c>
      <c r="F809" s="198" t="s">
        <v>20</v>
      </c>
      <c r="G809" s="163" t="str">
        <f t="array" ref="G809">IF(B809="ICSE",IF(COUNTIFS(B:B,B809,C:C,C809)=XLOOKUP(C809,ICSE!A:A,ICSE!AA:AA,"ERROR",0,1),"OK","ERROR"),IF(B809="FSE",IF(COUNTIFS(B:B,B809,C:C,C809)=XLOOKUP(C809,FSE!A:A,FSE!AA:AA,"ERROR",0,1),"OK","ERROR")))</f>
        <v>OK</v>
      </c>
      <c r="H809" s="199">
        <f t="shared" ref="H809:O809" si="4085">countif($D809,"*"&amp;H$2&amp;"*")</f>
        <v>0</v>
      </c>
      <c r="I809" s="200">
        <f t="shared" si="4085"/>
        <v>0</v>
      </c>
      <c r="J809" s="200">
        <f t="shared" si="4085"/>
        <v>0</v>
      </c>
      <c r="K809" s="200">
        <f t="shared" si="4085"/>
        <v>0</v>
      </c>
      <c r="L809" s="200">
        <f t="shared" si="4085"/>
        <v>0</v>
      </c>
      <c r="M809" s="200">
        <f t="shared" si="4085"/>
        <v>0</v>
      </c>
      <c r="N809" s="200">
        <f t="shared" si="4085"/>
        <v>0</v>
      </c>
      <c r="O809" s="200">
        <f t="shared" si="4085"/>
        <v>0</v>
      </c>
      <c r="P809" s="200">
        <f t="shared" si="9"/>
        <v>0</v>
      </c>
      <c r="Q809" s="200">
        <f t="shared" ref="Q809:AC809" si="4086">countif($D809,"*"&amp;Q$2&amp;"*")</f>
        <v>0</v>
      </c>
      <c r="R809" s="200">
        <f t="shared" si="4086"/>
        <v>0</v>
      </c>
      <c r="S809" s="200">
        <f t="shared" si="4086"/>
        <v>0</v>
      </c>
      <c r="T809" s="200">
        <f t="shared" si="4086"/>
        <v>0</v>
      </c>
      <c r="U809" s="200">
        <f t="shared" si="4086"/>
        <v>0</v>
      </c>
      <c r="V809" s="200">
        <f t="shared" si="4086"/>
        <v>0</v>
      </c>
      <c r="W809" s="200">
        <f t="shared" si="4086"/>
        <v>0</v>
      </c>
      <c r="X809" s="200">
        <f t="shared" si="4086"/>
        <v>0</v>
      </c>
      <c r="Y809" s="200">
        <f t="shared" si="4086"/>
        <v>0</v>
      </c>
      <c r="Z809" s="200">
        <f t="shared" si="4086"/>
        <v>0</v>
      </c>
      <c r="AA809" s="200">
        <f t="shared" si="4086"/>
        <v>0</v>
      </c>
      <c r="AB809" s="200">
        <f t="shared" si="4086"/>
        <v>0</v>
      </c>
      <c r="AC809" s="200">
        <f t="shared" si="4086"/>
        <v>0</v>
      </c>
      <c r="AD809" s="200">
        <f t="shared" si="11"/>
        <v>1</v>
      </c>
      <c r="AE809" s="200">
        <f t="shared" ref="AE809:AG809" si="4087">countif($D809,"*"&amp;AE$2&amp;"*")</f>
        <v>0</v>
      </c>
      <c r="AF809" s="200">
        <f t="shared" si="4087"/>
        <v>0</v>
      </c>
      <c r="AG809" s="200">
        <f t="shared" si="4087"/>
        <v>0</v>
      </c>
      <c r="AH809" s="171">
        <f t="shared" si="13"/>
        <v>0</v>
      </c>
      <c r="AI809" s="200">
        <f t="shared" si="14"/>
        <v>0</v>
      </c>
      <c r="AJ809" s="200">
        <f>SUM(AK809:AQ809)</f>
        <v>0</v>
      </c>
      <c r="AK809" s="201">
        <f t="shared" ref="AK809:AS809" si="4088">countif($D809,"*"&amp;AK$2&amp;"*")</f>
        <v>0</v>
      </c>
      <c r="AL809" s="201">
        <f t="shared" si="4088"/>
        <v>0</v>
      </c>
      <c r="AM809" s="201">
        <f t="shared" si="4088"/>
        <v>0</v>
      </c>
      <c r="AN809" s="201">
        <f t="shared" si="4088"/>
        <v>0</v>
      </c>
      <c r="AO809" s="201">
        <f t="shared" si="4088"/>
        <v>0</v>
      </c>
      <c r="AP809" s="201">
        <f t="shared" si="4088"/>
        <v>0</v>
      </c>
      <c r="AQ809" s="201">
        <f t="shared" si="4088"/>
        <v>0</v>
      </c>
      <c r="AR809" s="201">
        <f t="shared" si="4088"/>
        <v>0</v>
      </c>
      <c r="AS809" s="200">
        <f t="shared" si="4088"/>
        <v>0</v>
      </c>
      <c r="AT809" s="205">
        <v>0.0</v>
      </c>
      <c r="AU809" s="200">
        <f t="shared" ref="AU809:AX809" si="4089">countif($D809,"*"&amp;AU$2&amp;"*")</f>
        <v>1</v>
      </c>
      <c r="AV809" s="200">
        <f t="shared" si="4089"/>
        <v>0</v>
      </c>
      <c r="AW809" s="200">
        <f t="shared" si="4089"/>
        <v>0</v>
      </c>
      <c r="AX809" s="200">
        <f t="shared" si="4089"/>
        <v>0</v>
      </c>
      <c r="AY809" s="202">
        <v>0.0</v>
      </c>
      <c r="AZ809" s="200"/>
      <c r="BA809" s="171" t="str">
        <f t="shared" si="18"/>
        <v/>
      </c>
      <c r="BB809" s="171" t="str">
        <f t="shared" si="19"/>
        <v/>
      </c>
      <c r="BC809" s="171" t="str">
        <f t="shared" si="20"/>
        <v/>
      </c>
      <c r="BD809" s="171" t="str">
        <f t="shared" si="21"/>
        <v>Institutional</v>
      </c>
      <c r="BE809" s="171" t="str">
        <f t="shared" si="22"/>
        <v/>
      </c>
      <c r="BF809" s="171" t="str">
        <f t="shared" si="23"/>
        <v>Institutional</v>
      </c>
    </row>
    <row r="810">
      <c r="A810" s="171">
        <f t="array" ref="A810">XLOOKUP(C810,ICSE!A:A,ICSE!C:C,,2,1)</f>
        <v>2016</v>
      </c>
      <c r="B810" s="171" t="s">
        <v>5675</v>
      </c>
      <c r="C810" s="160">
        <v>1573.0</v>
      </c>
      <c r="D810" s="161" t="s">
        <v>640</v>
      </c>
      <c r="E810" s="197" t="str">
        <f t="array" ref="E810">XLOOKUP(C810,ICSE!A:A,ICSE!Z:Z,,0,1)</f>
        <v>Publicly available (1)</v>
      </c>
      <c r="F810" s="198" t="s">
        <v>20</v>
      </c>
      <c r="G810" s="163" t="str">
        <f t="array" ref="G810">IF(B810="ICSE",IF(COUNTIFS(B:B,B810,C:C,C810)=XLOOKUP(C810,ICSE!A:A,ICSE!AA:AA,"ERROR",0,1),"OK","ERROR"),IF(B810="FSE",IF(COUNTIFS(B:B,B810,C:C,C810)=XLOOKUP(C810,FSE!A:A,FSE!AA:AA,"ERROR",0,1),"OK","ERROR")))</f>
        <v>OK</v>
      </c>
      <c r="H810" s="199">
        <f t="shared" ref="H810:O810" si="4090">countif($D810,"*"&amp;H$2&amp;"*")</f>
        <v>0</v>
      </c>
      <c r="I810" s="200">
        <f t="shared" si="4090"/>
        <v>0</v>
      </c>
      <c r="J810" s="200">
        <f t="shared" si="4090"/>
        <v>0</v>
      </c>
      <c r="K810" s="200">
        <f t="shared" si="4090"/>
        <v>0</v>
      </c>
      <c r="L810" s="200">
        <f t="shared" si="4090"/>
        <v>0</v>
      </c>
      <c r="M810" s="200">
        <f t="shared" si="4090"/>
        <v>0</v>
      </c>
      <c r="N810" s="200">
        <f t="shared" si="4090"/>
        <v>0</v>
      </c>
      <c r="O810" s="200">
        <f t="shared" si="4090"/>
        <v>0</v>
      </c>
      <c r="P810" s="200">
        <f t="shared" si="9"/>
        <v>1</v>
      </c>
      <c r="Q810" s="200">
        <f t="shared" ref="Q810:AC810" si="4091">countif($D810,"*"&amp;Q$2&amp;"*")</f>
        <v>0</v>
      </c>
      <c r="R810" s="200">
        <f t="shared" si="4091"/>
        <v>0</v>
      </c>
      <c r="S810" s="200">
        <f t="shared" si="4091"/>
        <v>0</v>
      </c>
      <c r="T810" s="200">
        <f t="shared" si="4091"/>
        <v>0</v>
      </c>
      <c r="U810" s="200">
        <f t="shared" si="4091"/>
        <v>0</v>
      </c>
      <c r="V810" s="200">
        <f t="shared" si="4091"/>
        <v>0</v>
      </c>
      <c r="W810" s="200">
        <f t="shared" si="4091"/>
        <v>0</v>
      </c>
      <c r="X810" s="200">
        <f t="shared" si="4091"/>
        <v>0</v>
      </c>
      <c r="Y810" s="200">
        <f t="shared" si="4091"/>
        <v>0</v>
      </c>
      <c r="Z810" s="200">
        <f t="shared" si="4091"/>
        <v>0</v>
      </c>
      <c r="AA810" s="200">
        <f t="shared" si="4091"/>
        <v>0</v>
      </c>
      <c r="AB810" s="200">
        <f t="shared" si="4091"/>
        <v>0</v>
      </c>
      <c r="AC810" s="200">
        <f t="shared" si="4091"/>
        <v>0</v>
      </c>
      <c r="AD810" s="200">
        <f t="shared" si="11"/>
        <v>0</v>
      </c>
      <c r="AE810" s="200">
        <f t="shared" ref="AE810:AG810" si="4092">countif($D810,"*"&amp;AE$2&amp;"*")</f>
        <v>0</v>
      </c>
      <c r="AF810" s="200">
        <f t="shared" si="4092"/>
        <v>0</v>
      </c>
      <c r="AG810" s="200">
        <f t="shared" si="4092"/>
        <v>0</v>
      </c>
      <c r="AH810" s="171">
        <f t="shared" si="13"/>
        <v>0</v>
      </c>
      <c r="AI810" s="200">
        <f t="shared" si="14"/>
        <v>0</v>
      </c>
      <c r="AJ810" s="200">
        <f t="shared" ref="AJ810:AJ813" si="4098">SUM(AK810:AR810)</f>
        <v>0</v>
      </c>
      <c r="AK810" s="201">
        <f t="shared" ref="AK810:AS810" si="4093">countif($D810,"*"&amp;AK$2&amp;"*")</f>
        <v>0</v>
      </c>
      <c r="AL810" s="201">
        <f t="shared" si="4093"/>
        <v>0</v>
      </c>
      <c r="AM810" s="201">
        <f t="shared" si="4093"/>
        <v>0</v>
      </c>
      <c r="AN810" s="201">
        <f t="shared" si="4093"/>
        <v>0</v>
      </c>
      <c r="AO810" s="201">
        <f t="shared" si="4093"/>
        <v>0</v>
      </c>
      <c r="AP810" s="201">
        <f t="shared" si="4093"/>
        <v>0</v>
      </c>
      <c r="AQ810" s="201">
        <f t="shared" si="4093"/>
        <v>0</v>
      </c>
      <c r="AR810" s="200">
        <f t="shared" si="4093"/>
        <v>0</v>
      </c>
      <c r="AS810" s="200">
        <f t="shared" si="4093"/>
        <v>0</v>
      </c>
      <c r="AT810" s="173">
        <v>0.0</v>
      </c>
      <c r="AU810" s="200">
        <f t="shared" ref="AU810:AX810" si="4094">countif($D810,"*"&amp;AU$2&amp;"*")</f>
        <v>0</v>
      </c>
      <c r="AV810" s="200">
        <f t="shared" si="4094"/>
        <v>1</v>
      </c>
      <c r="AW810" s="200">
        <f t="shared" si="4094"/>
        <v>0</v>
      </c>
      <c r="AX810" s="200">
        <f t="shared" si="4094"/>
        <v>0</v>
      </c>
      <c r="AY810" s="202">
        <v>0.0</v>
      </c>
      <c r="AZ810" s="200"/>
      <c r="BA810" s="171" t="str">
        <f t="shared" si="18"/>
        <v/>
      </c>
      <c r="BB810" s="171" t="str">
        <f t="shared" si="19"/>
        <v>Code</v>
      </c>
      <c r="BC810" s="171" t="str">
        <f t="shared" si="20"/>
        <v/>
      </c>
      <c r="BD810" s="171" t="str">
        <f t="shared" si="21"/>
        <v/>
      </c>
      <c r="BE810" s="171" t="str">
        <f t="shared" si="22"/>
        <v/>
      </c>
      <c r="BF810" s="171" t="str">
        <f t="shared" si="23"/>
        <v>Code</v>
      </c>
    </row>
    <row r="811">
      <c r="A811" s="171">
        <f t="array" ref="A811">XLOOKUP(C811,ICSE!A:A,ICSE!C:C,,2,1)</f>
        <v>2016</v>
      </c>
      <c r="B811" s="171" t="s">
        <v>5675</v>
      </c>
      <c r="C811" s="160">
        <v>1574.0</v>
      </c>
      <c r="D811" s="161" t="s">
        <v>644</v>
      </c>
      <c r="E811" s="197" t="str">
        <f t="array" ref="E811">XLOOKUP(C811,ICSE!A:A,ICSE!Z:Z,,0,1)</f>
        <v>Not available (1) - Broken link.</v>
      </c>
      <c r="F811" s="198" t="s">
        <v>21</v>
      </c>
      <c r="G811" s="163" t="str">
        <f t="array" ref="G811">IF(B811="ICSE",IF(COUNTIFS(B:B,B811,C:C,C811)=XLOOKUP(C811,ICSE!A:A,ICSE!AA:AA,"ERROR",0,1),"OK","ERROR"),IF(B811="FSE",IF(COUNTIFS(B:B,B811,C:C,C811)=XLOOKUP(C811,FSE!A:A,FSE!AA:AA,"ERROR",0,1),"OK","ERROR")))</f>
        <v>OK</v>
      </c>
      <c r="H811" s="199">
        <f t="shared" ref="H811:O811" si="4095">countif($D811,"*"&amp;H$2&amp;"*")</f>
        <v>0</v>
      </c>
      <c r="I811" s="200">
        <f t="shared" si="4095"/>
        <v>0</v>
      </c>
      <c r="J811" s="200">
        <f t="shared" si="4095"/>
        <v>0</v>
      </c>
      <c r="K811" s="200">
        <f t="shared" si="4095"/>
        <v>0</v>
      </c>
      <c r="L811" s="200">
        <f t="shared" si="4095"/>
        <v>0</v>
      </c>
      <c r="M811" s="200">
        <f t="shared" si="4095"/>
        <v>0</v>
      </c>
      <c r="N811" s="200">
        <f t="shared" si="4095"/>
        <v>0</v>
      </c>
      <c r="O811" s="200">
        <f t="shared" si="4095"/>
        <v>0</v>
      </c>
      <c r="P811" s="200">
        <f t="shared" si="9"/>
        <v>0</v>
      </c>
      <c r="Q811" s="200">
        <f t="shared" ref="Q811:AC811" si="4096">countif($D811,"*"&amp;Q$2&amp;"*")</f>
        <v>0</v>
      </c>
      <c r="R811" s="200">
        <f t="shared" si="4096"/>
        <v>0</v>
      </c>
      <c r="S811" s="200">
        <f t="shared" si="4096"/>
        <v>0</v>
      </c>
      <c r="T811" s="200">
        <f t="shared" si="4096"/>
        <v>0</v>
      </c>
      <c r="U811" s="200">
        <f t="shared" si="4096"/>
        <v>0</v>
      </c>
      <c r="V811" s="200">
        <f t="shared" si="4096"/>
        <v>0</v>
      </c>
      <c r="W811" s="200">
        <f t="shared" si="4096"/>
        <v>0</v>
      </c>
      <c r="X811" s="200">
        <f t="shared" si="4096"/>
        <v>0</v>
      </c>
      <c r="Y811" s="200">
        <f t="shared" si="4096"/>
        <v>0</v>
      </c>
      <c r="Z811" s="200">
        <f t="shared" si="4096"/>
        <v>0</v>
      </c>
      <c r="AA811" s="200">
        <f t="shared" si="4096"/>
        <v>0</v>
      </c>
      <c r="AB811" s="200">
        <f t="shared" si="4096"/>
        <v>0</v>
      </c>
      <c r="AC811" s="200">
        <f t="shared" si="4096"/>
        <v>0</v>
      </c>
      <c r="AD811" s="200">
        <f t="shared" si="11"/>
        <v>0</v>
      </c>
      <c r="AE811" s="200">
        <f t="shared" ref="AE811:AG811" si="4097">countif($D811,"*"&amp;AE$2&amp;"*")</f>
        <v>0</v>
      </c>
      <c r="AF811" s="200">
        <f t="shared" si="4097"/>
        <v>0</v>
      </c>
      <c r="AG811" s="200">
        <f t="shared" si="4097"/>
        <v>0</v>
      </c>
      <c r="AH811" s="171">
        <f t="shared" si="13"/>
        <v>1</v>
      </c>
      <c r="AI811" s="200">
        <f t="shared" si="14"/>
        <v>0</v>
      </c>
      <c r="AJ811" s="200">
        <f t="shared" si="4098"/>
        <v>0</v>
      </c>
      <c r="AK811" s="201">
        <f t="shared" ref="AK811:AS811" si="4099">countif($D811,"*"&amp;AK$2&amp;"*")</f>
        <v>0</v>
      </c>
      <c r="AL811" s="201">
        <f t="shared" si="4099"/>
        <v>0</v>
      </c>
      <c r="AM811" s="201">
        <f t="shared" si="4099"/>
        <v>0</v>
      </c>
      <c r="AN811" s="201">
        <f t="shared" si="4099"/>
        <v>0</v>
      </c>
      <c r="AO811" s="201">
        <f t="shared" si="4099"/>
        <v>0</v>
      </c>
      <c r="AP811" s="201">
        <f t="shared" si="4099"/>
        <v>0</v>
      </c>
      <c r="AQ811" s="201">
        <f t="shared" si="4099"/>
        <v>0</v>
      </c>
      <c r="AR811" s="200">
        <f t="shared" si="4099"/>
        <v>0</v>
      </c>
      <c r="AS811" s="200">
        <f t="shared" si="4099"/>
        <v>0</v>
      </c>
      <c r="AT811" s="173">
        <v>0.0</v>
      </c>
      <c r="AU811" s="200">
        <f t="shared" ref="AU811:AX811" si="4100">countif($D811,"*"&amp;AU$2&amp;"*")</f>
        <v>0</v>
      </c>
      <c r="AV811" s="200">
        <f t="shared" si="4100"/>
        <v>0</v>
      </c>
      <c r="AW811" s="200">
        <f t="shared" si="4100"/>
        <v>0</v>
      </c>
      <c r="AX811" s="200">
        <f t="shared" si="4100"/>
        <v>0</v>
      </c>
      <c r="AY811" s="202">
        <v>0.0</v>
      </c>
      <c r="AZ811" s="200"/>
      <c r="BA811" s="171" t="str">
        <f t="shared" si="18"/>
        <v/>
      </c>
      <c r="BB811" s="171" t="str">
        <f t="shared" si="19"/>
        <v/>
      </c>
      <c r="BC811" s="171" t="str">
        <f t="shared" si="20"/>
        <v/>
      </c>
      <c r="BD811" s="171" t="str">
        <f t="shared" si="21"/>
        <v/>
      </c>
      <c r="BE811" s="171" t="str">
        <f t="shared" si="22"/>
        <v>Others</v>
      </c>
      <c r="BF811" s="171" t="str">
        <f t="shared" si="23"/>
        <v>Others</v>
      </c>
    </row>
    <row r="812">
      <c r="A812" s="171">
        <f t="array" ref="A812">XLOOKUP(C812,ICSE!A:A,ICSE!C:C,,2,1)</f>
        <v>2016</v>
      </c>
      <c r="B812" s="171" t="s">
        <v>5675</v>
      </c>
      <c r="C812" s="160">
        <v>1576.0</v>
      </c>
      <c r="D812" s="161" t="s">
        <v>6012</v>
      </c>
      <c r="E812" s="197" t="str">
        <f t="array" ref="E812">XLOOKUP(C812,ICSE!A:A,ICSE!Z:Z,,0,1)</f>
        <v>Not available (2) - Broken link.</v>
      </c>
      <c r="F812" s="198" t="s">
        <v>21</v>
      </c>
      <c r="G812" s="163" t="str">
        <f t="array" ref="G812">IF(B812="ICSE",IF(COUNTIFS(B:B,B812,C:C,C812)=XLOOKUP(C812,ICSE!A:A,ICSE!AA:AA,"ERROR",0,1),"OK","ERROR"),IF(B812="FSE",IF(COUNTIFS(B:B,B812,C:C,C812)=XLOOKUP(C812,FSE!A:A,FSE!AA:AA,"ERROR",0,1),"OK","ERROR")))</f>
        <v>OK</v>
      </c>
      <c r="H812" s="199">
        <f t="shared" ref="H812:O812" si="4101">countif($D812,"*"&amp;H$2&amp;"*")</f>
        <v>0</v>
      </c>
      <c r="I812" s="200">
        <f t="shared" si="4101"/>
        <v>0</v>
      </c>
      <c r="J812" s="200">
        <f t="shared" si="4101"/>
        <v>0</v>
      </c>
      <c r="K812" s="200">
        <f t="shared" si="4101"/>
        <v>0</v>
      </c>
      <c r="L812" s="200">
        <f t="shared" si="4101"/>
        <v>0</v>
      </c>
      <c r="M812" s="200">
        <f t="shared" si="4101"/>
        <v>0</v>
      </c>
      <c r="N812" s="200">
        <f t="shared" si="4101"/>
        <v>0</v>
      </c>
      <c r="O812" s="200">
        <f t="shared" si="4101"/>
        <v>0</v>
      </c>
      <c r="P812" s="200">
        <f t="shared" si="9"/>
        <v>0</v>
      </c>
      <c r="Q812" s="200">
        <f t="shared" ref="Q812:AC812" si="4102">countif($D812,"*"&amp;Q$2&amp;"*")</f>
        <v>0</v>
      </c>
      <c r="R812" s="200">
        <f t="shared" si="4102"/>
        <v>0</v>
      </c>
      <c r="S812" s="200">
        <f t="shared" si="4102"/>
        <v>0</v>
      </c>
      <c r="T812" s="200">
        <f t="shared" si="4102"/>
        <v>0</v>
      </c>
      <c r="U812" s="200">
        <f t="shared" si="4102"/>
        <v>0</v>
      </c>
      <c r="V812" s="200">
        <f t="shared" si="4102"/>
        <v>0</v>
      </c>
      <c r="W812" s="200">
        <f t="shared" si="4102"/>
        <v>0</v>
      </c>
      <c r="X812" s="200">
        <f t="shared" si="4102"/>
        <v>0</v>
      </c>
      <c r="Y812" s="200">
        <f t="shared" si="4102"/>
        <v>0</v>
      </c>
      <c r="Z812" s="200">
        <f t="shared" si="4102"/>
        <v>0</v>
      </c>
      <c r="AA812" s="200">
        <f t="shared" si="4102"/>
        <v>0</v>
      </c>
      <c r="AB812" s="200">
        <f t="shared" si="4102"/>
        <v>0</v>
      </c>
      <c r="AC812" s="200">
        <f t="shared" si="4102"/>
        <v>0</v>
      </c>
      <c r="AD812" s="200">
        <f t="shared" si="11"/>
        <v>1</v>
      </c>
      <c r="AE812" s="200">
        <f t="shared" ref="AE812:AG812" si="4103">countif($D812,"*"&amp;AE$2&amp;"*")</f>
        <v>0</v>
      </c>
      <c r="AF812" s="200">
        <f t="shared" si="4103"/>
        <v>0</v>
      </c>
      <c r="AG812" s="200">
        <f t="shared" si="4103"/>
        <v>0</v>
      </c>
      <c r="AH812" s="171">
        <f t="shared" si="13"/>
        <v>0</v>
      </c>
      <c r="AI812" s="200">
        <f t="shared" si="14"/>
        <v>0</v>
      </c>
      <c r="AJ812" s="200">
        <f t="shared" si="4098"/>
        <v>0</v>
      </c>
      <c r="AK812" s="201">
        <f t="shared" ref="AK812:AS812" si="4104">countif($D812,"*"&amp;AK$2&amp;"*")</f>
        <v>0</v>
      </c>
      <c r="AL812" s="201">
        <f t="shared" si="4104"/>
        <v>0</v>
      </c>
      <c r="AM812" s="201">
        <f t="shared" si="4104"/>
        <v>0</v>
      </c>
      <c r="AN812" s="201">
        <f t="shared" si="4104"/>
        <v>0</v>
      </c>
      <c r="AO812" s="201">
        <f t="shared" si="4104"/>
        <v>0</v>
      </c>
      <c r="AP812" s="201">
        <f t="shared" si="4104"/>
        <v>0</v>
      </c>
      <c r="AQ812" s="201">
        <f t="shared" si="4104"/>
        <v>0</v>
      </c>
      <c r="AR812" s="200">
        <f t="shared" si="4104"/>
        <v>0</v>
      </c>
      <c r="AS812" s="200">
        <f t="shared" si="4104"/>
        <v>0</v>
      </c>
      <c r="AT812" s="173">
        <v>1.0</v>
      </c>
      <c r="AU812" s="200">
        <f t="shared" ref="AU812:AX812" si="4105">countif($D812,"*"&amp;AU$2&amp;"*")</f>
        <v>0</v>
      </c>
      <c r="AV812" s="200">
        <f t="shared" si="4105"/>
        <v>0</v>
      </c>
      <c r="AW812" s="200">
        <f t="shared" si="4105"/>
        <v>0</v>
      </c>
      <c r="AX812" s="200">
        <f t="shared" si="4105"/>
        <v>0</v>
      </c>
      <c r="AY812" s="202">
        <v>0.0</v>
      </c>
      <c r="AZ812" s="200"/>
      <c r="BA812" s="171" t="str">
        <f t="shared" si="18"/>
        <v/>
      </c>
      <c r="BB812" s="171" t="str">
        <f t="shared" si="19"/>
        <v/>
      </c>
      <c r="BC812" s="171" t="str">
        <f t="shared" si="20"/>
        <v/>
      </c>
      <c r="BD812" s="171" t="str">
        <f t="shared" si="21"/>
        <v>Institutional</v>
      </c>
      <c r="BE812" s="171" t="str">
        <f t="shared" si="22"/>
        <v/>
      </c>
      <c r="BF812" s="171" t="str">
        <f t="shared" si="23"/>
        <v>Institutional</v>
      </c>
    </row>
    <row r="813">
      <c r="A813" s="171">
        <f t="array" ref="A813">XLOOKUP(C813,ICSE!A:A,ICSE!C:C,,2,1)</f>
        <v>2016</v>
      </c>
      <c r="B813" s="171" t="s">
        <v>5675</v>
      </c>
      <c r="C813" s="160">
        <v>1576.0</v>
      </c>
      <c r="D813" s="161" t="s">
        <v>6013</v>
      </c>
      <c r="E813" s="197" t="str">
        <f t="array" ref="E813">XLOOKUP(C813,ICSE!A:A,ICSE!Z:Z,,0,1)</f>
        <v>Not available (2) - Broken link.</v>
      </c>
      <c r="F813" s="198" t="s">
        <v>21</v>
      </c>
      <c r="G813" s="163" t="str">
        <f t="array" ref="G813">IF(B813="ICSE",IF(COUNTIFS(B:B,B813,C:C,C813)=XLOOKUP(C813,ICSE!A:A,ICSE!AA:AA,"ERROR",0,1),"OK","ERROR"),IF(B813="FSE",IF(COUNTIFS(B:B,B813,C:C,C813)=XLOOKUP(C813,FSE!A:A,FSE!AA:AA,"ERROR",0,1),"OK","ERROR")))</f>
        <v>OK</v>
      </c>
      <c r="H813" s="199">
        <f t="shared" ref="H813:O813" si="4106">countif($D813,"*"&amp;H$2&amp;"*")</f>
        <v>0</v>
      </c>
      <c r="I813" s="200">
        <f t="shared" si="4106"/>
        <v>0</v>
      </c>
      <c r="J813" s="200">
        <f t="shared" si="4106"/>
        <v>0</v>
      </c>
      <c r="K813" s="200">
        <f t="shared" si="4106"/>
        <v>0</v>
      </c>
      <c r="L813" s="200">
        <f t="shared" si="4106"/>
        <v>0</v>
      </c>
      <c r="M813" s="200">
        <f t="shared" si="4106"/>
        <v>0</v>
      </c>
      <c r="N813" s="200">
        <f t="shared" si="4106"/>
        <v>0</v>
      </c>
      <c r="O813" s="200">
        <f t="shared" si="4106"/>
        <v>0</v>
      </c>
      <c r="P813" s="200">
        <f t="shared" si="9"/>
        <v>0</v>
      </c>
      <c r="Q813" s="200">
        <f t="shared" ref="Q813:AC813" si="4107">countif($D813,"*"&amp;Q$2&amp;"*")</f>
        <v>0</v>
      </c>
      <c r="R813" s="200">
        <f t="shared" si="4107"/>
        <v>0</v>
      </c>
      <c r="S813" s="200">
        <f t="shared" si="4107"/>
        <v>0</v>
      </c>
      <c r="T813" s="200">
        <f t="shared" si="4107"/>
        <v>0</v>
      </c>
      <c r="U813" s="200">
        <f t="shared" si="4107"/>
        <v>0</v>
      </c>
      <c r="V813" s="200">
        <f t="shared" si="4107"/>
        <v>0</v>
      </c>
      <c r="W813" s="200">
        <f t="shared" si="4107"/>
        <v>0</v>
      </c>
      <c r="X813" s="200">
        <f t="shared" si="4107"/>
        <v>0</v>
      </c>
      <c r="Y813" s="200">
        <f t="shared" si="4107"/>
        <v>0</v>
      </c>
      <c r="Z813" s="200">
        <f t="shared" si="4107"/>
        <v>0</v>
      </c>
      <c r="AA813" s="200">
        <f t="shared" si="4107"/>
        <v>0</v>
      </c>
      <c r="AB813" s="200">
        <f t="shared" si="4107"/>
        <v>0</v>
      </c>
      <c r="AC813" s="200">
        <f t="shared" si="4107"/>
        <v>0</v>
      </c>
      <c r="AD813" s="200">
        <f t="shared" si="11"/>
        <v>1</v>
      </c>
      <c r="AE813" s="200">
        <f t="shared" ref="AE813:AG813" si="4108">countif($D813,"*"&amp;AE$2&amp;"*")</f>
        <v>0</v>
      </c>
      <c r="AF813" s="200">
        <f t="shared" si="4108"/>
        <v>0</v>
      </c>
      <c r="AG813" s="200">
        <f t="shared" si="4108"/>
        <v>0</v>
      </c>
      <c r="AH813" s="171">
        <f t="shared" si="13"/>
        <v>0</v>
      </c>
      <c r="AI813" s="200">
        <f t="shared" si="14"/>
        <v>0</v>
      </c>
      <c r="AJ813" s="200">
        <f t="shared" si="4098"/>
        <v>0</v>
      </c>
      <c r="AK813" s="201">
        <f t="shared" ref="AK813:AS813" si="4109">countif($D813,"*"&amp;AK$2&amp;"*")</f>
        <v>0</v>
      </c>
      <c r="AL813" s="201">
        <f t="shared" si="4109"/>
        <v>0</v>
      </c>
      <c r="AM813" s="201">
        <f t="shared" si="4109"/>
        <v>0</v>
      </c>
      <c r="AN813" s="201">
        <f t="shared" si="4109"/>
        <v>0</v>
      </c>
      <c r="AO813" s="201">
        <f t="shared" si="4109"/>
        <v>0</v>
      </c>
      <c r="AP813" s="201">
        <f t="shared" si="4109"/>
        <v>0</v>
      </c>
      <c r="AQ813" s="201">
        <f t="shared" si="4109"/>
        <v>0</v>
      </c>
      <c r="AR813" s="200">
        <f t="shared" si="4109"/>
        <v>0</v>
      </c>
      <c r="AS813" s="200">
        <f t="shared" si="4109"/>
        <v>0</v>
      </c>
      <c r="AT813" s="173">
        <v>1.0</v>
      </c>
      <c r="AU813" s="200">
        <f t="shared" ref="AU813:AX813" si="4110">countif($D813,"*"&amp;AU$2&amp;"*")</f>
        <v>0</v>
      </c>
      <c r="AV813" s="200">
        <f t="shared" si="4110"/>
        <v>0</v>
      </c>
      <c r="AW813" s="200">
        <f t="shared" si="4110"/>
        <v>0</v>
      </c>
      <c r="AX813" s="200">
        <f t="shared" si="4110"/>
        <v>0</v>
      </c>
      <c r="AY813" s="202">
        <v>0.0</v>
      </c>
      <c r="AZ813" s="200"/>
      <c r="BA813" s="171" t="str">
        <f t="shared" si="18"/>
        <v/>
      </c>
      <c r="BB813" s="171" t="str">
        <f t="shared" si="19"/>
        <v/>
      </c>
      <c r="BC813" s="171" t="str">
        <f t="shared" si="20"/>
        <v/>
      </c>
      <c r="BD813" s="171" t="str">
        <f t="shared" si="21"/>
        <v>Institutional</v>
      </c>
      <c r="BE813" s="171" t="str">
        <f t="shared" si="22"/>
        <v/>
      </c>
      <c r="BF813" s="171" t="str">
        <f t="shared" si="23"/>
        <v>Institutional</v>
      </c>
    </row>
    <row r="814">
      <c r="A814" s="171">
        <f t="array" ref="A814">XLOOKUP(C814,ICSE!A:A,ICSE!C:C,,2,1)</f>
        <v>2016</v>
      </c>
      <c r="B814" s="171" t="s">
        <v>5675</v>
      </c>
      <c r="C814" s="160">
        <v>1577.0</v>
      </c>
      <c r="D814" s="161" t="s">
        <v>653</v>
      </c>
      <c r="E814" s="197" t="str">
        <f t="array" ref="E814">XLOOKUP(C814,ICSE!A:A,ICSE!Z:Z,,0,1)</f>
        <v>Not available (1) - Broken link.</v>
      </c>
      <c r="F814" s="198" t="s">
        <v>21</v>
      </c>
      <c r="G814" s="163" t="str">
        <f t="array" ref="G814">IF(B814="ICSE",IF(COUNTIFS(B:B,B814,C:C,C814)=XLOOKUP(C814,ICSE!A:A,ICSE!AA:AA,"ERROR",0,1),"OK","ERROR"),IF(B814="FSE",IF(COUNTIFS(B:B,B814,C:C,C814)=XLOOKUP(C814,FSE!A:A,FSE!AA:AA,"ERROR",0,1),"OK","ERROR")))</f>
        <v>OK</v>
      </c>
      <c r="H814" s="199">
        <f t="shared" ref="H814:O814" si="4111">countif($D814,"*"&amp;H$2&amp;"*")</f>
        <v>0</v>
      </c>
      <c r="I814" s="200">
        <f t="shared" si="4111"/>
        <v>0</v>
      </c>
      <c r="J814" s="200">
        <f t="shared" si="4111"/>
        <v>0</v>
      </c>
      <c r="K814" s="200">
        <f t="shared" si="4111"/>
        <v>0</v>
      </c>
      <c r="L814" s="200">
        <f t="shared" si="4111"/>
        <v>0</v>
      </c>
      <c r="M814" s="200">
        <f t="shared" si="4111"/>
        <v>0</v>
      </c>
      <c r="N814" s="200">
        <f t="shared" si="4111"/>
        <v>0</v>
      </c>
      <c r="O814" s="200">
        <f t="shared" si="4111"/>
        <v>0</v>
      </c>
      <c r="P814" s="200">
        <f t="shared" si="9"/>
        <v>0</v>
      </c>
      <c r="Q814" s="200">
        <f t="shared" ref="Q814:AC814" si="4112">countif($D814,"*"&amp;Q$2&amp;"*")</f>
        <v>0</v>
      </c>
      <c r="R814" s="200">
        <f t="shared" si="4112"/>
        <v>0</v>
      </c>
      <c r="S814" s="200">
        <f t="shared" si="4112"/>
        <v>0</v>
      </c>
      <c r="T814" s="200">
        <f t="shared" si="4112"/>
        <v>0</v>
      </c>
      <c r="U814" s="200">
        <f t="shared" si="4112"/>
        <v>0</v>
      </c>
      <c r="V814" s="200">
        <f t="shared" si="4112"/>
        <v>0</v>
      </c>
      <c r="W814" s="200">
        <f t="shared" si="4112"/>
        <v>0</v>
      </c>
      <c r="X814" s="200">
        <f t="shared" si="4112"/>
        <v>0</v>
      </c>
      <c r="Y814" s="200">
        <f t="shared" si="4112"/>
        <v>0</v>
      </c>
      <c r="Z814" s="200">
        <f t="shared" si="4112"/>
        <v>0</v>
      </c>
      <c r="AA814" s="200">
        <f t="shared" si="4112"/>
        <v>0</v>
      </c>
      <c r="AB814" s="200">
        <f t="shared" si="4112"/>
        <v>0</v>
      </c>
      <c r="AC814" s="200">
        <f t="shared" si="4112"/>
        <v>0</v>
      </c>
      <c r="AD814" s="200">
        <f t="shared" si="11"/>
        <v>1</v>
      </c>
      <c r="AE814" s="200">
        <f t="shared" ref="AE814:AG814" si="4113">countif($D814,"*"&amp;AE$2&amp;"*")</f>
        <v>0</v>
      </c>
      <c r="AF814" s="200">
        <f t="shared" si="4113"/>
        <v>0</v>
      </c>
      <c r="AG814" s="200">
        <f t="shared" si="4113"/>
        <v>0</v>
      </c>
      <c r="AH814" s="171">
        <f t="shared" si="13"/>
        <v>0</v>
      </c>
      <c r="AI814" s="200">
        <f t="shared" si="14"/>
        <v>0</v>
      </c>
      <c r="AJ814" s="200">
        <f>SUM(AK814:AQ814)</f>
        <v>0</v>
      </c>
      <c r="AK814" s="201">
        <f t="shared" ref="AK814:AS814" si="4114">countif($D814,"*"&amp;AK$2&amp;"*")</f>
        <v>0</v>
      </c>
      <c r="AL814" s="201">
        <f t="shared" si="4114"/>
        <v>0</v>
      </c>
      <c r="AM814" s="201">
        <f t="shared" si="4114"/>
        <v>0</v>
      </c>
      <c r="AN814" s="201">
        <f t="shared" si="4114"/>
        <v>0</v>
      </c>
      <c r="AO814" s="201">
        <f t="shared" si="4114"/>
        <v>0</v>
      </c>
      <c r="AP814" s="201">
        <f t="shared" si="4114"/>
        <v>0</v>
      </c>
      <c r="AQ814" s="201">
        <f t="shared" si="4114"/>
        <v>0</v>
      </c>
      <c r="AR814" s="201">
        <f t="shared" si="4114"/>
        <v>0</v>
      </c>
      <c r="AS814" s="200">
        <f t="shared" si="4114"/>
        <v>0</v>
      </c>
      <c r="AT814" s="205">
        <v>0.0</v>
      </c>
      <c r="AU814" s="200">
        <f t="shared" ref="AU814:AX814" si="4115">countif($D814,"*"&amp;AU$2&amp;"*")</f>
        <v>1</v>
      </c>
      <c r="AV814" s="200">
        <f t="shared" si="4115"/>
        <v>0</v>
      </c>
      <c r="AW814" s="200">
        <f t="shared" si="4115"/>
        <v>0</v>
      </c>
      <c r="AX814" s="200">
        <f t="shared" si="4115"/>
        <v>0</v>
      </c>
      <c r="AY814" s="202">
        <v>0.0</v>
      </c>
      <c r="AZ814" s="200"/>
      <c r="BA814" s="171" t="str">
        <f t="shared" si="18"/>
        <v/>
      </c>
      <c r="BB814" s="171" t="str">
        <f t="shared" si="19"/>
        <v/>
      </c>
      <c r="BC814" s="171" t="str">
        <f t="shared" si="20"/>
        <v/>
      </c>
      <c r="BD814" s="171" t="str">
        <f t="shared" si="21"/>
        <v>Institutional</v>
      </c>
      <c r="BE814" s="171" t="str">
        <f t="shared" si="22"/>
        <v/>
      </c>
      <c r="BF814" s="171" t="str">
        <f t="shared" si="23"/>
        <v>Institutional</v>
      </c>
    </row>
    <row r="815">
      <c r="A815" s="171">
        <f t="array" ref="A815">XLOOKUP(C815,ICSE!A:A,ICSE!C:C,,2,1)</f>
        <v>2016</v>
      </c>
      <c r="B815" s="171" t="s">
        <v>5675</v>
      </c>
      <c r="C815" s="160">
        <v>1578.0</v>
      </c>
      <c r="D815" s="161" t="s">
        <v>657</v>
      </c>
      <c r="E815" s="197" t="str">
        <f t="array" ref="E815">XLOOKUP(C815,ICSE!A:A,ICSE!Z:Z,,0,1)</f>
        <v>Not available (1) - Broken link.</v>
      </c>
      <c r="F815" s="198" t="s">
        <v>21</v>
      </c>
      <c r="G815" s="163" t="str">
        <f t="array" ref="G815">IF(B815="ICSE",IF(COUNTIFS(B:B,B815,C:C,C815)=XLOOKUP(C815,ICSE!A:A,ICSE!AA:AA,"ERROR",0,1),"OK","ERROR"),IF(B815="FSE",IF(COUNTIFS(B:B,B815,C:C,C815)=XLOOKUP(C815,FSE!A:A,FSE!AA:AA,"ERROR",0,1),"OK","ERROR")))</f>
        <v>OK</v>
      </c>
      <c r="H815" s="199">
        <f t="shared" ref="H815:O815" si="4116">countif($D815,"*"&amp;H$2&amp;"*")</f>
        <v>0</v>
      </c>
      <c r="I815" s="200">
        <f t="shared" si="4116"/>
        <v>0</v>
      </c>
      <c r="J815" s="200">
        <f t="shared" si="4116"/>
        <v>0</v>
      </c>
      <c r="K815" s="200">
        <f t="shared" si="4116"/>
        <v>0</v>
      </c>
      <c r="L815" s="200">
        <f t="shared" si="4116"/>
        <v>0</v>
      </c>
      <c r="M815" s="200">
        <f t="shared" si="4116"/>
        <v>0</v>
      </c>
      <c r="N815" s="200">
        <f t="shared" si="4116"/>
        <v>0</v>
      </c>
      <c r="O815" s="200">
        <f t="shared" si="4116"/>
        <v>0</v>
      </c>
      <c r="P815" s="200">
        <f t="shared" si="9"/>
        <v>0</v>
      </c>
      <c r="Q815" s="200">
        <f t="shared" ref="Q815:AC815" si="4117">countif($D815,"*"&amp;Q$2&amp;"*")</f>
        <v>0</v>
      </c>
      <c r="R815" s="200">
        <f t="shared" si="4117"/>
        <v>0</v>
      </c>
      <c r="S815" s="200">
        <f t="shared" si="4117"/>
        <v>0</v>
      </c>
      <c r="T815" s="200">
        <f t="shared" si="4117"/>
        <v>0</v>
      </c>
      <c r="U815" s="200">
        <f t="shared" si="4117"/>
        <v>0</v>
      </c>
      <c r="V815" s="200">
        <f t="shared" si="4117"/>
        <v>0</v>
      </c>
      <c r="W815" s="200">
        <f t="shared" si="4117"/>
        <v>0</v>
      </c>
      <c r="X815" s="200">
        <f t="shared" si="4117"/>
        <v>0</v>
      </c>
      <c r="Y815" s="200">
        <f t="shared" si="4117"/>
        <v>0</v>
      </c>
      <c r="Z815" s="200">
        <f t="shared" si="4117"/>
        <v>0</v>
      </c>
      <c r="AA815" s="200">
        <f t="shared" si="4117"/>
        <v>0</v>
      </c>
      <c r="AB815" s="200">
        <f t="shared" si="4117"/>
        <v>0</v>
      </c>
      <c r="AC815" s="200">
        <f t="shared" si="4117"/>
        <v>0</v>
      </c>
      <c r="AD815" s="200">
        <f t="shared" si="11"/>
        <v>1</v>
      </c>
      <c r="AE815" s="200">
        <f t="shared" ref="AE815:AG815" si="4118">countif($D815,"*"&amp;AE$2&amp;"*")</f>
        <v>0</v>
      </c>
      <c r="AF815" s="200">
        <f t="shared" si="4118"/>
        <v>0</v>
      </c>
      <c r="AG815" s="200">
        <f t="shared" si="4118"/>
        <v>0</v>
      </c>
      <c r="AH815" s="171">
        <f t="shared" si="13"/>
        <v>0</v>
      </c>
      <c r="AI815" s="200">
        <f t="shared" si="14"/>
        <v>0</v>
      </c>
      <c r="AJ815" s="200">
        <f t="shared" ref="AJ815:AJ821" si="4124">SUM(AK815:AR815)</f>
        <v>0</v>
      </c>
      <c r="AK815" s="201">
        <f t="shared" ref="AK815:AS815" si="4119">countif($D815,"*"&amp;AK$2&amp;"*")</f>
        <v>0</v>
      </c>
      <c r="AL815" s="201">
        <f t="shared" si="4119"/>
        <v>0</v>
      </c>
      <c r="AM815" s="201">
        <f t="shared" si="4119"/>
        <v>0</v>
      </c>
      <c r="AN815" s="201">
        <f t="shared" si="4119"/>
        <v>0</v>
      </c>
      <c r="AO815" s="201">
        <f t="shared" si="4119"/>
        <v>0</v>
      </c>
      <c r="AP815" s="201">
        <f t="shared" si="4119"/>
        <v>0</v>
      </c>
      <c r="AQ815" s="201">
        <f t="shared" si="4119"/>
        <v>0</v>
      </c>
      <c r="AR815" s="200">
        <f t="shared" si="4119"/>
        <v>0</v>
      </c>
      <c r="AS815" s="200">
        <f t="shared" si="4119"/>
        <v>0</v>
      </c>
      <c r="AT815" s="173">
        <v>1.0</v>
      </c>
      <c r="AU815" s="200">
        <f t="shared" ref="AU815:AX815" si="4120">countif($D815,"*"&amp;AU$2&amp;"*")</f>
        <v>0</v>
      </c>
      <c r="AV815" s="200">
        <f t="shared" si="4120"/>
        <v>0</v>
      </c>
      <c r="AW815" s="200">
        <f t="shared" si="4120"/>
        <v>0</v>
      </c>
      <c r="AX815" s="200">
        <f t="shared" si="4120"/>
        <v>0</v>
      </c>
      <c r="AY815" s="202">
        <v>0.0</v>
      </c>
      <c r="AZ815" s="200"/>
      <c r="BA815" s="171" t="str">
        <f t="shared" si="18"/>
        <v/>
      </c>
      <c r="BB815" s="171" t="str">
        <f t="shared" si="19"/>
        <v/>
      </c>
      <c r="BC815" s="171" t="str">
        <f t="shared" si="20"/>
        <v/>
      </c>
      <c r="BD815" s="171" t="str">
        <f t="shared" si="21"/>
        <v>Institutional</v>
      </c>
      <c r="BE815" s="171" t="str">
        <f t="shared" si="22"/>
        <v/>
      </c>
      <c r="BF815" s="171" t="str">
        <f t="shared" si="23"/>
        <v>Institutional</v>
      </c>
    </row>
    <row r="816">
      <c r="A816" s="171">
        <f t="array" ref="A816">XLOOKUP(C816,ICSE!A:A,ICSE!C:C,,2,1)</f>
        <v>2016</v>
      </c>
      <c r="B816" s="171" t="s">
        <v>5675</v>
      </c>
      <c r="C816" s="160">
        <v>1579.0</v>
      </c>
      <c r="D816" s="161" t="s">
        <v>6014</v>
      </c>
      <c r="E816" s="197" t="str">
        <f t="array" ref="E816">XLOOKUP(C816,ICSE!A:A,ICSE!Z:Z,,0,1)</f>
        <v>Publicly available (1)</v>
      </c>
      <c r="F816" s="198" t="s">
        <v>20</v>
      </c>
      <c r="G816" s="163" t="str">
        <f t="array" ref="G816">IF(B816="ICSE",IF(COUNTIFS(B:B,B816,C:C,C816)=XLOOKUP(C816,ICSE!A:A,ICSE!AA:AA,"ERROR",0,1),"OK","ERROR"),IF(B816="FSE",IF(COUNTIFS(B:B,B816,C:C,C816)=XLOOKUP(C816,FSE!A:A,FSE!AA:AA,"ERROR",0,1),"OK","ERROR")))</f>
        <v>OK</v>
      </c>
      <c r="H816" s="199">
        <f t="shared" ref="H816:O816" si="4121">countif($D816,"*"&amp;H$2&amp;"*")</f>
        <v>0</v>
      </c>
      <c r="I816" s="200">
        <f t="shared" si="4121"/>
        <v>0</v>
      </c>
      <c r="J816" s="200">
        <f t="shared" si="4121"/>
        <v>0</v>
      </c>
      <c r="K816" s="200">
        <f t="shared" si="4121"/>
        <v>0</v>
      </c>
      <c r="L816" s="200">
        <f t="shared" si="4121"/>
        <v>0</v>
      </c>
      <c r="M816" s="200">
        <f t="shared" si="4121"/>
        <v>0</v>
      </c>
      <c r="N816" s="200">
        <f t="shared" si="4121"/>
        <v>0</v>
      </c>
      <c r="O816" s="200">
        <f t="shared" si="4121"/>
        <v>0</v>
      </c>
      <c r="P816" s="200">
        <f t="shared" si="9"/>
        <v>0</v>
      </c>
      <c r="Q816" s="200">
        <f t="shared" ref="Q816:AC816" si="4122">countif($D816,"*"&amp;Q$2&amp;"*")</f>
        <v>0</v>
      </c>
      <c r="R816" s="200">
        <f t="shared" si="4122"/>
        <v>0</v>
      </c>
      <c r="S816" s="200">
        <f t="shared" si="4122"/>
        <v>0</v>
      </c>
      <c r="T816" s="200">
        <f t="shared" si="4122"/>
        <v>0</v>
      </c>
      <c r="U816" s="200">
        <f t="shared" si="4122"/>
        <v>0</v>
      </c>
      <c r="V816" s="200">
        <f t="shared" si="4122"/>
        <v>0</v>
      </c>
      <c r="W816" s="200">
        <f t="shared" si="4122"/>
        <v>0</v>
      </c>
      <c r="X816" s="200">
        <f t="shared" si="4122"/>
        <v>0</v>
      </c>
      <c r="Y816" s="200">
        <f t="shared" si="4122"/>
        <v>0</v>
      </c>
      <c r="Z816" s="200">
        <f t="shared" si="4122"/>
        <v>0</v>
      </c>
      <c r="AA816" s="200">
        <f t="shared" si="4122"/>
        <v>0</v>
      </c>
      <c r="AB816" s="200">
        <f t="shared" si="4122"/>
        <v>0</v>
      </c>
      <c r="AC816" s="200">
        <f t="shared" si="4122"/>
        <v>0</v>
      </c>
      <c r="AD816" s="200">
        <f t="shared" si="11"/>
        <v>1</v>
      </c>
      <c r="AE816" s="200">
        <f t="shared" ref="AE816:AG816" si="4123">countif($D816,"*"&amp;AE$2&amp;"*")</f>
        <v>0</v>
      </c>
      <c r="AF816" s="200">
        <f t="shared" si="4123"/>
        <v>0</v>
      </c>
      <c r="AG816" s="200">
        <f t="shared" si="4123"/>
        <v>0</v>
      </c>
      <c r="AH816" s="171">
        <f t="shared" si="13"/>
        <v>0</v>
      </c>
      <c r="AI816" s="200">
        <f t="shared" si="14"/>
        <v>1</v>
      </c>
      <c r="AJ816" s="200">
        <f t="shared" si="4124"/>
        <v>0</v>
      </c>
      <c r="AK816" s="201">
        <f t="shared" ref="AK816:AS816" si="4125">countif($D816,"*"&amp;AK$2&amp;"*")</f>
        <v>0</v>
      </c>
      <c r="AL816" s="201">
        <f t="shared" si="4125"/>
        <v>0</v>
      </c>
      <c r="AM816" s="201">
        <f t="shared" si="4125"/>
        <v>0</v>
      </c>
      <c r="AN816" s="201">
        <f t="shared" si="4125"/>
        <v>0</v>
      </c>
      <c r="AO816" s="201">
        <f t="shared" si="4125"/>
        <v>0</v>
      </c>
      <c r="AP816" s="201">
        <f t="shared" si="4125"/>
        <v>0</v>
      </c>
      <c r="AQ816" s="201">
        <f t="shared" si="4125"/>
        <v>0</v>
      </c>
      <c r="AR816" s="200">
        <f t="shared" si="4125"/>
        <v>0</v>
      </c>
      <c r="AS816" s="200">
        <f t="shared" si="4125"/>
        <v>1</v>
      </c>
      <c r="AT816" s="173">
        <v>1.0</v>
      </c>
      <c r="AU816" s="200">
        <f t="shared" ref="AU816:AX816" si="4126">countif($D816,"*"&amp;AU$2&amp;"*")</f>
        <v>0</v>
      </c>
      <c r="AV816" s="200">
        <f t="shared" si="4126"/>
        <v>0</v>
      </c>
      <c r="AW816" s="200">
        <f t="shared" si="4126"/>
        <v>0</v>
      </c>
      <c r="AX816" s="200">
        <f t="shared" si="4126"/>
        <v>1</v>
      </c>
      <c r="AY816" s="202">
        <v>0.0</v>
      </c>
      <c r="AZ816" s="200"/>
      <c r="BA816" s="171" t="str">
        <f t="shared" si="18"/>
        <v/>
      </c>
      <c r="BB816" s="171" t="str">
        <f t="shared" si="19"/>
        <v/>
      </c>
      <c r="BC816" s="171" t="str">
        <f t="shared" si="20"/>
        <v/>
      </c>
      <c r="BD816" s="171" t="str">
        <f t="shared" si="21"/>
        <v>Institutional</v>
      </c>
      <c r="BE816" s="171" t="str">
        <f t="shared" si="22"/>
        <v/>
      </c>
      <c r="BF816" s="171" t="str">
        <f t="shared" si="23"/>
        <v>Institutional</v>
      </c>
    </row>
    <row r="817">
      <c r="A817" s="171">
        <f t="array" ref="A817">XLOOKUP(C817,ICSE!A:A,ICSE!C:C,,2,1)</f>
        <v>2016</v>
      </c>
      <c r="B817" s="171" t="s">
        <v>5675</v>
      </c>
      <c r="C817" s="160">
        <v>1581.0</v>
      </c>
      <c r="D817" s="161" t="s">
        <v>6015</v>
      </c>
      <c r="E817" s="197" t="str">
        <f t="array" ref="E817">XLOOKUP(C817,ICSE!A:A,ICSE!Z:Z,,0,1)</f>
        <v>Publicly available (2)</v>
      </c>
      <c r="F817" s="198" t="s">
        <v>20</v>
      </c>
      <c r="G817" s="163" t="str">
        <f t="array" ref="G817">IF(B817="ICSE",IF(COUNTIFS(B:B,B817,C:C,C817)=XLOOKUP(C817,ICSE!A:A,ICSE!AA:AA,"ERROR",0,1),"OK","ERROR"),IF(B817="FSE",IF(COUNTIFS(B:B,B817,C:C,C817)=XLOOKUP(C817,FSE!A:A,FSE!AA:AA,"ERROR",0,1),"OK","ERROR")))</f>
        <v>OK</v>
      </c>
      <c r="H817" s="199">
        <f t="shared" ref="H817:O817" si="4127">countif($D817,"*"&amp;H$2&amp;"*")</f>
        <v>0</v>
      </c>
      <c r="I817" s="200">
        <f t="shared" si="4127"/>
        <v>0</v>
      </c>
      <c r="J817" s="200">
        <f t="shared" si="4127"/>
        <v>1</v>
      </c>
      <c r="K817" s="200">
        <f t="shared" si="4127"/>
        <v>0</v>
      </c>
      <c r="L817" s="200">
        <f t="shared" si="4127"/>
        <v>0</v>
      </c>
      <c r="M817" s="200">
        <f t="shared" si="4127"/>
        <v>0</v>
      </c>
      <c r="N817" s="200">
        <f t="shared" si="4127"/>
        <v>0</v>
      </c>
      <c r="O817" s="200">
        <f t="shared" si="4127"/>
        <v>0</v>
      </c>
      <c r="P817" s="200">
        <f t="shared" si="9"/>
        <v>0</v>
      </c>
      <c r="Q817" s="200">
        <f t="shared" ref="Q817:AC817" si="4128">countif($D817,"*"&amp;Q$2&amp;"*")</f>
        <v>0</v>
      </c>
      <c r="R817" s="200">
        <f t="shared" si="4128"/>
        <v>0</v>
      </c>
      <c r="S817" s="200">
        <f t="shared" si="4128"/>
        <v>0</v>
      </c>
      <c r="T817" s="200">
        <f t="shared" si="4128"/>
        <v>0</v>
      </c>
      <c r="U817" s="200">
        <f t="shared" si="4128"/>
        <v>0</v>
      </c>
      <c r="V817" s="200">
        <f t="shared" si="4128"/>
        <v>0</v>
      </c>
      <c r="W817" s="200">
        <f t="shared" si="4128"/>
        <v>0</v>
      </c>
      <c r="X817" s="200">
        <f t="shared" si="4128"/>
        <v>0</v>
      </c>
      <c r="Y817" s="200">
        <f t="shared" si="4128"/>
        <v>0</v>
      </c>
      <c r="Z817" s="200">
        <f t="shared" si="4128"/>
        <v>0</v>
      </c>
      <c r="AA817" s="200">
        <f t="shared" si="4128"/>
        <v>0</v>
      </c>
      <c r="AB817" s="200">
        <f t="shared" si="4128"/>
        <v>0</v>
      </c>
      <c r="AC817" s="200">
        <f t="shared" si="4128"/>
        <v>0</v>
      </c>
      <c r="AD817" s="200">
        <f t="shared" si="11"/>
        <v>0</v>
      </c>
      <c r="AE817" s="200">
        <f t="shared" ref="AE817:AG817" si="4129">countif($D817,"*"&amp;AE$2&amp;"*")</f>
        <v>0</v>
      </c>
      <c r="AF817" s="200">
        <f t="shared" si="4129"/>
        <v>0</v>
      </c>
      <c r="AG817" s="200">
        <f t="shared" si="4129"/>
        <v>0</v>
      </c>
      <c r="AH817" s="171">
        <f t="shared" si="13"/>
        <v>0</v>
      </c>
      <c r="AI817" s="200">
        <f t="shared" si="14"/>
        <v>1</v>
      </c>
      <c r="AJ817" s="200">
        <f t="shared" si="4124"/>
        <v>0</v>
      </c>
      <c r="AK817" s="201">
        <f t="shared" ref="AK817:AS817" si="4130">countif($D817,"*"&amp;AK$2&amp;"*")</f>
        <v>0</v>
      </c>
      <c r="AL817" s="201">
        <f t="shared" si="4130"/>
        <v>0</v>
      </c>
      <c r="AM817" s="201">
        <f t="shared" si="4130"/>
        <v>0</v>
      </c>
      <c r="AN817" s="201">
        <f t="shared" si="4130"/>
        <v>0</v>
      </c>
      <c r="AO817" s="201">
        <f t="shared" si="4130"/>
        <v>0</v>
      </c>
      <c r="AP817" s="201">
        <f t="shared" si="4130"/>
        <v>0</v>
      </c>
      <c r="AQ817" s="201">
        <f t="shared" si="4130"/>
        <v>0</v>
      </c>
      <c r="AR817" s="200">
        <f t="shared" si="4130"/>
        <v>0</v>
      </c>
      <c r="AS817" s="200">
        <f t="shared" si="4130"/>
        <v>0</v>
      </c>
      <c r="AT817" s="173">
        <v>0.0</v>
      </c>
      <c r="AU817" s="200">
        <f t="shared" ref="AU817:AX817" si="4131">countif($D817,"*"&amp;AU$2&amp;"*")</f>
        <v>0</v>
      </c>
      <c r="AV817" s="200">
        <f t="shared" si="4131"/>
        <v>0</v>
      </c>
      <c r="AW817" s="200">
        <f t="shared" si="4131"/>
        <v>0</v>
      </c>
      <c r="AX817" s="200">
        <f t="shared" si="4131"/>
        <v>0</v>
      </c>
      <c r="AY817" s="204">
        <v>1.0</v>
      </c>
      <c r="AZ817" s="200"/>
      <c r="BA817" s="171" t="str">
        <f t="shared" si="18"/>
        <v>Archival</v>
      </c>
      <c r="BB817" s="171" t="str">
        <f t="shared" si="19"/>
        <v/>
      </c>
      <c r="BC817" s="171" t="str">
        <f t="shared" si="20"/>
        <v/>
      </c>
      <c r="BD817" s="171" t="str">
        <f t="shared" si="21"/>
        <v/>
      </c>
      <c r="BE817" s="171" t="str">
        <f t="shared" si="22"/>
        <v/>
      </c>
      <c r="BF817" s="171" t="str">
        <f t="shared" si="23"/>
        <v>Archival</v>
      </c>
    </row>
    <row r="818">
      <c r="A818" s="171">
        <f t="array" ref="A818">XLOOKUP(C818,ICSE!A:A,ICSE!C:C,,2,1)</f>
        <v>2016</v>
      </c>
      <c r="B818" s="171" t="s">
        <v>5675</v>
      </c>
      <c r="C818" s="160">
        <v>1581.0</v>
      </c>
      <c r="D818" s="161" t="s">
        <v>6016</v>
      </c>
      <c r="E818" s="197" t="str">
        <f t="array" ref="E818">XLOOKUP(C818,ICSE!A:A,ICSE!Z:Z,,0,1)</f>
        <v>Publicly available (2)</v>
      </c>
      <c r="F818" s="198" t="s">
        <v>20</v>
      </c>
      <c r="G818" s="163" t="str">
        <f t="array" ref="G818">IF(B818="ICSE",IF(COUNTIFS(B:B,B818,C:C,C818)=XLOOKUP(C818,ICSE!A:A,ICSE!AA:AA,"ERROR",0,1),"OK","ERROR"),IF(B818="FSE",IF(COUNTIFS(B:B,B818,C:C,C818)=XLOOKUP(C818,FSE!A:A,FSE!AA:AA,"ERROR",0,1),"OK","ERROR")))</f>
        <v>OK</v>
      </c>
      <c r="H818" s="199">
        <f t="shared" ref="H818:O818" si="4132">countif($D818,"*"&amp;H$2&amp;"*")</f>
        <v>0</v>
      </c>
      <c r="I818" s="200">
        <f t="shared" si="4132"/>
        <v>0</v>
      </c>
      <c r="J818" s="200">
        <f t="shared" si="4132"/>
        <v>0</v>
      </c>
      <c r="K818" s="200">
        <f t="shared" si="4132"/>
        <v>0</v>
      </c>
      <c r="L818" s="200">
        <f t="shared" si="4132"/>
        <v>0</v>
      </c>
      <c r="M818" s="200">
        <f t="shared" si="4132"/>
        <v>0</v>
      </c>
      <c r="N818" s="200">
        <f t="shared" si="4132"/>
        <v>0</v>
      </c>
      <c r="O818" s="200">
        <f t="shared" si="4132"/>
        <v>0</v>
      </c>
      <c r="P818" s="200">
        <f t="shared" si="9"/>
        <v>0</v>
      </c>
      <c r="Q818" s="200">
        <f t="shared" ref="Q818:AC818" si="4133">countif($D818,"*"&amp;Q$2&amp;"*")</f>
        <v>0</v>
      </c>
      <c r="R818" s="200">
        <f t="shared" si="4133"/>
        <v>1</v>
      </c>
      <c r="S818" s="200">
        <f t="shared" si="4133"/>
        <v>0</v>
      </c>
      <c r="T818" s="200">
        <f t="shared" si="4133"/>
        <v>0</v>
      </c>
      <c r="U818" s="200">
        <f t="shared" si="4133"/>
        <v>0</v>
      </c>
      <c r="V818" s="200">
        <f t="shared" si="4133"/>
        <v>0</v>
      </c>
      <c r="W818" s="200">
        <f t="shared" si="4133"/>
        <v>0</v>
      </c>
      <c r="X818" s="200">
        <f t="shared" si="4133"/>
        <v>0</v>
      </c>
      <c r="Y818" s="200">
        <f t="shared" si="4133"/>
        <v>0</v>
      </c>
      <c r="Z818" s="200">
        <f t="shared" si="4133"/>
        <v>0</v>
      </c>
      <c r="AA818" s="200">
        <f t="shared" si="4133"/>
        <v>0</v>
      </c>
      <c r="AB818" s="200">
        <f t="shared" si="4133"/>
        <v>0</v>
      </c>
      <c r="AC818" s="200">
        <f t="shared" si="4133"/>
        <v>0</v>
      </c>
      <c r="AD818" s="200">
        <f t="shared" si="11"/>
        <v>0</v>
      </c>
      <c r="AE818" s="200">
        <f t="shared" ref="AE818:AG818" si="4134">countif($D818,"*"&amp;AE$2&amp;"*")</f>
        <v>0</v>
      </c>
      <c r="AF818" s="200">
        <f t="shared" si="4134"/>
        <v>0</v>
      </c>
      <c r="AG818" s="200">
        <f t="shared" si="4134"/>
        <v>0</v>
      </c>
      <c r="AH818" s="171">
        <f t="shared" si="13"/>
        <v>0</v>
      </c>
      <c r="AI818" s="200">
        <f t="shared" si="14"/>
        <v>0</v>
      </c>
      <c r="AJ818" s="200">
        <f t="shared" si="4124"/>
        <v>0</v>
      </c>
      <c r="AK818" s="201">
        <f t="shared" ref="AK818:AS818" si="4135">countif($D818,"*"&amp;AK$2&amp;"*")</f>
        <v>0</v>
      </c>
      <c r="AL818" s="201">
        <f t="shared" si="4135"/>
        <v>0</v>
      </c>
      <c r="AM818" s="201">
        <f t="shared" si="4135"/>
        <v>0</v>
      </c>
      <c r="AN818" s="201">
        <f t="shared" si="4135"/>
        <v>0</v>
      </c>
      <c r="AO818" s="201">
        <f t="shared" si="4135"/>
        <v>0</v>
      </c>
      <c r="AP818" s="201">
        <f t="shared" si="4135"/>
        <v>0</v>
      </c>
      <c r="AQ818" s="201">
        <f t="shared" si="4135"/>
        <v>0</v>
      </c>
      <c r="AR818" s="200">
        <f t="shared" si="4135"/>
        <v>0</v>
      </c>
      <c r="AS818" s="200">
        <f t="shared" si="4135"/>
        <v>0</v>
      </c>
      <c r="AT818" s="173">
        <v>0.0</v>
      </c>
      <c r="AU818" s="200">
        <f t="shared" ref="AU818:AX818" si="4136">countif($D818,"*"&amp;AU$2&amp;"*")</f>
        <v>0</v>
      </c>
      <c r="AV818" s="200">
        <f t="shared" si="4136"/>
        <v>0</v>
      </c>
      <c r="AW818" s="200">
        <f t="shared" si="4136"/>
        <v>0</v>
      </c>
      <c r="AX818" s="200">
        <f t="shared" si="4136"/>
        <v>0</v>
      </c>
      <c r="AY818" s="202">
        <v>0.0</v>
      </c>
      <c r="AZ818" s="200"/>
      <c r="BA818" s="171" t="str">
        <f t="shared" si="18"/>
        <v/>
      </c>
      <c r="BB818" s="171" t="str">
        <f t="shared" si="19"/>
        <v>Code</v>
      </c>
      <c r="BC818" s="171" t="str">
        <f t="shared" si="20"/>
        <v/>
      </c>
      <c r="BD818" s="171" t="str">
        <f t="shared" si="21"/>
        <v/>
      </c>
      <c r="BE818" s="171" t="str">
        <f t="shared" si="22"/>
        <v/>
      </c>
      <c r="BF818" s="171" t="str">
        <f t="shared" si="23"/>
        <v>Code</v>
      </c>
    </row>
    <row r="819">
      <c r="A819" s="171">
        <f t="array" ref="A819">XLOOKUP(C819,ICSE!A:A,ICSE!C:C,,2,1)</f>
        <v>2016</v>
      </c>
      <c r="B819" s="171" t="s">
        <v>5675</v>
      </c>
      <c r="C819" s="160">
        <v>1582.0</v>
      </c>
      <c r="D819" s="161" t="s">
        <v>668</v>
      </c>
      <c r="E819" s="197" t="str">
        <f t="array" ref="E819">XLOOKUP(C819,ICSE!A:A,ICSE!Z:Z,,0,1)</f>
        <v>Not available (1) - Broken link.</v>
      </c>
      <c r="F819" s="198" t="s">
        <v>21</v>
      </c>
      <c r="G819" s="163" t="str">
        <f t="array" ref="G819">IF(B819="ICSE",IF(COUNTIFS(B:B,B819,C:C,C819)=XLOOKUP(C819,ICSE!A:A,ICSE!AA:AA,"ERROR",0,1),"OK","ERROR"),IF(B819="FSE",IF(COUNTIFS(B:B,B819,C:C,C819)=XLOOKUP(C819,FSE!A:A,FSE!AA:AA,"ERROR",0,1),"OK","ERROR")))</f>
        <v>OK</v>
      </c>
      <c r="H819" s="199">
        <f t="shared" ref="H819:O819" si="4137">countif($D819,"*"&amp;H$2&amp;"*")</f>
        <v>0</v>
      </c>
      <c r="I819" s="200">
        <f t="shared" si="4137"/>
        <v>0</v>
      </c>
      <c r="J819" s="200">
        <f t="shared" si="4137"/>
        <v>0</v>
      </c>
      <c r="K819" s="200">
        <f t="shared" si="4137"/>
        <v>0</v>
      </c>
      <c r="L819" s="200">
        <f t="shared" si="4137"/>
        <v>0</v>
      </c>
      <c r="M819" s="200">
        <f t="shared" si="4137"/>
        <v>0</v>
      </c>
      <c r="N819" s="200">
        <f t="shared" si="4137"/>
        <v>0</v>
      </c>
      <c r="O819" s="200">
        <f t="shared" si="4137"/>
        <v>0</v>
      </c>
      <c r="P819" s="200">
        <f t="shared" si="9"/>
        <v>0</v>
      </c>
      <c r="Q819" s="200">
        <f t="shared" ref="Q819:AC819" si="4138">countif($D819,"*"&amp;Q$2&amp;"*")</f>
        <v>0</v>
      </c>
      <c r="R819" s="200">
        <f t="shared" si="4138"/>
        <v>0</v>
      </c>
      <c r="S819" s="200">
        <f t="shared" si="4138"/>
        <v>0</v>
      </c>
      <c r="T819" s="200">
        <f t="shared" si="4138"/>
        <v>0</v>
      </c>
      <c r="U819" s="200">
        <f t="shared" si="4138"/>
        <v>0</v>
      </c>
      <c r="V819" s="200">
        <f t="shared" si="4138"/>
        <v>0</v>
      </c>
      <c r="W819" s="200">
        <f t="shared" si="4138"/>
        <v>0</v>
      </c>
      <c r="X819" s="200">
        <f t="shared" si="4138"/>
        <v>0</v>
      </c>
      <c r="Y819" s="200">
        <f t="shared" si="4138"/>
        <v>0</v>
      </c>
      <c r="Z819" s="200">
        <f t="shared" si="4138"/>
        <v>0</v>
      </c>
      <c r="AA819" s="200">
        <f t="shared" si="4138"/>
        <v>0</v>
      </c>
      <c r="AB819" s="200">
        <f t="shared" si="4138"/>
        <v>0</v>
      </c>
      <c r="AC819" s="200">
        <f t="shared" si="4138"/>
        <v>0</v>
      </c>
      <c r="AD819" s="200">
        <f t="shared" si="11"/>
        <v>1</v>
      </c>
      <c r="AE819" s="200">
        <f t="shared" ref="AE819:AG819" si="4139">countif($D819,"*"&amp;AE$2&amp;"*")</f>
        <v>0</v>
      </c>
      <c r="AF819" s="200">
        <f t="shared" si="4139"/>
        <v>0</v>
      </c>
      <c r="AG819" s="200">
        <f t="shared" si="4139"/>
        <v>0</v>
      </c>
      <c r="AH819" s="171">
        <f t="shared" si="13"/>
        <v>0</v>
      </c>
      <c r="AI819" s="200">
        <f t="shared" si="14"/>
        <v>0</v>
      </c>
      <c r="AJ819" s="200">
        <f t="shared" si="4124"/>
        <v>0</v>
      </c>
      <c r="AK819" s="201">
        <f t="shared" ref="AK819:AS819" si="4140">countif($D819,"*"&amp;AK$2&amp;"*")</f>
        <v>0</v>
      </c>
      <c r="AL819" s="201">
        <f t="shared" si="4140"/>
        <v>0</v>
      </c>
      <c r="AM819" s="201">
        <f t="shared" si="4140"/>
        <v>0</v>
      </c>
      <c r="AN819" s="201">
        <f t="shared" si="4140"/>
        <v>0</v>
      </c>
      <c r="AO819" s="201">
        <f t="shared" si="4140"/>
        <v>0</v>
      </c>
      <c r="AP819" s="201">
        <f t="shared" si="4140"/>
        <v>0</v>
      </c>
      <c r="AQ819" s="201">
        <f t="shared" si="4140"/>
        <v>0</v>
      </c>
      <c r="AR819" s="200">
        <f t="shared" si="4140"/>
        <v>0</v>
      </c>
      <c r="AS819" s="200">
        <f t="shared" si="4140"/>
        <v>0</v>
      </c>
      <c r="AT819" s="173">
        <v>1.0</v>
      </c>
      <c r="AU819" s="200">
        <f t="shared" ref="AU819:AX819" si="4141">countif($D819,"*"&amp;AU$2&amp;"*")</f>
        <v>0</v>
      </c>
      <c r="AV819" s="200">
        <f t="shared" si="4141"/>
        <v>0</v>
      </c>
      <c r="AW819" s="200">
        <f t="shared" si="4141"/>
        <v>0</v>
      </c>
      <c r="AX819" s="200">
        <f t="shared" si="4141"/>
        <v>0</v>
      </c>
      <c r="AY819" s="202">
        <v>0.0</v>
      </c>
      <c r="AZ819" s="200"/>
      <c r="BA819" s="171" t="str">
        <f t="shared" si="18"/>
        <v/>
      </c>
      <c r="BB819" s="171" t="str">
        <f t="shared" si="19"/>
        <v/>
      </c>
      <c r="BC819" s="171" t="str">
        <f t="shared" si="20"/>
        <v/>
      </c>
      <c r="BD819" s="171" t="str">
        <f t="shared" si="21"/>
        <v>Institutional</v>
      </c>
      <c r="BE819" s="171" t="str">
        <f t="shared" si="22"/>
        <v/>
      </c>
      <c r="BF819" s="171" t="str">
        <f t="shared" si="23"/>
        <v>Institutional</v>
      </c>
    </row>
    <row r="820">
      <c r="A820" s="171">
        <f t="array" ref="A820">XLOOKUP(C820,ICSE!A:A,ICSE!C:C,,2,1)</f>
        <v>2016</v>
      </c>
      <c r="B820" s="171" t="s">
        <v>5675</v>
      </c>
      <c r="C820" s="160">
        <v>1583.0</v>
      </c>
      <c r="D820" s="161" t="s">
        <v>671</v>
      </c>
      <c r="E820" s="197" t="str">
        <f t="array" ref="E820">XLOOKUP(C820,ICSE!A:A,ICSE!Z:Z,,0,1)</f>
        <v>Publicly available (1)</v>
      </c>
      <c r="F820" s="198" t="s">
        <v>20</v>
      </c>
      <c r="G820" s="163" t="str">
        <f t="array" ref="G820">IF(B820="ICSE",IF(COUNTIFS(B:B,B820,C:C,C820)=XLOOKUP(C820,ICSE!A:A,ICSE!AA:AA,"ERROR",0,1),"OK","ERROR"),IF(B820="FSE",IF(COUNTIFS(B:B,B820,C:C,C820)=XLOOKUP(C820,FSE!A:A,FSE!AA:AA,"ERROR",0,1),"OK","ERROR")))</f>
        <v>OK</v>
      </c>
      <c r="H820" s="199">
        <f t="shared" ref="H820:O820" si="4142">countif($D820,"*"&amp;H$2&amp;"*")</f>
        <v>0</v>
      </c>
      <c r="I820" s="200">
        <f t="shared" si="4142"/>
        <v>0</v>
      </c>
      <c r="J820" s="200">
        <f t="shared" si="4142"/>
        <v>0</v>
      </c>
      <c r="K820" s="200">
        <f t="shared" si="4142"/>
        <v>0</v>
      </c>
      <c r="L820" s="200">
        <f t="shared" si="4142"/>
        <v>0</v>
      </c>
      <c r="M820" s="200">
        <f t="shared" si="4142"/>
        <v>0</v>
      </c>
      <c r="N820" s="200">
        <f t="shared" si="4142"/>
        <v>0</v>
      </c>
      <c r="O820" s="200">
        <f t="shared" si="4142"/>
        <v>0</v>
      </c>
      <c r="P820" s="200">
        <f t="shared" si="9"/>
        <v>1</v>
      </c>
      <c r="Q820" s="200">
        <f t="shared" ref="Q820:AC820" si="4143">countif($D820,"*"&amp;Q$2&amp;"*")</f>
        <v>0</v>
      </c>
      <c r="R820" s="200">
        <f t="shared" si="4143"/>
        <v>0</v>
      </c>
      <c r="S820" s="200">
        <f t="shared" si="4143"/>
        <v>0</v>
      </c>
      <c r="T820" s="200">
        <f t="shared" si="4143"/>
        <v>0</v>
      </c>
      <c r="U820" s="200">
        <f t="shared" si="4143"/>
        <v>0</v>
      </c>
      <c r="V820" s="200">
        <f t="shared" si="4143"/>
        <v>0</v>
      </c>
      <c r="W820" s="200">
        <f t="shared" si="4143"/>
        <v>0</v>
      </c>
      <c r="X820" s="200">
        <f t="shared" si="4143"/>
        <v>0</v>
      </c>
      <c r="Y820" s="200">
        <f t="shared" si="4143"/>
        <v>0</v>
      </c>
      <c r="Z820" s="200">
        <f t="shared" si="4143"/>
        <v>0</v>
      </c>
      <c r="AA820" s="200">
        <f t="shared" si="4143"/>
        <v>0</v>
      </c>
      <c r="AB820" s="200">
        <f t="shared" si="4143"/>
        <v>0</v>
      </c>
      <c r="AC820" s="200">
        <f t="shared" si="4143"/>
        <v>0</v>
      </c>
      <c r="AD820" s="200">
        <f t="shared" si="11"/>
        <v>0</v>
      </c>
      <c r="AE820" s="200">
        <f t="shared" ref="AE820:AG820" si="4144">countif($D820,"*"&amp;AE$2&amp;"*")</f>
        <v>0</v>
      </c>
      <c r="AF820" s="200">
        <f t="shared" si="4144"/>
        <v>0</v>
      </c>
      <c r="AG820" s="200">
        <f t="shared" si="4144"/>
        <v>0</v>
      </c>
      <c r="AH820" s="171">
        <f t="shared" si="13"/>
        <v>0</v>
      </c>
      <c r="AI820" s="200">
        <f t="shared" si="14"/>
        <v>0</v>
      </c>
      <c r="AJ820" s="200">
        <f t="shared" si="4124"/>
        <v>0</v>
      </c>
      <c r="AK820" s="201">
        <f t="shared" ref="AK820:AS820" si="4145">countif($D820,"*"&amp;AK$2&amp;"*")</f>
        <v>0</v>
      </c>
      <c r="AL820" s="201">
        <f t="shared" si="4145"/>
        <v>0</v>
      </c>
      <c r="AM820" s="201">
        <f t="shared" si="4145"/>
        <v>0</v>
      </c>
      <c r="AN820" s="201">
        <f t="shared" si="4145"/>
        <v>0</v>
      </c>
      <c r="AO820" s="201">
        <f t="shared" si="4145"/>
        <v>0</v>
      </c>
      <c r="AP820" s="201">
        <f t="shared" si="4145"/>
        <v>0</v>
      </c>
      <c r="AQ820" s="201">
        <f t="shared" si="4145"/>
        <v>0</v>
      </c>
      <c r="AR820" s="200">
        <f t="shared" si="4145"/>
        <v>0</v>
      </c>
      <c r="AS820" s="200">
        <f t="shared" si="4145"/>
        <v>0</v>
      </c>
      <c r="AT820" s="173">
        <v>0.0</v>
      </c>
      <c r="AU820" s="200">
        <f t="shared" ref="AU820:AX820" si="4146">countif($D820,"*"&amp;AU$2&amp;"*")</f>
        <v>0</v>
      </c>
      <c r="AV820" s="200">
        <f t="shared" si="4146"/>
        <v>1</v>
      </c>
      <c r="AW820" s="200">
        <f t="shared" si="4146"/>
        <v>0</v>
      </c>
      <c r="AX820" s="200">
        <f t="shared" si="4146"/>
        <v>0</v>
      </c>
      <c r="AY820" s="202">
        <v>0.0</v>
      </c>
      <c r="AZ820" s="200"/>
      <c r="BA820" s="171" t="str">
        <f t="shared" si="18"/>
        <v/>
      </c>
      <c r="BB820" s="171" t="str">
        <f t="shared" si="19"/>
        <v>Code</v>
      </c>
      <c r="BC820" s="171" t="str">
        <f t="shared" si="20"/>
        <v/>
      </c>
      <c r="BD820" s="171" t="str">
        <f t="shared" si="21"/>
        <v/>
      </c>
      <c r="BE820" s="171" t="str">
        <f t="shared" si="22"/>
        <v/>
      </c>
      <c r="BF820" s="171" t="str">
        <f t="shared" si="23"/>
        <v>Code</v>
      </c>
    </row>
    <row r="821">
      <c r="A821" s="171">
        <f t="array" ref="A821">XLOOKUP(C821,ICSE!A:A,ICSE!C:C,,2,1)</f>
        <v>2016</v>
      </c>
      <c r="B821" s="171" t="s">
        <v>5675</v>
      </c>
      <c r="C821" s="160">
        <v>1585.0</v>
      </c>
      <c r="D821" s="161" t="s">
        <v>675</v>
      </c>
      <c r="E821" s="197" t="str">
        <f t="array" ref="E821">XLOOKUP(C821,ICSE!A:A,ICSE!Z:Z,,0,1)</f>
        <v>Not available (1) - Broken link.</v>
      </c>
      <c r="F821" s="198" t="s">
        <v>21</v>
      </c>
      <c r="G821" s="163" t="str">
        <f t="array" ref="G821">IF(B821="ICSE",IF(COUNTIFS(B:B,B821,C:C,C821)=XLOOKUP(C821,ICSE!A:A,ICSE!AA:AA,"ERROR",0,1),"OK","ERROR"),IF(B821="FSE",IF(COUNTIFS(B:B,B821,C:C,C821)=XLOOKUP(C821,FSE!A:A,FSE!AA:AA,"ERROR",0,1),"OK","ERROR")))</f>
        <v>OK</v>
      </c>
      <c r="H821" s="199">
        <f t="shared" ref="H821:O821" si="4147">countif($D821,"*"&amp;H$2&amp;"*")</f>
        <v>0</v>
      </c>
      <c r="I821" s="200">
        <f t="shared" si="4147"/>
        <v>0</v>
      </c>
      <c r="J821" s="200">
        <f t="shared" si="4147"/>
        <v>0</v>
      </c>
      <c r="K821" s="200">
        <f t="shared" si="4147"/>
        <v>0</v>
      </c>
      <c r="L821" s="200">
        <f t="shared" si="4147"/>
        <v>0</v>
      </c>
      <c r="M821" s="200">
        <f t="shared" si="4147"/>
        <v>0</v>
      </c>
      <c r="N821" s="200">
        <f t="shared" si="4147"/>
        <v>0</v>
      </c>
      <c r="O821" s="200">
        <f t="shared" si="4147"/>
        <v>0</v>
      </c>
      <c r="P821" s="200">
        <f t="shared" si="9"/>
        <v>0</v>
      </c>
      <c r="Q821" s="200">
        <f t="shared" ref="Q821:AC821" si="4148">countif($D821,"*"&amp;Q$2&amp;"*")</f>
        <v>0</v>
      </c>
      <c r="R821" s="200">
        <f t="shared" si="4148"/>
        <v>0</v>
      </c>
      <c r="S821" s="200">
        <f t="shared" si="4148"/>
        <v>0</v>
      </c>
      <c r="T821" s="200">
        <f t="shared" si="4148"/>
        <v>0</v>
      </c>
      <c r="U821" s="200">
        <f t="shared" si="4148"/>
        <v>0</v>
      </c>
      <c r="V821" s="200">
        <f t="shared" si="4148"/>
        <v>0</v>
      </c>
      <c r="W821" s="200">
        <f t="shared" si="4148"/>
        <v>0</v>
      </c>
      <c r="X821" s="200">
        <f t="shared" si="4148"/>
        <v>0</v>
      </c>
      <c r="Y821" s="200">
        <f t="shared" si="4148"/>
        <v>0</v>
      </c>
      <c r="Z821" s="200">
        <f t="shared" si="4148"/>
        <v>0</v>
      </c>
      <c r="AA821" s="200">
        <f t="shared" si="4148"/>
        <v>0</v>
      </c>
      <c r="AB821" s="200">
        <f t="shared" si="4148"/>
        <v>0</v>
      </c>
      <c r="AC821" s="200">
        <f t="shared" si="4148"/>
        <v>0</v>
      </c>
      <c r="AD821" s="200">
        <f t="shared" si="11"/>
        <v>1</v>
      </c>
      <c r="AE821" s="200">
        <f t="shared" ref="AE821:AG821" si="4149">countif($D821,"*"&amp;AE$2&amp;"*")</f>
        <v>0</v>
      </c>
      <c r="AF821" s="200">
        <f t="shared" si="4149"/>
        <v>0</v>
      </c>
      <c r="AG821" s="200">
        <f t="shared" si="4149"/>
        <v>0</v>
      </c>
      <c r="AH821" s="171">
        <f t="shared" si="13"/>
        <v>0</v>
      </c>
      <c r="AI821" s="200">
        <f t="shared" si="14"/>
        <v>0</v>
      </c>
      <c r="AJ821" s="200">
        <f t="shared" si="4124"/>
        <v>0</v>
      </c>
      <c r="AK821" s="201">
        <f t="shared" ref="AK821:AS821" si="4150">countif($D821,"*"&amp;AK$2&amp;"*")</f>
        <v>0</v>
      </c>
      <c r="AL821" s="201">
        <f t="shared" si="4150"/>
        <v>0</v>
      </c>
      <c r="AM821" s="201">
        <f t="shared" si="4150"/>
        <v>0</v>
      </c>
      <c r="AN821" s="201">
        <f t="shared" si="4150"/>
        <v>0</v>
      </c>
      <c r="AO821" s="201">
        <f t="shared" si="4150"/>
        <v>0</v>
      </c>
      <c r="AP821" s="201">
        <f t="shared" si="4150"/>
        <v>0</v>
      </c>
      <c r="AQ821" s="201">
        <f t="shared" si="4150"/>
        <v>0</v>
      </c>
      <c r="AR821" s="200">
        <f t="shared" si="4150"/>
        <v>0</v>
      </c>
      <c r="AS821" s="200">
        <f t="shared" si="4150"/>
        <v>0</v>
      </c>
      <c r="AT821" s="173">
        <v>1.0</v>
      </c>
      <c r="AU821" s="200">
        <f t="shared" ref="AU821:AX821" si="4151">countif($D821,"*"&amp;AU$2&amp;"*")</f>
        <v>0</v>
      </c>
      <c r="AV821" s="200">
        <f t="shared" si="4151"/>
        <v>0</v>
      </c>
      <c r="AW821" s="200">
        <f t="shared" si="4151"/>
        <v>0</v>
      </c>
      <c r="AX821" s="200">
        <f t="shared" si="4151"/>
        <v>0</v>
      </c>
      <c r="AY821" s="202">
        <v>0.0</v>
      </c>
      <c r="AZ821" s="200"/>
      <c r="BA821" s="171" t="str">
        <f t="shared" si="18"/>
        <v/>
      </c>
      <c r="BB821" s="171" t="str">
        <f t="shared" si="19"/>
        <v/>
      </c>
      <c r="BC821" s="171" t="str">
        <f t="shared" si="20"/>
        <v/>
      </c>
      <c r="BD821" s="171" t="str">
        <f t="shared" si="21"/>
        <v>Institutional</v>
      </c>
      <c r="BE821" s="171" t="str">
        <f t="shared" si="22"/>
        <v/>
      </c>
      <c r="BF821" s="171" t="str">
        <f t="shared" si="23"/>
        <v>Institutional</v>
      </c>
    </row>
    <row r="822">
      <c r="A822" s="171">
        <f t="array" ref="A822">XLOOKUP(C822,ICSE!A:A,ICSE!C:C,,2,1)</f>
        <v>2016</v>
      </c>
      <c r="B822" s="171" t="s">
        <v>5675</v>
      </c>
      <c r="C822" s="160">
        <v>1586.0</v>
      </c>
      <c r="D822" s="161" t="s">
        <v>678</v>
      </c>
      <c r="E822" s="197" t="str">
        <f t="array" ref="E822">XLOOKUP(C822,ICSE!A:A,ICSE!Z:Z,,0,1)</f>
        <v>Not available (1) - Broken link.</v>
      </c>
      <c r="F822" s="198" t="s">
        <v>21</v>
      </c>
      <c r="G822" s="163" t="str">
        <f t="array" ref="G822">IF(B822="ICSE",IF(COUNTIFS(B:B,B822,C:C,C822)=XLOOKUP(C822,ICSE!A:A,ICSE!AA:AA,"ERROR",0,1),"OK","ERROR"),IF(B822="FSE",IF(COUNTIFS(B:B,B822,C:C,C822)=XLOOKUP(C822,FSE!A:A,FSE!AA:AA,"ERROR",0,1),"OK","ERROR")))</f>
        <v>OK</v>
      </c>
      <c r="H822" s="199">
        <f t="shared" ref="H822:O822" si="4152">countif($D822,"*"&amp;H$2&amp;"*")</f>
        <v>0</v>
      </c>
      <c r="I822" s="200">
        <f t="shared" si="4152"/>
        <v>0</v>
      </c>
      <c r="J822" s="200">
        <f t="shared" si="4152"/>
        <v>0</v>
      </c>
      <c r="K822" s="200">
        <f t="shared" si="4152"/>
        <v>0</v>
      </c>
      <c r="L822" s="200">
        <f t="shared" si="4152"/>
        <v>0</v>
      </c>
      <c r="M822" s="200">
        <f t="shared" si="4152"/>
        <v>0</v>
      </c>
      <c r="N822" s="200">
        <f t="shared" si="4152"/>
        <v>0</v>
      </c>
      <c r="O822" s="200">
        <f t="shared" si="4152"/>
        <v>0</v>
      </c>
      <c r="P822" s="200">
        <f t="shared" si="9"/>
        <v>0</v>
      </c>
      <c r="Q822" s="200">
        <f t="shared" ref="Q822:AC822" si="4153">countif($D822,"*"&amp;Q$2&amp;"*")</f>
        <v>0</v>
      </c>
      <c r="R822" s="200">
        <f t="shared" si="4153"/>
        <v>0</v>
      </c>
      <c r="S822" s="200">
        <f t="shared" si="4153"/>
        <v>0</v>
      </c>
      <c r="T822" s="200">
        <f t="shared" si="4153"/>
        <v>0</v>
      </c>
      <c r="U822" s="200">
        <f t="shared" si="4153"/>
        <v>0</v>
      </c>
      <c r="V822" s="200">
        <f t="shared" si="4153"/>
        <v>0</v>
      </c>
      <c r="W822" s="200">
        <f t="shared" si="4153"/>
        <v>0</v>
      </c>
      <c r="X822" s="200">
        <f t="shared" si="4153"/>
        <v>0</v>
      </c>
      <c r="Y822" s="200">
        <f t="shared" si="4153"/>
        <v>0</v>
      </c>
      <c r="Z822" s="200">
        <f t="shared" si="4153"/>
        <v>0</v>
      </c>
      <c r="AA822" s="200">
        <f t="shared" si="4153"/>
        <v>0</v>
      </c>
      <c r="AB822" s="200">
        <f t="shared" si="4153"/>
        <v>0</v>
      </c>
      <c r="AC822" s="200">
        <f t="shared" si="4153"/>
        <v>0</v>
      </c>
      <c r="AD822" s="200">
        <f t="shared" si="11"/>
        <v>1</v>
      </c>
      <c r="AE822" s="200">
        <f t="shared" ref="AE822:AG822" si="4154">countif($D822,"*"&amp;AE$2&amp;"*")</f>
        <v>0</v>
      </c>
      <c r="AF822" s="200">
        <f t="shared" si="4154"/>
        <v>0</v>
      </c>
      <c r="AG822" s="200">
        <f t="shared" si="4154"/>
        <v>0</v>
      </c>
      <c r="AH822" s="171">
        <f t="shared" si="13"/>
        <v>0</v>
      </c>
      <c r="AI822" s="200">
        <f t="shared" si="14"/>
        <v>0</v>
      </c>
      <c r="AJ822" s="200">
        <f t="shared" ref="AJ822:AJ824" si="4160">SUM(AK822:AQ822)</f>
        <v>0</v>
      </c>
      <c r="AK822" s="201">
        <f t="shared" ref="AK822:AS822" si="4155">countif($D822,"*"&amp;AK$2&amp;"*")</f>
        <v>0</v>
      </c>
      <c r="AL822" s="201">
        <f t="shared" si="4155"/>
        <v>0</v>
      </c>
      <c r="AM822" s="201">
        <f t="shared" si="4155"/>
        <v>0</v>
      </c>
      <c r="AN822" s="201">
        <f t="shared" si="4155"/>
        <v>0</v>
      </c>
      <c r="AO822" s="201">
        <f t="shared" si="4155"/>
        <v>0</v>
      </c>
      <c r="AP822" s="201">
        <f t="shared" si="4155"/>
        <v>0</v>
      </c>
      <c r="AQ822" s="201">
        <f t="shared" si="4155"/>
        <v>0</v>
      </c>
      <c r="AR822" s="201">
        <f t="shared" si="4155"/>
        <v>0</v>
      </c>
      <c r="AS822" s="200">
        <f t="shared" si="4155"/>
        <v>0</v>
      </c>
      <c r="AT822" s="205">
        <v>0.0</v>
      </c>
      <c r="AU822" s="200">
        <f t="shared" ref="AU822:AX822" si="4156">countif($D822,"*"&amp;AU$2&amp;"*")</f>
        <v>1</v>
      </c>
      <c r="AV822" s="200">
        <f t="shared" si="4156"/>
        <v>0</v>
      </c>
      <c r="AW822" s="200">
        <f t="shared" si="4156"/>
        <v>0</v>
      </c>
      <c r="AX822" s="200">
        <f t="shared" si="4156"/>
        <v>0</v>
      </c>
      <c r="AY822" s="202">
        <v>0.0</v>
      </c>
      <c r="AZ822" s="200"/>
      <c r="BA822" s="171" t="str">
        <f t="shared" si="18"/>
        <v/>
      </c>
      <c r="BB822" s="171" t="str">
        <f t="shared" si="19"/>
        <v/>
      </c>
      <c r="BC822" s="171" t="str">
        <f t="shared" si="20"/>
        <v/>
      </c>
      <c r="BD822" s="171" t="str">
        <f t="shared" si="21"/>
        <v>Institutional</v>
      </c>
      <c r="BE822" s="171" t="str">
        <f t="shared" si="22"/>
        <v/>
      </c>
      <c r="BF822" s="171" t="str">
        <f t="shared" si="23"/>
        <v>Institutional</v>
      </c>
    </row>
    <row r="823">
      <c r="A823" s="171">
        <f t="array" ref="A823">XLOOKUP(C823,ICSE!A:A,ICSE!C:C,,2,1)</f>
        <v>2016</v>
      </c>
      <c r="B823" s="171" t="s">
        <v>5675</v>
      </c>
      <c r="C823" s="160">
        <v>1587.0</v>
      </c>
      <c r="D823" s="161" t="s">
        <v>6017</v>
      </c>
      <c r="E823" s="197" t="str">
        <f t="array" ref="E823">XLOOKUP(C823,ICSE!A:A,ICSE!Z:Z,,0,1)</f>
        <v>Not available (2) - Broken link.</v>
      </c>
      <c r="F823" s="198" t="s">
        <v>21</v>
      </c>
      <c r="G823" s="163" t="str">
        <f t="array" ref="G823">IF(B823="ICSE",IF(COUNTIFS(B:B,B823,C:C,C823)=XLOOKUP(C823,ICSE!A:A,ICSE!AA:AA,"ERROR",0,1),"OK","ERROR"),IF(B823="FSE",IF(COUNTIFS(B:B,B823,C:C,C823)=XLOOKUP(C823,FSE!A:A,FSE!AA:AA,"ERROR",0,1),"OK","ERROR")))</f>
        <v>OK</v>
      </c>
      <c r="H823" s="199">
        <f t="shared" ref="H823:O823" si="4157">countif($D823,"*"&amp;H$2&amp;"*")</f>
        <v>0</v>
      </c>
      <c r="I823" s="200">
        <f t="shared" si="4157"/>
        <v>0</v>
      </c>
      <c r="J823" s="200">
        <f t="shared" si="4157"/>
        <v>0</v>
      </c>
      <c r="K823" s="200">
        <f t="shared" si="4157"/>
        <v>0</v>
      </c>
      <c r="L823" s="200">
        <f t="shared" si="4157"/>
        <v>0</v>
      </c>
      <c r="M823" s="200">
        <f t="shared" si="4157"/>
        <v>0</v>
      </c>
      <c r="N823" s="200">
        <f t="shared" si="4157"/>
        <v>0</v>
      </c>
      <c r="O823" s="200">
        <f t="shared" si="4157"/>
        <v>0</v>
      </c>
      <c r="P823" s="200">
        <f t="shared" si="9"/>
        <v>0</v>
      </c>
      <c r="Q823" s="200">
        <f t="shared" ref="Q823:AC823" si="4158">countif($D823,"*"&amp;Q$2&amp;"*")</f>
        <v>0</v>
      </c>
      <c r="R823" s="200">
        <f t="shared" si="4158"/>
        <v>0</v>
      </c>
      <c r="S823" s="200">
        <f t="shared" si="4158"/>
        <v>0</v>
      </c>
      <c r="T823" s="200">
        <f t="shared" si="4158"/>
        <v>0</v>
      </c>
      <c r="U823" s="200">
        <f t="shared" si="4158"/>
        <v>0</v>
      </c>
      <c r="V823" s="200">
        <f t="shared" si="4158"/>
        <v>0</v>
      </c>
      <c r="W823" s="200">
        <f t="shared" si="4158"/>
        <v>0</v>
      </c>
      <c r="X823" s="200">
        <f t="shared" si="4158"/>
        <v>0</v>
      </c>
      <c r="Y823" s="200">
        <f t="shared" si="4158"/>
        <v>0</v>
      </c>
      <c r="Z823" s="200">
        <f t="shared" si="4158"/>
        <v>0</v>
      </c>
      <c r="AA823" s="200">
        <f t="shared" si="4158"/>
        <v>0</v>
      </c>
      <c r="AB823" s="200">
        <f t="shared" si="4158"/>
        <v>0</v>
      </c>
      <c r="AC823" s="200">
        <f t="shared" si="4158"/>
        <v>0</v>
      </c>
      <c r="AD823" s="200">
        <f t="shared" si="11"/>
        <v>1</v>
      </c>
      <c r="AE823" s="200">
        <f t="shared" ref="AE823:AG823" si="4159">countif($D823,"*"&amp;AE$2&amp;"*")</f>
        <v>0</v>
      </c>
      <c r="AF823" s="200">
        <f t="shared" si="4159"/>
        <v>0</v>
      </c>
      <c r="AG823" s="200">
        <f t="shared" si="4159"/>
        <v>0</v>
      </c>
      <c r="AH823" s="171">
        <f t="shared" si="13"/>
        <v>0</v>
      </c>
      <c r="AI823" s="200">
        <f t="shared" si="14"/>
        <v>0</v>
      </c>
      <c r="AJ823" s="200">
        <f t="shared" si="4160"/>
        <v>0</v>
      </c>
      <c r="AK823" s="201">
        <f t="shared" ref="AK823:AS823" si="4161">countif($D823,"*"&amp;AK$2&amp;"*")</f>
        <v>0</v>
      </c>
      <c r="AL823" s="201">
        <f t="shared" si="4161"/>
        <v>0</v>
      </c>
      <c r="AM823" s="201">
        <f t="shared" si="4161"/>
        <v>0</v>
      </c>
      <c r="AN823" s="201">
        <f t="shared" si="4161"/>
        <v>0</v>
      </c>
      <c r="AO823" s="201">
        <f t="shared" si="4161"/>
        <v>0</v>
      </c>
      <c r="AP823" s="201">
        <f t="shared" si="4161"/>
        <v>0</v>
      </c>
      <c r="AQ823" s="201">
        <f t="shared" si="4161"/>
        <v>0</v>
      </c>
      <c r="AR823" s="201">
        <f t="shared" si="4161"/>
        <v>0</v>
      </c>
      <c r="AS823" s="200">
        <f t="shared" si="4161"/>
        <v>0</v>
      </c>
      <c r="AT823" s="205">
        <v>0.0</v>
      </c>
      <c r="AU823" s="200">
        <f t="shared" ref="AU823:AX823" si="4162">countif($D823,"*"&amp;AU$2&amp;"*")</f>
        <v>1</v>
      </c>
      <c r="AV823" s="200">
        <f t="shared" si="4162"/>
        <v>0</v>
      </c>
      <c r="AW823" s="200">
        <f t="shared" si="4162"/>
        <v>0</v>
      </c>
      <c r="AX823" s="200">
        <f t="shared" si="4162"/>
        <v>0</v>
      </c>
      <c r="AY823" s="202">
        <v>0.0</v>
      </c>
      <c r="AZ823" s="200"/>
      <c r="BA823" s="171" t="str">
        <f t="shared" si="18"/>
        <v/>
      </c>
      <c r="BB823" s="171" t="str">
        <f t="shared" si="19"/>
        <v/>
      </c>
      <c r="BC823" s="171" t="str">
        <f t="shared" si="20"/>
        <v/>
      </c>
      <c r="BD823" s="171" t="str">
        <f t="shared" si="21"/>
        <v>Institutional</v>
      </c>
      <c r="BE823" s="171" t="str">
        <f t="shared" si="22"/>
        <v/>
      </c>
      <c r="BF823" s="171" t="str">
        <f t="shared" si="23"/>
        <v>Institutional</v>
      </c>
    </row>
    <row r="824">
      <c r="A824" s="171">
        <f t="array" ref="A824">XLOOKUP(C824,ICSE!A:A,ICSE!C:C,,2,1)</f>
        <v>2016</v>
      </c>
      <c r="B824" s="171" t="s">
        <v>5675</v>
      </c>
      <c r="C824" s="160">
        <v>1587.0</v>
      </c>
      <c r="D824" s="210" t="s">
        <v>6018</v>
      </c>
      <c r="E824" s="197" t="str">
        <f t="array" ref="E824">XLOOKUP(C824,ICSE!A:A,ICSE!Z:Z,,0,1)</f>
        <v>Not available (2) - Broken link.</v>
      </c>
      <c r="F824" s="198" t="s">
        <v>21</v>
      </c>
      <c r="G824" s="163" t="str">
        <f t="array" ref="G824">IF(B824="ICSE",IF(COUNTIFS(B:B,B824,C:C,C824)=XLOOKUP(C824,ICSE!A:A,ICSE!AA:AA,"ERROR",0,1),"OK","ERROR"),IF(B824="FSE",IF(COUNTIFS(B:B,B824,C:C,C824)=XLOOKUP(C824,FSE!A:A,FSE!AA:AA,"ERROR",0,1),"OK","ERROR")))</f>
        <v>OK</v>
      </c>
      <c r="H824" s="199">
        <f t="shared" ref="H824:O824" si="4163">countif($D824,"*"&amp;H$2&amp;"*")</f>
        <v>0</v>
      </c>
      <c r="I824" s="200">
        <f t="shared" si="4163"/>
        <v>0</v>
      </c>
      <c r="J824" s="200">
        <f t="shared" si="4163"/>
        <v>0</v>
      </c>
      <c r="K824" s="200">
        <f t="shared" si="4163"/>
        <v>0</v>
      </c>
      <c r="L824" s="200">
        <f t="shared" si="4163"/>
        <v>0</v>
      </c>
      <c r="M824" s="200">
        <f t="shared" si="4163"/>
        <v>0</v>
      </c>
      <c r="N824" s="200">
        <f t="shared" si="4163"/>
        <v>0</v>
      </c>
      <c r="O824" s="200">
        <f t="shared" si="4163"/>
        <v>0</v>
      </c>
      <c r="P824" s="200">
        <f t="shared" si="9"/>
        <v>0</v>
      </c>
      <c r="Q824" s="200">
        <f t="shared" ref="Q824:AC824" si="4164">countif($D824,"*"&amp;Q$2&amp;"*")</f>
        <v>0</v>
      </c>
      <c r="R824" s="200">
        <f t="shared" si="4164"/>
        <v>0</v>
      </c>
      <c r="S824" s="200">
        <f t="shared" si="4164"/>
        <v>0</v>
      </c>
      <c r="T824" s="200">
        <f t="shared" si="4164"/>
        <v>0</v>
      </c>
      <c r="U824" s="200">
        <f t="shared" si="4164"/>
        <v>0</v>
      </c>
      <c r="V824" s="200">
        <f t="shared" si="4164"/>
        <v>0</v>
      </c>
      <c r="W824" s="200">
        <f t="shared" si="4164"/>
        <v>0</v>
      </c>
      <c r="X824" s="200">
        <f t="shared" si="4164"/>
        <v>0</v>
      </c>
      <c r="Y824" s="200">
        <f t="shared" si="4164"/>
        <v>0</v>
      </c>
      <c r="Z824" s="200">
        <f t="shared" si="4164"/>
        <v>0</v>
      </c>
      <c r="AA824" s="200">
        <f t="shared" si="4164"/>
        <v>0</v>
      </c>
      <c r="AB824" s="200">
        <f t="shared" si="4164"/>
        <v>0</v>
      </c>
      <c r="AC824" s="200">
        <f t="shared" si="4164"/>
        <v>0</v>
      </c>
      <c r="AD824" s="200">
        <f t="shared" si="11"/>
        <v>1</v>
      </c>
      <c r="AE824" s="200">
        <f t="shared" ref="AE824:AG824" si="4165">countif($D824,"*"&amp;AE$2&amp;"*")</f>
        <v>0</v>
      </c>
      <c r="AF824" s="200">
        <f t="shared" si="4165"/>
        <v>0</v>
      </c>
      <c r="AG824" s="200">
        <f t="shared" si="4165"/>
        <v>0</v>
      </c>
      <c r="AH824" s="171">
        <f t="shared" si="13"/>
        <v>0</v>
      </c>
      <c r="AI824" s="200">
        <f t="shared" si="14"/>
        <v>0</v>
      </c>
      <c r="AJ824" s="200">
        <f t="shared" si="4160"/>
        <v>0</v>
      </c>
      <c r="AK824" s="201">
        <f t="shared" ref="AK824:AS824" si="4166">countif($D824,"*"&amp;AK$2&amp;"*")</f>
        <v>0</v>
      </c>
      <c r="AL824" s="201">
        <f t="shared" si="4166"/>
        <v>0</v>
      </c>
      <c r="AM824" s="201">
        <f t="shared" si="4166"/>
        <v>0</v>
      </c>
      <c r="AN824" s="201">
        <f t="shared" si="4166"/>
        <v>0</v>
      </c>
      <c r="AO824" s="201">
        <f t="shared" si="4166"/>
        <v>0</v>
      </c>
      <c r="AP824" s="201">
        <f t="shared" si="4166"/>
        <v>0</v>
      </c>
      <c r="AQ824" s="201">
        <f t="shared" si="4166"/>
        <v>0</v>
      </c>
      <c r="AR824" s="201">
        <f t="shared" si="4166"/>
        <v>0</v>
      </c>
      <c r="AS824" s="200">
        <f t="shared" si="4166"/>
        <v>0</v>
      </c>
      <c r="AT824" s="205">
        <v>0.0</v>
      </c>
      <c r="AU824" s="200">
        <f t="shared" ref="AU824:AX824" si="4167">countif($D824,"*"&amp;AU$2&amp;"*")</f>
        <v>1</v>
      </c>
      <c r="AV824" s="200">
        <f t="shared" si="4167"/>
        <v>0</v>
      </c>
      <c r="AW824" s="200">
        <f t="shared" si="4167"/>
        <v>0</v>
      </c>
      <c r="AX824" s="200">
        <f t="shared" si="4167"/>
        <v>0</v>
      </c>
      <c r="AY824" s="202">
        <v>0.0</v>
      </c>
      <c r="AZ824" s="200"/>
      <c r="BA824" s="171" t="str">
        <f t="shared" si="18"/>
        <v/>
      </c>
      <c r="BB824" s="171" t="str">
        <f t="shared" si="19"/>
        <v/>
      </c>
      <c r="BC824" s="171" t="str">
        <f t="shared" si="20"/>
        <v/>
      </c>
      <c r="BD824" s="171" t="str">
        <f t="shared" si="21"/>
        <v>Institutional</v>
      </c>
      <c r="BE824" s="171" t="str">
        <f t="shared" si="22"/>
        <v/>
      </c>
      <c r="BF824" s="171" t="str">
        <f t="shared" si="23"/>
        <v>Institutional</v>
      </c>
    </row>
    <row r="825">
      <c r="A825" s="171">
        <f t="array" ref="A825">XLOOKUP(C825,ICSE!A:A,ICSE!C:C,,2,1)</f>
        <v>2016</v>
      </c>
      <c r="B825" s="171" t="s">
        <v>5675</v>
      </c>
      <c r="C825" s="160">
        <v>1588.0</v>
      </c>
      <c r="D825" s="161" t="s">
        <v>6019</v>
      </c>
      <c r="E825" s="197" t="str">
        <f t="array" ref="E825">XLOOKUP(C825,ICSE!A:A,ICSE!Z:Z,,0,1)</f>
        <v>Publicly available (1)</v>
      </c>
      <c r="F825" s="198" t="s">
        <v>20</v>
      </c>
      <c r="G825" s="163" t="str">
        <f t="array" ref="G825">IF(B825="ICSE",IF(COUNTIFS(B:B,B825,C:C,C825)=XLOOKUP(C825,ICSE!A:A,ICSE!AA:AA,"ERROR",0,1),"OK","ERROR"),IF(B825="FSE",IF(COUNTIFS(B:B,B825,C:C,C825)=XLOOKUP(C825,FSE!A:A,FSE!AA:AA,"ERROR",0,1),"OK","ERROR")))</f>
        <v>OK</v>
      </c>
      <c r="H825" s="199">
        <f t="shared" ref="H825:O825" si="4168">countif($D825,"*"&amp;H$2&amp;"*")</f>
        <v>0</v>
      </c>
      <c r="I825" s="200">
        <f t="shared" si="4168"/>
        <v>0</v>
      </c>
      <c r="J825" s="200">
        <f t="shared" si="4168"/>
        <v>0</v>
      </c>
      <c r="K825" s="200">
        <f t="shared" si="4168"/>
        <v>0</v>
      </c>
      <c r="L825" s="200">
        <f t="shared" si="4168"/>
        <v>0</v>
      </c>
      <c r="M825" s="200">
        <f t="shared" si="4168"/>
        <v>0</v>
      </c>
      <c r="N825" s="200">
        <f t="shared" si="4168"/>
        <v>0</v>
      </c>
      <c r="O825" s="200">
        <f t="shared" si="4168"/>
        <v>0</v>
      </c>
      <c r="P825" s="200">
        <f t="shared" si="9"/>
        <v>0</v>
      </c>
      <c r="Q825" s="200">
        <f t="shared" ref="Q825:AC825" si="4169">countif($D825,"*"&amp;Q$2&amp;"*")</f>
        <v>0</v>
      </c>
      <c r="R825" s="200">
        <f t="shared" si="4169"/>
        <v>0</v>
      </c>
      <c r="S825" s="200">
        <f t="shared" si="4169"/>
        <v>0</v>
      </c>
      <c r="T825" s="200">
        <f t="shared" si="4169"/>
        <v>0</v>
      </c>
      <c r="U825" s="200">
        <f t="shared" si="4169"/>
        <v>0</v>
      </c>
      <c r="V825" s="200">
        <f t="shared" si="4169"/>
        <v>0</v>
      </c>
      <c r="W825" s="200">
        <f t="shared" si="4169"/>
        <v>1</v>
      </c>
      <c r="X825" s="200">
        <f t="shared" si="4169"/>
        <v>0</v>
      </c>
      <c r="Y825" s="200">
        <f t="shared" si="4169"/>
        <v>0</v>
      </c>
      <c r="Z825" s="200">
        <f t="shared" si="4169"/>
        <v>0</v>
      </c>
      <c r="AA825" s="200">
        <f t="shared" si="4169"/>
        <v>0</v>
      </c>
      <c r="AB825" s="200">
        <f t="shared" si="4169"/>
        <v>0</v>
      </c>
      <c r="AC825" s="200">
        <f t="shared" si="4169"/>
        <v>0</v>
      </c>
      <c r="AD825" s="200">
        <f t="shared" si="11"/>
        <v>0</v>
      </c>
      <c r="AE825" s="200">
        <f t="shared" ref="AE825:AG825" si="4170">countif($D825,"*"&amp;AE$2&amp;"*")</f>
        <v>0</v>
      </c>
      <c r="AF825" s="200">
        <f t="shared" si="4170"/>
        <v>0</v>
      </c>
      <c r="AG825" s="200">
        <f t="shared" si="4170"/>
        <v>0</v>
      </c>
      <c r="AH825" s="171">
        <f t="shared" si="13"/>
        <v>0</v>
      </c>
      <c r="AI825" s="200">
        <f t="shared" si="14"/>
        <v>0</v>
      </c>
      <c r="AJ825" s="200">
        <f t="shared" ref="AJ825:AJ834" si="4176">SUM(AK825:AR825)</f>
        <v>1</v>
      </c>
      <c r="AK825" s="201">
        <f t="shared" ref="AK825:AS825" si="4171">countif($D825,"*"&amp;AK$2&amp;"*")</f>
        <v>0</v>
      </c>
      <c r="AL825" s="201">
        <f t="shared" si="4171"/>
        <v>1</v>
      </c>
      <c r="AM825" s="201">
        <f t="shared" si="4171"/>
        <v>0</v>
      </c>
      <c r="AN825" s="201">
        <f t="shared" si="4171"/>
        <v>0</v>
      </c>
      <c r="AO825" s="201">
        <f t="shared" si="4171"/>
        <v>0</v>
      </c>
      <c r="AP825" s="201">
        <f t="shared" si="4171"/>
        <v>0</v>
      </c>
      <c r="AQ825" s="201">
        <f t="shared" si="4171"/>
        <v>0</v>
      </c>
      <c r="AR825" s="200">
        <f t="shared" si="4171"/>
        <v>0</v>
      </c>
      <c r="AS825" s="200">
        <f t="shared" si="4171"/>
        <v>1</v>
      </c>
      <c r="AT825" s="173">
        <v>0.0</v>
      </c>
      <c r="AU825" s="200">
        <f t="shared" ref="AU825:AX825" si="4172">countif($D825,"*"&amp;AU$2&amp;"*")</f>
        <v>0</v>
      </c>
      <c r="AV825" s="200">
        <f t="shared" si="4172"/>
        <v>0</v>
      </c>
      <c r="AW825" s="200">
        <f t="shared" si="4172"/>
        <v>0</v>
      </c>
      <c r="AX825" s="200">
        <f t="shared" si="4172"/>
        <v>0</v>
      </c>
      <c r="AY825" s="202">
        <v>0.0</v>
      </c>
      <c r="AZ825" s="200"/>
      <c r="BA825" s="171" t="str">
        <f t="shared" si="18"/>
        <v/>
      </c>
      <c r="BB825" s="171" t="str">
        <f t="shared" si="19"/>
        <v/>
      </c>
      <c r="BC825" s="171" t="str">
        <f t="shared" si="20"/>
        <v>General-purpose</v>
      </c>
      <c r="BD825" s="171" t="str">
        <f t="shared" si="21"/>
        <v/>
      </c>
      <c r="BE825" s="171" t="str">
        <f t="shared" si="22"/>
        <v/>
      </c>
      <c r="BF825" s="171" t="str">
        <f t="shared" si="23"/>
        <v>General-purpose</v>
      </c>
    </row>
    <row r="826">
      <c r="A826" s="171">
        <f t="array" ref="A826">XLOOKUP(C826,ICSE!A:A,ICSE!C:C,,2,1)</f>
        <v>2016</v>
      </c>
      <c r="B826" s="171" t="s">
        <v>5675</v>
      </c>
      <c r="C826" s="160">
        <v>1590.0</v>
      </c>
      <c r="D826" s="161" t="s">
        <v>689</v>
      </c>
      <c r="E826" s="197" t="str">
        <f t="array" ref="E826">XLOOKUP(C826,ICSE!A:A,ICSE!Z:Z,,0,1)</f>
        <v>Publicly available (1)</v>
      </c>
      <c r="F826" s="198" t="s">
        <v>20</v>
      </c>
      <c r="G826" s="163" t="str">
        <f t="array" ref="G826">IF(B826="ICSE",IF(COUNTIFS(B:B,B826,C:C,C826)=XLOOKUP(C826,ICSE!A:A,ICSE!AA:AA,"ERROR",0,1),"OK","ERROR"),IF(B826="FSE",IF(COUNTIFS(B:B,B826,C:C,C826)=XLOOKUP(C826,FSE!A:A,FSE!AA:AA,"ERROR",0,1),"OK","ERROR")))</f>
        <v>OK</v>
      </c>
      <c r="H826" s="199">
        <f t="shared" ref="H826:O826" si="4173">countif($D826,"*"&amp;H$2&amp;"*")</f>
        <v>0</v>
      </c>
      <c r="I826" s="200">
        <f t="shared" si="4173"/>
        <v>0</v>
      </c>
      <c r="J826" s="200">
        <f t="shared" si="4173"/>
        <v>0</v>
      </c>
      <c r="K826" s="200">
        <f t="shared" si="4173"/>
        <v>0</v>
      </c>
      <c r="L826" s="200">
        <f t="shared" si="4173"/>
        <v>0</v>
      </c>
      <c r="M826" s="200">
        <f t="shared" si="4173"/>
        <v>0</v>
      </c>
      <c r="N826" s="200">
        <f t="shared" si="4173"/>
        <v>0</v>
      </c>
      <c r="O826" s="200">
        <f t="shared" si="4173"/>
        <v>0</v>
      </c>
      <c r="P826" s="200">
        <f t="shared" si="9"/>
        <v>1</v>
      </c>
      <c r="Q826" s="200">
        <f t="shared" ref="Q826:AC826" si="4174">countif($D826,"*"&amp;Q$2&amp;"*")</f>
        <v>0</v>
      </c>
      <c r="R826" s="200">
        <f t="shared" si="4174"/>
        <v>0</v>
      </c>
      <c r="S826" s="200">
        <f t="shared" si="4174"/>
        <v>0</v>
      </c>
      <c r="T826" s="200">
        <f t="shared" si="4174"/>
        <v>0</v>
      </c>
      <c r="U826" s="200">
        <f t="shared" si="4174"/>
        <v>0</v>
      </c>
      <c r="V826" s="200">
        <f t="shared" si="4174"/>
        <v>0</v>
      </c>
      <c r="W826" s="200">
        <f t="shared" si="4174"/>
        <v>0</v>
      </c>
      <c r="X826" s="200">
        <f t="shared" si="4174"/>
        <v>0</v>
      </c>
      <c r="Y826" s="200">
        <f t="shared" si="4174"/>
        <v>0</v>
      </c>
      <c r="Z826" s="200">
        <f t="shared" si="4174"/>
        <v>0</v>
      </c>
      <c r="AA826" s="200">
        <f t="shared" si="4174"/>
        <v>0</v>
      </c>
      <c r="AB826" s="200">
        <f t="shared" si="4174"/>
        <v>0</v>
      </c>
      <c r="AC826" s="200">
        <f t="shared" si="4174"/>
        <v>0</v>
      </c>
      <c r="AD826" s="200">
        <f t="shared" si="11"/>
        <v>0</v>
      </c>
      <c r="AE826" s="200">
        <f t="shared" ref="AE826:AG826" si="4175">countif($D826,"*"&amp;AE$2&amp;"*")</f>
        <v>0</v>
      </c>
      <c r="AF826" s="200">
        <f t="shared" si="4175"/>
        <v>0</v>
      </c>
      <c r="AG826" s="200">
        <f t="shared" si="4175"/>
        <v>0</v>
      </c>
      <c r="AH826" s="171">
        <f t="shared" si="13"/>
        <v>0</v>
      </c>
      <c r="AI826" s="200">
        <f t="shared" si="14"/>
        <v>0</v>
      </c>
      <c r="AJ826" s="200">
        <f t="shared" si="4176"/>
        <v>0</v>
      </c>
      <c r="AK826" s="201">
        <f t="shared" ref="AK826:AS826" si="4177">countif($D826,"*"&amp;AK$2&amp;"*")</f>
        <v>0</v>
      </c>
      <c r="AL826" s="201">
        <f t="shared" si="4177"/>
        <v>0</v>
      </c>
      <c r="AM826" s="201">
        <f t="shared" si="4177"/>
        <v>0</v>
      </c>
      <c r="AN826" s="201">
        <f t="shared" si="4177"/>
        <v>0</v>
      </c>
      <c r="AO826" s="201">
        <f t="shared" si="4177"/>
        <v>0</v>
      </c>
      <c r="AP826" s="201">
        <f t="shared" si="4177"/>
        <v>0</v>
      </c>
      <c r="AQ826" s="201">
        <f t="shared" si="4177"/>
        <v>0</v>
      </c>
      <c r="AR826" s="200">
        <f t="shared" si="4177"/>
        <v>0</v>
      </c>
      <c r="AS826" s="200">
        <f t="shared" si="4177"/>
        <v>0</v>
      </c>
      <c r="AT826" s="173">
        <v>0.0</v>
      </c>
      <c r="AU826" s="200">
        <f t="shared" ref="AU826:AX826" si="4178">countif($D826,"*"&amp;AU$2&amp;"*")</f>
        <v>0</v>
      </c>
      <c r="AV826" s="200">
        <f t="shared" si="4178"/>
        <v>1</v>
      </c>
      <c r="AW826" s="200">
        <f t="shared" si="4178"/>
        <v>0</v>
      </c>
      <c r="AX826" s="200">
        <f t="shared" si="4178"/>
        <v>0</v>
      </c>
      <c r="AY826" s="202">
        <v>0.0</v>
      </c>
      <c r="AZ826" s="200"/>
      <c r="BA826" s="171" t="str">
        <f t="shared" si="18"/>
        <v/>
      </c>
      <c r="BB826" s="171" t="str">
        <f t="shared" si="19"/>
        <v>Code</v>
      </c>
      <c r="BC826" s="171" t="str">
        <f t="shared" si="20"/>
        <v/>
      </c>
      <c r="BD826" s="171" t="str">
        <f t="shared" si="21"/>
        <v/>
      </c>
      <c r="BE826" s="171" t="str">
        <f t="shared" si="22"/>
        <v/>
      </c>
      <c r="BF826" s="171" t="str">
        <f t="shared" si="23"/>
        <v>Code</v>
      </c>
    </row>
    <row r="827">
      <c r="A827" s="171">
        <f t="array" ref="A827">XLOOKUP(C827,ICSE!A:A,ICSE!C:C,,2,1)</f>
        <v>2016</v>
      </c>
      <c r="B827" s="171" t="s">
        <v>5675</v>
      </c>
      <c r="C827" s="160">
        <v>1593.0</v>
      </c>
      <c r="D827" s="161" t="s">
        <v>6020</v>
      </c>
      <c r="E827" s="197" t="str">
        <f t="array" ref="E827">XLOOKUP(C827,ICSE!A:A,ICSE!Z:Z,,0,1)</f>
        <v>Not available (1) - Broken link.
Publicly available (1)</v>
      </c>
      <c r="F827" s="198" t="s">
        <v>20</v>
      </c>
      <c r="G827" s="163" t="str">
        <f t="array" ref="G827">IF(B827="ICSE",IF(COUNTIFS(B:B,B827,C:C,C827)=XLOOKUP(C827,ICSE!A:A,ICSE!AA:AA,"ERROR",0,1),"OK","ERROR"),IF(B827="FSE",IF(COUNTIFS(B:B,B827,C:C,C827)=XLOOKUP(C827,FSE!A:A,FSE!AA:AA,"ERROR",0,1),"OK","ERROR")))</f>
        <v>OK</v>
      </c>
      <c r="H827" s="199">
        <f t="shared" ref="H827:O827" si="4179">countif($D827,"*"&amp;H$2&amp;"*")</f>
        <v>0</v>
      </c>
      <c r="I827" s="200">
        <f t="shared" si="4179"/>
        <v>0</v>
      </c>
      <c r="J827" s="200">
        <f t="shared" si="4179"/>
        <v>0</v>
      </c>
      <c r="K827" s="200">
        <f t="shared" si="4179"/>
        <v>0</v>
      </c>
      <c r="L827" s="200">
        <f t="shared" si="4179"/>
        <v>0</v>
      </c>
      <c r="M827" s="200">
        <f t="shared" si="4179"/>
        <v>0</v>
      </c>
      <c r="N827" s="200">
        <f t="shared" si="4179"/>
        <v>0</v>
      </c>
      <c r="O827" s="200">
        <f t="shared" si="4179"/>
        <v>0</v>
      </c>
      <c r="P827" s="200">
        <f t="shared" si="9"/>
        <v>0</v>
      </c>
      <c r="Q827" s="200">
        <f t="shared" ref="Q827:AC827" si="4180">countif($D827,"*"&amp;Q$2&amp;"*")</f>
        <v>0</v>
      </c>
      <c r="R827" s="200">
        <f t="shared" si="4180"/>
        <v>0</v>
      </c>
      <c r="S827" s="200">
        <f t="shared" si="4180"/>
        <v>0</v>
      </c>
      <c r="T827" s="200">
        <f t="shared" si="4180"/>
        <v>0</v>
      </c>
      <c r="U827" s="200">
        <f t="shared" si="4180"/>
        <v>0</v>
      </c>
      <c r="V827" s="200">
        <f t="shared" si="4180"/>
        <v>0</v>
      </c>
      <c r="W827" s="200">
        <f t="shared" si="4180"/>
        <v>0</v>
      </c>
      <c r="X827" s="200">
        <f t="shared" si="4180"/>
        <v>0</v>
      </c>
      <c r="Y827" s="200">
        <f t="shared" si="4180"/>
        <v>0</v>
      </c>
      <c r="Z827" s="200">
        <f t="shared" si="4180"/>
        <v>0</v>
      </c>
      <c r="AA827" s="200">
        <f t="shared" si="4180"/>
        <v>0</v>
      </c>
      <c r="AB827" s="200">
        <f t="shared" si="4180"/>
        <v>0</v>
      </c>
      <c r="AC827" s="200">
        <f t="shared" si="4180"/>
        <v>0</v>
      </c>
      <c r="AD827" s="200">
        <f t="shared" si="11"/>
        <v>1</v>
      </c>
      <c r="AE827" s="200">
        <f t="shared" ref="AE827:AG827" si="4181">countif($D827,"*"&amp;AE$2&amp;"*")</f>
        <v>0</v>
      </c>
      <c r="AF827" s="200">
        <f t="shared" si="4181"/>
        <v>0</v>
      </c>
      <c r="AG827" s="200">
        <f t="shared" si="4181"/>
        <v>0</v>
      </c>
      <c r="AH827" s="171">
        <f t="shared" si="13"/>
        <v>0</v>
      </c>
      <c r="AI827" s="200">
        <f t="shared" si="14"/>
        <v>0</v>
      </c>
      <c r="AJ827" s="200">
        <f t="shared" si="4176"/>
        <v>0</v>
      </c>
      <c r="AK827" s="201">
        <f t="shared" ref="AK827:AS827" si="4182">countif($D827,"*"&amp;AK$2&amp;"*")</f>
        <v>0</v>
      </c>
      <c r="AL827" s="201">
        <f t="shared" si="4182"/>
        <v>0</v>
      </c>
      <c r="AM827" s="201">
        <f t="shared" si="4182"/>
        <v>0</v>
      </c>
      <c r="AN827" s="201">
        <f t="shared" si="4182"/>
        <v>0</v>
      </c>
      <c r="AO827" s="201">
        <f t="shared" si="4182"/>
        <v>0</v>
      </c>
      <c r="AP827" s="201">
        <f t="shared" si="4182"/>
        <v>0</v>
      </c>
      <c r="AQ827" s="201">
        <f t="shared" si="4182"/>
        <v>0</v>
      </c>
      <c r="AR827" s="200">
        <f t="shared" si="4182"/>
        <v>0</v>
      </c>
      <c r="AS827" s="200">
        <f t="shared" si="4182"/>
        <v>1</v>
      </c>
      <c r="AT827" s="173">
        <v>1.0</v>
      </c>
      <c r="AU827" s="200">
        <f t="shared" ref="AU827:AX827" si="4183">countif($D827,"*"&amp;AU$2&amp;"*")</f>
        <v>0</v>
      </c>
      <c r="AV827" s="200">
        <f t="shared" si="4183"/>
        <v>0</v>
      </c>
      <c r="AW827" s="200">
        <f t="shared" si="4183"/>
        <v>0</v>
      </c>
      <c r="AX827" s="200">
        <f t="shared" si="4183"/>
        <v>0</v>
      </c>
      <c r="AY827" s="202">
        <v>0.0</v>
      </c>
      <c r="AZ827" s="200"/>
      <c r="BA827" s="171" t="str">
        <f t="shared" si="18"/>
        <v/>
      </c>
      <c r="BB827" s="171" t="str">
        <f t="shared" si="19"/>
        <v/>
      </c>
      <c r="BC827" s="171" t="str">
        <f t="shared" si="20"/>
        <v/>
      </c>
      <c r="BD827" s="171" t="str">
        <f t="shared" si="21"/>
        <v>Institutional</v>
      </c>
      <c r="BE827" s="171" t="str">
        <f t="shared" si="22"/>
        <v/>
      </c>
      <c r="BF827" s="171" t="str">
        <f t="shared" si="23"/>
        <v>Institutional</v>
      </c>
    </row>
    <row r="828">
      <c r="A828" s="171">
        <f t="array" ref="A828">XLOOKUP(C828,ICSE!A:A,ICSE!C:C,,2,1)</f>
        <v>2016</v>
      </c>
      <c r="B828" s="171" t="s">
        <v>5675</v>
      </c>
      <c r="C828" s="160">
        <v>1593.0</v>
      </c>
      <c r="D828" s="161" t="s">
        <v>6021</v>
      </c>
      <c r="E828" s="197" t="str">
        <f t="array" ref="E828">XLOOKUP(C828,ICSE!A:A,ICSE!Z:Z,,0,1)</f>
        <v>Not available (1) - Broken link.
Publicly available (1)</v>
      </c>
      <c r="F828" s="198" t="s">
        <v>21</v>
      </c>
      <c r="G828" s="163" t="str">
        <f t="array" ref="G828">IF(B828="ICSE",IF(COUNTIFS(B:B,B828,C:C,C828)=XLOOKUP(C828,ICSE!A:A,ICSE!AA:AA,"ERROR",0,1),"OK","ERROR"),IF(B828="FSE",IF(COUNTIFS(B:B,B828,C:C,C828)=XLOOKUP(C828,FSE!A:A,FSE!AA:AA,"ERROR",0,1),"OK","ERROR")))</f>
        <v>OK</v>
      </c>
      <c r="H828" s="199">
        <f t="shared" ref="H828:O828" si="4184">countif($D828,"*"&amp;H$2&amp;"*")</f>
        <v>0</v>
      </c>
      <c r="I828" s="200">
        <f t="shared" si="4184"/>
        <v>0</v>
      </c>
      <c r="J828" s="200">
        <f t="shared" si="4184"/>
        <v>0</v>
      </c>
      <c r="K828" s="200">
        <f t="shared" si="4184"/>
        <v>0</v>
      </c>
      <c r="L828" s="200">
        <f t="shared" si="4184"/>
        <v>0</v>
      </c>
      <c r="M828" s="200">
        <f t="shared" si="4184"/>
        <v>0</v>
      </c>
      <c r="N828" s="200">
        <f t="shared" si="4184"/>
        <v>0</v>
      </c>
      <c r="O828" s="200">
        <f t="shared" si="4184"/>
        <v>0</v>
      </c>
      <c r="P828" s="200">
        <f t="shared" si="9"/>
        <v>0</v>
      </c>
      <c r="Q828" s="200">
        <f t="shared" ref="Q828:AC828" si="4185">countif($D828,"*"&amp;Q$2&amp;"*")</f>
        <v>0</v>
      </c>
      <c r="R828" s="200">
        <f t="shared" si="4185"/>
        <v>0</v>
      </c>
      <c r="S828" s="200">
        <f t="shared" si="4185"/>
        <v>0</v>
      </c>
      <c r="T828" s="200">
        <f t="shared" si="4185"/>
        <v>0</v>
      </c>
      <c r="U828" s="200">
        <f t="shared" si="4185"/>
        <v>0</v>
      </c>
      <c r="V828" s="200">
        <f t="shared" si="4185"/>
        <v>0</v>
      </c>
      <c r="W828" s="200">
        <f t="shared" si="4185"/>
        <v>0</v>
      </c>
      <c r="X828" s="200">
        <f t="shared" si="4185"/>
        <v>0</v>
      </c>
      <c r="Y828" s="200">
        <f t="shared" si="4185"/>
        <v>0</v>
      </c>
      <c r="Z828" s="200">
        <f t="shared" si="4185"/>
        <v>0</v>
      </c>
      <c r="AA828" s="200">
        <f t="shared" si="4185"/>
        <v>0</v>
      </c>
      <c r="AB828" s="200">
        <f t="shared" si="4185"/>
        <v>0</v>
      </c>
      <c r="AC828" s="200">
        <f t="shared" si="4185"/>
        <v>0</v>
      </c>
      <c r="AD828" s="200">
        <f t="shared" si="11"/>
        <v>1</v>
      </c>
      <c r="AE828" s="200">
        <f t="shared" ref="AE828:AG828" si="4186">countif($D828,"*"&amp;AE$2&amp;"*")</f>
        <v>0</v>
      </c>
      <c r="AF828" s="200">
        <f t="shared" si="4186"/>
        <v>0</v>
      </c>
      <c r="AG828" s="200">
        <f t="shared" si="4186"/>
        <v>0</v>
      </c>
      <c r="AH828" s="171">
        <f t="shared" si="13"/>
        <v>0</v>
      </c>
      <c r="AI828" s="200">
        <f t="shared" si="14"/>
        <v>0</v>
      </c>
      <c r="AJ828" s="200">
        <f t="shared" si="4176"/>
        <v>0</v>
      </c>
      <c r="AK828" s="201">
        <f t="shared" ref="AK828:AS828" si="4187">countif($D828,"*"&amp;AK$2&amp;"*")</f>
        <v>0</v>
      </c>
      <c r="AL828" s="201">
        <f t="shared" si="4187"/>
        <v>0</v>
      </c>
      <c r="AM828" s="201">
        <f t="shared" si="4187"/>
        <v>0</v>
      </c>
      <c r="AN828" s="201">
        <f t="shared" si="4187"/>
        <v>0</v>
      </c>
      <c r="AO828" s="201">
        <f t="shared" si="4187"/>
        <v>0</v>
      </c>
      <c r="AP828" s="201">
        <f t="shared" si="4187"/>
        <v>0</v>
      </c>
      <c r="AQ828" s="201">
        <f t="shared" si="4187"/>
        <v>0</v>
      </c>
      <c r="AR828" s="200">
        <f t="shared" si="4187"/>
        <v>0</v>
      </c>
      <c r="AS828" s="200">
        <f t="shared" si="4187"/>
        <v>0</v>
      </c>
      <c r="AT828" s="173">
        <v>1.0</v>
      </c>
      <c r="AU828" s="200">
        <f t="shared" ref="AU828:AX828" si="4188">countif($D828,"*"&amp;AU$2&amp;"*")</f>
        <v>0</v>
      </c>
      <c r="AV828" s="200">
        <f t="shared" si="4188"/>
        <v>0</v>
      </c>
      <c r="AW828" s="200">
        <f t="shared" si="4188"/>
        <v>0</v>
      </c>
      <c r="AX828" s="200">
        <f t="shared" si="4188"/>
        <v>0</v>
      </c>
      <c r="AY828" s="202">
        <v>0.0</v>
      </c>
      <c r="AZ828" s="200"/>
      <c r="BA828" s="171" t="str">
        <f t="shared" si="18"/>
        <v/>
      </c>
      <c r="BB828" s="171" t="str">
        <f t="shared" si="19"/>
        <v/>
      </c>
      <c r="BC828" s="171" t="str">
        <f t="shared" si="20"/>
        <v/>
      </c>
      <c r="BD828" s="171" t="str">
        <f t="shared" si="21"/>
        <v>Institutional</v>
      </c>
      <c r="BE828" s="171" t="str">
        <f t="shared" si="22"/>
        <v/>
      </c>
      <c r="BF828" s="171" t="str">
        <f t="shared" si="23"/>
        <v>Institutional</v>
      </c>
    </row>
    <row r="829">
      <c r="A829" s="171">
        <f t="array" ref="A829">XLOOKUP(C829,ICSE!A:A,ICSE!C:C,,2,1)</f>
        <v>2016</v>
      </c>
      <c r="B829" s="171" t="s">
        <v>5675</v>
      </c>
      <c r="C829" s="160">
        <v>1595.0</v>
      </c>
      <c r="D829" s="161" t="s">
        <v>701</v>
      </c>
      <c r="E829" s="197" t="str">
        <f t="array" ref="E829">XLOOKUP(C829,ICSE!A:A,ICSE!Z:Z,,0,1)</f>
        <v>Not available (1) - Broken link.</v>
      </c>
      <c r="F829" s="198" t="s">
        <v>21</v>
      </c>
      <c r="G829" s="163" t="str">
        <f t="array" ref="G829">IF(B829="ICSE",IF(COUNTIFS(B:B,B829,C:C,C829)=XLOOKUP(C829,ICSE!A:A,ICSE!AA:AA,"ERROR",0,1),"OK","ERROR"),IF(B829="FSE",IF(COUNTIFS(B:B,B829,C:C,C829)=XLOOKUP(C829,FSE!A:A,FSE!AA:AA,"ERROR",0,1),"OK","ERROR")))</f>
        <v>OK</v>
      </c>
      <c r="H829" s="199">
        <f t="shared" ref="H829:O829" si="4189">countif($D829,"*"&amp;H$2&amp;"*")</f>
        <v>0</v>
      </c>
      <c r="I829" s="200">
        <f t="shared" si="4189"/>
        <v>0</v>
      </c>
      <c r="J829" s="200">
        <f t="shared" si="4189"/>
        <v>0</v>
      </c>
      <c r="K829" s="200">
        <f t="shared" si="4189"/>
        <v>0</v>
      </c>
      <c r="L829" s="200">
        <f t="shared" si="4189"/>
        <v>0</v>
      </c>
      <c r="M829" s="200">
        <f t="shared" si="4189"/>
        <v>0</v>
      </c>
      <c r="N829" s="200">
        <f t="shared" si="4189"/>
        <v>0</v>
      </c>
      <c r="O829" s="200">
        <f t="shared" si="4189"/>
        <v>0</v>
      </c>
      <c r="P829" s="200">
        <f t="shared" si="9"/>
        <v>1</v>
      </c>
      <c r="Q829" s="200">
        <f t="shared" ref="Q829:AC829" si="4190">countif($D829,"*"&amp;Q$2&amp;"*")</f>
        <v>0</v>
      </c>
      <c r="R829" s="200">
        <f t="shared" si="4190"/>
        <v>0</v>
      </c>
      <c r="S829" s="200">
        <f t="shared" si="4190"/>
        <v>0</v>
      </c>
      <c r="T829" s="200">
        <f t="shared" si="4190"/>
        <v>0</v>
      </c>
      <c r="U829" s="200">
        <f t="shared" si="4190"/>
        <v>0</v>
      </c>
      <c r="V829" s="200">
        <f t="shared" si="4190"/>
        <v>0</v>
      </c>
      <c r="W829" s="200">
        <f t="shared" si="4190"/>
        <v>0</v>
      </c>
      <c r="X829" s="200">
        <f t="shared" si="4190"/>
        <v>0</v>
      </c>
      <c r="Y829" s="200">
        <f t="shared" si="4190"/>
        <v>0</v>
      </c>
      <c r="Z829" s="200">
        <f t="shared" si="4190"/>
        <v>0</v>
      </c>
      <c r="AA829" s="200">
        <f t="shared" si="4190"/>
        <v>0</v>
      </c>
      <c r="AB829" s="200">
        <f t="shared" si="4190"/>
        <v>0</v>
      </c>
      <c r="AC829" s="200">
        <f t="shared" si="4190"/>
        <v>0</v>
      </c>
      <c r="AD829" s="200">
        <f t="shared" si="11"/>
        <v>0</v>
      </c>
      <c r="AE829" s="200">
        <f t="shared" ref="AE829:AG829" si="4191">countif($D829,"*"&amp;AE$2&amp;"*")</f>
        <v>0</v>
      </c>
      <c r="AF829" s="200">
        <f t="shared" si="4191"/>
        <v>0</v>
      </c>
      <c r="AG829" s="200">
        <f t="shared" si="4191"/>
        <v>0</v>
      </c>
      <c r="AH829" s="171">
        <f t="shared" si="13"/>
        <v>0</v>
      </c>
      <c r="AI829" s="200">
        <f t="shared" si="14"/>
        <v>0</v>
      </c>
      <c r="AJ829" s="200">
        <f t="shared" si="4176"/>
        <v>0</v>
      </c>
      <c r="AK829" s="201">
        <f t="shared" ref="AK829:AS829" si="4192">countif($D829,"*"&amp;AK$2&amp;"*")</f>
        <v>0</v>
      </c>
      <c r="AL829" s="201">
        <f t="shared" si="4192"/>
        <v>0</v>
      </c>
      <c r="AM829" s="201">
        <f t="shared" si="4192"/>
        <v>0</v>
      </c>
      <c r="AN829" s="201">
        <f t="shared" si="4192"/>
        <v>0</v>
      </c>
      <c r="AO829" s="201">
        <f t="shared" si="4192"/>
        <v>0</v>
      </c>
      <c r="AP829" s="201">
        <f t="shared" si="4192"/>
        <v>0</v>
      </c>
      <c r="AQ829" s="201">
        <f t="shared" si="4192"/>
        <v>0</v>
      </c>
      <c r="AR829" s="200">
        <f t="shared" si="4192"/>
        <v>0</v>
      </c>
      <c r="AS829" s="200">
        <f t="shared" si="4192"/>
        <v>0</v>
      </c>
      <c r="AT829" s="173">
        <v>0.0</v>
      </c>
      <c r="AU829" s="200">
        <f t="shared" ref="AU829:AX829" si="4193">countif($D829,"*"&amp;AU$2&amp;"*")</f>
        <v>0</v>
      </c>
      <c r="AV829" s="200">
        <f t="shared" si="4193"/>
        <v>1</v>
      </c>
      <c r="AW829" s="200">
        <f t="shared" si="4193"/>
        <v>0</v>
      </c>
      <c r="AX829" s="200">
        <f t="shared" si="4193"/>
        <v>0</v>
      </c>
      <c r="AY829" s="202">
        <v>0.0</v>
      </c>
      <c r="AZ829" s="200"/>
      <c r="BA829" s="171" t="str">
        <f t="shared" si="18"/>
        <v/>
      </c>
      <c r="BB829" s="171" t="str">
        <f t="shared" si="19"/>
        <v>Code</v>
      </c>
      <c r="BC829" s="171" t="str">
        <f t="shared" si="20"/>
        <v/>
      </c>
      <c r="BD829" s="171" t="str">
        <f t="shared" si="21"/>
        <v/>
      </c>
      <c r="BE829" s="171" t="str">
        <f t="shared" si="22"/>
        <v/>
      </c>
      <c r="BF829" s="171" t="str">
        <f t="shared" si="23"/>
        <v>Code</v>
      </c>
    </row>
    <row r="830">
      <c r="A830" s="171">
        <f t="array" ref="A830">XLOOKUP(C830,ICSE!A:A,ICSE!C:C,,2,1)</f>
        <v>2016</v>
      </c>
      <c r="B830" s="171" t="s">
        <v>5675</v>
      </c>
      <c r="C830" s="160">
        <v>1597.0</v>
      </c>
      <c r="D830" s="161" t="s">
        <v>705</v>
      </c>
      <c r="E830" s="197" t="str">
        <f t="array" ref="E830">XLOOKUP(C830,ICSE!A:A,ICSE!Z:Z,,0,1)</f>
        <v>Publicly available (1)</v>
      </c>
      <c r="F830" s="198" t="s">
        <v>20</v>
      </c>
      <c r="G830" s="163" t="str">
        <f t="array" ref="G830">IF(B830="ICSE",IF(COUNTIFS(B:B,B830,C:C,C830)=XLOOKUP(C830,ICSE!A:A,ICSE!AA:AA,"ERROR",0,1),"OK","ERROR"),IF(B830="FSE",IF(COUNTIFS(B:B,B830,C:C,C830)=XLOOKUP(C830,FSE!A:A,FSE!AA:AA,"ERROR",0,1),"OK","ERROR")))</f>
        <v>OK</v>
      </c>
      <c r="H830" s="199">
        <f t="shared" ref="H830:O830" si="4194">countif($D830,"*"&amp;H$2&amp;"*")</f>
        <v>0</v>
      </c>
      <c r="I830" s="200">
        <f t="shared" si="4194"/>
        <v>0</v>
      </c>
      <c r="J830" s="200">
        <f t="shared" si="4194"/>
        <v>0</v>
      </c>
      <c r="K830" s="200">
        <f t="shared" si="4194"/>
        <v>0</v>
      </c>
      <c r="L830" s="200">
        <f t="shared" si="4194"/>
        <v>0</v>
      </c>
      <c r="M830" s="200">
        <f t="shared" si="4194"/>
        <v>0</v>
      </c>
      <c r="N830" s="200">
        <f t="shared" si="4194"/>
        <v>0</v>
      </c>
      <c r="O830" s="200">
        <f t="shared" si="4194"/>
        <v>0</v>
      </c>
      <c r="P830" s="200">
        <f t="shared" si="9"/>
        <v>1</v>
      </c>
      <c r="Q830" s="200">
        <f t="shared" ref="Q830:AC830" si="4195">countif($D830,"*"&amp;Q$2&amp;"*")</f>
        <v>0</v>
      </c>
      <c r="R830" s="200">
        <f t="shared" si="4195"/>
        <v>0</v>
      </c>
      <c r="S830" s="200">
        <f t="shared" si="4195"/>
        <v>0</v>
      </c>
      <c r="T830" s="200">
        <f t="shared" si="4195"/>
        <v>0</v>
      </c>
      <c r="U830" s="200">
        <f t="shared" si="4195"/>
        <v>0</v>
      </c>
      <c r="V830" s="200">
        <f t="shared" si="4195"/>
        <v>0</v>
      </c>
      <c r="W830" s="200">
        <f t="shared" si="4195"/>
        <v>0</v>
      </c>
      <c r="X830" s="200">
        <f t="shared" si="4195"/>
        <v>0</v>
      </c>
      <c r="Y830" s="200">
        <f t="shared" si="4195"/>
        <v>0</v>
      </c>
      <c r="Z830" s="200">
        <f t="shared" si="4195"/>
        <v>0</v>
      </c>
      <c r="AA830" s="200">
        <f t="shared" si="4195"/>
        <v>0</v>
      </c>
      <c r="AB830" s="200">
        <f t="shared" si="4195"/>
        <v>0</v>
      </c>
      <c r="AC830" s="200">
        <f t="shared" si="4195"/>
        <v>0</v>
      </c>
      <c r="AD830" s="200">
        <f t="shared" si="11"/>
        <v>0</v>
      </c>
      <c r="AE830" s="200">
        <f t="shared" ref="AE830:AG830" si="4196">countif($D830,"*"&amp;AE$2&amp;"*")</f>
        <v>0</v>
      </c>
      <c r="AF830" s="200">
        <f t="shared" si="4196"/>
        <v>0</v>
      </c>
      <c r="AG830" s="200">
        <f t="shared" si="4196"/>
        <v>0</v>
      </c>
      <c r="AH830" s="171">
        <f t="shared" si="13"/>
        <v>0</v>
      </c>
      <c r="AI830" s="200">
        <f t="shared" si="14"/>
        <v>0</v>
      </c>
      <c r="AJ830" s="200">
        <f t="shared" si="4176"/>
        <v>0</v>
      </c>
      <c r="AK830" s="201">
        <f t="shared" ref="AK830:AS830" si="4197">countif($D830,"*"&amp;AK$2&amp;"*")</f>
        <v>0</v>
      </c>
      <c r="AL830" s="201">
        <f t="shared" si="4197"/>
        <v>0</v>
      </c>
      <c r="AM830" s="201">
        <f t="shared" si="4197"/>
        <v>0</v>
      </c>
      <c r="AN830" s="201">
        <f t="shared" si="4197"/>
        <v>0</v>
      </c>
      <c r="AO830" s="201">
        <f t="shared" si="4197"/>
        <v>0</v>
      </c>
      <c r="AP830" s="201">
        <f t="shared" si="4197"/>
        <v>0</v>
      </c>
      <c r="AQ830" s="201">
        <f t="shared" si="4197"/>
        <v>0</v>
      </c>
      <c r="AR830" s="200">
        <f t="shared" si="4197"/>
        <v>0</v>
      </c>
      <c r="AS830" s="200">
        <f t="shared" si="4197"/>
        <v>0</v>
      </c>
      <c r="AT830" s="173">
        <v>0.0</v>
      </c>
      <c r="AU830" s="200">
        <f t="shared" ref="AU830:AX830" si="4198">countif($D830,"*"&amp;AU$2&amp;"*")</f>
        <v>0</v>
      </c>
      <c r="AV830" s="200">
        <f t="shared" si="4198"/>
        <v>1</v>
      </c>
      <c r="AW830" s="200">
        <f t="shared" si="4198"/>
        <v>0</v>
      </c>
      <c r="AX830" s="200">
        <f t="shared" si="4198"/>
        <v>0</v>
      </c>
      <c r="AY830" s="202">
        <v>0.0</v>
      </c>
      <c r="AZ830" s="200"/>
      <c r="BA830" s="171" t="str">
        <f t="shared" si="18"/>
        <v/>
      </c>
      <c r="BB830" s="171" t="str">
        <f t="shared" si="19"/>
        <v>Code</v>
      </c>
      <c r="BC830" s="171" t="str">
        <f t="shared" si="20"/>
        <v/>
      </c>
      <c r="BD830" s="171" t="str">
        <f t="shared" si="21"/>
        <v/>
      </c>
      <c r="BE830" s="171" t="str">
        <f t="shared" si="22"/>
        <v/>
      </c>
      <c r="BF830" s="171" t="str">
        <f t="shared" si="23"/>
        <v>Code</v>
      </c>
    </row>
    <row r="831">
      <c r="A831" s="171">
        <f t="array" ref="A831">XLOOKUP(C831,ICSE!A:A,ICSE!C:C,,2,1)</f>
        <v>2016</v>
      </c>
      <c r="B831" s="171" t="s">
        <v>5675</v>
      </c>
      <c r="C831" s="160">
        <v>1598.0</v>
      </c>
      <c r="D831" s="161" t="s">
        <v>708</v>
      </c>
      <c r="E831" s="197" t="str">
        <f t="array" ref="E831">XLOOKUP(C831,ICSE!A:A,ICSE!Z:Z,,0,1)</f>
        <v>Not available (1) - Broken link.</v>
      </c>
      <c r="F831" s="198" t="s">
        <v>21</v>
      </c>
      <c r="G831" s="163" t="str">
        <f t="array" ref="G831">IF(B831="ICSE",IF(COUNTIFS(B:B,B831,C:C,C831)=XLOOKUP(C831,ICSE!A:A,ICSE!AA:AA,"ERROR",0,1),"OK","ERROR"),IF(B831="FSE",IF(COUNTIFS(B:B,B831,C:C,C831)=XLOOKUP(C831,FSE!A:A,FSE!AA:AA,"ERROR",0,1),"OK","ERROR")))</f>
        <v>OK</v>
      </c>
      <c r="H831" s="199">
        <f t="shared" ref="H831:O831" si="4199">countif($D831,"*"&amp;H$2&amp;"*")</f>
        <v>0</v>
      </c>
      <c r="I831" s="200">
        <f t="shared" si="4199"/>
        <v>0</v>
      </c>
      <c r="J831" s="200">
        <f t="shared" si="4199"/>
        <v>0</v>
      </c>
      <c r="K831" s="200">
        <f t="shared" si="4199"/>
        <v>0</v>
      </c>
      <c r="L831" s="200">
        <f t="shared" si="4199"/>
        <v>0</v>
      </c>
      <c r="M831" s="200">
        <f t="shared" si="4199"/>
        <v>0</v>
      </c>
      <c r="N831" s="200">
        <f t="shared" si="4199"/>
        <v>0</v>
      </c>
      <c r="O831" s="200">
        <f t="shared" si="4199"/>
        <v>0</v>
      </c>
      <c r="P831" s="200">
        <f t="shared" si="9"/>
        <v>0</v>
      </c>
      <c r="Q831" s="200">
        <f t="shared" ref="Q831:AC831" si="4200">countif($D831,"*"&amp;Q$2&amp;"*")</f>
        <v>0</v>
      </c>
      <c r="R831" s="200">
        <f t="shared" si="4200"/>
        <v>0</v>
      </c>
      <c r="S831" s="200">
        <f t="shared" si="4200"/>
        <v>0</v>
      </c>
      <c r="T831" s="200">
        <f t="shared" si="4200"/>
        <v>0</v>
      </c>
      <c r="U831" s="200">
        <f t="shared" si="4200"/>
        <v>0</v>
      </c>
      <c r="V831" s="200">
        <f t="shared" si="4200"/>
        <v>0</v>
      </c>
      <c r="W831" s="200">
        <f t="shared" si="4200"/>
        <v>0</v>
      </c>
      <c r="X831" s="200">
        <f t="shared" si="4200"/>
        <v>0</v>
      </c>
      <c r="Y831" s="200">
        <f t="shared" si="4200"/>
        <v>0</v>
      </c>
      <c r="Z831" s="200">
        <f t="shared" si="4200"/>
        <v>0</v>
      </c>
      <c r="AA831" s="200">
        <f t="shared" si="4200"/>
        <v>0</v>
      </c>
      <c r="AB831" s="200">
        <f t="shared" si="4200"/>
        <v>0</v>
      </c>
      <c r="AC831" s="200">
        <f t="shared" si="4200"/>
        <v>0</v>
      </c>
      <c r="AD831" s="200">
        <f t="shared" si="11"/>
        <v>0</v>
      </c>
      <c r="AE831" s="200">
        <f t="shared" ref="AE831:AG831" si="4201">countif($D831,"*"&amp;AE$2&amp;"*")</f>
        <v>0</v>
      </c>
      <c r="AF831" s="200">
        <f t="shared" si="4201"/>
        <v>0</v>
      </c>
      <c r="AG831" s="200">
        <f t="shared" si="4201"/>
        <v>0</v>
      </c>
      <c r="AH831" s="171">
        <f t="shared" si="13"/>
        <v>1</v>
      </c>
      <c r="AI831" s="200">
        <f t="shared" si="14"/>
        <v>0</v>
      </c>
      <c r="AJ831" s="200">
        <f t="shared" si="4176"/>
        <v>0</v>
      </c>
      <c r="AK831" s="201">
        <f t="shared" ref="AK831:AS831" si="4202">countif($D831,"*"&amp;AK$2&amp;"*")</f>
        <v>0</v>
      </c>
      <c r="AL831" s="201">
        <f t="shared" si="4202"/>
        <v>0</v>
      </c>
      <c r="AM831" s="201">
        <f t="shared" si="4202"/>
        <v>0</v>
      </c>
      <c r="AN831" s="201">
        <f t="shared" si="4202"/>
        <v>0</v>
      </c>
      <c r="AO831" s="201">
        <f t="shared" si="4202"/>
        <v>0</v>
      </c>
      <c r="AP831" s="201">
        <f t="shared" si="4202"/>
        <v>0</v>
      </c>
      <c r="AQ831" s="201">
        <f t="shared" si="4202"/>
        <v>0</v>
      </c>
      <c r="AR831" s="200">
        <f t="shared" si="4202"/>
        <v>0</v>
      </c>
      <c r="AS831" s="200">
        <f t="shared" si="4202"/>
        <v>0</v>
      </c>
      <c r="AT831" s="173">
        <v>0.0</v>
      </c>
      <c r="AU831" s="200">
        <f t="shared" ref="AU831:AX831" si="4203">countif($D831,"*"&amp;AU$2&amp;"*")</f>
        <v>0</v>
      </c>
      <c r="AV831" s="200">
        <f t="shared" si="4203"/>
        <v>0</v>
      </c>
      <c r="AW831" s="200">
        <f t="shared" si="4203"/>
        <v>0</v>
      </c>
      <c r="AX831" s="200">
        <f t="shared" si="4203"/>
        <v>0</v>
      </c>
      <c r="AY831" s="202">
        <v>0.0</v>
      </c>
      <c r="AZ831" s="200"/>
      <c r="BA831" s="171" t="str">
        <f t="shared" si="18"/>
        <v/>
      </c>
      <c r="BB831" s="171" t="str">
        <f t="shared" si="19"/>
        <v/>
      </c>
      <c r="BC831" s="171" t="str">
        <f t="shared" si="20"/>
        <v/>
      </c>
      <c r="BD831" s="171" t="str">
        <f t="shared" si="21"/>
        <v/>
      </c>
      <c r="BE831" s="171" t="str">
        <f t="shared" si="22"/>
        <v>Others</v>
      </c>
      <c r="BF831" s="171" t="str">
        <f t="shared" si="23"/>
        <v>Others</v>
      </c>
    </row>
    <row r="832">
      <c r="A832" s="171">
        <f t="array" ref="A832">XLOOKUP(C832,ICSE!A:A,ICSE!C:C,,2,1)</f>
        <v>2016</v>
      </c>
      <c r="B832" s="171" t="s">
        <v>5675</v>
      </c>
      <c r="C832" s="160">
        <v>1599.0</v>
      </c>
      <c r="D832" s="161" t="s">
        <v>710</v>
      </c>
      <c r="E832" s="197" t="str">
        <f t="array" ref="E832">XLOOKUP(C832,ICSE!A:A,ICSE!Z:Z,,0,1)</f>
        <v>Publicly available (1)</v>
      </c>
      <c r="F832" s="198" t="s">
        <v>20</v>
      </c>
      <c r="G832" s="163" t="str">
        <f t="array" ref="G832">IF(B832="ICSE",IF(COUNTIFS(B:B,B832,C:C,C832)=XLOOKUP(C832,ICSE!A:A,ICSE!AA:AA,"ERROR",0,1),"OK","ERROR"),IF(B832="FSE",IF(COUNTIFS(B:B,B832,C:C,C832)=XLOOKUP(C832,FSE!A:A,FSE!AA:AA,"ERROR",0,1),"OK","ERROR")))</f>
        <v>OK</v>
      </c>
      <c r="H832" s="199">
        <f t="shared" ref="H832:O832" si="4204">countif($D832,"*"&amp;H$2&amp;"*")</f>
        <v>0</v>
      </c>
      <c r="I832" s="200">
        <f t="shared" si="4204"/>
        <v>0</v>
      </c>
      <c r="J832" s="200">
        <f t="shared" si="4204"/>
        <v>0</v>
      </c>
      <c r="K832" s="200">
        <f t="shared" si="4204"/>
        <v>0</v>
      </c>
      <c r="L832" s="200">
        <f t="shared" si="4204"/>
        <v>0</v>
      </c>
      <c r="M832" s="200">
        <f t="shared" si="4204"/>
        <v>0</v>
      </c>
      <c r="N832" s="200">
        <f t="shared" si="4204"/>
        <v>0</v>
      </c>
      <c r="O832" s="200">
        <f t="shared" si="4204"/>
        <v>0</v>
      </c>
      <c r="P832" s="200">
        <f t="shared" si="9"/>
        <v>1</v>
      </c>
      <c r="Q832" s="200">
        <f t="shared" ref="Q832:AC832" si="4205">countif($D832,"*"&amp;Q$2&amp;"*")</f>
        <v>0</v>
      </c>
      <c r="R832" s="200">
        <f t="shared" si="4205"/>
        <v>0</v>
      </c>
      <c r="S832" s="200">
        <f t="shared" si="4205"/>
        <v>0</v>
      </c>
      <c r="T832" s="200">
        <f t="shared" si="4205"/>
        <v>0</v>
      </c>
      <c r="U832" s="200">
        <f t="shared" si="4205"/>
        <v>0</v>
      </c>
      <c r="V832" s="200">
        <f t="shared" si="4205"/>
        <v>0</v>
      </c>
      <c r="W832" s="200">
        <f t="shared" si="4205"/>
        <v>0</v>
      </c>
      <c r="X832" s="200">
        <f t="shared" si="4205"/>
        <v>0</v>
      </c>
      <c r="Y832" s="200">
        <f t="shared" si="4205"/>
        <v>0</v>
      </c>
      <c r="Z832" s="200">
        <f t="shared" si="4205"/>
        <v>0</v>
      </c>
      <c r="AA832" s="200">
        <f t="shared" si="4205"/>
        <v>0</v>
      </c>
      <c r="AB832" s="200">
        <f t="shared" si="4205"/>
        <v>0</v>
      </c>
      <c r="AC832" s="200">
        <f t="shared" si="4205"/>
        <v>0</v>
      </c>
      <c r="AD832" s="200">
        <f t="shared" si="11"/>
        <v>0</v>
      </c>
      <c r="AE832" s="200">
        <f t="shared" ref="AE832:AG832" si="4206">countif($D832,"*"&amp;AE$2&amp;"*")</f>
        <v>0</v>
      </c>
      <c r="AF832" s="200">
        <f t="shared" si="4206"/>
        <v>0</v>
      </c>
      <c r="AG832" s="200">
        <f t="shared" si="4206"/>
        <v>0</v>
      </c>
      <c r="AH832" s="171">
        <f t="shared" si="13"/>
        <v>0</v>
      </c>
      <c r="AI832" s="200">
        <f t="shared" si="14"/>
        <v>0</v>
      </c>
      <c r="AJ832" s="200">
        <f t="shared" si="4176"/>
        <v>0</v>
      </c>
      <c r="AK832" s="201">
        <f t="shared" ref="AK832:AS832" si="4207">countif($D832,"*"&amp;AK$2&amp;"*")</f>
        <v>0</v>
      </c>
      <c r="AL832" s="201">
        <f t="shared" si="4207"/>
        <v>0</v>
      </c>
      <c r="AM832" s="201">
        <f t="shared" si="4207"/>
        <v>0</v>
      </c>
      <c r="AN832" s="201">
        <f t="shared" si="4207"/>
        <v>0</v>
      </c>
      <c r="AO832" s="201">
        <f t="shared" si="4207"/>
        <v>0</v>
      </c>
      <c r="AP832" s="201">
        <f t="shared" si="4207"/>
        <v>0</v>
      </c>
      <c r="AQ832" s="201">
        <f t="shared" si="4207"/>
        <v>0</v>
      </c>
      <c r="AR832" s="200">
        <f t="shared" si="4207"/>
        <v>0</v>
      </c>
      <c r="AS832" s="200">
        <f t="shared" si="4207"/>
        <v>0</v>
      </c>
      <c r="AT832" s="173">
        <v>0.0</v>
      </c>
      <c r="AU832" s="200">
        <f t="shared" ref="AU832:AX832" si="4208">countif($D832,"*"&amp;AU$2&amp;"*")</f>
        <v>0</v>
      </c>
      <c r="AV832" s="200">
        <f t="shared" si="4208"/>
        <v>1</v>
      </c>
      <c r="AW832" s="200">
        <f t="shared" si="4208"/>
        <v>0</v>
      </c>
      <c r="AX832" s="200">
        <f t="shared" si="4208"/>
        <v>0</v>
      </c>
      <c r="AY832" s="202">
        <v>0.0</v>
      </c>
      <c r="AZ832" s="200"/>
      <c r="BA832" s="171" t="str">
        <f t="shared" si="18"/>
        <v/>
      </c>
      <c r="BB832" s="171" t="str">
        <f t="shared" si="19"/>
        <v>Code</v>
      </c>
      <c r="BC832" s="171" t="str">
        <f t="shared" si="20"/>
        <v/>
      </c>
      <c r="BD832" s="171" t="str">
        <f t="shared" si="21"/>
        <v/>
      </c>
      <c r="BE832" s="171" t="str">
        <f t="shared" si="22"/>
        <v/>
      </c>
      <c r="BF832" s="171" t="str">
        <f t="shared" si="23"/>
        <v>Code</v>
      </c>
    </row>
    <row r="833">
      <c r="A833" s="171">
        <f t="array" ref="A833">XLOOKUP(C833,ICSE!A:A,ICSE!C:C,,2,1)</f>
        <v>2016</v>
      </c>
      <c r="B833" s="171" t="s">
        <v>5675</v>
      </c>
      <c r="C833" s="160">
        <v>1600.0</v>
      </c>
      <c r="D833" s="161" t="s">
        <v>713</v>
      </c>
      <c r="E833" s="197" t="str">
        <f t="array" ref="E833">XLOOKUP(C833,ICSE!A:A,ICSE!Z:Z,,0,1)</f>
        <v>Publicly available (1)</v>
      </c>
      <c r="F833" s="198" t="s">
        <v>20</v>
      </c>
      <c r="G833" s="163" t="str">
        <f t="array" ref="G833">IF(B833="ICSE",IF(COUNTIFS(B:B,B833,C:C,C833)=XLOOKUP(C833,ICSE!A:A,ICSE!AA:AA,"ERROR",0,1),"OK","ERROR"),IF(B833="FSE",IF(COUNTIFS(B:B,B833,C:C,C833)=XLOOKUP(C833,FSE!A:A,FSE!AA:AA,"ERROR",0,1),"OK","ERROR")))</f>
        <v>OK</v>
      </c>
      <c r="H833" s="199">
        <f t="shared" ref="H833:O833" si="4209">countif($D833,"*"&amp;H$2&amp;"*")</f>
        <v>0</v>
      </c>
      <c r="I833" s="200">
        <f t="shared" si="4209"/>
        <v>0</v>
      </c>
      <c r="J833" s="200">
        <f t="shared" si="4209"/>
        <v>0</v>
      </c>
      <c r="K833" s="200">
        <f t="shared" si="4209"/>
        <v>0</v>
      </c>
      <c r="L833" s="200">
        <f t="shared" si="4209"/>
        <v>0</v>
      </c>
      <c r="M833" s="200">
        <f t="shared" si="4209"/>
        <v>0</v>
      </c>
      <c r="N833" s="200">
        <f t="shared" si="4209"/>
        <v>0</v>
      </c>
      <c r="O833" s="200">
        <f t="shared" si="4209"/>
        <v>0</v>
      </c>
      <c r="P833" s="200">
        <f t="shared" si="9"/>
        <v>0</v>
      </c>
      <c r="Q833" s="200">
        <f t="shared" ref="Q833:AC833" si="4210">countif($D833,"*"&amp;Q$2&amp;"*")</f>
        <v>0</v>
      </c>
      <c r="R833" s="200">
        <f t="shared" si="4210"/>
        <v>0</v>
      </c>
      <c r="S833" s="200">
        <f t="shared" si="4210"/>
        <v>0</v>
      </c>
      <c r="T833" s="200">
        <f t="shared" si="4210"/>
        <v>0</v>
      </c>
      <c r="U833" s="200">
        <f t="shared" si="4210"/>
        <v>0</v>
      </c>
      <c r="V833" s="200">
        <f t="shared" si="4210"/>
        <v>0</v>
      </c>
      <c r="W833" s="200">
        <f t="shared" si="4210"/>
        <v>0</v>
      </c>
      <c r="X833" s="200">
        <f t="shared" si="4210"/>
        <v>0</v>
      </c>
      <c r="Y833" s="200">
        <f t="shared" si="4210"/>
        <v>0</v>
      </c>
      <c r="Z833" s="200">
        <f t="shared" si="4210"/>
        <v>0</v>
      </c>
      <c r="AA833" s="200">
        <f t="shared" si="4210"/>
        <v>0</v>
      </c>
      <c r="AB833" s="200">
        <f t="shared" si="4210"/>
        <v>0</v>
      </c>
      <c r="AC833" s="200">
        <f t="shared" si="4210"/>
        <v>0</v>
      </c>
      <c r="AD833" s="200">
        <f t="shared" si="11"/>
        <v>1</v>
      </c>
      <c r="AE833" s="200">
        <f t="shared" ref="AE833:AG833" si="4211">countif($D833,"*"&amp;AE$2&amp;"*")</f>
        <v>0</v>
      </c>
      <c r="AF833" s="200">
        <f t="shared" si="4211"/>
        <v>0</v>
      </c>
      <c r="AG833" s="200">
        <f t="shared" si="4211"/>
        <v>0</v>
      </c>
      <c r="AH833" s="171">
        <f t="shared" si="13"/>
        <v>0</v>
      </c>
      <c r="AI833" s="200">
        <f t="shared" si="14"/>
        <v>0</v>
      </c>
      <c r="AJ833" s="200">
        <f t="shared" si="4176"/>
        <v>0</v>
      </c>
      <c r="AK833" s="201">
        <f t="shared" ref="AK833:AS833" si="4212">countif($D833,"*"&amp;AK$2&amp;"*")</f>
        <v>0</v>
      </c>
      <c r="AL833" s="201">
        <f t="shared" si="4212"/>
        <v>0</v>
      </c>
      <c r="AM833" s="201">
        <f t="shared" si="4212"/>
        <v>0</v>
      </c>
      <c r="AN833" s="201">
        <f t="shared" si="4212"/>
        <v>0</v>
      </c>
      <c r="AO833" s="201">
        <f t="shared" si="4212"/>
        <v>0</v>
      </c>
      <c r="AP833" s="201">
        <f t="shared" si="4212"/>
        <v>0</v>
      </c>
      <c r="AQ833" s="201">
        <f t="shared" si="4212"/>
        <v>0</v>
      </c>
      <c r="AR833" s="200">
        <f t="shared" si="4212"/>
        <v>0</v>
      </c>
      <c r="AS833" s="200">
        <f t="shared" si="4212"/>
        <v>0</v>
      </c>
      <c r="AT833" s="173">
        <v>1.0</v>
      </c>
      <c r="AU833" s="200">
        <f t="shared" ref="AU833:AX833" si="4213">countif($D833,"*"&amp;AU$2&amp;"*")</f>
        <v>0</v>
      </c>
      <c r="AV833" s="200">
        <f t="shared" si="4213"/>
        <v>0</v>
      </c>
      <c r="AW833" s="200">
        <f t="shared" si="4213"/>
        <v>0</v>
      </c>
      <c r="AX833" s="200">
        <f t="shared" si="4213"/>
        <v>0</v>
      </c>
      <c r="AY833" s="202">
        <v>0.0</v>
      </c>
      <c r="AZ833" s="200"/>
      <c r="BA833" s="171" t="str">
        <f t="shared" si="18"/>
        <v/>
      </c>
      <c r="BB833" s="171" t="str">
        <f t="shared" si="19"/>
        <v/>
      </c>
      <c r="BC833" s="171" t="str">
        <f t="shared" si="20"/>
        <v/>
      </c>
      <c r="BD833" s="171" t="str">
        <f t="shared" si="21"/>
        <v>Institutional</v>
      </c>
      <c r="BE833" s="171" t="str">
        <f t="shared" si="22"/>
        <v/>
      </c>
      <c r="BF833" s="171" t="str">
        <f t="shared" si="23"/>
        <v>Institutional</v>
      </c>
    </row>
    <row r="834">
      <c r="A834" s="171">
        <f t="array" ref="A834">XLOOKUP(C834,ICSE!A:A,ICSE!C:C,,2,1)</f>
        <v>2016</v>
      </c>
      <c r="B834" s="171" t="s">
        <v>5675</v>
      </c>
      <c r="C834" s="160">
        <v>1602.0</v>
      </c>
      <c r="D834" s="161" t="s">
        <v>6022</v>
      </c>
      <c r="E834" s="197" t="str">
        <f t="array" ref="E834">XLOOKUP(C834,ICSE!A:A,ICSE!Z:Z,,0,1)</f>
        <v>Publicly available (1)</v>
      </c>
      <c r="F834" s="198" t="s">
        <v>20</v>
      </c>
      <c r="G834" s="163" t="str">
        <f t="array" ref="G834">IF(B834="ICSE",IF(COUNTIFS(B:B,B834,C:C,C834)=XLOOKUP(C834,ICSE!A:A,ICSE!AA:AA,"ERROR",0,1),"OK","ERROR"),IF(B834="FSE",IF(COUNTIFS(B:B,B834,C:C,C834)=XLOOKUP(C834,FSE!A:A,FSE!AA:AA,"ERROR",0,1),"OK","ERROR")))</f>
        <v>OK</v>
      </c>
      <c r="H834" s="199">
        <f t="shared" ref="H834:O834" si="4214">countif($D834,"*"&amp;H$2&amp;"*")</f>
        <v>0</v>
      </c>
      <c r="I834" s="200">
        <f t="shared" si="4214"/>
        <v>0</v>
      </c>
      <c r="J834" s="200">
        <f t="shared" si="4214"/>
        <v>1</v>
      </c>
      <c r="K834" s="200">
        <f t="shared" si="4214"/>
        <v>0</v>
      </c>
      <c r="L834" s="200">
        <f t="shared" si="4214"/>
        <v>0</v>
      </c>
      <c r="M834" s="200">
        <f t="shared" si="4214"/>
        <v>0</v>
      </c>
      <c r="N834" s="200">
        <f t="shared" si="4214"/>
        <v>0</v>
      </c>
      <c r="O834" s="200">
        <f t="shared" si="4214"/>
        <v>0</v>
      </c>
      <c r="P834" s="200">
        <f t="shared" si="9"/>
        <v>0</v>
      </c>
      <c r="Q834" s="200">
        <f t="shared" ref="Q834:AC834" si="4215">countif($D834,"*"&amp;Q$2&amp;"*")</f>
        <v>0</v>
      </c>
      <c r="R834" s="200">
        <f t="shared" si="4215"/>
        <v>0</v>
      </c>
      <c r="S834" s="200">
        <f t="shared" si="4215"/>
        <v>0</v>
      </c>
      <c r="T834" s="200">
        <f t="shared" si="4215"/>
        <v>0</v>
      </c>
      <c r="U834" s="200">
        <f t="shared" si="4215"/>
        <v>0</v>
      </c>
      <c r="V834" s="200">
        <f t="shared" si="4215"/>
        <v>0</v>
      </c>
      <c r="W834" s="200">
        <f t="shared" si="4215"/>
        <v>0</v>
      </c>
      <c r="X834" s="200">
        <f t="shared" si="4215"/>
        <v>0</v>
      </c>
      <c r="Y834" s="200">
        <f t="shared" si="4215"/>
        <v>0</v>
      </c>
      <c r="Z834" s="200">
        <f t="shared" si="4215"/>
        <v>0</v>
      </c>
      <c r="AA834" s="200">
        <f t="shared" si="4215"/>
        <v>0</v>
      </c>
      <c r="AB834" s="200">
        <f t="shared" si="4215"/>
        <v>0</v>
      </c>
      <c r="AC834" s="200">
        <f t="shared" si="4215"/>
        <v>0</v>
      </c>
      <c r="AD834" s="200">
        <f t="shared" si="11"/>
        <v>0</v>
      </c>
      <c r="AE834" s="200">
        <f t="shared" ref="AE834:AG834" si="4216">countif($D834,"*"&amp;AE$2&amp;"*")</f>
        <v>0</v>
      </c>
      <c r="AF834" s="200">
        <f t="shared" si="4216"/>
        <v>0</v>
      </c>
      <c r="AG834" s="200">
        <f t="shared" si="4216"/>
        <v>0</v>
      </c>
      <c r="AH834" s="171">
        <f t="shared" si="13"/>
        <v>0</v>
      </c>
      <c r="AI834" s="200">
        <f t="shared" si="14"/>
        <v>1</v>
      </c>
      <c r="AJ834" s="200">
        <f t="shared" si="4176"/>
        <v>0</v>
      </c>
      <c r="AK834" s="201">
        <f t="shared" ref="AK834:AS834" si="4217">countif($D834,"*"&amp;AK$2&amp;"*")</f>
        <v>0</v>
      </c>
      <c r="AL834" s="201">
        <f t="shared" si="4217"/>
        <v>0</v>
      </c>
      <c r="AM834" s="201">
        <f t="shared" si="4217"/>
        <v>0</v>
      </c>
      <c r="AN834" s="201">
        <f t="shared" si="4217"/>
        <v>0</v>
      </c>
      <c r="AO834" s="201">
        <f t="shared" si="4217"/>
        <v>0</v>
      </c>
      <c r="AP834" s="201">
        <f t="shared" si="4217"/>
        <v>0</v>
      </c>
      <c r="AQ834" s="201">
        <f t="shared" si="4217"/>
        <v>0</v>
      </c>
      <c r="AR834" s="200">
        <f t="shared" si="4217"/>
        <v>0</v>
      </c>
      <c r="AS834" s="200">
        <f t="shared" si="4217"/>
        <v>1</v>
      </c>
      <c r="AT834" s="173">
        <v>0.0</v>
      </c>
      <c r="AU834" s="200">
        <f t="shared" ref="AU834:AX834" si="4218">countif($D834,"*"&amp;AU$2&amp;"*")</f>
        <v>0</v>
      </c>
      <c r="AV834" s="200">
        <f t="shared" si="4218"/>
        <v>0</v>
      </c>
      <c r="AW834" s="200">
        <f t="shared" si="4218"/>
        <v>0</v>
      </c>
      <c r="AX834" s="200">
        <f t="shared" si="4218"/>
        <v>0</v>
      </c>
      <c r="AY834" s="204">
        <v>1.0</v>
      </c>
      <c r="AZ834" s="200"/>
      <c r="BA834" s="171" t="str">
        <f t="shared" si="18"/>
        <v>Archival</v>
      </c>
      <c r="BB834" s="171" t="str">
        <f t="shared" si="19"/>
        <v/>
      </c>
      <c r="BC834" s="171" t="str">
        <f t="shared" si="20"/>
        <v/>
      </c>
      <c r="BD834" s="171" t="str">
        <f t="shared" si="21"/>
        <v/>
      </c>
      <c r="BE834" s="171" t="str">
        <f t="shared" si="22"/>
        <v/>
      </c>
      <c r="BF834" s="171" t="str">
        <f t="shared" si="23"/>
        <v>Archival</v>
      </c>
    </row>
    <row r="835">
      <c r="A835" s="171">
        <f t="array" ref="A835">XLOOKUP(C835,ICSE!A:A,ICSE!C:C,,2,1)</f>
        <v>2016</v>
      </c>
      <c r="B835" s="171" t="s">
        <v>5675</v>
      </c>
      <c r="C835" s="160">
        <v>1603.0</v>
      </c>
      <c r="D835" s="161" t="s">
        <v>6023</v>
      </c>
      <c r="E835" s="197" t="str">
        <f t="array" ref="E835">XLOOKUP(C835,ICSE!A:A,ICSE!Z:Z,,0,1)</f>
        <v>Not available (2) - Broken link.</v>
      </c>
      <c r="F835" s="198" t="s">
        <v>21</v>
      </c>
      <c r="G835" s="163" t="str">
        <f t="array" ref="G835">IF(B835="ICSE",IF(COUNTIFS(B:B,B835,C:C,C835)=XLOOKUP(C835,ICSE!A:A,ICSE!AA:AA,"ERROR",0,1),"OK","ERROR"),IF(B835="FSE",IF(COUNTIFS(B:B,B835,C:C,C835)=XLOOKUP(C835,FSE!A:A,FSE!AA:AA,"ERROR",0,1),"OK","ERROR")))</f>
        <v>OK</v>
      </c>
      <c r="H835" s="199">
        <f t="shared" ref="H835:O835" si="4219">countif($D835,"*"&amp;H$2&amp;"*")</f>
        <v>0</v>
      </c>
      <c r="I835" s="200">
        <f t="shared" si="4219"/>
        <v>0</v>
      </c>
      <c r="J835" s="200">
        <f t="shared" si="4219"/>
        <v>0</v>
      </c>
      <c r="K835" s="200">
        <f t="shared" si="4219"/>
        <v>0</v>
      </c>
      <c r="L835" s="200">
        <f t="shared" si="4219"/>
        <v>0</v>
      </c>
      <c r="M835" s="200">
        <f t="shared" si="4219"/>
        <v>0</v>
      </c>
      <c r="N835" s="200">
        <f t="shared" si="4219"/>
        <v>0</v>
      </c>
      <c r="O835" s="200">
        <f t="shared" si="4219"/>
        <v>0</v>
      </c>
      <c r="P835" s="200">
        <f t="shared" si="9"/>
        <v>0</v>
      </c>
      <c r="Q835" s="200">
        <f t="shared" ref="Q835:AC835" si="4220">countif($D835,"*"&amp;Q$2&amp;"*")</f>
        <v>0</v>
      </c>
      <c r="R835" s="200">
        <f t="shared" si="4220"/>
        <v>0</v>
      </c>
      <c r="S835" s="200">
        <f t="shared" si="4220"/>
        <v>0</v>
      </c>
      <c r="T835" s="200">
        <f t="shared" si="4220"/>
        <v>0</v>
      </c>
      <c r="U835" s="200">
        <f t="shared" si="4220"/>
        <v>0</v>
      </c>
      <c r="V835" s="200">
        <f t="shared" si="4220"/>
        <v>0</v>
      </c>
      <c r="W835" s="200">
        <f t="shared" si="4220"/>
        <v>0</v>
      </c>
      <c r="X835" s="200">
        <f t="shared" si="4220"/>
        <v>0</v>
      </c>
      <c r="Y835" s="200">
        <f t="shared" si="4220"/>
        <v>0</v>
      </c>
      <c r="Z835" s="200">
        <f t="shared" si="4220"/>
        <v>0</v>
      </c>
      <c r="AA835" s="200">
        <f t="shared" si="4220"/>
        <v>0</v>
      </c>
      <c r="AB835" s="200">
        <f t="shared" si="4220"/>
        <v>0</v>
      </c>
      <c r="AC835" s="200">
        <f t="shared" si="4220"/>
        <v>0</v>
      </c>
      <c r="AD835" s="200">
        <f t="shared" si="11"/>
        <v>1</v>
      </c>
      <c r="AE835" s="200">
        <f t="shared" ref="AE835:AG835" si="4221">countif($D835,"*"&amp;AE$2&amp;"*")</f>
        <v>0</v>
      </c>
      <c r="AF835" s="200">
        <f t="shared" si="4221"/>
        <v>0</v>
      </c>
      <c r="AG835" s="200">
        <f t="shared" si="4221"/>
        <v>0</v>
      </c>
      <c r="AH835" s="171">
        <f t="shared" si="13"/>
        <v>0</v>
      </c>
      <c r="AI835" s="200">
        <f t="shared" si="14"/>
        <v>0</v>
      </c>
      <c r="AJ835" s="200">
        <f t="shared" ref="AJ835:AJ837" si="4227">SUM(AK835:AQ835)</f>
        <v>0</v>
      </c>
      <c r="AK835" s="201">
        <f t="shared" ref="AK835:AS835" si="4222">countif($D835,"*"&amp;AK$2&amp;"*")</f>
        <v>0</v>
      </c>
      <c r="AL835" s="201">
        <f t="shared" si="4222"/>
        <v>0</v>
      </c>
      <c r="AM835" s="201">
        <f t="shared" si="4222"/>
        <v>0</v>
      </c>
      <c r="AN835" s="201">
        <f t="shared" si="4222"/>
        <v>0</v>
      </c>
      <c r="AO835" s="201">
        <f t="shared" si="4222"/>
        <v>0</v>
      </c>
      <c r="AP835" s="201">
        <f t="shared" si="4222"/>
        <v>0</v>
      </c>
      <c r="AQ835" s="201">
        <f t="shared" si="4222"/>
        <v>0</v>
      </c>
      <c r="AR835" s="201">
        <f t="shared" si="4222"/>
        <v>0</v>
      </c>
      <c r="AS835" s="200">
        <f t="shared" si="4222"/>
        <v>0</v>
      </c>
      <c r="AT835" s="205">
        <v>0.0</v>
      </c>
      <c r="AU835" s="200">
        <f t="shared" ref="AU835:AX835" si="4223">countif($D835,"*"&amp;AU$2&amp;"*")</f>
        <v>1</v>
      </c>
      <c r="AV835" s="200">
        <f t="shared" si="4223"/>
        <v>0</v>
      </c>
      <c r="AW835" s="200">
        <f t="shared" si="4223"/>
        <v>0</v>
      </c>
      <c r="AX835" s="200">
        <f t="shared" si="4223"/>
        <v>0</v>
      </c>
      <c r="AY835" s="202">
        <v>0.0</v>
      </c>
      <c r="AZ835" s="200"/>
      <c r="BA835" s="171" t="str">
        <f t="shared" si="18"/>
        <v/>
      </c>
      <c r="BB835" s="171" t="str">
        <f t="shared" si="19"/>
        <v/>
      </c>
      <c r="BC835" s="171" t="str">
        <f t="shared" si="20"/>
        <v/>
      </c>
      <c r="BD835" s="171" t="str">
        <f t="shared" si="21"/>
        <v>Institutional</v>
      </c>
      <c r="BE835" s="171" t="str">
        <f t="shared" si="22"/>
        <v/>
      </c>
      <c r="BF835" s="171" t="str">
        <f t="shared" si="23"/>
        <v>Institutional</v>
      </c>
    </row>
    <row r="836">
      <c r="A836" s="171">
        <f t="array" ref="A836">XLOOKUP(C836,ICSE!A:A,ICSE!C:C,,2,1)</f>
        <v>2016</v>
      </c>
      <c r="B836" s="171" t="s">
        <v>5675</v>
      </c>
      <c r="C836" s="160">
        <v>1603.0</v>
      </c>
      <c r="D836" s="161" t="s">
        <v>6024</v>
      </c>
      <c r="E836" s="197" t="str">
        <f t="array" ref="E836">XLOOKUP(C836,ICSE!A:A,ICSE!Z:Z,,0,1)</f>
        <v>Not available (2) - Broken link.</v>
      </c>
      <c r="F836" s="198" t="s">
        <v>21</v>
      </c>
      <c r="G836" s="163" t="str">
        <f t="array" ref="G836">IF(B836="ICSE",IF(COUNTIFS(B:B,B836,C:C,C836)=XLOOKUP(C836,ICSE!A:A,ICSE!AA:AA,"ERROR",0,1),"OK","ERROR"),IF(B836="FSE",IF(COUNTIFS(B:B,B836,C:C,C836)=XLOOKUP(C836,FSE!A:A,FSE!AA:AA,"ERROR",0,1),"OK","ERROR")))</f>
        <v>OK</v>
      </c>
      <c r="H836" s="199">
        <f t="shared" ref="H836:O836" si="4224">countif($D836,"*"&amp;H$2&amp;"*")</f>
        <v>0</v>
      </c>
      <c r="I836" s="200">
        <f t="shared" si="4224"/>
        <v>0</v>
      </c>
      <c r="J836" s="200">
        <f t="shared" si="4224"/>
        <v>0</v>
      </c>
      <c r="K836" s="200">
        <f t="shared" si="4224"/>
        <v>0</v>
      </c>
      <c r="L836" s="200">
        <f t="shared" si="4224"/>
        <v>0</v>
      </c>
      <c r="M836" s="200">
        <f t="shared" si="4224"/>
        <v>0</v>
      </c>
      <c r="N836" s="200">
        <f t="shared" si="4224"/>
        <v>0</v>
      </c>
      <c r="O836" s="200">
        <f t="shared" si="4224"/>
        <v>0</v>
      </c>
      <c r="P836" s="200">
        <f t="shared" si="9"/>
        <v>0</v>
      </c>
      <c r="Q836" s="200">
        <f t="shared" ref="Q836:AC836" si="4225">countif($D836,"*"&amp;Q$2&amp;"*")</f>
        <v>0</v>
      </c>
      <c r="R836" s="200">
        <f t="shared" si="4225"/>
        <v>0</v>
      </c>
      <c r="S836" s="200">
        <f t="shared" si="4225"/>
        <v>0</v>
      </c>
      <c r="T836" s="200">
        <f t="shared" si="4225"/>
        <v>0</v>
      </c>
      <c r="U836" s="200">
        <f t="shared" si="4225"/>
        <v>0</v>
      </c>
      <c r="V836" s="200">
        <f t="shared" si="4225"/>
        <v>0</v>
      </c>
      <c r="W836" s="200">
        <f t="shared" si="4225"/>
        <v>0</v>
      </c>
      <c r="X836" s="200">
        <f t="shared" si="4225"/>
        <v>0</v>
      </c>
      <c r="Y836" s="200">
        <f t="shared" si="4225"/>
        <v>0</v>
      </c>
      <c r="Z836" s="200">
        <f t="shared" si="4225"/>
        <v>0</v>
      </c>
      <c r="AA836" s="200">
        <f t="shared" si="4225"/>
        <v>0</v>
      </c>
      <c r="AB836" s="200">
        <f t="shared" si="4225"/>
        <v>0</v>
      </c>
      <c r="AC836" s="200">
        <f t="shared" si="4225"/>
        <v>0</v>
      </c>
      <c r="AD836" s="200">
        <f t="shared" si="11"/>
        <v>1</v>
      </c>
      <c r="AE836" s="200">
        <f t="shared" ref="AE836:AG836" si="4226">countif($D836,"*"&amp;AE$2&amp;"*")</f>
        <v>0</v>
      </c>
      <c r="AF836" s="200">
        <f t="shared" si="4226"/>
        <v>0</v>
      </c>
      <c r="AG836" s="200">
        <f t="shared" si="4226"/>
        <v>0</v>
      </c>
      <c r="AH836" s="171">
        <f t="shared" si="13"/>
        <v>0</v>
      </c>
      <c r="AI836" s="200">
        <f t="shared" si="14"/>
        <v>0</v>
      </c>
      <c r="AJ836" s="200">
        <f t="shared" si="4227"/>
        <v>0</v>
      </c>
      <c r="AK836" s="201">
        <f t="shared" ref="AK836:AS836" si="4228">countif($D836,"*"&amp;AK$2&amp;"*")</f>
        <v>0</v>
      </c>
      <c r="AL836" s="201">
        <f t="shared" si="4228"/>
        <v>0</v>
      </c>
      <c r="AM836" s="201">
        <f t="shared" si="4228"/>
        <v>0</v>
      </c>
      <c r="AN836" s="201">
        <f t="shared" si="4228"/>
        <v>0</v>
      </c>
      <c r="AO836" s="201">
        <f t="shared" si="4228"/>
        <v>0</v>
      </c>
      <c r="AP836" s="201">
        <f t="shared" si="4228"/>
        <v>0</v>
      </c>
      <c r="AQ836" s="201">
        <f t="shared" si="4228"/>
        <v>0</v>
      </c>
      <c r="AR836" s="201">
        <f t="shared" si="4228"/>
        <v>0</v>
      </c>
      <c r="AS836" s="200">
        <f t="shared" si="4228"/>
        <v>0</v>
      </c>
      <c r="AT836" s="205">
        <v>0.0</v>
      </c>
      <c r="AU836" s="200">
        <f t="shared" ref="AU836:AX836" si="4229">countif($D836,"*"&amp;AU$2&amp;"*")</f>
        <v>1</v>
      </c>
      <c r="AV836" s="200">
        <f t="shared" si="4229"/>
        <v>0</v>
      </c>
      <c r="AW836" s="200">
        <f t="shared" si="4229"/>
        <v>0</v>
      </c>
      <c r="AX836" s="200">
        <f t="shared" si="4229"/>
        <v>0</v>
      </c>
      <c r="AY836" s="202">
        <v>0.0</v>
      </c>
      <c r="AZ836" s="200"/>
      <c r="BA836" s="171" t="str">
        <f t="shared" si="18"/>
        <v/>
      </c>
      <c r="BB836" s="171" t="str">
        <f t="shared" si="19"/>
        <v/>
      </c>
      <c r="BC836" s="171" t="str">
        <f t="shared" si="20"/>
        <v/>
      </c>
      <c r="BD836" s="171" t="str">
        <f t="shared" si="21"/>
        <v>Institutional</v>
      </c>
      <c r="BE836" s="171" t="str">
        <f t="shared" si="22"/>
        <v/>
      </c>
      <c r="BF836" s="171" t="str">
        <f t="shared" si="23"/>
        <v>Institutional</v>
      </c>
    </row>
    <row r="837">
      <c r="A837" s="171">
        <f t="array" ref="A837">XLOOKUP(C837,ICSE!A:A,ICSE!C:C,,2,1)</f>
        <v>2016</v>
      </c>
      <c r="B837" s="171" t="s">
        <v>5675</v>
      </c>
      <c r="C837" s="160">
        <v>1604.0</v>
      </c>
      <c r="D837" s="161" t="s">
        <v>724</v>
      </c>
      <c r="E837" s="197" t="str">
        <f t="array" ref="E837">XLOOKUP(C837,ICSE!A:A,ICSE!Z:Z,,0,1)</f>
        <v>Publicly available (1)</v>
      </c>
      <c r="F837" s="198" t="s">
        <v>20</v>
      </c>
      <c r="G837" s="163" t="str">
        <f t="array" ref="G837">IF(B837="ICSE",IF(COUNTIFS(B:B,B837,C:C,C837)=XLOOKUP(C837,ICSE!A:A,ICSE!AA:AA,"ERROR",0,1),"OK","ERROR"),IF(B837="FSE",IF(COUNTIFS(B:B,B837,C:C,C837)=XLOOKUP(C837,FSE!A:A,FSE!AA:AA,"ERROR",0,1),"OK","ERROR")))</f>
        <v>OK</v>
      </c>
      <c r="H837" s="199">
        <f t="shared" ref="H837:O837" si="4230">countif($D837,"*"&amp;H$2&amp;"*")</f>
        <v>0</v>
      </c>
      <c r="I837" s="200">
        <f t="shared" si="4230"/>
        <v>0</v>
      </c>
      <c r="J837" s="200">
        <f t="shared" si="4230"/>
        <v>0</v>
      </c>
      <c r="K837" s="200">
        <f t="shared" si="4230"/>
        <v>0</v>
      </c>
      <c r="L837" s="200">
        <f t="shared" si="4230"/>
        <v>0</v>
      </c>
      <c r="M837" s="200">
        <f t="shared" si="4230"/>
        <v>0</v>
      </c>
      <c r="N837" s="200">
        <f t="shared" si="4230"/>
        <v>0</v>
      </c>
      <c r="O837" s="200">
        <f t="shared" si="4230"/>
        <v>0</v>
      </c>
      <c r="P837" s="200">
        <f t="shared" si="9"/>
        <v>0</v>
      </c>
      <c r="Q837" s="200">
        <f t="shared" ref="Q837:AC837" si="4231">countif($D837,"*"&amp;Q$2&amp;"*")</f>
        <v>0</v>
      </c>
      <c r="R837" s="200">
        <f t="shared" si="4231"/>
        <v>0</v>
      </c>
      <c r="S837" s="200">
        <f t="shared" si="4231"/>
        <v>0</v>
      </c>
      <c r="T837" s="200">
        <f t="shared" si="4231"/>
        <v>0</v>
      </c>
      <c r="U837" s="200">
        <f t="shared" si="4231"/>
        <v>0</v>
      </c>
      <c r="V837" s="200">
        <f t="shared" si="4231"/>
        <v>0</v>
      </c>
      <c r="W837" s="200">
        <f t="shared" si="4231"/>
        <v>0</v>
      </c>
      <c r="X837" s="200">
        <f t="shared" si="4231"/>
        <v>0</v>
      </c>
      <c r="Y837" s="200">
        <f t="shared" si="4231"/>
        <v>0</v>
      </c>
      <c r="Z837" s="200">
        <f t="shared" si="4231"/>
        <v>0</v>
      </c>
      <c r="AA837" s="200">
        <f t="shared" si="4231"/>
        <v>0</v>
      </c>
      <c r="AB837" s="200">
        <f t="shared" si="4231"/>
        <v>0</v>
      </c>
      <c r="AC837" s="200">
        <f t="shared" si="4231"/>
        <v>0</v>
      </c>
      <c r="AD837" s="200">
        <f t="shared" si="11"/>
        <v>1</v>
      </c>
      <c r="AE837" s="200">
        <f t="shared" ref="AE837:AG837" si="4232">countif($D837,"*"&amp;AE$2&amp;"*")</f>
        <v>0</v>
      </c>
      <c r="AF837" s="200">
        <f t="shared" si="4232"/>
        <v>0</v>
      </c>
      <c r="AG837" s="200">
        <f t="shared" si="4232"/>
        <v>0</v>
      </c>
      <c r="AH837" s="171">
        <f t="shared" si="13"/>
        <v>0</v>
      </c>
      <c r="AI837" s="200">
        <f t="shared" si="14"/>
        <v>0</v>
      </c>
      <c r="AJ837" s="200">
        <f t="shared" si="4227"/>
        <v>0</v>
      </c>
      <c r="AK837" s="201">
        <f t="shared" ref="AK837:AS837" si="4233">countif($D837,"*"&amp;AK$2&amp;"*")</f>
        <v>0</v>
      </c>
      <c r="AL837" s="201">
        <f t="shared" si="4233"/>
        <v>0</v>
      </c>
      <c r="AM837" s="201">
        <f t="shared" si="4233"/>
        <v>0</v>
      </c>
      <c r="AN837" s="201">
        <f t="shared" si="4233"/>
        <v>0</v>
      </c>
      <c r="AO837" s="201">
        <f t="shared" si="4233"/>
        <v>0</v>
      </c>
      <c r="AP837" s="201">
        <f t="shared" si="4233"/>
        <v>0</v>
      </c>
      <c r="AQ837" s="201">
        <f t="shared" si="4233"/>
        <v>0</v>
      </c>
      <c r="AR837" s="201">
        <f t="shared" si="4233"/>
        <v>0</v>
      </c>
      <c r="AS837" s="200">
        <f t="shared" si="4233"/>
        <v>0</v>
      </c>
      <c r="AT837" s="205">
        <v>0.0</v>
      </c>
      <c r="AU837" s="200">
        <f t="shared" ref="AU837:AX837" si="4234">countif($D837,"*"&amp;AU$2&amp;"*")</f>
        <v>1</v>
      </c>
      <c r="AV837" s="200">
        <f t="shared" si="4234"/>
        <v>0</v>
      </c>
      <c r="AW837" s="200">
        <f t="shared" si="4234"/>
        <v>0</v>
      </c>
      <c r="AX837" s="200">
        <f t="shared" si="4234"/>
        <v>0</v>
      </c>
      <c r="AY837" s="202">
        <v>0.0</v>
      </c>
      <c r="AZ837" s="200"/>
      <c r="BA837" s="171" t="str">
        <f t="shared" si="18"/>
        <v/>
      </c>
      <c r="BB837" s="171" t="str">
        <f t="shared" si="19"/>
        <v/>
      </c>
      <c r="BC837" s="171" t="str">
        <f t="shared" si="20"/>
        <v/>
      </c>
      <c r="BD837" s="171" t="str">
        <f t="shared" si="21"/>
        <v>Institutional</v>
      </c>
      <c r="BE837" s="171" t="str">
        <f t="shared" si="22"/>
        <v/>
      </c>
      <c r="BF837" s="171" t="str">
        <f t="shared" si="23"/>
        <v>Institutional</v>
      </c>
    </row>
    <row r="838">
      <c r="A838" s="171">
        <f t="array" ref="A838">XLOOKUP(C838,ICSE!A:A,ICSE!C:C,,2,1)</f>
        <v>2016</v>
      </c>
      <c r="B838" s="171" t="s">
        <v>5675</v>
      </c>
      <c r="C838" s="160">
        <v>1605.0</v>
      </c>
      <c r="D838" s="161" t="s">
        <v>727</v>
      </c>
      <c r="E838" s="197" t="str">
        <f t="array" ref="E838">XLOOKUP(C838,ICSE!A:A,ICSE!Z:Z,,0,1)</f>
        <v>Publicly available (1)</v>
      </c>
      <c r="F838" s="198" t="s">
        <v>20</v>
      </c>
      <c r="G838" s="163" t="str">
        <f t="array" ref="G838">IF(B838="ICSE",IF(COUNTIFS(B:B,B838,C:C,C838)=XLOOKUP(C838,ICSE!A:A,ICSE!AA:AA,"ERROR",0,1),"OK","ERROR"),IF(B838="FSE",IF(COUNTIFS(B:B,B838,C:C,C838)=XLOOKUP(C838,FSE!A:A,FSE!AA:AA,"ERROR",0,1),"OK","ERROR")))</f>
        <v>OK</v>
      </c>
      <c r="H838" s="199">
        <f t="shared" ref="H838:O838" si="4235">countif($D838,"*"&amp;H$2&amp;"*")</f>
        <v>0</v>
      </c>
      <c r="I838" s="200">
        <f t="shared" si="4235"/>
        <v>0</v>
      </c>
      <c r="J838" s="200">
        <f t="shared" si="4235"/>
        <v>0</v>
      </c>
      <c r="K838" s="200">
        <f t="shared" si="4235"/>
        <v>0</v>
      </c>
      <c r="L838" s="200">
        <f t="shared" si="4235"/>
        <v>0</v>
      </c>
      <c r="M838" s="200">
        <f t="shared" si="4235"/>
        <v>0</v>
      </c>
      <c r="N838" s="200">
        <f t="shared" si="4235"/>
        <v>0</v>
      </c>
      <c r="O838" s="200">
        <f t="shared" si="4235"/>
        <v>0</v>
      </c>
      <c r="P838" s="200">
        <f t="shared" si="9"/>
        <v>0</v>
      </c>
      <c r="Q838" s="200">
        <f t="shared" ref="Q838:AC838" si="4236">countif($D838,"*"&amp;Q$2&amp;"*")</f>
        <v>0</v>
      </c>
      <c r="R838" s="200">
        <f t="shared" si="4236"/>
        <v>0</v>
      </c>
      <c r="S838" s="200">
        <f t="shared" si="4236"/>
        <v>0</v>
      </c>
      <c r="T838" s="200">
        <f t="shared" si="4236"/>
        <v>0</v>
      </c>
      <c r="U838" s="200">
        <f t="shared" si="4236"/>
        <v>0</v>
      </c>
      <c r="V838" s="200">
        <f t="shared" si="4236"/>
        <v>0</v>
      </c>
      <c r="W838" s="200">
        <f t="shared" si="4236"/>
        <v>0</v>
      </c>
      <c r="X838" s="200">
        <f t="shared" si="4236"/>
        <v>0</v>
      </c>
      <c r="Y838" s="200">
        <f t="shared" si="4236"/>
        <v>0</v>
      </c>
      <c r="Z838" s="200">
        <f t="shared" si="4236"/>
        <v>0</v>
      </c>
      <c r="AA838" s="200">
        <f t="shared" si="4236"/>
        <v>0</v>
      </c>
      <c r="AB838" s="200">
        <f t="shared" si="4236"/>
        <v>0</v>
      </c>
      <c r="AC838" s="200">
        <f t="shared" si="4236"/>
        <v>0</v>
      </c>
      <c r="AD838" s="200">
        <f t="shared" si="11"/>
        <v>1</v>
      </c>
      <c r="AE838" s="200">
        <f t="shared" ref="AE838:AG838" si="4237">countif($D838,"*"&amp;AE$2&amp;"*")</f>
        <v>0</v>
      </c>
      <c r="AF838" s="200">
        <f t="shared" si="4237"/>
        <v>0</v>
      </c>
      <c r="AG838" s="200">
        <f t="shared" si="4237"/>
        <v>0</v>
      </c>
      <c r="AH838" s="171">
        <f t="shared" si="13"/>
        <v>0</v>
      </c>
      <c r="AI838" s="200">
        <f t="shared" si="14"/>
        <v>0</v>
      </c>
      <c r="AJ838" s="200">
        <f t="shared" ref="AJ838:AJ840" si="4243">SUM(AK838:AR838)</f>
        <v>0</v>
      </c>
      <c r="AK838" s="201">
        <f t="shared" ref="AK838:AS838" si="4238">countif($D838,"*"&amp;AK$2&amp;"*")</f>
        <v>0</v>
      </c>
      <c r="AL838" s="201">
        <f t="shared" si="4238"/>
        <v>0</v>
      </c>
      <c r="AM838" s="201">
        <f t="shared" si="4238"/>
        <v>0</v>
      </c>
      <c r="AN838" s="201">
        <f t="shared" si="4238"/>
        <v>0</v>
      </c>
      <c r="AO838" s="201">
        <f t="shared" si="4238"/>
        <v>0</v>
      </c>
      <c r="AP838" s="201">
        <f t="shared" si="4238"/>
        <v>0</v>
      </c>
      <c r="AQ838" s="201">
        <f t="shared" si="4238"/>
        <v>0</v>
      </c>
      <c r="AR838" s="200">
        <f t="shared" si="4238"/>
        <v>0</v>
      </c>
      <c r="AS838" s="200">
        <f t="shared" si="4238"/>
        <v>0</v>
      </c>
      <c r="AT838" s="173">
        <v>1.0</v>
      </c>
      <c r="AU838" s="200">
        <f t="shared" ref="AU838:AX838" si="4239">countif($D838,"*"&amp;AU$2&amp;"*")</f>
        <v>0</v>
      </c>
      <c r="AV838" s="200">
        <f t="shared" si="4239"/>
        <v>0</v>
      </c>
      <c r="AW838" s="200">
        <f t="shared" si="4239"/>
        <v>0</v>
      </c>
      <c r="AX838" s="200">
        <f t="shared" si="4239"/>
        <v>0</v>
      </c>
      <c r="AY838" s="202">
        <v>0.0</v>
      </c>
      <c r="AZ838" s="200"/>
      <c r="BA838" s="171" t="str">
        <f t="shared" si="18"/>
        <v/>
      </c>
      <c r="BB838" s="171" t="str">
        <f t="shared" si="19"/>
        <v/>
      </c>
      <c r="BC838" s="171" t="str">
        <f t="shared" si="20"/>
        <v/>
      </c>
      <c r="BD838" s="171" t="str">
        <f t="shared" si="21"/>
        <v>Institutional</v>
      </c>
      <c r="BE838" s="171" t="str">
        <f t="shared" si="22"/>
        <v/>
      </c>
      <c r="BF838" s="171" t="str">
        <f t="shared" si="23"/>
        <v>Institutional</v>
      </c>
    </row>
    <row r="839">
      <c r="A839" s="171">
        <f t="array" ref="A839">XLOOKUP(C839,ICSE!A:A,ICSE!C:C,,2,1)</f>
        <v>2016</v>
      </c>
      <c r="B839" s="171" t="s">
        <v>5675</v>
      </c>
      <c r="C839" s="160">
        <v>1606.0</v>
      </c>
      <c r="D839" s="161" t="s">
        <v>730</v>
      </c>
      <c r="E839" s="197" t="str">
        <f t="array" ref="E839">XLOOKUP(C839,ICSE!A:A,ICSE!Z:Z,,0,1)</f>
        <v>Publicly available (1)</v>
      </c>
      <c r="F839" s="198" t="s">
        <v>20</v>
      </c>
      <c r="G839" s="163" t="str">
        <f t="array" ref="G839">IF(B839="ICSE",IF(COUNTIFS(B:B,B839,C:C,C839)=XLOOKUP(C839,ICSE!A:A,ICSE!AA:AA,"ERROR",0,1),"OK","ERROR"),IF(B839="FSE",IF(COUNTIFS(B:B,B839,C:C,C839)=XLOOKUP(C839,FSE!A:A,FSE!AA:AA,"ERROR",0,1),"OK","ERROR")))</f>
        <v>OK</v>
      </c>
      <c r="H839" s="199">
        <f t="shared" ref="H839:O839" si="4240">countif($D839,"*"&amp;H$2&amp;"*")</f>
        <v>0</v>
      </c>
      <c r="I839" s="200">
        <f t="shared" si="4240"/>
        <v>0</v>
      </c>
      <c r="J839" s="200">
        <f t="shared" si="4240"/>
        <v>0</v>
      </c>
      <c r="K839" s="200">
        <f t="shared" si="4240"/>
        <v>0</v>
      </c>
      <c r="L839" s="200">
        <f t="shared" si="4240"/>
        <v>0</v>
      </c>
      <c r="M839" s="200">
        <f t="shared" si="4240"/>
        <v>0</v>
      </c>
      <c r="N839" s="200">
        <f t="shared" si="4240"/>
        <v>0</v>
      </c>
      <c r="O839" s="200">
        <f t="shared" si="4240"/>
        <v>0</v>
      </c>
      <c r="P839" s="200">
        <f t="shared" si="9"/>
        <v>0</v>
      </c>
      <c r="Q839" s="200">
        <f t="shared" ref="Q839:AC839" si="4241">countif($D839,"*"&amp;Q$2&amp;"*")</f>
        <v>0</v>
      </c>
      <c r="R839" s="200">
        <f t="shared" si="4241"/>
        <v>0</v>
      </c>
      <c r="S839" s="200">
        <f t="shared" si="4241"/>
        <v>0</v>
      </c>
      <c r="T839" s="200">
        <f t="shared" si="4241"/>
        <v>0</v>
      </c>
      <c r="U839" s="200">
        <f t="shared" si="4241"/>
        <v>0</v>
      </c>
      <c r="V839" s="200">
        <f t="shared" si="4241"/>
        <v>0</v>
      </c>
      <c r="W839" s="200">
        <f t="shared" si="4241"/>
        <v>0</v>
      </c>
      <c r="X839" s="200">
        <f t="shared" si="4241"/>
        <v>0</v>
      </c>
      <c r="Y839" s="200">
        <f t="shared" si="4241"/>
        <v>0</v>
      </c>
      <c r="Z839" s="200">
        <f t="shared" si="4241"/>
        <v>0</v>
      </c>
      <c r="AA839" s="200">
        <f t="shared" si="4241"/>
        <v>0</v>
      </c>
      <c r="AB839" s="200">
        <f t="shared" si="4241"/>
        <v>0</v>
      </c>
      <c r="AC839" s="200">
        <f t="shared" si="4241"/>
        <v>0</v>
      </c>
      <c r="AD839" s="200">
        <f t="shared" si="11"/>
        <v>1</v>
      </c>
      <c r="AE839" s="200">
        <f t="shared" ref="AE839:AG839" si="4242">countif($D839,"*"&amp;AE$2&amp;"*")</f>
        <v>0</v>
      </c>
      <c r="AF839" s="200">
        <f t="shared" si="4242"/>
        <v>0</v>
      </c>
      <c r="AG839" s="200">
        <f t="shared" si="4242"/>
        <v>0</v>
      </c>
      <c r="AH839" s="171">
        <f t="shared" si="13"/>
        <v>0</v>
      </c>
      <c r="AI839" s="200">
        <f t="shared" si="14"/>
        <v>0</v>
      </c>
      <c r="AJ839" s="200">
        <f t="shared" si="4243"/>
        <v>0</v>
      </c>
      <c r="AK839" s="201">
        <f t="shared" ref="AK839:AS839" si="4244">countif($D839,"*"&amp;AK$2&amp;"*")</f>
        <v>0</v>
      </c>
      <c r="AL839" s="201">
        <f t="shared" si="4244"/>
        <v>0</v>
      </c>
      <c r="AM839" s="201">
        <f t="shared" si="4244"/>
        <v>0</v>
      </c>
      <c r="AN839" s="201">
        <f t="shared" si="4244"/>
        <v>0</v>
      </c>
      <c r="AO839" s="201">
        <f t="shared" si="4244"/>
        <v>0</v>
      </c>
      <c r="AP839" s="201">
        <f t="shared" si="4244"/>
        <v>0</v>
      </c>
      <c r="AQ839" s="201">
        <f t="shared" si="4244"/>
        <v>0</v>
      </c>
      <c r="AR839" s="200">
        <f t="shared" si="4244"/>
        <v>0</v>
      </c>
      <c r="AS839" s="200">
        <f t="shared" si="4244"/>
        <v>0</v>
      </c>
      <c r="AT839" s="173">
        <v>1.0</v>
      </c>
      <c r="AU839" s="200">
        <f t="shared" ref="AU839:AX839" si="4245">countif($D839,"*"&amp;AU$2&amp;"*")</f>
        <v>0</v>
      </c>
      <c r="AV839" s="200">
        <f t="shared" si="4245"/>
        <v>0</v>
      </c>
      <c r="AW839" s="200">
        <f t="shared" si="4245"/>
        <v>0</v>
      </c>
      <c r="AX839" s="200">
        <f t="shared" si="4245"/>
        <v>0</v>
      </c>
      <c r="AY839" s="202">
        <v>0.0</v>
      </c>
      <c r="AZ839" s="200"/>
      <c r="BA839" s="171" t="str">
        <f t="shared" si="18"/>
        <v/>
      </c>
      <c r="BB839" s="171" t="str">
        <f t="shared" si="19"/>
        <v/>
      </c>
      <c r="BC839" s="171" t="str">
        <f t="shared" si="20"/>
        <v/>
      </c>
      <c r="BD839" s="171" t="str">
        <f t="shared" si="21"/>
        <v>Institutional</v>
      </c>
      <c r="BE839" s="171" t="str">
        <f t="shared" si="22"/>
        <v/>
      </c>
      <c r="BF839" s="171" t="str">
        <f t="shared" si="23"/>
        <v>Institutional</v>
      </c>
    </row>
    <row r="840">
      <c r="A840" s="171">
        <f t="array" ref="A840">XLOOKUP(C840,ICSE!A:A,ICSE!C:C,,2,1)</f>
        <v>2015</v>
      </c>
      <c r="B840" s="171" t="s">
        <v>5675</v>
      </c>
      <c r="C840" s="160">
        <v>1670.0</v>
      </c>
      <c r="D840" s="161" t="s">
        <v>290</v>
      </c>
      <c r="E840" s="197" t="str">
        <f t="array" ref="E840">XLOOKUP(C840,ICSE!A:A,ICSE!Z:Z,,0,1)</f>
        <v>Publicly available (1)</v>
      </c>
      <c r="F840" s="198" t="s">
        <v>20</v>
      </c>
      <c r="G840" s="163" t="str">
        <f t="array" ref="G840">IF(B840="ICSE",IF(COUNTIFS(B:B,B840,C:C,C840)=XLOOKUP(C840,ICSE!A:A,ICSE!AA:AA,"ERROR",0,1),"OK","ERROR"),IF(B840="FSE",IF(COUNTIFS(B:B,B840,C:C,C840)=XLOOKUP(C840,FSE!A:A,FSE!AA:AA,"ERROR",0,1),"OK","ERROR")))</f>
        <v>OK</v>
      </c>
      <c r="H840" s="199">
        <f t="shared" ref="H840:O840" si="4246">countif($D840,"*"&amp;H$2&amp;"*")</f>
        <v>0</v>
      </c>
      <c r="I840" s="200">
        <f t="shared" si="4246"/>
        <v>0</v>
      </c>
      <c r="J840" s="200">
        <f t="shared" si="4246"/>
        <v>0</v>
      </c>
      <c r="K840" s="200">
        <f t="shared" si="4246"/>
        <v>0</v>
      </c>
      <c r="L840" s="200">
        <f t="shared" si="4246"/>
        <v>0</v>
      </c>
      <c r="M840" s="200">
        <f t="shared" si="4246"/>
        <v>0</v>
      </c>
      <c r="N840" s="200">
        <f t="shared" si="4246"/>
        <v>0</v>
      </c>
      <c r="O840" s="200">
        <f t="shared" si="4246"/>
        <v>0</v>
      </c>
      <c r="P840" s="200">
        <f t="shared" si="9"/>
        <v>0</v>
      </c>
      <c r="Q840" s="200">
        <f t="shared" ref="Q840:AC840" si="4247">countif($D840,"*"&amp;Q$2&amp;"*")</f>
        <v>0</v>
      </c>
      <c r="R840" s="200">
        <f t="shared" si="4247"/>
        <v>0</v>
      </c>
      <c r="S840" s="200">
        <f t="shared" si="4247"/>
        <v>0</v>
      </c>
      <c r="T840" s="200">
        <f t="shared" si="4247"/>
        <v>0</v>
      </c>
      <c r="U840" s="200">
        <f t="shared" si="4247"/>
        <v>0</v>
      </c>
      <c r="V840" s="200">
        <f t="shared" si="4247"/>
        <v>0</v>
      </c>
      <c r="W840" s="200">
        <f t="shared" si="4247"/>
        <v>0</v>
      </c>
      <c r="X840" s="200">
        <f t="shared" si="4247"/>
        <v>0</v>
      </c>
      <c r="Y840" s="200">
        <f t="shared" si="4247"/>
        <v>0</v>
      </c>
      <c r="Z840" s="200">
        <f t="shared" si="4247"/>
        <v>0</v>
      </c>
      <c r="AA840" s="200">
        <f t="shared" si="4247"/>
        <v>0</v>
      </c>
      <c r="AB840" s="200">
        <f t="shared" si="4247"/>
        <v>0</v>
      </c>
      <c r="AC840" s="200">
        <f t="shared" si="4247"/>
        <v>0</v>
      </c>
      <c r="AD840" s="200">
        <f t="shared" si="11"/>
        <v>1</v>
      </c>
      <c r="AE840" s="200">
        <f t="shared" ref="AE840:AG840" si="4248">countif($D840,"*"&amp;AE$2&amp;"*")</f>
        <v>0</v>
      </c>
      <c r="AF840" s="200">
        <f t="shared" si="4248"/>
        <v>0</v>
      </c>
      <c r="AG840" s="200">
        <f t="shared" si="4248"/>
        <v>0</v>
      </c>
      <c r="AH840" s="171">
        <f t="shared" si="13"/>
        <v>0</v>
      </c>
      <c r="AI840" s="200">
        <f t="shared" si="14"/>
        <v>0</v>
      </c>
      <c r="AJ840" s="200">
        <f t="shared" si="4243"/>
        <v>0</v>
      </c>
      <c r="AK840" s="201">
        <f t="shared" ref="AK840:AS840" si="4249">countif($D840,"*"&amp;AK$2&amp;"*")</f>
        <v>0</v>
      </c>
      <c r="AL840" s="201">
        <f t="shared" si="4249"/>
        <v>0</v>
      </c>
      <c r="AM840" s="201">
        <f t="shared" si="4249"/>
        <v>0</v>
      </c>
      <c r="AN840" s="201">
        <f t="shared" si="4249"/>
        <v>0</v>
      </c>
      <c r="AO840" s="201">
        <f t="shared" si="4249"/>
        <v>0</v>
      </c>
      <c r="AP840" s="201">
        <f t="shared" si="4249"/>
        <v>0</v>
      </c>
      <c r="AQ840" s="201">
        <f t="shared" si="4249"/>
        <v>0</v>
      </c>
      <c r="AR840" s="200">
        <f t="shared" si="4249"/>
        <v>0</v>
      </c>
      <c r="AS840" s="200">
        <f t="shared" si="4249"/>
        <v>0</v>
      </c>
      <c r="AT840" s="173">
        <v>1.0</v>
      </c>
      <c r="AU840" s="200">
        <f t="shared" ref="AU840:AX840" si="4250">countif($D840,"*"&amp;AU$2&amp;"*")</f>
        <v>0</v>
      </c>
      <c r="AV840" s="200">
        <f t="shared" si="4250"/>
        <v>0</v>
      </c>
      <c r="AW840" s="200">
        <f t="shared" si="4250"/>
        <v>0</v>
      </c>
      <c r="AX840" s="200">
        <f t="shared" si="4250"/>
        <v>0</v>
      </c>
      <c r="AY840" s="202">
        <v>0.0</v>
      </c>
      <c r="AZ840" s="200"/>
      <c r="BA840" s="171" t="str">
        <f t="shared" si="18"/>
        <v/>
      </c>
      <c r="BB840" s="171" t="str">
        <f t="shared" si="19"/>
        <v/>
      </c>
      <c r="BC840" s="171" t="str">
        <f t="shared" si="20"/>
        <v/>
      </c>
      <c r="BD840" s="171" t="str">
        <f t="shared" si="21"/>
        <v>Institutional</v>
      </c>
      <c r="BE840" s="171" t="str">
        <f t="shared" si="22"/>
        <v/>
      </c>
      <c r="BF840" s="171" t="str">
        <f t="shared" si="23"/>
        <v>Institutional</v>
      </c>
    </row>
    <row r="841">
      <c r="A841" s="171">
        <f t="array" ref="A841">XLOOKUP(C841,ICSE!A:A,ICSE!C:C,,2,1)</f>
        <v>2015</v>
      </c>
      <c r="B841" s="171" t="s">
        <v>5675</v>
      </c>
      <c r="C841" s="160">
        <v>1672.0</v>
      </c>
      <c r="D841" s="161" t="s">
        <v>294</v>
      </c>
      <c r="E841" s="197" t="str">
        <f t="array" ref="E841">XLOOKUP(C841,ICSE!A:A,ICSE!Z:Z,,0,1)</f>
        <v>Publicly available (1)</v>
      </c>
      <c r="F841" s="198" t="s">
        <v>20</v>
      </c>
      <c r="G841" s="163" t="str">
        <f t="array" ref="G841">IF(B841="ICSE",IF(COUNTIFS(B:B,B841,C:C,C841)=XLOOKUP(C841,ICSE!A:A,ICSE!AA:AA,"ERROR",0,1),"OK","ERROR"),IF(B841="FSE",IF(COUNTIFS(B:B,B841,C:C,C841)=XLOOKUP(C841,FSE!A:A,FSE!AA:AA,"ERROR",0,1),"OK","ERROR")))</f>
        <v>OK</v>
      </c>
      <c r="H841" s="199">
        <f t="shared" ref="H841:O841" si="4251">countif($D841,"*"&amp;H$2&amp;"*")</f>
        <v>0</v>
      </c>
      <c r="I841" s="200">
        <f t="shared" si="4251"/>
        <v>0</v>
      </c>
      <c r="J841" s="200">
        <f t="shared" si="4251"/>
        <v>0</v>
      </c>
      <c r="K841" s="200">
        <f t="shared" si="4251"/>
        <v>0</v>
      </c>
      <c r="L841" s="200">
        <f t="shared" si="4251"/>
        <v>0</v>
      </c>
      <c r="M841" s="200">
        <f t="shared" si="4251"/>
        <v>0</v>
      </c>
      <c r="N841" s="200">
        <f t="shared" si="4251"/>
        <v>0</v>
      </c>
      <c r="O841" s="200">
        <f t="shared" si="4251"/>
        <v>0</v>
      </c>
      <c r="P841" s="200">
        <f t="shared" si="9"/>
        <v>0</v>
      </c>
      <c r="Q841" s="200">
        <f t="shared" ref="Q841:AC841" si="4252">countif($D841,"*"&amp;Q$2&amp;"*")</f>
        <v>0</v>
      </c>
      <c r="R841" s="200">
        <f t="shared" si="4252"/>
        <v>0</v>
      </c>
      <c r="S841" s="200">
        <f t="shared" si="4252"/>
        <v>0</v>
      </c>
      <c r="T841" s="200">
        <f t="shared" si="4252"/>
        <v>0</v>
      </c>
      <c r="U841" s="200">
        <f t="shared" si="4252"/>
        <v>0</v>
      </c>
      <c r="V841" s="200">
        <f t="shared" si="4252"/>
        <v>0</v>
      </c>
      <c r="W841" s="200">
        <f t="shared" si="4252"/>
        <v>0</v>
      </c>
      <c r="X841" s="200">
        <f t="shared" si="4252"/>
        <v>0</v>
      </c>
      <c r="Y841" s="200">
        <f t="shared" si="4252"/>
        <v>0</v>
      </c>
      <c r="Z841" s="200">
        <f t="shared" si="4252"/>
        <v>0</v>
      </c>
      <c r="AA841" s="200">
        <f t="shared" si="4252"/>
        <v>0</v>
      </c>
      <c r="AB841" s="200">
        <f t="shared" si="4252"/>
        <v>0</v>
      </c>
      <c r="AC841" s="200">
        <f t="shared" si="4252"/>
        <v>0</v>
      </c>
      <c r="AD841" s="200">
        <f t="shared" si="11"/>
        <v>1</v>
      </c>
      <c r="AE841" s="200">
        <f t="shared" ref="AE841:AG841" si="4253">countif($D841,"*"&amp;AE$2&amp;"*")</f>
        <v>0</v>
      </c>
      <c r="AF841" s="200">
        <f t="shared" si="4253"/>
        <v>0</v>
      </c>
      <c r="AG841" s="200">
        <f t="shared" si="4253"/>
        <v>0</v>
      </c>
      <c r="AH841" s="171">
        <f t="shared" si="13"/>
        <v>0</v>
      </c>
      <c r="AI841" s="200">
        <f t="shared" si="14"/>
        <v>0</v>
      </c>
      <c r="AJ841" s="200">
        <f>SUM(AK841:AQ841)</f>
        <v>0</v>
      </c>
      <c r="AK841" s="201">
        <f t="shared" ref="AK841:AS841" si="4254">countif($D841,"*"&amp;AK$2&amp;"*")</f>
        <v>0</v>
      </c>
      <c r="AL841" s="201">
        <f t="shared" si="4254"/>
        <v>0</v>
      </c>
      <c r="AM841" s="201">
        <f t="shared" si="4254"/>
        <v>0</v>
      </c>
      <c r="AN841" s="201">
        <f t="shared" si="4254"/>
        <v>0</v>
      </c>
      <c r="AO841" s="201">
        <f t="shared" si="4254"/>
        <v>0</v>
      </c>
      <c r="AP841" s="201">
        <f t="shared" si="4254"/>
        <v>0</v>
      </c>
      <c r="AQ841" s="201">
        <f t="shared" si="4254"/>
        <v>0</v>
      </c>
      <c r="AR841" s="201">
        <f t="shared" si="4254"/>
        <v>0</v>
      </c>
      <c r="AS841" s="200">
        <f t="shared" si="4254"/>
        <v>0</v>
      </c>
      <c r="AT841" s="205">
        <v>0.0</v>
      </c>
      <c r="AU841" s="200">
        <f t="shared" ref="AU841:AX841" si="4255">countif($D841,"*"&amp;AU$2&amp;"*")</f>
        <v>1</v>
      </c>
      <c r="AV841" s="200">
        <f t="shared" si="4255"/>
        <v>0</v>
      </c>
      <c r="AW841" s="200">
        <f t="shared" si="4255"/>
        <v>0</v>
      </c>
      <c r="AX841" s="200">
        <f t="shared" si="4255"/>
        <v>0</v>
      </c>
      <c r="AY841" s="202">
        <v>0.0</v>
      </c>
      <c r="AZ841" s="200"/>
      <c r="BA841" s="171" t="str">
        <f t="shared" si="18"/>
        <v/>
      </c>
      <c r="BB841" s="171" t="str">
        <f t="shared" si="19"/>
        <v/>
      </c>
      <c r="BC841" s="171" t="str">
        <f t="shared" si="20"/>
        <v/>
      </c>
      <c r="BD841" s="171" t="str">
        <f t="shared" si="21"/>
        <v>Institutional</v>
      </c>
      <c r="BE841" s="171" t="str">
        <f t="shared" si="22"/>
        <v/>
      </c>
      <c r="BF841" s="171" t="str">
        <f t="shared" si="23"/>
        <v>Institutional</v>
      </c>
    </row>
    <row r="842">
      <c r="A842" s="171">
        <f t="array" ref="A842">XLOOKUP(C842,ICSE!A:A,ICSE!C:C,,2,1)</f>
        <v>2015</v>
      </c>
      <c r="B842" s="171" t="s">
        <v>5675</v>
      </c>
      <c r="C842" s="160">
        <v>1673.0</v>
      </c>
      <c r="D842" s="161" t="s">
        <v>297</v>
      </c>
      <c r="E842" s="197" t="str">
        <f t="array" ref="E842">XLOOKUP(C842,ICSE!A:A,ICSE!Z:Z,,0,1)</f>
        <v>Not available (1) - Broken link.</v>
      </c>
      <c r="F842" s="198" t="s">
        <v>21</v>
      </c>
      <c r="G842" s="163" t="str">
        <f t="array" ref="G842">IF(B842="ICSE",IF(COUNTIFS(B:B,B842,C:C,C842)=XLOOKUP(C842,ICSE!A:A,ICSE!AA:AA,"ERROR",0,1),"OK","ERROR"),IF(B842="FSE",IF(COUNTIFS(B:B,B842,C:C,C842)=XLOOKUP(C842,FSE!A:A,FSE!AA:AA,"ERROR",0,1),"OK","ERROR")))</f>
        <v>OK</v>
      </c>
      <c r="H842" s="199">
        <f t="shared" ref="H842:O842" si="4256">countif($D842,"*"&amp;H$2&amp;"*")</f>
        <v>0</v>
      </c>
      <c r="I842" s="200">
        <f t="shared" si="4256"/>
        <v>0</v>
      </c>
      <c r="J842" s="200">
        <f t="shared" si="4256"/>
        <v>0</v>
      </c>
      <c r="K842" s="200">
        <f t="shared" si="4256"/>
        <v>0</v>
      </c>
      <c r="L842" s="200">
        <f t="shared" si="4256"/>
        <v>0</v>
      </c>
      <c r="M842" s="200">
        <f t="shared" si="4256"/>
        <v>0</v>
      </c>
      <c r="N842" s="200">
        <f t="shared" si="4256"/>
        <v>0</v>
      </c>
      <c r="O842" s="200">
        <f t="shared" si="4256"/>
        <v>0</v>
      </c>
      <c r="P842" s="200">
        <f t="shared" si="9"/>
        <v>0</v>
      </c>
      <c r="Q842" s="200">
        <f t="shared" ref="Q842:AC842" si="4257">countif($D842,"*"&amp;Q$2&amp;"*")</f>
        <v>0</v>
      </c>
      <c r="R842" s="200">
        <f t="shared" si="4257"/>
        <v>0</v>
      </c>
      <c r="S842" s="200">
        <f t="shared" si="4257"/>
        <v>0</v>
      </c>
      <c r="T842" s="200">
        <f t="shared" si="4257"/>
        <v>0</v>
      </c>
      <c r="U842" s="200">
        <f t="shared" si="4257"/>
        <v>0</v>
      </c>
      <c r="V842" s="200">
        <f t="shared" si="4257"/>
        <v>0</v>
      </c>
      <c r="W842" s="200">
        <f t="shared" si="4257"/>
        <v>0</v>
      </c>
      <c r="X842" s="200">
        <f t="shared" si="4257"/>
        <v>0</v>
      </c>
      <c r="Y842" s="200">
        <f t="shared" si="4257"/>
        <v>0</v>
      </c>
      <c r="Z842" s="200">
        <f t="shared" si="4257"/>
        <v>0</v>
      </c>
      <c r="AA842" s="200">
        <f t="shared" si="4257"/>
        <v>1</v>
      </c>
      <c r="AB842" s="200">
        <f t="shared" si="4257"/>
        <v>0</v>
      </c>
      <c r="AC842" s="200">
        <f t="shared" si="4257"/>
        <v>0</v>
      </c>
      <c r="AD842" s="200">
        <f t="shared" si="11"/>
        <v>0</v>
      </c>
      <c r="AE842" s="200">
        <f t="shared" ref="AE842:AG842" si="4258">countif($D842,"*"&amp;AE$2&amp;"*")</f>
        <v>0</v>
      </c>
      <c r="AF842" s="200">
        <f t="shared" si="4258"/>
        <v>0</v>
      </c>
      <c r="AG842" s="200">
        <f t="shared" si="4258"/>
        <v>0</v>
      </c>
      <c r="AH842" s="171">
        <f t="shared" si="13"/>
        <v>0</v>
      </c>
      <c r="AI842" s="200">
        <f t="shared" si="14"/>
        <v>0</v>
      </c>
      <c r="AJ842" s="200">
        <f>SUM(AK842:AR842)</f>
        <v>0</v>
      </c>
      <c r="AK842" s="201">
        <f t="shared" ref="AK842:AS842" si="4259">countif($D842,"*"&amp;AK$2&amp;"*")</f>
        <v>0</v>
      </c>
      <c r="AL842" s="201">
        <f t="shared" si="4259"/>
        <v>0</v>
      </c>
      <c r="AM842" s="201">
        <f t="shared" si="4259"/>
        <v>0</v>
      </c>
      <c r="AN842" s="201">
        <f t="shared" si="4259"/>
        <v>0</v>
      </c>
      <c r="AO842" s="201">
        <f t="shared" si="4259"/>
        <v>0</v>
      </c>
      <c r="AP842" s="201">
        <f t="shared" si="4259"/>
        <v>0</v>
      </c>
      <c r="AQ842" s="201">
        <f t="shared" si="4259"/>
        <v>0</v>
      </c>
      <c r="AR842" s="200">
        <f t="shared" si="4259"/>
        <v>0</v>
      </c>
      <c r="AS842" s="200">
        <f t="shared" si="4259"/>
        <v>0</v>
      </c>
      <c r="AT842" s="173">
        <v>0.0</v>
      </c>
      <c r="AU842" s="200">
        <f t="shared" ref="AU842:AX842" si="4260">countif($D842,"*"&amp;AU$2&amp;"*")</f>
        <v>0</v>
      </c>
      <c r="AV842" s="200">
        <f t="shared" si="4260"/>
        <v>0</v>
      </c>
      <c r="AW842" s="200">
        <f t="shared" si="4260"/>
        <v>0</v>
      </c>
      <c r="AX842" s="200">
        <f t="shared" si="4260"/>
        <v>0</v>
      </c>
      <c r="AY842" s="202">
        <v>0.0</v>
      </c>
      <c r="AZ842" s="200"/>
      <c r="BA842" s="171" t="str">
        <f t="shared" si="18"/>
        <v/>
      </c>
      <c r="BB842" s="171" t="str">
        <f t="shared" si="19"/>
        <v/>
      </c>
      <c r="BC842" s="171" t="str">
        <f t="shared" si="20"/>
        <v>General-purpose</v>
      </c>
      <c r="BD842" s="171" t="str">
        <f t="shared" si="21"/>
        <v/>
      </c>
      <c r="BE842" s="171" t="str">
        <f t="shared" si="22"/>
        <v/>
      </c>
      <c r="BF842" s="171" t="str">
        <f t="shared" si="23"/>
        <v>General-purpose</v>
      </c>
    </row>
    <row r="843">
      <c r="A843" s="171">
        <f t="array" ref="A843">XLOOKUP(C843,ICSE!A:A,ICSE!C:C,,2,1)</f>
        <v>2015</v>
      </c>
      <c r="B843" s="171" t="s">
        <v>5675</v>
      </c>
      <c r="C843" s="160">
        <v>1674.0</v>
      </c>
      <c r="D843" s="161" t="s">
        <v>300</v>
      </c>
      <c r="E843" s="197" t="str">
        <f t="array" ref="E843">XLOOKUP(C843,ICSE!A:A,ICSE!Z:Z,,0,1)</f>
        <v>Publicly available (1)</v>
      </c>
      <c r="F843" s="198" t="s">
        <v>20</v>
      </c>
      <c r="G843" s="163" t="str">
        <f t="array" ref="G843">IF(B843="ICSE",IF(COUNTIFS(B:B,B843,C:C,C843)=XLOOKUP(C843,ICSE!A:A,ICSE!AA:AA,"ERROR",0,1),"OK","ERROR"),IF(B843="FSE",IF(COUNTIFS(B:B,B843,C:C,C843)=XLOOKUP(C843,FSE!A:A,FSE!AA:AA,"ERROR",0,1),"OK","ERROR")))</f>
        <v>OK</v>
      </c>
      <c r="H843" s="199">
        <f t="shared" ref="H843:O843" si="4261">countif($D843,"*"&amp;H$2&amp;"*")</f>
        <v>0</v>
      </c>
      <c r="I843" s="200">
        <f t="shared" si="4261"/>
        <v>0</v>
      </c>
      <c r="J843" s="200">
        <f t="shared" si="4261"/>
        <v>0</v>
      </c>
      <c r="K843" s="200">
        <f t="shared" si="4261"/>
        <v>0</v>
      </c>
      <c r="L843" s="200">
        <f t="shared" si="4261"/>
        <v>0</v>
      </c>
      <c r="M843" s="200">
        <f t="shared" si="4261"/>
        <v>0</v>
      </c>
      <c r="N843" s="200">
        <f t="shared" si="4261"/>
        <v>0</v>
      </c>
      <c r="O843" s="200">
        <f t="shared" si="4261"/>
        <v>0</v>
      </c>
      <c r="P843" s="200">
        <f t="shared" si="9"/>
        <v>0</v>
      </c>
      <c r="Q843" s="200">
        <f t="shared" ref="Q843:AC843" si="4262">countif($D843,"*"&amp;Q$2&amp;"*")</f>
        <v>0</v>
      </c>
      <c r="R843" s="200">
        <f t="shared" si="4262"/>
        <v>0</v>
      </c>
      <c r="S843" s="200">
        <f t="shared" si="4262"/>
        <v>0</v>
      </c>
      <c r="T843" s="200">
        <f t="shared" si="4262"/>
        <v>0</v>
      </c>
      <c r="U843" s="200">
        <f t="shared" si="4262"/>
        <v>0</v>
      </c>
      <c r="V843" s="200">
        <f t="shared" si="4262"/>
        <v>0</v>
      </c>
      <c r="W843" s="200">
        <f t="shared" si="4262"/>
        <v>0</v>
      </c>
      <c r="X843" s="200">
        <f t="shared" si="4262"/>
        <v>0</v>
      </c>
      <c r="Y843" s="200">
        <f t="shared" si="4262"/>
        <v>0</v>
      </c>
      <c r="Z843" s="200">
        <f t="shared" si="4262"/>
        <v>0</v>
      </c>
      <c r="AA843" s="200">
        <f t="shared" si="4262"/>
        <v>0</v>
      </c>
      <c r="AB843" s="200">
        <f t="shared" si="4262"/>
        <v>0</v>
      </c>
      <c r="AC843" s="200">
        <f t="shared" si="4262"/>
        <v>0</v>
      </c>
      <c r="AD843" s="200">
        <f t="shared" si="11"/>
        <v>1</v>
      </c>
      <c r="AE843" s="200">
        <f t="shared" ref="AE843:AG843" si="4263">countif($D843,"*"&amp;AE$2&amp;"*")</f>
        <v>0</v>
      </c>
      <c r="AF843" s="200">
        <f t="shared" si="4263"/>
        <v>0</v>
      </c>
      <c r="AG843" s="200">
        <f t="shared" si="4263"/>
        <v>0</v>
      </c>
      <c r="AH843" s="171">
        <f t="shared" si="13"/>
        <v>0</v>
      </c>
      <c r="AI843" s="200">
        <f t="shared" si="14"/>
        <v>0</v>
      </c>
      <c r="AJ843" s="200">
        <f t="shared" ref="AJ843:AJ846" si="4269">SUM(AK843:AQ843)</f>
        <v>0</v>
      </c>
      <c r="AK843" s="201">
        <f t="shared" ref="AK843:AS843" si="4264">countif($D843,"*"&amp;AK$2&amp;"*")</f>
        <v>0</v>
      </c>
      <c r="AL843" s="201">
        <f t="shared" si="4264"/>
        <v>0</v>
      </c>
      <c r="AM843" s="201">
        <f t="shared" si="4264"/>
        <v>0</v>
      </c>
      <c r="AN843" s="201">
        <f t="shared" si="4264"/>
        <v>0</v>
      </c>
      <c r="AO843" s="201">
        <f t="shared" si="4264"/>
        <v>0</v>
      </c>
      <c r="AP843" s="201">
        <f t="shared" si="4264"/>
        <v>0</v>
      </c>
      <c r="AQ843" s="201">
        <f t="shared" si="4264"/>
        <v>0</v>
      </c>
      <c r="AR843" s="201">
        <f t="shared" si="4264"/>
        <v>0</v>
      </c>
      <c r="AS843" s="200">
        <f t="shared" si="4264"/>
        <v>0</v>
      </c>
      <c r="AT843" s="205">
        <v>0.0</v>
      </c>
      <c r="AU843" s="200">
        <f t="shared" ref="AU843:AX843" si="4265">countif($D843,"*"&amp;AU$2&amp;"*")</f>
        <v>1</v>
      </c>
      <c r="AV843" s="200">
        <f t="shared" si="4265"/>
        <v>0</v>
      </c>
      <c r="AW843" s="200">
        <f t="shared" si="4265"/>
        <v>0</v>
      </c>
      <c r="AX843" s="200">
        <f t="shared" si="4265"/>
        <v>0</v>
      </c>
      <c r="AY843" s="202">
        <v>0.0</v>
      </c>
      <c r="AZ843" s="200"/>
      <c r="BA843" s="171" t="str">
        <f t="shared" si="18"/>
        <v/>
      </c>
      <c r="BB843" s="171" t="str">
        <f t="shared" si="19"/>
        <v/>
      </c>
      <c r="BC843" s="171" t="str">
        <f t="shared" si="20"/>
        <v/>
      </c>
      <c r="BD843" s="171" t="str">
        <f t="shared" si="21"/>
        <v>Institutional</v>
      </c>
      <c r="BE843" s="171" t="str">
        <f t="shared" si="22"/>
        <v/>
      </c>
      <c r="BF843" s="171" t="str">
        <f t="shared" si="23"/>
        <v>Institutional</v>
      </c>
    </row>
    <row r="844">
      <c r="A844" s="171">
        <f t="array" ref="A844">XLOOKUP(C844,ICSE!A:A,ICSE!C:C,,2,1)</f>
        <v>2015</v>
      </c>
      <c r="B844" s="171" t="s">
        <v>5675</v>
      </c>
      <c r="C844" s="160">
        <v>1676.0</v>
      </c>
      <c r="D844" s="161" t="s">
        <v>6025</v>
      </c>
      <c r="E844" s="197" t="str">
        <f t="array" ref="E844">XLOOKUP(C844,ICSE!A:A,ICSE!Z:Z,,0,1)</f>
        <v>Not available (2) - Broken link.</v>
      </c>
      <c r="F844" s="198" t="s">
        <v>21</v>
      </c>
      <c r="G844" s="163" t="str">
        <f t="array" ref="G844">IF(B844="ICSE",IF(COUNTIFS(B:B,B844,C:C,C844)=XLOOKUP(C844,ICSE!A:A,ICSE!AA:AA,"ERROR",0,1),"OK","ERROR"),IF(B844="FSE",IF(COUNTIFS(B:B,B844,C:C,C844)=XLOOKUP(C844,FSE!A:A,FSE!AA:AA,"ERROR",0,1),"OK","ERROR")))</f>
        <v>OK</v>
      </c>
      <c r="H844" s="199">
        <f t="shared" ref="H844:O844" si="4266">countif($D844,"*"&amp;H$2&amp;"*")</f>
        <v>0</v>
      </c>
      <c r="I844" s="200">
        <f t="shared" si="4266"/>
        <v>0</v>
      </c>
      <c r="J844" s="200">
        <f t="shared" si="4266"/>
        <v>0</v>
      </c>
      <c r="K844" s="200">
        <f t="shared" si="4266"/>
        <v>0</v>
      </c>
      <c r="L844" s="200">
        <f t="shared" si="4266"/>
        <v>0</v>
      </c>
      <c r="M844" s="200">
        <f t="shared" si="4266"/>
        <v>0</v>
      </c>
      <c r="N844" s="200">
        <f t="shared" si="4266"/>
        <v>0</v>
      </c>
      <c r="O844" s="200">
        <f t="shared" si="4266"/>
        <v>0</v>
      </c>
      <c r="P844" s="200">
        <f t="shared" si="9"/>
        <v>0</v>
      </c>
      <c r="Q844" s="200">
        <f t="shared" ref="Q844:AC844" si="4267">countif($D844,"*"&amp;Q$2&amp;"*")</f>
        <v>0</v>
      </c>
      <c r="R844" s="200">
        <f t="shared" si="4267"/>
        <v>0</v>
      </c>
      <c r="S844" s="200">
        <f t="shared" si="4267"/>
        <v>0</v>
      </c>
      <c r="T844" s="200">
        <f t="shared" si="4267"/>
        <v>0</v>
      </c>
      <c r="U844" s="200">
        <f t="shared" si="4267"/>
        <v>0</v>
      </c>
      <c r="V844" s="200">
        <f t="shared" si="4267"/>
        <v>0</v>
      </c>
      <c r="W844" s="200">
        <f t="shared" si="4267"/>
        <v>0</v>
      </c>
      <c r="X844" s="200">
        <f t="shared" si="4267"/>
        <v>0</v>
      </c>
      <c r="Y844" s="200">
        <f t="shared" si="4267"/>
        <v>0</v>
      </c>
      <c r="Z844" s="200">
        <f t="shared" si="4267"/>
        <v>0</v>
      </c>
      <c r="AA844" s="200">
        <f t="shared" si="4267"/>
        <v>0</v>
      </c>
      <c r="AB844" s="200">
        <f t="shared" si="4267"/>
        <v>0</v>
      </c>
      <c r="AC844" s="200">
        <f t="shared" si="4267"/>
        <v>0</v>
      </c>
      <c r="AD844" s="200">
        <f t="shared" si="11"/>
        <v>1</v>
      </c>
      <c r="AE844" s="200">
        <f t="shared" ref="AE844:AG844" si="4268">countif($D844,"*"&amp;AE$2&amp;"*")</f>
        <v>0</v>
      </c>
      <c r="AF844" s="200">
        <f t="shared" si="4268"/>
        <v>0</v>
      </c>
      <c r="AG844" s="200">
        <f t="shared" si="4268"/>
        <v>0</v>
      </c>
      <c r="AH844" s="171">
        <f t="shared" si="13"/>
        <v>0</v>
      </c>
      <c r="AI844" s="200">
        <f t="shared" si="14"/>
        <v>0</v>
      </c>
      <c r="AJ844" s="200">
        <f t="shared" si="4269"/>
        <v>0</v>
      </c>
      <c r="AK844" s="201">
        <f t="shared" ref="AK844:AS844" si="4270">countif($D844,"*"&amp;AK$2&amp;"*")</f>
        <v>0</v>
      </c>
      <c r="AL844" s="201">
        <f t="shared" si="4270"/>
        <v>0</v>
      </c>
      <c r="AM844" s="201">
        <f t="shared" si="4270"/>
        <v>0</v>
      </c>
      <c r="AN844" s="201">
        <f t="shared" si="4270"/>
        <v>0</v>
      </c>
      <c r="AO844" s="201">
        <f t="shared" si="4270"/>
        <v>0</v>
      </c>
      <c r="AP844" s="201">
        <f t="shared" si="4270"/>
        <v>0</v>
      </c>
      <c r="AQ844" s="201">
        <f t="shared" si="4270"/>
        <v>0</v>
      </c>
      <c r="AR844" s="201">
        <f t="shared" si="4270"/>
        <v>0</v>
      </c>
      <c r="AS844" s="200">
        <f t="shared" si="4270"/>
        <v>0</v>
      </c>
      <c r="AT844" s="205">
        <v>0.0</v>
      </c>
      <c r="AU844" s="200">
        <f t="shared" ref="AU844:AX844" si="4271">countif($D844,"*"&amp;AU$2&amp;"*")</f>
        <v>1</v>
      </c>
      <c r="AV844" s="200">
        <f t="shared" si="4271"/>
        <v>0</v>
      </c>
      <c r="AW844" s="200">
        <f t="shared" si="4271"/>
        <v>0</v>
      </c>
      <c r="AX844" s="200">
        <f t="shared" si="4271"/>
        <v>0</v>
      </c>
      <c r="AY844" s="202">
        <v>0.0</v>
      </c>
      <c r="AZ844" s="200"/>
      <c r="BA844" s="171" t="str">
        <f t="shared" si="18"/>
        <v/>
      </c>
      <c r="BB844" s="171" t="str">
        <f t="shared" si="19"/>
        <v/>
      </c>
      <c r="BC844" s="171" t="str">
        <f t="shared" si="20"/>
        <v/>
      </c>
      <c r="BD844" s="171" t="str">
        <f t="shared" si="21"/>
        <v>Institutional</v>
      </c>
      <c r="BE844" s="171" t="str">
        <f t="shared" si="22"/>
        <v/>
      </c>
      <c r="BF844" s="171" t="str">
        <f t="shared" si="23"/>
        <v>Institutional</v>
      </c>
    </row>
    <row r="845">
      <c r="A845" s="171">
        <f t="array" ref="A845">XLOOKUP(C845,ICSE!A:A,ICSE!C:C,,2,1)</f>
        <v>2015</v>
      </c>
      <c r="B845" s="171" t="s">
        <v>5675</v>
      </c>
      <c r="C845" s="160">
        <v>1676.0</v>
      </c>
      <c r="D845" s="161" t="s">
        <v>6026</v>
      </c>
      <c r="E845" s="197" t="str">
        <f t="array" ref="E845">XLOOKUP(C845,ICSE!A:A,ICSE!Z:Z,,0,1)</f>
        <v>Not available (2) - Broken link.</v>
      </c>
      <c r="F845" s="198" t="s">
        <v>21</v>
      </c>
      <c r="G845" s="163" t="str">
        <f t="array" ref="G845">IF(B845="ICSE",IF(COUNTIFS(B:B,B845,C:C,C845)=XLOOKUP(C845,ICSE!A:A,ICSE!AA:AA,"ERROR",0,1),"OK","ERROR"),IF(B845="FSE",IF(COUNTIFS(B:B,B845,C:C,C845)=XLOOKUP(C845,FSE!A:A,FSE!AA:AA,"ERROR",0,1),"OK","ERROR")))</f>
        <v>OK</v>
      </c>
      <c r="H845" s="199">
        <f t="shared" ref="H845:O845" si="4272">countif($D845,"*"&amp;H$2&amp;"*")</f>
        <v>0</v>
      </c>
      <c r="I845" s="200">
        <f t="shared" si="4272"/>
        <v>0</v>
      </c>
      <c r="J845" s="200">
        <f t="shared" si="4272"/>
        <v>0</v>
      </c>
      <c r="K845" s="200">
        <f t="shared" si="4272"/>
        <v>0</v>
      </c>
      <c r="L845" s="200">
        <f t="shared" si="4272"/>
        <v>0</v>
      </c>
      <c r="M845" s="200">
        <f t="shared" si="4272"/>
        <v>0</v>
      </c>
      <c r="N845" s="200">
        <f t="shared" si="4272"/>
        <v>0</v>
      </c>
      <c r="O845" s="200">
        <f t="shared" si="4272"/>
        <v>0</v>
      </c>
      <c r="P845" s="200">
        <f t="shared" si="9"/>
        <v>0</v>
      </c>
      <c r="Q845" s="200">
        <f t="shared" ref="Q845:AC845" si="4273">countif($D845,"*"&amp;Q$2&amp;"*")</f>
        <v>0</v>
      </c>
      <c r="R845" s="200">
        <f t="shared" si="4273"/>
        <v>0</v>
      </c>
      <c r="S845" s="200">
        <f t="shared" si="4273"/>
        <v>0</v>
      </c>
      <c r="T845" s="200">
        <f t="shared" si="4273"/>
        <v>0</v>
      </c>
      <c r="U845" s="200">
        <f t="shared" si="4273"/>
        <v>0</v>
      </c>
      <c r="V845" s="200">
        <f t="shared" si="4273"/>
        <v>0</v>
      </c>
      <c r="W845" s="200">
        <f t="shared" si="4273"/>
        <v>0</v>
      </c>
      <c r="X845" s="200">
        <f t="shared" si="4273"/>
        <v>0</v>
      </c>
      <c r="Y845" s="200">
        <f t="shared" si="4273"/>
        <v>0</v>
      </c>
      <c r="Z845" s="200">
        <f t="shared" si="4273"/>
        <v>0</v>
      </c>
      <c r="AA845" s="200">
        <f t="shared" si="4273"/>
        <v>0</v>
      </c>
      <c r="AB845" s="200">
        <f t="shared" si="4273"/>
        <v>0</v>
      </c>
      <c r="AC845" s="200">
        <f t="shared" si="4273"/>
        <v>0</v>
      </c>
      <c r="AD845" s="200">
        <f t="shared" si="11"/>
        <v>1</v>
      </c>
      <c r="AE845" s="200">
        <f t="shared" ref="AE845:AG845" si="4274">countif($D845,"*"&amp;AE$2&amp;"*")</f>
        <v>0</v>
      </c>
      <c r="AF845" s="200">
        <f t="shared" si="4274"/>
        <v>0</v>
      </c>
      <c r="AG845" s="200">
        <f t="shared" si="4274"/>
        <v>0</v>
      </c>
      <c r="AH845" s="171">
        <f t="shared" si="13"/>
        <v>0</v>
      </c>
      <c r="AI845" s="200">
        <f t="shared" si="14"/>
        <v>0</v>
      </c>
      <c r="AJ845" s="200">
        <f t="shared" si="4269"/>
        <v>0</v>
      </c>
      <c r="AK845" s="201">
        <f t="shared" ref="AK845:AS845" si="4275">countif($D845,"*"&amp;AK$2&amp;"*")</f>
        <v>0</v>
      </c>
      <c r="AL845" s="201">
        <f t="shared" si="4275"/>
        <v>0</v>
      </c>
      <c r="AM845" s="201">
        <f t="shared" si="4275"/>
        <v>0</v>
      </c>
      <c r="AN845" s="201">
        <f t="shared" si="4275"/>
        <v>0</v>
      </c>
      <c r="AO845" s="201">
        <f t="shared" si="4275"/>
        <v>0</v>
      </c>
      <c r="AP845" s="201">
        <f t="shared" si="4275"/>
        <v>0</v>
      </c>
      <c r="AQ845" s="201">
        <f t="shared" si="4275"/>
        <v>0</v>
      </c>
      <c r="AR845" s="201">
        <f t="shared" si="4275"/>
        <v>0</v>
      </c>
      <c r="AS845" s="200">
        <f t="shared" si="4275"/>
        <v>0</v>
      </c>
      <c r="AT845" s="205">
        <v>0.0</v>
      </c>
      <c r="AU845" s="200">
        <f t="shared" ref="AU845:AX845" si="4276">countif($D845,"*"&amp;AU$2&amp;"*")</f>
        <v>1</v>
      </c>
      <c r="AV845" s="200">
        <f t="shared" si="4276"/>
        <v>0</v>
      </c>
      <c r="AW845" s="200">
        <f t="shared" si="4276"/>
        <v>0</v>
      </c>
      <c r="AX845" s="200">
        <f t="shared" si="4276"/>
        <v>0</v>
      </c>
      <c r="AY845" s="202">
        <v>0.0</v>
      </c>
      <c r="AZ845" s="200"/>
      <c r="BA845" s="171" t="str">
        <f t="shared" si="18"/>
        <v/>
      </c>
      <c r="BB845" s="171" t="str">
        <f t="shared" si="19"/>
        <v/>
      </c>
      <c r="BC845" s="171" t="str">
        <f t="shared" si="20"/>
        <v/>
      </c>
      <c r="BD845" s="171" t="str">
        <f t="shared" si="21"/>
        <v>Institutional</v>
      </c>
      <c r="BE845" s="171" t="str">
        <f t="shared" si="22"/>
        <v/>
      </c>
      <c r="BF845" s="171" t="str">
        <f t="shared" si="23"/>
        <v>Institutional</v>
      </c>
    </row>
    <row r="846">
      <c r="A846" s="171">
        <f t="array" ref="A846">XLOOKUP(C846,ICSE!A:A,ICSE!C:C,,2,1)</f>
        <v>2015</v>
      </c>
      <c r="B846" s="171" t="s">
        <v>5675</v>
      </c>
      <c r="C846" s="160">
        <v>1677.0</v>
      </c>
      <c r="D846" s="161" t="s">
        <v>307</v>
      </c>
      <c r="E846" s="197" t="str">
        <f t="array" ref="E846">XLOOKUP(C846,ICSE!A:A,ICSE!Z:Z,,0,1)</f>
        <v>Publicly available (1)</v>
      </c>
      <c r="F846" s="198" t="s">
        <v>20</v>
      </c>
      <c r="G846" s="163" t="str">
        <f t="array" ref="G846">IF(B846="ICSE",IF(COUNTIFS(B:B,B846,C:C,C846)=XLOOKUP(C846,ICSE!A:A,ICSE!AA:AA,"ERROR",0,1),"OK","ERROR"),IF(B846="FSE",IF(COUNTIFS(B:B,B846,C:C,C846)=XLOOKUP(C846,FSE!A:A,FSE!AA:AA,"ERROR",0,1),"OK","ERROR")))</f>
        <v>OK</v>
      </c>
      <c r="H846" s="199">
        <f t="shared" ref="H846:O846" si="4277">countif($D846,"*"&amp;H$2&amp;"*")</f>
        <v>0</v>
      </c>
      <c r="I846" s="200">
        <f t="shared" si="4277"/>
        <v>0</v>
      </c>
      <c r="J846" s="200">
        <f t="shared" si="4277"/>
        <v>0</v>
      </c>
      <c r="K846" s="200">
        <f t="shared" si="4277"/>
        <v>0</v>
      </c>
      <c r="L846" s="200">
        <f t="shared" si="4277"/>
        <v>0</v>
      </c>
      <c r="M846" s="200">
        <f t="shared" si="4277"/>
        <v>0</v>
      </c>
      <c r="N846" s="200">
        <f t="shared" si="4277"/>
        <v>0</v>
      </c>
      <c r="O846" s="200">
        <f t="shared" si="4277"/>
        <v>0</v>
      </c>
      <c r="P846" s="200">
        <f t="shared" si="9"/>
        <v>0</v>
      </c>
      <c r="Q846" s="200">
        <f t="shared" ref="Q846:AC846" si="4278">countif($D846,"*"&amp;Q$2&amp;"*")</f>
        <v>0</v>
      </c>
      <c r="R846" s="200">
        <f t="shared" si="4278"/>
        <v>0</v>
      </c>
      <c r="S846" s="200">
        <f t="shared" si="4278"/>
        <v>0</v>
      </c>
      <c r="T846" s="200">
        <f t="shared" si="4278"/>
        <v>0</v>
      </c>
      <c r="U846" s="200">
        <f t="shared" si="4278"/>
        <v>0</v>
      </c>
      <c r="V846" s="200">
        <f t="shared" si="4278"/>
        <v>0</v>
      </c>
      <c r="W846" s="200">
        <f t="shared" si="4278"/>
        <v>0</v>
      </c>
      <c r="X846" s="200">
        <f t="shared" si="4278"/>
        <v>0</v>
      </c>
      <c r="Y846" s="200">
        <f t="shared" si="4278"/>
        <v>0</v>
      </c>
      <c r="Z846" s="200">
        <f t="shared" si="4278"/>
        <v>0</v>
      </c>
      <c r="AA846" s="200">
        <f t="shared" si="4278"/>
        <v>0</v>
      </c>
      <c r="AB846" s="200">
        <f t="shared" si="4278"/>
        <v>0</v>
      </c>
      <c r="AC846" s="200">
        <f t="shared" si="4278"/>
        <v>0</v>
      </c>
      <c r="AD846" s="200">
        <f t="shared" si="11"/>
        <v>1</v>
      </c>
      <c r="AE846" s="200">
        <f t="shared" ref="AE846:AG846" si="4279">countif($D846,"*"&amp;AE$2&amp;"*")</f>
        <v>0</v>
      </c>
      <c r="AF846" s="200">
        <f t="shared" si="4279"/>
        <v>0</v>
      </c>
      <c r="AG846" s="200">
        <f t="shared" si="4279"/>
        <v>0</v>
      </c>
      <c r="AH846" s="171">
        <f t="shared" si="13"/>
        <v>0</v>
      </c>
      <c r="AI846" s="200">
        <f t="shared" si="14"/>
        <v>0</v>
      </c>
      <c r="AJ846" s="200">
        <f t="shared" si="4269"/>
        <v>0</v>
      </c>
      <c r="AK846" s="201">
        <f t="shared" ref="AK846:AS846" si="4280">countif($D846,"*"&amp;AK$2&amp;"*")</f>
        <v>0</v>
      </c>
      <c r="AL846" s="201">
        <f t="shared" si="4280"/>
        <v>0</v>
      </c>
      <c r="AM846" s="201">
        <f t="shared" si="4280"/>
        <v>0</v>
      </c>
      <c r="AN846" s="201">
        <f t="shared" si="4280"/>
        <v>0</v>
      </c>
      <c r="AO846" s="201">
        <f t="shared" si="4280"/>
        <v>0</v>
      </c>
      <c r="AP846" s="201">
        <f t="shared" si="4280"/>
        <v>0</v>
      </c>
      <c r="AQ846" s="201">
        <f t="shared" si="4280"/>
        <v>0</v>
      </c>
      <c r="AR846" s="201">
        <f t="shared" si="4280"/>
        <v>0</v>
      </c>
      <c r="AS846" s="200">
        <f t="shared" si="4280"/>
        <v>0</v>
      </c>
      <c r="AT846" s="205">
        <v>0.0</v>
      </c>
      <c r="AU846" s="200">
        <f t="shared" ref="AU846:AX846" si="4281">countif($D846,"*"&amp;AU$2&amp;"*")</f>
        <v>1</v>
      </c>
      <c r="AV846" s="200">
        <f t="shared" si="4281"/>
        <v>0</v>
      </c>
      <c r="AW846" s="200">
        <f t="shared" si="4281"/>
        <v>0</v>
      </c>
      <c r="AX846" s="200">
        <f t="shared" si="4281"/>
        <v>0</v>
      </c>
      <c r="AY846" s="202">
        <v>0.0</v>
      </c>
      <c r="AZ846" s="200"/>
      <c r="BA846" s="171" t="str">
        <f t="shared" si="18"/>
        <v/>
      </c>
      <c r="BB846" s="171" t="str">
        <f t="shared" si="19"/>
        <v/>
      </c>
      <c r="BC846" s="171" t="str">
        <f t="shared" si="20"/>
        <v/>
      </c>
      <c r="BD846" s="171" t="str">
        <f t="shared" si="21"/>
        <v>Institutional</v>
      </c>
      <c r="BE846" s="171" t="str">
        <f t="shared" si="22"/>
        <v/>
      </c>
      <c r="BF846" s="171" t="str">
        <f t="shared" si="23"/>
        <v>Institutional</v>
      </c>
    </row>
    <row r="847">
      <c r="A847" s="171">
        <f t="array" ref="A847">XLOOKUP(C847,ICSE!A:A,ICSE!C:C,,2,1)</f>
        <v>2015</v>
      </c>
      <c r="B847" s="171" t="s">
        <v>5675</v>
      </c>
      <c r="C847" s="160">
        <v>1679.0</v>
      </c>
      <c r="D847" s="161" t="s">
        <v>311</v>
      </c>
      <c r="E847" s="197" t="str">
        <f t="array" ref="E847">XLOOKUP(C847,ICSE!A:A,ICSE!Z:Z,,0,1)</f>
        <v>Not available (1) - Broken link.</v>
      </c>
      <c r="F847" s="198" t="s">
        <v>21</v>
      </c>
      <c r="G847" s="163" t="str">
        <f t="array" ref="G847">IF(B847="ICSE",IF(COUNTIFS(B:B,B847,C:C,C847)=XLOOKUP(C847,ICSE!A:A,ICSE!AA:AA,"ERROR",0,1),"OK","ERROR"),IF(B847="FSE",IF(COUNTIFS(B:B,B847,C:C,C847)=XLOOKUP(C847,FSE!A:A,FSE!AA:AA,"ERROR",0,1),"OK","ERROR")))</f>
        <v>OK</v>
      </c>
      <c r="H847" s="199">
        <f t="shared" ref="H847:O847" si="4282">countif($D847,"*"&amp;H$2&amp;"*")</f>
        <v>0</v>
      </c>
      <c r="I847" s="200">
        <f t="shared" si="4282"/>
        <v>0</v>
      </c>
      <c r="J847" s="200">
        <f t="shared" si="4282"/>
        <v>0</v>
      </c>
      <c r="K847" s="200">
        <f t="shared" si="4282"/>
        <v>0</v>
      </c>
      <c r="L847" s="200">
        <f t="shared" si="4282"/>
        <v>0</v>
      </c>
      <c r="M847" s="200">
        <f t="shared" si="4282"/>
        <v>0</v>
      </c>
      <c r="N847" s="200">
        <f t="shared" si="4282"/>
        <v>0</v>
      </c>
      <c r="O847" s="200">
        <f t="shared" si="4282"/>
        <v>0</v>
      </c>
      <c r="P847" s="200">
        <f t="shared" si="9"/>
        <v>0</v>
      </c>
      <c r="Q847" s="200">
        <f t="shared" ref="Q847:AC847" si="4283">countif($D847,"*"&amp;Q$2&amp;"*")</f>
        <v>0</v>
      </c>
      <c r="R847" s="200">
        <f t="shared" si="4283"/>
        <v>0</v>
      </c>
      <c r="S847" s="200">
        <f t="shared" si="4283"/>
        <v>0</v>
      </c>
      <c r="T847" s="200">
        <f t="shared" si="4283"/>
        <v>0</v>
      </c>
      <c r="U847" s="200">
        <f t="shared" si="4283"/>
        <v>0</v>
      </c>
      <c r="V847" s="200">
        <f t="shared" si="4283"/>
        <v>0</v>
      </c>
      <c r="W847" s="200">
        <f t="shared" si="4283"/>
        <v>0</v>
      </c>
      <c r="X847" s="200">
        <f t="shared" si="4283"/>
        <v>0</v>
      </c>
      <c r="Y847" s="200">
        <f t="shared" si="4283"/>
        <v>0</v>
      </c>
      <c r="Z847" s="200">
        <f t="shared" si="4283"/>
        <v>0</v>
      </c>
      <c r="AA847" s="200">
        <f t="shared" si="4283"/>
        <v>1</v>
      </c>
      <c r="AB847" s="200">
        <f t="shared" si="4283"/>
        <v>0</v>
      </c>
      <c r="AC847" s="200">
        <f t="shared" si="4283"/>
        <v>0</v>
      </c>
      <c r="AD847" s="200">
        <f t="shared" si="11"/>
        <v>0</v>
      </c>
      <c r="AE847" s="200">
        <f t="shared" ref="AE847:AG847" si="4284">countif($D847,"*"&amp;AE$2&amp;"*")</f>
        <v>0</v>
      </c>
      <c r="AF847" s="200">
        <f t="shared" si="4284"/>
        <v>0</v>
      </c>
      <c r="AG847" s="200">
        <f t="shared" si="4284"/>
        <v>0</v>
      </c>
      <c r="AH847" s="171">
        <f t="shared" si="13"/>
        <v>0</v>
      </c>
      <c r="AI847" s="200">
        <f t="shared" si="14"/>
        <v>0</v>
      </c>
      <c r="AJ847" s="200">
        <f t="shared" ref="AJ847:AJ850" si="4290">SUM(AK847:AR847)</f>
        <v>0</v>
      </c>
      <c r="AK847" s="201">
        <f t="shared" ref="AK847:AS847" si="4285">countif($D847,"*"&amp;AK$2&amp;"*")</f>
        <v>0</v>
      </c>
      <c r="AL847" s="201">
        <f t="shared" si="4285"/>
        <v>0</v>
      </c>
      <c r="AM847" s="201">
        <f t="shared" si="4285"/>
        <v>0</v>
      </c>
      <c r="AN847" s="201">
        <f t="shared" si="4285"/>
        <v>0</v>
      </c>
      <c r="AO847" s="201">
        <f t="shared" si="4285"/>
        <v>0</v>
      </c>
      <c r="AP847" s="201">
        <f t="shared" si="4285"/>
        <v>0</v>
      </c>
      <c r="AQ847" s="201">
        <f t="shared" si="4285"/>
        <v>0</v>
      </c>
      <c r="AR847" s="200">
        <f t="shared" si="4285"/>
        <v>0</v>
      </c>
      <c r="AS847" s="200">
        <f t="shared" si="4285"/>
        <v>0</v>
      </c>
      <c r="AT847" s="173">
        <v>0.0</v>
      </c>
      <c r="AU847" s="209">
        <v>0.0</v>
      </c>
      <c r="AV847" s="200">
        <f t="shared" ref="AV847:AX847" si="4286">countif($D847,"*"&amp;AV$2&amp;"*")</f>
        <v>0</v>
      </c>
      <c r="AW847" s="200">
        <f t="shared" si="4286"/>
        <v>0</v>
      </c>
      <c r="AX847" s="200">
        <f t="shared" si="4286"/>
        <v>0</v>
      </c>
      <c r="AY847" s="202">
        <v>0.0</v>
      </c>
      <c r="AZ847" s="200"/>
      <c r="BA847" s="171" t="str">
        <f t="shared" si="18"/>
        <v/>
      </c>
      <c r="BB847" s="171" t="str">
        <f t="shared" si="19"/>
        <v/>
      </c>
      <c r="BC847" s="171" t="str">
        <f t="shared" si="20"/>
        <v>General-purpose</v>
      </c>
      <c r="BD847" s="171" t="str">
        <f t="shared" si="21"/>
        <v/>
      </c>
      <c r="BE847" s="171" t="str">
        <f t="shared" si="22"/>
        <v/>
      </c>
      <c r="BF847" s="171" t="str">
        <f t="shared" si="23"/>
        <v>General-purpose</v>
      </c>
    </row>
    <row r="848">
      <c r="A848" s="171">
        <f t="array" ref="A848">XLOOKUP(C848,ICSE!A:A,ICSE!C:C,,2,1)</f>
        <v>2015</v>
      </c>
      <c r="B848" s="171" t="s">
        <v>5675</v>
      </c>
      <c r="C848" s="160">
        <v>1680.0</v>
      </c>
      <c r="D848" s="161" t="s">
        <v>314</v>
      </c>
      <c r="E848" s="197" t="str">
        <f t="array" ref="E848">XLOOKUP(C848,ICSE!A:A,ICSE!Z:Z,,0,1)</f>
        <v>Publicly available (1)</v>
      </c>
      <c r="F848" s="198" t="s">
        <v>20</v>
      </c>
      <c r="G848" s="163" t="str">
        <f t="array" ref="G848">IF(B848="ICSE",IF(COUNTIFS(B:B,B848,C:C,C848)=XLOOKUP(C848,ICSE!A:A,ICSE!AA:AA,"ERROR",0,1),"OK","ERROR"),IF(B848="FSE",IF(COUNTIFS(B:B,B848,C:C,C848)=XLOOKUP(C848,FSE!A:A,FSE!AA:AA,"ERROR",0,1),"OK","ERROR")))</f>
        <v>OK</v>
      </c>
      <c r="H848" s="199">
        <f t="shared" ref="H848:O848" si="4287">countif($D848,"*"&amp;H$2&amp;"*")</f>
        <v>0</v>
      </c>
      <c r="I848" s="200">
        <f t="shared" si="4287"/>
        <v>0</v>
      </c>
      <c r="J848" s="200">
        <f t="shared" si="4287"/>
        <v>0</v>
      </c>
      <c r="K848" s="200">
        <f t="shared" si="4287"/>
        <v>0</v>
      </c>
      <c r="L848" s="200">
        <f t="shared" si="4287"/>
        <v>0</v>
      </c>
      <c r="M848" s="200">
        <f t="shared" si="4287"/>
        <v>0</v>
      </c>
      <c r="N848" s="200">
        <f t="shared" si="4287"/>
        <v>0</v>
      </c>
      <c r="O848" s="200">
        <f t="shared" si="4287"/>
        <v>0</v>
      </c>
      <c r="P848" s="200">
        <f t="shared" si="9"/>
        <v>0</v>
      </c>
      <c r="Q848" s="200">
        <f t="shared" ref="Q848:AC848" si="4288">countif($D848,"*"&amp;Q$2&amp;"*")</f>
        <v>0</v>
      </c>
      <c r="R848" s="200">
        <f t="shared" si="4288"/>
        <v>0</v>
      </c>
      <c r="S848" s="200">
        <f t="shared" si="4288"/>
        <v>0</v>
      </c>
      <c r="T848" s="200">
        <f t="shared" si="4288"/>
        <v>0</v>
      </c>
      <c r="U848" s="200">
        <f t="shared" si="4288"/>
        <v>0</v>
      </c>
      <c r="V848" s="200">
        <f t="shared" si="4288"/>
        <v>0</v>
      </c>
      <c r="W848" s="200">
        <f t="shared" si="4288"/>
        <v>0</v>
      </c>
      <c r="X848" s="200">
        <f t="shared" si="4288"/>
        <v>0</v>
      </c>
      <c r="Y848" s="200">
        <f t="shared" si="4288"/>
        <v>0</v>
      </c>
      <c r="Z848" s="200">
        <f t="shared" si="4288"/>
        <v>0</v>
      </c>
      <c r="AA848" s="200">
        <f t="shared" si="4288"/>
        <v>0</v>
      </c>
      <c r="AB848" s="200">
        <f t="shared" si="4288"/>
        <v>0</v>
      </c>
      <c r="AC848" s="200">
        <f t="shared" si="4288"/>
        <v>0</v>
      </c>
      <c r="AD848" s="200">
        <f t="shared" si="11"/>
        <v>0</v>
      </c>
      <c r="AE848" s="200">
        <f t="shared" ref="AE848:AG848" si="4289">countif($D848,"*"&amp;AE$2&amp;"*")</f>
        <v>0</v>
      </c>
      <c r="AF848" s="200">
        <f t="shared" si="4289"/>
        <v>0</v>
      </c>
      <c r="AG848" s="200">
        <f t="shared" si="4289"/>
        <v>0</v>
      </c>
      <c r="AH848" s="171">
        <f t="shared" si="13"/>
        <v>1</v>
      </c>
      <c r="AI848" s="200">
        <f t="shared" si="14"/>
        <v>0</v>
      </c>
      <c r="AJ848" s="200">
        <f t="shared" si="4290"/>
        <v>0</v>
      </c>
      <c r="AK848" s="201">
        <f t="shared" ref="AK848:AS848" si="4291">countif($D848,"*"&amp;AK$2&amp;"*")</f>
        <v>0</v>
      </c>
      <c r="AL848" s="201">
        <f t="shared" si="4291"/>
        <v>0</v>
      </c>
      <c r="AM848" s="201">
        <f t="shared" si="4291"/>
        <v>0</v>
      </c>
      <c r="AN848" s="201">
        <f t="shared" si="4291"/>
        <v>0</v>
      </c>
      <c r="AO848" s="201">
        <f t="shared" si="4291"/>
        <v>0</v>
      </c>
      <c r="AP848" s="201">
        <f t="shared" si="4291"/>
        <v>0</v>
      </c>
      <c r="AQ848" s="201">
        <f t="shared" si="4291"/>
        <v>0</v>
      </c>
      <c r="AR848" s="200">
        <f t="shared" si="4291"/>
        <v>0</v>
      </c>
      <c r="AS848" s="200">
        <f t="shared" si="4291"/>
        <v>0</v>
      </c>
      <c r="AT848" s="173">
        <v>0.0</v>
      </c>
      <c r="AU848" s="200">
        <f t="shared" ref="AU848:AX848" si="4292">countif($D848,"*"&amp;AU$2&amp;"*")</f>
        <v>0</v>
      </c>
      <c r="AV848" s="200">
        <f t="shared" si="4292"/>
        <v>0</v>
      </c>
      <c r="AW848" s="200">
        <f t="shared" si="4292"/>
        <v>0</v>
      </c>
      <c r="AX848" s="200">
        <f t="shared" si="4292"/>
        <v>0</v>
      </c>
      <c r="AY848" s="202">
        <v>0.0</v>
      </c>
      <c r="AZ848" s="200"/>
      <c r="BA848" s="171" t="str">
        <f t="shared" si="18"/>
        <v/>
      </c>
      <c r="BB848" s="171" t="str">
        <f t="shared" si="19"/>
        <v/>
      </c>
      <c r="BC848" s="171" t="str">
        <f t="shared" si="20"/>
        <v/>
      </c>
      <c r="BD848" s="171" t="str">
        <f t="shared" si="21"/>
        <v/>
      </c>
      <c r="BE848" s="171" t="str">
        <f t="shared" si="22"/>
        <v>Others</v>
      </c>
      <c r="BF848" s="171" t="str">
        <f t="shared" si="23"/>
        <v>Others</v>
      </c>
    </row>
    <row r="849">
      <c r="A849" s="171">
        <f t="array" ref="A849">XLOOKUP(C849,ICSE!A:A,ICSE!C:C,,2,1)</f>
        <v>2015</v>
      </c>
      <c r="B849" s="171" t="s">
        <v>5675</v>
      </c>
      <c r="C849" s="160">
        <v>1685.0</v>
      </c>
      <c r="D849" s="161" t="s">
        <v>321</v>
      </c>
      <c r="E849" s="197" t="str">
        <f t="array" ref="E849">XLOOKUP(C849,ICSE!A:A,ICSE!Z:Z,,0,1)</f>
        <v>Publicly available (1)</v>
      </c>
      <c r="F849" s="198" t="s">
        <v>20</v>
      </c>
      <c r="G849" s="163" t="str">
        <f t="array" ref="G849">IF(B849="ICSE",IF(COUNTIFS(B:B,B849,C:C,C849)=XLOOKUP(C849,ICSE!A:A,ICSE!AA:AA,"ERROR",0,1),"OK","ERROR"),IF(B849="FSE",IF(COUNTIFS(B:B,B849,C:C,C849)=XLOOKUP(C849,FSE!A:A,FSE!AA:AA,"ERROR",0,1),"OK","ERROR")))</f>
        <v>OK</v>
      </c>
      <c r="H849" s="199">
        <f t="shared" ref="H849:O849" si="4293">countif($D849,"*"&amp;H$2&amp;"*")</f>
        <v>0</v>
      </c>
      <c r="I849" s="200">
        <f t="shared" si="4293"/>
        <v>0</v>
      </c>
      <c r="J849" s="200">
        <f t="shared" si="4293"/>
        <v>0</v>
      </c>
      <c r="K849" s="200">
        <f t="shared" si="4293"/>
        <v>0</v>
      </c>
      <c r="L849" s="200">
        <f t="shared" si="4293"/>
        <v>0</v>
      </c>
      <c r="M849" s="200">
        <f t="shared" si="4293"/>
        <v>0</v>
      </c>
      <c r="N849" s="200">
        <f t="shared" si="4293"/>
        <v>0</v>
      </c>
      <c r="O849" s="200">
        <f t="shared" si="4293"/>
        <v>0</v>
      </c>
      <c r="P849" s="200">
        <f t="shared" si="9"/>
        <v>0</v>
      </c>
      <c r="Q849" s="200">
        <f t="shared" ref="Q849:AC849" si="4294">countif($D849,"*"&amp;Q$2&amp;"*")</f>
        <v>0</v>
      </c>
      <c r="R849" s="200">
        <f t="shared" si="4294"/>
        <v>0</v>
      </c>
      <c r="S849" s="200">
        <f t="shared" si="4294"/>
        <v>0</v>
      </c>
      <c r="T849" s="200">
        <f t="shared" si="4294"/>
        <v>0</v>
      </c>
      <c r="U849" s="200">
        <f t="shared" si="4294"/>
        <v>0</v>
      </c>
      <c r="V849" s="200">
        <f t="shared" si="4294"/>
        <v>0</v>
      </c>
      <c r="W849" s="200">
        <f t="shared" si="4294"/>
        <v>0</v>
      </c>
      <c r="X849" s="200">
        <f t="shared" si="4294"/>
        <v>0</v>
      </c>
      <c r="Y849" s="200">
        <f t="shared" si="4294"/>
        <v>0</v>
      </c>
      <c r="Z849" s="200">
        <f t="shared" si="4294"/>
        <v>0</v>
      </c>
      <c r="AA849" s="200">
        <f t="shared" si="4294"/>
        <v>0</v>
      </c>
      <c r="AB849" s="200">
        <f t="shared" si="4294"/>
        <v>0</v>
      </c>
      <c r="AC849" s="200">
        <f t="shared" si="4294"/>
        <v>0</v>
      </c>
      <c r="AD849" s="200">
        <f t="shared" si="11"/>
        <v>0</v>
      </c>
      <c r="AE849" s="200">
        <f t="shared" ref="AE849:AG849" si="4295">countif($D849,"*"&amp;AE$2&amp;"*")</f>
        <v>0</v>
      </c>
      <c r="AF849" s="200">
        <f t="shared" si="4295"/>
        <v>0</v>
      </c>
      <c r="AG849" s="200">
        <f t="shared" si="4295"/>
        <v>0</v>
      </c>
      <c r="AH849" s="171">
        <f t="shared" si="13"/>
        <v>1</v>
      </c>
      <c r="AI849" s="200">
        <f t="shared" si="14"/>
        <v>0</v>
      </c>
      <c r="AJ849" s="200">
        <f t="shared" si="4290"/>
        <v>0</v>
      </c>
      <c r="AK849" s="201">
        <f t="shared" ref="AK849:AS849" si="4296">countif($D849,"*"&amp;AK$2&amp;"*")</f>
        <v>0</v>
      </c>
      <c r="AL849" s="201">
        <f t="shared" si="4296"/>
        <v>0</v>
      </c>
      <c r="AM849" s="201">
        <f t="shared" si="4296"/>
        <v>0</v>
      </c>
      <c r="AN849" s="201">
        <f t="shared" si="4296"/>
        <v>0</v>
      </c>
      <c r="AO849" s="201">
        <f t="shared" si="4296"/>
        <v>0</v>
      </c>
      <c r="AP849" s="201">
        <f t="shared" si="4296"/>
        <v>0</v>
      </c>
      <c r="AQ849" s="201">
        <f t="shared" si="4296"/>
        <v>0</v>
      </c>
      <c r="AR849" s="200">
        <f t="shared" si="4296"/>
        <v>0</v>
      </c>
      <c r="AS849" s="200">
        <f t="shared" si="4296"/>
        <v>0</v>
      </c>
      <c r="AT849" s="173">
        <v>0.0</v>
      </c>
      <c r="AU849" s="200">
        <f t="shared" ref="AU849:AX849" si="4297">countif($D849,"*"&amp;AU$2&amp;"*")</f>
        <v>0</v>
      </c>
      <c r="AV849" s="200">
        <f t="shared" si="4297"/>
        <v>0</v>
      </c>
      <c r="AW849" s="200">
        <f t="shared" si="4297"/>
        <v>0</v>
      </c>
      <c r="AX849" s="200">
        <f t="shared" si="4297"/>
        <v>0</v>
      </c>
      <c r="AY849" s="202">
        <v>0.0</v>
      </c>
      <c r="AZ849" s="200"/>
      <c r="BA849" s="171" t="str">
        <f t="shared" si="18"/>
        <v/>
      </c>
      <c r="BB849" s="171" t="str">
        <f t="shared" si="19"/>
        <v/>
      </c>
      <c r="BC849" s="171" t="str">
        <f t="shared" si="20"/>
        <v/>
      </c>
      <c r="BD849" s="171" t="str">
        <f t="shared" si="21"/>
        <v/>
      </c>
      <c r="BE849" s="171" t="str">
        <f t="shared" si="22"/>
        <v>Others</v>
      </c>
      <c r="BF849" s="171" t="str">
        <f t="shared" si="23"/>
        <v>Others</v>
      </c>
    </row>
    <row r="850">
      <c r="A850" s="171">
        <f t="array" ref="A850">XLOOKUP(C850,ICSE!A:A,ICSE!C:C,,2,1)</f>
        <v>2015</v>
      </c>
      <c r="B850" s="171" t="s">
        <v>5675</v>
      </c>
      <c r="C850" s="160">
        <v>1687.0</v>
      </c>
      <c r="D850" s="161" t="s">
        <v>325</v>
      </c>
      <c r="E850" s="197" t="str">
        <f t="array" ref="E850">XLOOKUP(C850,ICSE!A:A,ICSE!Z:Z,,0,1)</f>
        <v>Publicly available (1)</v>
      </c>
      <c r="F850" s="198" t="s">
        <v>20</v>
      </c>
      <c r="G850" s="163" t="str">
        <f t="array" ref="G850">IF(B850="ICSE",IF(COUNTIFS(B:B,B850,C:C,C850)=XLOOKUP(C850,ICSE!A:A,ICSE!AA:AA,"ERROR",0,1),"OK","ERROR"),IF(B850="FSE",IF(COUNTIFS(B:B,B850,C:C,C850)=XLOOKUP(C850,FSE!A:A,FSE!AA:AA,"ERROR",0,1),"OK","ERROR")))</f>
        <v>OK</v>
      </c>
      <c r="H850" s="199">
        <f t="shared" ref="H850:O850" si="4298">countif($D850,"*"&amp;H$2&amp;"*")</f>
        <v>0</v>
      </c>
      <c r="I850" s="200">
        <f t="shared" si="4298"/>
        <v>0</v>
      </c>
      <c r="J850" s="200">
        <f t="shared" si="4298"/>
        <v>0</v>
      </c>
      <c r="K850" s="200">
        <f t="shared" si="4298"/>
        <v>0</v>
      </c>
      <c r="L850" s="200">
        <f t="shared" si="4298"/>
        <v>0</v>
      </c>
      <c r="M850" s="200">
        <f t="shared" si="4298"/>
        <v>0</v>
      </c>
      <c r="N850" s="200">
        <f t="shared" si="4298"/>
        <v>0</v>
      </c>
      <c r="O850" s="200">
        <f t="shared" si="4298"/>
        <v>0</v>
      </c>
      <c r="P850" s="200">
        <f t="shared" si="9"/>
        <v>0</v>
      </c>
      <c r="Q850" s="200">
        <f t="shared" ref="Q850:AC850" si="4299">countif($D850,"*"&amp;Q$2&amp;"*")</f>
        <v>0</v>
      </c>
      <c r="R850" s="200">
        <f t="shared" si="4299"/>
        <v>0</v>
      </c>
      <c r="S850" s="200">
        <f t="shared" si="4299"/>
        <v>0</v>
      </c>
      <c r="T850" s="200">
        <f t="shared" si="4299"/>
        <v>0</v>
      </c>
      <c r="U850" s="200">
        <f t="shared" si="4299"/>
        <v>0</v>
      </c>
      <c r="V850" s="200">
        <f t="shared" si="4299"/>
        <v>0</v>
      </c>
      <c r="W850" s="200">
        <f t="shared" si="4299"/>
        <v>0</v>
      </c>
      <c r="X850" s="200">
        <f t="shared" si="4299"/>
        <v>0</v>
      </c>
      <c r="Y850" s="200">
        <f t="shared" si="4299"/>
        <v>0</v>
      </c>
      <c r="Z850" s="200">
        <f t="shared" si="4299"/>
        <v>0</v>
      </c>
      <c r="AA850" s="200">
        <f t="shared" si="4299"/>
        <v>0</v>
      </c>
      <c r="AB850" s="200">
        <f t="shared" si="4299"/>
        <v>0</v>
      </c>
      <c r="AC850" s="200">
        <f t="shared" si="4299"/>
        <v>0</v>
      </c>
      <c r="AD850" s="200">
        <f t="shared" si="11"/>
        <v>0</v>
      </c>
      <c r="AE850" s="200">
        <f t="shared" ref="AE850:AG850" si="4300">countif($D850,"*"&amp;AE$2&amp;"*")</f>
        <v>0</v>
      </c>
      <c r="AF850" s="200">
        <f t="shared" si="4300"/>
        <v>0</v>
      </c>
      <c r="AG850" s="200">
        <f t="shared" si="4300"/>
        <v>0</v>
      </c>
      <c r="AH850" s="171">
        <f t="shared" si="13"/>
        <v>1</v>
      </c>
      <c r="AI850" s="200">
        <f t="shared" si="14"/>
        <v>0</v>
      </c>
      <c r="AJ850" s="200">
        <f t="shared" si="4290"/>
        <v>0</v>
      </c>
      <c r="AK850" s="201">
        <f t="shared" ref="AK850:AS850" si="4301">countif($D850,"*"&amp;AK$2&amp;"*")</f>
        <v>0</v>
      </c>
      <c r="AL850" s="201">
        <f t="shared" si="4301"/>
        <v>0</v>
      </c>
      <c r="AM850" s="201">
        <f t="shared" si="4301"/>
        <v>0</v>
      </c>
      <c r="AN850" s="201">
        <f t="shared" si="4301"/>
        <v>0</v>
      </c>
      <c r="AO850" s="201">
        <f t="shared" si="4301"/>
        <v>0</v>
      </c>
      <c r="AP850" s="201">
        <f t="shared" si="4301"/>
        <v>0</v>
      </c>
      <c r="AQ850" s="201">
        <f t="shared" si="4301"/>
        <v>0</v>
      </c>
      <c r="AR850" s="200">
        <f t="shared" si="4301"/>
        <v>0</v>
      </c>
      <c r="AS850" s="200">
        <f t="shared" si="4301"/>
        <v>0</v>
      </c>
      <c r="AT850" s="173">
        <v>0.0</v>
      </c>
      <c r="AU850" s="200">
        <f t="shared" ref="AU850:AX850" si="4302">countif($D850,"*"&amp;AU$2&amp;"*")</f>
        <v>0</v>
      </c>
      <c r="AV850" s="200">
        <f t="shared" si="4302"/>
        <v>0</v>
      </c>
      <c r="AW850" s="200">
        <f t="shared" si="4302"/>
        <v>0</v>
      </c>
      <c r="AX850" s="200">
        <f t="shared" si="4302"/>
        <v>0</v>
      </c>
      <c r="AY850" s="202">
        <v>0.0</v>
      </c>
      <c r="AZ850" s="200"/>
      <c r="BA850" s="171" t="str">
        <f t="shared" si="18"/>
        <v/>
      </c>
      <c r="BB850" s="171" t="str">
        <f t="shared" si="19"/>
        <v/>
      </c>
      <c r="BC850" s="171" t="str">
        <f t="shared" si="20"/>
        <v/>
      </c>
      <c r="BD850" s="171" t="str">
        <f t="shared" si="21"/>
        <v/>
      </c>
      <c r="BE850" s="171" t="str">
        <f t="shared" si="22"/>
        <v>Others</v>
      </c>
      <c r="BF850" s="171" t="str">
        <f t="shared" si="23"/>
        <v>Others</v>
      </c>
    </row>
    <row r="851">
      <c r="A851" s="171">
        <f t="array" ref="A851">XLOOKUP(C851,ICSE!A:A,ICSE!C:C,,2,1)</f>
        <v>2015</v>
      </c>
      <c r="B851" s="171" t="s">
        <v>5675</v>
      </c>
      <c r="C851" s="160">
        <v>1688.0</v>
      </c>
      <c r="D851" s="161" t="s">
        <v>6027</v>
      </c>
      <c r="E851" s="197" t="str">
        <f t="array" ref="E851">XLOOKUP(C851,ICSE!A:A,ICSE!Z:Z,,0,1)</f>
        <v>Publicly available (2)</v>
      </c>
      <c r="F851" s="198" t="s">
        <v>20</v>
      </c>
      <c r="G851" s="163" t="str">
        <f t="array" ref="G851">IF(B851="ICSE",IF(COUNTIFS(B:B,B851,C:C,C851)=XLOOKUP(C851,ICSE!A:A,ICSE!AA:AA,"ERROR",0,1),"OK","ERROR"),IF(B851="FSE",IF(COUNTIFS(B:B,B851,C:C,C851)=XLOOKUP(C851,FSE!A:A,FSE!AA:AA,"ERROR",0,1),"OK","ERROR")))</f>
        <v>OK</v>
      </c>
      <c r="H851" s="199">
        <f t="shared" ref="H851:O851" si="4303">countif($D851,"*"&amp;H$2&amp;"*")</f>
        <v>0</v>
      </c>
      <c r="I851" s="200">
        <f t="shared" si="4303"/>
        <v>0</v>
      </c>
      <c r="J851" s="200">
        <f t="shared" si="4303"/>
        <v>0</v>
      </c>
      <c r="K851" s="200">
        <f t="shared" si="4303"/>
        <v>0</v>
      </c>
      <c r="L851" s="200">
        <f t="shared" si="4303"/>
        <v>0</v>
      </c>
      <c r="M851" s="200">
        <f t="shared" si="4303"/>
        <v>0</v>
      </c>
      <c r="N851" s="200">
        <f t="shared" si="4303"/>
        <v>0</v>
      </c>
      <c r="O851" s="200">
        <f t="shared" si="4303"/>
        <v>0</v>
      </c>
      <c r="P851" s="200">
        <f t="shared" si="9"/>
        <v>0</v>
      </c>
      <c r="Q851" s="200">
        <f t="shared" ref="Q851:AC851" si="4304">countif($D851,"*"&amp;Q$2&amp;"*")</f>
        <v>0</v>
      </c>
      <c r="R851" s="200">
        <f t="shared" si="4304"/>
        <v>0</v>
      </c>
      <c r="S851" s="200">
        <f t="shared" si="4304"/>
        <v>0</v>
      </c>
      <c r="T851" s="200">
        <f t="shared" si="4304"/>
        <v>0</v>
      </c>
      <c r="U851" s="200">
        <f t="shared" si="4304"/>
        <v>0</v>
      </c>
      <c r="V851" s="200">
        <f t="shared" si="4304"/>
        <v>0</v>
      </c>
      <c r="W851" s="200">
        <f t="shared" si="4304"/>
        <v>0</v>
      </c>
      <c r="X851" s="200">
        <f t="shared" si="4304"/>
        <v>0</v>
      </c>
      <c r="Y851" s="200">
        <f t="shared" si="4304"/>
        <v>0</v>
      </c>
      <c r="Z851" s="200">
        <f t="shared" si="4304"/>
        <v>0</v>
      </c>
      <c r="AA851" s="200">
        <f t="shared" si="4304"/>
        <v>0</v>
      </c>
      <c r="AB851" s="200">
        <f t="shared" si="4304"/>
        <v>0</v>
      </c>
      <c r="AC851" s="200">
        <f t="shared" si="4304"/>
        <v>0</v>
      </c>
      <c r="AD851" s="200">
        <f t="shared" si="11"/>
        <v>1</v>
      </c>
      <c r="AE851" s="200">
        <f t="shared" ref="AE851:AG851" si="4305">countif($D851,"*"&amp;AE$2&amp;"*")</f>
        <v>0</v>
      </c>
      <c r="AF851" s="200">
        <f t="shared" si="4305"/>
        <v>0</v>
      </c>
      <c r="AG851" s="200">
        <f t="shared" si="4305"/>
        <v>0</v>
      </c>
      <c r="AH851" s="171">
        <f t="shared" si="13"/>
        <v>0</v>
      </c>
      <c r="AI851" s="200">
        <f t="shared" si="14"/>
        <v>0</v>
      </c>
      <c r="AJ851" s="200">
        <f t="shared" ref="AJ851:AJ853" si="4311">SUM(AK851:AQ851)</f>
        <v>0</v>
      </c>
      <c r="AK851" s="201">
        <f t="shared" ref="AK851:AS851" si="4306">countif($D851,"*"&amp;AK$2&amp;"*")</f>
        <v>0</v>
      </c>
      <c r="AL851" s="201">
        <f t="shared" si="4306"/>
        <v>0</v>
      </c>
      <c r="AM851" s="201">
        <f t="shared" si="4306"/>
        <v>0</v>
      </c>
      <c r="AN851" s="201">
        <f t="shared" si="4306"/>
        <v>0</v>
      </c>
      <c r="AO851" s="201">
        <f t="shared" si="4306"/>
        <v>0</v>
      </c>
      <c r="AP851" s="201">
        <f t="shared" si="4306"/>
        <v>0</v>
      </c>
      <c r="AQ851" s="201">
        <f t="shared" si="4306"/>
        <v>0</v>
      </c>
      <c r="AR851" s="201">
        <f t="shared" si="4306"/>
        <v>0</v>
      </c>
      <c r="AS851" s="200">
        <f t="shared" si="4306"/>
        <v>0</v>
      </c>
      <c r="AT851" s="205">
        <v>0.0</v>
      </c>
      <c r="AU851" s="200">
        <f t="shared" ref="AU851:AX851" si="4307">countif($D851,"*"&amp;AU$2&amp;"*")</f>
        <v>1</v>
      </c>
      <c r="AV851" s="200">
        <f t="shared" si="4307"/>
        <v>0</v>
      </c>
      <c r="AW851" s="200">
        <f t="shared" si="4307"/>
        <v>0</v>
      </c>
      <c r="AX851" s="200">
        <f t="shared" si="4307"/>
        <v>0</v>
      </c>
      <c r="AY851" s="202">
        <v>0.0</v>
      </c>
      <c r="AZ851" s="200"/>
      <c r="BA851" s="171" t="str">
        <f t="shared" si="18"/>
        <v/>
      </c>
      <c r="BB851" s="171" t="str">
        <f t="shared" si="19"/>
        <v/>
      </c>
      <c r="BC851" s="171" t="str">
        <f t="shared" si="20"/>
        <v/>
      </c>
      <c r="BD851" s="171" t="str">
        <f t="shared" si="21"/>
        <v>Institutional</v>
      </c>
      <c r="BE851" s="171" t="str">
        <f t="shared" si="22"/>
        <v/>
      </c>
      <c r="BF851" s="171" t="str">
        <f t="shared" si="23"/>
        <v>Institutional</v>
      </c>
    </row>
    <row r="852">
      <c r="A852" s="171">
        <f t="array" ref="A852">XLOOKUP(C852,ICSE!A:A,ICSE!C:C,,2,1)</f>
        <v>2015</v>
      </c>
      <c r="B852" s="171" t="s">
        <v>5675</v>
      </c>
      <c r="C852" s="160">
        <v>1688.0</v>
      </c>
      <c r="D852" s="161" t="s">
        <v>6028</v>
      </c>
      <c r="E852" s="197" t="str">
        <f t="array" ref="E852">XLOOKUP(C852,ICSE!A:A,ICSE!Z:Z,,0,1)</f>
        <v>Publicly available (2)</v>
      </c>
      <c r="F852" s="198" t="s">
        <v>20</v>
      </c>
      <c r="G852" s="163" t="str">
        <f t="array" ref="G852">IF(B852="ICSE",IF(COUNTIFS(B:B,B852,C:C,C852)=XLOOKUP(C852,ICSE!A:A,ICSE!AA:AA,"ERROR",0,1),"OK","ERROR"),IF(B852="FSE",IF(COUNTIFS(B:B,B852,C:C,C852)=XLOOKUP(C852,FSE!A:A,FSE!AA:AA,"ERROR",0,1),"OK","ERROR")))</f>
        <v>OK</v>
      </c>
      <c r="H852" s="199">
        <f t="shared" ref="H852:O852" si="4308">countif($D852,"*"&amp;H$2&amp;"*")</f>
        <v>0</v>
      </c>
      <c r="I852" s="200">
        <f t="shared" si="4308"/>
        <v>0</v>
      </c>
      <c r="J852" s="200">
        <f t="shared" si="4308"/>
        <v>0</v>
      </c>
      <c r="K852" s="200">
        <f t="shared" si="4308"/>
        <v>0</v>
      </c>
      <c r="L852" s="200">
        <f t="shared" si="4308"/>
        <v>0</v>
      </c>
      <c r="M852" s="200">
        <f t="shared" si="4308"/>
        <v>0</v>
      </c>
      <c r="N852" s="200">
        <f t="shared" si="4308"/>
        <v>0</v>
      </c>
      <c r="O852" s="200">
        <f t="shared" si="4308"/>
        <v>0</v>
      </c>
      <c r="P852" s="200">
        <f t="shared" si="9"/>
        <v>0</v>
      </c>
      <c r="Q852" s="200">
        <f t="shared" ref="Q852:AC852" si="4309">countif($D852,"*"&amp;Q$2&amp;"*")</f>
        <v>0</v>
      </c>
      <c r="R852" s="200">
        <f t="shared" si="4309"/>
        <v>0</v>
      </c>
      <c r="S852" s="200">
        <f t="shared" si="4309"/>
        <v>0</v>
      </c>
      <c r="T852" s="200">
        <f t="shared" si="4309"/>
        <v>0</v>
      </c>
      <c r="U852" s="200">
        <f t="shared" si="4309"/>
        <v>0</v>
      </c>
      <c r="V852" s="200">
        <f t="shared" si="4309"/>
        <v>0</v>
      </c>
      <c r="W852" s="200">
        <f t="shared" si="4309"/>
        <v>0</v>
      </c>
      <c r="X852" s="200">
        <f t="shared" si="4309"/>
        <v>0</v>
      </c>
      <c r="Y852" s="200">
        <f t="shared" si="4309"/>
        <v>0</v>
      </c>
      <c r="Z852" s="200">
        <f t="shared" si="4309"/>
        <v>0</v>
      </c>
      <c r="AA852" s="200">
        <f t="shared" si="4309"/>
        <v>0</v>
      </c>
      <c r="AB852" s="200">
        <f t="shared" si="4309"/>
        <v>0</v>
      </c>
      <c r="AC852" s="200">
        <f t="shared" si="4309"/>
        <v>0</v>
      </c>
      <c r="AD852" s="200">
        <f t="shared" si="11"/>
        <v>1</v>
      </c>
      <c r="AE852" s="200">
        <f t="shared" ref="AE852:AG852" si="4310">countif($D852,"*"&amp;AE$2&amp;"*")</f>
        <v>0</v>
      </c>
      <c r="AF852" s="200">
        <f t="shared" si="4310"/>
        <v>0</v>
      </c>
      <c r="AG852" s="200">
        <f t="shared" si="4310"/>
        <v>0</v>
      </c>
      <c r="AH852" s="171">
        <f t="shared" si="13"/>
        <v>0</v>
      </c>
      <c r="AI852" s="200">
        <f t="shared" si="14"/>
        <v>0</v>
      </c>
      <c r="AJ852" s="200">
        <f t="shared" si="4311"/>
        <v>0</v>
      </c>
      <c r="AK852" s="201">
        <f t="shared" ref="AK852:AS852" si="4312">countif($D852,"*"&amp;AK$2&amp;"*")</f>
        <v>0</v>
      </c>
      <c r="AL852" s="201">
        <f t="shared" si="4312"/>
        <v>0</v>
      </c>
      <c r="AM852" s="201">
        <f t="shared" si="4312"/>
        <v>0</v>
      </c>
      <c r="AN852" s="201">
        <f t="shared" si="4312"/>
        <v>0</v>
      </c>
      <c r="AO852" s="201">
        <f t="shared" si="4312"/>
        <v>0</v>
      </c>
      <c r="AP852" s="201">
        <f t="shared" si="4312"/>
        <v>0</v>
      </c>
      <c r="AQ852" s="201">
        <f t="shared" si="4312"/>
        <v>0</v>
      </c>
      <c r="AR852" s="201">
        <f t="shared" si="4312"/>
        <v>0</v>
      </c>
      <c r="AS852" s="200">
        <f t="shared" si="4312"/>
        <v>0</v>
      </c>
      <c r="AT852" s="205">
        <v>0.0</v>
      </c>
      <c r="AU852" s="200">
        <f t="shared" ref="AU852:AX852" si="4313">countif($D852,"*"&amp;AU$2&amp;"*")</f>
        <v>1</v>
      </c>
      <c r="AV852" s="200">
        <f t="shared" si="4313"/>
        <v>0</v>
      </c>
      <c r="AW852" s="200">
        <f t="shared" si="4313"/>
        <v>0</v>
      </c>
      <c r="AX852" s="200">
        <f t="shared" si="4313"/>
        <v>0</v>
      </c>
      <c r="AY852" s="202">
        <v>0.0</v>
      </c>
      <c r="AZ852" s="200"/>
      <c r="BA852" s="171" t="str">
        <f t="shared" si="18"/>
        <v/>
      </c>
      <c r="BB852" s="171" t="str">
        <f t="shared" si="19"/>
        <v/>
      </c>
      <c r="BC852" s="171" t="str">
        <f t="shared" si="20"/>
        <v/>
      </c>
      <c r="BD852" s="171" t="str">
        <f t="shared" si="21"/>
        <v>Institutional</v>
      </c>
      <c r="BE852" s="171" t="str">
        <f t="shared" si="22"/>
        <v/>
      </c>
      <c r="BF852" s="171" t="str">
        <f t="shared" si="23"/>
        <v>Institutional</v>
      </c>
    </row>
    <row r="853">
      <c r="A853" s="171">
        <f t="array" ref="A853">XLOOKUP(C853,ICSE!A:A,ICSE!C:C,,2,1)</f>
        <v>2015</v>
      </c>
      <c r="B853" s="171" t="s">
        <v>5675</v>
      </c>
      <c r="C853" s="160">
        <v>1689.0</v>
      </c>
      <c r="D853" s="161" t="s">
        <v>331</v>
      </c>
      <c r="E853" s="197" t="str">
        <f t="array" ref="E853">XLOOKUP(C853,ICSE!A:A,ICSE!Z:Z,,0,1)</f>
        <v>Publicly available (1)</v>
      </c>
      <c r="F853" s="198" t="s">
        <v>20</v>
      </c>
      <c r="G853" s="163" t="str">
        <f t="array" ref="G853">IF(B853="ICSE",IF(COUNTIFS(B:B,B853,C:C,C853)=XLOOKUP(C853,ICSE!A:A,ICSE!AA:AA,"ERROR",0,1),"OK","ERROR"),IF(B853="FSE",IF(COUNTIFS(B:B,B853,C:C,C853)=XLOOKUP(C853,FSE!A:A,FSE!AA:AA,"ERROR",0,1),"OK","ERROR")))</f>
        <v>OK</v>
      </c>
      <c r="H853" s="199">
        <f t="shared" ref="H853:O853" si="4314">countif($D853,"*"&amp;H$2&amp;"*")</f>
        <v>0</v>
      </c>
      <c r="I853" s="200">
        <f t="shared" si="4314"/>
        <v>0</v>
      </c>
      <c r="J853" s="200">
        <f t="shared" si="4314"/>
        <v>0</v>
      </c>
      <c r="K853" s="200">
        <f t="shared" si="4314"/>
        <v>0</v>
      </c>
      <c r="L853" s="200">
        <f t="shared" si="4314"/>
        <v>0</v>
      </c>
      <c r="M853" s="200">
        <f t="shared" si="4314"/>
        <v>0</v>
      </c>
      <c r="N853" s="200">
        <f t="shared" si="4314"/>
        <v>0</v>
      </c>
      <c r="O853" s="200">
        <f t="shared" si="4314"/>
        <v>0</v>
      </c>
      <c r="P853" s="200">
        <f t="shared" si="9"/>
        <v>0</v>
      </c>
      <c r="Q853" s="200">
        <f t="shared" ref="Q853:AC853" si="4315">countif($D853,"*"&amp;Q$2&amp;"*")</f>
        <v>0</v>
      </c>
      <c r="R853" s="200">
        <f t="shared" si="4315"/>
        <v>0</v>
      </c>
      <c r="S853" s="200">
        <f t="shared" si="4315"/>
        <v>0</v>
      </c>
      <c r="T853" s="200">
        <f t="shared" si="4315"/>
        <v>0</v>
      </c>
      <c r="U853" s="200">
        <f t="shared" si="4315"/>
        <v>0</v>
      </c>
      <c r="V853" s="200">
        <f t="shared" si="4315"/>
        <v>0</v>
      </c>
      <c r="W853" s="200">
        <f t="shared" si="4315"/>
        <v>0</v>
      </c>
      <c r="X853" s="200">
        <f t="shared" si="4315"/>
        <v>0</v>
      </c>
      <c r="Y853" s="200">
        <f t="shared" si="4315"/>
        <v>0</v>
      </c>
      <c r="Z853" s="200">
        <f t="shared" si="4315"/>
        <v>0</v>
      </c>
      <c r="AA853" s="200">
        <f t="shared" si="4315"/>
        <v>0</v>
      </c>
      <c r="AB853" s="200">
        <f t="shared" si="4315"/>
        <v>0</v>
      </c>
      <c r="AC853" s="200">
        <f t="shared" si="4315"/>
        <v>0</v>
      </c>
      <c r="AD853" s="200">
        <f t="shared" si="11"/>
        <v>1</v>
      </c>
      <c r="AE853" s="200">
        <f t="shared" ref="AE853:AG853" si="4316">countif($D853,"*"&amp;AE$2&amp;"*")</f>
        <v>0</v>
      </c>
      <c r="AF853" s="200">
        <f t="shared" si="4316"/>
        <v>0</v>
      </c>
      <c r="AG853" s="200">
        <f t="shared" si="4316"/>
        <v>0</v>
      </c>
      <c r="AH853" s="171">
        <f t="shared" si="13"/>
        <v>0</v>
      </c>
      <c r="AI853" s="200">
        <f t="shared" si="14"/>
        <v>0</v>
      </c>
      <c r="AJ853" s="200">
        <f t="shared" si="4311"/>
        <v>0</v>
      </c>
      <c r="AK853" s="201">
        <f t="shared" ref="AK853:AS853" si="4317">countif($D853,"*"&amp;AK$2&amp;"*")</f>
        <v>0</v>
      </c>
      <c r="AL853" s="201">
        <f t="shared" si="4317"/>
        <v>0</v>
      </c>
      <c r="AM853" s="201">
        <f t="shared" si="4317"/>
        <v>0</v>
      </c>
      <c r="AN853" s="201">
        <f t="shared" si="4317"/>
        <v>0</v>
      </c>
      <c r="AO853" s="201">
        <f t="shared" si="4317"/>
        <v>0</v>
      </c>
      <c r="AP853" s="201">
        <f t="shared" si="4317"/>
        <v>0</v>
      </c>
      <c r="AQ853" s="201">
        <f t="shared" si="4317"/>
        <v>0</v>
      </c>
      <c r="AR853" s="201">
        <f t="shared" si="4317"/>
        <v>0</v>
      </c>
      <c r="AS853" s="200">
        <f t="shared" si="4317"/>
        <v>0</v>
      </c>
      <c r="AT853" s="205">
        <v>0.0</v>
      </c>
      <c r="AU853" s="200">
        <f t="shared" ref="AU853:AX853" si="4318">countif($D853,"*"&amp;AU$2&amp;"*")</f>
        <v>1</v>
      </c>
      <c r="AV853" s="200">
        <f t="shared" si="4318"/>
        <v>0</v>
      </c>
      <c r="AW853" s="200">
        <f t="shared" si="4318"/>
        <v>0</v>
      </c>
      <c r="AX853" s="200">
        <f t="shared" si="4318"/>
        <v>0</v>
      </c>
      <c r="AY853" s="202">
        <v>0.0</v>
      </c>
      <c r="AZ853" s="200"/>
      <c r="BA853" s="171" t="str">
        <f t="shared" si="18"/>
        <v/>
      </c>
      <c r="BB853" s="171" t="str">
        <f t="shared" si="19"/>
        <v/>
      </c>
      <c r="BC853" s="171" t="str">
        <f t="shared" si="20"/>
        <v/>
      </c>
      <c r="BD853" s="171" t="str">
        <f t="shared" si="21"/>
        <v>Institutional</v>
      </c>
      <c r="BE853" s="171" t="str">
        <f t="shared" si="22"/>
        <v/>
      </c>
      <c r="BF853" s="171" t="str">
        <f t="shared" si="23"/>
        <v>Institutional</v>
      </c>
    </row>
    <row r="854">
      <c r="A854" s="171">
        <f t="array" ref="A854">XLOOKUP(C854,ICSE!A:A,ICSE!C:C,,2,1)</f>
        <v>2015</v>
      </c>
      <c r="B854" s="171" t="s">
        <v>5675</v>
      </c>
      <c r="C854" s="160">
        <v>1690.0</v>
      </c>
      <c r="D854" s="161" t="s">
        <v>6029</v>
      </c>
      <c r="E854" s="197" t="str">
        <f t="array" ref="E854">XLOOKUP(C854,ICSE!A:A,ICSE!Z:Z,,0,1)</f>
        <v>Publicly available (2)</v>
      </c>
      <c r="F854" s="198" t="s">
        <v>20</v>
      </c>
      <c r="G854" s="163" t="str">
        <f t="array" ref="G854">IF(B854="ICSE",IF(COUNTIFS(B:B,B854,C:C,C854)=XLOOKUP(C854,ICSE!A:A,ICSE!AA:AA,"ERROR",0,1),"OK","ERROR"),IF(B854="FSE",IF(COUNTIFS(B:B,B854,C:C,C854)=XLOOKUP(C854,FSE!A:A,FSE!AA:AA,"ERROR",0,1),"OK","ERROR")))</f>
        <v>OK</v>
      </c>
      <c r="H854" s="199">
        <f t="shared" ref="H854:O854" si="4319">countif($D854,"*"&amp;H$2&amp;"*")</f>
        <v>0</v>
      </c>
      <c r="I854" s="200">
        <f t="shared" si="4319"/>
        <v>0</v>
      </c>
      <c r="J854" s="200">
        <f t="shared" si="4319"/>
        <v>0</v>
      </c>
      <c r="K854" s="200">
        <f t="shared" si="4319"/>
        <v>0</v>
      </c>
      <c r="L854" s="200">
        <f t="shared" si="4319"/>
        <v>0</v>
      </c>
      <c r="M854" s="200">
        <f t="shared" si="4319"/>
        <v>0</v>
      </c>
      <c r="N854" s="200">
        <f t="shared" si="4319"/>
        <v>0</v>
      </c>
      <c r="O854" s="200">
        <f t="shared" si="4319"/>
        <v>0</v>
      </c>
      <c r="P854" s="200">
        <f t="shared" si="9"/>
        <v>1</v>
      </c>
      <c r="Q854" s="200">
        <f t="shared" ref="Q854:AC854" si="4320">countif($D854,"*"&amp;Q$2&amp;"*")</f>
        <v>0</v>
      </c>
      <c r="R854" s="200">
        <f t="shared" si="4320"/>
        <v>0</v>
      </c>
      <c r="S854" s="200">
        <f t="shared" si="4320"/>
        <v>0</v>
      </c>
      <c r="T854" s="200">
        <f t="shared" si="4320"/>
        <v>0</v>
      </c>
      <c r="U854" s="200">
        <f t="shared" si="4320"/>
        <v>0</v>
      </c>
      <c r="V854" s="200">
        <f t="shared" si="4320"/>
        <v>0</v>
      </c>
      <c r="W854" s="200">
        <f t="shared" si="4320"/>
        <v>0</v>
      </c>
      <c r="X854" s="200">
        <f t="shared" si="4320"/>
        <v>0</v>
      </c>
      <c r="Y854" s="200">
        <f t="shared" si="4320"/>
        <v>0</v>
      </c>
      <c r="Z854" s="200">
        <f t="shared" si="4320"/>
        <v>0</v>
      </c>
      <c r="AA854" s="200">
        <f t="shared" si="4320"/>
        <v>0</v>
      </c>
      <c r="AB854" s="200">
        <f t="shared" si="4320"/>
        <v>0</v>
      </c>
      <c r="AC854" s="200">
        <f t="shared" si="4320"/>
        <v>0</v>
      </c>
      <c r="AD854" s="200">
        <f t="shared" si="11"/>
        <v>0</v>
      </c>
      <c r="AE854" s="200">
        <f t="shared" ref="AE854:AG854" si="4321">countif($D854,"*"&amp;AE$2&amp;"*")</f>
        <v>0</v>
      </c>
      <c r="AF854" s="200">
        <f t="shared" si="4321"/>
        <v>0</v>
      </c>
      <c r="AG854" s="200">
        <f t="shared" si="4321"/>
        <v>0</v>
      </c>
      <c r="AH854" s="171">
        <f t="shared" si="13"/>
        <v>0</v>
      </c>
      <c r="AI854" s="200">
        <f t="shared" si="14"/>
        <v>0</v>
      </c>
      <c r="AJ854" s="200">
        <f t="shared" ref="AJ854:AJ862" si="4327">SUM(AK854:AR854)</f>
        <v>0</v>
      </c>
      <c r="AK854" s="201">
        <f t="shared" ref="AK854:AS854" si="4322">countif($D854,"*"&amp;AK$2&amp;"*")</f>
        <v>0</v>
      </c>
      <c r="AL854" s="201">
        <f t="shared" si="4322"/>
        <v>0</v>
      </c>
      <c r="AM854" s="201">
        <f t="shared" si="4322"/>
        <v>0</v>
      </c>
      <c r="AN854" s="201">
        <f t="shared" si="4322"/>
        <v>0</v>
      </c>
      <c r="AO854" s="201">
        <f t="shared" si="4322"/>
        <v>0</v>
      </c>
      <c r="AP854" s="201">
        <f t="shared" si="4322"/>
        <v>0</v>
      </c>
      <c r="AQ854" s="201">
        <f t="shared" si="4322"/>
        <v>0</v>
      </c>
      <c r="AR854" s="200">
        <f t="shared" si="4322"/>
        <v>0</v>
      </c>
      <c r="AS854" s="200">
        <f t="shared" si="4322"/>
        <v>0</v>
      </c>
      <c r="AT854" s="173">
        <v>0.0</v>
      </c>
      <c r="AU854" s="200">
        <f t="shared" ref="AU854:AX854" si="4323">countif($D854,"*"&amp;AU$2&amp;"*")</f>
        <v>0</v>
      </c>
      <c r="AV854" s="200">
        <f t="shared" si="4323"/>
        <v>1</v>
      </c>
      <c r="AW854" s="200">
        <f t="shared" si="4323"/>
        <v>0</v>
      </c>
      <c r="AX854" s="200">
        <f t="shared" si="4323"/>
        <v>0</v>
      </c>
      <c r="AY854" s="202">
        <v>0.0</v>
      </c>
      <c r="AZ854" s="200"/>
      <c r="BA854" s="171" t="str">
        <f t="shared" si="18"/>
        <v/>
      </c>
      <c r="BB854" s="171" t="str">
        <f t="shared" si="19"/>
        <v>Code</v>
      </c>
      <c r="BC854" s="171" t="str">
        <f t="shared" si="20"/>
        <v/>
      </c>
      <c r="BD854" s="171" t="str">
        <f t="shared" si="21"/>
        <v/>
      </c>
      <c r="BE854" s="171" t="str">
        <f t="shared" si="22"/>
        <v/>
      </c>
      <c r="BF854" s="171" t="str">
        <f t="shared" si="23"/>
        <v>Code</v>
      </c>
    </row>
    <row r="855">
      <c r="A855" s="171">
        <f t="array" ref="A855">XLOOKUP(C855,ICSE!A:A,ICSE!C:C,,2,1)</f>
        <v>2015</v>
      </c>
      <c r="B855" s="171" t="s">
        <v>5675</v>
      </c>
      <c r="C855" s="160">
        <v>1690.0</v>
      </c>
      <c r="D855" s="161" t="s">
        <v>6030</v>
      </c>
      <c r="E855" s="197" t="str">
        <f t="array" ref="E855">XLOOKUP(C855,ICSE!A:A,ICSE!Z:Z,,0,1)</f>
        <v>Publicly available (2)</v>
      </c>
      <c r="F855" s="198" t="s">
        <v>20</v>
      </c>
      <c r="G855" s="163" t="str">
        <f t="array" ref="G855">IF(B855="ICSE",IF(COUNTIFS(B:B,B855,C:C,C855)=XLOOKUP(C855,ICSE!A:A,ICSE!AA:AA,"ERROR",0,1),"OK","ERROR"),IF(B855="FSE",IF(COUNTIFS(B:B,B855,C:C,C855)=XLOOKUP(C855,FSE!A:A,FSE!AA:AA,"ERROR",0,1),"OK","ERROR")))</f>
        <v>OK</v>
      </c>
      <c r="H855" s="199">
        <f t="shared" ref="H855:O855" si="4324">countif($D855,"*"&amp;H$2&amp;"*")</f>
        <v>0</v>
      </c>
      <c r="I855" s="200">
        <f t="shared" si="4324"/>
        <v>0</v>
      </c>
      <c r="J855" s="200">
        <f t="shared" si="4324"/>
        <v>0</v>
      </c>
      <c r="K855" s="200">
        <f t="shared" si="4324"/>
        <v>0</v>
      </c>
      <c r="L855" s="200">
        <f t="shared" si="4324"/>
        <v>0</v>
      </c>
      <c r="M855" s="200">
        <f t="shared" si="4324"/>
        <v>0</v>
      </c>
      <c r="N855" s="200">
        <f t="shared" si="4324"/>
        <v>0</v>
      </c>
      <c r="O855" s="200">
        <f t="shared" si="4324"/>
        <v>0</v>
      </c>
      <c r="P855" s="200">
        <f t="shared" si="9"/>
        <v>1</v>
      </c>
      <c r="Q855" s="200">
        <f t="shared" ref="Q855:AC855" si="4325">countif($D855,"*"&amp;Q$2&amp;"*")</f>
        <v>0</v>
      </c>
      <c r="R855" s="200">
        <f t="shared" si="4325"/>
        <v>0</v>
      </c>
      <c r="S855" s="200">
        <f t="shared" si="4325"/>
        <v>0</v>
      </c>
      <c r="T855" s="200">
        <f t="shared" si="4325"/>
        <v>0</v>
      </c>
      <c r="U855" s="200">
        <f t="shared" si="4325"/>
        <v>0</v>
      </c>
      <c r="V855" s="200">
        <f t="shared" si="4325"/>
        <v>0</v>
      </c>
      <c r="W855" s="200">
        <f t="shared" si="4325"/>
        <v>0</v>
      </c>
      <c r="X855" s="200">
        <f t="shared" si="4325"/>
        <v>0</v>
      </c>
      <c r="Y855" s="200">
        <f t="shared" si="4325"/>
        <v>0</v>
      </c>
      <c r="Z855" s="200">
        <f t="shared" si="4325"/>
        <v>0</v>
      </c>
      <c r="AA855" s="200">
        <f t="shared" si="4325"/>
        <v>0</v>
      </c>
      <c r="AB855" s="200">
        <f t="shared" si="4325"/>
        <v>0</v>
      </c>
      <c r="AC855" s="200">
        <f t="shared" si="4325"/>
        <v>0</v>
      </c>
      <c r="AD855" s="200">
        <f t="shared" si="11"/>
        <v>0</v>
      </c>
      <c r="AE855" s="200">
        <f t="shared" ref="AE855:AG855" si="4326">countif($D855,"*"&amp;AE$2&amp;"*")</f>
        <v>0</v>
      </c>
      <c r="AF855" s="200">
        <f t="shared" si="4326"/>
        <v>0</v>
      </c>
      <c r="AG855" s="200">
        <f t="shared" si="4326"/>
        <v>0</v>
      </c>
      <c r="AH855" s="171">
        <f t="shared" si="13"/>
        <v>0</v>
      </c>
      <c r="AI855" s="200">
        <f t="shared" si="14"/>
        <v>0</v>
      </c>
      <c r="AJ855" s="200">
        <f t="shared" si="4327"/>
        <v>0</v>
      </c>
      <c r="AK855" s="201">
        <f t="shared" ref="AK855:AS855" si="4328">countif($D855,"*"&amp;AK$2&amp;"*")</f>
        <v>0</v>
      </c>
      <c r="AL855" s="201">
        <f t="shared" si="4328"/>
        <v>0</v>
      </c>
      <c r="AM855" s="201">
        <f t="shared" si="4328"/>
        <v>0</v>
      </c>
      <c r="AN855" s="201">
        <f t="shared" si="4328"/>
        <v>0</v>
      </c>
      <c r="AO855" s="201">
        <f t="shared" si="4328"/>
        <v>0</v>
      </c>
      <c r="AP855" s="201">
        <f t="shared" si="4328"/>
        <v>0</v>
      </c>
      <c r="AQ855" s="201">
        <f t="shared" si="4328"/>
        <v>0</v>
      </c>
      <c r="AR855" s="200">
        <f t="shared" si="4328"/>
        <v>0</v>
      </c>
      <c r="AS855" s="200">
        <f t="shared" si="4328"/>
        <v>0</v>
      </c>
      <c r="AT855" s="173">
        <v>0.0</v>
      </c>
      <c r="AU855" s="200">
        <f t="shared" ref="AU855:AX855" si="4329">countif($D855,"*"&amp;AU$2&amp;"*")</f>
        <v>0</v>
      </c>
      <c r="AV855" s="200">
        <f t="shared" si="4329"/>
        <v>1</v>
      </c>
      <c r="AW855" s="200">
        <f t="shared" si="4329"/>
        <v>0</v>
      </c>
      <c r="AX855" s="200">
        <f t="shared" si="4329"/>
        <v>0</v>
      </c>
      <c r="AY855" s="202">
        <v>0.0</v>
      </c>
      <c r="AZ855" s="200"/>
      <c r="BA855" s="171" t="str">
        <f t="shared" si="18"/>
        <v/>
      </c>
      <c r="BB855" s="171" t="str">
        <f t="shared" si="19"/>
        <v>Code</v>
      </c>
      <c r="BC855" s="171" t="str">
        <f t="shared" si="20"/>
        <v/>
      </c>
      <c r="BD855" s="171" t="str">
        <f t="shared" si="21"/>
        <v/>
      </c>
      <c r="BE855" s="171" t="str">
        <f t="shared" si="22"/>
        <v/>
      </c>
      <c r="BF855" s="171" t="str">
        <f t="shared" si="23"/>
        <v>Code</v>
      </c>
    </row>
    <row r="856">
      <c r="A856" s="171">
        <f t="array" ref="A856">XLOOKUP(C856,ICSE!A:A,ICSE!C:C,,2,1)</f>
        <v>2015</v>
      </c>
      <c r="B856" s="171" t="s">
        <v>5675</v>
      </c>
      <c r="C856" s="160">
        <v>1691.0</v>
      </c>
      <c r="D856" s="161" t="s">
        <v>337</v>
      </c>
      <c r="E856" s="197" t="str">
        <f t="array" ref="E856">XLOOKUP(C856,ICSE!A:A,ICSE!Z:Z,,0,1)</f>
        <v>Not available (1) - Broken link.</v>
      </c>
      <c r="F856" s="198" t="s">
        <v>21</v>
      </c>
      <c r="G856" s="163" t="str">
        <f t="array" ref="G856">IF(B856="ICSE",IF(COUNTIFS(B:B,B856,C:C,C856)=XLOOKUP(C856,ICSE!A:A,ICSE!AA:AA,"ERROR",0,1),"OK","ERROR"),IF(B856="FSE",IF(COUNTIFS(B:B,B856,C:C,C856)=XLOOKUP(C856,FSE!A:A,FSE!AA:AA,"ERROR",0,1),"OK","ERROR")))</f>
        <v>OK</v>
      </c>
      <c r="H856" s="199">
        <f t="shared" ref="H856:O856" si="4330">countif($D856,"*"&amp;H$2&amp;"*")</f>
        <v>0</v>
      </c>
      <c r="I856" s="200">
        <f t="shared" si="4330"/>
        <v>0</v>
      </c>
      <c r="J856" s="200">
        <f t="shared" si="4330"/>
        <v>0</v>
      </c>
      <c r="K856" s="200">
        <f t="shared" si="4330"/>
        <v>0</v>
      </c>
      <c r="L856" s="200">
        <f t="shared" si="4330"/>
        <v>0</v>
      </c>
      <c r="M856" s="200">
        <f t="shared" si="4330"/>
        <v>0</v>
      </c>
      <c r="N856" s="200">
        <f t="shared" si="4330"/>
        <v>0</v>
      </c>
      <c r="O856" s="200">
        <f t="shared" si="4330"/>
        <v>0</v>
      </c>
      <c r="P856" s="200">
        <f t="shared" si="9"/>
        <v>0</v>
      </c>
      <c r="Q856" s="200">
        <f t="shared" ref="Q856:AC856" si="4331">countif($D856,"*"&amp;Q$2&amp;"*")</f>
        <v>0</v>
      </c>
      <c r="R856" s="200">
        <f t="shared" si="4331"/>
        <v>0</v>
      </c>
      <c r="S856" s="200">
        <f t="shared" si="4331"/>
        <v>0</v>
      </c>
      <c r="T856" s="200">
        <f t="shared" si="4331"/>
        <v>0</v>
      </c>
      <c r="U856" s="200">
        <f t="shared" si="4331"/>
        <v>0</v>
      </c>
      <c r="V856" s="200">
        <f t="shared" si="4331"/>
        <v>0</v>
      </c>
      <c r="W856" s="200">
        <f t="shared" si="4331"/>
        <v>0</v>
      </c>
      <c r="X856" s="200">
        <f t="shared" si="4331"/>
        <v>0</v>
      </c>
      <c r="Y856" s="200">
        <f t="shared" si="4331"/>
        <v>0</v>
      </c>
      <c r="Z856" s="200">
        <f t="shared" si="4331"/>
        <v>0</v>
      </c>
      <c r="AA856" s="200">
        <f t="shared" si="4331"/>
        <v>0</v>
      </c>
      <c r="AB856" s="200">
        <f t="shared" si="4331"/>
        <v>0</v>
      </c>
      <c r="AC856" s="200">
        <f t="shared" si="4331"/>
        <v>0</v>
      </c>
      <c r="AD856" s="200">
        <f t="shared" si="11"/>
        <v>1</v>
      </c>
      <c r="AE856" s="200">
        <f t="shared" ref="AE856:AG856" si="4332">countif($D856,"*"&amp;AE$2&amp;"*")</f>
        <v>0</v>
      </c>
      <c r="AF856" s="200">
        <f t="shared" si="4332"/>
        <v>0</v>
      </c>
      <c r="AG856" s="200">
        <f t="shared" si="4332"/>
        <v>0</v>
      </c>
      <c r="AH856" s="171">
        <f t="shared" si="13"/>
        <v>0</v>
      </c>
      <c r="AI856" s="200">
        <f t="shared" si="14"/>
        <v>0</v>
      </c>
      <c r="AJ856" s="200">
        <f t="shared" si="4327"/>
        <v>0</v>
      </c>
      <c r="AK856" s="201">
        <f t="shared" ref="AK856:AS856" si="4333">countif($D856,"*"&amp;AK$2&amp;"*")</f>
        <v>0</v>
      </c>
      <c r="AL856" s="201">
        <f t="shared" si="4333"/>
        <v>0</v>
      </c>
      <c r="AM856" s="201">
        <f t="shared" si="4333"/>
        <v>0</v>
      </c>
      <c r="AN856" s="201">
        <f t="shared" si="4333"/>
        <v>0</v>
      </c>
      <c r="AO856" s="201">
        <f t="shared" si="4333"/>
        <v>0</v>
      </c>
      <c r="AP856" s="201">
        <f t="shared" si="4333"/>
        <v>0</v>
      </c>
      <c r="AQ856" s="201">
        <f t="shared" si="4333"/>
        <v>0</v>
      </c>
      <c r="AR856" s="200">
        <f t="shared" si="4333"/>
        <v>0</v>
      </c>
      <c r="AS856" s="200">
        <f t="shared" si="4333"/>
        <v>0</v>
      </c>
      <c r="AT856" s="173">
        <v>1.0</v>
      </c>
      <c r="AU856" s="200">
        <f t="shared" ref="AU856:AX856" si="4334">countif($D856,"*"&amp;AU$2&amp;"*")</f>
        <v>0</v>
      </c>
      <c r="AV856" s="200">
        <f t="shared" si="4334"/>
        <v>0</v>
      </c>
      <c r="AW856" s="200">
        <f t="shared" si="4334"/>
        <v>0</v>
      </c>
      <c r="AX856" s="200">
        <f t="shared" si="4334"/>
        <v>0</v>
      </c>
      <c r="AY856" s="202">
        <v>0.0</v>
      </c>
      <c r="AZ856" s="200"/>
      <c r="BA856" s="171" t="str">
        <f t="shared" si="18"/>
        <v/>
      </c>
      <c r="BB856" s="171" t="str">
        <f t="shared" si="19"/>
        <v/>
      </c>
      <c r="BC856" s="171" t="str">
        <f t="shared" si="20"/>
        <v/>
      </c>
      <c r="BD856" s="171" t="str">
        <f t="shared" si="21"/>
        <v>Institutional</v>
      </c>
      <c r="BE856" s="171" t="str">
        <f t="shared" si="22"/>
        <v/>
      </c>
      <c r="BF856" s="171" t="str">
        <f t="shared" si="23"/>
        <v>Institutional</v>
      </c>
    </row>
    <row r="857">
      <c r="A857" s="171">
        <f t="array" ref="A857">XLOOKUP(C857,ICSE!A:A,ICSE!C:C,,2,1)</f>
        <v>2015</v>
      </c>
      <c r="B857" s="171" t="s">
        <v>5675</v>
      </c>
      <c r="C857" s="160">
        <v>1693.0</v>
      </c>
      <c r="D857" s="161" t="s">
        <v>341</v>
      </c>
      <c r="E857" s="197" t="str">
        <f t="array" ref="E857">XLOOKUP(C857,ICSE!A:A,ICSE!Z:Z,,0,1)</f>
        <v>Not available (1) - Broken link.</v>
      </c>
      <c r="F857" s="198" t="s">
        <v>21</v>
      </c>
      <c r="G857" s="163" t="str">
        <f t="array" ref="G857">IF(B857="ICSE",IF(COUNTIFS(B:B,B857,C:C,C857)=XLOOKUP(C857,ICSE!A:A,ICSE!AA:AA,"ERROR",0,1),"OK","ERROR"),IF(B857="FSE",IF(COUNTIFS(B:B,B857,C:C,C857)=XLOOKUP(C857,FSE!A:A,FSE!AA:AA,"ERROR",0,1),"OK","ERROR")))</f>
        <v>OK</v>
      </c>
      <c r="H857" s="199">
        <f t="shared" ref="H857:O857" si="4335">countif($D857,"*"&amp;H$2&amp;"*")</f>
        <v>0</v>
      </c>
      <c r="I857" s="200">
        <f t="shared" si="4335"/>
        <v>0</v>
      </c>
      <c r="J857" s="200">
        <f t="shared" si="4335"/>
        <v>0</v>
      </c>
      <c r="K857" s="200">
        <f t="shared" si="4335"/>
        <v>0</v>
      </c>
      <c r="L857" s="200">
        <f t="shared" si="4335"/>
        <v>0</v>
      </c>
      <c r="M857" s="200">
        <f t="shared" si="4335"/>
        <v>0</v>
      </c>
      <c r="N857" s="200">
        <f t="shared" si="4335"/>
        <v>0</v>
      </c>
      <c r="O857" s="200">
        <f t="shared" si="4335"/>
        <v>0</v>
      </c>
      <c r="P857" s="200">
        <f t="shared" si="9"/>
        <v>0</v>
      </c>
      <c r="Q857" s="200">
        <f t="shared" ref="Q857:AC857" si="4336">countif($D857,"*"&amp;Q$2&amp;"*")</f>
        <v>0</v>
      </c>
      <c r="R857" s="200">
        <f t="shared" si="4336"/>
        <v>0</v>
      </c>
      <c r="S857" s="200">
        <f t="shared" si="4336"/>
        <v>0</v>
      </c>
      <c r="T857" s="200">
        <f t="shared" si="4336"/>
        <v>0</v>
      </c>
      <c r="U857" s="200">
        <f t="shared" si="4336"/>
        <v>0</v>
      </c>
      <c r="V857" s="200">
        <f t="shared" si="4336"/>
        <v>0</v>
      </c>
      <c r="W857" s="200">
        <f t="shared" si="4336"/>
        <v>0</v>
      </c>
      <c r="X857" s="200">
        <f t="shared" si="4336"/>
        <v>0</v>
      </c>
      <c r="Y857" s="200">
        <f t="shared" si="4336"/>
        <v>0</v>
      </c>
      <c r="Z857" s="200">
        <f t="shared" si="4336"/>
        <v>0</v>
      </c>
      <c r="AA857" s="200">
        <f t="shared" si="4336"/>
        <v>0</v>
      </c>
      <c r="AB857" s="200">
        <f t="shared" si="4336"/>
        <v>0</v>
      </c>
      <c r="AC857" s="200">
        <f t="shared" si="4336"/>
        <v>0</v>
      </c>
      <c r="AD857" s="200">
        <f t="shared" si="11"/>
        <v>1</v>
      </c>
      <c r="AE857" s="200">
        <f t="shared" ref="AE857:AG857" si="4337">countif($D857,"*"&amp;AE$2&amp;"*")</f>
        <v>0</v>
      </c>
      <c r="AF857" s="200">
        <f t="shared" si="4337"/>
        <v>0</v>
      </c>
      <c r="AG857" s="200">
        <f t="shared" si="4337"/>
        <v>0</v>
      </c>
      <c r="AH857" s="171">
        <f t="shared" si="13"/>
        <v>0</v>
      </c>
      <c r="AI857" s="200">
        <f t="shared" si="14"/>
        <v>0</v>
      </c>
      <c r="AJ857" s="200">
        <f t="shared" si="4327"/>
        <v>0</v>
      </c>
      <c r="AK857" s="201">
        <f t="shared" ref="AK857:AS857" si="4338">countif($D857,"*"&amp;AK$2&amp;"*")</f>
        <v>0</v>
      </c>
      <c r="AL857" s="201">
        <f t="shared" si="4338"/>
        <v>0</v>
      </c>
      <c r="AM857" s="201">
        <f t="shared" si="4338"/>
        <v>0</v>
      </c>
      <c r="AN857" s="201">
        <f t="shared" si="4338"/>
        <v>0</v>
      </c>
      <c r="AO857" s="201">
        <f t="shared" si="4338"/>
        <v>0</v>
      </c>
      <c r="AP857" s="201">
        <f t="shared" si="4338"/>
        <v>0</v>
      </c>
      <c r="AQ857" s="201">
        <f t="shared" si="4338"/>
        <v>0</v>
      </c>
      <c r="AR857" s="200">
        <f t="shared" si="4338"/>
        <v>0</v>
      </c>
      <c r="AS857" s="200">
        <f t="shared" si="4338"/>
        <v>0</v>
      </c>
      <c r="AT857" s="173">
        <v>1.0</v>
      </c>
      <c r="AU857" s="200">
        <f t="shared" ref="AU857:AX857" si="4339">countif($D857,"*"&amp;AU$2&amp;"*")</f>
        <v>0</v>
      </c>
      <c r="AV857" s="200">
        <f t="shared" si="4339"/>
        <v>0</v>
      </c>
      <c r="AW857" s="200">
        <f t="shared" si="4339"/>
        <v>0</v>
      </c>
      <c r="AX857" s="200">
        <f t="shared" si="4339"/>
        <v>0</v>
      </c>
      <c r="AY857" s="202">
        <v>0.0</v>
      </c>
      <c r="AZ857" s="200"/>
      <c r="BA857" s="171" t="str">
        <f t="shared" si="18"/>
        <v/>
      </c>
      <c r="BB857" s="171" t="str">
        <f t="shared" si="19"/>
        <v/>
      </c>
      <c r="BC857" s="171" t="str">
        <f t="shared" si="20"/>
        <v/>
      </c>
      <c r="BD857" s="171" t="str">
        <f t="shared" si="21"/>
        <v>Institutional</v>
      </c>
      <c r="BE857" s="171" t="str">
        <f t="shared" si="22"/>
        <v/>
      </c>
      <c r="BF857" s="171" t="str">
        <f t="shared" si="23"/>
        <v>Institutional</v>
      </c>
    </row>
    <row r="858">
      <c r="A858" s="171">
        <f t="array" ref="A858">XLOOKUP(C858,ICSE!A:A,ICSE!C:C,,2,1)</f>
        <v>2015</v>
      </c>
      <c r="B858" s="171" t="s">
        <v>5675</v>
      </c>
      <c r="C858" s="160">
        <v>1694.0</v>
      </c>
      <c r="D858" s="161" t="s">
        <v>344</v>
      </c>
      <c r="E858" s="197" t="str">
        <f t="array" ref="E858">XLOOKUP(C858,ICSE!A:A,ICSE!Z:Z,,0,1)</f>
        <v>Not available (1) - Broken link.</v>
      </c>
      <c r="F858" s="198" t="s">
        <v>21</v>
      </c>
      <c r="G858" s="163" t="str">
        <f t="array" ref="G858">IF(B858="ICSE",IF(COUNTIFS(B:B,B858,C:C,C858)=XLOOKUP(C858,ICSE!A:A,ICSE!AA:AA,"ERROR",0,1),"OK","ERROR"),IF(B858="FSE",IF(COUNTIFS(B:B,B858,C:C,C858)=XLOOKUP(C858,FSE!A:A,FSE!AA:AA,"ERROR",0,1),"OK","ERROR")))</f>
        <v>OK</v>
      </c>
      <c r="H858" s="199">
        <f t="shared" ref="H858:O858" si="4340">countif($D858,"*"&amp;H$2&amp;"*")</f>
        <v>0</v>
      </c>
      <c r="I858" s="200">
        <f t="shared" si="4340"/>
        <v>0</v>
      </c>
      <c r="J858" s="200">
        <f t="shared" si="4340"/>
        <v>0</v>
      </c>
      <c r="K858" s="200">
        <f t="shared" si="4340"/>
        <v>0</v>
      </c>
      <c r="L858" s="200">
        <f t="shared" si="4340"/>
        <v>0</v>
      </c>
      <c r="M858" s="200">
        <f t="shared" si="4340"/>
        <v>0</v>
      </c>
      <c r="N858" s="200">
        <f t="shared" si="4340"/>
        <v>0</v>
      </c>
      <c r="O858" s="200">
        <f t="shared" si="4340"/>
        <v>0</v>
      </c>
      <c r="P858" s="200">
        <f t="shared" si="9"/>
        <v>0</v>
      </c>
      <c r="Q858" s="200">
        <f t="shared" ref="Q858:AC858" si="4341">countif($D858,"*"&amp;Q$2&amp;"*")</f>
        <v>0</v>
      </c>
      <c r="R858" s="200">
        <f t="shared" si="4341"/>
        <v>0</v>
      </c>
      <c r="S858" s="200">
        <f t="shared" si="4341"/>
        <v>0</v>
      </c>
      <c r="T858" s="200">
        <f t="shared" si="4341"/>
        <v>0</v>
      </c>
      <c r="U858" s="200">
        <f t="shared" si="4341"/>
        <v>0</v>
      </c>
      <c r="V858" s="200">
        <f t="shared" si="4341"/>
        <v>0</v>
      </c>
      <c r="W858" s="200">
        <f t="shared" si="4341"/>
        <v>0</v>
      </c>
      <c r="X858" s="200">
        <f t="shared" si="4341"/>
        <v>0</v>
      </c>
      <c r="Y858" s="200">
        <f t="shared" si="4341"/>
        <v>0</v>
      </c>
      <c r="Z858" s="200">
        <f t="shared" si="4341"/>
        <v>0</v>
      </c>
      <c r="AA858" s="200">
        <f t="shared" si="4341"/>
        <v>1</v>
      </c>
      <c r="AB858" s="200">
        <f t="shared" si="4341"/>
        <v>0</v>
      </c>
      <c r="AC858" s="200">
        <f t="shared" si="4341"/>
        <v>0</v>
      </c>
      <c r="AD858" s="200">
        <f t="shared" si="11"/>
        <v>0</v>
      </c>
      <c r="AE858" s="200">
        <f t="shared" ref="AE858:AG858" si="4342">countif($D858,"*"&amp;AE$2&amp;"*")</f>
        <v>0</v>
      </c>
      <c r="AF858" s="200">
        <f t="shared" si="4342"/>
        <v>0</v>
      </c>
      <c r="AG858" s="200">
        <f t="shared" si="4342"/>
        <v>0</v>
      </c>
      <c r="AH858" s="171">
        <f t="shared" si="13"/>
        <v>0</v>
      </c>
      <c r="AI858" s="200">
        <f t="shared" si="14"/>
        <v>0</v>
      </c>
      <c r="AJ858" s="200">
        <f t="shared" si="4327"/>
        <v>0</v>
      </c>
      <c r="AK858" s="201">
        <f t="shared" ref="AK858:AS858" si="4343">countif($D858,"*"&amp;AK$2&amp;"*")</f>
        <v>0</v>
      </c>
      <c r="AL858" s="201">
        <f t="shared" si="4343"/>
        <v>0</v>
      </c>
      <c r="AM858" s="201">
        <f t="shared" si="4343"/>
        <v>0</v>
      </c>
      <c r="AN858" s="201">
        <f t="shared" si="4343"/>
        <v>0</v>
      </c>
      <c r="AO858" s="201">
        <f t="shared" si="4343"/>
        <v>0</v>
      </c>
      <c r="AP858" s="201">
        <f t="shared" si="4343"/>
        <v>0</v>
      </c>
      <c r="AQ858" s="201">
        <f t="shared" si="4343"/>
        <v>0</v>
      </c>
      <c r="AR858" s="200">
        <f t="shared" si="4343"/>
        <v>0</v>
      </c>
      <c r="AS858" s="200">
        <f t="shared" si="4343"/>
        <v>0</v>
      </c>
      <c r="AT858" s="173">
        <v>0.0</v>
      </c>
      <c r="AU858" s="200">
        <f t="shared" ref="AU858:AX858" si="4344">countif($D858,"*"&amp;AU$2&amp;"*")</f>
        <v>0</v>
      </c>
      <c r="AV858" s="200">
        <f t="shared" si="4344"/>
        <v>0</v>
      </c>
      <c r="AW858" s="200">
        <f t="shared" si="4344"/>
        <v>0</v>
      </c>
      <c r="AX858" s="200">
        <f t="shared" si="4344"/>
        <v>0</v>
      </c>
      <c r="AY858" s="202">
        <v>0.0</v>
      </c>
      <c r="AZ858" s="200"/>
      <c r="BA858" s="171" t="str">
        <f t="shared" si="18"/>
        <v/>
      </c>
      <c r="BB858" s="171" t="str">
        <f t="shared" si="19"/>
        <v/>
      </c>
      <c r="BC858" s="171" t="str">
        <f t="shared" si="20"/>
        <v>General-purpose</v>
      </c>
      <c r="BD858" s="171" t="str">
        <f t="shared" si="21"/>
        <v/>
      </c>
      <c r="BE858" s="171" t="str">
        <f t="shared" si="22"/>
        <v/>
      </c>
      <c r="BF858" s="171" t="str">
        <f t="shared" si="23"/>
        <v>General-purpose</v>
      </c>
    </row>
    <row r="859">
      <c r="A859" s="171">
        <f t="array" ref="A859">XLOOKUP(C859,ICSE!A:A,ICSE!C:C,,2,1)</f>
        <v>2015</v>
      </c>
      <c r="B859" s="171" t="s">
        <v>5675</v>
      </c>
      <c r="C859" s="160">
        <v>1695.0</v>
      </c>
      <c r="D859" s="161" t="s">
        <v>347</v>
      </c>
      <c r="E859" s="197" t="str">
        <f t="array" ref="E859">XLOOKUP(C859,ICSE!A:A,ICSE!Z:Z,,0,1)</f>
        <v>Publicly available (1)</v>
      </c>
      <c r="F859" s="198" t="s">
        <v>20</v>
      </c>
      <c r="G859" s="163" t="str">
        <f t="array" ref="G859">IF(B859="ICSE",IF(COUNTIFS(B:B,B859,C:C,C859)=XLOOKUP(C859,ICSE!A:A,ICSE!AA:AA,"ERROR",0,1),"OK","ERROR"),IF(B859="FSE",IF(COUNTIFS(B:B,B859,C:C,C859)=XLOOKUP(C859,FSE!A:A,FSE!AA:AA,"ERROR",0,1),"OK","ERROR")))</f>
        <v>OK</v>
      </c>
      <c r="H859" s="199">
        <f t="shared" ref="H859:O859" si="4345">countif($D859,"*"&amp;H$2&amp;"*")</f>
        <v>0</v>
      </c>
      <c r="I859" s="200">
        <f t="shared" si="4345"/>
        <v>0</v>
      </c>
      <c r="J859" s="200">
        <f t="shared" si="4345"/>
        <v>0</v>
      </c>
      <c r="K859" s="200">
        <f t="shared" si="4345"/>
        <v>0</v>
      </c>
      <c r="L859" s="200">
        <f t="shared" si="4345"/>
        <v>0</v>
      </c>
      <c r="M859" s="200">
        <f t="shared" si="4345"/>
        <v>0</v>
      </c>
      <c r="N859" s="200">
        <f t="shared" si="4345"/>
        <v>0</v>
      </c>
      <c r="O859" s="200">
        <f t="shared" si="4345"/>
        <v>0</v>
      </c>
      <c r="P859" s="200">
        <f t="shared" si="9"/>
        <v>0</v>
      </c>
      <c r="Q859" s="200">
        <f t="shared" ref="Q859:AC859" si="4346">countif($D859,"*"&amp;Q$2&amp;"*")</f>
        <v>0</v>
      </c>
      <c r="R859" s="200">
        <f t="shared" si="4346"/>
        <v>0</v>
      </c>
      <c r="S859" s="200">
        <f t="shared" si="4346"/>
        <v>0</v>
      </c>
      <c r="T859" s="200">
        <f t="shared" si="4346"/>
        <v>0</v>
      </c>
      <c r="U859" s="200">
        <f t="shared" si="4346"/>
        <v>0</v>
      </c>
      <c r="V859" s="200">
        <f t="shared" si="4346"/>
        <v>0</v>
      </c>
      <c r="W859" s="200">
        <f t="shared" si="4346"/>
        <v>0</v>
      </c>
      <c r="X859" s="200">
        <f t="shared" si="4346"/>
        <v>0</v>
      </c>
      <c r="Y859" s="200">
        <f t="shared" si="4346"/>
        <v>0</v>
      </c>
      <c r="Z859" s="200">
        <f t="shared" si="4346"/>
        <v>0</v>
      </c>
      <c r="AA859" s="200">
        <f t="shared" si="4346"/>
        <v>0</v>
      </c>
      <c r="AB859" s="200">
        <f t="shared" si="4346"/>
        <v>0</v>
      </c>
      <c r="AC859" s="200">
        <f t="shared" si="4346"/>
        <v>0</v>
      </c>
      <c r="AD859" s="200">
        <f t="shared" si="11"/>
        <v>1</v>
      </c>
      <c r="AE859" s="200">
        <f t="shared" ref="AE859:AG859" si="4347">countif($D859,"*"&amp;AE$2&amp;"*")</f>
        <v>0</v>
      </c>
      <c r="AF859" s="200">
        <f t="shared" si="4347"/>
        <v>0</v>
      </c>
      <c r="AG859" s="200">
        <f t="shared" si="4347"/>
        <v>0</v>
      </c>
      <c r="AH859" s="171">
        <f t="shared" si="13"/>
        <v>0</v>
      </c>
      <c r="AI859" s="200">
        <f t="shared" si="14"/>
        <v>0</v>
      </c>
      <c r="AJ859" s="200">
        <f t="shared" si="4327"/>
        <v>0</v>
      </c>
      <c r="AK859" s="201">
        <f t="shared" ref="AK859:AS859" si="4348">countif($D859,"*"&amp;AK$2&amp;"*")</f>
        <v>0</v>
      </c>
      <c r="AL859" s="201">
        <f t="shared" si="4348"/>
        <v>0</v>
      </c>
      <c r="AM859" s="201">
        <f t="shared" si="4348"/>
        <v>0</v>
      </c>
      <c r="AN859" s="201">
        <f t="shared" si="4348"/>
        <v>0</v>
      </c>
      <c r="AO859" s="201">
        <f t="shared" si="4348"/>
        <v>0</v>
      </c>
      <c r="AP859" s="201">
        <f t="shared" si="4348"/>
        <v>0</v>
      </c>
      <c r="AQ859" s="201">
        <f t="shared" si="4348"/>
        <v>0</v>
      </c>
      <c r="AR859" s="200">
        <f t="shared" si="4348"/>
        <v>0</v>
      </c>
      <c r="AS859" s="200">
        <f t="shared" si="4348"/>
        <v>0</v>
      </c>
      <c r="AT859" s="173">
        <v>1.0</v>
      </c>
      <c r="AU859" s="200">
        <f t="shared" ref="AU859:AX859" si="4349">countif($D859,"*"&amp;AU$2&amp;"*")</f>
        <v>0</v>
      </c>
      <c r="AV859" s="200">
        <f t="shared" si="4349"/>
        <v>0</v>
      </c>
      <c r="AW859" s="200">
        <f t="shared" si="4349"/>
        <v>0</v>
      </c>
      <c r="AX859" s="200">
        <f t="shared" si="4349"/>
        <v>0</v>
      </c>
      <c r="AY859" s="202">
        <v>0.0</v>
      </c>
      <c r="AZ859" s="200"/>
      <c r="BA859" s="171" t="str">
        <f t="shared" si="18"/>
        <v/>
      </c>
      <c r="BB859" s="171" t="str">
        <f t="shared" si="19"/>
        <v/>
      </c>
      <c r="BC859" s="171" t="str">
        <f t="shared" si="20"/>
        <v/>
      </c>
      <c r="BD859" s="171" t="str">
        <f t="shared" si="21"/>
        <v>Institutional</v>
      </c>
      <c r="BE859" s="171" t="str">
        <f t="shared" si="22"/>
        <v/>
      </c>
      <c r="BF859" s="171" t="str">
        <f t="shared" si="23"/>
        <v>Institutional</v>
      </c>
    </row>
    <row r="860">
      <c r="A860" s="171">
        <f t="array" ref="A860">XLOOKUP(C860,ICSE!A:A,ICSE!C:C,,2,1)</f>
        <v>2015</v>
      </c>
      <c r="B860" s="171" t="s">
        <v>5675</v>
      </c>
      <c r="C860" s="160">
        <v>1696.0</v>
      </c>
      <c r="D860" s="161" t="s">
        <v>350</v>
      </c>
      <c r="E860" s="197" t="str">
        <f t="array" ref="E860">XLOOKUP(C860,ICSE!A:A,ICSE!Z:Z,,0,1)</f>
        <v>Publicly available (1)</v>
      </c>
      <c r="F860" s="198" t="s">
        <v>20</v>
      </c>
      <c r="G860" s="163" t="str">
        <f t="array" ref="G860">IF(B860="ICSE",IF(COUNTIFS(B:B,B860,C:C,C860)=XLOOKUP(C860,ICSE!A:A,ICSE!AA:AA,"ERROR",0,1),"OK","ERROR"),IF(B860="FSE",IF(COUNTIFS(B:B,B860,C:C,C860)=XLOOKUP(C860,FSE!A:A,FSE!AA:AA,"ERROR",0,1),"OK","ERROR")))</f>
        <v>OK</v>
      </c>
      <c r="H860" s="199">
        <f t="shared" ref="H860:O860" si="4350">countif($D860,"*"&amp;H$2&amp;"*")</f>
        <v>0</v>
      </c>
      <c r="I860" s="200">
        <f t="shared" si="4350"/>
        <v>0</v>
      </c>
      <c r="J860" s="200">
        <f t="shared" si="4350"/>
        <v>0</v>
      </c>
      <c r="K860" s="200">
        <f t="shared" si="4350"/>
        <v>0</v>
      </c>
      <c r="L860" s="200">
        <f t="shared" si="4350"/>
        <v>0</v>
      </c>
      <c r="M860" s="200">
        <f t="shared" si="4350"/>
        <v>0</v>
      </c>
      <c r="N860" s="200">
        <f t="shared" si="4350"/>
        <v>0</v>
      </c>
      <c r="O860" s="200">
        <f t="shared" si="4350"/>
        <v>0</v>
      </c>
      <c r="P860" s="200">
        <f t="shared" si="9"/>
        <v>0</v>
      </c>
      <c r="Q860" s="200">
        <f t="shared" ref="Q860:AC860" si="4351">countif($D860,"*"&amp;Q$2&amp;"*")</f>
        <v>0</v>
      </c>
      <c r="R860" s="200">
        <f t="shared" si="4351"/>
        <v>0</v>
      </c>
      <c r="S860" s="200">
        <f t="shared" si="4351"/>
        <v>0</v>
      </c>
      <c r="T860" s="200">
        <f t="shared" si="4351"/>
        <v>0</v>
      </c>
      <c r="U860" s="200">
        <f t="shared" si="4351"/>
        <v>0</v>
      </c>
      <c r="V860" s="200">
        <f t="shared" si="4351"/>
        <v>0</v>
      </c>
      <c r="W860" s="200">
        <f t="shared" si="4351"/>
        <v>0</v>
      </c>
      <c r="X860" s="200">
        <f t="shared" si="4351"/>
        <v>0</v>
      </c>
      <c r="Y860" s="200">
        <f t="shared" si="4351"/>
        <v>0</v>
      </c>
      <c r="Z860" s="200">
        <f t="shared" si="4351"/>
        <v>0</v>
      </c>
      <c r="AA860" s="200">
        <f t="shared" si="4351"/>
        <v>1</v>
      </c>
      <c r="AB860" s="200">
        <f t="shared" si="4351"/>
        <v>0</v>
      </c>
      <c r="AC860" s="200">
        <f t="shared" si="4351"/>
        <v>0</v>
      </c>
      <c r="AD860" s="200">
        <f t="shared" si="11"/>
        <v>0</v>
      </c>
      <c r="AE860" s="200">
        <f t="shared" ref="AE860:AG860" si="4352">countif($D860,"*"&amp;AE$2&amp;"*")</f>
        <v>0</v>
      </c>
      <c r="AF860" s="200">
        <f t="shared" si="4352"/>
        <v>0</v>
      </c>
      <c r="AG860" s="200">
        <f t="shared" si="4352"/>
        <v>0</v>
      </c>
      <c r="AH860" s="171">
        <f t="shared" si="13"/>
        <v>0</v>
      </c>
      <c r="AI860" s="200">
        <f t="shared" si="14"/>
        <v>0</v>
      </c>
      <c r="AJ860" s="200">
        <f t="shared" si="4327"/>
        <v>0</v>
      </c>
      <c r="AK860" s="201">
        <f t="shared" ref="AK860:AS860" si="4353">countif($D860,"*"&amp;AK$2&amp;"*")</f>
        <v>0</v>
      </c>
      <c r="AL860" s="201">
        <f t="shared" si="4353"/>
        <v>0</v>
      </c>
      <c r="AM860" s="201">
        <f t="shared" si="4353"/>
        <v>0</v>
      </c>
      <c r="AN860" s="201">
        <f t="shared" si="4353"/>
        <v>0</v>
      </c>
      <c r="AO860" s="201">
        <f t="shared" si="4353"/>
        <v>0</v>
      </c>
      <c r="AP860" s="201">
        <f t="shared" si="4353"/>
        <v>0</v>
      </c>
      <c r="AQ860" s="201">
        <f t="shared" si="4353"/>
        <v>0</v>
      </c>
      <c r="AR860" s="200">
        <f t="shared" si="4353"/>
        <v>0</v>
      </c>
      <c r="AS860" s="200">
        <f t="shared" si="4353"/>
        <v>0</v>
      </c>
      <c r="AT860" s="173">
        <v>0.0</v>
      </c>
      <c r="AU860" s="200">
        <f t="shared" ref="AU860:AX860" si="4354">countif($D860,"*"&amp;AU$2&amp;"*")</f>
        <v>0</v>
      </c>
      <c r="AV860" s="200">
        <f t="shared" si="4354"/>
        <v>0</v>
      </c>
      <c r="AW860" s="200">
        <f t="shared" si="4354"/>
        <v>0</v>
      </c>
      <c r="AX860" s="200">
        <f t="shared" si="4354"/>
        <v>0</v>
      </c>
      <c r="AY860" s="202">
        <v>0.0</v>
      </c>
      <c r="AZ860" s="200"/>
      <c r="BA860" s="171" t="str">
        <f t="shared" si="18"/>
        <v/>
      </c>
      <c r="BB860" s="171" t="str">
        <f t="shared" si="19"/>
        <v/>
      </c>
      <c r="BC860" s="171" t="str">
        <f t="shared" si="20"/>
        <v>General-purpose</v>
      </c>
      <c r="BD860" s="171" t="str">
        <f t="shared" si="21"/>
        <v/>
      </c>
      <c r="BE860" s="171" t="str">
        <f t="shared" si="22"/>
        <v/>
      </c>
      <c r="BF860" s="171" t="str">
        <f t="shared" si="23"/>
        <v>General-purpose</v>
      </c>
    </row>
    <row r="861">
      <c r="A861" s="171">
        <f t="array" ref="A861">XLOOKUP(C861,ICSE!A:A,ICSE!C:C,,2,1)</f>
        <v>2015</v>
      </c>
      <c r="B861" s="171" t="s">
        <v>5675</v>
      </c>
      <c r="C861" s="160">
        <v>1697.0</v>
      </c>
      <c r="D861" s="161" t="s">
        <v>353</v>
      </c>
      <c r="E861" s="197" t="str">
        <f t="array" ref="E861">XLOOKUP(C861,ICSE!A:A,ICSE!Z:Z,,0,1)</f>
        <v>Not available (1) - Broken link.</v>
      </c>
      <c r="F861" s="198" t="s">
        <v>21</v>
      </c>
      <c r="G861" s="163" t="str">
        <f t="array" ref="G861">IF(B861="ICSE",IF(COUNTIFS(B:B,B861,C:C,C861)=XLOOKUP(C861,ICSE!A:A,ICSE!AA:AA,"ERROR",0,1),"OK","ERROR"),IF(B861="FSE",IF(COUNTIFS(B:B,B861,C:C,C861)=XLOOKUP(C861,FSE!A:A,FSE!AA:AA,"ERROR",0,1),"OK","ERROR")))</f>
        <v>OK</v>
      </c>
      <c r="H861" s="199">
        <f t="shared" ref="H861:O861" si="4355">countif($D861,"*"&amp;H$2&amp;"*")</f>
        <v>0</v>
      </c>
      <c r="I861" s="200">
        <f t="shared" si="4355"/>
        <v>0</v>
      </c>
      <c r="J861" s="200">
        <f t="shared" si="4355"/>
        <v>0</v>
      </c>
      <c r="K861" s="200">
        <f t="shared" si="4355"/>
        <v>0</v>
      </c>
      <c r="L861" s="200">
        <f t="shared" si="4355"/>
        <v>0</v>
      </c>
      <c r="M861" s="200">
        <f t="shared" si="4355"/>
        <v>0</v>
      </c>
      <c r="N861" s="200">
        <f t="shared" si="4355"/>
        <v>0</v>
      </c>
      <c r="O861" s="200">
        <f t="shared" si="4355"/>
        <v>0</v>
      </c>
      <c r="P861" s="200">
        <f t="shared" si="9"/>
        <v>0</v>
      </c>
      <c r="Q861" s="200">
        <f t="shared" ref="Q861:AC861" si="4356">countif($D861,"*"&amp;Q$2&amp;"*")</f>
        <v>0</v>
      </c>
      <c r="R861" s="200">
        <f t="shared" si="4356"/>
        <v>0</v>
      </c>
      <c r="S861" s="200">
        <f t="shared" si="4356"/>
        <v>0</v>
      </c>
      <c r="T861" s="200">
        <f t="shared" si="4356"/>
        <v>0</v>
      </c>
      <c r="U861" s="200">
        <f t="shared" si="4356"/>
        <v>0</v>
      </c>
      <c r="V861" s="200">
        <f t="shared" si="4356"/>
        <v>0</v>
      </c>
      <c r="W861" s="200">
        <f t="shared" si="4356"/>
        <v>0</v>
      </c>
      <c r="X861" s="200">
        <f t="shared" si="4356"/>
        <v>0</v>
      </c>
      <c r="Y861" s="200">
        <f t="shared" si="4356"/>
        <v>0</v>
      </c>
      <c r="Z861" s="200">
        <f t="shared" si="4356"/>
        <v>0</v>
      </c>
      <c r="AA861" s="200">
        <f t="shared" si="4356"/>
        <v>0</v>
      </c>
      <c r="AB861" s="200">
        <f t="shared" si="4356"/>
        <v>0</v>
      </c>
      <c r="AC861" s="200">
        <f t="shared" si="4356"/>
        <v>0</v>
      </c>
      <c r="AD861" s="200">
        <f t="shared" si="11"/>
        <v>0</v>
      </c>
      <c r="AE861" s="200">
        <f t="shared" ref="AE861:AG861" si="4357">countif($D861,"*"&amp;AE$2&amp;"*")</f>
        <v>0</v>
      </c>
      <c r="AF861" s="200">
        <f t="shared" si="4357"/>
        <v>0</v>
      </c>
      <c r="AG861" s="200">
        <f t="shared" si="4357"/>
        <v>0</v>
      </c>
      <c r="AH861" s="171">
        <f t="shared" si="13"/>
        <v>1</v>
      </c>
      <c r="AI861" s="200">
        <f t="shared" si="14"/>
        <v>0</v>
      </c>
      <c r="AJ861" s="200">
        <f t="shared" si="4327"/>
        <v>0</v>
      </c>
      <c r="AK861" s="201">
        <f t="shared" ref="AK861:AS861" si="4358">countif($D861,"*"&amp;AK$2&amp;"*")</f>
        <v>0</v>
      </c>
      <c r="AL861" s="201">
        <f t="shared" si="4358"/>
        <v>0</v>
      </c>
      <c r="AM861" s="201">
        <f t="shared" si="4358"/>
        <v>0</v>
      </c>
      <c r="AN861" s="201">
        <f t="shared" si="4358"/>
        <v>0</v>
      </c>
      <c r="AO861" s="201">
        <f t="shared" si="4358"/>
        <v>0</v>
      </c>
      <c r="AP861" s="201">
        <f t="shared" si="4358"/>
        <v>0</v>
      </c>
      <c r="AQ861" s="201">
        <f t="shared" si="4358"/>
        <v>0</v>
      </c>
      <c r="AR861" s="200">
        <f t="shared" si="4358"/>
        <v>0</v>
      </c>
      <c r="AS861" s="200">
        <f t="shared" si="4358"/>
        <v>0</v>
      </c>
      <c r="AT861" s="173">
        <v>0.0</v>
      </c>
      <c r="AU861" s="200">
        <f t="shared" ref="AU861:AX861" si="4359">countif($D861,"*"&amp;AU$2&amp;"*")</f>
        <v>0</v>
      </c>
      <c r="AV861" s="200">
        <f t="shared" si="4359"/>
        <v>0</v>
      </c>
      <c r="AW861" s="200">
        <f t="shared" si="4359"/>
        <v>0</v>
      </c>
      <c r="AX861" s="200">
        <f t="shared" si="4359"/>
        <v>0</v>
      </c>
      <c r="AY861" s="202">
        <v>0.0</v>
      </c>
      <c r="AZ861" s="200"/>
      <c r="BA861" s="171" t="str">
        <f t="shared" si="18"/>
        <v/>
      </c>
      <c r="BB861" s="171" t="str">
        <f t="shared" si="19"/>
        <v/>
      </c>
      <c r="BC861" s="171" t="str">
        <f t="shared" si="20"/>
        <v/>
      </c>
      <c r="BD861" s="171" t="str">
        <f t="shared" si="21"/>
        <v/>
      </c>
      <c r="BE861" s="171" t="str">
        <f t="shared" si="22"/>
        <v>Others</v>
      </c>
      <c r="BF861" s="171" t="str">
        <f t="shared" si="23"/>
        <v>Others</v>
      </c>
    </row>
    <row r="862">
      <c r="A862" s="171">
        <f t="array" ref="A862">XLOOKUP(C862,ICSE!A:A,ICSE!C:C,,2,1)</f>
        <v>2015</v>
      </c>
      <c r="B862" s="171" t="s">
        <v>5675</v>
      </c>
      <c r="C862" s="160">
        <v>1698.0</v>
      </c>
      <c r="D862" s="161" t="s">
        <v>356</v>
      </c>
      <c r="E862" s="197" t="str">
        <f t="array" ref="E862">XLOOKUP(C862,ICSE!A:A,ICSE!Z:Z,,0,1)</f>
        <v>Not available (1) - Broken link.</v>
      </c>
      <c r="F862" s="198" t="s">
        <v>21</v>
      </c>
      <c r="G862" s="163" t="str">
        <f t="array" ref="G862">IF(B862="ICSE",IF(COUNTIFS(B:B,B862,C:C,C862)=XLOOKUP(C862,ICSE!A:A,ICSE!AA:AA,"ERROR",0,1),"OK","ERROR"),IF(B862="FSE",IF(COUNTIFS(B:B,B862,C:C,C862)=XLOOKUP(C862,FSE!A:A,FSE!AA:AA,"ERROR",0,1),"OK","ERROR")))</f>
        <v>OK</v>
      </c>
      <c r="H862" s="199">
        <f t="shared" ref="H862:O862" si="4360">countif($D862,"*"&amp;H$2&amp;"*")</f>
        <v>0</v>
      </c>
      <c r="I862" s="200">
        <f t="shared" si="4360"/>
        <v>0</v>
      </c>
      <c r="J862" s="200">
        <f t="shared" si="4360"/>
        <v>0</v>
      </c>
      <c r="K862" s="200">
        <f t="shared" si="4360"/>
        <v>0</v>
      </c>
      <c r="L862" s="200">
        <f t="shared" si="4360"/>
        <v>0</v>
      </c>
      <c r="M862" s="200">
        <f t="shared" si="4360"/>
        <v>0</v>
      </c>
      <c r="N862" s="200">
        <f t="shared" si="4360"/>
        <v>0</v>
      </c>
      <c r="O862" s="200">
        <f t="shared" si="4360"/>
        <v>0</v>
      </c>
      <c r="P862" s="200">
        <f t="shared" si="9"/>
        <v>0</v>
      </c>
      <c r="Q862" s="200">
        <f t="shared" ref="Q862:AC862" si="4361">countif($D862,"*"&amp;Q$2&amp;"*")</f>
        <v>0</v>
      </c>
      <c r="R862" s="200">
        <f t="shared" si="4361"/>
        <v>0</v>
      </c>
      <c r="S862" s="200">
        <f t="shared" si="4361"/>
        <v>0</v>
      </c>
      <c r="T862" s="200">
        <f t="shared" si="4361"/>
        <v>0</v>
      </c>
      <c r="U862" s="200">
        <f t="shared" si="4361"/>
        <v>0</v>
      </c>
      <c r="V862" s="200">
        <f t="shared" si="4361"/>
        <v>0</v>
      </c>
      <c r="W862" s="200">
        <f t="shared" si="4361"/>
        <v>0</v>
      </c>
      <c r="X862" s="200">
        <f t="shared" si="4361"/>
        <v>0</v>
      </c>
      <c r="Y862" s="200">
        <f t="shared" si="4361"/>
        <v>0</v>
      </c>
      <c r="Z862" s="200">
        <f t="shared" si="4361"/>
        <v>0</v>
      </c>
      <c r="AA862" s="200">
        <f t="shared" si="4361"/>
        <v>0</v>
      </c>
      <c r="AB862" s="200">
        <f t="shared" si="4361"/>
        <v>0</v>
      </c>
      <c r="AC862" s="200">
        <f t="shared" si="4361"/>
        <v>0</v>
      </c>
      <c r="AD862" s="200">
        <f t="shared" si="11"/>
        <v>1</v>
      </c>
      <c r="AE862" s="200">
        <f t="shared" ref="AE862:AG862" si="4362">countif($D862,"*"&amp;AE$2&amp;"*")</f>
        <v>0</v>
      </c>
      <c r="AF862" s="200">
        <f t="shared" si="4362"/>
        <v>0</v>
      </c>
      <c r="AG862" s="200">
        <f t="shared" si="4362"/>
        <v>0</v>
      </c>
      <c r="AH862" s="171">
        <f t="shared" si="13"/>
        <v>0</v>
      </c>
      <c r="AI862" s="200">
        <f t="shared" si="14"/>
        <v>0</v>
      </c>
      <c r="AJ862" s="200">
        <f t="shared" si="4327"/>
        <v>0</v>
      </c>
      <c r="AK862" s="201">
        <f t="shared" ref="AK862:AS862" si="4363">countif($D862,"*"&amp;AK$2&amp;"*")</f>
        <v>0</v>
      </c>
      <c r="AL862" s="201">
        <f t="shared" si="4363"/>
        <v>0</v>
      </c>
      <c r="AM862" s="201">
        <f t="shared" si="4363"/>
        <v>0</v>
      </c>
      <c r="AN862" s="201">
        <f t="shared" si="4363"/>
        <v>0</v>
      </c>
      <c r="AO862" s="201">
        <f t="shared" si="4363"/>
        <v>0</v>
      </c>
      <c r="AP862" s="201">
        <f t="shared" si="4363"/>
        <v>0</v>
      </c>
      <c r="AQ862" s="201">
        <f t="shared" si="4363"/>
        <v>0</v>
      </c>
      <c r="AR862" s="200">
        <f t="shared" si="4363"/>
        <v>0</v>
      </c>
      <c r="AS862" s="200">
        <f t="shared" si="4363"/>
        <v>0</v>
      </c>
      <c r="AT862" s="173">
        <v>1.0</v>
      </c>
      <c r="AU862" s="200">
        <f t="shared" ref="AU862:AX862" si="4364">countif($D862,"*"&amp;AU$2&amp;"*")</f>
        <v>0</v>
      </c>
      <c r="AV862" s="200">
        <f t="shared" si="4364"/>
        <v>0</v>
      </c>
      <c r="AW862" s="200">
        <f t="shared" si="4364"/>
        <v>0</v>
      </c>
      <c r="AX862" s="200">
        <f t="shared" si="4364"/>
        <v>0</v>
      </c>
      <c r="AY862" s="202">
        <v>0.0</v>
      </c>
      <c r="AZ862" s="200"/>
      <c r="BA862" s="171" t="str">
        <f t="shared" si="18"/>
        <v/>
      </c>
      <c r="BB862" s="171" t="str">
        <f t="shared" si="19"/>
        <v/>
      </c>
      <c r="BC862" s="171" t="str">
        <f t="shared" si="20"/>
        <v/>
      </c>
      <c r="BD862" s="171" t="str">
        <f t="shared" si="21"/>
        <v>Institutional</v>
      </c>
      <c r="BE862" s="171" t="str">
        <f t="shared" si="22"/>
        <v/>
      </c>
      <c r="BF862" s="171" t="str">
        <f t="shared" si="23"/>
        <v>Institutional</v>
      </c>
    </row>
    <row r="863">
      <c r="A863" s="171">
        <f t="array" ref="A863">XLOOKUP(C863,ICSE!A:A,ICSE!C:C,,2,1)</f>
        <v>2015</v>
      </c>
      <c r="B863" s="171" t="s">
        <v>5675</v>
      </c>
      <c r="C863" s="160">
        <v>1699.0</v>
      </c>
      <c r="D863" s="161" t="s">
        <v>358</v>
      </c>
      <c r="E863" s="197" t="str">
        <f t="array" ref="E863">XLOOKUP(C863,ICSE!A:A,ICSE!Z:Z,,0,1)</f>
        <v>Publicly available (1)</v>
      </c>
      <c r="F863" s="198" t="s">
        <v>20</v>
      </c>
      <c r="G863" s="163" t="str">
        <f t="array" ref="G863">IF(B863="ICSE",IF(COUNTIFS(B:B,B863,C:C,C863)=XLOOKUP(C863,ICSE!A:A,ICSE!AA:AA,"ERROR",0,1),"OK","ERROR"),IF(B863="FSE",IF(COUNTIFS(B:B,B863,C:C,C863)=XLOOKUP(C863,FSE!A:A,FSE!AA:AA,"ERROR",0,1),"OK","ERROR")))</f>
        <v>OK</v>
      </c>
      <c r="H863" s="199">
        <f t="shared" ref="H863:O863" si="4365">countif($D863,"*"&amp;H$2&amp;"*")</f>
        <v>0</v>
      </c>
      <c r="I863" s="200">
        <f t="shared" si="4365"/>
        <v>0</v>
      </c>
      <c r="J863" s="200">
        <f t="shared" si="4365"/>
        <v>0</v>
      </c>
      <c r="K863" s="200">
        <f t="shared" si="4365"/>
        <v>0</v>
      </c>
      <c r="L863" s="200">
        <f t="shared" si="4365"/>
        <v>0</v>
      </c>
      <c r="M863" s="200">
        <f t="shared" si="4365"/>
        <v>0</v>
      </c>
      <c r="N863" s="200">
        <f t="shared" si="4365"/>
        <v>0</v>
      </c>
      <c r="O863" s="200">
        <f t="shared" si="4365"/>
        <v>0</v>
      </c>
      <c r="P863" s="200">
        <f t="shared" si="9"/>
        <v>0</v>
      </c>
      <c r="Q863" s="200">
        <f t="shared" ref="Q863:AC863" si="4366">countif($D863,"*"&amp;Q$2&amp;"*")</f>
        <v>0</v>
      </c>
      <c r="R863" s="200">
        <f t="shared" si="4366"/>
        <v>0</v>
      </c>
      <c r="S863" s="200">
        <f t="shared" si="4366"/>
        <v>0</v>
      </c>
      <c r="T863" s="200">
        <f t="shared" si="4366"/>
        <v>0</v>
      </c>
      <c r="U863" s="200">
        <f t="shared" si="4366"/>
        <v>0</v>
      </c>
      <c r="V863" s="200">
        <f t="shared" si="4366"/>
        <v>0</v>
      </c>
      <c r="W863" s="200">
        <f t="shared" si="4366"/>
        <v>0</v>
      </c>
      <c r="X863" s="200">
        <f t="shared" si="4366"/>
        <v>0</v>
      </c>
      <c r="Y863" s="200">
        <f t="shared" si="4366"/>
        <v>0</v>
      </c>
      <c r="Z863" s="200">
        <f t="shared" si="4366"/>
        <v>0</v>
      </c>
      <c r="AA863" s="200">
        <f t="shared" si="4366"/>
        <v>0</v>
      </c>
      <c r="AB863" s="200">
        <f t="shared" si="4366"/>
        <v>0</v>
      </c>
      <c r="AC863" s="200">
        <f t="shared" si="4366"/>
        <v>0</v>
      </c>
      <c r="AD863" s="200">
        <f t="shared" si="11"/>
        <v>1</v>
      </c>
      <c r="AE863" s="200">
        <f t="shared" ref="AE863:AG863" si="4367">countif($D863,"*"&amp;AE$2&amp;"*")</f>
        <v>0</v>
      </c>
      <c r="AF863" s="200">
        <f t="shared" si="4367"/>
        <v>0</v>
      </c>
      <c r="AG863" s="200">
        <f t="shared" si="4367"/>
        <v>0</v>
      </c>
      <c r="AH863" s="171">
        <f t="shared" si="13"/>
        <v>0</v>
      </c>
      <c r="AI863" s="200">
        <f t="shared" si="14"/>
        <v>0</v>
      </c>
      <c r="AJ863" s="200">
        <f>SUM(AK863:AQ863)</f>
        <v>0</v>
      </c>
      <c r="AK863" s="201">
        <f t="shared" ref="AK863:AS863" si="4368">countif($D863,"*"&amp;AK$2&amp;"*")</f>
        <v>0</v>
      </c>
      <c r="AL863" s="201">
        <f t="shared" si="4368"/>
        <v>0</v>
      </c>
      <c r="AM863" s="201">
        <f t="shared" si="4368"/>
        <v>0</v>
      </c>
      <c r="AN863" s="201">
        <f t="shared" si="4368"/>
        <v>0</v>
      </c>
      <c r="AO863" s="201">
        <f t="shared" si="4368"/>
        <v>0</v>
      </c>
      <c r="AP863" s="201">
        <f t="shared" si="4368"/>
        <v>0</v>
      </c>
      <c r="AQ863" s="201">
        <f t="shared" si="4368"/>
        <v>0</v>
      </c>
      <c r="AR863" s="201">
        <f t="shared" si="4368"/>
        <v>0</v>
      </c>
      <c r="AS863" s="200">
        <f t="shared" si="4368"/>
        <v>0</v>
      </c>
      <c r="AT863" s="205">
        <v>0.0</v>
      </c>
      <c r="AU863" s="200">
        <f t="shared" ref="AU863:AX863" si="4369">countif($D863,"*"&amp;AU$2&amp;"*")</f>
        <v>1</v>
      </c>
      <c r="AV863" s="200">
        <f t="shared" si="4369"/>
        <v>0</v>
      </c>
      <c r="AW863" s="200">
        <f t="shared" si="4369"/>
        <v>0</v>
      </c>
      <c r="AX863" s="200">
        <f t="shared" si="4369"/>
        <v>0</v>
      </c>
      <c r="AY863" s="202">
        <v>0.0</v>
      </c>
      <c r="AZ863" s="200"/>
      <c r="BA863" s="171" t="str">
        <f t="shared" si="18"/>
        <v/>
      </c>
      <c r="BB863" s="171" t="str">
        <f t="shared" si="19"/>
        <v/>
      </c>
      <c r="BC863" s="171" t="str">
        <f t="shared" si="20"/>
        <v/>
      </c>
      <c r="BD863" s="171" t="str">
        <f t="shared" si="21"/>
        <v>Institutional</v>
      </c>
      <c r="BE863" s="171" t="str">
        <f t="shared" si="22"/>
        <v/>
      </c>
      <c r="BF863" s="171" t="str">
        <f t="shared" si="23"/>
        <v>Institutional</v>
      </c>
    </row>
    <row r="864">
      <c r="A864" s="171">
        <f t="array" ref="A864">XLOOKUP(C864,ICSE!A:A,ICSE!C:C,,2,1)</f>
        <v>2015</v>
      </c>
      <c r="B864" s="171" t="s">
        <v>5675</v>
      </c>
      <c r="C864" s="160">
        <v>1701.0</v>
      </c>
      <c r="D864" s="161" t="s">
        <v>6031</v>
      </c>
      <c r="E864" s="197" t="str">
        <f t="array" ref="E864">XLOOKUP(C864,ICSE!A:A,ICSE!Z:Z,,0,1)</f>
        <v>Not available (2) - Broken link.</v>
      </c>
      <c r="F864" s="198" t="s">
        <v>21</v>
      </c>
      <c r="G864" s="163" t="str">
        <f t="array" ref="G864">IF(B864="ICSE",IF(COUNTIFS(B:B,B864,C:C,C864)=XLOOKUP(C864,ICSE!A:A,ICSE!AA:AA,"ERROR",0,1),"OK","ERROR"),IF(B864="FSE",IF(COUNTIFS(B:B,B864,C:C,C864)=XLOOKUP(C864,FSE!A:A,FSE!AA:AA,"ERROR",0,1),"OK","ERROR")))</f>
        <v>OK</v>
      </c>
      <c r="H864" s="199">
        <f t="shared" ref="H864:O864" si="4370">countif($D864,"*"&amp;H$2&amp;"*")</f>
        <v>0</v>
      </c>
      <c r="I864" s="200">
        <f t="shared" si="4370"/>
        <v>0</v>
      </c>
      <c r="J864" s="200">
        <f t="shared" si="4370"/>
        <v>0</v>
      </c>
      <c r="K864" s="200">
        <f t="shared" si="4370"/>
        <v>0</v>
      </c>
      <c r="L864" s="200">
        <f t="shared" si="4370"/>
        <v>0</v>
      </c>
      <c r="M864" s="200">
        <f t="shared" si="4370"/>
        <v>0</v>
      </c>
      <c r="N864" s="200">
        <f t="shared" si="4370"/>
        <v>0</v>
      </c>
      <c r="O864" s="200">
        <f t="shared" si="4370"/>
        <v>0</v>
      </c>
      <c r="P864" s="200">
        <f t="shared" si="9"/>
        <v>1</v>
      </c>
      <c r="Q864" s="200">
        <f t="shared" ref="Q864:AC864" si="4371">countif($D864,"*"&amp;Q$2&amp;"*")</f>
        <v>0</v>
      </c>
      <c r="R864" s="200">
        <f t="shared" si="4371"/>
        <v>0</v>
      </c>
      <c r="S864" s="200">
        <f t="shared" si="4371"/>
        <v>0</v>
      </c>
      <c r="T864" s="200">
        <f t="shared" si="4371"/>
        <v>0</v>
      </c>
      <c r="U864" s="200">
        <f t="shared" si="4371"/>
        <v>0</v>
      </c>
      <c r="V864" s="200">
        <f t="shared" si="4371"/>
        <v>0</v>
      </c>
      <c r="W864" s="200">
        <f t="shared" si="4371"/>
        <v>0</v>
      </c>
      <c r="X864" s="200">
        <f t="shared" si="4371"/>
        <v>0</v>
      </c>
      <c r="Y864" s="200">
        <f t="shared" si="4371"/>
        <v>0</v>
      </c>
      <c r="Z864" s="200">
        <f t="shared" si="4371"/>
        <v>0</v>
      </c>
      <c r="AA864" s="200">
        <f t="shared" si="4371"/>
        <v>0</v>
      </c>
      <c r="AB864" s="200">
        <f t="shared" si="4371"/>
        <v>0</v>
      </c>
      <c r="AC864" s="200">
        <f t="shared" si="4371"/>
        <v>0</v>
      </c>
      <c r="AD864" s="200">
        <f t="shared" si="11"/>
        <v>0</v>
      </c>
      <c r="AE864" s="200">
        <f t="shared" ref="AE864:AG864" si="4372">countif($D864,"*"&amp;AE$2&amp;"*")</f>
        <v>0</v>
      </c>
      <c r="AF864" s="200">
        <f t="shared" si="4372"/>
        <v>0</v>
      </c>
      <c r="AG864" s="200">
        <f t="shared" si="4372"/>
        <v>0</v>
      </c>
      <c r="AH864" s="171">
        <f t="shared" si="13"/>
        <v>0</v>
      </c>
      <c r="AI864" s="200">
        <f t="shared" si="14"/>
        <v>0</v>
      </c>
      <c r="AJ864" s="200">
        <f t="shared" ref="AJ864:AJ867" si="4378">SUM(AK864:AR864)</f>
        <v>0</v>
      </c>
      <c r="AK864" s="201">
        <f t="shared" ref="AK864:AS864" si="4373">countif($D864,"*"&amp;AK$2&amp;"*")</f>
        <v>0</v>
      </c>
      <c r="AL864" s="201">
        <f t="shared" si="4373"/>
        <v>0</v>
      </c>
      <c r="AM864" s="201">
        <f t="shared" si="4373"/>
        <v>0</v>
      </c>
      <c r="AN864" s="201">
        <f t="shared" si="4373"/>
        <v>0</v>
      </c>
      <c r="AO864" s="201">
        <f t="shared" si="4373"/>
        <v>0</v>
      </c>
      <c r="AP864" s="201">
        <f t="shared" si="4373"/>
        <v>0</v>
      </c>
      <c r="AQ864" s="201">
        <f t="shared" si="4373"/>
        <v>0</v>
      </c>
      <c r="AR864" s="200">
        <f t="shared" si="4373"/>
        <v>0</v>
      </c>
      <c r="AS864" s="200">
        <f t="shared" si="4373"/>
        <v>0</v>
      </c>
      <c r="AT864" s="173">
        <v>0.0</v>
      </c>
      <c r="AU864" s="200">
        <f t="shared" ref="AU864:AX864" si="4374">countif($D864,"*"&amp;AU$2&amp;"*")</f>
        <v>0</v>
      </c>
      <c r="AV864" s="200">
        <f t="shared" si="4374"/>
        <v>1</v>
      </c>
      <c r="AW864" s="200">
        <f t="shared" si="4374"/>
        <v>0</v>
      </c>
      <c r="AX864" s="200">
        <f t="shared" si="4374"/>
        <v>0</v>
      </c>
      <c r="AY864" s="202">
        <v>0.0</v>
      </c>
      <c r="AZ864" s="200"/>
      <c r="BA864" s="171" t="str">
        <f t="shared" si="18"/>
        <v/>
      </c>
      <c r="BB864" s="171" t="str">
        <f t="shared" si="19"/>
        <v>Code</v>
      </c>
      <c r="BC864" s="171" t="str">
        <f t="shared" si="20"/>
        <v/>
      </c>
      <c r="BD864" s="171" t="str">
        <f t="shared" si="21"/>
        <v/>
      </c>
      <c r="BE864" s="171" t="str">
        <f t="shared" si="22"/>
        <v/>
      </c>
      <c r="BF864" s="171" t="str">
        <f t="shared" si="23"/>
        <v>Code</v>
      </c>
    </row>
    <row r="865">
      <c r="A865" s="171">
        <f t="array" ref="A865">XLOOKUP(C865,ICSE!A:A,ICSE!C:C,,2,1)</f>
        <v>2015</v>
      </c>
      <c r="B865" s="171" t="s">
        <v>5675</v>
      </c>
      <c r="C865" s="160">
        <v>1701.0</v>
      </c>
      <c r="D865" s="161" t="s">
        <v>6006</v>
      </c>
      <c r="E865" s="197" t="str">
        <f t="array" ref="E865">XLOOKUP(C865,ICSE!A:A,ICSE!Z:Z,,0,1)</f>
        <v>Not available (2) - Broken link.</v>
      </c>
      <c r="F865" s="198" t="s">
        <v>21</v>
      </c>
      <c r="G865" s="163" t="str">
        <f t="array" ref="G865">IF(B865="ICSE",IF(COUNTIFS(B:B,B865,C:C,C865)=XLOOKUP(C865,ICSE!A:A,ICSE!AA:AA,"ERROR",0,1),"OK","ERROR"),IF(B865="FSE",IF(COUNTIFS(B:B,B865,C:C,C865)=XLOOKUP(C865,FSE!A:A,FSE!AA:AA,"ERROR",0,1),"OK","ERROR")))</f>
        <v>OK</v>
      </c>
      <c r="H865" s="199">
        <f t="shared" ref="H865:O865" si="4375">countif($D865,"*"&amp;H$2&amp;"*")</f>
        <v>0</v>
      </c>
      <c r="I865" s="200">
        <f t="shared" si="4375"/>
        <v>0</v>
      </c>
      <c r="J865" s="200">
        <f t="shared" si="4375"/>
        <v>0</v>
      </c>
      <c r="K865" s="200">
        <f t="shared" si="4375"/>
        <v>0</v>
      </c>
      <c r="L865" s="200">
        <f t="shared" si="4375"/>
        <v>0</v>
      </c>
      <c r="M865" s="200">
        <f t="shared" si="4375"/>
        <v>0</v>
      </c>
      <c r="N865" s="200">
        <f t="shared" si="4375"/>
        <v>0</v>
      </c>
      <c r="O865" s="200">
        <f t="shared" si="4375"/>
        <v>0</v>
      </c>
      <c r="P865" s="200">
        <f t="shared" si="9"/>
        <v>0</v>
      </c>
      <c r="Q865" s="200">
        <f t="shared" ref="Q865:AC865" si="4376">countif($D865,"*"&amp;Q$2&amp;"*")</f>
        <v>0</v>
      </c>
      <c r="R865" s="200">
        <f t="shared" si="4376"/>
        <v>0</v>
      </c>
      <c r="S865" s="200">
        <f t="shared" si="4376"/>
        <v>0</v>
      </c>
      <c r="T865" s="200">
        <f t="shared" si="4376"/>
        <v>0</v>
      </c>
      <c r="U865" s="200">
        <f t="shared" si="4376"/>
        <v>0</v>
      </c>
      <c r="V865" s="200">
        <f t="shared" si="4376"/>
        <v>0</v>
      </c>
      <c r="W865" s="200">
        <f t="shared" si="4376"/>
        <v>0</v>
      </c>
      <c r="X865" s="200">
        <f t="shared" si="4376"/>
        <v>0</v>
      </c>
      <c r="Y865" s="200">
        <f t="shared" si="4376"/>
        <v>0</v>
      </c>
      <c r="Z865" s="200">
        <f t="shared" si="4376"/>
        <v>0</v>
      </c>
      <c r="AA865" s="200">
        <f t="shared" si="4376"/>
        <v>0</v>
      </c>
      <c r="AB865" s="200">
        <f t="shared" si="4376"/>
        <v>0</v>
      </c>
      <c r="AC865" s="200">
        <f t="shared" si="4376"/>
        <v>0</v>
      </c>
      <c r="AD865" s="200">
        <f t="shared" si="11"/>
        <v>0</v>
      </c>
      <c r="AE865" s="200">
        <f t="shared" ref="AE865:AG865" si="4377">countif($D865,"*"&amp;AE$2&amp;"*")</f>
        <v>0</v>
      </c>
      <c r="AF865" s="200">
        <f t="shared" si="4377"/>
        <v>0</v>
      </c>
      <c r="AG865" s="200">
        <f t="shared" si="4377"/>
        <v>0</v>
      </c>
      <c r="AH865" s="171">
        <f t="shared" si="13"/>
        <v>1</v>
      </c>
      <c r="AI865" s="200">
        <f t="shared" si="14"/>
        <v>0</v>
      </c>
      <c r="AJ865" s="200">
        <f t="shared" si="4378"/>
        <v>0</v>
      </c>
      <c r="AK865" s="201">
        <f t="shared" ref="AK865:AS865" si="4379">countif($D865,"*"&amp;AK$2&amp;"*")</f>
        <v>0</v>
      </c>
      <c r="AL865" s="201">
        <f t="shared" si="4379"/>
        <v>0</v>
      </c>
      <c r="AM865" s="201">
        <f t="shared" si="4379"/>
        <v>0</v>
      </c>
      <c r="AN865" s="201">
        <f t="shared" si="4379"/>
        <v>0</v>
      </c>
      <c r="AO865" s="201">
        <f t="shared" si="4379"/>
        <v>0</v>
      </c>
      <c r="AP865" s="201">
        <f t="shared" si="4379"/>
        <v>0</v>
      </c>
      <c r="AQ865" s="201">
        <f t="shared" si="4379"/>
        <v>0</v>
      </c>
      <c r="AR865" s="200">
        <f t="shared" si="4379"/>
        <v>0</v>
      </c>
      <c r="AS865" s="200">
        <f t="shared" si="4379"/>
        <v>0</v>
      </c>
      <c r="AT865" s="173">
        <v>0.0</v>
      </c>
      <c r="AU865" s="200">
        <f t="shared" ref="AU865:AX865" si="4380">countif($D865,"*"&amp;AU$2&amp;"*")</f>
        <v>0</v>
      </c>
      <c r="AV865" s="200">
        <f t="shared" si="4380"/>
        <v>0</v>
      </c>
      <c r="AW865" s="200">
        <f t="shared" si="4380"/>
        <v>0</v>
      </c>
      <c r="AX865" s="200">
        <f t="shared" si="4380"/>
        <v>0</v>
      </c>
      <c r="AY865" s="202">
        <v>0.0</v>
      </c>
      <c r="AZ865" s="200"/>
      <c r="BA865" s="171" t="str">
        <f t="shared" si="18"/>
        <v/>
      </c>
      <c r="BB865" s="171" t="str">
        <f t="shared" si="19"/>
        <v/>
      </c>
      <c r="BC865" s="171" t="str">
        <f t="shared" si="20"/>
        <v/>
      </c>
      <c r="BD865" s="171" t="str">
        <f t="shared" si="21"/>
        <v/>
      </c>
      <c r="BE865" s="171" t="str">
        <f t="shared" si="22"/>
        <v>Others</v>
      </c>
      <c r="BF865" s="171" t="str">
        <f t="shared" si="23"/>
        <v>Others</v>
      </c>
    </row>
    <row r="866">
      <c r="A866" s="171">
        <f t="array" ref="A866">XLOOKUP(C866,ICSE!A:A,ICSE!C:C,,2,1)</f>
        <v>2015</v>
      </c>
      <c r="B866" s="171" t="s">
        <v>5675</v>
      </c>
      <c r="C866" s="160">
        <v>1702.0</v>
      </c>
      <c r="D866" s="161" t="s">
        <v>365</v>
      </c>
      <c r="E866" s="197" t="str">
        <f t="array" ref="E866">XLOOKUP(C866,ICSE!A:A,ICSE!Z:Z,,0,1)</f>
        <v>Publicly available (1)</v>
      </c>
      <c r="F866" s="198" t="s">
        <v>20</v>
      </c>
      <c r="G866" s="163" t="str">
        <f t="array" ref="G866">IF(B866="ICSE",IF(COUNTIFS(B:B,B866,C:C,C866)=XLOOKUP(C866,ICSE!A:A,ICSE!AA:AA,"ERROR",0,1),"OK","ERROR"),IF(B866="FSE",IF(COUNTIFS(B:B,B866,C:C,C866)=XLOOKUP(C866,FSE!A:A,FSE!AA:AA,"ERROR",0,1),"OK","ERROR")))</f>
        <v>OK</v>
      </c>
      <c r="H866" s="199">
        <f t="shared" ref="H866:O866" si="4381">countif($D866,"*"&amp;H$2&amp;"*")</f>
        <v>0</v>
      </c>
      <c r="I866" s="200">
        <f t="shared" si="4381"/>
        <v>0</v>
      </c>
      <c r="J866" s="200">
        <f t="shared" si="4381"/>
        <v>0</v>
      </c>
      <c r="K866" s="200">
        <f t="shared" si="4381"/>
        <v>0</v>
      </c>
      <c r="L866" s="200">
        <f t="shared" si="4381"/>
        <v>0</v>
      </c>
      <c r="M866" s="200">
        <f t="shared" si="4381"/>
        <v>0</v>
      </c>
      <c r="N866" s="200">
        <f t="shared" si="4381"/>
        <v>0</v>
      </c>
      <c r="O866" s="200">
        <f t="shared" si="4381"/>
        <v>0</v>
      </c>
      <c r="P866" s="200">
        <f t="shared" si="9"/>
        <v>0</v>
      </c>
      <c r="Q866" s="200">
        <f t="shared" ref="Q866:AC866" si="4382">countif($D866,"*"&amp;Q$2&amp;"*")</f>
        <v>0</v>
      </c>
      <c r="R866" s="200">
        <f t="shared" si="4382"/>
        <v>0</v>
      </c>
      <c r="S866" s="200">
        <f t="shared" si="4382"/>
        <v>0</v>
      </c>
      <c r="T866" s="200">
        <f t="shared" si="4382"/>
        <v>0</v>
      </c>
      <c r="U866" s="200">
        <f t="shared" si="4382"/>
        <v>0</v>
      </c>
      <c r="V866" s="200">
        <f t="shared" si="4382"/>
        <v>0</v>
      </c>
      <c r="W866" s="200">
        <f t="shared" si="4382"/>
        <v>0</v>
      </c>
      <c r="X866" s="200">
        <f t="shared" si="4382"/>
        <v>0</v>
      </c>
      <c r="Y866" s="200">
        <f t="shared" si="4382"/>
        <v>0</v>
      </c>
      <c r="Z866" s="200">
        <f t="shared" si="4382"/>
        <v>0</v>
      </c>
      <c r="AA866" s="200">
        <f t="shared" si="4382"/>
        <v>0</v>
      </c>
      <c r="AB866" s="200">
        <f t="shared" si="4382"/>
        <v>0</v>
      </c>
      <c r="AC866" s="200">
        <f t="shared" si="4382"/>
        <v>0</v>
      </c>
      <c r="AD866" s="200">
        <f t="shared" si="11"/>
        <v>0</v>
      </c>
      <c r="AE866" s="200">
        <f t="shared" ref="AE866:AG866" si="4383">countif($D866,"*"&amp;AE$2&amp;"*")</f>
        <v>1</v>
      </c>
      <c r="AF866" s="200">
        <f t="shared" si="4383"/>
        <v>0</v>
      </c>
      <c r="AG866" s="200">
        <f t="shared" si="4383"/>
        <v>0</v>
      </c>
      <c r="AH866" s="171">
        <f t="shared" si="13"/>
        <v>0</v>
      </c>
      <c r="AI866" s="200">
        <f t="shared" si="14"/>
        <v>0</v>
      </c>
      <c r="AJ866" s="200">
        <f t="shared" si="4378"/>
        <v>0</v>
      </c>
      <c r="AK866" s="201">
        <f t="shared" ref="AK866:AS866" si="4384">countif($D866,"*"&amp;AK$2&amp;"*")</f>
        <v>0</v>
      </c>
      <c r="AL866" s="201">
        <f t="shared" si="4384"/>
        <v>0</v>
      </c>
      <c r="AM866" s="201">
        <f t="shared" si="4384"/>
        <v>0</v>
      </c>
      <c r="AN866" s="201">
        <f t="shared" si="4384"/>
        <v>0</v>
      </c>
      <c r="AO866" s="201">
        <f t="shared" si="4384"/>
        <v>0</v>
      </c>
      <c r="AP866" s="201">
        <f t="shared" si="4384"/>
        <v>0</v>
      </c>
      <c r="AQ866" s="201">
        <f t="shared" si="4384"/>
        <v>0</v>
      </c>
      <c r="AR866" s="200">
        <f t="shared" si="4384"/>
        <v>0</v>
      </c>
      <c r="AS866" s="200">
        <f t="shared" si="4384"/>
        <v>0</v>
      </c>
      <c r="AT866" s="173">
        <v>0.0</v>
      </c>
      <c r="AU866" s="200">
        <f t="shared" ref="AU866:AX866" si="4385">countif($D866,"*"&amp;AU$2&amp;"*")</f>
        <v>0</v>
      </c>
      <c r="AV866" s="200">
        <f t="shared" si="4385"/>
        <v>0</v>
      </c>
      <c r="AW866" s="200">
        <f t="shared" si="4385"/>
        <v>0</v>
      </c>
      <c r="AX866" s="200">
        <f t="shared" si="4385"/>
        <v>0</v>
      </c>
      <c r="AY866" s="202">
        <v>0.0</v>
      </c>
      <c r="AZ866" s="200"/>
      <c r="BA866" s="171" t="str">
        <f t="shared" si="18"/>
        <v/>
      </c>
      <c r="BB866" s="171" t="str">
        <f t="shared" si="19"/>
        <v/>
      </c>
      <c r="BC866" s="171" t="str">
        <f t="shared" si="20"/>
        <v/>
      </c>
      <c r="BD866" s="171" t="str">
        <f t="shared" si="21"/>
        <v>Institutional</v>
      </c>
      <c r="BE866" s="171" t="str">
        <f t="shared" si="22"/>
        <v/>
      </c>
      <c r="BF866" s="171" t="str">
        <f t="shared" si="23"/>
        <v>Institutional</v>
      </c>
    </row>
    <row r="867">
      <c r="A867" s="171">
        <f t="array" ref="A867">XLOOKUP(C867,ICSE!A:A,ICSE!C:C,,2,1)</f>
        <v>2015</v>
      </c>
      <c r="B867" s="171" t="s">
        <v>5675</v>
      </c>
      <c r="C867" s="160">
        <v>1703.0</v>
      </c>
      <c r="D867" s="161" t="s">
        <v>368</v>
      </c>
      <c r="E867" s="197" t="str">
        <f t="array" ref="E867">XLOOKUP(C867,ICSE!A:A,ICSE!Z:Z,,0,1)</f>
        <v>Publicly available (1)</v>
      </c>
      <c r="F867" s="198" t="s">
        <v>20</v>
      </c>
      <c r="G867" s="163" t="str">
        <f t="array" ref="G867">IF(B867="ICSE",IF(COUNTIFS(B:B,B867,C:C,C867)=XLOOKUP(C867,ICSE!A:A,ICSE!AA:AA,"ERROR",0,1),"OK","ERROR"),IF(B867="FSE",IF(COUNTIFS(B:B,B867,C:C,C867)=XLOOKUP(C867,FSE!A:A,FSE!AA:AA,"ERROR",0,1),"OK","ERROR")))</f>
        <v>OK</v>
      </c>
      <c r="H867" s="199">
        <f t="shared" ref="H867:O867" si="4386">countif($D867,"*"&amp;H$2&amp;"*")</f>
        <v>0</v>
      </c>
      <c r="I867" s="200">
        <f t="shared" si="4386"/>
        <v>0</v>
      </c>
      <c r="J867" s="200">
        <f t="shared" si="4386"/>
        <v>0</v>
      </c>
      <c r="K867" s="200">
        <f t="shared" si="4386"/>
        <v>0</v>
      </c>
      <c r="L867" s="200">
        <f t="shared" si="4386"/>
        <v>0</v>
      </c>
      <c r="M867" s="200">
        <f t="shared" si="4386"/>
        <v>0</v>
      </c>
      <c r="N867" s="200">
        <f t="shared" si="4386"/>
        <v>0</v>
      </c>
      <c r="O867" s="200">
        <f t="shared" si="4386"/>
        <v>0</v>
      </c>
      <c r="P867" s="200">
        <f t="shared" si="9"/>
        <v>0</v>
      </c>
      <c r="Q867" s="200">
        <f t="shared" ref="Q867:AC867" si="4387">countif($D867,"*"&amp;Q$2&amp;"*")</f>
        <v>0</v>
      </c>
      <c r="R867" s="200">
        <f t="shared" si="4387"/>
        <v>0</v>
      </c>
      <c r="S867" s="200">
        <f t="shared" si="4387"/>
        <v>0</v>
      </c>
      <c r="T867" s="200">
        <f t="shared" si="4387"/>
        <v>0</v>
      </c>
      <c r="U867" s="200">
        <f t="shared" si="4387"/>
        <v>0</v>
      </c>
      <c r="V867" s="200">
        <f t="shared" si="4387"/>
        <v>0</v>
      </c>
      <c r="W867" s="200">
        <f t="shared" si="4387"/>
        <v>0</v>
      </c>
      <c r="X867" s="200">
        <f t="shared" si="4387"/>
        <v>0</v>
      </c>
      <c r="Y867" s="200">
        <f t="shared" si="4387"/>
        <v>0</v>
      </c>
      <c r="Z867" s="200">
        <f t="shared" si="4387"/>
        <v>0</v>
      </c>
      <c r="AA867" s="200">
        <f t="shared" si="4387"/>
        <v>0</v>
      </c>
      <c r="AB867" s="200">
        <f t="shared" si="4387"/>
        <v>0</v>
      </c>
      <c r="AC867" s="200">
        <f t="shared" si="4387"/>
        <v>0</v>
      </c>
      <c r="AD867" s="200">
        <f t="shared" si="11"/>
        <v>0</v>
      </c>
      <c r="AE867" s="200">
        <f t="shared" ref="AE867:AG867" si="4388">countif($D867,"*"&amp;AE$2&amp;"*")</f>
        <v>0</v>
      </c>
      <c r="AF867" s="200">
        <f t="shared" si="4388"/>
        <v>0</v>
      </c>
      <c r="AG867" s="200">
        <f t="shared" si="4388"/>
        <v>0</v>
      </c>
      <c r="AH867" s="171">
        <f t="shared" si="13"/>
        <v>1</v>
      </c>
      <c r="AI867" s="200">
        <f t="shared" si="14"/>
        <v>0</v>
      </c>
      <c r="AJ867" s="200">
        <f t="shared" si="4378"/>
        <v>0</v>
      </c>
      <c r="AK867" s="201">
        <f t="shared" ref="AK867:AS867" si="4389">countif($D867,"*"&amp;AK$2&amp;"*")</f>
        <v>0</v>
      </c>
      <c r="AL867" s="201">
        <f t="shared" si="4389"/>
        <v>0</v>
      </c>
      <c r="AM867" s="201">
        <f t="shared" si="4389"/>
        <v>0</v>
      </c>
      <c r="AN867" s="201">
        <f t="shared" si="4389"/>
        <v>0</v>
      </c>
      <c r="AO867" s="201">
        <f t="shared" si="4389"/>
        <v>0</v>
      </c>
      <c r="AP867" s="201">
        <f t="shared" si="4389"/>
        <v>0</v>
      </c>
      <c r="AQ867" s="201">
        <f t="shared" si="4389"/>
        <v>0</v>
      </c>
      <c r="AR867" s="200">
        <f t="shared" si="4389"/>
        <v>0</v>
      </c>
      <c r="AS867" s="200">
        <f t="shared" si="4389"/>
        <v>0</v>
      </c>
      <c r="AT867" s="173">
        <v>0.0</v>
      </c>
      <c r="AU867" s="200">
        <f t="shared" ref="AU867:AX867" si="4390">countif($D867,"*"&amp;AU$2&amp;"*")</f>
        <v>0</v>
      </c>
      <c r="AV867" s="200">
        <f t="shared" si="4390"/>
        <v>0</v>
      </c>
      <c r="AW867" s="200">
        <f t="shared" si="4390"/>
        <v>0</v>
      </c>
      <c r="AX867" s="200">
        <f t="shared" si="4390"/>
        <v>0</v>
      </c>
      <c r="AY867" s="202">
        <v>0.0</v>
      </c>
      <c r="AZ867" s="200"/>
      <c r="BA867" s="171" t="str">
        <f t="shared" si="18"/>
        <v/>
      </c>
      <c r="BB867" s="171" t="str">
        <f t="shared" si="19"/>
        <v/>
      </c>
      <c r="BC867" s="171" t="str">
        <f t="shared" si="20"/>
        <v/>
      </c>
      <c r="BD867" s="171" t="str">
        <f t="shared" si="21"/>
        <v/>
      </c>
      <c r="BE867" s="171" t="str">
        <f t="shared" si="22"/>
        <v>Others</v>
      </c>
      <c r="BF867" s="171" t="str">
        <f t="shared" si="23"/>
        <v>Others</v>
      </c>
    </row>
    <row r="868">
      <c r="A868" s="171">
        <f t="array" ref="A868">XLOOKUP(C868,ICSE!A:A,ICSE!C:C,,2,1)</f>
        <v>2015</v>
      </c>
      <c r="B868" s="171" t="s">
        <v>5675</v>
      </c>
      <c r="C868" s="160">
        <v>1704.0</v>
      </c>
      <c r="D868" s="161" t="s">
        <v>6032</v>
      </c>
      <c r="E868" s="197" t="str">
        <f t="array" ref="E868">XLOOKUP(C868,ICSE!A:A,ICSE!Z:Z,,0,1)</f>
        <v>Not available (1) - Broken link.</v>
      </c>
      <c r="F868" s="198" t="s">
        <v>21</v>
      </c>
      <c r="G868" s="163" t="str">
        <f t="array" ref="G868">IF(B868="ICSE",IF(COUNTIFS(B:B,B868,C:C,C868)=XLOOKUP(C868,ICSE!A:A,ICSE!AA:AA,"ERROR",0,1),"OK","ERROR"),IF(B868="FSE",IF(COUNTIFS(B:B,B868,C:C,C868)=XLOOKUP(C868,FSE!A:A,FSE!AA:AA,"ERROR",0,1),"OK","ERROR")))</f>
        <v>OK</v>
      </c>
      <c r="H868" s="199">
        <f t="shared" ref="H868:O868" si="4391">countif($D868,"*"&amp;H$2&amp;"*")</f>
        <v>0</v>
      </c>
      <c r="I868" s="200">
        <f t="shared" si="4391"/>
        <v>0</v>
      </c>
      <c r="J868" s="200">
        <f t="shared" si="4391"/>
        <v>0</v>
      </c>
      <c r="K868" s="200">
        <f t="shared" si="4391"/>
        <v>0</v>
      </c>
      <c r="L868" s="200">
        <f t="shared" si="4391"/>
        <v>0</v>
      </c>
      <c r="M868" s="200">
        <f t="shared" si="4391"/>
        <v>0</v>
      </c>
      <c r="N868" s="200">
        <f t="shared" si="4391"/>
        <v>0</v>
      </c>
      <c r="O868" s="200">
        <f t="shared" si="4391"/>
        <v>0</v>
      </c>
      <c r="P868" s="200">
        <f t="shared" si="9"/>
        <v>0</v>
      </c>
      <c r="Q868" s="200">
        <f t="shared" ref="Q868:AC868" si="4392">countif($D868,"*"&amp;Q$2&amp;"*")</f>
        <v>0</v>
      </c>
      <c r="R868" s="200">
        <f t="shared" si="4392"/>
        <v>0</v>
      </c>
      <c r="S868" s="200">
        <f t="shared" si="4392"/>
        <v>0</v>
      </c>
      <c r="T868" s="200">
        <f t="shared" si="4392"/>
        <v>0</v>
      </c>
      <c r="U868" s="200">
        <f t="shared" si="4392"/>
        <v>0</v>
      </c>
      <c r="V868" s="200">
        <f t="shared" si="4392"/>
        <v>0</v>
      </c>
      <c r="W868" s="200">
        <f t="shared" si="4392"/>
        <v>0</v>
      </c>
      <c r="X868" s="200">
        <f t="shared" si="4392"/>
        <v>0</v>
      </c>
      <c r="Y868" s="200">
        <f t="shared" si="4392"/>
        <v>0</v>
      </c>
      <c r="Z868" s="200">
        <f t="shared" si="4392"/>
        <v>0</v>
      </c>
      <c r="AA868" s="200">
        <f t="shared" si="4392"/>
        <v>0</v>
      </c>
      <c r="AB868" s="200">
        <f t="shared" si="4392"/>
        <v>0</v>
      </c>
      <c r="AC868" s="200">
        <f t="shared" si="4392"/>
        <v>0</v>
      </c>
      <c r="AD868" s="200">
        <f t="shared" si="11"/>
        <v>1</v>
      </c>
      <c r="AE868" s="200">
        <f t="shared" ref="AE868:AG868" si="4393">countif($D868,"*"&amp;AE$2&amp;"*")</f>
        <v>0</v>
      </c>
      <c r="AF868" s="200">
        <f t="shared" si="4393"/>
        <v>0</v>
      </c>
      <c r="AG868" s="200">
        <f t="shared" si="4393"/>
        <v>0</v>
      </c>
      <c r="AH868" s="171">
        <f t="shared" si="13"/>
        <v>0</v>
      </c>
      <c r="AI868" s="200">
        <f t="shared" si="14"/>
        <v>0</v>
      </c>
      <c r="AJ868" s="200">
        <f>SUM(AK868:AQ868)</f>
        <v>0</v>
      </c>
      <c r="AK868" s="201">
        <f t="shared" ref="AK868:AS868" si="4394">countif($D868,"*"&amp;AK$2&amp;"*")</f>
        <v>0</v>
      </c>
      <c r="AL868" s="201">
        <f t="shared" si="4394"/>
        <v>0</v>
      </c>
      <c r="AM868" s="201">
        <f t="shared" si="4394"/>
        <v>0</v>
      </c>
      <c r="AN868" s="201">
        <f t="shared" si="4394"/>
        <v>0</v>
      </c>
      <c r="AO868" s="201">
        <f t="shared" si="4394"/>
        <v>0</v>
      </c>
      <c r="AP868" s="201">
        <f t="shared" si="4394"/>
        <v>0</v>
      </c>
      <c r="AQ868" s="201">
        <f t="shared" si="4394"/>
        <v>0</v>
      </c>
      <c r="AR868" s="201">
        <f t="shared" si="4394"/>
        <v>0</v>
      </c>
      <c r="AS868" s="200">
        <f t="shared" si="4394"/>
        <v>0</v>
      </c>
      <c r="AT868" s="205">
        <v>0.0</v>
      </c>
      <c r="AU868" s="200">
        <f t="shared" ref="AU868:AX868" si="4395">countif($D868,"*"&amp;AU$2&amp;"*")</f>
        <v>1</v>
      </c>
      <c r="AV868" s="200">
        <f t="shared" si="4395"/>
        <v>0</v>
      </c>
      <c r="AW868" s="200">
        <f t="shared" si="4395"/>
        <v>0</v>
      </c>
      <c r="AX868" s="200">
        <f t="shared" si="4395"/>
        <v>0</v>
      </c>
      <c r="AY868" s="202">
        <v>0.0</v>
      </c>
      <c r="AZ868" s="200"/>
      <c r="BA868" s="171" t="str">
        <f t="shared" si="18"/>
        <v/>
      </c>
      <c r="BB868" s="171" t="str">
        <f t="shared" si="19"/>
        <v/>
      </c>
      <c r="BC868" s="171" t="str">
        <f t="shared" si="20"/>
        <v/>
      </c>
      <c r="BD868" s="171" t="str">
        <f t="shared" si="21"/>
        <v>Institutional</v>
      </c>
      <c r="BE868" s="171" t="str">
        <f t="shared" si="22"/>
        <v/>
      </c>
      <c r="BF868" s="171" t="str">
        <f t="shared" si="23"/>
        <v>Institutional</v>
      </c>
    </row>
    <row r="869">
      <c r="A869" s="171">
        <f t="array" ref="A869">XLOOKUP(C869,ICSE!A:A,ICSE!C:C,,2,1)</f>
        <v>2015</v>
      </c>
      <c r="B869" s="171" t="s">
        <v>5675</v>
      </c>
      <c r="C869" s="160">
        <v>1705.0</v>
      </c>
      <c r="D869" s="161" t="s">
        <v>6033</v>
      </c>
      <c r="E869" s="197" t="str">
        <f t="array" ref="E869">XLOOKUP(C869,ICSE!A:A,ICSE!Z:Z,,0,1)</f>
        <v>Not available (1) - Broken link.</v>
      </c>
      <c r="F869" s="198" t="s">
        <v>21</v>
      </c>
      <c r="G869" s="163" t="str">
        <f t="array" ref="G869">IF(B869="ICSE",IF(COUNTIFS(B:B,B869,C:C,C869)=XLOOKUP(C869,ICSE!A:A,ICSE!AA:AA,"ERROR",0,1),"OK","ERROR"),IF(B869="FSE",IF(COUNTIFS(B:B,B869,C:C,C869)=XLOOKUP(C869,FSE!A:A,FSE!AA:AA,"ERROR",0,1),"OK","ERROR")))</f>
        <v>OK</v>
      </c>
      <c r="H869" s="199">
        <f t="shared" ref="H869:O869" si="4396">countif($D869,"*"&amp;H$2&amp;"*")</f>
        <v>0</v>
      </c>
      <c r="I869" s="200">
        <f t="shared" si="4396"/>
        <v>0</v>
      </c>
      <c r="J869" s="200">
        <f t="shared" si="4396"/>
        <v>0</v>
      </c>
      <c r="K869" s="200">
        <f t="shared" si="4396"/>
        <v>0</v>
      </c>
      <c r="L869" s="200">
        <f t="shared" si="4396"/>
        <v>0</v>
      </c>
      <c r="M869" s="200">
        <f t="shared" si="4396"/>
        <v>0</v>
      </c>
      <c r="N869" s="200">
        <f t="shared" si="4396"/>
        <v>0</v>
      </c>
      <c r="O869" s="200">
        <f t="shared" si="4396"/>
        <v>0</v>
      </c>
      <c r="P869" s="200">
        <f t="shared" si="9"/>
        <v>0</v>
      </c>
      <c r="Q869" s="200">
        <f t="shared" ref="Q869:AC869" si="4397">countif($D869,"*"&amp;Q$2&amp;"*")</f>
        <v>0</v>
      </c>
      <c r="R869" s="200">
        <f t="shared" si="4397"/>
        <v>0</v>
      </c>
      <c r="S869" s="200">
        <f t="shared" si="4397"/>
        <v>0</v>
      </c>
      <c r="T869" s="200">
        <f t="shared" si="4397"/>
        <v>0</v>
      </c>
      <c r="U869" s="200">
        <f t="shared" si="4397"/>
        <v>0</v>
      </c>
      <c r="V869" s="200">
        <f t="shared" si="4397"/>
        <v>0</v>
      </c>
      <c r="W869" s="200">
        <f t="shared" si="4397"/>
        <v>0</v>
      </c>
      <c r="X869" s="200">
        <f t="shared" si="4397"/>
        <v>0</v>
      </c>
      <c r="Y869" s="200">
        <f t="shared" si="4397"/>
        <v>0</v>
      </c>
      <c r="Z869" s="200">
        <f t="shared" si="4397"/>
        <v>0</v>
      </c>
      <c r="AA869" s="200">
        <f t="shared" si="4397"/>
        <v>0</v>
      </c>
      <c r="AB869" s="200">
        <f t="shared" si="4397"/>
        <v>0</v>
      </c>
      <c r="AC869" s="200">
        <f t="shared" si="4397"/>
        <v>0</v>
      </c>
      <c r="AD869" s="200">
        <f t="shared" si="11"/>
        <v>1</v>
      </c>
      <c r="AE869" s="200">
        <f t="shared" ref="AE869:AG869" si="4398">countif($D869,"*"&amp;AE$2&amp;"*")</f>
        <v>0</v>
      </c>
      <c r="AF869" s="200">
        <f t="shared" si="4398"/>
        <v>0</v>
      </c>
      <c r="AG869" s="200">
        <f t="shared" si="4398"/>
        <v>0</v>
      </c>
      <c r="AH869" s="171">
        <f t="shared" si="13"/>
        <v>0</v>
      </c>
      <c r="AI869" s="200">
        <f t="shared" si="14"/>
        <v>0</v>
      </c>
      <c r="AJ869" s="200">
        <f t="shared" ref="AJ869:AJ872" si="4404">SUM(AK869:AR869)</f>
        <v>1</v>
      </c>
      <c r="AK869" s="201">
        <f t="shared" ref="AK869:AS869" si="4399">countif($D869,"*"&amp;AK$2&amp;"*")</f>
        <v>0</v>
      </c>
      <c r="AL869" s="201">
        <f t="shared" si="4399"/>
        <v>0</v>
      </c>
      <c r="AM869" s="201">
        <f t="shared" si="4399"/>
        <v>1</v>
      </c>
      <c r="AN869" s="201">
        <f t="shared" si="4399"/>
        <v>0</v>
      </c>
      <c r="AO869" s="201">
        <f t="shared" si="4399"/>
        <v>0</v>
      </c>
      <c r="AP869" s="201">
        <f t="shared" si="4399"/>
        <v>0</v>
      </c>
      <c r="AQ869" s="201">
        <f t="shared" si="4399"/>
        <v>0</v>
      </c>
      <c r="AR869" s="200">
        <f t="shared" si="4399"/>
        <v>0</v>
      </c>
      <c r="AS869" s="200">
        <f t="shared" si="4399"/>
        <v>1</v>
      </c>
      <c r="AT869" s="173">
        <v>1.0</v>
      </c>
      <c r="AU869" s="200">
        <f t="shared" ref="AU869:AX869" si="4400">countif($D869,"*"&amp;AU$2&amp;"*")</f>
        <v>0</v>
      </c>
      <c r="AV869" s="200">
        <f t="shared" si="4400"/>
        <v>0</v>
      </c>
      <c r="AW869" s="200">
        <f t="shared" si="4400"/>
        <v>0</v>
      </c>
      <c r="AX869" s="200">
        <f t="shared" si="4400"/>
        <v>0</v>
      </c>
      <c r="AY869" s="202">
        <v>0.0</v>
      </c>
      <c r="AZ869" s="200"/>
      <c r="BA869" s="171" t="str">
        <f t="shared" si="18"/>
        <v/>
      </c>
      <c r="BB869" s="171" t="str">
        <f t="shared" si="19"/>
        <v/>
      </c>
      <c r="BC869" s="171" t="str">
        <f t="shared" si="20"/>
        <v/>
      </c>
      <c r="BD869" s="171" t="str">
        <f t="shared" si="21"/>
        <v>Institutional</v>
      </c>
      <c r="BE869" s="171" t="str">
        <f t="shared" si="22"/>
        <v/>
      </c>
      <c r="BF869" s="171" t="str">
        <f t="shared" si="23"/>
        <v>Institutional</v>
      </c>
    </row>
    <row r="870">
      <c r="A870" s="171">
        <f t="array" ref="A870">XLOOKUP(C870,ICSE!A:A,ICSE!C:C,,2,1)</f>
        <v>2015</v>
      </c>
      <c r="B870" s="171" t="s">
        <v>5675</v>
      </c>
      <c r="C870" s="160">
        <v>1706.0</v>
      </c>
      <c r="D870" s="161" t="s">
        <v>378</v>
      </c>
      <c r="E870" s="197" t="str">
        <f t="array" ref="E870">XLOOKUP(C870,ICSE!A:A,ICSE!Z:Z,,0,1)</f>
        <v>Not available (1) - Broken link.</v>
      </c>
      <c r="F870" s="198" t="s">
        <v>21</v>
      </c>
      <c r="G870" s="163" t="str">
        <f t="array" ref="G870">IF(B870="ICSE",IF(COUNTIFS(B:B,B870,C:C,C870)=XLOOKUP(C870,ICSE!A:A,ICSE!AA:AA,"ERROR",0,1),"OK","ERROR"),IF(B870="FSE",IF(COUNTIFS(B:B,B870,C:C,C870)=XLOOKUP(C870,FSE!A:A,FSE!AA:AA,"ERROR",0,1),"OK","ERROR")))</f>
        <v>OK</v>
      </c>
      <c r="H870" s="199">
        <f t="shared" ref="H870:O870" si="4401">countif($D870,"*"&amp;H$2&amp;"*")</f>
        <v>0</v>
      </c>
      <c r="I870" s="200">
        <f t="shared" si="4401"/>
        <v>0</v>
      </c>
      <c r="J870" s="200">
        <f t="shared" si="4401"/>
        <v>0</v>
      </c>
      <c r="K870" s="200">
        <f t="shared" si="4401"/>
        <v>0</v>
      </c>
      <c r="L870" s="200">
        <f t="shared" si="4401"/>
        <v>0</v>
      </c>
      <c r="M870" s="200">
        <f t="shared" si="4401"/>
        <v>0</v>
      </c>
      <c r="N870" s="200">
        <f t="shared" si="4401"/>
        <v>0</v>
      </c>
      <c r="O870" s="200">
        <f t="shared" si="4401"/>
        <v>0</v>
      </c>
      <c r="P870" s="200">
        <f t="shared" si="9"/>
        <v>1</v>
      </c>
      <c r="Q870" s="200">
        <f t="shared" ref="Q870:AC870" si="4402">countif($D870,"*"&amp;Q$2&amp;"*")</f>
        <v>0</v>
      </c>
      <c r="R870" s="200">
        <f t="shared" si="4402"/>
        <v>0</v>
      </c>
      <c r="S870" s="200">
        <f t="shared" si="4402"/>
        <v>0</v>
      </c>
      <c r="T870" s="200">
        <f t="shared" si="4402"/>
        <v>0</v>
      </c>
      <c r="U870" s="200">
        <f t="shared" si="4402"/>
        <v>0</v>
      </c>
      <c r="V870" s="200">
        <f t="shared" si="4402"/>
        <v>0</v>
      </c>
      <c r="W870" s="200">
        <f t="shared" si="4402"/>
        <v>0</v>
      </c>
      <c r="X870" s="200">
        <f t="shared" si="4402"/>
        <v>0</v>
      </c>
      <c r="Y870" s="200">
        <f t="shared" si="4402"/>
        <v>0</v>
      </c>
      <c r="Z870" s="200">
        <f t="shared" si="4402"/>
        <v>0</v>
      </c>
      <c r="AA870" s="200">
        <f t="shared" si="4402"/>
        <v>0</v>
      </c>
      <c r="AB870" s="200">
        <f t="shared" si="4402"/>
        <v>0</v>
      </c>
      <c r="AC870" s="200">
        <f t="shared" si="4402"/>
        <v>0</v>
      </c>
      <c r="AD870" s="200">
        <f t="shared" si="11"/>
        <v>0</v>
      </c>
      <c r="AE870" s="200">
        <f t="shared" ref="AE870:AG870" si="4403">countif($D870,"*"&amp;AE$2&amp;"*")</f>
        <v>0</v>
      </c>
      <c r="AF870" s="200">
        <f t="shared" si="4403"/>
        <v>0</v>
      </c>
      <c r="AG870" s="200">
        <f t="shared" si="4403"/>
        <v>0</v>
      </c>
      <c r="AH870" s="171">
        <f t="shared" si="13"/>
        <v>0</v>
      </c>
      <c r="AI870" s="200">
        <f t="shared" si="14"/>
        <v>0</v>
      </c>
      <c r="AJ870" s="200">
        <f t="shared" si="4404"/>
        <v>0</v>
      </c>
      <c r="AK870" s="201">
        <f t="shared" ref="AK870:AS870" si="4405">countif($D870,"*"&amp;AK$2&amp;"*")</f>
        <v>0</v>
      </c>
      <c r="AL870" s="201">
        <f t="shared" si="4405"/>
        <v>0</v>
      </c>
      <c r="AM870" s="201">
        <f t="shared" si="4405"/>
        <v>0</v>
      </c>
      <c r="AN870" s="201">
        <f t="shared" si="4405"/>
        <v>0</v>
      </c>
      <c r="AO870" s="201">
        <f t="shared" si="4405"/>
        <v>0</v>
      </c>
      <c r="AP870" s="201">
        <f t="shared" si="4405"/>
        <v>0</v>
      </c>
      <c r="AQ870" s="201">
        <f t="shared" si="4405"/>
        <v>0</v>
      </c>
      <c r="AR870" s="200">
        <f t="shared" si="4405"/>
        <v>0</v>
      </c>
      <c r="AS870" s="200">
        <f t="shared" si="4405"/>
        <v>0</v>
      </c>
      <c r="AT870" s="173">
        <v>0.0</v>
      </c>
      <c r="AU870" s="200">
        <f t="shared" ref="AU870:AX870" si="4406">countif($D870,"*"&amp;AU$2&amp;"*")</f>
        <v>0</v>
      </c>
      <c r="AV870" s="200">
        <f t="shared" si="4406"/>
        <v>1</v>
      </c>
      <c r="AW870" s="200">
        <f t="shared" si="4406"/>
        <v>0</v>
      </c>
      <c r="AX870" s="200">
        <f t="shared" si="4406"/>
        <v>0</v>
      </c>
      <c r="AY870" s="202">
        <v>0.0</v>
      </c>
      <c r="AZ870" s="200"/>
      <c r="BA870" s="171" t="str">
        <f t="shared" si="18"/>
        <v/>
      </c>
      <c r="BB870" s="171" t="str">
        <f t="shared" si="19"/>
        <v>Code</v>
      </c>
      <c r="BC870" s="171" t="str">
        <f t="shared" si="20"/>
        <v/>
      </c>
      <c r="BD870" s="171" t="str">
        <f t="shared" si="21"/>
        <v/>
      </c>
      <c r="BE870" s="171" t="str">
        <f t="shared" si="22"/>
        <v/>
      </c>
      <c r="BF870" s="171" t="str">
        <f t="shared" si="23"/>
        <v>Code</v>
      </c>
    </row>
    <row r="871">
      <c r="A871" s="171">
        <f t="array" ref="A871">XLOOKUP(C871,ICSE!A:A,ICSE!C:C,,2,1)</f>
        <v>2015</v>
      </c>
      <c r="B871" s="171" t="s">
        <v>5675</v>
      </c>
      <c r="C871" s="160">
        <v>1707.0</v>
      </c>
      <c r="D871" s="161" t="s">
        <v>381</v>
      </c>
      <c r="E871" s="197" t="str">
        <f t="array" ref="E871">XLOOKUP(C871,ICSE!A:A,ICSE!Z:Z,,0,1)</f>
        <v>Publicly available (1)</v>
      </c>
      <c r="F871" s="198" t="s">
        <v>20</v>
      </c>
      <c r="G871" s="163" t="str">
        <f t="array" ref="G871">IF(B871="ICSE",IF(COUNTIFS(B:B,B871,C:C,C871)=XLOOKUP(C871,ICSE!A:A,ICSE!AA:AA,"ERROR",0,1),"OK","ERROR"),IF(B871="FSE",IF(COUNTIFS(B:B,B871,C:C,C871)=XLOOKUP(C871,FSE!A:A,FSE!AA:AA,"ERROR",0,1),"OK","ERROR")))</f>
        <v>OK</v>
      </c>
      <c r="H871" s="199">
        <f t="shared" ref="H871:O871" si="4407">countif($D871,"*"&amp;H$2&amp;"*")</f>
        <v>0</v>
      </c>
      <c r="I871" s="200">
        <f t="shared" si="4407"/>
        <v>0</v>
      </c>
      <c r="J871" s="200">
        <f t="shared" si="4407"/>
        <v>0</v>
      </c>
      <c r="K871" s="200">
        <f t="shared" si="4407"/>
        <v>0</v>
      </c>
      <c r="L871" s="200">
        <f t="shared" si="4407"/>
        <v>0</v>
      </c>
      <c r="M871" s="200">
        <f t="shared" si="4407"/>
        <v>0</v>
      </c>
      <c r="N871" s="200">
        <f t="shared" si="4407"/>
        <v>0</v>
      </c>
      <c r="O871" s="200">
        <f t="shared" si="4407"/>
        <v>0</v>
      </c>
      <c r="P871" s="200">
        <f t="shared" si="9"/>
        <v>0</v>
      </c>
      <c r="Q871" s="200">
        <f t="shared" ref="Q871:AC871" si="4408">countif($D871,"*"&amp;Q$2&amp;"*")</f>
        <v>0</v>
      </c>
      <c r="R871" s="200">
        <f t="shared" si="4408"/>
        <v>0</v>
      </c>
      <c r="S871" s="200">
        <f t="shared" si="4408"/>
        <v>0</v>
      </c>
      <c r="T871" s="200">
        <f t="shared" si="4408"/>
        <v>0</v>
      </c>
      <c r="U871" s="200">
        <f t="shared" si="4408"/>
        <v>0</v>
      </c>
      <c r="V871" s="200">
        <f t="shared" si="4408"/>
        <v>0</v>
      </c>
      <c r="W871" s="200">
        <f t="shared" si="4408"/>
        <v>0</v>
      </c>
      <c r="X871" s="200">
        <f t="shared" si="4408"/>
        <v>0</v>
      </c>
      <c r="Y871" s="200">
        <f t="shared" si="4408"/>
        <v>0</v>
      </c>
      <c r="Z871" s="200">
        <f t="shared" si="4408"/>
        <v>0</v>
      </c>
      <c r="AA871" s="200">
        <f t="shared" si="4408"/>
        <v>0</v>
      </c>
      <c r="AB871" s="200">
        <f t="shared" si="4408"/>
        <v>0</v>
      </c>
      <c r="AC871" s="200">
        <f t="shared" si="4408"/>
        <v>0</v>
      </c>
      <c r="AD871" s="200">
        <f t="shared" si="11"/>
        <v>1</v>
      </c>
      <c r="AE871" s="200">
        <f t="shared" ref="AE871:AG871" si="4409">countif($D871,"*"&amp;AE$2&amp;"*")</f>
        <v>0</v>
      </c>
      <c r="AF871" s="200">
        <f t="shared" si="4409"/>
        <v>0</v>
      </c>
      <c r="AG871" s="200">
        <f t="shared" si="4409"/>
        <v>0</v>
      </c>
      <c r="AH871" s="171">
        <f t="shared" si="13"/>
        <v>0</v>
      </c>
      <c r="AI871" s="200">
        <f t="shared" si="14"/>
        <v>0</v>
      </c>
      <c r="AJ871" s="200">
        <f t="shared" si="4404"/>
        <v>0</v>
      </c>
      <c r="AK871" s="201">
        <f t="shared" ref="AK871:AS871" si="4410">countif($D871,"*"&amp;AK$2&amp;"*")</f>
        <v>0</v>
      </c>
      <c r="AL871" s="201">
        <f t="shared" si="4410"/>
        <v>0</v>
      </c>
      <c r="AM871" s="201">
        <f t="shared" si="4410"/>
        <v>0</v>
      </c>
      <c r="AN871" s="201">
        <f t="shared" si="4410"/>
        <v>0</v>
      </c>
      <c r="AO871" s="201">
        <f t="shared" si="4410"/>
        <v>0</v>
      </c>
      <c r="AP871" s="201">
        <f t="shared" si="4410"/>
        <v>0</v>
      </c>
      <c r="AQ871" s="201">
        <f t="shared" si="4410"/>
        <v>0</v>
      </c>
      <c r="AR871" s="200">
        <f t="shared" si="4410"/>
        <v>0</v>
      </c>
      <c r="AS871" s="200">
        <f t="shared" si="4410"/>
        <v>0</v>
      </c>
      <c r="AT871" s="173">
        <v>1.0</v>
      </c>
      <c r="AU871" s="200">
        <f t="shared" ref="AU871:AX871" si="4411">countif($D871,"*"&amp;AU$2&amp;"*")</f>
        <v>0</v>
      </c>
      <c r="AV871" s="200">
        <f t="shared" si="4411"/>
        <v>0</v>
      </c>
      <c r="AW871" s="200">
        <f t="shared" si="4411"/>
        <v>0</v>
      </c>
      <c r="AX871" s="200">
        <f t="shared" si="4411"/>
        <v>0</v>
      </c>
      <c r="AY871" s="202">
        <v>0.0</v>
      </c>
      <c r="AZ871" s="200"/>
      <c r="BA871" s="171" t="str">
        <f t="shared" si="18"/>
        <v/>
      </c>
      <c r="BB871" s="171" t="str">
        <f t="shared" si="19"/>
        <v/>
      </c>
      <c r="BC871" s="171" t="str">
        <f t="shared" si="20"/>
        <v/>
      </c>
      <c r="BD871" s="171" t="str">
        <f t="shared" si="21"/>
        <v>Institutional</v>
      </c>
      <c r="BE871" s="171" t="str">
        <f t="shared" si="22"/>
        <v/>
      </c>
      <c r="BF871" s="171" t="str">
        <f t="shared" si="23"/>
        <v>Institutional</v>
      </c>
    </row>
    <row r="872">
      <c r="A872" s="171">
        <f t="array" ref="A872">XLOOKUP(C872,ICSE!A:A,ICSE!C:C,,2,1)</f>
        <v>2015</v>
      </c>
      <c r="B872" s="171" t="s">
        <v>5675</v>
      </c>
      <c r="C872" s="160">
        <v>1708.0</v>
      </c>
      <c r="D872" s="161" t="s">
        <v>384</v>
      </c>
      <c r="E872" s="197" t="str">
        <f t="array" ref="E872">XLOOKUP(C872,ICSE!A:A,ICSE!Z:Z,,0,1)</f>
        <v>Publicly available (1)</v>
      </c>
      <c r="F872" s="198" t="s">
        <v>20</v>
      </c>
      <c r="G872" s="163" t="str">
        <f t="array" ref="G872">IF(B872="ICSE",IF(COUNTIFS(B:B,B872,C:C,C872)=XLOOKUP(C872,ICSE!A:A,ICSE!AA:AA,"ERROR",0,1),"OK","ERROR"),IF(B872="FSE",IF(COUNTIFS(B:B,B872,C:C,C872)=XLOOKUP(C872,FSE!A:A,FSE!AA:AA,"ERROR",0,1),"OK","ERROR")))</f>
        <v>OK</v>
      </c>
      <c r="H872" s="199">
        <f t="shared" ref="H872:O872" si="4412">countif($D872,"*"&amp;H$2&amp;"*")</f>
        <v>0</v>
      </c>
      <c r="I872" s="200">
        <f t="shared" si="4412"/>
        <v>0</v>
      </c>
      <c r="J872" s="200">
        <f t="shared" si="4412"/>
        <v>0</v>
      </c>
      <c r="K872" s="200">
        <f t="shared" si="4412"/>
        <v>0</v>
      </c>
      <c r="L872" s="200">
        <f t="shared" si="4412"/>
        <v>0</v>
      </c>
      <c r="M872" s="200">
        <f t="shared" si="4412"/>
        <v>0</v>
      </c>
      <c r="N872" s="200">
        <f t="shared" si="4412"/>
        <v>0</v>
      </c>
      <c r="O872" s="200">
        <f t="shared" si="4412"/>
        <v>0</v>
      </c>
      <c r="P872" s="200">
        <f t="shared" si="9"/>
        <v>0</v>
      </c>
      <c r="Q872" s="200">
        <f t="shared" ref="Q872:AC872" si="4413">countif($D872,"*"&amp;Q$2&amp;"*")</f>
        <v>0</v>
      </c>
      <c r="R872" s="200">
        <f t="shared" si="4413"/>
        <v>0</v>
      </c>
      <c r="S872" s="200">
        <f t="shared" si="4413"/>
        <v>0</v>
      </c>
      <c r="T872" s="200">
        <f t="shared" si="4413"/>
        <v>0</v>
      </c>
      <c r="U872" s="200">
        <f t="shared" si="4413"/>
        <v>0</v>
      </c>
      <c r="V872" s="200">
        <f t="shared" si="4413"/>
        <v>0</v>
      </c>
      <c r="W872" s="200">
        <f t="shared" si="4413"/>
        <v>0</v>
      </c>
      <c r="X872" s="200">
        <f t="shared" si="4413"/>
        <v>0</v>
      </c>
      <c r="Y872" s="200">
        <f t="shared" si="4413"/>
        <v>0</v>
      </c>
      <c r="Z872" s="200">
        <f t="shared" si="4413"/>
        <v>0</v>
      </c>
      <c r="AA872" s="200">
        <f t="shared" si="4413"/>
        <v>0</v>
      </c>
      <c r="AB872" s="200">
        <f t="shared" si="4413"/>
        <v>0</v>
      </c>
      <c r="AC872" s="200">
        <f t="shared" si="4413"/>
        <v>0</v>
      </c>
      <c r="AD872" s="200">
        <f t="shared" si="11"/>
        <v>0</v>
      </c>
      <c r="AE872" s="200">
        <f t="shared" ref="AE872:AG872" si="4414">countif($D872,"*"&amp;AE$2&amp;"*")</f>
        <v>0</v>
      </c>
      <c r="AF872" s="200">
        <f t="shared" si="4414"/>
        <v>0</v>
      </c>
      <c r="AG872" s="200">
        <f t="shared" si="4414"/>
        <v>0</v>
      </c>
      <c r="AH872" s="171">
        <f t="shared" si="13"/>
        <v>1</v>
      </c>
      <c r="AI872" s="200">
        <f t="shared" si="14"/>
        <v>0</v>
      </c>
      <c r="AJ872" s="200">
        <f t="shared" si="4404"/>
        <v>0</v>
      </c>
      <c r="AK872" s="201">
        <f t="shared" ref="AK872:AS872" si="4415">countif($D872,"*"&amp;AK$2&amp;"*")</f>
        <v>0</v>
      </c>
      <c r="AL872" s="201">
        <f t="shared" si="4415"/>
        <v>0</v>
      </c>
      <c r="AM872" s="201">
        <f t="shared" si="4415"/>
        <v>0</v>
      </c>
      <c r="AN872" s="201">
        <f t="shared" si="4415"/>
        <v>0</v>
      </c>
      <c r="AO872" s="201">
        <f t="shared" si="4415"/>
        <v>0</v>
      </c>
      <c r="AP872" s="201">
        <f t="shared" si="4415"/>
        <v>0</v>
      </c>
      <c r="AQ872" s="201">
        <f t="shared" si="4415"/>
        <v>0</v>
      </c>
      <c r="AR872" s="200">
        <f t="shared" si="4415"/>
        <v>0</v>
      </c>
      <c r="AS872" s="200">
        <f t="shared" si="4415"/>
        <v>0</v>
      </c>
      <c r="AT872" s="173">
        <v>0.0</v>
      </c>
      <c r="AU872" s="200">
        <f t="shared" ref="AU872:AX872" si="4416">countif($D872,"*"&amp;AU$2&amp;"*")</f>
        <v>0</v>
      </c>
      <c r="AV872" s="200">
        <f t="shared" si="4416"/>
        <v>0</v>
      </c>
      <c r="AW872" s="200">
        <f t="shared" si="4416"/>
        <v>0</v>
      </c>
      <c r="AX872" s="200">
        <f t="shared" si="4416"/>
        <v>0</v>
      </c>
      <c r="AY872" s="202">
        <v>0.0</v>
      </c>
      <c r="AZ872" s="200"/>
      <c r="BA872" s="171" t="str">
        <f t="shared" si="18"/>
        <v/>
      </c>
      <c r="BB872" s="171" t="str">
        <f t="shared" si="19"/>
        <v/>
      </c>
      <c r="BC872" s="171" t="str">
        <f t="shared" si="20"/>
        <v/>
      </c>
      <c r="BD872" s="171" t="str">
        <f t="shared" si="21"/>
        <v/>
      </c>
      <c r="BE872" s="171" t="str">
        <f t="shared" si="22"/>
        <v>Others</v>
      </c>
      <c r="BF872" s="171" t="str">
        <f t="shared" si="23"/>
        <v>Others</v>
      </c>
    </row>
    <row r="873">
      <c r="A873" s="171">
        <f t="array" ref="A873">XLOOKUP(C873,ICSE!A:A,ICSE!C:C,,2,1)</f>
        <v>2015</v>
      </c>
      <c r="B873" s="171" t="s">
        <v>5675</v>
      </c>
      <c r="C873" s="160">
        <v>1710.0</v>
      </c>
      <c r="D873" s="161" t="s">
        <v>388</v>
      </c>
      <c r="E873" s="197" t="str">
        <f t="array" ref="E873">XLOOKUP(C873,ICSE!A:A,ICSE!Z:Z,,0,1)</f>
        <v>Not available (1) - Broken link.</v>
      </c>
      <c r="F873" s="198" t="s">
        <v>21</v>
      </c>
      <c r="G873" s="163" t="str">
        <f t="array" ref="G873">IF(B873="ICSE",IF(COUNTIFS(B:B,B873,C:C,C873)=XLOOKUP(C873,ICSE!A:A,ICSE!AA:AA,"ERROR",0,1),"OK","ERROR"),IF(B873="FSE",IF(COUNTIFS(B:B,B873,C:C,C873)=XLOOKUP(C873,FSE!A:A,FSE!AA:AA,"ERROR",0,1),"OK","ERROR")))</f>
        <v>OK</v>
      </c>
      <c r="H873" s="199">
        <f t="shared" ref="H873:O873" si="4417">countif($D873,"*"&amp;H$2&amp;"*")</f>
        <v>0</v>
      </c>
      <c r="I873" s="200">
        <f t="shared" si="4417"/>
        <v>0</v>
      </c>
      <c r="J873" s="200">
        <f t="shared" si="4417"/>
        <v>0</v>
      </c>
      <c r="K873" s="200">
        <f t="shared" si="4417"/>
        <v>0</v>
      </c>
      <c r="L873" s="200">
        <f t="shared" si="4417"/>
        <v>0</v>
      </c>
      <c r="M873" s="200">
        <f t="shared" si="4417"/>
        <v>0</v>
      </c>
      <c r="N873" s="200">
        <f t="shared" si="4417"/>
        <v>0</v>
      </c>
      <c r="O873" s="200">
        <f t="shared" si="4417"/>
        <v>0</v>
      </c>
      <c r="P873" s="200">
        <f t="shared" si="9"/>
        <v>0</v>
      </c>
      <c r="Q873" s="200">
        <f t="shared" ref="Q873:AC873" si="4418">countif($D873,"*"&amp;Q$2&amp;"*")</f>
        <v>0</v>
      </c>
      <c r="R873" s="200">
        <f t="shared" si="4418"/>
        <v>0</v>
      </c>
      <c r="S873" s="200">
        <f t="shared" si="4418"/>
        <v>0</v>
      </c>
      <c r="T873" s="200">
        <f t="shared" si="4418"/>
        <v>0</v>
      </c>
      <c r="U873" s="200">
        <f t="shared" si="4418"/>
        <v>0</v>
      </c>
      <c r="V873" s="200">
        <f t="shared" si="4418"/>
        <v>0</v>
      </c>
      <c r="W873" s="200">
        <f t="shared" si="4418"/>
        <v>0</v>
      </c>
      <c r="X873" s="200">
        <f t="shared" si="4418"/>
        <v>0</v>
      </c>
      <c r="Y873" s="200">
        <f t="shared" si="4418"/>
        <v>0</v>
      </c>
      <c r="Z873" s="200">
        <f t="shared" si="4418"/>
        <v>0</v>
      </c>
      <c r="AA873" s="200">
        <f t="shared" si="4418"/>
        <v>0</v>
      </c>
      <c r="AB873" s="200">
        <f t="shared" si="4418"/>
        <v>0</v>
      </c>
      <c r="AC873" s="200">
        <f t="shared" si="4418"/>
        <v>0</v>
      </c>
      <c r="AD873" s="200">
        <f t="shared" si="11"/>
        <v>1</v>
      </c>
      <c r="AE873" s="200">
        <f t="shared" ref="AE873:AG873" si="4419">countif($D873,"*"&amp;AE$2&amp;"*")</f>
        <v>0</v>
      </c>
      <c r="AF873" s="200">
        <f t="shared" si="4419"/>
        <v>0</v>
      </c>
      <c r="AG873" s="200">
        <f t="shared" si="4419"/>
        <v>0</v>
      </c>
      <c r="AH873" s="171">
        <f t="shared" si="13"/>
        <v>0</v>
      </c>
      <c r="AI873" s="200">
        <f t="shared" si="14"/>
        <v>0</v>
      </c>
      <c r="AJ873" s="200">
        <f>SUM(AK873:AQ873)</f>
        <v>0</v>
      </c>
      <c r="AK873" s="201">
        <f t="shared" ref="AK873:AS873" si="4420">countif($D873,"*"&amp;AK$2&amp;"*")</f>
        <v>0</v>
      </c>
      <c r="AL873" s="201">
        <f t="shared" si="4420"/>
        <v>0</v>
      </c>
      <c r="AM873" s="201">
        <f t="shared" si="4420"/>
        <v>0</v>
      </c>
      <c r="AN873" s="201">
        <f t="shared" si="4420"/>
        <v>0</v>
      </c>
      <c r="AO873" s="201">
        <f t="shared" si="4420"/>
        <v>0</v>
      </c>
      <c r="AP873" s="201">
        <f t="shared" si="4420"/>
        <v>0</v>
      </c>
      <c r="AQ873" s="201">
        <f t="shared" si="4420"/>
        <v>0</v>
      </c>
      <c r="AR873" s="201">
        <f t="shared" si="4420"/>
        <v>0</v>
      </c>
      <c r="AS873" s="200">
        <f t="shared" si="4420"/>
        <v>0</v>
      </c>
      <c r="AT873" s="205">
        <v>0.0</v>
      </c>
      <c r="AU873" s="200">
        <f t="shared" ref="AU873:AX873" si="4421">countif($D873,"*"&amp;AU$2&amp;"*")</f>
        <v>1</v>
      </c>
      <c r="AV873" s="200">
        <f t="shared" si="4421"/>
        <v>0</v>
      </c>
      <c r="AW873" s="200">
        <f t="shared" si="4421"/>
        <v>0</v>
      </c>
      <c r="AX873" s="200">
        <f t="shared" si="4421"/>
        <v>0</v>
      </c>
      <c r="AY873" s="202">
        <v>0.0</v>
      </c>
      <c r="AZ873" s="200"/>
      <c r="BA873" s="171" t="str">
        <f t="shared" si="18"/>
        <v/>
      </c>
      <c r="BB873" s="171" t="str">
        <f t="shared" si="19"/>
        <v/>
      </c>
      <c r="BC873" s="171" t="str">
        <f t="shared" si="20"/>
        <v/>
      </c>
      <c r="BD873" s="171" t="str">
        <f t="shared" si="21"/>
        <v>Institutional</v>
      </c>
      <c r="BE873" s="171" t="str">
        <f t="shared" si="22"/>
        <v/>
      </c>
      <c r="BF873" s="171" t="str">
        <f t="shared" si="23"/>
        <v>Institutional</v>
      </c>
    </row>
    <row r="874">
      <c r="A874" s="171">
        <f t="array" ref="A874">XLOOKUP(C874,ICSE!A:A,ICSE!C:C,,2,1)</f>
        <v>2015</v>
      </c>
      <c r="B874" s="171" t="s">
        <v>5675</v>
      </c>
      <c r="C874" s="160">
        <v>1713.0</v>
      </c>
      <c r="D874" s="161" t="s">
        <v>394</v>
      </c>
      <c r="E874" s="197" t="str">
        <f t="array" ref="E874">XLOOKUP(C874,ICSE!A:A,ICSE!Z:Z,,0,1)</f>
        <v>Publicly available (1)</v>
      </c>
      <c r="F874" s="198" t="s">
        <v>20</v>
      </c>
      <c r="G874" s="163" t="str">
        <f t="array" ref="G874">IF(B874="ICSE",IF(COUNTIFS(B:B,B874,C:C,C874)=XLOOKUP(C874,ICSE!A:A,ICSE!AA:AA,"ERROR",0,1),"OK","ERROR"),IF(B874="FSE",IF(COUNTIFS(B:B,B874,C:C,C874)=XLOOKUP(C874,FSE!A:A,FSE!AA:AA,"ERROR",0,1),"OK","ERROR")))</f>
        <v>OK</v>
      </c>
      <c r="H874" s="199">
        <f t="shared" ref="H874:O874" si="4422">countif($D874,"*"&amp;H$2&amp;"*")</f>
        <v>0</v>
      </c>
      <c r="I874" s="200">
        <f t="shared" si="4422"/>
        <v>0</v>
      </c>
      <c r="J874" s="200">
        <f t="shared" si="4422"/>
        <v>0</v>
      </c>
      <c r="K874" s="200">
        <f t="shared" si="4422"/>
        <v>0</v>
      </c>
      <c r="L874" s="200">
        <f t="shared" si="4422"/>
        <v>0</v>
      </c>
      <c r="M874" s="200">
        <f t="shared" si="4422"/>
        <v>0</v>
      </c>
      <c r="N874" s="200">
        <f t="shared" si="4422"/>
        <v>0</v>
      </c>
      <c r="O874" s="200">
        <f t="shared" si="4422"/>
        <v>0</v>
      </c>
      <c r="P874" s="200">
        <f t="shared" si="9"/>
        <v>1</v>
      </c>
      <c r="Q874" s="200">
        <f t="shared" ref="Q874:AC874" si="4423">countif($D874,"*"&amp;Q$2&amp;"*")</f>
        <v>0</v>
      </c>
      <c r="R874" s="200">
        <f t="shared" si="4423"/>
        <v>0</v>
      </c>
      <c r="S874" s="200">
        <f t="shared" si="4423"/>
        <v>0</v>
      </c>
      <c r="T874" s="200">
        <f t="shared" si="4423"/>
        <v>0</v>
      </c>
      <c r="U874" s="200">
        <f t="shared" si="4423"/>
        <v>0</v>
      </c>
      <c r="V874" s="200">
        <f t="shared" si="4423"/>
        <v>0</v>
      </c>
      <c r="W874" s="200">
        <f t="shared" si="4423"/>
        <v>0</v>
      </c>
      <c r="X874" s="200">
        <f t="shared" si="4423"/>
        <v>0</v>
      </c>
      <c r="Y874" s="200">
        <f t="shared" si="4423"/>
        <v>0</v>
      </c>
      <c r="Z874" s="200">
        <f t="shared" si="4423"/>
        <v>0</v>
      </c>
      <c r="AA874" s="200">
        <f t="shared" si="4423"/>
        <v>0</v>
      </c>
      <c r="AB874" s="200">
        <f t="shared" si="4423"/>
        <v>0</v>
      </c>
      <c r="AC874" s="200">
        <f t="shared" si="4423"/>
        <v>0</v>
      </c>
      <c r="AD874" s="200">
        <f t="shared" si="11"/>
        <v>0</v>
      </c>
      <c r="AE874" s="200">
        <f t="shared" ref="AE874:AG874" si="4424">countif($D874,"*"&amp;AE$2&amp;"*")</f>
        <v>0</v>
      </c>
      <c r="AF874" s="200">
        <f t="shared" si="4424"/>
        <v>0</v>
      </c>
      <c r="AG874" s="200">
        <f t="shared" si="4424"/>
        <v>0</v>
      </c>
      <c r="AH874" s="171">
        <f t="shared" si="13"/>
        <v>0</v>
      </c>
      <c r="AI874" s="200">
        <f t="shared" si="14"/>
        <v>0</v>
      </c>
      <c r="AJ874" s="200">
        <f t="shared" ref="AJ874:AJ875" si="4430">SUM(AK874:AR874)</f>
        <v>0</v>
      </c>
      <c r="AK874" s="201">
        <f t="shared" ref="AK874:AS874" si="4425">countif($D874,"*"&amp;AK$2&amp;"*")</f>
        <v>0</v>
      </c>
      <c r="AL874" s="201">
        <f t="shared" si="4425"/>
        <v>0</v>
      </c>
      <c r="AM874" s="201">
        <f t="shared" si="4425"/>
        <v>0</v>
      </c>
      <c r="AN874" s="201">
        <f t="shared" si="4425"/>
        <v>0</v>
      </c>
      <c r="AO874" s="201">
        <f t="shared" si="4425"/>
        <v>0</v>
      </c>
      <c r="AP874" s="201">
        <f t="shared" si="4425"/>
        <v>0</v>
      </c>
      <c r="AQ874" s="201">
        <f t="shared" si="4425"/>
        <v>0</v>
      </c>
      <c r="AR874" s="200">
        <f t="shared" si="4425"/>
        <v>0</v>
      </c>
      <c r="AS874" s="200">
        <f t="shared" si="4425"/>
        <v>0</v>
      </c>
      <c r="AT874" s="173">
        <v>0.0</v>
      </c>
      <c r="AU874" s="200">
        <f t="shared" ref="AU874:AX874" si="4426">countif($D874,"*"&amp;AU$2&amp;"*")</f>
        <v>0</v>
      </c>
      <c r="AV874" s="200">
        <f t="shared" si="4426"/>
        <v>1</v>
      </c>
      <c r="AW874" s="200">
        <f t="shared" si="4426"/>
        <v>0</v>
      </c>
      <c r="AX874" s="200">
        <f t="shared" si="4426"/>
        <v>0</v>
      </c>
      <c r="AY874" s="202">
        <v>0.0</v>
      </c>
      <c r="AZ874" s="200"/>
      <c r="BA874" s="171" t="str">
        <f t="shared" si="18"/>
        <v/>
      </c>
      <c r="BB874" s="171" t="str">
        <f t="shared" si="19"/>
        <v>Code</v>
      </c>
      <c r="BC874" s="171" t="str">
        <f t="shared" si="20"/>
        <v/>
      </c>
      <c r="BD874" s="171" t="str">
        <f t="shared" si="21"/>
        <v/>
      </c>
      <c r="BE874" s="171" t="str">
        <f t="shared" si="22"/>
        <v/>
      </c>
      <c r="BF874" s="171" t="str">
        <f t="shared" si="23"/>
        <v>Code</v>
      </c>
    </row>
    <row r="875">
      <c r="A875" s="171">
        <f t="array" ref="A875">XLOOKUP(C875,ICSE!A:A,ICSE!C:C,,2,1)</f>
        <v>2015</v>
      </c>
      <c r="B875" s="171" t="s">
        <v>5675</v>
      </c>
      <c r="C875" s="160">
        <v>1715.0</v>
      </c>
      <c r="D875" s="161" t="s">
        <v>398</v>
      </c>
      <c r="E875" s="197" t="str">
        <f t="array" ref="E875">XLOOKUP(C875,ICSE!A:A,ICSE!Z:Z,,0,1)</f>
        <v>Publicly available (1)</v>
      </c>
      <c r="F875" s="198" t="s">
        <v>20</v>
      </c>
      <c r="G875" s="163" t="str">
        <f t="array" ref="G875">IF(B875="ICSE",IF(COUNTIFS(B:B,B875,C:C,C875)=XLOOKUP(C875,ICSE!A:A,ICSE!AA:AA,"ERROR",0,1),"OK","ERROR"),IF(B875="FSE",IF(COUNTIFS(B:B,B875,C:C,C875)=XLOOKUP(C875,FSE!A:A,FSE!AA:AA,"ERROR",0,1),"OK","ERROR")))</f>
        <v>OK</v>
      </c>
      <c r="H875" s="199">
        <f t="shared" ref="H875:O875" si="4427">countif($D875,"*"&amp;H$2&amp;"*")</f>
        <v>0</v>
      </c>
      <c r="I875" s="200">
        <f t="shared" si="4427"/>
        <v>0</v>
      </c>
      <c r="J875" s="200">
        <f t="shared" si="4427"/>
        <v>0</v>
      </c>
      <c r="K875" s="200">
        <f t="shared" si="4427"/>
        <v>0</v>
      </c>
      <c r="L875" s="200">
        <f t="shared" si="4427"/>
        <v>0</v>
      </c>
      <c r="M875" s="200">
        <f t="shared" si="4427"/>
        <v>0</v>
      </c>
      <c r="N875" s="200">
        <f t="shared" si="4427"/>
        <v>0</v>
      </c>
      <c r="O875" s="200">
        <f t="shared" si="4427"/>
        <v>0</v>
      </c>
      <c r="P875" s="200">
        <f t="shared" si="9"/>
        <v>0</v>
      </c>
      <c r="Q875" s="200">
        <f t="shared" ref="Q875:AC875" si="4428">countif($D875,"*"&amp;Q$2&amp;"*")</f>
        <v>0</v>
      </c>
      <c r="R875" s="200">
        <f t="shared" si="4428"/>
        <v>0</v>
      </c>
      <c r="S875" s="200">
        <f t="shared" si="4428"/>
        <v>0</v>
      </c>
      <c r="T875" s="200">
        <f t="shared" si="4428"/>
        <v>0</v>
      </c>
      <c r="U875" s="200">
        <f t="shared" si="4428"/>
        <v>0</v>
      </c>
      <c r="V875" s="200">
        <f t="shared" si="4428"/>
        <v>0</v>
      </c>
      <c r="W875" s="200">
        <f t="shared" si="4428"/>
        <v>0</v>
      </c>
      <c r="X875" s="200">
        <f t="shared" si="4428"/>
        <v>0</v>
      </c>
      <c r="Y875" s="200">
        <f t="shared" si="4428"/>
        <v>0</v>
      </c>
      <c r="Z875" s="200">
        <f t="shared" si="4428"/>
        <v>0</v>
      </c>
      <c r="AA875" s="200">
        <f t="shared" si="4428"/>
        <v>0</v>
      </c>
      <c r="AB875" s="200">
        <f t="shared" si="4428"/>
        <v>0</v>
      </c>
      <c r="AC875" s="200">
        <f t="shared" si="4428"/>
        <v>0</v>
      </c>
      <c r="AD875" s="200">
        <f t="shared" si="11"/>
        <v>0</v>
      </c>
      <c r="AE875" s="200">
        <f t="shared" ref="AE875:AG875" si="4429">countif($D875,"*"&amp;AE$2&amp;"*")</f>
        <v>0</v>
      </c>
      <c r="AF875" s="200">
        <f t="shared" si="4429"/>
        <v>0</v>
      </c>
      <c r="AG875" s="200">
        <f t="shared" si="4429"/>
        <v>0</v>
      </c>
      <c r="AH875" s="171">
        <f t="shared" si="13"/>
        <v>1</v>
      </c>
      <c r="AI875" s="200">
        <f t="shared" si="14"/>
        <v>0</v>
      </c>
      <c r="AJ875" s="200">
        <f t="shared" si="4430"/>
        <v>0</v>
      </c>
      <c r="AK875" s="201">
        <f t="shared" ref="AK875:AS875" si="4431">countif($D875,"*"&amp;AK$2&amp;"*")</f>
        <v>0</v>
      </c>
      <c r="AL875" s="201">
        <f t="shared" si="4431"/>
        <v>0</v>
      </c>
      <c r="AM875" s="201">
        <f t="shared" si="4431"/>
        <v>0</v>
      </c>
      <c r="AN875" s="201">
        <f t="shared" si="4431"/>
        <v>0</v>
      </c>
      <c r="AO875" s="201">
        <f t="shared" si="4431"/>
        <v>0</v>
      </c>
      <c r="AP875" s="201">
        <f t="shared" si="4431"/>
        <v>0</v>
      </c>
      <c r="AQ875" s="201">
        <f t="shared" si="4431"/>
        <v>0</v>
      </c>
      <c r="AR875" s="200">
        <f t="shared" si="4431"/>
        <v>0</v>
      </c>
      <c r="AS875" s="200">
        <f t="shared" si="4431"/>
        <v>0</v>
      </c>
      <c r="AT875" s="173">
        <v>0.0</v>
      </c>
      <c r="AU875" s="200">
        <f t="shared" ref="AU875:AX875" si="4432">countif($D875,"*"&amp;AU$2&amp;"*")</f>
        <v>0</v>
      </c>
      <c r="AV875" s="200">
        <f t="shared" si="4432"/>
        <v>0</v>
      </c>
      <c r="AW875" s="200">
        <f t="shared" si="4432"/>
        <v>0</v>
      </c>
      <c r="AX875" s="200">
        <f t="shared" si="4432"/>
        <v>0</v>
      </c>
      <c r="AY875" s="202">
        <v>0.0</v>
      </c>
      <c r="AZ875" s="200"/>
      <c r="BA875" s="171" t="str">
        <f t="shared" si="18"/>
        <v/>
      </c>
      <c r="BB875" s="171" t="str">
        <f t="shared" si="19"/>
        <v/>
      </c>
      <c r="BC875" s="171" t="str">
        <f t="shared" si="20"/>
        <v/>
      </c>
      <c r="BD875" s="171" t="str">
        <f t="shared" si="21"/>
        <v/>
      </c>
      <c r="BE875" s="171" t="str">
        <f t="shared" si="22"/>
        <v>Others</v>
      </c>
      <c r="BF875" s="171" t="str">
        <f t="shared" si="23"/>
        <v>Others</v>
      </c>
    </row>
    <row r="876">
      <c r="A876" s="171">
        <f t="array" ref="A876">XLOOKUP(C876,ICSE!A:A,ICSE!C:C,,2,1)</f>
        <v>2015</v>
      </c>
      <c r="B876" s="171" t="s">
        <v>5675</v>
      </c>
      <c r="C876" s="160">
        <v>1716.0</v>
      </c>
      <c r="D876" s="161" t="s">
        <v>401</v>
      </c>
      <c r="E876" s="197" t="str">
        <f t="array" ref="E876">XLOOKUP(C876,ICSE!A:A,ICSE!Z:Z,,0,1)</f>
        <v>Not available (1) - Broken link.</v>
      </c>
      <c r="F876" s="198" t="s">
        <v>21</v>
      </c>
      <c r="G876" s="163" t="str">
        <f t="array" ref="G876">IF(B876="ICSE",IF(COUNTIFS(B:B,B876,C:C,C876)=XLOOKUP(C876,ICSE!A:A,ICSE!AA:AA,"ERROR",0,1),"OK","ERROR"),IF(B876="FSE",IF(COUNTIFS(B:B,B876,C:C,C876)=XLOOKUP(C876,FSE!A:A,FSE!AA:AA,"ERROR",0,1),"OK","ERROR")))</f>
        <v>OK</v>
      </c>
      <c r="H876" s="199">
        <f t="shared" ref="H876:O876" si="4433">countif($D876,"*"&amp;H$2&amp;"*")</f>
        <v>0</v>
      </c>
      <c r="I876" s="200">
        <f t="shared" si="4433"/>
        <v>0</v>
      </c>
      <c r="J876" s="200">
        <f t="shared" si="4433"/>
        <v>0</v>
      </c>
      <c r="K876" s="200">
        <f t="shared" si="4433"/>
        <v>0</v>
      </c>
      <c r="L876" s="200">
        <f t="shared" si="4433"/>
        <v>0</v>
      </c>
      <c r="M876" s="200">
        <f t="shared" si="4433"/>
        <v>0</v>
      </c>
      <c r="N876" s="200">
        <f t="shared" si="4433"/>
        <v>0</v>
      </c>
      <c r="O876" s="200">
        <f t="shared" si="4433"/>
        <v>0</v>
      </c>
      <c r="P876" s="200">
        <f t="shared" si="9"/>
        <v>0</v>
      </c>
      <c r="Q876" s="200">
        <f t="shared" ref="Q876:AC876" si="4434">countif($D876,"*"&amp;Q$2&amp;"*")</f>
        <v>0</v>
      </c>
      <c r="R876" s="200">
        <f t="shared" si="4434"/>
        <v>0</v>
      </c>
      <c r="S876" s="200">
        <f t="shared" si="4434"/>
        <v>0</v>
      </c>
      <c r="T876" s="200">
        <f t="shared" si="4434"/>
        <v>0</v>
      </c>
      <c r="U876" s="200">
        <f t="shared" si="4434"/>
        <v>0</v>
      </c>
      <c r="V876" s="200">
        <f t="shared" si="4434"/>
        <v>0</v>
      </c>
      <c r="W876" s="200">
        <f t="shared" si="4434"/>
        <v>0</v>
      </c>
      <c r="X876" s="200">
        <f t="shared" si="4434"/>
        <v>0</v>
      </c>
      <c r="Y876" s="200">
        <f t="shared" si="4434"/>
        <v>0</v>
      </c>
      <c r="Z876" s="200">
        <f t="shared" si="4434"/>
        <v>0</v>
      </c>
      <c r="AA876" s="200">
        <f t="shared" si="4434"/>
        <v>0</v>
      </c>
      <c r="AB876" s="200">
        <f t="shared" si="4434"/>
        <v>0</v>
      </c>
      <c r="AC876" s="200">
        <f t="shared" si="4434"/>
        <v>0</v>
      </c>
      <c r="AD876" s="200">
        <f t="shared" si="11"/>
        <v>1</v>
      </c>
      <c r="AE876" s="200">
        <f t="shared" ref="AE876:AG876" si="4435">countif($D876,"*"&amp;AE$2&amp;"*")</f>
        <v>0</v>
      </c>
      <c r="AF876" s="200">
        <f t="shared" si="4435"/>
        <v>0</v>
      </c>
      <c r="AG876" s="200">
        <f t="shared" si="4435"/>
        <v>0</v>
      </c>
      <c r="AH876" s="171">
        <f t="shared" si="13"/>
        <v>0</v>
      </c>
      <c r="AI876" s="200">
        <f t="shared" si="14"/>
        <v>0</v>
      </c>
      <c r="AJ876" s="200">
        <f t="shared" ref="AJ876:AJ878" si="4441">SUM(AK876:AQ876)</f>
        <v>0</v>
      </c>
      <c r="AK876" s="201">
        <f t="shared" ref="AK876:AS876" si="4436">countif($D876,"*"&amp;AK$2&amp;"*")</f>
        <v>0</v>
      </c>
      <c r="AL876" s="201">
        <f t="shared" si="4436"/>
        <v>0</v>
      </c>
      <c r="AM876" s="201">
        <f t="shared" si="4436"/>
        <v>0</v>
      </c>
      <c r="AN876" s="201">
        <f t="shared" si="4436"/>
        <v>0</v>
      </c>
      <c r="AO876" s="201">
        <f t="shared" si="4436"/>
        <v>0</v>
      </c>
      <c r="AP876" s="201">
        <f t="shared" si="4436"/>
        <v>0</v>
      </c>
      <c r="AQ876" s="201">
        <f t="shared" si="4436"/>
        <v>0</v>
      </c>
      <c r="AR876" s="201">
        <f t="shared" si="4436"/>
        <v>0</v>
      </c>
      <c r="AS876" s="200">
        <f t="shared" si="4436"/>
        <v>0</v>
      </c>
      <c r="AT876" s="205">
        <v>0.0</v>
      </c>
      <c r="AU876" s="200">
        <f t="shared" ref="AU876:AX876" si="4437">countif($D876,"*"&amp;AU$2&amp;"*")</f>
        <v>1</v>
      </c>
      <c r="AV876" s="200">
        <f t="shared" si="4437"/>
        <v>0</v>
      </c>
      <c r="AW876" s="200">
        <f t="shared" si="4437"/>
        <v>0</v>
      </c>
      <c r="AX876" s="200">
        <f t="shared" si="4437"/>
        <v>0</v>
      </c>
      <c r="AY876" s="202">
        <v>0.0</v>
      </c>
      <c r="AZ876" s="200"/>
      <c r="BA876" s="171" t="str">
        <f t="shared" si="18"/>
        <v/>
      </c>
      <c r="BB876" s="171" t="str">
        <f t="shared" si="19"/>
        <v/>
      </c>
      <c r="BC876" s="171" t="str">
        <f t="shared" si="20"/>
        <v/>
      </c>
      <c r="BD876" s="171" t="str">
        <f t="shared" si="21"/>
        <v>Institutional</v>
      </c>
      <c r="BE876" s="171" t="str">
        <f t="shared" si="22"/>
        <v/>
      </c>
      <c r="BF876" s="171" t="str">
        <f t="shared" si="23"/>
        <v>Institutional</v>
      </c>
    </row>
    <row r="877">
      <c r="A877" s="171">
        <f t="array" ref="A877">XLOOKUP(C877,ICSE!A:A,ICSE!C:C,,2,1)</f>
        <v>2015</v>
      </c>
      <c r="B877" s="171" t="s">
        <v>5675</v>
      </c>
      <c r="C877" s="160">
        <v>1717.0</v>
      </c>
      <c r="D877" s="161" t="s">
        <v>404</v>
      </c>
      <c r="E877" s="197" t="str">
        <f t="array" ref="E877">XLOOKUP(C877,ICSE!A:A,ICSE!Z:Z,,0,1)</f>
        <v>Publicly available (1)</v>
      </c>
      <c r="F877" s="198" t="s">
        <v>20</v>
      </c>
      <c r="G877" s="163" t="str">
        <f t="array" ref="G877">IF(B877="ICSE",IF(COUNTIFS(B:B,B877,C:C,C877)=XLOOKUP(C877,ICSE!A:A,ICSE!AA:AA,"ERROR",0,1),"OK","ERROR"),IF(B877="FSE",IF(COUNTIFS(B:B,B877,C:C,C877)=XLOOKUP(C877,FSE!A:A,FSE!AA:AA,"ERROR",0,1),"OK","ERROR")))</f>
        <v>OK</v>
      </c>
      <c r="H877" s="199">
        <f t="shared" ref="H877:O877" si="4438">countif($D877,"*"&amp;H$2&amp;"*")</f>
        <v>0</v>
      </c>
      <c r="I877" s="200">
        <f t="shared" si="4438"/>
        <v>0</v>
      </c>
      <c r="J877" s="200">
        <f t="shared" si="4438"/>
        <v>0</v>
      </c>
      <c r="K877" s="200">
        <f t="shared" si="4438"/>
        <v>0</v>
      </c>
      <c r="L877" s="200">
        <f t="shared" si="4438"/>
        <v>0</v>
      </c>
      <c r="M877" s="200">
        <f t="shared" si="4438"/>
        <v>0</v>
      </c>
      <c r="N877" s="200">
        <f t="shared" si="4438"/>
        <v>0</v>
      </c>
      <c r="O877" s="200">
        <f t="shared" si="4438"/>
        <v>0</v>
      </c>
      <c r="P877" s="200">
        <f t="shared" si="9"/>
        <v>0</v>
      </c>
      <c r="Q877" s="200">
        <f t="shared" ref="Q877:AC877" si="4439">countif($D877,"*"&amp;Q$2&amp;"*")</f>
        <v>0</v>
      </c>
      <c r="R877" s="200">
        <f t="shared" si="4439"/>
        <v>0</v>
      </c>
      <c r="S877" s="200">
        <f t="shared" si="4439"/>
        <v>0</v>
      </c>
      <c r="T877" s="200">
        <f t="shared" si="4439"/>
        <v>0</v>
      </c>
      <c r="U877" s="200">
        <f t="shared" si="4439"/>
        <v>0</v>
      </c>
      <c r="V877" s="200">
        <f t="shared" si="4439"/>
        <v>0</v>
      </c>
      <c r="W877" s="200">
        <f t="shared" si="4439"/>
        <v>0</v>
      </c>
      <c r="X877" s="200">
        <f t="shared" si="4439"/>
        <v>0</v>
      </c>
      <c r="Y877" s="200">
        <f t="shared" si="4439"/>
        <v>0</v>
      </c>
      <c r="Z877" s="200">
        <f t="shared" si="4439"/>
        <v>0</v>
      </c>
      <c r="AA877" s="200">
        <f t="shared" si="4439"/>
        <v>0</v>
      </c>
      <c r="AB877" s="200">
        <f t="shared" si="4439"/>
        <v>0</v>
      </c>
      <c r="AC877" s="200">
        <f t="shared" si="4439"/>
        <v>0</v>
      </c>
      <c r="AD877" s="200">
        <f t="shared" si="11"/>
        <v>1</v>
      </c>
      <c r="AE877" s="200">
        <f t="shared" ref="AE877:AG877" si="4440">countif($D877,"*"&amp;AE$2&amp;"*")</f>
        <v>0</v>
      </c>
      <c r="AF877" s="200">
        <f t="shared" si="4440"/>
        <v>0</v>
      </c>
      <c r="AG877" s="200">
        <f t="shared" si="4440"/>
        <v>0</v>
      </c>
      <c r="AH877" s="171">
        <f t="shared" si="13"/>
        <v>0</v>
      </c>
      <c r="AI877" s="200">
        <f t="shared" si="14"/>
        <v>0</v>
      </c>
      <c r="AJ877" s="200">
        <f t="shared" si="4441"/>
        <v>0</v>
      </c>
      <c r="AK877" s="201">
        <f t="shared" ref="AK877:AS877" si="4442">countif($D877,"*"&amp;AK$2&amp;"*")</f>
        <v>0</v>
      </c>
      <c r="AL877" s="201">
        <f t="shared" si="4442"/>
        <v>0</v>
      </c>
      <c r="AM877" s="201">
        <f t="shared" si="4442"/>
        <v>0</v>
      </c>
      <c r="AN877" s="201">
        <f t="shared" si="4442"/>
        <v>0</v>
      </c>
      <c r="AO877" s="201">
        <f t="shared" si="4442"/>
        <v>0</v>
      </c>
      <c r="AP877" s="201">
        <f t="shared" si="4442"/>
        <v>0</v>
      </c>
      <c r="AQ877" s="201">
        <f t="shared" si="4442"/>
        <v>0</v>
      </c>
      <c r="AR877" s="201">
        <f t="shared" si="4442"/>
        <v>0</v>
      </c>
      <c r="AS877" s="200">
        <f t="shared" si="4442"/>
        <v>0</v>
      </c>
      <c r="AT877" s="205">
        <v>0.0</v>
      </c>
      <c r="AU877" s="200">
        <f t="shared" ref="AU877:AX877" si="4443">countif($D877,"*"&amp;AU$2&amp;"*")</f>
        <v>1</v>
      </c>
      <c r="AV877" s="200">
        <f t="shared" si="4443"/>
        <v>0</v>
      </c>
      <c r="AW877" s="200">
        <f t="shared" si="4443"/>
        <v>0</v>
      </c>
      <c r="AX877" s="200">
        <f t="shared" si="4443"/>
        <v>0</v>
      </c>
      <c r="AY877" s="202">
        <v>0.0</v>
      </c>
      <c r="AZ877" s="200"/>
      <c r="BA877" s="171" t="str">
        <f t="shared" si="18"/>
        <v/>
      </c>
      <c r="BB877" s="171" t="str">
        <f t="shared" si="19"/>
        <v/>
      </c>
      <c r="BC877" s="171" t="str">
        <f t="shared" si="20"/>
        <v/>
      </c>
      <c r="BD877" s="171" t="str">
        <f t="shared" si="21"/>
        <v>Institutional</v>
      </c>
      <c r="BE877" s="171" t="str">
        <f t="shared" si="22"/>
        <v/>
      </c>
      <c r="BF877" s="171" t="str">
        <f t="shared" si="23"/>
        <v>Institutional</v>
      </c>
    </row>
    <row r="878">
      <c r="A878" s="171">
        <f t="array" ref="A878">XLOOKUP(C878,ICSE!A:A,ICSE!C:C,,2,1)</f>
        <v>2015</v>
      </c>
      <c r="B878" s="171" t="s">
        <v>5675</v>
      </c>
      <c r="C878" s="160">
        <v>1718.0</v>
      </c>
      <c r="D878" s="161" t="s">
        <v>407</v>
      </c>
      <c r="E878" s="197" t="str">
        <f t="array" ref="E878">XLOOKUP(C878,ICSE!A:A,ICSE!Z:Z,,0,1)</f>
        <v>Not available (1) - Broken link.</v>
      </c>
      <c r="F878" s="198" t="s">
        <v>21</v>
      </c>
      <c r="G878" s="163" t="str">
        <f t="array" ref="G878">IF(B878="ICSE",IF(COUNTIFS(B:B,B878,C:C,C878)=XLOOKUP(C878,ICSE!A:A,ICSE!AA:AA,"ERROR",0,1),"OK","ERROR"),IF(B878="FSE",IF(COUNTIFS(B:B,B878,C:C,C878)=XLOOKUP(C878,FSE!A:A,FSE!AA:AA,"ERROR",0,1),"OK","ERROR")))</f>
        <v>OK</v>
      </c>
      <c r="H878" s="199">
        <f t="shared" ref="H878:O878" si="4444">countif($D878,"*"&amp;H$2&amp;"*")</f>
        <v>0</v>
      </c>
      <c r="I878" s="200">
        <f t="shared" si="4444"/>
        <v>0</v>
      </c>
      <c r="J878" s="200">
        <f t="shared" si="4444"/>
        <v>0</v>
      </c>
      <c r="K878" s="200">
        <f t="shared" si="4444"/>
        <v>0</v>
      </c>
      <c r="L878" s="200">
        <f t="shared" si="4444"/>
        <v>0</v>
      </c>
      <c r="M878" s="200">
        <f t="shared" si="4444"/>
        <v>0</v>
      </c>
      <c r="N878" s="200">
        <f t="shared" si="4444"/>
        <v>0</v>
      </c>
      <c r="O878" s="200">
        <f t="shared" si="4444"/>
        <v>0</v>
      </c>
      <c r="P878" s="200">
        <f t="shared" si="9"/>
        <v>0</v>
      </c>
      <c r="Q878" s="200">
        <f t="shared" ref="Q878:AC878" si="4445">countif($D878,"*"&amp;Q$2&amp;"*")</f>
        <v>0</v>
      </c>
      <c r="R878" s="200">
        <f t="shared" si="4445"/>
        <v>0</v>
      </c>
      <c r="S878" s="200">
        <f t="shared" si="4445"/>
        <v>0</v>
      </c>
      <c r="T878" s="200">
        <f t="shared" si="4445"/>
        <v>0</v>
      </c>
      <c r="U878" s="200">
        <f t="shared" si="4445"/>
        <v>0</v>
      </c>
      <c r="V878" s="200">
        <f t="shared" si="4445"/>
        <v>0</v>
      </c>
      <c r="W878" s="200">
        <f t="shared" si="4445"/>
        <v>0</v>
      </c>
      <c r="X878" s="200">
        <f t="shared" si="4445"/>
        <v>0</v>
      </c>
      <c r="Y878" s="200">
        <f t="shared" si="4445"/>
        <v>0</v>
      </c>
      <c r="Z878" s="200">
        <f t="shared" si="4445"/>
        <v>0</v>
      </c>
      <c r="AA878" s="200">
        <f t="shared" si="4445"/>
        <v>0</v>
      </c>
      <c r="AB878" s="200">
        <f t="shared" si="4445"/>
        <v>0</v>
      </c>
      <c r="AC878" s="200">
        <f t="shared" si="4445"/>
        <v>0</v>
      </c>
      <c r="AD878" s="200">
        <f t="shared" si="11"/>
        <v>1</v>
      </c>
      <c r="AE878" s="200">
        <f t="shared" ref="AE878:AG878" si="4446">countif($D878,"*"&amp;AE$2&amp;"*")</f>
        <v>0</v>
      </c>
      <c r="AF878" s="200">
        <f t="shared" si="4446"/>
        <v>0</v>
      </c>
      <c r="AG878" s="200">
        <f t="shared" si="4446"/>
        <v>0</v>
      </c>
      <c r="AH878" s="171">
        <f t="shared" si="13"/>
        <v>0</v>
      </c>
      <c r="AI878" s="200">
        <f t="shared" si="14"/>
        <v>0</v>
      </c>
      <c r="AJ878" s="200">
        <f t="shared" si="4441"/>
        <v>0</v>
      </c>
      <c r="AK878" s="201">
        <f t="shared" ref="AK878:AS878" si="4447">countif($D878,"*"&amp;AK$2&amp;"*")</f>
        <v>0</v>
      </c>
      <c r="AL878" s="201">
        <f t="shared" si="4447"/>
        <v>0</v>
      </c>
      <c r="AM878" s="201">
        <f t="shared" si="4447"/>
        <v>0</v>
      </c>
      <c r="AN878" s="201">
        <f t="shared" si="4447"/>
        <v>0</v>
      </c>
      <c r="AO878" s="201">
        <f t="shared" si="4447"/>
        <v>0</v>
      </c>
      <c r="AP878" s="201">
        <f t="shared" si="4447"/>
        <v>0</v>
      </c>
      <c r="AQ878" s="201">
        <f t="shared" si="4447"/>
        <v>0</v>
      </c>
      <c r="AR878" s="201">
        <f t="shared" si="4447"/>
        <v>0</v>
      </c>
      <c r="AS878" s="200">
        <f t="shared" si="4447"/>
        <v>0</v>
      </c>
      <c r="AT878" s="205">
        <v>0.0</v>
      </c>
      <c r="AU878" s="200">
        <f t="shared" ref="AU878:AX878" si="4448">countif($D878,"*"&amp;AU$2&amp;"*")</f>
        <v>1</v>
      </c>
      <c r="AV878" s="200">
        <f t="shared" si="4448"/>
        <v>0</v>
      </c>
      <c r="AW878" s="200">
        <f t="shared" si="4448"/>
        <v>0</v>
      </c>
      <c r="AX878" s="200">
        <f t="shared" si="4448"/>
        <v>0</v>
      </c>
      <c r="AY878" s="202">
        <v>0.0</v>
      </c>
      <c r="AZ878" s="200"/>
      <c r="BA878" s="171" t="str">
        <f t="shared" si="18"/>
        <v/>
      </c>
      <c r="BB878" s="171" t="str">
        <f t="shared" si="19"/>
        <v/>
      </c>
      <c r="BC878" s="171" t="str">
        <f t="shared" si="20"/>
        <v/>
      </c>
      <c r="BD878" s="171" t="str">
        <f t="shared" si="21"/>
        <v>Institutional</v>
      </c>
      <c r="BE878" s="171" t="str">
        <f t="shared" si="22"/>
        <v/>
      </c>
      <c r="BF878" s="171" t="str">
        <f t="shared" si="23"/>
        <v>Institutional</v>
      </c>
    </row>
    <row r="879">
      <c r="A879" s="171">
        <f t="array" ref="A879">XLOOKUP(C879,ICSE!A:A,ICSE!C:C,,2,1)</f>
        <v>2015</v>
      </c>
      <c r="B879" s="171" t="s">
        <v>5675</v>
      </c>
      <c r="C879" s="160">
        <v>1719.0</v>
      </c>
      <c r="D879" s="161" t="s">
        <v>409</v>
      </c>
      <c r="E879" s="197" t="str">
        <f t="array" ref="E879">XLOOKUP(C879,ICSE!A:A,ICSE!Z:Z,,0,1)</f>
        <v>Publicly available (1)</v>
      </c>
      <c r="F879" s="198" t="s">
        <v>20</v>
      </c>
      <c r="G879" s="163" t="str">
        <f t="array" ref="G879">IF(B879="ICSE",IF(COUNTIFS(B:B,B879,C:C,C879)=XLOOKUP(C879,ICSE!A:A,ICSE!AA:AA,"ERROR",0,1),"OK","ERROR"),IF(B879="FSE",IF(COUNTIFS(B:B,B879,C:C,C879)=XLOOKUP(C879,FSE!A:A,FSE!AA:AA,"ERROR",0,1),"OK","ERROR")))</f>
        <v>OK</v>
      </c>
      <c r="H879" s="199">
        <f t="shared" ref="H879:O879" si="4449">countif($D879,"*"&amp;H$2&amp;"*")</f>
        <v>0</v>
      </c>
      <c r="I879" s="200">
        <f t="shared" si="4449"/>
        <v>0</v>
      </c>
      <c r="J879" s="200">
        <f t="shared" si="4449"/>
        <v>0</v>
      </c>
      <c r="K879" s="200">
        <f t="shared" si="4449"/>
        <v>0</v>
      </c>
      <c r="L879" s="200">
        <f t="shared" si="4449"/>
        <v>0</v>
      </c>
      <c r="M879" s="200">
        <f t="shared" si="4449"/>
        <v>0</v>
      </c>
      <c r="N879" s="200">
        <f t="shared" si="4449"/>
        <v>0</v>
      </c>
      <c r="O879" s="200">
        <f t="shared" si="4449"/>
        <v>0</v>
      </c>
      <c r="P879" s="200">
        <f t="shared" si="9"/>
        <v>1</v>
      </c>
      <c r="Q879" s="200">
        <f t="shared" ref="Q879:AC879" si="4450">countif($D879,"*"&amp;Q$2&amp;"*")</f>
        <v>0</v>
      </c>
      <c r="R879" s="200">
        <f t="shared" si="4450"/>
        <v>0</v>
      </c>
      <c r="S879" s="200">
        <f t="shared" si="4450"/>
        <v>0</v>
      </c>
      <c r="T879" s="200">
        <f t="shared" si="4450"/>
        <v>0</v>
      </c>
      <c r="U879" s="200">
        <f t="shared" si="4450"/>
        <v>0</v>
      </c>
      <c r="V879" s="200">
        <f t="shared" si="4450"/>
        <v>0</v>
      </c>
      <c r="W879" s="200">
        <f t="shared" si="4450"/>
        <v>0</v>
      </c>
      <c r="X879" s="200">
        <f t="shared" si="4450"/>
        <v>0</v>
      </c>
      <c r="Y879" s="200">
        <f t="shared" si="4450"/>
        <v>0</v>
      </c>
      <c r="Z879" s="200">
        <f t="shared" si="4450"/>
        <v>0</v>
      </c>
      <c r="AA879" s="200">
        <f t="shared" si="4450"/>
        <v>0</v>
      </c>
      <c r="AB879" s="200">
        <f t="shared" si="4450"/>
        <v>0</v>
      </c>
      <c r="AC879" s="200">
        <f t="shared" si="4450"/>
        <v>0</v>
      </c>
      <c r="AD879" s="200">
        <f t="shared" si="11"/>
        <v>0</v>
      </c>
      <c r="AE879" s="200">
        <f t="shared" ref="AE879:AG879" si="4451">countif($D879,"*"&amp;AE$2&amp;"*")</f>
        <v>0</v>
      </c>
      <c r="AF879" s="200">
        <f t="shared" si="4451"/>
        <v>0</v>
      </c>
      <c r="AG879" s="200">
        <f t="shared" si="4451"/>
        <v>0</v>
      </c>
      <c r="AH879" s="171">
        <f t="shared" si="13"/>
        <v>0</v>
      </c>
      <c r="AI879" s="200">
        <f t="shared" si="14"/>
        <v>0</v>
      </c>
      <c r="AJ879" s="200">
        <f t="shared" ref="AJ879:AJ880" si="4457">SUM(AK879:AR879)</f>
        <v>0</v>
      </c>
      <c r="AK879" s="201">
        <f t="shared" ref="AK879:AS879" si="4452">countif($D879,"*"&amp;AK$2&amp;"*")</f>
        <v>0</v>
      </c>
      <c r="AL879" s="201">
        <f t="shared" si="4452"/>
        <v>0</v>
      </c>
      <c r="AM879" s="201">
        <f t="shared" si="4452"/>
        <v>0</v>
      </c>
      <c r="AN879" s="201">
        <f t="shared" si="4452"/>
        <v>0</v>
      </c>
      <c r="AO879" s="201">
        <f t="shared" si="4452"/>
        <v>0</v>
      </c>
      <c r="AP879" s="201">
        <f t="shared" si="4452"/>
        <v>0</v>
      </c>
      <c r="AQ879" s="201">
        <f t="shared" si="4452"/>
        <v>0</v>
      </c>
      <c r="AR879" s="200">
        <f t="shared" si="4452"/>
        <v>0</v>
      </c>
      <c r="AS879" s="200">
        <f t="shared" si="4452"/>
        <v>0</v>
      </c>
      <c r="AT879" s="173">
        <v>0.0</v>
      </c>
      <c r="AU879" s="200">
        <f t="shared" ref="AU879:AX879" si="4453">countif($D879,"*"&amp;AU$2&amp;"*")</f>
        <v>0</v>
      </c>
      <c r="AV879" s="200">
        <f t="shared" si="4453"/>
        <v>1</v>
      </c>
      <c r="AW879" s="200">
        <f t="shared" si="4453"/>
        <v>0</v>
      </c>
      <c r="AX879" s="200">
        <f t="shared" si="4453"/>
        <v>0</v>
      </c>
      <c r="AY879" s="202">
        <v>0.0</v>
      </c>
      <c r="AZ879" s="200"/>
      <c r="BA879" s="171" t="str">
        <f t="shared" si="18"/>
        <v/>
      </c>
      <c r="BB879" s="171" t="str">
        <f t="shared" si="19"/>
        <v>Code</v>
      </c>
      <c r="BC879" s="171" t="str">
        <f t="shared" si="20"/>
        <v/>
      </c>
      <c r="BD879" s="171" t="str">
        <f t="shared" si="21"/>
        <v/>
      </c>
      <c r="BE879" s="171" t="str">
        <f t="shared" si="22"/>
        <v/>
      </c>
      <c r="BF879" s="171" t="str">
        <f t="shared" si="23"/>
        <v>Code</v>
      </c>
    </row>
    <row r="880">
      <c r="A880" s="171">
        <f t="array" ref="A880">XLOOKUP(C880,ICSE!A:A,ICSE!C:C,,2,1)</f>
        <v>2015</v>
      </c>
      <c r="B880" s="171" t="s">
        <v>5675</v>
      </c>
      <c r="C880" s="160">
        <v>1723.0</v>
      </c>
      <c r="D880" s="161" t="s">
        <v>6034</v>
      </c>
      <c r="E880" s="197" t="str">
        <f t="array" ref="E880">XLOOKUP(C880,ICSE!A:A,ICSE!Z:Z,,0,1)</f>
        <v>Not available (1) - Broken link.
Publicly available (1)</v>
      </c>
      <c r="F880" s="198" t="s">
        <v>20</v>
      </c>
      <c r="G880" s="163" t="str">
        <f t="array" ref="G880">IF(B880="ICSE",IF(COUNTIFS(B:B,B880,C:C,C880)=XLOOKUP(C880,ICSE!A:A,ICSE!AA:AA,"ERROR",0,1),"OK","ERROR"),IF(B880="FSE",IF(COUNTIFS(B:B,B880,C:C,C880)=XLOOKUP(C880,FSE!A:A,FSE!AA:AA,"ERROR",0,1),"OK","ERROR")))</f>
        <v>OK</v>
      </c>
      <c r="H880" s="199">
        <f t="shared" ref="H880:O880" si="4454">countif($D880,"*"&amp;H$2&amp;"*")</f>
        <v>0</v>
      </c>
      <c r="I880" s="200">
        <f t="shared" si="4454"/>
        <v>0</v>
      </c>
      <c r="J880" s="200">
        <f t="shared" si="4454"/>
        <v>0</v>
      </c>
      <c r="K880" s="200">
        <f t="shared" si="4454"/>
        <v>0</v>
      </c>
      <c r="L880" s="200">
        <f t="shared" si="4454"/>
        <v>0</v>
      </c>
      <c r="M880" s="200">
        <f t="shared" si="4454"/>
        <v>0</v>
      </c>
      <c r="N880" s="200">
        <f t="shared" si="4454"/>
        <v>0</v>
      </c>
      <c r="O880" s="200">
        <f t="shared" si="4454"/>
        <v>0</v>
      </c>
      <c r="P880" s="200">
        <f t="shared" si="9"/>
        <v>0</v>
      </c>
      <c r="Q880" s="200">
        <f t="shared" ref="Q880:AC880" si="4455">countif($D880,"*"&amp;Q$2&amp;"*")</f>
        <v>0</v>
      </c>
      <c r="R880" s="200">
        <f t="shared" si="4455"/>
        <v>0</v>
      </c>
      <c r="S880" s="200">
        <f t="shared" si="4455"/>
        <v>0</v>
      </c>
      <c r="T880" s="200">
        <f t="shared" si="4455"/>
        <v>0</v>
      </c>
      <c r="U880" s="200">
        <f t="shared" si="4455"/>
        <v>0</v>
      </c>
      <c r="V880" s="200">
        <f t="shared" si="4455"/>
        <v>0</v>
      </c>
      <c r="W880" s="200">
        <f t="shared" si="4455"/>
        <v>0</v>
      </c>
      <c r="X880" s="200">
        <f t="shared" si="4455"/>
        <v>0</v>
      </c>
      <c r="Y880" s="200">
        <f t="shared" si="4455"/>
        <v>0</v>
      </c>
      <c r="Z880" s="200">
        <f t="shared" si="4455"/>
        <v>0</v>
      </c>
      <c r="AA880" s="200">
        <f t="shared" si="4455"/>
        <v>0</v>
      </c>
      <c r="AB880" s="200">
        <f t="shared" si="4455"/>
        <v>0</v>
      </c>
      <c r="AC880" s="200">
        <f t="shared" si="4455"/>
        <v>0</v>
      </c>
      <c r="AD880" s="200">
        <f t="shared" si="11"/>
        <v>0</v>
      </c>
      <c r="AE880" s="200">
        <f t="shared" ref="AE880:AG880" si="4456">countif($D880,"*"&amp;AE$2&amp;"*")</f>
        <v>0</v>
      </c>
      <c r="AF880" s="200">
        <f t="shared" si="4456"/>
        <v>0</v>
      </c>
      <c r="AG880" s="200">
        <f t="shared" si="4456"/>
        <v>0</v>
      </c>
      <c r="AH880" s="171">
        <f t="shared" si="13"/>
        <v>1</v>
      </c>
      <c r="AI880" s="200">
        <f t="shared" si="14"/>
        <v>0</v>
      </c>
      <c r="AJ880" s="200">
        <f t="shared" si="4457"/>
        <v>0</v>
      </c>
      <c r="AK880" s="201">
        <f t="shared" ref="AK880:AS880" si="4458">countif($D880,"*"&amp;AK$2&amp;"*")</f>
        <v>0</v>
      </c>
      <c r="AL880" s="201">
        <f t="shared" si="4458"/>
        <v>0</v>
      </c>
      <c r="AM880" s="201">
        <f t="shared" si="4458"/>
        <v>0</v>
      </c>
      <c r="AN880" s="201">
        <f t="shared" si="4458"/>
        <v>0</v>
      </c>
      <c r="AO880" s="201">
        <f t="shared" si="4458"/>
        <v>0</v>
      </c>
      <c r="AP880" s="201">
        <f t="shared" si="4458"/>
        <v>0</v>
      </c>
      <c r="AQ880" s="201">
        <f t="shared" si="4458"/>
        <v>0</v>
      </c>
      <c r="AR880" s="200">
        <f t="shared" si="4458"/>
        <v>0</v>
      </c>
      <c r="AS880" s="200">
        <f t="shared" si="4458"/>
        <v>0</v>
      </c>
      <c r="AT880" s="173">
        <v>0.0</v>
      </c>
      <c r="AU880" s="200">
        <f t="shared" ref="AU880:AX880" si="4459">countif($D880,"*"&amp;AU$2&amp;"*")</f>
        <v>0</v>
      </c>
      <c r="AV880" s="200">
        <f t="shared" si="4459"/>
        <v>0</v>
      </c>
      <c r="AW880" s="200">
        <f t="shared" si="4459"/>
        <v>0</v>
      </c>
      <c r="AX880" s="200">
        <f t="shared" si="4459"/>
        <v>0</v>
      </c>
      <c r="AY880" s="202">
        <v>0.0</v>
      </c>
      <c r="AZ880" s="200"/>
      <c r="BA880" s="171" t="str">
        <f t="shared" si="18"/>
        <v/>
      </c>
      <c r="BB880" s="171" t="str">
        <f t="shared" si="19"/>
        <v/>
      </c>
      <c r="BC880" s="171" t="str">
        <f t="shared" si="20"/>
        <v/>
      </c>
      <c r="BD880" s="171" t="str">
        <f t="shared" si="21"/>
        <v/>
      </c>
      <c r="BE880" s="171" t="str">
        <f t="shared" si="22"/>
        <v>Others</v>
      </c>
      <c r="BF880" s="171" t="str">
        <f t="shared" si="23"/>
        <v>Others</v>
      </c>
    </row>
    <row r="881">
      <c r="A881" s="171">
        <f t="array" ref="A881">XLOOKUP(C881,ICSE!A:A,ICSE!C:C,,2,1)</f>
        <v>2015</v>
      </c>
      <c r="B881" s="171" t="s">
        <v>5675</v>
      </c>
      <c r="C881" s="160">
        <v>1723.0</v>
      </c>
      <c r="D881" s="161" t="s">
        <v>6035</v>
      </c>
      <c r="E881" s="197" t="str">
        <f t="array" ref="E881">XLOOKUP(C881,ICSE!A:A,ICSE!Z:Z,,0,1)</f>
        <v>Not available (1) - Broken link.
Publicly available (1)</v>
      </c>
      <c r="F881" s="198" t="s">
        <v>21</v>
      </c>
      <c r="G881" s="163" t="str">
        <f t="array" ref="G881">IF(B881="ICSE",IF(COUNTIFS(B:B,B881,C:C,C881)=XLOOKUP(C881,ICSE!A:A,ICSE!AA:AA,"ERROR",0,1),"OK","ERROR"),IF(B881="FSE",IF(COUNTIFS(B:B,B881,C:C,C881)=XLOOKUP(C881,FSE!A:A,FSE!AA:AA,"ERROR",0,1),"OK","ERROR")))</f>
        <v>OK</v>
      </c>
      <c r="H881" s="199">
        <f t="shared" ref="H881:O881" si="4460">countif($D881,"*"&amp;H$2&amp;"*")</f>
        <v>0</v>
      </c>
      <c r="I881" s="200">
        <f t="shared" si="4460"/>
        <v>0</v>
      </c>
      <c r="J881" s="200">
        <f t="shared" si="4460"/>
        <v>0</v>
      </c>
      <c r="K881" s="200">
        <f t="shared" si="4460"/>
        <v>0</v>
      </c>
      <c r="L881" s="200">
        <f t="shared" si="4460"/>
        <v>0</v>
      </c>
      <c r="M881" s="200">
        <f t="shared" si="4460"/>
        <v>0</v>
      </c>
      <c r="N881" s="200">
        <f t="shared" si="4460"/>
        <v>0</v>
      </c>
      <c r="O881" s="200">
        <f t="shared" si="4460"/>
        <v>0</v>
      </c>
      <c r="P881" s="200">
        <f t="shared" si="9"/>
        <v>0</v>
      </c>
      <c r="Q881" s="200">
        <f t="shared" ref="Q881:AC881" si="4461">countif($D881,"*"&amp;Q$2&amp;"*")</f>
        <v>0</v>
      </c>
      <c r="R881" s="200">
        <f t="shared" si="4461"/>
        <v>0</v>
      </c>
      <c r="S881" s="200">
        <f t="shared" si="4461"/>
        <v>0</v>
      </c>
      <c r="T881" s="200">
        <f t="shared" si="4461"/>
        <v>0</v>
      </c>
      <c r="U881" s="200">
        <f t="shared" si="4461"/>
        <v>0</v>
      </c>
      <c r="V881" s="200">
        <f t="shared" si="4461"/>
        <v>0</v>
      </c>
      <c r="W881" s="200">
        <f t="shared" si="4461"/>
        <v>0</v>
      </c>
      <c r="X881" s="200">
        <f t="shared" si="4461"/>
        <v>0</v>
      </c>
      <c r="Y881" s="200">
        <f t="shared" si="4461"/>
        <v>0</v>
      </c>
      <c r="Z881" s="200">
        <f t="shared" si="4461"/>
        <v>0</v>
      </c>
      <c r="AA881" s="200">
        <f t="shared" si="4461"/>
        <v>0</v>
      </c>
      <c r="AB881" s="200">
        <f t="shared" si="4461"/>
        <v>0</v>
      </c>
      <c r="AC881" s="200">
        <f t="shared" si="4461"/>
        <v>0</v>
      </c>
      <c r="AD881" s="200">
        <f t="shared" si="11"/>
        <v>1</v>
      </c>
      <c r="AE881" s="200">
        <f t="shared" ref="AE881:AG881" si="4462">countif($D881,"*"&amp;AE$2&amp;"*")</f>
        <v>0</v>
      </c>
      <c r="AF881" s="200">
        <f t="shared" si="4462"/>
        <v>0</v>
      </c>
      <c r="AG881" s="200">
        <f t="shared" si="4462"/>
        <v>0</v>
      </c>
      <c r="AH881" s="171">
        <f t="shared" si="13"/>
        <v>0</v>
      </c>
      <c r="AI881" s="200">
        <f t="shared" si="14"/>
        <v>0</v>
      </c>
      <c r="AJ881" s="200">
        <f>SUM(AK881:AQ881)</f>
        <v>0</v>
      </c>
      <c r="AK881" s="201">
        <f t="shared" ref="AK881:AS881" si="4463">countif($D881,"*"&amp;AK$2&amp;"*")</f>
        <v>0</v>
      </c>
      <c r="AL881" s="201">
        <f t="shared" si="4463"/>
        <v>0</v>
      </c>
      <c r="AM881" s="201">
        <f t="shared" si="4463"/>
        <v>0</v>
      </c>
      <c r="AN881" s="201">
        <f t="shared" si="4463"/>
        <v>0</v>
      </c>
      <c r="AO881" s="201">
        <f t="shared" si="4463"/>
        <v>0</v>
      </c>
      <c r="AP881" s="201">
        <f t="shared" si="4463"/>
        <v>0</v>
      </c>
      <c r="AQ881" s="201">
        <f t="shared" si="4463"/>
        <v>0</v>
      </c>
      <c r="AR881" s="201">
        <f t="shared" si="4463"/>
        <v>0</v>
      </c>
      <c r="AS881" s="200">
        <f t="shared" si="4463"/>
        <v>0</v>
      </c>
      <c r="AT881" s="205">
        <v>0.0</v>
      </c>
      <c r="AU881" s="200">
        <f t="shared" ref="AU881:AX881" si="4464">countif($D881,"*"&amp;AU$2&amp;"*")</f>
        <v>1</v>
      </c>
      <c r="AV881" s="200">
        <f t="shared" si="4464"/>
        <v>0</v>
      </c>
      <c r="AW881" s="200">
        <f t="shared" si="4464"/>
        <v>0</v>
      </c>
      <c r="AX881" s="200">
        <f t="shared" si="4464"/>
        <v>0</v>
      </c>
      <c r="AY881" s="202">
        <v>0.0</v>
      </c>
      <c r="AZ881" s="200"/>
      <c r="BA881" s="171" t="str">
        <f t="shared" si="18"/>
        <v/>
      </c>
      <c r="BB881" s="171" t="str">
        <f t="shared" si="19"/>
        <v/>
      </c>
      <c r="BC881" s="171" t="str">
        <f t="shared" si="20"/>
        <v/>
      </c>
      <c r="BD881" s="171" t="str">
        <f t="shared" si="21"/>
        <v>Institutional</v>
      </c>
      <c r="BE881" s="171" t="str">
        <f t="shared" si="22"/>
        <v/>
      </c>
      <c r="BF881" s="171" t="str">
        <f t="shared" si="23"/>
        <v>Institutional</v>
      </c>
    </row>
    <row r="882">
      <c r="A882" s="171">
        <f t="array" ref="A882">XLOOKUP(C882,ICSE!A:A,ICSE!C:C,,2,1)</f>
        <v>2015</v>
      </c>
      <c r="B882" s="171" t="s">
        <v>5675</v>
      </c>
      <c r="C882" s="160">
        <v>1728.0</v>
      </c>
      <c r="D882" s="161" t="s">
        <v>6036</v>
      </c>
      <c r="E882" s="197" t="str">
        <f t="array" ref="E882">XLOOKUP(C882,ICSE!A:A,ICSE!Z:Z,,0,1)</f>
        <v>Not available (1) - Broken link.
Publicly available (1)</v>
      </c>
      <c r="F882" s="198" t="s">
        <v>20</v>
      </c>
      <c r="G882" s="163" t="str">
        <f t="array" ref="G882">IF(B882="ICSE",IF(COUNTIFS(B:B,B882,C:C,C882)=XLOOKUP(C882,ICSE!A:A,ICSE!AA:AA,"ERROR",0,1),"OK","ERROR"),IF(B882="FSE",IF(COUNTIFS(B:B,B882,C:C,C882)=XLOOKUP(C882,FSE!A:A,FSE!AA:AA,"ERROR",0,1),"OK","ERROR")))</f>
        <v>OK</v>
      </c>
      <c r="H882" s="199">
        <f t="shared" ref="H882:O882" si="4465">countif($D882,"*"&amp;H$2&amp;"*")</f>
        <v>0</v>
      </c>
      <c r="I882" s="200">
        <f t="shared" si="4465"/>
        <v>0</v>
      </c>
      <c r="J882" s="200">
        <f t="shared" si="4465"/>
        <v>0</v>
      </c>
      <c r="K882" s="200">
        <f t="shared" si="4465"/>
        <v>0</v>
      </c>
      <c r="L882" s="200">
        <f t="shared" si="4465"/>
        <v>0</v>
      </c>
      <c r="M882" s="200">
        <f t="shared" si="4465"/>
        <v>0</v>
      </c>
      <c r="N882" s="200">
        <f t="shared" si="4465"/>
        <v>0</v>
      </c>
      <c r="O882" s="200">
        <f t="shared" si="4465"/>
        <v>0</v>
      </c>
      <c r="P882" s="200">
        <f t="shared" si="9"/>
        <v>0</v>
      </c>
      <c r="Q882" s="200">
        <f t="shared" ref="Q882:AC882" si="4466">countif($D882,"*"&amp;Q$2&amp;"*")</f>
        <v>0</v>
      </c>
      <c r="R882" s="200">
        <f t="shared" si="4466"/>
        <v>0</v>
      </c>
      <c r="S882" s="200">
        <f t="shared" si="4466"/>
        <v>0</v>
      </c>
      <c r="T882" s="200">
        <f t="shared" si="4466"/>
        <v>0</v>
      </c>
      <c r="U882" s="200">
        <f t="shared" si="4466"/>
        <v>0</v>
      </c>
      <c r="V882" s="200">
        <f t="shared" si="4466"/>
        <v>0</v>
      </c>
      <c r="W882" s="200">
        <f t="shared" si="4466"/>
        <v>1</v>
      </c>
      <c r="X882" s="200">
        <f t="shared" si="4466"/>
        <v>0</v>
      </c>
      <c r="Y882" s="200">
        <f t="shared" si="4466"/>
        <v>0</v>
      </c>
      <c r="Z882" s="200">
        <f t="shared" si="4466"/>
        <v>0</v>
      </c>
      <c r="AA882" s="200">
        <f t="shared" si="4466"/>
        <v>0</v>
      </c>
      <c r="AB882" s="200">
        <f t="shared" si="4466"/>
        <v>0</v>
      </c>
      <c r="AC882" s="200">
        <f t="shared" si="4466"/>
        <v>0</v>
      </c>
      <c r="AD882" s="200">
        <f t="shared" si="11"/>
        <v>0</v>
      </c>
      <c r="AE882" s="200">
        <f t="shared" ref="AE882:AG882" si="4467">countif($D882,"*"&amp;AE$2&amp;"*")</f>
        <v>0</v>
      </c>
      <c r="AF882" s="200">
        <f t="shared" si="4467"/>
        <v>0</v>
      </c>
      <c r="AG882" s="200">
        <f t="shared" si="4467"/>
        <v>0</v>
      </c>
      <c r="AH882" s="171">
        <f t="shared" si="13"/>
        <v>0</v>
      </c>
      <c r="AI882" s="200">
        <f t="shared" si="14"/>
        <v>0</v>
      </c>
      <c r="AJ882" s="200">
        <f t="shared" ref="AJ882:AJ886" si="4473">SUM(AK882:AR882)</f>
        <v>0</v>
      </c>
      <c r="AK882" s="201">
        <f t="shared" ref="AK882:AS882" si="4468">countif($D882,"*"&amp;AK$2&amp;"*")</f>
        <v>0</v>
      </c>
      <c r="AL882" s="201">
        <f t="shared" si="4468"/>
        <v>0</v>
      </c>
      <c r="AM882" s="201">
        <f t="shared" si="4468"/>
        <v>0</v>
      </c>
      <c r="AN882" s="201">
        <f t="shared" si="4468"/>
        <v>0</v>
      </c>
      <c r="AO882" s="201">
        <f t="shared" si="4468"/>
        <v>0</v>
      </c>
      <c r="AP882" s="201">
        <f t="shared" si="4468"/>
        <v>0</v>
      </c>
      <c r="AQ882" s="201">
        <f t="shared" si="4468"/>
        <v>0</v>
      </c>
      <c r="AR882" s="200">
        <f t="shared" si="4468"/>
        <v>0</v>
      </c>
      <c r="AS882" s="200">
        <f t="shared" si="4468"/>
        <v>0</v>
      </c>
      <c r="AT882" s="173">
        <v>0.0</v>
      </c>
      <c r="AU882" s="200">
        <f t="shared" ref="AU882:AX882" si="4469">countif($D882,"*"&amp;AU$2&amp;"*")</f>
        <v>0</v>
      </c>
      <c r="AV882" s="200">
        <f t="shared" si="4469"/>
        <v>0</v>
      </c>
      <c r="AW882" s="200">
        <f t="shared" si="4469"/>
        <v>0</v>
      </c>
      <c r="AX882" s="200">
        <f t="shared" si="4469"/>
        <v>0</v>
      </c>
      <c r="AY882" s="202">
        <v>0.0</v>
      </c>
      <c r="AZ882" s="200"/>
      <c r="BA882" s="171" t="str">
        <f t="shared" si="18"/>
        <v/>
      </c>
      <c r="BB882" s="171" t="str">
        <f t="shared" si="19"/>
        <v/>
      </c>
      <c r="BC882" s="171" t="str">
        <f t="shared" si="20"/>
        <v>General-purpose</v>
      </c>
      <c r="BD882" s="171" t="str">
        <f t="shared" si="21"/>
        <v/>
      </c>
      <c r="BE882" s="171" t="str">
        <f t="shared" si="22"/>
        <v/>
      </c>
      <c r="BF882" s="171" t="str">
        <f t="shared" si="23"/>
        <v>General-purpose</v>
      </c>
    </row>
    <row r="883">
      <c r="A883" s="171">
        <f t="array" ref="A883">XLOOKUP(C883,ICSE!A:A,ICSE!C:C,,2,1)</f>
        <v>2015</v>
      </c>
      <c r="B883" s="171" t="s">
        <v>5675</v>
      </c>
      <c r="C883" s="160">
        <v>1728.0</v>
      </c>
      <c r="D883" s="161" t="s">
        <v>6037</v>
      </c>
      <c r="E883" s="197" t="str">
        <f t="array" ref="E883">XLOOKUP(C883,ICSE!A:A,ICSE!Z:Z,,0,1)</f>
        <v>Not available (1) - Broken link.
Publicly available (1)</v>
      </c>
      <c r="F883" s="198" t="s">
        <v>21</v>
      </c>
      <c r="G883" s="163" t="str">
        <f t="array" ref="G883">IF(B883="ICSE",IF(COUNTIFS(B:B,B883,C:C,C883)=XLOOKUP(C883,ICSE!A:A,ICSE!AA:AA,"ERROR",0,1),"OK","ERROR"),IF(B883="FSE",IF(COUNTIFS(B:B,B883,C:C,C883)=XLOOKUP(C883,FSE!A:A,FSE!AA:AA,"ERROR",0,1),"OK","ERROR")))</f>
        <v>OK</v>
      </c>
      <c r="H883" s="199">
        <f t="shared" ref="H883:O883" si="4470">countif($D883,"*"&amp;H$2&amp;"*")</f>
        <v>0</v>
      </c>
      <c r="I883" s="200">
        <f t="shared" si="4470"/>
        <v>0</v>
      </c>
      <c r="J883" s="200">
        <f t="shared" si="4470"/>
        <v>0</v>
      </c>
      <c r="K883" s="200">
        <f t="shared" si="4470"/>
        <v>0</v>
      </c>
      <c r="L883" s="200">
        <f t="shared" si="4470"/>
        <v>0</v>
      </c>
      <c r="M883" s="200">
        <f t="shared" si="4470"/>
        <v>0</v>
      </c>
      <c r="N883" s="200">
        <f t="shared" si="4470"/>
        <v>0</v>
      </c>
      <c r="O883" s="200">
        <f t="shared" si="4470"/>
        <v>0</v>
      </c>
      <c r="P883" s="200">
        <f t="shared" si="9"/>
        <v>0</v>
      </c>
      <c r="Q883" s="200">
        <f t="shared" ref="Q883:AC883" si="4471">countif($D883,"*"&amp;Q$2&amp;"*")</f>
        <v>0</v>
      </c>
      <c r="R883" s="200">
        <f t="shared" si="4471"/>
        <v>0</v>
      </c>
      <c r="S883" s="200">
        <f t="shared" si="4471"/>
        <v>0</v>
      </c>
      <c r="T883" s="200">
        <f t="shared" si="4471"/>
        <v>0</v>
      </c>
      <c r="U883" s="200">
        <f t="shared" si="4471"/>
        <v>0</v>
      </c>
      <c r="V883" s="200">
        <f t="shared" si="4471"/>
        <v>0</v>
      </c>
      <c r="W883" s="200">
        <f t="shared" si="4471"/>
        <v>1</v>
      </c>
      <c r="X883" s="200">
        <f t="shared" si="4471"/>
        <v>0</v>
      </c>
      <c r="Y883" s="200">
        <f t="shared" si="4471"/>
        <v>0</v>
      </c>
      <c r="Z883" s="200">
        <f t="shared" si="4471"/>
        <v>0</v>
      </c>
      <c r="AA883" s="200">
        <f t="shared" si="4471"/>
        <v>0</v>
      </c>
      <c r="AB883" s="200">
        <f t="shared" si="4471"/>
        <v>0</v>
      </c>
      <c r="AC883" s="200">
        <f t="shared" si="4471"/>
        <v>0</v>
      </c>
      <c r="AD883" s="200">
        <f t="shared" si="11"/>
        <v>0</v>
      </c>
      <c r="AE883" s="200">
        <f t="shared" ref="AE883:AG883" si="4472">countif($D883,"*"&amp;AE$2&amp;"*")</f>
        <v>0</v>
      </c>
      <c r="AF883" s="200">
        <f t="shared" si="4472"/>
        <v>0</v>
      </c>
      <c r="AG883" s="200">
        <f t="shared" si="4472"/>
        <v>0</v>
      </c>
      <c r="AH883" s="171">
        <f t="shared" si="13"/>
        <v>0</v>
      </c>
      <c r="AI883" s="200">
        <f t="shared" si="14"/>
        <v>0</v>
      </c>
      <c r="AJ883" s="200">
        <f t="shared" si="4473"/>
        <v>0</v>
      </c>
      <c r="AK883" s="201">
        <f t="shared" ref="AK883:AS883" si="4474">countif($D883,"*"&amp;AK$2&amp;"*")</f>
        <v>0</v>
      </c>
      <c r="AL883" s="201">
        <f t="shared" si="4474"/>
        <v>0</v>
      </c>
      <c r="AM883" s="201">
        <f t="shared" si="4474"/>
        <v>0</v>
      </c>
      <c r="AN883" s="201">
        <f t="shared" si="4474"/>
        <v>0</v>
      </c>
      <c r="AO883" s="201">
        <f t="shared" si="4474"/>
        <v>0</v>
      </c>
      <c r="AP883" s="201">
        <f t="shared" si="4474"/>
        <v>0</v>
      </c>
      <c r="AQ883" s="201">
        <f t="shared" si="4474"/>
        <v>0</v>
      </c>
      <c r="AR883" s="200">
        <f t="shared" si="4474"/>
        <v>0</v>
      </c>
      <c r="AS883" s="200">
        <f t="shared" si="4474"/>
        <v>0</v>
      </c>
      <c r="AT883" s="173">
        <v>0.0</v>
      </c>
      <c r="AU883" s="200">
        <f t="shared" ref="AU883:AX883" si="4475">countif($D883,"*"&amp;AU$2&amp;"*")</f>
        <v>0</v>
      </c>
      <c r="AV883" s="200">
        <f t="shared" si="4475"/>
        <v>0</v>
      </c>
      <c r="AW883" s="200">
        <f t="shared" si="4475"/>
        <v>0</v>
      </c>
      <c r="AX883" s="200">
        <f t="shared" si="4475"/>
        <v>0</v>
      </c>
      <c r="AY883" s="202">
        <v>0.0</v>
      </c>
      <c r="AZ883" s="200"/>
      <c r="BA883" s="171" t="str">
        <f t="shared" si="18"/>
        <v/>
      </c>
      <c r="BB883" s="171" t="str">
        <f t="shared" si="19"/>
        <v/>
      </c>
      <c r="BC883" s="171" t="str">
        <f t="shared" si="20"/>
        <v>General-purpose</v>
      </c>
      <c r="BD883" s="171" t="str">
        <f t="shared" si="21"/>
        <v/>
      </c>
      <c r="BE883" s="171" t="str">
        <f t="shared" si="22"/>
        <v/>
      </c>
      <c r="BF883" s="171" t="str">
        <f t="shared" si="23"/>
        <v>General-purpose</v>
      </c>
    </row>
    <row r="884">
      <c r="A884" s="171">
        <f t="array" ref="A884">XLOOKUP(C884,ICSE!A:A,ICSE!C:C,,2,1)</f>
        <v>2015</v>
      </c>
      <c r="B884" s="171" t="s">
        <v>5675</v>
      </c>
      <c r="C884" s="160">
        <v>1730.0</v>
      </c>
      <c r="D884" s="161" t="s">
        <v>426</v>
      </c>
      <c r="E884" s="197" t="str">
        <f t="array" ref="E884">XLOOKUP(C884,ICSE!A:A,ICSE!Z:Z,,0,1)</f>
        <v>Not available (1) - Broken link.</v>
      </c>
      <c r="F884" s="198" t="s">
        <v>21</v>
      </c>
      <c r="G884" s="163" t="str">
        <f t="array" ref="G884">IF(B884="ICSE",IF(COUNTIFS(B:B,B884,C:C,C884)=XLOOKUP(C884,ICSE!A:A,ICSE!AA:AA,"ERROR",0,1),"OK","ERROR"),IF(B884="FSE",IF(COUNTIFS(B:B,B884,C:C,C884)=XLOOKUP(C884,FSE!A:A,FSE!AA:AA,"ERROR",0,1),"OK","ERROR")))</f>
        <v>OK</v>
      </c>
      <c r="H884" s="199">
        <f t="shared" ref="H884:O884" si="4476">countif($D884,"*"&amp;H$2&amp;"*")</f>
        <v>0</v>
      </c>
      <c r="I884" s="200">
        <f t="shared" si="4476"/>
        <v>0</v>
      </c>
      <c r="J884" s="200">
        <f t="shared" si="4476"/>
        <v>0</v>
      </c>
      <c r="K884" s="200">
        <f t="shared" si="4476"/>
        <v>0</v>
      </c>
      <c r="L884" s="200">
        <f t="shared" si="4476"/>
        <v>0</v>
      </c>
      <c r="M884" s="200">
        <f t="shared" si="4476"/>
        <v>0</v>
      </c>
      <c r="N884" s="200">
        <f t="shared" si="4476"/>
        <v>0</v>
      </c>
      <c r="O884" s="200">
        <f t="shared" si="4476"/>
        <v>0</v>
      </c>
      <c r="P884" s="200">
        <f t="shared" si="9"/>
        <v>0</v>
      </c>
      <c r="Q884" s="200">
        <f t="shared" ref="Q884:AC884" si="4477">countif($D884,"*"&amp;Q$2&amp;"*")</f>
        <v>0</v>
      </c>
      <c r="R884" s="200">
        <f t="shared" si="4477"/>
        <v>0</v>
      </c>
      <c r="S884" s="200">
        <f t="shared" si="4477"/>
        <v>0</v>
      </c>
      <c r="T884" s="200">
        <f t="shared" si="4477"/>
        <v>0</v>
      </c>
      <c r="U884" s="200">
        <f t="shared" si="4477"/>
        <v>0</v>
      </c>
      <c r="V884" s="200">
        <f t="shared" si="4477"/>
        <v>0</v>
      </c>
      <c r="W884" s="200">
        <f t="shared" si="4477"/>
        <v>0</v>
      </c>
      <c r="X884" s="200">
        <f t="shared" si="4477"/>
        <v>0</v>
      </c>
      <c r="Y884" s="200">
        <f t="shared" si="4477"/>
        <v>0</v>
      </c>
      <c r="Z884" s="200">
        <f t="shared" si="4477"/>
        <v>0</v>
      </c>
      <c r="AA884" s="200">
        <f t="shared" si="4477"/>
        <v>0</v>
      </c>
      <c r="AB884" s="200">
        <f t="shared" si="4477"/>
        <v>0</v>
      </c>
      <c r="AC884" s="200">
        <f t="shared" si="4477"/>
        <v>0</v>
      </c>
      <c r="AD884" s="200">
        <f t="shared" si="11"/>
        <v>1</v>
      </c>
      <c r="AE884" s="200">
        <f t="shared" ref="AE884:AG884" si="4478">countif($D884,"*"&amp;AE$2&amp;"*")</f>
        <v>0</v>
      </c>
      <c r="AF884" s="200">
        <f t="shared" si="4478"/>
        <v>0</v>
      </c>
      <c r="AG884" s="200">
        <f t="shared" si="4478"/>
        <v>0</v>
      </c>
      <c r="AH884" s="171">
        <f t="shared" si="13"/>
        <v>0</v>
      </c>
      <c r="AI884" s="200">
        <f t="shared" si="14"/>
        <v>0</v>
      </c>
      <c r="AJ884" s="200">
        <f t="shared" si="4473"/>
        <v>0</v>
      </c>
      <c r="AK884" s="201">
        <f t="shared" ref="AK884:AS884" si="4479">countif($D884,"*"&amp;AK$2&amp;"*")</f>
        <v>0</v>
      </c>
      <c r="AL884" s="201">
        <f t="shared" si="4479"/>
        <v>0</v>
      </c>
      <c r="AM884" s="201">
        <f t="shared" si="4479"/>
        <v>0</v>
      </c>
      <c r="AN884" s="201">
        <f t="shared" si="4479"/>
        <v>0</v>
      </c>
      <c r="AO884" s="201">
        <f t="shared" si="4479"/>
        <v>0</v>
      </c>
      <c r="AP884" s="201">
        <f t="shared" si="4479"/>
        <v>0</v>
      </c>
      <c r="AQ884" s="201">
        <f t="shared" si="4479"/>
        <v>0</v>
      </c>
      <c r="AR884" s="200">
        <f t="shared" si="4479"/>
        <v>0</v>
      </c>
      <c r="AS884" s="200">
        <f t="shared" si="4479"/>
        <v>0</v>
      </c>
      <c r="AT884" s="173">
        <v>1.0</v>
      </c>
      <c r="AU884" s="200">
        <f t="shared" ref="AU884:AX884" si="4480">countif($D884,"*"&amp;AU$2&amp;"*")</f>
        <v>0</v>
      </c>
      <c r="AV884" s="200">
        <f t="shared" si="4480"/>
        <v>0</v>
      </c>
      <c r="AW884" s="200">
        <f t="shared" si="4480"/>
        <v>0</v>
      </c>
      <c r="AX884" s="200">
        <f t="shared" si="4480"/>
        <v>0</v>
      </c>
      <c r="AY884" s="202">
        <v>0.0</v>
      </c>
      <c r="AZ884" s="200"/>
      <c r="BA884" s="171" t="str">
        <f t="shared" si="18"/>
        <v/>
      </c>
      <c r="BB884" s="171" t="str">
        <f t="shared" si="19"/>
        <v/>
      </c>
      <c r="BC884" s="171" t="str">
        <f t="shared" si="20"/>
        <v/>
      </c>
      <c r="BD884" s="171" t="str">
        <f t="shared" si="21"/>
        <v>Institutional</v>
      </c>
      <c r="BE884" s="171" t="str">
        <f t="shared" si="22"/>
        <v/>
      </c>
      <c r="BF884" s="171" t="str">
        <f t="shared" si="23"/>
        <v>Institutional</v>
      </c>
    </row>
    <row r="885">
      <c r="A885" s="171">
        <f t="array" ref="A885">XLOOKUP(C885,ICSE!A:A,ICSE!C:C,,2,1)</f>
        <v>2015</v>
      </c>
      <c r="B885" s="171" t="s">
        <v>5675</v>
      </c>
      <c r="C885" s="160">
        <v>1732.0</v>
      </c>
      <c r="D885" s="161" t="s">
        <v>430</v>
      </c>
      <c r="E885" s="197" t="str">
        <f t="array" ref="E885">XLOOKUP(C885,ICSE!A:A,ICSE!Z:Z,,0,1)</f>
        <v>Restrict access (1) - Unauthorized access,</v>
      </c>
      <c r="F885" s="198" t="s">
        <v>22</v>
      </c>
      <c r="G885" s="163" t="str">
        <f t="array" ref="G885">IF(B885="ICSE",IF(COUNTIFS(B:B,B885,C:C,C885)=XLOOKUP(C885,ICSE!A:A,ICSE!AA:AA,"ERROR",0,1),"OK","ERROR"),IF(B885="FSE",IF(COUNTIFS(B:B,B885,C:C,C885)=XLOOKUP(C885,FSE!A:A,FSE!AA:AA,"ERROR",0,1),"OK","ERROR")))</f>
        <v>OK</v>
      </c>
      <c r="H885" s="199">
        <f t="shared" ref="H885:O885" si="4481">countif($D885,"*"&amp;H$2&amp;"*")</f>
        <v>0</v>
      </c>
      <c r="I885" s="200">
        <f t="shared" si="4481"/>
        <v>0</v>
      </c>
      <c r="J885" s="200">
        <f t="shared" si="4481"/>
        <v>0</v>
      </c>
      <c r="K885" s="200">
        <f t="shared" si="4481"/>
        <v>0</v>
      </c>
      <c r="L885" s="200">
        <f t="shared" si="4481"/>
        <v>0</v>
      </c>
      <c r="M885" s="200">
        <f t="shared" si="4481"/>
        <v>0</v>
      </c>
      <c r="N885" s="200">
        <f t="shared" si="4481"/>
        <v>0</v>
      </c>
      <c r="O885" s="200">
        <f t="shared" si="4481"/>
        <v>0</v>
      </c>
      <c r="P885" s="200">
        <f t="shared" si="9"/>
        <v>0</v>
      </c>
      <c r="Q885" s="200">
        <f t="shared" ref="Q885:AC885" si="4482">countif($D885,"*"&amp;Q$2&amp;"*")</f>
        <v>0</v>
      </c>
      <c r="R885" s="200">
        <f t="shared" si="4482"/>
        <v>0</v>
      </c>
      <c r="S885" s="200">
        <f t="shared" si="4482"/>
        <v>0</v>
      </c>
      <c r="T885" s="200">
        <f t="shared" si="4482"/>
        <v>0</v>
      </c>
      <c r="U885" s="200">
        <f t="shared" si="4482"/>
        <v>0</v>
      </c>
      <c r="V885" s="200">
        <f t="shared" si="4482"/>
        <v>0</v>
      </c>
      <c r="W885" s="200">
        <f t="shared" si="4482"/>
        <v>0</v>
      </c>
      <c r="X885" s="200">
        <f t="shared" si="4482"/>
        <v>0</v>
      </c>
      <c r="Y885" s="200">
        <f t="shared" si="4482"/>
        <v>0</v>
      </c>
      <c r="Z885" s="200">
        <f t="shared" si="4482"/>
        <v>0</v>
      </c>
      <c r="AA885" s="200">
        <f t="shared" si="4482"/>
        <v>0</v>
      </c>
      <c r="AB885" s="200">
        <f t="shared" si="4482"/>
        <v>0</v>
      </c>
      <c r="AC885" s="200">
        <f t="shared" si="4482"/>
        <v>0</v>
      </c>
      <c r="AD885" s="200">
        <f t="shared" si="11"/>
        <v>1</v>
      </c>
      <c r="AE885" s="200">
        <f t="shared" ref="AE885:AG885" si="4483">countif($D885,"*"&amp;AE$2&amp;"*")</f>
        <v>0</v>
      </c>
      <c r="AF885" s="200">
        <f t="shared" si="4483"/>
        <v>0</v>
      </c>
      <c r="AG885" s="200">
        <f t="shared" si="4483"/>
        <v>0</v>
      </c>
      <c r="AH885" s="171">
        <f t="shared" si="13"/>
        <v>0</v>
      </c>
      <c r="AI885" s="200">
        <f t="shared" si="14"/>
        <v>0</v>
      </c>
      <c r="AJ885" s="200">
        <f t="shared" si="4473"/>
        <v>0</v>
      </c>
      <c r="AK885" s="201">
        <f t="shared" ref="AK885:AS885" si="4484">countif($D885,"*"&amp;AK$2&amp;"*")</f>
        <v>0</v>
      </c>
      <c r="AL885" s="201">
        <f t="shared" si="4484"/>
        <v>0</v>
      </c>
      <c r="AM885" s="201">
        <f t="shared" si="4484"/>
        <v>0</v>
      </c>
      <c r="AN885" s="201">
        <f t="shared" si="4484"/>
        <v>0</v>
      </c>
      <c r="AO885" s="201">
        <f t="shared" si="4484"/>
        <v>0</v>
      </c>
      <c r="AP885" s="201">
        <f t="shared" si="4484"/>
        <v>0</v>
      </c>
      <c r="AQ885" s="201">
        <f t="shared" si="4484"/>
        <v>0</v>
      </c>
      <c r="AR885" s="200">
        <f t="shared" si="4484"/>
        <v>0</v>
      </c>
      <c r="AS885" s="200">
        <f t="shared" si="4484"/>
        <v>0</v>
      </c>
      <c r="AT885" s="173">
        <v>1.0</v>
      </c>
      <c r="AU885" s="200">
        <f t="shared" ref="AU885:AX885" si="4485">countif($D885,"*"&amp;AU$2&amp;"*")</f>
        <v>0</v>
      </c>
      <c r="AV885" s="200">
        <f t="shared" si="4485"/>
        <v>0</v>
      </c>
      <c r="AW885" s="200">
        <f t="shared" si="4485"/>
        <v>0</v>
      </c>
      <c r="AX885" s="200">
        <f t="shared" si="4485"/>
        <v>0</v>
      </c>
      <c r="AY885" s="202">
        <v>0.0</v>
      </c>
      <c r="AZ885" s="200"/>
      <c r="BA885" s="171" t="str">
        <f t="shared" si="18"/>
        <v/>
      </c>
      <c r="BB885" s="171" t="str">
        <f t="shared" si="19"/>
        <v/>
      </c>
      <c r="BC885" s="171" t="str">
        <f t="shared" si="20"/>
        <v/>
      </c>
      <c r="BD885" s="171" t="str">
        <f t="shared" si="21"/>
        <v>Institutional</v>
      </c>
      <c r="BE885" s="171" t="str">
        <f t="shared" si="22"/>
        <v/>
      </c>
      <c r="BF885" s="171" t="str">
        <f t="shared" si="23"/>
        <v>Institutional</v>
      </c>
    </row>
    <row r="886">
      <c r="A886" s="171">
        <f t="array" ref="A886">XLOOKUP(C886,ICSE!A:A,ICSE!C:C,,2,1)</f>
        <v>2015</v>
      </c>
      <c r="B886" s="171" t="s">
        <v>5675</v>
      </c>
      <c r="C886" s="160">
        <v>1734.0</v>
      </c>
      <c r="D886" s="161" t="s">
        <v>6038</v>
      </c>
      <c r="E886" s="197" t="str">
        <f t="array" ref="E886">XLOOKUP(C886,ICSE!A:A,ICSE!Z:Z,,0,1)</f>
        <v>Not available (1) - Broken link.
Publicly available (1)</v>
      </c>
      <c r="F886" s="198" t="s">
        <v>20</v>
      </c>
      <c r="G886" s="163" t="str">
        <f t="array" ref="G886">IF(B886="ICSE",IF(COUNTIFS(B:B,B886,C:C,C886)=XLOOKUP(C886,ICSE!A:A,ICSE!AA:AA,"ERROR",0,1),"OK","ERROR"),IF(B886="FSE",IF(COUNTIFS(B:B,B886,C:C,C886)=XLOOKUP(C886,FSE!A:A,FSE!AA:AA,"ERROR",0,1),"OK","ERROR")))</f>
        <v>OK</v>
      </c>
      <c r="H886" s="199">
        <f t="shared" ref="H886:O886" si="4486">countif($D886,"*"&amp;H$2&amp;"*")</f>
        <v>0</v>
      </c>
      <c r="I886" s="200">
        <f t="shared" si="4486"/>
        <v>0</v>
      </c>
      <c r="J886" s="200">
        <f t="shared" si="4486"/>
        <v>0</v>
      </c>
      <c r="K886" s="200">
        <f t="shared" si="4486"/>
        <v>0</v>
      </c>
      <c r="L886" s="200">
        <f t="shared" si="4486"/>
        <v>0</v>
      </c>
      <c r="M886" s="200">
        <f t="shared" si="4486"/>
        <v>0</v>
      </c>
      <c r="N886" s="200">
        <f t="shared" si="4486"/>
        <v>0</v>
      </c>
      <c r="O886" s="200">
        <f t="shared" si="4486"/>
        <v>0</v>
      </c>
      <c r="P886" s="200">
        <f t="shared" si="9"/>
        <v>0</v>
      </c>
      <c r="Q886" s="200">
        <f t="shared" ref="Q886:AC886" si="4487">countif($D886,"*"&amp;Q$2&amp;"*")</f>
        <v>0</v>
      </c>
      <c r="R886" s="200">
        <f t="shared" si="4487"/>
        <v>0</v>
      </c>
      <c r="S886" s="200">
        <f t="shared" si="4487"/>
        <v>0</v>
      </c>
      <c r="T886" s="200">
        <f t="shared" si="4487"/>
        <v>0</v>
      </c>
      <c r="U886" s="200">
        <f t="shared" si="4487"/>
        <v>0</v>
      </c>
      <c r="V886" s="200">
        <f t="shared" si="4487"/>
        <v>0</v>
      </c>
      <c r="W886" s="200">
        <f t="shared" si="4487"/>
        <v>0</v>
      </c>
      <c r="X886" s="200">
        <f t="shared" si="4487"/>
        <v>0</v>
      </c>
      <c r="Y886" s="200">
        <f t="shared" si="4487"/>
        <v>0</v>
      </c>
      <c r="Z886" s="200">
        <f t="shared" si="4487"/>
        <v>0</v>
      </c>
      <c r="AA886" s="200">
        <f t="shared" si="4487"/>
        <v>0</v>
      </c>
      <c r="AB886" s="200">
        <f t="shared" si="4487"/>
        <v>0</v>
      </c>
      <c r="AC886" s="200">
        <f t="shared" si="4487"/>
        <v>0</v>
      </c>
      <c r="AD886" s="200">
        <f t="shared" si="11"/>
        <v>0</v>
      </c>
      <c r="AE886" s="200">
        <f t="shared" ref="AE886:AG886" si="4488">countif($D886,"*"&amp;AE$2&amp;"*")</f>
        <v>0</v>
      </c>
      <c r="AF886" s="200">
        <f t="shared" si="4488"/>
        <v>0</v>
      </c>
      <c r="AG886" s="200">
        <f t="shared" si="4488"/>
        <v>0</v>
      </c>
      <c r="AH886" s="171">
        <f t="shared" si="13"/>
        <v>1</v>
      </c>
      <c r="AI886" s="200">
        <f t="shared" si="14"/>
        <v>0</v>
      </c>
      <c r="AJ886" s="200">
        <f t="shared" si="4473"/>
        <v>0</v>
      </c>
      <c r="AK886" s="201">
        <f t="shared" ref="AK886:AS886" si="4489">countif($D886,"*"&amp;AK$2&amp;"*")</f>
        <v>0</v>
      </c>
      <c r="AL886" s="201">
        <f t="shared" si="4489"/>
        <v>0</v>
      </c>
      <c r="AM886" s="201">
        <f t="shared" si="4489"/>
        <v>0</v>
      </c>
      <c r="AN886" s="201">
        <f t="shared" si="4489"/>
        <v>0</v>
      </c>
      <c r="AO886" s="201">
        <f t="shared" si="4489"/>
        <v>0</v>
      </c>
      <c r="AP886" s="201">
        <f t="shared" si="4489"/>
        <v>0</v>
      </c>
      <c r="AQ886" s="201">
        <f t="shared" si="4489"/>
        <v>0</v>
      </c>
      <c r="AR886" s="200">
        <f t="shared" si="4489"/>
        <v>0</v>
      </c>
      <c r="AS886" s="200">
        <f t="shared" si="4489"/>
        <v>0</v>
      </c>
      <c r="AT886" s="173">
        <v>0.0</v>
      </c>
      <c r="AU886" s="200">
        <f t="shared" ref="AU886:AX886" si="4490">countif($D886,"*"&amp;AU$2&amp;"*")</f>
        <v>0</v>
      </c>
      <c r="AV886" s="200">
        <f t="shared" si="4490"/>
        <v>0</v>
      </c>
      <c r="AW886" s="200">
        <f t="shared" si="4490"/>
        <v>0</v>
      </c>
      <c r="AX886" s="200">
        <f t="shared" si="4490"/>
        <v>0</v>
      </c>
      <c r="AY886" s="202">
        <v>0.0</v>
      </c>
      <c r="AZ886" s="200"/>
      <c r="BA886" s="171" t="str">
        <f t="shared" si="18"/>
        <v/>
      </c>
      <c r="BB886" s="171" t="str">
        <f t="shared" si="19"/>
        <v/>
      </c>
      <c r="BC886" s="171" t="str">
        <f t="shared" si="20"/>
        <v/>
      </c>
      <c r="BD886" s="171" t="str">
        <f t="shared" si="21"/>
        <v/>
      </c>
      <c r="BE886" s="171" t="str">
        <f t="shared" si="22"/>
        <v>Others</v>
      </c>
      <c r="BF886" s="171" t="str">
        <f t="shared" si="23"/>
        <v>Others</v>
      </c>
    </row>
    <row r="887">
      <c r="A887" s="171">
        <f t="array" ref="A887">XLOOKUP(C887,ICSE!A:A,ICSE!C:C,,2,1)</f>
        <v>2015</v>
      </c>
      <c r="B887" s="171" t="s">
        <v>5675</v>
      </c>
      <c r="C887" s="160">
        <v>1734.0</v>
      </c>
      <c r="D887" s="161" t="s">
        <v>6039</v>
      </c>
      <c r="E887" s="197" t="str">
        <f t="array" ref="E887">XLOOKUP(C887,ICSE!A:A,ICSE!Z:Z,,0,1)</f>
        <v>Not available (1) - Broken link.
Publicly available (1)</v>
      </c>
      <c r="F887" s="198" t="s">
        <v>21</v>
      </c>
      <c r="G887" s="163" t="str">
        <f t="array" ref="G887">IF(B887="ICSE",IF(COUNTIFS(B:B,B887,C:C,C887)=XLOOKUP(C887,ICSE!A:A,ICSE!AA:AA,"ERROR",0,1),"OK","ERROR"),IF(B887="FSE",IF(COUNTIFS(B:B,B887,C:C,C887)=XLOOKUP(C887,FSE!A:A,FSE!AA:AA,"ERROR",0,1),"OK","ERROR")))</f>
        <v>OK</v>
      </c>
      <c r="H887" s="199">
        <f t="shared" ref="H887:O887" si="4491">countif($D887,"*"&amp;H$2&amp;"*")</f>
        <v>0</v>
      </c>
      <c r="I887" s="200">
        <f t="shared" si="4491"/>
        <v>0</v>
      </c>
      <c r="J887" s="200">
        <f t="shared" si="4491"/>
        <v>0</v>
      </c>
      <c r="K887" s="200">
        <f t="shared" si="4491"/>
        <v>0</v>
      </c>
      <c r="L887" s="200">
        <f t="shared" si="4491"/>
        <v>0</v>
      </c>
      <c r="M887" s="200">
        <f t="shared" si="4491"/>
        <v>0</v>
      </c>
      <c r="N887" s="200">
        <f t="shared" si="4491"/>
        <v>0</v>
      </c>
      <c r="O887" s="200">
        <f t="shared" si="4491"/>
        <v>0</v>
      </c>
      <c r="P887" s="200">
        <f t="shared" si="9"/>
        <v>0</v>
      </c>
      <c r="Q887" s="200">
        <f t="shared" ref="Q887:AC887" si="4492">countif($D887,"*"&amp;Q$2&amp;"*")</f>
        <v>0</v>
      </c>
      <c r="R887" s="200">
        <f t="shared" si="4492"/>
        <v>0</v>
      </c>
      <c r="S887" s="200">
        <f t="shared" si="4492"/>
        <v>0</v>
      </c>
      <c r="T887" s="200">
        <f t="shared" si="4492"/>
        <v>0</v>
      </c>
      <c r="U887" s="200">
        <f t="shared" si="4492"/>
        <v>0</v>
      </c>
      <c r="V887" s="200">
        <f t="shared" si="4492"/>
        <v>0</v>
      </c>
      <c r="W887" s="200">
        <f t="shared" si="4492"/>
        <v>0</v>
      </c>
      <c r="X887" s="200">
        <f t="shared" si="4492"/>
        <v>0</v>
      </c>
      <c r="Y887" s="200">
        <f t="shared" si="4492"/>
        <v>0</v>
      </c>
      <c r="Z887" s="200">
        <f t="shared" si="4492"/>
        <v>0</v>
      </c>
      <c r="AA887" s="200">
        <f t="shared" si="4492"/>
        <v>0</v>
      </c>
      <c r="AB887" s="200">
        <f t="shared" si="4492"/>
        <v>0</v>
      </c>
      <c r="AC887" s="200">
        <f t="shared" si="4492"/>
        <v>0</v>
      </c>
      <c r="AD887" s="200">
        <f t="shared" si="11"/>
        <v>1</v>
      </c>
      <c r="AE887" s="200">
        <f t="shared" ref="AE887:AG887" si="4493">countif($D887,"*"&amp;AE$2&amp;"*")</f>
        <v>0</v>
      </c>
      <c r="AF887" s="200">
        <f t="shared" si="4493"/>
        <v>0</v>
      </c>
      <c r="AG887" s="200">
        <f t="shared" si="4493"/>
        <v>0</v>
      </c>
      <c r="AH887" s="171">
        <f t="shared" si="13"/>
        <v>0</v>
      </c>
      <c r="AI887" s="200">
        <f t="shared" si="14"/>
        <v>0</v>
      </c>
      <c r="AJ887" s="200">
        <f>SUM(AK887:AQ887)</f>
        <v>0</v>
      </c>
      <c r="AK887" s="201">
        <f t="shared" ref="AK887:AS887" si="4494">countif($D887,"*"&amp;AK$2&amp;"*")</f>
        <v>0</v>
      </c>
      <c r="AL887" s="201">
        <f t="shared" si="4494"/>
        <v>0</v>
      </c>
      <c r="AM887" s="201">
        <f t="shared" si="4494"/>
        <v>0</v>
      </c>
      <c r="AN887" s="201">
        <f t="shared" si="4494"/>
        <v>0</v>
      </c>
      <c r="AO887" s="201">
        <f t="shared" si="4494"/>
        <v>0</v>
      </c>
      <c r="AP887" s="201">
        <f t="shared" si="4494"/>
        <v>0</v>
      </c>
      <c r="AQ887" s="201">
        <f t="shared" si="4494"/>
        <v>0</v>
      </c>
      <c r="AR887" s="201">
        <f t="shared" si="4494"/>
        <v>0</v>
      </c>
      <c r="AS887" s="200">
        <f t="shared" si="4494"/>
        <v>0</v>
      </c>
      <c r="AT887" s="205">
        <v>0.0</v>
      </c>
      <c r="AU887" s="200">
        <f t="shared" ref="AU887:AX887" si="4495">countif($D887,"*"&amp;AU$2&amp;"*")</f>
        <v>1</v>
      </c>
      <c r="AV887" s="200">
        <f t="shared" si="4495"/>
        <v>0</v>
      </c>
      <c r="AW887" s="200">
        <f t="shared" si="4495"/>
        <v>0</v>
      </c>
      <c r="AX887" s="200">
        <f t="shared" si="4495"/>
        <v>0</v>
      </c>
      <c r="AY887" s="202">
        <v>0.0</v>
      </c>
      <c r="AZ887" s="200"/>
      <c r="BA887" s="171" t="str">
        <f t="shared" si="18"/>
        <v/>
      </c>
      <c r="BB887" s="171" t="str">
        <f t="shared" si="19"/>
        <v/>
      </c>
      <c r="BC887" s="171" t="str">
        <f t="shared" si="20"/>
        <v/>
      </c>
      <c r="BD887" s="171" t="str">
        <f t="shared" si="21"/>
        <v>Institutional</v>
      </c>
      <c r="BE887" s="171" t="str">
        <f t="shared" si="22"/>
        <v/>
      </c>
      <c r="BF887" s="171" t="str">
        <f t="shared" si="23"/>
        <v>Institutional</v>
      </c>
    </row>
    <row r="888">
      <c r="A888" s="171">
        <f t="array" ref="A888">XLOOKUP(C888,ICSE!A:A,ICSE!C:C,,2,1)</f>
        <v>2015</v>
      </c>
      <c r="B888" s="171" t="s">
        <v>5675</v>
      </c>
      <c r="C888" s="160">
        <v>1735.0</v>
      </c>
      <c r="D888" s="161" t="s">
        <v>185</v>
      </c>
      <c r="E888" s="197" t="str">
        <f t="array" ref="E888">XLOOKUP(C888,ICSE!A:A,ICSE!Z:Z,,0,1)</f>
        <v>Publicly available (1)</v>
      </c>
      <c r="F888" s="198" t="s">
        <v>20</v>
      </c>
      <c r="G888" s="163" t="str">
        <f t="array" ref="G888">IF(B888="ICSE",IF(COUNTIFS(B:B,B888,C:C,C888)=XLOOKUP(C888,ICSE!A:A,ICSE!AA:AA,"ERROR",0,1),"OK","ERROR"),IF(B888="FSE",IF(COUNTIFS(B:B,B888,C:C,C888)=XLOOKUP(C888,FSE!A:A,FSE!AA:AA,"ERROR",0,1),"OK","ERROR")))</f>
        <v>OK</v>
      </c>
      <c r="H888" s="199">
        <f t="shared" ref="H888:O888" si="4496">countif($D888,"*"&amp;H$2&amp;"*")</f>
        <v>0</v>
      </c>
      <c r="I888" s="200">
        <f t="shared" si="4496"/>
        <v>0</v>
      </c>
      <c r="J888" s="200">
        <f t="shared" si="4496"/>
        <v>0</v>
      </c>
      <c r="K888" s="200">
        <f t="shared" si="4496"/>
        <v>0</v>
      </c>
      <c r="L888" s="200">
        <f t="shared" si="4496"/>
        <v>0</v>
      </c>
      <c r="M888" s="200">
        <f t="shared" si="4496"/>
        <v>0</v>
      </c>
      <c r="N888" s="200">
        <f t="shared" si="4496"/>
        <v>0</v>
      </c>
      <c r="O888" s="200">
        <f t="shared" si="4496"/>
        <v>0</v>
      </c>
      <c r="P888" s="200">
        <f t="shared" si="9"/>
        <v>1</v>
      </c>
      <c r="Q888" s="200">
        <f t="shared" ref="Q888:AC888" si="4497">countif($D888,"*"&amp;Q$2&amp;"*")</f>
        <v>0</v>
      </c>
      <c r="R888" s="200">
        <f t="shared" si="4497"/>
        <v>0</v>
      </c>
      <c r="S888" s="200">
        <f t="shared" si="4497"/>
        <v>0</v>
      </c>
      <c r="T888" s="200">
        <f t="shared" si="4497"/>
        <v>0</v>
      </c>
      <c r="U888" s="200">
        <f t="shared" si="4497"/>
        <v>0</v>
      </c>
      <c r="V888" s="200">
        <f t="shared" si="4497"/>
        <v>0</v>
      </c>
      <c r="W888" s="200">
        <f t="shared" si="4497"/>
        <v>0</v>
      </c>
      <c r="X888" s="200">
        <f t="shared" si="4497"/>
        <v>0</v>
      </c>
      <c r="Y888" s="200">
        <f t="shared" si="4497"/>
        <v>0</v>
      </c>
      <c r="Z888" s="200">
        <f t="shared" si="4497"/>
        <v>0</v>
      </c>
      <c r="AA888" s="200">
        <f t="shared" si="4497"/>
        <v>0</v>
      </c>
      <c r="AB888" s="200">
        <f t="shared" si="4497"/>
        <v>0</v>
      </c>
      <c r="AC888" s="200">
        <f t="shared" si="4497"/>
        <v>0</v>
      </c>
      <c r="AD888" s="200">
        <f t="shared" si="11"/>
        <v>0</v>
      </c>
      <c r="AE888" s="200">
        <f t="shared" ref="AE888:AG888" si="4498">countif($D888,"*"&amp;AE$2&amp;"*")</f>
        <v>0</v>
      </c>
      <c r="AF888" s="200">
        <f t="shared" si="4498"/>
        <v>0</v>
      </c>
      <c r="AG888" s="200">
        <f t="shared" si="4498"/>
        <v>0</v>
      </c>
      <c r="AH888" s="171">
        <f t="shared" si="13"/>
        <v>0</v>
      </c>
      <c r="AI888" s="200">
        <f t="shared" si="14"/>
        <v>0</v>
      </c>
      <c r="AJ888" s="200">
        <f t="shared" ref="AJ888:AJ891" si="4504">SUM(AK888:AR888)</f>
        <v>0</v>
      </c>
      <c r="AK888" s="201">
        <f t="shared" ref="AK888:AS888" si="4499">countif($D888,"*"&amp;AK$2&amp;"*")</f>
        <v>0</v>
      </c>
      <c r="AL888" s="201">
        <f t="shared" si="4499"/>
        <v>0</v>
      </c>
      <c r="AM888" s="201">
        <f t="shared" si="4499"/>
        <v>0</v>
      </c>
      <c r="AN888" s="201">
        <f t="shared" si="4499"/>
        <v>0</v>
      </c>
      <c r="AO888" s="201">
        <f t="shared" si="4499"/>
        <v>0</v>
      </c>
      <c r="AP888" s="201">
        <f t="shared" si="4499"/>
        <v>0</v>
      </c>
      <c r="AQ888" s="201">
        <f t="shared" si="4499"/>
        <v>0</v>
      </c>
      <c r="AR888" s="200">
        <f t="shared" si="4499"/>
        <v>0</v>
      </c>
      <c r="AS888" s="200">
        <f t="shared" si="4499"/>
        <v>0</v>
      </c>
      <c r="AT888" s="173">
        <v>0.0</v>
      </c>
      <c r="AU888" s="200">
        <f t="shared" ref="AU888:AX888" si="4500">countif($D888,"*"&amp;AU$2&amp;"*")</f>
        <v>0</v>
      </c>
      <c r="AV888" s="200">
        <f t="shared" si="4500"/>
        <v>1</v>
      </c>
      <c r="AW888" s="200">
        <f t="shared" si="4500"/>
        <v>0</v>
      </c>
      <c r="AX888" s="200">
        <f t="shared" si="4500"/>
        <v>0</v>
      </c>
      <c r="AY888" s="202">
        <v>0.0</v>
      </c>
      <c r="AZ888" s="200"/>
      <c r="BA888" s="171" t="str">
        <f t="shared" si="18"/>
        <v/>
      </c>
      <c r="BB888" s="171" t="str">
        <f t="shared" si="19"/>
        <v>Code</v>
      </c>
      <c r="BC888" s="171" t="str">
        <f t="shared" si="20"/>
        <v/>
      </c>
      <c r="BD888" s="171" t="str">
        <f t="shared" si="21"/>
        <v/>
      </c>
      <c r="BE888" s="171" t="str">
        <f t="shared" si="22"/>
        <v/>
      </c>
      <c r="BF888" s="171" t="str">
        <f t="shared" si="23"/>
        <v>Code</v>
      </c>
    </row>
    <row r="889">
      <c r="A889" s="171">
        <f t="array" ref="A889">XLOOKUP(C889,ICSE!A:A,ICSE!C:C,,2,1)</f>
        <v>2015</v>
      </c>
      <c r="B889" s="171" t="s">
        <v>5675</v>
      </c>
      <c r="C889" s="160">
        <v>1737.0</v>
      </c>
      <c r="D889" s="161" t="s">
        <v>441</v>
      </c>
      <c r="E889" s="197" t="str">
        <f t="array" ref="E889">XLOOKUP(C889,ICSE!A:A,ICSE!Z:Z,,0,1)</f>
        <v>Publicly available (1)</v>
      </c>
      <c r="F889" s="198" t="s">
        <v>20</v>
      </c>
      <c r="G889" s="163" t="str">
        <f t="array" ref="G889">IF(B889="ICSE",IF(COUNTIFS(B:B,B889,C:C,C889)=XLOOKUP(C889,ICSE!A:A,ICSE!AA:AA,"ERROR",0,1),"OK","ERROR"),IF(B889="FSE",IF(COUNTIFS(B:B,B889,C:C,C889)=XLOOKUP(C889,FSE!A:A,FSE!AA:AA,"ERROR",0,1),"OK","ERROR")))</f>
        <v>OK</v>
      </c>
      <c r="H889" s="199">
        <f t="shared" ref="H889:O889" si="4501">countif($D889,"*"&amp;H$2&amp;"*")</f>
        <v>0</v>
      </c>
      <c r="I889" s="200">
        <f t="shared" si="4501"/>
        <v>0</v>
      </c>
      <c r="J889" s="200">
        <f t="shared" si="4501"/>
        <v>0</v>
      </c>
      <c r="K889" s="200">
        <f t="shared" si="4501"/>
        <v>0</v>
      </c>
      <c r="L889" s="200">
        <f t="shared" si="4501"/>
        <v>0</v>
      </c>
      <c r="M889" s="200">
        <f t="shared" si="4501"/>
        <v>0</v>
      </c>
      <c r="N889" s="200">
        <f t="shared" si="4501"/>
        <v>0</v>
      </c>
      <c r="O889" s="200">
        <f t="shared" si="4501"/>
        <v>0</v>
      </c>
      <c r="P889" s="200">
        <f t="shared" si="9"/>
        <v>1</v>
      </c>
      <c r="Q889" s="200">
        <f t="shared" ref="Q889:AC889" si="4502">countif($D889,"*"&amp;Q$2&amp;"*")</f>
        <v>0</v>
      </c>
      <c r="R889" s="200">
        <f t="shared" si="4502"/>
        <v>0</v>
      </c>
      <c r="S889" s="200">
        <f t="shared" si="4502"/>
        <v>0</v>
      </c>
      <c r="T889" s="200">
        <f t="shared" si="4502"/>
        <v>0</v>
      </c>
      <c r="U889" s="200">
        <f t="shared" si="4502"/>
        <v>0</v>
      </c>
      <c r="V889" s="200">
        <f t="shared" si="4502"/>
        <v>0</v>
      </c>
      <c r="W889" s="200">
        <f t="shared" si="4502"/>
        <v>0</v>
      </c>
      <c r="X889" s="200">
        <f t="shared" si="4502"/>
        <v>0</v>
      </c>
      <c r="Y889" s="200">
        <f t="shared" si="4502"/>
        <v>0</v>
      </c>
      <c r="Z889" s="200">
        <f t="shared" si="4502"/>
        <v>0</v>
      </c>
      <c r="AA889" s="200">
        <f t="shared" si="4502"/>
        <v>0</v>
      </c>
      <c r="AB889" s="200">
        <f t="shared" si="4502"/>
        <v>0</v>
      </c>
      <c r="AC889" s="200">
        <f t="shared" si="4502"/>
        <v>0</v>
      </c>
      <c r="AD889" s="200">
        <f t="shared" si="11"/>
        <v>0</v>
      </c>
      <c r="AE889" s="200">
        <f t="shared" ref="AE889:AG889" si="4503">countif($D889,"*"&amp;AE$2&amp;"*")</f>
        <v>0</v>
      </c>
      <c r="AF889" s="200">
        <f t="shared" si="4503"/>
        <v>0</v>
      </c>
      <c r="AG889" s="200">
        <f t="shared" si="4503"/>
        <v>0</v>
      </c>
      <c r="AH889" s="171">
        <f t="shared" si="13"/>
        <v>0</v>
      </c>
      <c r="AI889" s="200">
        <f t="shared" si="14"/>
        <v>0</v>
      </c>
      <c r="AJ889" s="200">
        <f t="shared" si="4504"/>
        <v>0</v>
      </c>
      <c r="AK889" s="201">
        <f t="shared" ref="AK889:AS889" si="4505">countif($D889,"*"&amp;AK$2&amp;"*")</f>
        <v>0</v>
      </c>
      <c r="AL889" s="201">
        <f t="shared" si="4505"/>
        <v>0</v>
      </c>
      <c r="AM889" s="201">
        <f t="shared" si="4505"/>
        <v>0</v>
      </c>
      <c r="AN889" s="201">
        <f t="shared" si="4505"/>
        <v>0</v>
      </c>
      <c r="AO889" s="201">
        <f t="shared" si="4505"/>
        <v>0</v>
      </c>
      <c r="AP889" s="201">
        <f t="shared" si="4505"/>
        <v>0</v>
      </c>
      <c r="AQ889" s="201">
        <f t="shared" si="4505"/>
        <v>0</v>
      </c>
      <c r="AR889" s="200">
        <f t="shared" si="4505"/>
        <v>0</v>
      </c>
      <c r="AS889" s="200">
        <f t="shared" si="4505"/>
        <v>0</v>
      </c>
      <c r="AT889" s="173">
        <v>0.0</v>
      </c>
      <c r="AU889" s="200">
        <f t="shared" ref="AU889:AX889" si="4506">countif($D889,"*"&amp;AU$2&amp;"*")</f>
        <v>0</v>
      </c>
      <c r="AV889" s="200">
        <f t="shared" si="4506"/>
        <v>1</v>
      </c>
      <c r="AW889" s="200">
        <f t="shared" si="4506"/>
        <v>0</v>
      </c>
      <c r="AX889" s="200">
        <f t="shared" si="4506"/>
        <v>0</v>
      </c>
      <c r="AY889" s="202">
        <v>0.0</v>
      </c>
      <c r="AZ889" s="200"/>
      <c r="BA889" s="171" t="str">
        <f t="shared" si="18"/>
        <v/>
      </c>
      <c r="BB889" s="171" t="str">
        <f t="shared" si="19"/>
        <v>Code</v>
      </c>
      <c r="BC889" s="171" t="str">
        <f t="shared" si="20"/>
        <v/>
      </c>
      <c r="BD889" s="171" t="str">
        <f t="shared" si="21"/>
        <v/>
      </c>
      <c r="BE889" s="171" t="str">
        <f t="shared" si="22"/>
        <v/>
      </c>
      <c r="BF889" s="171" t="str">
        <f t="shared" si="23"/>
        <v>Code</v>
      </c>
    </row>
    <row r="890">
      <c r="A890" s="171">
        <f t="array" ref="A890">XLOOKUP(C890,ICSE!A:A,ICSE!C:C,,2,1)</f>
        <v>2015</v>
      </c>
      <c r="B890" s="171" t="s">
        <v>5675</v>
      </c>
      <c r="C890" s="160">
        <v>1738.0</v>
      </c>
      <c r="D890" s="161" t="s">
        <v>6040</v>
      </c>
      <c r="E890" s="197" t="str">
        <f t="array" ref="E890">XLOOKUP(C890,ICSE!A:A,ICSE!Z:Z,,0,1)</f>
        <v>Publicly available (2)</v>
      </c>
      <c r="F890" s="198" t="s">
        <v>20</v>
      </c>
      <c r="G890" s="163" t="str">
        <f t="array" ref="G890">IF(B890="ICSE",IF(COUNTIFS(B:B,B890,C:C,C890)=XLOOKUP(C890,ICSE!A:A,ICSE!AA:AA,"ERROR",0,1),"OK","ERROR"),IF(B890="FSE",IF(COUNTIFS(B:B,B890,C:C,C890)=XLOOKUP(C890,FSE!A:A,FSE!AA:AA,"ERROR",0,1),"OK","ERROR")))</f>
        <v>OK</v>
      </c>
      <c r="H890" s="199">
        <f t="shared" ref="H890:O890" si="4507">countif($D890,"*"&amp;H$2&amp;"*")</f>
        <v>0</v>
      </c>
      <c r="I890" s="200">
        <f t="shared" si="4507"/>
        <v>0</v>
      </c>
      <c r="J890" s="200">
        <f t="shared" si="4507"/>
        <v>0</v>
      </c>
      <c r="K890" s="200">
        <f t="shared" si="4507"/>
        <v>0</v>
      </c>
      <c r="L890" s="200">
        <f t="shared" si="4507"/>
        <v>0</v>
      </c>
      <c r="M890" s="200">
        <f t="shared" si="4507"/>
        <v>0</v>
      </c>
      <c r="N890" s="200">
        <f t="shared" si="4507"/>
        <v>0</v>
      </c>
      <c r="O890" s="200">
        <f t="shared" si="4507"/>
        <v>0</v>
      </c>
      <c r="P890" s="200">
        <f t="shared" si="9"/>
        <v>0</v>
      </c>
      <c r="Q890" s="200">
        <f t="shared" ref="Q890:AC890" si="4508">countif($D890,"*"&amp;Q$2&amp;"*")</f>
        <v>0</v>
      </c>
      <c r="R890" s="200">
        <f t="shared" si="4508"/>
        <v>1</v>
      </c>
      <c r="S890" s="200">
        <f t="shared" si="4508"/>
        <v>0</v>
      </c>
      <c r="T890" s="200">
        <f t="shared" si="4508"/>
        <v>0</v>
      </c>
      <c r="U890" s="200">
        <f t="shared" si="4508"/>
        <v>0</v>
      </c>
      <c r="V890" s="200">
        <f t="shared" si="4508"/>
        <v>0</v>
      </c>
      <c r="W890" s="200">
        <f t="shared" si="4508"/>
        <v>0</v>
      </c>
      <c r="X890" s="200">
        <f t="shared" si="4508"/>
        <v>0</v>
      </c>
      <c r="Y890" s="200">
        <f t="shared" si="4508"/>
        <v>0</v>
      </c>
      <c r="Z890" s="200">
        <f t="shared" si="4508"/>
        <v>0</v>
      </c>
      <c r="AA890" s="200">
        <f t="shared" si="4508"/>
        <v>0</v>
      </c>
      <c r="AB890" s="200">
        <f t="shared" si="4508"/>
        <v>0</v>
      </c>
      <c r="AC890" s="200">
        <f t="shared" si="4508"/>
        <v>0</v>
      </c>
      <c r="AD890" s="200">
        <f t="shared" si="11"/>
        <v>0</v>
      </c>
      <c r="AE890" s="200">
        <f t="shared" ref="AE890:AG890" si="4509">countif($D890,"*"&amp;AE$2&amp;"*")</f>
        <v>0</v>
      </c>
      <c r="AF890" s="200">
        <f t="shared" si="4509"/>
        <v>0</v>
      </c>
      <c r="AG890" s="200">
        <f t="shared" si="4509"/>
        <v>0</v>
      </c>
      <c r="AH890" s="171">
        <f t="shared" si="13"/>
        <v>0</v>
      </c>
      <c r="AI890" s="200">
        <f t="shared" si="14"/>
        <v>0</v>
      </c>
      <c r="AJ890" s="200">
        <f t="shared" si="4504"/>
        <v>0</v>
      </c>
      <c r="AK890" s="201">
        <f t="shared" ref="AK890:AS890" si="4510">countif($D890,"*"&amp;AK$2&amp;"*")</f>
        <v>0</v>
      </c>
      <c r="AL890" s="201">
        <f t="shared" si="4510"/>
        <v>0</v>
      </c>
      <c r="AM890" s="201">
        <f t="shared" si="4510"/>
        <v>0</v>
      </c>
      <c r="AN890" s="201">
        <f t="shared" si="4510"/>
        <v>0</v>
      </c>
      <c r="AO890" s="201">
        <f t="shared" si="4510"/>
        <v>0</v>
      </c>
      <c r="AP890" s="201">
        <f t="shared" si="4510"/>
        <v>0</v>
      </c>
      <c r="AQ890" s="201">
        <f t="shared" si="4510"/>
        <v>0</v>
      </c>
      <c r="AR890" s="200">
        <f t="shared" si="4510"/>
        <v>0</v>
      </c>
      <c r="AS890" s="200">
        <f t="shared" si="4510"/>
        <v>0</v>
      </c>
      <c r="AT890" s="173">
        <v>0.0</v>
      </c>
      <c r="AU890" s="200">
        <f t="shared" ref="AU890:AX890" si="4511">countif($D890,"*"&amp;AU$2&amp;"*")</f>
        <v>0</v>
      </c>
      <c r="AV890" s="200">
        <f t="shared" si="4511"/>
        <v>0</v>
      </c>
      <c r="AW890" s="200">
        <f t="shared" si="4511"/>
        <v>0</v>
      </c>
      <c r="AX890" s="200">
        <f t="shared" si="4511"/>
        <v>0</v>
      </c>
      <c r="AY890" s="202">
        <v>0.0</v>
      </c>
      <c r="AZ890" s="200"/>
      <c r="BA890" s="171" t="str">
        <f t="shared" si="18"/>
        <v/>
      </c>
      <c r="BB890" s="171" t="str">
        <f t="shared" si="19"/>
        <v>Code</v>
      </c>
      <c r="BC890" s="171" t="str">
        <f t="shared" si="20"/>
        <v/>
      </c>
      <c r="BD890" s="171" t="str">
        <f t="shared" si="21"/>
        <v/>
      </c>
      <c r="BE890" s="171" t="str">
        <f t="shared" si="22"/>
        <v/>
      </c>
      <c r="BF890" s="171" t="str">
        <f t="shared" si="23"/>
        <v>Code</v>
      </c>
    </row>
    <row r="891">
      <c r="A891" s="171">
        <f t="array" ref="A891">XLOOKUP(C891,ICSE!A:A,ICSE!C:C,,2,1)</f>
        <v>2015</v>
      </c>
      <c r="B891" s="171" t="s">
        <v>5675</v>
      </c>
      <c r="C891" s="160">
        <v>1738.0</v>
      </c>
      <c r="D891" s="161" t="s">
        <v>6041</v>
      </c>
      <c r="E891" s="197" t="str">
        <f t="array" ref="E891">XLOOKUP(C891,ICSE!A:A,ICSE!Z:Z,,0,1)</f>
        <v>Publicly available (2)</v>
      </c>
      <c r="F891" s="198" t="s">
        <v>20</v>
      </c>
      <c r="G891" s="163" t="str">
        <f t="array" ref="G891">IF(B891="ICSE",IF(COUNTIFS(B:B,B891,C:C,C891)=XLOOKUP(C891,ICSE!A:A,ICSE!AA:AA,"ERROR",0,1),"OK","ERROR"),IF(B891="FSE",IF(COUNTIFS(B:B,B891,C:C,C891)=XLOOKUP(C891,FSE!A:A,FSE!AA:AA,"ERROR",0,1),"OK","ERROR")))</f>
        <v>OK</v>
      </c>
      <c r="H891" s="199">
        <f t="shared" ref="H891:O891" si="4512">countif($D891,"*"&amp;H$2&amp;"*")</f>
        <v>0</v>
      </c>
      <c r="I891" s="200">
        <f t="shared" si="4512"/>
        <v>0</v>
      </c>
      <c r="J891" s="200">
        <f t="shared" si="4512"/>
        <v>1</v>
      </c>
      <c r="K891" s="200">
        <f t="shared" si="4512"/>
        <v>0</v>
      </c>
      <c r="L891" s="200">
        <f t="shared" si="4512"/>
        <v>0</v>
      </c>
      <c r="M891" s="200">
        <f t="shared" si="4512"/>
        <v>0</v>
      </c>
      <c r="N891" s="200">
        <f t="shared" si="4512"/>
        <v>0</v>
      </c>
      <c r="O891" s="200">
        <f t="shared" si="4512"/>
        <v>0</v>
      </c>
      <c r="P891" s="200">
        <f t="shared" si="9"/>
        <v>0</v>
      </c>
      <c r="Q891" s="200">
        <f t="shared" ref="Q891:AC891" si="4513">countif($D891,"*"&amp;Q$2&amp;"*")</f>
        <v>0</v>
      </c>
      <c r="R891" s="200">
        <f t="shared" si="4513"/>
        <v>0</v>
      </c>
      <c r="S891" s="200">
        <f t="shared" si="4513"/>
        <v>0</v>
      </c>
      <c r="T891" s="200">
        <f t="shared" si="4513"/>
        <v>0</v>
      </c>
      <c r="U891" s="200">
        <f t="shared" si="4513"/>
        <v>0</v>
      </c>
      <c r="V891" s="200">
        <f t="shared" si="4513"/>
        <v>0</v>
      </c>
      <c r="W891" s="200">
        <f t="shared" si="4513"/>
        <v>0</v>
      </c>
      <c r="X891" s="200">
        <f t="shared" si="4513"/>
        <v>0</v>
      </c>
      <c r="Y891" s="200">
        <f t="shared" si="4513"/>
        <v>0</v>
      </c>
      <c r="Z891" s="200">
        <f t="shared" si="4513"/>
        <v>0</v>
      </c>
      <c r="AA891" s="200">
        <f t="shared" si="4513"/>
        <v>0</v>
      </c>
      <c r="AB891" s="200">
        <f t="shared" si="4513"/>
        <v>0</v>
      </c>
      <c r="AC891" s="200">
        <f t="shared" si="4513"/>
        <v>0</v>
      </c>
      <c r="AD891" s="200">
        <f t="shared" si="11"/>
        <v>0</v>
      </c>
      <c r="AE891" s="200">
        <f t="shared" ref="AE891:AG891" si="4514">countif($D891,"*"&amp;AE$2&amp;"*")</f>
        <v>0</v>
      </c>
      <c r="AF891" s="200">
        <f t="shared" si="4514"/>
        <v>0</v>
      </c>
      <c r="AG891" s="200">
        <f t="shared" si="4514"/>
        <v>0</v>
      </c>
      <c r="AH891" s="171">
        <f t="shared" si="13"/>
        <v>0</v>
      </c>
      <c r="AI891" s="200">
        <f t="shared" si="14"/>
        <v>1</v>
      </c>
      <c r="AJ891" s="200">
        <f t="shared" si="4504"/>
        <v>0</v>
      </c>
      <c r="AK891" s="201">
        <f t="shared" ref="AK891:AS891" si="4515">countif($D891,"*"&amp;AK$2&amp;"*")</f>
        <v>0</v>
      </c>
      <c r="AL891" s="201">
        <f t="shared" si="4515"/>
        <v>0</v>
      </c>
      <c r="AM891" s="201">
        <f t="shared" si="4515"/>
        <v>0</v>
      </c>
      <c r="AN891" s="201">
        <f t="shared" si="4515"/>
        <v>0</v>
      </c>
      <c r="AO891" s="201">
        <f t="shared" si="4515"/>
        <v>0</v>
      </c>
      <c r="AP891" s="201">
        <f t="shared" si="4515"/>
        <v>0</v>
      </c>
      <c r="AQ891" s="201">
        <f t="shared" si="4515"/>
        <v>0</v>
      </c>
      <c r="AR891" s="200">
        <f t="shared" si="4515"/>
        <v>0</v>
      </c>
      <c r="AS891" s="200">
        <f t="shared" si="4515"/>
        <v>0</v>
      </c>
      <c r="AT891" s="173">
        <v>0.0</v>
      </c>
      <c r="AU891" s="200">
        <f t="shared" ref="AU891:AX891" si="4516">countif($D891,"*"&amp;AU$2&amp;"*")</f>
        <v>0</v>
      </c>
      <c r="AV891" s="200">
        <f t="shared" si="4516"/>
        <v>0</v>
      </c>
      <c r="AW891" s="200">
        <f t="shared" si="4516"/>
        <v>0</v>
      </c>
      <c r="AX891" s="200">
        <f t="shared" si="4516"/>
        <v>0</v>
      </c>
      <c r="AY891" s="204">
        <v>1.0</v>
      </c>
      <c r="AZ891" s="200"/>
      <c r="BA891" s="171" t="str">
        <f t="shared" si="18"/>
        <v>Archival</v>
      </c>
      <c r="BB891" s="171" t="str">
        <f t="shared" si="19"/>
        <v/>
      </c>
      <c r="BC891" s="171" t="str">
        <f t="shared" si="20"/>
        <v/>
      </c>
      <c r="BD891" s="171" t="str">
        <f t="shared" si="21"/>
        <v/>
      </c>
      <c r="BE891" s="171" t="str">
        <f t="shared" si="22"/>
        <v/>
      </c>
      <c r="BF891" s="171" t="str">
        <f t="shared" si="23"/>
        <v>Archival</v>
      </c>
    </row>
    <row r="892">
      <c r="A892" s="171">
        <f t="array" ref="A892">XLOOKUP(C892,ICSE!A:A,ICSE!C:C,,2,1)</f>
        <v>2015</v>
      </c>
      <c r="B892" s="171" t="s">
        <v>5675</v>
      </c>
      <c r="C892" s="160">
        <v>1744.0</v>
      </c>
      <c r="D892" s="161" t="s">
        <v>451</v>
      </c>
      <c r="E892" s="197" t="str">
        <f t="array" ref="E892">XLOOKUP(C892,ICSE!A:A,ICSE!Z:Z,,0,1)</f>
        <v>Not available (1) - Broken link.</v>
      </c>
      <c r="F892" s="198" t="s">
        <v>21</v>
      </c>
      <c r="G892" s="163" t="str">
        <f t="array" ref="G892">IF(B892="ICSE",IF(COUNTIFS(B:B,B892,C:C,C892)=XLOOKUP(C892,ICSE!A:A,ICSE!AA:AA,"ERROR",0,1),"OK","ERROR"),IF(B892="FSE",IF(COUNTIFS(B:B,B892,C:C,C892)=XLOOKUP(C892,FSE!A:A,FSE!AA:AA,"ERROR",0,1),"OK","ERROR")))</f>
        <v>OK</v>
      </c>
      <c r="H892" s="199">
        <f t="shared" ref="H892:O892" si="4517">countif($D892,"*"&amp;H$2&amp;"*")</f>
        <v>0</v>
      </c>
      <c r="I892" s="200">
        <f t="shared" si="4517"/>
        <v>0</v>
      </c>
      <c r="J892" s="200">
        <f t="shared" si="4517"/>
        <v>0</v>
      </c>
      <c r="K892" s="200">
        <f t="shared" si="4517"/>
        <v>0</v>
      </c>
      <c r="L892" s="200">
        <f t="shared" si="4517"/>
        <v>0</v>
      </c>
      <c r="M892" s="200">
        <f t="shared" si="4517"/>
        <v>0</v>
      </c>
      <c r="N892" s="200">
        <f t="shared" si="4517"/>
        <v>0</v>
      </c>
      <c r="O892" s="200">
        <f t="shared" si="4517"/>
        <v>0</v>
      </c>
      <c r="P892" s="200">
        <f t="shared" si="9"/>
        <v>0</v>
      </c>
      <c r="Q892" s="200">
        <f t="shared" ref="Q892:AC892" si="4518">countif($D892,"*"&amp;Q$2&amp;"*")</f>
        <v>0</v>
      </c>
      <c r="R892" s="200">
        <f t="shared" si="4518"/>
        <v>0</v>
      </c>
      <c r="S892" s="200">
        <f t="shared" si="4518"/>
        <v>0</v>
      </c>
      <c r="T892" s="200">
        <f t="shared" si="4518"/>
        <v>0</v>
      </c>
      <c r="U892" s="200">
        <f t="shared" si="4518"/>
        <v>0</v>
      </c>
      <c r="V892" s="200">
        <f t="shared" si="4518"/>
        <v>0</v>
      </c>
      <c r="W892" s="200">
        <f t="shared" si="4518"/>
        <v>0</v>
      </c>
      <c r="X892" s="200">
        <f t="shared" si="4518"/>
        <v>0</v>
      </c>
      <c r="Y892" s="200">
        <f t="shared" si="4518"/>
        <v>0</v>
      </c>
      <c r="Z892" s="200">
        <f t="shared" si="4518"/>
        <v>0</v>
      </c>
      <c r="AA892" s="200">
        <f t="shared" si="4518"/>
        <v>0</v>
      </c>
      <c r="AB892" s="200">
        <f t="shared" si="4518"/>
        <v>0</v>
      </c>
      <c r="AC892" s="200">
        <f t="shared" si="4518"/>
        <v>0</v>
      </c>
      <c r="AD892" s="200">
        <f t="shared" si="11"/>
        <v>1</v>
      </c>
      <c r="AE892" s="200">
        <f t="shared" ref="AE892:AG892" si="4519">countif($D892,"*"&amp;AE$2&amp;"*")</f>
        <v>0</v>
      </c>
      <c r="AF892" s="200">
        <f t="shared" si="4519"/>
        <v>0</v>
      </c>
      <c r="AG892" s="200">
        <f t="shared" si="4519"/>
        <v>0</v>
      </c>
      <c r="AH892" s="171">
        <f t="shared" si="13"/>
        <v>0</v>
      </c>
      <c r="AI892" s="200">
        <f t="shared" si="14"/>
        <v>0</v>
      </c>
      <c r="AJ892" s="200">
        <f t="shared" ref="AJ892:AJ893" si="4525">SUM(AK892:AQ892)</f>
        <v>0</v>
      </c>
      <c r="AK892" s="201">
        <f t="shared" ref="AK892:AS892" si="4520">countif($D892,"*"&amp;AK$2&amp;"*")</f>
        <v>0</v>
      </c>
      <c r="AL892" s="201">
        <f t="shared" si="4520"/>
        <v>0</v>
      </c>
      <c r="AM892" s="201">
        <f t="shared" si="4520"/>
        <v>0</v>
      </c>
      <c r="AN892" s="201">
        <f t="shared" si="4520"/>
        <v>0</v>
      </c>
      <c r="AO892" s="201">
        <f t="shared" si="4520"/>
        <v>0</v>
      </c>
      <c r="AP892" s="201">
        <f t="shared" si="4520"/>
        <v>0</v>
      </c>
      <c r="AQ892" s="201">
        <f t="shared" si="4520"/>
        <v>0</v>
      </c>
      <c r="AR892" s="201">
        <f t="shared" si="4520"/>
        <v>0</v>
      </c>
      <c r="AS892" s="200">
        <f t="shared" si="4520"/>
        <v>0</v>
      </c>
      <c r="AT892" s="205">
        <v>0.0</v>
      </c>
      <c r="AU892" s="200">
        <f t="shared" ref="AU892:AX892" si="4521">countif($D892,"*"&amp;AU$2&amp;"*")</f>
        <v>1</v>
      </c>
      <c r="AV892" s="200">
        <f t="shared" si="4521"/>
        <v>0</v>
      </c>
      <c r="AW892" s="200">
        <f t="shared" si="4521"/>
        <v>0</v>
      </c>
      <c r="AX892" s="200">
        <f t="shared" si="4521"/>
        <v>0</v>
      </c>
      <c r="AY892" s="202">
        <v>0.0</v>
      </c>
      <c r="AZ892" s="200"/>
      <c r="BA892" s="171" t="str">
        <f t="shared" si="18"/>
        <v/>
      </c>
      <c r="BB892" s="171" t="str">
        <f t="shared" si="19"/>
        <v/>
      </c>
      <c r="BC892" s="171" t="str">
        <f t="shared" si="20"/>
        <v/>
      </c>
      <c r="BD892" s="171" t="str">
        <f t="shared" si="21"/>
        <v>Institutional</v>
      </c>
      <c r="BE892" s="171" t="str">
        <f t="shared" si="22"/>
        <v/>
      </c>
      <c r="BF892" s="171" t="str">
        <f t="shared" si="23"/>
        <v>Institutional</v>
      </c>
    </row>
    <row r="893">
      <c r="A893" s="171">
        <f t="array" ref="A893">XLOOKUP(C893,ICSE!A:A,ICSE!C:C,,2,1)</f>
        <v>2015</v>
      </c>
      <c r="B893" s="171" t="s">
        <v>5675</v>
      </c>
      <c r="C893" s="160">
        <v>1745.0</v>
      </c>
      <c r="D893" s="161" t="s">
        <v>454</v>
      </c>
      <c r="E893" s="197" t="str">
        <f t="array" ref="E893">XLOOKUP(C893,ICSE!A:A,ICSE!Z:Z,,0,1)</f>
        <v>Not available (1) - Broken link.</v>
      </c>
      <c r="F893" s="198" t="s">
        <v>21</v>
      </c>
      <c r="G893" s="163" t="str">
        <f t="array" ref="G893">IF(B893="ICSE",IF(COUNTIFS(B:B,B893,C:C,C893)=XLOOKUP(C893,ICSE!A:A,ICSE!AA:AA,"ERROR",0,1),"OK","ERROR"),IF(B893="FSE",IF(COUNTIFS(B:B,B893,C:C,C893)=XLOOKUP(C893,FSE!A:A,FSE!AA:AA,"ERROR",0,1),"OK","ERROR")))</f>
        <v>OK</v>
      </c>
      <c r="H893" s="199">
        <f t="shared" ref="H893:O893" si="4522">countif($D893,"*"&amp;H$2&amp;"*")</f>
        <v>0</v>
      </c>
      <c r="I893" s="200">
        <f t="shared" si="4522"/>
        <v>0</v>
      </c>
      <c r="J893" s="200">
        <f t="shared" si="4522"/>
        <v>0</v>
      </c>
      <c r="K893" s="200">
        <f t="shared" si="4522"/>
        <v>0</v>
      </c>
      <c r="L893" s="200">
        <f t="shared" si="4522"/>
        <v>0</v>
      </c>
      <c r="M893" s="200">
        <f t="shared" si="4522"/>
        <v>0</v>
      </c>
      <c r="N893" s="200">
        <f t="shared" si="4522"/>
        <v>0</v>
      </c>
      <c r="O893" s="200">
        <f t="shared" si="4522"/>
        <v>0</v>
      </c>
      <c r="P893" s="200">
        <f t="shared" si="9"/>
        <v>0</v>
      </c>
      <c r="Q893" s="200">
        <f t="shared" ref="Q893:AC893" si="4523">countif($D893,"*"&amp;Q$2&amp;"*")</f>
        <v>0</v>
      </c>
      <c r="R893" s="200">
        <f t="shared" si="4523"/>
        <v>0</v>
      </c>
      <c r="S893" s="200">
        <f t="shared" si="4523"/>
        <v>0</v>
      </c>
      <c r="T893" s="200">
        <f t="shared" si="4523"/>
        <v>0</v>
      </c>
      <c r="U893" s="200">
        <f t="shared" si="4523"/>
        <v>0</v>
      </c>
      <c r="V893" s="200">
        <f t="shared" si="4523"/>
        <v>0</v>
      </c>
      <c r="W893" s="200">
        <f t="shared" si="4523"/>
        <v>0</v>
      </c>
      <c r="X893" s="200">
        <f t="shared" si="4523"/>
        <v>0</v>
      </c>
      <c r="Y893" s="200">
        <f t="shared" si="4523"/>
        <v>0</v>
      </c>
      <c r="Z893" s="200">
        <f t="shared" si="4523"/>
        <v>0</v>
      </c>
      <c r="AA893" s="200">
        <f t="shared" si="4523"/>
        <v>0</v>
      </c>
      <c r="AB893" s="200">
        <f t="shared" si="4523"/>
        <v>0</v>
      </c>
      <c r="AC893" s="200">
        <f t="shared" si="4523"/>
        <v>0</v>
      </c>
      <c r="AD893" s="200">
        <f t="shared" si="11"/>
        <v>1</v>
      </c>
      <c r="AE893" s="200">
        <f t="shared" ref="AE893:AG893" si="4524">countif($D893,"*"&amp;AE$2&amp;"*")</f>
        <v>0</v>
      </c>
      <c r="AF893" s="200">
        <f t="shared" si="4524"/>
        <v>0</v>
      </c>
      <c r="AG893" s="200">
        <f t="shared" si="4524"/>
        <v>0</v>
      </c>
      <c r="AH893" s="171">
        <f t="shared" si="13"/>
        <v>0</v>
      </c>
      <c r="AI893" s="200">
        <f t="shared" si="14"/>
        <v>0</v>
      </c>
      <c r="AJ893" s="200">
        <f t="shared" si="4525"/>
        <v>0</v>
      </c>
      <c r="AK893" s="201">
        <f t="shared" ref="AK893:AS893" si="4526">countif($D893,"*"&amp;AK$2&amp;"*")</f>
        <v>0</v>
      </c>
      <c r="AL893" s="201">
        <f t="shared" si="4526"/>
        <v>0</v>
      </c>
      <c r="AM893" s="201">
        <f t="shared" si="4526"/>
        <v>0</v>
      </c>
      <c r="AN893" s="201">
        <f t="shared" si="4526"/>
        <v>0</v>
      </c>
      <c r="AO893" s="201">
        <f t="shared" si="4526"/>
        <v>0</v>
      </c>
      <c r="AP893" s="201">
        <f t="shared" si="4526"/>
        <v>0</v>
      </c>
      <c r="AQ893" s="201">
        <f t="shared" si="4526"/>
        <v>0</v>
      </c>
      <c r="AR893" s="201">
        <f t="shared" si="4526"/>
        <v>0</v>
      </c>
      <c r="AS893" s="200">
        <f t="shared" si="4526"/>
        <v>0</v>
      </c>
      <c r="AT893" s="205">
        <v>0.0</v>
      </c>
      <c r="AU893" s="200">
        <f t="shared" ref="AU893:AX893" si="4527">countif($D893,"*"&amp;AU$2&amp;"*")</f>
        <v>1</v>
      </c>
      <c r="AV893" s="200">
        <f t="shared" si="4527"/>
        <v>0</v>
      </c>
      <c r="AW893" s="200">
        <f t="shared" si="4527"/>
        <v>0</v>
      </c>
      <c r="AX893" s="200">
        <f t="shared" si="4527"/>
        <v>0</v>
      </c>
      <c r="AY893" s="202">
        <v>0.0</v>
      </c>
      <c r="AZ893" s="200"/>
      <c r="BA893" s="171" t="str">
        <f t="shared" si="18"/>
        <v/>
      </c>
      <c r="BB893" s="171" t="str">
        <f t="shared" si="19"/>
        <v/>
      </c>
      <c r="BC893" s="171" t="str">
        <f t="shared" si="20"/>
        <v/>
      </c>
      <c r="BD893" s="171" t="str">
        <f t="shared" si="21"/>
        <v>Institutional</v>
      </c>
      <c r="BE893" s="171" t="str">
        <f t="shared" si="22"/>
        <v/>
      </c>
      <c r="BF893" s="171" t="str">
        <f t="shared" si="23"/>
        <v>Institutional</v>
      </c>
    </row>
    <row r="894">
      <c r="A894" s="171">
        <f t="array" ref="A894">XLOOKUP(C894,ICSE!A:A,ICSE!C:C,,2,1)</f>
        <v>2015</v>
      </c>
      <c r="B894" s="171" t="s">
        <v>5675</v>
      </c>
      <c r="C894" s="160">
        <v>1746.0</v>
      </c>
      <c r="D894" s="161" t="s">
        <v>456</v>
      </c>
      <c r="E894" s="197" t="str">
        <f t="array" ref="E894">XLOOKUP(C894,ICSE!A:A,ICSE!Z:Z,,0,1)</f>
        <v>Publicly available (1)</v>
      </c>
      <c r="F894" s="198" t="s">
        <v>20</v>
      </c>
      <c r="G894" s="163" t="str">
        <f t="array" ref="G894">IF(B894="ICSE",IF(COUNTIFS(B:B,B894,C:C,C894)=XLOOKUP(C894,ICSE!A:A,ICSE!AA:AA,"ERROR",0,1),"OK","ERROR"),IF(B894="FSE",IF(COUNTIFS(B:B,B894,C:C,C894)=XLOOKUP(C894,FSE!A:A,FSE!AA:AA,"ERROR",0,1),"OK","ERROR")))</f>
        <v>OK</v>
      </c>
      <c r="H894" s="199">
        <f t="shared" ref="H894:O894" si="4528">countif($D894,"*"&amp;H$2&amp;"*")</f>
        <v>0</v>
      </c>
      <c r="I894" s="200">
        <f t="shared" si="4528"/>
        <v>0</v>
      </c>
      <c r="J894" s="200">
        <f t="shared" si="4528"/>
        <v>0</v>
      </c>
      <c r="K894" s="200">
        <f t="shared" si="4528"/>
        <v>0</v>
      </c>
      <c r="L894" s="200">
        <f t="shared" si="4528"/>
        <v>0</v>
      </c>
      <c r="M894" s="200">
        <f t="shared" si="4528"/>
        <v>0</v>
      </c>
      <c r="N894" s="200">
        <f t="shared" si="4528"/>
        <v>0</v>
      </c>
      <c r="O894" s="200">
        <f t="shared" si="4528"/>
        <v>0</v>
      </c>
      <c r="P894" s="200">
        <f t="shared" si="9"/>
        <v>0</v>
      </c>
      <c r="Q894" s="200">
        <f t="shared" ref="Q894:AC894" si="4529">countif($D894,"*"&amp;Q$2&amp;"*")</f>
        <v>0</v>
      </c>
      <c r="R894" s="200">
        <f t="shared" si="4529"/>
        <v>0</v>
      </c>
      <c r="S894" s="200">
        <f t="shared" si="4529"/>
        <v>0</v>
      </c>
      <c r="T894" s="200">
        <f t="shared" si="4529"/>
        <v>0</v>
      </c>
      <c r="U894" s="200">
        <f t="shared" si="4529"/>
        <v>0</v>
      </c>
      <c r="V894" s="200">
        <f t="shared" si="4529"/>
        <v>0</v>
      </c>
      <c r="W894" s="200">
        <f t="shared" si="4529"/>
        <v>0</v>
      </c>
      <c r="X894" s="200">
        <f t="shared" si="4529"/>
        <v>0</v>
      </c>
      <c r="Y894" s="200">
        <f t="shared" si="4529"/>
        <v>0</v>
      </c>
      <c r="Z894" s="200">
        <f t="shared" si="4529"/>
        <v>0</v>
      </c>
      <c r="AA894" s="200">
        <f t="shared" si="4529"/>
        <v>0</v>
      </c>
      <c r="AB894" s="200">
        <f t="shared" si="4529"/>
        <v>0</v>
      </c>
      <c r="AC894" s="200">
        <f t="shared" si="4529"/>
        <v>0</v>
      </c>
      <c r="AD894" s="200">
        <f t="shared" si="11"/>
        <v>1</v>
      </c>
      <c r="AE894" s="200">
        <f t="shared" ref="AE894:AG894" si="4530">countif($D894,"*"&amp;AE$2&amp;"*")</f>
        <v>0</v>
      </c>
      <c r="AF894" s="200">
        <f t="shared" si="4530"/>
        <v>0</v>
      </c>
      <c r="AG894" s="200">
        <f t="shared" si="4530"/>
        <v>0</v>
      </c>
      <c r="AH894" s="171">
        <f t="shared" si="13"/>
        <v>0</v>
      </c>
      <c r="AI894" s="200">
        <f t="shared" si="14"/>
        <v>0</v>
      </c>
      <c r="AJ894" s="200">
        <f>SUM(AK894:AR894)</f>
        <v>0</v>
      </c>
      <c r="AK894" s="201">
        <f t="shared" ref="AK894:AS894" si="4531">countif($D894,"*"&amp;AK$2&amp;"*")</f>
        <v>0</v>
      </c>
      <c r="AL894" s="201">
        <f t="shared" si="4531"/>
        <v>0</v>
      </c>
      <c r="AM894" s="201">
        <f t="shared" si="4531"/>
        <v>0</v>
      </c>
      <c r="AN894" s="201">
        <f t="shared" si="4531"/>
        <v>0</v>
      </c>
      <c r="AO894" s="201">
        <f t="shared" si="4531"/>
        <v>0</v>
      </c>
      <c r="AP894" s="201">
        <f t="shared" si="4531"/>
        <v>0</v>
      </c>
      <c r="AQ894" s="201">
        <f t="shared" si="4531"/>
        <v>0</v>
      </c>
      <c r="AR894" s="200">
        <f t="shared" si="4531"/>
        <v>0</v>
      </c>
      <c r="AS894" s="200">
        <f t="shared" si="4531"/>
        <v>0</v>
      </c>
      <c r="AT894" s="173">
        <v>1.0</v>
      </c>
      <c r="AU894" s="200">
        <f t="shared" ref="AU894:AX894" si="4532">countif($D894,"*"&amp;AU$2&amp;"*")</f>
        <v>0</v>
      </c>
      <c r="AV894" s="200">
        <f t="shared" si="4532"/>
        <v>0</v>
      </c>
      <c r="AW894" s="200">
        <f t="shared" si="4532"/>
        <v>0</v>
      </c>
      <c r="AX894" s="200">
        <f t="shared" si="4532"/>
        <v>0</v>
      </c>
      <c r="AY894" s="202">
        <v>0.0</v>
      </c>
      <c r="AZ894" s="200"/>
      <c r="BA894" s="171" t="str">
        <f t="shared" si="18"/>
        <v/>
      </c>
      <c r="BB894" s="171" t="str">
        <f t="shared" si="19"/>
        <v/>
      </c>
      <c r="BC894" s="171" t="str">
        <f t="shared" si="20"/>
        <v/>
      </c>
      <c r="BD894" s="171" t="str">
        <f t="shared" si="21"/>
        <v>Institutional</v>
      </c>
      <c r="BE894" s="171" t="str">
        <f t="shared" si="22"/>
        <v/>
      </c>
      <c r="BF894" s="171" t="str">
        <f t="shared" si="23"/>
        <v>Institutional</v>
      </c>
    </row>
    <row r="895">
      <c r="A895" s="171">
        <f t="array" ref="A895">XLOOKUP(C895,ICSE!A:A,ICSE!C:C,,2,1)</f>
        <v>2015</v>
      </c>
      <c r="B895" s="171" t="s">
        <v>5675</v>
      </c>
      <c r="C895" s="160">
        <v>1747.0</v>
      </c>
      <c r="D895" s="161" t="s">
        <v>6042</v>
      </c>
      <c r="E895" s="197" t="str">
        <f t="array" ref="E895">XLOOKUP(C895,ICSE!A:A,ICSE!Z:Z,,0,1)</f>
        <v>Not available (2) - Broken link.</v>
      </c>
      <c r="F895" s="198" t="s">
        <v>21</v>
      </c>
      <c r="G895" s="163" t="str">
        <f t="array" ref="G895">IF(B895="ICSE",IF(COUNTIFS(B:B,B895,C:C,C895)=XLOOKUP(C895,ICSE!A:A,ICSE!AA:AA,"ERROR",0,1),"OK","ERROR"),IF(B895="FSE",IF(COUNTIFS(B:B,B895,C:C,C895)=XLOOKUP(C895,FSE!A:A,FSE!AA:AA,"ERROR",0,1),"OK","ERROR")))</f>
        <v>OK</v>
      </c>
      <c r="H895" s="199">
        <f t="shared" ref="H895:O895" si="4533">countif($D895,"*"&amp;H$2&amp;"*")</f>
        <v>0</v>
      </c>
      <c r="I895" s="200">
        <f t="shared" si="4533"/>
        <v>0</v>
      </c>
      <c r="J895" s="200">
        <f t="shared" si="4533"/>
        <v>0</v>
      </c>
      <c r="K895" s="200">
        <f t="shared" si="4533"/>
        <v>0</v>
      </c>
      <c r="L895" s="200">
        <f t="shared" si="4533"/>
        <v>0</v>
      </c>
      <c r="M895" s="200">
        <f t="shared" si="4533"/>
        <v>0</v>
      </c>
      <c r="N895" s="200">
        <f t="shared" si="4533"/>
        <v>0</v>
      </c>
      <c r="O895" s="200">
        <f t="shared" si="4533"/>
        <v>0</v>
      </c>
      <c r="P895" s="200">
        <f t="shared" si="9"/>
        <v>0</v>
      </c>
      <c r="Q895" s="200">
        <f t="shared" ref="Q895:AC895" si="4534">countif($D895,"*"&amp;Q$2&amp;"*")</f>
        <v>0</v>
      </c>
      <c r="R895" s="200">
        <f t="shared" si="4534"/>
        <v>0</v>
      </c>
      <c r="S895" s="200">
        <f t="shared" si="4534"/>
        <v>0</v>
      </c>
      <c r="T895" s="200">
        <f t="shared" si="4534"/>
        <v>0</v>
      </c>
      <c r="U895" s="200">
        <f t="shared" si="4534"/>
        <v>0</v>
      </c>
      <c r="V895" s="200">
        <f t="shared" si="4534"/>
        <v>0</v>
      </c>
      <c r="W895" s="200">
        <f t="shared" si="4534"/>
        <v>0</v>
      </c>
      <c r="X895" s="200">
        <f t="shared" si="4534"/>
        <v>0</v>
      </c>
      <c r="Y895" s="200">
        <f t="shared" si="4534"/>
        <v>0</v>
      </c>
      <c r="Z895" s="200">
        <f t="shared" si="4534"/>
        <v>0</v>
      </c>
      <c r="AA895" s="200">
        <f t="shared" si="4534"/>
        <v>0</v>
      </c>
      <c r="AB895" s="200">
        <f t="shared" si="4534"/>
        <v>0</v>
      </c>
      <c r="AC895" s="200">
        <f t="shared" si="4534"/>
        <v>0</v>
      </c>
      <c r="AD895" s="200">
        <f t="shared" si="11"/>
        <v>1</v>
      </c>
      <c r="AE895" s="200">
        <f t="shared" ref="AE895:AG895" si="4535">countif($D895,"*"&amp;AE$2&amp;"*")</f>
        <v>0</v>
      </c>
      <c r="AF895" s="200">
        <f t="shared" si="4535"/>
        <v>0</v>
      </c>
      <c r="AG895" s="200">
        <f t="shared" si="4535"/>
        <v>0</v>
      </c>
      <c r="AH895" s="171">
        <f t="shared" si="13"/>
        <v>0</v>
      </c>
      <c r="AI895" s="200">
        <f t="shared" si="14"/>
        <v>0</v>
      </c>
      <c r="AJ895" s="200">
        <f t="shared" ref="AJ895:AJ896" si="4541">SUM(AK895:AQ895)</f>
        <v>1</v>
      </c>
      <c r="AK895" s="201">
        <f t="shared" ref="AK895:AS895" si="4536">countif($D895,"*"&amp;AK$2&amp;"*")</f>
        <v>0</v>
      </c>
      <c r="AL895" s="201">
        <f t="shared" si="4536"/>
        <v>0</v>
      </c>
      <c r="AM895" s="201">
        <f t="shared" si="4536"/>
        <v>1</v>
      </c>
      <c r="AN895" s="201">
        <f t="shared" si="4536"/>
        <v>0</v>
      </c>
      <c r="AO895" s="201">
        <f t="shared" si="4536"/>
        <v>0</v>
      </c>
      <c r="AP895" s="201">
        <f t="shared" si="4536"/>
        <v>0</v>
      </c>
      <c r="AQ895" s="201">
        <f t="shared" si="4536"/>
        <v>0</v>
      </c>
      <c r="AR895" s="201">
        <f t="shared" si="4536"/>
        <v>0</v>
      </c>
      <c r="AS895" s="200">
        <f t="shared" si="4536"/>
        <v>1</v>
      </c>
      <c r="AT895" s="205">
        <v>0.0</v>
      </c>
      <c r="AU895" s="200">
        <f t="shared" ref="AU895:AX895" si="4537">countif($D895,"*"&amp;AU$2&amp;"*")</f>
        <v>1</v>
      </c>
      <c r="AV895" s="200">
        <f t="shared" si="4537"/>
        <v>0</v>
      </c>
      <c r="AW895" s="200">
        <f t="shared" si="4537"/>
        <v>0</v>
      </c>
      <c r="AX895" s="200">
        <f t="shared" si="4537"/>
        <v>0</v>
      </c>
      <c r="AY895" s="202">
        <v>0.0</v>
      </c>
      <c r="AZ895" s="200"/>
      <c r="BA895" s="171" t="str">
        <f t="shared" si="18"/>
        <v/>
      </c>
      <c r="BB895" s="171" t="str">
        <f t="shared" si="19"/>
        <v/>
      </c>
      <c r="BC895" s="171" t="str">
        <f t="shared" si="20"/>
        <v/>
      </c>
      <c r="BD895" s="171" t="str">
        <f t="shared" si="21"/>
        <v>Institutional</v>
      </c>
      <c r="BE895" s="171" t="str">
        <f t="shared" si="22"/>
        <v/>
      </c>
      <c r="BF895" s="171" t="str">
        <f t="shared" si="23"/>
        <v>Institutional</v>
      </c>
    </row>
    <row r="896">
      <c r="A896" s="171">
        <f t="array" ref="A896">XLOOKUP(C896,ICSE!A:A,ICSE!C:C,,2,1)</f>
        <v>2015</v>
      </c>
      <c r="B896" s="171" t="s">
        <v>5675</v>
      </c>
      <c r="C896" s="160">
        <v>1747.0</v>
      </c>
      <c r="D896" s="161" t="s">
        <v>6043</v>
      </c>
      <c r="E896" s="197" t="str">
        <f t="array" ref="E896">XLOOKUP(C896,ICSE!A:A,ICSE!Z:Z,,0,1)</f>
        <v>Not available (2) - Broken link.</v>
      </c>
      <c r="F896" s="198" t="s">
        <v>21</v>
      </c>
      <c r="G896" s="163" t="str">
        <f t="array" ref="G896">IF(B896="ICSE",IF(COUNTIFS(B:B,B896,C:C,C896)=XLOOKUP(C896,ICSE!A:A,ICSE!AA:AA,"ERROR",0,1),"OK","ERROR"),IF(B896="FSE",IF(COUNTIFS(B:B,B896,C:C,C896)=XLOOKUP(C896,FSE!A:A,FSE!AA:AA,"ERROR",0,1),"OK","ERROR")))</f>
        <v>OK</v>
      </c>
      <c r="H896" s="199">
        <f t="shared" ref="H896:O896" si="4538">countif($D896,"*"&amp;H$2&amp;"*")</f>
        <v>0</v>
      </c>
      <c r="I896" s="200">
        <f t="shared" si="4538"/>
        <v>0</v>
      </c>
      <c r="J896" s="200">
        <f t="shared" si="4538"/>
        <v>0</v>
      </c>
      <c r="K896" s="200">
        <f t="shared" si="4538"/>
        <v>0</v>
      </c>
      <c r="L896" s="200">
        <f t="shared" si="4538"/>
        <v>0</v>
      </c>
      <c r="M896" s="200">
        <f t="shared" si="4538"/>
        <v>0</v>
      </c>
      <c r="N896" s="200">
        <f t="shared" si="4538"/>
        <v>0</v>
      </c>
      <c r="O896" s="200">
        <f t="shared" si="4538"/>
        <v>0</v>
      </c>
      <c r="P896" s="200">
        <f t="shared" si="9"/>
        <v>0</v>
      </c>
      <c r="Q896" s="200">
        <f t="shared" ref="Q896:AC896" si="4539">countif($D896,"*"&amp;Q$2&amp;"*")</f>
        <v>0</v>
      </c>
      <c r="R896" s="200">
        <f t="shared" si="4539"/>
        <v>0</v>
      </c>
      <c r="S896" s="200">
        <f t="shared" si="4539"/>
        <v>0</v>
      </c>
      <c r="T896" s="200">
        <f t="shared" si="4539"/>
        <v>0</v>
      </c>
      <c r="U896" s="200">
        <f t="shared" si="4539"/>
        <v>0</v>
      </c>
      <c r="V896" s="200">
        <f t="shared" si="4539"/>
        <v>0</v>
      </c>
      <c r="W896" s="200">
        <f t="shared" si="4539"/>
        <v>0</v>
      </c>
      <c r="X896" s="200">
        <f t="shared" si="4539"/>
        <v>0</v>
      </c>
      <c r="Y896" s="200">
        <f t="shared" si="4539"/>
        <v>0</v>
      </c>
      <c r="Z896" s="200">
        <f t="shared" si="4539"/>
        <v>0</v>
      </c>
      <c r="AA896" s="200">
        <f t="shared" si="4539"/>
        <v>0</v>
      </c>
      <c r="AB896" s="200">
        <f t="shared" si="4539"/>
        <v>0</v>
      </c>
      <c r="AC896" s="200">
        <f t="shared" si="4539"/>
        <v>0</v>
      </c>
      <c r="AD896" s="200">
        <f t="shared" si="11"/>
        <v>1</v>
      </c>
      <c r="AE896" s="200">
        <f t="shared" ref="AE896:AG896" si="4540">countif($D896,"*"&amp;AE$2&amp;"*")</f>
        <v>0</v>
      </c>
      <c r="AF896" s="200">
        <f t="shared" si="4540"/>
        <v>0</v>
      </c>
      <c r="AG896" s="200">
        <f t="shared" si="4540"/>
        <v>0</v>
      </c>
      <c r="AH896" s="171">
        <f t="shared" si="13"/>
        <v>0</v>
      </c>
      <c r="AI896" s="200">
        <f t="shared" si="14"/>
        <v>0</v>
      </c>
      <c r="AJ896" s="200">
        <f t="shared" si="4541"/>
        <v>1</v>
      </c>
      <c r="AK896" s="201">
        <f t="shared" ref="AK896:AS896" si="4542">countif($D896,"*"&amp;AK$2&amp;"*")</f>
        <v>0</v>
      </c>
      <c r="AL896" s="201">
        <f t="shared" si="4542"/>
        <v>0</v>
      </c>
      <c r="AM896" s="201">
        <f t="shared" si="4542"/>
        <v>1</v>
      </c>
      <c r="AN896" s="201">
        <f t="shared" si="4542"/>
        <v>0</v>
      </c>
      <c r="AO896" s="201">
        <f t="shared" si="4542"/>
        <v>0</v>
      </c>
      <c r="AP896" s="201">
        <f t="shared" si="4542"/>
        <v>0</v>
      </c>
      <c r="AQ896" s="201">
        <f t="shared" si="4542"/>
        <v>0</v>
      </c>
      <c r="AR896" s="201">
        <f t="shared" si="4542"/>
        <v>0</v>
      </c>
      <c r="AS896" s="200">
        <f t="shared" si="4542"/>
        <v>1</v>
      </c>
      <c r="AT896" s="205">
        <v>0.0</v>
      </c>
      <c r="AU896" s="200">
        <f t="shared" ref="AU896:AX896" si="4543">countif($D896,"*"&amp;AU$2&amp;"*")</f>
        <v>1</v>
      </c>
      <c r="AV896" s="200">
        <f t="shared" si="4543"/>
        <v>0</v>
      </c>
      <c r="AW896" s="200">
        <f t="shared" si="4543"/>
        <v>0</v>
      </c>
      <c r="AX896" s="200">
        <f t="shared" si="4543"/>
        <v>0</v>
      </c>
      <c r="AY896" s="202">
        <v>0.0</v>
      </c>
      <c r="AZ896" s="200"/>
      <c r="BA896" s="171" t="str">
        <f t="shared" si="18"/>
        <v/>
      </c>
      <c r="BB896" s="171" t="str">
        <f t="shared" si="19"/>
        <v/>
      </c>
      <c r="BC896" s="171" t="str">
        <f t="shared" si="20"/>
        <v/>
      </c>
      <c r="BD896" s="171" t="str">
        <f t="shared" si="21"/>
        <v>Institutional</v>
      </c>
      <c r="BE896" s="171" t="str">
        <f t="shared" si="22"/>
        <v/>
      </c>
      <c r="BF896" s="171" t="str">
        <f t="shared" si="23"/>
        <v>Institutional</v>
      </c>
    </row>
    <row r="897">
      <c r="A897" s="171">
        <f t="array" ref="A897">XLOOKUP(C897,ICSE!A:A,ICSE!C:C,,2,1)</f>
        <v>2015</v>
      </c>
      <c r="B897" s="171" t="s">
        <v>5675</v>
      </c>
      <c r="C897" s="160">
        <v>1752.0</v>
      </c>
      <c r="D897" s="161" t="s">
        <v>467</v>
      </c>
      <c r="E897" s="197" t="str">
        <f t="array" ref="E897">XLOOKUP(C897,ICSE!A:A,ICSE!Z:Z,,0,1)</f>
        <v>Not available (1) - Broken link.</v>
      </c>
      <c r="F897" s="198" t="s">
        <v>21</v>
      </c>
      <c r="G897" s="163" t="str">
        <f t="array" ref="G897">IF(B897="ICSE",IF(COUNTIFS(B:B,B897,C:C,C897)=XLOOKUP(C897,ICSE!A:A,ICSE!AA:AA,"ERROR",0,1),"OK","ERROR"),IF(B897="FSE",IF(COUNTIFS(B:B,B897,C:C,C897)=XLOOKUP(C897,FSE!A:A,FSE!AA:AA,"ERROR",0,1),"OK","ERROR")))</f>
        <v>OK</v>
      </c>
      <c r="H897" s="199">
        <f t="shared" ref="H897:O897" si="4544">countif($D897,"*"&amp;H$2&amp;"*")</f>
        <v>0</v>
      </c>
      <c r="I897" s="200">
        <f t="shared" si="4544"/>
        <v>0</v>
      </c>
      <c r="J897" s="200">
        <f t="shared" si="4544"/>
        <v>0</v>
      </c>
      <c r="K897" s="200">
        <f t="shared" si="4544"/>
        <v>0</v>
      </c>
      <c r="L897" s="200">
        <f t="shared" si="4544"/>
        <v>0</v>
      </c>
      <c r="M897" s="200">
        <f t="shared" si="4544"/>
        <v>0</v>
      </c>
      <c r="N897" s="200">
        <f t="shared" si="4544"/>
        <v>0</v>
      </c>
      <c r="O897" s="200">
        <f t="shared" si="4544"/>
        <v>0</v>
      </c>
      <c r="P897" s="200">
        <f t="shared" si="9"/>
        <v>0</v>
      </c>
      <c r="Q897" s="200">
        <f t="shared" ref="Q897:AC897" si="4545">countif($D897,"*"&amp;Q$2&amp;"*")</f>
        <v>0</v>
      </c>
      <c r="R897" s="200">
        <f t="shared" si="4545"/>
        <v>0</v>
      </c>
      <c r="S897" s="200">
        <f t="shared" si="4545"/>
        <v>0</v>
      </c>
      <c r="T897" s="200">
        <f t="shared" si="4545"/>
        <v>0</v>
      </c>
      <c r="U897" s="200">
        <f t="shared" si="4545"/>
        <v>0</v>
      </c>
      <c r="V897" s="200">
        <f t="shared" si="4545"/>
        <v>0</v>
      </c>
      <c r="W897" s="200">
        <f t="shared" si="4545"/>
        <v>0</v>
      </c>
      <c r="X897" s="200">
        <f t="shared" si="4545"/>
        <v>0</v>
      </c>
      <c r="Y897" s="200">
        <f t="shared" si="4545"/>
        <v>0</v>
      </c>
      <c r="Z897" s="200">
        <f t="shared" si="4545"/>
        <v>0</v>
      </c>
      <c r="AA897" s="200">
        <f t="shared" si="4545"/>
        <v>0</v>
      </c>
      <c r="AB897" s="200">
        <f t="shared" si="4545"/>
        <v>0</v>
      </c>
      <c r="AC897" s="200">
        <f t="shared" si="4545"/>
        <v>0</v>
      </c>
      <c r="AD897" s="200">
        <f t="shared" si="11"/>
        <v>1</v>
      </c>
      <c r="AE897" s="200">
        <f t="shared" ref="AE897:AG897" si="4546">countif($D897,"*"&amp;AE$2&amp;"*")</f>
        <v>0</v>
      </c>
      <c r="AF897" s="200">
        <f t="shared" si="4546"/>
        <v>0</v>
      </c>
      <c r="AG897" s="200">
        <f t="shared" si="4546"/>
        <v>0</v>
      </c>
      <c r="AH897" s="171">
        <f t="shared" si="13"/>
        <v>0</v>
      </c>
      <c r="AI897" s="200">
        <f t="shared" si="14"/>
        <v>0</v>
      </c>
      <c r="AJ897" s="200">
        <f t="shared" ref="AJ897:AJ898" si="4552">SUM(AK897:AR897)</f>
        <v>0</v>
      </c>
      <c r="AK897" s="201">
        <f t="shared" ref="AK897:AS897" si="4547">countif($D897,"*"&amp;AK$2&amp;"*")</f>
        <v>0</v>
      </c>
      <c r="AL897" s="201">
        <f t="shared" si="4547"/>
        <v>0</v>
      </c>
      <c r="AM897" s="201">
        <f t="shared" si="4547"/>
        <v>0</v>
      </c>
      <c r="AN897" s="201">
        <f t="shared" si="4547"/>
        <v>0</v>
      </c>
      <c r="AO897" s="201">
        <f t="shared" si="4547"/>
        <v>0</v>
      </c>
      <c r="AP897" s="201">
        <f t="shared" si="4547"/>
        <v>0</v>
      </c>
      <c r="AQ897" s="201">
        <f t="shared" si="4547"/>
        <v>0</v>
      </c>
      <c r="AR897" s="200">
        <f t="shared" si="4547"/>
        <v>0</v>
      </c>
      <c r="AS897" s="200">
        <f t="shared" si="4547"/>
        <v>0</v>
      </c>
      <c r="AT897" s="173">
        <v>1.0</v>
      </c>
      <c r="AU897" s="200">
        <f t="shared" ref="AU897:AX897" si="4548">countif($D897,"*"&amp;AU$2&amp;"*")</f>
        <v>0</v>
      </c>
      <c r="AV897" s="200">
        <f t="shared" si="4548"/>
        <v>0</v>
      </c>
      <c r="AW897" s="200">
        <f t="shared" si="4548"/>
        <v>0</v>
      </c>
      <c r="AX897" s="200">
        <f t="shared" si="4548"/>
        <v>0</v>
      </c>
      <c r="AY897" s="202">
        <v>0.0</v>
      </c>
      <c r="AZ897" s="200"/>
      <c r="BA897" s="171" t="str">
        <f t="shared" si="18"/>
        <v/>
      </c>
      <c r="BB897" s="171" t="str">
        <f t="shared" si="19"/>
        <v/>
      </c>
      <c r="BC897" s="171" t="str">
        <f t="shared" si="20"/>
        <v/>
      </c>
      <c r="BD897" s="171" t="str">
        <f t="shared" si="21"/>
        <v>Institutional</v>
      </c>
      <c r="BE897" s="171" t="str">
        <f t="shared" si="22"/>
        <v/>
      </c>
      <c r="BF897" s="171" t="str">
        <f t="shared" si="23"/>
        <v>Institutional</v>
      </c>
    </row>
    <row r="898">
      <c r="A898" s="171">
        <f t="array" ref="A898">XLOOKUP(C898,ICSE!A:A,ICSE!C:C,,2,1)</f>
        <v>2014</v>
      </c>
      <c r="B898" s="171" t="s">
        <v>5675</v>
      </c>
      <c r="C898" s="160">
        <v>1844.0</v>
      </c>
      <c r="D898" s="161" t="s">
        <v>6044</v>
      </c>
      <c r="E898" s="197" t="str">
        <f t="array" ref="E898">XLOOKUP(C898,ICSE!A:A,ICSE!Z:Z,,0,1)</f>
        <v>Not available (1) - Broken link.
Publicly available (1)</v>
      </c>
      <c r="F898" s="198" t="s">
        <v>20</v>
      </c>
      <c r="G898" s="163" t="str">
        <f t="array" ref="G898">IF(B898="ICSE",IF(COUNTIFS(B:B,B898,C:C,C898)=XLOOKUP(C898,ICSE!A:A,ICSE!AA:AA,"ERROR",0,1),"OK","ERROR"),IF(B898="FSE",IF(COUNTIFS(B:B,B898,C:C,C898)=XLOOKUP(C898,FSE!A:A,FSE!AA:AA,"ERROR",0,1),"OK","ERROR")))</f>
        <v>OK</v>
      </c>
      <c r="H898" s="199">
        <f t="shared" ref="H898:O898" si="4549">countif($D898,"*"&amp;H$2&amp;"*")</f>
        <v>0</v>
      </c>
      <c r="I898" s="200">
        <f t="shared" si="4549"/>
        <v>0</v>
      </c>
      <c r="J898" s="200">
        <f t="shared" si="4549"/>
        <v>0</v>
      </c>
      <c r="K898" s="200">
        <f t="shared" si="4549"/>
        <v>0</v>
      </c>
      <c r="L898" s="200">
        <f t="shared" si="4549"/>
        <v>0</v>
      </c>
      <c r="M898" s="200">
        <f t="shared" si="4549"/>
        <v>0</v>
      </c>
      <c r="N898" s="200">
        <f t="shared" si="4549"/>
        <v>0</v>
      </c>
      <c r="O898" s="200">
        <f t="shared" si="4549"/>
        <v>0</v>
      </c>
      <c r="P898" s="200">
        <f t="shared" si="9"/>
        <v>0</v>
      </c>
      <c r="Q898" s="200">
        <f t="shared" ref="Q898:AC898" si="4550">countif($D898,"*"&amp;Q$2&amp;"*")</f>
        <v>0</v>
      </c>
      <c r="R898" s="200">
        <f t="shared" si="4550"/>
        <v>0</v>
      </c>
      <c r="S898" s="200">
        <f t="shared" si="4550"/>
        <v>0</v>
      </c>
      <c r="T898" s="200">
        <f t="shared" si="4550"/>
        <v>0</v>
      </c>
      <c r="U898" s="200">
        <f t="shared" si="4550"/>
        <v>0</v>
      </c>
      <c r="V898" s="200">
        <f t="shared" si="4550"/>
        <v>0</v>
      </c>
      <c r="W898" s="200">
        <f t="shared" si="4550"/>
        <v>0</v>
      </c>
      <c r="X898" s="200">
        <f t="shared" si="4550"/>
        <v>0</v>
      </c>
      <c r="Y898" s="200">
        <f t="shared" si="4550"/>
        <v>0</v>
      </c>
      <c r="Z898" s="200">
        <f t="shared" si="4550"/>
        <v>0</v>
      </c>
      <c r="AA898" s="200">
        <f t="shared" si="4550"/>
        <v>0</v>
      </c>
      <c r="AB898" s="200">
        <f t="shared" si="4550"/>
        <v>0</v>
      </c>
      <c r="AC898" s="200">
        <f t="shared" si="4550"/>
        <v>0</v>
      </c>
      <c r="AD898" s="200">
        <f t="shared" si="11"/>
        <v>0</v>
      </c>
      <c r="AE898" s="200">
        <f t="shared" ref="AE898:AG898" si="4551">countif($D898,"*"&amp;AE$2&amp;"*")</f>
        <v>1</v>
      </c>
      <c r="AF898" s="200">
        <f t="shared" si="4551"/>
        <v>0</v>
      </c>
      <c r="AG898" s="200">
        <f t="shared" si="4551"/>
        <v>0</v>
      </c>
      <c r="AH898" s="171">
        <f t="shared" si="13"/>
        <v>0</v>
      </c>
      <c r="AI898" s="200">
        <f t="shared" si="14"/>
        <v>0</v>
      </c>
      <c r="AJ898" s="200">
        <f t="shared" si="4552"/>
        <v>0</v>
      </c>
      <c r="AK898" s="201">
        <f t="shared" ref="AK898:AS898" si="4553">countif($D898,"*"&amp;AK$2&amp;"*")</f>
        <v>0</v>
      </c>
      <c r="AL898" s="201">
        <f t="shared" si="4553"/>
        <v>0</v>
      </c>
      <c r="AM898" s="201">
        <f t="shared" si="4553"/>
        <v>0</v>
      </c>
      <c r="AN898" s="201">
        <f t="shared" si="4553"/>
        <v>0</v>
      </c>
      <c r="AO898" s="201">
        <f t="shared" si="4553"/>
        <v>0</v>
      </c>
      <c r="AP898" s="201">
        <f t="shared" si="4553"/>
        <v>0</v>
      </c>
      <c r="AQ898" s="201">
        <f t="shared" si="4553"/>
        <v>0</v>
      </c>
      <c r="AR898" s="200">
        <f t="shared" si="4553"/>
        <v>0</v>
      </c>
      <c r="AS898" s="200">
        <f t="shared" si="4553"/>
        <v>1</v>
      </c>
      <c r="AT898" s="173">
        <v>0.0</v>
      </c>
      <c r="AU898" s="200">
        <f t="shared" ref="AU898:AX898" si="4554">countif($D898,"*"&amp;AU$2&amp;"*")</f>
        <v>0</v>
      </c>
      <c r="AV898" s="200">
        <f t="shared" si="4554"/>
        <v>0</v>
      </c>
      <c r="AW898" s="200">
        <f t="shared" si="4554"/>
        <v>0</v>
      </c>
      <c r="AX898" s="200">
        <f t="shared" si="4554"/>
        <v>0</v>
      </c>
      <c r="AY898" s="202">
        <v>0.0</v>
      </c>
      <c r="AZ898" s="200"/>
      <c r="BA898" s="171" t="str">
        <f t="shared" si="18"/>
        <v/>
      </c>
      <c r="BB898" s="171" t="str">
        <f t="shared" si="19"/>
        <v/>
      </c>
      <c r="BC898" s="171" t="str">
        <f t="shared" si="20"/>
        <v/>
      </c>
      <c r="BD898" s="171" t="str">
        <f t="shared" si="21"/>
        <v>Institutional</v>
      </c>
      <c r="BE898" s="171" t="str">
        <f t="shared" si="22"/>
        <v/>
      </c>
      <c r="BF898" s="171" t="str">
        <f t="shared" si="23"/>
        <v>Institutional</v>
      </c>
    </row>
    <row r="899">
      <c r="A899" s="171">
        <f t="array" ref="A899">XLOOKUP(C899,ICSE!A:A,ICSE!C:C,,2,1)</f>
        <v>2014</v>
      </c>
      <c r="B899" s="171" t="s">
        <v>5675</v>
      </c>
      <c r="C899" s="160">
        <v>1844.0</v>
      </c>
      <c r="D899" s="161" t="s">
        <v>6045</v>
      </c>
      <c r="E899" s="197" t="str">
        <f t="array" ref="E899">XLOOKUP(C899,ICSE!A:A,ICSE!Z:Z,,0,1)</f>
        <v>Not available (1) - Broken link.
Publicly available (1)</v>
      </c>
      <c r="F899" s="198" t="s">
        <v>21</v>
      </c>
      <c r="G899" s="163" t="str">
        <f t="array" ref="G899">IF(B899="ICSE",IF(COUNTIFS(B:B,B899,C:C,C899)=XLOOKUP(C899,ICSE!A:A,ICSE!AA:AA,"ERROR",0,1),"OK","ERROR"),IF(B899="FSE",IF(COUNTIFS(B:B,B899,C:C,C899)=XLOOKUP(C899,FSE!A:A,FSE!AA:AA,"ERROR",0,1),"OK","ERROR")))</f>
        <v>OK</v>
      </c>
      <c r="H899" s="199">
        <f t="shared" ref="H899:O899" si="4555">countif($D899,"*"&amp;H$2&amp;"*")</f>
        <v>0</v>
      </c>
      <c r="I899" s="200">
        <f t="shared" si="4555"/>
        <v>0</v>
      </c>
      <c r="J899" s="200">
        <f t="shared" si="4555"/>
        <v>0</v>
      </c>
      <c r="K899" s="200">
        <f t="shared" si="4555"/>
        <v>0</v>
      </c>
      <c r="L899" s="200">
        <f t="shared" si="4555"/>
        <v>0</v>
      </c>
      <c r="M899" s="200">
        <f t="shared" si="4555"/>
        <v>0</v>
      </c>
      <c r="N899" s="200">
        <f t="shared" si="4555"/>
        <v>0</v>
      </c>
      <c r="O899" s="200">
        <f t="shared" si="4555"/>
        <v>0</v>
      </c>
      <c r="P899" s="200">
        <f t="shared" si="9"/>
        <v>0</v>
      </c>
      <c r="Q899" s="200">
        <f t="shared" ref="Q899:AC899" si="4556">countif($D899,"*"&amp;Q$2&amp;"*")</f>
        <v>0</v>
      </c>
      <c r="R899" s="200">
        <f t="shared" si="4556"/>
        <v>0</v>
      </c>
      <c r="S899" s="200">
        <f t="shared" si="4556"/>
        <v>0</v>
      </c>
      <c r="T899" s="200">
        <f t="shared" si="4556"/>
        <v>0</v>
      </c>
      <c r="U899" s="200">
        <f t="shared" si="4556"/>
        <v>0</v>
      </c>
      <c r="V899" s="200">
        <f t="shared" si="4556"/>
        <v>0</v>
      </c>
      <c r="W899" s="200">
        <f t="shared" si="4556"/>
        <v>0</v>
      </c>
      <c r="X899" s="200">
        <f t="shared" si="4556"/>
        <v>0</v>
      </c>
      <c r="Y899" s="200">
        <f t="shared" si="4556"/>
        <v>0</v>
      </c>
      <c r="Z899" s="200">
        <f t="shared" si="4556"/>
        <v>0</v>
      </c>
      <c r="AA899" s="200">
        <f t="shared" si="4556"/>
        <v>0</v>
      </c>
      <c r="AB899" s="200">
        <f t="shared" si="4556"/>
        <v>0</v>
      </c>
      <c r="AC899" s="200">
        <f t="shared" si="4556"/>
        <v>0</v>
      </c>
      <c r="AD899" s="200">
        <f t="shared" si="11"/>
        <v>1</v>
      </c>
      <c r="AE899" s="200">
        <f t="shared" ref="AE899:AG899" si="4557">countif($D899,"*"&amp;AE$2&amp;"*")</f>
        <v>0</v>
      </c>
      <c r="AF899" s="200">
        <f t="shared" si="4557"/>
        <v>0</v>
      </c>
      <c r="AG899" s="200">
        <f t="shared" si="4557"/>
        <v>0</v>
      </c>
      <c r="AH899" s="171">
        <f t="shared" si="13"/>
        <v>0</v>
      </c>
      <c r="AI899" s="200">
        <f t="shared" si="14"/>
        <v>0</v>
      </c>
      <c r="AJ899" s="200">
        <f>SUM(AK899:AQ899)</f>
        <v>0</v>
      </c>
      <c r="AK899" s="201">
        <f t="shared" ref="AK899:AS899" si="4558">countif($D899,"*"&amp;AK$2&amp;"*")</f>
        <v>0</v>
      </c>
      <c r="AL899" s="201">
        <f t="shared" si="4558"/>
        <v>0</v>
      </c>
      <c r="AM899" s="201">
        <f t="shared" si="4558"/>
        <v>0</v>
      </c>
      <c r="AN899" s="201">
        <f t="shared" si="4558"/>
        <v>0</v>
      </c>
      <c r="AO899" s="201">
        <f t="shared" si="4558"/>
        <v>0</v>
      </c>
      <c r="AP899" s="201">
        <f t="shared" si="4558"/>
        <v>0</v>
      </c>
      <c r="AQ899" s="201">
        <f t="shared" si="4558"/>
        <v>0</v>
      </c>
      <c r="AR899" s="201">
        <f t="shared" si="4558"/>
        <v>0</v>
      </c>
      <c r="AS899" s="200">
        <f t="shared" si="4558"/>
        <v>0</v>
      </c>
      <c r="AT899" s="205">
        <v>0.0</v>
      </c>
      <c r="AU899" s="200">
        <f t="shared" ref="AU899:AX899" si="4559">countif($D899,"*"&amp;AU$2&amp;"*")</f>
        <v>1</v>
      </c>
      <c r="AV899" s="200">
        <f t="shared" si="4559"/>
        <v>0</v>
      </c>
      <c r="AW899" s="200">
        <f t="shared" si="4559"/>
        <v>0</v>
      </c>
      <c r="AX899" s="200">
        <f t="shared" si="4559"/>
        <v>0</v>
      </c>
      <c r="AY899" s="202">
        <v>0.0</v>
      </c>
      <c r="AZ899" s="200"/>
      <c r="BA899" s="171" t="str">
        <f t="shared" si="18"/>
        <v/>
      </c>
      <c r="BB899" s="171" t="str">
        <f t="shared" si="19"/>
        <v/>
      </c>
      <c r="BC899" s="171" t="str">
        <f t="shared" si="20"/>
        <v/>
      </c>
      <c r="BD899" s="171" t="str">
        <f t="shared" si="21"/>
        <v>Institutional</v>
      </c>
      <c r="BE899" s="171" t="str">
        <f t="shared" si="22"/>
        <v/>
      </c>
      <c r="BF899" s="171" t="str">
        <f t="shared" si="23"/>
        <v>Institutional</v>
      </c>
    </row>
    <row r="900">
      <c r="A900" s="171">
        <f t="array" ref="A900">XLOOKUP(C900,ICSE!A:A,ICSE!C:C,,2,1)</f>
        <v>2014</v>
      </c>
      <c r="B900" s="171" t="s">
        <v>5675</v>
      </c>
      <c r="C900" s="160">
        <v>1845.0</v>
      </c>
      <c r="D900" s="161" t="s">
        <v>46</v>
      </c>
      <c r="E900" s="197" t="str">
        <f t="array" ref="E900">XLOOKUP(C900,ICSE!A:A,ICSE!Z:Z,,0,1)</f>
        <v>Not available (1) - Broken link.</v>
      </c>
      <c r="F900" s="198" t="s">
        <v>21</v>
      </c>
      <c r="G900" s="163" t="str">
        <f t="array" ref="G900">IF(B900="ICSE",IF(COUNTIFS(B:B,B900,C:C,C900)=XLOOKUP(C900,ICSE!A:A,ICSE!AA:AA,"ERROR",0,1),"OK","ERROR"),IF(B900="FSE",IF(COUNTIFS(B:B,B900,C:C,C900)=XLOOKUP(C900,FSE!A:A,FSE!AA:AA,"ERROR",0,1),"OK","ERROR")))</f>
        <v>OK</v>
      </c>
      <c r="H900" s="199">
        <f t="shared" ref="H900:O900" si="4560">countif($D900,"*"&amp;H$2&amp;"*")</f>
        <v>0</v>
      </c>
      <c r="I900" s="200">
        <f t="shared" si="4560"/>
        <v>0</v>
      </c>
      <c r="J900" s="200">
        <f t="shared" si="4560"/>
        <v>0</v>
      </c>
      <c r="K900" s="200">
        <f t="shared" si="4560"/>
        <v>0</v>
      </c>
      <c r="L900" s="200">
        <f t="shared" si="4560"/>
        <v>0</v>
      </c>
      <c r="M900" s="200">
        <f t="shared" si="4560"/>
        <v>0</v>
      </c>
      <c r="N900" s="200">
        <f t="shared" si="4560"/>
        <v>0</v>
      </c>
      <c r="O900" s="200">
        <f t="shared" si="4560"/>
        <v>0</v>
      </c>
      <c r="P900" s="200">
        <f t="shared" si="9"/>
        <v>0</v>
      </c>
      <c r="Q900" s="200">
        <f t="shared" ref="Q900:AC900" si="4561">countif($D900,"*"&amp;Q$2&amp;"*")</f>
        <v>0</v>
      </c>
      <c r="R900" s="200">
        <f t="shared" si="4561"/>
        <v>0</v>
      </c>
      <c r="S900" s="200">
        <f t="shared" si="4561"/>
        <v>0</v>
      </c>
      <c r="T900" s="200">
        <f t="shared" si="4561"/>
        <v>0</v>
      </c>
      <c r="U900" s="200">
        <f t="shared" si="4561"/>
        <v>0</v>
      </c>
      <c r="V900" s="200">
        <f t="shared" si="4561"/>
        <v>0</v>
      </c>
      <c r="W900" s="200">
        <f t="shared" si="4561"/>
        <v>0</v>
      </c>
      <c r="X900" s="200">
        <f t="shared" si="4561"/>
        <v>0</v>
      </c>
      <c r="Y900" s="200">
        <f t="shared" si="4561"/>
        <v>0</v>
      </c>
      <c r="Z900" s="200">
        <f t="shared" si="4561"/>
        <v>0</v>
      </c>
      <c r="AA900" s="200">
        <f t="shared" si="4561"/>
        <v>0</v>
      </c>
      <c r="AB900" s="200">
        <f t="shared" si="4561"/>
        <v>0</v>
      </c>
      <c r="AC900" s="200">
        <f t="shared" si="4561"/>
        <v>0</v>
      </c>
      <c r="AD900" s="200">
        <f t="shared" si="11"/>
        <v>0</v>
      </c>
      <c r="AE900" s="200">
        <f t="shared" ref="AE900:AG900" si="4562">countif($D900,"*"&amp;AE$2&amp;"*")</f>
        <v>0</v>
      </c>
      <c r="AF900" s="200">
        <f t="shared" si="4562"/>
        <v>0</v>
      </c>
      <c r="AG900" s="200">
        <f t="shared" si="4562"/>
        <v>0</v>
      </c>
      <c r="AH900" s="171">
        <f t="shared" si="13"/>
        <v>1</v>
      </c>
      <c r="AI900" s="200">
        <f t="shared" si="14"/>
        <v>0</v>
      </c>
      <c r="AJ900" s="200">
        <f t="shared" ref="AJ900:AJ902" si="4568">SUM(AK900:AR900)</f>
        <v>0</v>
      </c>
      <c r="AK900" s="201">
        <f t="shared" ref="AK900:AS900" si="4563">countif($D900,"*"&amp;AK$2&amp;"*")</f>
        <v>0</v>
      </c>
      <c r="AL900" s="201">
        <f t="shared" si="4563"/>
        <v>0</v>
      </c>
      <c r="AM900" s="201">
        <f t="shared" si="4563"/>
        <v>0</v>
      </c>
      <c r="AN900" s="201">
        <f t="shared" si="4563"/>
        <v>0</v>
      </c>
      <c r="AO900" s="201">
        <f t="shared" si="4563"/>
        <v>0</v>
      </c>
      <c r="AP900" s="201">
        <f t="shared" si="4563"/>
        <v>0</v>
      </c>
      <c r="AQ900" s="201">
        <f t="shared" si="4563"/>
        <v>0</v>
      </c>
      <c r="AR900" s="200">
        <f t="shared" si="4563"/>
        <v>0</v>
      </c>
      <c r="AS900" s="200">
        <f t="shared" si="4563"/>
        <v>0</v>
      </c>
      <c r="AT900" s="173">
        <v>0.0</v>
      </c>
      <c r="AU900" s="200">
        <f t="shared" ref="AU900:AX900" si="4564">countif($D900,"*"&amp;AU$2&amp;"*")</f>
        <v>0</v>
      </c>
      <c r="AV900" s="200">
        <f t="shared" si="4564"/>
        <v>0</v>
      </c>
      <c r="AW900" s="200">
        <f t="shared" si="4564"/>
        <v>0</v>
      </c>
      <c r="AX900" s="200">
        <f t="shared" si="4564"/>
        <v>0</v>
      </c>
      <c r="AY900" s="202">
        <v>0.0</v>
      </c>
      <c r="AZ900" s="200"/>
      <c r="BA900" s="171" t="str">
        <f t="shared" si="18"/>
        <v/>
      </c>
      <c r="BB900" s="171" t="str">
        <f t="shared" si="19"/>
        <v/>
      </c>
      <c r="BC900" s="171" t="str">
        <f t="shared" si="20"/>
        <v/>
      </c>
      <c r="BD900" s="171" t="str">
        <f t="shared" si="21"/>
        <v/>
      </c>
      <c r="BE900" s="171" t="str">
        <f t="shared" si="22"/>
        <v>Others</v>
      </c>
      <c r="BF900" s="171" t="str">
        <f t="shared" si="23"/>
        <v>Others</v>
      </c>
    </row>
    <row r="901">
      <c r="A901" s="171">
        <f t="array" ref="A901">XLOOKUP(C901,ICSE!A:A,ICSE!C:C,,2,1)</f>
        <v>2014</v>
      </c>
      <c r="B901" s="171" t="s">
        <v>5675</v>
      </c>
      <c r="C901" s="160">
        <v>1847.0</v>
      </c>
      <c r="D901" s="211" t="s">
        <v>6046</v>
      </c>
      <c r="E901" s="197" t="str">
        <f t="array" ref="E901">XLOOKUP(C901,ICSE!A:A,ICSE!Z:Z,,0,1)</f>
        <v>Not available (1) - Broken link.
Publicly available (1)</v>
      </c>
      <c r="F901" s="198" t="s">
        <v>20</v>
      </c>
      <c r="G901" s="163" t="str">
        <f t="array" ref="G901">IF(B901="ICSE",IF(COUNTIFS(B:B,B901,C:C,C901)=XLOOKUP(C901,ICSE!A:A,ICSE!AA:AA,"ERROR",0,1),"OK","ERROR"),IF(B901="FSE",IF(COUNTIFS(B:B,B901,C:C,C901)=XLOOKUP(C901,FSE!A:A,FSE!AA:AA,"ERROR",0,1),"OK","ERROR")))</f>
        <v>OK</v>
      </c>
      <c r="H901" s="199">
        <f t="shared" ref="H901:O901" si="4565">countif($D901,"*"&amp;H$2&amp;"*")</f>
        <v>0</v>
      </c>
      <c r="I901" s="200">
        <f t="shared" si="4565"/>
        <v>0</v>
      </c>
      <c r="J901" s="200">
        <f t="shared" si="4565"/>
        <v>0</v>
      </c>
      <c r="K901" s="200">
        <f t="shared" si="4565"/>
        <v>0</v>
      </c>
      <c r="L901" s="200">
        <f t="shared" si="4565"/>
        <v>0</v>
      </c>
      <c r="M901" s="200">
        <f t="shared" si="4565"/>
        <v>0</v>
      </c>
      <c r="N901" s="200">
        <f t="shared" si="4565"/>
        <v>0</v>
      </c>
      <c r="O901" s="200">
        <f t="shared" si="4565"/>
        <v>0</v>
      </c>
      <c r="P901" s="200">
        <f t="shared" si="9"/>
        <v>0</v>
      </c>
      <c r="Q901" s="200">
        <f t="shared" ref="Q901:AC901" si="4566">countif($D901,"*"&amp;Q$2&amp;"*")</f>
        <v>0</v>
      </c>
      <c r="R901" s="200">
        <f t="shared" si="4566"/>
        <v>0</v>
      </c>
      <c r="S901" s="200">
        <f t="shared" si="4566"/>
        <v>0</v>
      </c>
      <c r="T901" s="200">
        <f t="shared" si="4566"/>
        <v>0</v>
      </c>
      <c r="U901" s="200">
        <f t="shared" si="4566"/>
        <v>0</v>
      </c>
      <c r="V901" s="200">
        <f t="shared" si="4566"/>
        <v>0</v>
      </c>
      <c r="W901" s="200">
        <f t="shared" si="4566"/>
        <v>0</v>
      </c>
      <c r="X901" s="200">
        <f t="shared" si="4566"/>
        <v>0</v>
      </c>
      <c r="Y901" s="200">
        <f t="shared" si="4566"/>
        <v>0</v>
      </c>
      <c r="Z901" s="200">
        <f t="shared" si="4566"/>
        <v>0</v>
      </c>
      <c r="AA901" s="200">
        <f t="shared" si="4566"/>
        <v>0</v>
      </c>
      <c r="AB901" s="200">
        <f t="shared" si="4566"/>
        <v>0</v>
      </c>
      <c r="AC901" s="200">
        <f t="shared" si="4566"/>
        <v>0</v>
      </c>
      <c r="AD901" s="200">
        <f t="shared" si="11"/>
        <v>1</v>
      </c>
      <c r="AE901" s="200">
        <f t="shared" ref="AE901:AG901" si="4567">countif($D901,"*"&amp;AE$2&amp;"*")</f>
        <v>0</v>
      </c>
      <c r="AF901" s="200">
        <f t="shared" si="4567"/>
        <v>0</v>
      </c>
      <c r="AG901" s="200">
        <f t="shared" si="4567"/>
        <v>0</v>
      </c>
      <c r="AH901" s="171">
        <f t="shared" si="13"/>
        <v>0</v>
      </c>
      <c r="AI901" s="200">
        <f t="shared" si="14"/>
        <v>0</v>
      </c>
      <c r="AJ901" s="200">
        <f t="shared" si="4568"/>
        <v>0</v>
      </c>
      <c r="AK901" s="201">
        <f t="shared" ref="AK901:AS901" si="4569">countif($D901,"*"&amp;AK$2&amp;"*")</f>
        <v>0</v>
      </c>
      <c r="AL901" s="201">
        <f t="shared" si="4569"/>
        <v>0</v>
      </c>
      <c r="AM901" s="201">
        <f t="shared" si="4569"/>
        <v>0</v>
      </c>
      <c r="AN901" s="201">
        <f t="shared" si="4569"/>
        <v>0</v>
      </c>
      <c r="AO901" s="201">
        <f t="shared" si="4569"/>
        <v>0</v>
      </c>
      <c r="AP901" s="201">
        <f t="shared" si="4569"/>
        <v>0</v>
      </c>
      <c r="AQ901" s="201">
        <f t="shared" si="4569"/>
        <v>0</v>
      </c>
      <c r="AR901" s="200">
        <f t="shared" si="4569"/>
        <v>0</v>
      </c>
      <c r="AS901" s="200">
        <f t="shared" si="4569"/>
        <v>1</v>
      </c>
      <c r="AT901" s="173">
        <v>1.0</v>
      </c>
      <c r="AU901" s="200">
        <f t="shared" ref="AU901:AX901" si="4570">countif($D901,"*"&amp;AU$2&amp;"*")</f>
        <v>0</v>
      </c>
      <c r="AV901" s="200">
        <f t="shared" si="4570"/>
        <v>0</v>
      </c>
      <c r="AW901" s="200">
        <f t="shared" si="4570"/>
        <v>0</v>
      </c>
      <c r="AX901" s="200">
        <f t="shared" si="4570"/>
        <v>0</v>
      </c>
      <c r="AY901" s="202">
        <v>0.0</v>
      </c>
      <c r="AZ901" s="200"/>
      <c r="BA901" s="171" t="str">
        <f t="shared" si="18"/>
        <v/>
      </c>
      <c r="BB901" s="171" t="str">
        <f t="shared" si="19"/>
        <v/>
      </c>
      <c r="BC901" s="171" t="str">
        <f t="shared" si="20"/>
        <v/>
      </c>
      <c r="BD901" s="171" t="str">
        <f t="shared" si="21"/>
        <v>Institutional</v>
      </c>
      <c r="BE901" s="171" t="str">
        <f t="shared" si="22"/>
        <v/>
      </c>
      <c r="BF901" s="171" t="str">
        <f t="shared" si="23"/>
        <v>Institutional</v>
      </c>
    </row>
    <row r="902">
      <c r="A902" s="171">
        <f t="array" ref="A902">XLOOKUP(C902,ICSE!A:A,ICSE!C:C,,2,1)</f>
        <v>2014</v>
      </c>
      <c r="B902" s="171" t="s">
        <v>5675</v>
      </c>
      <c r="C902" s="160">
        <v>1847.0</v>
      </c>
      <c r="D902" s="161" t="s">
        <v>6047</v>
      </c>
      <c r="E902" s="197" t="str">
        <f t="array" ref="E902">XLOOKUP(C902,ICSE!A:A,ICSE!Z:Z,,0,1)</f>
        <v>Not available (1) - Broken link.
Publicly available (1)</v>
      </c>
      <c r="F902" s="198" t="s">
        <v>21</v>
      </c>
      <c r="G902" s="163" t="str">
        <f t="array" ref="G902">IF(B902="ICSE",IF(COUNTIFS(B:B,B902,C:C,C902)=XLOOKUP(C902,ICSE!A:A,ICSE!AA:AA,"ERROR",0,1),"OK","ERROR"),IF(B902="FSE",IF(COUNTIFS(B:B,B902,C:C,C902)=XLOOKUP(C902,FSE!A:A,FSE!AA:AA,"ERROR",0,1),"OK","ERROR")))</f>
        <v>OK</v>
      </c>
      <c r="H902" s="199">
        <f t="shared" ref="H902:O902" si="4571">countif($D902,"*"&amp;H$2&amp;"*")</f>
        <v>0</v>
      </c>
      <c r="I902" s="200">
        <f t="shared" si="4571"/>
        <v>0</v>
      </c>
      <c r="J902" s="200">
        <f t="shared" si="4571"/>
        <v>0</v>
      </c>
      <c r="K902" s="200">
        <f t="shared" si="4571"/>
        <v>0</v>
      </c>
      <c r="L902" s="200">
        <f t="shared" si="4571"/>
        <v>0</v>
      </c>
      <c r="M902" s="200">
        <f t="shared" si="4571"/>
        <v>0</v>
      </c>
      <c r="N902" s="200">
        <f t="shared" si="4571"/>
        <v>0</v>
      </c>
      <c r="O902" s="200">
        <f t="shared" si="4571"/>
        <v>0</v>
      </c>
      <c r="P902" s="200">
        <f t="shared" si="9"/>
        <v>0</v>
      </c>
      <c r="Q902" s="200">
        <f t="shared" ref="Q902:AC902" si="4572">countif($D902,"*"&amp;Q$2&amp;"*")</f>
        <v>0</v>
      </c>
      <c r="R902" s="200">
        <f t="shared" si="4572"/>
        <v>0</v>
      </c>
      <c r="S902" s="200">
        <f t="shared" si="4572"/>
        <v>0</v>
      </c>
      <c r="T902" s="200">
        <f t="shared" si="4572"/>
        <v>0</v>
      </c>
      <c r="U902" s="200">
        <f t="shared" si="4572"/>
        <v>0</v>
      </c>
      <c r="V902" s="200">
        <f t="shared" si="4572"/>
        <v>0</v>
      </c>
      <c r="W902" s="200">
        <f t="shared" si="4572"/>
        <v>0</v>
      </c>
      <c r="X902" s="200">
        <f t="shared" si="4572"/>
        <v>0</v>
      </c>
      <c r="Y902" s="200">
        <f t="shared" si="4572"/>
        <v>0</v>
      </c>
      <c r="Z902" s="200">
        <f t="shared" si="4572"/>
        <v>0</v>
      </c>
      <c r="AA902" s="200">
        <f t="shared" si="4572"/>
        <v>0</v>
      </c>
      <c r="AB902" s="200">
        <f t="shared" si="4572"/>
        <v>0</v>
      </c>
      <c r="AC902" s="200">
        <f t="shared" si="4572"/>
        <v>0</v>
      </c>
      <c r="AD902" s="200">
        <f t="shared" si="11"/>
        <v>0</v>
      </c>
      <c r="AE902" s="200">
        <f t="shared" ref="AE902:AG902" si="4573">countif($D902,"*"&amp;AE$2&amp;"*")</f>
        <v>0</v>
      </c>
      <c r="AF902" s="200">
        <f t="shared" si="4573"/>
        <v>0</v>
      </c>
      <c r="AG902" s="200">
        <f t="shared" si="4573"/>
        <v>0</v>
      </c>
      <c r="AH902" s="171">
        <f t="shared" si="13"/>
        <v>1</v>
      </c>
      <c r="AI902" s="200">
        <f t="shared" si="14"/>
        <v>0</v>
      </c>
      <c r="AJ902" s="200">
        <f t="shared" si="4568"/>
        <v>0</v>
      </c>
      <c r="AK902" s="201">
        <f t="shared" ref="AK902:AS902" si="4574">countif($D902,"*"&amp;AK$2&amp;"*")</f>
        <v>0</v>
      </c>
      <c r="AL902" s="201">
        <f t="shared" si="4574"/>
        <v>0</v>
      </c>
      <c r="AM902" s="201">
        <f t="shared" si="4574"/>
        <v>0</v>
      </c>
      <c r="AN902" s="201">
        <f t="shared" si="4574"/>
        <v>0</v>
      </c>
      <c r="AO902" s="201">
        <f t="shared" si="4574"/>
        <v>0</v>
      </c>
      <c r="AP902" s="201">
        <f t="shared" si="4574"/>
        <v>0</v>
      </c>
      <c r="AQ902" s="201">
        <f t="shared" si="4574"/>
        <v>0</v>
      </c>
      <c r="AR902" s="200">
        <f t="shared" si="4574"/>
        <v>0</v>
      </c>
      <c r="AS902" s="200">
        <f t="shared" si="4574"/>
        <v>0</v>
      </c>
      <c r="AT902" s="173">
        <v>0.0</v>
      </c>
      <c r="AU902" s="200">
        <f t="shared" ref="AU902:AX902" si="4575">countif($D902,"*"&amp;AU$2&amp;"*")</f>
        <v>0</v>
      </c>
      <c r="AV902" s="200">
        <f t="shared" si="4575"/>
        <v>0</v>
      </c>
      <c r="AW902" s="200">
        <f t="shared" si="4575"/>
        <v>0</v>
      </c>
      <c r="AX902" s="200">
        <f t="shared" si="4575"/>
        <v>0</v>
      </c>
      <c r="AY902" s="202">
        <v>0.0</v>
      </c>
      <c r="AZ902" s="200"/>
      <c r="BA902" s="171" t="str">
        <f t="shared" si="18"/>
        <v/>
      </c>
      <c r="BB902" s="171" t="str">
        <f t="shared" si="19"/>
        <v/>
      </c>
      <c r="BC902" s="171" t="str">
        <f t="shared" si="20"/>
        <v/>
      </c>
      <c r="BD902" s="171" t="str">
        <f t="shared" si="21"/>
        <v/>
      </c>
      <c r="BE902" s="171" t="str">
        <f t="shared" si="22"/>
        <v>Others</v>
      </c>
      <c r="BF902" s="171" t="str">
        <f t="shared" si="23"/>
        <v>Others</v>
      </c>
    </row>
    <row r="903">
      <c r="A903" s="171">
        <f t="array" ref="A903">XLOOKUP(C903,ICSE!A:A,ICSE!C:C,,2,1)</f>
        <v>2014</v>
      </c>
      <c r="B903" s="171" t="s">
        <v>5675</v>
      </c>
      <c r="C903" s="160">
        <v>1849.0</v>
      </c>
      <c r="D903" s="161" t="s">
        <v>6048</v>
      </c>
      <c r="E903" s="197" t="str">
        <f t="array" ref="E903">XLOOKUP(C903,ICSE!A:A,ICSE!Z:Z,,0,1)</f>
        <v>Publicly available (2)</v>
      </c>
      <c r="F903" s="198" t="s">
        <v>20</v>
      </c>
      <c r="G903" s="163" t="str">
        <f t="array" ref="G903">IF(B903="ICSE",IF(COUNTIFS(B:B,B903,C:C,C903)=XLOOKUP(C903,ICSE!A:A,ICSE!AA:AA,"ERROR",0,1),"OK","ERROR"),IF(B903="FSE",IF(COUNTIFS(B:B,B903,C:C,C903)=XLOOKUP(C903,FSE!A:A,FSE!AA:AA,"ERROR",0,1),"OK","ERROR")))</f>
        <v>OK</v>
      </c>
      <c r="H903" s="199">
        <f t="shared" ref="H903:O903" si="4576">countif($D903,"*"&amp;H$2&amp;"*")</f>
        <v>0</v>
      </c>
      <c r="I903" s="200">
        <f t="shared" si="4576"/>
        <v>0</v>
      </c>
      <c r="J903" s="200">
        <f t="shared" si="4576"/>
        <v>0</v>
      </c>
      <c r="K903" s="200">
        <f t="shared" si="4576"/>
        <v>0</v>
      </c>
      <c r="L903" s="200">
        <f t="shared" si="4576"/>
        <v>0</v>
      </c>
      <c r="M903" s="200">
        <f t="shared" si="4576"/>
        <v>0</v>
      </c>
      <c r="N903" s="200">
        <f t="shared" si="4576"/>
        <v>0</v>
      </c>
      <c r="O903" s="200">
        <f t="shared" si="4576"/>
        <v>0</v>
      </c>
      <c r="P903" s="200">
        <f t="shared" si="9"/>
        <v>0</v>
      </c>
      <c r="Q903" s="200">
        <f t="shared" ref="Q903:AC903" si="4577">countif($D903,"*"&amp;Q$2&amp;"*")</f>
        <v>0</v>
      </c>
      <c r="R903" s="200">
        <f t="shared" si="4577"/>
        <v>0</v>
      </c>
      <c r="S903" s="200">
        <f t="shared" si="4577"/>
        <v>0</v>
      </c>
      <c r="T903" s="200">
        <f t="shared" si="4577"/>
        <v>0</v>
      </c>
      <c r="U903" s="200">
        <f t="shared" si="4577"/>
        <v>0</v>
      </c>
      <c r="V903" s="200">
        <f t="shared" si="4577"/>
        <v>0</v>
      </c>
      <c r="W903" s="200">
        <f t="shared" si="4577"/>
        <v>0</v>
      </c>
      <c r="X903" s="200">
        <f t="shared" si="4577"/>
        <v>0</v>
      </c>
      <c r="Y903" s="200">
        <f t="shared" si="4577"/>
        <v>0</v>
      </c>
      <c r="Z903" s="200">
        <f t="shared" si="4577"/>
        <v>0</v>
      </c>
      <c r="AA903" s="200">
        <f t="shared" si="4577"/>
        <v>0</v>
      </c>
      <c r="AB903" s="200">
        <f t="shared" si="4577"/>
        <v>0</v>
      </c>
      <c r="AC903" s="200">
        <f t="shared" si="4577"/>
        <v>0</v>
      </c>
      <c r="AD903" s="200">
        <f t="shared" si="11"/>
        <v>1</v>
      </c>
      <c r="AE903" s="200">
        <f t="shared" ref="AE903:AG903" si="4578">countif($D903,"*"&amp;AE$2&amp;"*")</f>
        <v>0</v>
      </c>
      <c r="AF903" s="200">
        <f t="shared" si="4578"/>
        <v>0</v>
      </c>
      <c r="AG903" s="200">
        <f t="shared" si="4578"/>
        <v>0</v>
      </c>
      <c r="AH903" s="171">
        <f t="shared" si="13"/>
        <v>0</v>
      </c>
      <c r="AI903" s="200">
        <f t="shared" si="14"/>
        <v>0</v>
      </c>
      <c r="AJ903" s="200">
        <f>SUM(AK903:AQ903)</f>
        <v>0</v>
      </c>
      <c r="AK903" s="201">
        <f t="shared" ref="AK903:AS903" si="4579">countif($D903,"*"&amp;AK$2&amp;"*")</f>
        <v>0</v>
      </c>
      <c r="AL903" s="201">
        <f t="shared" si="4579"/>
        <v>0</v>
      </c>
      <c r="AM903" s="201">
        <f t="shared" si="4579"/>
        <v>0</v>
      </c>
      <c r="AN903" s="201">
        <f t="shared" si="4579"/>
        <v>0</v>
      </c>
      <c r="AO903" s="201">
        <f t="shared" si="4579"/>
        <v>0</v>
      </c>
      <c r="AP903" s="201">
        <f t="shared" si="4579"/>
        <v>0</v>
      </c>
      <c r="AQ903" s="201">
        <f t="shared" si="4579"/>
        <v>0</v>
      </c>
      <c r="AR903" s="201">
        <f t="shared" si="4579"/>
        <v>0</v>
      </c>
      <c r="AS903" s="200">
        <f t="shared" si="4579"/>
        <v>0</v>
      </c>
      <c r="AT903" s="205">
        <v>0.0</v>
      </c>
      <c r="AU903" s="200">
        <f t="shared" ref="AU903:AX903" si="4580">countif($D903,"*"&amp;AU$2&amp;"*")</f>
        <v>1</v>
      </c>
      <c r="AV903" s="200">
        <f t="shared" si="4580"/>
        <v>0</v>
      </c>
      <c r="AW903" s="200">
        <f t="shared" si="4580"/>
        <v>0</v>
      </c>
      <c r="AX903" s="200">
        <f t="shared" si="4580"/>
        <v>0</v>
      </c>
      <c r="AY903" s="202">
        <v>0.0</v>
      </c>
      <c r="AZ903" s="200"/>
      <c r="BA903" s="171" t="str">
        <f t="shared" si="18"/>
        <v/>
      </c>
      <c r="BB903" s="171" t="str">
        <f t="shared" si="19"/>
        <v/>
      </c>
      <c r="BC903" s="171" t="str">
        <f t="shared" si="20"/>
        <v/>
      </c>
      <c r="BD903" s="171" t="str">
        <f t="shared" si="21"/>
        <v>Institutional</v>
      </c>
      <c r="BE903" s="171" t="str">
        <f t="shared" si="22"/>
        <v/>
      </c>
      <c r="BF903" s="171" t="str">
        <f t="shared" si="23"/>
        <v>Institutional</v>
      </c>
    </row>
    <row r="904">
      <c r="A904" s="171">
        <f t="array" ref="A904">XLOOKUP(C904,ICSE!A:A,ICSE!C:C,,2,1)</f>
        <v>2014</v>
      </c>
      <c r="B904" s="171" t="s">
        <v>5675</v>
      </c>
      <c r="C904" s="160">
        <v>1849.0</v>
      </c>
      <c r="D904" s="161" t="s">
        <v>6049</v>
      </c>
      <c r="E904" s="197" t="str">
        <f t="array" ref="E904">XLOOKUP(C904,ICSE!A:A,ICSE!Z:Z,,0,1)</f>
        <v>Publicly available (2)</v>
      </c>
      <c r="F904" s="198" t="s">
        <v>20</v>
      </c>
      <c r="G904" s="163" t="str">
        <f t="array" ref="G904">IF(B904="ICSE",IF(COUNTIFS(B:B,B904,C:C,C904)=XLOOKUP(C904,ICSE!A:A,ICSE!AA:AA,"ERROR",0,1),"OK","ERROR"),IF(B904="FSE",IF(COUNTIFS(B:B,B904,C:C,C904)=XLOOKUP(C904,FSE!A:A,FSE!AA:AA,"ERROR",0,1),"OK","ERROR")))</f>
        <v>OK</v>
      </c>
      <c r="H904" s="199">
        <f t="shared" ref="H904:O904" si="4581">countif($D904,"*"&amp;H$2&amp;"*")</f>
        <v>0</v>
      </c>
      <c r="I904" s="200">
        <f t="shared" si="4581"/>
        <v>0</v>
      </c>
      <c r="J904" s="200">
        <f t="shared" si="4581"/>
        <v>0</v>
      </c>
      <c r="K904" s="200">
        <f t="shared" si="4581"/>
        <v>0</v>
      </c>
      <c r="L904" s="200">
        <f t="shared" si="4581"/>
        <v>0</v>
      </c>
      <c r="M904" s="200">
        <f t="shared" si="4581"/>
        <v>0</v>
      </c>
      <c r="N904" s="200">
        <f t="shared" si="4581"/>
        <v>0</v>
      </c>
      <c r="O904" s="200">
        <f t="shared" si="4581"/>
        <v>0</v>
      </c>
      <c r="P904" s="200">
        <f t="shared" si="9"/>
        <v>0</v>
      </c>
      <c r="Q904" s="200">
        <f t="shared" ref="Q904:AC904" si="4582">countif($D904,"*"&amp;Q$2&amp;"*")</f>
        <v>0</v>
      </c>
      <c r="R904" s="200">
        <f t="shared" si="4582"/>
        <v>0</v>
      </c>
      <c r="S904" s="200">
        <f t="shared" si="4582"/>
        <v>0</v>
      </c>
      <c r="T904" s="200">
        <f t="shared" si="4582"/>
        <v>0</v>
      </c>
      <c r="U904" s="200">
        <f t="shared" si="4582"/>
        <v>0</v>
      </c>
      <c r="V904" s="200">
        <f t="shared" si="4582"/>
        <v>0</v>
      </c>
      <c r="W904" s="200">
        <f t="shared" si="4582"/>
        <v>0</v>
      </c>
      <c r="X904" s="200">
        <f t="shared" si="4582"/>
        <v>0</v>
      </c>
      <c r="Y904" s="200">
        <f t="shared" si="4582"/>
        <v>0</v>
      </c>
      <c r="Z904" s="200">
        <f t="shared" si="4582"/>
        <v>0</v>
      </c>
      <c r="AA904" s="200">
        <f t="shared" si="4582"/>
        <v>0</v>
      </c>
      <c r="AB904" s="200">
        <f t="shared" si="4582"/>
        <v>0</v>
      </c>
      <c r="AC904" s="200">
        <f t="shared" si="4582"/>
        <v>0</v>
      </c>
      <c r="AD904" s="200">
        <f t="shared" si="11"/>
        <v>0</v>
      </c>
      <c r="AE904" s="200">
        <f t="shared" ref="AE904:AG904" si="4583">countif($D904,"*"&amp;AE$2&amp;"*")</f>
        <v>0</v>
      </c>
      <c r="AF904" s="200">
        <f t="shared" si="4583"/>
        <v>0</v>
      </c>
      <c r="AG904" s="200">
        <f t="shared" si="4583"/>
        <v>0</v>
      </c>
      <c r="AH904" s="171">
        <f t="shared" si="13"/>
        <v>1</v>
      </c>
      <c r="AI904" s="200">
        <f t="shared" si="14"/>
        <v>0</v>
      </c>
      <c r="AJ904" s="200">
        <f>SUM(AK904:AR904)</f>
        <v>0</v>
      </c>
      <c r="AK904" s="201">
        <f t="shared" ref="AK904:AS904" si="4584">countif($D904,"*"&amp;AK$2&amp;"*")</f>
        <v>0</v>
      </c>
      <c r="AL904" s="201">
        <f t="shared" si="4584"/>
        <v>0</v>
      </c>
      <c r="AM904" s="201">
        <f t="shared" si="4584"/>
        <v>0</v>
      </c>
      <c r="AN904" s="201">
        <f t="shared" si="4584"/>
        <v>0</v>
      </c>
      <c r="AO904" s="201">
        <f t="shared" si="4584"/>
        <v>0</v>
      </c>
      <c r="AP904" s="201">
        <f t="shared" si="4584"/>
        <v>0</v>
      </c>
      <c r="AQ904" s="201">
        <f t="shared" si="4584"/>
        <v>0</v>
      </c>
      <c r="AR904" s="200">
        <f t="shared" si="4584"/>
        <v>0</v>
      </c>
      <c r="AS904" s="200">
        <f t="shared" si="4584"/>
        <v>0</v>
      </c>
      <c r="AT904" s="173">
        <v>0.0</v>
      </c>
      <c r="AU904" s="200">
        <f t="shared" ref="AU904:AX904" si="4585">countif($D904,"*"&amp;AU$2&amp;"*")</f>
        <v>0</v>
      </c>
      <c r="AV904" s="200">
        <f t="shared" si="4585"/>
        <v>0</v>
      </c>
      <c r="AW904" s="200">
        <f t="shared" si="4585"/>
        <v>0</v>
      </c>
      <c r="AX904" s="200">
        <f t="shared" si="4585"/>
        <v>0</v>
      </c>
      <c r="AY904" s="202">
        <v>0.0</v>
      </c>
      <c r="AZ904" s="200"/>
      <c r="BA904" s="171" t="str">
        <f t="shared" si="18"/>
        <v/>
      </c>
      <c r="BB904" s="171" t="str">
        <f t="shared" si="19"/>
        <v/>
      </c>
      <c r="BC904" s="171" t="str">
        <f t="shared" si="20"/>
        <v/>
      </c>
      <c r="BD904" s="171" t="str">
        <f t="shared" si="21"/>
        <v/>
      </c>
      <c r="BE904" s="171" t="str">
        <f t="shared" si="22"/>
        <v>Others</v>
      </c>
      <c r="BF904" s="171" t="str">
        <f t="shared" si="23"/>
        <v>Others</v>
      </c>
    </row>
    <row r="905">
      <c r="A905" s="171">
        <f t="array" ref="A905">XLOOKUP(C905,ICSE!A:A,ICSE!C:C,,2,1)</f>
        <v>2014</v>
      </c>
      <c r="B905" s="171" t="s">
        <v>5675</v>
      </c>
      <c r="C905" s="160">
        <v>1850.0</v>
      </c>
      <c r="D905" s="161" t="s">
        <v>6050</v>
      </c>
      <c r="E905" s="197" t="str">
        <f t="array" ref="E905">XLOOKUP(C905,ICSE!A:A,ICSE!Z:Z,,0,1)</f>
        <v>Publicly available (1)</v>
      </c>
      <c r="F905" s="198" t="s">
        <v>20</v>
      </c>
      <c r="G905" s="163" t="str">
        <f t="array" ref="G905">IF(B905="ICSE",IF(COUNTIFS(B:B,B905,C:C,C905)=XLOOKUP(C905,ICSE!A:A,ICSE!AA:AA,"ERROR",0,1),"OK","ERROR"),IF(B905="FSE",IF(COUNTIFS(B:B,B905,C:C,C905)=XLOOKUP(C905,FSE!A:A,FSE!AA:AA,"ERROR",0,1),"OK","ERROR")))</f>
        <v>OK</v>
      </c>
      <c r="H905" s="199">
        <f t="shared" ref="H905:O905" si="4586">countif($D905,"*"&amp;H$2&amp;"*")</f>
        <v>0</v>
      </c>
      <c r="I905" s="200">
        <f t="shared" si="4586"/>
        <v>0</v>
      </c>
      <c r="J905" s="200">
        <f t="shared" si="4586"/>
        <v>0</v>
      </c>
      <c r="K905" s="200">
        <f t="shared" si="4586"/>
        <v>0</v>
      </c>
      <c r="L905" s="200">
        <f t="shared" si="4586"/>
        <v>0</v>
      </c>
      <c r="M905" s="200">
        <f t="shared" si="4586"/>
        <v>0</v>
      </c>
      <c r="N905" s="200">
        <f t="shared" si="4586"/>
        <v>0</v>
      </c>
      <c r="O905" s="200">
        <f t="shared" si="4586"/>
        <v>0</v>
      </c>
      <c r="P905" s="200">
        <f t="shared" si="9"/>
        <v>0</v>
      </c>
      <c r="Q905" s="200">
        <f t="shared" ref="Q905:AC905" si="4587">countif($D905,"*"&amp;Q$2&amp;"*")</f>
        <v>0</v>
      </c>
      <c r="R905" s="200">
        <f t="shared" si="4587"/>
        <v>0</v>
      </c>
      <c r="S905" s="200">
        <f t="shared" si="4587"/>
        <v>0</v>
      </c>
      <c r="T905" s="200">
        <f t="shared" si="4587"/>
        <v>0</v>
      </c>
      <c r="U905" s="200">
        <f t="shared" si="4587"/>
        <v>0</v>
      </c>
      <c r="V905" s="200">
        <f t="shared" si="4587"/>
        <v>0</v>
      </c>
      <c r="W905" s="200">
        <f t="shared" si="4587"/>
        <v>0</v>
      </c>
      <c r="X905" s="200">
        <f t="shared" si="4587"/>
        <v>0</v>
      </c>
      <c r="Y905" s="200">
        <f t="shared" si="4587"/>
        <v>0</v>
      </c>
      <c r="Z905" s="200">
        <f t="shared" si="4587"/>
        <v>0</v>
      </c>
      <c r="AA905" s="200">
        <f t="shared" si="4587"/>
        <v>0</v>
      </c>
      <c r="AB905" s="200">
        <f t="shared" si="4587"/>
        <v>0</v>
      </c>
      <c r="AC905" s="200">
        <f t="shared" si="4587"/>
        <v>0</v>
      </c>
      <c r="AD905" s="200">
        <f t="shared" si="11"/>
        <v>1</v>
      </c>
      <c r="AE905" s="200">
        <f t="shared" ref="AE905:AG905" si="4588">countif($D905,"*"&amp;AE$2&amp;"*")</f>
        <v>0</v>
      </c>
      <c r="AF905" s="200">
        <f t="shared" si="4588"/>
        <v>0</v>
      </c>
      <c r="AG905" s="200">
        <f t="shared" si="4588"/>
        <v>0</v>
      </c>
      <c r="AH905" s="171">
        <f t="shared" si="13"/>
        <v>0</v>
      </c>
      <c r="AI905" s="200">
        <f t="shared" si="14"/>
        <v>1</v>
      </c>
      <c r="AJ905" s="200">
        <f>SUM(AK905:AQ905)</f>
        <v>0</v>
      </c>
      <c r="AK905" s="201">
        <f t="shared" ref="AK905:AS905" si="4589">countif($D905,"*"&amp;AK$2&amp;"*")</f>
        <v>0</v>
      </c>
      <c r="AL905" s="201">
        <f t="shared" si="4589"/>
        <v>0</v>
      </c>
      <c r="AM905" s="201">
        <f t="shared" si="4589"/>
        <v>0</v>
      </c>
      <c r="AN905" s="201">
        <f t="shared" si="4589"/>
        <v>0</v>
      </c>
      <c r="AO905" s="201">
        <f t="shared" si="4589"/>
        <v>0</v>
      </c>
      <c r="AP905" s="201">
        <f t="shared" si="4589"/>
        <v>0</v>
      </c>
      <c r="AQ905" s="201">
        <f t="shared" si="4589"/>
        <v>0</v>
      </c>
      <c r="AR905" s="201">
        <f t="shared" si="4589"/>
        <v>0</v>
      </c>
      <c r="AS905" s="200">
        <f t="shared" si="4589"/>
        <v>1</v>
      </c>
      <c r="AT905" s="205">
        <v>0.0</v>
      </c>
      <c r="AU905" s="200">
        <f t="shared" ref="AU905:AX905" si="4590">countif($D905,"*"&amp;AU$2&amp;"*")</f>
        <v>1</v>
      </c>
      <c r="AV905" s="200">
        <f t="shared" si="4590"/>
        <v>0</v>
      </c>
      <c r="AW905" s="200">
        <f t="shared" si="4590"/>
        <v>0</v>
      </c>
      <c r="AX905" s="200">
        <f t="shared" si="4590"/>
        <v>1</v>
      </c>
      <c r="AY905" s="202">
        <v>0.0</v>
      </c>
      <c r="AZ905" s="200"/>
      <c r="BA905" s="171" t="str">
        <f t="shared" si="18"/>
        <v/>
      </c>
      <c r="BB905" s="171" t="str">
        <f t="shared" si="19"/>
        <v/>
      </c>
      <c r="BC905" s="171" t="str">
        <f t="shared" si="20"/>
        <v/>
      </c>
      <c r="BD905" s="171" t="str">
        <f t="shared" si="21"/>
        <v>Institutional</v>
      </c>
      <c r="BE905" s="171" t="str">
        <f t="shared" si="22"/>
        <v/>
      </c>
      <c r="BF905" s="171" t="str">
        <f t="shared" si="23"/>
        <v>Institutional</v>
      </c>
    </row>
    <row r="906">
      <c r="A906" s="171">
        <f t="array" ref="A906">XLOOKUP(C906,ICSE!A:A,ICSE!C:C,,2,1)</f>
        <v>2014</v>
      </c>
      <c r="B906" s="171" t="s">
        <v>5675</v>
      </c>
      <c r="C906" s="160">
        <v>1851.0</v>
      </c>
      <c r="D906" s="161" t="s">
        <v>65</v>
      </c>
      <c r="E906" s="197" t="str">
        <f t="array" ref="E906">XLOOKUP(C906,ICSE!A:A,ICSE!Z:Z,,0,1)</f>
        <v>Not available (1) - Broken link.</v>
      </c>
      <c r="F906" s="198" t="s">
        <v>21</v>
      </c>
      <c r="G906" s="163" t="str">
        <f t="array" ref="G906">IF(B906="ICSE",IF(COUNTIFS(B:B,B906,C:C,C906)=XLOOKUP(C906,ICSE!A:A,ICSE!AA:AA,"ERROR",0,1),"OK","ERROR"),IF(B906="FSE",IF(COUNTIFS(B:B,B906,C:C,C906)=XLOOKUP(C906,FSE!A:A,FSE!AA:AA,"ERROR",0,1),"OK","ERROR")))</f>
        <v>OK</v>
      </c>
      <c r="H906" s="199">
        <f t="shared" ref="H906:O906" si="4591">countif($D906,"*"&amp;H$2&amp;"*")</f>
        <v>0</v>
      </c>
      <c r="I906" s="200">
        <f t="shared" si="4591"/>
        <v>0</v>
      </c>
      <c r="J906" s="200">
        <f t="shared" si="4591"/>
        <v>0</v>
      </c>
      <c r="K906" s="200">
        <f t="shared" si="4591"/>
        <v>0</v>
      </c>
      <c r="L906" s="200">
        <f t="shared" si="4591"/>
        <v>0</v>
      </c>
      <c r="M906" s="200">
        <f t="shared" si="4591"/>
        <v>0</v>
      </c>
      <c r="N906" s="200">
        <f t="shared" si="4591"/>
        <v>0</v>
      </c>
      <c r="O906" s="200">
        <f t="shared" si="4591"/>
        <v>0</v>
      </c>
      <c r="P906" s="200">
        <f t="shared" si="9"/>
        <v>0</v>
      </c>
      <c r="Q906" s="200">
        <f t="shared" ref="Q906:AC906" si="4592">countif($D906,"*"&amp;Q$2&amp;"*")</f>
        <v>0</v>
      </c>
      <c r="R906" s="200">
        <f t="shared" si="4592"/>
        <v>0</v>
      </c>
      <c r="S906" s="200">
        <f t="shared" si="4592"/>
        <v>0</v>
      </c>
      <c r="T906" s="200">
        <f t="shared" si="4592"/>
        <v>0</v>
      </c>
      <c r="U906" s="200">
        <f t="shared" si="4592"/>
        <v>0</v>
      </c>
      <c r="V906" s="200">
        <f t="shared" si="4592"/>
        <v>0</v>
      </c>
      <c r="W906" s="200">
        <f t="shared" si="4592"/>
        <v>0</v>
      </c>
      <c r="X906" s="200">
        <f t="shared" si="4592"/>
        <v>0</v>
      </c>
      <c r="Y906" s="200">
        <f t="shared" si="4592"/>
        <v>0</v>
      </c>
      <c r="Z906" s="200">
        <f t="shared" si="4592"/>
        <v>0</v>
      </c>
      <c r="AA906" s="200">
        <f t="shared" si="4592"/>
        <v>0</v>
      </c>
      <c r="AB906" s="200">
        <f t="shared" si="4592"/>
        <v>0</v>
      </c>
      <c r="AC906" s="200">
        <f t="shared" si="4592"/>
        <v>0</v>
      </c>
      <c r="AD906" s="200">
        <f t="shared" si="11"/>
        <v>0</v>
      </c>
      <c r="AE906" s="200">
        <f t="shared" ref="AE906:AG906" si="4593">countif($D906,"*"&amp;AE$2&amp;"*")</f>
        <v>0</v>
      </c>
      <c r="AF906" s="200">
        <f t="shared" si="4593"/>
        <v>0</v>
      </c>
      <c r="AG906" s="200">
        <f t="shared" si="4593"/>
        <v>0</v>
      </c>
      <c r="AH906" s="171">
        <f t="shared" si="13"/>
        <v>1</v>
      </c>
      <c r="AI906" s="200">
        <f t="shared" si="14"/>
        <v>0</v>
      </c>
      <c r="AJ906" s="200">
        <f t="shared" ref="AJ906:AJ907" si="4599">SUM(AK906:AR906)</f>
        <v>0</v>
      </c>
      <c r="AK906" s="201">
        <f t="shared" ref="AK906:AS906" si="4594">countif($D906,"*"&amp;AK$2&amp;"*")</f>
        <v>0</v>
      </c>
      <c r="AL906" s="201">
        <f t="shared" si="4594"/>
        <v>0</v>
      </c>
      <c r="AM906" s="201">
        <f t="shared" si="4594"/>
        <v>0</v>
      </c>
      <c r="AN906" s="201">
        <f t="shared" si="4594"/>
        <v>0</v>
      </c>
      <c r="AO906" s="201">
        <f t="shared" si="4594"/>
        <v>0</v>
      </c>
      <c r="AP906" s="201">
        <f t="shared" si="4594"/>
        <v>0</v>
      </c>
      <c r="AQ906" s="201">
        <f t="shared" si="4594"/>
        <v>0</v>
      </c>
      <c r="AR906" s="200">
        <f t="shared" si="4594"/>
        <v>0</v>
      </c>
      <c r="AS906" s="200">
        <f t="shared" si="4594"/>
        <v>0</v>
      </c>
      <c r="AT906" s="173">
        <v>0.0</v>
      </c>
      <c r="AU906" s="200">
        <f t="shared" ref="AU906:AX906" si="4595">countif($D906,"*"&amp;AU$2&amp;"*")</f>
        <v>0</v>
      </c>
      <c r="AV906" s="200">
        <f t="shared" si="4595"/>
        <v>0</v>
      </c>
      <c r="AW906" s="200">
        <f t="shared" si="4595"/>
        <v>0</v>
      </c>
      <c r="AX906" s="200">
        <f t="shared" si="4595"/>
        <v>0</v>
      </c>
      <c r="AY906" s="202">
        <v>0.0</v>
      </c>
      <c r="AZ906" s="200"/>
      <c r="BA906" s="171" t="str">
        <f t="shared" si="18"/>
        <v/>
      </c>
      <c r="BB906" s="171" t="str">
        <f t="shared" si="19"/>
        <v/>
      </c>
      <c r="BC906" s="171" t="str">
        <f t="shared" si="20"/>
        <v/>
      </c>
      <c r="BD906" s="171" t="str">
        <f t="shared" si="21"/>
        <v/>
      </c>
      <c r="BE906" s="171" t="str">
        <f t="shared" si="22"/>
        <v>Others</v>
      </c>
      <c r="BF906" s="171" t="str">
        <f t="shared" si="23"/>
        <v>Others</v>
      </c>
    </row>
    <row r="907">
      <c r="A907" s="171">
        <f t="array" ref="A907">XLOOKUP(C907,ICSE!A:A,ICSE!C:C,,2,1)</f>
        <v>2014</v>
      </c>
      <c r="B907" s="171" t="s">
        <v>5675</v>
      </c>
      <c r="C907" s="160">
        <v>1852.0</v>
      </c>
      <c r="D907" s="161" t="s">
        <v>68</v>
      </c>
      <c r="E907" s="197" t="str">
        <f t="array" ref="E907">XLOOKUP(C907,ICSE!A:A,ICSE!Z:Z,,0,1)</f>
        <v>Publicly available (1)</v>
      </c>
      <c r="F907" s="198" t="s">
        <v>20</v>
      </c>
      <c r="G907" s="163" t="str">
        <f t="array" ref="G907">IF(B907="ICSE",IF(COUNTIFS(B:B,B907,C:C,C907)=XLOOKUP(C907,ICSE!A:A,ICSE!AA:AA,"ERROR",0,1),"OK","ERROR"),IF(B907="FSE",IF(COUNTIFS(B:B,B907,C:C,C907)=XLOOKUP(C907,FSE!A:A,FSE!AA:AA,"ERROR",0,1),"OK","ERROR")))</f>
        <v>OK</v>
      </c>
      <c r="H907" s="199">
        <f t="shared" ref="H907:O907" si="4596">countif($D907,"*"&amp;H$2&amp;"*")</f>
        <v>0</v>
      </c>
      <c r="I907" s="200">
        <f t="shared" si="4596"/>
        <v>0</v>
      </c>
      <c r="J907" s="200">
        <f t="shared" si="4596"/>
        <v>0</v>
      </c>
      <c r="K907" s="200">
        <f t="shared" si="4596"/>
        <v>0</v>
      </c>
      <c r="L907" s="200">
        <f t="shared" si="4596"/>
        <v>0</v>
      </c>
      <c r="M907" s="200">
        <f t="shared" si="4596"/>
        <v>0</v>
      </c>
      <c r="N907" s="200">
        <f t="shared" si="4596"/>
        <v>0</v>
      </c>
      <c r="O907" s="200">
        <f t="shared" si="4596"/>
        <v>0</v>
      </c>
      <c r="P907" s="200">
        <f t="shared" si="9"/>
        <v>0</v>
      </c>
      <c r="Q907" s="200">
        <f t="shared" ref="Q907:AC907" si="4597">countif($D907,"*"&amp;Q$2&amp;"*")</f>
        <v>0</v>
      </c>
      <c r="R907" s="200">
        <f t="shared" si="4597"/>
        <v>0</v>
      </c>
      <c r="S907" s="200">
        <f t="shared" si="4597"/>
        <v>0</v>
      </c>
      <c r="T907" s="200">
        <f t="shared" si="4597"/>
        <v>0</v>
      </c>
      <c r="U907" s="200">
        <f t="shared" si="4597"/>
        <v>0</v>
      </c>
      <c r="V907" s="200">
        <f t="shared" si="4597"/>
        <v>0</v>
      </c>
      <c r="W907" s="200">
        <f t="shared" si="4597"/>
        <v>0</v>
      </c>
      <c r="X907" s="200">
        <f t="shared" si="4597"/>
        <v>0</v>
      </c>
      <c r="Y907" s="200">
        <f t="shared" si="4597"/>
        <v>0</v>
      </c>
      <c r="Z907" s="200">
        <f t="shared" si="4597"/>
        <v>0</v>
      </c>
      <c r="AA907" s="200">
        <f t="shared" si="4597"/>
        <v>0</v>
      </c>
      <c r="AB907" s="200">
        <f t="shared" si="4597"/>
        <v>0</v>
      </c>
      <c r="AC907" s="200">
        <f t="shared" si="4597"/>
        <v>0</v>
      </c>
      <c r="AD907" s="200">
        <f t="shared" si="11"/>
        <v>1</v>
      </c>
      <c r="AE907" s="200">
        <f t="shared" ref="AE907:AG907" si="4598">countif($D907,"*"&amp;AE$2&amp;"*")</f>
        <v>0</v>
      </c>
      <c r="AF907" s="200">
        <f t="shared" si="4598"/>
        <v>0</v>
      </c>
      <c r="AG907" s="200">
        <f t="shared" si="4598"/>
        <v>0</v>
      </c>
      <c r="AH907" s="171">
        <f t="shared" si="13"/>
        <v>0</v>
      </c>
      <c r="AI907" s="200">
        <f t="shared" si="14"/>
        <v>0</v>
      </c>
      <c r="AJ907" s="200">
        <f t="shared" si="4599"/>
        <v>0</v>
      </c>
      <c r="AK907" s="201">
        <f t="shared" ref="AK907:AS907" si="4600">countif($D907,"*"&amp;AK$2&amp;"*")</f>
        <v>0</v>
      </c>
      <c r="AL907" s="201">
        <f t="shared" si="4600"/>
        <v>0</v>
      </c>
      <c r="AM907" s="201">
        <f t="shared" si="4600"/>
        <v>0</v>
      </c>
      <c r="AN907" s="201">
        <f t="shared" si="4600"/>
        <v>0</v>
      </c>
      <c r="AO907" s="201">
        <f t="shared" si="4600"/>
        <v>0</v>
      </c>
      <c r="AP907" s="201">
        <f t="shared" si="4600"/>
        <v>0</v>
      </c>
      <c r="AQ907" s="201">
        <f t="shared" si="4600"/>
        <v>0</v>
      </c>
      <c r="AR907" s="200">
        <f t="shared" si="4600"/>
        <v>0</v>
      </c>
      <c r="AS907" s="200">
        <f t="shared" si="4600"/>
        <v>0</v>
      </c>
      <c r="AT907" s="173">
        <v>1.0</v>
      </c>
      <c r="AU907" s="200">
        <f t="shared" ref="AU907:AX907" si="4601">countif($D907,"*"&amp;AU$2&amp;"*")</f>
        <v>0</v>
      </c>
      <c r="AV907" s="200">
        <f t="shared" si="4601"/>
        <v>0</v>
      </c>
      <c r="AW907" s="200">
        <f t="shared" si="4601"/>
        <v>0</v>
      </c>
      <c r="AX907" s="200">
        <f t="shared" si="4601"/>
        <v>0</v>
      </c>
      <c r="AY907" s="202">
        <v>0.0</v>
      </c>
      <c r="AZ907" s="200"/>
      <c r="BA907" s="171" t="str">
        <f t="shared" si="18"/>
        <v/>
      </c>
      <c r="BB907" s="171" t="str">
        <f t="shared" si="19"/>
        <v/>
      </c>
      <c r="BC907" s="171" t="str">
        <f t="shared" si="20"/>
        <v/>
      </c>
      <c r="BD907" s="171" t="str">
        <f t="shared" si="21"/>
        <v>Institutional</v>
      </c>
      <c r="BE907" s="171" t="str">
        <f t="shared" si="22"/>
        <v/>
      </c>
      <c r="BF907" s="171" t="str">
        <f t="shared" si="23"/>
        <v>Institutional</v>
      </c>
    </row>
    <row r="908">
      <c r="A908" s="171">
        <f t="array" ref="A908">XLOOKUP(C908,ICSE!A:A,ICSE!C:C,,2,1)</f>
        <v>2014</v>
      </c>
      <c r="B908" s="171" t="s">
        <v>5675</v>
      </c>
      <c r="C908" s="160">
        <v>1853.0</v>
      </c>
      <c r="D908" s="161" t="s">
        <v>71</v>
      </c>
      <c r="E908" s="197" t="str">
        <f t="array" ref="E908">XLOOKUP(C908,ICSE!A:A,ICSE!Z:Z,,0,1)</f>
        <v>Not available (1) - Broken link.</v>
      </c>
      <c r="F908" s="198" t="s">
        <v>21</v>
      </c>
      <c r="G908" s="163" t="str">
        <f t="array" ref="G908">IF(B908="ICSE",IF(COUNTIFS(B:B,B908,C:C,C908)=XLOOKUP(C908,ICSE!A:A,ICSE!AA:AA,"ERROR",0,1),"OK","ERROR"),IF(B908="FSE",IF(COUNTIFS(B:B,B908,C:C,C908)=XLOOKUP(C908,FSE!A:A,FSE!AA:AA,"ERROR",0,1),"OK","ERROR")))</f>
        <v>OK</v>
      </c>
      <c r="H908" s="199">
        <f t="shared" ref="H908:O908" si="4602">countif($D908,"*"&amp;H$2&amp;"*")</f>
        <v>0</v>
      </c>
      <c r="I908" s="200">
        <f t="shared" si="4602"/>
        <v>0</v>
      </c>
      <c r="J908" s="200">
        <f t="shared" si="4602"/>
        <v>0</v>
      </c>
      <c r="K908" s="200">
        <f t="shared" si="4602"/>
        <v>0</v>
      </c>
      <c r="L908" s="200">
        <f t="shared" si="4602"/>
        <v>0</v>
      </c>
      <c r="M908" s="200">
        <f t="shared" si="4602"/>
        <v>0</v>
      </c>
      <c r="N908" s="200">
        <f t="shared" si="4602"/>
        <v>0</v>
      </c>
      <c r="O908" s="200">
        <f t="shared" si="4602"/>
        <v>0</v>
      </c>
      <c r="P908" s="200">
        <f t="shared" si="9"/>
        <v>0</v>
      </c>
      <c r="Q908" s="200">
        <f t="shared" ref="Q908:AC908" si="4603">countif($D908,"*"&amp;Q$2&amp;"*")</f>
        <v>0</v>
      </c>
      <c r="R908" s="200">
        <f t="shared" si="4603"/>
        <v>0</v>
      </c>
      <c r="S908" s="200">
        <f t="shared" si="4603"/>
        <v>0</v>
      </c>
      <c r="T908" s="200">
        <f t="shared" si="4603"/>
        <v>0</v>
      </c>
      <c r="U908" s="200">
        <f t="shared" si="4603"/>
        <v>0</v>
      </c>
      <c r="V908" s="200">
        <f t="shared" si="4603"/>
        <v>0</v>
      </c>
      <c r="W908" s="200">
        <f t="shared" si="4603"/>
        <v>0</v>
      </c>
      <c r="X908" s="200">
        <f t="shared" si="4603"/>
        <v>0</v>
      </c>
      <c r="Y908" s="200">
        <f t="shared" si="4603"/>
        <v>0</v>
      </c>
      <c r="Z908" s="200">
        <f t="shared" si="4603"/>
        <v>0</v>
      </c>
      <c r="AA908" s="200">
        <f t="shared" si="4603"/>
        <v>0</v>
      </c>
      <c r="AB908" s="200">
        <f t="shared" si="4603"/>
        <v>0</v>
      </c>
      <c r="AC908" s="200">
        <f t="shared" si="4603"/>
        <v>0</v>
      </c>
      <c r="AD908" s="200">
        <f t="shared" si="11"/>
        <v>1</v>
      </c>
      <c r="AE908" s="200">
        <f t="shared" ref="AE908:AG908" si="4604">countif($D908,"*"&amp;AE$2&amp;"*")</f>
        <v>0</v>
      </c>
      <c r="AF908" s="200">
        <f t="shared" si="4604"/>
        <v>0</v>
      </c>
      <c r="AG908" s="200">
        <f t="shared" si="4604"/>
        <v>0</v>
      </c>
      <c r="AH908" s="171">
        <f t="shared" si="13"/>
        <v>0</v>
      </c>
      <c r="AI908" s="200">
        <f t="shared" si="14"/>
        <v>0</v>
      </c>
      <c r="AJ908" s="200">
        <f t="shared" ref="AJ908:AJ909" si="4610">SUM(AK908:AQ908)</f>
        <v>0</v>
      </c>
      <c r="AK908" s="201">
        <f t="shared" ref="AK908:AS908" si="4605">countif($D908,"*"&amp;AK$2&amp;"*")</f>
        <v>0</v>
      </c>
      <c r="AL908" s="201">
        <f t="shared" si="4605"/>
        <v>0</v>
      </c>
      <c r="AM908" s="201">
        <f t="shared" si="4605"/>
        <v>0</v>
      </c>
      <c r="AN908" s="201">
        <f t="shared" si="4605"/>
        <v>0</v>
      </c>
      <c r="AO908" s="201">
        <f t="shared" si="4605"/>
        <v>0</v>
      </c>
      <c r="AP908" s="201">
        <f t="shared" si="4605"/>
        <v>0</v>
      </c>
      <c r="AQ908" s="201">
        <f t="shared" si="4605"/>
        <v>0</v>
      </c>
      <c r="AR908" s="201">
        <f t="shared" si="4605"/>
        <v>0</v>
      </c>
      <c r="AS908" s="200">
        <f t="shared" si="4605"/>
        <v>0</v>
      </c>
      <c r="AT908" s="205">
        <v>0.0</v>
      </c>
      <c r="AU908" s="200">
        <f t="shared" ref="AU908:AX908" si="4606">countif($D908,"*"&amp;AU$2&amp;"*")</f>
        <v>1</v>
      </c>
      <c r="AV908" s="200">
        <f t="shared" si="4606"/>
        <v>0</v>
      </c>
      <c r="AW908" s="200">
        <f t="shared" si="4606"/>
        <v>0</v>
      </c>
      <c r="AX908" s="200">
        <f t="shared" si="4606"/>
        <v>0</v>
      </c>
      <c r="AY908" s="202">
        <v>0.0</v>
      </c>
      <c r="AZ908" s="200"/>
      <c r="BA908" s="171" t="str">
        <f t="shared" si="18"/>
        <v/>
      </c>
      <c r="BB908" s="171" t="str">
        <f t="shared" si="19"/>
        <v/>
      </c>
      <c r="BC908" s="171" t="str">
        <f t="shared" si="20"/>
        <v/>
      </c>
      <c r="BD908" s="171" t="str">
        <f t="shared" si="21"/>
        <v>Institutional</v>
      </c>
      <c r="BE908" s="171" t="str">
        <f t="shared" si="22"/>
        <v/>
      </c>
      <c r="BF908" s="171" t="str">
        <f t="shared" si="23"/>
        <v>Institutional</v>
      </c>
    </row>
    <row r="909">
      <c r="A909" s="171">
        <f t="array" ref="A909">XLOOKUP(C909,ICSE!A:A,ICSE!C:C,,2,1)</f>
        <v>2014</v>
      </c>
      <c r="B909" s="171" t="s">
        <v>5675</v>
      </c>
      <c r="C909" s="160">
        <v>1855.0</v>
      </c>
      <c r="D909" s="161" t="s">
        <v>75</v>
      </c>
      <c r="E909" s="197" t="str">
        <f t="array" ref="E909">XLOOKUP(C909,ICSE!A:A,ICSE!Z:Z,,0,1)</f>
        <v>Publicly available (1)</v>
      </c>
      <c r="F909" s="198" t="s">
        <v>20</v>
      </c>
      <c r="G909" s="163" t="str">
        <f t="array" ref="G909">IF(B909="ICSE",IF(COUNTIFS(B:B,B909,C:C,C909)=XLOOKUP(C909,ICSE!A:A,ICSE!AA:AA,"ERROR",0,1),"OK","ERROR"),IF(B909="FSE",IF(COUNTIFS(B:B,B909,C:C,C909)=XLOOKUP(C909,FSE!A:A,FSE!AA:AA,"ERROR",0,1),"OK","ERROR")))</f>
        <v>OK</v>
      </c>
      <c r="H909" s="199">
        <f t="shared" ref="H909:O909" si="4607">countif($D909,"*"&amp;H$2&amp;"*")</f>
        <v>0</v>
      </c>
      <c r="I909" s="200">
        <f t="shared" si="4607"/>
        <v>0</v>
      </c>
      <c r="J909" s="200">
        <f t="shared" si="4607"/>
        <v>0</v>
      </c>
      <c r="K909" s="200">
        <f t="shared" si="4607"/>
        <v>0</v>
      </c>
      <c r="L909" s="200">
        <f t="shared" si="4607"/>
        <v>0</v>
      </c>
      <c r="M909" s="200">
        <f t="shared" si="4607"/>
        <v>0</v>
      </c>
      <c r="N909" s="200">
        <f t="shared" si="4607"/>
        <v>0</v>
      </c>
      <c r="O909" s="200">
        <f t="shared" si="4607"/>
        <v>0</v>
      </c>
      <c r="P909" s="200">
        <f t="shared" si="9"/>
        <v>0</v>
      </c>
      <c r="Q909" s="200">
        <f t="shared" ref="Q909:AC909" si="4608">countif($D909,"*"&amp;Q$2&amp;"*")</f>
        <v>0</v>
      </c>
      <c r="R909" s="200">
        <f t="shared" si="4608"/>
        <v>0</v>
      </c>
      <c r="S909" s="200">
        <f t="shared" si="4608"/>
        <v>0</v>
      </c>
      <c r="T909" s="200">
        <f t="shared" si="4608"/>
        <v>0</v>
      </c>
      <c r="U909" s="200">
        <f t="shared" si="4608"/>
        <v>0</v>
      </c>
      <c r="V909" s="200">
        <f t="shared" si="4608"/>
        <v>0</v>
      </c>
      <c r="W909" s="200">
        <f t="shared" si="4608"/>
        <v>0</v>
      </c>
      <c r="X909" s="200">
        <f t="shared" si="4608"/>
        <v>0</v>
      </c>
      <c r="Y909" s="200">
        <f t="shared" si="4608"/>
        <v>0</v>
      </c>
      <c r="Z909" s="200">
        <f t="shared" si="4608"/>
        <v>0</v>
      </c>
      <c r="AA909" s="200">
        <f t="shared" si="4608"/>
        <v>0</v>
      </c>
      <c r="AB909" s="200">
        <f t="shared" si="4608"/>
        <v>0</v>
      </c>
      <c r="AC909" s="200">
        <f t="shared" si="4608"/>
        <v>0</v>
      </c>
      <c r="AD909" s="200">
        <f t="shared" si="11"/>
        <v>1</v>
      </c>
      <c r="AE909" s="200">
        <f t="shared" ref="AE909:AG909" si="4609">countif($D909,"*"&amp;AE$2&amp;"*")</f>
        <v>0</v>
      </c>
      <c r="AF909" s="200">
        <f t="shared" si="4609"/>
        <v>0</v>
      </c>
      <c r="AG909" s="200">
        <f t="shared" si="4609"/>
        <v>0</v>
      </c>
      <c r="AH909" s="171">
        <f t="shared" si="13"/>
        <v>0</v>
      </c>
      <c r="AI909" s="200">
        <f t="shared" si="14"/>
        <v>0</v>
      </c>
      <c r="AJ909" s="200">
        <f t="shared" si="4610"/>
        <v>0</v>
      </c>
      <c r="AK909" s="201">
        <f t="shared" ref="AK909:AS909" si="4611">countif($D909,"*"&amp;AK$2&amp;"*")</f>
        <v>0</v>
      </c>
      <c r="AL909" s="201">
        <f t="shared" si="4611"/>
        <v>0</v>
      </c>
      <c r="AM909" s="201">
        <f t="shared" si="4611"/>
        <v>0</v>
      </c>
      <c r="AN909" s="201">
        <f t="shared" si="4611"/>
        <v>0</v>
      </c>
      <c r="AO909" s="201">
        <f t="shared" si="4611"/>
        <v>0</v>
      </c>
      <c r="AP909" s="201">
        <f t="shared" si="4611"/>
        <v>0</v>
      </c>
      <c r="AQ909" s="201">
        <f t="shared" si="4611"/>
        <v>0</v>
      </c>
      <c r="AR909" s="201">
        <f t="shared" si="4611"/>
        <v>0</v>
      </c>
      <c r="AS909" s="200">
        <f t="shared" si="4611"/>
        <v>0</v>
      </c>
      <c r="AT909" s="205">
        <v>0.0</v>
      </c>
      <c r="AU909" s="200">
        <f t="shared" ref="AU909:AX909" si="4612">countif($D909,"*"&amp;AU$2&amp;"*")</f>
        <v>1</v>
      </c>
      <c r="AV909" s="200">
        <f t="shared" si="4612"/>
        <v>0</v>
      </c>
      <c r="AW909" s="200">
        <f t="shared" si="4612"/>
        <v>0</v>
      </c>
      <c r="AX909" s="200">
        <f t="shared" si="4612"/>
        <v>0</v>
      </c>
      <c r="AY909" s="202">
        <v>0.0</v>
      </c>
      <c r="AZ909" s="200"/>
      <c r="BA909" s="171" t="str">
        <f t="shared" si="18"/>
        <v/>
      </c>
      <c r="BB909" s="171" t="str">
        <f t="shared" si="19"/>
        <v/>
      </c>
      <c r="BC909" s="171" t="str">
        <f t="shared" si="20"/>
        <v/>
      </c>
      <c r="BD909" s="171" t="str">
        <f t="shared" si="21"/>
        <v>Institutional</v>
      </c>
      <c r="BE909" s="171" t="str">
        <f t="shared" si="22"/>
        <v/>
      </c>
      <c r="BF909" s="171" t="str">
        <f t="shared" si="23"/>
        <v>Institutional</v>
      </c>
    </row>
    <row r="910">
      <c r="A910" s="171">
        <f t="array" ref="A910">XLOOKUP(C910,ICSE!A:A,ICSE!C:C,,2,1)</f>
        <v>2014</v>
      </c>
      <c r="B910" s="171" t="s">
        <v>5675</v>
      </c>
      <c r="C910" s="160">
        <v>1856.0</v>
      </c>
      <c r="D910" s="161" t="s">
        <v>6051</v>
      </c>
      <c r="E910" s="197" t="str">
        <f t="array" ref="E910">XLOOKUP(C910,ICSE!A:A,ICSE!Z:Z,,0,1)</f>
        <v>Publicly available (1)
Not available (1) - Broken link.</v>
      </c>
      <c r="F910" s="198" t="s">
        <v>20</v>
      </c>
      <c r="G910" s="163" t="str">
        <f t="array" ref="G910">IF(B910="ICSE",IF(COUNTIFS(B:B,B910,C:C,C910)=XLOOKUP(C910,ICSE!A:A,ICSE!AA:AA,"ERROR",0,1),"OK","ERROR"),IF(B910="FSE",IF(COUNTIFS(B:B,B910,C:C,C910)=XLOOKUP(C910,FSE!A:A,FSE!AA:AA,"ERROR",0,1),"OK","ERROR")))</f>
        <v>OK</v>
      </c>
      <c r="H910" s="199">
        <f t="shared" ref="H910:O910" si="4613">countif($D910,"*"&amp;H$2&amp;"*")</f>
        <v>0</v>
      </c>
      <c r="I910" s="200">
        <f t="shared" si="4613"/>
        <v>0</v>
      </c>
      <c r="J910" s="200">
        <f t="shared" si="4613"/>
        <v>0</v>
      </c>
      <c r="K910" s="200">
        <f t="shared" si="4613"/>
        <v>0</v>
      </c>
      <c r="L910" s="200">
        <f t="shared" si="4613"/>
        <v>0</v>
      </c>
      <c r="M910" s="200">
        <f t="shared" si="4613"/>
        <v>0</v>
      </c>
      <c r="N910" s="200">
        <f t="shared" si="4613"/>
        <v>0</v>
      </c>
      <c r="O910" s="200">
        <f t="shared" si="4613"/>
        <v>0</v>
      </c>
      <c r="P910" s="200">
        <f t="shared" si="9"/>
        <v>0</v>
      </c>
      <c r="Q910" s="200">
        <f t="shared" ref="Q910:AC910" si="4614">countif($D910,"*"&amp;Q$2&amp;"*")</f>
        <v>0</v>
      </c>
      <c r="R910" s="200">
        <f t="shared" si="4614"/>
        <v>0</v>
      </c>
      <c r="S910" s="200">
        <f t="shared" si="4614"/>
        <v>0</v>
      </c>
      <c r="T910" s="200">
        <f t="shared" si="4614"/>
        <v>0</v>
      </c>
      <c r="U910" s="200">
        <f t="shared" si="4614"/>
        <v>0</v>
      </c>
      <c r="V910" s="200">
        <f t="shared" si="4614"/>
        <v>0</v>
      </c>
      <c r="W910" s="200">
        <f t="shared" si="4614"/>
        <v>0</v>
      </c>
      <c r="X910" s="200">
        <f t="shared" si="4614"/>
        <v>0</v>
      </c>
      <c r="Y910" s="200">
        <f t="shared" si="4614"/>
        <v>0</v>
      </c>
      <c r="Z910" s="200">
        <f t="shared" si="4614"/>
        <v>0</v>
      </c>
      <c r="AA910" s="200">
        <f t="shared" si="4614"/>
        <v>0</v>
      </c>
      <c r="AB910" s="200">
        <f t="shared" si="4614"/>
        <v>0</v>
      </c>
      <c r="AC910" s="200">
        <f t="shared" si="4614"/>
        <v>0</v>
      </c>
      <c r="AD910" s="200">
        <f t="shared" si="11"/>
        <v>1</v>
      </c>
      <c r="AE910" s="200">
        <f t="shared" ref="AE910:AG910" si="4615">countif($D910,"*"&amp;AE$2&amp;"*")</f>
        <v>0</v>
      </c>
      <c r="AF910" s="200">
        <f t="shared" si="4615"/>
        <v>0</v>
      </c>
      <c r="AG910" s="200">
        <f t="shared" si="4615"/>
        <v>0</v>
      </c>
      <c r="AH910" s="171">
        <f t="shared" si="13"/>
        <v>0</v>
      </c>
      <c r="AI910" s="200">
        <f t="shared" si="14"/>
        <v>0</v>
      </c>
      <c r="AJ910" s="200">
        <f t="shared" ref="AJ910:AJ912" si="4621">SUM(AK910:AR910)</f>
        <v>0</v>
      </c>
      <c r="AK910" s="201">
        <f t="shared" ref="AK910:AS910" si="4616">countif($D910,"*"&amp;AK$2&amp;"*")</f>
        <v>0</v>
      </c>
      <c r="AL910" s="201">
        <f t="shared" si="4616"/>
        <v>0</v>
      </c>
      <c r="AM910" s="201">
        <f t="shared" si="4616"/>
        <v>0</v>
      </c>
      <c r="AN910" s="201">
        <f t="shared" si="4616"/>
        <v>0</v>
      </c>
      <c r="AO910" s="201">
        <f t="shared" si="4616"/>
        <v>0</v>
      </c>
      <c r="AP910" s="201">
        <f t="shared" si="4616"/>
        <v>0</v>
      </c>
      <c r="AQ910" s="201">
        <f t="shared" si="4616"/>
        <v>0</v>
      </c>
      <c r="AR910" s="200">
        <f t="shared" si="4616"/>
        <v>0</v>
      </c>
      <c r="AS910" s="200">
        <f t="shared" si="4616"/>
        <v>0</v>
      </c>
      <c r="AT910" s="173">
        <v>1.0</v>
      </c>
      <c r="AU910" s="200">
        <f t="shared" ref="AU910:AX910" si="4617">countif($D910,"*"&amp;AU$2&amp;"*")</f>
        <v>0</v>
      </c>
      <c r="AV910" s="200">
        <f t="shared" si="4617"/>
        <v>0</v>
      </c>
      <c r="AW910" s="200">
        <f t="shared" si="4617"/>
        <v>0</v>
      </c>
      <c r="AX910" s="200">
        <f t="shared" si="4617"/>
        <v>0</v>
      </c>
      <c r="AY910" s="202">
        <v>0.0</v>
      </c>
      <c r="AZ910" s="200"/>
      <c r="BA910" s="171" t="str">
        <f t="shared" si="18"/>
        <v/>
      </c>
      <c r="BB910" s="171" t="str">
        <f t="shared" si="19"/>
        <v/>
      </c>
      <c r="BC910" s="171" t="str">
        <f t="shared" si="20"/>
        <v/>
      </c>
      <c r="BD910" s="171" t="str">
        <f t="shared" si="21"/>
        <v>Institutional</v>
      </c>
      <c r="BE910" s="171" t="str">
        <f t="shared" si="22"/>
        <v/>
      </c>
      <c r="BF910" s="171" t="str">
        <f t="shared" si="23"/>
        <v>Institutional</v>
      </c>
    </row>
    <row r="911">
      <c r="A911" s="171">
        <f t="array" ref="A911">XLOOKUP(C911,ICSE!A:A,ICSE!C:C,,2,1)</f>
        <v>2014</v>
      </c>
      <c r="B911" s="171" t="s">
        <v>5675</v>
      </c>
      <c r="C911" s="160">
        <v>1856.0</v>
      </c>
      <c r="D911" s="161" t="s">
        <v>6052</v>
      </c>
      <c r="E911" s="197" t="str">
        <f t="array" ref="E911">XLOOKUP(C911,ICSE!A:A,ICSE!Z:Z,,0,1)</f>
        <v>Publicly available (1)
Not available (1) - Broken link.</v>
      </c>
      <c r="F911" s="198" t="s">
        <v>21</v>
      </c>
      <c r="G911" s="163" t="str">
        <f t="array" ref="G911">IF(B911="ICSE",IF(COUNTIFS(B:B,B911,C:C,C911)=XLOOKUP(C911,ICSE!A:A,ICSE!AA:AA,"ERROR",0,1),"OK","ERROR"),IF(B911="FSE",IF(COUNTIFS(B:B,B911,C:C,C911)=XLOOKUP(C911,FSE!A:A,FSE!AA:AA,"ERROR",0,1),"OK","ERROR")))</f>
        <v>OK</v>
      </c>
      <c r="H911" s="199">
        <f t="shared" ref="H911:O911" si="4618">countif($D911,"*"&amp;H$2&amp;"*")</f>
        <v>0</v>
      </c>
      <c r="I911" s="200">
        <f t="shared" si="4618"/>
        <v>0</v>
      </c>
      <c r="J911" s="200">
        <f t="shared" si="4618"/>
        <v>0</v>
      </c>
      <c r="K911" s="200">
        <f t="shared" si="4618"/>
        <v>0</v>
      </c>
      <c r="L911" s="200">
        <f t="shared" si="4618"/>
        <v>0</v>
      </c>
      <c r="M911" s="200">
        <f t="shared" si="4618"/>
        <v>0</v>
      </c>
      <c r="N911" s="200">
        <f t="shared" si="4618"/>
        <v>0</v>
      </c>
      <c r="O911" s="200">
        <f t="shared" si="4618"/>
        <v>0</v>
      </c>
      <c r="P911" s="200">
        <f t="shared" si="9"/>
        <v>0</v>
      </c>
      <c r="Q911" s="200">
        <f t="shared" ref="Q911:AC911" si="4619">countif($D911,"*"&amp;Q$2&amp;"*")</f>
        <v>0</v>
      </c>
      <c r="R911" s="200">
        <f t="shared" si="4619"/>
        <v>1</v>
      </c>
      <c r="S911" s="200">
        <f t="shared" si="4619"/>
        <v>0</v>
      </c>
      <c r="T911" s="200">
        <f t="shared" si="4619"/>
        <v>0</v>
      </c>
      <c r="U911" s="200">
        <f t="shared" si="4619"/>
        <v>0</v>
      </c>
      <c r="V911" s="200">
        <f t="shared" si="4619"/>
        <v>0</v>
      </c>
      <c r="W911" s="200">
        <f t="shared" si="4619"/>
        <v>0</v>
      </c>
      <c r="X911" s="200">
        <f t="shared" si="4619"/>
        <v>0</v>
      </c>
      <c r="Y911" s="200">
        <f t="shared" si="4619"/>
        <v>0</v>
      </c>
      <c r="Z911" s="200">
        <f t="shared" si="4619"/>
        <v>0</v>
      </c>
      <c r="AA911" s="200">
        <f t="shared" si="4619"/>
        <v>0</v>
      </c>
      <c r="AB911" s="200">
        <f t="shared" si="4619"/>
        <v>0</v>
      </c>
      <c r="AC911" s="200">
        <f t="shared" si="4619"/>
        <v>0</v>
      </c>
      <c r="AD911" s="200">
        <f t="shared" si="11"/>
        <v>0</v>
      </c>
      <c r="AE911" s="200">
        <f t="shared" ref="AE911:AG911" si="4620">countif($D911,"*"&amp;AE$2&amp;"*")</f>
        <v>0</v>
      </c>
      <c r="AF911" s="200">
        <f t="shared" si="4620"/>
        <v>0</v>
      </c>
      <c r="AG911" s="200">
        <f t="shared" si="4620"/>
        <v>0</v>
      </c>
      <c r="AH911" s="171">
        <f t="shared" si="13"/>
        <v>0</v>
      </c>
      <c r="AI911" s="200">
        <f t="shared" si="14"/>
        <v>0</v>
      </c>
      <c r="AJ911" s="200">
        <f t="shared" si="4621"/>
        <v>0</v>
      </c>
      <c r="AK911" s="201">
        <f t="shared" ref="AK911:AS911" si="4622">countif($D911,"*"&amp;AK$2&amp;"*")</f>
        <v>0</v>
      </c>
      <c r="AL911" s="201">
        <f t="shared" si="4622"/>
        <v>0</v>
      </c>
      <c r="AM911" s="201">
        <f t="shared" si="4622"/>
        <v>0</v>
      </c>
      <c r="AN911" s="201">
        <f t="shared" si="4622"/>
        <v>0</v>
      </c>
      <c r="AO911" s="201">
        <f t="shared" si="4622"/>
        <v>0</v>
      </c>
      <c r="AP911" s="201">
        <f t="shared" si="4622"/>
        <v>0</v>
      </c>
      <c r="AQ911" s="201">
        <f t="shared" si="4622"/>
        <v>0</v>
      </c>
      <c r="AR911" s="200">
        <f t="shared" si="4622"/>
        <v>0</v>
      </c>
      <c r="AS911" s="200">
        <f t="shared" si="4622"/>
        <v>0</v>
      </c>
      <c r="AT911" s="173">
        <v>0.0</v>
      </c>
      <c r="AU911" s="200">
        <f t="shared" ref="AU911:AX911" si="4623">countif($D911,"*"&amp;AU$2&amp;"*")</f>
        <v>0</v>
      </c>
      <c r="AV911" s="200">
        <f t="shared" si="4623"/>
        <v>0</v>
      </c>
      <c r="AW911" s="200">
        <f t="shared" si="4623"/>
        <v>0</v>
      </c>
      <c r="AX911" s="200">
        <f t="shared" si="4623"/>
        <v>0</v>
      </c>
      <c r="AY911" s="202">
        <v>0.0</v>
      </c>
      <c r="AZ911" s="200"/>
      <c r="BA911" s="171" t="str">
        <f t="shared" si="18"/>
        <v/>
      </c>
      <c r="BB911" s="171" t="str">
        <f t="shared" si="19"/>
        <v>Code</v>
      </c>
      <c r="BC911" s="171" t="str">
        <f t="shared" si="20"/>
        <v/>
      </c>
      <c r="BD911" s="171" t="str">
        <f t="shared" si="21"/>
        <v/>
      </c>
      <c r="BE911" s="171" t="str">
        <f t="shared" si="22"/>
        <v/>
      </c>
      <c r="BF911" s="171" t="str">
        <f t="shared" si="23"/>
        <v>Code</v>
      </c>
    </row>
    <row r="912">
      <c r="A912" s="171">
        <f t="array" ref="A912">XLOOKUP(C912,ICSE!A:A,ICSE!C:C,,2,1)</f>
        <v>2014</v>
      </c>
      <c r="B912" s="171" t="s">
        <v>5675</v>
      </c>
      <c r="C912" s="160">
        <v>1857.0</v>
      </c>
      <c r="D912" s="161" t="s">
        <v>82</v>
      </c>
      <c r="E912" s="197" t="str">
        <f t="array" ref="E912">XLOOKUP(C912,ICSE!A:A,ICSE!Z:Z,,0,1)</f>
        <v>Not available (1) - Broken link.</v>
      </c>
      <c r="F912" s="198" t="s">
        <v>21</v>
      </c>
      <c r="G912" s="163" t="str">
        <f t="array" ref="G912">IF(B912="ICSE",IF(COUNTIFS(B:B,B912,C:C,C912)=XLOOKUP(C912,ICSE!A:A,ICSE!AA:AA,"ERROR",0,1),"OK","ERROR"),IF(B912="FSE",IF(COUNTIFS(B:B,B912,C:C,C912)=XLOOKUP(C912,FSE!A:A,FSE!AA:AA,"ERROR",0,1),"OK","ERROR")))</f>
        <v>OK</v>
      </c>
      <c r="H912" s="199">
        <f t="shared" ref="H912:O912" si="4624">countif($D912,"*"&amp;H$2&amp;"*")</f>
        <v>0</v>
      </c>
      <c r="I912" s="200">
        <f t="shared" si="4624"/>
        <v>0</v>
      </c>
      <c r="J912" s="200">
        <f t="shared" si="4624"/>
        <v>0</v>
      </c>
      <c r="K912" s="200">
        <f t="shared" si="4624"/>
        <v>0</v>
      </c>
      <c r="L912" s="200">
        <f t="shared" si="4624"/>
        <v>0</v>
      </c>
      <c r="M912" s="200">
        <f t="shared" si="4624"/>
        <v>0</v>
      </c>
      <c r="N912" s="200">
        <f t="shared" si="4624"/>
        <v>0</v>
      </c>
      <c r="O912" s="200">
        <f t="shared" si="4624"/>
        <v>0</v>
      </c>
      <c r="P912" s="200">
        <f t="shared" si="9"/>
        <v>0</v>
      </c>
      <c r="Q912" s="200">
        <f t="shared" ref="Q912:AC912" si="4625">countif($D912,"*"&amp;Q$2&amp;"*")</f>
        <v>0</v>
      </c>
      <c r="R912" s="200">
        <f t="shared" si="4625"/>
        <v>0</v>
      </c>
      <c r="S912" s="200">
        <f t="shared" si="4625"/>
        <v>0</v>
      </c>
      <c r="T912" s="200">
        <f t="shared" si="4625"/>
        <v>0</v>
      </c>
      <c r="U912" s="200">
        <f t="shared" si="4625"/>
        <v>0</v>
      </c>
      <c r="V912" s="200">
        <f t="shared" si="4625"/>
        <v>0</v>
      </c>
      <c r="W912" s="200">
        <f t="shared" si="4625"/>
        <v>0</v>
      </c>
      <c r="X912" s="200">
        <f t="shared" si="4625"/>
        <v>1</v>
      </c>
      <c r="Y912" s="200">
        <f t="shared" si="4625"/>
        <v>0</v>
      </c>
      <c r="Z912" s="200">
        <f t="shared" si="4625"/>
        <v>0</v>
      </c>
      <c r="AA912" s="200">
        <f t="shared" si="4625"/>
        <v>0</v>
      </c>
      <c r="AB912" s="200">
        <f t="shared" si="4625"/>
        <v>0</v>
      </c>
      <c r="AC912" s="200">
        <f t="shared" si="4625"/>
        <v>0</v>
      </c>
      <c r="AD912" s="200">
        <f t="shared" si="11"/>
        <v>0</v>
      </c>
      <c r="AE912" s="200">
        <f t="shared" ref="AE912:AG912" si="4626">countif($D912,"*"&amp;AE$2&amp;"*")</f>
        <v>0</v>
      </c>
      <c r="AF912" s="200">
        <f t="shared" si="4626"/>
        <v>0</v>
      </c>
      <c r="AG912" s="200">
        <f t="shared" si="4626"/>
        <v>0</v>
      </c>
      <c r="AH912" s="171">
        <f t="shared" si="13"/>
        <v>0</v>
      </c>
      <c r="AI912" s="200">
        <f t="shared" si="14"/>
        <v>0</v>
      </c>
      <c r="AJ912" s="200">
        <f t="shared" si="4621"/>
        <v>0</v>
      </c>
      <c r="AK912" s="201">
        <f t="shared" ref="AK912:AS912" si="4627">countif($D912,"*"&amp;AK$2&amp;"*")</f>
        <v>0</v>
      </c>
      <c r="AL912" s="201">
        <f t="shared" si="4627"/>
        <v>0</v>
      </c>
      <c r="AM912" s="201">
        <f t="shared" si="4627"/>
        <v>0</v>
      </c>
      <c r="AN912" s="201">
        <f t="shared" si="4627"/>
        <v>0</v>
      </c>
      <c r="AO912" s="201">
        <f t="shared" si="4627"/>
        <v>0</v>
      </c>
      <c r="AP912" s="201">
        <f t="shared" si="4627"/>
        <v>0</v>
      </c>
      <c r="AQ912" s="201">
        <f t="shared" si="4627"/>
        <v>0</v>
      </c>
      <c r="AR912" s="200">
        <f t="shared" si="4627"/>
        <v>0</v>
      </c>
      <c r="AS912" s="200">
        <f t="shared" si="4627"/>
        <v>0</v>
      </c>
      <c r="AT912" s="173">
        <v>0.0</v>
      </c>
      <c r="AU912" s="200">
        <f t="shared" ref="AU912:AX912" si="4628">countif($D912,"*"&amp;AU$2&amp;"*")</f>
        <v>0</v>
      </c>
      <c r="AV912" s="200">
        <f t="shared" si="4628"/>
        <v>0</v>
      </c>
      <c r="AW912" s="200">
        <f t="shared" si="4628"/>
        <v>0</v>
      </c>
      <c r="AX912" s="200">
        <f t="shared" si="4628"/>
        <v>0</v>
      </c>
      <c r="AY912" s="202">
        <v>0.0</v>
      </c>
      <c r="AZ912" s="200"/>
      <c r="BA912" s="171" t="str">
        <f t="shared" si="18"/>
        <v/>
      </c>
      <c r="BB912" s="171" t="str">
        <f t="shared" si="19"/>
        <v/>
      </c>
      <c r="BC912" s="171" t="str">
        <f t="shared" si="20"/>
        <v>General-purpose</v>
      </c>
      <c r="BD912" s="171" t="str">
        <f t="shared" si="21"/>
        <v/>
      </c>
      <c r="BE912" s="171" t="str">
        <f t="shared" si="22"/>
        <v/>
      </c>
      <c r="BF912" s="171" t="str">
        <f t="shared" si="23"/>
        <v>General-purpose</v>
      </c>
    </row>
    <row r="913">
      <c r="A913" s="171">
        <f t="array" ref="A913">XLOOKUP(C913,ICSE!A:A,ICSE!C:C,,2,1)</f>
        <v>2014</v>
      </c>
      <c r="B913" s="171" t="s">
        <v>5675</v>
      </c>
      <c r="C913" s="160">
        <v>1858.0</v>
      </c>
      <c r="D913" s="161" t="s">
        <v>85</v>
      </c>
      <c r="E913" s="197" t="str">
        <f t="array" ref="E913">XLOOKUP(C913,ICSE!A:A,ICSE!Z:Z,,0,1)</f>
        <v>Not available (1) - Broken link.</v>
      </c>
      <c r="F913" s="198" t="s">
        <v>21</v>
      </c>
      <c r="G913" s="163" t="str">
        <f t="array" ref="G913">IF(B913="ICSE",IF(COUNTIFS(B:B,B913,C:C,C913)=XLOOKUP(C913,ICSE!A:A,ICSE!AA:AA,"ERROR",0,1),"OK","ERROR"),IF(B913="FSE",IF(COUNTIFS(B:B,B913,C:C,C913)=XLOOKUP(C913,FSE!A:A,FSE!AA:AA,"ERROR",0,1),"OK","ERROR")))</f>
        <v>OK</v>
      </c>
      <c r="H913" s="199">
        <f t="shared" ref="H913:O913" si="4629">countif($D913,"*"&amp;H$2&amp;"*")</f>
        <v>0</v>
      </c>
      <c r="I913" s="200">
        <f t="shared" si="4629"/>
        <v>0</v>
      </c>
      <c r="J913" s="200">
        <f t="shared" si="4629"/>
        <v>0</v>
      </c>
      <c r="K913" s="200">
        <f t="shared" si="4629"/>
        <v>0</v>
      </c>
      <c r="L913" s="200">
        <f t="shared" si="4629"/>
        <v>0</v>
      </c>
      <c r="M913" s="200">
        <f t="shared" si="4629"/>
        <v>0</v>
      </c>
      <c r="N913" s="200">
        <f t="shared" si="4629"/>
        <v>0</v>
      </c>
      <c r="O913" s="200">
        <f t="shared" si="4629"/>
        <v>0</v>
      </c>
      <c r="P913" s="200">
        <f t="shared" si="9"/>
        <v>0</v>
      </c>
      <c r="Q913" s="200">
        <f t="shared" ref="Q913:AC913" si="4630">countif($D913,"*"&amp;Q$2&amp;"*")</f>
        <v>0</v>
      </c>
      <c r="R913" s="200">
        <f t="shared" si="4630"/>
        <v>0</v>
      </c>
      <c r="S913" s="200">
        <f t="shared" si="4630"/>
        <v>0</v>
      </c>
      <c r="T913" s="200">
        <f t="shared" si="4630"/>
        <v>0</v>
      </c>
      <c r="U913" s="200">
        <f t="shared" si="4630"/>
        <v>0</v>
      </c>
      <c r="V913" s="200">
        <f t="shared" si="4630"/>
        <v>0</v>
      </c>
      <c r="W913" s="200">
        <f t="shared" si="4630"/>
        <v>0</v>
      </c>
      <c r="X913" s="200">
        <f t="shared" si="4630"/>
        <v>0</v>
      </c>
      <c r="Y913" s="200">
        <f t="shared" si="4630"/>
        <v>0</v>
      </c>
      <c r="Z913" s="200">
        <f t="shared" si="4630"/>
        <v>0</v>
      </c>
      <c r="AA913" s="200">
        <f t="shared" si="4630"/>
        <v>0</v>
      </c>
      <c r="AB913" s="200">
        <f t="shared" si="4630"/>
        <v>0</v>
      </c>
      <c r="AC913" s="200">
        <f t="shared" si="4630"/>
        <v>0</v>
      </c>
      <c r="AD913" s="200">
        <f t="shared" si="11"/>
        <v>1</v>
      </c>
      <c r="AE913" s="200">
        <f t="shared" ref="AE913:AG913" si="4631">countif($D913,"*"&amp;AE$2&amp;"*")</f>
        <v>0</v>
      </c>
      <c r="AF913" s="200">
        <f t="shared" si="4631"/>
        <v>0</v>
      </c>
      <c r="AG913" s="200">
        <f t="shared" si="4631"/>
        <v>0</v>
      </c>
      <c r="AH913" s="171">
        <f t="shared" si="13"/>
        <v>0</v>
      </c>
      <c r="AI913" s="200">
        <f t="shared" si="14"/>
        <v>0</v>
      </c>
      <c r="AJ913" s="200">
        <f t="shared" ref="AJ913:AJ914" si="4637">SUM(AK913:AQ913)</f>
        <v>0</v>
      </c>
      <c r="AK913" s="201">
        <f t="shared" ref="AK913:AS913" si="4632">countif($D913,"*"&amp;AK$2&amp;"*")</f>
        <v>0</v>
      </c>
      <c r="AL913" s="201">
        <f t="shared" si="4632"/>
        <v>0</v>
      </c>
      <c r="AM913" s="201">
        <f t="shared" si="4632"/>
        <v>0</v>
      </c>
      <c r="AN913" s="201">
        <f t="shared" si="4632"/>
        <v>0</v>
      </c>
      <c r="AO913" s="201">
        <f t="shared" si="4632"/>
        <v>0</v>
      </c>
      <c r="AP913" s="201">
        <f t="shared" si="4632"/>
        <v>0</v>
      </c>
      <c r="AQ913" s="201">
        <f t="shared" si="4632"/>
        <v>0</v>
      </c>
      <c r="AR913" s="201">
        <f t="shared" si="4632"/>
        <v>0</v>
      </c>
      <c r="AS913" s="200">
        <f t="shared" si="4632"/>
        <v>0</v>
      </c>
      <c r="AT913" s="205">
        <v>0.0</v>
      </c>
      <c r="AU913" s="200">
        <f t="shared" ref="AU913:AX913" si="4633">countif($D913,"*"&amp;AU$2&amp;"*")</f>
        <v>1</v>
      </c>
      <c r="AV913" s="200">
        <f t="shared" si="4633"/>
        <v>0</v>
      </c>
      <c r="AW913" s="200">
        <f t="shared" si="4633"/>
        <v>0</v>
      </c>
      <c r="AX913" s="200">
        <f t="shared" si="4633"/>
        <v>0</v>
      </c>
      <c r="AY913" s="202">
        <v>0.0</v>
      </c>
      <c r="AZ913" s="200"/>
      <c r="BA913" s="171" t="str">
        <f t="shared" si="18"/>
        <v/>
      </c>
      <c r="BB913" s="171" t="str">
        <f t="shared" si="19"/>
        <v/>
      </c>
      <c r="BC913" s="171" t="str">
        <f t="shared" si="20"/>
        <v/>
      </c>
      <c r="BD913" s="171" t="str">
        <f t="shared" si="21"/>
        <v>Institutional</v>
      </c>
      <c r="BE913" s="171" t="str">
        <f t="shared" si="22"/>
        <v/>
      </c>
      <c r="BF913" s="171" t="str">
        <f t="shared" si="23"/>
        <v>Institutional</v>
      </c>
    </row>
    <row r="914">
      <c r="A914" s="171">
        <f t="array" ref="A914">XLOOKUP(C914,ICSE!A:A,ICSE!C:C,,2,1)</f>
        <v>2014</v>
      </c>
      <c r="B914" s="171" t="s">
        <v>5675</v>
      </c>
      <c r="C914" s="160">
        <v>1859.0</v>
      </c>
      <c r="D914" s="161" t="s">
        <v>88</v>
      </c>
      <c r="E914" s="197" t="str">
        <f t="array" ref="E914">XLOOKUP(C914,ICSE!A:A,ICSE!Z:Z,,0,1)</f>
        <v>Publicly available (1)</v>
      </c>
      <c r="F914" s="198" t="s">
        <v>20</v>
      </c>
      <c r="G914" s="163" t="str">
        <f t="array" ref="G914">IF(B914="ICSE",IF(COUNTIFS(B:B,B914,C:C,C914)=XLOOKUP(C914,ICSE!A:A,ICSE!AA:AA,"ERROR",0,1),"OK","ERROR"),IF(B914="FSE",IF(COUNTIFS(B:B,B914,C:C,C914)=XLOOKUP(C914,FSE!A:A,FSE!AA:AA,"ERROR",0,1),"OK","ERROR")))</f>
        <v>OK</v>
      </c>
      <c r="H914" s="199">
        <f t="shared" ref="H914:O914" si="4634">countif($D914,"*"&amp;H$2&amp;"*")</f>
        <v>0</v>
      </c>
      <c r="I914" s="200">
        <f t="shared" si="4634"/>
        <v>0</v>
      </c>
      <c r="J914" s="200">
        <f t="shared" si="4634"/>
        <v>0</v>
      </c>
      <c r="K914" s="200">
        <f t="shared" si="4634"/>
        <v>0</v>
      </c>
      <c r="L914" s="200">
        <f t="shared" si="4634"/>
        <v>0</v>
      </c>
      <c r="M914" s="200">
        <f t="shared" si="4634"/>
        <v>0</v>
      </c>
      <c r="N914" s="200">
        <f t="shared" si="4634"/>
        <v>0</v>
      </c>
      <c r="O914" s="200">
        <f t="shared" si="4634"/>
        <v>0</v>
      </c>
      <c r="P914" s="200">
        <f t="shared" si="9"/>
        <v>0</v>
      </c>
      <c r="Q914" s="200">
        <f t="shared" ref="Q914:AC914" si="4635">countif($D914,"*"&amp;Q$2&amp;"*")</f>
        <v>0</v>
      </c>
      <c r="R914" s="200">
        <f t="shared" si="4635"/>
        <v>0</v>
      </c>
      <c r="S914" s="200">
        <f t="shared" si="4635"/>
        <v>0</v>
      </c>
      <c r="T914" s="200">
        <f t="shared" si="4635"/>
        <v>0</v>
      </c>
      <c r="U914" s="200">
        <f t="shared" si="4635"/>
        <v>0</v>
      </c>
      <c r="V914" s="200">
        <f t="shared" si="4635"/>
        <v>0</v>
      </c>
      <c r="W914" s="200">
        <f t="shared" si="4635"/>
        <v>0</v>
      </c>
      <c r="X914" s="200">
        <f t="shared" si="4635"/>
        <v>0</v>
      </c>
      <c r="Y914" s="200">
        <f t="shared" si="4635"/>
        <v>0</v>
      </c>
      <c r="Z914" s="200">
        <f t="shared" si="4635"/>
        <v>0</v>
      </c>
      <c r="AA914" s="200">
        <f t="shared" si="4635"/>
        <v>0</v>
      </c>
      <c r="AB914" s="200">
        <f t="shared" si="4635"/>
        <v>0</v>
      </c>
      <c r="AC914" s="200">
        <f t="shared" si="4635"/>
        <v>0</v>
      </c>
      <c r="AD914" s="200">
        <f t="shared" si="11"/>
        <v>1</v>
      </c>
      <c r="AE914" s="200">
        <f t="shared" ref="AE914:AG914" si="4636">countif($D914,"*"&amp;AE$2&amp;"*")</f>
        <v>0</v>
      </c>
      <c r="AF914" s="200">
        <f t="shared" si="4636"/>
        <v>0</v>
      </c>
      <c r="AG914" s="200">
        <f t="shared" si="4636"/>
        <v>0</v>
      </c>
      <c r="AH914" s="171">
        <f t="shared" si="13"/>
        <v>0</v>
      </c>
      <c r="AI914" s="200">
        <f t="shared" si="14"/>
        <v>0</v>
      </c>
      <c r="AJ914" s="200">
        <f t="shared" si="4637"/>
        <v>0</v>
      </c>
      <c r="AK914" s="201">
        <f t="shared" ref="AK914:AS914" si="4638">countif($D914,"*"&amp;AK$2&amp;"*")</f>
        <v>0</v>
      </c>
      <c r="AL914" s="201">
        <f t="shared" si="4638"/>
        <v>0</v>
      </c>
      <c r="AM914" s="201">
        <f t="shared" si="4638"/>
        <v>0</v>
      </c>
      <c r="AN914" s="201">
        <f t="shared" si="4638"/>
        <v>0</v>
      </c>
      <c r="AO914" s="201">
        <f t="shared" si="4638"/>
        <v>0</v>
      </c>
      <c r="AP914" s="201">
        <f t="shared" si="4638"/>
        <v>0</v>
      </c>
      <c r="AQ914" s="201">
        <f t="shared" si="4638"/>
        <v>0</v>
      </c>
      <c r="AR914" s="201">
        <f t="shared" si="4638"/>
        <v>0</v>
      </c>
      <c r="AS914" s="200">
        <f t="shared" si="4638"/>
        <v>0</v>
      </c>
      <c r="AT914" s="205">
        <v>0.0</v>
      </c>
      <c r="AU914" s="200">
        <f t="shared" ref="AU914:AX914" si="4639">countif($D914,"*"&amp;AU$2&amp;"*")</f>
        <v>1</v>
      </c>
      <c r="AV914" s="200">
        <f t="shared" si="4639"/>
        <v>0</v>
      </c>
      <c r="AW914" s="200">
        <f t="shared" si="4639"/>
        <v>0</v>
      </c>
      <c r="AX914" s="200">
        <f t="shared" si="4639"/>
        <v>0</v>
      </c>
      <c r="AY914" s="202">
        <v>0.0</v>
      </c>
      <c r="AZ914" s="200"/>
      <c r="BA914" s="171" t="str">
        <f t="shared" si="18"/>
        <v/>
      </c>
      <c r="BB914" s="171" t="str">
        <f t="shared" si="19"/>
        <v/>
      </c>
      <c r="BC914" s="171" t="str">
        <f t="shared" si="20"/>
        <v/>
      </c>
      <c r="BD914" s="171" t="str">
        <f t="shared" si="21"/>
        <v>Institutional</v>
      </c>
      <c r="BE914" s="171" t="str">
        <f t="shared" si="22"/>
        <v/>
      </c>
      <c r="BF914" s="171" t="str">
        <f t="shared" si="23"/>
        <v>Institutional</v>
      </c>
    </row>
    <row r="915">
      <c r="A915" s="171">
        <f t="array" ref="A915">XLOOKUP(C915,ICSE!A:A,ICSE!C:C,,2,1)</f>
        <v>2014</v>
      </c>
      <c r="B915" s="171" t="s">
        <v>5675</v>
      </c>
      <c r="C915" s="160">
        <v>1860.0</v>
      </c>
      <c r="D915" s="161" t="s">
        <v>91</v>
      </c>
      <c r="E915" s="197" t="str">
        <f t="array" ref="E915">XLOOKUP(C915,ICSE!A:A,ICSE!Z:Z,,0,1)</f>
        <v>Publicly available (1)</v>
      </c>
      <c r="F915" s="198" t="s">
        <v>20</v>
      </c>
      <c r="G915" s="163" t="str">
        <f t="array" ref="G915">IF(B915="ICSE",IF(COUNTIFS(B:B,B915,C:C,C915)=XLOOKUP(C915,ICSE!A:A,ICSE!AA:AA,"ERROR",0,1),"OK","ERROR"),IF(B915="FSE",IF(COUNTIFS(B:B,B915,C:C,C915)=XLOOKUP(C915,FSE!A:A,FSE!AA:AA,"ERROR",0,1),"OK","ERROR")))</f>
        <v>OK</v>
      </c>
      <c r="H915" s="199">
        <f t="shared" ref="H915:O915" si="4640">countif($D915,"*"&amp;H$2&amp;"*")</f>
        <v>0</v>
      </c>
      <c r="I915" s="200">
        <f t="shared" si="4640"/>
        <v>0</v>
      </c>
      <c r="J915" s="200">
        <f t="shared" si="4640"/>
        <v>0</v>
      </c>
      <c r="K915" s="200">
        <f t="shared" si="4640"/>
        <v>0</v>
      </c>
      <c r="L915" s="200">
        <f t="shared" si="4640"/>
        <v>0</v>
      </c>
      <c r="M915" s="200">
        <f t="shared" si="4640"/>
        <v>0</v>
      </c>
      <c r="N915" s="200">
        <f t="shared" si="4640"/>
        <v>0</v>
      </c>
      <c r="O915" s="200">
        <f t="shared" si="4640"/>
        <v>0</v>
      </c>
      <c r="P915" s="200">
        <f t="shared" si="9"/>
        <v>0</v>
      </c>
      <c r="Q915" s="200">
        <f t="shared" ref="Q915:AC915" si="4641">countif($D915,"*"&amp;Q$2&amp;"*")</f>
        <v>0</v>
      </c>
      <c r="R915" s="200">
        <f t="shared" si="4641"/>
        <v>0</v>
      </c>
      <c r="S915" s="200">
        <f t="shared" si="4641"/>
        <v>0</v>
      </c>
      <c r="T915" s="200">
        <f t="shared" si="4641"/>
        <v>0</v>
      </c>
      <c r="U915" s="200">
        <f t="shared" si="4641"/>
        <v>0</v>
      </c>
      <c r="V915" s="200">
        <f t="shared" si="4641"/>
        <v>0</v>
      </c>
      <c r="W915" s="200">
        <f t="shared" si="4641"/>
        <v>0</v>
      </c>
      <c r="X915" s="200">
        <f t="shared" si="4641"/>
        <v>0</v>
      </c>
      <c r="Y915" s="200">
        <f t="shared" si="4641"/>
        <v>0</v>
      </c>
      <c r="Z915" s="200">
        <f t="shared" si="4641"/>
        <v>0</v>
      </c>
      <c r="AA915" s="200">
        <f t="shared" si="4641"/>
        <v>0</v>
      </c>
      <c r="AB915" s="200">
        <f t="shared" si="4641"/>
        <v>0</v>
      </c>
      <c r="AC915" s="200">
        <f t="shared" si="4641"/>
        <v>0</v>
      </c>
      <c r="AD915" s="200">
        <f t="shared" si="11"/>
        <v>0</v>
      </c>
      <c r="AE915" s="200">
        <f t="shared" ref="AE915:AG915" si="4642">countif($D915,"*"&amp;AE$2&amp;"*")</f>
        <v>0</v>
      </c>
      <c r="AF915" s="200">
        <f t="shared" si="4642"/>
        <v>0</v>
      </c>
      <c r="AG915" s="200">
        <f t="shared" si="4642"/>
        <v>0</v>
      </c>
      <c r="AH915" s="171">
        <f t="shared" si="13"/>
        <v>1</v>
      </c>
      <c r="AI915" s="200">
        <f t="shared" si="14"/>
        <v>0</v>
      </c>
      <c r="AJ915" s="200">
        <f t="shared" ref="AJ915:AJ916" si="4648">SUM(AK915:AR915)</f>
        <v>0</v>
      </c>
      <c r="AK915" s="201">
        <f t="shared" ref="AK915:AS915" si="4643">countif($D915,"*"&amp;AK$2&amp;"*")</f>
        <v>0</v>
      </c>
      <c r="AL915" s="201">
        <f t="shared" si="4643"/>
        <v>0</v>
      </c>
      <c r="AM915" s="201">
        <f t="shared" si="4643"/>
        <v>0</v>
      </c>
      <c r="AN915" s="201">
        <f t="shared" si="4643"/>
        <v>0</v>
      </c>
      <c r="AO915" s="201">
        <f t="shared" si="4643"/>
        <v>0</v>
      </c>
      <c r="AP915" s="201">
        <f t="shared" si="4643"/>
        <v>0</v>
      </c>
      <c r="AQ915" s="201">
        <f t="shared" si="4643"/>
        <v>0</v>
      </c>
      <c r="AR915" s="200">
        <f t="shared" si="4643"/>
        <v>0</v>
      </c>
      <c r="AS915" s="200">
        <f t="shared" si="4643"/>
        <v>0</v>
      </c>
      <c r="AT915" s="173">
        <v>0.0</v>
      </c>
      <c r="AU915" s="200">
        <f t="shared" ref="AU915:AX915" si="4644">countif($D915,"*"&amp;AU$2&amp;"*")</f>
        <v>0</v>
      </c>
      <c r="AV915" s="200">
        <f t="shared" si="4644"/>
        <v>0</v>
      </c>
      <c r="AW915" s="200">
        <f t="shared" si="4644"/>
        <v>0</v>
      </c>
      <c r="AX915" s="200">
        <f t="shared" si="4644"/>
        <v>0</v>
      </c>
      <c r="AY915" s="202">
        <v>0.0</v>
      </c>
      <c r="AZ915" s="200"/>
      <c r="BA915" s="171" t="str">
        <f t="shared" si="18"/>
        <v/>
      </c>
      <c r="BB915" s="171" t="str">
        <f t="shared" si="19"/>
        <v/>
      </c>
      <c r="BC915" s="171" t="str">
        <f t="shared" si="20"/>
        <v/>
      </c>
      <c r="BD915" s="171" t="str">
        <f t="shared" si="21"/>
        <v/>
      </c>
      <c r="BE915" s="171" t="str">
        <f t="shared" si="22"/>
        <v>Others</v>
      </c>
      <c r="BF915" s="171" t="str">
        <f t="shared" si="23"/>
        <v>Others</v>
      </c>
    </row>
    <row r="916">
      <c r="A916" s="171">
        <f t="array" ref="A916">XLOOKUP(C916,ICSE!A:A,ICSE!C:C,,2,1)</f>
        <v>2014</v>
      </c>
      <c r="B916" s="171" t="s">
        <v>5675</v>
      </c>
      <c r="C916" s="160">
        <v>1862.0</v>
      </c>
      <c r="D916" s="161" t="s">
        <v>96</v>
      </c>
      <c r="E916" s="197" t="str">
        <f t="array" ref="E916">XLOOKUP(C916,ICSE!A:A,ICSE!Z:Z,,0,1)</f>
        <v>Publicly available (1)</v>
      </c>
      <c r="F916" s="198" t="s">
        <v>20</v>
      </c>
      <c r="G916" s="163" t="str">
        <f t="array" ref="G916">IF(B916="ICSE",IF(COUNTIFS(B:B,B916,C:C,C916)=XLOOKUP(C916,ICSE!A:A,ICSE!AA:AA,"ERROR",0,1),"OK","ERROR"),IF(B916="FSE",IF(COUNTIFS(B:B,B916,C:C,C916)=XLOOKUP(C916,FSE!A:A,FSE!AA:AA,"ERROR",0,1),"OK","ERROR")))</f>
        <v>OK</v>
      </c>
      <c r="H916" s="199">
        <f t="shared" ref="H916:O916" si="4645">countif($D916,"*"&amp;H$2&amp;"*")</f>
        <v>0</v>
      </c>
      <c r="I916" s="200">
        <f t="shared" si="4645"/>
        <v>0</v>
      </c>
      <c r="J916" s="200">
        <f t="shared" si="4645"/>
        <v>0</v>
      </c>
      <c r="K916" s="200">
        <f t="shared" si="4645"/>
        <v>0</v>
      </c>
      <c r="L916" s="200">
        <f t="shared" si="4645"/>
        <v>0</v>
      </c>
      <c r="M916" s="200">
        <f t="shared" si="4645"/>
        <v>0</v>
      </c>
      <c r="N916" s="200">
        <f t="shared" si="4645"/>
        <v>0</v>
      </c>
      <c r="O916" s="200">
        <f t="shared" si="4645"/>
        <v>0</v>
      </c>
      <c r="P916" s="200">
        <f t="shared" si="9"/>
        <v>0</v>
      </c>
      <c r="Q916" s="200">
        <f t="shared" ref="Q916:AC916" si="4646">countif($D916,"*"&amp;Q$2&amp;"*")</f>
        <v>0</v>
      </c>
      <c r="R916" s="200">
        <f t="shared" si="4646"/>
        <v>0</v>
      </c>
      <c r="S916" s="200">
        <f t="shared" si="4646"/>
        <v>0</v>
      </c>
      <c r="T916" s="200">
        <f t="shared" si="4646"/>
        <v>0</v>
      </c>
      <c r="U916" s="200">
        <f t="shared" si="4646"/>
        <v>0</v>
      </c>
      <c r="V916" s="200">
        <f t="shared" si="4646"/>
        <v>0</v>
      </c>
      <c r="W916" s="200">
        <f t="shared" si="4646"/>
        <v>0</v>
      </c>
      <c r="X916" s="200">
        <f t="shared" si="4646"/>
        <v>0</v>
      </c>
      <c r="Y916" s="200">
        <f t="shared" si="4646"/>
        <v>0</v>
      </c>
      <c r="Z916" s="200">
        <f t="shared" si="4646"/>
        <v>0</v>
      </c>
      <c r="AA916" s="200">
        <f t="shared" si="4646"/>
        <v>0</v>
      </c>
      <c r="AB916" s="200">
        <f t="shared" si="4646"/>
        <v>0</v>
      </c>
      <c r="AC916" s="200">
        <f t="shared" si="4646"/>
        <v>0</v>
      </c>
      <c r="AD916" s="200">
        <f t="shared" si="11"/>
        <v>0</v>
      </c>
      <c r="AE916" s="200">
        <f t="shared" ref="AE916:AG916" si="4647">countif($D916,"*"&amp;AE$2&amp;"*")</f>
        <v>0</v>
      </c>
      <c r="AF916" s="200">
        <f t="shared" si="4647"/>
        <v>0</v>
      </c>
      <c r="AG916" s="200">
        <f t="shared" si="4647"/>
        <v>0</v>
      </c>
      <c r="AH916" s="171">
        <f t="shared" si="13"/>
        <v>1</v>
      </c>
      <c r="AI916" s="200">
        <f t="shared" si="14"/>
        <v>0</v>
      </c>
      <c r="AJ916" s="200">
        <f t="shared" si="4648"/>
        <v>0</v>
      </c>
      <c r="AK916" s="201">
        <f t="shared" ref="AK916:AS916" si="4649">countif($D916,"*"&amp;AK$2&amp;"*")</f>
        <v>0</v>
      </c>
      <c r="AL916" s="201">
        <f t="shared" si="4649"/>
        <v>0</v>
      </c>
      <c r="AM916" s="201">
        <f t="shared" si="4649"/>
        <v>0</v>
      </c>
      <c r="AN916" s="201">
        <f t="shared" si="4649"/>
        <v>0</v>
      </c>
      <c r="AO916" s="201">
        <f t="shared" si="4649"/>
        <v>0</v>
      </c>
      <c r="AP916" s="201">
        <f t="shared" si="4649"/>
        <v>0</v>
      </c>
      <c r="AQ916" s="201">
        <f t="shared" si="4649"/>
        <v>0</v>
      </c>
      <c r="AR916" s="200">
        <f t="shared" si="4649"/>
        <v>0</v>
      </c>
      <c r="AS916" s="200">
        <f t="shared" si="4649"/>
        <v>1</v>
      </c>
      <c r="AT916" s="173">
        <v>0.0</v>
      </c>
      <c r="AU916" s="200">
        <f t="shared" ref="AU916:AX916" si="4650">countif($D916,"*"&amp;AU$2&amp;"*")</f>
        <v>0</v>
      </c>
      <c r="AV916" s="200">
        <f t="shared" si="4650"/>
        <v>0</v>
      </c>
      <c r="AW916" s="200">
        <f t="shared" si="4650"/>
        <v>0</v>
      </c>
      <c r="AX916" s="200">
        <f t="shared" si="4650"/>
        <v>0</v>
      </c>
      <c r="AY916" s="202">
        <v>0.0</v>
      </c>
      <c r="AZ916" s="200"/>
      <c r="BA916" s="171" t="str">
        <f t="shared" si="18"/>
        <v/>
      </c>
      <c r="BB916" s="171" t="str">
        <f t="shared" si="19"/>
        <v/>
      </c>
      <c r="BC916" s="171" t="str">
        <f t="shared" si="20"/>
        <v/>
      </c>
      <c r="BD916" s="171" t="str">
        <f t="shared" si="21"/>
        <v/>
      </c>
      <c r="BE916" s="171" t="str">
        <f t="shared" si="22"/>
        <v>Others</v>
      </c>
      <c r="BF916" s="171" t="str">
        <f t="shared" si="23"/>
        <v>Others</v>
      </c>
    </row>
    <row r="917">
      <c r="A917" s="171">
        <f t="array" ref="A917">XLOOKUP(C917,ICSE!A:A,ICSE!C:C,,2,1)</f>
        <v>2014</v>
      </c>
      <c r="B917" s="171" t="s">
        <v>5675</v>
      </c>
      <c r="C917" s="160">
        <v>1863.0</v>
      </c>
      <c r="D917" s="161" t="s">
        <v>99</v>
      </c>
      <c r="E917" s="197" t="str">
        <f t="array" ref="E917">XLOOKUP(C917,ICSE!A:A,ICSE!Z:Z,,0,1)</f>
        <v>Publicly available (1)</v>
      </c>
      <c r="F917" s="198" t="s">
        <v>20</v>
      </c>
      <c r="G917" s="163" t="str">
        <f t="array" ref="G917">IF(B917="ICSE",IF(COUNTIFS(B:B,B917,C:C,C917)=XLOOKUP(C917,ICSE!A:A,ICSE!AA:AA,"ERROR",0,1),"OK","ERROR"),IF(B917="FSE",IF(COUNTIFS(B:B,B917,C:C,C917)=XLOOKUP(C917,FSE!A:A,FSE!AA:AA,"ERROR",0,1),"OK","ERROR")))</f>
        <v>OK</v>
      </c>
      <c r="H917" s="199">
        <f t="shared" ref="H917:O917" si="4651">countif($D917,"*"&amp;H$2&amp;"*")</f>
        <v>0</v>
      </c>
      <c r="I917" s="200">
        <f t="shared" si="4651"/>
        <v>0</v>
      </c>
      <c r="J917" s="200">
        <f t="shared" si="4651"/>
        <v>0</v>
      </c>
      <c r="K917" s="200">
        <f t="shared" si="4651"/>
        <v>0</v>
      </c>
      <c r="L917" s="200">
        <f t="shared" si="4651"/>
        <v>0</v>
      </c>
      <c r="M917" s="200">
        <f t="shared" si="4651"/>
        <v>0</v>
      </c>
      <c r="N917" s="200">
        <f t="shared" si="4651"/>
        <v>0</v>
      </c>
      <c r="O917" s="200">
        <f t="shared" si="4651"/>
        <v>0</v>
      </c>
      <c r="P917" s="200">
        <f t="shared" si="9"/>
        <v>0</v>
      </c>
      <c r="Q917" s="200">
        <f t="shared" ref="Q917:AC917" si="4652">countif($D917,"*"&amp;Q$2&amp;"*")</f>
        <v>0</v>
      </c>
      <c r="R917" s="200">
        <f t="shared" si="4652"/>
        <v>0</v>
      </c>
      <c r="S917" s="200">
        <f t="shared" si="4652"/>
        <v>0</v>
      </c>
      <c r="T917" s="200">
        <f t="shared" si="4652"/>
        <v>0</v>
      </c>
      <c r="U917" s="200">
        <f t="shared" si="4652"/>
        <v>0</v>
      </c>
      <c r="V917" s="200">
        <f t="shared" si="4652"/>
        <v>0</v>
      </c>
      <c r="W917" s="200">
        <f t="shared" si="4652"/>
        <v>0</v>
      </c>
      <c r="X917" s="200">
        <f t="shared" si="4652"/>
        <v>0</v>
      </c>
      <c r="Y917" s="200">
        <f t="shared" si="4652"/>
        <v>0</v>
      </c>
      <c r="Z917" s="200">
        <f t="shared" si="4652"/>
        <v>0</v>
      </c>
      <c r="AA917" s="200">
        <f t="shared" si="4652"/>
        <v>0</v>
      </c>
      <c r="AB917" s="200">
        <f t="shared" si="4652"/>
        <v>0</v>
      </c>
      <c r="AC917" s="200">
        <f t="shared" si="4652"/>
        <v>0</v>
      </c>
      <c r="AD917" s="200">
        <f t="shared" si="11"/>
        <v>1</v>
      </c>
      <c r="AE917" s="200">
        <f t="shared" ref="AE917:AG917" si="4653">countif($D917,"*"&amp;AE$2&amp;"*")</f>
        <v>0</v>
      </c>
      <c r="AF917" s="200">
        <f t="shared" si="4653"/>
        <v>0</v>
      </c>
      <c r="AG917" s="200">
        <f t="shared" si="4653"/>
        <v>0</v>
      </c>
      <c r="AH917" s="171">
        <f t="shared" si="13"/>
        <v>0</v>
      </c>
      <c r="AI917" s="200">
        <f t="shared" si="14"/>
        <v>0</v>
      </c>
      <c r="AJ917" s="200">
        <f>SUM(AK917:AQ917)</f>
        <v>0</v>
      </c>
      <c r="AK917" s="201">
        <f t="shared" ref="AK917:AS917" si="4654">countif($D917,"*"&amp;AK$2&amp;"*")</f>
        <v>0</v>
      </c>
      <c r="AL917" s="201">
        <f t="shared" si="4654"/>
        <v>0</v>
      </c>
      <c r="AM917" s="201">
        <f t="shared" si="4654"/>
        <v>0</v>
      </c>
      <c r="AN917" s="201">
        <f t="shared" si="4654"/>
        <v>0</v>
      </c>
      <c r="AO917" s="201">
        <f t="shared" si="4654"/>
        <v>0</v>
      </c>
      <c r="AP917" s="201">
        <f t="shared" si="4654"/>
        <v>0</v>
      </c>
      <c r="AQ917" s="201">
        <f t="shared" si="4654"/>
        <v>0</v>
      </c>
      <c r="AR917" s="201">
        <f t="shared" si="4654"/>
        <v>0</v>
      </c>
      <c r="AS917" s="200">
        <f t="shared" si="4654"/>
        <v>0</v>
      </c>
      <c r="AT917" s="205">
        <v>0.0</v>
      </c>
      <c r="AU917" s="200">
        <f t="shared" ref="AU917:AX917" si="4655">countif($D917,"*"&amp;AU$2&amp;"*")</f>
        <v>1</v>
      </c>
      <c r="AV917" s="200">
        <f t="shared" si="4655"/>
        <v>0</v>
      </c>
      <c r="AW917" s="200">
        <f t="shared" si="4655"/>
        <v>0</v>
      </c>
      <c r="AX917" s="200">
        <f t="shared" si="4655"/>
        <v>0</v>
      </c>
      <c r="AY917" s="202">
        <v>0.0</v>
      </c>
      <c r="AZ917" s="200"/>
      <c r="BA917" s="171" t="str">
        <f t="shared" si="18"/>
        <v/>
      </c>
      <c r="BB917" s="171" t="str">
        <f t="shared" si="19"/>
        <v/>
      </c>
      <c r="BC917" s="171" t="str">
        <f t="shared" si="20"/>
        <v/>
      </c>
      <c r="BD917" s="171" t="str">
        <f t="shared" si="21"/>
        <v>Institutional</v>
      </c>
      <c r="BE917" s="171" t="str">
        <f t="shared" si="22"/>
        <v/>
      </c>
      <c r="BF917" s="171" t="str">
        <f t="shared" si="23"/>
        <v>Institutional</v>
      </c>
    </row>
    <row r="918">
      <c r="A918" s="171">
        <f t="array" ref="A918">XLOOKUP(C918,ICSE!A:A,ICSE!C:C,,2,1)</f>
        <v>2014</v>
      </c>
      <c r="B918" s="171" t="s">
        <v>5675</v>
      </c>
      <c r="C918" s="160">
        <v>1865.0</v>
      </c>
      <c r="D918" s="161" t="s">
        <v>102</v>
      </c>
      <c r="E918" s="197" t="str">
        <f t="array" ref="E918">XLOOKUP(C918,ICSE!A:A,ICSE!Z:Z,,0,1)</f>
        <v>Not available (1) - Broken link.</v>
      </c>
      <c r="F918" s="198" t="s">
        <v>21</v>
      </c>
      <c r="G918" s="163" t="str">
        <f t="array" ref="G918">IF(B918="ICSE",IF(COUNTIFS(B:B,B918,C:C,C918)=XLOOKUP(C918,ICSE!A:A,ICSE!AA:AA,"ERROR",0,1),"OK","ERROR"),IF(B918="FSE",IF(COUNTIFS(B:B,B918,C:C,C918)=XLOOKUP(C918,FSE!A:A,FSE!AA:AA,"ERROR",0,1),"OK","ERROR")))</f>
        <v>OK</v>
      </c>
      <c r="H918" s="199">
        <f t="shared" ref="H918:O918" si="4656">countif($D918,"*"&amp;H$2&amp;"*")</f>
        <v>0</v>
      </c>
      <c r="I918" s="200">
        <f t="shared" si="4656"/>
        <v>0</v>
      </c>
      <c r="J918" s="200">
        <f t="shared" si="4656"/>
        <v>0</v>
      </c>
      <c r="K918" s="200">
        <f t="shared" si="4656"/>
        <v>0</v>
      </c>
      <c r="L918" s="200">
        <f t="shared" si="4656"/>
        <v>0</v>
      </c>
      <c r="M918" s="200">
        <f t="shared" si="4656"/>
        <v>0</v>
      </c>
      <c r="N918" s="200">
        <f t="shared" si="4656"/>
        <v>0</v>
      </c>
      <c r="O918" s="200">
        <f t="shared" si="4656"/>
        <v>0</v>
      </c>
      <c r="P918" s="200">
        <f t="shared" si="9"/>
        <v>0</v>
      </c>
      <c r="Q918" s="200">
        <f t="shared" ref="Q918:AC918" si="4657">countif($D918,"*"&amp;Q$2&amp;"*")</f>
        <v>0</v>
      </c>
      <c r="R918" s="200">
        <f t="shared" si="4657"/>
        <v>0</v>
      </c>
      <c r="S918" s="200">
        <f t="shared" si="4657"/>
        <v>0</v>
      </c>
      <c r="T918" s="200">
        <f t="shared" si="4657"/>
        <v>0</v>
      </c>
      <c r="U918" s="200">
        <f t="shared" si="4657"/>
        <v>0</v>
      </c>
      <c r="V918" s="200">
        <f t="shared" si="4657"/>
        <v>0</v>
      </c>
      <c r="W918" s="200">
        <f t="shared" si="4657"/>
        <v>0</v>
      </c>
      <c r="X918" s="200">
        <f t="shared" si="4657"/>
        <v>0</v>
      </c>
      <c r="Y918" s="200">
        <f t="shared" si="4657"/>
        <v>0</v>
      </c>
      <c r="Z918" s="200">
        <f t="shared" si="4657"/>
        <v>0</v>
      </c>
      <c r="AA918" s="200">
        <f t="shared" si="4657"/>
        <v>0</v>
      </c>
      <c r="AB918" s="200">
        <f t="shared" si="4657"/>
        <v>0</v>
      </c>
      <c r="AC918" s="200">
        <f t="shared" si="4657"/>
        <v>0</v>
      </c>
      <c r="AD918" s="200">
        <f t="shared" si="11"/>
        <v>0</v>
      </c>
      <c r="AE918" s="200">
        <f t="shared" ref="AE918:AG918" si="4658">countif($D918,"*"&amp;AE$2&amp;"*")</f>
        <v>0</v>
      </c>
      <c r="AF918" s="200">
        <f t="shared" si="4658"/>
        <v>1</v>
      </c>
      <c r="AG918" s="200">
        <f t="shared" si="4658"/>
        <v>0</v>
      </c>
      <c r="AH918" s="171">
        <f t="shared" si="13"/>
        <v>0</v>
      </c>
      <c r="AI918" s="200">
        <f t="shared" si="14"/>
        <v>0</v>
      </c>
      <c r="AJ918" s="200">
        <f t="shared" ref="AJ918:AJ923" si="4664">SUM(AK918:AR918)</f>
        <v>0</v>
      </c>
      <c r="AK918" s="201">
        <f t="shared" ref="AK918:AS918" si="4659">countif($D918,"*"&amp;AK$2&amp;"*")</f>
        <v>0</v>
      </c>
      <c r="AL918" s="201">
        <f t="shared" si="4659"/>
        <v>0</v>
      </c>
      <c r="AM918" s="201">
        <f t="shared" si="4659"/>
        <v>0</v>
      </c>
      <c r="AN918" s="201">
        <f t="shared" si="4659"/>
        <v>0</v>
      </c>
      <c r="AO918" s="201">
        <f t="shared" si="4659"/>
        <v>0</v>
      </c>
      <c r="AP918" s="201">
        <f t="shared" si="4659"/>
        <v>0</v>
      </c>
      <c r="AQ918" s="201">
        <f t="shared" si="4659"/>
        <v>0</v>
      </c>
      <c r="AR918" s="200">
        <f t="shared" si="4659"/>
        <v>0</v>
      </c>
      <c r="AS918" s="200">
        <f t="shared" si="4659"/>
        <v>0</v>
      </c>
      <c r="AT918" s="173">
        <v>0.0</v>
      </c>
      <c r="AU918" s="200">
        <f t="shared" ref="AU918:AX918" si="4660">countif($D918,"*"&amp;AU$2&amp;"*")</f>
        <v>0</v>
      </c>
      <c r="AV918" s="200">
        <f t="shared" si="4660"/>
        <v>0</v>
      </c>
      <c r="AW918" s="200">
        <f t="shared" si="4660"/>
        <v>0</v>
      </c>
      <c r="AX918" s="200">
        <f t="shared" si="4660"/>
        <v>0</v>
      </c>
      <c r="AY918" s="202">
        <v>0.0</v>
      </c>
      <c r="AZ918" s="200"/>
      <c r="BA918" s="171" t="str">
        <f t="shared" si="18"/>
        <v/>
      </c>
      <c r="BB918" s="171" t="str">
        <f t="shared" si="19"/>
        <v/>
      </c>
      <c r="BC918" s="171" t="str">
        <f t="shared" si="20"/>
        <v/>
      </c>
      <c r="BD918" s="171" t="str">
        <f t="shared" si="21"/>
        <v>Institutional</v>
      </c>
      <c r="BE918" s="171" t="str">
        <f t="shared" si="22"/>
        <v/>
      </c>
      <c r="BF918" s="171" t="str">
        <f t="shared" si="23"/>
        <v>Institutional</v>
      </c>
    </row>
    <row r="919">
      <c r="A919" s="171">
        <f t="array" ref="A919">XLOOKUP(C919,ICSE!A:A,ICSE!C:C,,2,1)</f>
        <v>2014</v>
      </c>
      <c r="B919" s="171" t="s">
        <v>5675</v>
      </c>
      <c r="C919" s="160">
        <v>1866.0</v>
      </c>
      <c r="D919" s="161" t="s">
        <v>105</v>
      </c>
      <c r="E919" s="197" t="str">
        <f t="array" ref="E919">XLOOKUP(C919,ICSE!A:A,ICSE!Z:Z,,0,1)</f>
        <v>Not available (1) - Broken link.</v>
      </c>
      <c r="F919" s="198" t="s">
        <v>21</v>
      </c>
      <c r="G919" s="163" t="str">
        <f t="array" ref="G919">IF(B919="ICSE",IF(COUNTIFS(B:B,B919,C:C,C919)=XLOOKUP(C919,ICSE!A:A,ICSE!AA:AA,"ERROR",0,1),"OK","ERROR"),IF(B919="FSE",IF(COUNTIFS(B:B,B919,C:C,C919)=XLOOKUP(C919,FSE!A:A,FSE!AA:AA,"ERROR",0,1),"OK","ERROR")))</f>
        <v>OK</v>
      </c>
      <c r="H919" s="199">
        <f t="shared" ref="H919:O919" si="4661">countif($D919,"*"&amp;H$2&amp;"*")</f>
        <v>0</v>
      </c>
      <c r="I919" s="200">
        <f t="shared" si="4661"/>
        <v>0</v>
      </c>
      <c r="J919" s="200">
        <f t="shared" si="4661"/>
        <v>0</v>
      </c>
      <c r="K919" s="200">
        <f t="shared" si="4661"/>
        <v>0</v>
      </c>
      <c r="L919" s="200">
        <f t="shared" si="4661"/>
        <v>0</v>
      </c>
      <c r="M919" s="200">
        <f t="shared" si="4661"/>
        <v>0</v>
      </c>
      <c r="N919" s="200">
        <f t="shared" si="4661"/>
        <v>0</v>
      </c>
      <c r="O919" s="200">
        <f t="shared" si="4661"/>
        <v>0</v>
      </c>
      <c r="P919" s="200">
        <f t="shared" si="9"/>
        <v>1</v>
      </c>
      <c r="Q919" s="200">
        <f t="shared" ref="Q919:AC919" si="4662">countif($D919,"*"&amp;Q$2&amp;"*")</f>
        <v>0</v>
      </c>
      <c r="R919" s="200">
        <f t="shared" si="4662"/>
        <v>0</v>
      </c>
      <c r="S919" s="200">
        <f t="shared" si="4662"/>
        <v>0</v>
      </c>
      <c r="T919" s="200">
        <f t="shared" si="4662"/>
        <v>0</v>
      </c>
      <c r="U919" s="200">
        <f t="shared" si="4662"/>
        <v>0</v>
      </c>
      <c r="V919" s="200">
        <f t="shared" si="4662"/>
        <v>0</v>
      </c>
      <c r="W919" s="200">
        <f t="shared" si="4662"/>
        <v>0</v>
      </c>
      <c r="X919" s="200">
        <f t="shared" si="4662"/>
        <v>0</v>
      </c>
      <c r="Y919" s="200">
        <f t="shared" si="4662"/>
        <v>0</v>
      </c>
      <c r="Z919" s="200">
        <f t="shared" si="4662"/>
        <v>0</v>
      </c>
      <c r="AA919" s="200">
        <f t="shared" si="4662"/>
        <v>0</v>
      </c>
      <c r="AB919" s="200">
        <f t="shared" si="4662"/>
        <v>0</v>
      </c>
      <c r="AC919" s="200">
        <f t="shared" si="4662"/>
        <v>0</v>
      </c>
      <c r="AD919" s="200">
        <f t="shared" si="11"/>
        <v>0</v>
      </c>
      <c r="AE919" s="200">
        <f t="shared" ref="AE919:AG919" si="4663">countif($D919,"*"&amp;AE$2&amp;"*")</f>
        <v>0</v>
      </c>
      <c r="AF919" s="200">
        <f t="shared" si="4663"/>
        <v>0</v>
      </c>
      <c r="AG919" s="200">
        <f t="shared" si="4663"/>
        <v>0</v>
      </c>
      <c r="AH919" s="171">
        <f t="shared" si="13"/>
        <v>0</v>
      </c>
      <c r="AI919" s="200">
        <f t="shared" si="14"/>
        <v>0</v>
      </c>
      <c r="AJ919" s="200">
        <f t="shared" si="4664"/>
        <v>0</v>
      </c>
      <c r="AK919" s="201">
        <f t="shared" ref="AK919:AS919" si="4665">countif($D919,"*"&amp;AK$2&amp;"*")</f>
        <v>0</v>
      </c>
      <c r="AL919" s="201">
        <f t="shared" si="4665"/>
        <v>0</v>
      </c>
      <c r="AM919" s="201">
        <f t="shared" si="4665"/>
        <v>0</v>
      </c>
      <c r="AN919" s="201">
        <f t="shared" si="4665"/>
        <v>0</v>
      </c>
      <c r="AO919" s="201">
        <f t="shared" si="4665"/>
        <v>0</v>
      </c>
      <c r="AP919" s="201">
        <f t="shared" si="4665"/>
        <v>0</v>
      </c>
      <c r="AQ919" s="201">
        <f t="shared" si="4665"/>
        <v>0</v>
      </c>
      <c r="AR919" s="200">
        <f t="shared" si="4665"/>
        <v>0</v>
      </c>
      <c r="AS919" s="200">
        <f t="shared" si="4665"/>
        <v>0</v>
      </c>
      <c r="AT919" s="173">
        <v>0.0</v>
      </c>
      <c r="AU919" s="200">
        <f t="shared" ref="AU919:AX919" si="4666">countif($D919,"*"&amp;AU$2&amp;"*")</f>
        <v>0</v>
      </c>
      <c r="AV919" s="200">
        <f t="shared" si="4666"/>
        <v>1</v>
      </c>
      <c r="AW919" s="200">
        <f t="shared" si="4666"/>
        <v>0</v>
      </c>
      <c r="AX919" s="200">
        <f t="shared" si="4666"/>
        <v>0</v>
      </c>
      <c r="AY919" s="202">
        <v>0.0</v>
      </c>
      <c r="AZ919" s="200"/>
      <c r="BA919" s="171" t="str">
        <f t="shared" si="18"/>
        <v/>
      </c>
      <c r="BB919" s="171" t="str">
        <f t="shared" si="19"/>
        <v>Code</v>
      </c>
      <c r="BC919" s="171" t="str">
        <f t="shared" si="20"/>
        <v/>
      </c>
      <c r="BD919" s="171" t="str">
        <f t="shared" si="21"/>
        <v/>
      </c>
      <c r="BE919" s="171" t="str">
        <f t="shared" si="22"/>
        <v/>
      </c>
      <c r="BF919" s="171" t="str">
        <f t="shared" si="23"/>
        <v>Code</v>
      </c>
    </row>
    <row r="920">
      <c r="A920" s="171">
        <f t="array" ref="A920">XLOOKUP(C920,ICSE!A:A,ICSE!C:C,,2,1)</f>
        <v>2014</v>
      </c>
      <c r="B920" s="171" t="s">
        <v>5675</v>
      </c>
      <c r="C920" s="160">
        <v>1868.0</v>
      </c>
      <c r="D920" s="161" t="s">
        <v>109</v>
      </c>
      <c r="E920" s="197" t="str">
        <f t="array" ref="E920">XLOOKUP(C920,ICSE!A:A,ICSE!Z:Z,,0,1)</f>
        <v>Not available (1) - Broken link.</v>
      </c>
      <c r="F920" s="198" t="s">
        <v>21</v>
      </c>
      <c r="G920" s="163" t="str">
        <f t="array" ref="G920">IF(B920="ICSE",IF(COUNTIFS(B:B,B920,C:C,C920)=XLOOKUP(C920,ICSE!A:A,ICSE!AA:AA,"ERROR",0,1),"OK","ERROR"),IF(B920="FSE",IF(COUNTIFS(B:B,B920,C:C,C920)=XLOOKUP(C920,FSE!A:A,FSE!AA:AA,"ERROR",0,1),"OK","ERROR")))</f>
        <v>OK</v>
      </c>
      <c r="H920" s="199">
        <f t="shared" ref="H920:O920" si="4667">countif($D920,"*"&amp;H$2&amp;"*")</f>
        <v>0</v>
      </c>
      <c r="I920" s="200">
        <f t="shared" si="4667"/>
        <v>0</v>
      </c>
      <c r="J920" s="200">
        <f t="shared" si="4667"/>
        <v>0</v>
      </c>
      <c r="K920" s="200">
        <f t="shared" si="4667"/>
        <v>0</v>
      </c>
      <c r="L920" s="200">
        <f t="shared" si="4667"/>
        <v>0</v>
      </c>
      <c r="M920" s="200">
        <f t="shared" si="4667"/>
        <v>0</v>
      </c>
      <c r="N920" s="200">
        <f t="shared" si="4667"/>
        <v>0</v>
      </c>
      <c r="O920" s="200">
        <f t="shared" si="4667"/>
        <v>0</v>
      </c>
      <c r="P920" s="200">
        <f t="shared" si="9"/>
        <v>0</v>
      </c>
      <c r="Q920" s="200">
        <f t="shared" ref="Q920:AC920" si="4668">countif($D920,"*"&amp;Q$2&amp;"*")</f>
        <v>0</v>
      </c>
      <c r="R920" s="200">
        <f t="shared" si="4668"/>
        <v>0</v>
      </c>
      <c r="S920" s="200">
        <f t="shared" si="4668"/>
        <v>0</v>
      </c>
      <c r="T920" s="200">
        <f t="shared" si="4668"/>
        <v>0</v>
      </c>
      <c r="U920" s="200">
        <f t="shared" si="4668"/>
        <v>0</v>
      </c>
      <c r="V920" s="200">
        <f t="shared" si="4668"/>
        <v>0</v>
      </c>
      <c r="W920" s="200">
        <f t="shared" si="4668"/>
        <v>0</v>
      </c>
      <c r="X920" s="200">
        <f t="shared" si="4668"/>
        <v>0</v>
      </c>
      <c r="Y920" s="200">
        <f t="shared" si="4668"/>
        <v>0</v>
      </c>
      <c r="Z920" s="200">
        <f t="shared" si="4668"/>
        <v>0</v>
      </c>
      <c r="AA920" s="200">
        <f t="shared" si="4668"/>
        <v>0</v>
      </c>
      <c r="AB920" s="200">
        <f t="shared" si="4668"/>
        <v>0</v>
      </c>
      <c r="AC920" s="200">
        <f t="shared" si="4668"/>
        <v>0</v>
      </c>
      <c r="AD920" s="200">
        <f t="shared" si="11"/>
        <v>0</v>
      </c>
      <c r="AE920" s="200">
        <f t="shared" ref="AE920:AG920" si="4669">countif($D920,"*"&amp;AE$2&amp;"*")</f>
        <v>0</v>
      </c>
      <c r="AF920" s="200">
        <f t="shared" si="4669"/>
        <v>0</v>
      </c>
      <c r="AG920" s="200">
        <f t="shared" si="4669"/>
        <v>0</v>
      </c>
      <c r="AH920" s="171">
        <f t="shared" si="13"/>
        <v>1</v>
      </c>
      <c r="AI920" s="200">
        <f t="shared" si="14"/>
        <v>0</v>
      </c>
      <c r="AJ920" s="200">
        <f t="shared" si="4664"/>
        <v>0</v>
      </c>
      <c r="AK920" s="201">
        <f t="shared" ref="AK920:AS920" si="4670">countif($D920,"*"&amp;AK$2&amp;"*")</f>
        <v>0</v>
      </c>
      <c r="AL920" s="201">
        <f t="shared" si="4670"/>
        <v>0</v>
      </c>
      <c r="AM920" s="201">
        <f t="shared" si="4670"/>
        <v>0</v>
      </c>
      <c r="AN920" s="201">
        <f t="shared" si="4670"/>
        <v>0</v>
      </c>
      <c r="AO920" s="201">
        <f t="shared" si="4670"/>
        <v>0</v>
      </c>
      <c r="AP920" s="201">
        <f t="shared" si="4670"/>
        <v>0</v>
      </c>
      <c r="AQ920" s="201">
        <f t="shared" si="4670"/>
        <v>0</v>
      </c>
      <c r="AR920" s="200">
        <f t="shared" si="4670"/>
        <v>0</v>
      </c>
      <c r="AS920" s="200">
        <f t="shared" si="4670"/>
        <v>0</v>
      </c>
      <c r="AT920" s="173">
        <v>0.0</v>
      </c>
      <c r="AU920" s="200">
        <f t="shared" ref="AU920:AX920" si="4671">countif($D920,"*"&amp;AU$2&amp;"*")</f>
        <v>0</v>
      </c>
      <c r="AV920" s="200">
        <f t="shared" si="4671"/>
        <v>0</v>
      </c>
      <c r="AW920" s="200">
        <f t="shared" si="4671"/>
        <v>0</v>
      </c>
      <c r="AX920" s="200">
        <f t="shared" si="4671"/>
        <v>0</v>
      </c>
      <c r="AY920" s="202">
        <v>0.0</v>
      </c>
      <c r="AZ920" s="200"/>
      <c r="BA920" s="171" t="str">
        <f t="shared" si="18"/>
        <v/>
      </c>
      <c r="BB920" s="171" t="str">
        <f t="shared" si="19"/>
        <v/>
      </c>
      <c r="BC920" s="171" t="str">
        <f t="shared" si="20"/>
        <v/>
      </c>
      <c r="BD920" s="171" t="str">
        <f t="shared" si="21"/>
        <v/>
      </c>
      <c r="BE920" s="171" t="str">
        <f t="shared" si="22"/>
        <v>Others</v>
      </c>
      <c r="BF920" s="171" t="str">
        <f t="shared" si="23"/>
        <v>Others</v>
      </c>
    </row>
    <row r="921">
      <c r="A921" s="171">
        <f t="array" ref="A921">XLOOKUP(C921,ICSE!A:A,ICSE!C:C,,2,1)</f>
        <v>2014</v>
      </c>
      <c r="B921" s="171" t="s">
        <v>5675</v>
      </c>
      <c r="C921" s="160">
        <v>1869.0</v>
      </c>
      <c r="D921" s="161" t="s">
        <v>6053</v>
      </c>
      <c r="E921" s="197" t="str">
        <f t="array" ref="E921">XLOOKUP(C921,ICSE!A:A,ICSE!Z:Z,,0,1)</f>
        <v>Not available (1) - Broken link.
Publicly available (1)</v>
      </c>
      <c r="F921" s="198" t="s">
        <v>20</v>
      </c>
      <c r="G921" s="163" t="str">
        <f t="array" ref="G921">IF(B921="ICSE",IF(COUNTIFS(B:B,B921,C:C,C921)=XLOOKUP(C921,ICSE!A:A,ICSE!AA:AA,"ERROR",0,1),"OK","ERROR"),IF(B921="FSE",IF(COUNTIFS(B:B,B921,C:C,C921)=XLOOKUP(C921,FSE!A:A,FSE!AA:AA,"ERROR",0,1),"OK","ERROR")))</f>
        <v>OK</v>
      </c>
      <c r="H921" s="199">
        <f t="shared" ref="H921:O921" si="4672">countif($D921,"*"&amp;H$2&amp;"*")</f>
        <v>0</v>
      </c>
      <c r="I921" s="200">
        <f t="shared" si="4672"/>
        <v>0</v>
      </c>
      <c r="J921" s="200">
        <f t="shared" si="4672"/>
        <v>0</v>
      </c>
      <c r="K921" s="200">
        <f t="shared" si="4672"/>
        <v>0</v>
      </c>
      <c r="L921" s="200">
        <f t="shared" si="4672"/>
        <v>0</v>
      </c>
      <c r="M921" s="200">
        <f t="shared" si="4672"/>
        <v>0</v>
      </c>
      <c r="N921" s="200">
        <f t="shared" si="4672"/>
        <v>0</v>
      </c>
      <c r="O921" s="200">
        <f t="shared" si="4672"/>
        <v>0</v>
      </c>
      <c r="P921" s="200">
        <f t="shared" si="9"/>
        <v>0</v>
      </c>
      <c r="Q921" s="200">
        <f t="shared" ref="Q921:AC921" si="4673">countif($D921,"*"&amp;Q$2&amp;"*")</f>
        <v>0</v>
      </c>
      <c r="R921" s="200">
        <f t="shared" si="4673"/>
        <v>0</v>
      </c>
      <c r="S921" s="200">
        <f t="shared" si="4673"/>
        <v>0</v>
      </c>
      <c r="T921" s="200">
        <f t="shared" si="4673"/>
        <v>0</v>
      </c>
      <c r="U921" s="200">
        <f t="shared" si="4673"/>
        <v>0</v>
      </c>
      <c r="V921" s="200">
        <f t="shared" si="4673"/>
        <v>0</v>
      </c>
      <c r="W921" s="200">
        <f t="shared" si="4673"/>
        <v>0</v>
      </c>
      <c r="X921" s="200">
        <f t="shared" si="4673"/>
        <v>0</v>
      </c>
      <c r="Y921" s="200">
        <f t="shared" si="4673"/>
        <v>0</v>
      </c>
      <c r="Z921" s="200">
        <f t="shared" si="4673"/>
        <v>0</v>
      </c>
      <c r="AA921" s="200">
        <f t="shared" si="4673"/>
        <v>0</v>
      </c>
      <c r="AB921" s="200">
        <f t="shared" si="4673"/>
        <v>0</v>
      </c>
      <c r="AC921" s="200">
        <f t="shared" si="4673"/>
        <v>0</v>
      </c>
      <c r="AD921" s="200">
        <f t="shared" si="11"/>
        <v>0</v>
      </c>
      <c r="AE921" s="200">
        <f t="shared" ref="AE921:AG921" si="4674">countif($D921,"*"&amp;AE$2&amp;"*")</f>
        <v>0</v>
      </c>
      <c r="AF921" s="200">
        <f t="shared" si="4674"/>
        <v>0</v>
      </c>
      <c r="AG921" s="200">
        <f t="shared" si="4674"/>
        <v>0</v>
      </c>
      <c r="AH921" s="171">
        <f t="shared" si="13"/>
        <v>1</v>
      </c>
      <c r="AI921" s="200">
        <f t="shared" si="14"/>
        <v>0</v>
      </c>
      <c r="AJ921" s="200">
        <f t="shared" si="4664"/>
        <v>0</v>
      </c>
      <c r="AK921" s="201">
        <f t="shared" ref="AK921:AS921" si="4675">countif($D921,"*"&amp;AK$2&amp;"*")</f>
        <v>0</v>
      </c>
      <c r="AL921" s="201">
        <f t="shared" si="4675"/>
        <v>0</v>
      </c>
      <c r="AM921" s="201">
        <f t="shared" si="4675"/>
        <v>0</v>
      </c>
      <c r="AN921" s="201">
        <f t="shared" si="4675"/>
        <v>0</v>
      </c>
      <c r="AO921" s="201">
        <f t="shared" si="4675"/>
        <v>0</v>
      </c>
      <c r="AP921" s="201">
        <f t="shared" si="4675"/>
        <v>0</v>
      </c>
      <c r="AQ921" s="201">
        <f t="shared" si="4675"/>
        <v>0</v>
      </c>
      <c r="AR921" s="200">
        <f t="shared" si="4675"/>
        <v>0</v>
      </c>
      <c r="AS921" s="200">
        <f t="shared" si="4675"/>
        <v>0</v>
      </c>
      <c r="AT921" s="173">
        <v>0.0</v>
      </c>
      <c r="AU921" s="200">
        <f t="shared" ref="AU921:AX921" si="4676">countif($D921,"*"&amp;AU$2&amp;"*")</f>
        <v>0</v>
      </c>
      <c r="AV921" s="200">
        <f t="shared" si="4676"/>
        <v>0</v>
      </c>
      <c r="AW921" s="200">
        <f t="shared" si="4676"/>
        <v>0</v>
      </c>
      <c r="AX921" s="200">
        <f t="shared" si="4676"/>
        <v>0</v>
      </c>
      <c r="AY921" s="202">
        <v>0.0</v>
      </c>
      <c r="AZ921" s="200"/>
      <c r="BA921" s="171" t="str">
        <f t="shared" si="18"/>
        <v/>
      </c>
      <c r="BB921" s="171" t="str">
        <f t="shared" si="19"/>
        <v/>
      </c>
      <c r="BC921" s="171" t="str">
        <f t="shared" si="20"/>
        <v/>
      </c>
      <c r="BD921" s="171" t="str">
        <f t="shared" si="21"/>
        <v/>
      </c>
      <c r="BE921" s="171" t="str">
        <f t="shared" si="22"/>
        <v>Others</v>
      </c>
      <c r="BF921" s="171" t="str">
        <f t="shared" si="23"/>
        <v>Others</v>
      </c>
    </row>
    <row r="922">
      <c r="A922" s="171">
        <f t="array" ref="A922">XLOOKUP(C922,ICSE!A:A,ICSE!C:C,,2,1)</f>
        <v>2014</v>
      </c>
      <c r="B922" s="171" t="s">
        <v>5675</v>
      </c>
      <c r="C922" s="160">
        <v>1869.0</v>
      </c>
      <c r="D922" s="161" t="s">
        <v>6054</v>
      </c>
      <c r="E922" s="197" t="str">
        <f t="array" ref="E922">XLOOKUP(C922,ICSE!A:A,ICSE!Z:Z,,0,1)</f>
        <v>Not available (1) - Broken link.
Publicly available (1)</v>
      </c>
      <c r="F922" s="198" t="s">
        <v>21</v>
      </c>
      <c r="G922" s="163" t="str">
        <f t="array" ref="G922">IF(B922="ICSE",IF(COUNTIFS(B:B,B922,C:C,C922)=XLOOKUP(C922,ICSE!A:A,ICSE!AA:AA,"ERROR",0,1),"OK","ERROR"),IF(B922="FSE",IF(COUNTIFS(B:B,B922,C:C,C922)=XLOOKUP(C922,FSE!A:A,FSE!AA:AA,"ERROR",0,1),"OK","ERROR")))</f>
        <v>OK</v>
      </c>
      <c r="H922" s="199">
        <f t="shared" ref="H922:O922" si="4677">countif($D922,"*"&amp;H$2&amp;"*")</f>
        <v>0</v>
      </c>
      <c r="I922" s="200">
        <f t="shared" si="4677"/>
        <v>0</v>
      </c>
      <c r="J922" s="200">
        <f t="shared" si="4677"/>
        <v>0</v>
      </c>
      <c r="K922" s="200">
        <f t="shared" si="4677"/>
        <v>0</v>
      </c>
      <c r="L922" s="200">
        <f t="shared" si="4677"/>
        <v>0</v>
      </c>
      <c r="M922" s="200">
        <f t="shared" si="4677"/>
        <v>0</v>
      </c>
      <c r="N922" s="200">
        <f t="shared" si="4677"/>
        <v>0</v>
      </c>
      <c r="O922" s="200">
        <f t="shared" si="4677"/>
        <v>0</v>
      </c>
      <c r="P922" s="200">
        <f t="shared" si="9"/>
        <v>0</v>
      </c>
      <c r="Q922" s="200">
        <f t="shared" ref="Q922:AC922" si="4678">countif($D922,"*"&amp;Q$2&amp;"*")</f>
        <v>0</v>
      </c>
      <c r="R922" s="200">
        <f t="shared" si="4678"/>
        <v>0</v>
      </c>
      <c r="S922" s="200">
        <f t="shared" si="4678"/>
        <v>0</v>
      </c>
      <c r="T922" s="200">
        <f t="shared" si="4678"/>
        <v>0</v>
      </c>
      <c r="U922" s="200">
        <f t="shared" si="4678"/>
        <v>0</v>
      </c>
      <c r="V922" s="200">
        <f t="shared" si="4678"/>
        <v>0</v>
      </c>
      <c r="W922" s="200">
        <f t="shared" si="4678"/>
        <v>0</v>
      </c>
      <c r="X922" s="200">
        <f t="shared" si="4678"/>
        <v>0</v>
      </c>
      <c r="Y922" s="200">
        <f t="shared" si="4678"/>
        <v>0</v>
      </c>
      <c r="Z922" s="200">
        <f t="shared" si="4678"/>
        <v>0</v>
      </c>
      <c r="AA922" s="200">
        <f t="shared" si="4678"/>
        <v>0</v>
      </c>
      <c r="AB922" s="200">
        <f t="shared" si="4678"/>
        <v>0</v>
      </c>
      <c r="AC922" s="200">
        <f t="shared" si="4678"/>
        <v>0</v>
      </c>
      <c r="AD922" s="200">
        <f t="shared" si="11"/>
        <v>0</v>
      </c>
      <c r="AE922" s="200">
        <f t="shared" ref="AE922:AG922" si="4679">countif($D922,"*"&amp;AE$2&amp;"*")</f>
        <v>0</v>
      </c>
      <c r="AF922" s="200">
        <f t="shared" si="4679"/>
        <v>0</v>
      </c>
      <c r="AG922" s="200">
        <f t="shared" si="4679"/>
        <v>0</v>
      </c>
      <c r="AH922" s="171">
        <f t="shared" si="13"/>
        <v>1</v>
      </c>
      <c r="AI922" s="200">
        <f t="shared" si="14"/>
        <v>0</v>
      </c>
      <c r="AJ922" s="200">
        <f t="shared" si="4664"/>
        <v>0</v>
      </c>
      <c r="AK922" s="201">
        <f t="shared" ref="AK922:AS922" si="4680">countif($D922,"*"&amp;AK$2&amp;"*")</f>
        <v>0</v>
      </c>
      <c r="AL922" s="201">
        <f t="shared" si="4680"/>
        <v>0</v>
      </c>
      <c r="AM922" s="201">
        <f t="shared" si="4680"/>
        <v>0</v>
      </c>
      <c r="AN922" s="201">
        <f t="shared" si="4680"/>
        <v>0</v>
      </c>
      <c r="AO922" s="201">
        <f t="shared" si="4680"/>
        <v>0</v>
      </c>
      <c r="AP922" s="201">
        <f t="shared" si="4680"/>
        <v>0</v>
      </c>
      <c r="AQ922" s="201">
        <f t="shared" si="4680"/>
        <v>0</v>
      </c>
      <c r="AR922" s="200">
        <f t="shared" si="4680"/>
        <v>0</v>
      </c>
      <c r="AS922" s="200">
        <f t="shared" si="4680"/>
        <v>0</v>
      </c>
      <c r="AT922" s="173">
        <v>0.0</v>
      </c>
      <c r="AU922" s="200">
        <f t="shared" ref="AU922:AX922" si="4681">countif($D922,"*"&amp;AU$2&amp;"*")</f>
        <v>0</v>
      </c>
      <c r="AV922" s="200">
        <f t="shared" si="4681"/>
        <v>0</v>
      </c>
      <c r="AW922" s="200">
        <f t="shared" si="4681"/>
        <v>0</v>
      </c>
      <c r="AX922" s="200">
        <f t="shared" si="4681"/>
        <v>0</v>
      </c>
      <c r="AY922" s="202">
        <v>0.0</v>
      </c>
      <c r="AZ922" s="200"/>
      <c r="BA922" s="171" t="str">
        <f t="shared" si="18"/>
        <v/>
      </c>
      <c r="BB922" s="171" t="str">
        <f t="shared" si="19"/>
        <v/>
      </c>
      <c r="BC922" s="171" t="str">
        <f t="shared" si="20"/>
        <v/>
      </c>
      <c r="BD922" s="171" t="str">
        <f t="shared" si="21"/>
        <v/>
      </c>
      <c r="BE922" s="171" t="str">
        <f t="shared" si="22"/>
        <v>Others</v>
      </c>
      <c r="BF922" s="171" t="str">
        <f t="shared" si="23"/>
        <v>Others</v>
      </c>
    </row>
    <row r="923">
      <c r="A923" s="171">
        <f t="array" ref="A923">XLOOKUP(C923,ICSE!A:A,ICSE!C:C,,2,1)</f>
        <v>2014</v>
      </c>
      <c r="B923" s="171" t="s">
        <v>5675</v>
      </c>
      <c r="C923" s="160">
        <v>1870.0</v>
      </c>
      <c r="D923" s="161" t="s">
        <v>115</v>
      </c>
      <c r="E923" s="197" t="str">
        <f t="array" ref="E923">XLOOKUP(C923,ICSE!A:A,ICSE!Z:Z,,0,1)</f>
        <v>Not available (1) - Broken link.</v>
      </c>
      <c r="F923" s="198" t="s">
        <v>21</v>
      </c>
      <c r="G923" s="163" t="str">
        <f t="array" ref="G923">IF(B923="ICSE",IF(COUNTIFS(B:B,B923,C:C,C923)=XLOOKUP(C923,ICSE!A:A,ICSE!AA:AA,"ERROR",0,1),"OK","ERROR"),IF(B923="FSE",IF(COUNTIFS(B:B,B923,C:C,C923)=XLOOKUP(C923,FSE!A:A,FSE!AA:AA,"ERROR",0,1),"OK","ERROR")))</f>
        <v>OK</v>
      </c>
      <c r="H923" s="199">
        <f t="shared" ref="H923:O923" si="4682">countif($D923,"*"&amp;H$2&amp;"*")</f>
        <v>0</v>
      </c>
      <c r="I923" s="200">
        <f t="shared" si="4682"/>
        <v>0</v>
      </c>
      <c r="J923" s="200">
        <f t="shared" si="4682"/>
        <v>0</v>
      </c>
      <c r="K923" s="200">
        <f t="shared" si="4682"/>
        <v>0</v>
      </c>
      <c r="L923" s="200">
        <f t="shared" si="4682"/>
        <v>0</v>
      </c>
      <c r="M923" s="200">
        <f t="shared" si="4682"/>
        <v>0</v>
      </c>
      <c r="N923" s="200">
        <f t="shared" si="4682"/>
        <v>0</v>
      </c>
      <c r="O923" s="200">
        <f t="shared" si="4682"/>
        <v>0</v>
      </c>
      <c r="P923" s="200">
        <f t="shared" si="9"/>
        <v>0</v>
      </c>
      <c r="Q923" s="200">
        <f t="shared" ref="Q923:AC923" si="4683">countif($D923,"*"&amp;Q$2&amp;"*")</f>
        <v>0</v>
      </c>
      <c r="R923" s="200">
        <f t="shared" si="4683"/>
        <v>0</v>
      </c>
      <c r="S923" s="200">
        <f t="shared" si="4683"/>
        <v>0</v>
      </c>
      <c r="T923" s="200">
        <f t="shared" si="4683"/>
        <v>0</v>
      </c>
      <c r="U923" s="200">
        <f t="shared" si="4683"/>
        <v>0</v>
      </c>
      <c r="V923" s="200">
        <f t="shared" si="4683"/>
        <v>0</v>
      </c>
      <c r="W923" s="200">
        <f t="shared" si="4683"/>
        <v>0</v>
      </c>
      <c r="X923" s="200">
        <f t="shared" si="4683"/>
        <v>0</v>
      </c>
      <c r="Y923" s="200">
        <f t="shared" si="4683"/>
        <v>0</v>
      </c>
      <c r="Z923" s="200">
        <f t="shared" si="4683"/>
        <v>0</v>
      </c>
      <c r="AA923" s="200">
        <f t="shared" si="4683"/>
        <v>0</v>
      </c>
      <c r="AB923" s="200">
        <f t="shared" si="4683"/>
        <v>0</v>
      </c>
      <c r="AC923" s="200">
        <f t="shared" si="4683"/>
        <v>0</v>
      </c>
      <c r="AD923" s="200">
        <f t="shared" si="11"/>
        <v>1</v>
      </c>
      <c r="AE923" s="200">
        <f t="shared" ref="AE923:AG923" si="4684">countif($D923,"*"&amp;AE$2&amp;"*")</f>
        <v>0</v>
      </c>
      <c r="AF923" s="200">
        <f t="shared" si="4684"/>
        <v>0</v>
      </c>
      <c r="AG923" s="200">
        <f t="shared" si="4684"/>
        <v>0</v>
      </c>
      <c r="AH923" s="171">
        <f t="shared" si="13"/>
        <v>0</v>
      </c>
      <c r="AI923" s="200">
        <f t="shared" si="14"/>
        <v>0</v>
      </c>
      <c r="AJ923" s="200">
        <f t="shared" si="4664"/>
        <v>0</v>
      </c>
      <c r="AK923" s="201">
        <f t="shared" ref="AK923:AS923" si="4685">countif($D923,"*"&amp;AK$2&amp;"*")</f>
        <v>0</v>
      </c>
      <c r="AL923" s="201">
        <f t="shared" si="4685"/>
        <v>0</v>
      </c>
      <c r="AM923" s="201">
        <f t="shared" si="4685"/>
        <v>0</v>
      </c>
      <c r="AN923" s="201">
        <f t="shared" si="4685"/>
        <v>0</v>
      </c>
      <c r="AO923" s="201">
        <f t="shared" si="4685"/>
        <v>0</v>
      </c>
      <c r="AP923" s="201">
        <f t="shared" si="4685"/>
        <v>0</v>
      </c>
      <c r="AQ923" s="201">
        <f t="shared" si="4685"/>
        <v>0</v>
      </c>
      <c r="AR923" s="200">
        <f t="shared" si="4685"/>
        <v>0</v>
      </c>
      <c r="AS923" s="200">
        <f t="shared" si="4685"/>
        <v>0</v>
      </c>
      <c r="AT923" s="173">
        <v>1.0</v>
      </c>
      <c r="AU923" s="200">
        <f t="shared" ref="AU923:AX923" si="4686">countif($D923,"*"&amp;AU$2&amp;"*")</f>
        <v>0</v>
      </c>
      <c r="AV923" s="200">
        <f t="shared" si="4686"/>
        <v>0</v>
      </c>
      <c r="AW923" s="200">
        <f t="shared" si="4686"/>
        <v>0</v>
      </c>
      <c r="AX923" s="200">
        <f t="shared" si="4686"/>
        <v>0</v>
      </c>
      <c r="AY923" s="202">
        <v>0.0</v>
      </c>
      <c r="AZ923" s="200"/>
      <c r="BA923" s="171" t="str">
        <f t="shared" si="18"/>
        <v/>
      </c>
      <c r="BB923" s="171" t="str">
        <f t="shared" si="19"/>
        <v/>
      </c>
      <c r="BC923" s="171" t="str">
        <f t="shared" si="20"/>
        <v/>
      </c>
      <c r="BD923" s="171" t="str">
        <f t="shared" si="21"/>
        <v>Institutional</v>
      </c>
      <c r="BE923" s="171" t="str">
        <f t="shared" si="22"/>
        <v/>
      </c>
      <c r="BF923" s="171" t="str">
        <f t="shared" si="23"/>
        <v>Institutional</v>
      </c>
    </row>
    <row r="924">
      <c r="A924" s="171">
        <f t="array" ref="A924">XLOOKUP(C924,ICSE!A:A,ICSE!C:C,,2,1)</f>
        <v>2014</v>
      </c>
      <c r="B924" s="171" t="s">
        <v>5675</v>
      </c>
      <c r="C924" s="160">
        <v>1871.0</v>
      </c>
      <c r="D924" s="161" t="s">
        <v>6055</v>
      </c>
      <c r="E924" s="197" t="str">
        <f t="array" ref="E924">XLOOKUP(C924,ICSE!A:A,ICSE!Z:Z,,0,1)</f>
        <v>Not available (1) - Broken link.</v>
      </c>
      <c r="F924" s="198" t="s">
        <v>21</v>
      </c>
      <c r="G924" s="163" t="str">
        <f t="array" ref="G924">IF(B924="ICSE",IF(COUNTIFS(B:B,B924,C:C,C924)=XLOOKUP(C924,ICSE!A:A,ICSE!AA:AA,"ERROR",0,1),"OK","ERROR"),IF(B924="FSE",IF(COUNTIFS(B:B,B924,C:C,C924)=XLOOKUP(C924,FSE!A:A,FSE!AA:AA,"ERROR",0,1),"OK","ERROR")))</f>
        <v>OK</v>
      </c>
      <c r="H924" s="199">
        <f t="shared" ref="H924:O924" si="4687">countif($D924,"*"&amp;H$2&amp;"*")</f>
        <v>0</v>
      </c>
      <c r="I924" s="200">
        <f t="shared" si="4687"/>
        <v>0</v>
      </c>
      <c r="J924" s="200">
        <f t="shared" si="4687"/>
        <v>0</v>
      </c>
      <c r="K924" s="200">
        <f t="shared" si="4687"/>
        <v>0</v>
      </c>
      <c r="L924" s="200">
        <f t="shared" si="4687"/>
        <v>0</v>
      </c>
      <c r="M924" s="200">
        <f t="shared" si="4687"/>
        <v>0</v>
      </c>
      <c r="N924" s="200">
        <f t="shared" si="4687"/>
        <v>0</v>
      </c>
      <c r="O924" s="200">
        <f t="shared" si="4687"/>
        <v>0</v>
      </c>
      <c r="P924" s="200">
        <f t="shared" si="9"/>
        <v>0</v>
      </c>
      <c r="Q924" s="200">
        <f t="shared" ref="Q924:AC924" si="4688">countif($D924,"*"&amp;Q$2&amp;"*")</f>
        <v>0</v>
      </c>
      <c r="R924" s="200">
        <f t="shared" si="4688"/>
        <v>0</v>
      </c>
      <c r="S924" s="200">
        <f t="shared" si="4688"/>
        <v>0</v>
      </c>
      <c r="T924" s="200">
        <f t="shared" si="4688"/>
        <v>0</v>
      </c>
      <c r="U924" s="200">
        <f t="shared" si="4688"/>
        <v>0</v>
      </c>
      <c r="V924" s="200">
        <f t="shared" si="4688"/>
        <v>0</v>
      </c>
      <c r="W924" s="200">
        <f t="shared" si="4688"/>
        <v>0</v>
      </c>
      <c r="X924" s="200">
        <f t="shared" si="4688"/>
        <v>0</v>
      </c>
      <c r="Y924" s="200">
        <f t="shared" si="4688"/>
        <v>0</v>
      </c>
      <c r="Z924" s="200">
        <f t="shared" si="4688"/>
        <v>0</v>
      </c>
      <c r="AA924" s="200">
        <f t="shared" si="4688"/>
        <v>0</v>
      </c>
      <c r="AB924" s="200">
        <f t="shared" si="4688"/>
        <v>0</v>
      </c>
      <c r="AC924" s="200">
        <f t="shared" si="4688"/>
        <v>0</v>
      </c>
      <c r="AD924" s="200">
        <f t="shared" si="11"/>
        <v>1</v>
      </c>
      <c r="AE924" s="200">
        <f t="shared" ref="AE924:AG924" si="4689">countif($D924,"*"&amp;AE$2&amp;"*")</f>
        <v>0</v>
      </c>
      <c r="AF924" s="200">
        <f t="shared" si="4689"/>
        <v>0</v>
      </c>
      <c r="AG924" s="200">
        <f t="shared" si="4689"/>
        <v>0</v>
      </c>
      <c r="AH924" s="171">
        <f t="shared" si="13"/>
        <v>0</v>
      </c>
      <c r="AI924" s="200">
        <f t="shared" si="14"/>
        <v>0</v>
      </c>
      <c r="AJ924" s="200">
        <f>SUM(AK924:AQ924)</f>
        <v>0</v>
      </c>
      <c r="AK924" s="201">
        <f t="shared" ref="AK924:AS924" si="4690">countif($D924,"*"&amp;AK$2&amp;"*")</f>
        <v>0</v>
      </c>
      <c r="AL924" s="201">
        <f t="shared" si="4690"/>
        <v>0</v>
      </c>
      <c r="AM924" s="201">
        <f t="shared" si="4690"/>
        <v>0</v>
      </c>
      <c r="AN924" s="201">
        <f t="shared" si="4690"/>
        <v>0</v>
      </c>
      <c r="AO924" s="201">
        <f t="shared" si="4690"/>
        <v>0</v>
      </c>
      <c r="AP924" s="201">
        <f t="shared" si="4690"/>
        <v>0</v>
      </c>
      <c r="AQ924" s="201">
        <f t="shared" si="4690"/>
        <v>0</v>
      </c>
      <c r="AR924" s="201">
        <f t="shared" si="4690"/>
        <v>0</v>
      </c>
      <c r="AS924" s="200">
        <f t="shared" si="4690"/>
        <v>0</v>
      </c>
      <c r="AT924" s="205">
        <v>0.0</v>
      </c>
      <c r="AU924" s="200">
        <f t="shared" ref="AU924:AX924" si="4691">countif($D924,"*"&amp;AU$2&amp;"*")</f>
        <v>1</v>
      </c>
      <c r="AV924" s="200">
        <f t="shared" si="4691"/>
        <v>0</v>
      </c>
      <c r="AW924" s="200">
        <f t="shared" si="4691"/>
        <v>0</v>
      </c>
      <c r="AX924" s="200">
        <f t="shared" si="4691"/>
        <v>0</v>
      </c>
      <c r="AY924" s="202">
        <v>0.0</v>
      </c>
      <c r="AZ924" s="200"/>
      <c r="BA924" s="171" t="str">
        <f t="shared" si="18"/>
        <v/>
      </c>
      <c r="BB924" s="171" t="str">
        <f t="shared" si="19"/>
        <v/>
      </c>
      <c r="BC924" s="171" t="str">
        <f t="shared" si="20"/>
        <v/>
      </c>
      <c r="BD924" s="171" t="str">
        <f t="shared" si="21"/>
        <v>Institutional</v>
      </c>
      <c r="BE924" s="171" t="str">
        <f t="shared" si="22"/>
        <v/>
      </c>
      <c r="BF924" s="171" t="str">
        <f t="shared" si="23"/>
        <v>Institutional</v>
      </c>
    </row>
    <row r="925">
      <c r="A925" s="171">
        <f t="array" ref="A925">XLOOKUP(C925,ICSE!A:A,ICSE!C:C,,2,1)</f>
        <v>2014</v>
      </c>
      <c r="B925" s="171" t="s">
        <v>5675</v>
      </c>
      <c r="C925" s="160">
        <v>1872.0</v>
      </c>
      <c r="D925" s="161" t="s">
        <v>6056</v>
      </c>
      <c r="E925" s="197" t="str">
        <f t="array" ref="E925">XLOOKUP(C925,ICSE!A:A,ICSE!Z:Z,,0,1)</f>
        <v>Not available (2) - Broken link.
Publicly available (1)</v>
      </c>
      <c r="F925" s="198" t="s">
        <v>20</v>
      </c>
      <c r="G925" s="163" t="str">
        <f t="array" ref="G925">IF(B925="ICSE",IF(COUNTIFS(B:B,B925,C:C,C925)=XLOOKUP(C925,ICSE!A:A,ICSE!AA:AA,"ERROR",0,1),"OK","ERROR"),IF(B925="FSE",IF(COUNTIFS(B:B,B925,C:C,C925)=XLOOKUP(C925,FSE!A:A,FSE!AA:AA,"ERROR",0,1),"OK","ERROR")))</f>
        <v>OK</v>
      </c>
      <c r="H925" s="199">
        <f t="shared" ref="H925:O925" si="4692">countif($D925,"*"&amp;H$2&amp;"*")</f>
        <v>0</v>
      </c>
      <c r="I925" s="200">
        <f t="shared" si="4692"/>
        <v>0</v>
      </c>
      <c r="J925" s="200">
        <f t="shared" si="4692"/>
        <v>0</v>
      </c>
      <c r="K925" s="200">
        <f t="shared" si="4692"/>
        <v>0</v>
      </c>
      <c r="L925" s="200">
        <f t="shared" si="4692"/>
        <v>0</v>
      </c>
      <c r="M925" s="200">
        <f t="shared" si="4692"/>
        <v>0</v>
      </c>
      <c r="N925" s="200">
        <f t="shared" si="4692"/>
        <v>0</v>
      </c>
      <c r="O925" s="200">
        <f t="shared" si="4692"/>
        <v>0</v>
      </c>
      <c r="P925" s="200">
        <f t="shared" si="9"/>
        <v>1</v>
      </c>
      <c r="Q925" s="200">
        <f t="shared" ref="Q925:AC925" si="4693">countif($D925,"*"&amp;Q$2&amp;"*")</f>
        <v>0</v>
      </c>
      <c r="R925" s="200">
        <f t="shared" si="4693"/>
        <v>0</v>
      </c>
      <c r="S925" s="200">
        <f t="shared" si="4693"/>
        <v>0</v>
      </c>
      <c r="T925" s="200">
        <f t="shared" si="4693"/>
        <v>0</v>
      </c>
      <c r="U925" s="200">
        <f t="shared" si="4693"/>
        <v>0</v>
      </c>
      <c r="V925" s="200">
        <f t="shared" si="4693"/>
        <v>0</v>
      </c>
      <c r="W925" s="200">
        <f t="shared" si="4693"/>
        <v>0</v>
      </c>
      <c r="X925" s="200">
        <f t="shared" si="4693"/>
        <v>0</v>
      </c>
      <c r="Y925" s="200">
        <f t="shared" si="4693"/>
        <v>0</v>
      </c>
      <c r="Z925" s="200">
        <f t="shared" si="4693"/>
        <v>0</v>
      </c>
      <c r="AA925" s="200">
        <f t="shared" si="4693"/>
        <v>0</v>
      </c>
      <c r="AB925" s="200">
        <f t="shared" si="4693"/>
        <v>0</v>
      </c>
      <c r="AC925" s="200">
        <f t="shared" si="4693"/>
        <v>0</v>
      </c>
      <c r="AD925" s="200">
        <f t="shared" si="11"/>
        <v>0</v>
      </c>
      <c r="AE925" s="200">
        <f t="shared" ref="AE925:AG925" si="4694">countif($D925,"*"&amp;AE$2&amp;"*")</f>
        <v>0</v>
      </c>
      <c r="AF925" s="200">
        <f t="shared" si="4694"/>
        <v>0</v>
      </c>
      <c r="AG925" s="200">
        <f t="shared" si="4694"/>
        <v>0</v>
      </c>
      <c r="AH925" s="171">
        <f t="shared" si="13"/>
        <v>0</v>
      </c>
      <c r="AI925" s="200">
        <f t="shared" si="14"/>
        <v>0</v>
      </c>
      <c r="AJ925" s="200">
        <f>SUM(AK925:AR925)</f>
        <v>0</v>
      </c>
      <c r="AK925" s="201">
        <f t="shared" ref="AK925:AS925" si="4695">countif($D925,"*"&amp;AK$2&amp;"*")</f>
        <v>0</v>
      </c>
      <c r="AL925" s="201">
        <f t="shared" si="4695"/>
        <v>0</v>
      </c>
      <c r="AM925" s="201">
        <f t="shared" si="4695"/>
        <v>0</v>
      </c>
      <c r="AN925" s="201">
        <f t="shared" si="4695"/>
        <v>0</v>
      </c>
      <c r="AO925" s="201">
        <f t="shared" si="4695"/>
        <v>0</v>
      </c>
      <c r="AP925" s="201">
        <f t="shared" si="4695"/>
        <v>0</v>
      </c>
      <c r="AQ925" s="201">
        <f t="shared" si="4695"/>
        <v>0</v>
      </c>
      <c r="AR925" s="200">
        <f t="shared" si="4695"/>
        <v>0</v>
      </c>
      <c r="AS925" s="200">
        <f t="shared" si="4695"/>
        <v>0</v>
      </c>
      <c r="AT925" s="173">
        <v>0.0</v>
      </c>
      <c r="AU925" s="200">
        <f t="shared" ref="AU925:AX925" si="4696">countif($D925,"*"&amp;AU$2&amp;"*")</f>
        <v>0</v>
      </c>
      <c r="AV925" s="200">
        <f t="shared" si="4696"/>
        <v>1</v>
      </c>
      <c r="AW925" s="200">
        <f t="shared" si="4696"/>
        <v>0</v>
      </c>
      <c r="AX925" s="200">
        <f t="shared" si="4696"/>
        <v>0</v>
      </c>
      <c r="AY925" s="202">
        <v>0.0</v>
      </c>
      <c r="AZ925" s="200"/>
      <c r="BA925" s="171" t="str">
        <f t="shared" si="18"/>
        <v/>
      </c>
      <c r="BB925" s="171" t="str">
        <f t="shared" si="19"/>
        <v>Code</v>
      </c>
      <c r="BC925" s="171" t="str">
        <f t="shared" si="20"/>
        <v/>
      </c>
      <c r="BD925" s="171" t="str">
        <f t="shared" si="21"/>
        <v/>
      </c>
      <c r="BE925" s="171" t="str">
        <f t="shared" si="22"/>
        <v/>
      </c>
      <c r="BF925" s="171" t="str">
        <f t="shared" si="23"/>
        <v>Code</v>
      </c>
    </row>
    <row r="926">
      <c r="A926" s="171">
        <f t="array" ref="A926">XLOOKUP(C926,ICSE!A:A,ICSE!C:C,,2,1)</f>
        <v>2014</v>
      </c>
      <c r="B926" s="171" t="s">
        <v>5675</v>
      </c>
      <c r="C926" s="160">
        <v>1872.0</v>
      </c>
      <c r="D926" s="161" t="s">
        <v>6057</v>
      </c>
      <c r="E926" s="197" t="str">
        <f t="array" ref="E926">XLOOKUP(C926,ICSE!A:A,ICSE!Z:Z,,0,1)</f>
        <v>Not available (2) - Broken link.
Publicly available (1)</v>
      </c>
      <c r="F926" s="198" t="s">
        <v>21</v>
      </c>
      <c r="G926" s="163" t="str">
        <f t="array" ref="G926">IF(B926="ICSE",IF(COUNTIFS(B:B,B926,C:C,C926)=XLOOKUP(C926,ICSE!A:A,ICSE!AA:AA,"ERROR",0,1),"OK","ERROR"),IF(B926="FSE",IF(COUNTIFS(B:B,B926,C:C,C926)=XLOOKUP(C926,FSE!A:A,FSE!AA:AA,"ERROR",0,1),"OK","ERROR")))</f>
        <v>OK</v>
      </c>
      <c r="H926" s="199">
        <f t="shared" ref="H926:O926" si="4697">countif($D926,"*"&amp;H$2&amp;"*")</f>
        <v>0</v>
      </c>
      <c r="I926" s="200">
        <f t="shared" si="4697"/>
        <v>0</v>
      </c>
      <c r="J926" s="200">
        <f t="shared" si="4697"/>
        <v>0</v>
      </c>
      <c r="K926" s="200">
        <f t="shared" si="4697"/>
        <v>0</v>
      </c>
      <c r="L926" s="200">
        <f t="shared" si="4697"/>
        <v>0</v>
      </c>
      <c r="M926" s="200">
        <f t="shared" si="4697"/>
        <v>0</v>
      </c>
      <c r="N926" s="200">
        <f t="shared" si="4697"/>
        <v>0</v>
      </c>
      <c r="O926" s="200">
        <f t="shared" si="4697"/>
        <v>0</v>
      </c>
      <c r="P926" s="200">
        <f t="shared" si="9"/>
        <v>0</v>
      </c>
      <c r="Q926" s="200">
        <f t="shared" ref="Q926:AC926" si="4698">countif($D926,"*"&amp;Q$2&amp;"*")</f>
        <v>0</v>
      </c>
      <c r="R926" s="200">
        <f t="shared" si="4698"/>
        <v>0</v>
      </c>
      <c r="S926" s="200">
        <f t="shared" si="4698"/>
        <v>0</v>
      </c>
      <c r="T926" s="200">
        <f t="shared" si="4698"/>
        <v>0</v>
      </c>
      <c r="U926" s="200">
        <f t="shared" si="4698"/>
        <v>0</v>
      </c>
      <c r="V926" s="200">
        <f t="shared" si="4698"/>
        <v>0</v>
      </c>
      <c r="W926" s="200">
        <f t="shared" si="4698"/>
        <v>0</v>
      </c>
      <c r="X926" s="200">
        <f t="shared" si="4698"/>
        <v>0</v>
      </c>
      <c r="Y926" s="200">
        <f t="shared" si="4698"/>
        <v>0</v>
      </c>
      <c r="Z926" s="200">
        <f t="shared" si="4698"/>
        <v>0</v>
      </c>
      <c r="AA926" s="200">
        <f t="shared" si="4698"/>
        <v>0</v>
      </c>
      <c r="AB926" s="200">
        <f t="shared" si="4698"/>
        <v>0</v>
      </c>
      <c r="AC926" s="200">
        <f t="shared" si="4698"/>
        <v>0</v>
      </c>
      <c r="AD926" s="200">
        <f t="shared" si="11"/>
        <v>1</v>
      </c>
      <c r="AE926" s="200">
        <f t="shared" ref="AE926:AG926" si="4699">countif($D926,"*"&amp;AE$2&amp;"*")</f>
        <v>0</v>
      </c>
      <c r="AF926" s="200">
        <f t="shared" si="4699"/>
        <v>0</v>
      </c>
      <c r="AG926" s="200">
        <f t="shared" si="4699"/>
        <v>0</v>
      </c>
      <c r="AH926" s="171">
        <f t="shared" si="13"/>
        <v>0</v>
      </c>
      <c r="AI926" s="200">
        <f t="shared" si="14"/>
        <v>0</v>
      </c>
      <c r="AJ926" s="200">
        <f>SUM(AK926:AQ926)</f>
        <v>0</v>
      </c>
      <c r="AK926" s="201">
        <f t="shared" ref="AK926:AS926" si="4700">countif($D926,"*"&amp;AK$2&amp;"*")</f>
        <v>0</v>
      </c>
      <c r="AL926" s="201">
        <f t="shared" si="4700"/>
        <v>0</v>
      </c>
      <c r="AM926" s="201">
        <f t="shared" si="4700"/>
        <v>0</v>
      </c>
      <c r="AN926" s="201">
        <f t="shared" si="4700"/>
        <v>0</v>
      </c>
      <c r="AO926" s="201">
        <f t="shared" si="4700"/>
        <v>0</v>
      </c>
      <c r="AP926" s="201">
        <f t="shared" si="4700"/>
        <v>0</v>
      </c>
      <c r="AQ926" s="201">
        <f t="shared" si="4700"/>
        <v>0</v>
      </c>
      <c r="AR926" s="201">
        <f t="shared" si="4700"/>
        <v>0</v>
      </c>
      <c r="AS926" s="200">
        <f t="shared" si="4700"/>
        <v>0</v>
      </c>
      <c r="AT926" s="205">
        <v>0.0</v>
      </c>
      <c r="AU926" s="200">
        <f t="shared" ref="AU926:AX926" si="4701">countif($D926,"*"&amp;AU$2&amp;"*")</f>
        <v>1</v>
      </c>
      <c r="AV926" s="200">
        <f t="shared" si="4701"/>
        <v>0</v>
      </c>
      <c r="AW926" s="200">
        <f t="shared" si="4701"/>
        <v>0</v>
      </c>
      <c r="AX926" s="200">
        <f t="shared" si="4701"/>
        <v>0</v>
      </c>
      <c r="AY926" s="202">
        <v>0.0</v>
      </c>
      <c r="AZ926" s="200"/>
      <c r="BA926" s="171" t="str">
        <f t="shared" si="18"/>
        <v/>
      </c>
      <c r="BB926" s="171" t="str">
        <f t="shared" si="19"/>
        <v/>
      </c>
      <c r="BC926" s="171" t="str">
        <f t="shared" si="20"/>
        <v/>
      </c>
      <c r="BD926" s="171" t="str">
        <f t="shared" si="21"/>
        <v>Institutional</v>
      </c>
      <c r="BE926" s="171" t="str">
        <f t="shared" si="22"/>
        <v/>
      </c>
      <c r="BF926" s="171" t="str">
        <f t="shared" si="23"/>
        <v>Institutional</v>
      </c>
    </row>
    <row r="927">
      <c r="A927" s="171">
        <f t="array" ref="A927">XLOOKUP(C927,ICSE!A:A,ICSE!C:C,,2,1)</f>
        <v>2014</v>
      </c>
      <c r="B927" s="171" t="s">
        <v>5675</v>
      </c>
      <c r="C927" s="160">
        <v>1872.0</v>
      </c>
      <c r="D927" s="161" t="s">
        <v>6058</v>
      </c>
      <c r="E927" s="197" t="str">
        <f t="array" ref="E927">XLOOKUP(C927,ICSE!A:A,ICSE!Z:Z,,0,1)</f>
        <v>Not available (2) - Broken link.
Publicly available (1)</v>
      </c>
      <c r="F927" s="198" t="s">
        <v>21</v>
      </c>
      <c r="G927" s="163" t="str">
        <f t="array" ref="G927">IF(B927="ICSE",IF(COUNTIFS(B:B,B927,C:C,C927)=XLOOKUP(C927,ICSE!A:A,ICSE!AA:AA,"ERROR",0,1),"OK","ERROR"),IF(B927="FSE",IF(COUNTIFS(B:B,B927,C:C,C927)=XLOOKUP(C927,FSE!A:A,FSE!AA:AA,"ERROR",0,1),"OK","ERROR")))</f>
        <v>OK</v>
      </c>
      <c r="H927" s="199">
        <f t="shared" ref="H927:O927" si="4702">countif($D927,"*"&amp;H$2&amp;"*")</f>
        <v>0</v>
      </c>
      <c r="I927" s="200">
        <f t="shared" si="4702"/>
        <v>0</v>
      </c>
      <c r="J927" s="200">
        <f t="shared" si="4702"/>
        <v>0</v>
      </c>
      <c r="K927" s="200">
        <f t="shared" si="4702"/>
        <v>0</v>
      </c>
      <c r="L927" s="200">
        <f t="shared" si="4702"/>
        <v>0</v>
      </c>
      <c r="M927" s="200">
        <f t="shared" si="4702"/>
        <v>0</v>
      </c>
      <c r="N927" s="200">
        <f t="shared" si="4702"/>
        <v>0</v>
      </c>
      <c r="O927" s="200">
        <f t="shared" si="4702"/>
        <v>0</v>
      </c>
      <c r="P927" s="200">
        <f t="shared" si="9"/>
        <v>0</v>
      </c>
      <c r="Q927" s="200">
        <f t="shared" ref="Q927:AC927" si="4703">countif($D927,"*"&amp;Q$2&amp;"*")</f>
        <v>0</v>
      </c>
      <c r="R927" s="200">
        <f t="shared" si="4703"/>
        <v>0</v>
      </c>
      <c r="S927" s="200">
        <f t="shared" si="4703"/>
        <v>0</v>
      </c>
      <c r="T927" s="200">
        <f t="shared" si="4703"/>
        <v>0</v>
      </c>
      <c r="U927" s="200">
        <f t="shared" si="4703"/>
        <v>0</v>
      </c>
      <c r="V927" s="200">
        <f t="shared" si="4703"/>
        <v>0</v>
      </c>
      <c r="W927" s="200">
        <f t="shared" si="4703"/>
        <v>0</v>
      </c>
      <c r="X927" s="200">
        <f t="shared" si="4703"/>
        <v>0</v>
      </c>
      <c r="Y927" s="200">
        <f t="shared" si="4703"/>
        <v>0</v>
      </c>
      <c r="Z927" s="200">
        <f t="shared" si="4703"/>
        <v>0</v>
      </c>
      <c r="AA927" s="200">
        <f t="shared" si="4703"/>
        <v>0</v>
      </c>
      <c r="AB927" s="200">
        <f t="shared" si="4703"/>
        <v>0</v>
      </c>
      <c r="AC927" s="200">
        <f t="shared" si="4703"/>
        <v>0</v>
      </c>
      <c r="AD927" s="200">
        <f t="shared" si="11"/>
        <v>0</v>
      </c>
      <c r="AE927" s="200">
        <f t="shared" ref="AE927:AG927" si="4704">countif($D927,"*"&amp;AE$2&amp;"*")</f>
        <v>0</v>
      </c>
      <c r="AF927" s="200">
        <f t="shared" si="4704"/>
        <v>0</v>
      </c>
      <c r="AG927" s="200">
        <f t="shared" si="4704"/>
        <v>0</v>
      </c>
      <c r="AH927" s="171">
        <f t="shared" si="13"/>
        <v>1</v>
      </c>
      <c r="AI927" s="200">
        <f t="shared" si="14"/>
        <v>0</v>
      </c>
      <c r="AJ927" s="200">
        <f t="shared" ref="AJ927:AJ930" si="4710">SUM(AK927:AR927)</f>
        <v>1</v>
      </c>
      <c r="AK927" s="201">
        <f t="shared" ref="AK927:AS927" si="4705">countif($D927,"*"&amp;AK$2&amp;"*")</f>
        <v>0</v>
      </c>
      <c r="AL927" s="201">
        <f t="shared" si="4705"/>
        <v>0</v>
      </c>
      <c r="AM927" s="201">
        <f t="shared" si="4705"/>
        <v>0</v>
      </c>
      <c r="AN927" s="201">
        <f t="shared" si="4705"/>
        <v>1</v>
      </c>
      <c r="AO927" s="201">
        <f t="shared" si="4705"/>
        <v>0</v>
      </c>
      <c r="AP927" s="201">
        <f t="shared" si="4705"/>
        <v>0</v>
      </c>
      <c r="AQ927" s="201">
        <f t="shared" si="4705"/>
        <v>0</v>
      </c>
      <c r="AR927" s="200">
        <f t="shared" si="4705"/>
        <v>0</v>
      </c>
      <c r="AS927" s="200">
        <f t="shared" si="4705"/>
        <v>0</v>
      </c>
      <c r="AT927" s="173">
        <v>0.0</v>
      </c>
      <c r="AU927" s="200">
        <f t="shared" ref="AU927:AX927" si="4706">countif($D927,"*"&amp;AU$2&amp;"*")</f>
        <v>0</v>
      </c>
      <c r="AV927" s="200">
        <f t="shared" si="4706"/>
        <v>0</v>
      </c>
      <c r="AW927" s="200">
        <f t="shared" si="4706"/>
        <v>0</v>
      </c>
      <c r="AX927" s="200">
        <f t="shared" si="4706"/>
        <v>0</v>
      </c>
      <c r="AY927" s="202">
        <v>0.0</v>
      </c>
      <c r="AZ927" s="200"/>
      <c r="BA927" s="171" t="str">
        <f t="shared" si="18"/>
        <v/>
      </c>
      <c r="BB927" s="171" t="str">
        <f t="shared" si="19"/>
        <v/>
      </c>
      <c r="BC927" s="171" t="str">
        <f t="shared" si="20"/>
        <v/>
      </c>
      <c r="BD927" s="171" t="str">
        <f t="shared" si="21"/>
        <v/>
      </c>
      <c r="BE927" s="171" t="str">
        <f t="shared" si="22"/>
        <v>Others</v>
      </c>
      <c r="BF927" s="171" t="str">
        <f t="shared" si="23"/>
        <v>Others</v>
      </c>
    </row>
    <row r="928">
      <c r="A928" s="171">
        <f t="array" ref="A928">XLOOKUP(C928,ICSE!A:A,ICSE!C:C,,2,1)</f>
        <v>2014</v>
      </c>
      <c r="B928" s="171" t="s">
        <v>5675</v>
      </c>
      <c r="C928" s="160">
        <v>1874.0</v>
      </c>
      <c r="D928" s="161" t="s">
        <v>6059</v>
      </c>
      <c r="E928" s="197" t="str">
        <f t="array" ref="E928">XLOOKUP(C928,ICSE!A:A,ICSE!Z:Z,,0,1)</f>
        <v>Publicly available (1)</v>
      </c>
      <c r="F928" s="198" t="s">
        <v>20</v>
      </c>
      <c r="G928" s="163" t="str">
        <f t="array" ref="G928">IF(B928="ICSE",IF(COUNTIFS(B:B,B928,C:C,C928)=XLOOKUP(C928,ICSE!A:A,ICSE!AA:AA,"ERROR",0,1),"OK","ERROR"),IF(B928="FSE",IF(COUNTIFS(B:B,B928,C:C,C928)=XLOOKUP(C928,FSE!A:A,FSE!AA:AA,"ERROR",0,1),"OK","ERROR")))</f>
        <v>OK</v>
      </c>
      <c r="H928" s="199">
        <f t="shared" ref="H928:O928" si="4707">countif($D928,"*"&amp;H$2&amp;"*")</f>
        <v>0</v>
      </c>
      <c r="I928" s="200">
        <f t="shared" si="4707"/>
        <v>0</v>
      </c>
      <c r="J928" s="200">
        <f t="shared" si="4707"/>
        <v>0</v>
      </c>
      <c r="K928" s="200">
        <f t="shared" si="4707"/>
        <v>0</v>
      </c>
      <c r="L928" s="200">
        <f t="shared" si="4707"/>
        <v>0</v>
      </c>
      <c r="M928" s="200">
        <f t="shared" si="4707"/>
        <v>0</v>
      </c>
      <c r="N928" s="200">
        <f t="shared" si="4707"/>
        <v>0</v>
      </c>
      <c r="O928" s="200">
        <f t="shared" si="4707"/>
        <v>0</v>
      </c>
      <c r="P928" s="200">
        <f t="shared" si="9"/>
        <v>1</v>
      </c>
      <c r="Q928" s="200">
        <f t="shared" ref="Q928:AC928" si="4708">countif($D928,"*"&amp;Q$2&amp;"*")</f>
        <v>0</v>
      </c>
      <c r="R928" s="200">
        <f t="shared" si="4708"/>
        <v>0</v>
      </c>
      <c r="S928" s="200">
        <f t="shared" si="4708"/>
        <v>0</v>
      </c>
      <c r="T928" s="200">
        <f t="shared" si="4708"/>
        <v>0</v>
      </c>
      <c r="U928" s="200">
        <f t="shared" si="4708"/>
        <v>0</v>
      </c>
      <c r="V928" s="200">
        <f t="shared" si="4708"/>
        <v>0</v>
      </c>
      <c r="W928" s="200">
        <f t="shared" si="4708"/>
        <v>0</v>
      </c>
      <c r="X928" s="200">
        <f t="shared" si="4708"/>
        <v>0</v>
      </c>
      <c r="Y928" s="200">
        <f t="shared" si="4708"/>
        <v>0</v>
      </c>
      <c r="Z928" s="200">
        <f t="shared" si="4708"/>
        <v>0</v>
      </c>
      <c r="AA928" s="200">
        <f t="shared" si="4708"/>
        <v>0</v>
      </c>
      <c r="AB928" s="200">
        <f t="shared" si="4708"/>
        <v>0</v>
      </c>
      <c r="AC928" s="200">
        <f t="shared" si="4708"/>
        <v>0</v>
      </c>
      <c r="AD928" s="200">
        <f t="shared" si="11"/>
        <v>0</v>
      </c>
      <c r="AE928" s="200">
        <f t="shared" ref="AE928:AG928" si="4709">countif($D928,"*"&amp;AE$2&amp;"*")</f>
        <v>0</v>
      </c>
      <c r="AF928" s="200">
        <f t="shared" si="4709"/>
        <v>0</v>
      </c>
      <c r="AG928" s="200">
        <f t="shared" si="4709"/>
        <v>0</v>
      </c>
      <c r="AH928" s="171">
        <f t="shared" si="13"/>
        <v>0</v>
      </c>
      <c r="AI928" s="200">
        <f t="shared" si="14"/>
        <v>0</v>
      </c>
      <c r="AJ928" s="200">
        <f t="shared" si="4710"/>
        <v>0</v>
      </c>
      <c r="AK928" s="201">
        <f t="shared" ref="AK928:AS928" si="4711">countif($D928,"*"&amp;AK$2&amp;"*")</f>
        <v>0</v>
      </c>
      <c r="AL928" s="201">
        <f t="shared" si="4711"/>
        <v>0</v>
      </c>
      <c r="AM928" s="201">
        <f t="shared" si="4711"/>
        <v>0</v>
      </c>
      <c r="AN928" s="201">
        <f t="shared" si="4711"/>
        <v>0</v>
      </c>
      <c r="AO928" s="201">
        <f t="shared" si="4711"/>
        <v>0</v>
      </c>
      <c r="AP928" s="201">
        <f t="shared" si="4711"/>
        <v>0</v>
      </c>
      <c r="AQ928" s="201">
        <f t="shared" si="4711"/>
        <v>0</v>
      </c>
      <c r="AR928" s="200">
        <f t="shared" si="4711"/>
        <v>0</v>
      </c>
      <c r="AS928" s="200">
        <f t="shared" si="4711"/>
        <v>1</v>
      </c>
      <c r="AT928" s="173">
        <v>0.0</v>
      </c>
      <c r="AU928" s="200">
        <f t="shared" ref="AU928:AX928" si="4712">countif($D928,"*"&amp;AU$2&amp;"*")</f>
        <v>0</v>
      </c>
      <c r="AV928" s="200">
        <f t="shared" si="4712"/>
        <v>1</v>
      </c>
      <c r="AW928" s="200">
        <f t="shared" si="4712"/>
        <v>0</v>
      </c>
      <c r="AX928" s="200">
        <f t="shared" si="4712"/>
        <v>0</v>
      </c>
      <c r="AY928" s="202">
        <v>0.0</v>
      </c>
      <c r="AZ928" s="200"/>
      <c r="BA928" s="171" t="str">
        <f t="shared" si="18"/>
        <v/>
      </c>
      <c r="BB928" s="171" t="str">
        <f t="shared" si="19"/>
        <v>Code</v>
      </c>
      <c r="BC928" s="171" t="str">
        <f t="shared" si="20"/>
        <v/>
      </c>
      <c r="BD928" s="171" t="str">
        <f t="shared" si="21"/>
        <v/>
      </c>
      <c r="BE928" s="171" t="str">
        <f t="shared" si="22"/>
        <v/>
      </c>
      <c r="BF928" s="171" t="str">
        <f t="shared" si="23"/>
        <v>Code</v>
      </c>
    </row>
    <row r="929">
      <c r="A929" s="171">
        <f t="array" ref="A929">XLOOKUP(C929,ICSE!A:A,ICSE!C:C,,2,1)</f>
        <v>2014</v>
      </c>
      <c r="B929" s="171" t="s">
        <v>5675</v>
      </c>
      <c r="C929" s="160">
        <v>1876.0</v>
      </c>
      <c r="D929" s="161" t="s">
        <v>132</v>
      </c>
      <c r="E929" s="197" t="str">
        <f t="array" ref="E929">XLOOKUP(C929,ICSE!A:A,ICSE!Z:Z,,0,1)</f>
        <v>Publicly available (1)</v>
      </c>
      <c r="F929" s="198" t="s">
        <v>20</v>
      </c>
      <c r="G929" s="163" t="str">
        <f t="array" ref="G929">IF(B929="ICSE",IF(COUNTIFS(B:B,B929,C:C,C929)=XLOOKUP(C929,ICSE!A:A,ICSE!AA:AA,"ERROR",0,1),"OK","ERROR"),IF(B929="FSE",IF(COUNTIFS(B:B,B929,C:C,C929)=XLOOKUP(C929,FSE!A:A,FSE!AA:AA,"ERROR",0,1),"OK","ERROR")))</f>
        <v>OK</v>
      </c>
      <c r="H929" s="199">
        <f t="shared" ref="H929:O929" si="4713">countif($D929,"*"&amp;H$2&amp;"*")</f>
        <v>0</v>
      </c>
      <c r="I929" s="200">
        <f t="shared" si="4713"/>
        <v>0</v>
      </c>
      <c r="J929" s="200">
        <f t="shared" si="4713"/>
        <v>0</v>
      </c>
      <c r="K929" s="200">
        <f t="shared" si="4713"/>
        <v>0</v>
      </c>
      <c r="L929" s="200">
        <f t="shared" si="4713"/>
        <v>0</v>
      </c>
      <c r="M929" s="200">
        <f t="shared" si="4713"/>
        <v>0</v>
      </c>
      <c r="N929" s="200">
        <f t="shared" si="4713"/>
        <v>0</v>
      </c>
      <c r="O929" s="200">
        <f t="shared" si="4713"/>
        <v>0</v>
      </c>
      <c r="P929" s="200">
        <f t="shared" si="9"/>
        <v>0</v>
      </c>
      <c r="Q929" s="200">
        <f t="shared" ref="Q929:AC929" si="4714">countif($D929,"*"&amp;Q$2&amp;"*")</f>
        <v>0</v>
      </c>
      <c r="R929" s="200">
        <f t="shared" si="4714"/>
        <v>0</v>
      </c>
      <c r="S929" s="200">
        <f t="shared" si="4714"/>
        <v>0</v>
      </c>
      <c r="T929" s="200">
        <f t="shared" si="4714"/>
        <v>0</v>
      </c>
      <c r="U929" s="200">
        <f t="shared" si="4714"/>
        <v>0</v>
      </c>
      <c r="V929" s="200">
        <f t="shared" si="4714"/>
        <v>0</v>
      </c>
      <c r="W929" s="200">
        <f t="shared" si="4714"/>
        <v>0</v>
      </c>
      <c r="X929" s="200">
        <f t="shared" si="4714"/>
        <v>0</v>
      </c>
      <c r="Y929" s="200">
        <f t="shared" si="4714"/>
        <v>0</v>
      </c>
      <c r="Z929" s="200">
        <f t="shared" si="4714"/>
        <v>0</v>
      </c>
      <c r="AA929" s="200">
        <f t="shared" si="4714"/>
        <v>0</v>
      </c>
      <c r="AB929" s="200">
        <f t="shared" si="4714"/>
        <v>0</v>
      </c>
      <c r="AC929" s="200">
        <f t="shared" si="4714"/>
        <v>0</v>
      </c>
      <c r="AD929" s="200">
        <f t="shared" si="11"/>
        <v>1</v>
      </c>
      <c r="AE929" s="200">
        <f t="shared" ref="AE929:AG929" si="4715">countif($D929,"*"&amp;AE$2&amp;"*")</f>
        <v>0</v>
      </c>
      <c r="AF929" s="200">
        <f t="shared" si="4715"/>
        <v>0</v>
      </c>
      <c r="AG929" s="200">
        <f t="shared" si="4715"/>
        <v>0</v>
      </c>
      <c r="AH929" s="171">
        <f t="shared" si="13"/>
        <v>0</v>
      </c>
      <c r="AI929" s="200">
        <f t="shared" si="14"/>
        <v>0</v>
      </c>
      <c r="AJ929" s="200">
        <f t="shared" si="4710"/>
        <v>0</v>
      </c>
      <c r="AK929" s="201">
        <f t="shared" ref="AK929:AS929" si="4716">countif($D929,"*"&amp;AK$2&amp;"*")</f>
        <v>0</v>
      </c>
      <c r="AL929" s="201">
        <f t="shared" si="4716"/>
        <v>0</v>
      </c>
      <c r="AM929" s="201">
        <f t="shared" si="4716"/>
        <v>0</v>
      </c>
      <c r="AN929" s="201">
        <f t="shared" si="4716"/>
        <v>0</v>
      </c>
      <c r="AO929" s="201">
        <f t="shared" si="4716"/>
        <v>0</v>
      </c>
      <c r="AP929" s="201">
        <f t="shared" si="4716"/>
        <v>0</v>
      </c>
      <c r="AQ929" s="201">
        <f t="shared" si="4716"/>
        <v>0</v>
      </c>
      <c r="AR929" s="200">
        <f t="shared" si="4716"/>
        <v>0</v>
      </c>
      <c r="AS929" s="200">
        <f t="shared" si="4716"/>
        <v>0</v>
      </c>
      <c r="AT929" s="173">
        <v>1.0</v>
      </c>
      <c r="AU929" s="200">
        <f t="shared" ref="AU929:AX929" si="4717">countif($D929,"*"&amp;AU$2&amp;"*")</f>
        <v>0</v>
      </c>
      <c r="AV929" s="200">
        <f t="shared" si="4717"/>
        <v>0</v>
      </c>
      <c r="AW929" s="200">
        <f t="shared" si="4717"/>
        <v>0</v>
      </c>
      <c r="AX929" s="200">
        <f t="shared" si="4717"/>
        <v>0</v>
      </c>
      <c r="AY929" s="202">
        <v>0.0</v>
      </c>
      <c r="AZ929" s="200"/>
      <c r="BA929" s="171" t="str">
        <f t="shared" si="18"/>
        <v/>
      </c>
      <c r="BB929" s="171" t="str">
        <f t="shared" si="19"/>
        <v/>
      </c>
      <c r="BC929" s="171" t="str">
        <f t="shared" si="20"/>
        <v/>
      </c>
      <c r="BD929" s="171" t="str">
        <f t="shared" si="21"/>
        <v>Institutional</v>
      </c>
      <c r="BE929" s="171" t="str">
        <f t="shared" si="22"/>
        <v/>
      </c>
      <c r="BF929" s="171" t="str">
        <f t="shared" si="23"/>
        <v>Institutional</v>
      </c>
    </row>
    <row r="930">
      <c r="A930" s="171">
        <f t="array" ref="A930">XLOOKUP(C930,ICSE!A:A,ICSE!C:C,,2,1)</f>
        <v>2014</v>
      </c>
      <c r="B930" s="171" t="s">
        <v>5675</v>
      </c>
      <c r="C930" s="160">
        <v>1877.0</v>
      </c>
      <c r="D930" s="161" t="s">
        <v>6060</v>
      </c>
      <c r="E930" s="197" t="str">
        <f t="array" ref="E930">XLOOKUP(C930,ICSE!A:A,ICSE!Z:Z,,0,1)</f>
        <v>Publicly available (1)</v>
      </c>
      <c r="F930" s="198" t="s">
        <v>20</v>
      </c>
      <c r="G930" s="163" t="str">
        <f t="array" ref="G930">IF(B930="ICSE",IF(COUNTIFS(B:B,B930,C:C,C930)=XLOOKUP(C930,ICSE!A:A,ICSE!AA:AA,"ERROR",0,1),"OK","ERROR"),IF(B930="FSE",IF(COUNTIFS(B:B,B930,C:C,C930)=XLOOKUP(C930,FSE!A:A,FSE!AA:AA,"ERROR",0,1),"OK","ERROR")))</f>
        <v>OK</v>
      </c>
      <c r="H930" s="199">
        <f t="shared" ref="H930:O930" si="4718">countif($D930,"*"&amp;H$2&amp;"*")</f>
        <v>0</v>
      </c>
      <c r="I930" s="200">
        <f t="shared" si="4718"/>
        <v>0</v>
      </c>
      <c r="J930" s="200">
        <f t="shared" si="4718"/>
        <v>0</v>
      </c>
      <c r="K930" s="200">
        <f t="shared" si="4718"/>
        <v>0</v>
      </c>
      <c r="L930" s="200">
        <f t="shared" si="4718"/>
        <v>0</v>
      </c>
      <c r="M930" s="200">
        <f t="shared" si="4718"/>
        <v>0</v>
      </c>
      <c r="N930" s="200">
        <f t="shared" si="4718"/>
        <v>0</v>
      </c>
      <c r="O930" s="200">
        <f t="shared" si="4718"/>
        <v>0</v>
      </c>
      <c r="P930" s="200">
        <f t="shared" si="9"/>
        <v>0</v>
      </c>
      <c r="Q930" s="200">
        <f t="shared" ref="Q930:AC930" si="4719">countif($D930,"*"&amp;Q$2&amp;"*")</f>
        <v>0</v>
      </c>
      <c r="R930" s="200">
        <f t="shared" si="4719"/>
        <v>0</v>
      </c>
      <c r="S930" s="200">
        <f t="shared" si="4719"/>
        <v>0</v>
      </c>
      <c r="T930" s="200">
        <f t="shared" si="4719"/>
        <v>0</v>
      </c>
      <c r="U930" s="200">
        <f t="shared" si="4719"/>
        <v>0</v>
      </c>
      <c r="V930" s="200">
        <f t="shared" si="4719"/>
        <v>0</v>
      </c>
      <c r="W930" s="200">
        <f t="shared" si="4719"/>
        <v>0</v>
      </c>
      <c r="X930" s="200">
        <f t="shared" si="4719"/>
        <v>0</v>
      </c>
      <c r="Y930" s="200">
        <f t="shared" si="4719"/>
        <v>0</v>
      </c>
      <c r="Z930" s="200">
        <f t="shared" si="4719"/>
        <v>0</v>
      </c>
      <c r="AA930" s="200">
        <f t="shared" si="4719"/>
        <v>0</v>
      </c>
      <c r="AB930" s="200">
        <f t="shared" si="4719"/>
        <v>0</v>
      </c>
      <c r="AC930" s="200">
        <f t="shared" si="4719"/>
        <v>0</v>
      </c>
      <c r="AD930" s="200">
        <f t="shared" si="11"/>
        <v>1</v>
      </c>
      <c r="AE930" s="200">
        <f t="shared" ref="AE930:AG930" si="4720">countif($D930,"*"&amp;AE$2&amp;"*")</f>
        <v>0</v>
      </c>
      <c r="AF930" s="200">
        <f t="shared" si="4720"/>
        <v>0</v>
      </c>
      <c r="AG930" s="200">
        <f t="shared" si="4720"/>
        <v>0</v>
      </c>
      <c r="AH930" s="171">
        <f t="shared" si="13"/>
        <v>0</v>
      </c>
      <c r="AI930" s="200">
        <f t="shared" si="14"/>
        <v>0</v>
      </c>
      <c r="AJ930" s="200">
        <f t="shared" si="4710"/>
        <v>1</v>
      </c>
      <c r="AK930" s="201">
        <f t="shared" ref="AK930:AS930" si="4721">countif($D930,"*"&amp;AK$2&amp;"*")</f>
        <v>0</v>
      </c>
      <c r="AL930" s="201">
        <f t="shared" si="4721"/>
        <v>0</v>
      </c>
      <c r="AM930" s="201">
        <f t="shared" si="4721"/>
        <v>1</v>
      </c>
      <c r="AN930" s="201">
        <f t="shared" si="4721"/>
        <v>0</v>
      </c>
      <c r="AO930" s="201">
        <f t="shared" si="4721"/>
        <v>0</v>
      </c>
      <c r="AP930" s="201">
        <f t="shared" si="4721"/>
        <v>0</v>
      </c>
      <c r="AQ930" s="201">
        <f t="shared" si="4721"/>
        <v>0</v>
      </c>
      <c r="AR930" s="200">
        <f t="shared" si="4721"/>
        <v>0</v>
      </c>
      <c r="AS930" s="200">
        <f t="shared" si="4721"/>
        <v>1</v>
      </c>
      <c r="AT930" s="173">
        <v>1.0</v>
      </c>
      <c r="AU930" s="200">
        <f t="shared" ref="AU930:AX930" si="4722">countif($D930,"*"&amp;AU$2&amp;"*")</f>
        <v>0</v>
      </c>
      <c r="AV930" s="200">
        <f t="shared" si="4722"/>
        <v>0</v>
      </c>
      <c r="AW930" s="200">
        <f t="shared" si="4722"/>
        <v>0</v>
      </c>
      <c r="AX930" s="200">
        <f t="shared" si="4722"/>
        <v>0</v>
      </c>
      <c r="AY930" s="202">
        <v>0.0</v>
      </c>
      <c r="AZ930" s="200"/>
      <c r="BA930" s="171" t="str">
        <f t="shared" si="18"/>
        <v/>
      </c>
      <c r="BB930" s="171" t="str">
        <f t="shared" si="19"/>
        <v/>
      </c>
      <c r="BC930" s="171" t="str">
        <f t="shared" si="20"/>
        <v/>
      </c>
      <c r="BD930" s="171" t="str">
        <f t="shared" si="21"/>
        <v>Institutional</v>
      </c>
      <c r="BE930" s="171" t="str">
        <f t="shared" si="22"/>
        <v/>
      </c>
      <c r="BF930" s="171" t="str">
        <f t="shared" si="23"/>
        <v>Institutional</v>
      </c>
    </row>
    <row r="931">
      <c r="A931" s="171">
        <f t="array" ref="A931">XLOOKUP(C931,ICSE!A:A,ICSE!C:C,,2,1)</f>
        <v>2014</v>
      </c>
      <c r="B931" s="171" t="s">
        <v>5675</v>
      </c>
      <c r="C931" s="160">
        <v>1878.0</v>
      </c>
      <c r="D931" s="161" t="s">
        <v>139</v>
      </c>
      <c r="E931" s="197" t="str">
        <f t="array" ref="E931">XLOOKUP(C931,ICSE!A:A,ICSE!Z:Z,,0,1)</f>
        <v>Not available (1) - Broken link.</v>
      </c>
      <c r="F931" s="198" t="s">
        <v>21</v>
      </c>
      <c r="G931" s="163" t="str">
        <f t="array" ref="G931">IF(B931="ICSE",IF(COUNTIFS(B:B,B931,C:C,C931)=XLOOKUP(C931,ICSE!A:A,ICSE!AA:AA,"ERROR",0,1),"OK","ERROR"),IF(B931="FSE",IF(COUNTIFS(B:B,B931,C:C,C931)=XLOOKUP(C931,FSE!A:A,FSE!AA:AA,"ERROR",0,1),"OK","ERROR")))</f>
        <v>OK</v>
      </c>
      <c r="H931" s="199">
        <f t="shared" ref="H931:O931" si="4723">countif($D931,"*"&amp;H$2&amp;"*")</f>
        <v>0</v>
      </c>
      <c r="I931" s="200">
        <f t="shared" si="4723"/>
        <v>0</v>
      </c>
      <c r="J931" s="200">
        <f t="shared" si="4723"/>
        <v>0</v>
      </c>
      <c r="K931" s="200">
        <f t="shared" si="4723"/>
        <v>0</v>
      </c>
      <c r="L931" s="200">
        <f t="shared" si="4723"/>
        <v>0</v>
      </c>
      <c r="M931" s="200">
        <f t="shared" si="4723"/>
        <v>0</v>
      </c>
      <c r="N931" s="200">
        <f t="shared" si="4723"/>
        <v>0</v>
      </c>
      <c r="O931" s="200">
        <f t="shared" si="4723"/>
        <v>0</v>
      </c>
      <c r="P931" s="200">
        <f t="shared" si="9"/>
        <v>0</v>
      </c>
      <c r="Q931" s="200">
        <f t="shared" ref="Q931:AC931" si="4724">countif($D931,"*"&amp;Q$2&amp;"*")</f>
        <v>0</v>
      </c>
      <c r="R931" s="200">
        <f t="shared" si="4724"/>
        <v>0</v>
      </c>
      <c r="S931" s="200">
        <f t="shared" si="4724"/>
        <v>0</v>
      </c>
      <c r="T931" s="200">
        <f t="shared" si="4724"/>
        <v>0</v>
      </c>
      <c r="U931" s="200">
        <f t="shared" si="4724"/>
        <v>0</v>
      </c>
      <c r="V931" s="200">
        <f t="shared" si="4724"/>
        <v>0</v>
      </c>
      <c r="W931" s="200">
        <f t="shared" si="4724"/>
        <v>0</v>
      </c>
      <c r="X931" s="200">
        <f t="shared" si="4724"/>
        <v>0</v>
      </c>
      <c r="Y931" s="200">
        <f t="shared" si="4724"/>
        <v>0</v>
      </c>
      <c r="Z931" s="200">
        <f t="shared" si="4724"/>
        <v>0</v>
      </c>
      <c r="AA931" s="200">
        <f t="shared" si="4724"/>
        <v>0</v>
      </c>
      <c r="AB931" s="200">
        <f t="shared" si="4724"/>
        <v>0</v>
      </c>
      <c r="AC931" s="200">
        <f t="shared" si="4724"/>
        <v>0</v>
      </c>
      <c r="AD931" s="200">
        <f t="shared" si="11"/>
        <v>1</v>
      </c>
      <c r="AE931" s="200">
        <f t="shared" ref="AE931:AG931" si="4725">countif($D931,"*"&amp;AE$2&amp;"*")</f>
        <v>0</v>
      </c>
      <c r="AF931" s="200">
        <f t="shared" si="4725"/>
        <v>0</v>
      </c>
      <c r="AG931" s="200">
        <f t="shared" si="4725"/>
        <v>0</v>
      </c>
      <c r="AH931" s="171">
        <f t="shared" si="13"/>
        <v>0</v>
      </c>
      <c r="AI931" s="200">
        <f t="shared" si="14"/>
        <v>0</v>
      </c>
      <c r="AJ931" s="200">
        <f>SUM(AK931:AQ931)</f>
        <v>0</v>
      </c>
      <c r="AK931" s="201">
        <f t="shared" ref="AK931:AS931" si="4726">countif($D931,"*"&amp;AK$2&amp;"*")</f>
        <v>0</v>
      </c>
      <c r="AL931" s="201">
        <f t="shared" si="4726"/>
        <v>0</v>
      </c>
      <c r="AM931" s="201">
        <f t="shared" si="4726"/>
        <v>0</v>
      </c>
      <c r="AN931" s="201">
        <f t="shared" si="4726"/>
        <v>0</v>
      </c>
      <c r="AO931" s="201">
        <f t="shared" si="4726"/>
        <v>0</v>
      </c>
      <c r="AP931" s="201">
        <f t="shared" si="4726"/>
        <v>0</v>
      </c>
      <c r="AQ931" s="201">
        <f t="shared" si="4726"/>
        <v>0</v>
      </c>
      <c r="AR931" s="201">
        <f t="shared" si="4726"/>
        <v>0</v>
      </c>
      <c r="AS931" s="200">
        <f t="shared" si="4726"/>
        <v>0</v>
      </c>
      <c r="AT931" s="205">
        <v>0.0</v>
      </c>
      <c r="AU931" s="200">
        <f t="shared" ref="AU931:AX931" si="4727">countif($D931,"*"&amp;AU$2&amp;"*")</f>
        <v>1</v>
      </c>
      <c r="AV931" s="200">
        <f t="shared" si="4727"/>
        <v>0</v>
      </c>
      <c r="AW931" s="200">
        <f t="shared" si="4727"/>
        <v>0</v>
      </c>
      <c r="AX931" s="200">
        <f t="shared" si="4727"/>
        <v>0</v>
      </c>
      <c r="AY931" s="202">
        <v>0.0</v>
      </c>
      <c r="AZ931" s="200"/>
      <c r="BA931" s="171" t="str">
        <f t="shared" si="18"/>
        <v/>
      </c>
      <c r="BB931" s="171" t="str">
        <f t="shared" si="19"/>
        <v/>
      </c>
      <c r="BC931" s="171" t="str">
        <f t="shared" si="20"/>
        <v/>
      </c>
      <c r="BD931" s="171" t="str">
        <f t="shared" si="21"/>
        <v>Institutional</v>
      </c>
      <c r="BE931" s="171" t="str">
        <f t="shared" si="22"/>
        <v/>
      </c>
      <c r="BF931" s="171" t="str">
        <f t="shared" si="23"/>
        <v>Institutional</v>
      </c>
    </row>
    <row r="932">
      <c r="A932" s="171">
        <f t="array" ref="A932">XLOOKUP(C932,ICSE!A:A,ICSE!C:C,,2,1)</f>
        <v>2014</v>
      </c>
      <c r="B932" s="171" t="s">
        <v>5675</v>
      </c>
      <c r="C932" s="160">
        <v>1879.0</v>
      </c>
      <c r="D932" s="161" t="s">
        <v>142</v>
      </c>
      <c r="E932" s="197" t="str">
        <f t="array" ref="E932">XLOOKUP(C932,ICSE!A:A,ICSE!Z:Z,,0,1)</f>
        <v>Not available (1) - Broken link.</v>
      </c>
      <c r="F932" s="198" t="s">
        <v>21</v>
      </c>
      <c r="G932" s="163" t="str">
        <f t="array" ref="G932">IF(B932="ICSE",IF(COUNTIFS(B:B,B932,C:C,C932)=XLOOKUP(C932,ICSE!A:A,ICSE!AA:AA,"ERROR",0,1),"OK","ERROR"),IF(B932="FSE",IF(COUNTIFS(B:B,B932,C:C,C932)=XLOOKUP(C932,FSE!A:A,FSE!AA:AA,"ERROR",0,1),"OK","ERROR")))</f>
        <v>OK</v>
      </c>
      <c r="H932" s="199">
        <f t="shared" ref="H932:O932" si="4728">countif($D932,"*"&amp;H$2&amp;"*")</f>
        <v>0</v>
      </c>
      <c r="I932" s="200">
        <f t="shared" si="4728"/>
        <v>0</v>
      </c>
      <c r="J932" s="200">
        <f t="shared" si="4728"/>
        <v>0</v>
      </c>
      <c r="K932" s="200">
        <f t="shared" si="4728"/>
        <v>0</v>
      </c>
      <c r="L932" s="200">
        <f t="shared" si="4728"/>
        <v>0</v>
      </c>
      <c r="M932" s="200">
        <f t="shared" si="4728"/>
        <v>0</v>
      </c>
      <c r="N932" s="200">
        <f t="shared" si="4728"/>
        <v>0</v>
      </c>
      <c r="O932" s="200">
        <f t="shared" si="4728"/>
        <v>0</v>
      </c>
      <c r="P932" s="200">
        <f t="shared" si="9"/>
        <v>0</v>
      </c>
      <c r="Q932" s="200">
        <f t="shared" ref="Q932:AC932" si="4729">countif($D932,"*"&amp;Q$2&amp;"*")</f>
        <v>0</v>
      </c>
      <c r="R932" s="200">
        <f t="shared" si="4729"/>
        <v>0</v>
      </c>
      <c r="S932" s="200">
        <f t="shared" si="4729"/>
        <v>0</v>
      </c>
      <c r="T932" s="200">
        <f t="shared" si="4729"/>
        <v>0</v>
      </c>
      <c r="U932" s="200">
        <f t="shared" si="4729"/>
        <v>0</v>
      </c>
      <c r="V932" s="200">
        <f t="shared" si="4729"/>
        <v>0</v>
      </c>
      <c r="W932" s="200">
        <f t="shared" si="4729"/>
        <v>0</v>
      </c>
      <c r="X932" s="200">
        <f t="shared" si="4729"/>
        <v>0</v>
      </c>
      <c r="Y932" s="200">
        <f t="shared" si="4729"/>
        <v>0</v>
      </c>
      <c r="Z932" s="200">
        <f t="shared" si="4729"/>
        <v>0</v>
      </c>
      <c r="AA932" s="200">
        <f t="shared" si="4729"/>
        <v>0</v>
      </c>
      <c r="AB932" s="200">
        <f t="shared" si="4729"/>
        <v>0</v>
      </c>
      <c r="AC932" s="200">
        <f t="shared" si="4729"/>
        <v>0</v>
      </c>
      <c r="AD932" s="200">
        <f t="shared" si="11"/>
        <v>0</v>
      </c>
      <c r="AE932" s="200">
        <f t="shared" ref="AE932:AG932" si="4730">countif($D932,"*"&amp;AE$2&amp;"*")</f>
        <v>1</v>
      </c>
      <c r="AF932" s="200">
        <f t="shared" si="4730"/>
        <v>0</v>
      </c>
      <c r="AG932" s="200">
        <f t="shared" si="4730"/>
        <v>0</v>
      </c>
      <c r="AH932" s="171">
        <f t="shared" si="13"/>
        <v>0</v>
      </c>
      <c r="AI932" s="200">
        <f t="shared" si="14"/>
        <v>0</v>
      </c>
      <c r="AJ932" s="200">
        <f t="shared" ref="AJ932:AJ937" si="4736">SUM(AK932:AR932)</f>
        <v>0</v>
      </c>
      <c r="AK932" s="201">
        <f t="shared" ref="AK932:AS932" si="4731">countif($D932,"*"&amp;AK$2&amp;"*")</f>
        <v>0</v>
      </c>
      <c r="AL932" s="201">
        <f t="shared" si="4731"/>
        <v>0</v>
      </c>
      <c r="AM932" s="201">
        <f t="shared" si="4731"/>
        <v>0</v>
      </c>
      <c r="AN932" s="201">
        <f t="shared" si="4731"/>
        <v>0</v>
      </c>
      <c r="AO932" s="201">
        <f t="shared" si="4731"/>
        <v>0</v>
      </c>
      <c r="AP932" s="201">
        <f t="shared" si="4731"/>
        <v>0</v>
      </c>
      <c r="AQ932" s="201">
        <f t="shared" si="4731"/>
        <v>0</v>
      </c>
      <c r="AR932" s="200">
        <f t="shared" si="4731"/>
        <v>0</v>
      </c>
      <c r="AS932" s="200">
        <f t="shared" si="4731"/>
        <v>0</v>
      </c>
      <c r="AT932" s="173">
        <v>0.0</v>
      </c>
      <c r="AU932" s="200">
        <f t="shared" ref="AU932:AX932" si="4732">countif($D932,"*"&amp;AU$2&amp;"*")</f>
        <v>0</v>
      </c>
      <c r="AV932" s="200">
        <f t="shared" si="4732"/>
        <v>0</v>
      </c>
      <c r="AW932" s="200">
        <f t="shared" si="4732"/>
        <v>0</v>
      </c>
      <c r="AX932" s="200">
        <f t="shared" si="4732"/>
        <v>0</v>
      </c>
      <c r="AY932" s="202">
        <v>0.0</v>
      </c>
      <c r="AZ932" s="200"/>
      <c r="BA932" s="171" t="str">
        <f t="shared" si="18"/>
        <v/>
      </c>
      <c r="BB932" s="171" t="str">
        <f t="shared" si="19"/>
        <v/>
      </c>
      <c r="BC932" s="171" t="str">
        <f t="shared" si="20"/>
        <v/>
      </c>
      <c r="BD932" s="171" t="str">
        <f t="shared" si="21"/>
        <v>Institutional</v>
      </c>
      <c r="BE932" s="171" t="str">
        <f t="shared" si="22"/>
        <v/>
      </c>
      <c r="BF932" s="171" t="str">
        <f t="shared" si="23"/>
        <v>Institutional</v>
      </c>
    </row>
    <row r="933">
      <c r="A933" s="171">
        <f t="array" ref="A933">XLOOKUP(C933,ICSE!A:A,ICSE!C:C,,2,1)</f>
        <v>2014</v>
      </c>
      <c r="B933" s="171" t="s">
        <v>5675</v>
      </c>
      <c r="C933" s="160">
        <v>1882.0</v>
      </c>
      <c r="D933" s="212" t="s">
        <v>149</v>
      </c>
      <c r="E933" s="197" t="str">
        <f t="array" ref="E933">XLOOKUP(C933,ICSE!A:A,ICSE!Z:Z,,0,1)</f>
        <v>Publicly available (1)</v>
      </c>
      <c r="F933" s="198" t="s">
        <v>20</v>
      </c>
      <c r="G933" s="163" t="str">
        <f t="array" ref="G933">IF(B933="ICSE",IF(COUNTIFS(B:B,B933,C:C,C933)=XLOOKUP(C933,ICSE!A:A,ICSE!AA:AA,"ERROR",0,1),"OK","ERROR"),IF(B933="FSE",IF(COUNTIFS(B:B,B933,C:C,C933)=XLOOKUP(C933,FSE!A:A,FSE!AA:AA,"ERROR",0,1),"OK","ERROR")))</f>
        <v>OK</v>
      </c>
      <c r="H933" s="199">
        <f t="shared" ref="H933:O933" si="4733">countif($D933,"*"&amp;H$2&amp;"*")</f>
        <v>0</v>
      </c>
      <c r="I933" s="200">
        <f t="shared" si="4733"/>
        <v>0</v>
      </c>
      <c r="J933" s="200">
        <f t="shared" si="4733"/>
        <v>0</v>
      </c>
      <c r="K933" s="200">
        <f t="shared" si="4733"/>
        <v>0</v>
      </c>
      <c r="L933" s="200">
        <f t="shared" si="4733"/>
        <v>0</v>
      </c>
      <c r="M933" s="200">
        <f t="shared" si="4733"/>
        <v>0</v>
      </c>
      <c r="N933" s="200">
        <f t="shared" si="4733"/>
        <v>0</v>
      </c>
      <c r="O933" s="200">
        <f t="shared" si="4733"/>
        <v>0</v>
      </c>
      <c r="P933" s="200">
        <f t="shared" si="9"/>
        <v>0</v>
      </c>
      <c r="Q933" s="200">
        <f t="shared" ref="Q933:AC933" si="4734">countif($D933,"*"&amp;Q$2&amp;"*")</f>
        <v>0</v>
      </c>
      <c r="R933" s="200">
        <f t="shared" si="4734"/>
        <v>0</v>
      </c>
      <c r="S933" s="200">
        <f t="shared" si="4734"/>
        <v>0</v>
      </c>
      <c r="T933" s="200">
        <f t="shared" si="4734"/>
        <v>0</v>
      </c>
      <c r="U933" s="200">
        <f t="shared" si="4734"/>
        <v>0</v>
      </c>
      <c r="V933" s="200">
        <f t="shared" si="4734"/>
        <v>0</v>
      </c>
      <c r="W933" s="200">
        <f t="shared" si="4734"/>
        <v>0</v>
      </c>
      <c r="X933" s="200">
        <f t="shared" si="4734"/>
        <v>0</v>
      </c>
      <c r="Y933" s="200">
        <f t="shared" si="4734"/>
        <v>0</v>
      </c>
      <c r="Z933" s="200">
        <f t="shared" si="4734"/>
        <v>0</v>
      </c>
      <c r="AA933" s="200">
        <f t="shared" si="4734"/>
        <v>0</v>
      </c>
      <c r="AB933" s="200">
        <f t="shared" si="4734"/>
        <v>0</v>
      </c>
      <c r="AC933" s="200">
        <f t="shared" si="4734"/>
        <v>0</v>
      </c>
      <c r="AD933" s="200">
        <f t="shared" si="11"/>
        <v>0</v>
      </c>
      <c r="AE933" s="200">
        <f t="shared" ref="AE933:AG933" si="4735">countif($D933,"*"&amp;AE$2&amp;"*")</f>
        <v>0</v>
      </c>
      <c r="AF933" s="200">
        <f t="shared" si="4735"/>
        <v>0</v>
      </c>
      <c r="AG933" s="200">
        <f t="shared" si="4735"/>
        <v>0</v>
      </c>
      <c r="AH933" s="171">
        <f t="shared" si="13"/>
        <v>1</v>
      </c>
      <c r="AI933" s="200">
        <f t="shared" si="14"/>
        <v>0</v>
      </c>
      <c r="AJ933" s="200">
        <f t="shared" si="4736"/>
        <v>0</v>
      </c>
      <c r="AK933" s="201">
        <f t="shared" ref="AK933:AS933" si="4737">countif($D933,"*"&amp;AK$2&amp;"*")</f>
        <v>0</v>
      </c>
      <c r="AL933" s="201">
        <f t="shared" si="4737"/>
        <v>0</v>
      </c>
      <c r="AM933" s="201">
        <f t="shared" si="4737"/>
        <v>0</v>
      </c>
      <c r="AN933" s="201">
        <f t="shared" si="4737"/>
        <v>0</v>
      </c>
      <c r="AO933" s="201">
        <f t="shared" si="4737"/>
        <v>0</v>
      </c>
      <c r="AP933" s="201">
        <f t="shared" si="4737"/>
        <v>0</v>
      </c>
      <c r="AQ933" s="201">
        <f t="shared" si="4737"/>
        <v>0</v>
      </c>
      <c r="AR933" s="200">
        <f t="shared" si="4737"/>
        <v>0</v>
      </c>
      <c r="AS933" s="200">
        <f t="shared" si="4737"/>
        <v>0</v>
      </c>
      <c r="AT933" s="173">
        <v>0.0</v>
      </c>
      <c r="AU933" s="200">
        <f t="shared" ref="AU933:AX933" si="4738">countif($D933,"*"&amp;AU$2&amp;"*")</f>
        <v>0</v>
      </c>
      <c r="AV933" s="200">
        <f t="shared" si="4738"/>
        <v>0</v>
      </c>
      <c r="AW933" s="200">
        <f t="shared" si="4738"/>
        <v>0</v>
      </c>
      <c r="AX933" s="200">
        <f t="shared" si="4738"/>
        <v>0</v>
      </c>
      <c r="AY933" s="202">
        <v>0.0</v>
      </c>
      <c r="AZ933" s="200"/>
      <c r="BA933" s="171" t="str">
        <f t="shared" si="18"/>
        <v/>
      </c>
      <c r="BB933" s="171" t="str">
        <f t="shared" si="19"/>
        <v/>
      </c>
      <c r="BC933" s="171" t="str">
        <f t="shared" si="20"/>
        <v/>
      </c>
      <c r="BD933" s="171" t="str">
        <f t="shared" si="21"/>
        <v/>
      </c>
      <c r="BE933" s="171" t="str">
        <f t="shared" si="22"/>
        <v>Others</v>
      </c>
      <c r="BF933" s="171" t="str">
        <f t="shared" si="23"/>
        <v>Others</v>
      </c>
    </row>
    <row r="934">
      <c r="A934" s="171">
        <f t="array" ref="A934">XLOOKUP(C934,ICSE!A:A,ICSE!C:C,,2,1)</f>
        <v>2014</v>
      </c>
      <c r="B934" s="171" t="s">
        <v>5675</v>
      </c>
      <c r="C934" s="160">
        <v>1885.0</v>
      </c>
      <c r="D934" s="161" t="s">
        <v>6061</v>
      </c>
      <c r="E934" s="197" t="str">
        <f t="array" ref="E934">XLOOKUP(C934,ICSE!A:A,ICSE!Z:Z,,0,1)</f>
        <v>Not available (3) - Broken link.
Publicly available (1)</v>
      </c>
      <c r="F934" s="198" t="s">
        <v>20</v>
      </c>
      <c r="G934" s="163" t="str">
        <f t="array" ref="G934">IF(B934="ICSE",IF(COUNTIFS(B:B,B934,C:C,C934)=XLOOKUP(C934,ICSE!A:A,ICSE!AA:AA,"ERROR",0,1),"OK","ERROR"),IF(B934="FSE",IF(COUNTIFS(B:B,B934,C:C,C934)=XLOOKUP(C934,FSE!A:A,FSE!AA:AA,"ERROR",0,1),"OK","ERROR")))</f>
        <v>OK</v>
      </c>
      <c r="H934" s="199">
        <f t="shared" ref="H934:O934" si="4739">countif($D934,"*"&amp;H$2&amp;"*")</f>
        <v>0</v>
      </c>
      <c r="I934" s="200">
        <f t="shared" si="4739"/>
        <v>0</v>
      </c>
      <c r="J934" s="200">
        <f t="shared" si="4739"/>
        <v>0</v>
      </c>
      <c r="K934" s="200">
        <f t="shared" si="4739"/>
        <v>0</v>
      </c>
      <c r="L934" s="200">
        <f t="shared" si="4739"/>
        <v>0</v>
      </c>
      <c r="M934" s="200">
        <f t="shared" si="4739"/>
        <v>0</v>
      </c>
      <c r="N934" s="200">
        <f t="shared" si="4739"/>
        <v>0</v>
      </c>
      <c r="O934" s="200">
        <f t="shared" si="4739"/>
        <v>0</v>
      </c>
      <c r="P934" s="200">
        <f t="shared" si="9"/>
        <v>0</v>
      </c>
      <c r="Q934" s="200">
        <f t="shared" ref="Q934:AC934" si="4740">countif($D934,"*"&amp;Q$2&amp;"*")</f>
        <v>0</v>
      </c>
      <c r="R934" s="200">
        <f t="shared" si="4740"/>
        <v>0</v>
      </c>
      <c r="S934" s="200">
        <f t="shared" si="4740"/>
        <v>0</v>
      </c>
      <c r="T934" s="200">
        <f t="shared" si="4740"/>
        <v>0</v>
      </c>
      <c r="U934" s="200">
        <f t="shared" si="4740"/>
        <v>0</v>
      </c>
      <c r="V934" s="200">
        <f t="shared" si="4740"/>
        <v>0</v>
      </c>
      <c r="W934" s="200">
        <f t="shared" si="4740"/>
        <v>0</v>
      </c>
      <c r="X934" s="200">
        <f t="shared" si="4740"/>
        <v>0</v>
      </c>
      <c r="Y934" s="200">
        <f t="shared" si="4740"/>
        <v>0</v>
      </c>
      <c r="Z934" s="200">
        <f t="shared" si="4740"/>
        <v>0</v>
      </c>
      <c r="AA934" s="200">
        <f t="shared" si="4740"/>
        <v>0</v>
      </c>
      <c r="AB934" s="200">
        <f t="shared" si="4740"/>
        <v>0</v>
      </c>
      <c r="AC934" s="200">
        <f t="shared" si="4740"/>
        <v>0</v>
      </c>
      <c r="AD934" s="200">
        <f t="shared" si="11"/>
        <v>0</v>
      </c>
      <c r="AE934" s="200">
        <f t="shared" ref="AE934:AG934" si="4741">countif($D934,"*"&amp;AE$2&amp;"*")</f>
        <v>0</v>
      </c>
      <c r="AF934" s="200">
        <f t="shared" si="4741"/>
        <v>0</v>
      </c>
      <c r="AG934" s="200">
        <f t="shared" si="4741"/>
        <v>0</v>
      </c>
      <c r="AH934" s="171">
        <f t="shared" si="13"/>
        <v>1</v>
      </c>
      <c r="AI934" s="200">
        <f t="shared" si="14"/>
        <v>0</v>
      </c>
      <c r="AJ934" s="200">
        <f t="shared" si="4736"/>
        <v>0</v>
      </c>
      <c r="AK934" s="201">
        <f t="shared" ref="AK934:AS934" si="4742">countif($D934,"*"&amp;AK$2&amp;"*")</f>
        <v>0</v>
      </c>
      <c r="AL934" s="201">
        <f t="shared" si="4742"/>
        <v>0</v>
      </c>
      <c r="AM934" s="201">
        <f t="shared" si="4742"/>
        <v>0</v>
      </c>
      <c r="AN934" s="201">
        <f t="shared" si="4742"/>
        <v>0</v>
      </c>
      <c r="AO934" s="201">
        <f t="shared" si="4742"/>
        <v>0</v>
      </c>
      <c r="AP934" s="201">
        <f t="shared" si="4742"/>
        <v>0</v>
      </c>
      <c r="AQ934" s="201">
        <f t="shared" si="4742"/>
        <v>0</v>
      </c>
      <c r="AR934" s="200">
        <f t="shared" si="4742"/>
        <v>0</v>
      </c>
      <c r="AS934" s="200">
        <f t="shared" si="4742"/>
        <v>0</v>
      </c>
      <c r="AT934" s="173">
        <v>0.0</v>
      </c>
      <c r="AU934" s="200">
        <f t="shared" ref="AU934:AX934" si="4743">countif($D934,"*"&amp;AU$2&amp;"*")</f>
        <v>0</v>
      </c>
      <c r="AV934" s="200">
        <f t="shared" si="4743"/>
        <v>0</v>
      </c>
      <c r="AW934" s="200">
        <f t="shared" si="4743"/>
        <v>0</v>
      </c>
      <c r="AX934" s="200">
        <f t="shared" si="4743"/>
        <v>0</v>
      </c>
      <c r="AY934" s="202">
        <v>0.0</v>
      </c>
      <c r="AZ934" s="200"/>
      <c r="BA934" s="171" t="str">
        <f t="shared" si="18"/>
        <v/>
      </c>
      <c r="BB934" s="171" t="str">
        <f t="shared" si="19"/>
        <v/>
      </c>
      <c r="BC934" s="171" t="str">
        <f t="shared" si="20"/>
        <v/>
      </c>
      <c r="BD934" s="171" t="str">
        <f t="shared" si="21"/>
        <v/>
      </c>
      <c r="BE934" s="171" t="str">
        <f t="shared" si="22"/>
        <v>Others</v>
      </c>
      <c r="BF934" s="171" t="str">
        <f t="shared" si="23"/>
        <v>Others</v>
      </c>
    </row>
    <row r="935">
      <c r="A935" s="171">
        <f t="array" ref="A935">XLOOKUP(C935,ICSE!A:A,ICSE!C:C,,2,1)</f>
        <v>2014</v>
      </c>
      <c r="B935" s="171" t="s">
        <v>5675</v>
      </c>
      <c r="C935" s="160">
        <v>1885.0</v>
      </c>
      <c r="D935" s="161" t="s">
        <v>6062</v>
      </c>
      <c r="E935" s="197" t="str">
        <f t="array" ref="E935">XLOOKUP(C935,ICSE!A:A,ICSE!Z:Z,,0,1)</f>
        <v>Not available (3) - Broken link.
Publicly available (1)</v>
      </c>
      <c r="F935" s="198" t="s">
        <v>21</v>
      </c>
      <c r="G935" s="163" t="str">
        <f t="array" ref="G935">IF(B935="ICSE",IF(COUNTIFS(B:B,B935,C:C,C935)=XLOOKUP(C935,ICSE!A:A,ICSE!AA:AA,"ERROR",0,1),"OK","ERROR"),IF(B935="FSE",IF(COUNTIFS(B:B,B935,C:C,C935)=XLOOKUP(C935,FSE!A:A,FSE!AA:AA,"ERROR",0,1),"OK","ERROR")))</f>
        <v>OK</v>
      </c>
      <c r="H935" s="199">
        <f t="shared" ref="H935:O935" si="4744">countif($D935,"*"&amp;H$2&amp;"*")</f>
        <v>0</v>
      </c>
      <c r="I935" s="200">
        <f t="shared" si="4744"/>
        <v>0</v>
      </c>
      <c r="J935" s="200">
        <f t="shared" si="4744"/>
        <v>0</v>
      </c>
      <c r="K935" s="200">
        <f t="shared" si="4744"/>
        <v>0</v>
      </c>
      <c r="L935" s="200">
        <f t="shared" si="4744"/>
        <v>0</v>
      </c>
      <c r="M935" s="200">
        <f t="shared" si="4744"/>
        <v>0</v>
      </c>
      <c r="N935" s="200">
        <f t="shared" si="4744"/>
        <v>0</v>
      </c>
      <c r="O935" s="200">
        <f t="shared" si="4744"/>
        <v>0</v>
      </c>
      <c r="P935" s="200">
        <f t="shared" si="9"/>
        <v>0</v>
      </c>
      <c r="Q935" s="200">
        <f t="shared" ref="Q935:AC935" si="4745">countif($D935,"*"&amp;Q$2&amp;"*")</f>
        <v>0</v>
      </c>
      <c r="R935" s="200">
        <f t="shared" si="4745"/>
        <v>0</v>
      </c>
      <c r="S935" s="200">
        <f t="shared" si="4745"/>
        <v>0</v>
      </c>
      <c r="T935" s="200">
        <f t="shared" si="4745"/>
        <v>0</v>
      </c>
      <c r="U935" s="200">
        <f t="shared" si="4745"/>
        <v>0</v>
      </c>
      <c r="V935" s="200">
        <f t="shared" si="4745"/>
        <v>0</v>
      </c>
      <c r="W935" s="200">
        <f t="shared" si="4745"/>
        <v>0</v>
      </c>
      <c r="X935" s="200">
        <f t="shared" si="4745"/>
        <v>1</v>
      </c>
      <c r="Y935" s="200">
        <f t="shared" si="4745"/>
        <v>0</v>
      </c>
      <c r="Z935" s="200">
        <f t="shared" si="4745"/>
        <v>0</v>
      </c>
      <c r="AA935" s="200">
        <f t="shared" si="4745"/>
        <v>0</v>
      </c>
      <c r="AB935" s="200">
        <f t="shared" si="4745"/>
        <v>0</v>
      </c>
      <c r="AC935" s="200">
        <f t="shared" si="4745"/>
        <v>0</v>
      </c>
      <c r="AD935" s="200">
        <f t="shared" si="11"/>
        <v>0</v>
      </c>
      <c r="AE935" s="200">
        <f t="shared" ref="AE935:AG935" si="4746">countif($D935,"*"&amp;AE$2&amp;"*")</f>
        <v>0</v>
      </c>
      <c r="AF935" s="200">
        <f t="shared" si="4746"/>
        <v>0</v>
      </c>
      <c r="AG935" s="200">
        <f t="shared" si="4746"/>
        <v>0</v>
      </c>
      <c r="AH935" s="171">
        <f t="shared" si="13"/>
        <v>0</v>
      </c>
      <c r="AI935" s="200">
        <f t="shared" si="14"/>
        <v>0</v>
      </c>
      <c r="AJ935" s="200">
        <f t="shared" si="4736"/>
        <v>0</v>
      </c>
      <c r="AK935" s="201">
        <f t="shared" ref="AK935:AS935" si="4747">countif($D935,"*"&amp;AK$2&amp;"*")</f>
        <v>0</v>
      </c>
      <c r="AL935" s="201">
        <f t="shared" si="4747"/>
        <v>0</v>
      </c>
      <c r="AM935" s="201">
        <f t="shared" si="4747"/>
        <v>0</v>
      </c>
      <c r="AN935" s="201">
        <f t="shared" si="4747"/>
        <v>0</v>
      </c>
      <c r="AO935" s="201">
        <f t="shared" si="4747"/>
        <v>0</v>
      </c>
      <c r="AP935" s="201">
        <f t="shared" si="4747"/>
        <v>0</v>
      </c>
      <c r="AQ935" s="201">
        <f t="shared" si="4747"/>
        <v>0</v>
      </c>
      <c r="AR935" s="200">
        <f t="shared" si="4747"/>
        <v>0</v>
      </c>
      <c r="AS935" s="200">
        <f t="shared" si="4747"/>
        <v>0</v>
      </c>
      <c r="AT935" s="173">
        <v>0.0</v>
      </c>
      <c r="AU935" s="200">
        <f t="shared" ref="AU935:AX935" si="4748">countif($D935,"*"&amp;AU$2&amp;"*")</f>
        <v>0</v>
      </c>
      <c r="AV935" s="200">
        <f t="shared" si="4748"/>
        <v>0</v>
      </c>
      <c r="AW935" s="200">
        <f t="shared" si="4748"/>
        <v>0</v>
      </c>
      <c r="AX935" s="200">
        <f t="shared" si="4748"/>
        <v>0</v>
      </c>
      <c r="AY935" s="202">
        <v>0.0</v>
      </c>
      <c r="AZ935" s="200"/>
      <c r="BA935" s="171" t="str">
        <f t="shared" si="18"/>
        <v/>
      </c>
      <c r="BB935" s="171" t="str">
        <f t="shared" si="19"/>
        <v/>
      </c>
      <c r="BC935" s="171" t="str">
        <f t="shared" si="20"/>
        <v>General-purpose</v>
      </c>
      <c r="BD935" s="171" t="str">
        <f t="shared" si="21"/>
        <v/>
      </c>
      <c r="BE935" s="171" t="str">
        <f t="shared" si="22"/>
        <v/>
      </c>
      <c r="BF935" s="171" t="str">
        <f t="shared" si="23"/>
        <v>General-purpose</v>
      </c>
    </row>
    <row r="936">
      <c r="A936" s="171">
        <f t="array" ref="A936">XLOOKUP(C936,ICSE!A:A,ICSE!C:C,,2,1)</f>
        <v>2014</v>
      </c>
      <c r="B936" s="171" t="s">
        <v>5675</v>
      </c>
      <c r="C936" s="160">
        <v>1885.0</v>
      </c>
      <c r="D936" s="161" t="s">
        <v>6063</v>
      </c>
      <c r="E936" s="197" t="str">
        <f t="array" ref="E936">XLOOKUP(C936,ICSE!A:A,ICSE!Z:Z,,0,1)</f>
        <v>Not available (3) - Broken link.
Publicly available (1)</v>
      </c>
      <c r="F936" s="198" t="s">
        <v>21</v>
      </c>
      <c r="G936" s="163" t="str">
        <f t="array" ref="G936">IF(B936="ICSE",IF(COUNTIFS(B:B,B936,C:C,C936)=XLOOKUP(C936,ICSE!A:A,ICSE!AA:AA,"ERROR",0,1),"OK","ERROR"),IF(B936="FSE",IF(COUNTIFS(B:B,B936,C:C,C936)=XLOOKUP(C936,FSE!A:A,FSE!AA:AA,"ERROR",0,1),"OK","ERROR")))</f>
        <v>OK</v>
      </c>
      <c r="H936" s="199">
        <f t="shared" ref="H936:O936" si="4749">countif($D936,"*"&amp;H$2&amp;"*")</f>
        <v>0</v>
      </c>
      <c r="I936" s="200">
        <f t="shared" si="4749"/>
        <v>0</v>
      </c>
      <c r="J936" s="200">
        <f t="shared" si="4749"/>
        <v>0</v>
      </c>
      <c r="K936" s="200">
        <f t="shared" si="4749"/>
        <v>0</v>
      </c>
      <c r="L936" s="200">
        <f t="shared" si="4749"/>
        <v>0</v>
      </c>
      <c r="M936" s="200">
        <f t="shared" si="4749"/>
        <v>0</v>
      </c>
      <c r="N936" s="200">
        <f t="shared" si="4749"/>
        <v>0</v>
      </c>
      <c r="O936" s="200">
        <f t="shared" si="4749"/>
        <v>0</v>
      </c>
      <c r="P936" s="200">
        <f t="shared" si="9"/>
        <v>0</v>
      </c>
      <c r="Q936" s="200">
        <f t="shared" ref="Q936:AC936" si="4750">countif($D936,"*"&amp;Q$2&amp;"*")</f>
        <v>0</v>
      </c>
      <c r="R936" s="200">
        <f t="shared" si="4750"/>
        <v>1</v>
      </c>
      <c r="S936" s="200">
        <f t="shared" si="4750"/>
        <v>0</v>
      </c>
      <c r="T936" s="200">
        <f t="shared" si="4750"/>
        <v>0</v>
      </c>
      <c r="U936" s="200">
        <f t="shared" si="4750"/>
        <v>0</v>
      </c>
      <c r="V936" s="200">
        <f t="shared" si="4750"/>
        <v>0</v>
      </c>
      <c r="W936" s="200">
        <f t="shared" si="4750"/>
        <v>0</v>
      </c>
      <c r="X936" s="200">
        <f t="shared" si="4750"/>
        <v>0</v>
      </c>
      <c r="Y936" s="200">
        <f t="shared" si="4750"/>
        <v>0</v>
      </c>
      <c r="Z936" s="200">
        <f t="shared" si="4750"/>
        <v>0</v>
      </c>
      <c r="AA936" s="200">
        <f t="shared" si="4750"/>
        <v>0</v>
      </c>
      <c r="AB936" s="200">
        <f t="shared" si="4750"/>
        <v>0</v>
      </c>
      <c r="AC936" s="200">
        <f t="shared" si="4750"/>
        <v>0</v>
      </c>
      <c r="AD936" s="200">
        <f t="shared" si="11"/>
        <v>0</v>
      </c>
      <c r="AE936" s="200">
        <f t="shared" ref="AE936:AG936" si="4751">countif($D936,"*"&amp;AE$2&amp;"*")</f>
        <v>0</v>
      </c>
      <c r="AF936" s="200">
        <f t="shared" si="4751"/>
        <v>0</v>
      </c>
      <c r="AG936" s="200">
        <f t="shared" si="4751"/>
        <v>0</v>
      </c>
      <c r="AH936" s="171">
        <f t="shared" si="13"/>
        <v>0</v>
      </c>
      <c r="AI936" s="200">
        <f t="shared" si="14"/>
        <v>0</v>
      </c>
      <c r="AJ936" s="200">
        <f t="shared" si="4736"/>
        <v>0</v>
      </c>
      <c r="AK936" s="201">
        <f t="shared" ref="AK936:AS936" si="4752">countif($D936,"*"&amp;AK$2&amp;"*")</f>
        <v>0</v>
      </c>
      <c r="AL936" s="201">
        <f t="shared" si="4752"/>
        <v>0</v>
      </c>
      <c r="AM936" s="201">
        <f t="shared" si="4752"/>
        <v>0</v>
      </c>
      <c r="AN936" s="201">
        <f t="shared" si="4752"/>
        <v>0</v>
      </c>
      <c r="AO936" s="201">
        <f t="shared" si="4752"/>
        <v>0</v>
      </c>
      <c r="AP936" s="201">
        <f t="shared" si="4752"/>
        <v>0</v>
      </c>
      <c r="AQ936" s="201">
        <f t="shared" si="4752"/>
        <v>0</v>
      </c>
      <c r="AR936" s="200">
        <f t="shared" si="4752"/>
        <v>0</v>
      </c>
      <c r="AS936" s="200">
        <f t="shared" si="4752"/>
        <v>0</v>
      </c>
      <c r="AT936" s="173">
        <v>0.0</v>
      </c>
      <c r="AU936" s="200">
        <f t="shared" ref="AU936:AX936" si="4753">countif($D936,"*"&amp;AU$2&amp;"*")</f>
        <v>0</v>
      </c>
      <c r="AV936" s="200">
        <f t="shared" si="4753"/>
        <v>0</v>
      </c>
      <c r="AW936" s="200">
        <f t="shared" si="4753"/>
        <v>0</v>
      </c>
      <c r="AX936" s="200">
        <f t="shared" si="4753"/>
        <v>0</v>
      </c>
      <c r="AY936" s="202">
        <v>0.0</v>
      </c>
      <c r="AZ936" s="200"/>
      <c r="BA936" s="171" t="str">
        <f t="shared" si="18"/>
        <v/>
      </c>
      <c r="BB936" s="171" t="str">
        <f t="shared" si="19"/>
        <v>Code</v>
      </c>
      <c r="BC936" s="171" t="str">
        <f t="shared" si="20"/>
        <v/>
      </c>
      <c r="BD936" s="171" t="str">
        <f t="shared" si="21"/>
        <v/>
      </c>
      <c r="BE936" s="171" t="str">
        <f t="shared" si="22"/>
        <v/>
      </c>
      <c r="BF936" s="171" t="str">
        <f t="shared" si="23"/>
        <v>Code</v>
      </c>
    </row>
    <row r="937">
      <c r="A937" s="171">
        <f t="array" ref="A937">XLOOKUP(C937,ICSE!A:A,ICSE!C:C,,2,1)</f>
        <v>2014</v>
      </c>
      <c r="B937" s="171" t="s">
        <v>5675</v>
      </c>
      <c r="C937" s="160">
        <v>1885.0</v>
      </c>
      <c r="D937" s="161" t="s">
        <v>6064</v>
      </c>
      <c r="E937" s="197" t="str">
        <f t="array" ref="E937">XLOOKUP(C937,ICSE!A:A,ICSE!Z:Z,,0,1)</f>
        <v>Not available (3) - Broken link.
Publicly available (1)</v>
      </c>
      <c r="F937" s="198" t="s">
        <v>21</v>
      </c>
      <c r="G937" s="163" t="str">
        <f t="array" ref="G937">IF(B937="ICSE",IF(COUNTIFS(B:B,B937,C:C,C937)=XLOOKUP(C937,ICSE!A:A,ICSE!AA:AA,"ERROR",0,1),"OK","ERROR"),IF(B937="FSE",IF(COUNTIFS(B:B,B937,C:C,C937)=XLOOKUP(C937,FSE!A:A,FSE!AA:AA,"ERROR",0,1),"OK","ERROR")))</f>
        <v>OK</v>
      </c>
      <c r="H937" s="199">
        <f t="shared" ref="H937:O937" si="4754">countif($D937,"*"&amp;H$2&amp;"*")</f>
        <v>0</v>
      </c>
      <c r="I937" s="200">
        <f t="shared" si="4754"/>
        <v>0</v>
      </c>
      <c r="J937" s="200">
        <f t="shared" si="4754"/>
        <v>0</v>
      </c>
      <c r="K937" s="200">
        <f t="shared" si="4754"/>
        <v>0</v>
      </c>
      <c r="L937" s="200">
        <f t="shared" si="4754"/>
        <v>0</v>
      </c>
      <c r="M937" s="200">
        <f t="shared" si="4754"/>
        <v>0</v>
      </c>
      <c r="N937" s="200">
        <f t="shared" si="4754"/>
        <v>0</v>
      </c>
      <c r="O937" s="200">
        <f t="shared" si="4754"/>
        <v>0</v>
      </c>
      <c r="P937" s="200">
        <f t="shared" si="9"/>
        <v>0</v>
      </c>
      <c r="Q937" s="200">
        <f t="shared" ref="Q937:AC937" si="4755">countif($D937,"*"&amp;Q$2&amp;"*")</f>
        <v>0</v>
      </c>
      <c r="R937" s="200">
        <f t="shared" si="4755"/>
        <v>0</v>
      </c>
      <c r="S937" s="200">
        <f t="shared" si="4755"/>
        <v>0</v>
      </c>
      <c r="T937" s="200">
        <f t="shared" si="4755"/>
        <v>0</v>
      </c>
      <c r="U937" s="200">
        <f t="shared" si="4755"/>
        <v>0</v>
      </c>
      <c r="V937" s="200">
        <f t="shared" si="4755"/>
        <v>0</v>
      </c>
      <c r="W937" s="200">
        <f t="shared" si="4755"/>
        <v>0</v>
      </c>
      <c r="X937" s="200">
        <f t="shared" si="4755"/>
        <v>0</v>
      </c>
      <c r="Y937" s="200">
        <f t="shared" si="4755"/>
        <v>0</v>
      </c>
      <c r="Z937" s="200">
        <f t="shared" si="4755"/>
        <v>0</v>
      </c>
      <c r="AA937" s="200">
        <f t="shared" si="4755"/>
        <v>0</v>
      </c>
      <c r="AB937" s="200">
        <f t="shared" si="4755"/>
        <v>0</v>
      </c>
      <c r="AC937" s="200">
        <f t="shared" si="4755"/>
        <v>0</v>
      </c>
      <c r="AD937" s="200">
        <f t="shared" si="11"/>
        <v>0</v>
      </c>
      <c r="AE937" s="200">
        <f t="shared" ref="AE937:AG937" si="4756">countif($D937,"*"&amp;AE$2&amp;"*")</f>
        <v>0</v>
      </c>
      <c r="AF937" s="200">
        <f t="shared" si="4756"/>
        <v>0</v>
      </c>
      <c r="AG937" s="200">
        <f t="shared" si="4756"/>
        <v>0</v>
      </c>
      <c r="AH937" s="171">
        <f t="shared" si="13"/>
        <v>1</v>
      </c>
      <c r="AI937" s="200">
        <f t="shared" si="14"/>
        <v>0</v>
      </c>
      <c r="AJ937" s="200">
        <f t="shared" si="4736"/>
        <v>0</v>
      </c>
      <c r="AK937" s="201">
        <f t="shared" ref="AK937:AS937" si="4757">countif($D937,"*"&amp;AK$2&amp;"*")</f>
        <v>0</v>
      </c>
      <c r="AL937" s="201">
        <f t="shared" si="4757"/>
        <v>0</v>
      </c>
      <c r="AM937" s="201">
        <f t="shared" si="4757"/>
        <v>0</v>
      </c>
      <c r="AN937" s="201">
        <f t="shared" si="4757"/>
        <v>0</v>
      </c>
      <c r="AO937" s="201">
        <f t="shared" si="4757"/>
        <v>0</v>
      </c>
      <c r="AP937" s="201">
        <f t="shared" si="4757"/>
        <v>0</v>
      </c>
      <c r="AQ937" s="201">
        <f t="shared" si="4757"/>
        <v>0</v>
      </c>
      <c r="AR937" s="200">
        <f t="shared" si="4757"/>
        <v>0</v>
      </c>
      <c r="AS937" s="200">
        <f t="shared" si="4757"/>
        <v>0</v>
      </c>
      <c r="AT937" s="173">
        <v>0.0</v>
      </c>
      <c r="AU937" s="200">
        <f t="shared" ref="AU937:AX937" si="4758">countif($D937,"*"&amp;AU$2&amp;"*")</f>
        <v>0</v>
      </c>
      <c r="AV937" s="200">
        <f t="shared" si="4758"/>
        <v>0</v>
      </c>
      <c r="AW937" s="200">
        <f t="shared" si="4758"/>
        <v>0</v>
      </c>
      <c r="AX937" s="200">
        <f t="shared" si="4758"/>
        <v>0</v>
      </c>
      <c r="AY937" s="202">
        <v>0.0</v>
      </c>
      <c r="AZ937" s="200"/>
      <c r="BA937" s="171" t="str">
        <f t="shared" si="18"/>
        <v/>
      </c>
      <c r="BB937" s="171" t="str">
        <f t="shared" si="19"/>
        <v/>
      </c>
      <c r="BC937" s="171" t="str">
        <f t="shared" si="20"/>
        <v/>
      </c>
      <c r="BD937" s="171" t="str">
        <f t="shared" si="21"/>
        <v/>
      </c>
      <c r="BE937" s="171" t="str">
        <f t="shared" si="22"/>
        <v>Others</v>
      </c>
      <c r="BF937" s="171" t="str">
        <f t="shared" si="23"/>
        <v>Others</v>
      </c>
    </row>
    <row r="938">
      <c r="A938" s="171">
        <f t="array" ref="A938">XLOOKUP(C938,ICSE!A:A,ICSE!C:C,,2,1)</f>
        <v>2014</v>
      </c>
      <c r="B938" s="171" t="s">
        <v>5675</v>
      </c>
      <c r="C938" s="160">
        <v>1886.0</v>
      </c>
      <c r="D938" s="161" t="s">
        <v>158</v>
      </c>
      <c r="E938" s="197" t="str">
        <f t="array" ref="E938">XLOOKUP(C938,ICSE!A:A,ICSE!Z:Z,,0,1)</f>
        <v>Publicly available (1)</v>
      </c>
      <c r="F938" s="198" t="s">
        <v>20</v>
      </c>
      <c r="G938" s="163" t="str">
        <f t="array" ref="G938">IF(B938="ICSE",IF(COUNTIFS(B:B,B938,C:C,C938)=XLOOKUP(C938,ICSE!A:A,ICSE!AA:AA,"ERROR",0,1),"OK","ERROR"),IF(B938="FSE",IF(COUNTIFS(B:B,B938,C:C,C938)=XLOOKUP(C938,FSE!A:A,FSE!AA:AA,"ERROR",0,1),"OK","ERROR")))</f>
        <v>OK</v>
      </c>
      <c r="H938" s="199">
        <f t="shared" ref="H938:O938" si="4759">countif($D938,"*"&amp;H$2&amp;"*")</f>
        <v>0</v>
      </c>
      <c r="I938" s="200">
        <f t="shared" si="4759"/>
        <v>0</v>
      </c>
      <c r="J938" s="200">
        <f t="shared" si="4759"/>
        <v>0</v>
      </c>
      <c r="K938" s="200">
        <f t="shared" si="4759"/>
        <v>0</v>
      </c>
      <c r="L938" s="200">
        <f t="shared" si="4759"/>
        <v>0</v>
      </c>
      <c r="M938" s="200">
        <f t="shared" si="4759"/>
        <v>0</v>
      </c>
      <c r="N938" s="200">
        <f t="shared" si="4759"/>
        <v>0</v>
      </c>
      <c r="O938" s="200">
        <f t="shared" si="4759"/>
        <v>0</v>
      </c>
      <c r="P938" s="200">
        <f t="shared" si="9"/>
        <v>0</v>
      </c>
      <c r="Q938" s="200">
        <f t="shared" ref="Q938:AC938" si="4760">countif($D938,"*"&amp;Q$2&amp;"*")</f>
        <v>0</v>
      </c>
      <c r="R938" s="200">
        <f t="shared" si="4760"/>
        <v>0</v>
      </c>
      <c r="S938" s="200">
        <f t="shared" si="4760"/>
        <v>0</v>
      </c>
      <c r="T938" s="200">
        <f t="shared" si="4760"/>
        <v>0</v>
      </c>
      <c r="U938" s="200">
        <f t="shared" si="4760"/>
        <v>0</v>
      </c>
      <c r="V938" s="200">
        <f t="shared" si="4760"/>
        <v>0</v>
      </c>
      <c r="W938" s="200">
        <f t="shared" si="4760"/>
        <v>0</v>
      </c>
      <c r="X938" s="200">
        <f t="shared" si="4760"/>
        <v>0</v>
      </c>
      <c r="Y938" s="200">
        <f t="shared" si="4760"/>
        <v>0</v>
      </c>
      <c r="Z938" s="200">
        <f t="shared" si="4760"/>
        <v>0</v>
      </c>
      <c r="AA938" s="200">
        <f t="shared" si="4760"/>
        <v>0</v>
      </c>
      <c r="AB938" s="200">
        <f t="shared" si="4760"/>
        <v>0</v>
      </c>
      <c r="AC938" s="200">
        <f t="shared" si="4760"/>
        <v>0</v>
      </c>
      <c r="AD938" s="200">
        <f t="shared" si="11"/>
        <v>1</v>
      </c>
      <c r="AE938" s="200">
        <f t="shared" ref="AE938:AG938" si="4761">countif($D938,"*"&amp;AE$2&amp;"*")</f>
        <v>0</v>
      </c>
      <c r="AF938" s="200">
        <f t="shared" si="4761"/>
        <v>0</v>
      </c>
      <c r="AG938" s="200">
        <f t="shared" si="4761"/>
        <v>0</v>
      </c>
      <c r="AH938" s="171">
        <f t="shared" si="13"/>
        <v>0</v>
      </c>
      <c r="AI938" s="200">
        <f t="shared" si="14"/>
        <v>0</v>
      </c>
      <c r="AJ938" s="200">
        <f t="shared" ref="AJ938:AJ939" si="4767">SUM(AK938:AQ938)</f>
        <v>0</v>
      </c>
      <c r="AK938" s="201">
        <f t="shared" ref="AK938:AS938" si="4762">countif($D938,"*"&amp;AK$2&amp;"*")</f>
        <v>0</v>
      </c>
      <c r="AL938" s="201">
        <f t="shared" si="4762"/>
        <v>0</v>
      </c>
      <c r="AM938" s="201">
        <f t="shared" si="4762"/>
        <v>0</v>
      </c>
      <c r="AN938" s="201">
        <f t="shared" si="4762"/>
        <v>0</v>
      </c>
      <c r="AO938" s="201">
        <f t="shared" si="4762"/>
        <v>0</v>
      </c>
      <c r="AP938" s="201">
        <f t="shared" si="4762"/>
        <v>0</v>
      </c>
      <c r="AQ938" s="201">
        <f t="shared" si="4762"/>
        <v>0</v>
      </c>
      <c r="AR938" s="201">
        <f t="shared" si="4762"/>
        <v>0</v>
      </c>
      <c r="AS938" s="200">
        <f t="shared" si="4762"/>
        <v>0</v>
      </c>
      <c r="AT938" s="205">
        <v>0.0</v>
      </c>
      <c r="AU938" s="200">
        <f t="shared" ref="AU938:AX938" si="4763">countif($D938,"*"&amp;AU$2&amp;"*")</f>
        <v>1</v>
      </c>
      <c r="AV938" s="200">
        <f t="shared" si="4763"/>
        <v>0</v>
      </c>
      <c r="AW938" s="200">
        <f t="shared" si="4763"/>
        <v>0</v>
      </c>
      <c r="AX938" s="200">
        <f t="shared" si="4763"/>
        <v>0</v>
      </c>
      <c r="AY938" s="202">
        <v>0.0</v>
      </c>
      <c r="AZ938" s="200"/>
      <c r="BA938" s="171" t="str">
        <f t="shared" si="18"/>
        <v/>
      </c>
      <c r="BB938" s="171" t="str">
        <f t="shared" si="19"/>
        <v/>
      </c>
      <c r="BC938" s="171" t="str">
        <f t="shared" si="20"/>
        <v/>
      </c>
      <c r="BD938" s="171" t="str">
        <f t="shared" si="21"/>
        <v>Institutional</v>
      </c>
      <c r="BE938" s="171" t="str">
        <f t="shared" si="22"/>
        <v/>
      </c>
      <c r="BF938" s="171" t="str">
        <f t="shared" si="23"/>
        <v>Institutional</v>
      </c>
    </row>
    <row r="939">
      <c r="A939" s="171">
        <f t="array" ref="A939">XLOOKUP(C939,ICSE!A:A,ICSE!C:C,,2,1)</f>
        <v>2014</v>
      </c>
      <c r="B939" s="171" t="s">
        <v>5675</v>
      </c>
      <c r="C939" s="160">
        <v>1890.0</v>
      </c>
      <c r="D939" s="161" t="s">
        <v>165</v>
      </c>
      <c r="E939" s="197" t="str">
        <f t="array" ref="E939">XLOOKUP(C939,ICSE!A:A,ICSE!Z:Z,,0,1)</f>
        <v>Not available (1) - Broken link.</v>
      </c>
      <c r="F939" s="198" t="s">
        <v>21</v>
      </c>
      <c r="G939" s="163" t="str">
        <f t="array" ref="G939">IF(B939="ICSE",IF(COUNTIFS(B:B,B939,C:C,C939)=XLOOKUP(C939,ICSE!A:A,ICSE!AA:AA,"ERROR",0,1),"OK","ERROR"),IF(B939="FSE",IF(COUNTIFS(B:B,B939,C:C,C939)=XLOOKUP(C939,FSE!A:A,FSE!AA:AA,"ERROR",0,1),"OK","ERROR")))</f>
        <v>OK</v>
      </c>
      <c r="H939" s="199">
        <f t="shared" ref="H939:O939" si="4764">countif($D939,"*"&amp;H$2&amp;"*")</f>
        <v>0</v>
      </c>
      <c r="I939" s="200">
        <f t="shared" si="4764"/>
        <v>0</v>
      </c>
      <c r="J939" s="200">
        <f t="shared" si="4764"/>
        <v>0</v>
      </c>
      <c r="K939" s="200">
        <f t="shared" si="4764"/>
        <v>0</v>
      </c>
      <c r="L939" s="200">
        <f t="shared" si="4764"/>
        <v>0</v>
      </c>
      <c r="M939" s="200">
        <f t="shared" si="4764"/>
        <v>0</v>
      </c>
      <c r="N939" s="200">
        <f t="shared" si="4764"/>
        <v>0</v>
      </c>
      <c r="O939" s="200">
        <f t="shared" si="4764"/>
        <v>0</v>
      </c>
      <c r="P939" s="200">
        <f t="shared" si="9"/>
        <v>0</v>
      </c>
      <c r="Q939" s="200">
        <f t="shared" ref="Q939:AC939" si="4765">countif($D939,"*"&amp;Q$2&amp;"*")</f>
        <v>0</v>
      </c>
      <c r="R939" s="200">
        <f t="shared" si="4765"/>
        <v>0</v>
      </c>
      <c r="S939" s="200">
        <f t="shared" si="4765"/>
        <v>0</v>
      </c>
      <c r="T939" s="200">
        <f t="shared" si="4765"/>
        <v>0</v>
      </c>
      <c r="U939" s="200">
        <f t="shared" si="4765"/>
        <v>0</v>
      </c>
      <c r="V939" s="200">
        <f t="shared" si="4765"/>
        <v>0</v>
      </c>
      <c r="W939" s="200">
        <f t="shared" si="4765"/>
        <v>0</v>
      </c>
      <c r="X939" s="200">
        <f t="shared" si="4765"/>
        <v>0</v>
      </c>
      <c r="Y939" s="200">
        <f t="shared" si="4765"/>
        <v>0</v>
      </c>
      <c r="Z939" s="200">
        <f t="shared" si="4765"/>
        <v>0</v>
      </c>
      <c r="AA939" s="200">
        <f t="shared" si="4765"/>
        <v>0</v>
      </c>
      <c r="AB939" s="200">
        <f t="shared" si="4765"/>
        <v>0</v>
      </c>
      <c r="AC939" s="200">
        <f t="shared" si="4765"/>
        <v>0</v>
      </c>
      <c r="AD939" s="200">
        <f t="shared" si="11"/>
        <v>1</v>
      </c>
      <c r="AE939" s="200">
        <f t="shared" ref="AE939:AG939" si="4766">countif($D939,"*"&amp;AE$2&amp;"*")</f>
        <v>0</v>
      </c>
      <c r="AF939" s="200">
        <f t="shared" si="4766"/>
        <v>0</v>
      </c>
      <c r="AG939" s="200">
        <f t="shared" si="4766"/>
        <v>0</v>
      </c>
      <c r="AH939" s="171">
        <f t="shared" si="13"/>
        <v>0</v>
      </c>
      <c r="AI939" s="200">
        <f t="shared" si="14"/>
        <v>0</v>
      </c>
      <c r="AJ939" s="200">
        <f t="shared" si="4767"/>
        <v>0</v>
      </c>
      <c r="AK939" s="201">
        <f t="shared" ref="AK939:AS939" si="4768">countif($D939,"*"&amp;AK$2&amp;"*")</f>
        <v>0</v>
      </c>
      <c r="AL939" s="201">
        <f t="shared" si="4768"/>
        <v>0</v>
      </c>
      <c r="AM939" s="201">
        <f t="shared" si="4768"/>
        <v>0</v>
      </c>
      <c r="AN939" s="201">
        <f t="shared" si="4768"/>
        <v>0</v>
      </c>
      <c r="AO939" s="201">
        <f t="shared" si="4768"/>
        <v>0</v>
      </c>
      <c r="AP939" s="201">
        <f t="shared" si="4768"/>
        <v>0</v>
      </c>
      <c r="AQ939" s="201">
        <f t="shared" si="4768"/>
        <v>0</v>
      </c>
      <c r="AR939" s="201">
        <f t="shared" si="4768"/>
        <v>0</v>
      </c>
      <c r="AS939" s="200">
        <f t="shared" si="4768"/>
        <v>0</v>
      </c>
      <c r="AT939" s="205">
        <v>0.0</v>
      </c>
      <c r="AU939" s="200">
        <f t="shared" ref="AU939:AX939" si="4769">countif($D939,"*"&amp;AU$2&amp;"*")</f>
        <v>1</v>
      </c>
      <c r="AV939" s="200">
        <f t="shared" si="4769"/>
        <v>0</v>
      </c>
      <c r="AW939" s="200">
        <f t="shared" si="4769"/>
        <v>0</v>
      </c>
      <c r="AX939" s="200">
        <f t="shared" si="4769"/>
        <v>0</v>
      </c>
      <c r="AY939" s="202">
        <v>0.0</v>
      </c>
      <c r="AZ939" s="200"/>
      <c r="BA939" s="171" t="str">
        <f t="shared" si="18"/>
        <v/>
      </c>
      <c r="BB939" s="171" t="str">
        <f t="shared" si="19"/>
        <v/>
      </c>
      <c r="BC939" s="171" t="str">
        <f t="shared" si="20"/>
        <v/>
      </c>
      <c r="BD939" s="171" t="str">
        <f t="shared" si="21"/>
        <v>Institutional</v>
      </c>
      <c r="BE939" s="171" t="str">
        <f t="shared" si="22"/>
        <v/>
      </c>
      <c r="BF939" s="171" t="str">
        <f t="shared" si="23"/>
        <v>Institutional</v>
      </c>
    </row>
    <row r="940">
      <c r="A940" s="171">
        <f t="array" ref="A940">XLOOKUP(C940,ICSE!A:A,ICSE!C:C,,2,1)</f>
        <v>2014</v>
      </c>
      <c r="B940" s="171" t="s">
        <v>5675</v>
      </c>
      <c r="C940" s="160">
        <v>1892.0</v>
      </c>
      <c r="D940" s="161" t="s">
        <v>6065</v>
      </c>
      <c r="E940" s="197" t="str">
        <f t="array" ref="E940">XLOOKUP(C940,ICSE!A:A,ICSE!Z:Z,,0,1)</f>
        <v>Publicly available (2)</v>
      </c>
      <c r="F940" s="198" t="s">
        <v>20</v>
      </c>
      <c r="G940" s="163" t="str">
        <f t="array" ref="G940">IF(B940="ICSE",IF(COUNTIFS(B:B,B940,C:C,C940)=XLOOKUP(C940,ICSE!A:A,ICSE!AA:AA,"ERROR",0,1),"OK","ERROR"),IF(B940="FSE",IF(COUNTIFS(B:B,B940,C:C,C940)=XLOOKUP(C940,FSE!A:A,FSE!AA:AA,"ERROR",0,1),"OK","ERROR")))</f>
        <v>OK</v>
      </c>
      <c r="H940" s="199">
        <f t="shared" ref="H940:O940" si="4770">countif($D940,"*"&amp;H$2&amp;"*")</f>
        <v>0</v>
      </c>
      <c r="I940" s="200">
        <f t="shared" si="4770"/>
        <v>0</v>
      </c>
      <c r="J940" s="200">
        <f t="shared" si="4770"/>
        <v>0</v>
      </c>
      <c r="K940" s="200">
        <f t="shared" si="4770"/>
        <v>0</v>
      </c>
      <c r="L940" s="200">
        <f t="shared" si="4770"/>
        <v>0</v>
      </c>
      <c r="M940" s="200">
        <f t="shared" si="4770"/>
        <v>0</v>
      </c>
      <c r="N940" s="200">
        <f t="shared" si="4770"/>
        <v>0</v>
      </c>
      <c r="O940" s="200">
        <f t="shared" si="4770"/>
        <v>0</v>
      </c>
      <c r="P940" s="200">
        <f t="shared" si="9"/>
        <v>1</v>
      </c>
      <c r="Q940" s="200">
        <f t="shared" ref="Q940:AC940" si="4771">countif($D940,"*"&amp;Q$2&amp;"*")</f>
        <v>0</v>
      </c>
      <c r="R940" s="200">
        <f t="shared" si="4771"/>
        <v>0</v>
      </c>
      <c r="S940" s="200">
        <f t="shared" si="4771"/>
        <v>0</v>
      </c>
      <c r="T940" s="200">
        <f t="shared" si="4771"/>
        <v>0</v>
      </c>
      <c r="U940" s="200">
        <f t="shared" si="4771"/>
        <v>0</v>
      </c>
      <c r="V940" s="200">
        <f t="shared" si="4771"/>
        <v>0</v>
      </c>
      <c r="W940" s="200">
        <f t="shared" si="4771"/>
        <v>0</v>
      </c>
      <c r="X940" s="200">
        <f t="shared" si="4771"/>
        <v>0</v>
      </c>
      <c r="Y940" s="200">
        <f t="shared" si="4771"/>
        <v>0</v>
      </c>
      <c r="Z940" s="200">
        <f t="shared" si="4771"/>
        <v>0</v>
      </c>
      <c r="AA940" s="200">
        <f t="shared" si="4771"/>
        <v>0</v>
      </c>
      <c r="AB940" s="200">
        <f t="shared" si="4771"/>
        <v>0</v>
      </c>
      <c r="AC940" s="200">
        <f t="shared" si="4771"/>
        <v>0</v>
      </c>
      <c r="AD940" s="200">
        <f t="shared" si="11"/>
        <v>0</v>
      </c>
      <c r="AE940" s="200">
        <f t="shared" ref="AE940:AG940" si="4772">countif($D940,"*"&amp;AE$2&amp;"*")</f>
        <v>0</v>
      </c>
      <c r="AF940" s="200">
        <f t="shared" si="4772"/>
        <v>0</v>
      </c>
      <c r="AG940" s="200">
        <f t="shared" si="4772"/>
        <v>0</v>
      </c>
      <c r="AH940" s="171">
        <f t="shared" si="13"/>
        <v>0</v>
      </c>
      <c r="AI940" s="200">
        <f t="shared" si="14"/>
        <v>0</v>
      </c>
      <c r="AJ940" s="200">
        <f>SUM(AK940:AR940)</f>
        <v>0</v>
      </c>
      <c r="AK940" s="201">
        <f t="shared" ref="AK940:AS940" si="4773">countif($D940,"*"&amp;AK$2&amp;"*")</f>
        <v>0</v>
      </c>
      <c r="AL940" s="201">
        <f t="shared" si="4773"/>
        <v>0</v>
      </c>
      <c r="AM940" s="201">
        <f t="shared" si="4773"/>
        <v>0</v>
      </c>
      <c r="AN940" s="201">
        <f t="shared" si="4773"/>
        <v>0</v>
      </c>
      <c r="AO940" s="201">
        <f t="shared" si="4773"/>
        <v>0</v>
      </c>
      <c r="AP940" s="201">
        <f t="shared" si="4773"/>
        <v>0</v>
      </c>
      <c r="AQ940" s="201">
        <f t="shared" si="4773"/>
        <v>0</v>
      </c>
      <c r="AR940" s="200">
        <f t="shared" si="4773"/>
        <v>0</v>
      </c>
      <c r="AS940" s="200">
        <f t="shared" si="4773"/>
        <v>0</v>
      </c>
      <c r="AT940" s="173">
        <v>0.0</v>
      </c>
      <c r="AU940" s="200">
        <f t="shared" ref="AU940:AX940" si="4774">countif($D940,"*"&amp;AU$2&amp;"*")</f>
        <v>0</v>
      </c>
      <c r="AV940" s="200">
        <f t="shared" si="4774"/>
        <v>1</v>
      </c>
      <c r="AW940" s="200">
        <f t="shared" si="4774"/>
        <v>0</v>
      </c>
      <c r="AX940" s="200">
        <f t="shared" si="4774"/>
        <v>0</v>
      </c>
      <c r="AY940" s="202">
        <v>0.0</v>
      </c>
      <c r="AZ940" s="200"/>
      <c r="BA940" s="171" t="str">
        <f t="shared" si="18"/>
        <v/>
      </c>
      <c r="BB940" s="171" t="str">
        <f t="shared" si="19"/>
        <v>Code</v>
      </c>
      <c r="BC940" s="171" t="str">
        <f t="shared" si="20"/>
        <v/>
      </c>
      <c r="BD940" s="171" t="str">
        <f t="shared" si="21"/>
        <v/>
      </c>
      <c r="BE940" s="171" t="str">
        <f t="shared" si="22"/>
        <v/>
      </c>
      <c r="BF940" s="171" t="str">
        <f t="shared" si="23"/>
        <v>Code</v>
      </c>
    </row>
    <row r="941">
      <c r="A941" s="171">
        <f t="array" ref="A941">XLOOKUP(C941,ICSE!A:A,ICSE!C:C,,2,1)</f>
        <v>2014</v>
      </c>
      <c r="B941" s="171" t="s">
        <v>5675</v>
      </c>
      <c r="C941" s="160">
        <v>1892.0</v>
      </c>
      <c r="D941" s="206" t="s">
        <v>6066</v>
      </c>
      <c r="E941" s="197" t="str">
        <f t="array" ref="E941">XLOOKUP(C941,ICSE!A:A,ICSE!Z:Z,,0,1)</f>
        <v>Publicly available (2)</v>
      </c>
      <c r="F941" s="198" t="s">
        <v>20</v>
      </c>
      <c r="G941" s="163" t="str">
        <f t="array" ref="G941">IF(B941="ICSE",IF(COUNTIFS(B:B,B941,C:C,C941)=XLOOKUP(C941,ICSE!A:A,ICSE!AA:AA,"ERROR",0,1),"OK","ERROR"),IF(B941="FSE",IF(COUNTIFS(B:B,B941,C:C,C941)=XLOOKUP(C941,FSE!A:A,FSE!AA:AA,"ERROR",0,1),"OK","ERROR")))</f>
        <v>OK</v>
      </c>
      <c r="H941" s="199">
        <f t="shared" ref="H941:O941" si="4775">countif($D941,"*"&amp;H$2&amp;"*")</f>
        <v>0</v>
      </c>
      <c r="I941" s="200">
        <f t="shared" si="4775"/>
        <v>0</v>
      </c>
      <c r="J941" s="200">
        <f t="shared" si="4775"/>
        <v>0</v>
      </c>
      <c r="K941" s="200">
        <f t="shared" si="4775"/>
        <v>0</v>
      </c>
      <c r="L941" s="200">
        <f t="shared" si="4775"/>
        <v>0</v>
      </c>
      <c r="M941" s="200">
        <f t="shared" si="4775"/>
        <v>0</v>
      </c>
      <c r="N941" s="200">
        <f t="shared" si="4775"/>
        <v>0</v>
      </c>
      <c r="O941" s="200">
        <f t="shared" si="4775"/>
        <v>0</v>
      </c>
      <c r="P941" s="200">
        <f t="shared" si="9"/>
        <v>0</v>
      </c>
      <c r="Q941" s="200">
        <f t="shared" ref="Q941:AC941" si="4776">countif($D941,"*"&amp;Q$2&amp;"*")</f>
        <v>0</v>
      </c>
      <c r="R941" s="200">
        <f t="shared" si="4776"/>
        <v>0</v>
      </c>
      <c r="S941" s="200">
        <f t="shared" si="4776"/>
        <v>0</v>
      </c>
      <c r="T941" s="200">
        <f t="shared" si="4776"/>
        <v>0</v>
      </c>
      <c r="U941" s="200">
        <f t="shared" si="4776"/>
        <v>0</v>
      </c>
      <c r="V941" s="200">
        <f t="shared" si="4776"/>
        <v>0</v>
      </c>
      <c r="W941" s="200">
        <f t="shared" si="4776"/>
        <v>0</v>
      </c>
      <c r="X941" s="200">
        <f t="shared" si="4776"/>
        <v>0</v>
      </c>
      <c r="Y941" s="200">
        <f t="shared" si="4776"/>
        <v>0</v>
      </c>
      <c r="Z941" s="200">
        <f t="shared" si="4776"/>
        <v>0</v>
      </c>
      <c r="AA941" s="200">
        <f t="shared" si="4776"/>
        <v>0</v>
      </c>
      <c r="AB941" s="200">
        <f t="shared" si="4776"/>
        <v>0</v>
      </c>
      <c r="AC941" s="200">
        <f t="shared" si="4776"/>
        <v>0</v>
      </c>
      <c r="AD941" s="200">
        <f t="shared" si="11"/>
        <v>1</v>
      </c>
      <c r="AE941" s="200">
        <f t="shared" ref="AE941:AG941" si="4777">countif($D941,"*"&amp;AE$2&amp;"*")</f>
        <v>0</v>
      </c>
      <c r="AF941" s="200">
        <f t="shared" si="4777"/>
        <v>0</v>
      </c>
      <c r="AG941" s="200">
        <f t="shared" si="4777"/>
        <v>0</v>
      </c>
      <c r="AH941" s="171">
        <f t="shared" si="13"/>
        <v>0</v>
      </c>
      <c r="AI941" s="200">
        <f t="shared" si="14"/>
        <v>0</v>
      </c>
      <c r="AJ941" s="200">
        <f>SUM(AK941:AQ941)</f>
        <v>0</v>
      </c>
      <c r="AK941" s="201">
        <f t="shared" ref="AK941:AS941" si="4778">countif($D941,"*"&amp;AK$2&amp;"*")</f>
        <v>0</v>
      </c>
      <c r="AL941" s="201">
        <f t="shared" si="4778"/>
        <v>0</v>
      </c>
      <c r="AM941" s="201">
        <f t="shared" si="4778"/>
        <v>0</v>
      </c>
      <c r="AN941" s="201">
        <f t="shared" si="4778"/>
        <v>0</v>
      </c>
      <c r="AO941" s="201">
        <f t="shared" si="4778"/>
        <v>0</v>
      </c>
      <c r="AP941" s="201">
        <f t="shared" si="4778"/>
        <v>0</v>
      </c>
      <c r="AQ941" s="201">
        <f t="shared" si="4778"/>
        <v>0</v>
      </c>
      <c r="AR941" s="201">
        <f t="shared" si="4778"/>
        <v>0</v>
      </c>
      <c r="AS941" s="200">
        <f t="shared" si="4778"/>
        <v>0</v>
      </c>
      <c r="AT941" s="205">
        <v>0.0</v>
      </c>
      <c r="AU941" s="200">
        <f t="shared" ref="AU941:AX941" si="4779">countif($D941,"*"&amp;AU$2&amp;"*")</f>
        <v>1</v>
      </c>
      <c r="AV941" s="200">
        <f t="shared" si="4779"/>
        <v>0</v>
      </c>
      <c r="AW941" s="200">
        <f t="shared" si="4779"/>
        <v>0</v>
      </c>
      <c r="AX941" s="200">
        <f t="shared" si="4779"/>
        <v>0</v>
      </c>
      <c r="AY941" s="202">
        <v>0.0</v>
      </c>
      <c r="AZ941" s="200"/>
      <c r="BA941" s="171" t="str">
        <f t="shared" si="18"/>
        <v/>
      </c>
      <c r="BB941" s="171" t="str">
        <f t="shared" si="19"/>
        <v/>
      </c>
      <c r="BC941" s="171" t="str">
        <f t="shared" si="20"/>
        <v/>
      </c>
      <c r="BD941" s="171" t="str">
        <f t="shared" si="21"/>
        <v>Institutional</v>
      </c>
      <c r="BE941" s="171" t="str">
        <f t="shared" si="22"/>
        <v/>
      </c>
      <c r="BF941" s="171" t="str">
        <f t="shared" si="23"/>
        <v>Institutional</v>
      </c>
    </row>
    <row r="942">
      <c r="A942" s="171">
        <f t="array" ref="A942">XLOOKUP(C942,ICSE!A:A,ICSE!C:C,,2,1)</f>
        <v>2014</v>
      </c>
      <c r="B942" s="171" t="s">
        <v>5675</v>
      </c>
      <c r="C942" s="160">
        <v>1893.0</v>
      </c>
      <c r="D942" s="161" t="s">
        <v>6067</v>
      </c>
      <c r="E942" s="197" t="str">
        <f t="array" ref="E942">XLOOKUP(C942,ICSE!A:A,ICSE!Z:Z,,0,1)</f>
        <v>Not available (2) - Broken link.</v>
      </c>
      <c r="F942" s="198" t="s">
        <v>21</v>
      </c>
      <c r="G942" s="163" t="str">
        <f t="array" ref="G942">IF(B942="ICSE",IF(COUNTIFS(B:B,B942,C:C,C942)=XLOOKUP(C942,ICSE!A:A,ICSE!AA:AA,"ERROR",0,1),"OK","ERROR"),IF(B942="FSE",IF(COUNTIFS(B:B,B942,C:C,C942)=XLOOKUP(C942,FSE!A:A,FSE!AA:AA,"ERROR",0,1),"OK","ERROR")))</f>
        <v>OK</v>
      </c>
      <c r="H942" s="199">
        <f t="shared" ref="H942:O942" si="4780">countif($D942,"*"&amp;H$2&amp;"*")</f>
        <v>0</v>
      </c>
      <c r="I942" s="200">
        <f t="shared" si="4780"/>
        <v>0</v>
      </c>
      <c r="J942" s="200">
        <f t="shared" si="4780"/>
        <v>0</v>
      </c>
      <c r="K942" s="200">
        <f t="shared" si="4780"/>
        <v>0</v>
      </c>
      <c r="L942" s="200">
        <f t="shared" si="4780"/>
        <v>0</v>
      </c>
      <c r="M942" s="200">
        <f t="shared" si="4780"/>
        <v>0</v>
      </c>
      <c r="N942" s="200">
        <f t="shared" si="4780"/>
        <v>0</v>
      </c>
      <c r="O942" s="200">
        <f t="shared" si="4780"/>
        <v>0</v>
      </c>
      <c r="P942" s="200">
        <f t="shared" si="9"/>
        <v>0</v>
      </c>
      <c r="Q942" s="200">
        <f t="shared" ref="Q942:AC942" si="4781">countif($D942,"*"&amp;Q$2&amp;"*")</f>
        <v>0</v>
      </c>
      <c r="R942" s="200">
        <f t="shared" si="4781"/>
        <v>0</v>
      </c>
      <c r="S942" s="200">
        <f t="shared" si="4781"/>
        <v>0</v>
      </c>
      <c r="T942" s="200">
        <f t="shared" si="4781"/>
        <v>0</v>
      </c>
      <c r="U942" s="200">
        <f t="shared" si="4781"/>
        <v>0</v>
      </c>
      <c r="V942" s="200">
        <f t="shared" si="4781"/>
        <v>0</v>
      </c>
      <c r="W942" s="200">
        <f t="shared" si="4781"/>
        <v>0</v>
      </c>
      <c r="X942" s="200">
        <f t="shared" si="4781"/>
        <v>0</v>
      </c>
      <c r="Y942" s="200">
        <f t="shared" si="4781"/>
        <v>0</v>
      </c>
      <c r="Z942" s="200">
        <f t="shared" si="4781"/>
        <v>0</v>
      </c>
      <c r="AA942" s="200">
        <f t="shared" si="4781"/>
        <v>0</v>
      </c>
      <c r="AB942" s="200">
        <f t="shared" si="4781"/>
        <v>0</v>
      </c>
      <c r="AC942" s="200">
        <f t="shared" si="4781"/>
        <v>0</v>
      </c>
      <c r="AD942" s="200">
        <f t="shared" si="11"/>
        <v>0</v>
      </c>
      <c r="AE942" s="200">
        <f t="shared" ref="AE942:AG942" si="4782">countif($D942,"*"&amp;AE$2&amp;"*")</f>
        <v>0</v>
      </c>
      <c r="AF942" s="200">
        <f t="shared" si="4782"/>
        <v>0</v>
      </c>
      <c r="AG942" s="200">
        <f t="shared" si="4782"/>
        <v>0</v>
      </c>
      <c r="AH942" s="171">
        <f t="shared" si="13"/>
        <v>1</v>
      </c>
      <c r="AI942" s="200">
        <f t="shared" si="14"/>
        <v>0</v>
      </c>
      <c r="AJ942" s="200">
        <f t="shared" ref="AJ942:AJ944" si="4788">SUM(AK942:AR942)</f>
        <v>0</v>
      </c>
      <c r="AK942" s="201">
        <f t="shared" ref="AK942:AS942" si="4783">countif($D942,"*"&amp;AK$2&amp;"*")</f>
        <v>0</v>
      </c>
      <c r="AL942" s="201">
        <f t="shared" si="4783"/>
        <v>0</v>
      </c>
      <c r="AM942" s="201">
        <f t="shared" si="4783"/>
        <v>0</v>
      </c>
      <c r="AN942" s="201">
        <f t="shared" si="4783"/>
        <v>0</v>
      </c>
      <c r="AO942" s="201">
        <f t="shared" si="4783"/>
        <v>0</v>
      </c>
      <c r="AP942" s="201">
        <f t="shared" si="4783"/>
        <v>0</v>
      </c>
      <c r="AQ942" s="201">
        <f t="shared" si="4783"/>
        <v>0</v>
      </c>
      <c r="AR942" s="200">
        <f t="shared" si="4783"/>
        <v>0</v>
      </c>
      <c r="AS942" s="200">
        <f t="shared" si="4783"/>
        <v>0</v>
      </c>
      <c r="AT942" s="173">
        <v>0.0</v>
      </c>
      <c r="AU942" s="200">
        <f t="shared" ref="AU942:AX942" si="4784">countif($D942,"*"&amp;AU$2&amp;"*")</f>
        <v>0</v>
      </c>
      <c r="AV942" s="200">
        <f t="shared" si="4784"/>
        <v>0</v>
      </c>
      <c r="AW942" s="200">
        <f t="shared" si="4784"/>
        <v>0</v>
      </c>
      <c r="AX942" s="200">
        <f t="shared" si="4784"/>
        <v>0</v>
      </c>
      <c r="AY942" s="202">
        <v>0.0</v>
      </c>
      <c r="AZ942" s="200"/>
      <c r="BA942" s="171" t="str">
        <f t="shared" si="18"/>
        <v/>
      </c>
      <c r="BB942" s="171" t="str">
        <f t="shared" si="19"/>
        <v/>
      </c>
      <c r="BC942" s="171" t="str">
        <f t="shared" si="20"/>
        <v/>
      </c>
      <c r="BD942" s="171" t="str">
        <f t="shared" si="21"/>
        <v/>
      </c>
      <c r="BE942" s="171" t="str">
        <f t="shared" si="22"/>
        <v>Others</v>
      </c>
      <c r="BF942" s="171" t="str">
        <f t="shared" si="23"/>
        <v>Others</v>
      </c>
    </row>
    <row r="943">
      <c r="A943" s="171">
        <f t="array" ref="A943">XLOOKUP(C943,ICSE!A:A,ICSE!C:C,,2,1)</f>
        <v>2014</v>
      </c>
      <c r="B943" s="171" t="s">
        <v>5675</v>
      </c>
      <c r="C943" s="160">
        <v>1893.0</v>
      </c>
      <c r="D943" s="212" t="s">
        <v>6068</v>
      </c>
      <c r="E943" s="197" t="str">
        <f t="array" ref="E943">XLOOKUP(C943,ICSE!A:A,ICSE!Z:Z,,0,1)</f>
        <v>Not available (2) - Broken link.</v>
      </c>
      <c r="F943" s="198" t="s">
        <v>21</v>
      </c>
      <c r="G943" s="163" t="str">
        <f t="array" ref="G943">IF(B943="ICSE",IF(COUNTIFS(B:B,B943,C:C,C943)=XLOOKUP(C943,ICSE!A:A,ICSE!AA:AA,"ERROR",0,1),"OK","ERROR"),IF(B943="FSE",IF(COUNTIFS(B:B,B943,C:C,C943)=XLOOKUP(C943,FSE!A:A,FSE!AA:AA,"ERROR",0,1),"OK","ERROR")))</f>
        <v>OK</v>
      </c>
      <c r="H943" s="199">
        <f t="shared" ref="H943:O943" si="4785">countif($D943,"*"&amp;H$2&amp;"*")</f>
        <v>0</v>
      </c>
      <c r="I943" s="200">
        <f t="shared" si="4785"/>
        <v>0</v>
      </c>
      <c r="J943" s="200">
        <f t="shared" si="4785"/>
        <v>0</v>
      </c>
      <c r="K943" s="200">
        <f t="shared" si="4785"/>
        <v>0</v>
      </c>
      <c r="L943" s="200">
        <f t="shared" si="4785"/>
        <v>0</v>
      </c>
      <c r="M943" s="200">
        <f t="shared" si="4785"/>
        <v>0</v>
      </c>
      <c r="N943" s="200">
        <f t="shared" si="4785"/>
        <v>0</v>
      </c>
      <c r="O943" s="200">
        <f t="shared" si="4785"/>
        <v>0</v>
      </c>
      <c r="P943" s="200">
        <f t="shared" si="9"/>
        <v>0</v>
      </c>
      <c r="Q943" s="200">
        <f t="shared" ref="Q943:AC943" si="4786">countif($D943,"*"&amp;Q$2&amp;"*")</f>
        <v>0</v>
      </c>
      <c r="R943" s="200">
        <f t="shared" si="4786"/>
        <v>0</v>
      </c>
      <c r="S943" s="200">
        <f t="shared" si="4786"/>
        <v>0</v>
      </c>
      <c r="T943" s="200">
        <f t="shared" si="4786"/>
        <v>0</v>
      </c>
      <c r="U943" s="200">
        <f t="shared" si="4786"/>
        <v>0</v>
      </c>
      <c r="V943" s="200">
        <f t="shared" si="4786"/>
        <v>0</v>
      </c>
      <c r="W943" s="200">
        <f t="shared" si="4786"/>
        <v>0</v>
      </c>
      <c r="X943" s="200">
        <f t="shared" si="4786"/>
        <v>0</v>
      </c>
      <c r="Y943" s="200">
        <f t="shared" si="4786"/>
        <v>0</v>
      </c>
      <c r="Z943" s="200">
        <f t="shared" si="4786"/>
        <v>0</v>
      </c>
      <c r="AA943" s="200">
        <f t="shared" si="4786"/>
        <v>0</v>
      </c>
      <c r="AB943" s="200">
        <f t="shared" si="4786"/>
        <v>0</v>
      </c>
      <c r="AC943" s="200">
        <f t="shared" si="4786"/>
        <v>0</v>
      </c>
      <c r="AD943" s="200">
        <f t="shared" si="11"/>
        <v>0</v>
      </c>
      <c r="AE943" s="200">
        <f t="shared" ref="AE943:AG943" si="4787">countif($D943,"*"&amp;AE$2&amp;"*")</f>
        <v>0</v>
      </c>
      <c r="AF943" s="200">
        <f t="shared" si="4787"/>
        <v>0</v>
      </c>
      <c r="AG943" s="200">
        <f t="shared" si="4787"/>
        <v>0</v>
      </c>
      <c r="AH943" s="171">
        <f t="shared" si="13"/>
        <v>1</v>
      </c>
      <c r="AI943" s="200">
        <f t="shared" si="14"/>
        <v>0</v>
      </c>
      <c r="AJ943" s="200">
        <f t="shared" si="4788"/>
        <v>0</v>
      </c>
      <c r="AK943" s="201">
        <f t="shared" ref="AK943:AS943" si="4789">countif($D943,"*"&amp;AK$2&amp;"*")</f>
        <v>0</v>
      </c>
      <c r="AL943" s="201">
        <f t="shared" si="4789"/>
        <v>0</v>
      </c>
      <c r="AM943" s="201">
        <f t="shared" si="4789"/>
        <v>0</v>
      </c>
      <c r="AN943" s="201">
        <f t="shared" si="4789"/>
        <v>0</v>
      </c>
      <c r="AO943" s="201">
        <f t="shared" si="4789"/>
        <v>0</v>
      </c>
      <c r="AP943" s="201">
        <f t="shared" si="4789"/>
        <v>0</v>
      </c>
      <c r="AQ943" s="201">
        <f t="shared" si="4789"/>
        <v>0</v>
      </c>
      <c r="AR943" s="200">
        <f t="shared" si="4789"/>
        <v>0</v>
      </c>
      <c r="AS943" s="200">
        <f t="shared" si="4789"/>
        <v>0</v>
      </c>
      <c r="AT943" s="173">
        <v>0.0</v>
      </c>
      <c r="AU943" s="200">
        <f t="shared" ref="AU943:AX943" si="4790">countif($D943,"*"&amp;AU$2&amp;"*")</f>
        <v>0</v>
      </c>
      <c r="AV943" s="200">
        <f t="shared" si="4790"/>
        <v>0</v>
      </c>
      <c r="AW943" s="200">
        <f t="shared" si="4790"/>
        <v>0</v>
      </c>
      <c r="AX943" s="200">
        <f t="shared" si="4790"/>
        <v>0</v>
      </c>
      <c r="AY943" s="202">
        <v>0.0</v>
      </c>
      <c r="AZ943" s="200"/>
      <c r="BA943" s="171" t="str">
        <f t="shared" si="18"/>
        <v/>
      </c>
      <c r="BB943" s="171" t="str">
        <f t="shared" si="19"/>
        <v/>
      </c>
      <c r="BC943" s="171" t="str">
        <f t="shared" si="20"/>
        <v/>
      </c>
      <c r="BD943" s="171" t="str">
        <f t="shared" si="21"/>
        <v/>
      </c>
      <c r="BE943" s="171" t="str">
        <f t="shared" si="22"/>
        <v>Others</v>
      </c>
      <c r="BF943" s="171" t="str">
        <f t="shared" si="23"/>
        <v>Others</v>
      </c>
    </row>
    <row r="944">
      <c r="A944" s="171">
        <f t="array" ref="A944">XLOOKUP(C944,ICSE!A:A,ICSE!C:C,,2,1)</f>
        <v>2014</v>
      </c>
      <c r="B944" s="171" t="s">
        <v>5675</v>
      </c>
      <c r="C944" s="160">
        <v>1895.0</v>
      </c>
      <c r="D944" s="161" t="s">
        <v>178</v>
      </c>
      <c r="E944" s="197" t="str">
        <f t="array" ref="E944">XLOOKUP(C944,ICSE!A:A,ICSE!Z:Z,,0,1)</f>
        <v>Publicly available (1)</v>
      </c>
      <c r="F944" s="198" t="s">
        <v>20</v>
      </c>
      <c r="G944" s="163" t="str">
        <f t="array" ref="G944">IF(B944="ICSE",IF(COUNTIFS(B:B,B944,C:C,C944)=XLOOKUP(C944,ICSE!A:A,ICSE!AA:AA,"ERROR",0,1),"OK","ERROR"),IF(B944="FSE",IF(COUNTIFS(B:B,B944,C:C,C944)=XLOOKUP(C944,FSE!A:A,FSE!AA:AA,"ERROR",0,1),"OK","ERROR")))</f>
        <v>OK</v>
      </c>
      <c r="H944" s="199">
        <f t="shared" ref="H944:O944" si="4791">countif($D944,"*"&amp;H$2&amp;"*")</f>
        <v>0</v>
      </c>
      <c r="I944" s="200">
        <f t="shared" si="4791"/>
        <v>0</v>
      </c>
      <c r="J944" s="200">
        <f t="shared" si="4791"/>
        <v>0</v>
      </c>
      <c r="K944" s="200">
        <f t="shared" si="4791"/>
        <v>0</v>
      </c>
      <c r="L944" s="200">
        <f t="shared" si="4791"/>
        <v>0</v>
      </c>
      <c r="M944" s="200">
        <f t="shared" si="4791"/>
        <v>0</v>
      </c>
      <c r="N944" s="200">
        <f t="shared" si="4791"/>
        <v>0</v>
      </c>
      <c r="O944" s="200">
        <f t="shared" si="4791"/>
        <v>0</v>
      </c>
      <c r="P944" s="200">
        <f t="shared" si="9"/>
        <v>0</v>
      </c>
      <c r="Q944" s="200">
        <f t="shared" ref="Q944:AC944" si="4792">countif($D944,"*"&amp;Q$2&amp;"*")</f>
        <v>0</v>
      </c>
      <c r="R944" s="200">
        <f t="shared" si="4792"/>
        <v>0</v>
      </c>
      <c r="S944" s="200">
        <f t="shared" si="4792"/>
        <v>0</v>
      </c>
      <c r="T944" s="200">
        <f t="shared" si="4792"/>
        <v>0</v>
      </c>
      <c r="U944" s="200">
        <f t="shared" si="4792"/>
        <v>0</v>
      </c>
      <c r="V944" s="200">
        <f t="shared" si="4792"/>
        <v>0</v>
      </c>
      <c r="W944" s="200">
        <f t="shared" si="4792"/>
        <v>0</v>
      </c>
      <c r="X944" s="200">
        <f t="shared" si="4792"/>
        <v>0</v>
      </c>
      <c r="Y944" s="200">
        <f t="shared" si="4792"/>
        <v>0</v>
      </c>
      <c r="Z944" s="200">
        <f t="shared" si="4792"/>
        <v>0</v>
      </c>
      <c r="AA944" s="200">
        <f t="shared" si="4792"/>
        <v>0</v>
      </c>
      <c r="AB944" s="200">
        <f t="shared" si="4792"/>
        <v>0</v>
      </c>
      <c r="AC944" s="200">
        <f t="shared" si="4792"/>
        <v>0</v>
      </c>
      <c r="AD944" s="200">
        <f t="shared" si="11"/>
        <v>1</v>
      </c>
      <c r="AE944" s="200">
        <f t="shared" ref="AE944:AG944" si="4793">countif($D944,"*"&amp;AE$2&amp;"*")</f>
        <v>0</v>
      </c>
      <c r="AF944" s="200">
        <f t="shared" si="4793"/>
        <v>0</v>
      </c>
      <c r="AG944" s="200">
        <f t="shared" si="4793"/>
        <v>0</v>
      </c>
      <c r="AH944" s="171">
        <f t="shared" si="13"/>
        <v>0</v>
      </c>
      <c r="AI944" s="200">
        <f t="shared" si="14"/>
        <v>0</v>
      </c>
      <c r="AJ944" s="200">
        <f t="shared" si="4788"/>
        <v>0</v>
      </c>
      <c r="AK944" s="201">
        <f t="shared" ref="AK944:AS944" si="4794">countif($D944,"*"&amp;AK$2&amp;"*")</f>
        <v>0</v>
      </c>
      <c r="AL944" s="201">
        <f t="shared" si="4794"/>
        <v>0</v>
      </c>
      <c r="AM944" s="201">
        <f t="shared" si="4794"/>
        <v>0</v>
      </c>
      <c r="AN944" s="201">
        <f t="shared" si="4794"/>
        <v>0</v>
      </c>
      <c r="AO944" s="201">
        <f t="shared" si="4794"/>
        <v>0</v>
      </c>
      <c r="AP944" s="201">
        <f t="shared" si="4794"/>
        <v>0</v>
      </c>
      <c r="AQ944" s="201">
        <f t="shared" si="4794"/>
        <v>0</v>
      </c>
      <c r="AR944" s="200">
        <f t="shared" si="4794"/>
        <v>0</v>
      </c>
      <c r="AS944" s="200">
        <f t="shared" si="4794"/>
        <v>0</v>
      </c>
      <c r="AT944" s="173">
        <v>1.0</v>
      </c>
      <c r="AU944" s="200">
        <f t="shared" ref="AU944:AX944" si="4795">countif($D944,"*"&amp;AU$2&amp;"*")</f>
        <v>0</v>
      </c>
      <c r="AV944" s="200">
        <f t="shared" si="4795"/>
        <v>0</v>
      </c>
      <c r="AW944" s="200">
        <f t="shared" si="4795"/>
        <v>0</v>
      </c>
      <c r="AX944" s="200">
        <f t="shared" si="4795"/>
        <v>0</v>
      </c>
      <c r="AY944" s="202">
        <v>0.0</v>
      </c>
      <c r="AZ944" s="200"/>
      <c r="BA944" s="171" t="str">
        <f t="shared" si="18"/>
        <v/>
      </c>
      <c r="BB944" s="171" t="str">
        <f t="shared" si="19"/>
        <v/>
      </c>
      <c r="BC944" s="171" t="str">
        <f t="shared" si="20"/>
        <v/>
      </c>
      <c r="BD944" s="171" t="str">
        <f t="shared" si="21"/>
        <v>Institutional</v>
      </c>
      <c r="BE944" s="171" t="str">
        <f t="shared" si="22"/>
        <v/>
      </c>
      <c r="BF944" s="171" t="str">
        <f t="shared" si="23"/>
        <v>Institutional</v>
      </c>
    </row>
    <row r="945">
      <c r="A945" s="171">
        <f t="array" ref="A945">XLOOKUP(C945,ICSE!A:A,ICSE!C:C,,2,1)</f>
        <v>2014</v>
      </c>
      <c r="B945" s="171" t="s">
        <v>5675</v>
      </c>
      <c r="C945" s="160">
        <v>1896.0</v>
      </c>
      <c r="D945" s="161" t="s">
        <v>181</v>
      </c>
      <c r="E945" s="197" t="str">
        <f t="array" ref="E945">XLOOKUP(C945,ICSE!A:A,ICSE!Z:Z,,0,1)</f>
        <v>Publicly available (1)</v>
      </c>
      <c r="F945" s="198" t="s">
        <v>20</v>
      </c>
      <c r="G945" s="163" t="str">
        <f t="array" ref="G945">IF(B945="ICSE",IF(COUNTIFS(B:B,B945,C:C,C945)=XLOOKUP(C945,ICSE!A:A,ICSE!AA:AA,"ERROR",0,1),"OK","ERROR"),IF(B945="FSE",IF(COUNTIFS(B:B,B945,C:C,C945)=XLOOKUP(C945,FSE!A:A,FSE!AA:AA,"ERROR",0,1),"OK","ERROR")))</f>
        <v>OK</v>
      </c>
      <c r="H945" s="199">
        <f t="shared" ref="H945:O945" si="4796">countif($D945,"*"&amp;H$2&amp;"*")</f>
        <v>0</v>
      </c>
      <c r="I945" s="200">
        <f t="shared" si="4796"/>
        <v>0</v>
      </c>
      <c r="J945" s="200">
        <f t="shared" si="4796"/>
        <v>0</v>
      </c>
      <c r="K945" s="200">
        <f t="shared" si="4796"/>
        <v>0</v>
      </c>
      <c r="L945" s="200">
        <f t="shared" si="4796"/>
        <v>0</v>
      </c>
      <c r="M945" s="200">
        <f t="shared" si="4796"/>
        <v>0</v>
      </c>
      <c r="N945" s="200">
        <f t="shared" si="4796"/>
        <v>0</v>
      </c>
      <c r="O945" s="200">
        <f t="shared" si="4796"/>
        <v>0</v>
      </c>
      <c r="P945" s="200">
        <f t="shared" si="9"/>
        <v>0</v>
      </c>
      <c r="Q945" s="200">
        <f t="shared" ref="Q945:AC945" si="4797">countif($D945,"*"&amp;Q$2&amp;"*")</f>
        <v>0</v>
      </c>
      <c r="R945" s="200">
        <f t="shared" si="4797"/>
        <v>0</v>
      </c>
      <c r="S945" s="200">
        <f t="shared" si="4797"/>
        <v>0</v>
      </c>
      <c r="T945" s="200">
        <f t="shared" si="4797"/>
        <v>0</v>
      </c>
      <c r="U945" s="200">
        <f t="shared" si="4797"/>
        <v>0</v>
      </c>
      <c r="V945" s="200">
        <f t="shared" si="4797"/>
        <v>0</v>
      </c>
      <c r="W945" s="200">
        <f t="shared" si="4797"/>
        <v>0</v>
      </c>
      <c r="X945" s="200">
        <f t="shared" si="4797"/>
        <v>0</v>
      </c>
      <c r="Y945" s="200">
        <f t="shared" si="4797"/>
        <v>0</v>
      </c>
      <c r="Z945" s="200">
        <f t="shared" si="4797"/>
        <v>0</v>
      </c>
      <c r="AA945" s="200">
        <f t="shared" si="4797"/>
        <v>0</v>
      </c>
      <c r="AB945" s="200">
        <f t="shared" si="4797"/>
        <v>0</v>
      </c>
      <c r="AC945" s="200">
        <f t="shared" si="4797"/>
        <v>0</v>
      </c>
      <c r="AD945" s="200">
        <f t="shared" si="11"/>
        <v>1</v>
      </c>
      <c r="AE945" s="200">
        <f t="shared" ref="AE945:AG945" si="4798">countif($D945,"*"&amp;AE$2&amp;"*")</f>
        <v>0</v>
      </c>
      <c r="AF945" s="200">
        <f t="shared" si="4798"/>
        <v>0</v>
      </c>
      <c r="AG945" s="200">
        <f t="shared" si="4798"/>
        <v>0</v>
      </c>
      <c r="AH945" s="171">
        <f t="shared" si="13"/>
        <v>0</v>
      </c>
      <c r="AI945" s="200">
        <f t="shared" si="14"/>
        <v>0</v>
      </c>
      <c r="AJ945" s="200">
        <f>SUM(AK945:AQ945)</f>
        <v>0</v>
      </c>
      <c r="AK945" s="201">
        <f t="shared" ref="AK945:AS945" si="4799">countif($D945,"*"&amp;AK$2&amp;"*")</f>
        <v>0</v>
      </c>
      <c r="AL945" s="201">
        <f t="shared" si="4799"/>
        <v>0</v>
      </c>
      <c r="AM945" s="201">
        <f t="shared" si="4799"/>
        <v>0</v>
      </c>
      <c r="AN945" s="201">
        <f t="shared" si="4799"/>
        <v>0</v>
      </c>
      <c r="AO945" s="201">
        <f t="shared" si="4799"/>
        <v>0</v>
      </c>
      <c r="AP945" s="201">
        <f t="shared" si="4799"/>
        <v>0</v>
      </c>
      <c r="AQ945" s="201">
        <f t="shared" si="4799"/>
        <v>0</v>
      </c>
      <c r="AR945" s="201">
        <f t="shared" si="4799"/>
        <v>0</v>
      </c>
      <c r="AS945" s="200">
        <f t="shared" si="4799"/>
        <v>0</v>
      </c>
      <c r="AT945" s="205">
        <v>0.0</v>
      </c>
      <c r="AU945" s="200">
        <f t="shared" ref="AU945:AX945" si="4800">countif($D945,"*"&amp;AU$2&amp;"*")</f>
        <v>1</v>
      </c>
      <c r="AV945" s="200">
        <f t="shared" si="4800"/>
        <v>0</v>
      </c>
      <c r="AW945" s="200">
        <f t="shared" si="4800"/>
        <v>0</v>
      </c>
      <c r="AX945" s="200">
        <f t="shared" si="4800"/>
        <v>0</v>
      </c>
      <c r="AY945" s="202">
        <v>0.0</v>
      </c>
      <c r="AZ945" s="200"/>
      <c r="BA945" s="171" t="str">
        <f t="shared" si="18"/>
        <v/>
      </c>
      <c r="BB945" s="171" t="str">
        <f t="shared" si="19"/>
        <v/>
      </c>
      <c r="BC945" s="171" t="str">
        <f t="shared" si="20"/>
        <v/>
      </c>
      <c r="BD945" s="171" t="str">
        <f t="shared" si="21"/>
        <v>Institutional</v>
      </c>
      <c r="BE945" s="171" t="str">
        <f t="shared" si="22"/>
        <v/>
      </c>
      <c r="BF945" s="171" t="str">
        <f t="shared" si="23"/>
        <v>Institutional</v>
      </c>
    </row>
    <row r="946">
      <c r="A946" s="171">
        <f t="array" ref="A946">XLOOKUP(C946,ICSE!A:A,ICSE!C:C,,2,1)</f>
        <v>2014</v>
      </c>
      <c r="B946" s="171" t="s">
        <v>5675</v>
      </c>
      <c r="C946" s="160">
        <v>1898.0</v>
      </c>
      <c r="D946" s="161" t="s">
        <v>185</v>
      </c>
      <c r="E946" s="197" t="str">
        <f t="array" ref="E946">XLOOKUP(C946,ICSE!A:A,ICSE!Z:Z,,0,1)</f>
        <v>Publicly available (1)</v>
      </c>
      <c r="F946" s="198" t="s">
        <v>20</v>
      </c>
      <c r="G946" s="163" t="str">
        <f t="array" ref="G946">IF(B946="ICSE",IF(COUNTIFS(B:B,B946,C:C,C946)=XLOOKUP(C946,ICSE!A:A,ICSE!AA:AA,"ERROR",0,1),"OK","ERROR"),IF(B946="FSE",IF(COUNTIFS(B:B,B946,C:C,C946)=XLOOKUP(C946,FSE!A:A,FSE!AA:AA,"ERROR",0,1),"OK","ERROR")))</f>
        <v>OK</v>
      </c>
      <c r="H946" s="199">
        <f t="shared" ref="H946:O946" si="4801">countif($D946,"*"&amp;H$2&amp;"*")</f>
        <v>0</v>
      </c>
      <c r="I946" s="200">
        <f t="shared" si="4801"/>
        <v>0</v>
      </c>
      <c r="J946" s="200">
        <f t="shared" si="4801"/>
        <v>0</v>
      </c>
      <c r="K946" s="200">
        <f t="shared" si="4801"/>
        <v>0</v>
      </c>
      <c r="L946" s="200">
        <f t="shared" si="4801"/>
        <v>0</v>
      </c>
      <c r="M946" s="200">
        <f t="shared" si="4801"/>
        <v>0</v>
      </c>
      <c r="N946" s="200">
        <f t="shared" si="4801"/>
        <v>0</v>
      </c>
      <c r="O946" s="200">
        <f t="shared" si="4801"/>
        <v>0</v>
      </c>
      <c r="P946" s="200">
        <f t="shared" si="9"/>
        <v>1</v>
      </c>
      <c r="Q946" s="200">
        <f t="shared" ref="Q946:AC946" si="4802">countif($D946,"*"&amp;Q$2&amp;"*")</f>
        <v>0</v>
      </c>
      <c r="R946" s="200">
        <f t="shared" si="4802"/>
        <v>0</v>
      </c>
      <c r="S946" s="200">
        <f t="shared" si="4802"/>
        <v>0</v>
      </c>
      <c r="T946" s="200">
        <f t="shared" si="4802"/>
        <v>0</v>
      </c>
      <c r="U946" s="200">
        <f t="shared" si="4802"/>
        <v>0</v>
      </c>
      <c r="V946" s="200">
        <f t="shared" si="4802"/>
        <v>0</v>
      </c>
      <c r="W946" s="200">
        <f t="shared" si="4802"/>
        <v>0</v>
      </c>
      <c r="X946" s="200">
        <f t="shared" si="4802"/>
        <v>0</v>
      </c>
      <c r="Y946" s="200">
        <f t="shared" si="4802"/>
        <v>0</v>
      </c>
      <c r="Z946" s="200">
        <f t="shared" si="4802"/>
        <v>0</v>
      </c>
      <c r="AA946" s="200">
        <f t="shared" si="4802"/>
        <v>0</v>
      </c>
      <c r="AB946" s="200">
        <f t="shared" si="4802"/>
        <v>0</v>
      </c>
      <c r="AC946" s="200">
        <f t="shared" si="4802"/>
        <v>0</v>
      </c>
      <c r="AD946" s="200">
        <f t="shared" si="11"/>
        <v>0</v>
      </c>
      <c r="AE946" s="200">
        <f t="shared" ref="AE946:AG946" si="4803">countif($D946,"*"&amp;AE$2&amp;"*")</f>
        <v>0</v>
      </c>
      <c r="AF946" s="200">
        <f t="shared" si="4803"/>
        <v>0</v>
      </c>
      <c r="AG946" s="200">
        <f t="shared" si="4803"/>
        <v>0</v>
      </c>
      <c r="AH946" s="171">
        <f t="shared" si="13"/>
        <v>0</v>
      </c>
      <c r="AI946" s="200">
        <f t="shared" si="14"/>
        <v>0</v>
      </c>
      <c r="AJ946" s="200">
        <f t="shared" ref="AJ946:AJ947" si="4809">SUM(AK946:AR946)</f>
        <v>0</v>
      </c>
      <c r="AK946" s="201">
        <f t="shared" ref="AK946:AS946" si="4804">countif($D946,"*"&amp;AK$2&amp;"*")</f>
        <v>0</v>
      </c>
      <c r="AL946" s="201">
        <f t="shared" si="4804"/>
        <v>0</v>
      </c>
      <c r="AM946" s="201">
        <f t="shared" si="4804"/>
        <v>0</v>
      </c>
      <c r="AN946" s="201">
        <f t="shared" si="4804"/>
        <v>0</v>
      </c>
      <c r="AO946" s="201">
        <f t="shared" si="4804"/>
        <v>0</v>
      </c>
      <c r="AP946" s="201">
        <f t="shared" si="4804"/>
        <v>0</v>
      </c>
      <c r="AQ946" s="201">
        <f t="shared" si="4804"/>
        <v>0</v>
      </c>
      <c r="AR946" s="200">
        <f t="shared" si="4804"/>
        <v>0</v>
      </c>
      <c r="AS946" s="200">
        <f t="shared" si="4804"/>
        <v>0</v>
      </c>
      <c r="AT946" s="173">
        <v>0.0</v>
      </c>
      <c r="AU946" s="200">
        <f t="shared" ref="AU946:AX946" si="4805">countif($D946,"*"&amp;AU$2&amp;"*")</f>
        <v>0</v>
      </c>
      <c r="AV946" s="200">
        <f t="shared" si="4805"/>
        <v>1</v>
      </c>
      <c r="AW946" s="200">
        <f t="shared" si="4805"/>
        <v>0</v>
      </c>
      <c r="AX946" s="200">
        <f t="shared" si="4805"/>
        <v>0</v>
      </c>
      <c r="AY946" s="202">
        <v>0.0</v>
      </c>
      <c r="AZ946" s="200"/>
      <c r="BA946" s="171" t="str">
        <f t="shared" si="18"/>
        <v/>
      </c>
      <c r="BB946" s="171" t="str">
        <f t="shared" si="19"/>
        <v>Code</v>
      </c>
      <c r="BC946" s="171" t="str">
        <f t="shared" si="20"/>
        <v/>
      </c>
      <c r="BD946" s="171" t="str">
        <f t="shared" si="21"/>
        <v/>
      </c>
      <c r="BE946" s="171" t="str">
        <f t="shared" si="22"/>
        <v/>
      </c>
      <c r="BF946" s="171" t="str">
        <f t="shared" si="23"/>
        <v>Code</v>
      </c>
    </row>
    <row r="947">
      <c r="A947" s="171">
        <f t="array" ref="A947">XLOOKUP(C947,ICSE!A:A,ICSE!C:C,,2,1)</f>
        <v>2014</v>
      </c>
      <c r="B947" s="171" t="s">
        <v>5675</v>
      </c>
      <c r="C947" s="160">
        <v>1900.0</v>
      </c>
      <c r="D947" s="161" t="s">
        <v>189</v>
      </c>
      <c r="E947" s="197" t="str">
        <f t="array" ref="E947">XLOOKUP(C947,ICSE!A:A,ICSE!Z:Z,,0,1)</f>
        <v>Publicly available (1)</v>
      </c>
      <c r="F947" s="198" t="s">
        <v>20</v>
      </c>
      <c r="G947" s="163" t="str">
        <f t="array" ref="G947">IF(B947="ICSE",IF(COUNTIFS(B:B,B947,C:C,C947)=XLOOKUP(C947,ICSE!A:A,ICSE!AA:AA,"ERROR",0,1),"OK","ERROR"),IF(B947="FSE",IF(COUNTIFS(B:B,B947,C:C,C947)=XLOOKUP(C947,FSE!A:A,FSE!AA:AA,"ERROR",0,1),"OK","ERROR")))</f>
        <v>OK</v>
      </c>
      <c r="H947" s="199">
        <f t="shared" ref="H947:O947" si="4806">countif($D947,"*"&amp;H$2&amp;"*")</f>
        <v>0</v>
      </c>
      <c r="I947" s="200">
        <f t="shared" si="4806"/>
        <v>0</v>
      </c>
      <c r="J947" s="200">
        <f t="shared" si="4806"/>
        <v>0</v>
      </c>
      <c r="K947" s="200">
        <f t="shared" si="4806"/>
        <v>0</v>
      </c>
      <c r="L947" s="200">
        <f t="shared" si="4806"/>
        <v>0</v>
      </c>
      <c r="M947" s="200">
        <f t="shared" si="4806"/>
        <v>0</v>
      </c>
      <c r="N947" s="200">
        <f t="shared" si="4806"/>
        <v>0</v>
      </c>
      <c r="O947" s="200">
        <f t="shared" si="4806"/>
        <v>0</v>
      </c>
      <c r="P947" s="200">
        <f t="shared" si="9"/>
        <v>0</v>
      </c>
      <c r="Q947" s="200">
        <f t="shared" ref="Q947:AC947" si="4807">countif($D947,"*"&amp;Q$2&amp;"*")</f>
        <v>0</v>
      </c>
      <c r="R947" s="200">
        <f t="shared" si="4807"/>
        <v>0</v>
      </c>
      <c r="S947" s="200">
        <f t="shared" si="4807"/>
        <v>0</v>
      </c>
      <c r="T947" s="200">
        <f t="shared" si="4807"/>
        <v>0</v>
      </c>
      <c r="U947" s="200">
        <f t="shared" si="4807"/>
        <v>0</v>
      </c>
      <c r="V947" s="200">
        <f t="shared" si="4807"/>
        <v>0</v>
      </c>
      <c r="W947" s="200">
        <f t="shared" si="4807"/>
        <v>0</v>
      </c>
      <c r="X947" s="200">
        <f t="shared" si="4807"/>
        <v>0</v>
      </c>
      <c r="Y947" s="200">
        <f t="shared" si="4807"/>
        <v>0</v>
      </c>
      <c r="Z947" s="200">
        <f t="shared" si="4807"/>
        <v>0</v>
      </c>
      <c r="AA947" s="200">
        <f t="shared" si="4807"/>
        <v>0</v>
      </c>
      <c r="AB947" s="200">
        <f t="shared" si="4807"/>
        <v>0</v>
      </c>
      <c r="AC947" s="200">
        <f t="shared" si="4807"/>
        <v>0</v>
      </c>
      <c r="AD947" s="200">
        <f t="shared" si="11"/>
        <v>1</v>
      </c>
      <c r="AE947" s="200">
        <f t="shared" ref="AE947:AG947" si="4808">countif($D947,"*"&amp;AE$2&amp;"*")</f>
        <v>0</v>
      </c>
      <c r="AF947" s="200">
        <f t="shared" si="4808"/>
        <v>0</v>
      </c>
      <c r="AG947" s="200">
        <f t="shared" si="4808"/>
        <v>0</v>
      </c>
      <c r="AH947" s="171">
        <f t="shared" si="13"/>
        <v>0</v>
      </c>
      <c r="AI947" s="200">
        <f t="shared" si="14"/>
        <v>0</v>
      </c>
      <c r="AJ947" s="200">
        <f t="shared" si="4809"/>
        <v>0</v>
      </c>
      <c r="AK947" s="201">
        <f t="shared" ref="AK947:AS947" si="4810">countif($D947,"*"&amp;AK$2&amp;"*")</f>
        <v>0</v>
      </c>
      <c r="AL947" s="201">
        <f t="shared" si="4810"/>
        <v>0</v>
      </c>
      <c r="AM947" s="201">
        <f t="shared" si="4810"/>
        <v>0</v>
      </c>
      <c r="AN947" s="201">
        <f t="shared" si="4810"/>
        <v>0</v>
      </c>
      <c r="AO947" s="201">
        <f t="shared" si="4810"/>
        <v>0</v>
      </c>
      <c r="AP947" s="201">
        <f t="shared" si="4810"/>
        <v>0</v>
      </c>
      <c r="AQ947" s="201">
        <f t="shared" si="4810"/>
        <v>0</v>
      </c>
      <c r="AR947" s="200">
        <f t="shared" si="4810"/>
        <v>0</v>
      </c>
      <c r="AS947" s="200">
        <f t="shared" si="4810"/>
        <v>0</v>
      </c>
      <c r="AT947" s="173">
        <v>1.0</v>
      </c>
      <c r="AU947" s="200">
        <f t="shared" ref="AU947:AX947" si="4811">countif($D947,"*"&amp;AU$2&amp;"*")</f>
        <v>0</v>
      </c>
      <c r="AV947" s="200">
        <f t="shared" si="4811"/>
        <v>0</v>
      </c>
      <c r="AW947" s="200">
        <f t="shared" si="4811"/>
        <v>0</v>
      </c>
      <c r="AX947" s="200">
        <f t="shared" si="4811"/>
        <v>0</v>
      </c>
      <c r="AY947" s="202">
        <v>0.0</v>
      </c>
      <c r="AZ947" s="200"/>
      <c r="BA947" s="171" t="str">
        <f t="shared" si="18"/>
        <v/>
      </c>
      <c r="BB947" s="171" t="str">
        <f t="shared" si="19"/>
        <v/>
      </c>
      <c r="BC947" s="171" t="str">
        <f t="shared" si="20"/>
        <v/>
      </c>
      <c r="BD947" s="171" t="str">
        <f t="shared" si="21"/>
        <v>Institutional</v>
      </c>
      <c r="BE947" s="171" t="str">
        <f t="shared" si="22"/>
        <v/>
      </c>
      <c r="BF947" s="171" t="str">
        <f t="shared" si="23"/>
        <v>Institutional</v>
      </c>
    </row>
    <row r="948">
      <c r="A948" s="171">
        <f t="array" ref="A948">XLOOKUP(C948,ICSE!A:A,ICSE!C:C,,2,1)</f>
        <v>2014</v>
      </c>
      <c r="B948" s="171" t="s">
        <v>5675</v>
      </c>
      <c r="C948" s="160">
        <v>1901.0</v>
      </c>
      <c r="D948" s="161" t="s">
        <v>6069</v>
      </c>
      <c r="E948" s="197" t="str">
        <f t="array" ref="E948">XLOOKUP(C948,ICSE!A:A,ICSE!Z:Z,,0,1)</f>
        <v>Publicly available (3)</v>
      </c>
      <c r="F948" s="198" t="s">
        <v>20</v>
      </c>
      <c r="G948" s="163" t="str">
        <f t="array" ref="G948">IF(B948="ICSE",IF(COUNTIFS(B:B,B948,C:C,C948)=XLOOKUP(C948,ICSE!A:A,ICSE!AA:AA,"ERROR",0,1),"OK","ERROR"),IF(B948="FSE",IF(COUNTIFS(B:B,B948,C:C,C948)=XLOOKUP(C948,FSE!A:A,FSE!AA:AA,"ERROR",0,1),"OK","ERROR")))</f>
        <v>OK</v>
      </c>
      <c r="H948" s="199">
        <f t="shared" ref="H948:O948" si="4812">countif($D948,"*"&amp;H$2&amp;"*")</f>
        <v>0</v>
      </c>
      <c r="I948" s="200">
        <f t="shared" si="4812"/>
        <v>0</v>
      </c>
      <c r="J948" s="200">
        <f t="shared" si="4812"/>
        <v>0</v>
      </c>
      <c r="K948" s="200">
        <f t="shared" si="4812"/>
        <v>0</v>
      </c>
      <c r="L948" s="200">
        <f t="shared" si="4812"/>
        <v>0</v>
      </c>
      <c r="M948" s="200">
        <f t="shared" si="4812"/>
        <v>0</v>
      </c>
      <c r="N948" s="200">
        <f t="shared" si="4812"/>
        <v>0</v>
      </c>
      <c r="O948" s="200">
        <f t="shared" si="4812"/>
        <v>0</v>
      </c>
      <c r="P948" s="200">
        <f t="shared" si="9"/>
        <v>0</v>
      </c>
      <c r="Q948" s="200">
        <f t="shared" ref="Q948:AC948" si="4813">countif($D948,"*"&amp;Q$2&amp;"*")</f>
        <v>0</v>
      </c>
      <c r="R948" s="200">
        <f t="shared" si="4813"/>
        <v>0</v>
      </c>
      <c r="S948" s="200">
        <f t="shared" si="4813"/>
        <v>0</v>
      </c>
      <c r="T948" s="200">
        <f t="shared" si="4813"/>
        <v>0</v>
      </c>
      <c r="U948" s="200">
        <f t="shared" si="4813"/>
        <v>0</v>
      </c>
      <c r="V948" s="200">
        <f t="shared" si="4813"/>
        <v>0</v>
      </c>
      <c r="W948" s="200">
        <f t="shared" si="4813"/>
        <v>0</v>
      </c>
      <c r="X948" s="200">
        <f t="shared" si="4813"/>
        <v>0</v>
      </c>
      <c r="Y948" s="200">
        <f t="shared" si="4813"/>
        <v>0</v>
      </c>
      <c r="Z948" s="200">
        <f t="shared" si="4813"/>
        <v>0</v>
      </c>
      <c r="AA948" s="200">
        <f t="shared" si="4813"/>
        <v>0</v>
      </c>
      <c r="AB948" s="200">
        <f t="shared" si="4813"/>
        <v>0</v>
      </c>
      <c r="AC948" s="200">
        <f t="shared" si="4813"/>
        <v>0</v>
      </c>
      <c r="AD948" s="200">
        <f t="shared" si="11"/>
        <v>1</v>
      </c>
      <c r="AE948" s="200">
        <f t="shared" ref="AE948:AG948" si="4814">countif($D948,"*"&amp;AE$2&amp;"*")</f>
        <v>0</v>
      </c>
      <c r="AF948" s="200">
        <f t="shared" si="4814"/>
        <v>0</v>
      </c>
      <c r="AG948" s="200">
        <f t="shared" si="4814"/>
        <v>0</v>
      </c>
      <c r="AH948" s="171">
        <f t="shared" si="13"/>
        <v>0</v>
      </c>
      <c r="AI948" s="200">
        <f t="shared" si="14"/>
        <v>0</v>
      </c>
      <c r="AJ948" s="200">
        <f>SUM(AK948:AQ948)</f>
        <v>0</v>
      </c>
      <c r="AK948" s="201">
        <f t="shared" ref="AK948:AS948" si="4815">countif($D948,"*"&amp;AK$2&amp;"*")</f>
        <v>0</v>
      </c>
      <c r="AL948" s="201">
        <f t="shared" si="4815"/>
        <v>0</v>
      </c>
      <c r="AM948" s="201">
        <f t="shared" si="4815"/>
        <v>0</v>
      </c>
      <c r="AN948" s="201">
        <f t="shared" si="4815"/>
        <v>0</v>
      </c>
      <c r="AO948" s="201">
        <f t="shared" si="4815"/>
        <v>0</v>
      </c>
      <c r="AP948" s="201">
        <f t="shared" si="4815"/>
        <v>0</v>
      </c>
      <c r="AQ948" s="201">
        <f t="shared" si="4815"/>
        <v>0</v>
      </c>
      <c r="AR948" s="201">
        <f t="shared" si="4815"/>
        <v>0</v>
      </c>
      <c r="AS948" s="200">
        <f t="shared" si="4815"/>
        <v>0</v>
      </c>
      <c r="AT948" s="205">
        <v>0.0</v>
      </c>
      <c r="AU948" s="200">
        <f t="shared" ref="AU948:AX948" si="4816">countif($D948,"*"&amp;AU$2&amp;"*")</f>
        <v>1</v>
      </c>
      <c r="AV948" s="200">
        <f t="shared" si="4816"/>
        <v>0</v>
      </c>
      <c r="AW948" s="200">
        <f t="shared" si="4816"/>
        <v>0</v>
      </c>
      <c r="AX948" s="200">
        <f t="shared" si="4816"/>
        <v>0</v>
      </c>
      <c r="AY948" s="202">
        <v>0.0</v>
      </c>
      <c r="AZ948" s="200"/>
      <c r="BA948" s="171" t="str">
        <f t="shared" si="18"/>
        <v/>
      </c>
      <c r="BB948" s="171" t="str">
        <f t="shared" si="19"/>
        <v/>
      </c>
      <c r="BC948" s="171" t="str">
        <f t="shared" si="20"/>
        <v/>
      </c>
      <c r="BD948" s="171" t="str">
        <f t="shared" si="21"/>
        <v>Institutional</v>
      </c>
      <c r="BE948" s="171" t="str">
        <f t="shared" si="22"/>
        <v/>
      </c>
      <c r="BF948" s="171" t="str">
        <f t="shared" si="23"/>
        <v>Institutional</v>
      </c>
    </row>
    <row r="949">
      <c r="A949" s="171">
        <f t="array" ref="A949">XLOOKUP(C949,ICSE!A:A,ICSE!C:C,,2,1)</f>
        <v>2014</v>
      </c>
      <c r="B949" s="171" t="s">
        <v>5675</v>
      </c>
      <c r="C949" s="160">
        <v>1901.0</v>
      </c>
      <c r="D949" s="161" t="s">
        <v>6070</v>
      </c>
      <c r="E949" s="197" t="str">
        <f t="array" ref="E949">XLOOKUP(C949,ICSE!A:A,ICSE!Z:Z,,0,1)</f>
        <v>Publicly available (3)</v>
      </c>
      <c r="F949" s="198" t="s">
        <v>20</v>
      </c>
      <c r="G949" s="163" t="str">
        <f t="array" ref="G949">IF(B949="ICSE",IF(COUNTIFS(B:B,B949,C:C,C949)=XLOOKUP(C949,ICSE!A:A,ICSE!AA:AA,"ERROR",0,1),"OK","ERROR"),IF(B949="FSE",IF(COUNTIFS(B:B,B949,C:C,C949)=XLOOKUP(C949,FSE!A:A,FSE!AA:AA,"ERROR",0,1),"OK","ERROR")))</f>
        <v>OK</v>
      </c>
      <c r="H949" s="199">
        <f t="shared" ref="H949:O949" si="4817">countif($D949,"*"&amp;H$2&amp;"*")</f>
        <v>0</v>
      </c>
      <c r="I949" s="200">
        <f t="shared" si="4817"/>
        <v>0</v>
      </c>
      <c r="J949" s="200">
        <f t="shared" si="4817"/>
        <v>0</v>
      </c>
      <c r="K949" s="200">
        <f t="shared" si="4817"/>
        <v>0</v>
      </c>
      <c r="L949" s="200">
        <f t="shared" si="4817"/>
        <v>0</v>
      </c>
      <c r="M949" s="200">
        <f t="shared" si="4817"/>
        <v>0</v>
      </c>
      <c r="N949" s="200">
        <f t="shared" si="4817"/>
        <v>0</v>
      </c>
      <c r="O949" s="200">
        <f t="shared" si="4817"/>
        <v>0</v>
      </c>
      <c r="P949" s="200">
        <f t="shared" si="9"/>
        <v>1</v>
      </c>
      <c r="Q949" s="200">
        <f t="shared" ref="Q949:AC949" si="4818">countif($D949,"*"&amp;Q$2&amp;"*")</f>
        <v>0</v>
      </c>
      <c r="R949" s="200">
        <f t="shared" si="4818"/>
        <v>0</v>
      </c>
      <c r="S949" s="200">
        <f t="shared" si="4818"/>
        <v>0</v>
      </c>
      <c r="T949" s="200">
        <f t="shared" si="4818"/>
        <v>0</v>
      </c>
      <c r="U949" s="200">
        <f t="shared" si="4818"/>
        <v>0</v>
      </c>
      <c r="V949" s="200">
        <f t="shared" si="4818"/>
        <v>0</v>
      </c>
      <c r="W949" s="200">
        <f t="shared" si="4818"/>
        <v>0</v>
      </c>
      <c r="X949" s="200">
        <f t="shared" si="4818"/>
        <v>0</v>
      </c>
      <c r="Y949" s="200">
        <f t="shared" si="4818"/>
        <v>0</v>
      </c>
      <c r="Z949" s="200">
        <f t="shared" si="4818"/>
        <v>0</v>
      </c>
      <c r="AA949" s="200">
        <f t="shared" si="4818"/>
        <v>0</v>
      </c>
      <c r="AB949" s="200">
        <f t="shared" si="4818"/>
        <v>0</v>
      </c>
      <c r="AC949" s="200">
        <f t="shared" si="4818"/>
        <v>0</v>
      </c>
      <c r="AD949" s="200">
        <f t="shared" si="11"/>
        <v>0</v>
      </c>
      <c r="AE949" s="200">
        <f t="shared" ref="AE949:AG949" si="4819">countif($D949,"*"&amp;AE$2&amp;"*")</f>
        <v>0</v>
      </c>
      <c r="AF949" s="200">
        <f t="shared" si="4819"/>
        <v>0</v>
      </c>
      <c r="AG949" s="200">
        <f t="shared" si="4819"/>
        <v>0</v>
      </c>
      <c r="AH949" s="171">
        <f t="shared" si="13"/>
        <v>0</v>
      </c>
      <c r="AI949" s="200">
        <f t="shared" si="14"/>
        <v>0</v>
      </c>
      <c r="AJ949" s="200">
        <f t="shared" ref="AJ949:AJ956" si="4825">SUM(AK949:AR949)</f>
        <v>0</v>
      </c>
      <c r="AK949" s="201">
        <f t="shared" ref="AK949:AS949" si="4820">countif($D949,"*"&amp;AK$2&amp;"*")</f>
        <v>0</v>
      </c>
      <c r="AL949" s="201">
        <f t="shared" si="4820"/>
        <v>0</v>
      </c>
      <c r="AM949" s="201">
        <f t="shared" si="4820"/>
        <v>0</v>
      </c>
      <c r="AN949" s="201">
        <f t="shared" si="4820"/>
        <v>0</v>
      </c>
      <c r="AO949" s="201">
        <f t="shared" si="4820"/>
        <v>0</v>
      </c>
      <c r="AP949" s="201">
        <f t="shared" si="4820"/>
        <v>0</v>
      </c>
      <c r="AQ949" s="201">
        <f t="shared" si="4820"/>
        <v>0</v>
      </c>
      <c r="AR949" s="200">
        <f t="shared" si="4820"/>
        <v>0</v>
      </c>
      <c r="AS949" s="200">
        <f t="shared" si="4820"/>
        <v>0</v>
      </c>
      <c r="AT949" s="173">
        <v>0.0</v>
      </c>
      <c r="AU949" s="200">
        <f t="shared" ref="AU949:AX949" si="4821">countif($D949,"*"&amp;AU$2&amp;"*")</f>
        <v>0</v>
      </c>
      <c r="AV949" s="200">
        <f t="shared" si="4821"/>
        <v>1</v>
      </c>
      <c r="AW949" s="200">
        <f t="shared" si="4821"/>
        <v>0</v>
      </c>
      <c r="AX949" s="200">
        <f t="shared" si="4821"/>
        <v>0</v>
      </c>
      <c r="AY949" s="202">
        <v>0.0</v>
      </c>
      <c r="AZ949" s="200"/>
      <c r="BA949" s="171" t="str">
        <f t="shared" si="18"/>
        <v/>
      </c>
      <c r="BB949" s="171" t="str">
        <f t="shared" si="19"/>
        <v>Code</v>
      </c>
      <c r="BC949" s="171" t="str">
        <f t="shared" si="20"/>
        <v/>
      </c>
      <c r="BD949" s="171" t="str">
        <f t="shared" si="21"/>
        <v/>
      </c>
      <c r="BE949" s="171" t="str">
        <f t="shared" si="22"/>
        <v/>
      </c>
      <c r="BF949" s="171" t="str">
        <f t="shared" si="23"/>
        <v>Code</v>
      </c>
    </row>
    <row r="950">
      <c r="A950" s="171">
        <f t="array" ref="A950">XLOOKUP(C950,ICSE!A:A,ICSE!C:C,,2,1)</f>
        <v>2014</v>
      </c>
      <c r="B950" s="171" t="s">
        <v>5675</v>
      </c>
      <c r="C950" s="160">
        <v>1901.0</v>
      </c>
      <c r="D950" s="161" t="s">
        <v>6071</v>
      </c>
      <c r="E950" s="197" t="str">
        <f t="array" ref="E950">XLOOKUP(C950,ICSE!A:A,ICSE!Z:Z,,0,1)</f>
        <v>Publicly available (3)</v>
      </c>
      <c r="F950" s="198" t="s">
        <v>20</v>
      </c>
      <c r="G950" s="163" t="str">
        <f t="array" ref="G950">IF(B950="ICSE",IF(COUNTIFS(B:B,B950,C:C,C950)=XLOOKUP(C950,ICSE!A:A,ICSE!AA:AA,"ERROR",0,1),"OK","ERROR"),IF(B950="FSE",IF(COUNTIFS(B:B,B950,C:C,C950)=XLOOKUP(C950,FSE!A:A,FSE!AA:AA,"ERROR",0,1),"OK","ERROR")))</f>
        <v>OK</v>
      </c>
      <c r="H950" s="199">
        <f t="shared" ref="H950:O950" si="4822">countif($D950,"*"&amp;H$2&amp;"*")</f>
        <v>0</v>
      </c>
      <c r="I950" s="200">
        <f t="shared" si="4822"/>
        <v>0</v>
      </c>
      <c r="J950" s="200">
        <f t="shared" si="4822"/>
        <v>0</v>
      </c>
      <c r="K950" s="200">
        <f t="shared" si="4822"/>
        <v>0</v>
      </c>
      <c r="L950" s="200">
        <f t="shared" si="4822"/>
        <v>0</v>
      </c>
      <c r="M950" s="200">
        <f t="shared" si="4822"/>
        <v>0</v>
      </c>
      <c r="N950" s="200">
        <f t="shared" si="4822"/>
        <v>0</v>
      </c>
      <c r="O950" s="200">
        <f t="shared" si="4822"/>
        <v>0</v>
      </c>
      <c r="P950" s="200">
        <f t="shared" si="9"/>
        <v>1</v>
      </c>
      <c r="Q950" s="200">
        <f t="shared" ref="Q950:AC950" si="4823">countif($D950,"*"&amp;Q$2&amp;"*")</f>
        <v>0</v>
      </c>
      <c r="R950" s="200">
        <f t="shared" si="4823"/>
        <v>0</v>
      </c>
      <c r="S950" s="200">
        <f t="shared" si="4823"/>
        <v>0</v>
      </c>
      <c r="T950" s="200">
        <f t="shared" si="4823"/>
        <v>0</v>
      </c>
      <c r="U950" s="200">
        <f t="shared" si="4823"/>
        <v>0</v>
      </c>
      <c r="V950" s="200">
        <f t="shared" si="4823"/>
        <v>0</v>
      </c>
      <c r="W950" s="200">
        <f t="shared" si="4823"/>
        <v>0</v>
      </c>
      <c r="X950" s="200">
        <f t="shared" si="4823"/>
        <v>0</v>
      </c>
      <c r="Y950" s="200">
        <f t="shared" si="4823"/>
        <v>0</v>
      </c>
      <c r="Z950" s="200">
        <f t="shared" si="4823"/>
        <v>0</v>
      </c>
      <c r="AA950" s="200">
        <f t="shared" si="4823"/>
        <v>0</v>
      </c>
      <c r="AB950" s="200">
        <f t="shared" si="4823"/>
        <v>0</v>
      </c>
      <c r="AC950" s="200">
        <f t="shared" si="4823"/>
        <v>0</v>
      </c>
      <c r="AD950" s="200">
        <f t="shared" si="11"/>
        <v>0</v>
      </c>
      <c r="AE950" s="200">
        <f t="shared" ref="AE950:AG950" si="4824">countif($D950,"*"&amp;AE$2&amp;"*")</f>
        <v>0</v>
      </c>
      <c r="AF950" s="200">
        <f t="shared" si="4824"/>
        <v>0</v>
      </c>
      <c r="AG950" s="200">
        <f t="shared" si="4824"/>
        <v>0</v>
      </c>
      <c r="AH950" s="171">
        <f t="shared" si="13"/>
        <v>0</v>
      </c>
      <c r="AI950" s="200">
        <f t="shared" si="14"/>
        <v>0</v>
      </c>
      <c r="AJ950" s="200">
        <f t="shared" si="4825"/>
        <v>0</v>
      </c>
      <c r="AK950" s="201">
        <f t="shared" ref="AK950:AS950" si="4826">countif($D950,"*"&amp;AK$2&amp;"*")</f>
        <v>0</v>
      </c>
      <c r="AL950" s="201">
        <f t="shared" si="4826"/>
        <v>0</v>
      </c>
      <c r="AM950" s="201">
        <f t="shared" si="4826"/>
        <v>0</v>
      </c>
      <c r="AN950" s="201">
        <f t="shared" si="4826"/>
        <v>0</v>
      </c>
      <c r="AO950" s="201">
        <f t="shared" si="4826"/>
        <v>0</v>
      </c>
      <c r="AP950" s="201">
        <f t="shared" si="4826"/>
        <v>0</v>
      </c>
      <c r="AQ950" s="201">
        <f t="shared" si="4826"/>
        <v>0</v>
      </c>
      <c r="AR950" s="200">
        <f t="shared" si="4826"/>
        <v>0</v>
      </c>
      <c r="AS950" s="200">
        <f t="shared" si="4826"/>
        <v>0</v>
      </c>
      <c r="AT950" s="173">
        <v>0.0</v>
      </c>
      <c r="AU950" s="200">
        <f t="shared" ref="AU950:AX950" si="4827">countif($D950,"*"&amp;AU$2&amp;"*")</f>
        <v>0</v>
      </c>
      <c r="AV950" s="200">
        <f t="shared" si="4827"/>
        <v>1</v>
      </c>
      <c r="AW950" s="200">
        <f t="shared" si="4827"/>
        <v>0</v>
      </c>
      <c r="AX950" s="200">
        <f t="shared" si="4827"/>
        <v>0</v>
      </c>
      <c r="AY950" s="202">
        <v>0.0</v>
      </c>
      <c r="AZ950" s="200"/>
      <c r="BA950" s="171" t="str">
        <f t="shared" si="18"/>
        <v/>
      </c>
      <c r="BB950" s="171" t="str">
        <f t="shared" si="19"/>
        <v>Code</v>
      </c>
      <c r="BC950" s="171" t="str">
        <f t="shared" si="20"/>
        <v/>
      </c>
      <c r="BD950" s="171" t="str">
        <f t="shared" si="21"/>
        <v/>
      </c>
      <c r="BE950" s="171" t="str">
        <f t="shared" si="22"/>
        <v/>
      </c>
      <c r="BF950" s="171" t="str">
        <f t="shared" si="23"/>
        <v>Code</v>
      </c>
    </row>
    <row r="951">
      <c r="A951" s="171">
        <f t="array" ref="A951">XLOOKUP(C951,ICSE!A:A,ICSE!C:C,,2,1)</f>
        <v>2014</v>
      </c>
      <c r="B951" s="171" t="s">
        <v>5675</v>
      </c>
      <c r="C951" s="160">
        <v>1904.0</v>
      </c>
      <c r="D951" s="161" t="s">
        <v>198</v>
      </c>
      <c r="E951" s="197" t="str">
        <f t="array" ref="E951">XLOOKUP(C951,ICSE!A:A,ICSE!Z:Z,,0,1)</f>
        <v>Publicly available (1)</v>
      </c>
      <c r="F951" s="198" t="s">
        <v>20</v>
      </c>
      <c r="G951" s="163" t="str">
        <f t="array" ref="G951">IF(B951="ICSE",IF(COUNTIFS(B:B,B951,C:C,C951)=XLOOKUP(C951,ICSE!A:A,ICSE!AA:AA,"ERROR",0,1),"OK","ERROR"),IF(B951="FSE",IF(COUNTIFS(B:B,B951,C:C,C951)=XLOOKUP(C951,FSE!A:A,FSE!AA:AA,"ERROR",0,1),"OK","ERROR")))</f>
        <v>OK</v>
      </c>
      <c r="H951" s="199">
        <f t="shared" ref="H951:O951" si="4828">countif($D951,"*"&amp;H$2&amp;"*")</f>
        <v>0</v>
      </c>
      <c r="I951" s="200">
        <f t="shared" si="4828"/>
        <v>0</v>
      </c>
      <c r="J951" s="200">
        <f t="shared" si="4828"/>
        <v>0</v>
      </c>
      <c r="K951" s="200">
        <f t="shared" si="4828"/>
        <v>0</v>
      </c>
      <c r="L951" s="200">
        <f t="shared" si="4828"/>
        <v>0</v>
      </c>
      <c r="M951" s="200">
        <f t="shared" si="4828"/>
        <v>0</v>
      </c>
      <c r="N951" s="200">
        <f t="shared" si="4828"/>
        <v>0</v>
      </c>
      <c r="O951" s="200">
        <f t="shared" si="4828"/>
        <v>0</v>
      </c>
      <c r="P951" s="200">
        <f t="shared" si="9"/>
        <v>0</v>
      </c>
      <c r="Q951" s="200">
        <f t="shared" ref="Q951:AC951" si="4829">countif($D951,"*"&amp;Q$2&amp;"*")</f>
        <v>0</v>
      </c>
      <c r="R951" s="200">
        <f t="shared" si="4829"/>
        <v>0</v>
      </c>
      <c r="S951" s="200">
        <f t="shared" si="4829"/>
        <v>0</v>
      </c>
      <c r="T951" s="200">
        <f t="shared" si="4829"/>
        <v>0</v>
      </c>
      <c r="U951" s="200">
        <f t="shared" si="4829"/>
        <v>0</v>
      </c>
      <c r="V951" s="200">
        <f t="shared" si="4829"/>
        <v>0</v>
      </c>
      <c r="W951" s="200">
        <f t="shared" si="4829"/>
        <v>0</v>
      </c>
      <c r="X951" s="200">
        <f t="shared" si="4829"/>
        <v>0</v>
      </c>
      <c r="Y951" s="200">
        <f t="shared" si="4829"/>
        <v>0</v>
      </c>
      <c r="Z951" s="200">
        <f t="shared" si="4829"/>
        <v>0</v>
      </c>
      <c r="AA951" s="200">
        <f t="shared" si="4829"/>
        <v>0</v>
      </c>
      <c r="AB951" s="200">
        <f t="shared" si="4829"/>
        <v>0</v>
      </c>
      <c r="AC951" s="200">
        <f t="shared" si="4829"/>
        <v>0</v>
      </c>
      <c r="AD951" s="200">
        <f t="shared" si="11"/>
        <v>1</v>
      </c>
      <c r="AE951" s="200">
        <f t="shared" ref="AE951:AG951" si="4830">countif($D951,"*"&amp;AE$2&amp;"*")</f>
        <v>0</v>
      </c>
      <c r="AF951" s="200">
        <f t="shared" si="4830"/>
        <v>0</v>
      </c>
      <c r="AG951" s="200">
        <f t="shared" si="4830"/>
        <v>0</v>
      </c>
      <c r="AH951" s="171">
        <f t="shared" si="13"/>
        <v>0</v>
      </c>
      <c r="AI951" s="200">
        <f t="shared" si="14"/>
        <v>0</v>
      </c>
      <c r="AJ951" s="200">
        <f t="shared" si="4825"/>
        <v>0</v>
      </c>
      <c r="AK951" s="201">
        <f t="shared" ref="AK951:AS951" si="4831">countif($D951,"*"&amp;AK$2&amp;"*")</f>
        <v>0</v>
      </c>
      <c r="AL951" s="201">
        <f t="shared" si="4831"/>
        <v>0</v>
      </c>
      <c r="AM951" s="201">
        <f t="shared" si="4831"/>
        <v>0</v>
      </c>
      <c r="AN951" s="201">
        <f t="shared" si="4831"/>
        <v>0</v>
      </c>
      <c r="AO951" s="201">
        <f t="shared" si="4831"/>
        <v>0</v>
      </c>
      <c r="AP951" s="201">
        <f t="shared" si="4831"/>
        <v>0</v>
      </c>
      <c r="AQ951" s="201">
        <f t="shared" si="4831"/>
        <v>0</v>
      </c>
      <c r="AR951" s="200">
        <f t="shared" si="4831"/>
        <v>0</v>
      </c>
      <c r="AS951" s="200">
        <f t="shared" si="4831"/>
        <v>0</v>
      </c>
      <c r="AT951" s="173">
        <v>1.0</v>
      </c>
      <c r="AU951" s="200">
        <f t="shared" ref="AU951:AX951" si="4832">countif($D951,"*"&amp;AU$2&amp;"*")</f>
        <v>0</v>
      </c>
      <c r="AV951" s="200">
        <f t="shared" si="4832"/>
        <v>0</v>
      </c>
      <c r="AW951" s="200">
        <f t="shared" si="4832"/>
        <v>0</v>
      </c>
      <c r="AX951" s="200">
        <f t="shared" si="4832"/>
        <v>0</v>
      </c>
      <c r="AY951" s="202">
        <v>0.0</v>
      </c>
      <c r="AZ951" s="200"/>
      <c r="BA951" s="171" t="str">
        <f t="shared" si="18"/>
        <v/>
      </c>
      <c r="BB951" s="171" t="str">
        <f t="shared" si="19"/>
        <v/>
      </c>
      <c r="BC951" s="171" t="str">
        <f t="shared" si="20"/>
        <v/>
      </c>
      <c r="BD951" s="171" t="str">
        <f t="shared" si="21"/>
        <v>Institutional</v>
      </c>
      <c r="BE951" s="171" t="str">
        <f t="shared" si="22"/>
        <v/>
      </c>
      <c r="BF951" s="171" t="str">
        <f t="shared" si="23"/>
        <v>Institutional</v>
      </c>
    </row>
    <row r="952">
      <c r="A952" s="171">
        <f t="array" ref="A952">XLOOKUP(C952,ICSE!A:A,ICSE!C:C,,2,1)</f>
        <v>2014</v>
      </c>
      <c r="B952" s="171" t="s">
        <v>5675</v>
      </c>
      <c r="C952" s="160">
        <v>1905.0</v>
      </c>
      <c r="D952" s="161" t="s">
        <v>201</v>
      </c>
      <c r="E952" s="197" t="str">
        <f t="array" ref="E952">XLOOKUP(C952,ICSE!A:A,ICSE!Z:Z,,0,1)</f>
        <v>Publicly available (1)</v>
      </c>
      <c r="F952" s="198" t="s">
        <v>20</v>
      </c>
      <c r="G952" s="163" t="str">
        <f t="array" ref="G952">IF(B952="ICSE",IF(COUNTIFS(B:B,B952,C:C,C952)=XLOOKUP(C952,ICSE!A:A,ICSE!AA:AA,"ERROR",0,1),"OK","ERROR"),IF(B952="FSE",IF(COUNTIFS(B:B,B952,C:C,C952)=XLOOKUP(C952,FSE!A:A,FSE!AA:AA,"ERROR",0,1),"OK","ERROR")))</f>
        <v>OK</v>
      </c>
      <c r="H952" s="199">
        <f t="shared" ref="H952:O952" si="4833">countif($D952,"*"&amp;H$2&amp;"*")</f>
        <v>0</v>
      </c>
      <c r="I952" s="200">
        <f t="shared" si="4833"/>
        <v>0</v>
      </c>
      <c r="J952" s="200">
        <f t="shared" si="4833"/>
        <v>0</v>
      </c>
      <c r="K952" s="200">
        <f t="shared" si="4833"/>
        <v>0</v>
      </c>
      <c r="L952" s="200">
        <f t="shared" si="4833"/>
        <v>0</v>
      </c>
      <c r="M952" s="200">
        <f t="shared" si="4833"/>
        <v>0</v>
      </c>
      <c r="N952" s="200">
        <f t="shared" si="4833"/>
        <v>0</v>
      </c>
      <c r="O952" s="200">
        <f t="shared" si="4833"/>
        <v>0</v>
      </c>
      <c r="P952" s="200">
        <f t="shared" si="9"/>
        <v>1</v>
      </c>
      <c r="Q952" s="200">
        <f t="shared" ref="Q952:AC952" si="4834">countif($D952,"*"&amp;Q$2&amp;"*")</f>
        <v>0</v>
      </c>
      <c r="R952" s="200">
        <f t="shared" si="4834"/>
        <v>0</v>
      </c>
      <c r="S952" s="200">
        <f t="shared" si="4834"/>
        <v>0</v>
      </c>
      <c r="T952" s="200">
        <f t="shared" si="4834"/>
        <v>0</v>
      </c>
      <c r="U952" s="200">
        <f t="shared" si="4834"/>
        <v>0</v>
      </c>
      <c r="V952" s="200">
        <f t="shared" si="4834"/>
        <v>0</v>
      </c>
      <c r="W952" s="200">
        <f t="shared" si="4834"/>
        <v>0</v>
      </c>
      <c r="X952" s="200">
        <f t="shared" si="4834"/>
        <v>0</v>
      </c>
      <c r="Y952" s="200">
        <f t="shared" si="4834"/>
        <v>0</v>
      </c>
      <c r="Z952" s="200">
        <f t="shared" si="4834"/>
        <v>0</v>
      </c>
      <c r="AA952" s="200">
        <f t="shared" si="4834"/>
        <v>0</v>
      </c>
      <c r="AB952" s="200">
        <f t="shared" si="4834"/>
        <v>0</v>
      </c>
      <c r="AC952" s="200">
        <f t="shared" si="4834"/>
        <v>0</v>
      </c>
      <c r="AD952" s="200">
        <f t="shared" si="11"/>
        <v>0</v>
      </c>
      <c r="AE952" s="200">
        <f t="shared" ref="AE952:AG952" si="4835">countif($D952,"*"&amp;AE$2&amp;"*")</f>
        <v>0</v>
      </c>
      <c r="AF952" s="200">
        <f t="shared" si="4835"/>
        <v>0</v>
      </c>
      <c r="AG952" s="200">
        <f t="shared" si="4835"/>
        <v>0</v>
      </c>
      <c r="AH952" s="171">
        <f t="shared" si="13"/>
        <v>0</v>
      </c>
      <c r="AI952" s="200">
        <f t="shared" si="14"/>
        <v>0</v>
      </c>
      <c r="AJ952" s="200">
        <f t="shared" si="4825"/>
        <v>0</v>
      </c>
      <c r="AK952" s="201">
        <f t="shared" ref="AK952:AS952" si="4836">countif($D952,"*"&amp;AK$2&amp;"*")</f>
        <v>0</v>
      </c>
      <c r="AL952" s="201">
        <f t="shared" si="4836"/>
        <v>0</v>
      </c>
      <c r="AM952" s="201">
        <f t="shared" si="4836"/>
        <v>0</v>
      </c>
      <c r="AN952" s="201">
        <f t="shared" si="4836"/>
        <v>0</v>
      </c>
      <c r="AO952" s="201">
        <f t="shared" si="4836"/>
        <v>0</v>
      </c>
      <c r="AP952" s="201">
        <f t="shared" si="4836"/>
        <v>0</v>
      </c>
      <c r="AQ952" s="201">
        <f t="shared" si="4836"/>
        <v>0</v>
      </c>
      <c r="AR952" s="200">
        <f t="shared" si="4836"/>
        <v>0</v>
      </c>
      <c r="AS952" s="200">
        <f t="shared" si="4836"/>
        <v>0</v>
      </c>
      <c r="AT952" s="173">
        <v>0.0</v>
      </c>
      <c r="AU952" s="200">
        <f t="shared" ref="AU952:AX952" si="4837">countif($D952,"*"&amp;AU$2&amp;"*")</f>
        <v>0</v>
      </c>
      <c r="AV952" s="200">
        <f t="shared" si="4837"/>
        <v>1</v>
      </c>
      <c r="AW952" s="200">
        <f t="shared" si="4837"/>
        <v>0</v>
      </c>
      <c r="AX952" s="200">
        <f t="shared" si="4837"/>
        <v>0</v>
      </c>
      <c r="AY952" s="202">
        <v>0.0</v>
      </c>
      <c r="AZ952" s="200"/>
      <c r="BA952" s="171" t="str">
        <f t="shared" si="18"/>
        <v/>
      </c>
      <c r="BB952" s="171" t="str">
        <f t="shared" si="19"/>
        <v>Code</v>
      </c>
      <c r="BC952" s="171" t="str">
        <f t="shared" si="20"/>
        <v/>
      </c>
      <c r="BD952" s="171" t="str">
        <f t="shared" si="21"/>
        <v/>
      </c>
      <c r="BE952" s="171" t="str">
        <f t="shared" si="22"/>
        <v/>
      </c>
      <c r="BF952" s="171" t="str">
        <f t="shared" si="23"/>
        <v>Code</v>
      </c>
    </row>
    <row r="953">
      <c r="A953" s="171">
        <f t="array" ref="A953">XLOOKUP(C953,ICSE!A:A,ICSE!C:C,,2,1)</f>
        <v>2014</v>
      </c>
      <c r="B953" s="171" t="s">
        <v>5675</v>
      </c>
      <c r="C953" s="160">
        <v>1906.0</v>
      </c>
      <c r="D953" s="161" t="s">
        <v>204</v>
      </c>
      <c r="E953" s="197" t="str">
        <f t="array" ref="E953">XLOOKUP(C953,ICSE!A:A,ICSE!Z:Z,,0,1)</f>
        <v>Not available (1) - Broken link.</v>
      </c>
      <c r="F953" s="198" t="s">
        <v>21</v>
      </c>
      <c r="G953" s="163" t="str">
        <f t="array" ref="G953">IF(B953="ICSE",IF(COUNTIFS(B:B,B953,C:C,C953)=XLOOKUP(C953,ICSE!A:A,ICSE!AA:AA,"ERROR",0,1),"OK","ERROR"),IF(B953="FSE",IF(COUNTIFS(B:B,B953,C:C,C953)=XLOOKUP(C953,FSE!A:A,FSE!AA:AA,"ERROR",0,1),"OK","ERROR")))</f>
        <v>OK</v>
      </c>
      <c r="H953" s="199">
        <f t="shared" ref="H953:O953" si="4838">countif($D953,"*"&amp;H$2&amp;"*")</f>
        <v>0</v>
      </c>
      <c r="I953" s="200">
        <f t="shared" si="4838"/>
        <v>0</v>
      </c>
      <c r="J953" s="200">
        <f t="shared" si="4838"/>
        <v>0</v>
      </c>
      <c r="K953" s="200">
        <f t="shared" si="4838"/>
        <v>0</v>
      </c>
      <c r="L953" s="200">
        <f t="shared" si="4838"/>
        <v>0</v>
      </c>
      <c r="M953" s="200">
        <f t="shared" si="4838"/>
        <v>0</v>
      </c>
      <c r="N953" s="200">
        <f t="shared" si="4838"/>
        <v>0</v>
      </c>
      <c r="O953" s="200">
        <f t="shared" si="4838"/>
        <v>0</v>
      </c>
      <c r="P953" s="200">
        <f t="shared" si="9"/>
        <v>0</v>
      </c>
      <c r="Q953" s="200">
        <f t="shared" ref="Q953:AC953" si="4839">countif($D953,"*"&amp;Q$2&amp;"*")</f>
        <v>0</v>
      </c>
      <c r="R953" s="200">
        <f t="shared" si="4839"/>
        <v>0</v>
      </c>
      <c r="S953" s="200">
        <f t="shared" si="4839"/>
        <v>0</v>
      </c>
      <c r="T953" s="200">
        <f t="shared" si="4839"/>
        <v>0</v>
      </c>
      <c r="U953" s="200">
        <f t="shared" si="4839"/>
        <v>0</v>
      </c>
      <c r="V953" s="200">
        <f t="shared" si="4839"/>
        <v>0</v>
      </c>
      <c r="W953" s="200">
        <f t="shared" si="4839"/>
        <v>0</v>
      </c>
      <c r="X953" s="200">
        <f t="shared" si="4839"/>
        <v>0</v>
      </c>
      <c r="Y953" s="200">
        <f t="shared" si="4839"/>
        <v>0</v>
      </c>
      <c r="Z953" s="200">
        <f t="shared" si="4839"/>
        <v>0</v>
      </c>
      <c r="AA953" s="200">
        <f t="shared" si="4839"/>
        <v>0</v>
      </c>
      <c r="AB953" s="200">
        <f t="shared" si="4839"/>
        <v>0</v>
      </c>
      <c r="AC953" s="200">
        <f t="shared" si="4839"/>
        <v>0</v>
      </c>
      <c r="AD953" s="200">
        <f t="shared" si="11"/>
        <v>0</v>
      </c>
      <c r="AE953" s="200">
        <f t="shared" ref="AE953:AG953" si="4840">countif($D953,"*"&amp;AE$2&amp;"*")</f>
        <v>0</v>
      </c>
      <c r="AF953" s="200">
        <f t="shared" si="4840"/>
        <v>0</v>
      </c>
      <c r="AG953" s="200">
        <f t="shared" si="4840"/>
        <v>0</v>
      </c>
      <c r="AH953" s="171">
        <f t="shared" si="13"/>
        <v>1</v>
      </c>
      <c r="AI953" s="200">
        <f t="shared" si="14"/>
        <v>0</v>
      </c>
      <c r="AJ953" s="200">
        <f t="shared" si="4825"/>
        <v>0</v>
      </c>
      <c r="AK953" s="201">
        <f t="shared" ref="AK953:AS953" si="4841">countif($D953,"*"&amp;AK$2&amp;"*")</f>
        <v>0</v>
      </c>
      <c r="AL953" s="201">
        <f t="shared" si="4841"/>
        <v>0</v>
      </c>
      <c r="AM953" s="201">
        <f t="shared" si="4841"/>
        <v>0</v>
      </c>
      <c r="AN953" s="201">
        <f t="shared" si="4841"/>
        <v>0</v>
      </c>
      <c r="AO953" s="201">
        <f t="shared" si="4841"/>
        <v>0</v>
      </c>
      <c r="AP953" s="201">
        <f t="shared" si="4841"/>
        <v>0</v>
      </c>
      <c r="AQ953" s="201">
        <f t="shared" si="4841"/>
        <v>0</v>
      </c>
      <c r="AR953" s="200">
        <f t="shared" si="4841"/>
        <v>0</v>
      </c>
      <c r="AS953" s="200">
        <f t="shared" si="4841"/>
        <v>0</v>
      </c>
      <c r="AT953" s="173">
        <v>0.0</v>
      </c>
      <c r="AU953" s="200">
        <f t="shared" ref="AU953:AX953" si="4842">countif($D953,"*"&amp;AU$2&amp;"*")</f>
        <v>0</v>
      </c>
      <c r="AV953" s="200">
        <f t="shared" si="4842"/>
        <v>0</v>
      </c>
      <c r="AW953" s="200">
        <f t="shared" si="4842"/>
        <v>0</v>
      </c>
      <c r="AX953" s="200">
        <f t="shared" si="4842"/>
        <v>0</v>
      </c>
      <c r="AY953" s="202">
        <v>0.0</v>
      </c>
      <c r="AZ953" s="200"/>
      <c r="BA953" s="171" t="str">
        <f t="shared" si="18"/>
        <v/>
      </c>
      <c r="BB953" s="171" t="str">
        <f t="shared" si="19"/>
        <v/>
      </c>
      <c r="BC953" s="171" t="str">
        <f t="shared" si="20"/>
        <v/>
      </c>
      <c r="BD953" s="171" t="str">
        <f t="shared" si="21"/>
        <v/>
      </c>
      <c r="BE953" s="171" t="str">
        <f t="shared" si="22"/>
        <v>Others</v>
      </c>
      <c r="BF953" s="171" t="str">
        <f t="shared" si="23"/>
        <v>Others</v>
      </c>
    </row>
    <row r="954">
      <c r="A954" s="171">
        <f t="array" ref="A954">XLOOKUP(C954,ICSE!A:A,ICSE!C:C,,2,1)</f>
        <v>2014</v>
      </c>
      <c r="B954" s="171" t="s">
        <v>5675</v>
      </c>
      <c r="C954" s="160">
        <v>1908.0</v>
      </c>
      <c r="D954" s="212" t="s">
        <v>208</v>
      </c>
      <c r="E954" s="197" t="str">
        <f t="array" ref="E954">XLOOKUP(C954,ICSE!A:A,ICSE!Z:Z,,0,1)</f>
        <v>Not available (1) - Broken link.</v>
      </c>
      <c r="F954" s="198" t="s">
        <v>21</v>
      </c>
      <c r="G954" s="163" t="str">
        <f t="array" ref="G954">IF(B954="ICSE",IF(COUNTIFS(B:B,B954,C:C,C954)=XLOOKUP(C954,ICSE!A:A,ICSE!AA:AA,"ERROR",0,1),"OK","ERROR"),IF(B954="FSE",IF(COUNTIFS(B:B,B954,C:C,C954)=XLOOKUP(C954,FSE!A:A,FSE!AA:AA,"ERROR",0,1),"OK","ERROR")))</f>
        <v>OK</v>
      </c>
      <c r="H954" s="199">
        <f t="shared" ref="H954:O954" si="4843">countif($D954,"*"&amp;H$2&amp;"*")</f>
        <v>0</v>
      </c>
      <c r="I954" s="200">
        <f t="shared" si="4843"/>
        <v>0</v>
      </c>
      <c r="J954" s="200">
        <f t="shared" si="4843"/>
        <v>0</v>
      </c>
      <c r="K954" s="200">
        <f t="shared" si="4843"/>
        <v>0</v>
      </c>
      <c r="L954" s="200">
        <f t="shared" si="4843"/>
        <v>0</v>
      </c>
      <c r="M954" s="200">
        <f t="shared" si="4843"/>
        <v>0</v>
      </c>
      <c r="N954" s="200">
        <f t="shared" si="4843"/>
        <v>0</v>
      </c>
      <c r="O954" s="200">
        <f t="shared" si="4843"/>
        <v>0</v>
      </c>
      <c r="P954" s="200">
        <f t="shared" si="9"/>
        <v>0</v>
      </c>
      <c r="Q954" s="200">
        <f t="shared" ref="Q954:AC954" si="4844">countif($D954,"*"&amp;Q$2&amp;"*")</f>
        <v>0</v>
      </c>
      <c r="R954" s="200">
        <f t="shared" si="4844"/>
        <v>0</v>
      </c>
      <c r="S954" s="200">
        <f t="shared" si="4844"/>
        <v>0</v>
      </c>
      <c r="T954" s="200">
        <f t="shared" si="4844"/>
        <v>0</v>
      </c>
      <c r="U954" s="200">
        <f t="shared" si="4844"/>
        <v>0</v>
      </c>
      <c r="V954" s="200">
        <f t="shared" si="4844"/>
        <v>0</v>
      </c>
      <c r="W954" s="200">
        <f t="shared" si="4844"/>
        <v>0</v>
      </c>
      <c r="X954" s="200">
        <f t="shared" si="4844"/>
        <v>0</v>
      </c>
      <c r="Y954" s="200">
        <f t="shared" si="4844"/>
        <v>0</v>
      </c>
      <c r="Z954" s="200">
        <f t="shared" si="4844"/>
        <v>0</v>
      </c>
      <c r="AA954" s="200">
        <f t="shared" si="4844"/>
        <v>0</v>
      </c>
      <c r="AB954" s="200">
        <f t="shared" si="4844"/>
        <v>0</v>
      </c>
      <c r="AC954" s="200">
        <f t="shared" si="4844"/>
        <v>0</v>
      </c>
      <c r="AD954" s="200">
        <f t="shared" si="11"/>
        <v>0</v>
      </c>
      <c r="AE954" s="200">
        <f t="shared" ref="AE954:AG954" si="4845">countif($D954,"*"&amp;AE$2&amp;"*")</f>
        <v>1</v>
      </c>
      <c r="AF954" s="200">
        <f t="shared" si="4845"/>
        <v>0</v>
      </c>
      <c r="AG954" s="200">
        <f t="shared" si="4845"/>
        <v>0</v>
      </c>
      <c r="AH954" s="171">
        <f t="shared" si="13"/>
        <v>0</v>
      </c>
      <c r="AI954" s="200">
        <f t="shared" si="14"/>
        <v>0</v>
      </c>
      <c r="AJ954" s="200">
        <f t="shared" si="4825"/>
        <v>0</v>
      </c>
      <c r="AK954" s="201">
        <f t="shared" ref="AK954:AS954" si="4846">countif($D954,"*"&amp;AK$2&amp;"*")</f>
        <v>0</v>
      </c>
      <c r="AL954" s="201">
        <f t="shared" si="4846"/>
        <v>0</v>
      </c>
      <c r="AM954" s="201">
        <f t="shared" si="4846"/>
        <v>0</v>
      </c>
      <c r="AN954" s="201">
        <f t="shared" si="4846"/>
        <v>0</v>
      </c>
      <c r="AO954" s="201">
        <f t="shared" si="4846"/>
        <v>0</v>
      </c>
      <c r="AP954" s="201">
        <f t="shared" si="4846"/>
        <v>0</v>
      </c>
      <c r="AQ954" s="201">
        <f t="shared" si="4846"/>
        <v>0</v>
      </c>
      <c r="AR954" s="200">
        <f t="shared" si="4846"/>
        <v>0</v>
      </c>
      <c r="AS954" s="200">
        <f t="shared" si="4846"/>
        <v>0</v>
      </c>
      <c r="AT954" s="173">
        <v>0.0</v>
      </c>
      <c r="AU954" s="200">
        <f t="shared" ref="AU954:AX954" si="4847">countif($D954,"*"&amp;AU$2&amp;"*")</f>
        <v>0</v>
      </c>
      <c r="AV954" s="200">
        <f t="shared" si="4847"/>
        <v>0</v>
      </c>
      <c r="AW954" s="200">
        <f t="shared" si="4847"/>
        <v>0</v>
      </c>
      <c r="AX954" s="200">
        <f t="shared" si="4847"/>
        <v>0</v>
      </c>
      <c r="AY954" s="202">
        <v>0.0</v>
      </c>
      <c r="AZ954" s="200"/>
      <c r="BA954" s="171" t="str">
        <f t="shared" si="18"/>
        <v/>
      </c>
      <c r="BB954" s="171" t="str">
        <f t="shared" si="19"/>
        <v/>
      </c>
      <c r="BC954" s="171" t="str">
        <f t="shared" si="20"/>
        <v/>
      </c>
      <c r="BD954" s="171" t="str">
        <f t="shared" si="21"/>
        <v>Institutional</v>
      </c>
      <c r="BE954" s="171" t="str">
        <f t="shared" si="22"/>
        <v/>
      </c>
      <c r="BF954" s="171" t="str">
        <f t="shared" si="23"/>
        <v>Institutional</v>
      </c>
    </row>
    <row r="955">
      <c r="A955" s="171">
        <f t="array" ref="A955">XLOOKUP(C955,ICSE!A:A,ICSE!C:C,,2,1)</f>
        <v>2014</v>
      </c>
      <c r="B955" s="171" t="s">
        <v>5675</v>
      </c>
      <c r="C955" s="160">
        <v>1910.0</v>
      </c>
      <c r="D955" s="161" t="s">
        <v>212</v>
      </c>
      <c r="E955" s="197" t="str">
        <f t="array" ref="E955">XLOOKUP(C955,ICSE!A:A,ICSE!Z:Z,,0,1)</f>
        <v>Not available (1) - Broken link.</v>
      </c>
      <c r="F955" s="198" t="s">
        <v>21</v>
      </c>
      <c r="G955" s="163" t="str">
        <f t="array" ref="G955">IF(B955="ICSE",IF(COUNTIFS(B:B,B955,C:C,C955)=XLOOKUP(C955,ICSE!A:A,ICSE!AA:AA,"ERROR",0,1),"OK","ERROR"),IF(B955="FSE",IF(COUNTIFS(B:B,B955,C:C,C955)=XLOOKUP(C955,FSE!A:A,FSE!AA:AA,"ERROR",0,1),"OK","ERROR")))</f>
        <v>OK</v>
      </c>
      <c r="H955" s="199">
        <f t="shared" ref="H955:O955" si="4848">countif($D955,"*"&amp;H$2&amp;"*")</f>
        <v>0</v>
      </c>
      <c r="I955" s="200">
        <f t="shared" si="4848"/>
        <v>0</v>
      </c>
      <c r="J955" s="200">
        <f t="shared" si="4848"/>
        <v>0</v>
      </c>
      <c r="K955" s="200">
        <f t="shared" si="4848"/>
        <v>0</v>
      </c>
      <c r="L955" s="200">
        <f t="shared" si="4848"/>
        <v>0</v>
      </c>
      <c r="M955" s="200">
        <f t="shared" si="4848"/>
        <v>0</v>
      </c>
      <c r="N955" s="200">
        <f t="shared" si="4848"/>
        <v>0</v>
      </c>
      <c r="O955" s="200">
        <f t="shared" si="4848"/>
        <v>0</v>
      </c>
      <c r="P955" s="200">
        <f t="shared" si="9"/>
        <v>0</v>
      </c>
      <c r="Q955" s="200">
        <f t="shared" ref="Q955:AC955" si="4849">countif($D955,"*"&amp;Q$2&amp;"*")</f>
        <v>0</v>
      </c>
      <c r="R955" s="200">
        <f t="shared" si="4849"/>
        <v>0</v>
      </c>
      <c r="S955" s="200">
        <f t="shared" si="4849"/>
        <v>0</v>
      </c>
      <c r="T955" s="200">
        <f t="shared" si="4849"/>
        <v>0</v>
      </c>
      <c r="U955" s="200">
        <f t="shared" si="4849"/>
        <v>0</v>
      </c>
      <c r="V955" s="200">
        <f t="shared" si="4849"/>
        <v>0</v>
      </c>
      <c r="W955" s="200">
        <f t="shared" si="4849"/>
        <v>0</v>
      </c>
      <c r="X955" s="200">
        <f t="shared" si="4849"/>
        <v>0</v>
      </c>
      <c r="Y955" s="200">
        <f t="shared" si="4849"/>
        <v>0</v>
      </c>
      <c r="Z955" s="200">
        <f t="shared" si="4849"/>
        <v>0</v>
      </c>
      <c r="AA955" s="200">
        <f t="shared" si="4849"/>
        <v>0</v>
      </c>
      <c r="AB955" s="200">
        <f t="shared" si="4849"/>
        <v>0</v>
      </c>
      <c r="AC955" s="200">
        <f t="shared" si="4849"/>
        <v>0</v>
      </c>
      <c r="AD955" s="200">
        <f t="shared" si="11"/>
        <v>0</v>
      </c>
      <c r="AE955" s="200">
        <f t="shared" ref="AE955:AG955" si="4850">countif($D955,"*"&amp;AE$2&amp;"*")</f>
        <v>0</v>
      </c>
      <c r="AF955" s="200">
        <f t="shared" si="4850"/>
        <v>0</v>
      </c>
      <c r="AG955" s="200">
        <f t="shared" si="4850"/>
        <v>0</v>
      </c>
      <c r="AH955" s="171">
        <f t="shared" si="13"/>
        <v>1</v>
      </c>
      <c r="AI955" s="200">
        <f t="shared" si="14"/>
        <v>0</v>
      </c>
      <c r="AJ955" s="200">
        <f t="shared" si="4825"/>
        <v>0</v>
      </c>
      <c r="AK955" s="201">
        <f t="shared" ref="AK955:AS955" si="4851">countif($D955,"*"&amp;AK$2&amp;"*")</f>
        <v>0</v>
      </c>
      <c r="AL955" s="201">
        <f t="shared" si="4851"/>
        <v>0</v>
      </c>
      <c r="AM955" s="201">
        <f t="shared" si="4851"/>
        <v>0</v>
      </c>
      <c r="AN955" s="201">
        <f t="shared" si="4851"/>
        <v>0</v>
      </c>
      <c r="AO955" s="201">
        <f t="shared" si="4851"/>
        <v>0</v>
      </c>
      <c r="AP955" s="201">
        <f t="shared" si="4851"/>
        <v>0</v>
      </c>
      <c r="AQ955" s="201">
        <f t="shared" si="4851"/>
        <v>0</v>
      </c>
      <c r="AR955" s="200">
        <f t="shared" si="4851"/>
        <v>0</v>
      </c>
      <c r="AS955" s="200">
        <f t="shared" si="4851"/>
        <v>0</v>
      </c>
      <c r="AT955" s="173">
        <v>0.0</v>
      </c>
      <c r="AU955" s="200">
        <f t="shared" ref="AU955:AX955" si="4852">countif($D955,"*"&amp;AU$2&amp;"*")</f>
        <v>0</v>
      </c>
      <c r="AV955" s="200">
        <f t="shared" si="4852"/>
        <v>0</v>
      </c>
      <c r="AW955" s="200">
        <f t="shared" si="4852"/>
        <v>0</v>
      </c>
      <c r="AX955" s="200">
        <f t="shared" si="4852"/>
        <v>0</v>
      </c>
      <c r="AY955" s="202">
        <v>0.0</v>
      </c>
      <c r="AZ955" s="200"/>
      <c r="BA955" s="171" t="str">
        <f t="shared" si="18"/>
        <v/>
      </c>
      <c r="BB955" s="171" t="str">
        <f t="shared" si="19"/>
        <v/>
      </c>
      <c r="BC955" s="171" t="str">
        <f t="shared" si="20"/>
        <v/>
      </c>
      <c r="BD955" s="171" t="str">
        <f t="shared" si="21"/>
        <v/>
      </c>
      <c r="BE955" s="171" t="str">
        <f t="shared" si="22"/>
        <v>Others</v>
      </c>
      <c r="BF955" s="171" t="str">
        <f t="shared" si="23"/>
        <v>Others</v>
      </c>
    </row>
    <row r="956">
      <c r="A956" s="171">
        <f t="array" ref="A956">XLOOKUP(C956,ICSE!A:A,ICSE!C:C,,2,1)</f>
        <v>2014</v>
      </c>
      <c r="B956" s="171" t="s">
        <v>5675</v>
      </c>
      <c r="C956" s="160">
        <v>1911.0</v>
      </c>
      <c r="D956" s="212" t="s">
        <v>214</v>
      </c>
      <c r="E956" s="197" t="str">
        <f t="array" ref="E956">XLOOKUP(C956,ICSE!A:A,ICSE!Z:Z,,0,1)</f>
        <v>Not available (1) - Broken link.</v>
      </c>
      <c r="F956" s="198" t="s">
        <v>21</v>
      </c>
      <c r="G956" s="163" t="str">
        <f t="array" ref="G956">IF(B956="ICSE",IF(COUNTIFS(B:B,B956,C:C,C956)=XLOOKUP(C956,ICSE!A:A,ICSE!AA:AA,"ERROR",0,1),"OK","ERROR"),IF(B956="FSE",IF(COUNTIFS(B:B,B956,C:C,C956)=XLOOKUP(C956,FSE!A:A,FSE!AA:AA,"ERROR",0,1),"OK","ERROR")))</f>
        <v>OK</v>
      </c>
      <c r="H956" s="199">
        <f t="shared" ref="H956:O956" si="4853">countif($D956,"*"&amp;H$2&amp;"*")</f>
        <v>0</v>
      </c>
      <c r="I956" s="200">
        <f t="shared" si="4853"/>
        <v>0</v>
      </c>
      <c r="J956" s="200">
        <f t="shared" si="4853"/>
        <v>0</v>
      </c>
      <c r="K956" s="200">
        <f t="shared" si="4853"/>
        <v>0</v>
      </c>
      <c r="L956" s="200">
        <f t="shared" si="4853"/>
        <v>0</v>
      </c>
      <c r="M956" s="200">
        <f t="shared" si="4853"/>
        <v>0</v>
      </c>
      <c r="N956" s="200">
        <f t="shared" si="4853"/>
        <v>0</v>
      </c>
      <c r="O956" s="200">
        <f t="shared" si="4853"/>
        <v>0</v>
      </c>
      <c r="P956" s="200">
        <f t="shared" si="9"/>
        <v>0</v>
      </c>
      <c r="Q956" s="200">
        <f t="shared" ref="Q956:AC956" si="4854">countif($D956,"*"&amp;Q$2&amp;"*")</f>
        <v>0</v>
      </c>
      <c r="R956" s="200">
        <f t="shared" si="4854"/>
        <v>0</v>
      </c>
      <c r="S956" s="200">
        <f t="shared" si="4854"/>
        <v>0</v>
      </c>
      <c r="T956" s="200">
        <f t="shared" si="4854"/>
        <v>0</v>
      </c>
      <c r="U956" s="200">
        <f t="shared" si="4854"/>
        <v>0</v>
      </c>
      <c r="V956" s="200">
        <f t="shared" si="4854"/>
        <v>0</v>
      </c>
      <c r="W956" s="200">
        <f t="shared" si="4854"/>
        <v>0</v>
      </c>
      <c r="X956" s="200">
        <f t="shared" si="4854"/>
        <v>0</v>
      </c>
      <c r="Y956" s="200">
        <f t="shared" si="4854"/>
        <v>0</v>
      </c>
      <c r="Z956" s="200">
        <f t="shared" si="4854"/>
        <v>0</v>
      </c>
      <c r="AA956" s="200">
        <f t="shared" si="4854"/>
        <v>1</v>
      </c>
      <c r="AB956" s="200">
        <f t="shared" si="4854"/>
        <v>0</v>
      </c>
      <c r="AC956" s="200">
        <f t="shared" si="4854"/>
        <v>0</v>
      </c>
      <c r="AD956" s="200">
        <f t="shared" si="11"/>
        <v>0</v>
      </c>
      <c r="AE956" s="200">
        <f t="shared" ref="AE956:AG956" si="4855">countif($D956,"*"&amp;AE$2&amp;"*")</f>
        <v>0</v>
      </c>
      <c r="AF956" s="200">
        <f t="shared" si="4855"/>
        <v>0</v>
      </c>
      <c r="AG956" s="200">
        <f t="shared" si="4855"/>
        <v>0</v>
      </c>
      <c r="AH956" s="171">
        <f t="shared" si="13"/>
        <v>0</v>
      </c>
      <c r="AI956" s="200">
        <f t="shared" si="14"/>
        <v>0</v>
      </c>
      <c r="AJ956" s="200">
        <f t="shared" si="4825"/>
        <v>0</v>
      </c>
      <c r="AK956" s="201">
        <f t="shared" ref="AK956:AS956" si="4856">countif($D956,"*"&amp;AK$2&amp;"*")</f>
        <v>0</v>
      </c>
      <c r="AL956" s="201">
        <f t="shared" si="4856"/>
        <v>0</v>
      </c>
      <c r="AM956" s="201">
        <f t="shared" si="4856"/>
        <v>0</v>
      </c>
      <c r="AN956" s="201">
        <f t="shared" si="4856"/>
        <v>0</v>
      </c>
      <c r="AO956" s="201">
        <f t="shared" si="4856"/>
        <v>0</v>
      </c>
      <c r="AP956" s="201">
        <f t="shared" si="4856"/>
        <v>0</v>
      </c>
      <c r="AQ956" s="201">
        <f t="shared" si="4856"/>
        <v>0</v>
      </c>
      <c r="AR956" s="200">
        <f t="shared" si="4856"/>
        <v>0</v>
      </c>
      <c r="AS956" s="200">
        <f t="shared" si="4856"/>
        <v>0</v>
      </c>
      <c r="AT956" s="173">
        <v>0.0</v>
      </c>
      <c r="AU956" s="200">
        <f t="shared" ref="AU956:AX956" si="4857">countif($D956,"*"&amp;AU$2&amp;"*")</f>
        <v>0</v>
      </c>
      <c r="AV956" s="200">
        <f t="shared" si="4857"/>
        <v>0</v>
      </c>
      <c r="AW956" s="200">
        <f t="shared" si="4857"/>
        <v>0</v>
      </c>
      <c r="AX956" s="200">
        <f t="shared" si="4857"/>
        <v>0</v>
      </c>
      <c r="AY956" s="202">
        <v>0.0</v>
      </c>
      <c r="AZ956" s="200"/>
      <c r="BA956" s="171" t="str">
        <f t="shared" si="18"/>
        <v/>
      </c>
      <c r="BB956" s="171" t="str">
        <f t="shared" si="19"/>
        <v/>
      </c>
      <c r="BC956" s="171" t="str">
        <f t="shared" si="20"/>
        <v>General-purpose</v>
      </c>
      <c r="BD956" s="171" t="str">
        <f t="shared" si="21"/>
        <v/>
      </c>
      <c r="BE956" s="171" t="str">
        <f t="shared" si="22"/>
        <v/>
      </c>
      <c r="BF956" s="171" t="str">
        <f t="shared" si="23"/>
        <v>General-purpose</v>
      </c>
    </row>
    <row r="957">
      <c r="A957" s="171">
        <f t="array" ref="A957">XLOOKUP(C957,ICSE!A:A,ICSE!C:C,,2,1)</f>
        <v>2014</v>
      </c>
      <c r="B957" s="171" t="s">
        <v>5675</v>
      </c>
      <c r="C957" s="160">
        <v>1912.0</v>
      </c>
      <c r="D957" s="161" t="s">
        <v>216</v>
      </c>
      <c r="E957" s="197" t="str">
        <f t="array" ref="E957">XLOOKUP(C957,ICSE!A:A,ICSE!Z:Z,,0,1)</f>
        <v>Publicly available (1)</v>
      </c>
      <c r="F957" s="198" t="s">
        <v>20</v>
      </c>
      <c r="G957" s="163" t="str">
        <f t="array" ref="G957">IF(B957="ICSE",IF(COUNTIFS(B:B,B957,C:C,C957)=XLOOKUP(C957,ICSE!A:A,ICSE!AA:AA,"ERROR",0,1),"OK","ERROR"),IF(B957="FSE",IF(COUNTIFS(B:B,B957,C:C,C957)=XLOOKUP(C957,FSE!A:A,FSE!AA:AA,"ERROR",0,1),"OK","ERROR")))</f>
        <v>OK</v>
      </c>
      <c r="H957" s="199">
        <f t="shared" ref="H957:O957" si="4858">countif($D957,"*"&amp;H$2&amp;"*")</f>
        <v>0</v>
      </c>
      <c r="I957" s="200">
        <f t="shared" si="4858"/>
        <v>0</v>
      </c>
      <c r="J957" s="200">
        <f t="shared" si="4858"/>
        <v>0</v>
      </c>
      <c r="K957" s="200">
        <f t="shared" si="4858"/>
        <v>0</v>
      </c>
      <c r="L957" s="200">
        <f t="shared" si="4858"/>
        <v>0</v>
      </c>
      <c r="M957" s="200">
        <f t="shared" si="4858"/>
        <v>0</v>
      </c>
      <c r="N957" s="200">
        <f t="shared" si="4858"/>
        <v>0</v>
      </c>
      <c r="O957" s="200">
        <f t="shared" si="4858"/>
        <v>0</v>
      </c>
      <c r="P957" s="200">
        <f t="shared" si="9"/>
        <v>0</v>
      </c>
      <c r="Q957" s="200">
        <f t="shared" ref="Q957:AC957" si="4859">countif($D957,"*"&amp;Q$2&amp;"*")</f>
        <v>0</v>
      </c>
      <c r="R957" s="200">
        <f t="shared" si="4859"/>
        <v>0</v>
      </c>
      <c r="S957" s="200">
        <f t="shared" si="4859"/>
        <v>0</v>
      </c>
      <c r="T957" s="200">
        <f t="shared" si="4859"/>
        <v>0</v>
      </c>
      <c r="U957" s="200">
        <f t="shared" si="4859"/>
        <v>0</v>
      </c>
      <c r="V957" s="200">
        <f t="shared" si="4859"/>
        <v>0</v>
      </c>
      <c r="W957" s="200">
        <f t="shared" si="4859"/>
        <v>0</v>
      </c>
      <c r="X957" s="200">
        <f t="shared" si="4859"/>
        <v>0</v>
      </c>
      <c r="Y957" s="200">
        <f t="shared" si="4859"/>
        <v>0</v>
      </c>
      <c r="Z957" s="200">
        <f t="shared" si="4859"/>
        <v>0</v>
      </c>
      <c r="AA957" s="200">
        <f t="shared" si="4859"/>
        <v>0</v>
      </c>
      <c r="AB957" s="200">
        <f t="shared" si="4859"/>
        <v>0</v>
      </c>
      <c r="AC957" s="200">
        <f t="shared" si="4859"/>
        <v>0</v>
      </c>
      <c r="AD957" s="200">
        <f t="shared" si="11"/>
        <v>1</v>
      </c>
      <c r="AE957" s="200">
        <f t="shared" ref="AE957:AG957" si="4860">countif($D957,"*"&amp;AE$2&amp;"*")</f>
        <v>0</v>
      </c>
      <c r="AF957" s="200">
        <f t="shared" si="4860"/>
        <v>0</v>
      </c>
      <c r="AG957" s="200">
        <f t="shared" si="4860"/>
        <v>0</v>
      </c>
      <c r="AH957" s="171">
        <f t="shared" si="13"/>
        <v>0</v>
      </c>
      <c r="AI957" s="200">
        <f t="shared" si="14"/>
        <v>0</v>
      </c>
      <c r="AJ957" s="200">
        <f>SUM(AK957:AQ957)</f>
        <v>0</v>
      </c>
      <c r="AK957" s="201">
        <f t="shared" ref="AK957:AS957" si="4861">countif($D957,"*"&amp;AK$2&amp;"*")</f>
        <v>0</v>
      </c>
      <c r="AL957" s="201">
        <f t="shared" si="4861"/>
        <v>0</v>
      </c>
      <c r="AM957" s="201">
        <f t="shared" si="4861"/>
        <v>0</v>
      </c>
      <c r="AN957" s="201">
        <f t="shared" si="4861"/>
        <v>0</v>
      </c>
      <c r="AO957" s="201">
        <f t="shared" si="4861"/>
        <v>0</v>
      </c>
      <c r="AP957" s="201">
        <f t="shared" si="4861"/>
        <v>0</v>
      </c>
      <c r="AQ957" s="201">
        <f t="shared" si="4861"/>
        <v>0</v>
      </c>
      <c r="AR957" s="201">
        <f t="shared" si="4861"/>
        <v>0</v>
      </c>
      <c r="AS957" s="200">
        <f t="shared" si="4861"/>
        <v>0</v>
      </c>
      <c r="AT957" s="205">
        <v>0.0</v>
      </c>
      <c r="AU957" s="200">
        <f t="shared" ref="AU957:AX957" si="4862">countif($D957,"*"&amp;AU$2&amp;"*")</f>
        <v>1</v>
      </c>
      <c r="AV957" s="200">
        <f t="shared" si="4862"/>
        <v>0</v>
      </c>
      <c r="AW957" s="200">
        <f t="shared" si="4862"/>
        <v>0</v>
      </c>
      <c r="AX957" s="200">
        <f t="shared" si="4862"/>
        <v>0</v>
      </c>
      <c r="AY957" s="202">
        <v>0.0</v>
      </c>
      <c r="AZ957" s="200"/>
      <c r="BA957" s="171" t="str">
        <f t="shared" si="18"/>
        <v/>
      </c>
      <c r="BB957" s="171" t="str">
        <f t="shared" si="19"/>
        <v/>
      </c>
      <c r="BC957" s="171" t="str">
        <f t="shared" si="20"/>
        <v/>
      </c>
      <c r="BD957" s="171" t="str">
        <f t="shared" si="21"/>
        <v>Institutional</v>
      </c>
      <c r="BE957" s="171" t="str">
        <f t="shared" si="22"/>
        <v/>
      </c>
      <c r="BF957" s="171" t="str">
        <f t="shared" si="23"/>
        <v>Institutional</v>
      </c>
    </row>
    <row r="958">
      <c r="A958" s="171">
        <f t="array" ref="A958">XLOOKUP(C958,ICSE!A:A,ICSE!C:C,,2,1)</f>
        <v>2014</v>
      </c>
      <c r="B958" s="171" t="s">
        <v>5675</v>
      </c>
      <c r="C958" s="160">
        <v>1914.0</v>
      </c>
      <c r="D958" s="161" t="s">
        <v>6072</v>
      </c>
      <c r="E958" s="197" t="str">
        <f t="array" ref="E958">XLOOKUP(C958,ICSE!A:A,ICSE!Z:Z,,0,1)</f>
        <v>Not available (1) - Broken link.
Publicly available (1)</v>
      </c>
      <c r="F958" s="198" t="s">
        <v>20</v>
      </c>
      <c r="G958" s="163" t="str">
        <f t="array" ref="G958">IF(B958="ICSE",IF(COUNTIFS(B:B,B958,C:C,C958)=XLOOKUP(C958,ICSE!A:A,ICSE!AA:AA,"ERROR",0,1),"OK","ERROR"),IF(B958="FSE",IF(COUNTIFS(B:B,B958,C:C,C958)=XLOOKUP(C958,FSE!A:A,FSE!AA:AA,"ERROR",0,1),"OK","ERROR")))</f>
        <v>OK</v>
      </c>
      <c r="H958" s="199">
        <f t="shared" ref="H958:O958" si="4863">countif($D958,"*"&amp;H$2&amp;"*")</f>
        <v>0</v>
      </c>
      <c r="I958" s="200">
        <f t="shared" si="4863"/>
        <v>0</v>
      </c>
      <c r="J958" s="200">
        <f t="shared" si="4863"/>
        <v>0</v>
      </c>
      <c r="K958" s="200">
        <f t="shared" si="4863"/>
        <v>0</v>
      </c>
      <c r="L958" s="200">
        <f t="shared" si="4863"/>
        <v>0</v>
      </c>
      <c r="M958" s="200">
        <f t="shared" si="4863"/>
        <v>0</v>
      </c>
      <c r="N958" s="200">
        <f t="shared" si="4863"/>
        <v>0</v>
      </c>
      <c r="O958" s="200">
        <f t="shared" si="4863"/>
        <v>0</v>
      </c>
      <c r="P958" s="200">
        <f t="shared" si="9"/>
        <v>0</v>
      </c>
      <c r="Q958" s="200">
        <f t="shared" ref="Q958:AC958" si="4864">countif($D958,"*"&amp;Q$2&amp;"*")</f>
        <v>0</v>
      </c>
      <c r="R958" s="200">
        <f t="shared" si="4864"/>
        <v>0</v>
      </c>
      <c r="S958" s="200">
        <f t="shared" si="4864"/>
        <v>0</v>
      </c>
      <c r="T958" s="200">
        <f t="shared" si="4864"/>
        <v>0</v>
      </c>
      <c r="U958" s="200">
        <f t="shared" si="4864"/>
        <v>0</v>
      </c>
      <c r="V958" s="200">
        <f t="shared" si="4864"/>
        <v>0</v>
      </c>
      <c r="W958" s="200">
        <f t="shared" si="4864"/>
        <v>0</v>
      </c>
      <c r="X958" s="200">
        <f t="shared" si="4864"/>
        <v>0</v>
      </c>
      <c r="Y958" s="200">
        <f t="shared" si="4864"/>
        <v>0</v>
      </c>
      <c r="Z958" s="200">
        <f t="shared" si="4864"/>
        <v>0</v>
      </c>
      <c r="AA958" s="200">
        <f t="shared" si="4864"/>
        <v>0</v>
      </c>
      <c r="AB958" s="200">
        <f t="shared" si="4864"/>
        <v>0</v>
      </c>
      <c r="AC958" s="200">
        <f t="shared" si="4864"/>
        <v>0</v>
      </c>
      <c r="AD958" s="200">
        <f t="shared" si="11"/>
        <v>0</v>
      </c>
      <c r="AE958" s="200">
        <f t="shared" ref="AE958:AG958" si="4865">countif($D958,"*"&amp;AE$2&amp;"*")</f>
        <v>0</v>
      </c>
      <c r="AF958" s="200">
        <f t="shared" si="4865"/>
        <v>0</v>
      </c>
      <c r="AG958" s="200">
        <f t="shared" si="4865"/>
        <v>0</v>
      </c>
      <c r="AH958" s="171">
        <f t="shared" si="13"/>
        <v>1</v>
      </c>
      <c r="AI958" s="200">
        <f t="shared" si="14"/>
        <v>0</v>
      </c>
      <c r="AJ958" s="200">
        <f>SUM(AK958:AR958)</f>
        <v>0</v>
      </c>
      <c r="AK958" s="201">
        <f t="shared" ref="AK958:AS958" si="4866">countif($D958,"*"&amp;AK$2&amp;"*")</f>
        <v>0</v>
      </c>
      <c r="AL958" s="201">
        <f t="shared" si="4866"/>
        <v>0</v>
      </c>
      <c r="AM958" s="201">
        <f t="shared" si="4866"/>
        <v>0</v>
      </c>
      <c r="AN958" s="201">
        <f t="shared" si="4866"/>
        <v>0</v>
      </c>
      <c r="AO958" s="201">
        <f t="shared" si="4866"/>
        <v>0</v>
      </c>
      <c r="AP958" s="201">
        <f t="shared" si="4866"/>
        <v>0</v>
      </c>
      <c r="AQ958" s="201">
        <f t="shared" si="4866"/>
        <v>0</v>
      </c>
      <c r="AR958" s="200">
        <f t="shared" si="4866"/>
        <v>0</v>
      </c>
      <c r="AS958" s="200">
        <f t="shared" si="4866"/>
        <v>0</v>
      </c>
      <c r="AT958" s="173">
        <v>0.0</v>
      </c>
      <c r="AU958" s="200">
        <f t="shared" ref="AU958:AX958" si="4867">countif($D958,"*"&amp;AU$2&amp;"*")</f>
        <v>0</v>
      </c>
      <c r="AV958" s="200">
        <f t="shared" si="4867"/>
        <v>0</v>
      </c>
      <c r="AW958" s="200">
        <f t="shared" si="4867"/>
        <v>0</v>
      </c>
      <c r="AX958" s="200">
        <f t="shared" si="4867"/>
        <v>0</v>
      </c>
      <c r="AY958" s="202">
        <v>0.0</v>
      </c>
      <c r="AZ958" s="200"/>
      <c r="BA958" s="171" t="str">
        <f t="shared" si="18"/>
        <v/>
      </c>
      <c r="BB958" s="171" t="str">
        <f t="shared" si="19"/>
        <v/>
      </c>
      <c r="BC958" s="171" t="str">
        <f t="shared" si="20"/>
        <v/>
      </c>
      <c r="BD958" s="171" t="str">
        <f t="shared" si="21"/>
        <v/>
      </c>
      <c r="BE958" s="171" t="str">
        <f t="shared" si="22"/>
        <v>Others</v>
      </c>
      <c r="BF958" s="171" t="str">
        <f t="shared" si="23"/>
        <v>Others</v>
      </c>
    </row>
    <row r="959">
      <c r="A959" s="171">
        <f t="array" ref="A959">XLOOKUP(C959,ICSE!A:A,ICSE!C:C,,2,1)</f>
        <v>2014</v>
      </c>
      <c r="B959" s="171" t="s">
        <v>5675</v>
      </c>
      <c r="C959" s="160">
        <v>1914.0</v>
      </c>
      <c r="D959" s="161" t="s">
        <v>6073</v>
      </c>
      <c r="E959" s="197" t="str">
        <f t="array" ref="E959">XLOOKUP(C959,ICSE!A:A,ICSE!Z:Z,,0,1)</f>
        <v>Not available (1) - Broken link.
Publicly available (1)</v>
      </c>
      <c r="F959" s="198" t="s">
        <v>21</v>
      </c>
      <c r="G959" s="163" t="str">
        <f t="array" ref="G959">IF(B959="ICSE",IF(COUNTIFS(B:B,B959,C:C,C959)=XLOOKUP(C959,ICSE!A:A,ICSE!AA:AA,"ERROR",0,1),"OK","ERROR"),IF(B959="FSE",IF(COUNTIFS(B:B,B959,C:C,C959)=XLOOKUP(C959,FSE!A:A,FSE!AA:AA,"ERROR",0,1),"OK","ERROR")))</f>
        <v>OK</v>
      </c>
      <c r="H959" s="199">
        <f t="shared" ref="H959:O959" si="4868">countif($D959,"*"&amp;H$2&amp;"*")</f>
        <v>0</v>
      </c>
      <c r="I959" s="200">
        <f t="shared" si="4868"/>
        <v>0</v>
      </c>
      <c r="J959" s="200">
        <f t="shared" si="4868"/>
        <v>0</v>
      </c>
      <c r="K959" s="200">
        <f t="shared" si="4868"/>
        <v>0</v>
      </c>
      <c r="L959" s="200">
        <f t="shared" si="4868"/>
        <v>0</v>
      </c>
      <c r="M959" s="200">
        <f t="shared" si="4868"/>
        <v>0</v>
      </c>
      <c r="N959" s="200">
        <f t="shared" si="4868"/>
        <v>0</v>
      </c>
      <c r="O959" s="200">
        <f t="shared" si="4868"/>
        <v>0</v>
      </c>
      <c r="P959" s="200">
        <f t="shared" si="9"/>
        <v>0</v>
      </c>
      <c r="Q959" s="200">
        <f t="shared" ref="Q959:AC959" si="4869">countif($D959,"*"&amp;Q$2&amp;"*")</f>
        <v>0</v>
      </c>
      <c r="R959" s="200">
        <f t="shared" si="4869"/>
        <v>0</v>
      </c>
      <c r="S959" s="200">
        <f t="shared" si="4869"/>
        <v>0</v>
      </c>
      <c r="T959" s="200">
        <f t="shared" si="4869"/>
        <v>0</v>
      </c>
      <c r="U959" s="200">
        <f t="shared" si="4869"/>
        <v>0</v>
      </c>
      <c r="V959" s="200">
        <f t="shared" si="4869"/>
        <v>0</v>
      </c>
      <c r="W959" s="200">
        <f t="shared" si="4869"/>
        <v>0</v>
      </c>
      <c r="X959" s="200">
        <f t="shared" si="4869"/>
        <v>0</v>
      </c>
      <c r="Y959" s="200">
        <f t="shared" si="4869"/>
        <v>0</v>
      </c>
      <c r="Z959" s="200">
        <f t="shared" si="4869"/>
        <v>0</v>
      </c>
      <c r="AA959" s="200">
        <f t="shared" si="4869"/>
        <v>0</v>
      </c>
      <c r="AB959" s="200">
        <f t="shared" si="4869"/>
        <v>0</v>
      </c>
      <c r="AC959" s="200">
        <f t="shared" si="4869"/>
        <v>0</v>
      </c>
      <c r="AD959" s="200">
        <f t="shared" si="11"/>
        <v>1</v>
      </c>
      <c r="AE959" s="200">
        <f t="shared" ref="AE959:AG959" si="4870">countif($D959,"*"&amp;AE$2&amp;"*")</f>
        <v>0</v>
      </c>
      <c r="AF959" s="200">
        <f t="shared" si="4870"/>
        <v>0</v>
      </c>
      <c r="AG959" s="200">
        <f t="shared" si="4870"/>
        <v>0</v>
      </c>
      <c r="AH959" s="171">
        <f t="shared" si="13"/>
        <v>0</v>
      </c>
      <c r="AI959" s="200">
        <f t="shared" si="14"/>
        <v>0</v>
      </c>
      <c r="AJ959" s="200">
        <f>SUM(AK959:AQ959)</f>
        <v>0</v>
      </c>
      <c r="AK959" s="201">
        <f t="shared" ref="AK959:AS959" si="4871">countif($D959,"*"&amp;AK$2&amp;"*")</f>
        <v>0</v>
      </c>
      <c r="AL959" s="201">
        <f t="shared" si="4871"/>
        <v>0</v>
      </c>
      <c r="AM959" s="201">
        <f t="shared" si="4871"/>
        <v>0</v>
      </c>
      <c r="AN959" s="201">
        <f t="shared" si="4871"/>
        <v>0</v>
      </c>
      <c r="AO959" s="201">
        <f t="shared" si="4871"/>
        <v>0</v>
      </c>
      <c r="AP959" s="201">
        <f t="shared" si="4871"/>
        <v>0</v>
      </c>
      <c r="AQ959" s="201">
        <f t="shared" si="4871"/>
        <v>0</v>
      </c>
      <c r="AR959" s="201">
        <f t="shared" si="4871"/>
        <v>0</v>
      </c>
      <c r="AS959" s="200">
        <f t="shared" si="4871"/>
        <v>0</v>
      </c>
      <c r="AT959" s="205">
        <v>0.0</v>
      </c>
      <c r="AU959" s="200">
        <f t="shared" ref="AU959:AX959" si="4872">countif($D959,"*"&amp;AU$2&amp;"*")</f>
        <v>1</v>
      </c>
      <c r="AV959" s="200">
        <f t="shared" si="4872"/>
        <v>0</v>
      </c>
      <c r="AW959" s="200">
        <f t="shared" si="4872"/>
        <v>0</v>
      </c>
      <c r="AX959" s="200">
        <f t="shared" si="4872"/>
        <v>0</v>
      </c>
      <c r="AY959" s="202">
        <v>0.0</v>
      </c>
      <c r="AZ959" s="200"/>
      <c r="BA959" s="171" t="str">
        <f t="shared" si="18"/>
        <v/>
      </c>
      <c r="BB959" s="171" t="str">
        <f t="shared" si="19"/>
        <v/>
      </c>
      <c r="BC959" s="171" t="str">
        <f t="shared" si="20"/>
        <v/>
      </c>
      <c r="BD959" s="171" t="str">
        <f t="shared" si="21"/>
        <v>Institutional</v>
      </c>
      <c r="BE959" s="171" t="str">
        <f t="shared" si="22"/>
        <v/>
      </c>
      <c r="BF959" s="171" t="str">
        <f t="shared" si="23"/>
        <v>Institutional</v>
      </c>
    </row>
    <row r="960">
      <c r="A960" s="171">
        <f t="array" ref="A960">XLOOKUP(C960,ICSE!A:A,ICSE!C:C,,2,1)</f>
        <v>2014</v>
      </c>
      <c r="B960" s="171" t="s">
        <v>5675</v>
      </c>
      <c r="C960" s="160">
        <v>1917.0</v>
      </c>
      <c r="D960" s="161" t="s">
        <v>228</v>
      </c>
      <c r="E960" s="197" t="str">
        <f t="array" ref="E960">XLOOKUP(C960,ICSE!A:A,ICSE!Z:Z,,0,1)</f>
        <v>Not available (1) - Broken link.</v>
      </c>
      <c r="F960" s="198" t="s">
        <v>21</v>
      </c>
      <c r="G960" s="163" t="str">
        <f t="array" ref="G960">IF(B960="ICSE",IF(COUNTIFS(B:B,B960,C:C,C960)=XLOOKUP(C960,ICSE!A:A,ICSE!AA:AA,"ERROR",0,1),"OK","ERROR"),IF(B960="FSE",IF(COUNTIFS(B:B,B960,C:C,C960)=XLOOKUP(C960,FSE!A:A,FSE!AA:AA,"ERROR",0,1),"OK","ERROR")))</f>
        <v>OK</v>
      </c>
      <c r="H960" s="199">
        <f t="shared" ref="H960:O960" si="4873">countif($D960,"*"&amp;H$2&amp;"*")</f>
        <v>0</v>
      </c>
      <c r="I960" s="200">
        <f t="shared" si="4873"/>
        <v>0</v>
      </c>
      <c r="J960" s="200">
        <f t="shared" si="4873"/>
        <v>0</v>
      </c>
      <c r="K960" s="200">
        <f t="shared" si="4873"/>
        <v>0</v>
      </c>
      <c r="L960" s="200">
        <f t="shared" si="4873"/>
        <v>0</v>
      </c>
      <c r="M960" s="200">
        <f t="shared" si="4873"/>
        <v>0</v>
      </c>
      <c r="N960" s="200">
        <f t="shared" si="4873"/>
        <v>0</v>
      </c>
      <c r="O960" s="200">
        <f t="shared" si="4873"/>
        <v>0</v>
      </c>
      <c r="P960" s="200">
        <f t="shared" si="9"/>
        <v>0</v>
      </c>
      <c r="Q960" s="200">
        <f t="shared" ref="Q960:AC960" si="4874">countif($D960,"*"&amp;Q$2&amp;"*")</f>
        <v>0</v>
      </c>
      <c r="R960" s="200">
        <f t="shared" si="4874"/>
        <v>0</v>
      </c>
      <c r="S960" s="200">
        <f t="shared" si="4874"/>
        <v>0</v>
      </c>
      <c r="T960" s="200">
        <f t="shared" si="4874"/>
        <v>0</v>
      </c>
      <c r="U960" s="200">
        <f t="shared" si="4874"/>
        <v>0</v>
      </c>
      <c r="V960" s="200">
        <f t="shared" si="4874"/>
        <v>0</v>
      </c>
      <c r="W960" s="200">
        <f t="shared" si="4874"/>
        <v>0</v>
      </c>
      <c r="X960" s="200">
        <f t="shared" si="4874"/>
        <v>0</v>
      </c>
      <c r="Y960" s="200">
        <f t="shared" si="4874"/>
        <v>0</v>
      </c>
      <c r="Z960" s="200">
        <f t="shared" si="4874"/>
        <v>0</v>
      </c>
      <c r="AA960" s="200">
        <f t="shared" si="4874"/>
        <v>0</v>
      </c>
      <c r="AB960" s="200">
        <f t="shared" si="4874"/>
        <v>0</v>
      </c>
      <c r="AC960" s="200">
        <f t="shared" si="4874"/>
        <v>0</v>
      </c>
      <c r="AD960" s="200">
        <f t="shared" si="11"/>
        <v>1</v>
      </c>
      <c r="AE960" s="200">
        <f t="shared" ref="AE960:AG960" si="4875">countif($D960,"*"&amp;AE$2&amp;"*")</f>
        <v>0</v>
      </c>
      <c r="AF960" s="200">
        <f t="shared" si="4875"/>
        <v>0</v>
      </c>
      <c r="AG960" s="200">
        <f t="shared" si="4875"/>
        <v>0</v>
      </c>
      <c r="AH960" s="171">
        <f t="shared" si="13"/>
        <v>0</v>
      </c>
      <c r="AI960" s="200">
        <f t="shared" si="14"/>
        <v>0</v>
      </c>
      <c r="AJ960" s="200">
        <f t="shared" ref="AJ960:AJ961" si="4881">SUM(AK960:AR960)</f>
        <v>0</v>
      </c>
      <c r="AK960" s="201">
        <f t="shared" ref="AK960:AS960" si="4876">countif($D960,"*"&amp;AK$2&amp;"*")</f>
        <v>0</v>
      </c>
      <c r="AL960" s="201">
        <f t="shared" si="4876"/>
        <v>0</v>
      </c>
      <c r="AM960" s="201">
        <f t="shared" si="4876"/>
        <v>0</v>
      </c>
      <c r="AN960" s="201">
        <f t="shared" si="4876"/>
        <v>0</v>
      </c>
      <c r="AO960" s="201">
        <f t="shared" si="4876"/>
        <v>0</v>
      </c>
      <c r="AP960" s="201">
        <f t="shared" si="4876"/>
        <v>0</v>
      </c>
      <c r="AQ960" s="201">
        <f t="shared" si="4876"/>
        <v>0</v>
      </c>
      <c r="AR960" s="200">
        <f t="shared" si="4876"/>
        <v>0</v>
      </c>
      <c r="AS960" s="200">
        <f t="shared" si="4876"/>
        <v>0</v>
      </c>
      <c r="AT960" s="173">
        <v>1.0</v>
      </c>
      <c r="AU960" s="200">
        <f t="shared" ref="AU960:AX960" si="4877">countif($D960,"*"&amp;AU$2&amp;"*")</f>
        <v>0</v>
      </c>
      <c r="AV960" s="200">
        <f t="shared" si="4877"/>
        <v>0</v>
      </c>
      <c r="AW960" s="200">
        <f t="shared" si="4877"/>
        <v>0</v>
      </c>
      <c r="AX960" s="200">
        <f t="shared" si="4877"/>
        <v>0</v>
      </c>
      <c r="AY960" s="202">
        <v>0.0</v>
      </c>
      <c r="AZ960" s="200"/>
      <c r="BA960" s="171" t="str">
        <f t="shared" si="18"/>
        <v/>
      </c>
      <c r="BB960" s="171" t="str">
        <f t="shared" si="19"/>
        <v/>
      </c>
      <c r="BC960" s="171" t="str">
        <f t="shared" si="20"/>
        <v/>
      </c>
      <c r="BD960" s="171" t="str">
        <f t="shared" si="21"/>
        <v>Institutional</v>
      </c>
      <c r="BE960" s="171" t="str">
        <f t="shared" si="22"/>
        <v/>
      </c>
      <c r="BF960" s="171" t="str">
        <f t="shared" si="23"/>
        <v>Institutional</v>
      </c>
    </row>
    <row r="961">
      <c r="A961" s="171">
        <f t="array" ref="A961">XLOOKUP(C961,ICSE!A:A,ICSE!C:C,,2,1)</f>
        <v>2014</v>
      </c>
      <c r="B961" s="171" t="s">
        <v>5675</v>
      </c>
      <c r="C961" s="160">
        <v>1919.0</v>
      </c>
      <c r="D961" s="161" t="s">
        <v>232</v>
      </c>
      <c r="E961" s="197" t="str">
        <f t="array" ref="E961">XLOOKUP(C961,ICSE!A:A,ICSE!Z:Z,,0,1)</f>
        <v>Not available (1) - Broken link.</v>
      </c>
      <c r="F961" s="198" t="s">
        <v>21</v>
      </c>
      <c r="G961" s="163" t="str">
        <f t="array" ref="G961">IF(B961="ICSE",IF(COUNTIFS(B:B,B961,C:C,C961)=XLOOKUP(C961,ICSE!A:A,ICSE!AA:AA,"ERROR",0,1),"OK","ERROR"),IF(B961="FSE",IF(COUNTIFS(B:B,B961,C:C,C961)=XLOOKUP(C961,FSE!A:A,FSE!AA:AA,"ERROR",0,1),"OK","ERROR")))</f>
        <v>OK</v>
      </c>
      <c r="H961" s="199">
        <f t="shared" ref="H961:O961" si="4878">countif($D961,"*"&amp;H$2&amp;"*")</f>
        <v>0</v>
      </c>
      <c r="I961" s="200">
        <f t="shared" si="4878"/>
        <v>0</v>
      </c>
      <c r="J961" s="200">
        <f t="shared" si="4878"/>
        <v>0</v>
      </c>
      <c r="K961" s="200">
        <f t="shared" si="4878"/>
        <v>0</v>
      </c>
      <c r="L961" s="200">
        <f t="shared" si="4878"/>
        <v>0</v>
      </c>
      <c r="M961" s="200">
        <f t="shared" si="4878"/>
        <v>0</v>
      </c>
      <c r="N961" s="200">
        <f t="shared" si="4878"/>
        <v>0</v>
      </c>
      <c r="O961" s="200">
        <f t="shared" si="4878"/>
        <v>0</v>
      </c>
      <c r="P961" s="200">
        <f t="shared" si="9"/>
        <v>0</v>
      </c>
      <c r="Q961" s="200">
        <f t="shared" ref="Q961:AC961" si="4879">countif($D961,"*"&amp;Q$2&amp;"*")</f>
        <v>0</v>
      </c>
      <c r="R961" s="200">
        <f t="shared" si="4879"/>
        <v>0</v>
      </c>
      <c r="S961" s="200">
        <f t="shared" si="4879"/>
        <v>0</v>
      </c>
      <c r="T961" s="200">
        <f t="shared" si="4879"/>
        <v>0</v>
      </c>
      <c r="U961" s="200">
        <f t="shared" si="4879"/>
        <v>0</v>
      </c>
      <c r="V961" s="200">
        <f t="shared" si="4879"/>
        <v>0</v>
      </c>
      <c r="W961" s="200">
        <f t="shared" si="4879"/>
        <v>0</v>
      </c>
      <c r="X961" s="200">
        <f t="shared" si="4879"/>
        <v>0</v>
      </c>
      <c r="Y961" s="200">
        <f t="shared" si="4879"/>
        <v>0</v>
      </c>
      <c r="Z961" s="200">
        <f t="shared" si="4879"/>
        <v>0</v>
      </c>
      <c r="AA961" s="200">
        <f t="shared" si="4879"/>
        <v>0</v>
      </c>
      <c r="AB961" s="200">
        <f t="shared" si="4879"/>
        <v>0</v>
      </c>
      <c r="AC961" s="200">
        <f t="shared" si="4879"/>
        <v>0</v>
      </c>
      <c r="AD961" s="200">
        <f t="shared" si="11"/>
        <v>1</v>
      </c>
      <c r="AE961" s="200">
        <f t="shared" ref="AE961:AG961" si="4880">countif($D961,"*"&amp;AE$2&amp;"*")</f>
        <v>0</v>
      </c>
      <c r="AF961" s="200">
        <f t="shared" si="4880"/>
        <v>0</v>
      </c>
      <c r="AG961" s="200">
        <f t="shared" si="4880"/>
        <v>0</v>
      </c>
      <c r="AH961" s="171">
        <f t="shared" si="13"/>
        <v>0</v>
      </c>
      <c r="AI961" s="200">
        <f t="shared" si="14"/>
        <v>0</v>
      </c>
      <c r="AJ961" s="200">
        <f t="shared" si="4881"/>
        <v>0</v>
      </c>
      <c r="AK961" s="201">
        <f t="shared" ref="AK961:AS961" si="4882">countif($D961,"*"&amp;AK$2&amp;"*")</f>
        <v>0</v>
      </c>
      <c r="AL961" s="201">
        <f t="shared" si="4882"/>
        <v>0</v>
      </c>
      <c r="AM961" s="201">
        <f t="shared" si="4882"/>
        <v>0</v>
      </c>
      <c r="AN961" s="201">
        <f t="shared" si="4882"/>
        <v>0</v>
      </c>
      <c r="AO961" s="201">
        <f t="shared" si="4882"/>
        <v>0</v>
      </c>
      <c r="AP961" s="201">
        <f t="shared" si="4882"/>
        <v>0</v>
      </c>
      <c r="AQ961" s="201">
        <f t="shared" si="4882"/>
        <v>0</v>
      </c>
      <c r="AR961" s="200">
        <f t="shared" si="4882"/>
        <v>0</v>
      </c>
      <c r="AS961" s="200">
        <f t="shared" si="4882"/>
        <v>0</v>
      </c>
      <c r="AT961" s="173">
        <v>1.0</v>
      </c>
      <c r="AU961" s="200">
        <f t="shared" ref="AU961:AX961" si="4883">countif($D961,"*"&amp;AU$2&amp;"*")</f>
        <v>0</v>
      </c>
      <c r="AV961" s="200">
        <f t="shared" si="4883"/>
        <v>0</v>
      </c>
      <c r="AW961" s="200">
        <f t="shared" si="4883"/>
        <v>0</v>
      </c>
      <c r="AX961" s="200">
        <f t="shared" si="4883"/>
        <v>0</v>
      </c>
      <c r="AY961" s="202">
        <v>0.0</v>
      </c>
      <c r="AZ961" s="200"/>
      <c r="BA961" s="171" t="str">
        <f t="shared" si="18"/>
        <v/>
      </c>
      <c r="BB961" s="171" t="str">
        <f t="shared" si="19"/>
        <v/>
      </c>
      <c r="BC961" s="171" t="str">
        <f t="shared" si="20"/>
        <v/>
      </c>
      <c r="BD961" s="171" t="str">
        <f t="shared" si="21"/>
        <v>Institutional</v>
      </c>
      <c r="BE961" s="171" t="str">
        <f t="shared" si="22"/>
        <v/>
      </c>
      <c r="BF961" s="171" t="str">
        <f t="shared" si="23"/>
        <v>Institutional</v>
      </c>
    </row>
    <row r="962">
      <c r="A962" s="171">
        <f t="array" ref="A962">XLOOKUP(C962,ICSE!A:A,ICSE!C:C,,2,1)</f>
        <v>2014</v>
      </c>
      <c r="B962" s="171" t="s">
        <v>5675</v>
      </c>
      <c r="C962" s="160">
        <v>1921.0</v>
      </c>
      <c r="D962" s="161" t="s">
        <v>6074</v>
      </c>
      <c r="E962" s="197" t="str">
        <f t="array" ref="E962">XLOOKUP(C962,ICSE!A:A,ICSE!Z:Z,,0,1)</f>
        <v>Not available (1) - Broken link.
Publicly available (1)</v>
      </c>
      <c r="F962" s="198" t="s">
        <v>20</v>
      </c>
      <c r="G962" s="163" t="str">
        <f t="array" ref="G962">IF(B962="ICSE",IF(COUNTIFS(B:B,B962,C:C,C962)=XLOOKUP(C962,ICSE!A:A,ICSE!AA:AA,"ERROR",0,1),"OK","ERROR"),IF(B962="FSE",IF(COUNTIFS(B:B,B962,C:C,C962)=XLOOKUP(C962,FSE!A:A,FSE!AA:AA,"ERROR",0,1),"OK","ERROR")))</f>
        <v>OK</v>
      </c>
      <c r="H962" s="199">
        <f t="shared" ref="H962:O962" si="4884">countif($D962,"*"&amp;H$2&amp;"*")</f>
        <v>0</v>
      </c>
      <c r="I962" s="200">
        <f t="shared" si="4884"/>
        <v>0</v>
      </c>
      <c r="J962" s="200">
        <f t="shared" si="4884"/>
        <v>0</v>
      </c>
      <c r="K962" s="200">
        <f t="shared" si="4884"/>
        <v>0</v>
      </c>
      <c r="L962" s="200">
        <f t="shared" si="4884"/>
        <v>0</v>
      </c>
      <c r="M962" s="200">
        <f t="shared" si="4884"/>
        <v>0</v>
      </c>
      <c r="N962" s="200">
        <f t="shared" si="4884"/>
        <v>0</v>
      </c>
      <c r="O962" s="200">
        <f t="shared" si="4884"/>
        <v>0</v>
      </c>
      <c r="P962" s="200">
        <f t="shared" si="9"/>
        <v>0</v>
      </c>
      <c r="Q962" s="200">
        <f t="shared" ref="Q962:AC962" si="4885">countif($D962,"*"&amp;Q$2&amp;"*")</f>
        <v>0</v>
      </c>
      <c r="R962" s="200">
        <f t="shared" si="4885"/>
        <v>0</v>
      </c>
      <c r="S962" s="200">
        <f t="shared" si="4885"/>
        <v>0</v>
      </c>
      <c r="T962" s="200">
        <f t="shared" si="4885"/>
        <v>0</v>
      </c>
      <c r="U962" s="200">
        <f t="shared" si="4885"/>
        <v>0</v>
      </c>
      <c r="V962" s="200">
        <f t="shared" si="4885"/>
        <v>0</v>
      </c>
      <c r="W962" s="200">
        <f t="shared" si="4885"/>
        <v>0</v>
      </c>
      <c r="X962" s="200">
        <f t="shared" si="4885"/>
        <v>0</v>
      </c>
      <c r="Y962" s="200">
        <f t="shared" si="4885"/>
        <v>0</v>
      </c>
      <c r="Z962" s="200">
        <f t="shared" si="4885"/>
        <v>0</v>
      </c>
      <c r="AA962" s="200">
        <f t="shared" si="4885"/>
        <v>0</v>
      </c>
      <c r="AB962" s="200">
        <f t="shared" si="4885"/>
        <v>0</v>
      </c>
      <c r="AC962" s="200">
        <f t="shared" si="4885"/>
        <v>0</v>
      </c>
      <c r="AD962" s="200">
        <f t="shared" si="11"/>
        <v>1</v>
      </c>
      <c r="AE962" s="200">
        <f t="shared" ref="AE962:AG962" si="4886">countif($D962,"*"&amp;AE$2&amp;"*")</f>
        <v>0</v>
      </c>
      <c r="AF962" s="200">
        <f t="shared" si="4886"/>
        <v>0</v>
      </c>
      <c r="AG962" s="200">
        <f t="shared" si="4886"/>
        <v>0</v>
      </c>
      <c r="AH962" s="171">
        <f t="shared" si="13"/>
        <v>0</v>
      </c>
      <c r="AI962" s="200">
        <f t="shared" si="14"/>
        <v>0</v>
      </c>
      <c r="AJ962" s="200">
        <f>SUM(AK962:AQ962)</f>
        <v>0</v>
      </c>
      <c r="AK962" s="201">
        <f t="shared" ref="AK962:AS962" si="4887">countif($D962,"*"&amp;AK$2&amp;"*")</f>
        <v>0</v>
      </c>
      <c r="AL962" s="201">
        <f t="shared" si="4887"/>
        <v>0</v>
      </c>
      <c r="AM962" s="201">
        <f t="shared" si="4887"/>
        <v>0</v>
      </c>
      <c r="AN962" s="201">
        <f t="shared" si="4887"/>
        <v>0</v>
      </c>
      <c r="AO962" s="201">
        <f t="shared" si="4887"/>
        <v>0</v>
      </c>
      <c r="AP962" s="201">
        <f t="shared" si="4887"/>
        <v>0</v>
      </c>
      <c r="AQ962" s="201">
        <f t="shared" si="4887"/>
        <v>0</v>
      </c>
      <c r="AR962" s="201">
        <f t="shared" si="4887"/>
        <v>0</v>
      </c>
      <c r="AS962" s="200">
        <f t="shared" si="4887"/>
        <v>1</v>
      </c>
      <c r="AT962" s="205">
        <v>0.0</v>
      </c>
      <c r="AU962" s="200">
        <f t="shared" ref="AU962:AX962" si="4888">countif($D962,"*"&amp;AU$2&amp;"*")</f>
        <v>1</v>
      </c>
      <c r="AV962" s="200">
        <f t="shared" si="4888"/>
        <v>0</v>
      </c>
      <c r="AW962" s="200">
        <f t="shared" si="4888"/>
        <v>0</v>
      </c>
      <c r="AX962" s="200">
        <f t="shared" si="4888"/>
        <v>0</v>
      </c>
      <c r="AY962" s="202">
        <v>0.0</v>
      </c>
      <c r="AZ962" s="200"/>
      <c r="BA962" s="171" t="str">
        <f t="shared" si="18"/>
        <v/>
      </c>
      <c r="BB962" s="171" t="str">
        <f t="shared" si="19"/>
        <v/>
      </c>
      <c r="BC962" s="171" t="str">
        <f t="shared" si="20"/>
        <v/>
      </c>
      <c r="BD962" s="171" t="str">
        <f t="shared" si="21"/>
        <v>Institutional</v>
      </c>
      <c r="BE962" s="171" t="str">
        <f t="shared" si="22"/>
        <v/>
      </c>
      <c r="BF962" s="171" t="str">
        <f t="shared" si="23"/>
        <v>Institutional</v>
      </c>
    </row>
    <row r="963">
      <c r="A963" s="171">
        <f t="array" ref="A963">XLOOKUP(C963,ICSE!A:A,ICSE!C:C,,2,1)</f>
        <v>2014</v>
      </c>
      <c r="B963" s="171" t="s">
        <v>5675</v>
      </c>
      <c r="C963" s="160">
        <v>1921.0</v>
      </c>
      <c r="D963" s="161" t="s">
        <v>6075</v>
      </c>
      <c r="E963" s="197" t="str">
        <f t="array" ref="E963">XLOOKUP(C963,ICSE!A:A,ICSE!Z:Z,,0,1)</f>
        <v>Not available (1) - Broken link.
Publicly available (1)</v>
      </c>
      <c r="F963" s="198" t="s">
        <v>21</v>
      </c>
      <c r="G963" s="163" t="str">
        <f t="array" ref="G963">IF(B963="ICSE",IF(COUNTIFS(B:B,B963,C:C,C963)=XLOOKUP(C963,ICSE!A:A,ICSE!AA:AA,"ERROR",0,1),"OK","ERROR"),IF(B963="FSE",IF(COUNTIFS(B:B,B963,C:C,C963)=XLOOKUP(C963,FSE!A:A,FSE!AA:AA,"ERROR",0,1),"OK","ERROR")))</f>
        <v>OK</v>
      </c>
      <c r="H963" s="199">
        <f t="shared" ref="H963:O963" si="4889">countif($D963,"*"&amp;H$2&amp;"*")</f>
        <v>0</v>
      </c>
      <c r="I963" s="200">
        <f t="shared" si="4889"/>
        <v>0</v>
      </c>
      <c r="J963" s="200">
        <f t="shared" si="4889"/>
        <v>0</v>
      </c>
      <c r="K963" s="200">
        <f t="shared" si="4889"/>
        <v>0</v>
      </c>
      <c r="L963" s="200">
        <f t="shared" si="4889"/>
        <v>0</v>
      </c>
      <c r="M963" s="200">
        <f t="shared" si="4889"/>
        <v>0</v>
      </c>
      <c r="N963" s="200">
        <f t="shared" si="4889"/>
        <v>0</v>
      </c>
      <c r="O963" s="200">
        <f t="shared" si="4889"/>
        <v>0</v>
      </c>
      <c r="P963" s="200">
        <f t="shared" si="9"/>
        <v>0</v>
      </c>
      <c r="Q963" s="200">
        <f t="shared" ref="Q963:AC963" si="4890">countif($D963,"*"&amp;Q$2&amp;"*")</f>
        <v>0</v>
      </c>
      <c r="R963" s="200">
        <f t="shared" si="4890"/>
        <v>0</v>
      </c>
      <c r="S963" s="200">
        <f t="shared" si="4890"/>
        <v>0</v>
      </c>
      <c r="T963" s="200">
        <f t="shared" si="4890"/>
        <v>0</v>
      </c>
      <c r="U963" s="200">
        <f t="shared" si="4890"/>
        <v>0</v>
      </c>
      <c r="V963" s="200">
        <f t="shared" si="4890"/>
        <v>0</v>
      </c>
      <c r="W963" s="200">
        <f t="shared" si="4890"/>
        <v>0</v>
      </c>
      <c r="X963" s="200">
        <f t="shared" si="4890"/>
        <v>0</v>
      </c>
      <c r="Y963" s="200">
        <f t="shared" si="4890"/>
        <v>0</v>
      </c>
      <c r="Z963" s="200">
        <f t="shared" si="4890"/>
        <v>0</v>
      </c>
      <c r="AA963" s="200">
        <f t="shared" si="4890"/>
        <v>0</v>
      </c>
      <c r="AB963" s="200">
        <f t="shared" si="4890"/>
        <v>0</v>
      </c>
      <c r="AC963" s="200">
        <f t="shared" si="4890"/>
        <v>0</v>
      </c>
      <c r="AD963" s="200">
        <f t="shared" si="11"/>
        <v>1</v>
      </c>
      <c r="AE963" s="200">
        <f t="shared" ref="AE963:AG963" si="4891">countif($D963,"*"&amp;AE$2&amp;"*")</f>
        <v>0</v>
      </c>
      <c r="AF963" s="200">
        <f t="shared" si="4891"/>
        <v>0</v>
      </c>
      <c r="AG963" s="200">
        <f t="shared" si="4891"/>
        <v>0</v>
      </c>
      <c r="AH963" s="171">
        <f t="shared" si="13"/>
        <v>0</v>
      </c>
      <c r="AI963" s="200">
        <f t="shared" si="14"/>
        <v>0</v>
      </c>
      <c r="AJ963" s="200">
        <f>SUM(AK963:AR963)</f>
        <v>0</v>
      </c>
      <c r="AK963" s="201">
        <f t="shared" ref="AK963:AS963" si="4892">countif($D963,"*"&amp;AK$2&amp;"*")</f>
        <v>0</v>
      </c>
      <c r="AL963" s="201">
        <f t="shared" si="4892"/>
        <v>0</v>
      </c>
      <c r="AM963" s="201">
        <f t="shared" si="4892"/>
        <v>0</v>
      </c>
      <c r="AN963" s="201">
        <f t="shared" si="4892"/>
        <v>0</v>
      </c>
      <c r="AO963" s="201">
        <f t="shared" si="4892"/>
        <v>0</v>
      </c>
      <c r="AP963" s="201">
        <f t="shared" si="4892"/>
        <v>0</v>
      </c>
      <c r="AQ963" s="201">
        <f t="shared" si="4892"/>
        <v>0</v>
      </c>
      <c r="AR963" s="200">
        <f t="shared" si="4892"/>
        <v>0</v>
      </c>
      <c r="AS963" s="200">
        <f t="shared" si="4892"/>
        <v>0</v>
      </c>
      <c r="AT963" s="173">
        <v>1.0</v>
      </c>
      <c r="AU963" s="200">
        <f t="shared" ref="AU963:AX963" si="4893">countif($D963,"*"&amp;AU$2&amp;"*")</f>
        <v>0</v>
      </c>
      <c r="AV963" s="200">
        <f t="shared" si="4893"/>
        <v>0</v>
      </c>
      <c r="AW963" s="200">
        <f t="shared" si="4893"/>
        <v>0</v>
      </c>
      <c r="AX963" s="200">
        <f t="shared" si="4893"/>
        <v>0</v>
      </c>
      <c r="AY963" s="202">
        <v>0.0</v>
      </c>
      <c r="AZ963" s="200"/>
      <c r="BA963" s="171" t="str">
        <f t="shared" si="18"/>
        <v/>
      </c>
      <c r="BB963" s="171" t="str">
        <f t="shared" si="19"/>
        <v/>
      </c>
      <c r="BC963" s="171" t="str">
        <f t="shared" si="20"/>
        <v/>
      </c>
      <c r="BD963" s="171" t="str">
        <f t="shared" si="21"/>
        <v>Institutional</v>
      </c>
      <c r="BE963" s="171" t="str">
        <f t="shared" si="22"/>
        <v/>
      </c>
      <c r="BF963" s="171" t="str">
        <f t="shared" si="23"/>
        <v>Institutional</v>
      </c>
    </row>
    <row r="964">
      <c r="A964" s="171">
        <f t="array" ref="A964">XLOOKUP(C964,ICSE!A:A,ICSE!C:C,,2,1)</f>
        <v>2014</v>
      </c>
      <c r="B964" s="171" t="s">
        <v>5675</v>
      </c>
      <c r="C964" s="160">
        <v>1923.0</v>
      </c>
      <c r="D964" s="161" t="s">
        <v>241</v>
      </c>
      <c r="E964" s="197" t="str">
        <f t="array" ref="E964">XLOOKUP(C964,ICSE!A:A,ICSE!Z:Z,,0,1)</f>
        <v>Not available (1) - Broken link.</v>
      </c>
      <c r="F964" s="198" t="s">
        <v>21</v>
      </c>
      <c r="G964" s="163" t="str">
        <f t="array" ref="G964">IF(B964="ICSE",IF(COUNTIFS(B:B,B964,C:C,C964)=XLOOKUP(C964,ICSE!A:A,ICSE!AA:AA,"ERROR",0,1),"OK","ERROR"),IF(B964="FSE",IF(COUNTIFS(B:B,B964,C:C,C964)=XLOOKUP(C964,FSE!A:A,FSE!AA:AA,"ERROR",0,1),"OK","ERROR")))</f>
        <v>OK</v>
      </c>
      <c r="H964" s="199">
        <f t="shared" ref="H964:O964" si="4894">countif($D964,"*"&amp;H$2&amp;"*")</f>
        <v>0</v>
      </c>
      <c r="I964" s="200">
        <f t="shared" si="4894"/>
        <v>0</v>
      </c>
      <c r="J964" s="200">
        <f t="shared" si="4894"/>
        <v>0</v>
      </c>
      <c r="K964" s="200">
        <f t="shared" si="4894"/>
        <v>0</v>
      </c>
      <c r="L964" s="200">
        <f t="shared" si="4894"/>
        <v>0</v>
      </c>
      <c r="M964" s="200">
        <f t="shared" si="4894"/>
        <v>0</v>
      </c>
      <c r="N964" s="200">
        <f t="shared" si="4894"/>
        <v>0</v>
      </c>
      <c r="O964" s="200">
        <f t="shared" si="4894"/>
        <v>0</v>
      </c>
      <c r="P964" s="200">
        <f t="shared" si="9"/>
        <v>0</v>
      </c>
      <c r="Q964" s="200">
        <f t="shared" ref="Q964:AC964" si="4895">countif($D964,"*"&amp;Q$2&amp;"*")</f>
        <v>0</v>
      </c>
      <c r="R964" s="200">
        <f t="shared" si="4895"/>
        <v>0</v>
      </c>
      <c r="S964" s="200">
        <f t="shared" si="4895"/>
        <v>0</v>
      </c>
      <c r="T964" s="200">
        <f t="shared" si="4895"/>
        <v>0</v>
      </c>
      <c r="U964" s="200">
        <f t="shared" si="4895"/>
        <v>0</v>
      </c>
      <c r="V964" s="200">
        <f t="shared" si="4895"/>
        <v>0</v>
      </c>
      <c r="W964" s="200">
        <f t="shared" si="4895"/>
        <v>0</v>
      </c>
      <c r="X964" s="200">
        <f t="shared" si="4895"/>
        <v>0</v>
      </c>
      <c r="Y964" s="200">
        <f t="shared" si="4895"/>
        <v>0</v>
      </c>
      <c r="Z964" s="200">
        <f t="shared" si="4895"/>
        <v>0</v>
      </c>
      <c r="AA964" s="200">
        <f t="shared" si="4895"/>
        <v>0</v>
      </c>
      <c r="AB964" s="200">
        <f t="shared" si="4895"/>
        <v>0</v>
      </c>
      <c r="AC964" s="200">
        <f t="shared" si="4895"/>
        <v>0</v>
      </c>
      <c r="AD964" s="200">
        <f t="shared" si="11"/>
        <v>1</v>
      </c>
      <c r="AE964" s="200">
        <f t="shared" ref="AE964:AG964" si="4896">countif($D964,"*"&amp;AE$2&amp;"*")</f>
        <v>0</v>
      </c>
      <c r="AF964" s="200">
        <f t="shared" si="4896"/>
        <v>0</v>
      </c>
      <c r="AG964" s="200">
        <f t="shared" si="4896"/>
        <v>0</v>
      </c>
      <c r="AH964" s="171">
        <f t="shared" si="13"/>
        <v>0</v>
      </c>
      <c r="AI964" s="200">
        <f t="shared" si="14"/>
        <v>0</v>
      </c>
      <c r="AJ964" s="200">
        <f>SUM(AK964:AQ964)</f>
        <v>0</v>
      </c>
      <c r="AK964" s="201">
        <f t="shared" ref="AK964:AS964" si="4897">countif($D964,"*"&amp;AK$2&amp;"*")</f>
        <v>0</v>
      </c>
      <c r="AL964" s="201">
        <f t="shared" si="4897"/>
        <v>0</v>
      </c>
      <c r="AM964" s="201">
        <f t="shared" si="4897"/>
        <v>0</v>
      </c>
      <c r="AN964" s="201">
        <f t="shared" si="4897"/>
        <v>0</v>
      </c>
      <c r="AO964" s="201">
        <f t="shared" si="4897"/>
        <v>0</v>
      </c>
      <c r="AP964" s="201">
        <f t="shared" si="4897"/>
        <v>0</v>
      </c>
      <c r="AQ964" s="201">
        <f t="shared" si="4897"/>
        <v>0</v>
      </c>
      <c r="AR964" s="201">
        <f t="shared" si="4897"/>
        <v>0</v>
      </c>
      <c r="AS964" s="200">
        <f t="shared" si="4897"/>
        <v>0</v>
      </c>
      <c r="AT964" s="205">
        <v>0.0</v>
      </c>
      <c r="AU964" s="200">
        <f t="shared" ref="AU964:AX964" si="4898">countif($D964,"*"&amp;AU$2&amp;"*")</f>
        <v>1</v>
      </c>
      <c r="AV964" s="200">
        <f t="shared" si="4898"/>
        <v>0</v>
      </c>
      <c r="AW964" s="200">
        <f t="shared" si="4898"/>
        <v>0</v>
      </c>
      <c r="AX964" s="200">
        <f t="shared" si="4898"/>
        <v>0</v>
      </c>
      <c r="AY964" s="202">
        <v>0.0</v>
      </c>
      <c r="AZ964" s="200"/>
      <c r="BA964" s="171" t="str">
        <f t="shared" si="18"/>
        <v/>
      </c>
      <c r="BB964" s="171" t="str">
        <f t="shared" si="19"/>
        <v/>
      </c>
      <c r="BC964" s="171" t="str">
        <f t="shared" si="20"/>
        <v/>
      </c>
      <c r="BD964" s="171" t="str">
        <f t="shared" si="21"/>
        <v>Institutional</v>
      </c>
      <c r="BE964" s="171" t="str">
        <f t="shared" si="22"/>
        <v/>
      </c>
      <c r="BF964" s="171" t="str">
        <f t="shared" si="23"/>
        <v>Institutional</v>
      </c>
    </row>
    <row r="965">
      <c r="A965" s="171">
        <f t="array" ref="A965">XLOOKUP(C965,ICSE!A:A,ICSE!C:C,,2,1)</f>
        <v>2014</v>
      </c>
      <c r="B965" s="171" t="s">
        <v>5675</v>
      </c>
      <c r="C965" s="160">
        <v>1924.0</v>
      </c>
      <c r="D965" s="161" t="s">
        <v>244</v>
      </c>
      <c r="E965" s="197" t="str">
        <f t="array" ref="E965">XLOOKUP(C965,ICSE!A:A,ICSE!Z:Z,,0,1)</f>
        <v>Not available (1) - Broken link.</v>
      </c>
      <c r="F965" s="198" t="s">
        <v>21</v>
      </c>
      <c r="G965" s="163" t="str">
        <f t="array" ref="G965">IF(B965="ICSE",IF(COUNTIFS(B:B,B965,C:C,C965)=XLOOKUP(C965,ICSE!A:A,ICSE!AA:AA,"ERROR",0,1),"OK","ERROR"),IF(B965="FSE",IF(COUNTIFS(B:B,B965,C:C,C965)=XLOOKUP(C965,FSE!A:A,FSE!AA:AA,"ERROR",0,1),"OK","ERROR")))</f>
        <v>OK</v>
      </c>
      <c r="H965" s="199">
        <f t="shared" ref="H965:O965" si="4899">countif($D965,"*"&amp;H$2&amp;"*")</f>
        <v>0</v>
      </c>
      <c r="I965" s="200">
        <f t="shared" si="4899"/>
        <v>0</v>
      </c>
      <c r="J965" s="200">
        <f t="shared" si="4899"/>
        <v>0</v>
      </c>
      <c r="K965" s="200">
        <f t="shared" si="4899"/>
        <v>0</v>
      </c>
      <c r="L965" s="200">
        <f t="shared" si="4899"/>
        <v>0</v>
      </c>
      <c r="M965" s="200">
        <f t="shared" si="4899"/>
        <v>0</v>
      </c>
      <c r="N965" s="200">
        <f t="shared" si="4899"/>
        <v>0</v>
      </c>
      <c r="O965" s="200">
        <f t="shared" si="4899"/>
        <v>0</v>
      </c>
      <c r="P965" s="200">
        <f t="shared" si="9"/>
        <v>0</v>
      </c>
      <c r="Q965" s="200">
        <f t="shared" ref="Q965:AC965" si="4900">countif($D965,"*"&amp;Q$2&amp;"*")</f>
        <v>0</v>
      </c>
      <c r="R965" s="200">
        <f t="shared" si="4900"/>
        <v>0</v>
      </c>
      <c r="S965" s="200">
        <f t="shared" si="4900"/>
        <v>0</v>
      </c>
      <c r="T965" s="200">
        <f t="shared" si="4900"/>
        <v>0</v>
      </c>
      <c r="U965" s="200">
        <f t="shared" si="4900"/>
        <v>0</v>
      </c>
      <c r="V965" s="200">
        <f t="shared" si="4900"/>
        <v>0</v>
      </c>
      <c r="W965" s="200">
        <f t="shared" si="4900"/>
        <v>0</v>
      </c>
      <c r="X965" s="200">
        <f t="shared" si="4900"/>
        <v>0</v>
      </c>
      <c r="Y965" s="200">
        <f t="shared" si="4900"/>
        <v>0</v>
      </c>
      <c r="Z965" s="200">
        <f t="shared" si="4900"/>
        <v>0</v>
      </c>
      <c r="AA965" s="200">
        <f t="shared" si="4900"/>
        <v>0</v>
      </c>
      <c r="AB965" s="200">
        <f t="shared" si="4900"/>
        <v>0</v>
      </c>
      <c r="AC965" s="200">
        <f t="shared" si="4900"/>
        <v>0</v>
      </c>
      <c r="AD965" s="200">
        <f t="shared" si="11"/>
        <v>1</v>
      </c>
      <c r="AE965" s="200">
        <f t="shared" ref="AE965:AG965" si="4901">countif($D965,"*"&amp;AE$2&amp;"*")</f>
        <v>0</v>
      </c>
      <c r="AF965" s="200">
        <f t="shared" si="4901"/>
        <v>0</v>
      </c>
      <c r="AG965" s="200">
        <f t="shared" si="4901"/>
        <v>0</v>
      </c>
      <c r="AH965" s="171">
        <f t="shared" si="13"/>
        <v>0</v>
      </c>
      <c r="AI965" s="200">
        <f t="shared" si="14"/>
        <v>0</v>
      </c>
      <c r="AJ965" s="200">
        <f t="shared" ref="AJ965:AJ1100" si="4907">SUM(AK965:AR965)</f>
        <v>0</v>
      </c>
      <c r="AK965" s="201">
        <f t="shared" ref="AK965:AS965" si="4902">countif($D965,"*"&amp;AK$2&amp;"*")</f>
        <v>0</v>
      </c>
      <c r="AL965" s="201">
        <f t="shared" si="4902"/>
        <v>0</v>
      </c>
      <c r="AM965" s="201">
        <f t="shared" si="4902"/>
        <v>0</v>
      </c>
      <c r="AN965" s="201">
        <f t="shared" si="4902"/>
        <v>0</v>
      </c>
      <c r="AO965" s="201">
        <f t="shared" si="4902"/>
        <v>0</v>
      </c>
      <c r="AP965" s="201">
        <f t="shared" si="4902"/>
        <v>0</v>
      </c>
      <c r="AQ965" s="201">
        <f t="shared" si="4902"/>
        <v>0</v>
      </c>
      <c r="AR965" s="200">
        <f t="shared" si="4902"/>
        <v>0</v>
      </c>
      <c r="AS965" s="200">
        <f t="shared" si="4902"/>
        <v>0</v>
      </c>
      <c r="AT965" s="173">
        <v>1.0</v>
      </c>
      <c r="AU965" s="200">
        <f t="shared" ref="AU965:AX965" si="4903">countif($D965,"*"&amp;AU$2&amp;"*")</f>
        <v>0</v>
      </c>
      <c r="AV965" s="200">
        <f t="shared" si="4903"/>
        <v>0</v>
      </c>
      <c r="AW965" s="200">
        <f t="shared" si="4903"/>
        <v>0</v>
      </c>
      <c r="AX965" s="200">
        <f t="shared" si="4903"/>
        <v>0</v>
      </c>
      <c r="AY965" s="202">
        <v>0.0</v>
      </c>
      <c r="AZ965" s="200"/>
      <c r="BA965" s="171" t="str">
        <f t="shared" si="18"/>
        <v/>
      </c>
      <c r="BB965" s="171" t="str">
        <f t="shared" si="19"/>
        <v/>
      </c>
      <c r="BC965" s="171" t="str">
        <f t="shared" si="20"/>
        <v/>
      </c>
      <c r="BD965" s="171" t="str">
        <f t="shared" si="21"/>
        <v>Institutional</v>
      </c>
      <c r="BE965" s="171" t="str">
        <f t="shared" si="22"/>
        <v/>
      </c>
      <c r="BF965" s="171" t="str">
        <f t="shared" si="23"/>
        <v>Institutional</v>
      </c>
    </row>
    <row r="966">
      <c r="A966" s="171">
        <f t="array" ref="A966">XLOOKUP(C966,ICSE!A:A,ICSE!C:C,,2,1)</f>
        <v>2014</v>
      </c>
      <c r="B966" s="171" t="s">
        <v>5675</v>
      </c>
      <c r="C966" s="160">
        <v>1925.0</v>
      </c>
      <c r="D966" s="161" t="s">
        <v>247</v>
      </c>
      <c r="E966" s="197" t="str">
        <f t="array" ref="E966">XLOOKUP(C966,ICSE!A:A,ICSE!Z:Z,,0,1)</f>
        <v>Publicly available (1)</v>
      </c>
      <c r="F966" s="198" t="s">
        <v>20</v>
      </c>
      <c r="G966" s="163" t="str">
        <f t="array" ref="G966">IF(B966="ICSE",IF(COUNTIFS(B:B,B966,C:C,C966)=XLOOKUP(C966,ICSE!A:A,ICSE!AA:AA,"ERROR",0,1),"OK","ERROR"),IF(B966="FSE",IF(COUNTIFS(B:B,B966,C:C,C966)=XLOOKUP(C966,FSE!A:A,FSE!AA:AA,"ERROR",0,1),"OK","ERROR")))</f>
        <v>OK</v>
      </c>
      <c r="H966" s="199">
        <f t="shared" ref="H966:O966" si="4904">countif($D966,"*"&amp;H$2&amp;"*")</f>
        <v>0</v>
      </c>
      <c r="I966" s="200">
        <f t="shared" si="4904"/>
        <v>0</v>
      </c>
      <c r="J966" s="200">
        <f t="shared" si="4904"/>
        <v>0</v>
      </c>
      <c r="K966" s="200">
        <f t="shared" si="4904"/>
        <v>0</v>
      </c>
      <c r="L966" s="200">
        <f t="shared" si="4904"/>
        <v>0</v>
      </c>
      <c r="M966" s="200">
        <f t="shared" si="4904"/>
        <v>0</v>
      </c>
      <c r="N966" s="200">
        <f t="shared" si="4904"/>
        <v>0</v>
      </c>
      <c r="O966" s="200">
        <f t="shared" si="4904"/>
        <v>0</v>
      </c>
      <c r="P966" s="200">
        <f t="shared" si="9"/>
        <v>0</v>
      </c>
      <c r="Q966" s="200">
        <f t="shared" ref="Q966:AC966" si="4905">countif($D966,"*"&amp;Q$2&amp;"*")</f>
        <v>0</v>
      </c>
      <c r="R966" s="200">
        <f t="shared" si="4905"/>
        <v>0</v>
      </c>
      <c r="S966" s="200">
        <f t="shared" si="4905"/>
        <v>0</v>
      </c>
      <c r="T966" s="200">
        <f t="shared" si="4905"/>
        <v>0</v>
      </c>
      <c r="U966" s="200">
        <f t="shared" si="4905"/>
        <v>0</v>
      </c>
      <c r="V966" s="200">
        <f t="shared" si="4905"/>
        <v>0</v>
      </c>
      <c r="W966" s="200">
        <f t="shared" si="4905"/>
        <v>0</v>
      </c>
      <c r="X966" s="200">
        <f t="shared" si="4905"/>
        <v>0</v>
      </c>
      <c r="Y966" s="200">
        <f t="shared" si="4905"/>
        <v>0</v>
      </c>
      <c r="Z966" s="200">
        <f t="shared" si="4905"/>
        <v>0</v>
      </c>
      <c r="AA966" s="200">
        <f t="shared" si="4905"/>
        <v>0</v>
      </c>
      <c r="AB966" s="200">
        <f t="shared" si="4905"/>
        <v>0</v>
      </c>
      <c r="AC966" s="200">
        <f t="shared" si="4905"/>
        <v>0</v>
      </c>
      <c r="AD966" s="200">
        <f t="shared" si="11"/>
        <v>1</v>
      </c>
      <c r="AE966" s="200">
        <f t="shared" ref="AE966:AG966" si="4906">countif($D966,"*"&amp;AE$2&amp;"*")</f>
        <v>0</v>
      </c>
      <c r="AF966" s="200">
        <f t="shared" si="4906"/>
        <v>0</v>
      </c>
      <c r="AG966" s="200">
        <f t="shared" si="4906"/>
        <v>0</v>
      </c>
      <c r="AH966" s="171">
        <f t="shared" si="13"/>
        <v>0</v>
      </c>
      <c r="AI966" s="200">
        <f t="shared" si="14"/>
        <v>0</v>
      </c>
      <c r="AJ966" s="200">
        <f t="shared" si="4907"/>
        <v>0</v>
      </c>
      <c r="AK966" s="201">
        <f t="shared" ref="AK966:AS966" si="4908">countif($D966,"*"&amp;AK$2&amp;"*")</f>
        <v>0</v>
      </c>
      <c r="AL966" s="201">
        <f t="shared" si="4908"/>
        <v>0</v>
      </c>
      <c r="AM966" s="201">
        <f t="shared" si="4908"/>
        <v>0</v>
      </c>
      <c r="AN966" s="201">
        <f t="shared" si="4908"/>
        <v>0</v>
      </c>
      <c r="AO966" s="201">
        <f t="shared" si="4908"/>
        <v>0</v>
      </c>
      <c r="AP966" s="201">
        <f t="shared" si="4908"/>
        <v>0</v>
      </c>
      <c r="AQ966" s="201">
        <f t="shared" si="4908"/>
        <v>0</v>
      </c>
      <c r="AR966" s="200">
        <f t="shared" si="4908"/>
        <v>0</v>
      </c>
      <c r="AS966" s="200">
        <f t="shared" si="4908"/>
        <v>0</v>
      </c>
      <c r="AT966" s="173">
        <v>1.0</v>
      </c>
      <c r="AU966" s="200">
        <f t="shared" ref="AU966:AX966" si="4909">countif($D966,"*"&amp;AU$2&amp;"*")</f>
        <v>0</v>
      </c>
      <c r="AV966" s="200">
        <f t="shared" si="4909"/>
        <v>0</v>
      </c>
      <c r="AW966" s="200">
        <f t="shared" si="4909"/>
        <v>0</v>
      </c>
      <c r="AX966" s="200">
        <f t="shared" si="4909"/>
        <v>0</v>
      </c>
      <c r="AY966" s="202">
        <v>0.0</v>
      </c>
      <c r="AZ966" s="200"/>
      <c r="BA966" s="171" t="str">
        <f t="shared" si="18"/>
        <v/>
      </c>
      <c r="BB966" s="171" t="str">
        <f t="shared" si="19"/>
        <v/>
      </c>
      <c r="BC966" s="171" t="str">
        <f t="shared" si="20"/>
        <v/>
      </c>
      <c r="BD966" s="171" t="str">
        <f t="shared" si="21"/>
        <v>Institutional</v>
      </c>
      <c r="BE966" s="171" t="str">
        <f t="shared" si="22"/>
        <v/>
      </c>
      <c r="BF966" s="171" t="str">
        <f t="shared" si="23"/>
        <v>Institutional</v>
      </c>
    </row>
    <row r="967">
      <c r="A967" s="171">
        <f t="array" ref="A967">XLOOKUP(C967,ICSE!A:A,ICSE!C:C,,2,1)</f>
        <v>2014</v>
      </c>
      <c r="B967" s="171" t="s">
        <v>5675</v>
      </c>
      <c r="C967" s="160">
        <v>1927.0</v>
      </c>
      <c r="D967" s="161" t="s">
        <v>251</v>
      </c>
      <c r="E967" s="197" t="str">
        <f t="array" ref="E967">XLOOKUP(C967,ICSE!A:A,ICSE!Z:Z,,0,1)</f>
        <v>Not available (1) - Broken link.</v>
      </c>
      <c r="F967" s="198" t="s">
        <v>21</v>
      </c>
      <c r="G967" s="163" t="str">
        <f t="array" ref="G967">IF(B967="ICSE",IF(COUNTIFS(B:B,B967,C:C,C967)=XLOOKUP(C967,ICSE!A:A,ICSE!AA:AA,"ERROR",0,1),"OK","ERROR"),IF(B967="FSE",IF(COUNTIFS(B:B,B967,C:C,C967)=XLOOKUP(C967,FSE!A:A,FSE!AA:AA,"ERROR",0,1),"OK","ERROR")))</f>
        <v>OK</v>
      </c>
      <c r="H967" s="199">
        <f t="shared" ref="H967:O967" si="4910">countif($D967,"*"&amp;H$2&amp;"*")</f>
        <v>0</v>
      </c>
      <c r="I967" s="200">
        <f t="shared" si="4910"/>
        <v>0</v>
      </c>
      <c r="J967" s="200">
        <f t="shared" si="4910"/>
        <v>0</v>
      </c>
      <c r="K967" s="200">
        <f t="shared" si="4910"/>
        <v>0</v>
      </c>
      <c r="L967" s="200">
        <f t="shared" si="4910"/>
        <v>0</v>
      </c>
      <c r="M967" s="200">
        <f t="shared" si="4910"/>
        <v>0</v>
      </c>
      <c r="N967" s="200">
        <f t="shared" si="4910"/>
        <v>0</v>
      </c>
      <c r="O967" s="200">
        <f t="shared" si="4910"/>
        <v>0</v>
      </c>
      <c r="P967" s="200">
        <f t="shared" si="9"/>
        <v>0</v>
      </c>
      <c r="Q967" s="200">
        <f t="shared" ref="Q967:AC967" si="4911">countif($D967,"*"&amp;Q$2&amp;"*")</f>
        <v>0</v>
      </c>
      <c r="R967" s="200">
        <f t="shared" si="4911"/>
        <v>0</v>
      </c>
      <c r="S967" s="200">
        <f t="shared" si="4911"/>
        <v>0</v>
      </c>
      <c r="T967" s="200">
        <f t="shared" si="4911"/>
        <v>0</v>
      </c>
      <c r="U967" s="200">
        <f t="shared" si="4911"/>
        <v>0</v>
      </c>
      <c r="V967" s="200">
        <f t="shared" si="4911"/>
        <v>0</v>
      </c>
      <c r="W967" s="200">
        <f t="shared" si="4911"/>
        <v>0</v>
      </c>
      <c r="X967" s="200">
        <f t="shared" si="4911"/>
        <v>0</v>
      </c>
      <c r="Y967" s="200">
        <f t="shared" si="4911"/>
        <v>0</v>
      </c>
      <c r="Z967" s="200">
        <f t="shared" si="4911"/>
        <v>0</v>
      </c>
      <c r="AA967" s="200">
        <f t="shared" si="4911"/>
        <v>0</v>
      </c>
      <c r="AB967" s="200">
        <f t="shared" si="4911"/>
        <v>0</v>
      </c>
      <c r="AC967" s="200">
        <f t="shared" si="4911"/>
        <v>0</v>
      </c>
      <c r="AD967" s="200">
        <f t="shared" si="11"/>
        <v>1</v>
      </c>
      <c r="AE967" s="200">
        <f t="shared" ref="AE967:AG967" si="4912">countif($D967,"*"&amp;AE$2&amp;"*")</f>
        <v>0</v>
      </c>
      <c r="AF967" s="200">
        <f t="shared" si="4912"/>
        <v>0</v>
      </c>
      <c r="AG967" s="200">
        <f t="shared" si="4912"/>
        <v>0</v>
      </c>
      <c r="AH967" s="171">
        <f t="shared" si="13"/>
        <v>0</v>
      </c>
      <c r="AI967" s="200">
        <f t="shared" si="14"/>
        <v>0</v>
      </c>
      <c r="AJ967" s="200">
        <f t="shared" si="4907"/>
        <v>0</v>
      </c>
      <c r="AK967" s="201">
        <f t="shared" ref="AK967:AS967" si="4913">countif($D967,"*"&amp;AK$2&amp;"*")</f>
        <v>0</v>
      </c>
      <c r="AL967" s="201">
        <f t="shared" si="4913"/>
        <v>0</v>
      </c>
      <c r="AM967" s="201">
        <f t="shared" si="4913"/>
        <v>0</v>
      </c>
      <c r="AN967" s="201">
        <f t="shared" si="4913"/>
        <v>0</v>
      </c>
      <c r="AO967" s="201">
        <f t="shared" si="4913"/>
        <v>0</v>
      </c>
      <c r="AP967" s="201">
        <f t="shared" si="4913"/>
        <v>0</v>
      </c>
      <c r="AQ967" s="201">
        <f t="shared" si="4913"/>
        <v>0</v>
      </c>
      <c r="AR967" s="200">
        <f t="shared" si="4913"/>
        <v>0</v>
      </c>
      <c r="AS967" s="200">
        <f t="shared" si="4913"/>
        <v>0</v>
      </c>
      <c r="AT967" s="173">
        <v>1.0</v>
      </c>
      <c r="AU967" s="200">
        <f t="shared" ref="AU967:AX967" si="4914">countif($D967,"*"&amp;AU$2&amp;"*")</f>
        <v>0</v>
      </c>
      <c r="AV967" s="200">
        <f t="shared" si="4914"/>
        <v>0</v>
      </c>
      <c r="AW967" s="200">
        <f t="shared" si="4914"/>
        <v>0</v>
      </c>
      <c r="AX967" s="200">
        <f t="shared" si="4914"/>
        <v>0</v>
      </c>
      <c r="AY967" s="202">
        <v>0.0</v>
      </c>
      <c r="AZ967" s="200"/>
      <c r="BA967" s="171" t="str">
        <f t="shared" si="18"/>
        <v/>
      </c>
      <c r="BB967" s="171" t="str">
        <f t="shared" si="19"/>
        <v/>
      </c>
      <c r="BC967" s="171" t="str">
        <f t="shared" si="20"/>
        <v/>
      </c>
      <c r="BD967" s="171" t="str">
        <f t="shared" si="21"/>
        <v>Institutional</v>
      </c>
      <c r="BE967" s="171" t="str">
        <f t="shared" si="22"/>
        <v/>
      </c>
      <c r="BF967" s="171" t="str">
        <f t="shared" si="23"/>
        <v>Institutional</v>
      </c>
    </row>
    <row r="968">
      <c r="A968" s="171">
        <f t="array" ref="A968">XLOOKUP(C968,ICSE!A:A,ICSE!C:C,,2,1)</f>
        <v>2014</v>
      </c>
      <c r="B968" s="171" t="s">
        <v>5675</v>
      </c>
      <c r="C968" s="160">
        <v>1930.0</v>
      </c>
      <c r="D968" s="161" t="s">
        <v>256</v>
      </c>
      <c r="E968" s="197" t="str">
        <f t="array" ref="E968">XLOOKUP(C968,ICSE!A:A,ICSE!Z:Z,,0,1)</f>
        <v>Publicly available (1)</v>
      </c>
      <c r="F968" s="198" t="s">
        <v>20</v>
      </c>
      <c r="G968" s="163" t="str">
        <f t="array" ref="G968">IF(B968="ICSE",IF(COUNTIFS(B:B,B968,C:C,C968)=XLOOKUP(C968,ICSE!A:A,ICSE!AA:AA,"ERROR",0,1),"OK","ERROR"),IF(B968="FSE",IF(COUNTIFS(B:B,B968,C:C,C968)=XLOOKUP(C968,FSE!A:A,FSE!AA:AA,"ERROR",0,1),"OK","ERROR")))</f>
        <v>OK</v>
      </c>
      <c r="H968" s="199">
        <f t="shared" ref="H968:O968" si="4915">countif($D968,"*"&amp;H$2&amp;"*")</f>
        <v>0</v>
      </c>
      <c r="I968" s="200">
        <f t="shared" si="4915"/>
        <v>0</v>
      </c>
      <c r="J968" s="200">
        <f t="shared" si="4915"/>
        <v>0</v>
      </c>
      <c r="K968" s="200">
        <f t="shared" si="4915"/>
        <v>0</v>
      </c>
      <c r="L968" s="200">
        <f t="shared" si="4915"/>
        <v>0</v>
      </c>
      <c r="M968" s="200">
        <f t="shared" si="4915"/>
        <v>0</v>
      </c>
      <c r="N968" s="200">
        <f t="shared" si="4915"/>
        <v>0</v>
      </c>
      <c r="O968" s="200">
        <f t="shared" si="4915"/>
        <v>0</v>
      </c>
      <c r="P968" s="200">
        <f t="shared" si="9"/>
        <v>0</v>
      </c>
      <c r="Q968" s="200">
        <f t="shared" ref="Q968:AC968" si="4916">countif($D968,"*"&amp;Q$2&amp;"*")</f>
        <v>0</v>
      </c>
      <c r="R968" s="200">
        <f t="shared" si="4916"/>
        <v>0</v>
      </c>
      <c r="S968" s="200">
        <f t="shared" si="4916"/>
        <v>0</v>
      </c>
      <c r="T968" s="200">
        <f t="shared" si="4916"/>
        <v>0</v>
      </c>
      <c r="U968" s="200">
        <f t="shared" si="4916"/>
        <v>0</v>
      </c>
      <c r="V968" s="200">
        <f t="shared" si="4916"/>
        <v>0</v>
      </c>
      <c r="W968" s="200">
        <f t="shared" si="4916"/>
        <v>0</v>
      </c>
      <c r="X968" s="200">
        <f t="shared" si="4916"/>
        <v>0</v>
      </c>
      <c r="Y968" s="200">
        <f t="shared" si="4916"/>
        <v>0</v>
      </c>
      <c r="Z968" s="200">
        <f t="shared" si="4916"/>
        <v>0</v>
      </c>
      <c r="AA968" s="200">
        <f t="shared" si="4916"/>
        <v>0</v>
      </c>
      <c r="AB968" s="200">
        <f t="shared" si="4916"/>
        <v>0</v>
      </c>
      <c r="AC968" s="200">
        <f t="shared" si="4916"/>
        <v>0</v>
      </c>
      <c r="AD968" s="200">
        <f t="shared" si="11"/>
        <v>1</v>
      </c>
      <c r="AE968" s="200">
        <f t="shared" ref="AE968:AG968" si="4917">countif($D968,"*"&amp;AE$2&amp;"*")</f>
        <v>0</v>
      </c>
      <c r="AF968" s="200">
        <f t="shared" si="4917"/>
        <v>0</v>
      </c>
      <c r="AG968" s="200">
        <f t="shared" si="4917"/>
        <v>0</v>
      </c>
      <c r="AH968" s="171">
        <f t="shared" si="13"/>
        <v>0</v>
      </c>
      <c r="AI968" s="200">
        <f t="shared" si="14"/>
        <v>0</v>
      </c>
      <c r="AJ968" s="200">
        <f t="shared" si="4907"/>
        <v>0</v>
      </c>
      <c r="AK968" s="201">
        <f t="shared" ref="AK968:AS968" si="4918">countif($D968,"*"&amp;AK$2&amp;"*")</f>
        <v>0</v>
      </c>
      <c r="AL968" s="201">
        <f t="shared" si="4918"/>
        <v>0</v>
      </c>
      <c r="AM968" s="201">
        <f t="shared" si="4918"/>
        <v>0</v>
      </c>
      <c r="AN968" s="201">
        <f t="shared" si="4918"/>
        <v>0</v>
      </c>
      <c r="AO968" s="201">
        <f t="shared" si="4918"/>
        <v>0</v>
      </c>
      <c r="AP968" s="201">
        <f t="shared" si="4918"/>
        <v>0</v>
      </c>
      <c r="AQ968" s="201">
        <f t="shared" si="4918"/>
        <v>0</v>
      </c>
      <c r="AR968" s="200">
        <f t="shared" si="4918"/>
        <v>0</v>
      </c>
      <c r="AS968" s="200">
        <f t="shared" si="4918"/>
        <v>0</v>
      </c>
      <c r="AT968" s="173">
        <v>1.0</v>
      </c>
      <c r="AU968" s="200">
        <f t="shared" ref="AU968:AX968" si="4919">countif($D968,"*"&amp;AU$2&amp;"*")</f>
        <v>0</v>
      </c>
      <c r="AV968" s="200">
        <f t="shared" si="4919"/>
        <v>0</v>
      </c>
      <c r="AW968" s="200">
        <f t="shared" si="4919"/>
        <v>0</v>
      </c>
      <c r="AX968" s="200">
        <f t="shared" si="4919"/>
        <v>0</v>
      </c>
      <c r="AY968" s="202">
        <v>0.0</v>
      </c>
      <c r="AZ968" s="200"/>
      <c r="BA968" s="171" t="str">
        <f t="shared" si="18"/>
        <v/>
      </c>
      <c r="BB968" s="171" t="str">
        <f t="shared" si="19"/>
        <v/>
      </c>
      <c r="BC968" s="171" t="str">
        <f t="shared" si="20"/>
        <v/>
      </c>
      <c r="BD968" s="171" t="str">
        <f t="shared" si="21"/>
        <v>Institutional</v>
      </c>
      <c r="BE968" s="171" t="str">
        <f t="shared" si="22"/>
        <v/>
      </c>
      <c r="BF968" s="171" t="str">
        <f t="shared" si="23"/>
        <v>Institutional</v>
      </c>
    </row>
    <row r="969">
      <c r="A969" s="171">
        <f t="array" ref="A969">XLOOKUP(C969,ICSE!A:A,ICSE!C:C,,2,1)</f>
        <v>2014</v>
      </c>
      <c r="B969" s="171" t="s">
        <v>5675</v>
      </c>
      <c r="C969" s="160">
        <v>1932.0</v>
      </c>
      <c r="D969" s="161" t="s">
        <v>261</v>
      </c>
      <c r="E969" s="197" t="str">
        <f t="array" ref="E969">XLOOKUP(C969,ICSE!A:A,ICSE!Z:Z,,0,1)</f>
        <v>Not available (1) - Broken link.</v>
      </c>
      <c r="F969" s="198" t="s">
        <v>21</v>
      </c>
      <c r="G969" s="163" t="str">
        <f t="array" ref="G969">IF(B969="ICSE",IF(COUNTIFS(B:B,B969,C:C,C969)=XLOOKUP(C969,ICSE!A:A,ICSE!AA:AA,"ERROR",0,1),"OK","ERROR"),IF(B969="FSE",IF(COUNTIFS(B:B,B969,C:C,C969)=XLOOKUP(C969,FSE!A:A,FSE!AA:AA,"ERROR",0,1),"OK","ERROR")))</f>
        <v>OK</v>
      </c>
      <c r="H969" s="199">
        <f t="shared" ref="H969:O969" si="4920">countif($D969,"*"&amp;H$2&amp;"*")</f>
        <v>0</v>
      </c>
      <c r="I969" s="200">
        <f t="shared" si="4920"/>
        <v>0</v>
      </c>
      <c r="J969" s="200">
        <f t="shared" si="4920"/>
        <v>0</v>
      </c>
      <c r="K969" s="200">
        <f t="shared" si="4920"/>
        <v>0</v>
      </c>
      <c r="L969" s="200">
        <f t="shared" si="4920"/>
        <v>0</v>
      </c>
      <c r="M969" s="200">
        <f t="shared" si="4920"/>
        <v>0</v>
      </c>
      <c r="N969" s="200">
        <f t="shared" si="4920"/>
        <v>0</v>
      </c>
      <c r="O969" s="200">
        <f t="shared" si="4920"/>
        <v>0</v>
      </c>
      <c r="P969" s="200">
        <f t="shared" si="9"/>
        <v>0</v>
      </c>
      <c r="Q969" s="200">
        <f t="shared" ref="Q969:AC969" si="4921">countif($D969,"*"&amp;Q$2&amp;"*")</f>
        <v>0</v>
      </c>
      <c r="R969" s="200">
        <f t="shared" si="4921"/>
        <v>0</v>
      </c>
      <c r="S969" s="200">
        <f t="shared" si="4921"/>
        <v>0</v>
      </c>
      <c r="T969" s="200">
        <f t="shared" si="4921"/>
        <v>0</v>
      </c>
      <c r="U969" s="200">
        <f t="shared" si="4921"/>
        <v>0</v>
      </c>
      <c r="V969" s="200">
        <f t="shared" si="4921"/>
        <v>0</v>
      </c>
      <c r="W969" s="200">
        <f t="shared" si="4921"/>
        <v>0</v>
      </c>
      <c r="X969" s="200">
        <f t="shared" si="4921"/>
        <v>0</v>
      </c>
      <c r="Y969" s="200">
        <f t="shared" si="4921"/>
        <v>0</v>
      </c>
      <c r="Z969" s="200">
        <f t="shared" si="4921"/>
        <v>0</v>
      </c>
      <c r="AA969" s="200">
        <f t="shared" si="4921"/>
        <v>0</v>
      </c>
      <c r="AB969" s="200">
        <f t="shared" si="4921"/>
        <v>0</v>
      </c>
      <c r="AC969" s="200">
        <f t="shared" si="4921"/>
        <v>0</v>
      </c>
      <c r="AD969" s="200">
        <f t="shared" si="11"/>
        <v>1</v>
      </c>
      <c r="AE969" s="200">
        <f t="shared" ref="AE969:AG969" si="4922">countif($D969,"*"&amp;AE$2&amp;"*")</f>
        <v>0</v>
      </c>
      <c r="AF969" s="200">
        <f t="shared" si="4922"/>
        <v>0</v>
      </c>
      <c r="AG969" s="200">
        <f t="shared" si="4922"/>
        <v>0</v>
      </c>
      <c r="AH969" s="171">
        <f t="shared" si="13"/>
        <v>0</v>
      </c>
      <c r="AI969" s="200">
        <f t="shared" si="14"/>
        <v>0</v>
      </c>
      <c r="AJ969" s="200">
        <f t="shared" si="4907"/>
        <v>0</v>
      </c>
      <c r="AK969" s="201">
        <f t="shared" ref="AK969:AS969" si="4923">countif($D969,"*"&amp;AK$2&amp;"*")</f>
        <v>0</v>
      </c>
      <c r="AL969" s="201">
        <f t="shared" si="4923"/>
        <v>0</v>
      </c>
      <c r="AM969" s="201">
        <f t="shared" si="4923"/>
        <v>0</v>
      </c>
      <c r="AN969" s="201">
        <f t="shared" si="4923"/>
        <v>0</v>
      </c>
      <c r="AO969" s="201">
        <f t="shared" si="4923"/>
        <v>0</v>
      </c>
      <c r="AP969" s="201">
        <f t="shared" si="4923"/>
        <v>0</v>
      </c>
      <c r="AQ969" s="201">
        <f t="shared" si="4923"/>
        <v>0</v>
      </c>
      <c r="AR969" s="200">
        <f t="shared" si="4923"/>
        <v>0</v>
      </c>
      <c r="AS969" s="200">
        <f t="shared" si="4923"/>
        <v>0</v>
      </c>
      <c r="AT969" s="173">
        <v>1.0</v>
      </c>
      <c r="AU969" s="200">
        <f t="shared" ref="AU969:AX969" si="4924">countif($D969,"*"&amp;AU$2&amp;"*")</f>
        <v>0</v>
      </c>
      <c r="AV969" s="200">
        <f t="shared" si="4924"/>
        <v>0</v>
      </c>
      <c r="AW969" s="200">
        <f t="shared" si="4924"/>
        <v>0</v>
      </c>
      <c r="AX969" s="200">
        <f t="shared" si="4924"/>
        <v>0</v>
      </c>
      <c r="AY969" s="202">
        <v>0.0</v>
      </c>
      <c r="AZ969" s="200"/>
      <c r="BA969" s="171" t="str">
        <f t="shared" si="18"/>
        <v/>
      </c>
      <c r="BB969" s="171" t="str">
        <f t="shared" si="19"/>
        <v/>
      </c>
      <c r="BC969" s="171" t="str">
        <f t="shared" si="20"/>
        <v/>
      </c>
      <c r="BD969" s="171" t="str">
        <f t="shared" si="21"/>
        <v>Institutional</v>
      </c>
      <c r="BE969" s="171" t="str">
        <f t="shared" si="22"/>
        <v/>
      </c>
      <c r="BF969" s="171" t="str">
        <f t="shared" si="23"/>
        <v>Institutional</v>
      </c>
    </row>
    <row r="970">
      <c r="A970" s="171">
        <f t="array" ref="A970">XLOOKUP(C970,ICSE!A:A,ICSE!C:C,,2,1)</f>
        <v>2014</v>
      </c>
      <c r="B970" s="171" t="s">
        <v>5675</v>
      </c>
      <c r="C970" s="160">
        <v>1933.0</v>
      </c>
      <c r="D970" s="161" t="s">
        <v>264</v>
      </c>
      <c r="E970" s="197" t="str">
        <f t="array" ref="E970">XLOOKUP(C970,ICSE!A:A,ICSE!Z:Z,,0,1)</f>
        <v>Publicly available (1)</v>
      </c>
      <c r="F970" s="198" t="s">
        <v>20</v>
      </c>
      <c r="G970" s="163" t="str">
        <f t="array" ref="G970">IF(B970="ICSE",IF(COUNTIFS(B:B,B970,C:C,C970)=XLOOKUP(C970,ICSE!A:A,ICSE!AA:AA,"ERROR",0,1),"OK","ERROR"),IF(B970="FSE",IF(COUNTIFS(B:B,B970,C:C,C970)=XLOOKUP(C970,FSE!A:A,FSE!AA:AA,"ERROR",0,1),"OK","ERROR")))</f>
        <v>OK</v>
      </c>
      <c r="H970" s="199">
        <f t="shared" ref="H970:O970" si="4925">countif($D970,"*"&amp;H$2&amp;"*")</f>
        <v>0</v>
      </c>
      <c r="I970" s="200">
        <f t="shared" si="4925"/>
        <v>0</v>
      </c>
      <c r="J970" s="200">
        <f t="shared" si="4925"/>
        <v>0</v>
      </c>
      <c r="K970" s="200">
        <f t="shared" si="4925"/>
        <v>0</v>
      </c>
      <c r="L970" s="200">
        <f t="shared" si="4925"/>
        <v>0</v>
      </c>
      <c r="M970" s="200">
        <f t="shared" si="4925"/>
        <v>0</v>
      </c>
      <c r="N970" s="200">
        <f t="shared" si="4925"/>
        <v>0</v>
      </c>
      <c r="O970" s="200">
        <f t="shared" si="4925"/>
        <v>0</v>
      </c>
      <c r="P970" s="200">
        <f t="shared" si="9"/>
        <v>0</v>
      </c>
      <c r="Q970" s="200">
        <f t="shared" ref="Q970:AC970" si="4926">countif($D970,"*"&amp;Q$2&amp;"*")</f>
        <v>0</v>
      </c>
      <c r="R970" s="200">
        <f t="shared" si="4926"/>
        <v>0</v>
      </c>
      <c r="S970" s="200">
        <f t="shared" si="4926"/>
        <v>0</v>
      </c>
      <c r="T970" s="200">
        <f t="shared" si="4926"/>
        <v>0</v>
      </c>
      <c r="U970" s="200">
        <f t="shared" si="4926"/>
        <v>0</v>
      </c>
      <c r="V970" s="200">
        <f t="shared" si="4926"/>
        <v>0</v>
      </c>
      <c r="W970" s="200">
        <f t="shared" si="4926"/>
        <v>0</v>
      </c>
      <c r="X970" s="200">
        <f t="shared" si="4926"/>
        <v>0</v>
      </c>
      <c r="Y970" s="200">
        <f t="shared" si="4926"/>
        <v>0</v>
      </c>
      <c r="Z970" s="200">
        <f t="shared" si="4926"/>
        <v>0</v>
      </c>
      <c r="AA970" s="200">
        <f t="shared" si="4926"/>
        <v>0</v>
      </c>
      <c r="AB970" s="200">
        <f t="shared" si="4926"/>
        <v>0</v>
      </c>
      <c r="AC970" s="200">
        <f t="shared" si="4926"/>
        <v>0</v>
      </c>
      <c r="AD970" s="200">
        <f t="shared" si="11"/>
        <v>1</v>
      </c>
      <c r="AE970" s="200">
        <f t="shared" ref="AE970:AG970" si="4927">countif($D970,"*"&amp;AE$2&amp;"*")</f>
        <v>0</v>
      </c>
      <c r="AF970" s="200">
        <f t="shared" si="4927"/>
        <v>0</v>
      </c>
      <c r="AG970" s="200">
        <f t="shared" si="4927"/>
        <v>0</v>
      </c>
      <c r="AH970" s="171">
        <f t="shared" si="13"/>
        <v>0</v>
      </c>
      <c r="AI970" s="200">
        <f t="shared" si="14"/>
        <v>0</v>
      </c>
      <c r="AJ970" s="200">
        <f t="shared" si="4907"/>
        <v>0</v>
      </c>
      <c r="AK970" s="201">
        <f t="shared" ref="AK970:AS970" si="4928">countif($D970,"*"&amp;AK$2&amp;"*")</f>
        <v>0</v>
      </c>
      <c r="AL970" s="201">
        <f t="shared" si="4928"/>
        <v>0</v>
      </c>
      <c r="AM970" s="201">
        <f t="shared" si="4928"/>
        <v>0</v>
      </c>
      <c r="AN970" s="201">
        <f t="shared" si="4928"/>
        <v>0</v>
      </c>
      <c r="AO970" s="201">
        <f t="shared" si="4928"/>
        <v>0</v>
      </c>
      <c r="AP970" s="201">
        <f t="shared" si="4928"/>
        <v>0</v>
      </c>
      <c r="AQ970" s="201">
        <f t="shared" si="4928"/>
        <v>0</v>
      </c>
      <c r="AR970" s="200">
        <f t="shared" si="4928"/>
        <v>0</v>
      </c>
      <c r="AS970" s="200">
        <f t="shared" si="4928"/>
        <v>0</v>
      </c>
      <c r="AT970" s="173">
        <v>1.0</v>
      </c>
      <c r="AU970" s="200">
        <f t="shared" ref="AU970:AX970" si="4929">countif($D970,"*"&amp;AU$2&amp;"*")</f>
        <v>0</v>
      </c>
      <c r="AV970" s="200">
        <f t="shared" si="4929"/>
        <v>0</v>
      </c>
      <c r="AW970" s="200">
        <f t="shared" si="4929"/>
        <v>0</v>
      </c>
      <c r="AX970" s="200">
        <f t="shared" si="4929"/>
        <v>0</v>
      </c>
      <c r="AY970" s="202">
        <v>0.0</v>
      </c>
      <c r="AZ970" s="200"/>
      <c r="BA970" s="171" t="str">
        <f t="shared" si="18"/>
        <v/>
      </c>
      <c r="BB970" s="171" t="str">
        <f t="shared" si="19"/>
        <v/>
      </c>
      <c r="BC970" s="171" t="str">
        <f t="shared" si="20"/>
        <v/>
      </c>
      <c r="BD970" s="171" t="str">
        <f t="shared" si="21"/>
        <v>Institutional</v>
      </c>
      <c r="BE970" s="171" t="str">
        <f t="shared" si="22"/>
        <v/>
      </c>
      <c r="BF970" s="171" t="str">
        <f t="shared" si="23"/>
        <v>Institutional</v>
      </c>
    </row>
    <row r="971">
      <c r="A971" s="171">
        <f t="array" ref="A971">XLOOKUP(C971,ICSE!A:A,ICSE!C:C,,2,1)</f>
        <v>2014</v>
      </c>
      <c r="B971" s="171" t="s">
        <v>5675</v>
      </c>
      <c r="C971" s="160">
        <v>1938.0</v>
      </c>
      <c r="D971" s="161" t="s">
        <v>6076</v>
      </c>
      <c r="E971" s="197" t="str">
        <f t="array" ref="E971">XLOOKUP(C971,ICSE!A:A,ICSE!Z:Z,,0,1)</f>
        <v>Not available (1) - Broken link.
Publicly available (1)</v>
      </c>
      <c r="F971" s="198" t="s">
        <v>20</v>
      </c>
      <c r="G971" s="163" t="str">
        <f t="array" ref="G971">IF(B971="ICSE",IF(COUNTIFS(B:B,B971,C:C,C971)=XLOOKUP(C971,ICSE!A:A,ICSE!AA:AA,"ERROR",0,1),"OK","ERROR"),IF(B971="FSE",IF(COUNTIFS(B:B,B971,C:C,C971)=XLOOKUP(C971,FSE!A:A,FSE!AA:AA,"ERROR",0,1),"OK","ERROR")))</f>
        <v>OK</v>
      </c>
      <c r="H971" s="199">
        <f t="shared" ref="H971:O971" si="4930">countif($D971,"*"&amp;H$2&amp;"*")</f>
        <v>0</v>
      </c>
      <c r="I971" s="200">
        <f t="shared" si="4930"/>
        <v>0</v>
      </c>
      <c r="J971" s="200">
        <f t="shared" si="4930"/>
        <v>0</v>
      </c>
      <c r="K971" s="200">
        <f t="shared" si="4930"/>
        <v>0</v>
      </c>
      <c r="L971" s="200">
        <f t="shared" si="4930"/>
        <v>0</v>
      </c>
      <c r="M971" s="200">
        <f t="shared" si="4930"/>
        <v>0</v>
      </c>
      <c r="N971" s="200">
        <f t="shared" si="4930"/>
        <v>0</v>
      </c>
      <c r="O971" s="200">
        <f t="shared" si="4930"/>
        <v>0</v>
      </c>
      <c r="P971" s="200">
        <f t="shared" si="9"/>
        <v>0</v>
      </c>
      <c r="Q971" s="200">
        <f t="shared" ref="Q971:AC971" si="4931">countif($D971,"*"&amp;Q$2&amp;"*")</f>
        <v>0</v>
      </c>
      <c r="R971" s="200">
        <f t="shared" si="4931"/>
        <v>0</v>
      </c>
      <c r="S971" s="200">
        <f t="shared" si="4931"/>
        <v>0</v>
      </c>
      <c r="T971" s="200">
        <f t="shared" si="4931"/>
        <v>0</v>
      </c>
      <c r="U971" s="200">
        <f t="shared" si="4931"/>
        <v>0</v>
      </c>
      <c r="V971" s="200">
        <f t="shared" si="4931"/>
        <v>0</v>
      </c>
      <c r="W971" s="200">
        <f t="shared" si="4931"/>
        <v>0</v>
      </c>
      <c r="X971" s="200">
        <f t="shared" si="4931"/>
        <v>0</v>
      </c>
      <c r="Y971" s="200">
        <f t="shared" si="4931"/>
        <v>0</v>
      </c>
      <c r="Z971" s="200">
        <f t="shared" si="4931"/>
        <v>0</v>
      </c>
      <c r="AA971" s="200">
        <f t="shared" si="4931"/>
        <v>0</v>
      </c>
      <c r="AB971" s="200">
        <f t="shared" si="4931"/>
        <v>0</v>
      </c>
      <c r="AC971" s="200">
        <f t="shared" si="4931"/>
        <v>0</v>
      </c>
      <c r="AD971" s="200">
        <f t="shared" si="11"/>
        <v>0</v>
      </c>
      <c r="AE971" s="200">
        <f t="shared" ref="AE971:AG971" si="4932">countif($D971,"*"&amp;AE$2&amp;"*")</f>
        <v>0</v>
      </c>
      <c r="AF971" s="200">
        <f t="shared" si="4932"/>
        <v>0</v>
      </c>
      <c r="AG971" s="200">
        <f t="shared" si="4932"/>
        <v>0</v>
      </c>
      <c r="AH971" s="171">
        <f t="shared" si="13"/>
        <v>1</v>
      </c>
      <c r="AI971" s="200">
        <f t="shared" si="14"/>
        <v>0</v>
      </c>
      <c r="AJ971" s="200">
        <f t="shared" si="4907"/>
        <v>0</v>
      </c>
      <c r="AK971" s="201">
        <f t="shared" ref="AK971:AS971" si="4933">countif($D971,"*"&amp;AK$2&amp;"*")</f>
        <v>0</v>
      </c>
      <c r="AL971" s="201">
        <f t="shared" si="4933"/>
        <v>0</v>
      </c>
      <c r="AM971" s="201">
        <f t="shared" si="4933"/>
        <v>0</v>
      </c>
      <c r="AN971" s="201">
        <f t="shared" si="4933"/>
        <v>0</v>
      </c>
      <c r="AO971" s="201">
        <f t="shared" si="4933"/>
        <v>0</v>
      </c>
      <c r="AP971" s="201">
        <f t="shared" si="4933"/>
        <v>0</v>
      </c>
      <c r="AQ971" s="201">
        <f t="shared" si="4933"/>
        <v>0</v>
      </c>
      <c r="AR971" s="200">
        <f t="shared" si="4933"/>
        <v>0</v>
      </c>
      <c r="AS971" s="200">
        <f t="shared" si="4933"/>
        <v>0</v>
      </c>
      <c r="AT971" s="173">
        <v>0.0</v>
      </c>
      <c r="AU971" s="200">
        <f t="shared" ref="AU971:AX971" si="4934">countif($D971,"*"&amp;AU$2&amp;"*")</f>
        <v>0</v>
      </c>
      <c r="AV971" s="200">
        <f t="shared" si="4934"/>
        <v>0</v>
      </c>
      <c r="AW971" s="200">
        <f t="shared" si="4934"/>
        <v>0</v>
      </c>
      <c r="AX971" s="200">
        <f t="shared" si="4934"/>
        <v>0</v>
      </c>
      <c r="AY971" s="202">
        <v>0.0</v>
      </c>
      <c r="AZ971" s="200"/>
      <c r="BA971" s="171" t="str">
        <f t="shared" si="18"/>
        <v/>
      </c>
      <c r="BB971" s="171" t="str">
        <f t="shared" si="19"/>
        <v/>
      </c>
      <c r="BC971" s="171" t="str">
        <f t="shared" si="20"/>
        <v/>
      </c>
      <c r="BD971" s="171" t="str">
        <f t="shared" si="21"/>
        <v/>
      </c>
      <c r="BE971" s="171" t="str">
        <f t="shared" si="22"/>
        <v>Others</v>
      </c>
      <c r="BF971" s="171" t="str">
        <f t="shared" si="23"/>
        <v>Others</v>
      </c>
    </row>
    <row r="972">
      <c r="A972" s="171">
        <f t="array" ref="A972">XLOOKUP(C972,ICSE!A:A,ICSE!C:C,,2,1)</f>
        <v>2014</v>
      </c>
      <c r="B972" s="171" t="s">
        <v>5675</v>
      </c>
      <c r="C972" s="160">
        <v>1938.0</v>
      </c>
      <c r="D972" s="212" t="s">
        <v>6077</v>
      </c>
      <c r="E972" s="197" t="str">
        <f t="array" ref="E972">XLOOKUP(C972,ICSE!A:A,ICSE!Z:Z,,0,1)</f>
        <v>Not available (1) - Broken link.
Publicly available (1)</v>
      </c>
      <c r="F972" s="198" t="s">
        <v>21</v>
      </c>
      <c r="G972" s="163" t="str">
        <f t="array" ref="G972">IF(B972="ICSE",IF(COUNTIFS(B:B,B972,C:C,C972)=XLOOKUP(C972,ICSE!A:A,ICSE!AA:AA,"ERROR",0,1),"OK","ERROR"),IF(B972="FSE",IF(COUNTIFS(B:B,B972,C:C,C972)=XLOOKUP(C972,FSE!A:A,FSE!AA:AA,"ERROR",0,1),"OK","ERROR")))</f>
        <v>OK</v>
      </c>
      <c r="H972" s="199">
        <f t="shared" ref="H972:O972" si="4935">countif($D972,"*"&amp;H$2&amp;"*")</f>
        <v>0</v>
      </c>
      <c r="I972" s="200">
        <f t="shared" si="4935"/>
        <v>0</v>
      </c>
      <c r="J972" s="200">
        <f t="shared" si="4935"/>
        <v>0</v>
      </c>
      <c r="K972" s="200">
        <f t="shared" si="4935"/>
        <v>0</v>
      </c>
      <c r="L972" s="200">
        <f t="shared" si="4935"/>
        <v>0</v>
      </c>
      <c r="M972" s="200">
        <f t="shared" si="4935"/>
        <v>0</v>
      </c>
      <c r="N972" s="200">
        <f t="shared" si="4935"/>
        <v>0</v>
      </c>
      <c r="O972" s="200">
        <f t="shared" si="4935"/>
        <v>0</v>
      </c>
      <c r="P972" s="200">
        <f t="shared" si="9"/>
        <v>0</v>
      </c>
      <c r="Q972" s="200">
        <f t="shared" ref="Q972:AC972" si="4936">countif($D972,"*"&amp;Q$2&amp;"*")</f>
        <v>0</v>
      </c>
      <c r="R972" s="200">
        <f t="shared" si="4936"/>
        <v>0</v>
      </c>
      <c r="S972" s="200">
        <f t="shared" si="4936"/>
        <v>0</v>
      </c>
      <c r="T972" s="200">
        <f t="shared" si="4936"/>
        <v>0</v>
      </c>
      <c r="U972" s="200">
        <f t="shared" si="4936"/>
        <v>0</v>
      </c>
      <c r="V972" s="200">
        <f t="shared" si="4936"/>
        <v>0</v>
      </c>
      <c r="W972" s="200">
        <f t="shared" si="4936"/>
        <v>0</v>
      </c>
      <c r="X972" s="200">
        <f t="shared" si="4936"/>
        <v>0</v>
      </c>
      <c r="Y972" s="200">
        <f t="shared" si="4936"/>
        <v>0</v>
      </c>
      <c r="Z972" s="200">
        <f t="shared" si="4936"/>
        <v>0</v>
      </c>
      <c r="AA972" s="200">
        <f t="shared" si="4936"/>
        <v>0</v>
      </c>
      <c r="AB972" s="200">
        <f t="shared" si="4936"/>
        <v>0</v>
      </c>
      <c r="AC972" s="200">
        <f t="shared" si="4936"/>
        <v>0</v>
      </c>
      <c r="AD972" s="200">
        <f t="shared" si="11"/>
        <v>0</v>
      </c>
      <c r="AE972" s="200">
        <f t="shared" ref="AE972:AG972" si="4937">countif($D972,"*"&amp;AE$2&amp;"*")</f>
        <v>0</v>
      </c>
      <c r="AF972" s="200">
        <f t="shared" si="4937"/>
        <v>0</v>
      </c>
      <c r="AG972" s="200">
        <f t="shared" si="4937"/>
        <v>0</v>
      </c>
      <c r="AH972" s="171">
        <f t="shared" si="13"/>
        <v>1</v>
      </c>
      <c r="AI972" s="200">
        <f t="shared" si="14"/>
        <v>0</v>
      </c>
      <c r="AJ972" s="200">
        <f t="shared" si="4907"/>
        <v>0</v>
      </c>
      <c r="AK972" s="201">
        <f t="shared" ref="AK972:AS972" si="4938">countif($D972,"*"&amp;AK$2&amp;"*")</f>
        <v>0</v>
      </c>
      <c r="AL972" s="201">
        <f t="shared" si="4938"/>
        <v>0</v>
      </c>
      <c r="AM972" s="201">
        <f t="shared" si="4938"/>
        <v>0</v>
      </c>
      <c r="AN972" s="201">
        <f t="shared" si="4938"/>
        <v>0</v>
      </c>
      <c r="AO972" s="201">
        <f t="shared" si="4938"/>
        <v>0</v>
      </c>
      <c r="AP972" s="201">
        <f t="shared" si="4938"/>
        <v>0</v>
      </c>
      <c r="AQ972" s="201">
        <f t="shared" si="4938"/>
        <v>0</v>
      </c>
      <c r="AR972" s="200">
        <f t="shared" si="4938"/>
        <v>0</v>
      </c>
      <c r="AS972" s="200">
        <f t="shared" si="4938"/>
        <v>0</v>
      </c>
      <c r="AT972" s="173">
        <v>0.0</v>
      </c>
      <c r="AU972" s="200">
        <f t="shared" ref="AU972:AX972" si="4939">countif($D972,"*"&amp;AU$2&amp;"*")</f>
        <v>0</v>
      </c>
      <c r="AV972" s="200">
        <f t="shared" si="4939"/>
        <v>0</v>
      </c>
      <c r="AW972" s="200">
        <f t="shared" si="4939"/>
        <v>0</v>
      </c>
      <c r="AX972" s="200">
        <f t="shared" si="4939"/>
        <v>0</v>
      </c>
      <c r="AY972" s="202">
        <v>0.0</v>
      </c>
      <c r="AZ972" s="200"/>
      <c r="BA972" s="171" t="str">
        <f t="shared" si="18"/>
        <v/>
      </c>
      <c r="BB972" s="171" t="str">
        <f t="shared" si="19"/>
        <v/>
      </c>
      <c r="BC972" s="171" t="str">
        <f t="shared" si="20"/>
        <v/>
      </c>
      <c r="BD972" s="171" t="str">
        <f t="shared" si="21"/>
        <v/>
      </c>
      <c r="BE972" s="171" t="str">
        <f t="shared" si="22"/>
        <v>Others</v>
      </c>
      <c r="BF972" s="171" t="str">
        <f t="shared" si="23"/>
        <v>Others</v>
      </c>
    </row>
    <row r="973">
      <c r="A973" s="171">
        <f t="array" ref="A973">XLOOKUP(C973,ICSE!A:A,ICSE!C:C,,2,1)</f>
        <v>2014</v>
      </c>
      <c r="B973" s="171" t="s">
        <v>5675</v>
      </c>
      <c r="C973" s="160">
        <v>1939.0</v>
      </c>
      <c r="D973" s="161" t="s">
        <v>6078</v>
      </c>
      <c r="E973" s="197" t="str">
        <f t="array" ref="E973">XLOOKUP(C973,ICSE!A:A,ICSE!Z:Z,,0,1)</f>
        <v>Not available (1) - Broken link.
Restrict access (1) - You need permission to access,
Publicly available (1)</v>
      </c>
      <c r="F973" s="198" t="s">
        <v>22</v>
      </c>
      <c r="G973" s="163" t="str">
        <f t="array" ref="G973">IF(B973="ICSE",IF(COUNTIFS(B:B,B973,C:C,C973)=XLOOKUP(C973,ICSE!A:A,ICSE!AA:AA,"ERROR",0,1),"OK","ERROR"),IF(B973="FSE",IF(COUNTIFS(B:B,B973,C:C,C973)=XLOOKUP(C973,FSE!A:A,FSE!AA:AA,"ERROR",0,1),"OK","ERROR")))</f>
        <v>OK</v>
      </c>
      <c r="H973" s="199">
        <f t="shared" ref="H973:O973" si="4940">countif($D973,"*"&amp;H$2&amp;"*")</f>
        <v>0</v>
      </c>
      <c r="I973" s="200">
        <f t="shared" si="4940"/>
        <v>0</v>
      </c>
      <c r="J973" s="200">
        <f t="shared" si="4940"/>
        <v>0</v>
      </c>
      <c r="K973" s="200">
        <f t="shared" si="4940"/>
        <v>0</v>
      </c>
      <c r="L973" s="200">
        <f t="shared" si="4940"/>
        <v>0</v>
      </c>
      <c r="M973" s="200">
        <f t="shared" si="4940"/>
        <v>0</v>
      </c>
      <c r="N973" s="200">
        <f t="shared" si="4940"/>
        <v>0</v>
      </c>
      <c r="O973" s="200">
        <f t="shared" si="4940"/>
        <v>0</v>
      </c>
      <c r="P973" s="200">
        <f t="shared" si="9"/>
        <v>0</v>
      </c>
      <c r="Q973" s="200">
        <f t="shared" ref="Q973:AC973" si="4941">countif($D973,"*"&amp;Q$2&amp;"*")</f>
        <v>0</v>
      </c>
      <c r="R973" s="200">
        <f t="shared" si="4941"/>
        <v>0</v>
      </c>
      <c r="S973" s="200">
        <f t="shared" si="4941"/>
        <v>0</v>
      </c>
      <c r="T973" s="200">
        <f t="shared" si="4941"/>
        <v>0</v>
      </c>
      <c r="U973" s="200">
        <f t="shared" si="4941"/>
        <v>0</v>
      </c>
      <c r="V973" s="200">
        <f t="shared" si="4941"/>
        <v>0</v>
      </c>
      <c r="W973" s="200">
        <f t="shared" si="4941"/>
        <v>0</v>
      </c>
      <c r="X973" s="200">
        <f t="shared" si="4941"/>
        <v>0</v>
      </c>
      <c r="Y973" s="200">
        <f t="shared" si="4941"/>
        <v>0</v>
      </c>
      <c r="Z973" s="200">
        <f t="shared" si="4941"/>
        <v>0</v>
      </c>
      <c r="AA973" s="200">
        <f t="shared" si="4941"/>
        <v>0</v>
      </c>
      <c r="AB973" s="200">
        <f t="shared" si="4941"/>
        <v>0</v>
      </c>
      <c r="AC973" s="200">
        <f t="shared" si="4941"/>
        <v>0</v>
      </c>
      <c r="AD973" s="200">
        <f t="shared" si="11"/>
        <v>0</v>
      </c>
      <c r="AE973" s="200">
        <f t="shared" ref="AE973:AG973" si="4942">countif($D973,"*"&amp;AE$2&amp;"*")</f>
        <v>0</v>
      </c>
      <c r="AF973" s="200">
        <f t="shared" si="4942"/>
        <v>0</v>
      </c>
      <c r="AG973" s="200">
        <f t="shared" si="4942"/>
        <v>0</v>
      </c>
      <c r="AH973" s="171">
        <f t="shared" si="13"/>
        <v>1</v>
      </c>
      <c r="AI973" s="200">
        <f t="shared" si="14"/>
        <v>0</v>
      </c>
      <c r="AJ973" s="200">
        <f t="shared" si="4907"/>
        <v>1</v>
      </c>
      <c r="AK973" s="201">
        <f t="shared" ref="AK973:AS973" si="4943">countif($D973,"*"&amp;AK$2&amp;"*")</f>
        <v>0</v>
      </c>
      <c r="AL973" s="201">
        <f t="shared" si="4943"/>
        <v>0</v>
      </c>
      <c r="AM973" s="201">
        <f t="shared" si="4943"/>
        <v>1</v>
      </c>
      <c r="AN973" s="201">
        <f t="shared" si="4943"/>
        <v>0</v>
      </c>
      <c r="AO973" s="201">
        <f t="shared" si="4943"/>
        <v>0</v>
      </c>
      <c r="AP973" s="201">
        <f t="shared" si="4943"/>
        <v>0</v>
      </c>
      <c r="AQ973" s="201">
        <f t="shared" si="4943"/>
        <v>0</v>
      </c>
      <c r="AR973" s="200">
        <f t="shared" si="4943"/>
        <v>0</v>
      </c>
      <c r="AS973" s="200">
        <f t="shared" si="4943"/>
        <v>1</v>
      </c>
      <c r="AT973" s="173">
        <v>0.0</v>
      </c>
      <c r="AU973" s="200">
        <f t="shared" ref="AU973:AX973" si="4944">countif($D973,"*"&amp;AU$2&amp;"*")</f>
        <v>0</v>
      </c>
      <c r="AV973" s="200">
        <f t="shared" si="4944"/>
        <v>0</v>
      </c>
      <c r="AW973" s="200">
        <f t="shared" si="4944"/>
        <v>0</v>
      </c>
      <c r="AX973" s="200">
        <f t="shared" si="4944"/>
        <v>0</v>
      </c>
      <c r="AY973" s="202">
        <v>0.0</v>
      </c>
      <c r="AZ973" s="200"/>
      <c r="BA973" s="171" t="str">
        <f t="shared" si="18"/>
        <v/>
      </c>
      <c r="BB973" s="171" t="str">
        <f t="shared" si="19"/>
        <v/>
      </c>
      <c r="BC973" s="171" t="str">
        <f t="shared" si="20"/>
        <v/>
      </c>
      <c r="BD973" s="171" t="str">
        <f t="shared" si="21"/>
        <v/>
      </c>
      <c r="BE973" s="171" t="str">
        <f t="shared" si="22"/>
        <v>Others</v>
      </c>
      <c r="BF973" s="171" t="str">
        <f t="shared" si="23"/>
        <v>Others</v>
      </c>
    </row>
    <row r="974">
      <c r="A974" s="171">
        <f t="array" ref="A974">XLOOKUP(C974,ICSE!A:A,ICSE!C:C,,2,1)</f>
        <v>2014</v>
      </c>
      <c r="B974" s="171" t="s">
        <v>5675</v>
      </c>
      <c r="C974" s="160">
        <v>1939.0</v>
      </c>
      <c r="D974" s="161" t="s">
        <v>6079</v>
      </c>
      <c r="E974" s="197" t="str">
        <f t="array" ref="E974">XLOOKUP(C974,ICSE!A:A,ICSE!Z:Z,,0,1)</f>
        <v>Not available (1) - Broken link.
Restrict access (1) - You need permission to access,
Publicly available (1)</v>
      </c>
      <c r="F974" s="198" t="s">
        <v>20</v>
      </c>
      <c r="G974" s="163" t="str">
        <f t="array" ref="G974">IF(B974="ICSE",IF(COUNTIFS(B:B,B974,C:C,C974)=XLOOKUP(C974,ICSE!A:A,ICSE!AA:AA,"ERROR",0,1),"OK","ERROR"),IF(B974="FSE",IF(COUNTIFS(B:B,B974,C:C,C974)=XLOOKUP(C974,FSE!A:A,FSE!AA:AA,"ERROR",0,1),"OK","ERROR")))</f>
        <v>OK</v>
      </c>
      <c r="H974" s="199">
        <f t="shared" ref="H974:O974" si="4945">countif($D974,"*"&amp;H$2&amp;"*")</f>
        <v>0</v>
      </c>
      <c r="I974" s="200">
        <f t="shared" si="4945"/>
        <v>0</v>
      </c>
      <c r="J974" s="200">
        <f t="shared" si="4945"/>
        <v>0</v>
      </c>
      <c r="K974" s="200">
        <f t="shared" si="4945"/>
        <v>0</v>
      </c>
      <c r="L974" s="200">
        <f t="shared" si="4945"/>
        <v>0</v>
      </c>
      <c r="M974" s="200">
        <f t="shared" si="4945"/>
        <v>0</v>
      </c>
      <c r="N974" s="200">
        <f t="shared" si="4945"/>
        <v>0</v>
      </c>
      <c r="O974" s="200">
        <f t="shared" si="4945"/>
        <v>0</v>
      </c>
      <c r="P974" s="200">
        <f t="shared" si="9"/>
        <v>1</v>
      </c>
      <c r="Q974" s="200">
        <f t="shared" ref="Q974:AC974" si="4946">countif($D974,"*"&amp;Q$2&amp;"*")</f>
        <v>0</v>
      </c>
      <c r="R974" s="200">
        <f t="shared" si="4946"/>
        <v>0</v>
      </c>
      <c r="S974" s="200">
        <f t="shared" si="4946"/>
        <v>0</v>
      </c>
      <c r="T974" s="200">
        <f t="shared" si="4946"/>
        <v>0</v>
      </c>
      <c r="U974" s="200">
        <f t="shared" si="4946"/>
        <v>0</v>
      </c>
      <c r="V974" s="200">
        <f t="shared" si="4946"/>
        <v>0</v>
      </c>
      <c r="W974" s="200">
        <f t="shared" si="4946"/>
        <v>0</v>
      </c>
      <c r="X974" s="200">
        <f t="shared" si="4946"/>
        <v>0</v>
      </c>
      <c r="Y974" s="200">
        <f t="shared" si="4946"/>
        <v>0</v>
      </c>
      <c r="Z974" s="200">
        <f t="shared" si="4946"/>
        <v>0</v>
      </c>
      <c r="AA974" s="200">
        <f t="shared" si="4946"/>
        <v>0</v>
      </c>
      <c r="AB974" s="200">
        <f t="shared" si="4946"/>
        <v>0</v>
      </c>
      <c r="AC974" s="200">
        <f t="shared" si="4946"/>
        <v>0</v>
      </c>
      <c r="AD974" s="200">
        <f t="shared" si="11"/>
        <v>0</v>
      </c>
      <c r="AE974" s="200">
        <f t="shared" ref="AE974:AG974" si="4947">countif($D974,"*"&amp;AE$2&amp;"*")</f>
        <v>0</v>
      </c>
      <c r="AF974" s="200">
        <f t="shared" si="4947"/>
        <v>0</v>
      </c>
      <c r="AG974" s="200">
        <f t="shared" si="4947"/>
        <v>0</v>
      </c>
      <c r="AH974" s="171">
        <f t="shared" si="13"/>
        <v>0</v>
      </c>
      <c r="AI974" s="200">
        <f t="shared" si="14"/>
        <v>0</v>
      </c>
      <c r="AJ974" s="200">
        <f t="shared" si="4907"/>
        <v>0</v>
      </c>
      <c r="AK974" s="201">
        <f t="shared" ref="AK974:AS974" si="4948">countif($D974,"*"&amp;AK$2&amp;"*")</f>
        <v>0</v>
      </c>
      <c r="AL974" s="201">
        <f t="shared" si="4948"/>
        <v>0</v>
      </c>
      <c r="AM974" s="201">
        <f t="shared" si="4948"/>
        <v>0</v>
      </c>
      <c r="AN974" s="201">
        <f t="shared" si="4948"/>
        <v>0</v>
      </c>
      <c r="AO974" s="201">
        <f t="shared" si="4948"/>
        <v>0</v>
      </c>
      <c r="AP974" s="201">
        <f t="shared" si="4948"/>
        <v>0</v>
      </c>
      <c r="AQ974" s="201">
        <f t="shared" si="4948"/>
        <v>0</v>
      </c>
      <c r="AR974" s="200">
        <f t="shared" si="4948"/>
        <v>0</v>
      </c>
      <c r="AS974" s="200">
        <f t="shared" si="4948"/>
        <v>0</v>
      </c>
      <c r="AT974" s="173">
        <v>0.0</v>
      </c>
      <c r="AU974" s="200">
        <f t="shared" ref="AU974:AX974" si="4949">countif($D974,"*"&amp;AU$2&amp;"*")</f>
        <v>0</v>
      </c>
      <c r="AV974" s="200">
        <f t="shared" si="4949"/>
        <v>1</v>
      </c>
      <c r="AW974" s="200">
        <f t="shared" si="4949"/>
        <v>0</v>
      </c>
      <c r="AX974" s="200">
        <f t="shared" si="4949"/>
        <v>0</v>
      </c>
      <c r="AY974" s="202">
        <v>0.0</v>
      </c>
      <c r="AZ974" s="200"/>
      <c r="BA974" s="171" t="str">
        <f t="shared" si="18"/>
        <v/>
      </c>
      <c r="BB974" s="171" t="str">
        <f t="shared" si="19"/>
        <v>Code</v>
      </c>
      <c r="BC974" s="171" t="str">
        <f t="shared" si="20"/>
        <v/>
      </c>
      <c r="BD974" s="171" t="str">
        <f t="shared" si="21"/>
        <v/>
      </c>
      <c r="BE974" s="171" t="str">
        <f t="shared" si="22"/>
        <v/>
      </c>
      <c r="BF974" s="171" t="str">
        <f t="shared" si="23"/>
        <v>Code</v>
      </c>
    </row>
    <row r="975">
      <c r="A975" s="171">
        <f t="array" ref="A975">XLOOKUP(C975,ICSE!A:A,ICSE!C:C,,2,1)</f>
        <v>2014</v>
      </c>
      <c r="B975" s="171" t="s">
        <v>5675</v>
      </c>
      <c r="C975" s="160">
        <v>1939.0</v>
      </c>
      <c r="D975" s="161" t="s">
        <v>6080</v>
      </c>
      <c r="E975" s="197" t="str">
        <f t="array" ref="E975">XLOOKUP(C975,ICSE!A:A,ICSE!Z:Z,,0,1)</f>
        <v>Not available (1) - Broken link.
Restrict access (1) - You need permission to access,
Publicly available (1)</v>
      </c>
      <c r="F975" s="198" t="s">
        <v>21</v>
      </c>
      <c r="G975" s="163" t="str">
        <f t="array" ref="G975">IF(B975="ICSE",IF(COUNTIFS(B:B,B975,C:C,C975)=XLOOKUP(C975,ICSE!A:A,ICSE!AA:AA,"ERROR",0,1),"OK","ERROR"),IF(B975="FSE",IF(COUNTIFS(B:B,B975,C:C,C975)=XLOOKUP(C975,FSE!A:A,FSE!AA:AA,"ERROR",0,1),"OK","ERROR")))</f>
        <v>OK</v>
      </c>
      <c r="H975" s="199">
        <f t="shared" ref="H975:O975" si="4950">countif($D975,"*"&amp;H$2&amp;"*")</f>
        <v>0</v>
      </c>
      <c r="I975" s="200">
        <f t="shared" si="4950"/>
        <v>0</v>
      </c>
      <c r="J975" s="200">
        <f t="shared" si="4950"/>
        <v>0</v>
      </c>
      <c r="K975" s="200">
        <f t="shared" si="4950"/>
        <v>0</v>
      </c>
      <c r="L975" s="200">
        <f t="shared" si="4950"/>
        <v>0</v>
      </c>
      <c r="M975" s="200">
        <f t="shared" si="4950"/>
        <v>0</v>
      </c>
      <c r="N975" s="200">
        <f t="shared" si="4950"/>
        <v>0</v>
      </c>
      <c r="O975" s="200">
        <f t="shared" si="4950"/>
        <v>0</v>
      </c>
      <c r="P975" s="200">
        <f t="shared" si="9"/>
        <v>0</v>
      </c>
      <c r="Q975" s="200">
        <f t="shared" ref="Q975:AC975" si="4951">countif($D975,"*"&amp;Q$2&amp;"*")</f>
        <v>0</v>
      </c>
      <c r="R975" s="200">
        <f t="shared" si="4951"/>
        <v>0</v>
      </c>
      <c r="S975" s="200">
        <f t="shared" si="4951"/>
        <v>0</v>
      </c>
      <c r="T975" s="200">
        <f t="shared" si="4951"/>
        <v>0</v>
      </c>
      <c r="U975" s="200">
        <f t="shared" si="4951"/>
        <v>0</v>
      </c>
      <c r="V975" s="200">
        <f t="shared" si="4951"/>
        <v>0</v>
      </c>
      <c r="W975" s="200">
        <f t="shared" si="4951"/>
        <v>0</v>
      </c>
      <c r="X975" s="200">
        <f t="shared" si="4951"/>
        <v>0</v>
      </c>
      <c r="Y975" s="200">
        <f t="shared" si="4951"/>
        <v>0</v>
      </c>
      <c r="Z975" s="200">
        <f t="shared" si="4951"/>
        <v>0</v>
      </c>
      <c r="AA975" s="200">
        <f t="shared" si="4951"/>
        <v>1</v>
      </c>
      <c r="AB975" s="200">
        <f t="shared" si="4951"/>
        <v>0</v>
      </c>
      <c r="AC975" s="200">
        <f t="shared" si="4951"/>
        <v>0</v>
      </c>
      <c r="AD975" s="200">
        <f t="shared" si="11"/>
        <v>0</v>
      </c>
      <c r="AE975" s="200">
        <f t="shared" ref="AE975:AG975" si="4952">countif($D975,"*"&amp;AE$2&amp;"*")</f>
        <v>0</v>
      </c>
      <c r="AF975" s="200">
        <f t="shared" si="4952"/>
        <v>0</v>
      </c>
      <c r="AG975" s="200">
        <f t="shared" si="4952"/>
        <v>0</v>
      </c>
      <c r="AH975" s="171">
        <f t="shared" si="13"/>
        <v>0</v>
      </c>
      <c r="AI975" s="200">
        <f t="shared" si="14"/>
        <v>0</v>
      </c>
      <c r="AJ975" s="200">
        <f t="shared" si="4907"/>
        <v>0</v>
      </c>
      <c r="AK975" s="201">
        <f t="shared" ref="AK975:AS975" si="4953">countif($D975,"*"&amp;AK$2&amp;"*")</f>
        <v>0</v>
      </c>
      <c r="AL975" s="201">
        <f t="shared" si="4953"/>
        <v>0</v>
      </c>
      <c r="AM975" s="201">
        <f t="shared" si="4953"/>
        <v>0</v>
      </c>
      <c r="AN975" s="201">
        <f t="shared" si="4953"/>
        <v>0</v>
      </c>
      <c r="AO975" s="201">
        <f t="shared" si="4953"/>
        <v>0</v>
      </c>
      <c r="AP975" s="201">
        <f t="shared" si="4953"/>
        <v>0</v>
      </c>
      <c r="AQ975" s="201">
        <f t="shared" si="4953"/>
        <v>0</v>
      </c>
      <c r="AR975" s="200">
        <f t="shared" si="4953"/>
        <v>0</v>
      </c>
      <c r="AS975" s="200">
        <f t="shared" si="4953"/>
        <v>0</v>
      </c>
      <c r="AT975" s="173">
        <v>0.0</v>
      </c>
      <c r="AU975" s="200">
        <f t="shared" ref="AU975:AX975" si="4954">countif($D975,"*"&amp;AU$2&amp;"*")</f>
        <v>0</v>
      </c>
      <c r="AV975" s="200">
        <f t="shared" si="4954"/>
        <v>0</v>
      </c>
      <c r="AW975" s="200">
        <f t="shared" si="4954"/>
        <v>0</v>
      </c>
      <c r="AX975" s="200">
        <f t="shared" si="4954"/>
        <v>0</v>
      </c>
      <c r="AY975" s="202">
        <v>0.0</v>
      </c>
      <c r="AZ975" s="200"/>
      <c r="BA975" s="171" t="str">
        <f t="shared" si="18"/>
        <v/>
      </c>
      <c r="BB975" s="171" t="str">
        <f t="shared" si="19"/>
        <v/>
      </c>
      <c r="BC975" s="171" t="str">
        <f t="shared" si="20"/>
        <v>General-purpose</v>
      </c>
      <c r="BD975" s="171" t="str">
        <f t="shared" si="21"/>
        <v/>
      </c>
      <c r="BE975" s="171" t="str">
        <f t="shared" si="22"/>
        <v/>
      </c>
      <c r="BF975" s="171" t="str">
        <f t="shared" si="23"/>
        <v>General-purpose</v>
      </c>
    </row>
    <row r="976">
      <c r="A976" s="171">
        <f t="array" ref="A976">XLOOKUP(C976,ICSE!A:A,ICSE!C:C,,2,1)</f>
        <v>2014</v>
      </c>
      <c r="B976" s="171" t="s">
        <v>5675</v>
      </c>
      <c r="C976" s="160">
        <v>1940.0</v>
      </c>
      <c r="D976" s="212" t="s">
        <v>279</v>
      </c>
      <c r="E976" s="197" t="str">
        <f t="array" ref="E976">XLOOKUP(C976,ICSE!A:A,ICSE!Z:Z,,0,1)</f>
        <v>Publicly available (1)</v>
      </c>
      <c r="F976" s="198" t="s">
        <v>20</v>
      </c>
      <c r="G976" s="163" t="str">
        <f t="array" ref="G976">IF(B976="ICSE",IF(COUNTIFS(B:B,B976,C:C,C976)=XLOOKUP(C976,ICSE!A:A,ICSE!AA:AA,"ERROR",0,1),"OK","ERROR"),IF(B976="FSE",IF(COUNTIFS(B:B,B976,C:C,C976)=XLOOKUP(C976,FSE!A:A,FSE!AA:AA,"ERROR",0,1),"OK","ERROR")))</f>
        <v>OK</v>
      </c>
      <c r="H976" s="199">
        <f t="shared" ref="H976:O976" si="4955">countif($D976,"*"&amp;H$2&amp;"*")</f>
        <v>0</v>
      </c>
      <c r="I976" s="200">
        <f t="shared" si="4955"/>
        <v>0</v>
      </c>
      <c r="J976" s="200">
        <f t="shared" si="4955"/>
        <v>0</v>
      </c>
      <c r="K976" s="200">
        <f t="shared" si="4955"/>
        <v>0</v>
      </c>
      <c r="L976" s="200">
        <f t="shared" si="4955"/>
        <v>0</v>
      </c>
      <c r="M976" s="200">
        <f t="shared" si="4955"/>
        <v>0</v>
      </c>
      <c r="N976" s="200">
        <f t="shared" si="4955"/>
        <v>0</v>
      </c>
      <c r="O976" s="200">
        <f t="shared" si="4955"/>
        <v>0</v>
      </c>
      <c r="P976" s="200">
        <f t="shared" si="9"/>
        <v>0</v>
      </c>
      <c r="Q976" s="200">
        <f t="shared" ref="Q976:AC976" si="4956">countif($D976,"*"&amp;Q$2&amp;"*")</f>
        <v>0</v>
      </c>
      <c r="R976" s="200">
        <f t="shared" si="4956"/>
        <v>0</v>
      </c>
      <c r="S976" s="200">
        <f t="shared" si="4956"/>
        <v>0</v>
      </c>
      <c r="T976" s="200">
        <f t="shared" si="4956"/>
        <v>0</v>
      </c>
      <c r="U976" s="200">
        <f t="shared" si="4956"/>
        <v>0</v>
      </c>
      <c r="V976" s="200">
        <f t="shared" si="4956"/>
        <v>0</v>
      </c>
      <c r="W976" s="200">
        <f t="shared" si="4956"/>
        <v>0</v>
      </c>
      <c r="X976" s="200">
        <f t="shared" si="4956"/>
        <v>0</v>
      </c>
      <c r="Y976" s="200">
        <f t="shared" si="4956"/>
        <v>0</v>
      </c>
      <c r="Z976" s="200">
        <f t="shared" si="4956"/>
        <v>0</v>
      </c>
      <c r="AA976" s="200">
        <f t="shared" si="4956"/>
        <v>0</v>
      </c>
      <c r="AB976" s="200">
        <f t="shared" si="4956"/>
        <v>0</v>
      </c>
      <c r="AC976" s="200">
        <f t="shared" si="4956"/>
        <v>0</v>
      </c>
      <c r="AD976" s="200">
        <f t="shared" si="11"/>
        <v>0</v>
      </c>
      <c r="AE976" s="200">
        <f t="shared" ref="AE976:AG976" si="4957">countif($D976,"*"&amp;AE$2&amp;"*")</f>
        <v>0</v>
      </c>
      <c r="AF976" s="200">
        <f t="shared" si="4957"/>
        <v>0</v>
      </c>
      <c r="AG976" s="200">
        <f t="shared" si="4957"/>
        <v>0</v>
      </c>
      <c r="AH976" s="171">
        <f t="shared" si="13"/>
        <v>1</v>
      </c>
      <c r="AI976" s="200">
        <f t="shared" si="14"/>
        <v>0</v>
      </c>
      <c r="AJ976" s="200">
        <f t="shared" si="4907"/>
        <v>0</v>
      </c>
      <c r="AK976" s="201">
        <f t="shared" ref="AK976:AS976" si="4958">countif($D976,"*"&amp;AK$2&amp;"*")</f>
        <v>0</v>
      </c>
      <c r="AL976" s="201">
        <f t="shared" si="4958"/>
        <v>0</v>
      </c>
      <c r="AM976" s="201">
        <f t="shared" si="4958"/>
        <v>0</v>
      </c>
      <c r="AN976" s="201">
        <f t="shared" si="4958"/>
        <v>0</v>
      </c>
      <c r="AO976" s="201">
        <f t="shared" si="4958"/>
        <v>0</v>
      </c>
      <c r="AP976" s="201">
        <f t="shared" si="4958"/>
        <v>0</v>
      </c>
      <c r="AQ976" s="201">
        <f t="shared" si="4958"/>
        <v>0</v>
      </c>
      <c r="AR976" s="200">
        <f t="shared" si="4958"/>
        <v>0</v>
      </c>
      <c r="AS976" s="200">
        <f t="shared" si="4958"/>
        <v>0</v>
      </c>
      <c r="AT976" s="173">
        <v>0.0</v>
      </c>
      <c r="AU976" s="200">
        <f t="shared" ref="AU976:AX976" si="4959">countif($D976,"*"&amp;AU$2&amp;"*")</f>
        <v>0</v>
      </c>
      <c r="AV976" s="200">
        <f t="shared" si="4959"/>
        <v>0</v>
      </c>
      <c r="AW976" s="200">
        <f t="shared" si="4959"/>
        <v>0</v>
      </c>
      <c r="AX976" s="200">
        <f t="shared" si="4959"/>
        <v>0</v>
      </c>
      <c r="AY976" s="202">
        <v>0.0</v>
      </c>
      <c r="AZ976" s="200"/>
      <c r="BA976" s="171" t="str">
        <f t="shared" si="18"/>
        <v/>
      </c>
      <c r="BB976" s="171" t="str">
        <f t="shared" si="19"/>
        <v/>
      </c>
      <c r="BC976" s="171" t="str">
        <f t="shared" si="20"/>
        <v/>
      </c>
      <c r="BD976" s="171" t="str">
        <f t="shared" si="21"/>
        <v/>
      </c>
      <c r="BE976" s="171" t="str">
        <f t="shared" si="22"/>
        <v>Others</v>
      </c>
      <c r="BF976" s="171" t="str">
        <f t="shared" si="23"/>
        <v>Others</v>
      </c>
    </row>
    <row r="977">
      <c r="A977" s="171">
        <f t="array" ref="A977">XLOOKUP(C977,ICSE!A:A,ICSE!C:C,,2,1)</f>
        <v>2014</v>
      </c>
      <c r="B977" s="171" t="s">
        <v>5675</v>
      </c>
      <c r="C977" s="160">
        <v>1941.0</v>
      </c>
      <c r="D977" s="161" t="s">
        <v>6081</v>
      </c>
      <c r="E977" s="197" t="str">
        <f t="array" ref="E977">XLOOKUP(C977,ICSE!A:A,ICSE!Z:Z,,0,1)</f>
        <v>Not available (2) - Broken link.</v>
      </c>
      <c r="F977" s="198" t="s">
        <v>21</v>
      </c>
      <c r="G977" s="163" t="str">
        <f t="array" ref="G977">IF(B977="ICSE",IF(COUNTIFS(B:B,B977,C:C,C977)=XLOOKUP(C977,ICSE!A:A,ICSE!AA:AA,"ERROR",0,1),"OK","ERROR"),IF(B977="FSE",IF(COUNTIFS(B:B,B977,C:C,C977)=XLOOKUP(C977,FSE!A:A,FSE!AA:AA,"ERROR",0,1),"OK","ERROR")))</f>
        <v>OK</v>
      </c>
      <c r="H977" s="199">
        <f t="shared" ref="H977:O977" si="4960">countif($D977,"*"&amp;H$2&amp;"*")</f>
        <v>0</v>
      </c>
      <c r="I977" s="200">
        <f t="shared" si="4960"/>
        <v>0</v>
      </c>
      <c r="J977" s="200">
        <f t="shared" si="4960"/>
        <v>0</v>
      </c>
      <c r="K977" s="200">
        <f t="shared" si="4960"/>
        <v>0</v>
      </c>
      <c r="L977" s="200">
        <f t="shared" si="4960"/>
        <v>0</v>
      </c>
      <c r="M977" s="200">
        <f t="shared" si="4960"/>
        <v>0</v>
      </c>
      <c r="N977" s="200">
        <f t="shared" si="4960"/>
        <v>0</v>
      </c>
      <c r="O977" s="200">
        <f t="shared" si="4960"/>
        <v>0</v>
      </c>
      <c r="P977" s="200">
        <f t="shared" si="9"/>
        <v>0</v>
      </c>
      <c r="Q977" s="200">
        <f t="shared" ref="Q977:AC977" si="4961">countif($D977,"*"&amp;Q$2&amp;"*")</f>
        <v>0</v>
      </c>
      <c r="R977" s="200">
        <f t="shared" si="4961"/>
        <v>0</v>
      </c>
      <c r="S977" s="200">
        <f t="shared" si="4961"/>
        <v>0</v>
      </c>
      <c r="T977" s="200">
        <f t="shared" si="4961"/>
        <v>0</v>
      </c>
      <c r="U977" s="200">
        <f t="shared" si="4961"/>
        <v>0</v>
      </c>
      <c r="V977" s="200">
        <f t="shared" si="4961"/>
        <v>0</v>
      </c>
      <c r="W977" s="200">
        <f t="shared" si="4961"/>
        <v>0</v>
      </c>
      <c r="X977" s="200">
        <f t="shared" si="4961"/>
        <v>0</v>
      </c>
      <c r="Y977" s="200">
        <f t="shared" si="4961"/>
        <v>0</v>
      </c>
      <c r="Z977" s="200">
        <f t="shared" si="4961"/>
        <v>0</v>
      </c>
      <c r="AA977" s="200">
        <f t="shared" si="4961"/>
        <v>0</v>
      </c>
      <c r="AB977" s="200">
        <f t="shared" si="4961"/>
        <v>0</v>
      </c>
      <c r="AC977" s="200">
        <f t="shared" si="4961"/>
        <v>0</v>
      </c>
      <c r="AD977" s="200">
        <f t="shared" si="11"/>
        <v>0</v>
      </c>
      <c r="AE977" s="200">
        <f t="shared" ref="AE977:AG977" si="4962">countif($D977,"*"&amp;AE$2&amp;"*")</f>
        <v>0</v>
      </c>
      <c r="AF977" s="200">
        <f t="shared" si="4962"/>
        <v>0</v>
      </c>
      <c r="AG977" s="200">
        <f t="shared" si="4962"/>
        <v>0</v>
      </c>
      <c r="AH977" s="171">
        <f t="shared" si="13"/>
        <v>1</v>
      </c>
      <c r="AI977" s="200">
        <f t="shared" si="14"/>
        <v>0</v>
      </c>
      <c r="AJ977" s="200">
        <f t="shared" si="4907"/>
        <v>0</v>
      </c>
      <c r="AK977" s="201">
        <f t="shared" ref="AK977:AS977" si="4963">countif($D977,"*"&amp;AK$2&amp;"*")</f>
        <v>0</v>
      </c>
      <c r="AL977" s="201">
        <f t="shared" si="4963"/>
        <v>0</v>
      </c>
      <c r="AM977" s="201">
        <f t="shared" si="4963"/>
        <v>0</v>
      </c>
      <c r="AN977" s="201">
        <f t="shared" si="4963"/>
        <v>0</v>
      </c>
      <c r="AO977" s="201">
        <f t="shared" si="4963"/>
        <v>0</v>
      </c>
      <c r="AP977" s="201">
        <f t="shared" si="4963"/>
        <v>0</v>
      </c>
      <c r="AQ977" s="201">
        <f t="shared" si="4963"/>
        <v>0</v>
      </c>
      <c r="AR977" s="200">
        <f t="shared" si="4963"/>
        <v>0</v>
      </c>
      <c r="AS977" s="200">
        <f t="shared" si="4963"/>
        <v>0</v>
      </c>
      <c r="AT977" s="173">
        <v>0.0</v>
      </c>
      <c r="AU977" s="200">
        <f t="shared" ref="AU977:AX977" si="4964">countif($D977,"*"&amp;AU$2&amp;"*")</f>
        <v>0</v>
      </c>
      <c r="AV977" s="200">
        <f t="shared" si="4964"/>
        <v>0</v>
      </c>
      <c r="AW977" s="200">
        <f t="shared" si="4964"/>
        <v>0</v>
      </c>
      <c r="AX977" s="200">
        <f t="shared" si="4964"/>
        <v>0</v>
      </c>
      <c r="AY977" s="202">
        <v>0.0</v>
      </c>
      <c r="AZ977" s="200"/>
      <c r="BA977" s="171" t="str">
        <f t="shared" si="18"/>
        <v/>
      </c>
      <c r="BB977" s="171" t="str">
        <f t="shared" si="19"/>
        <v/>
      </c>
      <c r="BC977" s="171" t="str">
        <f t="shared" si="20"/>
        <v/>
      </c>
      <c r="BD977" s="171" t="str">
        <f t="shared" si="21"/>
        <v/>
      </c>
      <c r="BE977" s="171" t="str">
        <f t="shared" si="22"/>
        <v>Others</v>
      </c>
      <c r="BF977" s="171" t="str">
        <f t="shared" si="23"/>
        <v>Others</v>
      </c>
    </row>
    <row r="978">
      <c r="A978" s="171">
        <f t="array" ref="A978">XLOOKUP(C978,ICSE!A:A,ICSE!C:C,,2,1)</f>
        <v>2014</v>
      </c>
      <c r="B978" s="171" t="s">
        <v>5675</v>
      </c>
      <c r="C978" s="160">
        <v>1941.0</v>
      </c>
      <c r="D978" s="161" t="s">
        <v>6082</v>
      </c>
      <c r="E978" s="197" t="str">
        <f t="array" ref="E978">XLOOKUP(C978,ICSE!A:A,ICSE!Z:Z,,0,1)</f>
        <v>Not available (2) - Broken link.</v>
      </c>
      <c r="F978" s="198" t="s">
        <v>21</v>
      </c>
      <c r="G978" s="163" t="str">
        <f t="array" ref="G978">IF(B978="ICSE",IF(COUNTIFS(B:B,B978,C:C,C978)=XLOOKUP(C978,ICSE!A:A,ICSE!AA:AA,"ERROR",0,1),"OK","ERROR"),IF(B978="FSE",IF(COUNTIFS(B:B,B978,C:C,C978)=XLOOKUP(C978,FSE!A:A,FSE!AA:AA,"ERROR",0,1),"OK","ERROR")))</f>
        <v>OK</v>
      </c>
      <c r="H978" s="199">
        <f t="shared" ref="H978:O978" si="4965">countif($D978,"*"&amp;H$2&amp;"*")</f>
        <v>0</v>
      </c>
      <c r="I978" s="200">
        <f t="shared" si="4965"/>
        <v>0</v>
      </c>
      <c r="J978" s="200">
        <f t="shared" si="4965"/>
        <v>0</v>
      </c>
      <c r="K978" s="200">
        <f t="shared" si="4965"/>
        <v>0</v>
      </c>
      <c r="L978" s="200">
        <f t="shared" si="4965"/>
        <v>0</v>
      </c>
      <c r="M978" s="200">
        <f t="shared" si="4965"/>
        <v>0</v>
      </c>
      <c r="N978" s="200">
        <f t="shared" si="4965"/>
        <v>0</v>
      </c>
      <c r="O978" s="200">
        <f t="shared" si="4965"/>
        <v>0</v>
      </c>
      <c r="P978" s="200">
        <f t="shared" si="9"/>
        <v>1</v>
      </c>
      <c r="Q978" s="200">
        <f t="shared" ref="Q978:AC978" si="4966">countif($D978,"*"&amp;Q$2&amp;"*")</f>
        <v>0</v>
      </c>
      <c r="R978" s="200">
        <f t="shared" si="4966"/>
        <v>0</v>
      </c>
      <c r="S978" s="200">
        <f t="shared" si="4966"/>
        <v>0</v>
      </c>
      <c r="T978" s="200">
        <f t="shared" si="4966"/>
        <v>0</v>
      </c>
      <c r="U978" s="200">
        <f t="shared" si="4966"/>
        <v>0</v>
      </c>
      <c r="V978" s="200">
        <f t="shared" si="4966"/>
        <v>0</v>
      </c>
      <c r="W978" s="200">
        <f t="shared" si="4966"/>
        <v>0</v>
      </c>
      <c r="X978" s="200">
        <f t="shared" si="4966"/>
        <v>0</v>
      </c>
      <c r="Y978" s="200">
        <f t="shared" si="4966"/>
        <v>0</v>
      </c>
      <c r="Z978" s="200">
        <f t="shared" si="4966"/>
        <v>0</v>
      </c>
      <c r="AA978" s="200">
        <f t="shared" si="4966"/>
        <v>0</v>
      </c>
      <c r="AB978" s="200">
        <f t="shared" si="4966"/>
        <v>0</v>
      </c>
      <c r="AC978" s="200">
        <f t="shared" si="4966"/>
        <v>0</v>
      </c>
      <c r="AD978" s="200">
        <f t="shared" si="11"/>
        <v>0</v>
      </c>
      <c r="AE978" s="200">
        <f t="shared" ref="AE978:AG978" si="4967">countif($D978,"*"&amp;AE$2&amp;"*")</f>
        <v>0</v>
      </c>
      <c r="AF978" s="200">
        <f t="shared" si="4967"/>
        <v>0</v>
      </c>
      <c r="AG978" s="200">
        <f t="shared" si="4967"/>
        <v>0</v>
      </c>
      <c r="AH978" s="171">
        <f t="shared" si="13"/>
        <v>0</v>
      </c>
      <c r="AI978" s="200">
        <f t="shared" si="14"/>
        <v>0</v>
      </c>
      <c r="AJ978" s="200">
        <f t="shared" si="4907"/>
        <v>0</v>
      </c>
      <c r="AK978" s="201">
        <f t="shared" ref="AK978:AS978" si="4968">countif($D978,"*"&amp;AK$2&amp;"*")</f>
        <v>0</v>
      </c>
      <c r="AL978" s="201">
        <f t="shared" si="4968"/>
        <v>0</v>
      </c>
      <c r="AM978" s="201">
        <f t="shared" si="4968"/>
        <v>0</v>
      </c>
      <c r="AN978" s="201">
        <f t="shared" si="4968"/>
        <v>0</v>
      </c>
      <c r="AO978" s="201">
        <f t="shared" si="4968"/>
        <v>0</v>
      </c>
      <c r="AP978" s="201">
        <f t="shared" si="4968"/>
        <v>0</v>
      </c>
      <c r="AQ978" s="201">
        <f t="shared" si="4968"/>
        <v>0</v>
      </c>
      <c r="AR978" s="200">
        <f t="shared" si="4968"/>
        <v>0</v>
      </c>
      <c r="AS978" s="200">
        <f t="shared" si="4968"/>
        <v>0</v>
      </c>
      <c r="AT978" s="173">
        <v>0.0</v>
      </c>
      <c r="AU978" s="200">
        <f t="shared" ref="AU978:AX978" si="4969">countif($D978,"*"&amp;AU$2&amp;"*")</f>
        <v>0</v>
      </c>
      <c r="AV978" s="200">
        <f t="shared" si="4969"/>
        <v>1</v>
      </c>
      <c r="AW978" s="200">
        <f t="shared" si="4969"/>
        <v>0</v>
      </c>
      <c r="AX978" s="200">
        <f t="shared" si="4969"/>
        <v>0</v>
      </c>
      <c r="AY978" s="202">
        <v>0.0</v>
      </c>
      <c r="AZ978" s="200"/>
      <c r="BA978" s="171" t="str">
        <f t="shared" si="18"/>
        <v/>
      </c>
      <c r="BB978" s="171" t="str">
        <f t="shared" si="19"/>
        <v>Code</v>
      </c>
      <c r="BC978" s="171" t="str">
        <f t="shared" si="20"/>
        <v/>
      </c>
      <c r="BD978" s="171" t="str">
        <f t="shared" si="21"/>
        <v/>
      </c>
      <c r="BE978" s="171" t="str">
        <f t="shared" si="22"/>
        <v/>
      </c>
      <c r="BF978" s="171" t="str">
        <f t="shared" si="23"/>
        <v>Code</v>
      </c>
    </row>
    <row r="979">
      <c r="A979" s="171">
        <f t="array" ref="A979">XLOOKUP(C979,ICSE!A:A,ICSE!C:C,,2,1)</f>
        <v>2014</v>
      </c>
      <c r="B979" s="171" t="s">
        <v>5675</v>
      </c>
      <c r="C979" s="160">
        <v>1942.0</v>
      </c>
      <c r="D979" s="212" t="s">
        <v>287</v>
      </c>
      <c r="E979" s="197" t="str">
        <f t="array" ref="E979">XLOOKUP(C979,ICSE!A:A,ICSE!Z:Z,,0,1)</f>
        <v>Publicly available (1)</v>
      </c>
      <c r="F979" s="198" t="s">
        <v>20</v>
      </c>
      <c r="G979" s="163" t="str">
        <f t="array" ref="G979">IF(B979="ICSE",IF(COUNTIFS(B:B,B979,C:C,C979)=XLOOKUP(C979,ICSE!A:A,ICSE!AA:AA,"ERROR",0,1),"OK","ERROR"),IF(B979="FSE",IF(COUNTIFS(B:B,B979,C:C,C979)=XLOOKUP(C979,FSE!A:A,FSE!AA:AA,"ERROR",0,1),"OK","ERROR")))</f>
        <v>OK</v>
      </c>
      <c r="H979" s="199">
        <f t="shared" ref="H979:O979" si="4970">countif($D979,"*"&amp;H$2&amp;"*")</f>
        <v>0</v>
      </c>
      <c r="I979" s="200">
        <f t="shared" si="4970"/>
        <v>0</v>
      </c>
      <c r="J979" s="200">
        <f t="shared" si="4970"/>
        <v>0</v>
      </c>
      <c r="K979" s="200">
        <f t="shared" si="4970"/>
        <v>0</v>
      </c>
      <c r="L979" s="200">
        <f t="shared" si="4970"/>
        <v>0</v>
      </c>
      <c r="M979" s="200">
        <f t="shared" si="4970"/>
        <v>0</v>
      </c>
      <c r="N979" s="200">
        <f t="shared" si="4970"/>
        <v>0</v>
      </c>
      <c r="O979" s="200">
        <f t="shared" si="4970"/>
        <v>0</v>
      </c>
      <c r="P979" s="200">
        <f t="shared" si="9"/>
        <v>0</v>
      </c>
      <c r="Q979" s="200">
        <f t="shared" ref="Q979:AC979" si="4971">countif($D979,"*"&amp;Q$2&amp;"*")</f>
        <v>0</v>
      </c>
      <c r="R979" s="200">
        <f t="shared" si="4971"/>
        <v>0</v>
      </c>
      <c r="S979" s="200">
        <f t="shared" si="4971"/>
        <v>0</v>
      </c>
      <c r="T979" s="200">
        <f t="shared" si="4971"/>
        <v>0</v>
      </c>
      <c r="U979" s="200">
        <f t="shared" si="4971"/>
        <v>0</v>
      </c>
      <c r="V979" s="200">
        <f t="shared" si="4971"/>
        <v>0</v>
      </c>
      <c r="W979" s="200">
        <f t="shared" si="4971"/>
        <v>0</v>
      </c>
      <c r="X979" s="200">
        <f t="shared" si="4971"/>
        <v>0</v>
      </c>
      <c r="Y979" s="200">
        <f t="shared" si="4971"/>
        <v>0</v>
      </c>
      <c r="Z979" s="200">
        <f t="shared" si="4971"/>
        <v>0</v>
      </c>
      <c r="AA979" s="200">
        <f t="shared" si="4971"/>
        <v>0</v>
      </c>
      <c r="AB979" s="200">
        <f t="shared" si="4971"/>
        <v>1</v>
      </c>
      <c r="AC979" s="200">
        <f t="shared" si="4971"/>
        <v>0</v>
      </c>
      <c r="AD979" s="200">
        <f t="shared" si="11"/>
        <v>0</v>
      </c>
      <c r="AE979" s="200">
        <f t="shared" ref="AE979:AG979" si="4972">countif($D979,"*"&amp;AE$2&amp;"*")</f>
        <v>0</v>
      </c>
      <c r="AF979" s="200">
        <f t="shared" si="4972"/>
        <v>0</v>
      </c>
      <c r="AG979" s="200">
        <f t="shared" si="4972"/>
        <v>0</v>
      </c>
      <c r="AH979" s="171">
        <f t="shared" si="13"/>
        <v>0</v>
      </c>
      <c r="AI979" s="200">
        <f t="shared" si="14"/>
        <v>0</v>
      </c>
      <c r="AJ979" s="200">
        <f t="shared" si="4907"/>
        <v>0</v>
      </c>
      <c r="AK979" s="201">
        <f t="shared" ref="AK979:AS979" si="4973">countif($D979,"*"&amp;AK$2&amp;"*")</f>
        <v>0</v>
      </c>
      <c r="AL979" s="201">
        <f t="shared" si="4973"/>
        <v>0</v>
      </c>
      <c r="AM979" s="201">
        <f t="shared" si="4973"/>
        <v>0</v>
      </c>
      <c r="AN979" s="201">
        <f t="shared" si="4973"/>
        <v>0</v>
      </c>
      <c r="AO979" s="201">
        <f t="shared" si="4973"/>
        <v>0</v>
      </c>
      <c r="AP979" s="201">
        <f t="shared" si="4973"/>
        <v>0</v>
      </c>
      <c r="AQ979" s="201">
        <f t="shared" si="4973"/>
        <v>0</v>
      </c>
      <c r="AR979" s="200">
        <f t="shared" si="4973"/>
        <v>0</v>
      </c>
      <c r="AS979" s="200">
        <f t="shared" si="4973"/>
        <v>0</v>
      </c>
      <c r="AT979" s="173">
        <v>0.0</v>
      </c>
      <c r="AU979" s="200">
        <f t="shared" ref="AU979:AX979" si="4974">countif($D979,"*"&amp;AU$2&amp;"*")</f>
        <v>0</v>
      </c>
      <c r="AV979" s="200">
        <f t="shared" si="4974"/>
        <v>0</v>
      </c>
      <c r="AW979" s="200">
        <f t="shared" si="4974"/>
        <v>0</v>
      </c>
      <c r="AX979" s="200">
        <f t="shared" si="4974"/>
        <v>0</v>
      </c>
      <c r="AY979" s="202">
        <v>0.0</v>
      </c>
      <c r="AZ979" s="200"/>
      <c r="BA979" s="171" t="str">
        <f t="shared" si="18"/>
        <v/>
      </c>
      <c r="BB979" s="171" t="str">
        <f t="shared" si="19"/>
        <v/>
      </c>
      <c r="BC979" s="171" t="str">
        <f t="shared" si="20"/>
        <v>General-purpose</v>
      </c>
      <c r="BD979" s="171" t="str">
        <f t="shared" si="21"/>
        <v/>
      </c>
      <c r="BE979" s="171" t="str">
        <f t="shared" si="22"/>
        <v/>
      </c>
      <c r="BF979" s="171" t="str">
        <f t="shared" si="23"/>
        <v>General-purpose</v>
      </c>
    </row>
    <row r="980">
      <c r="A980" s="171">
        <f t="array" ref="A980">XLOOKUP(C980,ICSE!A:A,ICSE!C:C,,2,1)</f>
        <v>2023</v>
      </c>
      <c r="B980" s="171" t="s">
        <v>5675</v>
      </c>
      <c r="C980" s="160">
        <v>2025.0</v>
      </c>
      <c r="D980" s="212" t="s">
        <v>2793</v>
      </c>
      <c r="E980" s="197" t="str">
        <f t="array" ref="E980">XLOOKUP(C980,ICSE!A:A,ICSE!Z:Z,,0,1)</f>
        <v>Publicly available (1)</v>
      </c>
      <c r="F980" s="198" t="s">
        <v>20</v>
      </c>
      <c r="G980" s="163" t="str">
        <f t="array" ref="G980">IF(B980="ICSE",IF(COUNTIFS(B:B,B980,C:C,C980)=XLOOKUP(C980,ICSE!A:A,ICSE!AA:AA,"ERROR",0,1),"OK","ERROR"),IF(B980="FSE",IF(COUNTIFS(B:B,B980,C:C,C980)=XLOOKUP(C980,FSE!A:A,FSE!AA:AA,"ERROR",0,1),"OK","ERROR")))</f>
        <v>OK</v>
      </c>
      <c r="H980" s="199">
        <f t="shared" ref="H980:O980" si="4975">countif($D980,"*"&amp;H$2&amp;"*")</f>
        <v>0</v>
      </c>
      <c r="I980" s="200">
        <f t="shared" si="4975"/>
        <v>0</v>
      </c>
      <c r="J980" s="200">
        <f t="shared" si="4975"/>
        <v>0</v>
      </c>
      <c r="K980" s="200">
        <f t="shared" si="4975"/>
        <v>0</v>
      </c>
      <c r="L980" s="200">
        <f t="shared" si="4975"/>
        <v>0</v>
      </c>
      <c r="M980" s="200">
        <f t="shared" si="4975"/>
        <v>0</v>
      </c>
      <c r="N980" s="200">
        <f t="shared" si="4975"/>
        <v>0</v>
      </c>
      <c r="O980" s="200">
        <f t="shared" si="4975"/>
        <v>0</v>
      </c>
      <c r="P980" s="200">
        <f t="shared" si="9"/>
        <v>1</v>
      </c>
      <c r="Q980" s="200">
        <f t="shared" ref="Q980:AC980" si="4976">countif($D980,"*"&amp;Q$2&amp;"*")</f>
        <v>0</v>
      </c>
      <c r="R980" s="200">
        <f t="shared" si="4976"/>
        <v>0</v>
      </c>
      <c r="S980" s="200">
        <f t="shared" si="4976"/>
        <v>0</v>
      </c>
      <c r="T980" s="200">
        <f t="shared" si="4976"/>
        <v>0</v>
      </c>
      <c r="U980" s="200">
        <f t="shared" si="4976"/>
        <v>0</v>
      </c>
      <c r="V980" s="200">
        <f t="shared" si="4976"/>
        <v>0</v>
      </c>
      <c r="W980" s="200">
        <f t="shared" si="4976"/>
        <v>0</v>
      </c>
      <c r="X980" s="200">
        <f t="shared" si="4976"/>
        <v>0</v>
      </c>
      <c r="Y980" s="200">
        <f t="shared" si="4976"/>
        <v>0</v>
      </c>
      <c r="Z980" s="200">
        <f t="shared" si="4976"/>
        <v>0</v>
      </c>
      <c r="AA980" s="200">
        <f t="shared" si="4976"/>
        <v>0</v>
      </c>
      <c r="AB980" s="200">
        <f t="shared" si="4976"/>
        <v>0</v>
      </c>
      <c r="AC980" s="200">
        <f t="shared" si="4976"/>
        <v>0</v>
      </c>
      <c r="AD980" s="200">
        <f t="shared" si="11"/>
        <v>0</v>
      </c>
      <c r="AE980" s="200">
        <f t="shared" ref="AE980:AG980" si="4977">countif($D980,"*"&amp;AE$2&amp;"*")</f>
        <v>0</v>
      </c>
      <c r="AF980" s="200">
        <f t="shared" si="4977"/>
        <v>0</v>
      </c>
      <c r="AG980" s="200">
        <f t="shared" si="4977"/>
        <v>0</v>
      </c>
      <c r="AH980" s="171">
        <f t="shared" si="13"/>
        <v>0</v>
      </c>
      <c r="AI980" s="200">
        <f t="shared" si="14"/>
        <v>0</v>
      </c>
      <c r="AJ980" s="200">
        <f t="shared" si="4907"/>
        <v>0</v>
      </c>
      <c r="AK980" s="201">
        <f t="shared" ref="AK980:AS980" si="4978">countif($D980,"*"&amp;AK$2&amp;"*")</f>
        <v>0</v>
      </c>
      <c r="AL980" s="201">
        <f t="shared" si="4978"/>
        <v>0</v>
      </c>
      <c r="AM980" s="201">
        <f t="shared" si="4978"/>
        <v>0</v>
      </c>
      <c r="AN980" s="201">
        <f t="shared" si="4978"/>
        <v>0</v>
      </c>
      <c r="AO980" s="201">
        <f t="shared" si="4978"/>
        <v>0</v>
      </c>
      <c r="AP980" s="201">
        <f t="shared" si="4978"/>
        <v>0</v>
      </c>
      <c r="AQ980" s="201">
        <f t="shared" si="4978"/>
        <v>0</v>
      </c>
      <c r="AR980" s="200">
        <f t="shared" si="4978"/>
        <v>0</v>
      </c>
      <c r="AS980" s="200">
        <f t="shared" si="4978"/>
        <v>0</v>
      </c>
      <c r="AT980" s="173">
        <v>0.0</v>
      </c>
      <c r="AU980" s="200">
        <f t="shared" ref="AU980:AX980" si="4979">countif($D980,"*"&amp;AU$2&amp;"*")</f>
        <v>0</v>
      </c>
      <c r="AV980" s="200">
        <f t="shared" si="4979"/>
        <v>1</v>
      </c>
      <c r="AW980" s="200">
        <f t="shared" si="4979"/>
        <v>0</v>
      </c>
      <c r="AX980" s="200">
        <f t="shared" si="4979"/>
        <v>0</v>
      </c>
      <c r="AY980" s="202">
        <v>0.0</v>
      </c>
      <c r="AZ980" s="200"/>
      <c r="BA980" s="171" t="str">
        <f t="shared" si="18"/>
        <v/>
      </c>
      <c r="BB980" s="171" t="str">
        <f t="shared" si="19"/>
        <v>Code</v>
      </c>
      <c r="BC980" s="171" t="str">
        <f t="shared" si="20"/>
        <v/>
      </c>
      <c r="BD980" s="171" t="str">
        <f t="shared" si="21"/>
        <v/>
      </c>
      <c r="BE980" s="171" t="str">
        <f t="shared" si="22"/>
        <v/>
      </c>
      <c r="BF980" s="171" t="str">
        <f t="shared" si="23"/>
        <v>Code</v>
      </c>
    </row>
    <row r="981">
      <c r="A981" s="171">
        <f t="array" ref="A981">XLOOKUP(C981,ICSE!A:A,ICSE!C:C,,2,1)</f>
        <v>2023</v>
      </c>
      <c r="B981" s="171" t="s">
        <v>5675</v>
      </c>
      <c r="C981" s="160">
        <v>2026.0</v>
      </c>
      <c r="D981" s="161" t="s">
        <v>2795</v>
      </c>
      <c r="E981" s="197" t="str">
        <f t="array" ref="E981">XLOOKUP(C981,ICSE!A:A,ICSE!Z:Z,,0,1)</f>
        <v>Publicly available (1)</v>
      </c>
      <c r="F981" s="198" t="s">
        <v>20</v>
      </c>
      <c r="G981" s="163" t="str">
        <f t="array" ref="G981">IF(B981="ICSE",IF(COUNTIFS(B:B,B981,C:C,C981)=XLOOKUP(C981,ICSE!A:A,ICSE!AA:AA,"ERROR",0,1),"OK","ERROR"),IF(B981="FSE",IF(COUNTIFS(B:B,B981,C:C,C981)=XLOOKUP(C981,FSE!A:A,FSE!AA:AA,"ERROR",0,1),"OK","ERROR")))</f>
        <v>OK</v>
      </c>
      <c r="H981" s="199">
        <f t="shared" ref="H981:O981" si="4980">countif($D981,"*"&amp;H$2&amp;"*")</f>
        <v>0</v>
      </c>
      <c r="I981" s="200">
        <f t="shared" si="4980"/>
        <v>0</v>
      </c>
      <c r="J981" s="200">
        <f t="shared" si="4980"/>
        <v>0</v>
      </c>
      <c r="K981" s="200">
        <f t="shared" si="4980"/>
        <v>0</v>
      </c>
      <c r="L981" s="200">
        <f t="shared" si="4980"/>
        <v>0</v>
      </c>
      <c r="M981" s="200">
        <f t="shared" si="4980"/>
        <v>0</v>
      </c>
      <c r="N981" s="200">
        <f t="shared" si="4980"/>
        <v>0</v>
      </c>
      <c r="O981" s="200">
        <f t="shared" si="4980"/>
        <v>0</v>
      </c>
      <c r="P981" s="200">
        <f t="shared" si="9"/>
        <v>1</v>
      </c>
      <c r="Q981" s="200">
        <f t="shared" ref="Q981:AC981" si="4981">countif($D981,"*"&amp;Q$2&amp;"*")</f>
        <v>0</v>
      </c>
      <c r="R981" s="200">
        <f t="shared" si="4981"/>
        <v>0</v>
      </c>
      <c r="S981" s="200">
        <f t="shared" si="4981"/>
        <v>0</v>
      </c>
      <c r="T981" s="200">
        <f t="shared" si="4981"/>
        <v>0</v>
      </c>
      <c r="U981" s="200">
        <f t="shared" si="4981"/>
        <v>0</v>
      </c>
      <c r="V981" s="200">
        <f t="shared" si="4981"/>
        <v>0</v>
      </c>
      <c r="W981" s="200">
        <f t="shared" si="4981"/>
        <v>0</v>
      </c>
      <c r="X981" s="200">
        <f t="shared" si="4981"/>
        <v>0</v>
      </c>
      <c r="Y981" s="200">
        <f t="shared" si="4981"/>
        <v>0</v>
      </c>
      <c r="Z981" s="200">
        <f t="shared" si="4981"/>
        <v>0</v>
      </c>
      <c r="AA981" s="200">
        <f t="shared" si="4981"/>
        <v>0</v>
      </c>
      <c r="AB981" s="200">
        <f t="shared" si="4981"/>
        <v>0</v>
      </c>
      <c r="AC981" s="200">
        <f t="shared" si="4981"/>
        <v>0</v>
      </c>
      <c r="AD981" s="200">
        <f t="shared" si="11"/>
        <v>0</v>
      </c>
      <c r="AE981" s="200">
        <f t="shared" ref="AE981:AG981" si="4982">countif($D981,"*"&amp;AE$2&amp;"*")</f>
        <v>0</v>
      </c>
      <c r="AF981" s="200">
        <f t="shared" si="4982"/>
        <v>0</v>
      </c>
      <c r="AG981" s="200">
        <f t="shared" si="4982"/>
        <v>0</v>
      </c>
      <c r="AH981" s="171">
        <f t="shared" si="13"/>
        <v>0</v>
      </c>
      <c r="AI981" s="200">
        <f t="shared" si="14"/>
        <v>0</v>
      </c>
      <c r="AJ981" s="200">
        <f t="shared" si="4907"/>
        <v>0</v>
      </c>
      <c r="AK981" s="201">
        <f t="shared" ref="AK981:AS981" si="4983">countif($D981,"*"&amp;AK$2&amp;"*")</f>
        <v>0</v>
      </c>
      <c r="AL981" s="201">
        <f t="shared" si="4983"/>
        <v>0</v>
      </c>
      <c r="AM981" s="201">
        <f t="shared" si="4983"/>
        <v>0</v>
      </c>
      <c r="AN981" s="201">
        <f t="shared" si="4983"/>
        <v>0</v>
      </c>
      <c r="AO981" s="201">
        <f t="shared" si="4983"/>
        <v>0</v>
      </c>
      <c r="AP981" s="201">
        <f t="shared" si="4983"/>
        <v>0</v>
      </c>
      <c r="AQ981" s="201">
        <f t="shared" si="4983"/>
        <v>0</v>
      </c>
      <c r="AR981" s="200">
        <f t="shared" si="4983"/>
        <v>0</v>
      </c>
      <c r="AS981" s="200">
        <f t="shared" si="4983"/>
        <v>0</v>
      </c>
      <c r="AT981" s="173">
        <v>0.0</v>
      </c>
      <c r="AU981" s="200">
        <f t="shared" ref="AU981:AX981" si="4984">countif($D981,"*"&amp;AU$2&amp;"*")</f>
        <v>0</v>
      </c>
      <c r="AV981" s="200">
        <f t="shared" si="4984"/>
        <v>1</v>
      </c>
      <c r="AW981" s="200">
        <f t="shared" si="4984"/>
        <v>0</v>
      </c>
      <c r="AX981" s="200">
        <f t="shared" si="4984"/>
        <v>0</v>
      </c>
      <c r="AY981" s="202">
        <v>0.0</v>
      </c>
      <c r="AZ981" s="200"/>
      <c r="BA981" s="171" t="str">
        <f t="shared" si="18"/>
        <v/>
      </c>
      <c r="BB981" s="171" t="str">
        <f t="shared" si="19"/>
        <v>Code</v>
      </c>
      <c r="BC981" s="171" t="str">
        <f t="shared" si="20"/>
        <v/>
      </c>
      <c r="BD981" s="171" t="str">
        <f t="shared" si="21"/>
        <v/>
      </c>
      <c r="BE981" s="171" t="str">
        <f t="shared" si="22"/>
        <v/>
      </c>
      <c r="BF981" s="171" t="str">
        <f t="shared" si="23"/>
        <v>Code</v>
      </c>
    </row>
    <row r="982">
      <c r="A982" s="171">
        <f t="array" ref="A982">XLOOKUP(C982,ICSE!A:A,ICSE!C:C,,2,1)</f>
        <v>2023</v>
      </c>
      <c r="B982" s="171" t="s">
        <v>5675</v>
      </c>
      <c r="C982" s="160">
        <v>2027.0</v>
      </c>
      <c r="D982" s="161" t="s">
        <v>2798</v>
      </c>
      <c r="E982" s="197" t="str">
        <f t="array" ref="E982">XLOOKUP(C982,ICSE!A:A,ICSE!Z:Z,,0,1)</f>
        <v>Publicly available (1)</v>
      </c>
      <c r="F982" s="198" t="s">
        <v>20</v>
      </c>
      <c r="G982" s="163" t="str">
        <f t="array" ref="G982">IF(B982="ICSE",IF(COUNTIFS(B:B,B982,C:C,C982)=XLOOKUP(C982,ICSE!A:A,ICSE!AA:AA,"ERROR",0,1),"OK","ERROR"),IF(B982="FSE",IF(COUNTIFS(B:B,B982,C:C,C982)=XLOOKUP(C982,FSE!A:A,FSE!AA:AA,"ERROR",0,1),"OK","ERROR")))</f>
        <v>OK</v>
      </c>
      <c r="H982" s="199">
        <f t="shared" ref="H982:O982" si="4985">countif($D982,"*"&amp;H$2&amp;"*")</f>
        <v>0</v>
      </c>
      <c r="I982" s="200">
        <f t="shared" si="4985"/>
        <v>0</v>
      </c>
      <c r="J982" s="200">
        <f t="shared" si="4985"/>
        <v>0</v>
      </c>
      <c r="K982" s="200">
        <f t="shared" si="4985"/>
        <v>0</v>
      </c>
      <c r="L982" s="200">
        <f t="shared" si="4985"/>
        <v>0</v>
      </c>
      <c r="M982" s="200">
        <f t="shared" si="4985"/>
        <v>0</v>
      </c>
      <c r="N982" s="200">
        <f t="shared" si="4985"/>
        <v>0</v>
      </c>
      <c r="O982" s="200">
        <f t="shared" si="4985"/>
        <v>0</v>
      </c>
      <c r="P982" s="200">
        <f t="shared" si="9"/>
        <v>1</v>
      </c>
      <c r="Q982" s="200">
        <f t="shared" ref="Q982:AC982" si="4986">countif($D982,"*"&amp;Q$2&amp;"*")</f>
        <v>0</v>
      </c>
      <c r="R982" s="200">
        <f t="shared" si="4986"/>
        <v>0</v>
      </c>
      <c r="S982" s="200">
        <f t="shared" si="4986"/>
        <v>0</v>
      </c>
      <c r="T982" s="200">
        <f t="shared" si="4986"/>
        <v>0</v>
      </c>
      <c r="U982" s="200">
        <f t="shared" si="4986"/>
        <v>0</v>
      </c>
      <c r="V982" s="200">
        <f t="shared" si="4986"/>
        <v>0</v>
      </c>
      <c r="W982" s="200">
        <f t="shared" si="4986"/>
        <v>0</v>
      </c>
      <c r="X982" s="200">
        <f t="shared" si="4986"/>
        <v>0</v>
      </c>
      <c r="Y982" s="200">
        <f t="shared" si="4986"/>
        <v>0</v>
      </c>
      <c r="Z982" s="200">
        <f t="shared" si="4986"/>
        <v>0</v>
      </c>
      <c r="AA982" s="200">
        <f t="shared" si="4986"/>
        <v>0</v>
      </c>
      <c r="AB982" s="200">
        <f t="shared" si="4986"/>
        <v>0</v>
      </c>
      <c r="AC982" s="200">
        <f t="shared" si="4986"/>
        <v>0</v>
      </c>
      <c r="AD982" s="200">
        <f t="shared" si="11"/>
        <v>0</v>
      </c>
      <c r="AE982" s="200">
        <f t="shared" ref="AE982:AG982" si="4987">countif($D982,"*"&amp;AE$2&amp;"*")</f>
        <v>0</v>
      </c>
      <c r="AF982" s="200">
        <f t="shared" si="4987"/>
        <v>0</v>
      </c>
      <c r="AG982" s="200">
        <f t="shared" si="4987"/>
        <v>0</v>
      </c>
      <c r="AH982" s="171">
        <f t="shared" si="13"/>
        <v>0</v>
      </c>
      <c r="AI982" s="200">
        <f t="shared" si="14"/>
        <v>0</v>
      </c>
      <c r="AJ982" s="200">
        <f t="shared" si="4907"/>
        <v>0</v>
      </c>
      <c r="AK982" s="201">
        <f t="shared" ref="AK982:AS982" si="4988">countif($D982,"*"&amp;AK$2&amp;"*")</f>
        <v>0</v>
      </c>
      <c r="AL982" s="201">
        <f t="shared" si="4988"/>
        <v>0</v>
      </c>
      <c r="AM982" s="201">
        <f t="shared" si="4988"/>
        <v>0</v>
      </c>
      <c r="AN982" s="201">
        <f t="shared" si="4988"/>
        <v>0</v>
      </c>
      <c r="AO982" s="201">
        <f t="shared" si="4988"/>
        <v>0</v>
      </c>
      <c r="AP982" s="201">
        <f t="shared" si="4988"/>
        <v>0</v>
      </c>
      <c r="AQ982" s="201">
        <f t="shared" si="4988"/>
        <v>0</v>
      </c>
      <c r="AR982" s="200">
        <f t="shared" si="4988"/>
        <v>0</v>
      </c>
      <c r="AS982" s="200">
        <f t="shared" si="4988"/>
        <v>0</v>
      </c>
      <c r="AT982" s="173">
        <v>0.0</v>
      </c>
      <c r="AU982" s="200">
        <f t="shared" ref="AU982:AX982" si="4989">countif($D982,"*"&amp;AU$2&amp;"*")</f>
        <v>0</v>
      </c>
      <c r="AV982" s="200">
        <f t="shared" si="4989"/>
        <v>1</v>
      </c>
      <c r="AW982" s="200">
        <f t="shared" si="4989"/>
        <v>0</v>
      </c>
      <c r="AX982" s="200">
        <f t="shared" si="4989"/>
        <v>0</v>
      </c>
      <c r="AY982" s="202">
        <v>0.0</v>
      </c>
      <c r="AZ982" s="200"/>
      <c r="BA982" s="171" t="str">
        <f t="shared" si="18"/>
        <v/>
      </c>
      <c r="BB982" s="171" t="str">
        <f t="shared" si="19"/>
        <v>Code</v>
      </c>
      <c r="BC982" s="171" t="str">
        <f t="shared" si="20"/>
        <v/>
      </c>
      <c r="BD982" s="171" t="str">
        <f t="shared" si="21"/>
        <v/>
      </c>
      <c r="BE982" s="171" t="str">
        <f t="shared" si="22"/>
        <v/>
      </c>
      <c r="BF982" s="171" t="str">
        <f t="shared" si="23"/>
        <v>Code</v>
      </c>
    </row>
    <row r="983">
      <c r="A983" s="171">
        <f t="array" ref="A983">XLOOKUP(C983,ICSE!A:A,ICSE!C:C,,2,1)</f>
        <v>2023</v>
      </c>
      <c r="B983" s="171" t="s">
        <v>5675</v>
      </c>
      <c r="C983" s="160">
        <v>2028.0</v>
      </c>
      <c r="D983" s="161" t="s">
        <v>2800</v>
      </c>
      <c r="E983" s="197" t="str">
        <f t="array" ref="E983">XLOOKUP(C983,ICSE!A:A,ICSE!Z:Z,,0,1)</f>
        <v>Publicly available (1)</v>
      </c>
      <c r="F983" s="198" t="s">
        <v>20</v>
      </c>
      <c r="G983" s="163" t="str">
        <f t="array" ref="G983">IF(B983="ICSE",IF(COUNTIFS(B:B,B983,C:C,C983)=XLOOKUP(C983,ICSE!A:A,ICSE!AA:AA,"ERROR",0,1),"OK","ERROR"),IF(B983="FSE",IF(COUNTIFS(B:B,B983,C:C,C983)=XLOOKUP(C983,FSE!A:A,FSE!AA:AA,"ERROR",0,1),"OK","ERROR")))</f>
        <v>OK</v>
      </c>
      <c r="H983" s="199">
        <f t="shared" ref="H983:O983" si="4990">countif($D983,"*"&amp;H$2&amp;"*")</f>
        <v>0</v>
      </c>
      <c r="I983" s="200">
        <f t="shared" si="4990"/>
        <v>0</v>
      </c>
      <c r="J983" s="200">
        <f t="shared" si="4990"/>
        <v>0</v>
      </c>
      <c r="K983" s="200">
        <f t="shared" si="4990"/>
        <v>0</v>
      </c>
      <c r="L983" s="200">
        <f t="shared" si="4990"/>
        <v>0</v>
      </c>
      <c r="M983" s="200">
        <f t="shared" si="4990"/>
        <v>0</v>
      </c>
      <c r="N983" s="200">
        <f t="shared" si="4990"/>
        <v>0</v>
      </c>
      <c r="O983" s="200">
        <f t="shared" si="4990"/>
        <v>0</v>
      </c>
      <c r="P983" s="200">
        <f t="shared" si="9"/>
        <v>1</v>
      </c>
      <c r="Q983" s="200">
        <f t="shared" ref="Q983:AC983" si="4991">countif($D983,"*"&amp;Q$2&amp;"*")</f>
        <v>0</v>
      </c>
      <c r="R983" s="200">
        <f t="shared" si="4991"/>
        <v>0</v>
      </c>
      <c r="S983" s="200">
        <f t="shared" si="4991"/>
        <v>0</v>
      </c>
      <c r="T983" s="200">
        <f t="shared" si="4991"/>
        <v>0</v>
      </c>
      <c r="U983" s="200">
        <f t="shared" si="4991"/>
        <v>0</v>
      </c>
      <c r="V983" s="200">
        <f t="shared" si="4991"/>
        <v>0</v>
      </c>
      <c r="W983" s="200">
        <f t="shared" si="4991"/>
        <v>0</v>
      </c>
      <c r="X983" s="200">
        <f t="shared" si="4991"/>
        <v>0</v>
      </c>
      <c r="Y983" s="200">
        <f t="shared" si="4991"/>
        <v>0</v>
      </c>
      <c r="Z983" s="200">
        <f t="shared" si="4991"/>
        <v>0</v>
      </c>
      <c r="AA983" s="200">
        <f t="shared" si="4991"/>
        <v>0</v>
      </c>
      <c r="AB983" s="200">
        <f t="shared" si="4991"/>
        <v>0</v>
      </c>
      <c r="AC983" s="200">
        <f t="shared" si="4991"/>
        <v>0</v>
      </c>
      <c r="AD983" s="200">
        <f t="shared" si="11"/>
        <v>0</v>
      </c>
      <c r="AE983" s="200">
        <f t="shared" ref="AE983:AG983" si="4992">countif($D983,"*"&amp;AE$2&amp;"*")</f>
        <v>0</v>
      </c>
      <c r="AF983" s="200">
        <f t="shared" si="4992"/>
        <v>0</v>
      </c>
      <c r="AG983" s="200">
        <f t="shared" si="4992"/>
        <v>0</v>
      </c>
      <c r="AH983" s="171">
        <f t="shared" si="13"/>
        <v>0</v>
      </c>
      <c r="AI983" s="200">
        <f t="shared" si="14"/>
        <v>0</v>
      </c>
      <c r="AJ983" s="200">
        <f t="shared" si="4907"/>
        <v>0</v>
      </c>
      <c r="AK983" s="201">
        <f t="shared" ref="AK983:AS983" si="4993">countif($D983,"*"&amp;AK$2&amp;"*")</f>
        <v>0</v>
      </c>
      <c r="AL983" s="201">
        <f t="shared" si="4993"/>
        <v>0</v>
      </c>
      <c r="AM983" s="201">
        <f t="shared" si="4993"/>
        <v>0</v>
      </c>
      <c r="AN983" s="201">
        <f t="shared" si="4993"/>
        <v>0</v>
      </c>
      <c r="AO983" s="201">
        <f t="shared" si="4993"/>
        <v>0</v>
      </c>
      <c r="AP983" s="201">
        <f t="shared" si="4993"/>
        <v>0</v>
      </c>
      <c r="AQ983" s="201">
        <f t="shared" si="4993"/>
        <v>0</v>
      </c>
      <c r="AR983" s="200">
        <f t="shared" si="4993"/>
        <v>0</v>
      </c>
      <c r="AS983" s="200">
        <f t="shared" si="4993"/>
        <v>0</v>
      </c>
      <c r="AT983" s="173">
        <v>0.0</v>
      </c>
      <c r="AU983" s="200">
        <f t="shared" ref="AU983:AX983" si="4994">countif($D983,"*"&amp;AU$2&amp;"*")</f>
        <v>0</v>
      </c>
      <c r="AV983" s="200">
        <f t="shared" si="4994"/>
        <v>1</v>
      </c>
      <c r="AW983" s="200">
        <f t="shared" si="4994"/>
        <v>0</v>
      </c>
      <c r="AX983" s="200">
        <f t="shared" si="4994"/>
        <v>0</v>
      </c>
      <c r="AY983" s="202">
        <v>0.0</v>
      </c>
      <c r="AZ983" s="200"/>
      <c r="BA983" s="171" t="str">
        <f t="shared" si="18"/>
        <v/>
      </c>
      <c r="BB983" s="171" t="str">
        <f t="shared" si="19"/>
        <v>Code</v>
      </c>
      <c r="BC983" s="171" t="str">
        <f t="shared" si="20"/>
        <v/>
      </c>
      <c r="BD983" s="171" t="str">
        <f t="shared" si="21"/>
        <v/>
      </c>
      <c r="BE983" s="171" t="str">
        <f t="shared" si="22"/>
        <v/>
      </c>
      <c r="BF983" s="171" t="str">
        <f t="shared" si="23"/>
        <v>Code</v>
      </c>
    </row>
    <row r="984">
      <c r="A984" s="171">
        <f t="array" ref="A984">XLOOKUP(C984,ICSE!A:A,ICSE!C:C,,2,1)</f>
        <v>2023</v>
      </c>
      <c r="B984" s="171" t="s">
        <v>5675</v>
      </c>
      <c r="C984" s="160">
        <v>2029.0</v>
      </c>
      <c r="D984" s="212" t="s">
        <v>2804</v>
      </c>
      <c r="E984" s="197" t="str">
        <f t="array" ref="E984">XLOOKUP(C984,ICSE!A:A,ICSE!Z:Z,,0,1)</f>
        <v>Publicly available (1)</v>
      </c>
      <c r="F984" s="198" t="s">
        <v>20</v>
      </c>
      <c r="G984" s="163" t="str">
        <f t="array" ref="G984">IF(B984="ICSE",IF(COUNTIFS(B:B,B984,C:C,C984)=XLOOKUP(C984,ICSE!A:A,ICSE!AA:AA,"ERROR",0,1),"OK","ERROR"),IF(B984="FSE",IF(COUNTIFS(B:B,B984,C:C,C984)=XLOOKUP(C984,FSE!A:A,FSE!AA:AA,"ERROR",0,1),"OK","ERROR")))</f>
        <v>OK</v>
      </c>
      <c r="H984" s="199">
        <f t="shared" ref="H984:O984" si="4995">countif($D984,"*"&amp;H$2&amp;"*")</f>
        <v>0</v>
      </c>
      <c r="I984" s="200">
        <f t="shared" si="4995"/>
        <v>0</v>
      </c>
      <c r="J984" s="200">
        <f t="shared" si="4995"/>
        <v>0</v>
      </c>
      <c r="K984" s="200">
        <f t="shared" si="4995"/>
        <v>0</v>
      </c>
      <c r="L984" s="200">
        <f t="shared" si="4995"/>
        <v>0</v>
      </c>
      <c r="M984" s="200">
        <f t="shared" si="4995"/>
        <v>0</v>
      </c>
      <c r="N984" s="200">
        <f t="shared" si="4995"/>
        <v>0</v>
      </c>
      <c r="O984" s="200">
        <f t="shared" si="4995"/>
        <v>0</v>
      </c>
      <c r="P984" s="200">
        <f t="shared" si="9"/>
        <v>1</v>
      </c>
      <c r="Q984" s="200">
        <f t="shared" ref="Q984:AC984" si="4996">countif($D984,"*"&amp;Q$2&amp;"*")</f>
        <v>0</v>
      </c>
      <c r="R984" s="200">
        <f t="shared" si="4996"/>
        <v>0</v>
      </c>
      <c r="S984" s="200">
        <f t="shared" si="4996"/>
        <v>0</v>
      </c>
      <c r="T984" s="200">
        <f t="shared" si="4996"/>
        <v>0</v>
      </c>
      <c r="U984" s="200">
        <f t="shared" si="4996"/>
        <v>0</v>
      </c>
      <c r="V984" s="200">
        <f t="shared" si="4996"/>
        <v>0</v>
      </c>
      <c r="W984" s="200">
        <f t="shared" si="4996"/>
        <v>0</v>
      </c>
      <c r="X984" s="200">
        <f t="shared" si="4996"/>
        <v>0</v>
      </c>
      <c r="Y984" s="200">
        <f t="shared" si="4996"/>
        <v>0</v>
      </c>
      <c r="Z984" s="200">
        <f t="shared" si="4996"/>
        <v>0</v>
      </c>
      <c r="AA984" s="200">
        <f t="shared" si="4996"/>
        <v>0</v>
      </c>
      <c r="AB984" s="200">
        <f t="shared" si="4996"/>
        <v>0</v>
      </c>
      <c r="AC984" s="200">
        <f t="shared" si="4996"/>
        <v>0</v>
      </c>
      <c r="AD984" s="200">
        <f t="shared" si="11"/>
        <v>0</v>
      </c>
      <c r="AE984" s="200">
        <f t="shared" ref="AE984:AG984" si="4997">countif($D984,"*"&amp;AE$2&amp;"*")</f>
        <v>0</v>
      </c>
      <c r="AF984" s="200">
        <f t="shared" si="4997"/>
        <v>0</v>
      </c>
      <c r="AG984" s="200">
        <f t="shared" si="4997"/>
        <v>0</v>
      </c>
      <c r="AH984" s="171">
        <f t="shared" si="13"/>
        <v>0</v>
      </c>
      <c r="AI984" s="200">
        <f t="shared" si="14"/>
        <v>0</v>
      </c>
      <c r="AJ984" s="200">
        <f t="shared" si="4907"/>
        <v>0</v>
      </c>
      <c r="AK984" s="201">
        <f t="shared" ref="AK984:AS984" si="4998">countif($D984,"*"&amp;AK$2&amp;"*")</f>
        <v>0</v>
      </c>
      <c r="AL984" s="201">
        <f t="shared" si="4998"/>
        <v>0</v>
      </c>
      <c r="AM984" s="201">
        <f t="shared" si="4998"/>
        <v>0</v>
      </c>
      <c r="AN984" s="201">
        <f t="shared" si="4998"/>
        <v>0</v>
      </c>
      <c r="AO984" s="201">
        <f t="shared" si="4998"/>
        <v>0</v>
      </c>
      <c r="AP984" s="201">
        <f t="shared" si="4998"/>
        <v>0</v>
      </c>
      <c r="AQ984" s="201">
        <f t="shared" si="4998"/>
        <v>0</v>
      </c>
      <c r="AR984" s="200">
        <f t="shared" si="4998"/>
        <v>0</v>
      </c>
      <c r="AS984" s="200">
        <f t="shared" si="4998"/>
        <v>0</v>
      </c>
      <c r="AT984" s="173">
        <v>0.0</v>
      </c>
      <c r="AU984" s="200">
        <f t="shared" ref="AU984:AX984" si="4999">countif($D984,"*"&amp;AU$2&amp;"*")</f>
        <v>0</v>
      </c>
      <c r="AV984" s="200">
        <f t="shared" si="4999"/>
        <v>1</v>
      </c>
      <c r="AW984" s="200">
        <f t="shared" si="4999"/>
        <v>0</v>
      </c>
      <c r="AX984" s="200">
        <f t="shared" si="4999"/>
        <v>0</v>
      </c>
      <c r="AY984" s="202">
        <v>0.0</v>
      </c>
      <c r="AZ984" s="200"/>
      <c r="BA984" s="171" t="str">
        <f t="shared" si="18"/>
        <v/>
      </c>
      <c r="BB984" s="171" t="str">
        <f t="shared" si="19"/>
        <v>Code</v>
      </c>
      <c r="BC984" s="171" t="str">
        <f t="shared" si="20"/>
        <v/>
      </c>
      <c r="BD984" s="171" t="str">
        <f t="shared" si="21"/>
        <v/>
      </c>
      <c r="BE984" s="171" t="str">
        <f t="shared" si="22"/>
        <v/>
      </c>
      <c r="BF984" s="171" t="str">
        <f t="shared" si="23"/>
        <v>Code</v>
      </c>
    </row>
    <row r="985">
      <c r="A985" s="171">
        <f t="array" ref="A985">XLOOKUP(C985,ICSE!A:A,ICSE!C:C,,2,1)</f>
        <v>2023</v>
      </c>
      <c r="B985" s="171" t="s">
        <v>5675</v>
      </c>
      <c r="C985" s="160">
        <v>2030.0</v>
      </c>
      <c r="D985" s="161" t="s">
        <v>2806</v>
      </c>
      <c r="E985" s="197" t="str">
        <f t="array" ref="E985">XLOOKUP(C985,ICSE!A:A,ICSE!Z:Z,,0,1)</f>
        <v>Publicly available (1)</v>
      </c>
      <c r="F985" s="198" t="s">
        <v>20</v>
      </c>
      <c r="G985" s="163" t="str">
        <f t="array" ref="G985">IF(B985="ICSE",IF(COUNTIFS(B:B,B985,C:C,C985)=XLOOKUP(C985,ICSE!A:A,ICSE!AA:AA,"ERROR",0,1),"OK","ERROR"),IF(B985="FSE",IF(COUNTIFS(B:B,B985,C:C,C985)=XLOOKUP(C985,FSE!A:A,FSE!AA:AA,"ERROR",0,1),"OK","ERROR")))</f>
        <v>OK</v>
      </c>
      <c r="H985" s="199">
        <f t="shared" ref="H985:O985" si="5000">countif($D985,"*"&amp;H$2&amp;"*")</f>
        <v>0</v>
      </c>
      <c r="I985" s="200">
        <f t="shared" si="5000"/>
        <v>0</v>
      </c>
      <c r="J985" s="200">
        <f t="shared" si="5000"/>
        <v>0</v>
      </c>
      <c r="K985" s="200">
        <f t="shared" si="5000"/>
        <v>0</v>
      </c>
      <c r="L985" s="200">
        <f t="shared" si="5000"/>
        <v>0</v>
      </c>
      <c r="M985" s="200">
        <f t="shared" si="5000"/>
        <v>0</v>
      </c>
      <c r="N985" s="200">
        <f t="shared" si="5000"/>
        <v>0</v>
      </c>
      <c r="O985" s="200">
        <f t="shared" si="5000"/>
        <v>0</v>
      </c>
      <c r="P985" s="200">
        <f t="shared" si="9"/>
        <v>1</v>
      </c>
      <c r="Q985" s="200">
        <f t="shared" ref="Q985:AC985" si="5001">countif($D985,"*"&amp;Q$2&amp;"*")</f>
        <v>0</v>
      </c>
      <c r="R985" s="200">
        <f t="shared" si="5001"/>
        <v>0</v>
      </c>
      <c r="S985" s="200">
        <f t="shared" si="5001"/>
        <v>0</v>
      </c>
      <c r="T985" s="200">
        <f t="shared" si="5001"/>
        <v>0</v>
      </c>
      <c r="U985" s="200">
        <f t="shared" si="5001"/>
        <v>0</v>
      </c>
      <c r="V985" s="200">
        <f t="shared" si="5001"/>
        <v>0</v>
      </c>
      <c r="W985" s="200">
        <f t="shared" si="5001"/>
        <v>0</v>
      </c>
      <c r="X985" s="200">
        <f t="shared" si="5001"/>
        <v>0</v>
      </c>
      <c r="Y985" s="200">
        <f t="shared" si="5001"/>
        <v>0</v>
      </c>
      <c r="Z985" s="200">
        <f t="shared" si="5001"/>
        <v>0</v>
      </c>
      <c r="AA985" s="200">
        <f t="shared" si="5001"/>
        <v>0</v>
      </c>
      <c r="AB985" s="200">
        <f t="shared" si="5001"/>
        <v>0</v>
      </c>
      <c r="AC985" s="200">
        <f t="shared" si="5001"/>
        <v>0</v>
      </c>
      <c r="AD985" s="200">
        <f t="shared" si="11"/>
        <v>0</v>
      </c>
      <c r="AE985" s="200">
        <f t="shared" ref="AE985:AG985" si="5002">countif($D985,"*"&amp;AE$2&amp;"*")</f>
        <v>0</v>
      </c>
      <c r="AF985" s="200">
        <f t="shared" si="5002"/>
        <v>0</v>
      </c>
      <c r="AG985" s="200">
        <f t="shared" si="5002"/>
        <v>0</v>
      </c>
      <c r="AH985" s="171">
        <f t="shared" si="13"/>
        <v>0</v>
      </c>
      <c r="AI985" s="200">
        <f t="shared" si="14"/>
        <v>0</v>
      </c>
      <c r="AJ985" s="200">
        <f t="shared" si="4907"/>
        <v>0</v>
      </c>
      <c r="AK985" s="201">
        <f t="shared" ref="AK985:AS985" si="5003">countif($D985,"*"&amp;AK$2&amp;"*")</f>
        <v>0</v>
      </c>
      <c r="AL985" s="201">
        <f t="shared" si="5003"/>
        <v>0</v>
      </c>
      <c r="AM985" s="201">
        <f t="shared" si="5003"/>
        <v>0</v>
      </c>
      <c r="AN985" s="201">
        <f t="shared" si="5003"/>
        <v>0</v>
      </c>
      <c r="AO985" s="201">
        <f t="shared" si="5003"/>
        <v>0</v>
      </c>
      <c r="AP985" s="201">
        <f t="shared" si="5003"/>
        <v>0</v>
      </c>
      <c r="AQ985" s="201">
        <f t="shared" si="5003"/>
        <v>0</v>
      </c>
      <c r="AR985" s="200">
        <f t="shared" si="5003"/>
        <v>0</v>
      </c>
      <c r="AS985" s="200">
        <f t="shared" si="5003"/>
        <v>0</v>
      </c>
      <c r="AT985" s="173">
        <v>0.0</v>
      </c>
      <c r="AU985" s="200">
        <f t="shared" ref="AU985:AX985" si="5004">countif($D985,"*"&amp;AU$2&amp;"*")</f>
        <v>0</v>
      </c>
      <c r="AV985" s="200">
        <f t="shared" si="5004"/>
        <v>1</v>
      </c>
      <c r="AW985" s="200">
        <f t="shared" si="5004"/>
        <v>0</v>
      </c>
      <c r="AX985" s="200">
        <f t="shared" si="5004"/>
        <v>0</v>
      </c>
      <c r="AY985" s="202">
        <v>0.0</v>
      </c>
      <c r="AZ985" s="200"/>
      <c r="BA985" s="171" t="str">
        <f t="shared" si="18"/>
        <v/>
      </c>
      <c r="BB985" s="171" t="str">
        <f t="shared" si="19"/>
        <v>Code</v>
      </c>
      <c r="BC985" s="171" t="str">
        <f t="shared" si="20"/>
        <v/>
      </c>
      <c r="BD985" s="171" t="str">
        <f t="shared" si="21"/>
        <v/>
      </c>
      <c r="BE985" s="171" t="str">
        <f t="shared" si="22"/>
        <v/>
      </c>
      <c r="BF985" s="171" t="str">
        <f t="shared" si="23"/>
        <v>Code</v>
      </c>
    </row>
    <row r="986">
      <c r="A986" s="171">
        <f t="array" ref="A986">XLOOKUP(C986,ICSE!A:A,ICSE!C:C,,2,1)</f>
        <v>2023</v>
      </c>
      <c r="B986" s="171" t="s">
        <v>5675</v>
      </c>
      <c r="C986" s="160">
        <v>2031.0</v>
      </c>
      <c r="D986" s="161" t="s">
        <v>2809</v>
      </c>
      <c r="E986" s="197" t="str">
        <f t="array" ref="E986">XLOOKUP(C986,ICSE!A:A,ICSE!Z:Z,,0,1)</f>
        <v>Publicly available (1)</v>
      </c>
      <c r="F986" s="198" t="s">
        <v>20</v>
      </c>
      <c r="G986" s="163" t="str">
        <f t="array" ref="G986">IF(B986="ICSE",IF(COUNTIFS(B:B,B986,C:C,C986)=XLOOKUP(C986,ICSE!A:A,ICSE!AA:AA,"ERROR",0,1),"OK","ERROR"),IF(B986="FSE",IF(COUNTIFS(B:B,B986,C:C,C986)=XLOOKUP(C986,FSE!A:A,FSE!AA:AA,"ERROR",0,1),"OK","ERROR")))</f>
        <v>OK</v>
      </c>
      <c r="H986" s="199">
        <f t="shared" ref="H986:O986" si="5005">countif($D986,"*"&amp;H$2&amp;"*")</f>
        <v>0</v>
      </c>
      <c r="I986" s="200">
        <f t="shared" si="5005"/>
        <v>0</v>
      </c>
      <c r="J986" s="200">
        <f t="shared" si="5005"/>
        <v>0</v>
      </c>
      <c r="K986" s="200">
        <f t="shared" si="5005"/>
        <v>0</v>
      </c>
      <c r="L986" s="200">
        <f t="shared" si="5005"/>
        <v>0</v>
      </c>
      <c r="M986" s="200">
        <f t="shared" si="5005"/>
        <v>0</v>
      </c>
      <c r="N986" s="200">
        <f t="shared" si="5005"/>
        <v>0</v>
      </c>
      <c r="O986" s="200">
        <f t="shared" si="5005"/>
        <v>0</v>
      </c>
      <c r="P986" s="200">
        <f t="shared" si="9"/>
        <v>1</v>
      </c>
      <c r="Q986" s="200">
        <f t="shared" ref="Q986:AC986" si="5006">countif($D986,"*"&amp;Q$2&amp;"*")</f>
        <v>0</v>
      </c>
      <c r="R986" s="200">
        <f t="shared" si="5006"/>
        <v>0</v>
      </c>
      <c r="S986" s="200">
        <f t="shared" si="5006"/>
        <v>0</v>
      </c>
      <c r="T986" s="200">
        <f t="shared" si="5006"/>
        <v>0</v>
      </c>
      <c r="U986" s="200">
        <f t="shared" si="5006"/>
        <v>0</v>
      </c>
      <c r="V986" s="200">
        <f t="shared" si="5006"/>
        <v>0</v>
      </c>
      <c r="W986" s="200">
        <f t="shared" si="5006"/>
        <v>0</v>
      </c>
      <c r="X986" s="200">
        <f t="shared" si="5006"/>
        <v>0</v>
      </c>
      <c r="Y986" s="200">
        <f t="shared" si="5006"/>
        <v>0</v>
      </c>
      <c r="Z986" s="200">
        <f t="shared" si="5006"/>
        <v>0</v>
      </c>
      <c r="AA986" s="200">
        <f t="shared" si="5006"/>
        <v>0</v>
      </c>
      <c r="AB986" s="200">
        <f t="shared" si="5006"/>
        <v>0</v>
      </c>
      <c r="AC986" s="200">
        <f t="shared" si="5006"/>
        <v>0</v>
      </c>
      <c r="AD986" s="200">
        <f t="shared" si="11"/>
        <v>0</v>
      </c>
      <c r="AE986" s="200">
        <f t="shared" ref="AE986:AG986" si="5007">countif($D986,"*"&amp;AE$2&amp;"*")</f>
        <v>0</v>
      </c>
      <c r="AF986" s="200">
        <f t="shared" si="5007"/>
        <v>0</v>
      </c>
      <c r="AG986" s="200">
        <f t="shared" si="5007"/>
        <v>0</v>
      </c>
      <c r="AH986" s="171">
        <f t="shared" si="13"/>
        <v>0</v>
      </c>
      <c r="AI986" s="200">
        <f t="shared" si="14"/>
        <v>0</v>
      </c>
      <c r="AJ986" s="200">
        <f t="shared" si="4907"/>
        <v>0</v>
      </c>
      <c r="AK986" s="201">
        <f t="shared" ref="AK986:AS986" si="5008">countif($D986,"*"&amp;AK$2&amp;"*")</f>
        <v>0</v>
      </c>
      <c r="AL986" s="201">
        <f t="shared" si="5008"/>
        <v>0</v>
      </c>
      <c r="AM986" s="201">
        <f t="shared" si="5008"/>
        <v>0</v>
      </c>
      <c r="AN986" s="201">
        <f t="shared" si="5008"/>
        <v>0</v>
      </c>
      <c r="AO986" s="201">
        <f t="shared" si="5008"/>
        <v>0</v>
      </c>
      <c r="AP986" s="201">
        <f t="shared" si="5008"/>
        <v>0</v>
      </c>
      <c r="AQ986" s="201">
        <f t="shared" si="5008"/>
        <v>0</v>
      </c>
      <c r="AR986" s="200">
        <f t="shared" si="5008"/>
        <v>0</v>
      </c>
      <c r="AS986" s="200">
        <f t="shared" si="5008"/>
        <v>0</v>
      </c>
      <c r="AT986" s="173">
        <v>0.0</v>
      </c>
      <c r="AU986" s="200">
        <f t="shared" ref="AU986:AX986" si="5009">countif($D986,"*"&amp;AU$2&amp;"*")</f>
        <v>0</v>
      </c>
      <c r="AV986" s="200">
        <f t="shared" si="5009"/>
        <v>1</v>
      </c>
      <c r="AW986" s="200">
        <f t="shared" si="5009"/>
        <v>0</v>
      </c>
      <c r="AX986" s="200">
        <f t="shared" si="5009"/>
        <v>0</v>
      </c>
      <c r="AY986" s="202">
        <v>0.0</v>
      </c>
      <c r="AZ986" s="200"/>
      <c r="BA986" s="171" t="str">
        <f t="shared" si="18"/>
        <v/>
      </c>
      <c r="BB986" s="171" t="str">
        <f t="shared" si="19"/>
        <v>Code</v>
      </c>
      <c r="BC986" s="171" t="str">
        <f t="shared" si="20"/>
        <v/>
      </c>
      <c r="BD986" s="171" t="str">
        <f t="shared" si="21"/>
        <v/>
      </c>
      <c r="BE986" s="171" t="str">
        <f t="shared" si="22"/>
        <v/>
      </c>
      <c r="BF986" s="171" t="str">
        <f t="shared" si="23"/>
        <v>Code</v>
      </c>
    </row>
    <row r="987">
      <c r="A987" s="171">
        <f t="array" ref="A987">XLOOKUP(C987,ICSE!A:A,ICSE!C:C,,2,1)</f>
        <v>2023</v>
      </c>
      <c r="B987" s="171" t="s">
        <v>5675</v>
      </c>
      <c r="C987" s="160">
        <v>2032.0</v>
      </c>
      <c r="D987" s="161" t="s">
        <v>2811</v>
      </c>
      <c r="E987" s="197" t="str">
        <f t="array" ref="E987">XLOOKUP(C987,ICSE!A:A,ICSE!Z:Z,,0,1)</f>
        <v>Publicly available (1)</v>
      </c>
      <c r="F987" s="198" t="s">
        <v>20</v>
      </c>
      <c r="G987" s="163" t="str">
        <f t="array" ref="G987">IF(B987="ICSE",IF(COUNTIFS(B:B,B987,C:C,C987)=XLOOKUP(C987,ICSE!A:A,ICSE!AA:AA,"ERROR",0,1),"OK","ERROR"),IF(B987="FSE",IF(COUNTIFS(B:B,B987,C:C,C987)=XLOOKUP(C987,FSE!A:A,FSE!AA:AA,"ERROR",0,1),"OK","ERROR")))</f>
        <v>OK</v>
      </c>
      <c r="H987" s="199">
        <f t="shared" ref="H987:O987" si="5010">countif($D987,"*"&amp;H$2&amp;"*")</f>
        <v>0</v>
      </c>
      <c r="I987" s="200">
        <f t="shared" si="5010"/>
        <v>0</v>
      </c>
      <c r="J987" s="200">
        <f t="shared" si="5010"/>
        <v>0</v>
      </c>
      <c r="K987" s="200">
        <f t="shared" si="5010"/>
        <v>0</v>
      </c>
      <c r="L987" s="200">
        <f t="shared" si="5010"/>
        <v>0</v>
      </c>
      <c r="M987" s="200">
        <f t="shared" si="5010"/>
        <v>0</v>
      </c>
      <c r="N987" s="200">
        <f t="shared" si="5010"/>
        <v>0</v>
      </c>
      <c r="O987" s="200">
        <f t="shared" si="5010"/>
        <v>0</v>
      </c>
      <c r="P987" s="200">
        <f t="shared" si="9"/>
        <v>1</v>
      </c>
      <c r="Q987" s="200">
        <f t="shared" ref="Q987:AC987" si="5011">countif($D987,"*"&amp;Q$2&amp;"*")</f>
        <v>0</v>
      </c>
      <c r="R987" s="200">
        <f t="shared" si="5011"/>
        <v>0</v>
      </c>
      <c r="S987" s="200">
        <f t="shared" si="5011"/>
        <v>0</v>
      </c>
      <c r="T987" s="200">
        <f t="shared" si="5011"/>
        <v>0</v>
      </c>
      <c r="U987" s="200">
        <f t="shared" si="5011"/>
        <v>0</v>
      </c>
      <c r="V987" s="200">
        <f t="shared" si="5011"/>
        <v>0</v>
      </c>
      <c r="W987" s="200">
        <f t="shared" si="5011"/>
        <v>0</v>
      </c>
      <c r="X987" s="200">
        <f t="shared" si="5011"/>
        <v>0</v>
      </c>
      <c r="Y987" s="200">
        <f t="shared" si="5011"/>
        <v>0</v>
      </c>
      <c r="Z987" s="200">
        <f t="shared" si="5011"/>
        <v>0</v>
      </c>
      <c r="AA987" s="200">
        <f t="shared" si="5011"/>
        <v>0</v>
      </c>
      <c r="AB987" s="200">
        <f t="shared" si="5011"/>
        <v>0</v>
      </c>
      <c r="AC987" s="200">
        <f t="shared" si="5011"/>
        <v>0</v>
      </c>
      <c r="AD987" s="200">
        <f t="shared" si="11"/>
        <v>0</v>
      </c>
      <c r="AE987" s="200">
        <f t="shared" ref="AE987:AG987" si="5012">countif($D987,"*"&amp;AE$2&amp;"*")</f>
        <v>0</v>
      </c>
      <c r="AF987" s="200">
        <f t="shared" si="5012"/>
        <v>0</v>
      </c>
      <c r="AG987" s="200">
        <f t="shared" si="5012"/>
        <v>0</v>
      </c>
      <c r="AH987" s="171">
        <f t="shared" si="13"/>
        <v>0</v>
      </c>
      <c r="AI987" s="200">
        <f t="shared" si="14"/>
        <v>0</v>
      </c>
      <c r="AJ987" s="200">
        <f t="shared" si="4907"/>
        <v>0</v>
      </c>
      <c r="AK987" s="201">
        <f t="shared" ref="AK987:AS987" si="5013">countif($D987,"*"&amp;AK$2&amp;"*")</f>
        <v>0</v>
      </c>
      <c r="AL987" s="201">
        <f t="shared" si="5013"/>
        <v>0</v>
      </c>
      <c r="AM987" s="201">
        <f t="shared" si="5013"/>
        <v>0</v>
      </c>
      <c r="AN987" s="201">
        <f t="shared" si="5013"/>
        <v>0</v>
      </c>
      <c r="AO987" s="201">
        <f t="shared" si="5013"/>
        <v>0</v>
      </c>
      <c r="AP987" s="201">
        <f t="shared" si="5013"/>
        <v>0</v>
      </c>
      <c r="AQ987" s="201">
        <f t="shared" si="5013"/>
        <v>0</v>
      </c>
      <c r="AR987" s="200">
        <f t="shared" si="5013"/>
        <v>0</v>
      </c>
      <c r="AS987" s="200">
        <f t="shared" si="5013"/>
        <v>0</v>
      </c>
      <c r="AT987" s="173">
        <v>0.0</v>
      </c>
      <c r="AU987" s="200">
        <f t="shared" ref="AU987:AX987" si="5014">countif($D987,"*"&amp;AU$2&amp;"*")</f>
        <v>0</v>
      </c>
      <c r="AV987" s="200">
        <f t="shared" si="5014"/>
        <v>1</v>
      </c>
      <c r="AW987" s="200">
        <f t="shared" si="5014"/>
        <v>0</v>
      </c>
      <c r="AX987" s="200">
        <f t="shared" si="5014"/>
        <v>0</v>
      </c>
      <c r="AY987" s="202">
        <v>0.0</v>
      </c>
      <c r="AZ987" s="200"/>
      <c r="BA987" s="171" t="str">
        <f t="shared" si="18"/>
        <v/>
      </c>
      <c r="BB987" s="171" t="str">
        <f t="shared" si="19"/>
        <v>Code</v>
      </c>
      <c r="BC987" s="171" t="str">
        <f t="shared" si="20"/>
        <v/>
      </c>
      <c r="BD987" s="171" t="str">
        <f t="shared" si="21"/>
        <v/>
      </c>
      <c r="BE987" s="171" t="str">
        <f t="shared" si="22"/>
        <v/>
      </c>
      <c r="BF987" s="171" t="str">
        <f t="shared" si="23"/>
        <v>Code</v>
      </c>
    </row>
    <row r="988">
      <c r="A988" s="171">
        <f t="array" ref="A988">XLOOKUP(C988,ICSE!A:A,ICSE!C:C,,2,1)</f>
        <v>2023</v>
      </c>
      <c r="B988" s="171" t="s">
        <v>5675</v>
      </c>
      <c r="C988" s="160">
        <v>2033.0</v>
      </c>
      <c r="D988" s="161" t="s">
        <v>2814</v>
      </c>
      <c r="E988" s="197" t="str">
        <f t="array" ref="E988">XLOOKUP(C988,ICSE!A:A,ICSE!Z:Z,,0,1)</f>
        <v>Publicly available (1)</v>
      </c>
      <c r="F988" s="198" t="s">
        <v>20</v>
      </c>
      <c r="G988" s="163" t="str">
        <f t="array" ref="G988">IF(B988="ICSE",IF(COUNTIFS(B:B,B988,C:C,C988)=XLOOKUP(C988,ICSE!A:A,ICSE!AA:AA,"ERROR",0,1),"OK","ERROR"),IF(B988="FSE",IF(COUNTIFS(B:B,B988,C:C,C988)=XLOOKUP(C988,FSE!A:A,FSE!AA:AA,"ERROR",0,1),"OK","ERROR")))</f>
        <v>OK</v>
      </c>
      <c r="H988" s="199">
        <f t="shared" ref="H988:O988" si="5015">countif($D988,"*"&amp;H$2&amp;"*")</f>
        <v>0</v>
      </c>
      <c r="I988" s="200">
        <f t="shared" si="5015"/>
        <v>0</v>
      </c>
      <c r="J988" s="200">
        <f t="shared" si="5015"/>
        <v>0</v>
      </c>
      <c r="K988" s="200">
        <f t="shared" si="5015"/>
        <v>0</v>
      </c>
      <c r="L988" s="200">
        <f t="shared" si="5015"/>
        <v>0</v>
      </c>
      <c r="M988" s="200">
        <f t="shared" si="5015"/>
        <v>0</v>
      </c>
      <c r="N988" s="200">
        <f t="shared" si="5015"/>
        <v>0</v>
      </c>
      <c r="O988" s="200">
        <f t="shared" si="5015"/>
        <v>0</v>
      </c>
      <c r="P988" s="200">
        <f t="shared" si="9"/>
        <v>1</v>
      </c>
      <c r="Q988" s="200">
        <f t="shared" ref="Q988:AC988" si="5016">countif($D988,"*"&amp;Q$2&amp;"*")</f>
        <v>0</v>
      </c>
      <c r="R988" s="200">
        <f t="shared" si="5016"/>
        <v>0</v>
      </c>
      <c r="S988" s="200">
        <f t="shared" si="5016"/>
        <v>0</v>
      </c>
      <c r="T988" s="200">
        <f t="shared" si="5016"/>
        <v>0</v>
      </c>
      <c r="U988" s="200">
        <f t="shared" si="5016"/>
        <v>0</v>
      </c>
      <c r="V988" s="200">
        <f t="shared" si="5016"/>
        <v>0</v>
      </c>
      <c r="W988" s="200">
        <f t="shared" si="5016"/>
        <v>0</v>
      </c>
      <c r="X988" s="200">
        <f t="shared" si="5016"/>
        <v>0</v>
      </c>
      <c r="Y988" s="200">
        <f t="shared" si="5016"/>
        <v>0</v>
      </c>
      <c r="Z988" s="200">
        <f t="shared" si="5016"/>
        <v>0</v>
      </c>
      <c r="AA988" s="200">
        <f t="shared" si="5016"/>
        <v>0</v>
      </c>
      <c r="AB988" s="200">
        <f t="shared" si="5016"/>
        <v>0</v>
      </c>
      <c r="AC988" s="200">
        <f t="shared" si="5016"/>
        <v>0</v>
      </c>
      <c r="AD988" s="200">
        <f t="shared" si="11"/>
        <v>0</v>
      </c>
      <c r="AE988" s="200">
        <f t="shared" ref="AE988:AG988" si="5017">countif($D988,"*"&amp;AE$2&amp;"*")</f>
        <v>0</v>
      </c>
      <c r="AF988" s="200">
        <f t="shared" si="5017"/>
        <v>0</v>
      </c>
      <c r="AG988" s="200">
        <f t="shared" si="5017"/>
        <v>0</v>
      </c>
      <c r="AH988" s="171">
        <f t="shared" si="13"/>
        <v>0</v>
      </c>
      <c r="AI988" s="200">
        <f t="shared" si="14"/>
        <v>0</v>
      </c>
      <c r="AJ988" s="200">
        <f t="shared" si="4907"/>
        <v>0</v>
      </c>
      <c r="AK988" s="201">
        <f t="shared" ref="AK988:AS988" si="5018">countif($D988,"*"&amp;AK$2&amp;"*")</f>
        <v>0</v>
      </c>
      <c r="AL988" s="201">
        <f t="shared" si="5018"/>
        <v>0</v>
      </c>
      <c r="AM988" s="201">
        <f t="shared" si="5018"/>
        <v>0</v>
      </c>
      <c r="AN988" s="201">
        <f t="shared" si="5018"/>
        <v>0</v>
      </c>
      <c r="AO988" s="201">
        <f t="shared" si="5018"/>
        <v>0</v>
      </c>
      <c r="AP988" s="201">
        <f t="shared" si="5018"/>
        <v>0</v>
      </c>
      <c r="AQ988" s="201">
        <f t="shared" si="5018"/>
        <v>0</v>
      </c>
      <c r="AR988" s="200">
        <f t="shared" si="5018"/>
        <v>0</v>
      </c>
      <c r="AS988" s="200">
        <f t="shared" si="5018"/>
        <v>0</v>
      </c>
      <c r="AT988" s="173">
        <v>0.0</v>
      </c>
      <c r="AU988" s="200">
        <f t="shared" ref="AU988:AX988" si="5019">countif($D988,"*"&amp;AU$2&amp;"*")</f>
        <v>0</v>
      </c>
      <c r="AV988" s="200">
        <f t="shared" si="5019"/>
        <v>1</v>
      </c>
      <c r="AW988" s="200">
        <f t="shared" si="5019"/>
        <v>0</v>
      </c>
      <c r="AX988" s="200">
        <f t="shared" si="5019"/>
        <v>0</v>
      </c>
      <c r="AY988" s="202">
        <v>0.0</v>
      </c>
      <c r="AZ988" s="200"/>
      <c r="BA988" s="171" t="str">
        <f t="shared" si="18"/>
        <v/>
      </c>
      <c r="BB988" s="171" t="str">
        <f t="shared" si="19"/>
        <v>Code</v>
      </c>
      <c r="BC988" s="171" t="str">
        <f t="shared" si="20"/>
        <v/>
      </c>
      <c r="BD988" s="171" t="str">
        <f t="shared" si="21"/>
        <v/>
      </c>
      <c r="BE988" s="171" t="str">
        <f t="shared" si="22"/>
        <v/>
      </c>
      <c r="BF988" s="171" t="str">
        <f t="shared" si="23"/>
        <v>Code</v>
      </c>
    </row>
    <row r="989">
      <c r="A989" s="171">
        <f t="array" ref="A989">XLOOKUP(C989,ICSE!A:A,ICSE!C:C,,2,1)</f>
        <v>2023</v>
      </c>
      <c r="B989" s="171" t="s">
        <v>5675</v>
      </c>
      <c r="C989" s="160">
        <v>2034.0</v>
      </c>
      <c r="D989" s="161" t="s">
        <v>2817</v>
      </c>
      <c r="E989" s="197" t="str">
        <f t="array" ref="E989">XLOOKUP(C989,ICSE!A:A,ICSE!Z:Z,,0,1)</f>
        <v>Publicly available (1)</v>
      </c>
      <c r="F989" s="198" t="s">
        <v>20</v>
      </c>
      <c r="G989" s="163" t="str">
        <f t="array" ref="G989">IF(B989="ICSE",IF(COUNTIFS(B:B,B989,C:C,C989)=XLOOKUP(C989,ICSE!A:A,ICSE!AA:AA,"ERROR",0,1),"OK","ERROR"),IF(B989="FSE",IF(COUNTIFS(B:B,B989,C:C,C989)=XLOOKUP(C989,FSE!A:A,FSE!AA:AA,"ERROR",0,1),"OK","ERROR")))</f>
        <v>OK</v>
      </c>
      <c r="H989" s="199">
        <f t="shared" ref="H989:O989" si="5020">countif($D989,"*"&amp;H$2&amp;"*")</f>
        <v>0</v>
      </c>
      <c r="I989" s="200">
        <f t="shared" si="5020"/>
        <v>1</v>
      </c>
      <c r="J989" s="200">
        <f t="shared" si="5020"/>
        <v>0</v>
      </c>
      <c r="K989" s="200">
        <f t="shared" si="5020"/>
        <v>0</v>
      </c>
      <c r="L989" s="200">
        <f t="shared" si="5020"/>
        <v>0</v>
      </c>
      <c r="M989" s="200">
        <f t="shared" si="5020"/>
        <v>0</v>
      </c>
      <c r="N989" s="200">
        <f t="shared" si="5020"/>
        <v>0</v>
      </c>
      <c r="O989" s="200">
        <f t="shared" si="5020"/>
        <v>0</v>
      </c>
      <c r="P989" s="200">
        <f t="shared" si="9"/>
        <v>0</v>
      </c>
      <c r="Q989" s="200">
        <f t="shared" ref="Q989:AC989" si="5021">countif($D989,"*"&amp;Q$2&amp;"*")</f>
        <v>0</v>
      </c>
      <c r="R989" s="200">
        <f t="shared" si="5021"/>
        <v>0</v>
      </c>
      <c r="S989" s="200">
        <f t="shared" si="5021"/>
        <v>0</v>
      </c>
      <c r="T989" s="200">
        <f t="shared" si="5021"/>
        <v>0</v>
      </c>
      <c r="U989" s="200">
        <f t="shared" si="5021"/>
        <v>0</v>
      </c>
      <c r="V989" s="200">
        <f t="shared" si="5021"/>
        <v>0</v>
      </c>
      <c r="W989" s="200">
        <f t="shared" si="5021"/>
        <v>0</v>
      </c>
      <c r="X989" s="200">
        <f t="shared" si="5021"/>
        <v>0</v>
      </c>
      <c r="Y989" s="200">
        <f t="shared" si="5021"/>
        <v>0</v>
      </c>
      <c r="Z989" s="200">
        <f t="shared" si="5021"/>
        <v>0</v>
      </c>
      <c r="AA989" s="200">
        <f t="shared" si="5021"/>
        <v>0</v>
      </c>
      <c r="AB989" s="200">
        <f t="shared" si="5021"/>
        <v>0</v>
      </c>
      <c r="AC989" s="200">
        <f t="shared" si="5021"/>
        <v>0</v>
      </c>
      <c r="AD989" s="200">
        <f t="shared" si="11"/>
        <v>0</v>
      </c>
      <c r="AE989" s="200">
        <f t="shared" ref="AE989:AG989" si="5022">countif($D989,"*"&amp;AE$2&amp;"*")</f>
        <v>0</v>
      </c>
      <c r="AF989" s="200">
        <f t="shared" si="5022"/>
        <v>0</v>
      </c>
      <c r="AG989" s="200">
        <f t="shared" si="5022"/>
        <v>0</v>
      </c>
      <c r="AH989" s="171">
        <f t="shared" si="13"/>
        <v>0</v>
      </c>
      <c r="AI989" s="200">
        <f t="shared" si="14"/>
        <v>1</v>
      </c>
      <c r="AJ989" s="200">
        <f t="shared" si="4907"/>
        <v>0</v>
      </c>
      <c r="AK989" s="201">
        <f t="shared" ref="AK989:AS989" si="5023">countif($D989,"*"&amp;AK$2&amp;"*")</f>
        <v>0</v>
      </c>
      <c r="AL989" s="201">
        <f t="shared" si="5023"/>
        <v>0</v>
      </c>
      <c r="AM989" s="201">
        <f t="shared" si="5023"/>
        <v>0</v>
      </c>
      <c r="AN989" s="201">
        <f t="shared" si="5023"/>
        <v>0</v>
      </c>
      <c r="AO989" s="201">
        <f t="shared" si="5023"/>
        <v>0</v>
      </c>
      <c r="AP989" s="201">
        <f t="shared" si="5023"/>
        <v>0</v>
      </c>
      <c r="AQ989" s="201">
        <f t="shared" si="5023"/>
        <v>0</v>
      </c>
      <c r="AR989" s="200">
        <f t="shared" si="5023"/>
        <v>0</v>
      </c>
      <c r="AS989" s="200">
        <f t="shared" si="5023"/>
        <v>0</v>
      </c>
      <c r="AT989" s="173">
        <v>0.0</v>
      </c>
      <c r="AU989" s="200">
        <f t="shared" ref="AU989:AX989" si="5024">countif($D989,"*"&amp;AU$2&amp;"*")</f>
        <v>0</v>
      </c>
      <c r="AV989" s="200">
        <f t="shared" si="5024"/>
        <v>0</v>
      </c>
      <c r="AW989" s="200">
        <f t="shared" si="5024"/>
        <v>0</v>
      </c>
      <c r="AX989" s="200">
        <f t="shared" si="5024"/>
        <v>0</v>
      </c>
      <c r="AY989" s="204">
        <v>1.0</v>
      </c>
      <c r="AZ989" s="200"/>
      <c r="BA989" s="171" t="str">
        <f t="shared" si="18"/>
        <v>Archival</v>
      </c>
      <c r="BB989" s="171" t="str">
        <f t="shared" si="19"/>
        <v/>
      </c>
      <c r="BC989" s="171" t="str">
        <f t="shared" si="20"/>
        <v/>
      </c>
      <c r="BD989" s="171" t="str">
        <f t="shared" si="21"/>
        <v/>
      </c>
      <c r="BE989" s="171" t="str">
        <f t="shared" si="22"/>
        <v/>
      </c>
      <c r="BF989" s="171" t="str">
        <f t="shared" si="23"/>
        <v>Archival</v>
      </c>
    </row>
    <row r="990">
      <c r="A990" s="171">
        <f t="array" ref="A990">XLOOKUP(C990,ICSE!A:A,ICSE!C:C,,2,1)</f>
        <v>2023</v>
      </c>
      <c r="B990" s="171" t="s">
        <v>5675</v>
      </c>
      <c r="C990" s="160">
        <v>2035.0</v>
      </c>
      <c r="D990" s="161" t="s">
        <v>2820</v>
      </c>
      <c r="E990" s="197" t="str">
        <f t="array" ref="E990">XLOOKUP(C990,ICSE!A:A,ICSE!Z:Z,,0,1)</f>
        <v>Publicly available (1)</v>
      </c>
      <c r="F990" s="198" t="s">
        <v>20</v>
      </c>
      <c r="G990" s="163" t="str">
        <f t="array" ref="G990">IF(B990="ICSE",IF(COUNTIFS(B:B,B990,C:C,C990)=XLOOKUP(C990,ICSE!A:A,ICSE!AA:AA,"ERROR",0,1),"OK","ERROR"),IF(B990="FSE",IF(COUNTIFS(B:B,B990,C:C,C990)=XLOOKUP(C990,FSE!A:A,FSE!AA:AA,"ERROR",0,1),"OK","ERROR")))</f>
        <v>OK</v>
      </c>
      <c r="H990" s="199">
        <f t="shared" ref="H990:O990" si="5025">countif($D990,"*"&amp;H$2&amp;"*")</f>
        <v>0</v>
      </c>
      <c r="I990" s="200">
        <f t="shared" si="5025"/>
        <v>0</v>
      </c>
      <c r="J990" s="200">
        <f t="shared" si="5025"/>
        <v>0</v>
      </c>
      <c r="K990" s="200">
        <f t="shared" si="5025"/>
        <v>0</v>
      </c>
      <c r="L990" s="200">
        <f t="shared" si="5025"/>
        <v>0</v>
      </c>
      <c r="M990" s="200">
        <f t="shared" si="5025"/>
        <v>0</v>
      </c>
      <c r="N990" s="200">
        <f t="shared" si="5025"/>
        <v>0</v>
      </c>
      <c r="O990" s="200">
        <f t="shared" si="5025"/>
        <v>0</v>
      </c>
      <c r="P990" s="200">
        <f t="shared" si="9"/>
        <v>1</v>
      </c>
      <c r="Q990" s="200">
        <f t="shared" ref="Q990:AC990" si="5026">countif($D990,"*"&amp;Q$2&amp;"*")</f>
        <v>0</v>
      </c>
      <c r="R990" s="200">
        <f t="shared" si="5026"/>
        <v>0</v>
      </c>
      <c r="S990" s="200">
        <f t="shared" si="5026"/>
        <v>0</v>
      </c>
      <c r="T990" s="200">
        <f t="shared" si="5026"/>
        <v>0</v>
      </c>
      <c r="U990" s="200">
        <f t="shared" si="5026"/>
        <v>0</v>
      </c>
      <c r="V990" s="200">
        <f t="shared" si="5026"/>
        <v>0</v>
      </c>
      <c r="W990" s="200">
        <f t="shared" si="5026"/>
        <v>0</v>
      </c>
      <c r="X990" s="200">
        <f t="shared" si="5026"/>
        <v>0</v>
      </c>
      <c r="Y990" s="200">
        <f t="shared" si="5026"/>
        <v>0</v>
      </c>
      <c r="Z990" s="200">
        <f t="shared" si="5026"/>
        <v>0</v>
      </c>
      <c r="AA990" s="200">
        <f t="shared" si="5026"/>
        <v>0</v>
      </c>
      <c r="AB990" s="200">
        <f t="shared" si="5026"/>
        <v>0</v>
      </c>
      <c r="AC990" s="200">
        <f t="shared" si="5026"/>
        <v>0</v>
      </c>
      <c r="AD990" s="200">
        <f t="shared" si="11"/>
        <v>0</v>
      </c>
      <c r="AE990" s="200">
        <f t="shared" ref="AE990:AG990" si="5027">countif($D990,"*"&amp;AE$2&amp;"*")</f>
        <v>0</v>
      </c>
      <c r="AF990" s="200">
        <f t="shared" si="5027"/>
        <v>0</v>
      </c>
      <c r="AG990" s="200">
        <f t="shared" si="5027"/>
        <v>0</v>
      </c>
      <c r="AH990" s="171">
        <f t="shared" si="13"/>
        <v>0</v>
      </c>
      <c r="AI990" s="200">
        <f t="shared" si="14"/>
        <v>0</v>
      </c>
      <c r="AJ990" s="200">
        <f t="shared" si="4907"/>
        <v>0</v>
      </c>
      <c r="AK990" s="201">
        <f t="shared" ref="AK990:AS990" si="5028">countif($D990,"*"&amp;AK$2&amp;"*")</f>
        <v>0</v>
      </c>
      <c r="AL990" s="201">
        <f t="shared" si="5028"/>
        <v>0</v>
      </c>
      <c r="AM990" s="201">
        <f t="shared" si="5028"/>
        <v>0</v>
      </c>
      <c r="AN990" s="201">
        <f t="shared" si="5028"/>
        <v>0</v>
      </c>
      <c r="AO990" s="201">
        <f t="shared" si="5028"/>
        <v>0</v>
      </c>
      <c r="AP990" s="201">
        <f t="shared" si="5028"/>
        <v>0</v>
      </c>
      <c r="AQ990" s="201">
        <f t="shared" si="5028"/>
        <v>0</v>
      </c>
      <c r="AR990" s="200">
        <f t="shared" si="5028"/>
        <v>0</v>
      </c>
      <c r="AS990" s="200">
        <f t="shared" si="5028"/>
        <v>0</v>
      </c>
      <c r="AT990" s="173">
        <v>0.0</v>
      </c>
      <c r="AU990" s="200">
        <f t="shared" ref="AU990:AX990" si="5029">countif($D990,"*"&amp;AU$2&amp;"*")</f>
        <v>0</v>
      </c>
      <c r="AV990" s="200">
        <f t="shared" si="5029"/>
        <v>1</v>
      </c>
      <c r="AW990" s="200">
        <f t="shared" si="5029"/>
        <v>0</v>
      </c>
      <c r="AX990" s="200">
        <f t="shared" si="5029"/>
        <v>0</v>
      </c>
      <c r="AY990" s="202">
        <v>0.0</v>
      </c>
      <c r="AZ990" s="200"/>
      <c r="BA990" s="171" t="str">
        <f t="shared" si="18"/>
        <v/>
      </c>
      <c r="BB990" s="171" t="str">
        <f t="shared" si="19"/>
        <v>Code</v>
      </c>
      <c r="BC990" s="171" t="str">
        <f t="shared" si="20"/>
        <v/>
      </c>
      <c r="BD990" s="171" t="str">
        <f t="shared" si="21"/>
        <v/>
      </c>
      <c r="BE990" s="171" t="str">
        <f t="shared" si="22"/>
        <v/>
      </c>
      <c r="BF990" s="171" t="str">
        <f t="shared" si="23"/>
        <v>Code</v>
      </c>
    </row>
    <row r="991">
      <c r="A991" s="171">
        <f t="array" ref="A991">XLOOKUP(C991,ICSE!A:A,ICSE!C:C,,2,1)</f>
        <v>2023</v>
      </c>
      <c r="B991" s="171" t="s">
        <v>5675</v>
      </c>
      <c r="C991" s="160">
        <v>2036.0</v>
      </c>
      <c r="D991" s="161" t="s">
        <v>2822</v>
      </c>
      <c r="E991" s="197" t="str">
        <f t="array" ref="E991">XLOOKUP(C991,ICSE!A:A,ICSE!Z:Z,,0,1)</f>
        <v>Publicly available (1)</v>
      </c>
      <c r="F991" s="198" t="s">
        <v>20</v>
      </c>
      <c r="G991" s="163" t="str">
        <f t="array" ref="G991">IF(B991="ICSE",IF(COUNTIFS(B:B,B991,C:C,C991)=XLOOKUP(C991,ICSE!A:A,ICSE!AA:AA,"ERROR",0,1),"OK","ERROR"),IF(B991="FSE",IF(COUNTIFS(B:B,B991,C:C,C991)=XLOOKUP(C991,FSE!A:A,FSE!AA:AA,"ERROR",0,1),"OK","ERROR")))</f>
        <v>OK</v>
      </c>
      <c r="H991" s="199">
        <f t="shared" ref="H991:O991" si="5030">countif($D991,"*"&amp;H$2&amp;"*")</f>
        <v>0</v>
      </c>
      <c r="I991" s="200">
        <f t="shared" si="5030"/>
        <v>0</v>
      </c>
      <c r="J991" s="200">
        <f t="shared" si="5030"/>
        <v>0</v>
      </c>
      <c r="K991" s="200">
        <f t="shared" si="5030"/>
        <v>0</v>
      </c>
      <c r="L991" s="200">
        <f t="shared" si="5030"/>
        <v>0</v>
      </c>
      <c r="M991" s="200">
        <f t="shared" si="5030"/>
        <v>0</v>
      </c>
      <c r="N991" s="200">
        <f t="shared" si="5030"/>
        <v>0</v>
      </c>
      <c r="O991" s="200">
        <f t="shared" si="5030"/>
        <v>0</v>
      </c>
      <c r="P991" s="200">
        <f t="shared" si="9"/>
        <v>1</v>
      </c>
      <c r="Q991" s="200">
        <f t="shared" ref="Q991:AC991" si="5031">countif($D991,"*"&amp;Q$2&amp;"*")</f>
        <v>0</v>
      </c>
      <c r="R991" s="200">
        <f t="shared" si="5031"/>
        <v>0</v>
      </c>
      <c r="S991" s="200">
        <f t="shared" si="5031"/>
        <v>0</v>
      </c>
      <c r="T991" s="200">
        <f t="shared" si="5031"/>
        <v>0</v>
      </c>
      <c r="U991" s="200">
        <f t="shared" si="5031"/>
        <v>0</v>
      </c>
      <c r="V991" s="200">
        <f t="shared" si="5031"/>
        <v>0</v>
      </c>
      <c r="W991" s="200">
        <f t="shared" si="5031"/>
        <v>0</v>
      </c>
      <c r="X991" s="200">
        <f t="shared" si="5031"/>
        <v>0</v>
      </c>
      <c r="Y991" s="200">
        <f t="shared" si="5031"/>
        <v>0</v>
      </c>
      <c r="Z991" s="200">
        <f t="shared" si="5031"/>
        <v>0</v>
      </c>
      <c r="AA991" s="200">
        <f t="shared" si="5031"/>
        <v>0</v>
      </c>
      <c r="AB991" s="200">
        <f t="shared" si="5031"/>
        <v>0</v>
      </c>
      <c r="AC991" s="200">
        <f t="shared" si="5031"/>
        <v>0</v>
      </c>
      <c r="AD991" s="200">
        <f t="shared" si="11"/>
        <v>0</v>
      </c>
      <c r="AE991" s="200">
        <f t="shared" ref="AE991:AG991" si="5032">countif($D991,"*"&amp;AE$2&amp;"*")</f>
        <v>0</v>
      </c>
      <c r="AF991" s="200">
        <f t="shared" si="5032"/>
        <v>0</v>
      </c>
      <c r="AG991" s="200">
        <f t="shared" si="5032"/>
        <v>0</v>
      </c>
      <c r="AH991" s="171">
        <f t="shared" si="13"/>
        <v>0</v>
      </c>
      <c r="AI991" s="200">
        <f t="shared" si="14"/>
        <v>0</v>
      </c>
      <c r="AJ991" s="200">
        <f t="shared" si="4907"/>
        <v>0</v>
      </c>
      <c r="AK991" s="201">
        <f t="shared" ref="AK991:AS991" si="5033">countif($D991,"*"&amp;AK$2&amp;"*")</f>
        <v>0</v>
      </c>
      <c r="AL991" s="201">
        <f t="shared" si="5033"/>
        <v>0</v>
      </c>
      <c r="AM991" s="201">
        <f t="shared" si="5033"/>
        <v>0</v>
      </c>
      <c r="AN991" s="201">
        <f t="shared" si="5033"/>
        <v>0</v>
      </c>
      <c r="AO991" s="201">
        <f t="shared" si="5033"/>
        <v>0</v>
      </c>
      <c r="AP991" s="201">
        <f t="shared" si="5033"/>
        <v>0</v>
      </c>
      <c r="AQ991" s="201">
        <f t="shared" si="5033"/>
        <v>0</v>
      </c>
      <c r="AR991" s="200">
        <f t="shared" si="5033"/>
        <v>0</v>
      </c>
      <c r="AS991" s="200">
        <f t="shared" si="5033"/>
        <v>0</v>
      </c>
      <c r="AT991" s="173">
        <v>0.0</v>
      </c>
      <c r="AU991" s="200">
        <f t="shared" ref="AU991:AX991" si="5034">countif($D991,"*"&amp;AU$2&amp;"*")</f>
        <v>0</v>
      </c>
      <c r="AV991" s="200">
        <f t="shared" si="5034"/>
        <v>1</v>
      </c>
      <c r="AW991" s="200">
        <f t="shared" si="5034"/>
        <v>0</v>
      </c>
      <c r="AX991" s="200">
        <f t="shared" si="5034"/>
        <v>0</v>
      </c>
      <c r="AY991" s="202">
        <v>0.0</v>
      </c>
      <c r="AZ991" s="200"/>
      <c r="BA991" s="171" t="str">
        <f t="shared" si="18"/>
        <v/>
      </c>
      <c r="BB991" s="171" t="str">
        <f t="shared" si="19"/>
        <v>Code</v>
      </c>
      <c r="BC991" s="171" t="str">
        <f t="shared" si="20"/>
        <v/>
      </c>
      <c r="BD991" s="171" t="str">
        <f t="shared" si="21"/>
        <v/>
      </c>
      <c r="BE991" s="171" t="str">
        <f t="shared" si="22"/>
        <v/>
      </c>
      <c r="BF991" s="171" t="str">
        <f t="shared" si="23"/>
        <v>Code</v>
      </c>
    </row>
    <row r="992">
      <c r="A992" s="171">
        <f t="array" ref="A992">XLOOKUP(C992,ICSE!A:A,ICSE!C:C,,2,1)</f>
        <v>2023</v>
      </c>
      <c r="B992" s="171" t="s">
        <v>5675</v>
      </c>
      <c r="C992" s="160">
        <v>2037.0</v>
      </c>
      <c r="D992" s="161" t="s">
        <v>6083</v>
      </c>
      <c r="E992" s="197" t="str">
        <f t="array" ref="E992">XLOOKUP(C992,ICSE!A:A,ICSE!Z:Z,,0,1)</f>
        <v>Publicly available (2)</v>
      </c>
      <c r="F992" s="198" t="s">
        <v>20</v>
      </c>
      <c r="G992" s="163" t="str">
        <f t="array" ref="G992">IF(B992="ICSE",IF(COUNTIFS(B:B,B992,C:C,C992)=XLOOKUP(C992,ICSE!A:A,ICSE!AA:AA,"ERROR",0,1),"OK","ERROR"),IF(B992="FSE",IF(COUNTIFS(B:B,B992,C:C,C992)=XLOOKUP(C992,FSE!A:A,FSE!AA:AA,"ERROR",0,1),"OK","ERROR")))</f>
        <v>OK</v>
      </c>
      <c r="H992" s="199">
        <f t="shared" ref="H992:O992" si="5035">countif($D992,"*"&amp;H$2&amp;"*")</f>
        <v>0</v>
      </c>
      <c r="I992" s="200">
        <f t="shared" si="5035"/>
        <v>0</v>
      </c>
      <c r="J992" s="200">
        <f t="shared" si="5035"/>
        <v>0</v>
      </c>
      <c r="K992" s="200">
        <f t="shared" si="5035"/>
        <v>0</v>
      </c>
      <c r="L992" s="200">
        <f t="shared" si="5035"/>
        <v>0</v>
      </c>
      <c r="M992" s="200">
        <f t="shared" si="5035"/>
        <v>0</v>
      </c>
      <c r="N992" s="200">
        <f t="shared" si="5035"/>
        <v>0</v>
      </c>
      <c r="O992" s="200">
        <f t="shared" si="5035"/>
        <v>0</v>
      </c>
      <c r="P992" s="200">
        <f t="shared" si="9"/>
        <v>1</v>
      </c>
      <c r="Q992" s="200">
        <f t="shared" ref="Q992:AC992" si="5036">countif($D992,"*"&amp;Q$2&amp;"*")</f>
        <v>0</v>
      </c>
      <c r="R992" s="200">
        <f t="shared" si="5036"/>
        <v>0</v>
      </c>
      <c r="S992" s="200">
        <f t="shared" si="5036"/>
        <v>0</v>
      </c>
      <c r="T992" s="200">
        <f t="shared" si="5036"/>
        <v>0</v>
      </c>
      <c r="U992" s="200">
        <f t="shared" si="5036"/>
        <v>0</v>
      </c>
      <c r="V992" s="200">
        <f t="shared" si="5036"/>
        <v>0</v>
      </c>
      <c r="W992" s="200">
        <f t="shared" si="5036"/>
        <v>0</v>
      </c>
      <c r="X992" s="200">
        <f t="shared" si="5036"/>
        <v>0</v>
      </c>
      <c r="Y992" s="200">
        <f t="shared" si="5036"/>
        <v>0</v>
      </c>
      <c r="Z992" s="200">
        <f t="shared" si="5036"/>
        <v>0</v>
      </c>
      <c r="AA992" s="200">
        <f t="shared" si="5036"/>
        <v>0</v>
      </c>
      <c r="AB992" s="200">
        <f t="shared" si="5036"/>
        <v>0</v>
      </c>
      <c r="AC992" s="200">
        <f t="shared" si="5036"/>
        <v>0</v>
      </c>
      <c r="AD992" s="200">
        <f t="shared" si="11"/>
        <v>0</v>
      </c>
      <c r="AE992" s="200">
        <f t="shared" ref="AE992:AG992" si="5037">countif($D992,"*"&amp;AE$2&amp;"*")</f>
        <v>0</v>
      </c>
      <c r="AF992" s="200">
        <f t="shared" si="5037"/>
        <v>0</v>
      </c>
      <c r="AG992" s="200">
        <f t="shared" si="5037"/>
        <v>0</v>
      </c>
      <c r="AH992" s="171">
        <f t="shared" si="13"/>
        <v>0</v>
      </c>
      <c r="AI992" s="200">
        <f t="shared" si="14"/>
        <v>0</v>
      </c>
      <c r="AJ992" s="200">
        <f t="shared" si="4907"/>
        <v>0</v>
      </c>
      <c r="AK992" s="201">
        <f t="shared" ref="AK992:AS992" si="5038">countif($D992,"*"&amp;AK$2&amp;"*")</f>
        <v>0</v>
      </c>
      <c r="AL992" s="201">
        <f t="shared" si="5038"/>
        <v>0</v>
      </c>
      <c r="AM992" s="201">
        <f t="shared" si="5038"/>
        <v>0</v>
      </c>
      <c r="AN992" s="201">
        <f t="shared" si="5038"/>
        <v>0</v>
      </c>
      <c r="AO992" s="201">
        <f t="shared" si="5038"/>
        <v>0</v>
      </c>
      <c r="AP992" s="201">
        <f t="shared" si="5038"/>
        <v>0</v>
      </c>
      <c r="AQ992" s="201">
        <f t="shared" si="5038"/>
        <v>0</v>
      </c>
      <c r="AR992" s="200">
        <f t="shared" si="5038"/>
        <v>0</v>
      </c>
      <c r="AS992" s="200">
        <f t="shared" si="5038"/>
        <v>0</v>
      </c>
      <c r="AT992" s="173">
        <v>0.0</v>
      </c>
      <c r="AU992" s="200">
        <f t="shared" ref="AU992:AX992" si="5039">countif($D992,"*"&amp;AU$2&amp;"*")</f>
        <v>0</v>
      </c>
      <c r="AV992" s="200">
        <f t="shared" si="5039"/>
        <v>1</v>
      </c>
      <c r="AW992" s="200">
        <f t="shared" si="5039"/>
        <v>0</v>
      </c>
      <c r="AX992" s="200">
        <f t="shared" si="5039"/>
        <v>0</v>
      </c>
      <c r="AY992" s="202">
        <v>0.0</v>
      </c>
      <c r="AZ992" s="200"/>
      <c r="BA992" s="171" t="str">
        <f t="shared" si="18"/>
        <v/>
      </c>
      <c r="BB992" s="171" t="str">
        <f t="shared" si="19"/>
        <v>Code</v>
      </c>
      <c r="BC992" s="171" t="str">
        <f t="shared" si="20"/>
        <v/>
      </c>
      <c r="BD992" s="171" t="str">
        <f t="shared" si="21"/>
        <v/>
      </c>
      <c r="BE992" s="171" t="str">
        <f t="shared" si="22"/>
        <v/>
      </c>
      <c r="BF992" s="171" t="str">
        <f t="shared" si="23"/>
        <v>Code</v>
      </c>
    </row>
    <row r="993">
      <c r="A993" s="171">
        <f t="array" ref="A993">XLOOKUP(C993,ICSE!A:A,ICSE!C:C,,2,1)</f>
        <v>2023</v>
      </c>
      <c r="B993" s="171" t="s">
        <v>5675</v>
      </c>
      <c r="C993" s="160">
        <v>2037.0</v>
      </c>
      <c r="D993" s="161" t="s">
        <v>6084</v>
      </c>
      <c r="E993" s="197" t="str">
        <f t="array" ref="E993">XLOOKUP(C993,ICSE!A:A,ICSE!Z:Z,,0,1)</f>
        <v>Publicly available (2)</v>
      </c>
      <c r="F993" s="198" t="s">
        <v>20</v>
      </c>
      <c r="G993" s="163" t="str">
        <f t="array" ref="G993">IF(B993="ICSE",IF(COUNTIFS(B:B,B993,C:C,C993)=XLOOKUP(C993,ICSE!A:A,ICSE!AA:AA,"ERROR",0,1),"OK","ERROR"),IF(B993="FSE",IF(COUNTIFS(B:B,B993,C:C,C993)=XLOOKUP(C993,FSE!A:A,FSE!AA:AA,"ERROR",0,1),"OK","ERROR")))</f>
        <v>OK</v>
      </c>
      <c r="H993" s="199">
        <f t="shared" ref="H993:O993" si="5040">countif($D993,"*"&amp;H$2&amp;"*")</f>
        <v>0</v>
      </c>
      <c r="I993" s="200">
        <f t="shared" si="5040"/>
        <v>1</v>
      </c>
      <c r="J993" s="200">
        <f t="shared" si="5040"/>
        <v>0</v>
      </c>
      <c r="K993" s="200">
        <f t="shared" si="5040"/>
        <v>0</v>
      </c>
      <c r="L993" s="200">
        <f t="shared" si="5040"/>
        <v>0</v>
      </c>
      <c r="M993" s="200">
        <f t="shared" si="5040"/>
        <v>0</v>
      </c>
      <c r="N993" s="200">
        <f t="shared" si="5040"/>
        <v>0</v>
      </c>
      <c r="O993" s="200">
        <f t="shared" si="5040"/>
        <v>0</v>
      </c>
      <c r="P993" s="200">
        <f t="shared" si="9"/>
        <v>0</v>
      </c>
      <c r="Q993" s="200">
        <f t="shared" ref="Q993:AC993" si="5041">countif($D993,"*"&amp;Q$2&amp;"*")</f>
        <v>0</v>
      </c>
      <c r="R993" s="200">
        <f t="shared" si="5041"/>
        <v>0</v>
      </c>
      <c r="S993" s="200">
        <f t="shared" si="5041"/>
        <v>0</v>
      </c>
      <c r="T993" s="200">
        <f t="shared" si="5041"/>
        <v>0</v>
      </c>
      <c r="U993" s="200">
        <f t="shared" si="5041"/>
        <v>0</v>
      </c>
      <c r="V993" s="200">
        <f t="shared" si="5041"/>
        <v>0</v>
      </c>
      <c r="W993" s="200">
        <f t="shared" si="5041"/>
        <v>0</v>
      </c>
      <c r="X993" s="200">
        <f t="shared" si="5041"/>
        <v>0</v>
      </c>
      <c r="Y993" s="200">
        <f t="shared" si="5041"/>
        <v>0</v>
      </c>
      <c r="Z993" s="200">
        <f t="shared" si="5041"/>
        <v>0</v>
      </c>
      <c r="AA993" s="200">
        <f t="shared" si="5041"/>
        <v>0</v>
      </c>
      <c r="AB993" s="200">
        <f t="shared" si="5041"/>
        <v>0</v>
      </c>
      <c r="AC993" s="200">
        <f t="shared" si="5041"/>
        <v>0</v>
      </c>
      <c r="AD993" s="200">
        <f t="shared" si="11"/>
        <v>0</v>
      </c>
      <c r="AE993" s="200">
        <f t="shared" ref="AE993:AG993" si="5042">countif($D993,"*"&amp;AE$2&amp;"*")</f>
        <v>0</v>
      </c>
      <c r="AF993" s="200">
        <f t="shared" si="5042"/>
        <v>0</v>
      </c>
      <c r="AG993" s="200">
        <f t="shared" si="5042"/>
        <v>0</v>
      </c>
      <c r="AH993" s="171">
        <f t="shared" si="13"/>
        <v>0</v>
      </c>
      <c r="AI993" s="200">
        <f t="shared" si="14"/>
        <v>1</v>
      </c>
      <c r="AJ993" s="200">
        <f t="shared" si="4907"/>
        <v>0</v>
      </c>
      <c r="AK993" s="201">
        <f t="shared" ref="AK993:AS993" si="5043">countif($D993,"*"&amp;AK$2&amp;"*")</f>
        <v>0</v>
      </c>
      <c r="AL993" s="201">
        <f t="shared" si="5043"/>
        <v>0</v>
      </c>
      <c r="AM993" s="201">
        <f t="shared" si="5043"/>
        <v>0</v>
      </c>
      <c r="AN993" s="201">
        <f t="shared" si="5043"/>
        <v>0</v>
      </c>
      <c r="AO993" s="201">
        <f t="shared" si="5043"/>
        <v>0</v>
      </c>
      <c r="AP993" s="201">
        <f t="shared" si="5043"/>
        <v>0</v>
      </c>
      <c r="AQ993" s="201">
        <f t="shared" si="5043"/>
        <v>0</v>
      </c>
      <c r="AR993" s="200">
        <f t="shared" si="5043"/>
        <v>0</v>
      </c>
      <c r="AS993" s="200">
        <f t="shared" si="5043"/>
        <v>0</v>
      </c>
      <c r="AT993" s="173">
        <v>0.0</v>
      </c>
      <c r="AU993" s="200">
        <f t="shared" ref="AU993:AX993" si="5044">countif($D993,"*"&amp;AU$2&amp;"*")</f>
        <v>0</v>
      </c>
      <c r="AV993" s="200">
        <f t="shared" si="5044"/>
        <v>0</v>
      </c>
      <c r="AW993" s="200">
        <f t="shared" si="5044"/>
        <v>0</v>
      </c>
      <c r="AX993" s="200">
        <f t="shared" si="5044"/>
        <v>0</v>
      </c>
      <c r="AY993" s="204">
        <v>1.0</v>
      </c>
      <c r="AZ993" s="200"/>
      <c r="BA993" s="171" t="str">
        <f t="shared" si="18"/>
        <v>Archival</v>
      </c>
      <c r="BB993" s="171" t="str">
        <f t="shared" si="19"/>
        <v/>
      </c>
      <c r="BC993" s="171" t="str">
        <f t="shared" si="20"/>
        <v/>
      </c>
      <c r="BD993" s="171" t="str">
        <f t="shared" si="21"/>
        <v/>
      </c>
      <c r="BE993" s="171" t="str">
        <f t="shared" si="22"/>
        <v/>
      </c>
      <c r="BF993" s="171" t="str">
        <f t="shared" si="23"/>
        <v>Archival</v>
      </c>
    </row>
    <row r="994">
      <c r="A994" s="171">
        <f t="array" ref="A994">XLOOKUP(C994,ICSE!A:A,ICSE!C:C,,2,1)</f>
        <v>2023</v>
      </c>
      <c r="B994" s="171" t="s">
        <v>5675</v>
      </c>
      <c r="C994" s="160">
        <v>2038.0</v>
      </c>
      <c r="D994" s="161" t="s">
        <v>2828</v>
      </c>
      <c r="E994" s="197" t="str">
        <f t="array" ref="E994">XLOOKUP(C994,ICSE!A:A,ICSE!Z:Z,,0,1)</f>
        <v>Publicly available (1)</v>
      </c>
      <c r="F994" s="198" t="s">
        <v>20</v>
      </c>
      <c r="G994" s="163" t="str">
        <f t="array" ref="G994">IF(B994="ICSE",IF(COUNTIFS(B:B,B994,C:C,C994)=XLOOKUP(C994,ICSE!A:A,ICSE!AA:AA,"ERROR",0,1),"OK","ERROR"),IF(B994="FSE",IF(COUNTIFS(B:B,B994,C:C,C994)=XLOOKUP(C994,FSE!A:A,FSE!AA:AA,"ERROR",0,1),"OK","ERROR")))</f>
        <v>OK</v>
      </c>
      <c r="H994" s="199">
        <f t="shared" ref="H994:O994" si="5045">countif($D994,"*"&amp;H$2&amp;"*")</f>
        <v>0</v>
      </c>
      <c r="I994" s="200">
        <f t="shared" si="5045"/>
        <v>0</v>
      </c>
      <c r="J994" s="200">
        <f t="shared" si="5045"/>
        <v>0</v>
      </c>
      <c r="K994" s="200">
        <f t="shared" si="5045"/>
        <v>0</v>
      </c>
      <c r="L994" s="200">
        <f t="shared" si="5045"/>
        <v>0</v>
      </c>
      <c r="M994" s="200">
        <f t="shared" si="5045"/>
        <v>0</v>
      </c>
      <c r="N994" s="200">
        <f t="shared" si="5045"/>
        <v>0</v>
      </c>
      <c r="O994" s="200">
        <f t="shared" si="5045"/>
        <v>0</v>
      </c>
      <c r="P994" s="200">
        <f t="shared" si="9"/>
        <v>1</v>
      </c>
      <c r="Q994" s="200">
        <f t="shared" ref="Q994:AC994" si="5046">countif($D994,"*"&amp;Q$2&amp;"*")</f>
        <v>0</v>
      </c>
      <c r="R994" s="200">
        <f t="shared" si="5046"/>
        <v>0</v>
      </c>
      <c r="S994" s="200">
        <f t="shared" si="5046"/>
        <v>0</v>
      </c>
      <c r="T994" s="200">
        <f t="shared" si="5046"/>
        <v>0</v>
      </c>
      <c r="U994" s="200">
        <f t="shared" si="5046"/>
        <v>0</v>
      </c>
      <c r="V994" s="200">
        <f t="shared" si="5046"/>
        <v>0</v>
      </c>
      <c r="W994" s="200">
        <f t="shared" si="5046"/>
        <v>0</v>
      </c>
      <c r="X994" s="200">
        <f t="shared" si="5046"/>
        <v>0</v>
      </c>
      <c r="Y994" s="200">
        <f t="shared" si="5046"/>
        <v>0</v>
      </c>
      <c r="Z994" s="200">
        <f t="shared" si="5046"/>
        <v>0</v>
      </c>
      <c r="AA994" s="200">
        <f t="shared" si="5046"/>
        <v>0</v>
      </c>
      <c r="AB994" s="200">
        <f t="shared" si="5046"/>
        <v>0</v>
      </c>
      <c r="AC994" s="200">
        <f t="shared" si="5046"/>
        <v>0</v>
      </c>
      <c r="AD994" s="200">
        <f t="shared" si="11"/>
        <v>0</v>
      </c>
      <c r="AE994" s="200">
        <f t="shared" ref="AE994:AG994" si="5047">countif($D994,"*"&amp;AE$2&amp;"*")</f>
        <v>0</v>
      </c>
      <c r="AF994" s="200">
        <f t="shared" si="5047"/>
        <v>0</v>
      </c>
      <c r="AG994" s="200">
        <f t="shared" si="5047"/>
        <v>0</v>
      </c>
      <c r="AH994" s="171">
        <f t="shared" si="13"/>
        <v>0</v>
      </c>
      <c r="AI994" s="200">
        <f t="shared" si="14"/>
        <v>0</v>
      </c>
      <c r="AJ994" s="200">
        <f t="shared" si="4907"/>
        <v>0</v>
      </c>
      <c r="AK994" s="201">
        <f t="shared" ref="AK994:AS994" si="5048">countif($D994,"*"&amp;AK$2&amp;"*")</f>
        <v>0</v>
      </c>
      <c r="AL994" s="201">
        <f t="shared" si="5048"/>
        <v>0</v>
      </c>
      <c r="AM994" s="201">
        <f t="shared" si="5048"/>
        <v>0</v>
      </c>
      <c r="AN994" s="201">
        <f t="shared" si="5048"/>
        <v>0</v>
      </c>
      <c r="AO994" s="201">
        <f t="shared" si="5048"/>
        <v>0</v>
      </c>
      <c r="AP994" s="201">
        <f t="shared" si="5048"/>
        <v>0</v>
      </c>
      <c r="AQ994" s="201">
        <f t="shared" si="5048"/>
        <v>0</v>
      </c>
      <c r="AR994" s="200">
        <f t="shared" si="5048"/>
        <v>0</v>
      </c>
      <c r="AS994" s="200">
        <f t="shared" si="5048"/>
        <v>0</v>
      </c>
      <c r="AT994" s="173">
        <v>0.0</v>
      </c>
      <c r="AU994" s="200">
        <f t="shared" ref="AU994:AX994" si="5049">countif($D994,"*"&amp;AU$2&amp;"*")</f>
        <v>0</v>
      </c>
      <c r="AV994" s="200">
        <f t="shared" si="5049"/>
        <v>1</v>
      </c>
      <c r="AW994" s="200">
        <f t="shared" si="5049"/>
        <v>0</v>
      </c>
      <c r="AX994" s="200">
        <f t="shared" si="5049"/>
        <v>0</v>
      </c>
      <c r="AY994" s="202">
        <v>0.0</v>
      </c>
      <c r="AZ994" s="200"/>
      <c r="BA994" s="171" t="str">
        <f t="shared" si="18"/>
        <v/>
      </c>
      <c r="BB994" s="171" t="str">
        <f t="shared" si="19"/>
        <v>Code</v>
      </c>
      <c r="BC994" s="171" t="str">
        <f t="shared" si="20"/>
        <v/>
      </c>
      <c r="BD994" s="171" t="str">
        <f t="shared" si="21"/>
        <v/>
      </c>
      <c r="BE994" s="171" t="str">
        <f t="shared" si="22"/>
        <v/>
      </c>
      <c r="BF994" s="171" t="str">
        <f t="shared" si="23"/>
        <v>Code</v>
      </c>
    </row>
    <row r="995">
      <c r="A995" s="171">
        <f t="array" ref="A995">XLOOKUP(C995,ICSE!A:A,ICSE!C:C,,2,1)</f>
        <v>2023</v>
      </c>
      <c r="B995" s="171" t="s">
        <v>5675</v>
      </c>
      <c r="C995" s="160">
        <v>2039.0</v>
      </c>
      <c r="D995" s="161" t="s">
        <v>6085</v>
      </c>
      <c r="E995" s="197" t="str">
        <f t="array" ref="E995">XLOOKUP(C995,ICSE!A:A,ICSE!Z:Z,,0,1)</f>
        <v>Publicly available (2)</v>
      </c>
      <c r="F995" s="198" t="s">
        <v>20</v>
      </c>
      <c r="G995" s="163" t="str">
        <f t="array" ref="G995">IF(B995="ICSE",IF(COUNTIFS(B:B,B995,C:C,C995)=XLOOKUP(C995,ICSE!A:A,ICSE!AA:AA,"ERROR",0,1),"OK","ERROR"),IF(B995="FSE",IF(COUNTIFS(B:B,B995,C:C,C995)=XLOOKUP(C995,FSE!A:A,FSE!AA:AA,"ERROR",0,1),"OK","ERROR")))</f>
        <v>OK</v>
      </c>
      <c r="H995" s="199">
        <f t="shared" ref="H995:O995" si="5050">countif($D995,"*"&amp;H$2&amp;"*")</f>
        <v>1</v>
      </c>
      <c r="I995" s="200">
        <f t="shared" si="5050"/>
        <v>0</v>
      </c>
      <c r="J995" s="200">
        <f t="shared" si="5050"/>
        <v>0</v>
      </c>
      <c r="K995" s="200">
        <f t="shared" si="5050"/>
        <v>0</v>
      </c>
      <c r="L995" s="200">
        <f t="shared" si="5050"/>
        <v>0</v>
      </c>
      <c r="M995" s="200">
        <f t="shared" si="5050"/>
        <v>0</v>
      </c>
      <c r="N995" s="200">
        <f t="shared" si="5050"/>
        <v>0</v>
      </c>
      <c r="O995" s="200">
        <f t="shared" si="5050"/>
        <v>0</v>
      </c>
      <c r="P995" s="200">
        <f t="shared" si="9"/>
        <v>0</v>
      </c>
      <c r="Q995" s="200">
        <f t="shared" ref="Q995:AC995" si="5051">countif($D995,"*"&amp;Q$2&amp;"*")</f>
        <v>0</v>
      </c>
      <c r="R995" s="200">
        <f t="shared" si="5051"/>
        <v>0</v>
      </c>
      <c r="S995" s="200">
        <f t="shared" si="5051"/>
        <v>0</v>
      </c>
      <c r="T995" s="200">
        <f t="shared" si="5051"/>
        <v>0</v>
      </c>
      <c r="U995" s="200">
        <f t="shared" si="5051"/>
        <v>0</v>
      </c>
      <c r="V995" s="200">
        <f t="shared" si="5051"/>
        <v>0</v>
      </c>
      <c r="W995" s="200">
        <f t="shared" si="5051"/>
        <v>0</v>
      </c>
      <c r="X995" s="200">
        <f t="shared" si="5051"/>
        <v>0</v>
      </c>
      <c r="Y995" s="200">
        <f t="shared" si="5051"/>
        <v>0</v>
      </c>
      <c r="Z995" s="200">
        <f t="shared" si="5051"/>
        <v>0</v>
      </c>
      <c r="AA995" s="200">
        <f t="shared" si="5051"/>
        <v>0</v>
      </c>
      <c r="AB995" s="200">
        <f t="shared" si="5051"/>
        <v>0</v>
      </c>
      <c r="AC995" s="200">
        <f t="shared" si="5051"/>
        <v>0</v>
      </c>
      <c r="AD995" s="200">
        <f t="shared" si="11"/>
        <v>0</v>
      </c>
      <c r="AE995" s="200">
        <f t="shared" ref="AE995:AG995" si="5052">countif($D995,"*"&amp;AE$2&amp;"*")</f>
        <v>0</v>
      </c>
      <c r="AF995" s="200">
        <f t="shared" si="5052"/>
        <v>0</v>
      </c>
      <c r="AG995" s="200">
        <f t="shared" si="5052"/>
        <v>0</v>
      </c>
      <c r="AH995" s="171">
        <f t="shared" si="13"/>
        <v>0</v>
      </c>
      <c r="AI995" s="200">
        <f t="shared" si="14"/>
        <v>1</v>
      </c>
      <c r="AJ995" s="200">
        <f t="shared" si="4907"/>
        <v>0</v>
      </c>
      <c r="AK995" s="201">
        <f t="shared" ref="AK995:AS995" si="5053">countif($D995,"*"&amp;AK$2&amp;"*")</f>
        <v>0</v>
      </c>
      <c r="AL995" s="201">
        <f t="shared" si="5053"/>
        <v>0</v>
      </c>
      <c r="AM995" s="201">
        <f t="shared" si="5053"/>
        <v>0</v>
      </c>
      <c r="AN995" s="201">
        <f t="shared" si="5053"/>
        <v>0</v>
      </c>
      <c r="AO995" s="201">
        <f t="shared" si="5053"/>
        <v>0</v>
      </c>
      <c r="AP995" s="201">
        <f t="shared" si="5053"/>
        <v>0</v>
      </c>
      <c r="AQ995" s="201">
        <f t="shared" si="5053"/>
        <v>0</v>
      </c>
      <c r="AR995" s="200">
        <f t="shared" si="5053"/>
        <v>0</v>
      </c>
      <c r="AS995" s="200">
        <f t="shared" si="5053"/>
        <v>0</v>
      </c>
      <c r="AT995" s="173">
        <v>0.0</v>
      </c>
      <c r="AU995" s="200">
        <f t="shared" ref="AU995:AX995" si="5054">countif($D995,"*"&amp;AU$2&amp;"*")</f>
        <v>0</v>
      </c>
      <c r="AV995" s="200">
        <f t="shared" si="5054"/>
        <v>0</v>
      </c>
      <c r="AW995" s="200">
        <f t="shared" si="5054"/>
        <v>0</v>
      </c>
      <c r="AX995" s="200">
        <f t="shared" si="5054"/>
        <v>1</v>
      </c>
      <c r="AY995" s="202">
        <v>0.0</v>
      </c>
      <c r="AZ995" s="200"/>
      <c r="BA995" s="171" t="str">
        <f t="shared" si="18"/>
        <v>Archival</v>
      </c>
      <c r="BB995" s="171" t="str">
        <f t="shared" si="19"/>
        <v/>
      </c>
      <c r="BC995" s="171" t="str">
        <f t="shared" si="20"/>
        <v/>
      </c>
      <c r="BD995" s="171" t="str">
        <f t="shared" si="21"/>
        <v/>
      </c>
      <c r="BE995" s="171" t="str">
        <f t="shared" si="22"/>
        <v/>
      </c>
      <c r="BF995" s="171" t="str">
        <f t="shared" si="23"/>
        <v>Archival</v>
      </c>
    </row>
    <row r="996">
      <c r="A996" s="171">
        <f t="array" ref="A996">XLOOKUP(C996,ICSE!A:A,ICSE!C:C,,2,1)</f>
        <v>2023</v>
      </c>
      <c r="B996" s="171" t="s">
        <v>5675</v>
      </c>
      <c r="C996" s="160">
        <v>2039.0</v>
      </c>
      <c r="D996" s="161" t="s">
        <v>6086</v>
      </c>
      <c r="E996" s="197" t="str">
        <f t="array" ref="E996">XLOOKUP(C996,ICSE!A:A,ICSE!Z:Z,,0,1)</f>
        <v>Publicly available (2)</v>
      </c>
      <c r="F996" s="198" t="s">
        <v>20</v>
      </c>
      <c r="G996" s="163" t="str">
        <f t="array" ref="G996">IF(B996="ICSE",IF(COUNTIFS(B:B,B996,C:C,C996)=XLOOKUP(C996,ICSE!A:A,ICSE!AA:AA,"ERROR",0,1),"OK","ERROR"),IF(B996="FSE",IF(COUNTIFS(B:B,B996,C:C,C996)=XLOOKUP(C996,FSE!A:A,FSE!AA:AA,"ERROR",0,1),"OK","ERROR")))</f>
        <v>OK</v>
      </c>
      <c r="H996" s="199">
        <f t="shared" ref="H996:O996" si="5055">countif($D996,"*"&amp;H$2&amp;"*")</f>
        <v>0</v>
      </c>
      <c r="I996" s="200">
        <f t="shared" si="5055"/>
        <v>0</v>
      </c>
      <c r="J996" s="200">
        <f t="shared" si="5055"/>
        <v>0</v>
      </c>
      <c r="K996" s="200">
        <f t="shared" si="5055"/>
        <v>0</v>
      </c>
      <c r="L996" s="200">
        <f t="shared" si="5055"/>
        <v>0</v>
      </c>
      <c r="M996" s="200">
        <f t="shared" si="5055"/>
        <v>0</v>
      </c>
      <c r="N996" s="200">
        <f t="shared" si="5055"/>
        <v>0</v>
      </c>
      <c r="O996" s="200">
        <f t="shared" si="5055"/>
        <v>0</v>
      </c>
      <c r="P996" s="200">
        <f t="shared" si="9"/>
        <v>0</v>
      </c>
      <c r="Q996" s="200">
        <f t="shared" ref="Q996:AC996" si="5056">countif($D996,"*"&amp;Q$2&amp;"*")</f>
        <v>0</v>
      </c>
      <c r="R996" s="200">
        <f t="shared" si="5056"/>
        <v>0</v>
      </c>
      <c r="S996" s="200">
        <f t="shared" si="5056"/>
        <v>0</v>
      </c>
      <c r="T996" s="200">
        <f t="shared" si="5056"/>
        <v>0</v>
      </c>
      <c r="U996" s="200">
        <f t="shared" si="5056"/>
        <v>0</v>
      </c>
      <c r="V996" s="200">
        <f t="shared" si="5056"/>
        <v>0</v>
      </c>
      <c r="W996" s="200">
        <f t="shared" si="5056"/>
        <v>0</v>
      </c>
      <c r="X996" s="200">
        <f t="shared" si="5056"/>
        <v>0</v>
      </c>
      <c r="Y996" s="200">
        <f t="shared" si="5056"/>
        <v>0</v>
      </c>
      <c r="Z996" s="200">
        <f t="shared" si="5056"/>
        <v>0</v>
      </c>
      <c r="AA996" s="200">
        <f t="shared" si="5056"/>
        <v>1</v>
      </c>
      <c r="AB996" s="200">
        <f t="shared" si="5056"/>
        <v>0</v>
      </c>
      <c r="AC996" s="200">
        <f t="shared" si="5056"/>
        <v>0</v>
      </c>
      <c r="AD996" s="200">
        <f t="shared" si="11"/>
        <v>0</v>
      </c>
      <c r="AE996" s="200">
        <f t="shared" ref="AE996:AG996" si="5057">countif($D996,"*"&amp;AE$2&amp;"*")</f>
        <v>0</v>
      </c>
      <c r="AF996" s="200">
        <f t="shared" si="5057"/>
        <v>0</v>
      </c>
      <c r="AG996" s="200">
        <f t="shared" si="5057"/>
        <v>0</v>
      </c>
      <c r="AH996" s="171">
        <f t="shared" si="13"/>
        <v>0</v>
      </c>
      <c r="AI996" s="200">
        <f t="shared" si="14"/>
        <v>0</v>
      </c>
      <c r="AJ996" s="200">
        <f t="shared" si="4907"/>
        <v>0</v>
      </c>
      <c r="AK996" s="201">
        <f t="shared" ref="AK996:AS996" si="5058">countif($D996,"*"&amp;AK$2&amp;"*")</f>
        <v>0</v>
      </c>
      <c r="AL996" s="201">
        <f t="shared" si="5058"/>
        <v>0</v>
      </c>
      <c r="AM996" s="201">
        <f t="shared" si="5058"/>
        <v>0</v>
      </c>
      <c r="AN996" s="201">
        <f t="shared" si="5058"/>
        <v>0</v>
      </c>
      <c r="AO996" s="201">
        <f t="shared" si="5058"/>
        <v>0</v>
      </c>
      <c r="AP996" s="201">
        <f t="shared" si="5058"/>
        <v>0</v>
      </c>
      <c r="AQ996" s="201">
        <f t="shared" si="5058"/>
        <v>0</v>
      </c>
      <c r="AR996" s="200">
        <f t="shared" si="5058"/>
        <v>0</v>
      </c>
      <c r="AS996" s="200">
        <f t="shared" si="5058"/>
        <v>0</v>
      </c>
      <c r="AT996" s="173">
        <v>0.0</v>
      </c>
      <c r="AU996" s="200">
        <f t="shared" ref="AU996:AX996" si="5059">countif($D996,"*"&amp;AU$2&amp;"*")</f>
        <v>0</v>
      </c>
      <c r="AV996" s="200">
        <f t="shared" si="5059"/>
        <v>0</v>
      </c>
      <c r="AW996" s="200">
        <f t="shared" si="5059"/>
        <v>0</v>
      </c>
      <c r="AX996" s="200">
        <f t="shared" si="5059"/>
        <v>0</v>
      </c>
      <c r="AY996" s="202">
        <v>0.0</v>
      </c>
      <c r="AZ996" s="200"/>
      <c r="BA996" s="171" t="str">
        <f t="shared" si="18"/>
        <v/>
      </c>
      <c r="BB996" s="171" t="str">
        <f t="shared" si="19"/>
        <v/>
      </c>
      <c r="BC996" s="171" t="str">
        <f t="shared" si="20"/>
        <v>General-purpose</v>
      </c>
      <c r="BD996" s="171" t="str">
        <f t="shared" si="21"/>
        <v/>
      </c>
      <c r="BE996" s="171" t="str">
        <f t="shared" si="22"/>
        <v/>
      </c>
      <c r="BF996" s="171" t="str">
        <f t="shared" si="23"/>
        <v>General-purpose</v>
      </c>
    </row>
    <row r="997">
      <c r="A997" s="171">
        <f t="array" ref="A997">XLOOKUP(C997,ICSE!A:A,ICSE!C:C,,2,1)</f>
        <v>2023</v>
      </c>
      <c r="B997" s="171" t="s">
        <v>5675</v>
      </c>
      <c r="C997" s="160">
        <v>2040.0</v>
      </c>
      <c r="D997" s="161" t="s">
        <v>6087</v>
      </c>
      <c r="E997" s="197" t="str">
        <f t="array" ref="E997">XLOOKUP(C997,ICSE!A:A,ICSE!Z:Z,,0,1)</f>
        <v>Publicly available (2)</v>
      </c>
      <c r="F997" s="198" t="s">
        <v>20</v>
      </c>
      <c r="G997" s="163" t="str">
        <f t="array" ref="G997">IF(B997="ICSE",IF(COUNTIFS(B:B,B997,C:C,C997)=XLOOKUP(C997,ICSE!A:A,ICSE!AA:AA,"ERROR",0,1),"OK","ERROR"),IF(B997="FSE",IF(COUNTIFS(B:B,B997,C:C,C997)=XLOOKUP(C997,FSE!A:A,FSE!AA:AA,"ERROR",0,1),"OK","ERROR")))</f>
        <v>OK</v>
      </c>
      <c r="H997" s="199">
        <f t="shared" ref="H997:O997" si="5060">countif($D997,"*"&amp;H$2&amp;"*")</f>
        <v>0</v>
      </c>
      <c r="I997" s="200">
        <f t="shared" si="5060"/>
        <v>0</v>
      </c>
      <c r="J997" s="200">
        <f t="shared" si="5060"/>
        <v>0</v>
      </c>
      <c r="K997" s="200">
        <f t="shared" si="5060"/>
        <v>0</v>
      </c>
      <c r="L997" s="200">
        <f t="shared" si="5060"/>
        <v>0</v>
      </c>
      <c r="M997" s="200">
        <f t="shared" si="5060"/>
        <v>0</v>
      </c>
      <c r="N997" s="200">
        <f t="shared" si="5060"/>
        <v>0</v>
      </c>
      <c r="O997" s="200">
        <f t="shared" si="5060"/>
        <v>0</v>
      </c>
      <c r="P997" s="200">
        <f t="shared" si="9"/>
        <v>1</v>
      </c>
      <c r="Q997" s="200">
        <f t="shared" ref="Q997:AC997" si="5061">countif($D997,"*"&amp;Q$2&amp;"*")</f>
        <v>0</v>
      </c>
      <c r="R997" s="200">
        <f t="shared" si="5061"/>
        <v>0</v>
      </c>
      <c r="S997" s="200">
        <f t="shared" si="5061"/>
        <v>0</v>
      </c>
      <c r="T997" s="200">
        <f t="shared" si="5061"/>
        <v>0</v>
      </c>
      <c r="U997" s="200">
        <f t="shared" si="5061"/>
        <v>0</v>
      </c>
      <c r="V997" s="200">
        <f t="shared" si="5061"/>
        <v>0</v>
      </c>
      <c r="W997" s="200">
        <f t="shared" si="5061"/>
        <v>0</v>
      </c>
      <c r="X997" s="200">
        <f t="shared" si="5061"/>
        <v>0</v>
      </c>
      <c r="Y997" s="200">
        <f t="shared" si="5061"/>
        <v>0</v>
      </c>
      <c r="Z997" s="200">
        <f t="shared" si="5061"/>
        <v>0</v>
      </c>
      <c r="AA997" s="200">
        <f t="shared" si="5061"/>
        <v>0</v>
      </c>
      <c r="AB997" s="200">
        <f t="shared" si="5061"/>
        <v>0</v>
      </c>
      <c r="AC997" s="200">
        <f t="shared" si="5061"/>
        <v>0</v>
      </c>
      <c r="AD997" s="200">
        <f t="shared" si="11"/>
        <v>0</v>
      </c>
      <c r="AE997" s="200">
        <f t="shared" ref="AE997:AG997" si="5062">countif($D997,"*"&amp;AE$2&amp;"*")</f>
        <v>0</v>
      </c>
      <c r="AF997" s="200">
        <f t="shared" si="5062"/>
        <v>0</v>
      </c>
      <c r="AG997" s="200">
        <f t="shared" si="5062"/>
        <v>0</v>
      </c>
      <c r="AH997" s="171">
        <f t="shared" si="13"/>
        <v>0</v>
      </c>
      <c r="AI997" s="200">
        <f t="shared" si="14"/>
        <v>0</v>
      </c>
      <c r="AJ997" s="200">
        <f t="shared" si="4907"/>
        <v>0</v>
      </c>
      <c r="AK997" s="201">
        <f t="shared" ref="AK997:AS997" si="5063">countif($D997,"*"&amp;AK$2&amp;"*")</f>
        <v>0</v>
      </c>
      <c r="AL997" s="201">
        <f t="shared" si="5063"/>
        <v>0</v>
      </c>
      <c r="AM997" s="201">
        <f t="shared" si="5063"/>
        <v>0</v>
      </c>
      <c r="AN997" s="201">
        <f t="shared" si="5063"/>
        <v>0</v>
      </c>
      <c r="AO997" s="201">
        <f t="shared" si="5063"/>
        <v>0</v>
      </c>
      <c r="AP997" s="201">
        <f t="shared" si="5063"/>
        <v>0</v>
      </c>
      <c r="AQ997" s="201">
        <f t="shared" si="5063"/>
        <v>0</v>
      </c>
      <c r="AR997" s="200">
        <f t="shared" si="5063"/>
        <v>0</v>
      </c>
      <c r="AS997" s="200">
        <f t="shared" si="5063"/>
        <v>0</v>
      </c>
      <c r="AT997" s="173">
        <v>0.0</v>
      </c>
      <c r="AU997" s="200">
        <f t="shared" ref="AU997:AX997" si="5064">countif($D997,"*"&amp;AU$2&amp;"*")</f>
        <v>0</v>
      </c>
      <c r="AV997" s="200">
        <f t="shared" si="5064"/>
        <v>1</v>
      </c>
      <c r="AW997" s="200">
        <f t="shared" si="5064"/>
        <v>0</v>
      </c>
      <c r="AX997" s="200">
        <f t="shared" si="5064"/>
        <v>0</v>
      </c>
      <c r="AY997" s="202">
        <v>0.0</v>
      </c>
      <c r="AZ997" s="200"/>
      <c r="BA997" s="171" t="str">
        <f t="shared" si="18"/>
        <v/>
      </c>
      <c r="BB997" s="171" t="str">
        <f t="shared" si="19"/>
        <v>Code</v>
      </c>
      <c r="BC997" s="171" t="str">
        <f t="shared" si="20"/>
        <v/>
      </c>
      <c r="BD997" s="171" t="str">
        <f t="shared" si="21"/>
        <v/>
      </c>
      <c r="BE997" s="171" t="str">
        <f t="shared" si="22"/>
        <v/>
      </c>
      <c r="BF997" s="171" t="str">
        <f t="shared" si="23"/>
        <v>Code</v>
      </c>
    </row>
    <row r="998">
      <c r="A998" s="171">
        <f t="array" ref="A998">XLOOKUP(C998,ICSE!A:A,ICSE!C:C,,2,1)</f>
        <v>2023</v>
      </c>
      <c r="B998" s="171" t="s">
        <v>5675</v>
      </c>
      <c r="C998" s="160">
        <v>2040.0</v>
      </c>
      <c r="D998" s="161" t="s">
        <v>6088</v>
      </c>
      <c r="E998" s="197" t="str">
        <f t="array" ref="E998">XLOOKUP(C998,ICSE!A:A,ICSE!Z:Z,,0,1)</f>
        <v>Publicly available (2)</v>
      </c>
      <c r="F998" s="198" t="s">
        <v>20</v>
      </c>
      <c r="G998" s="163" t="str">
        <f t="array" ref="G998">IF(B998="ICSE",IF(COUNTIFS(B:B,B998,C:C,C998)=XLOOKUP(C998,ICSE!A:A,ICSE!AA:AA,"ERROR",0,1),"OK","ERROR"),IF(B998="FSE",IF(COUNTIFS(B:B,B998,C:C,C998)=XLOOKUP(C998,FSE!A:A,FSE!AA:AA,"ERROR",0,1),"OK","ERROR")))</f>
        <v>OK</v>
      </c>
      <c r="H998" s="199">
        <f t="shared" ref="H998:O998" si="5065">countif($D998,"*"&amp;H$2&amp;"*")</f>
        <v>0</v>
      </c>
      <c r="I998" s="200">
        <f t="shared" si="5065"/>
        <v>0</v>
      </c>
      <c r="J998" s="200">
        <f t="shared" si="5065"/>
        <v>0</v>
      </c>
      <c r="K998" s="200">
        <f t="shared" si="5065"/>
        <v>0</v>
      </c>
      <c r="L998" s="200">
        <f t="shared" si="5065"/>
        <v>0</v>
      </c>
      <c r="M998" s="200">
        <f t="shared" si="5065"/>
        <v>0</v>
      </c>
      <c r="N998" s="200">
        <f t="shared" si="5065"/>
        <v>0</v>
      </c>
      <c r="O998" s="200">
        <f t="shared" si="5065"/>
        <v>0</v>
      </c>
      <c r="P998" s="200">
        <f t="shared" si="9"/>
        <v>1</v>
      </c>
      <c r="Q998" s="200">
        <f t="shared" ref="Q998:AC998" si="5066">countif($D998,"*"&amp;Q$2&amp;"*")</f>
        <v>0</v>
      </c>
      <c r="R998" s="200">
        <f t="shared" si="5066"/>
        <v>0</v>
      </c>
      <c r="S998" s="200">
        <f t="shared" si="5066"/>
        <v>0</v>
      </c>
      <c r="T998" s="200">
        <f t="shared" si="5066"/>
        <v>0</v>
      </c>
      <c r="U998" s="200">
        <f t="shared" si="5066"/>
        <v>0</v>
      </c>
      <c r="V998" s="200">
        <f t="shared" si="5066"/>
        <v>0</v>
      </c>
      <c r="W998" s="200">
        <f t="shared" si="5066"/>
        <v>0</v>
      </c>
      <c r="X998" s="200">
        <f t="shared" si="5066"/>
        <v>0</v>
      </c>
      <c r="Y998" s="200">
        <f t="shared" si="5066"/>
        <v>0</v>
      </c>
      <c r="Z998" s="200">
        <f t="shared" si="5066"/>
        <v>0</v>
      </c>
      <c r="AA998" s="200">
        <f t="shared" si="5066"/>
        <v>0</v>
      </c>
      <c r="AB998" s="200">
        <f t="shared" si="5066"/>
        <v>0</v>
      </c>
      <c r="AC998" s="200">
        <f t="shared" si="5066"/>
        <v>0</v>
      </c>
      <c r="AD998" s="200">
        <f t="shared" si="11"/>
        <v>0</v>
      </c>
      <c r="AE998" s="200">
        <f t="shared" ref="AE998:AG998" si="5067">countif($D998,"*"&amp;AE$2&amp;"*")</f>
        <v>0</v>
      </c>
      <c r="AF998" s="200">
        <f t="shared" si="5067"/>
        <v>0</v>
      </c>
      <c r="AG998" s="200">
        <f t="shared" si="5067"/>
        <v>0</v>
      </c>
      <c r="AH998" s="171">
        <f t="shared" si="13"/>
        <v>0</v>
      </c>
      <c r="AI998" s="200">
        <f t="shared" si="14"/>
        <v>0</v>
      </c>
      <c r="AJ998" s="200">
        <f t="shared" si="4907"/>
        <v>0</v>
      </c>
      <c r="AK998" s="201">
        <f t="shared" ref="AK998:AS998" si="5068">countif($D998,"*"&amp;AK$2&amp;"*")</f>
        <v>0</v>
      </c>
      <c r="AL998" s="201">
        <f t="shared" si="5068"/>
        <v>0</v>
      </c>
      <c r="AM998" s="201">
        <f t="shared" si="5068"/>
        <v>0</v>
      </c>
      <c r="AN998" s="201">
        <f t="shared" si="5068"/>
        <v>0</v>
      </c>
      <c r="AO998" s="201">
        <f t="shared" si="5068"/>
        <v>0</v>
      </c>
      <c r="AP998" s="201">
        <f t="shared" si="5068"/>
        <v>0</v>
      </c>
      <c r="AQ998" s="201">
        <f t="shared" si="5068"/>
        <v>0</v>
      </c>
      <c r="AR998" s="200">
        <f t="shared" si="5068"/>
        <v>0</v>
      </c>
      <c r="AS998" s="200">
        <f t="shared" si="5068"/>
        <v>0</v>
      </c>
      <c r="AT998" s="173">
        <v>0.0</v>
      </c>
      <c r="AU998" s="200">
        <f t="shared" ref="AU998:AX998" si="5069">countif($D998,"*"&amp;AU$2&amp;"*")</f>
        <v>0</v>
      </c>
      <c r="AV998" s="200">
        <f t="shared" si="5069"/>
        <v>1</v>
      </c>
      <c r="AW998" s="200">
        <f t="shared" si="5069"/>
        <v>0</v>
      </c>
      <c r="AX998" s="200">
        <f t="shared" si="5069"/>
        <v>0</v>
      </c>
      <c r="AY998" s="202">
        <v>0.0</v>
      </c>
      <c r="AZ998" s="200"/>
      <c r="BA998" s="171" t="str">
        <f t="shared" si="18"/>
        <v/>
      </c>
      <c r="BB998" s="171" t="str">
        <f t="shared" si="19"/>
        <v>Code</v>
      </c>
      <c r="BC998" s="171" t="str">
        <f t="shared" si="20"/>
        <v/>
      </c>
      <c r="BD998" s="171" t="str">
        <f t="shared" si="21"/>
        <v/>
      </c>
      <c r="BE998" s="171" t="str">
        <f t="shared" si="22"/>
        <v/>
      </c>
      <c r="BF998" s="171" t="str">
        <f t="shared" si="23"/>
        <v>Code</v>
      </c>
    </row>
    <row r="999">
      <c r="A999" s="171">
        <f t="array" ref="A999">XLOOKUP(C999,ICSE!A:A,ICSE!C:C,,2,1)</f>
        <v>2023</v>
      </c>
      <c r="B999" s="171" t="s">
        <v>5675</v>
      </c>
      <c r="C999" s="160">
        <v>2041.0</v>
      </c>
      <c r="D999" s="161" t="s">
        <v>2838</v>
      </c>
      <c r="E999" s="197" t="str">
        <f t="array" ref="E999">XLOOKUP(C999,ICSE!A:A,ICSE!Z:Z,,0,1)</f>
        <v>Publicly available (1)</v>
      </c>
      <c r="F999" s="198" t="s">
        <v>20</v>
      </c>
      <c r="G999" s="163" t="str">
        <f t="array" ref="G999">IF(B999="ICSE",IF(COUNTIFS(B:B,B999,C:C,C999)=XLOOKUP(C999,ICSE!A:A,ICSE!AA:AA,"ERROR",0,1),"OK","ERROR"),IF(B999="FSE",IF(COUNTIFS(B:B,B999,C:C,C999)=XLOOKUP(C999,FSE!A:A,FSE!AA:AA,"ERROR",0,1),"OK","ERROR")))</f>
        <v>OK</v>
      </c>
      <c r="H999" s="199">
        <f t="shared" ref="H999:O999" si="5070">countif($D999,"*"&amp;H$2&amp;"*")</f>
        <v>1</v>
      </c>
      <c r="I999" s="200">
        <f t="shared" si="5070"/>
        <v>0</v>
      </c>
      <c r="J999" s="200">
        <f t="shared" si="5070"/>
        <v>0</v>
      </c>
      <c r="K999" s="200">
        <f t="shared" si="5070"/>
        <v>0</v>
      </c>
      <c r="L999" s="200">
        <f t="shared" si="5070"/>
        <v>0</v>
      </c>
      <c r="M999" s="200">
        <f t="shared" si="5070"/>
        <v>0</v>
      </c>
      <c r="N999" s="200">
        <f t="shared" si="5070"/>
        <v>0</v>
      </c>
      <c r="O999" s="200">
        <f t="shared" si="5070"/>
        <v>0</v>
      </c>
      <c r="P999" s="200">
        <f t="shared" si="9"/>
        <v>0</v>
      </c>
      <c r="Q999" s="200">
        <f t="shared" ref="Q999:AC999" si="5071">countif($D999,"*"&amp;Q$2&amp;"*")</f>
        <v>0</v>
      </c>
      <c r="R999" s="200">
        <f t="shared" si="5071"/>
        <v>0</v>
      </c>
      <c r="S999" s="200">
        <f t="shared" si="5071"/>
        <v>0</v>
      </c>
      <c r="T999" s="200">
        <f t="shared" si="5071"/>
        <v>0</v>
      </c>
      <c r="U999" s="200">
        <f t="shared" si="5071"/>
        <v>0</v>
      </c>
      <c r="V999" s="200">
        <f t="shared" si="5071"/>
        <v>0</v>
      </c>
      <c r="W999" s="200">
        <f t="shared" si="5071"/>
        <v>0</v>
      </c>
      <c r="X999" s="200">
        <f t="shared" si="5071"/>
        <v>0</v>
      </c>
      <c r="Y999" s="200">
        <f t="shared" si="5071"/>
        <v>0</v>
      </c>
      <c r="Z999" s="200">
        <f t="shared" si="5071"/>
        <v>0</v>
      </c>
      <c r="AA999" s="200">
        <f t="shared" si="5071"/>
        <v>0</v>
      </c>
      <c r="AB999" s="200">
        <f t="shared" si="5071"/>
        <v>0</v>
      </c>
      <c r="AC999" s="200">
        <f t="shared" si="5071"/>
        <v>0</v>
      </c>
      <c r="AD999" s="200">
        <f t="shared" si="11"/>
        <v>0</v>
      </c>
      <c r="AE999" s="200">
        <f t="shared" ref="AE999:AG999" si="5072">countif($D999,"*"&amp;AE$2&amp;"*")</f>
        <v>0</v>
      </c>
      <c r="AF999" s="200">
        <f t="shared" si="5072"/>
        <v>0</v>
      </c>
      <c r="AG999" s="200">
        <f t="shared" si="5072"/>
        <v>0</v>
      </c>
      <c r="AH999" s="171">
        <f t="shared" si="13"/>
        <v>0</v>
      </c>
      <c r="AI999" s="200">
        <f t="shared" si="14"/>
        <v>1</v>
      </c>
      <c r="AJ999" s="200">
        <f t="shared" si="4907"/>
        <v>0</v>
      </c>
      <c r="AK999" s="201">
        <f t="shared" ref="AK999:AS999" si="5073">countif($D999,"*"&amp;AK$2&amp;"*")</f>
        <v>0</v>
      </c>
      <c r="AL999" s="201">
        <f t="shared" si="5073"/>
        <v>0</v>
      </c>
      <c r="AM999" s="201">
        <f t="shared" si="5073"/>
        <v>0</v>
      </c>
      <c r="AN999" s="201">
        <f t="shared" si="5073"/>
        <v>0</v>
      </c>
      <c r="AO999" s="201">
        <f t="shared" si="5073"/>
        <v>0</v>
      </c>
      <c r="AP999" s="201">
        <f t="shared" si="5073"/>
        <v>0</v>
      </c>
      <c r="AQ999" s="201">
        <f t="shared" si="5073"/>
        <v>0</v>
      </c>
      <c r="AR999" s="200">
        <f t="shared" si="5073"/>
        <v>0</v>
      </c>
      <c r="AS999" s="200">
        <f t="shared" si="5073"/>
        <v>0</v>
      </c>
      <c r="AT999" s="173">
        <v>0.0</v>
      </c>
      <c r="AU999" s="200">
        <f t="shared" ref="AU999:AX999" si="5074">countif($D999,"*"&amp;AU$2&amp;"*")</f>
        <v>0</v>
      </c>
      <c r="AV999" s="200">
        <f t="shared" si="5074"/>
        <v>0</v>
      </c>
      <c r="AW999" s="200">
        <f t="shared" si="5074"/>
        <v>0</v>
      </c>
      <c r="AX999" s="200">
        <f t="shared" si="5074"/>
        <v>1</v>
      </c>
      <c r="AY999" s="202">
        <v>0.0</v>
      </c>
      <c r="AZ999" s="200"/>
      <c r="BA999" s="171" t="str">
        <f t="shared" si="18"/>
        <v>Archival</v>
      </c>
      <c r="BB999" s="171" t="str">
        <f t="shared" si="19"/>
        <v/>
      </c>
      <c r="BC999" s="171" t="str">
        <f t="shared" si="20"/>
        <v/>
      </c>
      <c r="BD999" s="171" t="str">
        <f t="shared" si="21"/>
        <v/>
      </c>
      <c r="BE999" s="171" t="str">
        <f t="shared" si="22"/>
        <v/>
      </c>
      <c r="BF999" s="171" t="str">
        <f t="shared" si="23"/>
        <v>Archival</v>
      </c>
    </row>
    <row r="1000">
      <c r="A1000" s="171">
        <f t="array" ref="A1000">XLOOKUP(C1000,ICSE!A:A,ICSE!C:C,,2,1)</f>
        <v>2023</v>
      </c>
      <c r="B1000" s="171" t="s">
        <v>5675</v>
      </c>
      <c r="C1000" s="160">
        <v>2042.0</v>
      </c>
      <c r="D1000" s="161" t="s">
        <v>6089</v>
      </c>
      <c r="E1000" s="197" t="str">
        <f t="array" ref="E1000">XLOOKUP(C1000,ICSE!A:A,ICSE!Z:Z,,0,1)</f>
        <v>Publicly available (2)</v>
      </c>
      <c r="F1000" s="198" t="s">
        <v>20</v>
      </c>
      <c r="G1000" s="163" t="str">
        <f t="array" ref="G1000">IF(B1000="ICSE",IF(COUNTIFS(B:B,B1000,C:C,C1000)=XLOOKUP(C1000,ICSE!A:A,ICSE!AA:AA,"ERROR",0,1),"OK","ERROR"),IF(B1000="FSE",IF(COUNTIFS(B:B,B1000,C:C,C1000)=XLOOKUP(C1000,FSE!A:A,FSE!AA:AA,"ERROR",0,1),"OK","ERROR")))</f>
        <v>OK</v>
      </c>
      <c r="H1000" s="199">
        <f t="shared" ref="H1000:O1000" si="5075">countif($D1000,"*"&amp;H$2&amp;"*")</f>
        <v>1</v>
      </c>
      <c r="I1000" s="200">
        <f t="shared" si="5075"/>
        <v>0</v>
      </c>
      <c r="J1000" s="200">
        <f t="shared" si="5075"/>
        <v>0</v>
      </c>
      <c r="K1000" s="200">
        <f t="shared" si="5075"/>
        <v>0</v>
      </c>
      <c r="L1000" s="200">
        <f t="shared" si="5075"/>
        <v>0</v>
      </c>
      <c r="M1000" s="200">
        <f t="shared" si="5075"/>
        <v>0</v>
      </c>
      <c r="N1000" s="200">
        <f t="shared" si="5075"/>
        <v>0</v>
      </c>
      <c r="O1000" s="200">
        <f t="shared" si="5075"/>
        <v>0</v>
      </c>
      <c r="P1000" s="200">
        <f t="shared" si="9"/>
        <v>0</v>
      </c>
      <c r="Q1000" s="200">
        <f t="shared" ref="Q1000:AC1000" si="5076">countif($D1000,"*"&amp;Q$2&amp;"*")</f>
        <v>0</v>
      </c>
      <c r="R1000" s="200">
        <f t="shared" si="5076"/>
        <v>0</v>
      </c>
      <c r="S1000" s="200">
        <f t="shared" si="5076"/>
        <v>0</v>
      </c>
      <c r="T1000" s="200">
        <f t="shared" si="5076"/>
        <v>0</v>
      </c>
      <c r="U1000" s="200">
        <f t="shared" si="5076"/>
        <v>0</v>
      </c>
      <c r="V1000" s="200">
        <f t="shared" si="5076"/>
        <v>0</v>
      </c>
      <c r="W1000" s="200">
        <f t="shared" si="5076"/>
        <v>0</v>
      </c>
      <c r="X1000" s="200">
        <f t="shared" si="5076"/>
        <v>0</v>
      </c>
      <c r="Y1000" s="200">
        <f t="shared" si="5076"/>
        <v>0</v>
      </c>
      <c r="Z1000" s="200">
        <f t="shared" si="5076"/>
        <v>0</v>
      </c>
      <c r="AA1000" s="200">
        <f t="shared" si="5076"/>
        <v>0</v>
      </c>
      <c r="AB1000" s="200">
        <f t="shared" si="5076"/>
        <v>0</v>
      </c>
      <c r="AC1000" s="200">
        <f t="shared" si="5076"/>
        <v>0</v>
      </c>
      <c r="AD1000" s="200">
        <f t="shared" si="11"/>
        <v>0</v>
      </c>
      <c r="AE1000" s="200">
        <f t="shared" ref="AE1000:AG1000" si="5077">countif($D1000,"*"&amp;AE$2&amp;"*")</f>
        <v>0</v>
      </c>
      <c r="AF1000" s="200">
        <f t="shared" si="5077"/>
        <v>0</v>
      </c>
      <c r="AG1000" s="200">
        <f t="shared" si="5077"/>
        <v>0</v>
      </c>
      <c r="AH1000" s="171">
        <f t="shared" si="13"/>
        <v>0</v>
      </c>
      <c r="AI1000" s="200">
        <f t="shared" si="14"/>
        <v>1</v>
      </c>
      <c r="AJ1000" s="200">
        <f t="shared" si="4907"/>
        <v>0</v>
      </c>
      <c r="AK1000" s="201">
        <f t="shared" ref="AK1000:AS1000" si="5078">countif($D1000,"*"&amp;AK$2&amp;"*")</f>
        <v>0</v>
      </c>
      <c r="AL1000" s="201">
        <f t="shared" si="5078"/>
        <v>0</v>
      </c>
      <c r="AM1000" s="201">
        <f t="shared" si="5078"/>
        <v>0</v>
      </c>
      <c r="AN1000" s="201">
        <f t="shared" si="5078"/>
        <v>0</v>
      </c>
      <c r="AO1000" s="201">
        <f t="shared" si="5078"/>
        <v>0</v>
      </c>
      <c r="AP1000" s="201">
        <f t="shared" si="5078"/>
        <v>0</v>
      </c>
      <c r="AQ1000" s="201">
        <f t="shared" si="5078"/>
        <v>0</v>
      </c>
      <c r="AR1000" s="200">
        <f t="shared" si="5078"/>
        <v>0</v>
      </c>
      <c r="AS1000" s="200">
        <f t="shared" si="5078"/>
        <v>0</v>
      </c>
      <c r="AT1000" s="173">
        <v>0.0</v>
      </c>
      <c r="AU1000" s="200">
        <f t="shared" ref="AU1000:AX1000" si="5079">countif($D1000,"*"&amp;AU$2&amp;"*")</f>
        <v>0</v>
      </c>
      <c r="AV1000" s="200">
        <f t="shared" si="5079"/>
        <v>0</v>
      </c>
      <c r="AW1000" s="200">
        <f t="shared" si="5079"/>
        <v>0</v>
      </c>
      <c r="AX1000" s="200">
        <f t="shared" si="5079"/>
        <v>1</v>
      </c>
      <c r="AY1000" s="202">
        <v>0.0</v>
      </c>
      <c r="AZ1000" s="200"/>
      <c r="BA1000" s="171" t="str">
        <f t="shared" si="18"/>
        <v>Archival</v>
      </c>
      <c r="BB1000" s="171" t="str">
        <f t="shared" si="19"/>
        <v/>
      </c>
      <c r="BC1000" s="171" t="str">
        <f t="shared" si="20"/>
        <v/>
      </c>
      <c r="BD1000" s="171" t="str">
        <f t="shared" si="21"/>
        <v/>
      </c>
      <c r="BE1000" s="171" t="str">
        <f t="shared" si="22"/>
        <v/>
      </c>
      <c r="BF1000" s="171" t="str">
        <f t="shared" si="23"/>
        <v>Archival</v>
      </c>
    </row>
    <row r="1001">
      <c r="A1001" s="171">
        <f t="array" ref="A1001">XLOOKUP(C1001,ICSE!A:A,ICSE!C:C,,2,1)</f>
        <v>2023</v>
      </c>
      <c r="B1001" s="171" t="s">
        <v>5675</v>
      </c>
      <c r="C1001" s="160">
        <v>2042.0</v>
      </c>
      <c r="D1001" s="161" t="s">
        <v>6090</v>
      </c>
      <c r="E1001" s="197" t="str">
        <f t="array" ref="E1001">XLOOKUP(C1001,ICSE!A:A,ICSE!Z:Z,,0,1)</f>
        <v>Publicly available (2)</v>
      </c>
      <c r="F1001" s="198" t="s">
        <v>20</v>
      </c>
      <c r="G1001" s="163" t="str">
        <f t="array" ref="G1001">IF(B1001="ICSE",IF(COUNTIFS(B:B,B1001,C:C,C1001)=XLOOKUP(C1001,ICSE!A:A,ICSE!AA:AA,"ERROR",0,1),"OK","ERROR"),IF(B1001="FSE",IF(COUNTIFS(B:B,B1001,C:C,C1001)=XLOOKUP(C1001,FSE!A:A,FSE!AA:AA,"ERROR",0,1),"OK","ERROR")))</f>
        <v>OK</v>
      </c>
      <c r="H1001" s="199">
        <f t="shared" ref="H1001:O1001" si="5080">countif($D1001,"*"&amp;H$2&amp;"*")</f>
        <v>0</v>
      </c>
      <c r="I1001" s="200">
        <f t="shared" si="5080"/>
        <v>0</v>
      </c>
      <c r="J1001" s="200">
        <f t="shared" si="5080"/>
        <v>0</v>
      </c>
      <c r="K1001" s="200">
        <f t="shared" si="5080"/>
        <v>0</v>
      </c>
      <c r="L1001" s="200">
        <f t="shared" si="5080"/>
        <v>0</v>
      </c>
      <c r="M1001" s="200">
        <f t="shared" si="5080"/>
        <v>0</v>
      </c>
      <c r="N1001" s="200">
        <f t="shared" si="5080"/>
        <v>0</v>
      </c>
      <c r="O1001" s="200">
        <f t="shared" si="5080"/>
        <v>0</v>
      </c>
      <c r="P1001" s="200">
        <f t="shared" si="9"/>
        <v>0</v>
      </c>
      <c r="Q1001" s="200">
        <f t="shared" ref="Q1001:AC1001" si="5081">countif($D1001,"*"&amp;Q$2&amp;"*")</f>
        <v>0</v>
      </c>
      <c r="R1001" s="200">
        <f t="shared" si="5081"/>
        <v>0</v>
      </c>
      <c r="S1001" s="200">
        <f t="shared" si="5081"/>
        <v>0</v>
      </c>
      <c r="T1001" s="200">
        <f t="shared" si="5081"/>
        <v>0</v>
      </c>
      <c r="U1001" s="200">
        <f t="shared" si="5081"/>
        <v>0</v>
      </c>
      <c r="V1001" s="200">
        <f t="shared" si="5081"/>
        <v>0</v>
      </c>
      <c r="W1001" s="200">
        <f t="shared" si="5081"/>
        <v>0</v>
      </c>
      <c r="X1001" s="200">
        <f t="shared" si="5081"/>
        <v>0</v>
      </c>
      <c r="Y1001" s="200">
        <f t="shared" si="5081"/>
        <v>0</v>
      </c>
      <c r="Z1001" s="200">
        <f t="shared" si="5081"/>
        <v>0</v>
      </c>
      <c r="AA1001" s="200">
        <f t="shared" si="5081"/>
        <v>0</v>
      </c>
      <c r="AB1001" s="200">
        <f t="shared" si="5081"/>
        <v>0</v>
      </c>
      <c r="AC1001" s="200">
        <f t="shared" si="5081"/>
        <v>0</v>
      </c>
      <c r="AD1001" s="200">
        <f t="shared" si="11"/>
        <v>1</v>
      </c>
      <c r="AE1001" s="200">
        <f t="shared" ref="AE1001:AG1001" si="5082">countif($D1001,"*"&amp;AE$2&amp;"*")</f>
        <v>0</v>
      </c>
      <c r="AF1001" s="200">
        <f t="shared" si="5082"/>
        <v>0</v>
      </c>
      <c r="AG1001" s="200">
        <f t="shared" si="5082"/>
        <v>0</v>
      </c>
      <c r="AH1001" s="171">
        <f t="shared" si="13"/>
        <v>0</v>
      </c>
      <c r="AI1001" s="200">
        <f t="shared" si="14"/>
        <v>0</v>
      </c>
      <c r="AJ1001" s="200">
        <f t="shared" si="4907"/>
        <v>0</v>
      </c>
      <c r="AK1001" s="201">
        <f t="shared" ref="AK1001:AS1001" si="5083">countif($D1001,"*"&amp;AK$2&amp;"*")</f>
        <v>0</v>
      </c>
      <c r="AL1001" s="201">
        <f t="shared" si="5083"/>
        <v>0</v>
      </c>
      <c r="AM1001" s="201">
        <f t="shared" si="5083"/>
        <v>0</v>
      </c>
      <c r="AN1001" s="201">
        <f t="shared" si="5083"/>
        <v>0</v>
      </c>
      <c r="AO1001" s="201">
        <f t="shared" si="5083"/>
        <v>0</v>
      </c>
      <c r="AP1001" s="201">
        <f t="shared" si="5083"/>
        <v>0</v>
      </c>
      <c r="AQ1001" s="201">
        <f t="shared" si="5083"/>
        <v>0</v>
      </c>
      <c r="AR1001" s="200">
        <f t="shared" si="5083"/>
        <v>0</v>
      </c>
      <c r="AS1001" s="200">
        <f t="shared" si="5083"/>
        <v>0</v>
      </c>
      <c r="AT1001" s="173">
        <v>1.0</v>
      </c>
      <c r="AU1001" s="200">
        <f t="shared" ref="AU1001:AX1001" si="5084">countif($D1001,"*"&amp;AU$2&amp;"*")</f>
        <v>0</v>
      </c>
      <c r="AV1001" s="200">
        <f t="shared" si="5084"/>
        <v>0</v>
      </c>
      <c r="AW1001" s="200">
        <f t="shared" si="5084"/>
        <v>0</v>
      </c>
      <c r="AX1001" s="200">
        <f t="shared" si="5084"/>
        <v>0</v>
      </c>
      <c r="AY1001" s="202">
        <v>0.0</v>
      </c>
      <c r="AZ1001" s="200"/>
      <c r="BA1001" s="171" t="str">
        <f t="shared" si="18"/>
        <v/>
      </c>
      <c r="BB1001" s="171" t="str">
        <f t="shared" si="19"/>
        <v/>
      </c>
      <c r="BC1001" s="171" t="str">
        <f t="shared" si="20"/>
        <v/>
      </c>
      <c r="BD1001" s="171" t="str">
        <f t="shared" si="21"/>
        <v>Institutional</v>
      </c>
      <c r="BE1001" s="171" t="str">
        <f t="shared" si="22"/>
        <v/>
      </c>
      <c r="BF1001" s="171" t="str">
        <f t="shared" si="23"/>
        <v>Institutional</v>
      </c>
    </row>
    <row r="1002">
      <c r="A1002" s="171">
        <f t="array" ref="A1002">XLOOKUP(C1002,ICSE!A:A,ICSE!C:C,,2,1)</f>
        <v>2023</v>
      </c>
      <c r="B1002" s="171" t="s">
        <v>5675</v>
      </c>
      <c r="C1002" s="160">
        <v>2043.0</v>
      </c>
      <c r="D1002" s="161" t="s">
        <v>6091</v>
      </c>
      <c r="E1002" s="197" t="str">
        <f t="array" ref="E1002">XLOOKUP(C1002,ICSE!A:A,ICSE!Z:Z,,0,1)</f>
        <v>Publicly available (2)</v>
      </c>
      <c r="F1002" s="198" t="s">
        <v>20</v>
      </c>
      <c r="G1002" s="163" t="str">
        <f t="array" ref="G1002">IF(B1002="ICSE",IF(COUNTIFS(B:B,B1002,C:C,C1002)=XLOOKUP(C1002,ICSE!A:A,ICSE!AA:AA,"ERROR",0,1),"OK","ERROR"),IF(B1002="FSE",IF(COUNTIFS(B:B,B1002,C:C,C1002)=XLOOKUP(C1002,FSE!A:A,FSE!AA:AA,"ERROR",0,1),"OK","ERROR")))</f>
        <v>OK</v>
      </c>
      <c r="H1002" s="199">
        <f t="shared" ref="H1002:O1002" si="5085">countif($D1002,"*"&amp;H$2&amp;"*")</f>
        <v>0</v>
      </c>
      <c r="I1002" s="200">
        <f t="shared" si="5085"/>
        <v>0</v>
      </c>
      <c r="J1002" s="200">
        <f t="shared" si="5085"/>
        <v>0</v>
      </c>
      <c r="K1002" s="200">
        <f t="shared" si="5085"/>
        <v>0</v>
      </c>
      <c r="L1002" s="200">
        <f t="shared" si="5085"/>
        <v>0</v>
      </c>
      <c r="M1002" s="200">
        <f t="shared" si="5085"/>
        <v>0</v>
      </c>
      <c r="N1002" s="200">
        <f t="shared" si="5085"/>
        <v>0</v>
      </c>
      <c r="O1002" s="200">
        <f t="shared" si="5085"/>
        <v>0</v>
      </c>
      <c r="P1002" s="200">
        <f t="shared" si="9"/>
        <v>1</v>
      </c>
      <c r="Q1002" s="200">
        <f t="shared" ref="Q1002:AC1002" si="5086">countif($D1002,"*"&amp;Q$2&amp;"*")</f>
        <v>0</v>
      </c>
      <c r="R1002" s="200">
        <f t="shared" si="5086"/>
        <v>0</v>
      </c>
      <c r="S1002" s="200">
        <f t="shared" si="5086"/>
        <v>0</v>
      </c>
      <c r="T1002" s="200">
        <f t="shared" si="5086"/>
        <v>0</v>
      </c>
      <c r="U1002" s="200">
        <f t="shared" si="5086"/>
        <v>0</v>
      </c>
      <c r="V1002" s="200">
        <f t="shared" si="5086"/>
        <v>0</v>
      </c>
      <c r="W1002" s="200">
        <f t="shared" si="5086"/>
        <v>0</v>
      </c>
      <c r="X1002" s="200">
        <f t="shared" si="5086"/>
        <v>0</v>
      </c>
      <c r="Y1002" s="200">
        <f t="shared" si="5086"/>
        <v>0</v>
      </c>
      <c r="Z1002" s="200">
        <f t="shared" si="5086"/>
        <v>0</v>
      </c>
      <c r="AA1002" s="200">
        <f t="shared" si="5086"/>
        <v>0</v>
      </c>
      <c r="AB1002" s="200">
        <f t="shared" si="5086"/>
        <v>0</v>
      </c>
      <c r="AC1002" s="200">
        <f t="shared" si="5086"/>
        <v>0</v>
      </c>
      <c r="AD1002" s="200">
        <f t="shared" si="11"/>
        <v>0</v>
      </c>
      <c r="AE1002" s="200">
        <f t="shared" ref="AE1002:AG1002" si="5087">countif($D1002,"*"&amp;AE$2&amp;"*")</f>
        <v>0</v>
      </c>
      <c r="AF1002" s="200">
        <f t="shared" si="5087"/>
        <v>0</v>
      </c>
      <c r="AG1002" s="200">
        <f t="shared" si="5087"/>
        <v>0</v>
      </c>
      <c r="AH1002" s="171">
        <f t="shared" si="13"/>
        <v>0</v>
      </c>
      <c r="AI1002" s="200">
        <f t="shared" si="14"/>
        <v>0</v>
      </c>
      <c r="AJ1002" s="200">
        <f t="shared" si="4907"/>
        <v>0</v>
      </c>
      <c r="AK1002" s="201">
        <f t="shared" ref="AK1002:AS1002" si="5088">countif($D1002,"*"&amp;AK$2&amp;"*")</f>
        <v>0</v>
      </c>
      <c r="AL1002" s="201">
        <f t="shared" si="5088"/>
        <v>0</v>
      </c>
      <c r="AM1002" s="201">
        <f t="shared" si="5088"/>
        <v>0</v>
      </c>
      <c r="AN1002" s="201">
        <f t="shared" si="5088"/>
        <v>0</v>
      </c>
      <c r="AO1002" s="201">
        <f t="shared" si="5088"/>
        <v>0</v>
      </c>
      <c r="AP1002" s="201">
        <f t="shared" si="5088"/>
        <v>0</v>
      </c>
      <c r="AQ1002" s="201">
        <f t="shared" si="5088"/>
        <v>0</v>
      </c>
      <c r="AR1002" s="200">
        <f t="shared" si="5088"/>
        <v>0</v>
      </c>
      <c r="AS1002" s="200">
        <f t="shared" si="5088"/>
        <v>0</v>
      </c>
      <c r="AT1002" s="173">
        <v>0.0</v>
      </c>
      <c r="AU1002" s="200">
        <f t="shared" ref="AU1002:AX1002" si="5089">countif($D1002,"*"&amp;AU$2&amp;"*")</f>
        <v>0</v>
      </c>
      <c r="AV1002" s="200">
        <f t="shared" si="5089"/>
        <v>1</v>
      </c>
      <c r="AW1002" s="200">
        <f t="shared" si="5089"/>
        <v>0</v>
      </c>
      <c r="AX1002" s="200">
        <f t="shared" si="5089"/>
        <v>0</v>
      </c>
      <c r="AY1002" s="202">
        <v>0.0</v>
      </c>
      <c r="AZ1002" s="200"/>
      <c r="BA1002" s="171" t="str">
        <f t="shared" si="18"/>
        <v/>
      </c>
      <c r="BB1002" s="171" t="str">
        <f t="shared" si="19"/>
        <v>Code</v>
      </c>
      <c r="BC1002" s="171" t="str">
        <f t="shared" si="20"/>
        <v/>
      </c>
      <c r="BD1002" s="171" t="str">
        <f t="shared" si="21"/>
        <v/>
      </c>
      <c r="BE1002" s="171" t="str">
        <f t="shared" si="22"/>
        <v/>
      </c>
      <c r="BF1002" s="171" t="str">
        <f t="shared" si="23"/>
        <v>Code</v>
      </c>
    </row>
    <row r="1003">
      <c r="A1003" s="171">
        <f t="array" ref="A1003">XLOOKUP(C1003,ICSE!A:A,ICSE!C:C,,2,1)</f>
        <v>2023</v>
      </c>
      <c r="B1003" s="171" t="s">
        <v>5675</v>
      </c>
      <c r="C1003" s="160">
        <v>2043.0</v>
      </c>
      <c r="D1003" s="161" t="s">
        <v>6092</v>
      </c>
      <c r="E1003" s="197" t="str">
        <f t="array" ref="E1003">XLOOKUP(C1003,ICSE!A:A,ICSE!Z:Z,,0,1)</f>
        <v>Publicly available (2)</v>
      </c>
      <c r="F1003" s="198" t="s">
        <v>20</v>
      </c>
      <c r="G1003" s="163" t="str">
        <f t="array" ref="G1003">IF(B1003="ICSE",IF(COUNTIFS(B:B,B1003,C:C,C1003)=XLOOKUP(C1003,ICSE!A:A,ICSE!AA:AA,"ERROR",0,1),"OK","ERROR"),IF(B1003="FSE",IF(COUNTIFS(B:B,B1003,C:C,C1003)=XLOOKUP(C1003,FSE!A:A,FSE!AA:AA,"ERROR",0,1),"OK","ERROR")))</f>
        <v>OK</v>
      </c>
      <c r="H1003" s="199">
        <f t="shared" ref="H1003:O1003" si="5090">countif($D1003,"*"&amp;H$2&amp;"*")</f>
        <v>1</v>
      </c>
      <c r="I1003" s="200">
        <f t="shared" si="5090"/>
        <v>0</v>
      </c>
      <c r="J1003" s="200">
        <f t="shared" si="5090"/>
        <v>0</v>
      </c>
      <c r="K1003" s="200">
        <f t="shared" si="5090"/>
        <v>0</v>
      </c>
      <c r="L1003" s="200">
        <f t="shared" si="5090"/>
        <v>0</v>
      </c>
      <c r="M1003" s="200">
        <f t="shared" si="5090"/>
        <v>0</v>
      </c>
      <c r="N1003" s="200">
        <f t="shared" si="5090"/>
        <v>0</v>
      </c>
      <c r="O1003" s="200">
        <f t="shared" si="5090"/>
        <v>0</v>
      </c>
      <c r="P1003" s="200">
        <f t="shared" si="9"/>
        <v>0</v>
      </c>
      <c r="Q1003" s="200">
        <f t="shared" ref="Q1003:AC1003" si="5091">countif($D1003,"*"&amp;Q$2&amp;"*")</f>
        <v>0</v>
      </c>
      <c r="R1003" s="200">
        <f t="shared" si="5091"/>
        <v>0</v>
      </c>
      <c r="S1003" s="200">
        <f t="shared" si="5091"/>
        <v>0</v>
      </c>
      <c r="T1003" s="200">
        <f t="shared" si="5091"/>
        <v>0</v>
      </c>
      <c r="U1003" s="200">
        <f t="shared" si="5091"/>
        <v>0</v>
      </c>
      <c r="V1003" s="200">
        <f t="shared" si="5091"/>
        <v>0</v>
      </c>
      <c r="W1003" s="200">
        <f t="shared" si="5091"/>
        <v>0</v>
      </c>
      <c r="X1003" s="200">
        <f t="shared" si="5091"/>
        <v>0</v>
      </c>
      <c r="Y1003" s="200">
        <f t="shared" si="5091"/>
        <v>0</v>
      </c>
      <c r="Z1003" s="200">
        <f t="shared" si="5091"/>
        <v>0</v>
      </c>
      <c r="AA1003" s="200">
        <f t="shared" si="5091"/>
        <v>0</v>
      </c>
      <c r="AB1003" s="200">
        <f t="shared" si="5091"/>
        <v>0</v>
      </c>
      <c r="AC1003" s="200">
        <f t="shared" si="5091"/>
        <v>0</v>
      </c>
      <c r="AD1003" s="200">
        <f t="shared" si="11"/>
        <v>0</v>
      </c>
      <c r="AE1003" s="200">
        <f t="shared" ref="AE1003:AG1003" si="5092">countif($D1003,"*"&amp;AE$2&amp;"*")</f>
        <v>0</v>
      </c>
      <c r="AF1003" s="200">
        <f t="shared" si="5092"/>
        <v>0</v>
      </c>
      <c r="AG1003" s="200">
        <f t="shared" si="5092"/>
        <v>0</v>
      </c>
      <c r="AH1003" s="171">
        <f t="shared" si="13"/>
        <v>0</v>
      </c>
      <c r="AI1003" s="200">
        <f t="shared" si="14"/>
        <v>1</v>
      </c>
      <c r="AJ1003" s="200">
        <f t="shared" si="4907"/>
        <v>0</v>
      </c>
      <c r="AK1003" s="201">
        <f t="shared" ref="AK1003:AS1003" si="5093">countif($D1003,"*"&amp;AK$2&amp;"*")</f>
        <v>0</v>
      </c>
      <c r="AL1003" s="201">
        <f t="shared" si="5093"/>
        <v>0</v>
      </c>
      <c r="AM1003" s="201">
        <f t="shared" si="5093"/>
        <v>0</v>
      </c>
      <c r="AN1003" s="201">
        <f t="shared" si="5093"/>
        <v>0</v>
      </c>
      <c r="AO1003" s="201">
        <f t="shared" si="5093"/>
        <v>0</v>
      </c>
      <c r="AP1003" s="201">
        <f t="shared" si="5093"/>
        <v>0</v>
      </c>
      <c r="AQ1003" s="201">
        <f t="shared" si="5093"/>
        <v>0</v>
      </c>
      <c r="AR1003" s="200">
        <f t="shared" si="5093"/>
        <v>0</v>
      </c>
      <c r="AS1003" s="200">
        <f t="shared" si="5093"/>
        <v>0</v>
      </c>
      <c r="AT1003" s="173">
        <v>0.0</v>
      </c>
      <c r="AU1003" s="200">
        <f t="shared" ref="AU1003:AX1003" si="5094">countif($D1003,"*"&amp;AU$2&amp;"*")</f>
        <v>0</v>
      </c>
      <c r="AV1003" s="200">
        <f t="shared" si="5094"/>
        <v>0</v>
      </c>
      <c r="AW1003" s="200">
        <f t="shared" si="5094"/>
        <v>0</v>
      </c>
      <c r="AX1003" s="200">
        <f t="shared" si="5094"/>
        <v>1</v>
      </c>
      <c r="AY1003" s="202">
        <v>0.0</v>
      </c>
      <c r="AZ1003" s="200"/>
      <c r="BA1003" s="171" t="str">
        <f t="shared" si="18"/>
        <v>Archival</v>
      </c>
      <c r="BB1003" s="171" t="str">
        <f t="shared" si="19"/>
        <v/>
      </c>
      <c r="BC1003" s="171" t="str">
        <f t="shared" si="20"/>
        <v/>
      </c>
      <c r="BD1003" s="171" t="str">
        <f t="shared" si="21"/>
        <v/>
      </c>
      <c r="BE1003" s="171" t="str">
        <f t="shared" si="22"/>
        <v/>
      </c>
      <c r="BF1003" s="171" t="str">
        <f t="shared" si="23"/>
        <v>Archival</v>
      </c>
    </row>
    <row r="1004">
      <c r="A1004" s="171">
        <f t="array" ref="A1004">XLOOKUP(C1004,ICSE!A:A,ICSE!C:C,,2,1)</f>
        <v>2023</v>
      </c>
      <c r="B1004" s="171" t="s">
        <v>5675</v>
      </c>
      <c r="C1004" s="160">
        <v>2044.0</v>
      </c>
      <c r="D1004" s="212" t="s">
        <v>2846</v>
      </c>
      <c r="E1004" s="197" t="str">
        <f t="array" ref="E1004">XLOOKUP(C1004,ICSE!A:A,ICSE!Z:Z,,0,1)</f>
        <v>Publicly available (1)</v>
      </c>
      <c r="F1004" s="198" t="s">
        <v>20</v>
      </c>
      <c r="G1004" s="163" t="str">
        <f t="array" ref="G1004">IF(B1004="ICSE",IF(COUNTIFS(B:B,B1004,C:C,C1004)=XLOOKUP(C1004,ICSE!A:A,ICSE!AA:AA,"ERROR",0,1),"OK","ERROR"),IF(B1004="FSE",IF(COUNTIFS(B:B,B1004,C:C,C1004)=XLOOKUP(C1004,FSE!A:A,FSE!AA:AA,"ERROR",0,1),"OK","ERROR")))</f>
        <v>OK</v>
      </c>
      <c r="H1004" s="199">
        <f t="shared" ref="H1004:O1004" si="5095">countif($D1004,"*"&amp;H$2&amp;"*")</f>
        <v>0</v>
      </c>
      <c r="I1004" s="200">
        <f t="shared" si="5095"/>
        <v>0</v>
      </c>
      <c r="J1004" s="200">
        <f t="shared" si="5095"/>
        <v>0</v>
      </c>
      <c r="K1004" s="200">
        <f t="shared" si="5095"/>
        <v>0</v>
      </c>
      <c r="L1004" s="200">
        <f t="shared" si="5095"/>
        <v>0</v>
      </c>
      <c r="M1004" s="200">
        <f t="shared" si="5095"/>
        <v>0</v>
      </c>
      <c r="N1004" s="200">
        <f t="shared" si="5095"/>
        <v>0</v>
      </c>
      <c r="O1004" s="200">
        <f t="shared" si="5095"/>
        <v>0</v>
      </c>
      <c r="P1004" s="200">
        <f t="shared" si="9"/>
        <v>1</v>
      </c>
      <c r="Q1004" s="200">
        <f t="shared" ref="Q1004:AC1004" si="5096">countif($D1004,"*"&amp;Q$2&amp;"*")</f>
        <v>0</v>
      </c>
      <c r="R1004" s="200">
        <f t="shared" si="5096"/>
        <v>0</v>
      </c>
      <c r="S1004" s="200">
        <f t="shared" si="5096"/>
        <v>0</v>
      </c>
      <c r="T1004" s="200">
        <f t="shared" si="5096"/>
        <v>0</v>
      </c>
      <c r="U1004" s="200">
        <f t="shared" si="5096"/>
        <v>0</v>
      </c>
      <c r="V1004" s="200">
        <f t="shared" si="5096"/>
        <v>0</v>
      </c>
      <c r="W1004" s="200">
        <f t="shared" si="5096"/>
        <v>0</v>
      </c>
      <c r="X1004" s="200">
        <f t="shared" si="5096"/>
        <v>0</v>
      </c>
      <c r="Y1004" s="200">
        <f t="shared" si="5096"/>
        <v>0</v>
      </c>
      <c r="Z1004" s="200">
        <f t="shared" si="5096"/>
        <v>0</v>
      </c>
      <c r="AA1004" s="200">
        <f t="shared" si="5096"/>
        <v>0</v>
      </c>
      <c r="AB1004" s="200">
        <f t="shared" si="5096"/>
        <v>0</v>
      </c>
      <c r="AC1004" s="200">
        <f t="shared" si="5096"/>
        <v>0</v>
      </c>
      <c r="AD1004" s="200">
        <f t="shared" si="11"/>
        <v>0</v>
      </c>
      <c r="AE1004" s="200">
        <f t="shared" ref="AE1004:AG1004" si="5097">countif($D1004,"*"&amp;AE$2&amp;"*")</f>
        <v>0</v>
      </c>
      <c r="AF1004" s="200">
        <f t="shared" si="5097"/>
        <v>0</v>
      </c>
      <c r="AG1004" s="200">
        <f t="shared" si="5097"/>
        <v>0</v>
      </c>
      <c r="AH1004" s="171">
        <f t="shared" si="13"/>
        <v>0</v>
      </c>
      <c r="AI1004" s="200">
        <f t="shared" si="14"/>
        <v>0</v>
      </c>
      <c r="AJ1004" s="200">
        <f t="shared" si="4907"/>
        <v>0</v>
      </c>
      <c r="AK1004" s="201">
        <f t="shared" ref="AK1004:AS1004" si="5098">countif($D1004,"*"&amp;AK$2&amp;"*")</f>
        <v>0</v>
      </c>
      <c r="AL1004" s="201">
        <f t="shared" si="5098"/>
        <v>0</v>
      </c>
      <c r="AM1004" s="201">
        <f t="shared" si="5098"/>
        <v>0</v>
      </c>
      <c r="AN1004" s="201">
        <f t="shared" si="5098"/>
        <v>0</v>
      </c>
      <c r="AO1004" s="201">
        <f t="shared" si="5098"/>
        <v>0</v>
      </c>
      <c r="AP1004" s="201">
        <f t="shared" si="5098"/>
        <v>0</v>
      </c>
      <c r="AQ1004" s="201">
        <f t="shared" si="5098"/>
        <v>0</v>
      </c>
      <c r="AR1004" s="200">
        <f t="shared" si="5098"/>
        <v>0</v>
      </c>
      <c r="AS1004" s="200">
        <f t="shared" si="5098"/>
        <v>0</v>
      </c>
      <c r="AT1004" s="173">
        <v>0.0</v>
      </c>
      <c r="AU1004" s="200">
        <f t="shared" ref="AU1004:AX1004" si="5099">countif($D1004,"*"&amp;AU$2&amp;"*")</f>
        <v>0</v>
      </c>
      <c r="AV1004" s="200">
        <f t="shared" si="5099"/>
        <v>1</v>
      </c>
      <c r="AW1004" s="200">
        <f t="shared" si="5099"/>
        <v>0</v>
      </c>
      <c r="AX1004" s="200">
        <f t="shared" si="5099"/>
        <v>0</v>
      </c>
      <c r="AY1004" s="202">
        <v>0.0</v>
      </c>
      <c r="AZ1004" s="200"/>
      <c r="BA1004" s="171" t="str">
        <f t="shared" si="18"/>
        <v/>
      </c>
      <c r="BB1004" s="171" t="str">
        <f t="shared" si="19"/>
        <v>Code</v>
      </c>
      <c r="BC1004" s="171" t="str">
        <f t="shared" si="20"/>
        <v/>
      </c>
      <c r="BD1004" s="171" t="str">
        <f t="shared" si="21"/>
        <v/>
      </c>
      <c r="BE1004" s="171" t="str">
        <f t="shared" si="22"/>
        <v/>
      </c>
      <c r="BF1004" s="171" t="str">
        <f t="shared" si="23"/>
        <v>Code</v>
      </c>
    </row>
    <row r="1005">
      <c r="A1005" s="171">
        <f t="array" ref="A1005">XLOOKUP(C1005,ICSE!A:A,ICSE!C:C,,2,1)</f>
        <v>2023</v>
      </c>
      <c r="B1005" s="171" t="s">
        <v>5675</v>
      </c>
      <c r="C1005" s="160">
        <v>2045.0</v>
      </c>
      <c r="D1005" s="161" t="s">
        <v>2849</v>
      </c>
      <c r="E1005" s="197" t="str">
        <f t="array" ref="E1005">XLOOKUP(C1005,ICSE!A:A,ICSE!Z:Z,,0,1)</f>
        <v>Publicly available (1)</v>
      </c>
      <c r="F1005" s="198" t="s">
        <v>20</v>
      </c>
      <c r="G1005" s="163" t="str">
        <f t="array" ref="G1005">IF(B1005="ICSE",IF(COUNTIFS(B:B,B1005,C:C,C1005)=XLOOKUP(C1005,ICSE!A:A,ICSE!AA:AA,"ERROR",0,1),"OK","ERROR"),IF(B1005="FSE",IF(COUNTIFS(B:B,B1005,C:C,C1005)=XLOOKUP(C1005,FSE!A:A,FSE!AA:AA,"ERROR",0,1),"OK","ERROR")))</f>
        <v>OK</v>
      </c>
      <c r="H1005" s="199">
        <f t="shared" ref="H1005:O1005" si="5100">countif($D1005,"*"&amp;H$2&amp;"*")</f>
        <v>0</v>
      </c>
      <c r="I1005" s="200">
        <f t="shared" si="5100"/>
        <v>0</v>
      </c>
      <c r="J1005" s="200">
        <f t="shared" si="5100"/>
        <v>0</v>
      </c>
      <c r="K1005" s="200">
        <f t="shared" si="5100"/>
        <v>0</v>
      </c>
      <c r="L1005" s="200">
        <f t="shared" si="5100"/>
        <v>0</v>
      </c>
      <c r="M1005" s="200">
        <f t="shared" si="5100"/>
        <v>0</v>
      </c>
      <c r="N1005" s="200">
        <f t="shared" si="5100"/>
        <v>0</v>
      </c>
      <c r="O1005" s="200">
        <f t="shared" si="5100"/>
        <v>0</v>
      </c>
      <c r="P1005" s="200">
        <f t="shared" si="9"/>
        <v>1</v>
      </c>
      <c r="Q1005" s="200">
        <f t="shared" ref="Q1005:AC1005" si="5101">countif($D1005,"*"&amp;Q$2&amp;"*")</f>
        <v>0</v>
      </c>
      <c r="R1005" s="200">
        <f t="shared" si="5101"/>
        <v>0</v>
      </c>
      <c r="S1005" s="200">
        <f t="shared" si="5101"/>
        <v>0</v>
      </c>
      <c r="T1005" s="200">
        <f t="shared" si="5101"/>
        <v>0</v>
      </c>
      <c r="U1005" s="200">
        <f t="shared" si="5101"/>
        <v>0</v>
      </c>
      <c r="V1005" s="200">
        <f t="shared" si="5101"/>
        <v>0</v>
      </c>
      <c r="W1005" s="200">
        <f t="shared" si="5101"/>
        <v>0</v>
      </c>
      <c r="X1005" s="200">
        <f t="shared" si="5101"/>
        <v>0</v>
      </c>
      <c r="Y1005" s="200">
        <f t="shared" si="5101"/>
        <v>0</v>
      </c>
      <c r="Z1005" s="200">
        <f t="shared" si="5101"/>
        <v>0</v>
      </c>
      <c r="AA1005" s="200">
        <f t="shared" si="5101"/>
        <v>0</v>
      </c>
      <c r="AB1005" s="200">
        <f t="shared" si="5101"/>
        <v>0</v>
      </c>
      <c r="AC1005" s="200">
        <f t="shared" si="5101"/>
        <v>0</v>
      </c>
      <c r="AD1005" s="200">
        <f t="shared" si="11"/>
        <v>0</v>
      </c>
      <c r="AE1005" s="200">
        <f t="shared" ref="AE1005:AG1005" si="5102">countif($D1005,"*"&amp;AE$2&amp;"*")</f>
        <v>0</v>
      </c>
      <c r="AF1005" s="200">
        <f t="shared" si="5102"/>
        <v>0</v>
      </c>
      <c r="AG1005" s="200">
        <f t="shared" si="5102"/>
        <v>0</v>
      </c>
      <c r="AH1005" s="171">
        <f t="shared" si="13"/>
        <v>0</v>
      </c>
      <c r="AI1005" s="200">
        <f t="shared" si="14"/>
        <v>0</v>
      </c>
      <c r="AJ1005" s="200">
        <f t="shared" si="4907"/>
        <v>0</v>
      </c>
      <c r="AK1005" s="201">
        <f t="shared" ref="AK1005:AS1005" si="5103">countif($D1005,"*"&amp;AK$2&amp;"*")</f>
        <v>0</v>
      </c>
      <c r="AL1005" s="201">
        <f t="shared" si="5103"/>
        <v>0</v>
      </c>
      <c r="AM1005" s="201">
        <f t="shared" si="5103"/>
        <v>0</v>
      </c>
      <c r="AN1005" s="201">
        <f t="shared" si="5103"/>
        <v>0</v>
      </c>
      <c r="AO1005" s="201">
        <f t="shared" si="5103"/>
        <v>0</v>
      </c>
      <c r="AP1005" s="201">
        <f t="shared" si="5103"/>
        <v>0</v>
      </c>
      <c r="AQ1005" s="201">
        <f t="shared" si="5103"/>
        <v>0</v>
      </c>
      <c r="AR1005" s="200">
        <f t="shared" si="5103"/>
        <v>0</v>
      </c>
      <c r="AS1005" s="200">
        <f t="shared" si="5103"/>
        <v>0</v>
      </c>
      <c r="AT1005" s="173">
        <v>0.0</v>
      </c>
      <c r="AU1005" s="200">
        <f t="shared" ref="AU1005:AX1005" si="5104">countif($D1005,"*"&amp;AU$2&amp;"*")</f>
        <v>0</v>
      </c>
      <c r="AV1005" s="200">
        <f t="shared" si="5104"/>
        <v>1</v>
      </c>
      <c r="AW1005" s="200">
        <f t="shared" si="5104"/>
        <v>0</v>
      </c>
      <c r="AX1005" s="200">
        <f t="shared" si="5104"/>
        <v>0</v>
      </c>
      <c r="AY1005" s="202">
        <v>0.0</v>
      </c>
      <c r="AZ1005" s="200"/>
      <c r="BA1005" s="171" t="str">
        <f t="shared" si="18"/>
        <v/>
      </c>
      <c r="BB1005" s="171" t="str">
        <f t="shared" si="19"/>
        <v>Code</v>
      </c>
      <c r="BC1005" s="171" t="str">
        <f t="shared" si="20"/>
        <v/>
      </c>
      <c r="BD1005" s="171" t="str">
        <f t="shared" si="21"/>
        <v/>
      </c>
      <c r="BE1005" s="171" t="str">
        <f t="shared" si="22"/>
        <v/>
      </c>
      <c r="BF1005" s="171" t="str">
        <f t="shared" si="23"/>
        <v>Code</v>
      </c>
    </row>
    <row r="1006">
      <c r="A1006" s="171">
        <f t="array" ref="A1006">XLOOKUP(C1006,ICSE!A:A,ICSE!C:C,,2,1)</f>
        <v>2023</v>
      </c>
      <c r="B1006" s="171" t="s">
        <v>5675</v>
      </c>
      <c r="C1006" s="160">
        <v>2046.0</v>
      </c>
      <c r="D1006" s="161" t="s">
        <v>2851</v>
      </c>
      <c r="E1006" s="197" t="str">
        <f t="array" ref="E1006">XLOOKUP(C1006,ICSE!A:A,ICSE!Z:Z,,0,1)</f>
        <v>Publicly available (1)</v>
      </c>
      <c r="F1006" s="198" t="s">
        <v>20</v>
      </c>
      <c r="G1006" s="163" t="str">
        <f t="array" ref="G1006">IF(B1006="ICSE",IF(COUNTIFS(B:B,B1006,C:C,C1006)=XLOOKUP(C1006,ICSE!A:A,ICSE!AA:AA,"ERROR",0,1),"OK","ERROR"),IF(B1006="FSE",IF(COUNTIFS(B:B,B1006,C:C,C1006)=XLOOKUP(C1006,FSE!A:A,FSE!AA:AA,"ERROR",0,1),"OK","ERROR")))</f>
        <v>OK</v>
      </c>
      <c r="H1006" s="199">
        <f t="shared" ref="H1006:O1006" si="5105">countif($D1006,"*"&amp;H$2&amp;"*")</f>
        <v>0</v>
      </c>
      <c r="I1006" s="200">
        <f t="shared" si="5105"/>
        <v>0</v>
      </c>
      <c r="J1006" s="200">
        <f t="shared" si="5105"/>
        <v>0</v>
      </c>
      <c r="K1006" s="200">
        <f t="shared" si="5105"/>
        <v>0</v>
      </c>
      <c r="L1006" s="200">
        <f t="shared" si="5105"/>
        <v>0</v>
      </c>
      <c r="M1006" s="200">
        <f t="shared" si="5105"/>
        <v>0</v>
      </c>
      <c r="N1006" s="200">
        <f t="shared" si="5105"/>
        <v>0</v>
      </c>
      <c r="O1006" s="200">
        <f t="shared" si="5105"/>
        <v>0</v>
      </c>
      <c r="P1006" s="200">
        <f t="shared" si="9"/>
        <v>0</v>
      </c>
      <c r="Q1006" s="200">
        <f t="shared" ref="Q1006:AC1006" si="5106">countif($D1006,"*"&amp;Q$2&amp;"*")</f>
        <v>0</v>
      </c>
      <c r="R1006" s="200">
        <f t="shared" si="5106"/>
        <v>0</v>
      </c>
      <c r="S1006" s="200">
        <f t="shared" si="5106"/>
        <v>0</v>
      </c>
      <c r="T1006" s="200">
        <f t="shared" si="5106"/>
        <v>0</v>
      </c>
      <c r="U1006" s="200">
        <f t="shared" si="5106"/>
        <v>0</v>
      </c>
      <c r="V1006" s="200">
        <f t="shared" si="5106"/>
        <v>0</v>
      </c>
      <c r="W1006" s="200">
        <f t="shared" si="5106"/>
        <v>0</v>
      </c>
      <c r="X1006" s="200">
        <f t="shared" si="5106"/>
        <v>0</v>
      </c>
      <c r="Y1006" s="200">
        <f t="shared" si="5106"/>
        <v>0</v>
      </c>
      <c r="Z1006" s="200">
        <f t="shared" si="5106"/>
        <v>0</v>
      </c>
      <c r="AA1006" s="200">
        <f t="shared" si="5106"/>
        <v>1</v>
      </c>
      <c r="AB1006" s="200">
        <f t="shared" si="5106"/>
        <v>0</v>
      </c>
      <c r="AC1006" s="200">
        <f t="shared" si="5106"/>
        <v>0</v>
      </c>
      <c r="AD1006" s="200">
        <f t="shared" si="11"/>
        <v>0</v>
      </c>
      <c r="AE1006" s="200">
        <f t="shared" ref="AE1006:AG1006" si="5107">countif($D1006,"*"&amp;AE$2&amp;"*")</f>
        <v>0</v>
      </c>
      <c r="AF1006" s="200">
        <f t="shared" si="5107"/>
        <v>0</v>
      </c>
      <c r="AG1006" s="200">
        <f t="shared" si="5107"/>
        <v>0</v>
      </c>
      <c r="AH1006" s="171">
        <f t="shared" si="13"/>
        <v>0</v>
      </c>
      <c r="AI1006" s="200">
        <f t="shared" si="14"/>
        <v>0</v>
      </c>
      <c r="AJ1006" s="200">
        <f t="shared" si="4907"/>
        <v>0</v>
      </c>
      <c r="AK1006" s="201">
        <f t="shared" ref="AK1006:AS1006" si="5108">countif($D1006,"*"&amp;AK$2&amp;"*")</f>
        <v>0</v>
      </c>
      <c r="AL1006" s="201">
        <f t="shared" si="5108"/>
        <v>0</v>
      </c>
      <c r="AM1006" s="201">
        <f t="shared" si="5108"/>
        <v>0</v>
      </c>
      <c r="AN1006" s="201">
        <f t="shared" si="5108"/>
        <v>0</v>
      </c>
      <c r="AO1006" s="201">
        <f t="shared" si="5108"/>
        <v>0</v>
      </c>
      <c r="AP1006" s="201">
        <f t="shared" si="5108"/>
        <v>0</v>
      </c>
      <c r="AQ1006" s="201">
        <f t="shared" si="5108"/>
        <v>0</v>
      </c>
      <c r="AR1006" s="200">
        <f t="shared" si="5108"/>
        <v>0</v>
      </c>
      <c r="AS1006" s="200">
        <f t="shared" si="5108"/>
        <v>0</v>
      </c>
      <c r="AT1006" s="173">
        <v>0.0</v>
      </c>
      <c r="AU1006" s="200">
        <f t="shared" ref="AU1006:AX1006" si="5109">countif($D1006,"*"&amp;AU$2&amp;"*")</f>
        <v>0</v>
      </c>
      <c r="AV1006" s="200">
        <f t="shared" si="5109"/>
        <v>0</v>
      </c>
      <c r="AW1006" s="200">
        <f t="shared" si="5109"/>
        <v>0</v>
      </c>
      <c r="AX1006" s="200">
        <f t="shared" si="5109"/>
        <v>0</v>
      </c>
      <c r="AY1006" s="202">
        <v>0.0</v>
      </c>
      <c r="AZ1006" s="200"/>
      <c r="BA1006" s="171" t="str">
        <f t="shared" si="18"/>
        <v/>
      </c>
      <c r="BB1006" s="171" t="str">
        <f t="shared" si="19"/>
        <v/>
      </c>
      <c r="BC1006" s="171" t="str">
        <f t="shared" si="20"/>
        <v>General-purpose</v>
      </c>
      <c r="BD1006" s="171" t="str">
        <f t="shared" si="21"/>
        <v/>
      </c>
      <c r="BE1006" s="171" t="str">
        <f t="shared" si="22"/>
        <v/>
      </c>
      <c r="BF1006" s="171" t="str">
        <f t="shared" si="23"/>
        <v>General-purpose</v>
      </c>
    </row>
    <row r="1007">
      <c r="A1007" s="171">
        <f t="array" ref="A1007">XLOOKUP(C1007,ICSE!A:A,ICSE!C:C,,2,1)</f>
        <v>2023</v>
      </c>
      <c r="B1007" s="171" t="s">
        <v>5675</v>
      </c>
      <c r="C1007" s="160">
        <v>2047.0</v>
      </c>
      <c r="D1007" s="161" t="s">
        <v>6093</v>
      </c>
      <c r="E1007" s="197" t="str">
        <f t="array" ref="E1007">XLOOKUP(C1007,ICSE!A:A,ICSE!Z:Z,,0,1)</f>
        <v>Publicly available (2)</v>
      </c>
      <c r="F1007" s="198" t="s">
        <v>20</v>
      </c>
      <c r="G1007" s="163" t="str">
        <f t="array" ref="G1007">IF(B1007="ICSE",IF(COUNTIFS(B:B,B1007,C:C,C1007)=XLOOKUP(C1007,ICSE!A:A,ICSE!AA:AA,"ERROR",0,1),"OK","ERROR"),IF(B1007="FSE",IF(COUNTIFS(B:B,B1007,C:C,C1007)=XLOOKUP(C1007,FSE!A:A,FSE!AA:AA,"ERROR",0,1),"OK","ERROR")))</f>
        <v>OK</v>
      </c>
      <c r="H1007" s="199">
        <f t="shared" ref="H1007:O1007" si="5110">countif($D1007,"*"&amp;H$2&amp;"*")</f>
        <v>0</v>
      </c>
      <c r="I1007" s="200">
        <f t="shared" si="5110"/>
        <v>1</v>
      </c>
      <c r="J1007" s="200">
        <f t="shared" si="5110"/>
        <v>0</v>
      </c>
      <c r="K1007" s="200">
        <f t="shared" si="5110"/>
        <v>0</v>
      </c>
      <c r="L1007" s="200">
        <f t="shared" si="5110"/>
        <v>0</v>
      </c>
      <c r="M1007" s="200">
        <f t="shared" si="5110"/>
        <v>0</v>
      </c>
      <c r="N1007" s="200">
        <f t="shared" si="5110"/>
        <v>0</v>
      </c>
      <c r="O1007" s="200">
        <f t="shared" si="5110"/>
        <v>0</v>
      </c>
      <c r="P1007" s="200">
        <f t="shared" si="9"/>
        <v>0</v>
      </c>
      <c r="Q1007" s="200">
        <f t="shared" ref="Q1007:AC1007" si="5111">countif($D1007,"*"&amp;Q$2&amp;"*")</f>
        <v>0</v>
      </c>
      <c r="R1007" s="200">
        <f t="shared" si="5111"/>
        <v>0</v>
      </c>
      <c r="S1007" s="200">
        <f t="shared" si="5111"/>
        <v>0</v>
      </c>
      <c r="T1007" s="200">
        <f t="shared" si="5111"/>
        <v>0</v>
      </c>
      <c r="U1007" s="200">
        <f t="shared" si="5111"/>
        <v>0</v>
      </c>
      <c r="V1007" s="200">
        <f t="shared" si="5111"/>
        <v>0</v>
      </c>
      <c r="W1007" s="200">
        <f t="shared" si="5111"/>
        <v>0</v>
      </c>
      <c r="X1007" s="200">
        <f t="shared" si="5111"/>
        <v>0</v>
      </c>
      <c r="Y1007" s="200">
        <f t="shared" si="5111"/>
        <v>0</v>
      </c>
      <c r="Z1007" s="200">
        <f t="shared" si="5111"/>
        <v>0</v>
      </c>
      <c r="AA1007" s="200">
        <f t="shared" si="5111"/>
        <v>0</v>
      </c>
      <c r="AB1007" s="200">
        <f t="shared" si="5111"/>
        <v>0</v>
      </c>
      <c r="AC1007" s="200">
        <f t="shared" si="5111"/>
        <v>0</v>
      </c>
      <c r="AD1007" s="200">
        <f t="shared" si="11"/>
        <v>0</v>
      </c>
      <c r="AE1007" s="200">
        <f t="shared" ref="AE1007:AG1007" si="5112">countif($D1007,"*"&amp;AE$2&amp;"*")</f>
        <v>0</v>
      </c>
      <c r="AF1007" s="200">
        <f t="shared" si="5112"/>
        <v>0</v>
      </c>
      <c r="AG1007" s="200">
        <f t="shared" si="5112"/>
        <v>0</v>
      </c>
      <c r="AH1007" s="171">
        <f t="shared" si="13"/>
        <v>0</v>
      </c>
      <c r="AI1007" s="200">
        <f t="shared" si="14"/>
        <v>1</v>
      </c>
      <c r="AJ1007" s="200">
        <f t="shared" si="4907"/>
        <v>0</v>
      </c>
      <c r="AK1007" s="201">
        <f t="shared" ref="AK1007:AS1007" si="5113">countif($D1007,"*"&amp;AK$2&amp;"*")</f>
        <v>0</v>
      </c>
      <c r="AL1007" s="201">
        <f t="shared" si="5113"/>
        <v>0</v>
      </c>
      <c r="AM1007" s="201">
        <f t="shared" si="5113"/>
        <v>0</v>
      </c>
      <c r="AN1007" s="201">
        <f t="shared" si="5113"/>
        <v>0</v>
      </c>
      <c r="AO1007" s="201">
        <f t="shared" si="5113"/>
        <v>0</v>
      </c>
      <c r="AP1007" s="201">
        <f t="shared" si="5113"/>
        <v>0</v>
      </c>
      <c r="AQ1007" s="201">
        <f t="shared" si="5113"/>
        <v>0</v>
      </c>
      <c r="AR1007" s="200">
        <f t="shared" si="5113"/>
        <v>0</v>
      </c>
      <c r="AS1007" s="200">
        <f t="shared" si="5113"/>
        <v>0</v>
      </c>
      <c r="AT1007" s="173">
        <v>0.0</v>
      </c>
      <c r="AU1007" s="200">
        <f t="shared" ref="AU1007:AX1007" si="5114">countif($D1007,"*"&amp;AU$2&amp;"*")</f>
        <v>0</v>
      </c>
      <c r="AV1007" s="200">
        <f t="shared" si="5114"/>
        <v>0</v>
      </c>
      <c r="AW1007" s="200">
        <f t="shared" si="5114"/>
        <v>0</v>
      </c>
      <c r="AX1007" s="200">
        <f t="shared" si="5114"/>
        <v>1</v>
      </c>
      <c r="AY1007" s="202">
        <v>0.0</v>
      </c>
      <c r="AZ1007" s="200"/>
      <c r="BA1007" s="171" t="str">
        <f t="shared" si="18"/>
        <v>Archival</v>
      </c>
      <c r="BB1007" s="171" t="str">
        <f t="shared" si="19"/>
        <v/>
      </c>
      <c r="BC1007" s="171" t="str">
        <f t="shared" si="20"/>
        <v/>
      </c>
      <c r="BD1007" s="171" t="str">
        <f t="shared" si="21"/>
        <v/>
      </c>
      <c r="BE1007" s="171" t="str">
        <f t="shared" si="22"/>
        <v/>
      </c>
      <c r="BF1007" s="171" t="str">
        <f t="shared" si="23"/>
        <v>Archival</v>
      </c>
    </row>
    <row r="1008">
      <c r="A1008" s="171">
        <f t="array" ref="A1008">XLOOKUP(C1008,ICSE!A:A,ICSE!C:C,,2,1)</f>
        <v>2023</v>
      </c>
      <c r="B1008" s="171" t="s">
        <v>5675</v>
      </c>
      <c r="C1008" s="160">
        <v>2047.0</v>
      </c>
      <c r="D1008" s="161" t="s">
        <v>6094</v>
      </c>
      <c r="E1008" s="197" t="str">
        <f t="array" ref="E1008">XLOOKUP(C1008,ICSE!A:A,ICSE!Z:Z,,0,1)</f>
        <v>Publicly available (2)</v>
      </c>
      <c r="F1008" s="198" t="s">
        <v>20</v>
      </c>
      <c r="G1008" s="163" t="str">
        <f t="array" ref="G1008">IF(B1008="ICSE",IF(COUNTIFS(B:B,B1008,C:C,C1008)=XLOOKUP(C1008,ICSE!A:A,ICSE!AA:AA,"ERROR",0,1),"OK","ERROR"),IF(B1008="FSE",IF(COUNTIFS(B:B,B1008,C:C,C1008)=XLOOKUP(C1008,FSE!A:A,FSE!AA:AA,"ERROR",0,1),"OK","ERROR")))</f>
        <v>OK</v>
      </c>
      <c r="H1008" s="199">
        <f t="shared" ref="H1008:O1008" si="5115">countif($D1008,"*"&amp;H$2&amp;"*")</f>
        <v>0</v>
      </c>
      <c r="I1008" s="200">
        <f t="shared" si="5115"/>
        <v>0</v>
      </c>
      <c r="J1008" s="200">
        <f t="shared" si="5115"/>
        <v>0</v>
      </c>
      <c r="K1008" s="200">
        <f t="shared" si="5115"/>
        <v>0</v>
      </c>
      <c r="L1008" s="200">
        <f t="shared" si="5115"/>
        <v>0</v>
      </c>
      <c r="M1008" s="200">
        <f t="shared" si="5115"/>
        <v>0</v>
      </c>
      <c r="N1008" s="200">
        <f t="shared" si="5115"/>
        <v>0</v>
      </c>
      <c r="O1008" s="200">
        <f t="shared" si="5115"/>
        <v>0</v>
      </c>
      <c r="P1008" s="200">
        <f t="shared" si="9"/>
        <v>1</v>
      </c>
      <c r="Q1008" s="200">
        <f t="shared" ref="Q1008:AC1008" si="5116">countif($D1008,"*"&amp;Q$2&amp;"*")</f>
        <v>0</v>
      </c>
      <c r="R1008" s="200">
        <f t="shared" si="5116"/>
        <v>0</v>
      </c>
      <c r="S1008" s="200">
        <f t="shared" si="5116"/>
        <v>0</v>
      </c>
      <c r="T1008" s="200">
        <f t="shared" si="5116"/>
        <v>0</v>
      </c>
      <c r="U1008" s="200">
        <f t="shared" si="5116"/>
        <v>0</v>
      </c>
      <c r="V1008" s="200">
        <f t="shared" si="5116"/>
        <v>0</v>
      </c>
      <c r="W1008" s="200">
        <f t="shared" si="5116"/>
        <v>0</v>
      </c>
      <c r="X1008" s="200">
        <f t="shared" si="5116"/>
        <v>0</v>
      </c>
      <c r="Y1008" s="200">
        <f t="shared" si="5116"/>
        <v>0</v>
      </c>
      <c r="Z1008" s="200">
        <f t="shared" si="5116"/>
        <v>0</v>
      </c>
      <c r="AA1008" s="200">
        <f t="shared" si="5116"/>
        <v>0</v>
      </c>
      <c r="AB1008" s="200">
        <f t="shared" si="5116"/>
        <v>0</v>
      </c>
      <c r="AC1008" s="200">
        <f t="shared" si="5116"/>
        <v>0</v>
      </c>
      <c r="AD1008" s="200">
        <f t="shared" si="11"/>
        <v>0</v>
      </c>
      <c r="AE1008" s="200">
        <f t="shared" ref="AE1008:AG1008" si="5117">countif($D1008,"*"&amp;AE$2&amp;"*")</f>
        <v>0</v>
      </c>
      <c r="AF1008" s="200">
        <f t="shared" si="5117"/>
        <v>0</v>
      </c>
      <c r="AG1008" s="200">
        <f t="shared" si="5117"/>
        <v>0</v>
      </c>
      <c r="AH1008" s="171">
        <f t="shared" si="13"/>
        <v>0</v>
      </c>
      <c r="AI1008" s="200">
        <f t="shared" si="14"/>
        <v>0</v>
      </c>
      <c r="AJ1008" s="200">
        <f t="shared" si="4907"/>
        <v>0</v>
      </c>
      <c r="AK1008" s="201">
        <f t="shared" ref="AK1008:AS1008" si="5118">countif($D1008,"*"&amp;AK$2&amp;"*")</f>
        <v>0</v>
      </c>
      <c r="AL1008" s="201">
        <f t="shared" si="5118"/>
        <v>0</v>
      </c>
      <c r="AM1008" s="201">
        <f t="shared" si="5118"/>
        <v>0</v>
      </c>
      <c r="AN1008" s="201">
        <f t="shared" si="5118"/>
        <v>0</v>
      </c>
      <c r="AO1008" s="201">
        <f t="shared" si="5118"/>
        <v>0</v>
      </c>
      <c r="AP1008" s="201">
        <f t="shared" si="5118"/>
        <v>0</v>
      </c>
      <c r="AQ1008" s="201">
        <f t="shared" si="5118"/>
        <v>0</v>
      </c>
      <c r="AR1008" s="200">
        <f t="shared" si="5118"/>
        <v>0</v>
      </c>
      <c r="AS1008" s="200">
        <f t="shared" si="5118"/>
        <v>0</v>
      </c>
      <c r="AT1008" s="173">
        <v>0.0</v>
      </c>
      <c r="AU1008" s="200">
        <f t="shared" ref="AU1008:AX1008" si="5119">countif($D1008,"*"&amp;AU$2&amp;"*")</f>
        <v>0</v>
      </c>
      <c r="AV1008" s="200">
        <f t="shared" si="5119"/>
        <v>1</v>
      </c>
      <c r="AW1008" s="200">
        <f t="shared" si="5119"/>
        <v>0</v>
      </c>
      <c r="AX1008" s="200">
        <f t="shared" si="5119"/>
        <v>0</v>
      </c>
      <c r="AY1008" s="202">
        <v>0.0</v>
      </c>
      <c r="AZ1008" s="200"/>
      <c r="BA1008" s="171" t="str">
        <f t="shared" si="18"/>
        <v/>
      </c>
      <c r="BB1008" s="171" t="str">
        <f t="shared" si="19"/>
        <v>Code</v>
      </c>
      <c r="BC1008" s="171" t="str">
        <f t="shared" si="20"/>
        <v/>
      </c>
      <c r="BD1008" s="171" t="str">
        <f t="shared" si="21"/>
        <v/>
      </c>
      <c r="BE1008" s="171" t="str">
        <f t="shared" si="22"/>
        <v/>
      </c>
      <c r="BF1008" s="171" t="str">
        <f t="shared" si="23"/>
        <v>Code</v>
      </c>
    </row>
    <row r="1009">
      <c r="A1009" s="171">
        <f t="array" ref="A1009">XLOOKUP(C1009,ICSE!A:A,ICSE!C:C,,2,1)</f>
        <v>2023</v>
      </c>
      <c r="B1009" s="171" t="s">
        <v>5675</v>
      </c>
      <c r="C1009" s="160">
        <v>2048.0</v>
      </c>
      <c r="D1009" s="161" t="s">
        <v>2858</v>
      </c>
      <c r="E1009" s="197" t="str">
        <f t="array" ref="E1009">XLOOKUP(C1009,ICSE!A:A,ICSE!Z:Z,,0,1)</f>
        <v>Publicly available (1)</v>
      </c>
      <c r="F1009" s="198" t="s">
        <v>20</v>
      </c>
      <c r="G1009" s="163" t="str">
        <f t="array" ref="G1009">IF(B1009="ICSE",IF(COUNTIFS(B:B,B1009,C:C,C1009)=XLOOKUP(C1009,ICSE!A:A,ICSE!AA:AA,"ERROR",0,1),"OK","ERROR"),IF(B1009="FSE",IF(COUNTIFS(B:B,B1009,C:C,C1009)=XLOOKUP(C1009,FSE!A:A,FSE!AA:AA,"ERROR",0,1),"OK","ERROR")))</f>
        <v>OK</v>
      </c>
      <c r="H1009" s="199">
        <f t="shared" ref="H1009:O1009" si="5120">countif($D1009,"*"&amp;H$2&amp;"*")</f>
        <v>0</v>
      </c>
      <c r="I1009" s="200">
        <f t="shared" si="5120"/>
        <v>0</v>
      </c>
      <c r="J1009" s="200">
        <f t="shared" si="5120"/>
        <v>0</v>
      </c>
      <c r="K1009" s="200">
        <f t="shared" si="5120"/>
        <v>0</v>
      </c>
      <c r="L1009" s="200">
        <f t="shared" si="5120"/>
        <v>0</v>
      </c>
      <c r="M1009" s="200">
        <f t="shared" si="5120"/>
        <v>0</v>
      </c>
      <c r="N1009" s="200">
        <f t="shared" si="5120"/>
        <v>0</v>
      </c>
      <c r="O1009" s="200">
        <f t="shared" si="5120"/>
        <v>0</v>
      </c>
      <c r="P1009" s="200">
        <f t="shared" si="9"/>
        <v>1</v>
      </c>
      <c r="Q1009" s="200">
        <f t="shared" ref="Q1009:AC1009" si="5121">countif($D1009,"*"&amp;Q$2&amp;"*")</f>
        <v>0</v>
      </c>
      <c r="R1009" s="200">
        <f t="shared" si="5121"/>
        <v>0</v>
      </c>
      <c r="S1009" s="200">
        <f t="shared" si="5121"/>
        <v>0</v>
      </c>
      <c r="T1009" s="200">
        <f t="shared" si="5121"/>
        <v>0</v>
      </c>
      <c r="U1009" s="200">
        <f t="shared" si="5121"/>
        <v>0</v>
      </c>
      <c r="V1009" s="200">
        <f t="shared" si="5121"/>
        <v>0</v>
      </c>
      <c r="W1009" s="200">
        <f t="shared" si="5121"/>
        <v>0</v>
      </c>
      <c r="X1009" s="200">
        <f t="shared" si="5121"/>
        <v>0</v>
      </c>
      <c r="Y1009" s="200">
        <f t="shared" si="5121"/>
        <v>0</v>
      </c>
      <c r="Z1009" s="200">
        <f t="shared" si="5121"/>
        <v>0</v>
      </c>
      <c r="AA1009" s="200">
        <f t="shared" si="5121"/>
        <v>0</v>
      </c>
      <c r="AB1009" s="200">
        <f t="shared" si="5121"/>
        <v>0</v>
      </c>
      <c r="AC1009" s="200">
        <f t="shared" si="5121"/>
        <v>0</v>
      </c>
      <c r="AD1009" s="200">
        <f t="shared" si="11"/>
        <v>0</v>
      </c>
      <c r="AE1009" s="200">
        <f t="shared" ref="AE1009:AG1009" si="5122">countif($D1009,"*"&amp;AE$2&amp;"*")</f>
        <v>0</v>
      </c>
      <c r="AF1009" s="200">
        <f t="shared" si="5122"/>
        <v>0</v>
      </c>
      <c r="AG1009" s="200">
        <f t="shared" si="5122"/>
        <v>0</v>
      </c>
      <c r="AH1009" s="171">
        <f t="shared" si="13"/>
        <v>0</v>
      </c>
      <c r="AI1009" s="200">
        <f t="shared" si="14"/>
        <v>0</v>
      </c>
      <c r="AJ1009" s="200">
        <f t="shared" si="4907"/>
        <v>0</v>
      </c>
      <c r="AK1009" s="201">
        <f t="shared" ref="AK1009:AS1009" si="5123">countif($D1009,"*"&amp;AK$2&amp;"*")</f>
        <v>0</v>
      </c>
      <c r="AL1009" s="201">
        <f t="shared" si="5123"/>
        <v>0</v>
      </c>
      <c r="AM1009" s="201">
        <f t="shared" si="5123"/>
        <v>0</v>
      </c>
      <c r="AN1009" s="201">
        <f t="shared" si="5123"/>
        <v>0</v>
      </c>
      <c r="AO1009" s="201">
        <f t="shared" si="5123"/>
        <v>0</v>
      </c>
      <c r="AP1009" s="201">
        <f t="shared" si="5123"/>
        <v>0</v>
      </c>
      <c r="AQ1009" s="201">
        <f t="shared" si="5123"/>
        <v>0</v>
      </c>
      <c r="AR1009" s="200">
        <f t="shared" si="5123"/>
        <v>0</v>
      </c>
      <c r="AS1009" s="200">
        <f t="shared" si="5123"/>
        <v>0</v>
      </c>
      <c r="AT1009" s="173">
        <v>0.0</v>
      </c>
      <c r="AU1009" s="200">
        <f t="shared" ref="AU1009:AX1009" si="5124">countif($D1009,"*"&amp;AU$2&amp;"*")</f>
        <v>0</v>
      </c>
      <c r="AV1009" s="200">
        <f t="shared" si="5124"/>
        <v>1</v>
      </c>
      <c r="AW1009" s="200">
        <f t="shared" si="5124"/>
        <v>0</v>
      </c>
      <c r="AX1009" s="200">
        <f t="shared" si="5124"/>
        <v>0</v>
      </c>
      <c r="AY1009" s="202">
        <v>0.0</v>
      </c>
      <c r="AZ1009" s="200"/>
      <c r="BA1009" s="171" t="str">
        <f t="shared" si="18"/>
        <v/>
      </c>
      <c r="BB1009" s="171" t="str">
        <f t="shared" si="19"/>
        <v>Code</v>
      </c>
      <c r="BC1009" s="171" t="str">
        <f t="shared" si="20"/>
        <v/>
      </c>
      <c r="BD1009" s="171" t="str">
        <f t="shared" si="21"/>
        <v/>
      </c>
      <c r="BE1009" s="171" t="str">
        <f t="shared" si="22"/>
        <v/>
      </c>
      <c r="BF1009" s="171" t="str">
        <f t="shared" si="23"/>
        <v>Code</v>
      </c>
    </row>
    <row r="1010">
      <c r="A1010" s="171">
        <f t="array" ref="A1010">XLOOKUP(C1010,ICSE!A:A,ICSE!C:C,,2,1)</f>
        <v>2023</v>
      </c>
      <c r="B1010" s="171" t="s">
        <v>5675</v>
      </c>
      <c r="C1010" s="160">
        <v>2049.0</v>
      </c>
      <c r="D1010" s="161" t="s">
        <v>6095</v>
      </c>
      <c r="E1010" s="197" t="str">
        <f t="array" ref="E1010">XLOOKUP(C1010,ICSE!A:A,ICSE!Z:Z,,0,1)</f>
        <v>Publicly available (2)</v>
      </c>
      <c r="F1010" s="198" t="s">
        <v>20</v>
      </c>
      <c r="G1010" s="163" t="str">
        <f t="array" ref="G1010">IF(B1010="ICSE",IF(COUNTIFS(B:B,B1010,C:C,C1010)=XLOOKUP(C1010,ICSE!A:A,ICSE!AA:AA,"ERROR",0,1),"OK","ERROR"),IF(B1010="FSE",IF(COUNTIFS(B:B,B1010,C:C,C1010)=XLOOKUP(C1010,FSE!A:A,FSE!AA:AA,"ERROR",0,1),"OK","ERROR")))</f>
        <v>OK</v>
      </c>
      <c r="H1010" s="199">
        <f t="shared" ref="H1010:O1010" si="5125">countif($D1010,"*"&amp;H$2&amp;"*")</f>
        <v>0</v>
      </c>
      <c r="I1010" s="200">
        <f t="shared" si="5125"/>
        <v>0</v>
      </c>
      <c r="J1010" s="200">
        <f t="shared" si="5125"/>
        <v>0</v>
      </c>
      <c r="K1010" s="200">
        <f t="shared" si="5125"/>
        <v>0</v>
      </c>
      <c r="L1010" s="200">
        <f t="shared" si="5125"/>
        <v>0</v>
      </c>
      <c r="M1010" s="200">
        <f t="shared" si="5125"/>
        <v>0</v>
      </c>
      <c r="N1010" s="200">
        <f t="shared" si="5125"/>
        <v>0</v>
      </c>
      <c r="O1010" s="200">
        <f t="shared" si="5125"/>
        <v>0</v>
      </c>
      <c r="P1010" s="200">
        <f t="shared" si="9"/>
        <v>0</v>
      </c>
      <c r="Q1010" s="200">
        <f t="shared" ref="Q1010:AC1010" si="5126">countif($D1010,"*"&amp;Q$2&amp;"*")</f>
        <v>0</v>
      </c>
      <c r="R1010" s="200">
        <f t="shared" si="5126"/>
        <v>0</v>
      </c>
      <c r="S1010" s="200">
        <f t="shared" si="5126"/>
        <v>0</v>
      </c>
      <c r="T1010" s="200">
        <f t="shared" si="5126"/>
        <v>0</v>
      </c>
      <c r="U1010" s="200">
        <f t="shared" si="5126"/>
        <v>0</v>
      </c>
      <c r="V1010" s="200">
        <f t="shared" si="5126"/>
        <v>0</v>
      </c>
      <c r="W1010" s="200">
        <f t="shared" si="5126"/>
        <v>0</v>
      </c>
      <c r="X1010" s="200">
        <f t="shared" si="5126"/>
        <v>0</v>
      </c>
      <c r="Y1010" s="200">
        <f t="shared" si="5126"/>
        <v>0</v>
      </c>
      <c r="Z1010" s="200">
        <f t="shared" si="5126"/>
        <v>0</v>
      </c>
      <c r="AA1010" s="200">
        <f t="shared" si="5126"/>
        <v>0</v>
      </c>
      <c r="AB1010" s="200">
        <f t="shared" si="5126"/>
        <v>0</v>
      </c>
      <c r="AC1010" s="200">
        <f t="shared" si="5126"/>
        <v>0</v>
      </c>
      <c r="AD1010" s="200">
        <f t="shared" si="11"/>
        <v>0</v>
      </c>
      <c r="AE1010" s="200">
        <f t="shared" ref="AE1010:AG1010" si="5127">countif($D1010,"*"&amp;AE$2&amp;"*")</f>
        <v>0</v>
      </c>
      <c r="AF1010" s="200">
        <f t="shared" si="5127"/>
        <v>0</v>
      </c>
      <c r="AG1010" s="200">
        <f t="shared" si="5127"/>
        <v>0</v>
      </c>
      <c r="AH1010" s="171">
        <f t="shared" si="13"/>
        <v>1</v>
      </c>
      <c r="AI1010" s="200">
        <f t="shared" si="14"/>
        <v>0</v>
      </c>
      <c r="AJ1010" s="200">
        <f t="shared" si="4907"/>
        <v>0</v>
      </c>
      <c r="AK1010" s="201">
        <f t="shared" ref="AK1010:AS1010" si="5128">countif($D1010,"*"&amp;AK$2&amp;"*")</f>
        <v>0</v>
      </c>
      <c r="AL1010" s="201">
        <f t="shared" si="5128"/>
        <v>0</v>
      </c>
      <c r="AM1010" s="201">
        <f t="shared" si="5128"/>
        <v>0</v>
      </c>
      <c r="AN1010" s="201">
        <f t="shared" si="5128"/>
        <v>0</v>
      </c>
      <c r="AO1010" s="201">
        <f t="shared" si="5128"/>
        <v>0</v>
      </c>
      <c r="AP1010" s="201">
        <f t="shared" si="5128"/>
        <v>0</v>
      </c>
      <c r="AQ1010" s="201">
        <f t="shared" si="5128"/>
        <v>0</v>
      </c>
      <c r="AR1010" s="200">
        <f t="shared" si="5128"/>
        <v>0</v>
      </c>
      <c r="AS1010" s="200">
        <f t="shared" si="5128"/>
        <v>0</v>
      </c>
      <c r="AT1010" s="173">
        <v>0.0</v>
      </c>
      <c r="AU1010" s="200">
        <f t="shared" ref="AU1010:AX1010" si="5129">countif($D1010,"*"&amp;AU$2&amp;"*")</f>
        <v>0</v>
      </c>
      <c r="AV1010" s="200">
        <f t="shared" si="5129"/>
        <v>0</v>
      </c>
      <c r="AW1010" s="200">
        <f t="shared" si="5129"/>
        <v>0</v>
      </c>
      <c r="AX1010" s="200">
        <f t="shared" si="5129"/>
        <v>0</v>
      </c>
      <c r="AY1010" s="202">
        <v>0.0</v>
      </c>
      <c r="AZ1010" s="200"/>
      <c r="BA1010" s="171" t="str">
        <f t="shared" si="18"/>
        <v/>
      </c>
      <c r="BB1010" s="171" t="str">
        <f t="shared" si="19"/>
        <v/>
      </c>
      <c r="BC1010" s="171" t="str">
        <f t="shared" si="20"/>
        <v/>
      </c>
      <c r="BD1010" s="171" t="str">
        <f t="shared" si="21"/>
        <v/>
      </c>
      <c r="BE1010" s="171" t="str">
        <f t="shared" si="22"/>
        <v>Others</v>
      </c>
      <c r="BF1010" s="171" t="str">
        <f t="shared" si="23"/>
        <v>Others</v>
      </c>
    </row>
    <row r="1011">
      <c r="A1011" s="171">
        <f t="array" ref="A1011">XLOOKUP(C1011,ICSE!A:A,ICSE!C:C,,2,1)</f>
        <v>2023</v>
      </c>
      <c r="B1011" s="171" t="s">
        <v>5675</v>
      </c>
      <c r="C1011" s="160">
        <v>2049.0</v>
      </c>
      <c r="D1011" s="161" t="s">
        <v>6096</v>
      </c>
      <c r="E1011" s="197" t="str">
        <f t="array" ref="E1011">XLOOKUP(C1011,ICSE!A:A,ICSE!Z:Z,,0,1)</f>
        <v>Publicly available (2)</v>
      </c>
      <c r="F1011" s="198" t="s">
        <v>20</v>
      </c>
      <c r="G1011" s="163" t="str">
        <f t="array" ref="G1011">IF(B1011="ICSE",IF(COUNTIFS(B:B,B1011,C:C,C1011)=XLOOKUP(C1011,ICSE!A:A,ICSE!AA:AA,"ERROR",0,1),"OK","ERROR"),IF(B1011="FSE",IF(COUNTIFS(B:B,B1011,C:C,C1011)=XLOOKUP(C1011,FSE!A:A,FSE!AA:AA,"ERROR",0,1),"OK","ERROR")))</f>
        <v>OK</v>
      </c>
      <c r="H1011" s="199">
        <f t="shared" ref="H1011:O1011" si="5130">countif($D1011,"*"&amp;H$2&amp;"*")</f>
        <v>0</v>
      </c>
      <c r="I1011" s="200">
        <f t="shared" si="5130"/>
        <v>0</v>
      </c>
      <c r="J1011" s="200">
        <f t="shared" si="5130"/>
        <v>0</v>
      </c>
      <c r="K1011" s="200">
        <f t="shared" si="5130"/>
        <v>0</v>
      </c>
      <c r="L1011" s="200">
        <f t="shared" si="5130"/>
        <v>0</v>
      </c>
      <c r="M1011" s="200">
        <f t="shared" si="5130"/>
        <v>0</v>
      </c>
      <c r="N1011" s="200">
        <f t="shared" si="5130"/>
        <v>0</v>
      </c>
      <c r="O1011" s="200">
        <f t="shared" si="5130"/>
        <v>0</v>
      </c>
      <c r="P1011" s="200">
        <f t="shared" si="9"/>
        <v>1</v>
      </c>
      <c r="Q1011" s="200">
        <f t="shared" ref="Q1011:AC1011" si="5131">countif($D1011,"*"&amp;Q$2&amp;"*")</f>
        <v>0</v>
      </c>
      <c r="R1011" s="200">
        <f t="shared" si="5131"/>
        <v>0</v>
      </c>
      <c r="S1011" s="200">
        <f t="shared" si="5131"/>
        <v>0</v>
      </c>
      <c r="T1011" s="200">
        <f t="shared" si="5131"/>
        <v>0</v>
      </c>
      <c r="U1011" s="200">
        <f t="shared" si="5131"/>
        <v>0</v>
      </c>
      <c r="V1011" s="200">
        <f t="shared" si="5131"/>
        <v>0</v>
      </c>
      <c r="W1011" s="200">
        <f t="shared" si="5131"/>
        <v>0</v>
      </c>
      <c r="X1011" s="200">
        <f t="shared" si="5131"/>
        <v>0</v>
      </c>
      <c r="Y1011" s="200">
        <f t="shared" si="5131"/>
        <v>0</v>
      </c>
      <c r="Z1011" s="200">
        <f t="shared" si="5131"/>
        <v>0</v>
      </c>
      <c r="AA1011" s="200">
        <f t="shared" si="5131"/>
        <v>0</v>
      </c>
      <c r="AB1011" s="200">
        <f t="shared" si="5131"/>
        <v>0</v>
      </c>
      <c r="AC1011" s="200">
        <f t="shared" si="5131"/>
        <v>0</v>
      </c>
      <c r="AD1011" s="200">
        <f t="shared" si="11"/>
        <v>0</v>
      </c>
      <c r="AE1011" s="200">
        <f t="shared" ref="AE1011:AG1011" si="5132">countif($D1011,"*"&amp;AE$2&amp;"*")</f>
        <v>0</v>
      </c>
      <c r="AF1011" s="200">
        <f t="shared" si="5132"/>
        <v>0</v>
      </c>
      <c r="AG1011" s="200">
        <f t="shared" si="5132"/>
        <v>0</v>
      </c>
      <c r="AH1011" s="171">
        <f t="shared" si="13"/>
        <v>0</v>
      </c>
      <c r="AI1011" s="200">
        <f t="shared" si="14"/>
        <v>0</v>
      </c>
      <c r="AJ1011" s="200">
        <f t="shared" si="4907"/>
        <v>0</v>
      </c>
      <c r="AK1011" s="201">
        <f t="shared" ref="AK1011:AS1011" si="5133">countif($D1011,"*"&amp;AK$2&amp;"*")</f>
        <v>0</v>
      </c>
      <c r="AL1011" s="201">
        <f t="shared" si="5133"/>
        <v>0</v>
      </c>
      <c r="AM1011" s="201">
        <f t="shared" si="5133"/>
        <v>0</v>
      </c>
      <c r="AN1011" s="201">
        <f t="shared" si="5133"/>
        <v>0</v>
      </c>
      <c r="AO1011" s="201">
        <f t="shared" si="5133"/>
        <v>0</v>
      </c>
      <c r="AP1011" s="201">
        <f t="shared" si="5133"/>
        <v>0</v>
      </c>
      <c r="AQ1011" s="201">
        <f t="shared" si="5133"/>
        <v>0</v>
      </c>
      <c r="AR1011" s="200">
        <f t="shared" si="5133"/>
        <v>0</v>
      </c>
      <c r="AS1011" s="200">
        <f t="shared" si="5133"/>
        <v>0</v>
      </c>
      <c r="AT1011" s="173">
        <v>0.0</v>
      </c>
      <c r="AU1011" s="200">
        <f t="shared" ref="AU1011:AX1011" si="5134">countif($D1011,"*"&amp;AU$2&amp;"*")</f>
        <v>0</v>
      </c>
      <c r="AV1011" s="200">
        <f t="shared" si="5134"/>
        <v>1</v>
      </c>
      <c r="AW1011" s="200">
        <f t="shared" si="5134"/>
        <v>0</v>
      </c>
      <c r="AX1011" s="200">
        <f t="shared" si="5134"/>
        <v>0</v>
      </c>
      <c r="AY1011" s="202">
        <v>0.0</v>
      </c>
      <c r="AZ1011" s="200"/>
      <c r="BA1011" s="171" t="str">
        <f t="shared" si="18"/>
        <v/>
      </c>
      <c r="BB1011" s="171" t="str">
        <f t="shared" si="19"/>
        <v>Code</v>
      </c>
      <c r="BC1011" s="171" t="str">
        <f t="shared" si="20"/>
        <v/>
      </c>
      <c r="BD1011" s="171" t="str">
        <f t="shared" si="21"/>
        <v/>
      </c>
      <c r="BE1011" s="171" t="str">
        <f t="shared" si="22"/>
        <v/>
      </c>
      <c r="BF1011" s="171" t="str">
        <f t="shared" si="23"/>
        <v>Code</v>
      </c>
    </row>
    <row r="1012">
      <c r="A1012" s="171">
        <f t="array" ref="A1012">XLOOKUP(C1012,ICSE!A:A,ICSE!C:C,,2,1)</f>
        <v>2023</v>
      </c>
      <c r="B1012" s="171" t="s">
        <v>5675</v>
      </c>
      <c r="C1012" s="160">
        <v>2050.0</v>
      </c>
      <c r="D1012" s="161" t="s">
        <v>2866</v>
      </c>
      <c r="E1012" s="197" t="str">
        <f t="array" ref="E1012">XLOOKUP(C1012,ICSE!A:A,ICSE!Z:Z,,0,1)</f>
        <v>Publicly available (1)</v>
      </c>
      <c r="F1012" s="198" t="s">
        <v>20</v>
      </c>
      <c r="G1012" s="163" t="str">
        <f t="array" ref="G1012">IF(B1012="ICSE",IF(COUNTIFS(B:B,B1012,C:C,C1012)=XLOOKUP(C1012,ICSE!A:A,ICSE!AA:AA,"ERROR",0,1),"OK","ERROR"),IF(B1012="FSE",IF(COUNTIFS(B:B,B1012,C:C,C1012)=XLOOKUP(C1012,FSE!A:A,FSE!AA:AA,"ERROR",0,1),"OK","ERROR")))</f>
        <v>OK</v>
      </c>
      <c r="H1012" s="199">
        <f t="shared" ref="H1012:O1012" si="5135">countif($D1012,"*"&amp;H$2&amp;"*")</f>
        <v>0</v>
      </c>
      <c r="I1012" s="200">
        <f t="shared" si="5135"/>
        <v>1</v>
      </c>
      <c r="J1012" s="200">
        <f t="shared" si="5135"/>
        <v>0</v>
      </c>
      <c r="K1012" s="200">
        <f t="shared" si="5135"/>
        <v>0</v>
      </c>
      <c r="L1012" s="200">
        <f t="shared" si="5135"/>
        <v>0</v>
      </c>
      <c r="M1012" s="200">
        <f t="shared" si="5135"/>
        <v>0</v>
      </c>
      <c r="N1012" s="200">
        <f t="shared" si="5135"/>
        <v>0</v>
      </c>
      <c r="O1012" s="200">
        <f t="shared" si="5135"/>
        <v>0</v>
      </c>
      <c r="P1012" s="200">
        <f t="shared" si="9"/>
        <v>0</v>
      </c>
      <c r="Q1012" s="200">
        <f t="shared" ref="Q1012:AC1012" si="5136">countif($D1012,"*"&amp;Q$2&amp;"*")</f>
        <v>0</v>
      </c>
      <c r="R1012" s="200">
        <f t="shared" si="5136"/>
        <v>0</v>
      </c>
      <c r="S1012" s="200">
        <f t="shared" si="5136"/>
        <v>0</v>
      </c>
      <c r="T1012" s="200">
        <f t="shared" si="5136"/>
        <v>0</v>
      </c>
      <c r="U1012" s="200">
        <f t="shared" si="5136"/>
        <v>0</v>
      </c>
      <c r="V1012" s="200">
        <f t="shared" si="5136"/>
        <v>0</v>
      </c>
      <c r="W1012" s="200">
        <f t="shared" si="5136"/>
        <v>0</v>
      </c>
      <c r="X1012" s="200">
        <f t="shared" si="5136"/>
        <v>0</v>
      </c>
      <c r="Y1012" s="200">
        <f t="shared" si="5136"/>
        <v>0</v>
      </c>
      <c r="Z1012" s="200">
        <f t="shared" si="5136"/>
        <v>0</v>
      </c>
      <c r="AA1012" s="200">
        <f t="shared" si="5136"/>
        <v>0</v>
      </c>
      <c r="AB1012" s="200">
        <f t="shared" si="5136"/>
        <v>0</v>
      </c>
      <c r="AC1012" s="200">
        <f t="shared" si="5136"/>
        <v>0</v>
      </c>
      <c r="AD1012" s="200">
        <f t="shared" si="11"/>
        <v>0</v>
      </c>
      <c r="AE1012" s="200">
        <f t="shared" ref="AE1012:AG1012" si="5137">countif($D1012,"*"&amp;AE$2&amp;"*")</f>
        <v>0</v>
      </c>
      <c r="AF1012" s="200">
        <f t="shared" si="5137"/>
        <v>0</v>
      </c>
      <c r="AG1012" s="200">
        <f t="shared" si="5137"/>
        <v>0</v>
      </c>
      <c r="AH1012" s="171">
        <f t="shared" si="13"/>
        <v>0</v>
      </c>
      <c r="AI1012" s="200">
        <f t="shared" si="14"/>
        <v>1</v>
      </c>
      <c r="AJ1012" s="200">
        <f t="shared" si="4907"/>
        <v>0</v>
      </c>
      <c r="AK1012" s="201">
        <f t="shared" ref="AK1012:AS1012" si="5138">countif($D1012,"*"&amp;AK$2&amp;"*")</f>
        <v>0</v>
      </c>
      <c r="AL1012" s="201">
        <f t="shared" si="5138"/>
        <v>0</v>
      </c>
      <c r="AM1012" s="201">
        <f t="shared" si="5138"/>
        <v>0</v>
      </c>
      <c r="AN1012" s="201">
        <f t="shared" si="5138"/>
        <v>0</v>
      </c>
      <c r="AO1012" s="201">
        <f t="shared" si="5138"/>
        <v>0</v>
      </c>
      <c r="AP1012" s="201">
        <f t="shared" si="5138"/>
        <v>0</v>
      </c>
      <c r="AQ1012" s="201">
        <f t="shared" si="5138"/>
        <v>0</v>
      </c>
      <c r="AR1012" s="200">
        <f t="shared" si="5138"/>
        <v>0</v>
      </c>
      <c r="AS1012" s="200">
        <f t="shared" si="5138"/>
        <v>0</v>
      </c>
      <c r="AT1012" s="173">
        <v>0.0</v>
      </c>
      <c r="AU1012" s="200">
        <f t="shared" ref="AU1012:AX1012" si="5139">countif($D1012,"*"&amp;AU$2&amp;"*")</f>
        <v>0</v>
      </c>
      <c r="AV1012" s="200">
        <f t="shared" si="5139"/>
        <v>0</v>
      </c>
      <c r="AW1012" s="200">
        <f t="shared" si="5139"/>
        <v>0</v>
      </c>
      <c r="AX1012" s="200">
        <f t="shared" si="5139"/>
        <v>0</v>
      </c>
      <c r="AY1012" s="204">
        <v>1.0</v>
      </c>
      <c r="AZ1012" s="200"/>
      <c r="BA1012" s="171" t="str">
        <f t="shared" si="18"/>
        <v>Archival</v>
      </c>
      <c r="BB1012" s="171" t="str">
        <f t="shared" si="19"/>
        <v/>
      </c>
      <c r="BC1012" s="171" t="str">
        <f t="shared" si="20"/>
        <v/>
      </c>
      <c r="BD1012" s="171" t="str">
        <f t="shared" si="21"/>
        <v/>
      </c>
      <c r="BE1012" s="171" t="str">
        <f t="shared" si="22"/>
        <v/>
      </c>
      <c r="BF1012" s="171" t="str">
        <f t="shared" si="23"/>
        <v>Archival</v>
      </c>
    </row>
    <row r="1013">
      <c r="A1013" s="171">
        <f t="array" ref="A1013">XLOOKUP(C1013,ICSE!A:A,ICSE!C:C,,2,1)</f>
        <v>2023</v>
      </c>
      <c r="B1013" s="171" t="s">
        <v>5675</v>
      </c>
      <c r="C1013" s="160">
        <v>2051.0</v>
      </c>
      <c r="D1013" s="161" t="s">
        <v>2868</v>
      </c>
      <c r="E1013" s="197" t="str">
        <f t="array" ref="E1013">XLOOKUP(C1013,ICSE!A:A,ICSE!Z:Z,,0,1)</f>
        <v>Publicly available (1)</v>
      </c>
      <c r="F1013" s="198" t="s">
        <v>20</v>
      </c>
      <c r="G1013" s="163" t="str">
        <f t="array" ref="G1013">IF(B1013="ICSE",IF(COUNTIFS(B:B,B1013,C:C,C1013)=XLOOKUP(C1013,ICSE!A:A,ICSE!AA:AA,"ERROR",0,1),"OK","ERROR"),IF(B1013="FSE",IF(COUNTIFS(B:B,B1013,C:C,C1013)=XLOOKUP(C1013,FSE!A:A,FSE!AA:AA,"ERROR",0,1),"OK","ERROR")))</f>
        <v>OK</v>
      </c>
      <c r="H1013" s="199">
        <f t="shared" ref="H1013:O1013" si="5140">countif($D1013,"*"&amp;H$2&amp;"*")</f>
        <v>0</v>
      </c>
      <c r="I1013" s="200">
        <f t="shared" si="5140"/>
        <v>0</v>
      </c>
      <c r="J1013" s="200">
        <f t="shared" si="5140"/>
        <v>0</v>
      </c>
      <c r="K1013" s="200">
        <f t="shared" si="5140"/>
        <v>0</v>
      </c>
      <c r="L1013" s="200">
        <f t="shared" si="5140"/>
        <v>0</v>
      </c>
      <c r="M1013" s="200">
        <f t="shared" si="5140"/>
        <v>0</v>
      </c>
      <c r="N1013" s="200">
        <f t="shared" si="5140"/>
        <v>0</v>
      </c>
      <c r="O1013" s="200">
        <f t="shared" si="5140"/>
        <v>0</v>
      </c>
      <c r="P1013" s="200">
        <f t="shared" si="9"/>
        <v>1</v>
      </c>
      <c r="Q1013" s="200">
        <f t="shared" ref="Q1013:AC1013" si="5141">countif($D1013,"*"&amp;Q$2&amp;"*")</f>
        <v>0</v>
      </c>
      <c r="R1013" s="200">
        <f t="shared" si="5141"/>
        <v>0</v>
      </c>
      <c r="S1013" s="200">
        <f t="shared" si="5141"/>
        <v>0</v>
      </c>
      <c r="T1013" s="200">
        <f t="shared" si="5141"/>
        <v>0</v>
      </c>
      <c r="U1013" s="200">
        <f t="shared" si="5141"/>
        <v>0</v>
      </c>
      <c r="V1013" s="200">
        <f t="shared" si="5141"/>
        <v>0</v>
      </c>
      <c r="W1013" s="200">
        <f t="shared" si="5141"/>
        <v>0</v>
      </c>
      <c r="X1013" s="200">
        <f t="shared" si="5141"/>
        <v>0</v>
      </c>
      <c r="Y1013" s="200">
        <f t="shared" si="5141"/>
        <v>0</v>
      </c>
      <c r="Z1013" s="200">
        <f t="shared" si="5141"/>
        <v>0</v>
      </c>
      <c r="AA1013" s="200">
        <f t="shared" si="5141"/>
        <v>0</v>
      </c>
      <c r="AB1013" s="200">
        <f t="shared" si="5141"/>
        <v>0</v>
      </c>
      <c r="AC1013" s="200">
        <f t="shared" si="5141"/>
        <v>0</v>
      </c>
      <c r="AD1013" s="200">
        <f t="shared" si="11"/>
        <v>0</v>
      </c>
      <c r="AE1013" s="200">
        <f t="shared" ref="AE1013:AG1013" si="5142">countif($D1013,"*"&amp;AE$2&amp;"*")</f>
        <v>0</v>
      </c>
      <c r="AF1013" s="200">
        <f t="shared" si="5142"/>
        <v>0</v>
      </c>
      <c r="AG1013" s="200">
        <f t="shared" si="5142"/>
        <v>0</v>
      </c>
      <c r="AH1013" s="171">
        <f t="shared" si="13"/>
        <v>0</v>
      </c>
      <c r="AI1013" s="200">
        <f t="shared" si="14"/>
        <v>0</v>
      </c>
      <c r="AJ1013" s="200">
        <f t="shared" si="4907"/>
        <v>0</v>
      </c>
      <c r="AK1013" s="201">
        <f t="shared" ref="AK1013:AS1013" si="5143">countif($D1013,"*"&amp;AK$2&amp;"*")</f>
        <v>0</v>
      </c>
      <c r="AL1013" s="201">
        <f t="shared" si="5143"/>
        <v>0</v>
      </c>
      <c r="AM1013" s="201">
        <f t="shared" si="5143"/>
        <v>0</v>
      </c>
      <c r="AN1013" s="201">
        <f t="shared" si="5143"/>
        <v>0</v>
      </c>
      <c r="AO1013" s="201">
        <f t="shared" si="5143"/>
        <v>0</v>
      </c>
      <c r="AP1013" s="201">
        <f t="shared" si="5143"/>
        <v>0</v>
      </c>
      <c r="AQ1013" s="201">
        <f t="shared" si="5143"/>
        <v>0</v>
      </c>
      <c r="AR1013" s="200">
        <f t="shared" si="5143"/>
        <v>0</v>
      </c>
      <c r="AS1013" s="200">
        <f t="shared" si="5143"/>
        <v>0</v>
      </c>
      <c r="AT1013" s="173">
        <v>0.0</v>
      </c>
      <c r="AU1013" s="200">
        <f t="shared" ref="AU1013:AX1013" si="5144">countif($D1013,"*"&amp;AU$2&amp;"*")</f>
        <v>0</v>
      </c>
      <c r="AV1013" s="200">
        <f t="shared" si="5144"/>
        <v>1</v>
      </c>
      <c r="AW1013" s="200">
        <f t="shared" si="5144"/>
        <v>0</v>
      </c>
      <c r="AX1013" s="200">
        <f t="shared" si="5144"/>
        <v>0</v>
      </c>
      <c r="AY1013" s="202">
        <v>0.0</v>
      </c>
      <c r="AZ1013" s="200"/>
      <c r="BA1013" s="171" t="str">
        <f t="shared" si="18"/>
        <v/>
      </c>
      <c r="BB1013" s="171" t="str">
        <f t="shared" si="19"/>
        <v>Code</v>
      </c>
      <c r="BC1013" s="171" t="str">
        <f t="shared" si="20"/>
        <v/>
      </c>
      <c r="BD1013" s="171" t="str">
        <f t="shared" si="21"/>
        <v/>
      </c>
      <c r="BE1013" s="171" t="str">
        <f t="shared" si="22"/>
        <v/>
      </c>
      <c r="BF1013" s="171" t="str">
        <f t="shared" si="23"/>
        <v>Code</v>
      </c>
    </row>
    <row r="1014">
      <c r="A1014" s="171">
        <f t="array" ref="A1014">XLOOKUP(C1014,ICSE!A:A,ICSE!C:C,,2,1)</f>
        <v>2023</v>
      </c>
      <c r="B1014" s="171" t="s">
        <v>5675</v>
      </c>
      <c r="C1014" s="160">
        <v>2052.0</v>
      </c>
      <c r="D1014" s="161" t="s">
        <v>2870</v>
      </c>
      <c r="E1014" s="197" t="str">
        <f t="array" ref="E1014">XLOOKUP(C1014,ICSE!A:A,ICSE!Z:Z,,0,1)</f>
        <v>Publicly available (1)</v>
      </c>
      <c r="F1014" s="198" t="s">
        <v>20</v>
      </c>
      <c r="G1014" s="163" t="str">
        <f t="array" ref="G1014">IF(B1014="ICSE",IF(COUNTIFS(B:B,B1014,C:C,C1014)=XLOOKUP(C1014,ICSE!A:A,ICSE!AA:AA,"ERROR",0,1),"OK","ERROR"),IF(B1014="FSE",IF(COUNTIFS(B:B,B1014,C:C,C1014)=XLOOKUP(C1014,FSE!A:A,FSE!AA:AA,"ERROR",0,1),"OK","ERROR")))</f>
        <v>OK</v>
      </c>
      <c r="H1014" s="199">
        <f t="shared" ref="H1014:O1014" si="5145">countif($D1014,"*"&amp;H$2&amp;"*")</f>
        <v>0</v>
      </c>
      <c r="I1014" s="200">
        <f t="shared" si="5145"/>
        <v>0</v>
      </c>
      <c r="J1014" s="200">
        <f t="shared" si="5145"/>
        <v>0</v>
      </c>
      <c r="K1014" s="200">
        <f t="shared" si="5145"/>
        <v>0</v>
      </c>
      <c r="L1014" s="200">
        <f t="shared" si="5145"/>
        <v>0</v>
      </c>
      <c r="M1014" s="200">
        <f t="shared" si="5145"/>
        <v>0</v>
      </c>
      <c r="N1014" s="200">
        <f t="shared" si="5145"/>
        <v>0</v>
      </c>
      <c r="O1014" s="200">
        <f t="shared" si="5145"/>
        <v>0</v>
      </c>
      <c r="P1014" s="200">
        <f t="shared" si="9"/>
        <v>1</v>
      </c>
      <c r="Q1014" s="200">
        <f t="shared" ref="Q1014:AC1014" si="5146">countif($D1014,"*"&amp;Q$2&amp;"*")</f>
        <v>0</v>
      </c>
      <c r="R1014" s="200">
        <f t="shared" si="5146"/>
        <v>0</v>
      </c>
      <c r="S1014" s="200">
        <f t="shared" si="5146"/>
        <v>0</v>
      </c>
      <c r="T1014" s="200">
        <f t="shared" si="5146"/>
        <v>0</v>
      </c>
      <c r="U1014" s="200">
        <f t="shared" si="5146"/>
        <v>0</v>
      </c>
      <c r="V1014" s="200">
        <f t="shared" si="5146"/>
        <v>0</v>
      </c>
      <c r="W1014" s="200">
        <f t="shared" si="5146"/>
        <v>0</v>
      </c>
      <c r="X1014" s="200">
        <f t="shared" si="5146"/>
        <v>0</v>
      </c>
      <c r="Y1014" s="200">
        <f t="shared" si="5146"/>
        <v>0</v>
      </c>
      <c r="Z1014" s="200">
        <f t="shared" si="5146"/>
        <v>0</v>
      </c>
      <c r="AA1014" s="200">
        <f t="shared" si="5146"/>
        <v>0</v>
      </c>
      <c r="AB1014" s="200">
        <f t="shared" si="5146"/>
        <v>0</v>
      </c>
      <c r="AC1014" s="200">
        <f t="shared" si="5146"/>
        <v>0</v>
      </c>
      <c r="AD1014" s="200">
        <f t="shared" si="11"/>
        <v>0</v>
      </c>
      <c r="AE1014" s="200">
        <f t="shared" ref="AE1014:AG1014" si="5147">countif($D1014,"*"&amp;AE$2&amp;"*")</f>
        <v>0</v>
      </c>
      <c r="AF1014" s="200">
        <f t="shared" si="5147"/>
        <v>0</v>
      </c>
      <c r="AG1014" s="200">
        <f t="shared" si="5147"/>
        <v>0</v>
      </c>
      <c r="AH1014" s="171">
        <f t="shared" si="13"/>
        <v>0</v>
      </c>
      <c r="AI1014" s="200">
        <f t="shared" si="14"/>
        <v>0</v>
      </c>
      <c r="AJ1014" s="200">
        <f t="shared" si="4907"/>
        <v>0</v>
      </c>
      <c r="AK1014" s="201">
        <f t="shared" ref="AK1014:AS1014" si="5148">countif($D1014,"*"&amp;AK$2&amp;"*")</f>
        <v>0</v>
      </c>
      <c r="AL1014" s="201">
        <f t="shared" si="5148"/>
        <v>0</v>
      </c>
      <c r="AM1014" s="201">
        <f t="shared" si="5148"/>
        <v>0</v>
      </c>
      <c r="AN1014" s="201">
        <f t="shared" si="5148"/>
        <v>0</v>
      </c>
      <c r="AO1014" s="201">
        <f t="shared" si="5148"/>
        <v>0</v>
      </c>
      <c r="AP1014" s="201">
        <f t="shared" si="5148"/>
        <v>0</v>
      </c>
      <c r="AQ1014" s="201">
        <f t="shared" si="5148"/>
        <v>0</v>
      </c>
      <c r="AR1014" s="200">
        <f t="shared" si="5148"/>
        <v>0</v>
      </c>
      <c r="AS1014" s="200">
        <f t="shared" si="5148"/>
        <v>0</v>
      </c>
      <c r="AT1014" s="173">
        <v>0.0</v>
      </c>
      <c r="AU1014" s="200">
        <f t="shared" ref="AU1014:AX1014" si="5149">countif($D1014,"*"&amp;AU$2&amp;"*")</f>
        <v>0</v>
      </c>
      <c r="AV1014" s="200">
        <f t="shared" si="5149"/>
        <v>1</v>
      </c>
      <c r="AW1014" s="200">
        <f t="shared" si="5149"/>
        <v>0</v>
      </c>
      <c r="AX1014" s="200">
        <f t="shared" si="5149"/>
        <v>0</v>
      </c>
      <c r="AY1014" s="202">
        <v>0.0</v>
      </c>
      <c r="AZ1014" s="200"/>
      <c r="BA1014" s="171" t="str">
        <f t="shared" si="18"/>
        <v/>
      </c>
      <c r="BB1014" s="171" t="str">
        <f t="shared" si="19"/>
        <v>Code</v>
      </c>
      <c r="BC1014" s="171" t="str">
        <f t="shared" si="20"/>
        <v/>
      </c>
      <c r="BD1014" s="171" t="str">
        <f t="shared" si="21"/>
        <v/>
      </c>
      <c r="BE1014" s="171" t="str">
        <f t="shared" si="22"/>
        <v/>
      </c>
      <c r="BF1014" s="171" t="str">
        <f t="shared" si="23"/>
        <v>Code</v>
      </c>
    </row>
    <row r="1015">
      <c r="A1015" s="171">
        <f t="array" ref="A1015">XLOOKUP(C1015,ICSE!A:A,ICSE!C:C,,2,1)</f>
        <v>2023</v>
      </c>
      <c r="B1015" s="171" t="s">
        <v>5675</v>
      </c>
      <c r="C1015" s="160">
        <v>2053.0</v>
      </c>
      <c r="D1015" s="161" t="s">
        <v>6097</v>
      </c>
      <c r="E1015" s="197" t="str">
        <f t="array" ref="E1015">XLOOKUP(C1015,ICSE!A:A,ICSE!Z:Z,,0,1)</f>
        <v>Publicly available (2)</v>
      </c>
      <c r="F1015" s="198" t="s">
        <v>20</v>
      </c>
      <c r="G1015" s="163" t="str">
        <f t="array" ref="G1015">IF(B1015="ICSE",IF(COUNTIFS(B:B,B1015,C:C,C1015)=XLOOKUP(C1015,ICSE!A:A,ICSE!AA:AA,"ERROR",0,1),"OK","ERROR"),IF(B1015="FSE",IF(COUNTIFS(B:B,B1015,C:C,C1015)=XLOOKUP(C1015,FSE!A:A,FSE!AA:AA,"ERROR",0,1),"OK","ERROR")))</f>
        <v>OK</v>
      </c>
      <c r="H1015" s="199">
        <f t="shared" ref="H1015:O1015" si="5150">countif($D1015,"*"&amp;H$2&amp;"*")</f>
        <v>1</v>
      </c>
      <c r="I1015" s="200">
        <f t="shared" si="5150"/>
        <v>0</v>
      </c>
      <c r="J1015" s="200">
        <f t="shared" si="5150"/>
        <v>0</v>
      </c>
      <c r="K1015" s="200">
        <f t="shared" si="5150"/>
        <v>0</v>
      </c>
      <c r="L1015" s="200">
        <f t="shared" si="5150"/>
        <v>0</v>
      </c>
      <c r="M1015" s="200">
        <f t="shared" si="5150"/>
        <v>0</v>
      </c>
      <c r="N1015" s="200">
        <f t="shared" si="5150"/>
        <v>0</v>
      </c>
      <c r="O1015" s="200">
        <f t="shared" si="5150"/>
        <v>0</v>
      </c>
      <c r="P1015" s="200">
        <f t="shared" si="9"/>
        <v>0</v>
      </c>
      <c r="Q1015" s="200">
        <f t="shared" ref="Q1015:AC1015" si="5151">countif($D1015,"*"&amp;Q$2&amp;"*")</f>
        <v>0</v>
      </c>
      <c r="R1015" s="200">
        <f t="shared" si="5151"/>
        <v>0</v>
      </c>
      <c r="S1015" s="200">
        <f t="shared" si="5151"/>
        <v>0</v>
      </c>
      <c r="T1015" s="200">
        <f t="shared" si="5151"/>
        <v>0</v>
      </c>
      <c r="U1015" s="200">
        <f t="shared" si="5151"/>
        <v>0</v>
      </c>
      <c r="V1015" s="200">
        <f t="shared" si="5151"/>
        <v>0</v>
      </c>
      <c r="W1015" s="200">
        <f t="shared" si="5151"/>
        <v>0</v>
      </c>
      <c r="X1015" s="200">
        <f t="shared" si="5151"/>
        <v>0</v>
      </c>
      <c r="Y1015" s="200">
        <f t="shared" si="5151"/>
        <v>0</v>
      </c>
      <c r="Z1015" s="200">
        <f t="shared" si="5151"/>
        <v>0</v>
      </c>
      <c r="AA1015" s="200">
        <f t="shared" si="5151"/>
        <v>0</v>
      </c>
      <c r="AB1015" s="200">
        <f t="shared" si="5151"/>
        <v>0</v>
      </c>
      <c r="AC1015" s="200">
        <f t="shared" si="5151"/>
        <v>0</v>
      </c>
      <c r="AD1015" s="200">
        <f t="shared" si="11"/>
        <v>0</v>
      </c>
      <c r="AE1015" s="200">
        <f t="shared" ref="AE1015:AG1015" si="5152">countif($D1015,"*"&amp;AE$2&amp;"*")</f>
        <v>0</v>
      </c>
      <c r="AF1015" s="200">
        <f t="shared" si="5152"/>
        <v>0</v>
      </c>
      <c r="AG1015" s="200">
        <f t="shared" si="5152"/>
        <v>0</v>
      </c>
      <c r="AH1015" s="171">
        <f t="shared" si="13"/>
        <v>0</v>
      </c>
      <c r="AI1015" s="200">
        <f t="shared" si="14"/>
        <v>1</v>
      </c>
      <c r="AJ1015" s="200">
        <f t="shared" si="4907"/>
        <v>0</v>
      </c>
      <c r="AK1015" s="201">
        <f t="shared" ref="AK1015:AS1015" si="5153">countif($D1015,"*"&amp;AK$2&amp;"*")</f>
        <v>0</v>
      </c>
      <c r="AL1015" s="201">
        <f t="shared" si="5153"/>
        <v>0</v>
      </c>
      <c r="AM1015" s="201">
        <f t="shared" si="5153"/>
        <v>0</v>
      </c>
      <c r="AN1015" s="201">
        <f t="shared" si="5153"/>
        <v>0</v>
      </c>
      <c r="AO1015" s="201">
        <f t="shared" si="5153"/>
        <v>0</v>
      </c>
      <c r="AP1015" s="201">
        <f t="shared" si="5153"/>
        <v>0</v>
      </c>
      <c r="AQ1015" s="201">
        <f t="shared" si="5153"/>
        <v>0</v>
      </c>
      <c r="AR1015" s="200">
        <f t="shared" si="5153"/>
        <v>0</v>
      </c>
      <c r="AS1015" s="200">
        <f t="shared" si="5153"/>
        <v>0</v>
      </c>
      <c r="AT1015" s="173">
        <v>0.0</v>
      </c>
      <c r="AU1015" s="200">
        <f t="shared" ref="AU1015:AX1015" si="5154">countif($D1015,"*"&amp;AU$2&amp;"*")</f>
        <v>0</v>
      </c>
      <c r="AV1015" s="200">
        <f t="shared" si="5154"/>
        <v>0</v>
      </c>
      <c r="AW1015" s="200">
        <f t="shared" si="5154"/>
        <v>0</v>
      </c>
      <c r="AX1015" s="200">
        <f t="shared" si="5154"/>
        <v>1</v>
      </c>
      <c r="AY1015" s="202">
        <v>0.0</v>
      </c>
      <c r="AZ1015" s="200"/>
      <c r="BA1015" s="171" t="str">
        <f t="shared" si="18"/>
        <v>Archival</v>
      </c>
      <c r="BB1015" s="171" t="str">
        <f t="shared" si="19"/>
        <v/>
      </c>
      <c r="BC1015" s="171" t="str">
        <f t="shared" si="20"/>
        <v/>
      </c>
      <c r="BD1015" s="171" t="str">
        <f t="shared" si="21"/>
        <v/>
      </c>
      <c r="BE1015" s="171" t="str">
        <f t="shared" si="22"/>
        <v/>
      </c>
      <c r="BF1015" s="171" t="str">
        <f t="shared" si="23"/>
        <v>Archival</v>
      </c>
    </row>
    <row r="1016">
      <c r="A1016" s="171">
        <f t="array" ref="A1016">XLOOKUP(C1016,ICSE!A:A,ICSE!C:C,,2,1)</f>
        <v>2023</v>
      </c>
      <c r="B1016" s="171" t="s">
        <v>5675</v>
      </c>
      <c r="C1016" s="160">
        <v>2053.0</v>
      </c>
      <c r="D1016" s="161" t="s">
        <v>6098</v>
      </c>
      <c r="E1016" s="197" t="str">
        <f t="array" ref="E1016">XLOOKUP(C1016,ICSE!A:A,ICSE!Z:Z,,0,1)</f>
        <v>Publicly available (2)</v>
      </c>
      <c r="F1016" s="198" t="s">
        <v>20</v>
      </c>
      <c r="G1016" s="163" t="str">
        <f t="array" ref="G1016">IF(B1016="ICSE",IF(COUNTIFS(B:B,B1016,C:C,C1016)=XLOOKUP(C1016,ICSE!A:A,ICSE!AA:AA,"ERROR",0,1),"OK","ERROR"),IF(B1016="FSE",IF(COUNTIFS(B:B,B1016,C:C,C1016)=XLOOKUP(C1016,FSE!A:A,FSE!AA:AA,"ERROR",0,1),"OK","ERROR")))</f>
        <v>OK</v>
      </c>
      <c r="H1016" s="199">
        <f t="shared" ref="H1016:O1016" si="5155">countif($D1016,"*"&amp;H$2&amp;"*")</f>
        <v>0</v>
      </c>
      <c r="I1016" s="200">
        <f t="shared" si="5155"/>
        <v>0</v>
      </c>
      <c r="J1016" s="200">
        <f t="shared" si="5155"/>
        <v>0</v>
      </c>
      <c r="K1016" s="200">
        <f t="shared" si="5155"/>
        <v>0</v>
      </c>
      <c r="L1016" s="200">
        <f t="shared" si="5155"/>
        <v>0</v>
      </c>
      <c r="M1016" s="200">
        <f t="shared" si="5155"/>
        <v>0</v>
      </c>
      <c r="N1016" s="200">
        <f t="shared" si="5155"/>
        <v>0</v>
      </c>
      <c r="O1016" s="200">
        <f t="shared" si="5155"/>
        <v>0</v>
      </c>
      <c r="P1016" s="200">
        <f t="shared" si="9"/>
        <v>1</v>
      </c>
      <c r="Q1016" s="200">
        <f t="shared" ref="Q1016:AC1016" si="5156">countif($D1016,"*"&amp;Q$2&amp;"*")</f>
        <v>0</v>
      </c>
      <c r="R1016" s="200">
        <f t="shared" si="5156"/>
        <v>0</v>
      </c>
      <c r="S1016" s="200">
        <f t="shared" si="5156"/>
        <v>0</v>
      </c>
      <c r="T1016" s="200">
        <f t="shared" si="5156"/>
        <v>0</v>
      </c>
      <c r="U1016" s="200">
        <f t="shared" si="5156"/>
        <v>0</v>
      </c>
      <c r="V1016" s="200">
        <f t="shared" si="5156"/>
        <v>0</v>
      </c>
      <c r="W1016" s="200">
        <f t="shared" si="5156"/>
        <v>0</v>
      </c>
      <c r="X1016" s="200">
        <f t="shared" si="5156"/>
        <v>0</v>
      </c>
      <c r="Y1016" s="200">
        <f t="shared" si="5156"/>
        <v>0</v>
      </c>
      <c r="Z1016" s="200">
        <f t="shared" si="5156"/>
        <v>0</v>
      </c>
      <c r="AA1016" s="200">
        <f t="shared" si="5156"/>
        <v>0</v>
      </c>
      <c r="AB1016" s="200">
        <f t="shared" si="5156"/>
        <v>0</v>
      </c>
      <c r="AC1016" s="200">
        <f t="shared" si="5156"/>
        <v>0</v>
      </c>
      <c r="AD1016" s="200">
        <f t="shared" si="11"/>
        <v>0</v>
      </c>
      <c r="AE1016" s="200">
        <f t="shared" ref="AE1016:AG1016" si="5157">countif($D1016,"*"&amp;AE$2&amp;"*")</f>
        <v>0</v>
      </c>
      <c r="AF1016" s="200">
        <f t="shared" si="5157"/>
        <v>0</v>
      </c>
      <c r="AG1016" s="200">
        <f t="shared" si="5157"/>
        <v>0</v>
      </c>
      <c r="AH1016" s="171">
        <f t="shared" si="13"/>
        <v>0</v>
      </c>
      <c r="AI1016" s="200">
        <f t="shared" si="14"/>
        <v>0</v>
      </c>
      <c r="AJ1016" s="200">
        <f t="shared" si="4907"/>
        <v>0</v>
      </c>
      <c r="AK1016" s="201">
        <f t="shared" ref="AK1016:AS1016" si="5158">countif($D1016,"*"&amp;AK$2&amp;"*")</f>
        <v>0</v>
      </c>
      <c r="AL1016" s="201">
        <f t="shared" si="5158"/>
        <v>0</v>
      </c>
      <c r="AM1016" s="201">
        <f t="shared" si="5158"/>
        <v>0</v>
      </c>
      <c r="AN1016" s="201">
        <f t="shared" si="5158"/>
        <v>0</v>
      </c>
      <c r="AO1016" s="201">
        <f t="shared" si="5158"/>
        <v>0</v>
      </c>
      <c r="AP1016" s="201">
        <f t="shared" si="5158"/>
        <v>0</v>
      </c>
      <c r="AQ1016" s="201">
        <f t="shared" si="5158"/>
        <v>0</v>
      </c>
      <c r="AR1016" s="200">
        <f t="shared" si="5158"/>
        <v>0</v>
      </c>
      <c r="AS1016" s="200">
        <f t="shared" si="5158"/>
        <v>0</v>
      </c>
      <c r="AT1016" s="173">
        <v>0.0</v>
      </c>
      <c r="AU1016" s="200">
        <f t="shared" ref="AU1016:AX1016" si="5159">countif($D1016,"*"&amp;AU$2&amp;"*")</f>
        <v>0</v>
      </c>
      <c r="AV1016" s="200">
        <f t="shared" si="5159"/>
        <v>1</v>
      </c>
      <c r="AW1016" s="200">
        <f t="shared" si="5159"/>
        <v>0</v>
      </c>
      <c r="AX1016" s="200">
        <f t="shared" si="5159"/>
        <v>0</v>
      </c>
      <c r="AY1016" s="202">
        <v>0.0</v>
      </c>
      <c r="AZ1016" s="200"/>
      <c r="BA1016" s="171" t="str">
        <f t="shared" si="18"/>
        <v/>
      </c>
      <c r="BB1016" s="171" t="str">
        <f t="shared" si="19"/>
        <v>Code</v>
      </c>
      <c r="BC1016" s="171" t="str">
        <f t="shared" si="20"/>
        <v/>
      </c>
      <c r="BD1016" s="171" t="str">
        <f t="shared" si="21"/>
        <v/>
      </c>
      <c r="BE1016" s="171" t="str">
        <f t="shared" si="22"/>
        <v/>
      </c>
      <c r="BF1016" s="171" t="str">
        <f t="shared" si="23"/>
        <v>Code</v>
      </c>
    </row>
    <row r="1017">
      <c r="A1017" s="171">
        <f t="array" ref="A1017">XLOOKUP(C1017,ICSE!A:A,ICSE!C:C,,2,1)</f>
        <v>2023</v>
      </c>
      <c r="B1017" s="171" t="s">
        <v>5675</v>
      </c>
      <c r="C1017" s="160">
        <v>2054.0</v>
      </c>
      <c r="D1017" s="161" t="s">
        <v>6099</v>
      </c>
      <c r="E1017" s="197" t="str">
        <f t="array" ref="E1017">XLOOKUP(C1017,ICSE!A:A,ICSE!Z:Z,,0,1)</f>
        <v>Publicly available (8)</v>
      </c>
      <c r="F1017" s="198" t="s">
        <v>20</v>
      </c>
      <c r="G1017" s="163" t="str">
        <f t="array" ref="G1017">IF(B1017="ICSE",IF(COUNTIFS(B:B,B1017,C:C,C1017)=XLOOKUP(C1017,ICSE!A:A,ICSE!AA:AA,"ERROR",0,1),"OK","ERROR"),IF(B1017="FSE",IF(COUNTIFS(B:B,B1017,C:C,C1017)=XLOOKUP(C1017,FSE!A:A,FSE!AA:AA,"ERROR",0,1),"OK","ERROR")))</f>
        <v>OK</v>
      </c>
      <c r="H1017" s="199">
        <f t="shared" ref="H1017:O1017" si="5160">countif($D1017,"*"&amp;H$2&amp;"*")</f>
        <v>0</v>
      </c>
      <c r="I1017" s="200">
        <f t="shared" si="5160"/>
        <v>0</v>
      </c>
      <c r="J1017" s="200">
        <f t="shared" si="5160"/>
        <v>0</v>
      </c>
      <c r="K1017" s="200">
        <f t="shared" si="5160"/>
        <v>0</v>
      </c>
      <c r="L1017" s="200">
        <f t="shared" si="5160"/>
        <v>0</v>
      </c>
      <c r="M1017" s="200">
        <f t="shared" si="5160"/>
        <v>0</v>
      </c>
      <c r="N1017" s="200">
        <f t="shared" si="5160"/>
        <v>0</v>
      </c>
      <c r="O1017" s="200">
        <f t="shared" si="5160"/>
        <v>0</v>
      </c>
      <c r="P1017" s="200">
        <f t="shared" si="9"/>
        <v>1</v>
      </c>
      <c r="Q1017" s="200">
        <f t="shared" ref="Q1017:AC1017" si="5161">countif($D1017,"*"&amp;Q$2&amp;"*")</f>
        <v>0</v>
      </c>
      <c r="R1017" s="200">
        <f t="shared" si="5161"/>
        <v>0</v>
      </c>
      <c r="S1017" s="200">
        <f t="shared" si="5161"/>
        <v>0</v>
      </c>
      <c r="T1017" s="200">
        <f t="shared" si="5161"/>
        <v>0</v>
      </c>
      <c r="U1017" s="200">
        <f t="shared" si="5161"/>
        <v>0</v>
      </c>
      <c r="V1017" s="200">
        <f t="shared" si="5161"/>
        <v>0</v>
      </c>
      <c r="W1017" s="200">
        <f t="shared" si="5161"/>
        <v>0</v>
      </c>
      <c r="X1017" s="200">
        <f t="shared" si="5161"/>
        <v>0</v>
      </c>
      <c r="Y1017" s="200">
        <f t="shared" si="5161"/>
        <v>0</v>
      </c>
      <c r="Z1017" s="200">
        <f t="shared" si="5161"/>
        <v>0</v>
      </c>
      <c r="AA1017" s="200">
        <f t="shared" si="5161"/>
        <v>0</v>
      </c>
      <c r="AB1017" s="200">
        <f t="shared" si="5161"/>
        <v>0</v>
      </c>
      <c r="AC1017" s="200">
        <f t="shared" si="5161"/>
        <v>0</v>
      </c>
      <c r="AD1017" s="200">
        <f t="shared" si="11"/>
        <v>0</v>
      </c>
      <c r="AE1017" s="200">
        <f t="shared" ref="AE1017:AG1017" si="5162">countif($D1017,"*"&amp;AE$2&amp;"*")</f>
        <v>0</v>
      </c>
      <c r="AF1017" s="200">
        <f t="shared" si="5162"/>
        <v>0</v>
      </c>
      <c r="AG1017" s="200">
        <f t="shared" si="5162"/>
        <v>0</v>
      </c>
      <c r="AH1017" s="171">
        <f t="shared" si="13"/>
        <v>0</v>
      </c>
      <c r="AI1017" s="200">
        <f t="shared" si="14"/>
        <v>0</v>
      </c>
      <c r="AJ1017" s="200">
        <f t="shared" si="4907"/>
        <v>0</v>
      </c>
      <c r="AK1017" s="201">
        <f t="shared" ref="AK1017:AS1017" si="5163">countif($D1017,"*"&amp;AK$2&amp;"*")</f>
        <v>0</v>
      </c>
      <c r="AL1017" s="201">
        <f t="shared" si="5163"/>
        <v>0</v>
      </c>
      <c r="AM1017" s="201">
        <f t="shared" si="5163"/>
        <v>0</v>
      </c>
      <c r="AN1017" s="201">
        <f t="shared" si="5163"/>
        <v>0</v>
      </c>
      <c r="AO1017" s="201">
        <f t="shared" si="5163"/>
        <v>0</v>
      </c>
      <c r="AP1017" s="201">
        <f t="shared" si="5163"/>
        <v>0</v>
      </c>
      <c r="AQ1017" s="201">
        <f t="shared" si="5163"/>
        <v>0</v>
      </c>
      <c r="AR1017" s="200">
        <f t="shared" si="5163"/>
        <v>0</v>
      </c>
      <c r="AS1017" s="200">
        <f t="shared" si="5163"/>
        <v>0</v>
      </c>
      <c r="AT1017" s="173">
        <v>0.0</v>
      </c>
      <c r="AU1017" s="200">
        <f t="shared" ref="AU1017:AX1017" si="5164">countif($D1017,"*"&amp;AU$2&amp;"*")</f>
        <v>0</v>
      </c>
      <c r="AV1017" s="200">
        <f t="shared" si="5164"/>
        <v>0</v>
      </c>
      <c r="AW1017" s="200">
        <f t="shared" si="5164"/>
        <v>1</v>
      </c>
      <c r="AX1017" s="200">
        <f t="shared" si="5164"/>
        <v>0</v>
      </c>
      <c r="AY1017" s="202">
        <v>0.0</v>
      </c>
      <c r="AZ1017" s="200"/>
      <c r="BA1017" s="171" t="str">
        <f t="shared" si="18"/>
        <v/>
      </c>
      <c r="BB1017" s="171" t="str">
        <f t="shared" si="19"/>
        <v>Code</v>
      </c>
      <c r="BC1017" s="171" t="str">
        <f t="shared" si="20"/>
        <v/>
      </c>
      <c r="BD1017" s="171" t="str">
        <f t="shared" si="21"/>
        <v/>
      </c>
      <c r="BE1017" s="171" t="str">
        <f t="shared" si="22"/>
        <v/>
      </c>
      <c r="BF1017" s="171" t="str">
        <f t="shared" si="23"/>
        <v>Code</v>
      </c>
    </row>
    <row r="1018">
      <c r="A1018" s="171">
        <f t="array" ref="A1018">XLOOKUP(C1018,ICSE!A:A,ICSE!C:C,,2,1)</f>
        <v>2023</v>
      </c>
      <c r="B1018" s="171" t="s">
        <v>5675</v>
      </c>
      <c r="C1018" s="160">
        <v>2054.0</v>
      </c>
      <c r="D1018" s="161" t="s">
        <v>6100</v>
      </c>
      <c r="E1018" s="197" t="str">
        <f t="array" ref="E1018">XLOOKUP(C1018,ICSE!A:A,ICSE!Z:Z,,0,1)</f>
        <v>Publicly available (8)</v>
      </c>
      <c r="F1018" s="198" t="s">
        <v>20</v>
      </c>
      <c r="G1018" s="163" t="str">
        <f t="array" ref="G1018">IF(B1018="ICSE",IF(COUNTIFS(B:B,B1018,C:C,C1018)=XLOOKUP(C1018,ICSE!A:A,ICSE!AA:AA,"ERROR",0,1),"OK","ERROR"),IF(B1018="FSE",IF(COUNTIFS(B:B,B1018,C:C,C1018)=XLOOKUP(C1018,FSE!A:A,FSE!AA:AA,"ERROR",0,1),"OK","ERROR")))</f>
        <v>OK</v>
      </c>
      <c r="H1018" s="199">
        <f t="shared" ref="H1018:O1018" si="5165">countif($D1018,"*"&amp;H$2&amp;"*")</f>
        <v>1</v>
      </c>
      <c r="I1018" s="200">
        <f t="shared" si="5165"/>
        <v>0</v>
      </c>
      <c r="J1018" s="200">
        <f t="shared" si="5165"/>
        <v>0</v>
      </c>
      <c r="K1018" s="200">
        <f t="shared" si="5165"/>
        <v>0</v>
      </c>
      <c r="L1018" s="200">
        <f t="shared" si="5165"/>
        <v>0</v>
      </c>
      <c r="M1018" s="200">
        <f t="shared" si="5165"/>
        <v>0</v>
      </c>
      <c r="N1018" s="200">
        <f t="shared" si="5165"/>
        <v>0</v>
      </c>
      <c r="O1018" s="200">
        <f t="shared" si="5165"/>
        <v>0</v>
      </c>
      <c r="P1018" s="200">
        <f t="shared" si="9"/>
        <v>0</v>
      </c>
      <c r="Q1018" s="200">
        <f t="shared" ref="Q1018:AC1018" si="5166">countif($D1018,"*"&amp;Q$2&amp;"*")</f>
        <v>0</v>
      </c>
      <c r="R1018" s="200">
        <f t="shared" si="5166"/>
        <v>0</v>
      </c>
      <c r="S1018" s="200">
        <f t="shared" si="5166"/>
        <v>0</v>
      </c>
      <c r="T1018" s="200">
        <f t="shared" si="5166"/>
        <v>0</v>
      </c>
      <c r="U1018" s="200">
        <f t="shared" si="5166"/>
        <v>0</v>
      </c>
      <c r="V1018" s="200">
        <f t="shared" si="5166"/>
        <v>0</v>
      </c>
      <c r="W1018" s="200">
        <f t="shared" si="5166"/>
        <v>0</v>
      </c>
      <c r="X1018" s="200">
        <f t="shared" si="5166"/>
        <v>0</v>
      </c>
      <c r="Y1018" s="200">
        <f t="shared" si="5166"/>
        <v>0</v>
      </c>
      <c r="Z1018" s="200">
        <f t="shared" si="5166"/>
        <v>0</v>
      </c>
      <c r="AA1018" s="200">
        <f t="shared" si="5166"/>
        <v>0</v>
      </c>
      <c r="AB1018" s="200">
        <f t="shared" si="5166"/>
        <v>0</v>
      </c>
      <c r="AC1018" s="200">
        <f t="shared" si="5166"/>
        <v>0</v>
      </c>
      <c r="AD1018" s="200">
        <f t="shared" si="11"/>
        <v>0</v>
      </c>
      <c r="AE1018" s="200">
        <f t="shared" ref="AE1018:AG1018" si="5167">countif($D1018,"*"&amp;AE$2&amp;"*")</f>
        <v>0</v>
      </c>
      <c r="AF1018" s="200">
        <f t="shared" si="5167"/>
        <v>0</v>
      </c>
      <c r="AG1018" s="200">
        <f t="shared" si="5167"/>
        <v>0</v>
      </c>
      <c r="AH1018" s="171">
        <f t="shared" si="13"/>
        <v>0</v>
      </c>
      <c r="AI1018" s="200">
        <f t="shared" si="14"/>
        <v>1</v>
      </c>
      <c r="AJ1018" s="200">
        <f t="shared" si="4907"/>
        <v>0</v>
      </c>
      <c r="AK1018" s="201">
        <f t="shared" ref="AK1018:AS1018" si="5168">countif($D1018,"*"&amp;AK$2&amp;"*")</f>
        <v>0</v>
      </c>
      <c r="AL1018" s="201">
        <f t="shared" si="5168"/>
        <v>0</v>
      </c>
      <c r="AM1018" s="201">
        <f t="shared" si="5168"/>
        <v>0</v>
      </c>
      <c r="AN1018" s="201">
        <f t="shared" si="5168"/>
        <v>0</v>
      </c>
      <c r="AO1018" s="201">
        <f t="shared" si="5168"/>
        <v>0</v>
      </c>
      <c r="AP1018" s="201">
        <f t="shared" si="5168"/>
        <v>0</v>
      </c>
      <c r="AQ1018" s="201">
        <f t="shared" si="5168"/>
        <v>0</v>
      </c>
      <c r="AR1018" s="200">
        <f t="shared" si="5168"/>
        <v>0</v>
      </c>
      <c r="AS1018" s="200">
        <f t="shared" si="5168"/>
        <v>0</v>
      </c>
      <c r="AT1018" s="173">
        <v>0.0</v>
      </c>
      <c r="AU1018" s="200">
        <f t="shared" ref="AU1018:AX1018" si="5169">countif($D1018,"*"&amp;AU$2&amp;"*")</f>
        <v>0</v>
      </c>
      <c r="AV1018" s="200">
        <f t="shared" si="5169"/>
        <v>0</v>
      </c>
      <c r="AW1018" s="200">
        <f t="shared" si="5169"/>
        <v>0</v>
      </c>
      <c r="AX1018" s="200">
        <f t="shared" si="5169"/>
        <v>1</v>
      </c>
      <c r="AY1018" s="202">
        <v>0.0</v>
      </c>
      <c r="AZ1018" s="200"/>
      <c r="BA1018" s="171" t="str">
        <f t="shared" si="18"/>
        <v>Archival</v>
      </c>
      <c r="BB1018" s="171" t="str">
        <f t="shared" si="19"/>
        <v/>
      </c>
      <c r="BC1018" s="171" t="str">
        <f t="shared" si="20"/>
        <v/>
      </c>
      <c r="BD1018" s="171" t="str">
        <f t="shared" si="21"/>
        <v/>
      </c>
      <c r="BE1018" s="171" t="str">
        <f t="shared" si="22"/>
        <v/>
      </c>
      <c r="BF1018" s="171" t="str">
        <f t="shared" si="23"/>
        <v>Archival</v>
      </c>
    </row>
    <row r="1019">
      <c r="A1019" s="171">
        <f t="array" ref="A1019">XLOOKUP(C1019,ICSE!A:A,ICSE!C:C,,2,1)</f>
        <v>2023</v>
      </c>
      <c r="B1019" s="171" t="s">
        <v>5675</v>
      </c>
      <c r="C1019" s="160">
        <v>2054.0</v>
      </c>
      <c r="D1019" s="161" t="s">
        <v>6101</v>
      </c>
      <c r="E1019" s="197" t="str">
        <f t="array" ref="E1019">XLOOKUP(C1019,ICSE!A:A,ICSE!Z:Z,,0,1)</f>
        <v>Publicly available (8)</v>
      </c>
      <c r="F1019" s="198" t="s">
        <v>20</v>
      </c>
      <c r="G1019" s="163" t="str">
        <f t="array" ref="G1019">IF(B1019="ICSE",IF(COUNTIFS(B:B,B1019,C:C,C1019)=XLOOKUP(C1019,ICSE!A:A,ICSE!AA:AA,"ERROR",0,1),"OK","ERROR"),IF(B1019="FSE",IF(COUNTIFS(B:B,B1019,C:C,C1019)=XLOOKUP(C1019,FSE!A:A,FSE!AA:AA,"ERROR",0,1),"OK","ERROR")))</f>
        <v>OK</v>
      </c>
      <c r="H1019" s="199">
        <f t="shared" ref="H1019:O1019" si="5170">countif($D1019,"*"&amp;H$2&amp;"*")</f>
        <v>0</v>
      </c>
      <c r="I1019" s="200">
        <f t="shared" si="5170"/>
        <v>0</v>
      </c>
      <c r="J1019" s="200">
        <f t="shared" si="5170"/>
        <v>0</v>
      </c>
      <c r="K1019" s="200">
        <f t="shared" si="5170"/>
        <v>0</v>
      </c>
      <c r="L1019" s="200">
        <f t="shared" si="5170"/>
        <v>0</v>
      </c>
      <c r="M1019" s="200">
        <f t="shared" si="5170"/>
        <v>0</v>
      </c>
      <c r="N1019" s="200">
        <f t="shared" si="5170"/>
        <v>0</v>
      </c>
      <c r="O1019" s="200">
        <f t="shared" si="5170"/>
        <v>0</v>
      </c>
      <c r="P1019" s="200">
        <f t="shared" si="9"/>
        <v>1</v>
      </c>
      <c r="Q1019" s="200">
        <f t="shared" ref="Q1019:AC1019" si="5171">countif($D1019,"*"&amp;Q$2&amp;"*")</f>
        <v>0</v>
      </c>
      <c r="R1019" s="200">
        <f t="shared" si="5171"/>
        <v>0</v>
      </c>
      <c r="S1019" s="200">
        <f t="shared" si="5171"/>
        <v>0</v>
      </c>
      <c r="T1019" s="200">
        <f t="shared" si="5171"/>
        <v>0</v>
      </c>
      <c r="U1019" s="200">
        <f t="shared" si="5171"/>
        <v>0</v>
      </c>
      <c r="V1019" s="200">
        <f t="shared" si="5171"/>
        <v>0</v>
      </c>
      <c r="W1019" s="200">
        <f t="shared" si="5171"/>
        <v>0</v>
      </c>
      <c r="X1019" s="200">
        <f t="shared" si="5171"/>
        <v>0</v>
      </c>
      <c r="Y1019" s="200">
        <f t="shared" si="5171"/>
        <v>0</v>
      </c>
      <c r="Z1019" s="200">
        <f t="shared" si="5171"/>
        <v>0</v>
      </c>
      <c r="AA1019" s="200">
        <f t="shared" si="5171"/>
        <v>0</v>
      </c>
      <c r="AB1019" s="200">
        <f t="shared" si="5171"/>
        <v>0</v>
      </c>
      <c r="AC1019" s="200">
        <f t="shared" si="5171"/>
        <v>0</v>
      </c>
      <c r="AD1019" s="200">
        <f t="shared" si="11"/>
        <v>0</v>
      </c>
      <c r="AE1019" s="200">
        <f t="shared" ref="AE1019:AG1019" si="5172">countif($D1019,"*"&amp;AE$2&amp;"*")</f>
        <v>0</v>
      </c>
      <c r="AF1019" s="200">
        <f t="shared" si="5172"/>
        <v>0</v>
      </c>
      <c r="AG1019" s="200">
        <f t="shared" si="5172"/>
        <v>0</v>
      </c>
      <c r="AH1019" s="171">
        <f t="shared" si="13"/>
        <v>0</v>
      </c>
      <c r="AI1019" s="200">
        <f t="shared" si="14"/>
        <v>0</v>
      </c>
      <c r="AJ1019" s="200">
        <f t="shared" si="4907"/>
        <v>0</v>
      </c>
      <c r="AK1019" s="201">
        <f t="shared" ref="AK1019:AS1019" si="5173">countif($D1019,"*"&amp;AK$2&amp;"*")</f>
        <v>0</v>
      </c>
      <c r="AL1019" s="201">
        <f t="shared" si="5173"/>
        <v>0</v>
      </c>
      <c r="AM1019" s="201">
        <f t="shared" si="5173"/>
        <v>0</v>
      </c>
      <c r="AN1019" s="201">
        <f t="shared" si="5173"/>
        <v>0</v>
      </c>
      <c r="AO1019" s="201">
        <f t="shared" si="5173"/>
        <v>0</v>
      </c>
      <c r="AP1019" s="201">
        <f t="shared" si="5173"/>
        <v>0</v>
      </c>
      <c r="AQ1019" s="201">
        <f t="shared" si="5173"/>
        <v>0</v>
      </c>
      <c r="AR1019" s="200">
        <f t="shared" si="5173"/>
        <v>0</v>
      </c>
      <c r="AS1019" s="200">
        <f t="shared" si="5173"/>
        <v>0</v>
      </c>
      <c r="AT1019" s="173">
        <v>0.0</v>
      </c>
      <c r="AU1019" s="200">
        <f t="shared" ref="AU1019:AX1019" si="5174">countif($D1019,"*"&amp;AU$2&amp;"*")</f>
        <v>0</v>
      </c>
      <c r="AV1019" s="200">
        <f t="shared" si="5174"/>
        <v>0</v>
      </c>
      <c r="AW1019" s="200">
        <f t="shared" si="5174"/>
        <v>1</v>
      </c>
      <c r="AX1019" s="200">
        <f t="shared" si="5174"/>
        <v>0</v>
      </c>
      <c r="AY1019" s="202">
        <v>0.0</v>
      </c>
      <c r="AZ1019" s="200"/>
      <c r="BA1019" s="171" t="str">
        <f t="shared" si="18"/>
        <v/>
      </c>
      <c r="BB1019" s="171" t="str">
        <f t="shared" si="19"/>
        <v>Code</v>
      </c>
      <c r="BC1019" s="171" t="str">
        <f t="shared" si="20"/>
        <v/>
      </c>
      <c r="BD1019" s="171" t="str">
        <f t="shared" si="21"/>
        <v/>
      </c>
      <c r="BE1019" s="171" t="str">
        <f t="shared" si="22"/>
        <v/>
      </c>
      <c r="BF1019" s="171" t="str">
        <f t="shared" si="23"/>
        <v>Code</v>
      </c>
    </row>
    <row r="1020">
      <c r="A1020" s="171">
        <f t="array" ref="A1020">XLOOKUP(C1020,ICSE!A:A,ICSE!C:C,,2,1)</f>
        <v>2023</v>
      </c>
      <c r="B1020" s="171" t="s">
        <v>5675</v>
      </c>
      <c r="C1020" s="160">
        <v>2054.0</v>
      </c>
      <c r="D1020" s="161" t="s">
        <v>6102</v>
      </c>
      <c r="E1020" s="197" t="str">
        <f t="array" ref="E1020">XLOOKUP(C1020,ICSE!A:A,ICSE!Z:Z,,0,1)</f>
        <v>Publicly available (8)</v>
      </c>
      <c r="F1020" s="198" t="s">
        <v>20</v>
      </c>
      <c r="G1020" s="163" t="str">
        <f t="array" ref="G1020">IF(B1020="ICSE",IF(COUNTIFS(B:B,B1020,C:C,C1020)=XLOOKUP(C1020,ICSE!A:A,ICSE!AA:AA,"ERROR",0,1),"OK","ERROR"),IF(B1020="FSE",IF(COUNTIFS(B:B,B1020,C:C,C1020)=XLOOKUP(C1020,FSE!A:A,FSE!AA:AA,"ERROR",0,1),"OK","ERROR")))</f>
        <v>OK</v>
      </c>
      <c r="H1020" s="199">
        <f t="shared" ref="H1020:O1020" si="5175">countif($D1020,"*"&amp;H$2&amp;"*")</f>
        <v>0</v>
      </c>
      <c r="I1020" s="200">
        <f t="shared" si="5175"/>
        <v>0</v>
      </c>
      <c r="J1020" s="200">
        <f t="shared" si="5175"/>
        <v>0</v>
      </c>
      <c r="K1020" s="200">
        <f t="shared" si="5175"/>
        <v>0</v>
      </c>
      <c r="L1020" s="200">
        <f t="shared" si="5175"/>
        <v>0</v>
      </c>
      <c r="M1020" s="200">
        <f t="shared" si="5175"/>
        <v>0</v>
      </c>
      <c r="N1020" s="200">
        <f t="shared" si="5175"/>
        <v>0</v>
      </c>
      <c r="O1020" s="200">
        <f t="shared" si="5175"/>
        <v>0</v>
      </c>
      <c r="P1020" s="200">
        <f t="shared" si="9"/>
        <v>0</v>
      </c>
      <c r="Q1020" s="200">
        <f t="shared" ref="Q1020:AC1020" si="5176">countif($D1020,"*"&amp;Q$2&amp;"*")</f>
        <v>0</v>
      </c>
      <c r="R1020" s="200">
        <f t="shared" si="5176"/>
        <v>0</v>
      </c>
      <c r="S1020" s="200">
        <f t="shared" si="5176"/>
        <v>0</v>
      </c>
      <c r="T1020" s="200">
        <f t="shared" si="5176"/>
        <v>0</v>
      </c>
      <c r="U1020" s="200">
        <f t="shared" si="5176"/>
        <v>0</v>
      </c>
      <c r="V1020" s="200">
        <f t="shared" si="5176"/>
        <v>0</v>
      </c>
      <c r="W1020" s="200">
        <f t="shared" si="5176"/>
        <v>0</v>
      </c>
      <c r="X1020" s="200">
        <f t="shared" si="5176"/>
        <v>0</v>
      </c>
      <c r="Y1020" s="200">
        <f t="shared" si="5176"/>
        <v>0</v>
      </c>
      <c r="Z1020" s="200">
        <f t="shared" si="5176"/>
        <v>0</v>
      </c>
      <c r="AA1020" s="200">
        <f t="shared" si="5176"/>
        <v>0</v>
      </c>
      <c r="AB1020" s="200">
        <f t="shared" si="5176"/>
        <v>0</v>
      </c>
      <c r="AC1020" s="200">
        <f t="shared" si="5176"/>
        <v>0</v>
      </c>
      <c r="AD1020" s="200">
        <f t="shared" si="11"/>
        <v>0</v>
      </c>
      <c r="AE1020" s="200">
        <f t="shared" ref="AE1020:AG1020" si="5177">countif($D1020,"*"&amp;AE$2&amp;"*")</f>
        <v>0</v>
      </c>
      <c r="AF1020" s="200">
        <f t="shared" si="5177"/>
        <v>0</v>
      </c>
      <c r="AG1020" s="200">
        <f t="shared" si="5177"/>
        <v>0</v>
      </c>
      <c r="AH1020" s="171">
        <f t="shared" si="13"/>
        <v>1</v>
      </c>
      <c r="AI1020" s="200">
        <f t="shared" si="14"/>
        <v>0</v>
      </c>
      <c r="AJ1020" s="200">
        <f t="shared" si="4907"/>
        <v>0</v>
      </c>
      <c r="AK1020" s="201">
        <f t="shared" ref="AK1020:AS1020" si="5178">countif($D1020,"*"&amp;AK$2&amp;"*")</f>
        <v>0</v>
      </c>
      <c r="AL1020" s="201">
        <f t="shared" si="5178"/>
        <v>0</v>
      </c>
      <c r="AM1020" s="201">
        <f t="shared" si="5178"/>
        <v>0</v>
      </c>
      <c r="AN1020" s="201">
        <f t="shared" si="5178"/>
        <v>0</v>
      </c>
      <c r="AO1020" s="201">
        <f t="shared" si="5178"/>
        <v>0</v>
      </c>
      <c r="AP1020" s="201">
        <f t="shared" si="5178"/>
        <v>0</v>
      </c>
      <c r="AQ1020" s="201">
        <f t="shared" si="5178"/>
        <v>0</v>
      </c>
      <c r="AR1020" s="200">
        <f t="shared" si="5178"/>
        <v>0</v>
      </c>
      <c r="AS1020" s="200">
        <f t="shared" si="5178"/>
        <v>0</v>
      </c>
      <c r="AT1020" s="173">
        <v>0.0</v>
      </c>
      <c r="AU1020" s="200">
        <f t="shared" ref="AU1020:AX1020" si="5179">countif($D1020,"*"&amp;AU$2&amp;"*")</f>
        <v>0</v>
      </c>
      <c r="AV1020" s="200">
        <f t="shared" si="5179"/>
        <v>0</v>
      </c>
      <c r="AW1020" s="200">
        <f t="shared" si="5179"/>
        <v>0</v>
      </c>
      <c r="AX1020" s="200">
        <f t="shared" si="5179"/>
        <v>0</v>
      </c>
      <c r="AY1020" s="202">
        <v>0.0</v>
      </c>
      <c r="AZ1020" s="200"/>
      <c r="BA1020" s="171" t="str">
        <f t="shared" si="18"/>
        <v/>
      </c>
      <c r="BB1020" s="171" t="str">
        <f t="shared" si="19"/>
        <v/>
      </c>
      <c r="BC1020" s="171" t="str">
        <f t="shared" si="20"/>
        <v/>
      </c>
      <c r="BD1020" s="171" t="str">
        <f t="shared" si="21"/>
        <v/>
      </c>
      <c r="BE1020" s="171" t="str">
        <f t="shared" si="22"/>
        <v>Others</v>
      </c>
      <c r="BF1020" s="171" t="str">
        <f t="shared" si="23"/>
        <v>Others</v>
      </c>
    </row>
    <row r="1021">
      <c r="A1021" s="171">
        <f t="array" ref="A1021">XLOOKUP(C1021,ICSE!A:A,ICSE!C:C,,2,1)</f>
        <v>2023</v>
      </c>
      <c r="B1021" s="171" t="s">
        <v>5675</v>
      </c>
      <c r="C1021" s="160">
        <v>2054.0</v>
      </c>
      <c r="D1021" s="161" t="s">
        <v>6103</v>
      </c>
      <c r="E1021" s="197" t="str">
        <f t="array" ref="E1021">XLOOKUP(C1021,ICSE!A:A,ICSE!Z:Z,,0,1)</f>
        <v>Publicly available (8)</v>
      </c>
      <c r="F1021" s="198" t="s">
        <v>20</v>
      </c>
      <c r="G1021" s="163" t="str">
        <f t="array" ref="G1021">IF(B1021="ICSE",IF(COUNTIFS(B:B,B1021,C:C,C1021)=XLOOKUP(C1021,ICSE!A:A,ICSE!AA:AA,"ERROR",0,1),"OK","ERROR"),IF(B1021="FSE",IF(COUNTIFS(B:B,B1021,C:C,C1021)=XLOOKUP(C1021,FSE!A:A,FSE!AA:AA,"ERROR",0,1),"OK","ERROR")))</f>
        <v>OK</v>
      </c>
      <c r="H1021" s="199">
        <f t="shared" ref="H1021:O1021" si="5180">countif($D1021,"*"&amp;H$2&amp;"*")</f>
        <v>0</v>
      </c>
      <c r="I1021" s="200">
        <f t="shared" si="5180"/>
        <v>0</v>
      </c>
      <c r="J1021" s="200">
        <f t="shared" si="5180"/>
        <v>0</v>
      </c>
      <c r="K1021" s="200">
        <f t="shared" si="5180"/>
        <v>0</v>
      </c>
      <c r="L1021" s="200">
        <f t="shared" si="5180"/>
        <v>0</v>
      </c>
      <c r="M1021" s="200">
        <f t="shared" si="5180"/>
        <v>0</v>
      </c>
      <c r="N1021" s="200">
        <f t="shared" si="5180"/>
        <v>0</v>
      </c>
      <c r="O1021" s="200">
        <f t="shared" si="5180"/>
        <v>0</v>
      </c>
      <c r="P1021" s="200">
        <f t="shared" si="9"/>
        <v>0</v>
      </c>
      <c r="Q1021" s="200">
        <f t="shared" ref="Q1021:AC1021" si="5181">countif($D1021,"*"&amp;Q$2&amp;"*")</f>
        <v>0</v>
      </c>
      <c r="R1021" s="200">
        <f t="shared" si="5181"/>
        <v>0</v>
      </c>
      <c r="S1021" s="200">
        <f t="shared" si="5181"/>
        <v>0</v>
      </c>
      <c r="T1021" s="200">
        <f t="shared" si="5181"/>
        <v>0</v>
      </c>
      <c r="U1021" s="200">
        <f t="shared" si="5181"/>
        <v>0</v>
      </c>
      <c r="V1021" s="200">
        <f t="shared" si="5181"/>
        <v>0</v>
      </c>
      <c r="W1021" s="200">
        <f t="shared" si="5181"/>
        <v>0</v>
      </c>
      <c r="X1021" s="200">
        <f t="shared" si="5181"/>
        <v>0</v>
      </c>
      <c r="Y1021" s="200">
        <f t="shared" si="5181"/>
        <v>0</v>
      </c>
      <c r="Z1021" s="200">
        <f t="shared" si="5181"/>
        <v>0</v>
      </c>
      <c r="AA1021" s="200">
        <f t="shared" si="5181"/>
        <v>0</v>
      </c>
      <c r="AB1021" s="200">
        <f t="shared" si="5181"/>
        <v>0</v>
      </c>
      <c r="AC1021" s="200">
        <f t="shared" si="5181"/>
        <v>0</v>
      </c>
      <c r="AD1021" s="200">
        <f t="shared" si="11"/>
        <v>0</v>
      </c>
      <c r="AE1021" s="200">
        <f t="shared" ref="AE1021:AG1021" si="5182">countif($D1021,"*"&amp;AE$2&amp;"*")</f>
        <v>0</v>
      </c>
      <c r="AF1021" s="200">
        <f t="shared" si="5182"/>
        <v>0</v>
      </c>
      <c r="AG1021" s="200">
        <f t="shared" si="5182"/>
        <v>0</v>
      </c>
      <c r="AH1021" s="171">
        <f t="shared" si="13"/>
        <v>1</v>
      </c>
      <c r="AI1021" s="200">
        <f t="shared" si="14"/>
        <v>0</v>
      </c>
      <c r="AJ1021" s="200">
        <f t="shared" si="4907"/>
        <v>0</v>
      </c>
      <c r="AK1021" s="201">
        <f t="shared" ref="AK1021:AS1021" si="5183">countif($D1021,"*"&amp;AK$2&amp;"*")</f>
        <v>0</v>
      </c>
      <c r="AL1021" s="201">
        <f t="shared" si="5183"/>
        <v>0</v>
      </c>
      <c r="AM1021" s="201">
        <f t="shared" si="5183"/>
        <v>0</v>
      </c>
      <c r="AN1021" s="201">
        <f t="shared" si="5183"/>
        <v>0</v>
      </c>
      <c r="AO1021" s="201">
        <f t="shared" si="5183"/>
        <v>0</v>
      </c>
      <c r="AP1021" s="201">
        <f t="shared" si="5183"/>
        <v>0</v>
      </c>
      <c r="AQ1021" s="201">
        <f t="shared" si="5183"/>
        <v>0</v>
      </c>
      <c r="AR1021" s="200">
        <f t="shared" si="5183"/>
        <v>0</v>
      </c>
      <c r="AS1021" s="200">
        <f t="shared" si="5183"/>
        <v>0</v>
      </c>
      <c r="AT1021" s="173">
        <v>0.0</v>
      </c>
      <c r="AU1021" s="200">
        <f t="shared" ref="AU1021:AX1021" si="5184">countif($D1021,"*"&amp;AU$2&amp;"*")</f>
        <v>0</v>
      </c>
      <c r="AV1021" s="200">
        <f t="shared" si="5184"/>
        <v>0</v>
      </c>
      <c r="AW1021" s="200">
        <f t="shared" si="5184"/>
        <v>0</v>
      </c>
      <c r="AX1021" s="200">
        <f t="shared" si="5184"/>
        <v>0</v>
      </c>
      <c r="AY1021" s="202">
        <v>0.0</v>
      </c>
      <c r="AZ1021" s="200"/>
      <c r="BA1021" s="171" t="str">
        <f t="shared" si="18"/>
        <v/>
      </c>
      <c r="BB1021" s="171" t="str">
        <f t="shared" si="19"/>
        <v/>
      </c>
      <c r="BC1021" s="171" t="str">
        <f t="shared" si="20"/>
        <v/>
      </c>
      <c r="BD1021" s="171" t="str">
        <f t="shared" si="21"/>
        <v/>
      </c>
      <c r="BE1021" s="171" t="str">
        <f t="shared" si="22"/>
        <v>Others</v>
      </c>
      <c r="BF1021" s="171" t="str">
        <f t="shared" si="23"/>
        <v>Others</v>
      </c>
    </row>
    <row r="1022">
      <c r="A1022" s="171">
        <f t="array" ref="A1022">XLOOKUP(C1022,ICSE!A:A,ICSE!C:C,,2,1)</f>
        <v>2023</v>
      </c>
      <c r="B1022" s="171" t="s">
        <v>5675</v>
      </c>
      <c r="C1022" s="160">
        <v>2054.0</v>
      </c>
      <c r="D1022" s="161" t="s">
        <v>6104</v>
      </c>
      <c r="E1022" s="197" t="str">
        <f t="array" ref="E1022">XLOOKUP(C1022,ICSE!A:A,ICSE!Z:Z,,0,1)</f>
        <v>Publicly available (8)</v>
      </c>
      <c r="F1022" s="198" t="s">
        <v>20</v>
      </c>
      <c r="G1022" s="163" t="str">
        <f t="array" ref="G1022">IF(B1022="ICSE",IF(COUNTIFS(B:B,B1022,C:C,C1022)=XLOOKUP(C1022,ICSE!A:A,ICSE!AA:AA,"ERROR",0,1),"OK","ERROR"),IF(B1022="FSE",IF(COUNTIFS(B:B,B1022,C:C,C1022)=XLOOKUP(C1022,FSE!A:A,FSE!AA:AA,"ERROR",0,1),"OK","ERROR")))</f>
        <v>OK</v>
      </c>
      <c r="H1022" s="199">
        <f t="shared" ref="H1022:O1022" si="5185">countif($D1022,"*"&amp;H$2&amp;"*")</f>
        <v>0</v>
      </c>
      <c r="I1022" s="200">
        <f t="shared" si="5185"/>
        <v>0</v>
      </c>
      <c r="J1022" s="200">
        <f t="shared" si="5185"/>
        <v>0</v>
      </c>
      <c r="K1022" s="200">
        <f t="shared" si="5185"/>
        <v>0</v>
      </c>
      <c r="L1022" s="200">
        <f t="shared" si="5185"/>
        <v>0</v>
      </c>
      <c r="M1022" s="200">
        <f t="shared" si="5185"/>
        <v>0</v>
      </c>
      <c r="N1022" s="200">
        <f t="shared" si="5185"/>
        <v>0</v>
      </c>
      <c r="O1022" s="200">
        <f t="shared" si="5185"/>
        <v>0</v>
      </c>
      <c r="P1022" s="200">
        <f t="shared" si="9"/>
        <v>0</v>
      </c>
      <c r="Q1022" s="200">
        <f t="shared" ref="Q1022:AC1022" si="5186">countif($D1022,"*"&amp;Q$2&amp;"*")</f>
        <v>0</v>
      </c>
      <c r="R1022" s="200">
        <f t="shared" si="5186"/>
        <v>0</v>
      </c>
      <c r="S1022" s="200">
        <f t="shared" si="5186"/>
        <v>0</v>
      </c>
      <c r="T1022" s="200">
        <f t="shared" si="5186"/>
        <v>0</v>
      </c>
      <c r="U1022" s="200">
        <f t="shared" si="5186"/>
        <v>0</v>
      </c>
      <c r="V1022" s="200">
        <f t="shared" si="5186"/>
        <v>0</v>
      </c>
      <c r="W1022" s="200">
        <f t="shared" si="5186"/>
        <v>0</v>
      </c>
      <c r="X1022" s="200">
        <f t="shared" si="5186"/>
        <v>0</v>
      </c>
      <c r="Y1022" s="200">
        <f t="shared" si="5186"/>
        <v>0</v>
      </c>
      <c r="Z1022" s="200">
        <f t="shared" si="5186"/>
        <v>0</v>
      </c>
      <c r="AA1022" s="200">
        <f t="shared" si="5186"/>
        <v>0</v>
      </c>
      <c r="AB1022" s="200">
        <f t="shared" si="5186"/>
        <v>0</v>
      </c>
      <c r="AC1022" s="200">
        <f t="shared" si="5186"/>
        <v>0</v>
      </c>
      <c r="AD1022" s="200">
        <f t="shared" si="11"/>
        <v>0</v>
      </c>
      <c r="AE1022" s="200">
        <f t="shared" ref="AE1022:AG1022" si="5187">countif($D1022,"*"&amp;AE$2&amp;"*")</f>
        <v>0</v>
      </c>
      <c r="AF1022" s="200">
        <f t="shared" si="5187"/>
        <v>0</v>
      </c>
      <c r="AG1022" s="200">
        <f t="shared" si="5187"/>
        <v>0</v>
      </c>
      <c r="AH1022" s="171">
        <f t="shared" si="13"/>
        <v>1</v>
      </c>
      <c r="AI1022" s="200">
        <f t="shared" si="14"/>
        <v>0</v>
      </c>
      <c r="AJ1022" s="200">
        <f t="shared" si="4907"/>
        <v>0</v>
      </c>
      <c r="AK1022" s="201">
        <f t="shared" ref="AK1022:AS1022" si="5188">countif($D1022,"*"&amp;AK$2&amp;"*")</f>
        <v>0</v>
      </c>
      <c r="AL1022" s="201">
        <f t="shared" si="5188"/>
        <v>0</v>
      </c>
      <c r="AM1022" s="201">
        <f t="shared" si="5188"/>
        <v>0</v>
      </c>
      <c r="AN1022" s="201">
        <f t="shared" si="5188"/>
        <v>0</v>
      </c>
      <c r="AO1022" s="201">
        <f t="shared" si="5188"/>
        <v>0</v>
      </c>
      <c r="AP1022" s="201">
        <f t="shared" si="5188"/>
        <v>0</v>
      </c>
      <c r="AQ1022" s="201">
        <f t="shared" si="5188"/>
        <v>0</v>
      </c>
      <c r="AR1022" s="200">
        <f t="shared" si="5188"/>
        <v>0</v>
      </c>
      <c r="AS1022" s="200">
        <f t="shared" si="5188"/>
        <v>0</v>
      </c>
      <c r="AT1022" s="173">
        <v>0.0</v>
      </c>
      <c r="AU1022" s="200">
        <f t="shared" ref="AU1022:AX1022" si="5189">countif($D1022,"*"&amp;AU$2&amp;"*")</f>
        <v>0</v>
      </c>
      <c r="AV1022" s="200">
        <f t="shared" si="5189"/>
        <v>0</v>
      </c>
      <c r="AW1022" s="200">
        <f t="shared" si="5189"/>
        <v>0</v>
      </c>
      <c r="AX1022" s="200">
        <f t="shared" si="5189"/>
        <v>0</v>
      </c>
      <c r="AY1022" s="202">
        <v>0.0</v>
      </c>
      <c r="AZ1022" s="200"/>
      <c r="BA1022" s="171" t="str">
        <f t="shared" si="18"/>
        <v/>
      </c>
      <c r="BB1022" s="171" t="str">
        <f t="shared" si="19"/>
        <v/>
      </c>
      <c r="BC1022" s="171" t="str">
        <f t="shared" si="20"/>
        <v/>
      </c>
      <c r="BD1022" s="171" t="str">
        <f t="shared" si="21"/>
        <v/>
      </c>
      <c r="BE1022" s="171" t="str">
        <f t="shared" si="22"/>
        <v>Others</v>
      </c>
      <c r="BF1022" s="171" t="str">
        <f t="shared" si="23"/>
        <v>Others</v>
      </c>
    </row>
    <row r="1023">
      <c r="A1023" s="171">
        <f t="array" ref="A1023">XLOOKUP(C1023,ICSE!A:A,ICSE!C:C,,2,1)</f>
        <v>2023</v>
      </c>
      <c r="B1023" s="171" t="s">
        <v>5675</v>
      </c>
      <c r="C1023" s="160">
        <v>2054.0</v>
      </c>
      <c r="D1023" s="161" t="s">
        <v>6105</v>
      </c>
      <c r="E1023" s="197" t="str">
        <f t="array" ref="E1023">XLOOKUP(C1023,ICSE!A:A,ICSE!Z:Z,,0,1)</f>
        <v>Publicly available (8)</v>
      </c>
      <c r="F1023" s="198" t="s">
        <v>20</v>
      </c>
      <c r="G1023" s="163" t="str">
        <f t="array" ref="G1023">IF(B1023="ICSE",IF(COUNTIFS(B:B,B1023,C:C,C1023)=XLOOKUP(C1023,ICSE!A:A,ICSE!AA:AA,"ERROR",0,1),"OK","ERROR"),IF(B1023="FSE",IF(COUNTIFS(B:B,B1023,C:C,C1023)=XLOOKUP(C1023,FSE!A:A,FSE!AA:AA,"ERROR",0,1),"OK","ERROR")))</f>
        <v>OK</v>
      </c>
      <c r="H1023" s="199">
        <f t="shared" ref="H1023:O1023" si="5190">countif($D1023,"*"&amp;H$2&amp;"*")</f>
        <v>0</v>
      </c>
      <c r="I1023" s="200">
        <f t="shared" si="5190"/>
        <v>0</v>
      </c>
      <c r="J1023" s="200">
        <f t="shared" si="5190"/>
        <v>0</v>
      </c>
      <c r="K1023" s="200">
        <f t="shared" si="5190"/>
        <v>0</v>
      </c>
      <c r="L1023" s="200">
        <f t="shared" si="5190"/>
        <v>0</v>
      </c>
      <c r="M1023" s="200">
        <f t="shared" si="5190"/>
        <v>0</v>
      </c>
      <c r="N1023" s="200">
        <f t="shared" si="5190"/>
        <v>0</v>
      </c>
      <c r="O1023" s="200">
        <f t="shared" si="5190"/>
        <v>0</v>
      </c>
      <c r="P1023" s="200">
        <f t="shared" si="9"/>
        <v>0</v>
      </c>
      <c r="Q1023" s="200">
        <f t="shared" ref="Q1023:AC1023" si="5191">countif($D1023,"*"&amp;Q$2&amp;"*")</f>
        <v>0</v>
      </c>
      <c r="R1023" s="200">
        <f t="shared" si="5191"/>
        <v>0</v>
      </c>
      <c r="S1023" s="200">
        <f t="shared" si="5191"/>
        <v>0</v>
      </c>
      <c r="T1023" s="200">
        <f t="shared" si="5191"/>
        <v>0</v>
      </c>
      <c r="U1023" s="200">
        <f t="shared" si="5191"/>
        <v>0</v>
      </c>
      <c r="V1023" s="200">
        <f t="shared" si="5191"/>
        <v>0</v>
      </c>
      <c r="W1023" s="200">
        <f t="shared" si="5191"/>
        <v>0</v>
      </c>
      <c r="X1023" s="200">
        <f t="shared" si="5191"/>
        <v>0</v>
      </c>
      <c r="Y1023" s="200">
        <f t="shared" si="5191"/>
        <v>0</v>
      </c>
      <c r="Z1023" s="200">
        <f t="shared" si="5191"/>
        <v>0</v>
      </c>
      <c r="AA1023" s="200">
        <f t="shared" si="5191"/>
        <v>0</v>
      </c>
      <c r="AB1023" s="200">
        <f t="shared" si="5191"/>
        <v>0</v>
      </c>
      <c r="AC1023" s="200">
        <f t="shared" si="5191"/>
        <v>0</v>
      </c>
      <c r="AD1023" s="200">
        <f t="shared" si="11"/>
        <v>0</v>
      </c>
      <c r="AE1023" s="200">
        <f t="shared" ref="AE1023:AG1023" si="5192">countif($D1023,"*"&amp;AE$2&amp;"*")</f>
        <v>0</v>
      </c>
      <c r="AF1023" s="200">
        <f t="shared" si="5192"/>
        <v>0</v>
      </c>
      <c r="AG1023" s="200">
        <f t="shared" si="5192"/>
        <v>0</v>
      </c>
      <c r="AH1023" s="171">
        <f t="shared" si="13"/>
        <v>1</v>
      </c>
      <c r="AI1023" s="200">
        <f t="shared" si="14"/>
        <v>0</v>
      </c>
      <c r="AJ1023" s="200">
        <f t="shared" si="4907"/>
        <v>0</v>
      </c>
      <c r="AK1023" s="201">
        <f t="shared" ref="AK1023:AS1023" si="5193">countif($D1023,"*"&amp;AK$2&amp;"*")</f>
        <v>0</v>
      </c>
      <c r="AL1023" s="201">
        <f t="shared" si="5193"/>
        <v>0</v>
      </c>
      <c r="AM1023" s="201">
        <f t="shared" si="5193"/>
        <v>0</v>
      </c>
      <c r="AN1023" s="201">
        <f t="shared" si="5193"/>
        <v>0</v>
      </c>
      <c r="AO1023" s="201">
        <f t="shared" si="5193"/>
        <v>0</v>
      </c>
      <c r="AP1023" s="201">
        <f t="shared" si="5193"/>
        <v>0</v>
      </c>
      <c r="AQ1023" s="201">
        <f t="shared" si="5193"/>
        <v>0</v>
      </c>
      <c r="AR1023" s="200">
        <f t="shared" si="5193"/>
        <v>0</v>
      </c>
      <c r="AS1023" s="200">
        <f t="shared" si="5193"/>
        <v>0</v>
      </c>
      <c r="AT1023" s="173">
        <v>0.0</v>
      </c>
      <c r="AU1023" s="200">
        <f t="shared" ref="AU1023:AX1023" si="5194">countif($D1023,"*"&amp;AU$2&amp;"*")</f>
        <v>0</v>
      </c>
      <c r="AV1023" s="200">
        <f t="shared" si="5194"/>
        <v>0</v>
      </c>
      <c r="AW1023" s="200">
        <f t="shared" si="5194"/>
        <v>0</v>
      </c>
      <c r="AX1023" s="200">
        <f t="shared" si="5194"/>
        <v>0</v>
      </c>
      <c r="AY1023" s="202">
        <v>0.0</v>
      </c>
      <c r="AZ1023" s="200"/>
      <c r="BA1023" s="171" t="str">
        <f t="shared" si="18"/>
        <v/>
      </c>
      <c r="BB1023" s="171" t="str">
        <f t="shared" si="19"/>
        <v/>
      </c>
      <c r="BC1023" s="171" t="str">
        <f t="shared" si="20"/>
        <v/>
      </c>
      <c r="BD1023" s="171" t="str">
        <f t="shared" si="21"/>
        <v/>
      </c>
      <c r="BE1023" s="171" t="str">
        <f t="shared" si="22"/>
        <v>Others</v>
      </c>
      <c r="BF1023" s="171" t="str">
        <f t="shared" si="23"/>
        <v>Others</v>
      </c>
    </row>
    <row r="1024">
      <c r="A1024" s="171">
        <f t="array" ref="A1024">XLOOKUP(C1024,ICSE!A:A,ICSE!C:C,,2,1)</f>
        <v>2023</v>
      </c>
      <c r="B1024" s="171" t="s">
        <v>5675</v>
      </c>
      <c r="C1024" s="160">
        <v>2054.0</v>
      </c>
      <c r="D1024" s="161" t="s">
        <v>6106</v>
      </c>
      <c r="E1024" s="197" t="str">
        <f t="array" ref="E1024">XLOOKUP(C1024,ICSE!A:A,ICSE!Z:Z,,0,1)</f>
        <v>Publicly available (8)</v>
      </c>
      <c r="F1024" s="198" t="s">
        <v>20</v>
      </c>
      <c r="G1024" s="163" t="str">
        <f t="array" ref="G1024">IF(B1024="ICSE",IF(COUNTIFS(B:B,B1024,C:C,C1024)=XLOOKUP(C1024,ICSE!A:A,ICSE!AA:AA,"ERROR",0,1),"OK","ERROR"),IF(B1024="FSE",IF(COUNTIFS(B:B,B1024,C:C,C1024)=XLOOKUP(C1024,FSE!A:A,FSE!AA:AA,"ERROR",0,1),"OK","ERROR")))</f>
        <v>OK</v>
      </c>
      <c r="H1024" s="199">
        <f t="shared" ref="H1024:O1024" si="5195">countif($D1024,"*"&amp;H$2&amp;"*")</f>
        <v>0</v>
      </c>
      <c r="I1024" s="200">
        <f t="shared" si="5195"/>
        <v>0</v>
      </c>
      <c r="J1024" s="200">
        <f t="shared" si="5195"/>
        <v>0</v>
      </c>
      <c r="K1024" s="200">
        <f t="shared" si="5195"/>
        <v>0</v>
      </c>
      <c r="L1024" s="200">
        <f t="shared" si="5195"/>
        <v>0</v>
      </c>
      <c r="M1024" s="200">
        <f t="shared" si="5195"/>
        <v>0</v>
      </c>
      <c r="N1024" s="200">
        <f t="shared" si="5195"/>
        <v>0</v>
      </c>
      <c r="O1024" s="200">
        <f t="shared" si="5195"/>
        <v>0</v>
      </c>
      <c r="P1024" s="200">
        <f t="shared" si="9"/>
        <v>0</v>
      </c>
      <c r="Q1024" s="200">
        <f t="shared" ref="Q1024:AC1024" si="5196">countif($D1024,"*"&amp;Q$2&amp;"*")</f>
        <v>1</v>
      </c>
      <c r="R1024" s="200">
        <f t="shared" si="5196"/>
        <v>0</v>
      </c>
      <c r="S1024" s="200">
        <f t="shared" si="5196"/>
        <v>0</v>
      </c>
      <c r="T1024" s="200">
        <f t="shared" si="5196"/>
        <v>0</v>
      </c>
      <c r="U1024" s="200">
        <f t="shared" si="5196"/>
        <v>0</v>
      </c>
      <c r="V1024" s="200">
        <f t="shared" si="5196"/>
        <v>0</v>
      </c>
      <c r="W1024" s="200">
        <f t="shared" si="5196"/>
        <v>0</v>
      </c>
      <c r="X1024" s="200">
        <f t="shared" si="5196"/>
        <v>0</v>
      </c>
      <c r="Y1024" s="200">
        <f t="shared" si="5196"/>
        <v>0</v>
      </c>
      <c r="Z1024" s="200">
        <f t="shared" si="5196"/>
        <v>0</v>
      </c>
      <c r="AA1024" s="200">
        <f t="shared" si="5196"/>
        <v>0</v>
      </c>
      <c r="AB1024" s="200">
        <f t="shared" si="5196"/>
        <v>0</v>
      </c>
      <c r="AC1024" s="200">
        <f t="shared" si="5196"/>
        <v>0</v>
      </c>
      <c r="AD1024" s="200">
        <f t="shared" si="11"/>
        <v>0</v>
      </c>
      <c r="AE1024" s="200">
        <f t="shared" ref="AE1024:AG1024" si="5197">countif($D1024,"*"&amp;AE$2&amp;"*")</f>
        <v>0</v>
      </c>
      <c r="AF1024" s="200">
        <f t="shared" si="5197"/>
        <v>0</v>
      </c>
      <c r="AG1024" s="200">
        <f t="shared" si="5197"/>
        <v>0</v>
      </c>
      <c r="AH1024" s="171">
        <f t="shared" si="13"/>
        <v>0</v>
      </c>
      <c r="AI1024" s="200">
        <f t="shared" si="14"/>
        <v>0</v>
      </c>
      <c r="AJ1024" s="200">
        <f t="shared" si="4907"/>
        <v>0</v>
      </c>
      <c r="AK1024" s="201">
        <f t="shared" ref="AK1024:AS1024" si="5198">countif($D1024,"*"&amp;AK$2&amp;"*")</f>
        <v>0</v>
      </c>
      <c r="AL1024" s="201">
        <f t="shared" si="5198"/>
        <v>0</v>
      </c>
      <c r="AM1024" s="201">
        <f t="shared" si="5198"/>
        <v>0</v>
      </c>
      <c r="AN1024" s="201">
        <f t="shared" si="5198"/>
        <v>0</v>
      </c>
      <c r="AO1024" s="201">
        <f t="shared" si="5198"/>
        <v>0</v>
      </c>
      <c r="AP1024" s="201">
        <f t="shared" si="5198"/>
        <v>0</v>
      </c>
      <c r="AQ1024" s="201">
        <f t="shared" si="5198"/>
        <v>0</v>
      </c>
      <c r="AR1024" s="200">
        <f t="shared" si="5198"/>
        <v>0</v>
      </c>
      <c r="AS1024" s="200">
        <f t="shared" si="5198"/>
        <v>0</v>
      </c>
      <c r="AT1024" s="173">
        <v>0.0</v>
      </c>
      <c r="AU1024" s="200">
        <f t="shared" ref="AU1024:AX1024" si="5199">countif($D1024,"*"&amp;AU$2&amp;"*")</f>
        <v>0</v>
      </c>
      <c r="AV1024" s="200">
        <f t="shared" si="5199"/>
        <v>0</v>
      </c>
      <c r="AW1024" s="200">
        <f t="shared" si="5199"/>
        <v>0</v>
      </c>
      <c r="AX1024" s="200">
        <f t="shared" si="5199"/>
        <v>0</v>
      </c>
      <c r="AY1024" s="202">
        <v>0.0</v>
      </c>
      <c r="AZ1024" s="200"/>
      <c r="BA1024" s="171" t="str">
        <f t="shared" si="18"/>
        <v/>
      </c>
      <c r="BB1024" s="171" t="str">
        <f t="shared" si="19"/>
        <v>Code</v>
      </c>
      <c r="BC1024" s="171" t="str">
        <f t="shared" si="20"/>
        <v/>
      </c>
      <c r="BD1024" s="171" t="str">
        <f t="shared" si="21"/>
        <v/>
      </c>
      <c r="BE1024" s="171" t="str">
        <f t="shared" si="22"/>
        <v/>
      </c>
      <c r="BF1024" s="171" t="str">
        <f t="shared" si="23"/>
        <v>Code</v>
      </c>
    </row>
    <row r="1025">
      <c r="A1025" s="171">
        <f t="array" ref="A1025">XLOOKUP(C1025,ICSE!A:A,ICSE!C:C,,2,1)</f>
        <v>2023</v>
      </c>
      <c r="B1025" s="171" t="s">
        <v>5675</v>
      </c>
      <c r="C1025" s="160">
        <v>2055.0</v>
      </c>
      <c r="D1025" s="161" t="s">
        <v>2880</v>
      </c>
      <c r="E1025" s="197" t="str">
        <f t="array" ref="E1025">XLOOKUP(C1025,ICSE!A:A,ICSE!Z:Z,,0,1)</f>
        <v>Publicly available (1)</v>
      </c>
      <c r="F1025" s="198" t="s">
        <v>20</v>
      </c>
      <c r="G1025" s="163" t="str">
        <f t="array" ref="G1025">IF(B1025="ICSE",IF(COUNTIFS(B:B,B1025,C:C,C1025)=XLOOKUP(C1025,ICSE!A:A,ICSE!AA:AA,"ERROR",0,1),"OK","ERROR"),IF(B1025="FSE",IF(COUNTIFS(B:B,B1025,C:C,C1025)=XLOOKUP(C1025,FSE!A:A,FSE!AA:AA,"ERROR",0,1),"OK","ERROR")))</f>
        <v>OK</v>
      </c>
      <c r="H1025" s="199">
        <f t="shared" ref="H1025:O1025" si="5200">countif($D1025,"*"&amp;H$2&amp;"*")</f>
        <v>0</v>
      </c>
      <c r="I1025" s="200">
        <f t="shared" si="5200"/>
        <v>0</v>
      </c>
      <c r="J1025" s="200">
        <f t="shared" si="5200"/>
        <v>0</v>
      </c>
      <c r="K1025" s="200">
        <f t="shared" si="5200"/>
        <v>0</v>
      </c>
      <c r="L1025" s="200">
        <f t="shared" si="5200"/>
        <v>0</v>
      </c>
      <c r="M1025" s="200">
        <f t="shared" si="5200"/>
        <v>0</v>
      </c>
      <c r="N1025" s="200">
        <f t="shared" si="5200"/>
        <v>0</v>
      </c>
      <c r="O1025" s="200">
        <f t="shared" si="5200"/>
        <v>0</v>
      </c>
      <c r="P1025" s="200">
        <f t="shared" si="9"/>
        <v>1</v>
      </c>
      <c r="Q1025" s="200">
        <f t="shared" ref="Q1025:AC1025" si="5201">countif($D1025,"*"&amp;Q$2&amp;"*")</f>
        <v>0</v>
      </c>
      <c r="R1025" s="200">
        <f t="shared" si="5201"/>
        <v>0</v>
      </c>
      <c r="S1025" s="200">
        <f t="shared" si="5201"/>
        <v>0</v>
      </c>
      <c r="T1025" s="200">
        <f t="shared" si="5201"/>
        <v>0</v>
      </c>
      <c r="U1025" s="200">
        <f t="shared" si="5201"/>
        <v>0</v>
      </c>
      <c r="V1025" s="200">
        <f t="shared" si="5201"/>
        <v>0</v>
      </c>
      <c r="W1025" s="200">
        <f t="shared" si="5201"/>
        <v>0</v>
      </c>
      <c r="X1025" s="200">
        <f t="shared" si="5201"/>
        <v>0</v>
      </c>
      <c r="Y1025" s="200">
        <f t="shared" si="5201"/>
        <v>0</v>
      </c>
      <c r="Z1025" s="200">
        <f t="shared" si="5201"/>
        <v>0</v>
      </c>
      <c r="AA1025" s="200">
        <f t="shared" si="5201"/>
        <v>0</v>
      </c>
      <c r="AB1025" s="200">
        <f t="shared" si="5201"/>
        <v>0</v>
      </c>
      <c r="AC1025" s="200">
        <f t="shared" si="5201"/>
        <v>0</v>
      </c>
      <c r="AD1025" s="200">
        <f t="shared" si="11"/>
        <v>0</v>
      </c>
      <c r="AE1025" s="200">
        <f t="shared" ref="AE1025:AG1025" si="5202">countif($D1025,"*"&amp;AE$2&amp;"*")</f>
        <v>0</v>
      </c>
      <c r="AF1025" s="200">
        <f t="shared" si="5202"/>
        <v>0</v>
      </c>
      <c r="AG1025" s="200">
        <f t="shared" si="5202"/>
        <v>0</v>
      </c>
      <c r="AH1025" s="171">
        <f t="shared" si="13"/>
        <v>0</v>
      </c>
      <c r="AI1025" s="200">
        <f t="shared" si="14"/>
        <v>0</v>
      </c>
      <c r="AJ1025" s="200">
        <f t="shared" si="4907"/>
        <v>0</v>
      </c>
      <c r="AK1025" s="201">
        <f t="shared" ref="AK1025:AS1025" si="5203">countif($D1025,"*"&amp;AK$2&amp;"*")</f>
        <v>0</v>
      </c>
      <c r="AL1025" s="201">
        <f t="shared" si="5203"/>
        <v>0</v>
      </c>
      <c r="AM1025" s="201">
        <f t="shared" si="5203"/>
        <v>0</v>
      </c>
      <c r="AN1025" s="201">
        <f t="shared" si="5203"/>
        <v>0</v>
      </c>
      <c r="AO1025" s="201">
        <f t="shared" si="5203"/>
        <v>0</v>
      </c>
      <c r="AP1025" s="201">
        <f t="shared" si="5203"/>
        <v>0</v>
      </c>
      <c r="AQ1025" s="201">
        <f t="shared" si="5203"/>
        <v>0</v>
      </c>
      <c r="AR1025" s="200">
        <f t="shared" si="5203"/>
        <v>0</v>
      </c>
      <c r="AS1025" s="200">
        <f t="shared" si="5203"/>
        <v>0</v>
      </c>
      <c r="AT1025" s="173">
        <v>0.0</v>
      </c>
      <c r="AU1025" s="200">
        <f t="shared" ref="AU1025:AX1025" si="5204">countif($D1025,"*"&amp;AU$2&amp;"*")</f>
        <v>0</v>
      </c>
      <c r="AV1025" s="200">
        <f t="shared" si="5204"/>
        <v>1</v>
      </c>
      <c r="AW1025" s="200">
        <f t="shared" si="5204"/>
        <v>0</v>
      </c>
      <c r="AX1025" s="200">
        <f t="shared" si="5204"/>
        <v>0</v>
      </c>
      <c r="AY1025" s="202">
        <v>0.0</v>
      </c>
      <c r="AZ1025" s="200"/>
      <c r="BA1025" s="171" t="str">
        <f t="shared" si="18"/>
        <v/>
      </c>
      <c r="BB1025" s="171" t="str">
        <f t="shared" si="19"/>
        <v>Code</v>
      </c>
      <c r="BC1025" s="171" t="str">
        <f t="shared" si="20"/>
        <v/>
      </c>
      <c r="BD1025" s="171" t="str">
        <f t="shared" si="21"/>
        <v/>
      </c>
      <c r="BE1025" s="171" t="str">
        <f t="shared" si="22"/>
        <v/>
      </c>
      <c r="BF1025" s="171" t="str">
        <f t="shared" si="23"/>
        <v>Code</v>
      </c>
    </row>
    <row r="1026">
      <c r="A1026" s="171">
        <f t="array" ref="A1026">XLOOKUP(C1026,ICSE!A:A,ICSE!C:C,,2,1)</f>
        <v>2023</v>
      </c>
      <c r="B1026" s="171" t="s">
        <v>5675</v>
      </c>
      <c r="C1026" s="160">
        <v>2056.0</v>
      </c>
      <c r="D1026" s="161" t="s">
        <v>2882</v>
      </c>
      <c r="E1026" s="197" t="str">
        <f t="array" ref="E1026">XLOOKUP(C1026,ICSE!A:A,ICSE!Z:Z,,0,1)</f>
        <v>Publicly available (1)</v>
      </c>
      <c r="F1026" s="198" t="s">
        <v>20</v>
      </c>
      <c r="G1026" s="163" t="str">
        <f t="array" ref="G1026">IF(B1026="ICSE",IF(COUNTIFS(B:B,B1026,C:C,C1026)=XLOOKUP(C1026,ICSE!A:A,ICSE!AA:AA,"ERROR",0,1),"OK","ERROR"),IF(B1026="FSE",IF(COUNTIFS(B:B,B1026,C:C,C1026)=XLOOKUP(C1026,FSE!A:A,FSE!AA:AA,"ERROR",0,1),"OK","ERROR")))</f>
        <v>OK</v>
      </c>
      <c r="H1026" s="199">
        <f t="shared" ref="H1026:O1026" si="5205">countif($D1026,"*"&amp;H$2&amp;"*")</f>
        <v>0</v>
      </c>
      <c r="I1026" s="200">
        <f t="shared" si="5205"/>
        <v>0</v>
      </c>
      <c r="J1026" s="200">
        <f t="shared" si="5205"/>
        <v>0</v>
      </c>
      <c r="K1026" s="200">
        <f t="shared" si="5205"/>
        <v>0</v>
      </c>
      <c r="L1026" s="200">
        <f t="shared" si="5205"/>
        <v>0</v>
      </c>
      <c r="M1026" s="200">
        <f t="shared" si="5205"/>
        <v>0</v>
      </c>
      <c r="N1026" s="200">
        <f t="shared" si="5205"/>
        <v>0</v>
      </c>
      <c r="O1026" s="200">
        <f t="shared" si="5205"/>
        <v>0</v>
      </c>
      <c r="P1026" s="200">
        <f t="shared" si="9"/>
        <v>1</v>
      </c>
      <c r="Q1026" s="200">
        <f t="shared" ref="Q1026:AC1026" si="5206">countif($D1026,"*"&amp;Q$2&amp;"*")</f>
        <v>0</v>
      </c>
      <c r="R1026" s="200">
        <f t="shared" si="5206"/>
        <v>0</v>
      </c>
      <c r="S1026" s="200">
        <f t="shared" si="5206"/>
        <v>0</v>
      </c>
      <c r="T1026" s="200">
        <f t="shared" si="5206"/>
        <v>0</v>
      </c>
      <c r="U1026" s="200">
        <f t="shared" si="5206"/>
        <v>0</v>
      </c>
      <c r="V1026" s="200">
        <f t="shared" si="5206"/>
        <v>0</v>
      </c>
      <c r="W1026" s="200">
        <f t="shared" si="5206"/>
        <v>0</v>
      </c>
      <c r="X1026" s="200">
        <f t="shared" si="5206"/>
        <v>0</v>
      </c>
      <c r="Y1026" s="200">
        <f t="shared" si="5206"/>
        <v>0</v>
      </c>
      <c r="Z1026" s="200">
        <f t="shared" si="5206"/>
        <v>0</v>
      </c>
      <c r="AA1026" s="200">
        <f t="shared" si="5206"/>
        <v>0</v>
      </c>
      <c r="AB1026" s="200">
        <f t="shared" si="5206"/>
        <v>0</v>
      </c>
      <c r="AC1026" s="200">
        <f t="shared" si="5206"/>
        <v>0</v>
      </c>
      <c r="AD1026" s="200">
        <f t="shared" si="11"/>
        <v>0</v>
      </c>
      <c r="AE1026" s="200">
        <f t="shared" ref="AE1026:AG1026" si="5207">countif($D1026,"*"&amp;AE$2&amp;"*")</f>
        <v>0</v>
      </c>
      <c r="AF1026" s="200">
        <f t="shared" si="5207"/>
        <v>0</v>
      </c>
      <c r="AG1026" s="200">
        <f t="shared" si="5207"/>
        <v>0</v>
      </c>
      <c r="AH1026" s="171">
        <f t="shared" si="13"/>
        <v>0</v>
      </c>
      <c r="AI1026" s="200">
        <f t="shared" si="14"/>
        <v>0</v>
      </c>
      <c r="AJ1026" s="200">
        <f t="shared" si="4907"/>
        <v>0</v>
      </c>
      <c r="AK1026" s="201">
        <f t="shared" ref="AK1026:AS1026" si="5208">countif($D1026,"*"&amp;AK$2&amp;"*")</f>
        <v>0</v>
      </c>
      <c r="AL1026" s="201">
        <f t="shared" si="5208"/>
        <v>0</v>
      </c>
      <c r="AM1026" s="201">
        <f t="shared" si="5208"/>
        <v>0</v>
      </c>
      <c r="AN1026" s="201">
        <f t="shared" si="5208"/>
        <v>0</v>
      </c>
      <c r="AO1026" s="201">
        <f t="shared" si="5208"/>
        <v>0</v>
      </c>
      <c r="AP1026" s="201">
        <f t="shared" si="5208"/>
        <v>0</v>
      </c>
      <c r="AQ1026" s="201">
        <f t="shared" si="5208"/>
        <v>0</v>
      </c>
      <c r="AR1026" s="200">
        <f t="shared" si="5208"/>
        <v>0</v>
      </c>
      <c r="AS1026" s="200">
        <f t="shared" si="5208"/>
        <v>0</v>
      </c>
      <c r="AT1026" s="173">
        <v>0.0</v>
      </c>
      <c r="AU1026" s="200">
        <f t="shared" ref="AU1026:AX1026" si="5209">countif($D1026,"*"&amp;AU$2&amp;"*")</f>
        <v>0</v>
      </c>
      <c r="AV1026" s="200">
        <f t="shared" si="5209"/>
        <v>1</v>
      </c>
      <c r="AW1026" s="200">
        <f t="shared" si="5209"/>
        <v>0</v>
      </c>
      <c r="AX1026" s="200">
        <f t="shared" si="5209"/>
        <v>0</v>
      </c>
      <c r="AY1026" s="202">
        <v>0.0</v>
      </c>
      <c r="AZ1026" s="200"/>
      <c r="BA1026" s="171" t="str">
        <f t="shared" si="18"/>
        <v/>
      </c>
      <c r="BB1026" s="171" t="str">
        <f t="shared" si="19"/>
        <v>Code</v>
      </c>
      <c r="BC1026" s="171" t="str">
        <f t="shared" si="20"/>
        <v/>
      </c>
      <c r="BD1026" s="171" t="str">
        <f t="shared" si="21"/>
        <v/>
      </c>
      <c r="BE1026" s="171" t="str">
        <f t="shared" si="22"/>
        <v/>
      </c>
      <c r="BF1026" s="171" t="str">
        <f t="shared" si="23"/>
        <v>Code</v>
      </c>
    </row>
    <row r="1027">
      <c r="A1027" s="171">
        <f t="array" ref="A1027">XLOOKUP(C1027,ICSE!A:A,ICSE!C:C,,2,1)</f>
        <v>2023</v>
      </c>
      <c r="B1027" s="171" t="s">
        <v>5675</v>
      </c>
      <c r="C1027" s="160">
        <v>2057.0</v>
      </c>
      <c r="D1027" s="161" t="s">
        <v>2885</v>
      </c>
      <c r="E1027" s="197" t="str">
        <f t="array" ref="E1027">XLOOKUP(C1027,ICSE!A:A,ICSE!Z:Z,,0,1)</f>
        <v>Publicly available (1)</v>
      </c>
      <c r="F1027" s="198" t="s">
        <v>20</v>
      </c>
      <c r="G1027" s="163" t="str">
        <f t="array" ref="G1027">IF(B1027="ICSE",IF(COUNTIFS(B:B,B1027,C:C,C1027)=XLOOKUP(C1027,ICSE!A:A,ICSE!AA:AA,"ERROR",0,1),"OK","ERROR"),IF(B1027="FSE",IF(COUNTIFS(B:B,B1027,C:C,C1027)=XLOOKUP(C1027,FSE!A:A,FSE!AA:AA,"ERROR",0,1),"OK","ERROR")))</f>
        <v>OK</v>
      </c>
      <c r="H1027" s="199">
        <f t="shared" ref="H1027:O1027" si="5210">countif($D1027,"*"&amp;H$2&amp;"*")</f>
        <v>0</v>
      </c>
      <c r="I1027" s="200">
        <f t="shared" si="5210"/>
        <v>0</v>
      </c>
      <c r="J1027" s="200">
        <f t="shared" si="5210"/>
        <v>0</v>
      </c>
      <c r="K1027" s="200">
        <f t="shared" si="5210"/>
        <v>0</v>
      </c>
      <c r="L1027" s="200">
        <f t="shared" si="5210"/>
        <v>0</v>
      </c>
      <c r="M1027" s="200">
        <f t="shared" si="5210"/>
        <v>0</v>
      </c>
      <c r="N1027" s="200">
        <f t="shared" si="5210"/>
        <v>0</v>
      </c>
      <c r="O1027" s="200">
        <f t="shared" si="5210"/>
        <v>0</v>
      </c>
      <c r="P1027" s="200">
        <f t="shared" si="9"/>
        <v>1</v>
      </c>
      <c r="Q1027" s="200">
        <f t="shared" ref="Q1027:AC1027" si="5211">countif($D1027,"*"&amp;Q$2&amp;"*")</f>
        <v>0</v>
      </c>
      <c r="R1027" s="200">
        <f t="shared" si="5211"/>
        <v>0</v>
      </c>
      <c r="S1027" s="200">
        <f t="shared" si="5211"/>
        <v>0</v>
      </c>
      <c r="T1027" s="200">
        <f t="shared" si="5211"/>
        <v>0</v>
      </c>
      <c r="U1027" s="200">
        <f t="shared" si="5211"/>
        <v>0</v>
      </c>
      <c r="V1027" s="200">
        <f t="shared" si="5211"/>
        <v>0</v>
      </c>
      <c r="W1027" s="200">
        <f t="shared" si="5211"/>
        <v>0</v>
      </c>
      <c r="X1027" s="200">
        <f t="shared" si="5211"/>
        <v>0</v>
      </c>
      <c r="Y1027" s="200">
        <f t="shared" si="5211"/>
        <v>0</v>
      </c>
      <c r="Z1027" s="200">
        <f t="shared" si="5211"/>
        <v>0</v>
      </c>
      <c r="AA1027" s="200">
        <f t="shared" si="5211"/>
        <v>0</v>
      </c>
      <c r="AB1027" s="200">
        <f t="shared" si="5211"/>
        <v>0</v>
      </c>
      <c r="AC1027" s="200">
        <f t="shared" si="5211"/>
        <v>0</v>
      </c>
      <c r="AD1027" s="200">
        <f t="shared" si="11"/>
        <v>0</v>
      </c>
      <c r="AE1027" s="200">
        <f t="shared" ref="AE1027:AG1027" si="5212">countif($D1027,"*"&amp;AE$2&amp;"*")</f>
        <v>0</v>
      </c>
      <c r="AF1027" s="200">
        <f t="shared" si="5212"/>
        <v>0</v>
      </c>
      <c r="AG1027" s="200">
        <f t="shared" si="5212"/>
        <v>0</v>
      </c>
      <c r="AH1027" s="171">
        <f t="shared" si="13"/>
        <v>0</v>
      </c>
      <c r="AI1027" s="200">
        <f t="shared" si="14"/>
        <v>0</v>
      </c>
      <c r="AJ1027" s="200">
        <f t="shared" si="4907"/>
        <v>0</v>
      </c>
      <c r="AK1027" s="201">
        <f t="shared" ref="AK1027:AS1027" si="5213">countif($D1027,"*"&amp;AK$2&amp;"*")</f>
        <v>0</v>
      </c>
      <c r="AL1027" s="201">
        <f t="shared" si="5213"/>
        <v>0</v>
      </c>
      <c r="AM1027" s="201">
        <f t="shared" si="5213"/>
        <v>0</v>
      </c>
      <c r="AN1027" s="201">
        <f t="shared" si="5213"/>
        <v>0</v>
      </c>
      <c r="AO1027" s="201">
        <f t="shared" si="5213"/>
        <v>0</v>
      </c>
      <c r="AP1027" s="201">
        <f t="shared" si="5213"/>
        <v>0</v>
      </c>
      <c r="AQ1027" s="201">
        <f t="shared" si="5213"/>
        <v>0</v>
      </c>
      <c r="AR1027" s="200">
        <f t="shared" si="5213"/>
        <v>0</v>
      </c>
      <c r="AS1027" s="200">
        <f t="shared" si="5213"/>
        <v>0</v>
      </c>
      <c r="AT1027" s="173">
        <v>0.0</v>
      </c>
      <c r="AU1027" s="200">
        <f t="shared" ref="AU1027:AX1027" si="5214">countif($D1027,"*"&amp;AU$2&amp;"*")</f>
        <v>0</v>
      </c>
      <c r="AV1027" s="200">
        <f t="shared" si="5214"/>
        <v>1</v>
      </c>
      <c r="AW1027" s="200">
        <f t="shared" si="5214"/>
        <v>0</v>
      </c>
      <c r="AX1027" s="200">
        <f t="shared" si="5214"/>
        <v>0</v>
      </c>
      <c r="AY1027" s="202">
        <v>0.0</v>
      </c>
      <c r="AZ1027" s="200"/>
      <c r="BA1027" s="171" t="str">
        <f t="shared" si="18"/>
        <v/>
      </c>
      <c r="BB1027" s="171" t="str">
        <f t="shared" si="19"/>
        <v>Code</v>
      </c>
      <c r="BC1027" s="171" t="str">
        <f t="shared" si="20"/>
        <v/>
      </c>
      <c r="BD1027" s="171" t="str">
        <f t="shared" si="21"/>
        <v/>
      </c>
      <c r="BE1027" s="171" t="str">
        <f t="shared" si="22"/>
        <v/>
      </c>
      <c r="BF1027" s="171" t="str">
        <f t="shared" si="23"/>
        <v>Code</v>
      </c>
    </row>
    <row r="1028">
      <c r="A1028" s="171">
        <f t="array" ref="A1028">XLOOKUP(C1028,ICSE!A:A,ICSE!C:C,,2,1)</f>
        <v>2023</v>
      </c>
      <c r="B1028" s="171" t="s">
        <v>5675</v>
      </c>
      <c r="C1028" s="160">
        <v>2058.0</v>
      </c>
      <c r="D1028" s="161" t="s">
        <v>2888</v>
      </c>
      <c r="E1028" s="197" t="str">
        <f t="array" ref="E1028">XLOOKUP(C1028,ICSE!A:A,ICSE!Z:Z,,0,1)</f>
        <v>Publicly available (1)</v>
      </c>
      <c r="F1028" s="198" t="s">
        <v>20</v>
      </c>
      <c r="G1028" s="163" t="str">
        <f t="array" ref="G1028">IF(B1028="ICSE",IF(COUNTIFS(B:B,B1028,C:C,C1028)=XLOOKUP(C1028,ICSE!A:A,ICSE!AA:AA,"ERROR",0,1),"OK","ERROR"),IF(B1028="FSE",IF(COUNTIFS(B:B,B1028,C:C,C1028)=XLOOKUP(C1028,FSE!A:A,FSE!AA:AA,"ERROR",0,1),"OK","ERROR")))</f>
        <v>OK</v>
      </c>
      <c r="H1028" s="199">
        <f t="shared" ref="H1028:O1028" si="5215">countif($D1028,"*"&amp;H$2&amp;"*")</f>
        <v>0</v>
      </c>
      <c r="I1028" s="200">
        <f t="shared" si="5215"/>
        <v>0</v>
      </c>
      <c r="J1028" s="200">
        <f t="shared" si="5215"/>
        <v>0</v>
      </c>
      <c r="K1028" s="200">
        <f t="shared" si="5215"/>
        <v>0</v>
      </c>
      <c r="L1028" s="200">
        <f t="shared" si="5215"/>
        <v>0</v>
      </c>
      <c r="M1028" s="200">
        <f t="shared" si="5215"/>
        <v>0</v>
      </c>
      <c r="N1028" s="200">
        <f t="shared" si="5215"/>
        <v>0</v>
      </c>
      <c r="O1028" s="200">
        <f t="shared" si="5215"/>
        <v>0</v>
      </c>
      <c r="P1028" s="200">
        <f t="shared" si="9"/>
        <v>1</v>
      </c>
      <c r="Q1028" s="200">
        <f t="shared" ref="Q1028:AC1028" si="5216">countif($D1028,"*"&amp;Q$2&amp;"*")</f>
        <v>0</v>
      </c>
      <c r="R1028" s="200">
        <f t="shared" si="5216"/>
        <v>0</v>
      </c>
      <c r="S1028" s="200">
        <f t="shared" si="5216"/>
        <v>0</v>
      </c>
      <c r="T1028" s="200">
        <f t="shared" si="5216"/>
        <v>0</v>
      </c>
      <c r="U1028" s="200">
        <f t="shared" si="5216"/>
        <v>0</v>
      </c>
      <c r="V1028" s="200">
        <f t="shared" si="5216"/>
        <v>0</v>
      </c>
      <c r="W1028" s="200">
        <f t="shared" si="5216"/>
        <v>0</v>
      </c>
      <c r="X1028" s="200">
        <f t="shared" si="5216"/>
        <v>0</v>
      </c>
      <c r="Y1028" s="200">
        <f t="shared" si="5216"/>
        <v>0</v>
      </c>
      <c r="Z1028" s="200">
        <f t="shared" si="5216"/>
        <v>0</v>
      </c>
      <c r="AA1028" s="200">
        <f t="shared" si="5216"/>
        <v>0</v>
      </c>
      <c r="AB1028" s="200">
        <f t="shared" si="5216"/>
        <v>0</v>
      </c>
      <c r="AC1028" s="200">
        <f t="shared" si="5216"/>
        <v>0</v>
      </c>
      <c r="AD1028" s="200">
        <f t="shared" si="11"/>
        <v>0</v>
      </c>
      <c r="AE1028" s="200">
        <f t="shared" ref="AE1028:AG1028" si="5217">countif($D1028,"*"&amp;AE$2&amp;"*")</f>
        <v>0</v>
      </c>
      <c r="AF1028" s="200">
        <f t="shared" si="5217"/>
        <v>0</v>
      </c>
      <c r="AG1028" s="200">
        <f t="shared" si="5217"/>
        <v>0</v>
      </c>
      <c r="AH1028" s="171">
        <f t="shared" si="13"/>
        <v>0</v>
      </c>
      <c r="AI1028" s="200">
        <f t="shared" si="14"/>
        <v>0</v>
      </c>
      <c r="AJ1028" s="200">
        <f t="shared" si="4907"/>
        <v>0</v>
      </c>
      <c r="AK1028" s="201">
        <f t="shared" ref="AK1028:AS1028" si="5218">countif($D1028,"*"&amp;AK$2&amp;"*")</f>
        <v>0</v>
      </c>
      <c r="AL1028" s="201">
        <f t="shared" si="5218"/>
        <v>0</v>
      </c>
      <c r="AM1028" s="201">
        <f t="shared" si="5218"/>
        <v>0</v>
      </c>
      <c r="AN1028" s="201">
        <f t="shared" si="5218"/>
        <v>0</v>
      </c>
      <c r="AO1028" s="201">
        <f t="shared" si="5218"/>
        <v>0</v>
      </c>
      <c r="AP1028" s="201">
        <f t="shared" si="5218"/>
        <v>0</v>
      </c>
      <c r="AQ1028" s="201">
        <f t="shared" si="5218"/>
        <v>0</v>
      </c>
      <c r="AR1028" s="200">
        <f t="shared" si="5218"/>
        <v>0</v>
      </c>
      <c r="AS1028" s="200">
        <f t="shared" si="5218"/>
        <v>0</v>
      </c>
      <c r="AT1028" s="173">
        <v>0.0</v>
      </c>
      <c r="AU1028" s="200">
        <f t="shared" ref="AU1028:AX1028" si="5219">countif($D1028,"*"&amp;AU$2&amp;"*")</f>
        <v>0</v>
      </c>
      <c r="AV1028" s="200">
        <f t="shared" si="5219"/>
        <v>1</v>
      </c>
      <c r="AW1028" s="200">
        <f t="shared" si="5219"/>
        <v>0</v>
      </c>
      <c r="AX1028" s="200">
        <f t="shared" si="5219"/>
        <v>0</v>
      </c>
      <c r="AY1028" s="202">
        <v>0.0</v>
      </c>
      <c r="AZ1028" s="200"/>
      <c r="BA1028" s="171" t="str">
        <f t="shared" si="18"/>
        <v/>
      </c>
      <c r="BB1028" s="171" t="str">
        <f t="shared" si="19"/>
        <v>Code</v>
      </c>
      <c r="BC1028" s="171" t="str">
        <f t="shared" si="20"/>
        <v/>
      </c>
      <c r="BD1028" s="171" t="str">
        <f t="shared" si="21"/>
        <v/>
      </c>
      <c r="BE1028" s="171" t="str">
        <f t="shared" si="22"/>
        <v/>
      </c>
      <c r="BF1028" s="171" t="str">
        <f t="shared" si="23"/>
        <v>Code</v>
      </c>
    </row>
    <row r="1029">
      <c r="A1029" s="171">
        <f t="array" ref="A1029">XLOOKUP(C1029,ICSE!A:A,ICSE!C:C,,2,1)</f>
        <v>2023</v>
      </c>
      <c r="B1029" s="171" t="s">
        <v>5675</v>
      </c>
      <c r="C1029" s="160">
        <v>2059.0</v>
      </c>
      <c r="D1029" s="161" t="s">
        <v>2891</v>
      </c>
      <c r="E1029" s="197" t="str">
        <f t="array" ref="E1029">XLOOKUP(C1029,ICSE!A:A,ICSE!Z:Z,,0,1)</f>
        <v>Publicly available (1)</v>
      </c>
      <c r="F1029" s="198" t="s">
        <v>20</v>
      </c>
      <c r="G1029" s="163" t="str">
        <f t="array" ref="G1029">IF(B1029="ICSE",IF(COUNTIFS(B:B,B1029,C:C,C1029)=XLOOKUP(C1029,ICSE!A:A,ICSE!AA:AA,"ERROR",0,1),"OK","ERROR"),IF(B1029="FSE",IF(COUNTIFS(B:B,B1029,C:C,C1029)=XLOOKUP(C1029,FSE!A:A,FSE!AA:AA,"ERROR",0,1),"OK","ERROR")))</f>
        <v>OK</v>
      </c>
      <c r="H1029" s="199">
        <f t="shared" ref="H1029:O1029" si="5220">countif($D1029,"*"&amp;H$2&amp;"*")</f>
        <v>0</v>
      </c>
      <c r="I1029" s="200">
        <f t="shared" si="5220"/>
        <v>1</v>
      </c>
      <c r="J1029" s="200">
        <f t="shared" si="5220"/>
        <v>0</v>
      </c>
      <c r="K1029" s="200">
        <f t="shared" si="5220"/>
        <v>0</v>
      </c>
      <c r="L1029" s="200">
        <f t="shared" si="5220"/>
        <v>0</v>
      </c>
      <c r="M1029" s="200">
        <f t="shared" si="5220"/>
        <v>0</v>
      </c>
      <c r="N1029" s="200">
        <f t="shared" si="5220"/>
        <v>0</v>
      </c>
      <c r="O1029" s="200">
        <f t="shared" si="5220"/>
        <v>0</v>
      </c>
      <c r="P1029" s="200">
        <f t="shared" si="9"/>
        <v>0</v>
      </c>
      <c r="Q1029" s="200">
        <f t="shared" ref="Q1029:AC1029" si="5221">countif($D1029,"*"&amp;Q$2&amp;"*")</f>
        <v>0</v>
      </c>
      <c r="R1029" s="200">
        <f t="shared" si="5221"/>
        <v>0</v>
      </c>
      <c r="S1029" s="200">
        <f t="shared" si="5221"/>
        <v>0</v>
      </c>
      <c r="T1029" s="200">
        <f t="shared" si="5221"/>
        <v>0</v>
      </c>
      <c r="U1029" s="200">
        <f t="shared" si="5221"/>
        <v>0</v>
      </c>
      <c r="V1029" s="200">
        <f t="shared" si="5221"/>
        <v>0</v>
      </c>
      <c r="W1029" s="200">
        <f t="shared" si="5221"/>
        <v>0</v>
      </c>
      <c r="X1029" s="200">
        <f t="shared" si="5221"/>
        <v>0</v>
      </c>
      <c r="Y1029" s="200">
        <f t="shared" si="5221"/>
        <v>0</v>
      </c>
      <c r="Z1029" s="200">
        <f t="shared" si="5221"/>
        <v>0</v>
      </c>
      <c r="AA1029" s="200">
        <f t="shared" si="5221"/>
        <v>0</v>
      </c>
      <c r="AB1029" s="200">
        <f t="shared" si="5221"/>
        <v>0</v>
      </c>
      <c r="AC1029" s="200">
        <f t="shared" si="5221"/>
        <v>0</v>
      </c>
      <c r="AD1029" s="200">
        <f t="shared" si="11"/>
        <v>0</v>
      </c>
      <c r="AE1029" s="200">
        <f t="shared" ref="AE1029:AG1029" si="5222">countif($D1029,"*"&amp;AE$2&amp;"*")</f>
        <v>0</v>
      </c>
      <c r="AF1029" s="200">
        <f t="shared" si="5222"/>
        <v>0</v>
      </c>
      <c r="AG1029" s="200">
        <f t="shared" si="5222"/>
        <v>0</v>
      </c>
      <c r="AH1029" s="171">
        <f t="shared" si="13"/>
        <v>0</v>
      </c>
      <c r="AI1029" s="200">
        <f t="shared" si="14"/>
        <v>1</v>
      </c>
      <c r="AJ1029" s="200">
        <f t="shared" si="4907"/>
        <v>0</v>
      </c>
      <c r="AK1029" s="201">
        <f t="shared" ref="AK1029:AS1029" si="5223">countif($D1029,"*"&amp;AK$2&amp;"*")</f>
        <v>0</v>
      </c>
      <c r="AL1029" s="201">
        <f t="shared" si="5223"/>
        <v>0</v>
      </c>
      <c r="AM1029" s="201">
        <f t="shared" si="5223"/>
        <v>0</v>
      </c>
      <c r="AN1029" s="201">
        <f t="shared" si="5223"/>
        <v>0</v>
      </c>
      <c r="AO1029" s="201">
        <f t="shared" si="5223"/>
        <v>0</v>
      </c>
      <c r="AP1029" s="201">
        <f t="shared" si="5223"/>
        <v>0</v>
      </c>
      <c r="AQ1029" s="201">
        <f t="shared" si="5223"/>
        <v>0</v>
      </c>
      <c r="AR1029" s="200">
        <f t="shared" si="5223"/>
        <v>0</v>
      </c>
      <c r="AS1029" s="200">
        <f t="shared" si="5223"/>
        <v>0</v>
      </c>
      <c r="AT1029" s="173">
        <v>0.0</v>
      </c>
      <c r="AU1029" s="200">
        <f t="shared" ref="AU1029:AX1029" si="5224">countif($D1029,"*"&amp;AU$2&amp;"*")</f>
        <v>0</v>
      </c>
      <c r="AV1029" s="200">
        <f t="shared" si="5224"/>
        <v>0</v>
      </c>
      <c r="AW1029" s="200">
        <f t="shared" si="5224"/>
        <v>0</v>
      </c>
      <c r="AX1029" s="200">
        <f t="shared" si="5224"/>
        <v>1</v>
      </c>
      <c r="AY1029" s="202">
        <v>0.0</v>
      </c>
      <c r="AZ1029" s="200"/>
      <c r="BA1029" s="171" t="str">
        <f t="shared" si="18"/>
        <v>Archival</v>
      </c>
      <c r="BB1029" s="171" t="str">
        <f t="shared" si="19"/>
        <v/>
      </c>
      <c r="BC1029" s="171" t="str">
        <f t="shared" si="20"/>
        <v/>
      </c>
      <c r="BD1029" s="171" t="str">
        <f t="shared" si="21"/>
        <v/>
      </c>
      <c r="BE1029" s="171" t="str">
        <f t="shared" si="22"/>
        <v/>
      </c>
      <c r="BF1029" s="171" t="str">
        <f t="shared" si="23"/>
        <v>Archival</v>
      </c>
    </row>
    <row r="1030">
      <c r="A1030" s="171">
        <f t="array" ref="A1030">XLOOKUP(C1030,ICSE!A:A,ICSE!C:C,,2,1)</f>
        <v>2023</v>
      </c>
      <c r="B1030" s="171" t="s">
        <v>5675</v>
      </c>
      <c r="C1030" s="160">
        <v>2060.0</v>
      </c>
      <c r="D1030" s="161" t="s">
        <v>6107</v>
      </c>
      <c r="E1030" s="197" t="str">
        <f t="array" ref="E1030">XLOOKUP(C1030,ICSE!A:A,ICSE!Z:Z,,0,1)</f>
        <v>Publicly available (2)</v>
      </c>
      <c r="F1030" s="198" t="s">
        <v>20</v>
      </c>
      <c r="G1030" s="163" t="str">
        <f t="array" ref="G1030">IF(B1030="ICSE",IF(COUNTIFS(B:B,B1030,C:C,C1030)=XLOOKUP(C1030,ICSE!A:A,ICSE!AA:AA,"ERROR",0,1),"OK","ERROR"),IF(B1030="FSE",IF(COUNTIFS(B:B,B1030,C:C,C1030)=XLOOKUP(C1030,FSE!A:A,FSE!AA:AA,"ERROR",0,1),"OK","ERROR")))</f>
        <v>OK</v>
      </c>
      <c r="H1030" s="199">
        <f t="shared" ref="H1030:O1030" si="5225">countif($D1030,"*"&amp;H$2&amp;"*")</f>
        <v>0</v>
      </c>
      <c r="I1030" s="200">
        <f t="shared" si="5225"/>
        <v>0</v>
      </c>
      <c r="J1030" s="200">
        <f t="shared" si="5225"/>
        <v>0</v>
      </c>
      <c r="K1030" s="200">
        <f t="shared" si="5225"/>
        <v>0</v>
      </c>
      <c r="L1030" s="200">
        <f t="shared" si="5225"/>
        <v>0</v>
      </c>
      <c r="M1030" s="200">
        <f t="shared" si="5225"/>
        <v>0</v>
      </c>
      <c r="N1030" s="200">
        <f t="shared" si="5225"/>
        <v>0</v>
      </c>
      <c r="O1030" s="200">
        <f t="shared" si="5225"/>
        <v>0</v>
      </c>
      <c r="P1030" s="200">
        <f t="shared" si="9"/>
        <v>0</v>
      </c>
      <c r="Q1030" s="200">
        <f t="shared" ref="Q1030:AC1030" si="5226">countif($D1030,"*"&amp;Q$2&amp;"*")</f>
        <v>0</v>
      </c>
      <c r="R1030" s="200">
        <f t="shared" si="5226"/>
        <v>0</v>
      </c>
      <c r="S1030" s="200">
        <f t="shared" si="5226"/>
        <v>0</v>
      </c>
      <c r="T1030" s="200">
        <f t="shared" si="5226"/>
        <v>0</v>
      </c>
      <c r="U1030" s="200">
        <f t="shared" si="5226"/>
        <v>0</v>
      </c>
      <c r="V1030" s="200">
        <f t="shared" si="5226"/>
        <v>0</v>
      </c>
      <c r="W1030" s="200">
        <f t="shared" si="5226"/>
        <v>0</v>
      </c>
      <c r="X1030" s="200">
        <f t="shared" si="5226"/>
        <v>0</v>
      </c>
      <c r="Y1030" s="200">
        <f t="shared" si="5226"/>
        <v>0</v>
      </c>
      <c r="Z1030" s="200">
        <f t="shared" si="5226"/>
        <v>0</v>
      </c>
      <c r="AA1030" s="200">
        <f t="shared" si="5226"/>
        <v>1</v>
      </c>
      <c r="AB1030" s="200">
        <f t="shared" si="5226"/>
        <v>0</v>
      </c>
      <c r="AC1030" s="200">
        <f t="shared" si="5226"/>
        <v>0</v>
      </c>
      <c r="AD1030" s="200">
        <f t="shared" si="11"/>
        <v>0</v>
      </c>
      <c r="AE1030" s="200">
        <f t="shared" ref="AE1030:AG1030" si="5227">countif($D1030,"*"&amp;AE$2&amp;"*")</f>
        <v>0</v>
      </c>
      <c r="AF1030" s="200">
        <f t="shared" si="5227"/>
        <v>0</v>
      </c>
      <c r="AG1030" s="200">
        <f t="shared" si="5227"/>
        <v>0</v>
      </c>
      <c r="AH1030" s="171">
        <f t="shared" si="13"/>
        <v>0</v>
      </c>
      <c r="AI1030" s="200">
        <f t="shared" si="14"/>
        <v>0</v>
      </c>
      <c r="AJ1030" s="200">
        <f t="shared" si="4907"/>
        <v>0</v>
      </c>
      <c r="AK1030" s="201">
        <f t="shared" ref="AK1030:AS1030" si="5228">countif($D1030,"*"&amp;AK$2&amp;"*")</f>
        <v>0</v>
      </c>
      <c r="AL1030" s="201">
        <f t="shared" si="5228"/>
        <v>0</v>
      </c>
      <c r="AM1030" s="201">
        <f t="shared" si="5228"/>
        <v>0</v>
      </c>
      <c r="AN1030" s="201">
        <f t="shared" si="5228"/>
        <v>0</v>
      </c>
      <c r="AO1030" s="201">
        <f t="shared" si="5228"/>
        <v>0</v>
      </c>
      <c r="AP1030" s="201">
        <f t="shared" si="5228"/>
        <v>0</v>
      </c>
      <c r="AQ1030" s="201">
        <f t="shared" si="5228"/>
        <v>0</v>
      </c>
      <c r="AR1030" s="200">
        <f t="shared" si="5228"/>
        <v>0</v>
      </c>
      <c r="AS1030" s="200">
        <f t="shared" si="5228"/>
        <v>0</v>
      </c>
      <c r="AT1030" s="173">
        <v>0.0</v>
      </c>
      <c r="AU1030" s="200">
        <f t="shared" ref="AU1030:AX1030" si="5229">countif($D1030,"*"&amp;AU$2&amp;"*")</f>
        <v>0</v>
      </c>
      <c r="AV1030" s="200">
        <f t="shared" si="5229"/>
        <v>0</v>
      </c>
      <c r="AW1030" s="200">
        <f t="shared" si="5229"/>
        <v>0</v>
      </c>
      <c r="AX1030" s="200">
        <f t="shared" si="5229"/>
        <v>0</v>
      </c>
      <c r="AY1030" s="202">
        <v>0.0</v>
      </c>
      <c r="AZ1030" s="200"/>
      <c r="BA1030" s="171" t="str">
        <f t="shared" si="18"/>
        <v/>
      </c>
      <c r="BB1030" s="171" t="str">
        <f t="shared" si="19"/>
        <v/>
      </c>
      <c r="BC1030" s="171" t="str">
        <f t="shared" si="20"/>
        <v>General-purpose</v>
      </c>
      <c r="BD1030" s="171" t="str">
        <f t="shared" si="21"/>
        <v/>
      </c>
      <c r="BE1030" s="171" t="str">
        <f t="shared" si="22"/>
        <v/>
      </c>
      <c r="BF1030" s="171" t="str">
        <f t="shared" si="23"/>
        <v>General-purpose</v>
      </c>
    </row>
    <row r="1031">
      <c r="A1031" s="171">
        <f t="array" ref="A1031">XLOOKUP(C1031,ICSE!A:A,ICSE!C:C,,2,1)</f>
        <v>2023</v>
      </c>
      <c r="B1031" s="171" t="s">
        <v>5675</v>
      </c>
      <c r="C1031" s="160">
        <v>2060.0</v>
      </c>
      <c r="D1031" s="161" t="s">
        <v>6108</v>
      </c>
      <c r="E1031" s="197" t="str">
        <f t="array" ref="E1031">XLOOKUP(C1031,ICSE!A:A,ICSE!Z:Z,,0,1)</f>
        <v>Publicly available (2)</v>
      </c>
      <c r="F1031" s="198" t="s">
        <v>20</v>
      </c>
      <c r="G1031" s="163" t="str">
        <f t="array" ref="G1031">IF(B1031="ICSE",IF(COUNTIFS(B:B,B1031,C:C,C1031)=XLOOKUP(C1031,ICSE!A:A,ICSE!AA:AA,"ERROR",0,1),"OK","ERROR"),IF(B1031="FSE",IF(COUNTIFS(B:B,B1031,C:C,C1031)=XLOOKUP(C1031,FSE!A:A,FSE!AA:AA,"ERROR",0,1),"OK","ERROR")))</f>
        <v>OK</v>
      </c>
      <c r="H1031" s="199">
        <f t="shared" ref="H1031:O1031" si="5230">countif($D1031,"*"&amp;H$2&amp;"*")</f>
        <v>0</v>
      </c>
      <c r="I1031" s="200">
        <f t="shared" si="5230"/>
        <v>0</v>
      </c>
      <c r="J1031" s="200">
        <f t="shared" si="5230"/>
        <v>0</v>
      </c>
      <c r="K1031" s="200">
        <f t="shared" si="5230"/>
        <v>0</v>
      </c>
      <c r="L1031" s="200">
        <f t="shared" si="5230"/>
        <v>0</v>
      </c>
      <c r="M1031" s="200">
        <f t="shared" si="5230"/>
        <v>0</v>
      </c>
      <c r="N1031" s="200">
        <f t="shared" si="5230"/>
        <v>0</v>
      </c>
      <c r="O1031" s="200">
        <f t="shared" si="5230"/>
        <v>0</v>
      </c>
      <c r="P1031" s="200">
        <f t="shared" si="9"/>
        <v>1</v>
      </c>
      <c r="Q1031" s="200">
        <f t="shared" ref="Q1031:AC1031" si="5231">countif($D1031,"*"&amp;Q$2&amp;"*")</f>
        <v>0</v>
      </c>
      <c r="R1031" s="200">
        <f t="shared" si="5231"/>
        <v>0</v>
      </c>
      <c r="S1031" s="200">
        <f t="shared" si="5231"/>
        <v>0</v>
      </c>
      <c r="T1031" s="200">
        <f t="shared" si="5231"/>
        <v>0</v>
      </c>
      <c r="U1031" s="200">
        <f t="shared" si="5231"/>
        <v>0</v>
      </c>
      <c r="V1031" s="200">
        <f t="shared" si="5231"/>
        <v>0</v>
      </c>
      <c r="W1031" s="200">
        <f t="shared" si="5231"/>
        <v>0</v>
      </c>
      <c r="X1031" s="200">
        <f t="shared" si="5231"/>
        <v>0</v>
      </c>
      <c r="Y1031" s="200">
        <f t="shared" si="5231"/>
        <v>0</v>
      </c>
      <c r="Z1031" s="200">
        <f t="shared" si="5231"/>
        <v>0</v>
      </c>
      <c r="AA1031" s="200">
        <f t="shared" si="5231"/>
        <v>0</v>
      </c>
      <c r="AB1031" s="200">
        <f t="shared" si="5231"/>
        <v>0</v>
      </c>
      <c r="AC1031" s="200">
        <f t="shared" si="5231"/>
        <v>0</v>
      </c>
      <c r="AD1031" s="200">
        <f t="shared" si="11"/>
        <v>0</v>
      </c>
      <c r="AE1031" s="200">
        <f t="shared" ref="AE1031:AG1031" si="5232">countif($D1031,"*"&amp;AE$2&amp;"*")</f>
        <v>0</v>
      </c>
      <c r="AF1031" s="200">
        <f t="shared" si="5232"/>
        <v>0</v>
      </c>
      <c r="AG1031" s="200">
        <f t="shared" si="5232"/>
        <v>0</v>
      </c>
      <c r="AH1031" s="171">
        <f t="shared" si="13"/>
        <v>0</v>
      </c>
      <c r="AI1031" s="200">
        <f t="shared" si="14"/>
        <v>0</v>
      </c>
      <c r="AJ1031" s="200">
        <f t="shared" si="4907"/>
        <v>0</v>
      </c>
      <c r="AK1031" s="201">
        <f t="shared" ref="AK1031:AS1031" si="5233">countif($D1031,"*"&amp;AK$2&amp;"*")</f>
        <v>0</v>
      </c>
      <c r="AL1031" s="201">
        <f t="shared" si="5233"/>
        <v>0</v>
      </c>
      <c r="AM1031" s="201">
        <f t="shared" si="5233"/>
        <v>0</v>
      </c>
      <c r="AN1031" s="201">
        <f t="shared" si="5233"/>
        <v>0</v>
      </c>
      <c r="AO1031" s="201">
        <f t="shared" si="5233"/>
        <v>0</v>
      </c>
      <c r="AP1031" s="201">
        <f t="shared" si="5233"/>
        <v>0</v>
      </c>
      <c r="AQ1031" s="201">
        <f t="shared" si="5233"/>
        <v>0</v>
      </c>
      <c r="AR1031" s="200">
        <f t="shared" si="5233"/>
        <v>0</v>
      </c>
      <c r="AS1031" s="200">
        <f t="shared" si="5233"/>
        <v>0</v>
      </c>
      <c r="AT1031" s="173">
        <v>0.0</v>
      </c>
      <c r="AU1031" s="200">
        <f t="shared" ref="AU1031:AX1031" si="5234">countif($D1031,"*"&amp;AU$2&amp;"*")</f>
        <v>0</v>
      </c>
      <c r="AV1031" s="200">
        <f t="shared" si="5234"/>
        <v>1</v>
      </c>
      <c r="AW1031" s="200">
        <f t="shared" si="5234"/>
        <v>0</v>
      </c>
      <c r="AX1031" s="200">
        <f t="shared" si="5234"/>
        <v>0</v>
      </c>
      <c r="AY1031" s="202">
        <v>0.0</v>
      </c>
      <c r="AZ1031" s="200"/>
      <c r="BA1031" s="171" t="str">
        <f t="shared" si="18"/>
        <v/>
      </c>
      <c r="BB1031" s="171" t="str">
        <f t="shared" si="19"/>
        <v>Code</v>
      </c>
      <c r="BC1031" s="171" t="str">
        <f t="shared" si="20"/>
        <v/>
      </c>
      <c r="BD1031" s="171" t="str">
        <f t="shared" si="21"/>
        <v/>
      </c>
      <c r="BE1031" s="171" t="str">
        <f t="shared" si="22"/>
        <v/>
      </c>
      <c r="BF1031" s="171" t="str">
        <f t="shared" si="23"/>
        <v>Code</v>
      </c>
    </row>
    <row r="1032">
      <c r="A1032" s="171">
        <f t="array" ref="A1032">XLOOKUP(C1032,ICSE!A:A,ICSE!C:C,,2,1)</f>
        <v>2023</v>
      </c>
      <c r="B1032" s="171" t="s">
        <v>5675</v>
      </c>
      <c r="C1032" s="160">
        <v>2061.0</v>
      </c>
      <c r="D1032" s="161" t="s">
        <v>2898</v>
      </c>
      <c r="E1032" s="197" t="str">
        <f t="array" ref="E1032">XLOOKUP(C1032,ICSE!A:A,ICSE!Z:Z,,0,1)</f>
        <v>Publicly available (1)</v>
      </c>
      <c r="F1032" s="198" t="s">
        <v>20</v>
      </c>
      <c r="G1032" s="163" t="str">
        <f t="array" ref="G1032">IF(B1032="ICSE",IF(COUNTIFS(B:B,B1032,C:C,C1032)=XLOOKUP(C1032,ICSE!A:A,ICSE!AA:AA,"ERROR",0,1),"OK","ERROR"),IF(B1032="FSE",IF(COUNTIFS(B:B,B1032,C:C,C1032)=XLOOKUP(C1032,FSE!A:A,FSE!AA:AA,"ERROR",0,1),"OK","ERROR")))</f>
        <v>OK</v>
      </c>
      <c r="H1032" s="199">
        <f t="shared" ref="H1032:O1032" si="5235">countif($D1032,"*"&amp;H$2&amp;"*")</f>
        <v>1</v>
      </c>
      <c r="I1032" s="200">
        <f t="shared" si="5235"/>
        <v>0</v>
      </c>
      <c r="J1032" s="200">
        <f t="shared" si="5235"/>
        <v>0</v>
      </c>
      <c r="K1032" s="200">
        <f t="shared" si="5235"/>
        <v>0</v>
      </c>
      <c r="L1032" s="200">
        <f t="shared" si="5235"/>
        <v>0</v>
      </c>
      <c r="M1032" s="200">
        <f t="shared" si="5235"/>
        <v>0</v>
      </c>
      <c r="N1032" s="200">
        <f t="shared" si="5235"/>
        <v>0</v>
      </c>
      <c r="O1032" s="200">
        <f t="shared" si="5235"/>
        <v>0</v>
      </c>
      <c r="P1032" s="200">
        <f t="shared" si="9"/>
        <v>0</v>
      </c>
      <c r="Q1032" s="200">
        <f t="shared" ref="Q1032:AC1032" si="5236">countif($D1032,"*"&amp;Q$2&amp;"*")</f>
        <v>0</v>
      </c>
      <c r="R1032" s="200">
        <f t="shared" si="5236"/>
        <v>0</v>
      </c>
      <c r="S1032" s="200">
        <f t="shared" si="5236"/>
        <v>0</v>
      </c>
      <c r="T1032" s="200">
        <f t="shared" si="5236"/>
        <v>0</v>
      </c>
      <c r="U1032" s="200">
        <f t="shared" si="5236"/>
        <v>0</v>
      </c>
      <c r="V1032" s="200">
        <f t="shared" si="5236"/>
        <v>0</v>
      </c>
      <c r="W1032" s="200">
        <f t="shared" si="5236"/>
        <v>0</v>
      </c>
      <c r="X1032" s="200">
        <f t="shared" si="5236"/>
        <v>0</v>
      </c>
      <c r="Y1032" s="200">
        <f t="shared" si="5236"/>
        <v>0</v>
      </c>
      <c r="Z1032" s="200">
        <f t="shared" si="5236"/>
        <v>0</v>
      </c>
      <c r="AA1032" s="200">
        <f t="shared" si="5236"/>
        <v>0</v>
      </c>
      <c r="AB1032" s="200">
        <f t="shared" si="5236"/>
        <v>0</v>
      </c>
      <c r="AC1032" s="200">
        <f t="shared" si="5236"/>
        <v>0</v>
      </c>
      <c r="AD1032" s="200">
        <f t="shared" si="11"/>
        <v>0</v>
      </c>
      <c r="AE1032" s="200">
        <f t="shared" ref="AE1032:AG1032" si="5237">countif($D1032,"*"&amp;AE$2&amp;"*")</f>
        <v>0</v>
      </c>
      <c r="AF1032" s="200">
        <f t="shared" si="5237"/>
        <v>0</v>
      </c>
      <c r="AG1032" s="200">
        <f t="shared" si="5237"/>
        <v>0</v>
      </c>
      <c r="AH1032" s="171">
        <f t="shared" si="13"/>
        <v>0</v>
      </c>
      <c r="AI1032" s="200">
        <f t="shared" si="14"/>
        <v>1</v>
      </c>
      <c r="AJ1032" s="200">
        <f t="shared" si="4907"/>
        <v>0</v>
      </c>
      <c r="AK1032" s="201">
        <f t="shared" ref="AK1032:AS1032" si="5238">countif($D1032,"*"&amp;AK$2&amp;"*")</f>
        <v>0</v>
      </c>
      <c r="AL1032" s="201">
        <f t="shared" si="5238"/>
        <v>0</v>
      </c>
      <c r="AM1032" s="201">
        <f t="shared" si="5238"/>
        <v>0</v>
      </c>
      <c r="AN1032" s="201">
        <f t="shared" si="5238"/>
        <v>0</v>
      </c>
      <c r="AO1032" s="201">
        <f t="shared" si="5238"/>
        <v>0</v>
      </c>
      <c r="AP1032" s="201">
        <f t="shared" si="5238"/>
        <v>0</v>
      </c>
      <c r="AQ1032" s="201">
        <f t="shared" si="5238"/>
        <v>0</v>
      </c>
      <c r="AR1032" s="200">
        <f t="shared" si="5238"/>
        <v>0</v>
      </c>
      <c r="AS1032" s="200">
        <f t="shared" si="5238"/>
        <v>0</v>
      </c>
      <c r="AT1032" s="173">
        <v>0.0</v>
      </c>
      <c r="AU1032" s="200">
        <f t="shared" ref="AU1032:AX1032" si="5239">countif($D1032,"*"&amp;AU$2&amp;"*")</f>
        <v>0</v>
      </c>
      <c r="AV1032" s="200">
        <f t="shared" si="5239"/>
        <v>0</v>
      </c>
      <c r="AW1032" s="200">
        <f t="shared" si="5239"/>
        <v>0</v>
      </c>
      <c r="AX1032" s="200">
        <f t="shared" si="5239"/>
        <v>0</v>
      </c>
      <c r="AY1032" s="204">
        <v>1.0</v>
      </c>
      <c r="AZ1032" s="200"/>
      <c r="BA1032" s="171" t="str">
        <f t="shared" si="18"/>
        <v>Archival</v>
      </c>
      <c r="BB1032" s="171" t="str">
        <f t="shared" si="19"/>
        <v/>
      </c>
      <c r="BC1032" s="171" t="str">
        <f t="shared" si="20"/>
        <v/>
      </c>
      <c r="BD1032" s="171" t="str">
        <f t="shared" si="21"/>
        <v/>
      </c>
      <c r="BE1032" s="171" t="str">
        <f t="shared" si="22"/>
        <v/>
      </c>
      <c r="BF1032" s="171" t="str">
        <f t="shared" si="23"/>
        <v>Archival</v>
      </c>
    </row>
    <row r="1033">
      <c r="A1033" s="171">
        <f t="array" ref="A1033">XLOOKUP(C1033,ICSE!A:A,ICSE!C:C,,2,1)</f>
        <v>2023</v>
      </c>
      <c r="B1033" s="171" t="s">
        <v>5675</v>
      </c>
      <c r="C1033" s="160">
        <v>2062.0</v>
      </c>
      <c r="D1033" s="161" t="s">
        <v>6109</v>
      </c>
      <c r="E1033" s="197" t="str">
        <f t="array" ref="E1033">XLOOKUP(C1033,ICSE!A:A,ICSE!Z:Z,,0,1)</f>
        <v>Publicly available (2)</v>
      </c>
      <c r="F1033" s="198" t="s">
        <v>20</v>
      </c>
      <c r="G1033" s="163" t="str">
        <f t="array" ref="G1033">IF(B1033="ICSE",IF(COUNTIFS(B:B,B1033,C:C,C1033)=XLOOKUP(C1033,ICSE!A:A,ICSE!AA:AA,"ERROR",0,1),"OK","ERROR"),IF(B1033="FSE",IF(COUNTIFS(B:B,B1033,C:C,C1033)=XLOOKUP(C1033,FSE!A:A,FSE!AA:AA,"ERROR",0,1),"OK","ERROR")))</f>
        <v>OK</v>
      </c>
      <c r="H1033" s="199">
        <f t="shared" ref="H1033:O1033" si="5240">countif($D1033,"*"&amp;H$2&amp;"*")</f>
        <v>0</v>
      </c>
      <c r="I1033" s="200">
        <f t="shared" si="5240"/>
        <v>0</v>
      </c>
      <c r="J1033" s="200">
        <f t="shared" si="5240"/>
        <v>0</v>
      </c>
      <c r="K1033" s="200">
        <f t="shared" si="5240"/>
        <v>0</v>
      </c>
      <c r="L1033" s="200">
        <f t="shared" si="5240"/>
        <v>0</v>
      </c>
      <c r="M1033" s="200">
        <f t="shared" si="5240"/>
        <v>0</v>
      </c>
      <c r="N1033" s="200">
        <f t="shared" si="5240"/>
        <v>0</v>
      </c>
      <c r="O1033" s="200">
        <f t="shared" si="5240"/>
        <v>0</v>
      </c>
      <c r="P1033" s="200">
        <f t="shared" si="9"/>
        <v>1</v>
      </c>
      <c r="Q1033" s="200">
        <f t="shared" ref="Q1033:AC1033" si="5241">countif($D1033,"*"&amp;Q$2&amp;"*")</f>
        <v>0</v>
      </c>
      <c r="R1033" s="200">
        <f t="shared" si="5241"/>
        <v>0</v>
      </c>
      <c r="S1033" s="200">
        <f t="shared" si="5241"/>
        <v>0</v>
      </c>
      <c r="T1033" s="200">
        <f t="shared" si="5241"/>
        <v>0</v>
      </c>
      <c r="U1033" s="200">
        <f t="shared" si="5241"/>
        <v>0</v>
      </c>
      <c r="V1033" s="200">
        <f t="shared" si="5241"/>
        <v>0</v>
      </c>
      <c r="W1033" s="200">
        <f t="shared" si="5241"/>
        <v>0</v>
      </c>
      <c r="X1033" s="200">
        <f t="shared" si="5241"/>
        <v>0</v>
      </c>
      <c r="Y1033" s="200">
        <f t="shared" si="5241"/>
        <v>0</v>
      </c>
      <c r="Z1033" s="200">
        <f t="shared" si="5241"/>
        <v>0</v>
      </c>
      <c r="AA1033" s="200">
        <f t="shared" si="5241"/>
        <v>0</v>
      </c>
      <c r="AB1033" s="200">
        <f t="shared" si="5241"/>
        <v>0</v>
      </c>
      <c r="AC1033" s="200">
        <f t="shared" si="5241"/>
        <v>0</v>
      </c>
      <c r="AD1033" s="200">
        <f t="shared" si="11"/>
        <v>0</v>
      </c>
      <c r="AE1033" s="200">
        <f t="shared" ref="AE1033:AG1033" si="5242">countif($D1033,"*"&amp;AE$2&amp;"*")</f>
        <v>0</v>
      </c>
      <c r="AF1033" s="200">
        <f t="shared" si="5242"/>
        <v>0</v>
      </c>
      <c r="AG1033" s="200">
        <f t="shared" si="5242"/>
        <v>0</v>
      </c>
      <c r="AH1033" s="171">
        <f t="shared" si="13"/>
        <v>0</v>
      </c>
      <c r="AI1033" s="200">
        <f t="shared" si="14"/>
        <v>0</v>
      </c>
      <c r="AJ1033" s="200">
        <f t="shared" si="4907"/>
        <v>0</v>
      </c>
      <c r="AK1033" s="201">
        <f t="shared" ref="AK1033:AS1033" si="5243">countif($D1033,"*"&amp;AK$2&amp;"*")</f>
        <v>0</v>
      </c>
      <c r="AL1033" s="201">
        <f t="shared" si="5243"/>
        <v>0</v>
      </c>
      <c r="AM1033" s="201">
        <f t="shared" si="5243"/>
        <v>0</v>
      </c>
      <c r="AN1033" s="201">
        <f t="shared" si="5243"/>
        <v>0</v>
      </c>
      <c r="AO1033" s="201">
        <f t="shared" si="5243"/>
        <v>0</v>
      </c>
      <c r="AP1033" s="201">
        <f t="shared" si="5243"/>
        <v>0</v>
      </c>
      <c r="AQ1033" s="201">
        <f t="shared" si="5243"/>
        <v>0</v>
      </c>
      <c r="AR1033" s="200">
        <f t="shared" si="5243"/>
        <v>0</v>
      </c>
      <c r="AS1033" s="200">
        <f t="shared" si="5243"/>
        <v>0</v>
      </c>
      <c r="AT1033" s="173">
        <v>0.0</v>
      </c>
      <c r="AU1033" s="200">
        <f t="shared" ref="AU1033:AX1033" si="5244">countif($D1033,"*"&amp;AU$2&amp;"*")</f>
        <v>0</v>
      </c>
      <c r="AV1033" s="200">
        <f t="shared" si="5244"/>
        <v>1</v>
      </c>
      <c r="AW1033" s="200">
        <f t="shared" si="5244"/>
        <v>0</v>
      </c>
      <c r="AX1033" s="200">
        <f t="shared" si="5244"/>
        <v>0</v>
      </c>
      <c r="AY1033" s="202">
        <v>0.0</v>
      </c>
      <c r="AZ1033" s="200"/>
      <c r="BA1033" s="171" t="str">
        <f t="shared" si="18"/>
        <v/>
      </c>
      <c r="BB1033" s="171" t="str">
        <f t="shared" si="19"/>
        <v>Code</v>
      </c>
      <c r="BC1033" s="171" t="str">
        <f t="shared" si="20"/>
        <v/>
      </c>
      <c r="BD1033" s="171" t="str">
        <f t="shared" si="21"/>
        <v/>
      </c>
      <c r="BE1033" s="171" t="str">
        <f t="shared" si="22"/>
        <v/>
      </c>
      <c r="BF1033" s="171" t="str">
        <f t="shared" si="23"/>
        <v>Code</v>
      </c>
    </row>
    <row r="1034">
      <c r="A1034" s="171">
        <f t="array" ref="A1034">XLOOKUP(C1034,ICSE!A:A,ICSE!C:C,,2,1)</f>
        <v>2023</v>
      </c>
      <c r="B1034" s="171" t="s">
        <v>5675</v>
      </c>
      <c r="C1034" s="160">
        <v>2062.0</v>
      </c>
      <c r="D1034" s="161" t="s">
        <v>6110</v>
      </c>
      <c r="E1034" s="197" t="str">
        <f t="array" ref="E1034">XLOOKUP(C1034,ICSE!A:A,ICSE!Z:Z,,0,1)</f>
        <v>Publicly available (2)</v>
      </c>
      <c r="F1034" s="198" t="s">
        <v>20</v>
      </c>
      <c r="G1034" s="163" t="str">
        <f t="array" ref="G1034">IF(B1034="ICSE",IF(COUNTIFS(B:B,B1034,C:C,C1034)=XLOOKUP(C1034,ICSE!A:A,ICSE!AA:AA,"ERROR",0,1),"OK","ERROR"),IF(B1034="FSE",IF(COUNTIFS(B:B,B1034,C:C,C1034)=XLOOKUP(C1034,FSE!A:A,FSE!AA:AA,"ERROR",0,1),"OK","ERROR")))</f>
        <v>OK</v>
      </c>
      <c r="H1034" s="199">
        <f t="shared" ref="H1034:O1034" si="5245">countif($D1034,"*"&amp;H$2&amp;"*")</f>
        <v>1</v>
      </c>
      <c r="I1034" s="200">
        <f t="shared" si="5245"/>
        <v>0</v>
      </c>
      <c r="J1034" s="200">
        <f t="shared" si="5245"/>
        <v>0</v>
      </c>
      <c r="K1034" s="200">
        <f t="shared" si="5245"/>
        <v>0</v>
      </c>
      <c r="L1034" s="200">
        <f t="shared" si="5245"/>
        <v>0</v>
      </c>
      <c r="M1034" s="200">
        <f t="shared" si="5245"/>
        <v>0</v>
      </c>
      <c r="N1034" s="200">
        <f t="shared" si="5245"/>
        <v>0</v>
      </c>
      <c r="O1034" s="200">
        <f t="shared" si="5245"/>
        <v>0</v>
      </c>
      <c r="P1034" s="200">
        <f t="shared" si="9"/>
        <v>0</v>
      </c>
      <c r="Q1034" s="200">
        <f t="shared" ref="Q1034:AC1034" si="5246">countif($D1034,"*"&amp;Q$2&amp;"*")</f>
        <v>0</v>
      </c>
      <c r="R1034" s="200">
        <f t="shared" si="5246"/>
        <v>0</v>
      </c>
      <c r="S1034" s="200">
        <f t="shared" si="5246"/>
        <v>0</v>
      </c>
      <c r="T1034" s="200">
        <f t="shared" si="5246"/>
        <v>0</v>
      </c>
      <c r="U1034" s="200">
        <f t="shared" si="5246"/>
        <v>0</v>
      </c>
      <c r="V1034" s="200">
        <f t="shared" si="5246"/>
        <v>0</v>
      </c>
      <c r="W1034" s="200">
        <f t="shared" si="5246"/>
        <v>0</v>
      </c>
      <c r="X1034" s="200">
        <f t="shared" si="5246"/>
        <v>0</v>
      </c>
      <c r="Y1034" s="200">
        <f t="shared" si="5246"/>
        <v>0</v>
      </c>
      <c r="Z1034" s="200">
        <f t="shared" si="5246"/>
        <v>0</v>
      </c>
      <c r="AA1034" s="200">
        <f t="shared" si="5246"/>
        <v>0</v>
      </c>
      <c r="AB1034" s="200">
        <f t="shared" si="5246"/>
        <v>0</v>
      </c>
      <c r="AC1034" s="200">
        <f t="shared" si="5246"/>
        <v>0</v>
      </c>
      <c r="AD1034" s="200">
        <f t="shared" si="11"/>
        <v>0</v>
      </c>
      <c r="AE1034" s="200">
        <f t="shared" ref="AE1034:AG1034" si="5247">countif($D1034,"*"&amp;AE$2&amp;"*")</f>
        <v>0</v>
      </c>
      <c r="AF1034" s="200">
        <f t="shared" si="5247"/>
        <v>0</v>
      </c>
      <c r="AG1034" s="200">
        <f t="shared" si="5247"/>
        <v>0</v>
      </c>
      <c r="AH1034" s="171">
        <f t="shared" si="13"/>
        <v>0</v>
      </c>
      <c r="AI1034" s="200">
        <f t="shared" si="14"/>
        <v>1</v>
      </c>
      <c r="AJ1034" s="200">
        <f t="shared" si="4907"/>
        <v>0</v>
      </c>
      <c r="AK1034" s="201">
        <f t="shared" ref="AK1034:AS1034" si="5248">countif($D1034,"*"&amp;AK$2&amp;"*")</f>
        <v>0</v>
      </c>
      <c r="AL1034" s="201">
        <f t="shared" si="5248"/>
        <v>0</v>
      </c>
      <c r="AM1034" s="201">
        <f t="shared" si="5248"/>
        <v>0</v>
      </c>
      <c r="AN1034" s="201">
        <f t="shared" si="5248"/>
        <v>0</v>
      </c>
      <c r="AO1034" s="201">
        <f t="shared" si="5248"/>
        <v>0</v>
      </c>
      <c r="AP1034" s="201">
        <f t="shared" si="5248"/>
        <v>0</v>
      </c>
      <c r="AQ1034" s="201">
        <f t="shared" si="5248"/>
        <v>0</v>
      </c>
      <c r="AR1034" s="200">
        <f t="shared" si="5248"/>
        <v>0</v>
      </c>
      <c r="AS1034" s="200">
        <f t="shared" si="5248"/>
        <v>0</v>
      </c>
      <c r="AT1034" s="173">
        <v>0.0</v>
      </c>
      <c r="AU1034" s="200">
        <f t="shared" ref="AU1034:AX1034" si="5249">countif($D1034,"*"&amp;AU$2&amp;"*")</f>
        <v>0</v>
      </c>
      <c r="AV1034" s="200">
        <f t="shared" si="5249"/>
        <v>0</v>
      </c>
      <c r="AW1034" s="200">
        <f t="shared" si="5249"/>
        <v>0</v>
      </c>
      <c r="AX1034" s="200">
        <f t="shared" si="5249"/>
        <v>1</v>
      </c>
      <c r="AY1034" s="202">
        <v>0.0</v>
      </c>
      <c r="AZ1034" s="200"/>
      <c r="BA1034" s="171" t="str">
        <f t="shared" si="18"/>
        <v>Archival</v>
      </c>
      <c r="BB1034" s="171" t="str">
        <f t="shared" si="19"/>
        <v/>
      </c>
      <c r="BC1034" s="171" t="str">
        <f t="shared" si="20"/>
        <v/>
      </c>
      <c r="BD1034" s="171" t="str">
        <f t="shared" si="21"/>
        <v/>
      </c>
      <c r="BE1034" s="171" t="str">
        <f t="shared" si="22"/>
        <v/>
      </c>
      <c r="BF1034" s="171" t="str">
        <f t="shared" si="23"/>
        <v>Archival</v>
      </c>
    </row>
    <row r="1035">
      <c r="A1035" s="171">
        <f t="array" ref="A1035">XLOOKUP(C1035,ICSE!A:A,ICSE!C:C,,2,1)</f>
        <v>2023</v>
      </c>
      <c r="B1035" s="171" t="s">
        <v>5675</v>
      </c>
      <c r="C1035" s="160">
        <v>2063.0</v>
      </c>
      <c r="D1035" s="161" t="s">
        <v>2905</v>
      </c>
      <c r="E1035" s="197" t="str">
        <f t="array" ref="E1035">XLOOKUP(C1035,ICSE!A:A,ICSE!Z:Z,,0,1)</f>
        <v>Publicly available (1)</v>
      </c>
      <c r="F1035" s="198" t="s">
        <v>20</v>
      </c>
      <c r="G1035" s="163" t="str">
        <f t="array" ref="G1035">IF(B1035="ICSE",IF(COUNTIFS(B:B,B1035,C:C,C1035)=XLOOKUP(C1035,ICSE!A:A,ICSE!AA:AA,"ERROR",0,1),"OK","ERROR"),IF(B1035="FSE",IF(COUNTIFS(B:B,B1035,C:C,C1035)=XLOOKUP(C1035,FSE!A:A,FSE!AA:AA,"ERROR",0,1),"OK","ERROR")))</f>
        <v>OK</v>
      </c>
      <c r="H1035" s="199">
        <f t="shared" ref="H1035:O1035" si="5250">countif($D1035,"*"&amp;H$2&amp;"*")</f>
        <v>0</v>
      </c>
      <c r="I1035" s="200">
        <f t="shared" si="5250"/>
        <v>0</v>
      </c>
      <c r="J1035" s="200">
        <f t="shared" si="5250"/>
        <v>0</v>
      </c>
      <c r="K1035" s="200">
        <f t="shared" si="5250"/>
        <v>1</v>
      </c>
      <c r="L1035" s="200">
        <f t="shared" si="5250"/>
        <v>0</v>
      </c>
      <c r="M1035" s="200">
        <f t="shared" si="5250"/>
        <v>0</v>
      </c>
      <c r="N1035" s="200">
        <f t="shared" si="5250"/>
        <v>0</v>
      </c>
      <c r="O1035" s="200">
        <f t="shared" si="5250"/>
        <v>0</v>
      </c>
      <c r="P1035" s="200">
        <f t="shared" si="9"/>
        <v>0</v>
      </c>
      <c r="Q1035" s="200">
        <f t="shared" ref="Q1035:AC1035" si="5251">countif($D1035,"*"&amp;Q$2&amp;"*")</f>
        <v>0</v>
      </c>
      <c r="R1035" s="200">
        <f t="shared" si="5251"/>
        <v>0</v>
      </c>
      <c r="S1035" s="200">
        <f t="shared" si="5251"/>
        <v>0</v>
      </c>
      <c r="T1035" s="200">
        <f t="shared" si="5251"/>
        <v>0</v>
      </c>
      <c r="U1035" s="200">
        <f t="shared" si="5251"/>
        <v>0</v>
      </c>
      <c r="V1035" s="200">
        <f t="shared" si="5251"/>
        <v>0</v>
      </c>
      <c r="W1035" s="200">
        <f t="shared" si="5251"/>
        <v>0</v>
      </c>
      <c r="X1035" s="200">
        <f t="shared" si="5251"/>
        <v>0</v>
      </c>
      <c r="Y1035" s="200">
        <f t="shared" si="5251"/>
        <v>0</v>
      </c>
      <c r="Z1035" s="200">
        <f t="shared" si="5251"/>
        <v>0</v>
      </c>
      <c r="AA1035" s="200">
        <f t="shared" si="5251"/>
        <v>0</v>
      </c>
      <c r="AB1035" s="200">
        <f t="shared" si="5251"/>
        <v>0</v>
      </c>
      <c r="AC1035" s="200">
        <f t="shared" si="5251"/>
        <v>0</v>
      </c>
      <c r="AD1035" s="200">
        <f t="shared" si="11"/>
        <v>0</v>
      </c>
      <c r="AE1035" s="200">
        <f t="shared" ref="AE1035:AG1035" si="5252">countif($D1035,"*"&amp;AE$2&amp;"*")</f>
        <v>0</v>
      </c>
      <c r="AF1035" s="200">
        <f t="shared" si="5252"/>
        <v>0</v>
      </c>
      <c r="AG1035" s="200">
        <f t="shared" si="5252"/>
        <v>0</v>
      </c>
      <c r="AH1035" s="171">
        <f t="shared" si="13"/>
        <v>0</v>
      </c>
      <c r="AI1035" s="200">
        <f t="shared" si="14"/>
        <v>1</v>
      </c>
      <c r="AJ1035" s="200">
        <f t="shared" si="4907"/>
        <v>0</v>
      </c>
      <c r="AK1035" s="201">
        <f t="shared" ref="AK1035:AS1035" si="5253">countif($D1035,"*"&amp;AK$2&amp;"*")</f>
        <v>0</v>
      </c>
      <c r="AL1035" s="201">
        <f t="shared" si="5253"/>
        <v>0</v>
      </c>
      <c r="AM1035" s="201">
        <f t="shared" si="5253"/>
        <v>0</v>
      </c>
      <c r="AN1035" s="201">
        <f t="shared" si="5253"/>
        <v>0</v>
      </c>
      <c r="AO1035" s="201">
        <f t="shared" si="5253"/>
        <v>0</v>
      </c>
      <c r="AP1035" s="201">
        <f t="shared" si="5253"/>
        <v>0</v>
      </c>
      <c r="AQ1035" s="201">
        <f t="shared" si="5253"/>
        <v>0</v>
      </c>
      <c r="AR1035" s="200">
        <f t="shared" si="5253"/>
        <v>0</v>
      </c>
      <c r="AS1035" s="200">
        <f t="shared" si="5253"/>
        <v>0</v>
      </c>
      <c r="AT1035" s="173">
        <v>0.0</v>
      </c>
      <c r="AU1035" s="200">
        <f t="shared" ref="AU1035:AX1035" si="5254">countif($D1035,"*"&amp;AU$2&amp;"*")</f>
        <v>0</v>
      </c>
      <c r="AV1035" s="200">
        <f t="shared" si="5254"/>
        <v>0</v>
      </c>
      <c r="AW1035" s="200">
        <f t="shared" si="5254"/>
        <v>0</v>
      </c>
      <c r="AX1035" s="200">
        <f t="shared" si="5254"/>
        <v>0</v>
      </c>
      <c r="AY1035" s="204">
        <v>1.0</v>
      </c>
      <c r="AZ1035" s="200"/>
      <c r="BA1035" s="171" t="str">
        <f t="shared" si="18"/>
        <v>Archival</v>
      </c>
      <c r="BB1035" s="171" t="str">
        <f t="shared" si="19"/>
        <v/>
      </c>
      <c r="BC1035" s="171" t="str">
        <f t="shared" si="20"/>
        <v/>
      </c>
      <c r="BD1035" s="171" t="str">
        <f t="shared" si="21"/>
        <v/>
      </c>
      <c r="BE1035" s="171" t="str">
        <f t="shared" si="22"/>
        <v/>
      </c>
      <c r="BF1035" s="171" t="str">
        <f t="shared" si="23"/>
        <v>Archival</v>
      </c>
    </row>
    <row r="1036">
      <c r="A1036" s="171">
        <f t="array" ref="A1036">XLOOKUP(C1036,ICSE!A:A,ICSE!C:C,,2,1)</f>
        <v>2023</v>
      </c>
      <c r="B1036" s="171" t="s">
        <v>5675</v>
      </c>
      <c r="C1036" s="160">
        <v>2064.0</v>
      </c>
      <c r="D1036" s="161" t="s">
        <v>2907</v>
      </c>
      <c r="E1036" s="197" t="str">
        <f t="array" ref="E1036">XLOOKUP(C1036,ICSE!A:A,ICSE!Z:Z,,0,1)</f>
        <v>Publicly available (1)</v>
      </c>
      <c r="F1036" s="198" t="s">
        <v>20</v>
      </c>
      <c r="G1036" s="163" t="str">
        <f t="array" ref="G1036">IF(B1036="ICSE",IF(COUNTIFS(B:B,B1036,C:C,C1036)=XLOOKUP(C1036,ICSE!A:A,ICSE!AA:AA,"ERROR",0,1),"OK","ERROR"),IF(B1036="FSE",IF(COUNTIFS(B:B,B1036,C:C,C1036)=XLOOKUP(C1036,FSE!A:A,FSE!AA:AA,"ERROR",0,1),"OK","ERROR")))</f>
        <v>OK</v>
      </c>
      <c r="H1036" s="199">
        <f t="shared" ref="H1036:O1036" si="5255">countif($D1036,"*"&amp;H$2&amp;"*")</f>
        <v>0</v>
      </c>
      <c r="I1036" s="200">
        <f t="shared" si="5255"/>
        <v>0</v>
      </c>
      <c r="J1036" s="200">
        <f t="shared" si="5255"/>
        <v>0</v>
      </c>
      <c r="K1036" s="200">
        <f t="shared" si="5255"/>
        <v>0</v>
      </c>
      <c r="L1036" s="200">
        <f t="shared" si="5255"/>
        <v>0</v>
      </c>
      <c r="M1036" s="200">
        <f t="shared" si="5255"/>
        <v>0</v>
      </c>
      <c r="N1036" s="200">
        <f t="shared" si="5255"/>
        <v>0</v>
      </c>
      <c r="O1036" s="200">
        <f t="shared" si="5255"/>
        <v>0</v>
      </c>
      <c r="P1036" s="200">
        <f t="shared" si="9"/>
        <v>1</v>
      </c>
      <c r="Q1036" s="200">
        <f t="shared" ref="Q1036:AC1036" si="5256">countif($D1036,"*"&amp;Q$2&amp;"*")</f>
        <v>0</v>
      </c>
      <c r="R1036" s="200">
        <f t="shared" si="5256"/>
        <v>0</v>
      </c>
      <c r="S1036" s="200">
        <f t="shared" si="5256"/>
        <v>0</v>
      </c>
      <c r="T1036" s="200">
        <f t="shared" si="5256"/>
        <v>0</v>
      </c>
      <c r="U1036" s="200">
        <f t="shared" si="5256"/>
        <v>0</v>
      </c>
      <c r="V1036" s="200">
        <f t="shared" si="5256"/>
        <v>0</v>
      </c>
      <c r="W1036" s="200">
        <f t="shared" si="5256"/>
        <v>0</v>
      </c>
      <c r="X1036" s="200">
        <f t="shared" si="5256"/>
        <v>0</v>
      </c>
      <c r="Y1036" s="200">
        <f t="shared" si="5256"/>
        <v>0</v>
      </c>
      <c r="Z1036" s="200">
        <f t="shared" si="5256"/>
        <v>0</v>
      </c>
      <c r="AA1036" s="200">
        <f t="shared" si="5256"/>
        <v>0</v>
      </c>
      <c r="AB1036" s="200">
        <f t="shared" si="5256"/>
        <v>0</v>
      </c>
      <c r="AC1036" s="200">
        <f t="shared" si="5256"/>
        <v>0</v>
      </c>
      <c r="AD1036" s="200">
        <f t="shared" si="11"/>
        <v>0</v>
      </c>
      <c r="AE1036" s="200">
        <f t="shared" ref="AE1036:AG1036" si="5257">countif($D1036,"*"&amp;AE$2&amp;"*")</f>
        <v>0</v>
      </c>
      <c r="AF1036" s="200">
        <f t="shared" si="5257"/>
        <v>0</v>
      </c>
      <c r="AG1036" s="200">
        <f t="shared" si="5257"/>
        <v>0</v>
      </c>
      <c r="AH1036" s="171">
        <f t="shared" si="13"/>
        <v>0</v>
      </c>
      <c r="AI1036" s="200">
        <f t="shared" si="14"/>
        <v>0</v>
      </c>
      <c r="AJ1036" s="200">
        <f t="shared" si="4907"/>
        <v>0</v>
      </c>
      <c r="AK1036" s="201">
        <f t="shared" ref="AK1036:AS1036" si="5258">countif($D1036,"*"&amp;AK$2&amp;"*")</f>
        <v>0</v>
      </c>
      <c r="AL1036" s="201">
        <f t="shared" si="5258"/>
        <v>0</v>
      </c>
      <c r="AM1036" s="201">
        <f t="shared" si="5258"/>
        <v>0</v>
      </c>
      <c r="AN1036" s="201">
        <f t="shared" si="5258"/>
        <v>0</v>
      </c>
      <c r="AO1036" s="201">
        <f t="shared" si="5258"/>
        <v>0</v>
      </c>
      <c r="AP1036" s="201">
        <f t="shared" si="5258"/>
        <v>0</v>
      </c>
      <c r="AQ1036" s="201">
        <f t="shared" si="5258"/>
        <v>0</v>
      </c>
      <c r="AR1036" s="200">
        <f t="shared" si="5258"/>
        <v>0</v>
      </c>
      <c r="AS1036" s="200">
        <f t="shared" si="5258"/>
        <v>0</v>
      </c>
      <c r="AT1036" s="173">
        <v>0.0</v>
      </c>
      <c r="AU1036" s="200">
        <f t="shared" ref="AU1036:AX1036" si="5259">countif($D1036,"*"&amp;AU$2&amp;"*")</f>
        <v>0</v>
      </c>
      <c r="AV1036" s="200">
        <f t="shared" si="5259"/>
        <v>1</v>
      </c>
      <c r="AW1036" s="200">
        <f t="shared" si="5259"/>
        <v>0</v>
      </c>
      <c r="AX1036" s="200">
        <f t="shared" si="5259"/>
        <v>0</v>
      </c>
      <c r="AY1036" s="202">
        <v>0.0</v>
      </c>
      <c r="AZ1036" s="200"/>
      <c r="BA1036" s="171" t="str">
        <f t="shared" si="18"/>
        <v/>
      </c>
      <c r="BB1036" s="171" t="str">
        <f t="shared" si="19"/>
        <v>Code</v>
      </c>
      <c r="BC1036" s="171" t="str">
        <f t="shared" si="20"/>
        <v/>
      </c>
      <c r="BD1036" s="171" t="str">
        <f t="shared" si="21"/>
        <v/>
      </c>
      <c r="BE1036" s="171" t="str">
        <f t="shared" si="22"/>
        <v/>
      </c>
      <c r="BF1036" s="171" t="str">
        <f t="shared" si="23"/>
        <v>Code</v>
      </c>
    </row>
    <row r="1037">
      <c r="A1037" s="171">
        <f t="array" ref="A1037">XLOOKUP(C1037,ICSE!A:A,ICSE!C:C,,2,1)</f>
        <v>2023</v>
      </c>
      <c r="B1037" s="171" t="s">
        <v>5675</v>
      </c>
      <c r="C1037" s="160">
        <v>2065.0</v>
      </c>
      <c r="D1037" s="161" t="s">
        <v>2909</v>
      </c>
      <c r="E1037" s="197" t="str">
        <f t="array" ref="E1037">XLOOKUP(C1037,ICSE!A:A,ICSE!Z:Z,,0,1)</f>
        <v>Publicly available (1)</v>
      </c>
      <c r="F1037" s="198" t="s">
        <v>20</v>
      </c>
      <c r="G1037" s="163" t="str">
        <f t="array" ref="G1037">IF(B1037="ICSE",IF(COUNTIFS(B:B,B1037,C:C,C1037)=XLOOKUP(C1037,ICSE!A:A,ICSE!AA:AA,"ERROR",0,1),"OK","ERROR"),IF(B1037="FSE",IF(COUNTIFS(B:B,B1037,C:C,C1037)=XLOOKUP(C1037,FSE!A:A,FSE!AA:AA,"ERROR",0,1),"OK","ERROR")))</f>
        <v>OK</v>
      </c>
      <c r="H1037" s="199">
        <f t="shared" ref="H1037:O1037" si="5260">countif($D1037,"*"&amp;H$2&amp;"*")</f>
        <v>1</v>
      </c>
      <c r="I1037" s="200">
        <f t="shared" si="5260"/>
        <v>0</v>
      </c>
      <c r="J1037" s="200">
        <f t="shared" si="5260"/>
        <v>0</v>
      </c>
      <c r="K1037" s="200">
        <f t="shared" si="5260"/>
        <v>0</v>
      </c>
      <c r="L1037" s="200">
        <f t="shared" si="5260"/>
        <v>0</v>
      </c>
      <c r="M1037" s="200">
        <f t="shared" si="5260"/>
        <v>0</v>
      </c>
      <c r="N1037" s="200">
        <f t="shared" si="5260"/>
        <v>0</v>
      </c>
      <c r="O1037" s="200">
        <f t="shared" si="5260"/>
        <v>0</v>
      </c>
      <c r="P1037" s="200">
        <f t="shared" si="9"/>
        <v>0</v>
      </c>
      <c r="Q1037" s="200">
        <f t="shared" ref="Q1037:AC1037" si="5261">countif($D1037,"*"&amp;Q$2&amp;"*")</f>
        <v>0</v>
      </c>
      <c r="R1037" s="200">
        <f t="shared" si="5261"/>
        <v>0</v>
      </c>
      <c r="S1037" s="200">
        <f t="shared" si="5261"/>
        <v>0</v>
      </c>
      <c r="T1037" s="200">
        <f t="shared" si="5261"/>
        <v>0</v>
      </c>
      <c r="U1037" s="200">
        <f t="shared" si="5261"/>
        <v>0</v>
      </c>
      <c r="V1037" s="200">
        <f t="shared" si="5261"/>
        <v>0</v>
      </c>
      <c r="W1037" s="200">
        <f t="shared" si="5261"/>
        <v>0</v>
      </c>
      <c r="X1037" s="200">
        <f t="shared" si="5261"/>
        <v>0</v>
      </c>
      <c r="Y1037" s="200">
        <f t="shared" si="5261"/>
        <v>0</v>
      </c>
      <c r="Z1037" s="200">
        <f t="shared" si="5261"/>
        <v>0</v>
      </c>
      <c r="AA1037" s="200">
        <f t="shared" si="5261"/>
        <v>0</v>
      </c>
      <c r="AB1037" s="200">
        <f t="shared" si="5261"/>
        <v>0</v>
      </c>
      <c r="AC1037" s="200">
        <f t="shared" si="5261"/>
        <v>0</v>
      </c>
      <c r="AD1037" s="200">
        <f t="shared" si="11"/>
        <v>0</v>
      </c>
      <c r="AE1037" s="200">
        <f t="shared" ref="AE1037:AG1037" si="5262">countif($D1037,"*"&amp;AE$2&amp;"*")</f>
        <v>0</v>
      </c>
      <c r="AF1037" s="200">
        <f t="shared" si="5262"/>
        <v>0</v>
      </c>
      <c r="AG1037" s="200">
        <f t="shared" si="5262"/>
        <v>0</v>
      </c>
      <c r="AH1037" s="171">
        <f t="shared" si="13"/>
        <v>0</v>
      </c>
      <c r="AI1037" s="200">
        <f t="shared" si="14"/>
        <v>1</v>
      </c>
      <c r="AJ1037" s="200">
        <f t="shared" si="4907"/>
        <v>0</v>
      </c>
      <c r="AK1037" s="201">
        <f t="shared" ref="AK1037:AS1037" si="5263">countif($D1037,"*"&amp;AK$2&amp;"*")</f>
        <v>0</v>
      </c>
      <c r="AL1037" s="201">
        <f t="shared" si="5263"/>
        <v>0</v>
      </c>
      <c r="AM1037" s="201">
        <f t="shared" si="5263"/>
        <v>0</v>
      </c>
      <c r="AN1037" s="201">
        <f t="shared" si="5263"/>
        <v>0</v>
      </c>
      <c r="AO1037" s="201">
        <f t="shared" si="5263"/>
        <v>0</v>
      </c>
      <c r="AP1037" s="201">
        <f t="shared" si="5263"/>
        <v>0</v>
      </c>
      <c r="AQ1037" s="201">
        <f t="shared" si="5263"/>
        <v>0</v>
      </c>
      <c r="AR1037" s="200">
        <f t="shared" si="5263"/>
        <v>0</v>
      </c>
      <c r="AS1037" s="200">
        <f t="shared" si="5263"/>
        <v>0</v>
      </c>
      <c r="AT1037" s="173">
        <v>0.0</v>
      </c>
      <c r="AU1037" s="200">
        <f t="shared" ref="AU1037:AX1037" si="5264">countif($D1037,"*"&amp;AU$2&amp;"*")</f>
        <v>0</v>
      </c>
      <c r="AV1037" s="200">
        <f t="shared" si="5264"/>
        <v>0</v>
      </c>
      <c r="AW1037" s="200">
        <f t="shared" si="5264"/>
        <v>0</v>
      </c>
      <c r="AX1037" s="200">
        <f t="shared" si="5264"/>
        <v>1</v>
      </c>
      <c r="AY1037" s="202">
        <v>0.0</v>
      </c>
      <c r="AZ1037" s="200"/>
      <c r="BA1037" s="171" t="str">
        <f t="shared" si="18"/>
        <v>Archival</v>
      </c>
      <c r="BB1037" s="171" t="str">
        <f t="shared" si="19"/>
        <v/>
      </c>
      <c r="BC1037" s="171" t="str">
        <f t="shared" si="20"/>
        <v/>
      </c>
      <c r="BD1037" s="171" t="str">
        <f t="shared" si="21"/>
        <v/>
      </c>
      <c r="BE1037" s="171" t="str">
        <f t="shared" si="22"/>
        <v/>
      </c>
      <c r="BF1037" s="171" t="str">
        <f t="shared" si="23"/>
        <v>Archival</v>
      </c>
    </row>
    <row r="1038">
      <c r="A1038" s="171">
        <f t="array" ref="A1038">XLOOKUP(C1038,ICSE!A:A,ICSE!C:C,,2,1)</f>
        <v>2023</v>
      </c>
      <c r="B1038" s="171" t="s">
        <v>5675</v>
      </c>
      <c r="C1038" s="160">
        <v>2067.0</v>
      </c>
      <c r="D1038" s="161" t="s">
        <v>6111</v>
      </c>
      <c r="E1038" s="197" t="str">
        <f t="array" ref="E1038">XLOOKUP(C1038,ICSE!A:A,ICSE!Z:Z,,0,1)</f>
        <v>Publicly available (2)</v>
      </c>
      <c r="F1038" s="198" t="s">
        <v>20</v>
      </c>
      <c r="G1038" s="163" t="str">
        <f t="array" ref="G1038">IF(B1038="ICSE",IF(COUNTIFS(B:B,B1038,C:C,C1038)=XLOOKUP(C1038,ICSE!A:A,ICSE!AA:AA,"ERROR",0,1),"OK","ERROR"),IF(B1038="FSE",IF(COUNTIFS(B:B,B1038,C:C,C1038)=XLOOKUP(C1038,FSE!A:A,FSE!AA:AA,"ERROR",0,1),"OK","ERROR")))</f>
        <v>OK</v>
      </c>
      <c r="H1038" s="199">
        <f t="shared" ref="H1038:O1038" si="5265">countif($D1038,"*"&amp;H$2&amp;"*")</f>
        <v>1</v>
      </c>
      <c r="I1038" s="200">
        <f t="shared" si="5265"/>
        <v>0</v>
      </c>
      <c r="J1038" s="200">
        <f t="shared" si="5265"/>
        <v>0</v>
      </c>
      <c r="K1038" s="200">
        <f t="shared" si="5265"/>
        <v>0</v>
      </c>
      <c r="L1038" s="200">
        <f t="shared" si="5265"/>
        <v>0</v>
      </c>
      <c r="M1038" s="200">
        <f t="shared" si="5265"/>
        <v>0</v>
      </c>
      <c r="N1038" s="200">
        <f t="shared" si="5265"/>
        <v>0</v>
      </c>
      <c r="O1038" s="200">
        <f t="shared" si="5265"/>
        <v>0</v>
      </c>
      <c r="P1038" s="200">
        <f t="shared" si="9"/>
        <v>0</v>
      </c>
      <c r="Q1038" s="200">
        <f t="shared" ref="Q1038:AC1038" si="5266">countif($D1038,"*"&amp;Q$2&amp;"*")</f>
        <v>0</v>
      </c>
      <c r="R1038" s="200">
        <f t="shared" si="5266"/>
        <v>0</v>
      </c>
      <c r="S1038" s="200">
        <f t="shared" si="5266"/>
        <v>0</v>
      </c>
      <c r="T1038" s="200">
        <f t="shared" si="5266"/>
        <v>0</v>
      </c>
      <c r="U1038" s="200">
        <f t="shared" si="5266"/>
        <v>0</v>
      </c>
      <c r="V1038" s="200">
        <f t="shared" si="5266"/>
        <v>0</v>
      </c>
      <c r="W1038" s="200">
        <f t="shared" si="5266"/>
        <v>0</v>
      </c>
      <c r="X1038" s="200">
        <f t="shared" si="5266"/>
        <v>0</v>
      </c>
      <c r="Y1038" s="200">
        <f t="shared" si="5266"/>
        <v>0</v>
      </c>
      <c r="Z1038" s="200">
        <f t="shared" si="5266"/>
        <v>0</v>
      </c>
      <c r="AA1038" s="200">
        <f t="shared" si="5266"/>
        <v>0</v>
      </c>
      <c r="AB1038" s="200">
        <f t="shared" si="5266"/>
        <v>0</v>
      </c>
      <c r="AC1038" s="200">
        <f t="shared" si="5266"/>
        <v>0</v>
      </c>
      <c r="AD1038" s="200">
        <f t="shared" si="11"/>
        <v>0</v>
      </c>
      <c r="AE1038" s="200">
        <f t="shared" ref="AE1038:AG1038" si="5267">countif($D1038,"*"&amp;AE$2&amp;"*")</f>
        <v>0</v>
      </c>
      <c r="AF1038" s="200">
        <f t="shared" si="5267"/>
        <v>0</v>
      </c>
      <c r="AG1038" s="200">
        <f t="shared" si="5267"/>
        <v>0</v>
      </c>
      <c r="AH1038" s="171">
        <f t="shared" si="13"/>
        <v>0</v>
      </c>
      <c r="AI1038" s="200">
        <f t="shared" si="14"/>
        <v>1</v>
      </c>
      <c r="AJ1038" s="200">
        <f t="shared" si="4907"/>
        <v>0</v>
      </c>
      <c r="AK1038" s="201">
        <f t="shared" ref="AK1038:AS1038" si="5268">countif($D1038,"*"&amp;AK$2&amp;"*")</f>
        <v>0</v>
      </c>
      <c r="AL1038" s="201">
        <f t="shared" si="5268"/>
        <v>0</v>
      </c>
      <c r="AM1038" s="201">
        <f t="shared" si="5268"/>
        <v>0</v>
      </c>
      <c r="AN1038" s="201">
        <f t="shared" si="5268"/>
        <v>0</v>
      </c>
      <c r="AO1038" s="201">
        <f t="shared" si="5268"/>
        <v>0</v>
      </c>
      <c r="AP1038" s="201">
        <f t="shared" si="5268"/>
        <v>0</v>
      </c>
      <c r="AQ1038" s="201">
        <f t="shared" si="5268"/>
        <v>0</v>
      </c>
      <c r="AR1038" s="200">
        <f t="shared" si="5268"/>
        <v>0</v>
      </c>
      <c r="AS1038" s="200">
        <f t="shared" si="5268"/>
        <v>0</v>
      </c>
      <c r="AT1038" s="173">
        <v>0.0</v>
      </c>
      <c r="AU1038" s="200">
        <f t="shared" ref="AU1038:AX1038" si="5269">countif($D1038,"*"&amp;AU$2&amp;"*")</f>
        <v>0</v>
      </c>
      <c r="AV1038" s="200">
        <f t="shared" si="5269"/>
        <v>0</v>
      </c>
      <c r="AW1038" s="200">
        <f t="shared" si="5269"/>
        <v>0</v>
      </c>
      <c r="AX1038" s="200">
        <f t="shared" si="5269"/>
        <v>1</v>
      </c>
      <c r="AY1038" s="202">
        <v>0.0</v>
      </c>
      <c r="AZ1038" s="200"/>
      <c r="BA1038" s="171" t="str">
        <f t="shared" si="18"/>
        <v>Archival</v>
      </c>
      <c r="BB1038" s="171" t="str">
        <f t="shared" si="19"/>
        <v/>
      </c>
      <c r="BC1038" s="171" t="str">
        <f t="shared" si="20"/>
        <v/>
      </c>
      <c r="BD1038" s="171" t="str">
        <f t="shared" si="21"/>
        <v/>
      </c>
      <c r="BE1038" s="171" t="str">
        <f t="shared" si="22"/>
        <v/>
      </c>
      <c r="BF1038" s="171" t="str">
        <f t="shared" si="23"/>
        <v>Archival</v>
      </c>
    </row>
    <row r="1039">
      <c r="A1039" s="171">
        <f t="array" ref="A1039">XLOOKUP(C1039,ICSE!A:A,ICSE!C:C,,2,1)</f>
        <v>2023</v>
      </c>
      <c r="B1039" s="171" t="s">
        <v>5675</v>
      </c>
      <c r="C1039" s="160">
        <v>2067.0</v>
      </c>
      <c r="D1039" s="161" t="s">
        <v>6112</v>
      </c>
      <c r="E1039" s="197" t="str">
        <f t="array" ref="E1039">XLOOKUP(C1039,ICSE!A:A,ICSE!Z:Z,,0,1)</f>
        <v>Publicly available (2)</v>
      </c>
      <c r="F1039" s="198" t="s">
        <v>20</v>
      </c>
      <c r="G1039" s="163" t="str">
        <f t="array" ref="G1039">IF(B1039="ICSE",IF(COUNTIFS(B:B,B1039,C:C,C1039)=XLOOKUP(C1039,ICSE!A:A,ICSE!AA:AA,"ERROR",0,1),"OK","ERROR"),IF(B1039="FSE",IF(COUNTIFS(B:B,B1039,C:C,C1039)=XLOOKUP(C1039,FSE!A:A,FSE!AA:AA,"ERROR",0,1),"OK","ERROR")))</f>
        <v>OK</v>
      </c>
      <c r="H1039" s="199">
        <f t="shared" ref="H1039:O1039" si="5270">countif($D1039,"*"&amp;H$2&amp;"*")</f>
        <v>0</v>
      </c>
      <c r="I1039" s="200">
        <f t="shared" si="5270"/>
        <v>0</v>
      </c>
      <c r="J1039" s="200">
        <f t="shared" si="5270"/>
        <v>0</v>
      </c>
      <c r="K1039" s="200">
        <f t="shared" si="5270"/>
        <v>0</v>
      </c>
      <c r="L1039" s="200">
        <f t="shared" si="5270"/>
        <v>0</v>
      </c>
      <c r="M1039" s="200">
        <f t="shared" si="5270"/>
        <v>0</v>
      </c>
      <c r="N1039" s="200">
        <f t="shared" si="5270"/>
        <v>0</v>
      </c>
      <c r="O1039" s="200">
        <f t="shared" si="5270"/>
        <v>0</v>
      </c>
      <c r="P1039" s="200">
        <f t="shared" si="9"/>
        <v>1</v>
      </c>
      <c r="Q1039" s="200">
        <f t="shared" ref="Q1039:AC1039" si="5271">countif($D1039,"*"&amp;Q$2&amp;"*")</f>
        <v>0</v>
      </c>
      <c r="R1039" s="200">
        <f t="shared" si="5271"/>
        <v>0</v>
      </c>
      <c r="S1039" s="200">
        <f t="shared" si="5271"/>
        <v>0</v>
      </c>
      <c r="T1039" s="200">
        <f t="shared" si="5271"/>
        <v>0</v>
      </c>
      <c r="U1039" s="200">
        <f t="shared" si="5271"/>
        <v>0</v>
      </c>
      <c r="V1039" s="200">
        <f t="shared" si="5271"/>
        <v>0</v>
      </c>
      <c r="W1039" s="200">
        <f t="shared" si="5271"/>
        <v>0</v>
      </c>
      <c r="X1039" s="200">
        <f t="shared" si="5271"/>
        <v>0</v>
      </c>
      <c r="Y1039" s="200">
        <f t="shared" si="5271"/>
        <v>0</v>
      </c>
      <c r="Z1039" s="200">
        <f t="shared" si="5271"/>
        <v>0</v>
      </c>
      <c r="AA1039" s="200">
        <f t="shared" si="5271"/>
        <v>0</v>
      </c>
      <c r="AB1039" s="200">
        <f t="shared" si="5271"/>
        <v>0</v>
      </c>
      <c r="AC1039" s="200">
        <f t="shared" si="5271"/>
        <v>0</v>
      </c>
      <c r="AD1039" s="200">
        <f t="shared" si="11"/>
        <v>0</v>
      </c>
      <c r="AE1039" s="200">
        <f t="shared" ref="AE1039:AG1039" si="5272">countif($D1039,"*"&amp;AE$2&amp;"*")</f>
        <v>0</v>
      </c>
      <c r="AF1039" s="200">
        <f t="shared" si="5272"/>
        <v>0</v>
      </c>
      <c r="AG1039" s="200">
        <f t="shared" si="5272"/>
        <v>0</v>
      </c>
      <c r="AH1039" s="171">
        <f t="shared" si="13"/>
        <v>0</v>
      </c>
      <c r="AI1039" s="200">
        <f t="shared" si="14"/>
        <v>0</v>
      </c>
      <c r="AJ1039" s="200">
        <f t="shared" si="4907"/>
        <v>0</v>
      </c>
      <c r="AK1039" s="201">
        <f t="shared" ref="AK1039:AS1039" si="5273">countif($D1039,"*"&amp;AK$2&amp;"*")</f>
        <v>0</v>
      </c>
      <c r="AL1039" s="201">
        <f t="shared" si="5273"/>
        <v>0</v>
      </c>
      <c r="AM1039" s="201">
        <f t="shared" si="5273"/>
        <v>0</v>
      </c>
      <c r="AN1039" s="201">
        <f t="shared" si="5273"/>
        <v>0</v>
      </c>
      <c r="AO1039" s="201">
        <f t="shared" si="5273"/>
        <v>0</v>
      </c>
      <c r="AP1039" s="201">
        <f t="shared" si="5273"/>
        <v>0</v>
      </c>
      <c r="AQ1039" s="201">
        <f t="shared" si="5273"/>
        <v>0</v>
      </c>
      <c r="AR1039" s="200">
        <f t="shared" si="5273"/>
        <v>0</v>
      </c>
      <c r="AS1039" s="200">
        <f t="shared" si="5273"/>
        <v>0</v>
      </c>
      <c r="AT1039" s="173">
        <v>0.0</v>
      </c>
      <c r="AU1039" s="200">
        <f t="shared" ref="AU1039:AX1039" si="5274">countif($D1039,"*"&amp;AU$2&amp;"*")</f>
        <v>0</v>
      </c>
      <c r="AV1039" s="200">
        <f t="shared" si="5274"/>
        <v>1</v>
      </c>
      <c r="AW1039" s="200">
        <f t="shared" si="5274"/>
        <v>0</v>
      </c>
      <c r="AX1039" s="200">
        <f t="shared" si="5274"/>
        <v>0</v>
      </c>
      <c r="AY1039" s="202">
        <v>0.0</v>
      </c>
      <c r="AZ1039" s="200"/>
      <c r="BA1039" s="171" t="str">
        <f t="shared" si="18"/>
        <v/>
      </c>
      <c r="BB1039" s="171" t="str">
        <f t="shared" si="19"/>
        <v>Code</v>
      </c>
      <c r="BC1039" s="171" t="str">
        <f t="shared" si="20"/>
        <v/>
      </c>
      <c r="BD1039" s="171" t="str">
        <f t="shared" si="21"/>
        <v/>
      </c>
      <c r="BE1039" s="171" t="str">
        <f t="shared" si="22"/>
        <v/>
      </c>
      <c r="BF1039" s="171" t="str">
        <f t="shared" si="23"/>
        <v>Code</v>
      </c>
    </row>
    <row r="1040">
      <c r="A1040" s="171">
        <f t="array" ref="A1040">XLOOKUP(C1040,ICSE!A:A,ICSE!C:C,,2,1)</f>
        <v>2023</v>
      </c>
      <c r="B1040" s="171" t="s">
        <v>5675</v>
      </c>
      <c r="C1040" s="160">
        <v>2068.0</v>
      </c>
      <c r="D1040" s="161" t="s">
        <v>2916</v>
      </c>
      <c r="E1040" s="197" t="str">
        <f t="array" ref="E1040">XLOOKUP(C1040,ICSE!A:A,ICSE!Z:Z,,0,1)</f>
        <v>Publicly available (1)</v>
      </c>
      <c r="F1040" s="198" t="s">
        <v>20</v>
      </c>
      <c r="G1040" s="163" t="str">
        <f t="array" ref="G1040">IF(B1040="ICSE",IF(COUNTIFS(B:B,B1040,C:C,C1040)=XLOOKUP(C1040,ICSE!A:A,ICSE!AA:AA,"ERROR",0,1),"OK","ERROR"),IF(B1040="FSE",IF(COUNTIFS(B:B,B1040,C:C,C1040)=XLOOKUP(C1040,FSE!A:A,FSE!AA:AA,"ERROR",0,1),"OK","ERROR")))</f>
        <v>OK</v>
      </c>
      <c r="H1040" s="199">
        <f t="shared" ref="H1040:O1040" si="5275">countif($D1040,"*"&amp;H$2&amp;"*")</f>
        <v>1</v>
      </c>
      <c r="I1040" s="200">
        <f t="shared" si="5275"/>
        <v>0</v>
      </c>
      <c r="J1040" s="200">
        <f t="shared" si="5275"/>
        <v>0</v>
      </c>
      <c r="K1040" s="200">
        <f t="shared" si="5275"/>
        <v>0</v>
      </c>
      <c r="L1040" s="200">
        <f t="shared" si="5275"/>
        <v>0</v>
      </c>
      <c r="M1040" s="200">
        <f t="shared" si="5275"/>
        <v>0</v>
      </c>
      <c r="N1040" s="200">
        <f t="shared" si="5275"/>
        <v>0</v>
      </c>
      <c r="O1040" s="200">
        <f t="shared" si="5275"/>
        <v>0</v>
      </c>
      <c r="P1040" s="200">
        <f t="shared" si="9"/>
        <v>0</v>
      </c>
      <c r="Q1040" s="200">
        <f t="shared" ref="Q1040:AC1040" si="5276">countif($D1040,"*"&amp;Q$2&amp;"*")</f>
        <v>0</v>
      </c>
      <c r="R1040" s="200">
        <f t="shared" si="5276"/>
        <v>0</v>
      </c>
      <c r="S1040" s="200">
        <f t="shared" si="5276"/>
        <v>0</v>
      </c>
      <c r="T1040" s="200">
        <f t="shared" si="5276"/>
        <v>0</v>
      </c>
      <c r="U1040" s="200">
        <f t="shared" si="5276"/>
        <v>0</v>
      </c>
      <c r="V1040" s="200">
        <f t="shared" si="5276"/>
        <v>0</v>
      </c>
      <c r="W1040" s="200">
        <f t="shared" si="5276"/>
        <v>0</v>
      </c>
      <c r="X1040" s="200">
        <f t="shared" si="5276"/>
        <v>0</v>
      </c>
      <c r="Y1040" s="200">
        <f t="shared" si="5276"/>
        <v>0</v>
      </c>
      <c r="Z1040" s="200">
        <f t="shared" si="5276"/>
        <v>0</v>
      </c>
      <c r="AA1040" s="200">
        <f t="shared" si="5276"/>
        <v>0</v>
      </c>
      <c r="AB1040" s="200">
        <f t="shared" si="5276"/>
        <v>0</v>
      </c>
      <c r="AC1040" s="200">
        <f t="shared" si="5276"/>
        <v>0</v>
      </c>
      <c r="AD1040" s="200">
        <f t="shared" si="11"/>
        <v>0</v>
      </c>
      <c r="AE1040" s="200">
        <f t="shared" ref="AE1040:AG1040" si="5277">countif($D1040,"*"&amp;AE$2&amp;"*")</f>
        <v>0</v>
      </c>
      <c r="AF1040" s="200">
        <f t="shared" si="5277"/>
        <v>0</v>
      </c>
      <c r="AG1040" s="200">
        <f t="shared" si="5277"/>
        <v>0</v>
      </c>
      <c r="AH1040" s="171">
        <f t="shared" si="13"/>
        <v>0</v>
      </c>
      <c r="AI1040" s="200">
        <f t="shared" si="14"/>
        <v>1</v>
      </c>
      <c r="AJ1040" s="200">
        <f t="shared" si="4907"/>
        <v>0</v>
      </c>
      <c r="AK1040" s="201">
        <f t="shared" ref="AK1040:AS1040" si="5278">countif($D1040,"*"&amp;AK$2&amp;"*")</f>
        <v>0</v>
      </c>
      <c r="AL1040" s="201">
        <f t="shared" si="5278"/>
        <v>0</v>
      </c>
      <c r="AM1040" s="201">
        <f t="shared" si="5278"/>
        <v>0</v>
      </c>
      <c r="AN1040" s="201">
        <f t="shared" si="5278"/>
        <v>0</v>
      </c>
      <c r="AO1040" s="201">
        <f t="shared" si="5278"/>
        <v>0</v>
      </c>
      <c r="AP1040" s="201">
        <f t="shared" si="5278"/>
        <v>0</v>
      </c>
      <c r="AQ1040" s="201">
        <f t="shared" si="5278"/>
        <v>0</v>
      </c>
      <c r="AR1040" s="200">
        <f t="shared" si="5278"/>
        <v>0</v>
      </c>
      <c r="AS1040" s="200">
        <f t="shared" si="5278"/>
        <v>0</v>
      </c>
      <c r="AT1040" s="173">
        <v>0.0</v>
      </c>
      <c r="AU1040" s="200">
        <f t="shared" ref="AU1040:AX1040" si="5279">countif($D1040,"*"&amp;AU$2&amp;"*")</f>
        <v>0</v>
      </c>
      <c r="AV1040" s="200">
        <f t="shared" si="5279"/>
        <v>0</v>
      </c>
      <c r="AW1040" s="200">
        <f t="shared" si="5279"/>
        <v>0</v>
      </c>
      <c r="AX1040" s="200">
        <f t="shared" si="5279"/>
        <v>1</v>
      </c>
      <c r="AY1040" s="202">
        <v>0.0</v>
      </c>
      <c r="AZ1040" s="200"/>
      <c r="BA1040" s="171" t="str">
        <f t="shared" si="18"/>
        <v>Archival</v>
      </c>
      <c r="BB1040" s="171" t="str">
        <f t="shared" si="19"/>
        <v/>
      </c>
      <c r="BC1040" s="171" t="str">
        <f t="shared" si="20"/>
        <v/>
      </c>
      <c r="BD1040" s="171" t="str">
        <f t="shared" si="21"/>
        <v/>
      </c>
      <c r="BE1040" s="171" t="str">
        <f t="shared" si="22"/>
        <v/>
      </c>
      <c r="BF1040" s="171" t="str">
        <f t="shared" si="23"/>
        <v>Archival</v>
      </c>
    </row>
    <row r="1041">
      <c r="A1041" s="171">
        <f t="array" ref="A1041">XLOOKUP(C1041,ICSE!A:A,ICSE!C:C,,2,1)</f>
        <v>2023</v>
      </c>
      <c r="B1041" s="171" t="s">
        <v>5675</v>
      </c>
      <c r="C1041" s="160">
        <v>2069.0</v>
      </c>
      <c r="D1041" s="161" t="s">
        <v>2919</v>
      </c>
      <c r="E1041" s="197" t="str">
        <f t="array" ref="E1041">XLOOKUP(C1041,ICSE!A:A,ICSE!Z:Z,,0,1)</f>
        <v>Publicly available (1)</v>
      </c>
      <c r="F1041" s="198" t="s">
        <v>20</v>
      </c>
      <c r="G1041" s="163" t="str">
        <f t="array" ref="G1041">IF(B1041="ICSE",IF(COUNTIFS(B:B,B1041,C:C,C1041)=XLOOKUP(C1041,ICSE!A:A,ICSE!AA:AA,"ERROR",0,1),"OK","ERROR"),IF(B1041="FSE",IF(COUNTIFS(B:B,B1041,C:C,C1041)=XLOOKUP(C1041,FSE!A:A,FSE!AA:AA,"ERROR",0,1),"OK","ERROR")))</f>
        <v>OK</v>
      </c>
      <c r="H1041" s="199">
        <f t="shared" ref="H1041:O1041" si="5280">countif($D1041,"*"&amp;H$2&amp;"*")</f>
        <v>0</v>
      </c>
      <c r="I1041" s="200">
        <f t="shared" si="5280"/>
        <v>0</v>
      </c>
      <c r="J1041" s="200">
        <f t="shared" si="5280"/>
        <v>0</v>
      </c>
      <c r="K1041" s="200">
        <f t="shared" si="5280"/>
        <v>0</v>
      </c>
      <c r="L1041" s="200">
        <f t="shared" si="5280"/>
        <v>0</v>
      </c>
      <c r="M1041" s="200">
        <f t="shared" si="5280"/>
        <v>0</v>
      </c>
      <c r="N1041" s="200">
        <f t="shared" si="5280"/>
        <v>0</v>
      </c>
      <c r="O1041" s="200">
        <f t="shared" si="5280"/>
        <v>0</v>
      </c>
      <c r="P1041" s="200">
        <f t="shared" si="9"/>
        <v>1</v>
      </c>
      <c r="Q1041" s="200">
        <f t="shared" ref="Q1041:AC1041" si="5281">countif($D1041,"*"&amp;Q$2&amp;"*")</f>
        <v>0</v>
      </c>
      <c r="R1041" s="200">
        <f t="shared" si="5281"/>
        <v>0</v>
      </c>
      <c r="S1041" s="200">
        <f t="shared" si="5281"/>
        <v>0</v>
      </c>
      <c r="T1041" s="200">
        <f t="shared" si="5281"/>
        <v>0</v>
      </c>
      <c r="U1041" s="200">
        <f t="shared" si="5281"/>
        <v>0</v>
      </c>
      <c r="V1041" s="200">
        <f t="shared" si="5281"/>
        <v>0</v>
      </c>
      <c r="W1041" s="200">
        <f t="shared" si="5281"/>
        <v>0</v>
      </c>
      <c r="X1041" s="200">
        <f t="shared" si="5281"/>
        <v>0</v>
      </c>
      <c r="Y1041" s="200">
        <f t="shared" si="5281"/>
        <v>0</v>
      </c>
      <c r="Z1041" s="200">
        <f t="shared" si="5281"/>
        <v>0</v>
      </c>
      <c r="AA1041" s="200">
        <f t="shared" si="5281"/>
        <v>0</v>
      </c>
      <c r="AB1041" s="200">
        <f t="shared" si="5281"/>
        <v>0</v>
      </c>
      <c r="AC1041" s="200">
        <f t="shared" si="5281"/>
        <v>0</v>
      </c>
      <c r="AD1041" s="200">
        <f t="shared" si="11"/>
        <v>0</v>
      </c>
      <c r="AE1041" s="200">
        <f t="shared" ref="AE1041:AG1041" si="5282">countif($D1041,"*"&amp;AE$2&amp;"*")</f>
        <v>0</v>
      </c>
      <c r="AF1041" s="200">
        <f t="shared" si="5282"/>
        <v>0</v>
      </c>
      <c r="AG1041" s="200">
        <f t="shared" si="5282"/>
        <v>0</v>
      </c>
      <c r="AH1041" s="171">
        <f t="shared" si="13"/>
        <v>0</v>
      </c>
      <c r="AI1041" s="200">
        <f t="shared" si="14"/>
        <v>0</v>
      </c>
      <c r="AJ1041" s="200">
        <f t="shared" si="4907"/>
        <v>0</v>
      </c>
      <c r="AK1041" s="201">
        <f t="shared" ref="AK1041:AS1041" si="5283">countif($D1041,"*"&amp;AK$2&amp;"*")</f>
        <v>0</v>
      </c>
      <c r="AL1041" s="201">
        <f t="shared" si="5283"/>
        <v>0</v>
      </c>
      <c r="AM1041" s="201">
        <f t="shared" si="5283"/>
        <v>0</v>
      </c>
      <c r="AN1041" s="201">
        <f t="shared" si="5283"/>
        <v>0</v>
      </c>
      <c r="AO1041" s="201">
        <f t="shared" si="5283"/>
        <v>0</v>
      </c>
      <c r="AP1041" s="201">
        <f t="shared" si="5283"/>
        <v>0</v>
      </c>
      <c r="AQ1041" s="201">
        <f t="shared" si="5283"/>
        <v>0</v>
      </c>
      <c r="AR1041" s="200">
        <f t="shared" si="5283"/>
        <v>0</v>
      </c>
      <c r="AS1041" s="200">
        <f t="shared" si="5283"/>
        <v>0</v>
      </c>
      <c r="AT1041" s="173">
        <v>0.0</v>
      </c>
      <c r="AU1041" s="200">
        <f t="shared" ref="AU1041:AX1041" si="5284">countif($D1041,"*"&amp;AU$2&amp;"*")</f>
        <v>0</v>
      </c>
      <c r="AV1041" s="200">
        <f t="shared" si="5284"/>
        <v>1</v>
      </c>
      <c r="AW1041" s="200">
        <f t="shared" si="5284"/>
        <v>0</v>
      </c>
      <c r="AX1041" s="200">
        <f t="shared" si="5284"/>
        <v>0</v>
      </c>
      <c r="AY1041" s="202">
        <v>0.0</v>
      </c>
      <c r="AZ1041" s="200"/>
      <c r="BA1041" s="171" t="str">
        <f t="shared" si="18"/>
        <v/>
      </c>
      <c r="BB1041" s="171" t="str">
        <f t="shared" si="19"/>
        <v>Code</v>
      </c>
      <c r="BC1041" s="171" t="str">
        <f t="shared" si="20"/>
        <v/>
      </c>
      <c r="BD1041" s="171" t="str">
        <f t="shared" si="21"/>
        <v/>
      </c>
      <c r="BE1041" s="171" t="str">
        <f t="shared" si="22"/>
        <v/>
      </c>
      <c r="BF1041" s="171" t="str">
        <f t="shared" si="23"/>
        <v>Code</v>
      </c>
    </row>
    <row r="1042">
      <c r="A1042" s="171">
        <f t="array" ref="A1042">XLOOKUP(C1042,ICSE!A:A,ICSE!C:C,,2,1)</f>
        <v>2023</v>
      </c>
      <c r="B1042" s="171" t="s">
        <v>5675</v>
      </c>
      <c r="C1042" s="160">
        <v>2070.0</v>
      </c>
      <c r="D1042" s="161" t="s">
        <v>2922</v>
      </c>
      <c r="E1042" s="197" t="str">
        <f t="array" ref="E1042">XLOOKUP(C1042,ICSE!A:A,ICSE!Z:Z,,0,1)</f>
        <v>Publicly available (1)</v>
      </c>
      <c r="F1042" s="198" t="s">
        <v>20</v>
      </c>
      <c r="G1042" s="163" t="str">
        <f t="array" ref="G1042">IF(B1042="ICSE",IF(COUNTIFS(B:B,B1042,C:C,C1042)=XLOOKUP(C1042,ICSE!A:A,ICSE!AA:AA,"ERROR",0,1),"OK","ERROR"),IF(B1042="FSE",IF(COUNTIFS(B:B,B1042,C:C,C1042)=XLOOKUP(C1042,FSE!A:A,FSE!AA:AA,"ERROR",0,1),"OK","ERROR")))</f>
        <v>OK</v>
      </c>
      <c r="H1042" s="199">
        <f t="shared" ref="H1042:O1042" si="5285">countif($D1042,"*"&amp;H$2&amp;"*")</f>
        <v>0</v>
      </c>
      <c r="I1042" s="200">
        <f t="shared" si="5285"/>
        <v>0</v>
      </c>
      <c r="J1042" s="200">
        <f t="shared" si="5285"/>
        <v>0</v>
      </c>
      <c r="K1042" s="200">
        <f t="shared" si="5285"/>
        <v>0</v>
      </c>
      <c r="L1042" s="200">
        <f t="shared" si="5285"/>
        <v>0</v>
      </c>
      <c r="M1042" s="200">
        <f t="shared" si="5285"/>
        <v>0</v>
      </c>
      <c r="N1042" s="200">
        <f t="shared" si="5285"/>
        <v>0</v>
      </c>
      <c r="O1042" s="200">
        <f t="shared" si="5285"/>
        <v>0</v>
      </c>
      <c r="P1042" s="200">
        <f t="shared" si="9"/>
        <v>0</v>
      </c>
      <c r="Q1042" s="200">
        <f t="shared" ref="Q1042:AC1042" si="5286">countif($D1042,"*"&amp;Q$2&amp;"*")</f>
        <v>0</v>
      </c>
      <c r="R1042" s="200">
        <f t="shared" si="5286"/>
        <v>0</v>
      </c>
      <c r="S1042" s="200">
        <f t="shared" si="5286"/>
        <v>0</v>
      </c>
      <c r="T1042" s="200">
        <f t="shared" si="5286"/>
        <v>0</v>
      </c>
      <c r="U1042" s="200">
        <f t="shared" si="5286"/>
        <v>0</v>
      </c>
      <c r="V1042" s="200">
        <f t="shared" si="5286"/>
        <v>1</v>
      </c>
      <c r="W1042" s="200">
        <f t="shared" si="5286"/>
        <v>0</v>
      </c>
      <c r="X1042" s="200">
        <f t="shared" si="5286"/>
        <v>0</v>
      </c>
      <c r="Y1042" s="200">
        <f t="shared" si="5286"/>
        <v>0</v>
      </c>
      <c r="Z1042" s="200">
        <f t="shared" si="5286"/>
        <v>0</v>
      </c>
      <c r="AA1042" s="200">
        <f t="shared" si="5286"/>
        <v>0</v>
      </c>
      <c r="AB1042" s="200">
        <f t="shared" si="5286"/>
        <v>0</v>
      </c>
      <c r="AC1042" s="200">
        <f t="shared" si="5286"/>
        <v>0</v>
      </c>
      <c r="AD1042" s="200">
        <f t="shared" si="11"/>
        <v>0</v>
      </c>
      <c r="AE1042" s="200">
        <f t="shared" ref="AE1042:AG1042" si="5287">countif($D1042,"*"&amp;AE$2&amp;"*")</f>
        <v>0</v>
      </c>
      <c r="AF1042" s="200">
        <f t="shared" si="5287"/>
        <v>0</v>
      </c>
      <c r="AG1042" s="200">
        <f t="shared" si="5287"/>
        <v>0</v>
      </c>
      <c r="AH1042" s="171">
        <f t="shared" si="13"/>
        <v>0</v>
      </c>
      <c r="AI1042" s="200">
        <f t="shared" si="14"/>
        <v>0</v>
      </c>
      <c r="AJ1042" s="200">
        <f t="shared" si="4907"/>
        <v>0</v>
      </c>
      <c r="AK1042" s="201">
        <f t="shared" ref="AK1042:AS1042" si="5288">countif($D1042,"*"&amp;AK$2&amp;"*")</f>
        <v>0</v>
      </c>
      <c r="AL1042" s="201">
        <f t="shared" si="5288"/>
        <v>0</v>
      </c>
      <c r="AM1042" s="201">
        <f t="shared" si="5288"/>
        <v>0</v>
      </c>
      <c r="AN1042" s="201">
        <f t="shared" si="5288"/>
        <v>0</v>
      </c>
      <c r="AO1042" s="201">
        <f t="shared" si="5288"/>
        <v>0</v>
      </c>
      <c r="AP1042" s="201">
        <f t="shared" si="5288"/>
        <v>0</v>
      </c>
      <c r="AQ1042" s="201">
        <f t="shared" si="5288"/>
        <v>0</v>
      </c>
      <c r="AR1042" s="200">
        <f t="shared" si="5288"/>
        <v>0</v>
      </c>
      <c r="AS1042" s="200">
        <f t="shared" si="5288"/>
        <v>0</v>
      </c>
      <c r="AT1042" s="173">
        <v>0.0</v>
      </c>
      <c r="AU1042" s="200">
        <f t="shared" ref="AU1042:AX1042" si="5289">countif($D1042,"*"&amp;AU$2&amp;"*")</f>
        <v>0</v>
      </c>
      <c r="AV1042" s="200">
        <f t="shared" si="5289"/>
        <v>0</v>
      </c>
      <c r="AW1042" s="200">
        <f t="shared" si="5289"/>
        <v>0</v>
      </c>
      <c r="AX1042" s="200">
        <f t="shared" si="5289"/>
        <v>0</v>
      </c>
      <c r="AY1042" s="202">
        <v>0.0</v>
      </c>
      <c r="AZ1042" s="200"/>
      <c r="BA1042" s="171" t="str">
        <f t="shared" si="18"/>
        <v/>
      </c>
      <c r="BB1042" s="171" t="str">
        <f t="shared" si="19"/>
        <v/>
      </c>
      <c r="BC1042" s="171" t="str">
        <f t="shared" si="20"/>
        <v>General-purpose</v>
      </c>
      <c r="BD1042" s="171" t="str">
        <f t="shared" si="21"/>
        <v/>
      </c>
      <c r="BE1042" s="171" t="str">
        <f t="shared" si="22"/>
        <v/>
      </c>
      <c r="BF1042" s="171" t="str">
        <f t="shared" si="23"/>
        <v>General-purpose</v>
      </c>
    </row>
    <row r="1043">
      <c r="A1043" s="171">
        <f t="array" ref="A1043">XLOOKUP(C1043,ICSE!A:A,ICSE!C:C,,2,1)</f>
        <v>2023</v>
      </c>
      <c r="B1043" s="171" t="s">
        <v>5675</v>
      </c>
      <c r="C1043" s="160">
        <v>2071.0</v>
      </c>
      <c r="D1043" s="161" t="s">
        <v>2924</v>
      </c>
      <c r="E1043" s="197" t="str">
        <f t="array" ref="E1043">XLOOKUP(C1043,ICSE!A:A,ICSE!Z:Z,,0,1)</f>
        <v>Publicly available (1)</v>
      </c>
      <c r="F1043" s="198" t="s">
        <v>20</v>
      </c>
      <c r="G1043" s="163" t="str">
        <f t="array" ref="G1043">IF(B1043="ICSE",IF(COUNTIFS(B:B,B1043,C:C,C1043)=XLOOKUP(C1043,ICSE!A:A,ICSE!AA:AA,"ERROR",0,1),"OK","ERROR"),IF(B1043="FSE",IF(COUNTIFS(B:B,B1043,C:C,C1043)=XLOOKUP(C1043,FSE!A:A,FSE!AA:AA,"ERROR",0,1),"OK","ERROR")))</f>
        <v>OK</v>
      </c>
      <c r="H1043" s="199">
        <f t="shared" ref="H1043:O1043" si="5290">countif($D1043,"*"&amp;H$2&amp;"*")</f>
        <v>0</v>
      </c>
      <c r="I1043" s="200">
        <f t="shared" si="5290"/>
        <v>0</v>
      </c>
      <c r="J1043" s="200">
        <f t="shared" si="5290"/>
        <v>0</v>
      </c>
      <c r="K1043" s="200">
        <f t="shared" si="5290"/>
        <v>0</v>
      </c>
      <c r="L1043" s="200">
        <f t="shared" si="5290"/>
        <v>0</v>
      </c>
      <c r="M1043" s="200">
        <f t="shared" si="5290"/>
        <v>0</v>
      </c>
      <c r="N1043" s="200">
        <f t="shared" si="5290"/>
        <v>0</v>
      </c>
      <c r="O1043" s="200">
        <f t="shared" si="5290"/>
        <v>0</v>
      </c>
      <c r="P1043" s="200">
        <f t="shared" si="9"/>
        <v>1</v>
      </c>
      <c r="Q1043" s="200">
        <f t="shared" ref="Q1043:AC1043" si="5291">countif($D1043,"*"&amp;Q$2&amp;"*")</f>
        <v>0</v>
      </c>
      <c r="R1043" s="200">
        <f t="shared" si="5291"/>
        <v>0</v>
      </c>
      <c r="S1043" s="200">
        <f t="shared" si="5291"/>
        <v>0</v>
      </c>
      <c r="T1043" s="200">
        <f t="shared" si="5291"/>
        <v>0</v>
      </c>
      <c r="U1043" s="200">
        <f t="shared" si="5291"/>
        <v>0</v>
      </c>
      <c r="V1043" s="200">
        <f t="shared" si="5291"/>
        <v>0</v>
      </c>
      <c r="W1043" s="200">
        <f t="shared" si="5291"/>
        <v>0</v>
      </c>
      <c r="X1043" s="200">
        <f t="shared" si="5291"/>
        <v>0</v>
      </c>
      <c r="Y1043" s="200">
        <f t="shared" si="5291"/>
        <v>0</v>
      </c>
      <c r="Z1043" s="200">
        <f t="shared" si="5291"/>
        <v>0</v>
      </c>
      <c r="AA1043" s="200">
        <f t="shared" si="5291"/>
        <v>0</v>
      </c>
      <c r="AB1043" s="200">
        <f t="shared" si="5291"/>
        <v>0</v>
      </c>
      <c r="AC1043" s="200">
        <f t="shared" si="5291"/>
        <v>0</v>
      </c>
      <c r="AD1043" s="200">
        <f t="shared" si="11"/>
        <v>0</v>
      </c>
      <c r="AE1043" s="200">
        <f t="shared" ref="AE1043:AG1043" si="5292">countif($D1043,"*"&amp;AE$2&amp;"*")</f>
        <v>0</v>
      </c>
      <c r="AF1043" s="200">
        <f t="shared" si="5292"/>
        <v>0</v>
      </c>
      <c r="AG1043" s="200">
        <f t="shared" si="5292"/>
        <v>0</v>
      </c>
      <c r="AH1043" s="171">
        <f t="shared" si="13"/>
        <v>0</v>
      </c>
      <c r="AI1043" s="200">
        <f t="shared" si="14"/>
        <v>0</v>
      </c>
      <c r="AJ1043" s="200">
        <f t="shared" si="4907"/>
        <v>0</v>
      </c>
      <c r="AK1043" s="201">
        <f t="shared" ref="AK1043:AS1043" si="5293">countif($D1043,"*"&amp;AK$2&amp;"*")</f>
        <v>0</v>
      </c>
      <c r="AL1043" s="201">
        <f t="shared" si="5293"/>
        <v>0</v>
      </c>
      <c r="AM1043" s="201">
        <f t="shared" si="5293"/>
        <v>0</v>
      </c>
      <c r="AN1043" s="201">
        <f t="shared" si="5293"/>
        <v>0</v>
      </c>
      <c r="AO1043" s="201">
        <f t="shared" si="5293"/>
        <v>0</v>
      </c>
      <c r="AP1043" s="201">
        <f t="shared" si="5293"/>
        <v>0</v>
      </c>
      <c r="AQ1043" s="201">
        <f t="shared" si="5293"/>
        <v>0</v>
      </c>
      <c r="AR1043" s="200">
        <f t="shared" si="5293"/>
        <v>0</v>
      </c>
      <c r="AS1043" s="200">
        <f t="shared" si="5293"/>
        <v>0</v>
      </c>
      <c r="AT1043" s="173">
        <v>0.0</v>
      </c>
      <c r="AU1043" s="200">
        <f t="shared" ref="AU1043:AX1043" si="5294">countif($D1043,"*"&amp;AU$2&amp;"*")</f>
        <v>0</v>
      </c>
      <c r="AV1043" s="200">
        <f t="shared" si="5294"/>
        <v>1</v>
      </c>
      <c r="AW1043" s="200">
        <f t="shared" si="5294"/>
        <v>0</v>
      </c>
      <c r="AX1043" s="200">
        <f t="shared" si="5294"/>
        <v>0</v>
      </c>
      <c r="AY1043" s="202">
        <v>0.0</v>
      </c>
      <c r="AZ1043" s="200"/>
      <c r="BA1043" s="171" t="str">
        <f t="shared" si="18"/>
        <v/>
      </c>
      <c r="BB1043" s="171" t="str">
        <f t="shared" si="19"/>
        <v>Code</v>
      </c>
      <c r="BC1043" s="171" t="str">
        <f t="shared" si="20"/>
        <v/>
      </c>
      <c r="BD1043" s="171" t="str">
        <f t="shared" si="21"/>
        <v/>
      </c>
      <c r="BE1043" s="171" t="str">
        <f t="shared" si="22"/>
        <v/>
      </c>
      <c r="BF1043" s="171" t="str">
        <f t="shared" si="23"/>
        <v>Code</v>
      </c>
    </row>
    <row r="1044">
      <c r="A1044" s="171">
        <f t="array" ref="A1044">XLOOKUP(C1044,ICSE!A:A,ICSE!C:C,,2,1)</f>
        <v>2023</v>
      </c>
      <c r="B1044" s="171" t="s">
        <v>5675</v>
      </c>
      <c r="C1044" s="160">
        <v>2072.0</v>
      </c>
      <c r="D1044" s="212" t="s">
        <v>6113</v>
      </c>
      <c r="E1044" s="197" t="str">
        <f t="array" ref="E1044">XLOOKUP(C1044,ICSE!A:A,ICSE!Z:Z,,0,1)</f>
        <v>Publicly available (2)</v>
      </c>
      <c r="F1044" s="198" t="s">
        <v>20</v>
      </c>
      <c r="G1044" s="163" t="str">
        <f t="array" ref="G1044">IF(B1044="ICSE",IF(COUNTIFS(B:B,B1044,C:C,C1044)=XLOOKUP(C1044,ICSE!A:A,ICSE!AA:AA,"ERROR",0,1),"OK","ERROR"),IF(B1044="FSE",IF(COUNTIFS(B:B,B1044,C:C,C1044)=XLOOKUP(C1044,FSE!A:A,FSE!AA:AA,"ERROR",0,1),"OK","ERROR")))</f>
        <v>OK</v>
      </c>
      <c r="H1044" s="199">
        <f t="shared" ref="H1044:O1044" si="5295">countif($D1044,"*"&amp;H$2&amp;"*")</f>
        <v>0</v>
      </c>
      <c r="I1044" s="200">
        <f t="shared" si="5295"/>
        <v>0</v>
      </c>
      <c r="J1044" s="200">
        <f t="shared" si="5295"/>
        <v>0</v>
      </c>
      <c r="K1044" s="200">
        <f t="shared" si="5295"/>
        <v>0</v>
      </c>
      <c r="L1044" s="200">
        <f t="shared" si="5295"/>
        <v>0</v>
      </c>
      <c r="M1044" s="200">
        <f t="shared" si="5295"/>
        <v>0</v>
      </c>
      <c r="N1044" s="200">
        <f t="shared" si="5295"/>
        <v>0</v>
      </c>
      <c r="O1044" s="200">
        <f t="shared" si="5295"/>
        <v>0</v>
      </c>
      <c r="P1044" s="200">
        <f t="shared" si="9"/>
        <v>1</v>
      </c>
      <c r="Q1044" s="200">
        <f t="shared" ref="Q1044:AC1044" si="5296">countif($D1044,"*"&amp;Q$2&amp;"*")</f>
        <v>0</v>
      </c>
      <c r="R1044" s="200">
        <f t="shared" si="5296"/>
        <v>0</v>
      </c>
      <c r="S1044" s="200">
        <f t="shared" si="5296"/>
        <v>0</v>
      </c>
      <c r="T1044" s="200">
        <f t="shared" si="5296"/>
        <v>0</v>
      </c>
      <c r="U1044" s="200">
        <f t="shared" si="5296"/>
        <v>0</v>
      </c>
      <c r="V1044" s="200">
        <f t="shared" si="5296"/>
        <v>0</v>
      </c>
      <c r="W1044" s="200">
        <f t="shared" si="5296"/>
        <v>0</v>
      </c>
      <c r="X1044" s="200">
        <f t="shared" si="5296"/>
        <v>0</v>
      </c>
      <c r="Y1044" s="200">
        <f t="shared" si="5296"/>
        <v>0</v>
      </c>
      <c r="Z1044" s="200">
        <f t="shared" si="5296"/>
        <v>0</v>
      </c>
      <c r="AA1044" s="200">
        <f t="shared" si="5296"/>
        <v>0</v>
      </c>
      <c r="AB1044" s="200">
        <f t="shared" si="5296"/>
        <v>0</v>
      </c>
      <c r="AC1044" s="200">
        <f t="shared" si="5296"/>
        <v>0</v>
      </c>
      <c r="AD1044" s="200">
        <f t="shared" si="11"/>
        <v>0</v>
      </c>
      <c r="AE1044" s="200">
        <f t="shared" ref="AE1044:AG1044" si="5297">countif($D1044,"*"&amp;AE$2&amp;"*")</f>
        <v>0</v>
      </c>
      <c r="AF1044" s="200">
        <f t="shared" si="5297"/>
        <v>0</v>
      </c>
      <c r="AG1044" s="200">
        <f t="shared" si="5297"/>
        <v>0</v>
      </c>
      <c r="AH1044" s="171">
        <f t="shared" si="13"/>
        <v>0</v>
      </c>
      <c r="AI1044" s="200">
        <f t="shared" si="14"/>
        <v>0</v>
      </c>
      <c r="AJ1044" s="200">
        <f t="shared" si="4907"/>
        <v>0</v>
      </c>
      <c r="AK1044" s="201">
        <f t="shared" ref="AK1044:AS1044" si="5298">countif($D1044,"*"&amp;AK$2&amp;"*")</f>
        <v>0</v>
      </c>
      <c r="AL1044" s="201">
        <f t="shared" si="5298"/>
        <v>0</v>
      </c>
      <c r="AM1044" s="201">
        <f t="shared" si="5298"/>
        <v>0</v>
      </c>
      <c r="AN1044" s="201">
        <f t="shared" si="5298"/>
        <v>0</v>
      </c>
      <c r="AO1044" s="201">
        <f t="shared" si="5298"/>
        <v>0</v>
      </c>
      <c r="AP1044" s="201">
        <f t="shared" si="5298"/>
        <v>0</v>
      </c>
      <c r="AQ1044" s="201">
        <f t="shared" si="5298"/>
        <v>0</v>
      </c>
      <c r="AR1044" s="200">
        <f t="shared" si="5298"/>
        <v>0</v>
      </c>
      <c r="AS1044" s="200">
        <f t="shared" si="5298"/>
        <v>0</v>
      </c>
      <c r="AT1044" s="173">
        <v>0.0</v>
      </c>
      <c r="AU1044" s="200">
        <f t="shared" ref="AU1044:AX1044" si="5299">countif($D1044,"*"&amp;AU$2&amp;"*")</f>
        <v>0</v>
      </c>
      <c r="AV1044" s="200">
        <f t="shared" si="5299"/>
        <v>1</v>
      </c>
      <c r="AW1044" s="200">
        <f t="shared" si="5299"/>
        <v>0</v>
      </c>
      <c r="AX1044" s="200">
        <f t="shared" si="5299"/>
        <v>0</v>
      </c>
      <c r="AY1044" s="202">
        <v>0.0</v>
      </c>
      <c r="AZ1044" s="200"/>
      <c r="BA1044" s="171" t="str">
        <f t="shared" si="18"/>
        <v/>
      </c>
      <c r="BB1044" s="171" t="str">
        <f t="shared" si="19"/>
        <v>Code</v>
      </c>
      <c r="BC1044" s="171" t="str">
        <f t="shared" si="20"/>
        <v/>
      </c>
      <c r="BD1044" s="171" t="str">
        <f t="shared" si="21"/>
        <v/>
      </c>
      <c r="BE1044" s="171" t="str">
        <f t="shared" si="22"/>
        <v/>
      </c>
      <c r="BF1044" s="171" t="str">
        <f t="shared" si="23"/>
        <v>Code</v>
      </c>
    </row>
    <row r="1045">
      <c r="A1045" s="171">
        <f t="array" ref="A1045">XLOOKUP(C1045,ICSE!A:A,ICSE!C:C,,2,1)</f>
        <v>2023</v>
      </c>
      <c r="B1045" s="171" t="s">
        <v>5675</v>
      </c>
      <c r="C1045" s="160">
        <v>2072.0</v>
      </c>
      <c r="D1045" s="161" t="s">
        <v>6114</v>
      </c>
      <c r="E1045" s="197" t="str">
        <f t="array" ref="E1045">XLOOKUP(C1045,ICSE!A:A,ICSE!Z:Z,,0,1)</f>
        <v>Publicly available (2)</v>
      </c>
      <c r="F1045" s="198" t="s">
        <v>20</v>
      </c>
      <c r="G1045" s="163" t="str">
        <f t="array" ref="G1045">IF(B1045="ICSE",IF(COUNTIFS(B:B,B1045,C:C,C1045)=XLOOKUP(C1045,ICSE!A:A,ICSE!AA:AA,"ERROR",0,1),"OK","ERROR"),IF(B1045="FSE",IF(COUNTIFS(B:B,B1045,C:C,C1045)=XLOOKUP(C1045,FSE!A:A,FSE!AA:AA,"ERROR",0,1),"OK","ERROR")))</f>
        <v>OK</v>
      </c>
      <c r="H1045" s="199">
        <f t="shared" ref="H1045:O1045" si="5300">countif($D1045,"*"&amp;H$2&amp;"*")</f>
        <v>0</v>
      </c>
      <c r="I1045" s="200">
        <f t="shared" si="5300"/>
        <v>0</v>
      </c>
      <c r="J1045" s="200">
        <f t="shared" si="5300"/>
        <v>0</v>
      </c>
      <c r="K1045" s="200">
        <f t="shared" si="5300"/>
        <v>0</v>
      </c>
      <c r="L1045" s="200">
        <f t="shared" si="5300"/>
        <v>0</v>
      </c>
      <c r="M1045" s="200">
        <f t="shared" si="5300"/>
        <v>0</v>
      </c>
      <c r="N1045" s="200">
        <f t="shared" si="5300"/>
        <v>0</v>
      </c>
      <c r="O1045" s="200">
        <f t="shared" si="5300"/>
        <v>0</v>
      </c>
      <c r="P1045" s="200">
        <f t="shared" si="9"/>
        <v>0</v>
      </c>
      <c r="Q1045" s="200">
        <f t="shared" ref="Q1045:AC1045" si="5301">countif($D1045,"*"&amp;Q$2&amp;"*")</f>
        <v>0</v>
      </c>
      <c r="R1045" s="200">
        <f t="shared" si="5301"/>
        <v>0</v>
      </c>
      <c r="S1045" s="200">
        <f t="shared" si="5301"/>
        <v>0</v>
      </c>
      <c r="T1045" s="200">
        <f t="shared" si="5301"/>
        <v>0</v>
      </c>
      <c r="U1045" s="200">
        <f t="shared" si="5301"/>
        <v>0</v>
      </c>
      <c r="V1045" s="200">
        <f t="shared" si="5301"/>
        <v>0</v>
      </c>
      <c r="W1045" s="200">
        <f t="shared" si="5301"/>
        <v>0</v>
      </c>
      <c r="X1045" s="200">
        <f t="shared" si="5301"/>
        <v>0</v>
      </c>
      <c r="Y1045" s="200">
        <f t="shared" si="5301"/>
        <v>0</v>
      </c>
      <c r="Z1045" s="200">
        <f t="shared" si="5301"/>
        <v>0</v>
      </c>
      <c r="AA1045" s="200">
        <f t="shared" si="5301"/>
        <v>0</v>
      </c>
      <c r="AB1045" s="200">
        <f t="shared" si="5301"/>
        <v>0</v>
      </c>
      <c r="AC1045" s="200">
        <f t="shared" si="5301"/>
        <v>0</v>
      </c>
      <c r="AD1045" s="200">
        <f t="shared" si="11"/>
        <v>0</v>
      </c>
      <c r="AE1045" s="200">
        <f t="shared" ref="AE1045:AG1045" si="5302">countif($D1045,"*"&amp;AE$2&amp;"*")</f>
        <v>0</v>
      </c>
      <c r="AF1045" s="200">
        <f t="shared" si="5302"/>
        <v>0</v>
      </c>
      <c r="AG1045" s="200">
        <f t="shared" si="5302"/>
        <v>0</v>
      </c>
      <c r="AH1045" s="171">
        <f t="shared" si="13"/>
        <v>1</v>
      </c>
      <c r="AI1045" s="200">
        <f t="shared" si="14"/>
        <v>0</v>
      </c>
      <c r="AJ1045" s="200">
        <f t="shared" si="4907"/>
        <v>0</v>
      </c>
      <c r="AK1045" s="201">
        <f t="shared" ref="AK1045:AS1045" si="5303">countif($D1045,"*"&amp;AK$2&amp;"*")</f>
        <v>0</v>
      </c>
      <c r="AL1045" s="201">
        <f t="shared" si="5303"/>
        <v>0</v>
      </c>
      <c r="AM1045" s="201">
        <f t="shared" si="5303"/>
        <v>0</v>
      </c>
      <c r="AN1045" s="201">
        <f t="shared" si="5303"/>
        <v>0</v>
      </c>
      <c r="AO1045" s="201">
        <f t="shared" si="5303"/>
        <v>0</v>
      </c>
      <c r="AP1045" s="201">
        <f t="shared" si="5303"/>
        <v>0</v>
      </c>
      <c r="AQ1045" s="201">
        <f t="shared" si="5303"/>
        <v>0</v>
      </c>
      <c r="AR1045" s="200">
        <f t="shared" si="5303"/>
        <v>0</v>
      </c>
      <c r="AS1045" s="200">
        <f t="shared" si="5303"/>
        <v>0</v>
      </c>
      <c r="AT1045" s="173">
        <v>0.0</v>
      </c>
      <c r="AU1045" s="200">
        <f t="shared" ref="AU1045:AX1045" si="5304">countif($D1045,"*"&amp;AU$2&amp;"*")</f>
        <v>0</v>
      </c>
      <c r="AV1045" s="200">
        <f t="shared" si="5304"/>
        <v>0</v>
      </c>
      <c r="AW1045" s="200">
        <f t="shared" si="5304"/>
        <v>0</v>
      </c>
      <c r="AX1045" s="200">
        <f t="shared" si="5304"/>
        <v>0</v>
      </c>
      <c r="AY1045" s="202">
        <v>0.0</v>
      </c>
      <c r="AZ1045" s="200"/>
      <c r="BA1045" s="171" t="str">
        <f t="shared" si="18"/>
        <v/>
      </c>
      <c r="BB1045" s="171" t="str">
        <f t="shared" si="19"/>
        <v/>
      </c>
      <c r="BC1045" s="171" t="str">
        <f t="shared" si="20"/>
        <v/>
      </c>
      <c r="BD1045" s="171" t="str">
        <f t="shared" si="21"/>
        <v/>
      </c>
      <c r="BE1045" s="171" t="str">
        <f t="shared" si="22"/>
        <v>Others</v>
      </c>
      <c r="BF1045" s="171" t="str">
        <f t="shared" si="23"/>
        <v>Others</v>
      </c>
    </row>
    <row r="1046">
      <c r="A1046" s="171">
        <f t="array" ref="A1046">XLOOKUP(C1046,ICSE!A:A,ICSE!C:C,,2,1)</f>
        <v>2023</v>
      </c>
      <c r="B1046" s="171" t="s">
        <v>5675</v>
      </c>
      <c r="C1046" s="160">
        <v>2073.0</v>
      </c>
      <c r="D1046" s="161" t="s">
        <v>2930</v>
      </c>
      <c r="E1046" s="197" t="str">
        <f t="array" ref="E1046">XLOOKUP(C1046,ICSE!A:A,ICSE!Z:Z,,0,1)</f>
        <v>Publicly available (1)</v>
      </c>
      <c r="F1046" s="198" t="s">
        <v>20</v>
      </c>
      <c r="G1046" s="163" t="str">
        <f t="array" ref="G1046">IF(B1046="ICSE",IF(COUNTIFS(B:B,B1046,C:C,C1046)=XLOOKUP(C1046,ICSE!A:A,ICSE!AA:AA,"ERROR",0,1),"OK","ERROR"),IF(B1046="FSE",IF(COUNTIFS(B:B,B1046,C:C,C1046)=XLOOKUP(C1046,FSE!A:A,FSE!AA:AA,"ERROR",0,1),"OK","ERROR")))</f>
        <v>OK</v>
      </c>
      <c r="H1046" s="199">
        <f t="shared" ref="H1046:O1046" si="5305">countif($D1046,"*"&amp;H$2&amp;"*")</f>
        <v>0</v>
      </c>
      <c r="I1046" s="200">
        <f t="shared" si="5305"/>
        <v>0</v>
      </c>
      <c r="J1046" s="200">
        <f t="shared" si="5305"/>
        <v>0</v>
      </c>
      <c r="K1046" s="200">
        <f t="shared" si="5305"/>
        <v>0</v>
      </c>
      <c r="L1046" s="200">
        <f t="shared" si="5305"/>
        <v>0</v>
      </c>
      <c r="M1046" s="200">
        <f t="shared" si="5305"/>
        <v>0</v>
      </c>
      <c r="N1046" s="200">
        <f t="shared" si="5305"/>
        <v>0</v>
      </c>
      <c r="O1046" s="200">
        <f t="shared" si="5305"/>
        <v>0</v>
      </c>
      <c r="P1046" s="200">
        <f t="shared" si="9"/>
        <v>1</v>
      </c>
      <c r="Q1046" s="200">
        <f t="shared" ref="Q1046:AC1046" si="5306">countif($D1046,"*"&amp;Q$2&amp;"*")</f>
        <v>0</v>
      </c>
      <c r="R1046" s="200">
        <f t="shared" si="5306"/>
        <v>0</v>
      </c>
      <c r="S1046" s="200">
        <f t="shared" si="5306"/>
        <v>0</v>
      </c>
      <c r="T1046" s="200">
        <f t="shared" si="5306"/>
        <v>0</v>
      </c>
      <c r="U1046" s="200">
        <f t="shared" si="5306"/>
        <v>0</v>
      </c>
      <c r="V1046" s="200">
        <f t="shared" si="5306"/>
        <v>0</v>
      </c>
      <c r="W1046" s="200">
        <f t="shared" si="5306"/>
        <v>0</v>
      </c>
      <c r="X1046" s="200">
        <f t="shared" si="5306"/>
        <v>0</v>
      </c>
      <c r="Y1046" s="200">
        <f t="shared" si="5306"/>
        <v>0</v>
      </c>
      <c r="Z1046" s="200">
        <f t="shared" si="5306"/>
        <v>0</v>
      </c>
      <c r="AA1046" s="200">
        <f t="shared" si="5306"/>
        <v>0</v>
      </c>
      <c r="AB1046" s="200">
        <f t="shared" si="5306"/>
        <v>0</v>
      </c>
      <c r="AC1046" s="200">
        <f t="shared" si="5306"/>
        <v>0</v>
      </c>
      <c r="AD1046" s="200">
        <f t="shared" si="11"/>
        <v>0</v>
      </c>
      <c r="AE1046" s="200">
        <f t="shared" ref="AE1046:AG1046" si="5307">countif($D1046,"*"&amp;AE$2&amp;"*")</f>
        <v>0</v>
      </c>
      <c r="AF1046" s="200">
        <f t="shared" si="5307"/>
        <v>0</v>
      </c>
      <c r="AG1046" s="200">
        <f t="shared" si="5307"/>
        <v>0</v>
      </c>
      <c r="AH1046" s="171">
        <f t="shared" si="13"/>
        <v>0</v>
      </c>
      <c r="AI1046" s="200">
        <f t="shared" si="14"/>
        <v>0</v>
      </c>
      <c r="AJ1046" s="200">
        <f t="shared" si="4907"/>
        <v>0</v>
      </c>
      <c r="AK1046" s="201">
        <f t="shared" ref="AK1046:AS1046" si="5308">countif($D1046,"*"&amp;AK$2&amp;"*")</f>
        <v>0</v>
      </c>
      <c r="AL1046" s="201">
        <f t="shared" si="5308"/>
        <v>0</v>
      </c>
      <c r="AM1046" s="201">
        <f t="shared" si="5308"/>
        <v>0</v>
      </c>
      <c r="AN1046" s="201">
        <f t="shared" si="5308"/>
        <v>0</v>
      </c>
      <c r="AO1046" s="201">
        <f t="shared" si="5308"/>
        <v>0</v>
      </c>
      <c r="AP1046" s="201">
        <f t="shared" si="5308"/>
        <v>0</v>
      </c>
      <c r="AQ1046" s="201">
        <f t="shared" si="5308"/>
        <v>0</v>
      </c>
      <c r="AR1046" s="200">
        <f t="shared" si="5308"/>
        <v>0</v>
      </c>
      <c r="AS1046" s="200">
        <f t="shared" si="5308"/>
        <v>0</v>
      </c>
      <c r="AT1046" s="173">
        <v>0.0</v>
      </c>
      <c r="AU1046" s="200">
        <f t="shared" ref="AU1046:AX1046" si="5309">countif($D1046,"*"&amp;AU$2&amp;"*")</f>
        <v>0</v>
      </c>
      <c r="AV1046" s="200">
        <f t="shared" si="5309"/>
        <v>1</v>
      </c>
      <c r="AW1046" s="200">
        <f t="shared" si="5309"/>
        <v>0</v>
      </c>
      <c r="AX1046" s="200">
        <f t="shared" si="5309"/>
        <v>0</v>
      </c>
      <c r="AY1046" s="202">
        <v>0.0</v>
      </c>
      <c r="AZ1046" s="200"/>
      <c r="BA1046" s="171" t="str">
        <f t="shared" si="18"/>
        <v/>
      </c>
      <c r="BB1046" s="171" t="str">
        <f t="shared" si="19"/>
        <v>Code</v>
      </c>
      <c r="BC1046" s="171" t="str">
        <f t="shared" si="20"/>
        <v/>
      </c>
      <c r="BD1046" s="171" t="str">
        <f t="shared" si="21"/>
        <v/>
      </c>
      <c r="BE1046" s="171" t="str">
        <f t="shared" si="22"/>
        <v/>
      </c>
      <c r="BF1046" s="171" t="str">
        <f t="shared" si="23"/>
        <v>Code</v>
      </c>
    </row>
    <row r="1047">
      <c r="A1047" s="171">
        <f t="array" ref="A1047">XLOOKUP(C1047,ICSE!A:A,ICSE!C:C,,2,1)</f>
        <v>2023</v>
      </c>
      <c r="B1047" s="171" t="s">
        <v>5675</v>
      </c>
      <c r="C1047" s="160">
        <v>2074.0</v>
      </c>
      <c r="D1047" s="161" t="s">
        <v>2932</v>
      </c>
      <c r="E1047" s="197" t="str">
        <f t="array" ref="E1047">XLOOKUP(C1047,ICSE!A:A,ICSE!Z:Z,,0,1)</f>
        <v>Publicly available (1)</v>
      </c>
      <c r="F1047" s="198" t="s">
        <v>20</v>
      </c>
      <c r="G1047" s="163" t="str">
        <f t="array" ref="G1047">IF(B1047="ICSE",IF(COUNTIFS(B:B,B1047,C:C,C1047)=XLOOKUP(C1047,ICSE!A:A,ICSE!AA:AA,"ERROR",0,1),"OK","ERROR"),IF(B1047="FSE",IF(COUNTIFS(B:B,B1047,C:C,C1047)=XLOOKUP(C1047,FSE!A:A,FSE!AA:AA,"ERROR",0,1),"OK","ERROR")))</f>
        <v>OK</v>
      </c>
      <c r="H1047" s="199">
        <f t="shared" ref="H1047:O1047" si="5310">countif($D1047,"*"&amp;H$2&amp;"*")</f>
        <v>0</v>
      </c>
      <c r="I1047" s="200">
        <f t="shared" si="5310"/>
        <v>0</v>
      </c>
      <c r="J1047" s="200">
        <f t="shared" si="5310"/>
        <v>0</v>
      </c>
      <c r="K1047" s="200">
        <f t="shared" si="5310"/>
        <v>0</v>
      </c>
      <c r="L1047" s="200">
        <f t="shared" si="5310"/>
        <v>0</v>
      </c>
      <c r="M1047" s="200">
        <f t="shared" si="5310"/>
        <v>0</v>
      </c>
      <c r="N1047" s="200">
        <f t="shared" si="5310"/>
        <v>0</v>
      </c>
      <c r="O1047" s="200">
        <f t="shared" si="5310"/>
        <v>0</v>
      </c>
      <c r="P1047" s="200">
        <f t="shared" si="9"/>
        <v>1</v>
      </c>
      <c r="Q1047" s="200">
        <f t="shared" ref="Q1047:AC1047" si="5311">countif($D1047,"*"&amp;Q$2&amp;"*")</f>
        <v>0</v>
      </c>
      <c r="R1047" s="200">
        <f t="shared" si="5311"/>
        <v>0</v>
      </c>
      <c r="S1047" s="200">
        <f t="shared" si="5311"/>
        <v>0</v>
      </c>
      <c r="T1047" s="200">
        <f t="shared" si="5311"/>
        <v>0</v>
      </c>
      <c r="U1047" s="200">
        <f t="shared" si="5311"/>
        <v>0</v>
      </c>
      <c r="V1047" s="200">
        <f t="shared" si="5311"/>
        <v>0</v>
      </c>
      <c r="W1047" s="200">
        <f t="shared" si="5311"/>
        <v>0</v>
      </c>
      <c r="X1047" s="200">
        <f t="shared" si="5311"/>
        <v>0</v>
      </c>
      <c r="Y1047" s="200">
        <f t="shared" si="5311"/>
        <v>0</v>
      </c>
      <c r="Z1047" s="200">
        <f t="shared" si="5311"/>
        <v>0</v>
      </c>
      <c r="AA1047" s="200">
        <f t="shared" si="5311"/>
        <v>0</v>
      </c>
      <c r="AB1047" s="200">
        <f t="shared" si="5311"/>
        <v>0</v>
      </c>
      <c r="AC1047" s="200">
        <f t="shared" si="5311"/>
        <v>0</v>
      </c>
      <c r="AD1047" s="200">
        <f t="shared" si="11"/>
        <v>0</v>
      </c>
      <c r="AE1047" s="200">
        <f t="shared" ref="AE1047:AG1047" si="5312">countif($D1047,"*"&amp;AE$2&amp;"*")</f>
        <v>0</v>
      </c>
      <c r="AF1047" s="200">
        <f t="shared" si="5312"/>
        <v>0</v>
      </c>
      <c r="AG1047" s="200">
        <f t="shared" si="5312"/>
        <v>0</v>
      </c>
      <c r="AH1047" s="171">
        <f t="shared" si="13"/>
        <v>0</v>
      </c>
      <c r="AI1047" s="200">
        <f t="shared" si="14"/>
        <v>0</v>
      </c>
      <c r="AJ1047" s="200">
        <f t="shared" si="4907"/>
        <v>0</v>
      </c>
      <c r="AK1047" s="201">
        <f t="shared" ref="AK1047:AS1047" si="5313">countif($D1047,"*"&amp;AK$2&amp;"*")</f>
        <v>0</v>
      </c>
      <c r="AL1047" s="201">
        <f t="shared" si="5313"/>
        <v>0</v>
      </c>
      <c r="AM1047" s="201">
        <f t="shared" si="5313"/>
        <v>0</v>
      </c>
      <c r="AN1047" s="201">
        <f t="shared" si="5313"/>
        <v>0</v>
      </c>
      <c r="AO1047" s="201">
        <f t="shared" si="5313"/>
        <v>0</v>
      </c>
      <c r="AP1047" s="201">
        <f t="shared" si="5313"/>
        <v>0</v>
      </c>
      <c r="AQ1047" s="201">
        <f t="shared" si="5313"/>
        <v>0</v>
      </c>
      <c r="AR1047" s="200">
        <f t="shared" si="5313"/>
        <v>0</v>
      </c>
      <c r="AS1047" s="200">
        <f t="shared" si="5313"/>
        <v>0</v>
      </c>
      <c r="AT1047" s="173">
        <v>0.0</v>
      </c>
      <c r="AU1047" s="200">
        <f t="shared" ref="AU1047:AX1047" si="5314">countif($D1047,"*"&amp;AU$2&amp;"*")</f>
        <v>0</v>
      </c>
      <c r="AV1047" s="200">
        <f t="shared" si="5314"/>
        <v>1</v>
      </c>
      <c r="AW1047" s="200">
        <f t="shared" si="5314"/>
        <v>0</v>
      </c>
      <c r="AX1047" s="200">
        <f t="shared" si="5314"/>
        <v>0</v>
      </c>
      <c r="AY1047" s="202">
        <v>0.0</v>
      </c>
      <c r="AZ1047" s="200"/>
      <c r="BA1047" s="171" t="str">
        <f t="shared" si="18"/>
        <v/>
      </c>
      <c r="BB1047" s="171" t="str">
        <f t="shared" si="19"/>
        <v>Code</v>
      </c>
      <c r="BC1047" s="171" t="str">
        <f t="shared" si="20"/>
        <v/>
      </c>
      <c r="BD1047" s="171" t="str">
        <f t="shared" si="21"/>
        <v/>
      </c>
      <c r="BE1047" s="171" t="str">
        <f t="shared" si="22"/>
        <v/>
      </c>
      <c r="BF1047" s="171" t="str">
        <f t="shared" si="23"/>
        <v>Code</v>
      </c>
    </row>
    <row r="1048">
      <c r="A1048" s="171">
        <f t="array" ref="A1048">XLOOKUP(C1048,ICSE!A:A,ICSE!C:C,,2,1)</f>
        <v>2023</v>
      </c>
      <c r="B1048" s="171" t="s">
        <v>5675</v>
      </c>
      <c r="C1048" s="160">
        <v>2075.0</v>
      </c>
      <c r="D1048" s="208" t="s">
        <v>6115</v>
      </c>
      <c r="E1048" s="197" t="str">
        <f t="array" ref="E1048">XLOOKUP(C1048,ICSE!A:A,ICSE!Z:Z,,0,1)</f>
        <v>Publicly available (1)</v>
      </c>
      <c r="F1048" s="198" t="s">
        <v>20</v>
      </c>
      <c r="G1048" s="163" t="str">
        <f t="array" ref="G1048">IF(B1048="ICSE",IF(COUNTIFS(B:B,B1048,C:C,C1048)=XLOOKUP(C1048,ICSE!A:A,ICSE!AA:AA,"ERROR",0,1),"OK","ERROR"),IF(B1048="FSE",IF(COUNTIFS(B:B,B1048,C:C,C1048)=XLOOKUP(C1048,FSE!A:A,FSE!AA:AA,"ERROR",0,1),"OK","ERROR")))</f>
        <v>OK</v>
      </c>
      <c r="H1048" s="199">
        <f t="shared" ref="H1048:O1048" si="5315">countif($D1048,"*"&amp;H$2&amp;"*")</f>
        <v>0</v>
      </c>
      <c r="I1048" s="200">
        <f t="shared" si="5315"/>
        <v>0</v>
      </c>
      <c r="J1048" s="200">
        <f t="shared" si="5315"/>
        <v>0</v>
      </c>
      <c r="K1048" s="200">
        <f t="shared" si="5315"/>
        <v>0</v>
      </c>
      <c r="L1048" s="200">
        <f t="shared" si="5315"/>
        <v>0</v>
      </c>
      <c r="M1048" s="200">
        <f t="shared" si="5315"/>
        <v>0</v>
      </c>
      <c r="N1048" s="200">
        <f t="shared" si="5315"/>
        <v>1</v>
      </c>
      <c r="O1048" s="200">
        <f t="shared" si="5315"/>
        <v>0</v>
      </c>
      <c r="P1048" s="200">
        <f t="shared" si="9"/>
        <v>0</v>
      </c>
      <c r="Q1048" s="200">
        <f t="shared" ref="Q1048:AC1048" si="5316">countif($D1048,"*"&amp;Q$2&amp;"*")</f>
        <v>0</v>
      </c>
      <c r="R1048" s="200">
        <f t="shared" si="5316"/>
        <v>0</v>
      </c>
      <c r="S1048" s="200">
        <f t="shared" si="5316"/>
        <v>0</v>
      </c>
      <c r="T1048" s="200">
        <f t="shared" si="5316"/>
        <v>0</v>
      </c>
      <c r="U1048" s="200">
        <f t="shared" si="5316"/>
        <v>0</v>
      </c>
      <c r="V1048" s="200">
        <f t="shared" si="5316"/>
        <v>0</v>
      </c>
      <c r="W1048" s="200">
        <f t="shared" si="5316"/>
        <v>0</v>
      </c>
      <c r="X1048" s="200">
        <f t="shared" si="5316"/>
        <v>0</v>
      </c>
      <c r="Y1048" s="200">
        <f t="shared" si="5316"/>
        <v>0</v>
      </c>
      <c r="Z1048" s="200">
        <f t="shared" si="5316"/>
        <v>0</v>
      </c>
      <c r="AA1048" s="200">
        <f t="shared" si="5316"/>
        <v>0</v>
      </c>
      <c r="AB1048" s="200">
        <f t="shared" si="5316"/>
        <v>0</v>
      </c>
      <c r="AC1048" s="200">
        <f t="shared" si="5316"/>
        <v>0</v>
      </c>
      <c r="AD1048" s="200">
        <f t="shared" si="11"/>
        <v>0</v>
      </c>
      <c r="AE1048" s="200">
        <f t="shared" ref="AE1048:AG1048" si="5317">countif($D1048,"*"&amp;AE$2&amp;"*")</f>
        <v>0</v>
      </c>
      <c r="AF1048" s="200">
        <f t="shared" si="5317"/>
        <v>0</v>
      </c>
      <c r="AG1048" s="200">
        <f t="shared" si="5317"/>
        <v>0</v>
      </c>
      <c r="AH1048" s="171">
        <f t="shared" si="13"/>
        <v>0</v>
      </c>
      <c r="AI1048" s="200">
        <f t="shared" si="14"/>
        <v>0</v>
      </c>
      <c r="AJ1048" s="200">
        <f t="shared" si="4907"/>
        <v>1</v>
      </c>
      <c r="AK1048" s="201">
        <f t="shared" ref="AK1048:AS1048" si="5318">countif($D1048,"*"&amp;AK$2&amp;"*")</f>
        <v>1</v>
      </c>
      <c r="AL1048" s="201">
        <f t="shared" si="5318"/>
        <v>0</v>
      </c>
      <c r="AM1048" s="201">
        <f t="shared" si="5318"/>
        <v>0</v>
      </c>
      <c r="AN1048" s="201">
        <f t="shared" si="5318"/>
        <v>0</v>
      </c>
      <c r="AO1048" s="201">
        <f t="shared" si="5318"/>
        <v>0</v>
      </c>
      <c r="AP1048" s="201">
        <f t="shared" si="5318"/>
        <v>0</v>
      </c>
      <c r="AQ1048" s="201">
        <f t="shared" si="5318"/>
        <v>0</v>
      </c>
      <c r="AR1048" s="200">
        <f t="shared" si="5318"/>
        <v>0</v>
      </c>
      <c r="AS1048" s="200">
        <f t="shared" si="5318"/>
        <v>1</v>
      </c>
      <c r="AT1048" s="173">
        <v>0.0</v>
      </c>
      <c r="AU1048" s="200">
        <f t="shared" ref="AU1048:AU1109" si="5324">countif($D1048,"*"&amp;AU$2&amp;"*")</f>
        <v>0</v>
      </c>
      <c r="AV1048" s="171">
        <v>0.0</v>
      </c>
      <c r="AW1048" s="200">
        <f t="shared" ref="AW1048:AX1048" si="5319">countif($D1048,"*"&amp;AW$2&amp;"*")</f>
        <v>0</v>
      </c>
      <c r="AX1048" s="200">
        <f t="shared" si="5319"/>
        <v>0</v>
      </c>
      <c r="AY1048" s="202">
        <v>0.0</v>
      </c>
      <c r="AZ1048" s="200"/>
      <c r="BA1048" s="171" t="str">
        <f t="shared" si="18"/>
        <v>Archival</v>
      </c>
      <c r="BB1048" s="171" t="str">
        <f t="shared" si="19"/>
        <v/>
      </c>
      <c r="BC1048" s="171" t="str">
        <f t="shared" si="20"/>
        <v/>
      </c>
      <c r="BD1048" s="171" t="str">
        <f t="shared" si="21"/>
        <v/>
      </c>
      <c r="BE1048" s="171" t="str">
        <f t="shared" si="22"/>
        <v/>
      </c>
      <c r="BF1048" s="171" t="str">
        <f t="shared" si="23"/>
        <v>Archival</v>
      </c>
    </row>
    <row r="1049">
      <c r="A1049" s="171">
        <f t="array" ref="A1049">XLOOKUP(C1049,ICSE!A:A,ICSE!C:C,,2,1)</f>
        <v>2023</v>
      </c>
      <c r="B1049" s="171" t="s">
        <v>5675</v>
      </c>
      <c r="C1049" s="160">
        <v>2076.0</v>
      </c>
      <c r="D1049" s="161" t="s">
        <v>2938</v>
      </c>
      <c r="E1049" s="197" t="str">
        <f t="array" ref="E1049">XLOOKUP(C1049,ICSE!A:A,ICSE!Z:Z,,0,1)</f>
        <v>Publicly available (1)</v>
      </c>
      <c r="F1049" s="198" t="s">
        <v>20</v>
      </c>
      <c r="G1049" s="163" t="str">
        <f t="array" ref="G1049">IF(B1049="ICSE",IF(COUNTIFS(B:B,B1049,C:C,C1049)=XLOOKUP(C1049,ICSE!A:A,ICSE!AA:AA,"ERROR",0,1),"OK","ERROR"),IF(B1049="FSE",IF(COUNTIFS(B:B,B1049,C:C,C1049)=XLOOKUP(C1049,FSE!A:A,FSE!AA:AA,"ERROR",0,1),"OK","ERROR")))</f>
        <v>OK</v>
      </c>
      <c r="H1049" s="199">
        <f t="shared" ref="H1049:O1049" si="5320">countif($D1049,"*"&amp;H$2&amp;"*")</f>
        <v>0</v>
      </c>
      <c r="I1049" s="200">
        <f t="shared" si="5320"/>
        <v>1</v>
      </c>
      <c r="J1049" s="200">
        <f t="shared" si="5320"/>
        <v>0</v>
      </c>
      <c r="K1049" s="200">
        <f t="shared" si="5320"/>
        <v>0</v>
      </c>
      <c r="L1049" s="200">
        <f t="shared" si="5320"/>
        <v>0</v>
      </c>
      <c r="M1049" s="200">
        <f t="shared" si="5320"/>
        <v>0</v>
      </c>
      <c r="N1049" s="200">
        <f t="shared" si="5320"/>
        <v>0</v>
      </c>
      <c r="O1049" s="200">
        <f t="shared" si="5320"/>
        <v>0</v>
      </c>
      <c r="P1049" s="200">
        <f t="shared" si="9"/>
        <v>0</v>
      </c>
      <c r="Q1049" s="200">
        <f t="shared" ref="Q1049:AC1049" si="5321">countif($D1049,"*"&amp;Q$2&amp;"*")</f>
        <v>0</v>
      </c>
      <c r="R1049" s="200">
        <f t="shared" si="5321"/>
        <v>0</v>
      </c>
      <c r="S1049" s="200">
        <f t="shared" si="5321"/>
        <v>0</v>
      </c>
      <c r="T1049" s="200">
        <f t="shared" si="5321"/>
        <v>0</v>
      </c>
      <c r="U1049" s="200">
        <f t="shared" si="5321"/>
        <v>0</v>
      </c>
      <c r="V1049" s="200">
        <f t="shared" si="5321"/>
        <v>0</v>
      </c>
      <c r="W1049" s="200">
        <f t="shared" si="5321"/>
        <v>0</v>
      </c>
      <c r="X1049" s="200">
        <f t="shared" si="5321"/>
        <v>0</v>
      </c>
      <c r="Y1049" s="200">
        <f t="shared" si="5321"/>
        <v>0</v>
      </c>
      <c r="Z1049" s="200">
        <f t="shared" si="5321"/>
        <v>0</v>
      </c>
      <c r="AA1049" s="200">
        <f t="shared" si="5321"/>
        <v>0</v>
      </c>
      <c r="AB1049" s="200">
        <f t="shared" si="5321"/>
        <v>0</v>
      </c>
      <c r="AC1049" s="200">
        <f t="shared" si="5321"/>
        <v>0</v>
      </c>
      <c r="AD1049" s="200">
        <f t="shared" si="11"/>
        <v>0</v>
      </c>
      <c r="AE1049" s="200">
        <f t="shared" ref="AE1049:AG1049" si="5322">countif($D1049,"*"&amp;AE$2&amp;"*")</f>
        <v>0</v>
      </c>
      <c r="AF1049" s="200">
        <f t="shared" si="5322"/>
        <v>0</v>
      </c>
      <c r="AG1049" s="200">
        <f t="shared" si="5322"/>
        <v>0</v>
      </c>
      <c r="AH1049" s="171">
        <f t="shared" si="13"/>
        <v>0</v>
      </c>
      <c r="AI1049" s="200">
        <f t="shared" si="14"/>
        <v>1</v>
      </c>
      <c r="AJ1049" s="200">
        <f t="shared" si="4907"/>
        <v>0</v>
      </c>
      <c r="AK1049" s="201">
        <f t="shared" ref="AK1049:AS1049" si="5323">countif($D1049,"*"&amp;AK$2&amp;"*")</f>
        <v>0</v>
      </c>
      <c r="AL1049" s="201">
        <f t="shared" si="5323"/>
        <v>0</v>
      </c>
      <c r="AM1049" s="201">
        <f t="shared" si="5323"/>
        <v>0</v>
      </c>
      <c r="AN1049" s="201">
        <f t="shared" si="5323"/>
        <v>0</v>
      </c>
      <c r="AO1049" s="201">
        <f t="shared" si="5323"/>
        <v>0</v>
      </c>
      <c r="AP1049" s="201">
        <f t="shared" si="5323"/>
        <v>0</v>
      </c>
      <c r="AQ1049" s="201">
        <f t="shared" si="5323"/>
        <v>0</v>
      </c>
      <c r="AR1049" s="200">
        <f t="shared" si="5323"/>
        <v>0</v>
      </c>
      <c r="AS1049" s="200">
        <f t="shared" si="5323"/>
        <v>0</v>
      </c>
      <c r="AT1049" s="173">
        <v>0.0</v>
      </c>
      <c r="AU1049" s="200">
        <f t="shared" si="5324"/>
        <v>0</v>
      </c>
      <c r="AV1049" s="200">
        <f t="shared" ref="AV1049:AX1049" si="5325">countif($D1049,"*"&amp;AV$2&amp;"*")</f>
        <v>0</v>
      </c>
      <c r="AW1049" s="200">
        <f t="shared" si="5325"/>
        <v>0</v>
      </c>
      <c r="AX1049" s="200">
        <f t="shared" si="5325"/>
        <v>0</v>
      </c>
      <c r="AY1049" s="204">
        <v>1.0</v>
      </c>
      <c r="AZ1049" s="200"/>
      <c r="BA1049" s="171" t="str">
        <f t="shared" si="18"/>
        <v>Archival</v>
      </c>
      <c r="BB1049" s="171" t="str">
        <f t="shared" si="19"/>
        <v/>
      </c>
      <c r="BC1049" s="171" t="str">
        <f t="shared" si="20"/>
        <v/>
      </c>
      <c r="BD1049" s="171" t="str">
        <f t="shared" si="21"/>
        <v/>
      </c>
      <c r="BE1049" s="171" t="str">
        <f t="shared" si="22"/>
        <v/>
      </c>
      <c r="BF1049" s="171" t="str">
        <f t="shared" si="23"/>
        <v>Archival</v>
      </c>
    </row>
    <row r="1050">
      <c r="A1050" s="171">
        <f t="array" ref="A1050">XLOOKUP(C1050,ICSE!A:A,ICSE!C:C,,2,1)</f>
        <v>2023</v>
      </c>
      <c r="B1050" s="171" t="s">
        <v>5675</v>
      </c>
      <c r="C1050" s="160">
        <v>2077.0</v>
      </c>
      <c r="D1050" s="161" t="s">
        <v>2941</v>
      </c>
      <c r="E1050" s="197" t="str">
        <f t="array" ref="E1050">XLOOKUP(C1050,ICSE!A:A,ICSE!Z:Z,,0,1)</f>
        <v>Publicly available (1)</v>
      </c>
      <c r="F1050" s="198" t="s">
        <v>20</v>
      </c>
      <c r="G1050" s="163" t="str">
        <f t="array" ref="G1050">IF(B1050="ICSE",IF(COUNTIFS(B:B,B1050,C:C,C1050)=XLOOKUP(C1050,ICSE!A:A,ICSE!AA:AA,"ERROR",0,1),"OK","ERROR"),IF(B1050="FSE",IF(COUNTIFS(B:B,B1050,C:C,C1050)=XLOOKUP(C1050,FSE!A:A,FSE!AA:AA,"ERROR",0,1),"OK","ERROR")))</f>
        <v>OK</v>
      </c>
      <c r="H1050" s="199">
        <f t="shared" ref="H1050:O1050" si="5326">countif($D1050,"*"&amp;H$2&amp;"*")</f>
        <v>0</v>
      </c>
      <c r="I1050" s="200">
        <f t="shared" si="5326"/>
        <v>0</v>
      </c>
      <c r="J1050" s="200">
        <f t="shared" si="5326"/>
        <v>0</v>
      </c>
      <c r="K1050" s="200">
        <f t="shared" si="5326"/>
        <v>0</v>
      </c>
      <c r="L1050" s="200">
        <f t="shared" si="5326"/>
        <v>0</v>
      </c>
      <c r="M1050" s="200">
        <f t="shared" si="5326"/>
        <v>0</v>
      </c>
      <c r="N1050" s="200">
        <f t="shared" si="5326"/>
        <v>0</v>
      </c>
      <c r="O1050" s="200">
        <f t="shared" si="5326"/>
        <v>0</v>
      </c>
      <c r="P1050" s="200">
        <f t="shared" si="9"/>
        <v>1</v>
      </c>
      <c r="Q1050" s="200">
        <f t="shared" ref="Q1050:AC1050" si="5327">countif($D1050,"*"&amp;Q$2&amp;"*")</f>
        <v>0</v>
      </c>
      <c r="R1050" s="200">
        <f t="shared" si="5327"/>
        <v>0</v>
      </c>
      <c r="S1050" s="200">
        <f t="shared" si="5327"/>
        <v>0</v>
      </c>
      <c r="T1050" s="200">
        <f t="shared" si="5327"/>
        <v>0</v>
      </c>
      <c r="U1050" s="200">
        <f t="shared" si="5327"/>
        <v>0</v>
      </c>
      <c r="V1050" s="200">
        <f t="shared" si="5327"/>
        <v>0</v>
      </c>
      <c r="W1050" s="200">
        <f t="shared" si="5327"/>
        <v>0</v>
      </c>
      <c r="X1050" s="200">
        <f t="shared" si="5327"/>
        <v>0</v>
      </c>
      <c r="Y1050" s="200">
        <f t="shared" si="5327"/>
        <v>0</v>
      </c>
      <c r="Z1050" s="200">
        <f t="shared" si="5327"/>
        <v>0</v>
      </c>
      <c r="AA1050" s="200">
        <f t="shared" si="5327"/>
        <v>0</v>
      </c>
      <c r="AB1050" s="200">
        <f t="shared" si="5327"/>
        <v>0</v>
      </c>
      <c r="AC1050" s="200">
        <f t="shared" si="5327"/>
        <v>0</v>
      </c>
      <c r="AD1050" s="200">
        <f t="shared" si="11"/>
        <v>0</v>
      </c>
      <c r="AE1050" s="200">
        <f t="shared" ref="AE1050:AG1050" si="5328">countif($D1050,"*"&amp;AE$2&amp;"*")</f>
        <v>0</v>
      </c>
      <c r="AF1050" s="200">
        <f t="shared" si="5328"/>
        <v>0</v>
      </c>
      <c r="AG1050" s="200">
        <f t="shared" si="5328"/>
        <v>0</v>
      </c>
      <c r="AH1050" s="171">
        <f t="shared" si="13"/>
        <v>0</v>
      </c>
      <c r="AI1050" s="200">
        <f t="shared" si="14"/>
        <v>0</v>
      </c>
      <c r="AJ1050" s="200">
        <f t="shared" si="4907"/>
        <v>0</v>
      </c>
      <c r="AK1050" s="201">
        <f t="shared" ref="AK1050:AS1050" si="5329">countif($D1050,"*"&amp;AK$2&amp;"*")</f>
        <v>0</v>
      </c>
      <c r="AL1050" s="201">
        <f t="shared" si="5329"/>
        <v>0</v>
      </c>
      <c r="AM1050" s="201">
        <f t="shared" si="5329"/>
        <v>0</v>
      </c>
      <c r="AN1050" s="201">
        <f t="shared" si="5329"/>
        <v>0</v>
      </c>
      <c r="AO1050" s="201">
        <f t="shared" si="5329"/>
        <v>0</v>
      </c>
      <c r="AP1050" s="201">
        <f t="shared" si="5329"/>
        <v>0</v>
      </c>
      <c r="AQ1050" s="201">
        <f t="shared" si="5329"/>
        <v>0</v>
      </c>
      <c r="AR1050" s="200">
        <f t="shared" si="5329"/>
        <v>0</v>
      </c>
      <c r="AS1050" s="200">
        <f t="shared" si="5329"/>
        <v>0</v>
      </c>
      <c r="AT1050" s="173">
        <v>0.0</v>
      </c>
      <c r="AU1050" s="200">
        <f t="shared" si="5324"/>
        <v>0</v>
      </c>
      <c r="AV1050" s="200">
        <f t="shared" ref="AV1050:AX1050" si="5330">countif($D1050,"*"&amp;AV$2&amp;"*")</f>
        <v>1</v>
      </c>
      <c r="AW1050" s="200">
        <f t="shared" si="5330"/>
        <v>0</v>
      </c>
      <c r="AX1050" s="200">
        <f t="shared" si="5330"/>
        <v>0</v>
      </c>
      <c r="AY1050" s="202">
        <v>0.0</v>
      </c>
      <c r="AZ1050" s="200"/>
      <c r="BA1050" s="171" t="str">
        <f t="shared" si="18"/>
        <v/>
      </c>
      <c r="BB1050" s="171" t="str">
        <f t="shared" si="19"/>
        <v>Code</v>
      </c>
      <c r="BC1050" s="171" t="str">
        <f t="shared" si="20"/>
        <v/>
      </c>
      <c r="BD1050" s="171" t="str">
        <f t="shared" si="21"/>
        <v/>
      </c>
      <c r="BE1050" s="171" t="str">
        <f t="shared" si="22"/>
        <v/>
      </c>
      <c r="BF1050" s="171" t="str">
        <f t="shared" si="23"/>
        <v>Code</v>
      </c>
    </row>
    <row r="1051">
      <c r="A1051" s="171">
        <f t="array" ref="A1051">XLOOKUP(C1051,ICSE!A:A,ICSE!C:C,,2,1)</f>
        <v>2023</v>
      </c>
      <c r="B1051" s="171" t="s">
        <v>5675</v>
      </c>
      <c r="C1051" s="160">
        <v>2078.0</v>
      </c>
      <c r="D1051" s="161" t="s">
        <v>6116</v>
      </c>
      <c r="E1051" s="197" t="str">
        <f t="array" ref="E1051">XLOOKUP(C1051,ICSE!A:A,ICSE!Z:Z,,0,1)</f>
        <v>Publicly available (2)</v>
      </c>
      <c r="F1051" s="198" t="s">
        <v>20</v>
      </c>
      <c r="G1051" s="163" t="str">
        <f t="array" ref="G1051">IF(B1051="ICSE",IF(COUNTIFS(B:B,B1051,C:C,C1051)=XLOOKUP(C1051,ICSE!A:A,ICSE!AA:AA,"ERROR",0,1),"OK","ERROR"),IF(B1051="FSE",IF(COUNTIFS(B:B,B1051,C:C,C1051)=XLOOKUP(C1051,FSE!A:A,FSE!AA:AA,"ERROR",0,1),"OK","ERROR")))</f>
        <v>OK</v>
      </c>
      <c r="H1051" s="199">
        <f t="shared" ref="H1051:O1051" si="5331">countif($D1051,"*"&amp;H$2&amp;"*")</f>
        <v>1</v>
      </c>
      <c r="I1051" s="200">
        <f t="shared" si="5331"/>
        <v>0</v>
      </c>
      <c r="J1051" s="200">
        <f t="shared" si="5331"/>
        <v>0</v>
      </c>
      <c r="K1051" s="200">
        <f t="shared" si="5331"/>
        <v>0</v>
      </c>
      <c r="L1051" s="200">
        <f t="shared" si="5331"/>
        <v>0</v>
      </c>
      <c r="M1051" s="200">
        <f t="shared" si="5331"/>
        <v>0</v>
      </c>
      <c r="N1051" s="200">
        <f t="shared" si="5331"/>
        <v>0</v>
      </c>
      <c r="O1051" s="200">
        <f t="shared" si="5331"/>
        <v>0</v>
      </c>
      <c r="P1051" s="200">
        <f t="shared" si="9"/>
        <v>0</v>
      </c>
      <c r="Q1051" s="200">
        <f t="shared" ref="Q1051:AC1051" si="5332">countif($D1051,"*"&amp;Q$2&amp;"*")</f>
        <v>0</v>
      </c>
      <c r="R1051" s="200">
        <f t="shared" si="5332"/>
        <v>0</v>
      </c>
      <c r="S1051" s="200">
        <f t="shared" si="5332"/>
        <v>0</v>
      </c>
      <c r="T1051" s="200">
        <f t="shared" si="5332"/>
        <v>0</v>
      </c>
      <c r="U1051" s="200">
        <f t="shared" si="5332"/>
        <v>0</v>
      </c>
      <c r="V1051" s="200">
        <f t="shared" si="5332"/>
        <v>0</v>
      </c>
      <c r="W1051" s="200">
        <f t="shared" si="5332"/>
        <v>0</v>
      </c>
      <c r="X1051" s="200">
        <f t="shared" si="5332"/>
        <v>0</v>
      </c>
      <c r="Y1051" s="200">
        <f t="shared" si="5332"/>
        <v>0</v>
      </c>
      <c r="Z1051" s="200">
        <f t="shared" si="5332"/>
        <v>0</v>
      </c>
      <c r="AA1051" s="200">
        <f t="shared" si="5332"/>
        <v>0</v>
      </c>
      <c r="AB1051" s="200">
        <f t="shared" si="5332"/>
        <v>0</v>
      </c>
      <c r="AC1051" s="200">
        <f t="shared" si="5332"/>
        <v>0</v>
      </c>
      <c r="AD1051" s="200">
        <f t="shared" si="11"/>
        <v>0</v>
      </c>
      <c r="AE1051" s="200">
        <f t="shared" ref="AE1051:AG1051" si="5333">countif($D1051,"*"&amp;AE$2&amp;"*")</f>
        <v>0</v>
      </c>
      <c r="AF1051" s="200">
        <f t="shared" si="5333"/>
        <v>0</v>
      </c>
      <c r="AG1051" s="200">
        <f t="shared" si="5333"/>
        <v>0</v>
      </c>
      <c r="AH1051" s="171">
        <f t="shared" si="13"/>
        <v>0</v>
      </c>
      <c r="AI1051" s="200">
        <f t="shared" si="14"/>
        <v>1</v>
      </c>
      <c r="AJ1051" s="200">
        <f t="shared" si="4907"/>
        <v>0</v>
      </c>
      <c r="AK1051" s="201">
        <f t="shared" ref="AK1051:AS1051" si="5334">countif($D1051,"*"&amp;AK$2&amp;"*")</f>
        <v>0</v>
      </c>
      <c r="AL1051" s="201">
        <f t="shared" si="5334"/>
        <v>0</v>
      </c>
      <c r="AM1051" s="201">
        <f t="shared" si="5334"/>
        <v>0</v>
      </c>
      <c r="AN1051" s="201">
        <f t="shared" si="5334"/>
        <v>0</v>
      </c>
      <c r="AO1051" s="201">
        <f t="shared" si="5334"/>
        <v>0</v>
      </c>
      <c r="AP1051" s="201">
        <f t="shared" si="5334"/>
        <v>0</v>
      </c>
      <c r="AQ1051" s="201">
        <f t="shared" si="5334"/>
        <v>0</v>
      </c>
      <c r="AR1051" s="200">
        <f t="shared" si="5334"/>
        <v>0</v>
      </c>
      <c r="AS1051" s="200">
        <f t="shared" si="5334"/>
        <v>0</v>
      </c>
      <c r="AT1051" s="173">
        <v>0.0</v>
      </c>
      <c r="AU1051" s="200">
        <f t="shared" si="5324"/>
        <v>0</v>
      </c>
      <c r="AV1051" s="200">
        <f t="shared" ref="AV1051:AX1051" si="5335">countif($D1051,"*"&amp;AV$2&amp;"*")</f>
        <v>0</v>
      </c>
      <c r="AW1051" s="200">
        <f t="shared" si="5335"/>
        <v>0</v>
      </c>
      <c r="AX1051" s="200">
        <f t="shared" si="5335"/>
        <v>1</v>
      </c>
      <c r="AY1051" s="202">
        <v>0.0</v>
      </c>
      <c r="AZ1051" s="200"/>
      <c r="BA1051" s="171" t="str">
        <f t="shared" si="18"/>
        <v>Archival</v>
      </c>
      <c r="BB1051" s="171" t="str">
        <f t="shared" si="19"/>
        <v/>
      </c>
      <c r="BC1051" s="171" t="str">
        <f t="shared" si="20"/>
        <v/>
      </c>
      <c r="BD1051" s="171" t="str">
        <f t="shared" si="21"/>
        <v/>
      </c>
      <c r="BE1051" s="171" t="str">
        <f t="shared" si="22"/>
        <v/>
      </c>
      <c r="BF1051" s="171" t="str">
        <f t="shared" si="23"/>
        <v>Archival</v>
      </c>
    </row>
    <row r="1052">
      <c r="A1052" s="171">
        <f t="array" ref="A1052">XLOOKUP(C1052,ICSE!A:A,ICSE!C:C,,2,1)</f>
        <v>2023</v>
      </c>
      <c r="B1052" s="171" t="s">
        <v>5675</v>
      </c>
      <c r="C1052" s="160">
        <v>2078.0</v>
      </c>
      <c r="D1052" s="161" t="s">
        <v>6117</v>
      </c>
      <c r="E1052" s="197" t="str">
        <f t="array" ref="E1052">XLOOKUP(C1052,ICSE!A:A,ICSE!Z:Z,,0,1)</f>
        <v>Publicly available (2)</v>
      </c>
      <c r="F1052" s="198" t="s">
        <v>20</v>
      </c>
      <c r="G1052" s="163" t="str">
        <f t="array" ref="G1052">IF(B1052="ICSE",IF(COUNTIFS(B:B,B1052,C:C,C1052)=XLOOKUP(C1052,ICSE!A:A,ICSE!AA:AA,"ERROR",0,1),"OK","ERROR"),IF(B1052="FSE",IF(COUNTIFS(B:B,B1052,C:C,C1052)=XLOOKUP(C1052,FSE!A:A,FSE!AA:AA,"ERROR",0,1),"OK","ERROR")))</f>
        <v>OK</v>
      </c>
      <c r="H1052" s="199">
        <f t="shared" ref="H1052:O1052" si="5336">countif($D1052,"*"&amp;H$2&amp;"*")</f>
        <v>1</v>
      </c>
      <c r="I1052" s="200">
        <f t="shared" si="5336"/>
        <v>0</v>
      </c>
      <c r="J1052" s="200">
        <f t="shared" si="5336"/>
        <v>0</v>
      </c>
      <c r="K1052" s="200">
        <f t="shared" si="5336"/>
        <v>0</v>
      </c>
      <c r="L1052" s="200">
        <f t="shared" si="5336"/>
        <v>0</v>
      </c>
      <c r="M1052" s="200">
        <f t="shared" si="5336"/>
        <v>0</v>
      </c>
      <c r="N1052" s="200">
        <f t="shared" si="5336"/>
        <v>0</v>
      </c>
      <c r="O1052" s="200">
        <f t="shared" si="5336"/>
        <v>0</v>
      </c>
      <c r="P1052" s="200">
        <f t="shared" si="9"/>
        <v>0</v>
      </c>
      <c r="Q1052" s="200">
        <f t="shared" ref="Q1052:AC1052" si="5337">countif($D1052,"*"&amp;Q$2&amp;"*")</f>
        <v>0</v>
      </c>
      <c r="R1052" s="200">
        <f t="shared" si="5337"/>
        <v>0</v>
      </c>
      <c r="S1052" s="200">
        <f t="shared" si="5337"/>
        <v>0</v>
      </c>
      <c r="T1052" s="200">
        <f t="shared" si="5337"/>
        <v>0</v>
      </c>
      <c r="U1052" s="200">
        <f t="shared" si="5337"/>
        <v>0</v>
      </c>
      <c r="V1052" s="200">
        <f t="shared" si="5337"/>
        <v>0</v>
      </c>
      <c r="W1052" s="200">
        <f t="shared" si="5337"/>
        <v>0</v>
      </c>
      <c r="X1052" s="200">
        <f t="shared" si="5337"/>
        <v>0</v>
      </c>
      <c r="Y1052" s="200">
        <f t="shared" si="5337"/>
        <v>0</v>
      </c>
      <c r="Z1052" s="200">
        <f t="shared" si="5337"/>
        <v>0</v>
      </c>
      <c r="AA1052" s="200">
        <f t="shared" si="5337"/>
        <v>0</v>
      </c>
      <c r="AB1052" s="200">
        <f t="shared" si="5337"/>
        <v>0</v>
      </c>
      <c r="AC1052" s="200">
        <f t="shared" si="5337"/>
        <v>0</v>
      </c>
      <c r="AD1052" s="200">
        <f t="shared" si="11"/>
        <v>0</v>
      </c>
      <c r="AE1052" s="200">
        <f t="shared" ref="AE1052:AG1052" si="5338">countif($D1052,"*"&amp;AE$2&amp;"*")</f>
        <v>0</v>
      </c>
      <c r="AF1052" s="200">
        <f t="shared" si="5338"/>
        <v>0</v>
      </c>
      <c r="AG1052" s="200">
        <f t="shared" si="5338"/>
        <v>0</v>
      </c>
      <c r="AH1052" s="171">
        <f t="shared" si="13"/>
        <v>0</v>
      </c>
      <c r="AI1052" s="200">
        <f t="shared" si="14"/>
        <v>1</v>
      </c>
      <c r="AJ1052" s="200">
        <f t="shared" si="4907"/>
        <v>0</v>
      </c>
      <c r="AK1052" s="201">
        <f t="shared" ref="AK1052:AS1052" si="5339">countif($D1052,"*"&amp;AK$2&amp;"*")</f>
        <v>0</v>
      </c>
      <c r="AL1052" s="201">
        <f t="shared" si="5339"/>
        <v>0</v>
      </c>
      <c r="AM1052" s="201">
        <f t="shared" si="5339"/>
        <v>0</v>
      </c>
      <c r="AN1052" s="201">
        <f t="shared" si="5339"/>
        <v>0</v>
      </c>
      <c r="AO1052" s="201">
        <f t="shared" si="5339"/>
        <v>0</v>
      </c>
      <c r="AP1052" s="201">
        <f t="shared" si="5339"/>
        <v>0</v>
      </c>
      <c r="AQ1052" s="201">
        <f t="shared" si="5339"/>
        <v>0</v>
      </c>
      <c r="AR1052" s="200">
        <f t="shared" si="5339"/>
        <v>0</v>
      </c>
      <c r="AS1052" s="200">
        <f t="shared" si="5339"/>
        <v>0</v>
      </c>
      <c r="AT1052" s="173">
        <v>0.0</v>
      </c>
      <c r="AU1052" s="200">
        <f t="shared" si="5324"/>
        <v>0</v>
      </c>
      <c r="AV1052" s="200">
        <f t="shared" ref="AV1052:AX1052" si="5340">countif($D1052,"*"&amp;AV$2&amp;"*")</f>
        <v>0</v>
      </c>
      <c r="AW1052" s="200">
        <f t="shared" si="5340"/>
        <v>0</v>
      </c>
      <c r="AX1052" s="200">
        <f t="shared" si="5340"/>
        <v>1</v>
      </c>
      <c r="AY1052" s="202">
        <v>0.0</v>
      </c>
      <c r="AZ1052" s="200"/>
      <c r="BA1052" s="171" t="str">
        <f t="shared" si="18"/>
        <v>Archival</v>
      </c>
      <c r="BB1052" s="171" t="str">
        <f t="shared" si="19"/>
        <v/>
      </c>
      <c r="BC1052" s="171" t="str">
        <f t="shared" si="20"/>
        <v/>
      </c>
      <c r="BD1052" s="171" t="str">
        <f t="shared" si="21"/>
        <v/>
      </c>
      <c r="BE1052" s="171" t="str">
        <f t="shared" si="22"/>
        <v/>
      </c>
      <c r="BF1052" s="171" t="str">
        <f t="shared" si="23"/>
        <v>Archival</v>
      </c>
    </row>
    <row r="1053">
      <c r="A1053" s="171">
        <f t="array" ref="A1053">XLOOKUP(C1053,ICSE!A:A,ICSE!C:C,,2,1)</f>
        <v>2023</v>
      </c>
      <c r="B1053" s="171" t="s">
        <v>5675</v>
      </c>
      <c r="C1053" s="160">
        <v>2079.0</v>
      </c>
      <c r="D1053" s="161" t="s">
        <v>2948</v>
      </c>
      <c r="E1053" s="197" t="str">
        <f t="array" ref="E1053">XLOOKUP(C1053,ICSE!A:A,ICSE!Z:Z,,0,1)</f>
        <v>Publicly available (1)</v>
      </c>
      <c r="F1053" s="198" t="s">
        <v>20</v>
      </c>
      <c r="G1053" s="163" t="str">
        <f t="array" ref="G1053">IF(B1053="ICSE",IF(COUNTIFS(B:B,B1053,C:C,C1053)=XLOOKUP(C1053,ICSE!A:A,ICSE!AA:AA,"ERROR",0,1),"OK","ERROR"),IF(B1053="FSE",IF(COUNTIFS(B:B,B1053,C:C,C1053)=XLOOKUP(C1053,FSE!A:A,FSE!AA:AA,"ERROR",0,1),"OK","ERROR")))</f>
        <v>OK</v>
      </c>
      <c r="H1053" s="199">
        <f t="shared" ref="H1053:O1053" si="5341">countif($D1053,"*"&amp;H$2&amp;"*")</f>
        <v>1</v>
      </c>
      <c r="I1053" s="200">
        <f t="shared" si="5341"/>
        <v>0</v>
      </c>
      <c r="J1053" s="200">
        <f t="shared" si="5341"/>
        <v>0</v>
      </c>
      <c r="K1053" s="200">
        <f t="shared" si="5341"/>
        <v>0</v>
      </c>
      <c r="L1053" s="200">
        <f t="shared" si="5341"/>
        <v>0</v>
      </c>
      <c r="M1053" s="200">
        <f t="shared" si="5341"/>
        <v>0</v>
      </c>
      <c r="N1053" s="200">
        <f t="shared" si="5341"/>
        <v>0</v>
      </c>
      <c r="O1053" s="200">
        <f t="shared" si="5341"/>
        <v>0</v>
      </c>
      <c r="P1053" s="200">
        <f t="shared" si="9"/>
        <v>0</v>
      </c>
      <c r="Q1053" s="200">
        <f t="shared" ref="Q1053:AC1053" si="5342">countif($D1053,"*"&amp;Q$2&amp;"*")</f>
        <v>0</v>
      </c>
      <c r="R1053" s="200">
        <f t="shared" si="5342"/>
        <v>0</v>
      </c>
      <c r="S1053" s="200">
        <f t="shared" si="5342"/>
        <v>0</v>
      </c>
      <c r="T1053" s="200">
        <f t="shared" si="5342"/>
        <v>0</v>
      </c>
      <c r="U1053" s="200">
        <f t="shared" si="5342"/>
        <v>0</v>
      </c>
      <c r="V1053" s="200">
        <f t="shared" si="5342"/>
        <v>0</v>
      </c>
      <c r="W1053" s="200">
        <f t="shared" si="5342"/>
        <v>0</v>
      </c>
      <c r="X1053" s="200">
        <f t="shared" si="5342"/>
        <v>0</v>
      </c>
      <c r="Y1053" s="200">
        <f t="shared" si="5342"/>
        <v>0</v>
      </c>
      <c r="Z1053" s="200">
        <f t="shared" si="5342"/>
        <v>0</v>
      </c>
      <c r="AA1053" s="200">
        <f t="shared" si="5342"/>
        <v>0</v>
      </c>
      <c r="AB1053" s="200">
        <f t="shared" si="5342"/>
        <v>0</v>
      </c>
      <c r="AC1053" s="200">
        <f t="shared" si="5342"/>
        <v>0</v>
      </c>
      <c r="AD1053" s="200">
        <f t="shared" si="11"/>
        <v>0</v>
      </c>
      <c r="AE1053" s="200">
        <f t="shared" ref="AE1053:AG1053" si="5343">countif($D1053,"*"&amp;AE$2&amp;"*")</f>
        <v>0</v>
      </c>
      <c r="AF1053" s="200">
        <f t="shared" si="5343"/>
        <v>0</v>
      </c>
      <c r="AG1053" s="200">
        <f t="shared" si="5343"/>
        <v>0</v>
      </c>
      <c r="AH1053" s="171">
        <f t="shared" si="13"/>
        <v>0</v>
      </c>
      <c r="AI1053" s="200">
        <f t="shared" si="14"/>
        <v>1</v>
      </c>
      <c r="AJ1053" s="200">
        <f t="shared" si="4907"/>
        <v>0</v>
      </c>
      <c r="AK1053" s="201">
        <f t="shared" ref="AK1053:AS1053" si="5344">countif($D1053,"*"&amp;AK$2&amp;"*")</f>
        <v>0</v>
      </c>
      <c r="AL1053" s="201">
        <f t="shared" si="5344"/>
        <v>0</v>
      </c>
      <c r="AM1053" s="201">
        <f t="shared" si="5344"/>
        <v>0</v>
      </c>
      <c r="AN1053" s="201">
        <f t="shared" si="5344"/>
        <v>0</v>
      </c>
      <c r="AO1053" s="201">
        <f t="shared" si="5344"/>
        <v>0</v>
      </c>
      <c r="AP1053" s="201">
        <f t="shared" si="5344"/>
        <v>0</v>
      </c>
      <c r="AQ1053" s="201">
        <f t="shared" si="5344"/>
        <v>0</v>
      </c>
      <c r="AR1053" s="200">
        <f t="shared" si="5344"/>
        <v>0</v>
      </c>
      <c r="AS1053" s="200">
        <f t="shared" si="5344"/>
        <v>0</v>
      </c>
      <c r="AT1053" s="173">
        <v>0.0</v>
      </c>
      <c r="AU1053" s="200">
        <f t="shared" si="5324"/>
        <v>0</v>
      </c>
      <c r="AV1053" s="200">
        <f t="shared" ref="AV1053:AX1053" si="5345">countif($D1053,"*"&amp;AV$2&amp;"*")</f>
        <v>0</v>
      </c>
      <c r="AW1053" s="200">
        <f t="shared" si="5345"/>
        <v>0</v>
      </c>
      <c r="AX1053" s="200">
        <f t="shared" si="5345"/>
        <v>1</v>
      </c>
      <c r="AY1053" s="202">
        <v>0.0</v>
      </c>
      <c r="AZ1053" s="200"/>
      <c r="BA1053" s="171" t="str">
        <f t="shared" si="18"/>
        <v>Archival</v>
      </c>
      <c r="BB1053" s="171" t="str">
        <f t="shared" si="19"/>
        <v/>
      </c>
      <c r="BC1053" s="171" t="str">
        <f t="shared" si="20"/>
        <v/>
      </c>
      <c r="BD1053" s="171" t="str">
        <f t="shared" si="21"/>
        <v/>
      </c>
      <c r="BE1053" s="171" t="str">
        <f t="shared" si="22"/>
        <v/>
      </c>
      <c r="BF1053" s="171" t="str">
        <f t="shared" si="23"/>
        <v>Archival</v>
      </c>
    </row>
    <row r="1054">
      <c r="A1054" s="171">
        <f t="array" ref="A1054">XLOOKUP(C1054,ICSE!A:A,ICSE!C:C,,2,1)</f>
        <v>2023</v>
      </c>
      <c r="B1054" s="171" t="s">
        <v>5675</v>
      </c>
      <c r="C1054" s="160">
        <v>2080.0</v>
      </c>
      <c r="D1054" s="161" t="s">
        <v>2951</v>
      </c>
      <c r="E1054" s="197" t="str">
        <f t="array" ref="E1054">XLOOKUP(C1054,ICSE!A:A,ICSE!Z:Z,,0,1)</f>
        <v>Publicly available (1)</v>
      </c>
      <c r="F1054" s="198" t="s">
        <v>20</v>
      </c>
      <c r="G1054" s="163" t="str">
        <f t="array" ref="G1054">IF(B1054="ICSE",IF(COUNTIFS(B:B,B1054,C:C,C1054)=XLOOKUP(C1054,ICSE!A:A,ICSE!AA:AA,"ERROR",0,1),"OK","ERROR"),IF(B1054="FSE",IF(COUNTIFS(B:B,B1054,C:C,C1054)=XLOOKUP(C1054,FSE!A:A,FSE!AA:AA,"ERROR",0,1),"OK","ERROR")))</f>
        <v>OK</v>
      </c>
      <c r="H1054" s="199">
        <f t="shared" ref="H1054:O1054" si="5346">countif($D1054,"*"&amp;H$2&amp;"*")</f>
        <v>0</v>
      </c>
      <c r="I1054" s="200">
        <f t="shared" si="5346"/>
        <v>1</v>
      </c>
      <c r="J1054" s="200">
        <f t="shared" si="5346"/>
        <v>0</v>
      </c>
      <c r="K1054" s="200">
        <f t="shared" si="5346"/>
        <v>0</v>
      </c>
      <c r="L1054" s="200">
        <f t="shared" si="5346"/>
        <v>0</v>
      </c>
      <c r="M1054" s="200">
        <f t="shared" si="5346"/>
        <v>0</v>
      </c>
      <c r="N1054" s="200">
        <f t="shared" si="5346"/>
        <v>0</v>
      </c>
      <c r="O1054" s="200">
        <f t="shared" si="5346"/>
        <v>0</v>
      </c>
      <c r="P1054" s="200">
        <f t="shared" si="9"/>
        <v>0</v>
      </c>
      <c r="Q1054" s="200">
        <f t="shared" ref="Q1054:AC1054" si="5347">countif($D1054,"*"&amp;Q$2&amp;"*")</f>
        <v>0</v>
      </c>
      <c r="R1054" s="200">
        <f t="shared" si="5347"/>
        <v>0</v>
      </c>
      <c r="S1054" s="200">
        <f t="shared" si="5347"/>
        <v>0</v>
      </c>
      <c r="T1054" s="200">
        <f t="shared" si="5347"/>
        <v>0</v>
      </c>
      <c r="U1054" s="200">
        <f t="shared" si="5347"/>
        <v>0</v>
      </c>
      <c r="V1054" s="200">
        <f t="shared" si="5347"/>
        <v>0</v>
      </c>
      <c r="W1054" s="200">
        <f t="shared" si="5347"/>
        <v>0</v>
      </c>
      <c r="X1054" s="200">
        <f t="shared" si="5347"/>
        <v>0</v>
      </c>
      <c r="Y1054" s="200">
        <f t="shared" si="5347"/>
        <v>0</v>
      </c>
      <c r="Z1054" s="200">
        <f t="shared" si="5347"/>
        <v>0</v>
      </c>
      <c r="AA1054" s="200">
        <f t="shared" si="5347"/>
        <v>0</v>
      </c>
      <c r="AB1054" s="200">
        <f t="shared" si="5347"/>
        <v>0</v>
      </c>
      <c r="AC1054" s="200">
        <f t="shared" si="5347"/>
        <v>0</v>
      </c>
      <c r="AD1054" s="200">
        <f t="shared" si="11"/>
        <v>0</v>
      </c>
      <c r="AE1054" s="200">
        <f t="shared" ref="AE1054:AG1054" si="5348">countif($D1054,"*"&amp;AE$2&amp;"*")</f>
        <v>0</v>
      </c>
      <c r="AF1054" s="200">
        <f t="shared" si="5348"/>
        <v>0</v>
      </c>
      <c r="AG1054" s="200">
        <f t="shared" si="5348"/>
        <v>0</v>
      </c>
      <c r="AH1054" s="171">
        <f t="shared" si="13"/>
        <v>0</v>
      </c>
      <c r="AI1054" s="200">
        <f t="shared" si="14"/>
        <v>1</v>
      </c>
      <c r="AJ1054" s="200">
        <f t="shared" si="4907"/>
        <v>0</v>
      </c>
      <c r="AK1054" s="201">
        <f t="shared" ref="AK1054:AS1054" si="5349">countif($D1054,"*"&amp;AK$2&amp;"*")</f>
        <v>0</v>
      </c>
      <c r="AL1054" s="201">
        <f t="shared" si="5349"/>
        <v>0</v>
      </c>
      <c r="AM1054" s="201">
        <f t="shared" si="5349"/>
        <v>0</v>
      </c>
      <c r="AN1054" s="201">
        <f t="shared" si="5349"/>
        <v>0</v>
      </c>
      <c r="AO1054" s="201">
        <f t="shared" si="5349"/>
        <v>0</v>
      </c>
      <c r="AP1054" s="201">
        <f t="shared" si="5349"/>
        <v>0</v>
      </c>
      <c r="AQ1054" s="201">
        <f t="shared" si="5349"/>
        <v>0</v>
      </c>
      <c r="AR1054" s="200">
        <f t="shared" si="5349"/>
        <v>0</v>
      </c>
      <c r="AS1054" s="200">
        <f t="shared" si="5349"/>
        <v>0</v>
      </c>
      <c r="AT1054" s="173">
        <v>0.0</v>
      </c>
      <c r="AU1054" s="200">
        <f t="shared" si="5324"/>
        <v>0</v>
      </c>
      <c r="AV1054" s="200">
        <f t="shared" ref="AV1054:AX1054" si="5350">countif($D1054,"*"&amp;AV$2&amp;"*")</f>
        <v>0</v>
      </c>
      <c r="AW1054" s="200">
        <f t="shared" si="5350"/>
        <v>0</v>
      </c>
      <c r="AX1054" s="200">
        <f t="shared" si="5350"/>
        <v>1</v>
      </c>
      <c r="AY1054" s="202">
        <v>0.0</v>
      </c>
      <c r="AZ1054" s="200"/>
      <c r="BA1054" s="171" t="str">
        <f t="shared" si="18"/>
        <v>Archival</v>
      </c>
      <c r="BB1054" s="171" t="str">
        <f t="shared" si="19"/>
        <v/>
      </c>
      <c r="BC1054" s="171" t="str">
        <f t="shared" si="20"/>
        <v/>
      </c>
      <c r="BD1054" s="171" t="str">
        <f t="shared" si="21"/>
        <v/>
      </c>
      <c r="BE1054" s="171" t="str">
        <f t="shared" si="22"/>
        <v/>
      </c>
      <c r="BF1054" s="171" t="str">
        <f t="shared" si="23"/>
        <v>Archival</v>
      </c>
    </row>
    <row r="1055">
      <c r="A1055" s="171">
        <f t="array" ref="A1055">XLOOKUP(C1055,ICSE!A:A,ICSE!C:C,,2,1)</f>
        <v>2023</v>
      </c>
      <c r="B1055" s="171" t="s">
        <v>5675</v>
      </c>
      <c r="C1055" s="160">
        <v>2081.0</v>
      </c>
      <c r="D1055" s="161" t="s">
        <v>2954</v>
      </c>
      <c r="E1055" s="197" t="str">
        <f t="array" ref="E1055">XLOOKUP(C1055,ICSE!A:A,ICSE!Z:Z,,0,1)</f>
        <v>Publicly available (1)</v>
      </c>
      <c r="F1055" s="198" t="s">
        <v>20</v>
      </c>
      <c r="G1055" s="163" t="str">
        <f t="array" ref="G1055">IF(B1055="ICSE",IF(COUNTIFS(B:B,B1055,C:C,C1055)=XLOOKUP(C1055,ICSE!A:A,ICSE!AA:AA,"ERROR",0,1),"OK","ERROR"),IF(B1055="FSE",IF(COUNTIFS(B:B,B1055,C:C,C1055)=XLOOKUP(C1055,FSE!A:A,FSE!AA:AA,"ERROR",0,1),"OK","ERROR")))</f>
        <v>OK</v>
      </c>
      <c r="H1055" s="199">
        <f t="shared" ref="H1055:O1055" si="5351">countif($D1055,"*"&amp;H$2&amp;"*")</f>
        <v>1</v>
      </c>
      <c r="I1055" s="200">
        <f t="shared" si="5351"/>
        <v>0</v>
      </c>
      <c r="J1055" s="200">
        <f t="shared" si="5351"/>
        <v>0</v>
      </c>
      <c r="K1055" s="200">
        <f t="shared" si="5351"/>
        <v>0</v>
      </c>
      <c r="L1055" s="200">
        <f t="shared" si="5351"/>
        <v>0</v>
      </c>
      <c r="M1055" s="200">
        <f t="shared" si="5351"/>
        <v>0</v>
      </c>
      <c r="N1055" s="200">
        <f t="shared" si="5351"/>
        <v>0</v>
      </c>
      <c r="O1055" s="200">
        <f t="shared" si="5351"/>
        <v>0</v>
      </c>
      <c r="P1055" s="200">
        <f t="shared" si="9"/>
        <v>0</v>
      </c>
      <c r="Q1055" s="200">
        <f t="shared" ref="Q1055:AC1055" si="5352">countif($D1055,"*"&amp;Q$2&amp;"*")</f>
        <v>0</v>
      </c>
      <c r="R1055" s="200">
        <f t="shared" si="5352"/>
        <v>0</v>
      </c>
      <c r="S1055" s="200">
        <f t="shared" si="5352"/>
        <v>0</v>
      </c>
      <c r="T1055" s="200">
        <f t="shared" si="5352"/>
        <v>0</v>
      </c>
      <c r="U1055" s="200">
        <f t="shared" si="5352"/>
        <v>0</v>
      </c>
      <c r="V1055" s="200">
        <f t="shared" si="5352"/>
        <v>0</v>
      </c>
      <c r="W1055" s="200">
        <f t="shared" si="5352"/>
        <v>0</v>
      </c>
      <c r="X1055" s="200">
        <f t="shared" si="5352"/>
        <v>0</v>
      </c>
      <c r="Y1055" s="200">
        <f t="shared" si="5352"/>
        <v>0</v>
      </c>
      <c r="Z1055" s="200">
        <f t="shared" si="5352"/>
        <v>0</v>
      </c>
      <c r="AA1055" s="200">
        <f t="shared" si="5352"/>
        <v>0</v>
      </c>
      <c r="AB1055" s="200">
        <f t="shared" si="5352"/>
        <v>0</v>
      </c>
      <c r="AC1055" s="200">
        <f t="shared" si="5352"/>
        <v>0</v>
      </c>
      <c r="AD1055" s="200">
        <f t="shared" si="11"/>
        <v>0</v>
      </c>
      <c r="AE1055" s="200">
        <f t="shared" ref="AE1055:AG1055" si="5353">countif($D1055,"*"&amp;AE$2&amp;"*")</f>
        <v>0</v>
      </c>
      <c r="AF1055" s="200">
        <f t="shared" si="5353"/>
        <v>0</v>
      </c>
      <c r="AG1055" s="200">
        <f t="shared" si="5353"/>
        <v>0</v>
      </c>
      <c r="AH1055" s="171">
        <f t="shared" si="13"/>
        <v>0</v>
      </c>
      <c r="AI1055" s="200">
        <f t="shared" si="14"/>
        <v>1</v>
      </c>
      <c r="AJ1055" s="200">
        <f t="shared" si="4907"/>
        <v>0</v>
      </c>
      <c r="AK1055" s="201">
        <f t="shared" ref="AK1055:AS1055" si="5354">countif($D1055,"*"&amp;AK$2&amp;"*")</f>
        <v>0</v>
      </c>
      <c r="AL1055" s="201">
        <f t="shared" si="5354"/>
        <v>0</v>
      </c>
      <c r="AM1055" s="201">
        <f t="shared" si="5354"/>
        <v>0</v>
      </c>
      <c r="AN1055" s="201">
        <f t="shared" si="5354"/>
        <v>0</v>
      </c>
      <c r="AO1055" s="201">
        <f t="shared" si="5354"/>
        <v>0</v>
      </c>
      <c r="AP1055" s="201">
        <f t="shared" si="5354"/>
        <v>0</v>
      </c>
      <c r="AQ1055" s="201">
        <f t="shared" si="5354"/>
        <v>0</v>
      </c>
      <c r="AR1055" s="200">
        <f t="shared" si="5354"/>
        <v>0</v>
      </c>
      <c r="AS1055" s="200">
        <f t="shared" si="5354"/>
        <v>0</v>
      </c>
      <c r="AT1055" s="173">
        <v>0.0</v>
      </c>
      <c r="AU1055" s="200">
        <f t="shared" si="5324"/>
        <v>0</v>
      </c>
      <c r="AV1055" s="200">
        <f t="shared" ref="AV1055:AX1055" si="5355">countif($D1055,"*"&amp;AV$2&amp;"*")</f>
        <v>0</v>
      </c>
      <c r="AW1055" s="200">
        <f t="shared" si="5355"/>
        <v>0</v>
      </c>
      <c r="AX1055" s="200">
        <f t="shared" si="5355"/>
        <v>1</v>
      </c>
      <c r="AY1055" s="202">
        <v>0.0</v>
      </c>
      <c r="AZ1055" s="200"/>
      <c r="BA1055" s="171" t="str">
        <f t="shared" si="18"/>
        <v>Archival</v>
      </c>
      <c r="BB1055" s="171" t="str">
        <f t="shared" si="19"/>
        <v/>
      </c>
      <c r="BC1055" s="171" t="str">
        <f t="shared" si="20"/>
        <v/>
      </c>
      <c r="BD1055" s="171" t="str">
        <f t="shared" si="21"/>
        <v/>
      </c>
      <c r="BE1055" s="171" t="str">
        <f t="shared" si="22"/>
        <v/>
      </c>
      <c r="BF1055" s="171" t="str">
        <f t="shared" si="23"/>
        <v>Archival</v>
      </c>
    </row>
    <row r="1056">
      <c r="A1056" s="171">
        <f t="array" ref="A1056">XLOOKUP(C1056,ICSE!A:A,ICSE!C:C,,2,1)</f>
        <v>2023</v>
      </c>
      <c r="B1056" s="171" t="s">
        <v>5675</v>
      </c>
      <c r="C1056" s="160">
        <v>2082.0</v>
      </c>
      <c r="D1056" s="161" t="s">
        <v>6118</v>
      </c>
      <c r="E1056" s="197" t="str">
        <f t="array" ref="E1056">XLOOKUP(C1056,ICSE!A:A,ICSE!Z:Z,,0,1)</f>
        <v>Publicly available (4)</v>
      </c>
      <c r="F1056" s="198" t="s">
        <v>20</v>
      </c>
      <c r="G1056" s="163" t="str">
        <f t="array" ref="G1056">IF(B1056="ICSE",IF(COUNTIFS(B:B,B1056,C:C,C1056)=XLOOKUP(C1056,ICSE!A:A,ICSE!AA:AA,"ERROR",0,1),"OK","ERROR"),IF(B1056="FSE",IF(COUNTIFS(B:B,B1056,C:C,C1056)=XLOOKUP(C1056,FSE!A:A,FSE!AA:AA,"ERROR",0,1),"OK","ERROR")))</f>
        <v>OK</v>
      </c>
      <c r="H1056" s="199">
        <f t="shared" ref="H1056:O1056" si="5356">countif($D1056,"*"&amp;H$2&amp;"*")</f>
        <v>0</v>
      </c>
      <c r="I1056" s="200">
        <f t="shared" si="5356"/>
        <v>0</v>
      </c>
      <c r="J1056" s="200">
        <f t="shared" si="5356"/>
        <v>0</v>
      </c>
      <c r="K1056" s="200">
        <f t="shared" si="5356"/>
        <v>0</v>
      </c>
      <c r="L1056" s="200">
        <f t="shared" si="5356"/>
        <v>0</v>
      </c>
      <c r="M1056" s="200">
        <f t="shared" si="5356"/>
        <v>0</v>
      </c>
      <c r="N1056" s="200">
        <f t="shared" si="5356"/>
        <v>0</v>
      </c>
      <c r="O1056" s="200">
        <f t="shared" si="5356"/>
        <v>0</v>
      </c>
      <c r="P1056" s="200">
        <f t="shared" si="9"/>
        <v>0</v>
      </c>
      <c r="Q1056" s="200">
        <f t="shared" ref="Q1056:AC1056" si="5357">countif($D1056,"*"&amp;Q$2&amp;"*")</f>
        <v>0</v>
      </c>
      <c r="R1056" s="200">
        <f t="shared" si="5357"/>
        <v>0</v>
      </c>
      <c r="S1056" s="200">
        <f t="shared" si="5357"/>
        <v>0</v>
      </c>
      <c r="T1056" s="200">
        <f t="shared" si="5357"/>
        <v>0</v>
      </c>
      <c r="U1056" s="200">
        <f t="shared" si="5357"/>
        <v>0</v>
      </c>
      <c r="V1056" s="200">
        <f t="shared" si="5357"/>
        <v>0</v>
      </c>
      <c r="W1056" s="200">
        <f t="shared" si="5357"/>
        <v>0</v>
      </c>
      <c r="X1056" s="200">
        <f t="shared" si="5357"/>
        <v>0</v>
      </c>
      <c r="Y1056" s="200">
        <f t="shared" si="5357"/>
        <v>0</v>
      </c>
      <c r="Z1056" s="200">
        <f t="shared" si="5357"/>
        <v>0</v>
      </c>
      <c r="AA1056" s="200">
        <f t="shared" si="5357"/>
        <v>0</v>
      </c>
      <c r="AB1056" s="200">
        <f t="shared" si="5357"/>
        <v>0</v>
      </c>
      <c r="AC1056" s="200">
        <f t="shared" si="5357"/>
        <v>0</v>
      </c>
      <c r="AD1056" s="200">
        <f t="shared" si="11"/>
        <v>1</v>
      </c>
      <c r="AE1056" s="200">
        <f t="shared" ref="AE1056:AG1056" si="5358">countif($D1056,"*"&amp;AE$2&amp;"*")</f>
        <v>0</v>
      </c>
      <c r="AF1056" s="200">
        <f t="shared" si="5358"/>
        <v>0</v>
      </c>
      <c r="AG1056" s="200">
        <f t="shared" si="5358"/>
        <v>0</v>
      </c>
      <c r="AH1056" s="171">
        <f t="shared" si="13"/>
        <v>0</v>
      </c>
      <c r="AI1056" s="200">
        <f t="shared" si="14"/>
        <v>0</v>
      </c>
      <c r="AJ1056" s="200">
        <f t="shared" si="4907"/>
        <v>0</v>
      </c>
      <c r="AK1056" s="201">
        <f t="shared" ref="AK1056:AS1056" si="5359">countif($D1056,"*"&amp;AK$2&amp;"*")</f>
        <v>0</v>
      </c>
      <c r="AL1056" s="201">
        <f t="shared" si="5359"/>
        <v>0</v>
      </c>
      <c r="AM1056" s="201">
        <f t="shared" si="5359"/>
        <v>0</v>
      </c>
      <c r="AN1056" s="201">
        <f t="shared" si="5359"/>
        <v>0</v>
      </c>
      <c r="AO1056" s="201">
        <f t="shared" si="5359"/>
        <v>0</v>
      </c>
      <c r="AP1056" s="201">
        <f t="shared" si="5359"/>
        <v>0</v>
      </c>
      <c r="AQ1056" s="201">
        <f t="shared" si="5359"/>
        <v>0</v>
      </c>
      <c r="AR1056" s="200">
        <f t="shared" si="5359"/>
        <v>0</v>
      </c>
      <c r="AS1056" s="200">
        <f t="shared" si="5359"/>
        <v>0</v>
      </c>
      <c r="AT1056" s="173">
        <v>1.0</v>
      </c>
      <c r="AU1056" s="200">
        <f t="shared" si="5324"/>
        <v>0</v>
      </c>
      <c r="AV1056" s="200">
        <f t="shared" ref="AV1056:AX1056" si="5360">countif($D1056,"*"&amp;AV$2&amp;"*")</f>
        <v>0</v>
      </c>
      <c r="AW1056" s="200">
        <f t="shared" si="5360"/>
        <v>0</v>
      </c>
      <c r="AX1056" s="200">
        <f t="shared" si="5360"/>
        <v>0</v>
      </c>
      <c r="AY1056" s="202">
        <v>0.0</v>
      </c>
      <c r="AZ1056" s="200"/>
      <c r="BA1056" s="171" t="str">
        <f t="shared" si="18"/>
        <v/>
      </c>
      <c r="BB1056" s="171" t="str">
        <f t="shared" si="19"/>
        <v/>
      </c>
      <c r="BC1056" s="171" t="str">
        <f t="shared" si="20"/>
        <v/>
      </c>
      <c r="BD1056" s="171" t="str">
        <f t="shared" si="21"/>
        <v>Institutional</v>
      </c>
      <c r="BE1056" s="171" t="str">
        <f t="shared" si="22"/>
        <v/>
      </c>
      <c r="BF1056" s="171" t="str">
        <f t="shared" si="23"/>
        <v>Institutional</v>
      </c>
    </row>
    <row r="1057">
      <c r="A1057" s="171">
        <f t="array" ref="A1057">XLOOKUP(C1057,ICSE!A:A,ICSE!C:C,,2,1)</f>
        <v>2023</v>
      </c>
      <c r="B1057" s="171" t="s">
        <v>5675</v>
      </c>
      <c r="C1057" s="160">
        <v>2082.0</v>
      </c>
      <c r="D1057" s="161" t="s">
        <v>6119</v>
      </c>
      <c r="E1057" s="197" t="str">
        <f t="array" ref="E1057">XLOOKUP(C1057,ICSE!A:A,ICSE!Z:Z,,0,1)</f>
        <v>Publicly available (4)</v>
      </c>
      <c r="F1057" s="198" t="s">
        <v>20</v>
      </c>
      <c r="G1057" s="163" t="str">
        <f t="array" ref="G1057">IF(B1057="ICSE",IF(COUNTIFS(B:B,B1057,C:C,C1057)=XLOOKUP(C1057,ICSE!A:A,ICSE!AA:AA,"ERROR",0,1),"OK","ERROR"),IF(B1057="FSE",IF(COUNTIFS(B:B,B1057,C:C,C1057)=XLOOKUP(C1057,FSE!A:A,FSE!AA:AA,"ERROR",0,1),"OK","ERROR")))</f>
        <v>OK</v>
      </c>
      <c r="H1057" s="199">
        <f t="shared" ref="H1057:O1057" si="5361">countif($D1057,"*"&amp;H$2&amp;"*")</f>
        <v>0</v>
      </c>
      <c r="I1057" s="200">
        <f t="shared" si="5361"/>
        <v>0</v>
      </c>
      <c r="J1057" s="200">
        <f t="shared" si="5361"/>
        <v>0</v>
      </c>
      <c r="K1057" s="200">
        <f t="shared" si="5361"/>
        <v>0</v>
      </c>
      <c r="L1057" s="200">
        <f t="shared" si="5361"/>
        <v>0</v>
      </c>
      <c r="M1057" s="200">
        <f t="shared" si="5361"/>
        <v>0</v>
      </c>
      <c r="N1057" s="200">
        <f t="shared" si="5361"/>
        <v>0</v>
      </c>
      <c r="O1057" s="200">
        <f t="shared" si="5361"/>
        <v>0</v>
      </c>
      <c r="P1057" s="200">
        <f t="shared" si="9"/>
        <v>1</v>
      </c>
      <c r="Q1057" s="200">
        <f t="shared" ref="Q1057:AC1057" si="5362">countif($D1057,"*"&amp;Q$2&amp;"*")</f>
        <v>0</v>
      </c>
      <c r="R1057" s="200">
        <f t="shared" si="5362"/>
        <v>0</v>
      </c>
      <c r="S1057" s="200">
        <f t="shared" si="5362"/>
        <v>0</v>
      </c>
      <c r="T1057" s="200">
        <f t="shared" si="5362"/>
        <v>0</v>
      </c>
      <c r="U1057" s="200">
        <f t="shared" si="5362"/>
        <v>0</v>
      </c>
      <c r="V1057" s="200">
        <f t="shared" si="5362"/>
        <v>0</v>
      </c>
      <c r="W1057" s="200">
        <f t="shared" si="5362"/>
        <v>0</v>
      </c>
      <c r="X1057" s="200">
        <f t="shared" si="5362"/>
        <v>0</v>
      </c>
      <c r="Y1057" s="200">
        <f t="shared" si="5362"/>
        <v>0</v>
      </c>
      <c r="Z1057" s="200">
        <f t="shared" si="5362"/>
        <v>0</v>
      </c>
      <c r="AA1057" s="200">
        <f t="shared" si="5362"/>
        <v>0</v>
      </c>
      <c r="AB1057" s="200">
        <f t="shared" si="5362"/>
        <v>0</v>
      </c>
      <c r="AC1057" s="200">
        <f t="shared" si="5362"/>
        <v>0</v>
      </c>
      <c r="AD1057" s="200">
        <f t="shared" si="11"/>
        <v>0</v>
      </c>
      <c r="AE1057" s="200">
        <f t="shared" ref="AE1057:AG1057" si="5363">countif($D1057,"*"&amp;AE$2&amp;"*")</f>
        <v>0</v>
      </c>
      <c r="AF1057" s="200">
        <f t="shared" si="5363"/>
        <v>0</v>
      </c>
      <c r="AG1057" s="200">
        <f t="shared" si="5363"/>
        <v>0</v>
      </c>
      <c r="AH1057" s="171">
        <f t="shared" si="13"/>
        <v>0</v>
      </c>
      <c r="AI1057" s="200">
        <f t="shared" si="14"/>
        <v>0</v>
      </c>
      <c r="AJ1057" s="200">
        <f t="shared" si="4907"/>
        <v>0</v>
      </c>
      <c r="AK1057" s="201">
        <f t="shared" ref="AK1057:AS1057" si="5364">countif($D1057,"*"&amp;AK$2&amp;"*")</f>
        <v>0</v>
      </c>
      <c r="AL1057" s="201">
        <f t="shared" si="5364"/>
        <v>0</v>
      </c>
      <c r="AM1057" s="201">
        <f t="shared" si="5364"/>
        <v>0</v>
      </c>
      <c r="AN1057" s="201">
        <f t="shared" si="5364"/>
        <v>0</v>
      </c>
      <c r="AO1057" s="201">
        <f t="shared" si="5364"/>
        <v>0</v>
      </c>
      <c r="AP1057" s="201">
        <f t="shared" si="5364"/>
        <v>0</v>
      </c>
      <c r="AQ1057" s="201">
        <f t="shared" si="5364"/>
        <v>0</v>
      </c>
      <c r="AR1057" s="200">
        <f t="shared" si="5364"/>
        <v>0</v>
      </c>
      <c r="AS1057" s="200">
        <f t="shared" si="5364"/>
        <v>0</v>
      </c>
      <c r="AT1057" s="173">
        <v>0.0</v>
      </c>
      <c r="AU1057" s="200">
        <f t="shared" si="5324"/>
        <v>0</v>
      </c>
      <c r="AV1057" s="200">
        <f t="shared" ref="AV1057:AX1057" si="5365">countif($D1057,"*"&amp;AV$2&amp;"*")</f>
        <v>1</v>
      </c>
      <c r="AW1057" s="200">
        <f t="shared" si="5365"/>
        <v>0</v>
      </c>
      <c r="AX1057" s="200">
        <f t="shared" si="5365"/>
        <v>0</v>
      </c>
      <c r="AY1057" s="202">
        <v>0.0</v>
      </c>
      <c r="AZ1057" s="200"/>
      <c r="BA1057" s="171" t="str">
        <f t="shared" si="18"/>
        <v/>
      </c>
      <c r="BB1057" s="171" t="str">
        <f t="shared" si="19"/>
        <v>Code</v>
      </c>
      <c r="BC1057" s="171" t="str">
        <f t="shared" si="20"/>
        <v/>
      </c>
      <c r="BD1057" s="171" t="str">
        <f t="shared" si="21"/>
        <v/>
      </c>
      <c r="BE1057" s="171" t="str">
        <f t="shared" si="22"/>
        <v/>
      </c>
      <c r="BF1057" s="171" t="str">
        <f t="shared" si="23"/>
        <v>Code</v>
      </c>
    </row>
    <row r="1058">
      <c r="A1058" s="171">
        <f t="array" ref="A1058">XLOOKUP(C1058,ICSE!A:A,ICSE!C:C,,2,1)</f>
        <v>2023</v>
      </c>
      <c r="B1058" s="171" t="s">
        <v>5675</v>
      </c>
      <c r="C1058" s="160">
        <v>2082.0</v>
      </c>
      <c r="D1058" s="161" t="s">
        <v>6120</v>
      </c>
      <c r="E1058" s="197" t="str">
        <f t="array" ref="E1058">XLOOKUP(C1058,ICSE!A:A,ICSE!Z:Z,,0,1)</f>
        <v>Publicly available (4)</v>
      </c>
      <c r="F1058" s="198" t="s">
        <v>20</v>
      </c>
      <c r="G1058" s="163" t="str">
        <f t="array" ref="G1058">IF(B1058="ICSE",IF(COUNTIFS(B:B,B1058,C:C,C1058)=XLOOKUP(C1058,ICSE!A:A,ICSE!AA:AA,"ERROR",0,1),"OK","ERROR"),IF(B1058="FSE",IF(COUNTIFS(B:B,B1058,C:C,C1058)=XLOOKUP(C1058,FSE!A:A,FSE!AA:AA,"ERROR",0,1),"OK","ERROR")))</f>
        <v>OK</v>
      </c>
      <c r="H1058" s="199">
        <f t="shared" ref="H1058:O1058" si="5366">countif($D1058,"*"&amp;H$2&amp;"*")</f>
        <v>1</v>
      </c>
      <c r="I1058" s="200">
        <f t="shared" si="5366"/>
        <v>0</v>
      </c>
      <c r="J1058" s="200">
        <f t="shared" si="5366"/>
        <v>0</v>
      </c>
      <c r="K1058" s="200">
        <f t="shared" si="5366"/>
        <v>0</v>
      </c>
      <c r="L1058" s="200">
        <f t="shared" si="5366"/>
        <v>0</v>
      </c>
      <c r="M1058" s="200">
        <f t="shared" si="5366"/>
        <v>0</v>
      </c>
      <c r="N1058" s="200">
        <f t="shared" si="5366"/>
        <v>0</v>
      </c>
      <c r="O1058" s="200">
        <f t="shared" si="5366"/>
        <v>0</v>
      </c>
      <c r="P1058" s="200">
        <f t="shared" si="9"/>
        <v>0</v>
      </c>
      <c r="Q1058" s="200">
        <f t="shared" ref="Q1058:AC1058" si="5367">countif($D1058,"*"&amp;Q$2&amp;"*")</f>
        <v>0</v>
      </c>
      <c r="R1058" s="200">
        <f t="shared" si="5367"/>
        <v>0</v>
      </c>
      <c r="S1058" s="200">
        <f t="shared" si="5367"/>
        <v>0</v>
      </c>
      <c r="T1058" s="200">
        <f t="shared" si="5367"/>
        <v>0</v>
      </c>
      <c r="U1058" s="200">
        <f t="shared" si="5367"/>
        <v>0</v>
      </c>
      <c r="V1058" s="200">
        <f t="shared" si="5367"/>
        <v>0</v>
      </c>
      <c r="W1058" s="200">
        <f t="shared" si="5367"/>
        <v>0</v>
      </c>
      <c r="X1058" s="200">
        <f t="shared" si="5367"/>
        <v>0</v>
      </c>
      <c r="Y1058" s="200">
        <f t="shared" si="5367"/>
        <v>0</v>
      </c>
      <c r="Z1058" s="200">
        <f t="shared" si="5367"/>
        <v>0</v>
      </c>
      <c r="AA1058" s="200">
        <f t="shared" si="5367"/>
        <v>0</v>
      </c>
      <c r="AB1058" s="200">
        <f t="shared" si="5367"/>
        <v>0</v>
      </c>
      <c r="AC1058" s="200">
        <f t="shared" si="5367"/>
        <v>0</v>
      </c>
      <c r="AD1058" s="200">
        <f t="shared" si="11"/>
        <v>0</v>
      </c>
      <c r="AE1058" s="200">
        <f t="shared" ref="AE1058:AG1058" si="5368">countif($D1058,"*"&amp;AE$2&amp;"*")</f>
        <v>0</v>
      </c>
      <c r="AF1058" s="200">
        <f t="shared" si="5368"/>
        <v>0</v>
      </c>
      <c r="AG1058" s="200">
        <f t="shared" si="5368"/>
        <v>0</v>
      </c>
      <c r="AH1058" s="171">
        <f t="shared" si="13"/>
        <v>0</v>
      </c>
      <c r="AI1058" s="200">
        <f t="shared" si="14"/>
        <v>1</v>
      </c>
      <c r="AJ1058" s="200">
        <f t="shared" si="4907"/>
        <v>0</v>
      </c>
      <c r="AK1058" s="201">
        <f t="shared" ref="AK1058:AS1058" si="5369">countif($D1058,"*"&amp;AK$2&amp;"*")</f>
        <v>0</v>
      </c>
      <c r="AL1058" s="201">
        <f t="shared" si="5369"/>
        <v>0</v>
      </c>
      <c r="AM1058" s="201">
        <f t="shared" si="5369"/>
        <v>0</v>
      </c>
      <c r="AN1058" s="201">
        <f t="shared" si="5369"/>
        <v>0</v>
      </c>
      <c r="AO1058" s="201">
        <f t="shared" si="5369"/>
        <v>0</v>
      </c>
      <c r="AP1058" s="201">
        <f t="shared" si="5369"/>
        <v>0</v>
      </c>
      <c r="AQ1058" s="201">
        <f t="shared" si="5369"/>
        <v>0</v>
      </c>
      <c r="AR1058" s="200">
        <f t="shared" si="5369"/>
        <v>0</v>
      </c>
      <c r="AS1058" s="200">
        <f t="shared" si="5369"/>
        <v>0</v>
      </c>
      <c r="AT1058" s="173">
        <v>0.0</v>
      </c>
      <c r="AU1058" s="200">
        <f t="shared" si="5324"/>
        <v>0</v>
      </c>
      <c r="AV1058" s="200">
        <f t="shared" ref="AV1058:AX1058" si="5370">countif($D1058,"*"&amp;AV$2&amp;"*")</f>
        <v>0</v>
      </c>
      <c r="AW1058" s="200">
        <f t="shared" si="5370"/>
        <v>0</v>
      </c>
      <c r="AX1058" s="200">
        <f t="shared" si="5370"/>
        <v>1</v>
      </c>
      <c r="AY1058" s="202">
        <v>0.0</v>
      </c>
      <c r="AZ1058" s="200"/>
      <c r="BA1058" s="171" t="str">
        <f t="shared" si="18"/>
        <v>Archival</v>
      </c>
      <c r="BB1058" s="171" t="str">
        <f t="shared" si="19"/>
        <v/>
      </c>
      <c r="BC1058" s="171" t="str">
        <f t="shared" si="20"/>
        <v/>
      </c>
      <c r="BD1058" s="171" t="str">
        <f t="shared" si="21"/>
        <v/>
      </c>
      <c r="BE1058" s="171" t="str">
        <f t="shared" si="22"/>
        <v/>
      </c>
      <c r="BF1058" s="171" t="str">
        <f t="shared" si="23"/>
        <v>Archival</v>
      </c>
    </row>
    <row r="1059">
      <c r="A1059" s="171">
        <f t="array" ref="A1059">XLOOKUP(C1059,ICSE!A:A,ICSE!C:C,,2,1)</f>
        <v>2023</v>
      </c>
      <c r="B1059" s="171" t="s">
        <v>5675</v>
      </c>
      <c r="C1059" s="160">
        <v>2082.0</v>
      </c>
      <c r="D1059" s="161" t="s">
        <v>6121</v>
      </c>
      <c r="E1059" s="197" t="str">
        <f t="array" ref="E1059">XLOOKUP(C1059,ICSE!A:A,ICSE!Z:Z,,0,1)</f>
        <v>Publicly available (4)</v>
      </c>
      <c r="F1059" s="198" t="s">
        <v>20</v>
      </c>
      <c r="G1059" s="163" t="str">
        <f t="array" ref="G1059">IF(B1059="ICSE",IF(COUNTIFS(B:B,B1059,C:C,C1059)=XLOOKUP(C1059,ICSE!A:A,ICSE!AA:AA,"ERROR",0,1),"OK","ERROR"),IF(B1059="FSE",IF(COUNTIFS(B:B,B1059,C:C,C1059)=XLOOKUP(C1059,FSE!A:A,FSE!AA:AA,"ERROR",0,1),"OK","ERROR")))</f>
        <v>OK</v>
      </c>
      <c r="H1059" s="199">
        <f t="shared" ref="H1059:O1059" si="5371">countif($D1059,"*"&amp;H$2&amp;"*")</f>
        <v>0</v>
      </c>
      <c r="I1059" s="200">
        <f t="shared" si="5371"/>
        <v>0</v>
      </c>
      <c r="J1059" s="200">
        <f t="shared" si="5371"/>
        <v>0</v>
      </c>
      <c r="K1059" s="200">
        <f t="shared" si="5371"/>
        <v>0</v>
      </c>
      <c r="L1059" s="200">
        <f t="shared" si="5371"/>
        <v>0</v>
      </c>
      <c r="M1059" s="200">
        <f t="shared" si="5371"/>
        <v>0</v>
      </c>
      <c r="N1059" s="200">
        <f t="shared" si="5371"/>
        <v>0</v>
      </c>
      <c r="O1059" s="200">
        <f t="shared" si="5371"/>
        <v>0</v>
      </c>
      <c r="P1059" s="200">
        <f t="shared" si="9"/>
        <v>0</v>
      </c>
      <c r="Q1059" s="200">
        <f t="shared" ref="Q1059:AC1059" si="5372">countif($D1059,"*"&amp;Q$2&amp;"*")</f>
        <v>0</v>
      </c>
      <c r="R1059" s="200">
        <f t="shared" si="5372"/>
        <v>0</v>
      </c>
      <c r="S1059" s="200">
        <f t="shared" si="5372"/>
        <v>0</v>
      </c>
      <c r="T1059" s="200">
        <f t="shared" si="5372"/>
        <v>0</v>
      </c>
      <c r="U1059" s="200">
        <f t="shared" si="5372"/>
        <v>0</v>
      </c>
      <c r="V1059" s="200">
        <f t="shared" si="5372"/>
        <v>0</v>
      </c>
      <c r="W1059" s="200">
        <f t="shared" si="5372"/>
        <v>0</v>
      </c>
      <c r="X1059" s="200">
        <f t="shared" si="5372"/>
        <v>0</v>
      </c>
      <c r="Y1059" s="200">
        <f t="shared" si="5372"/>
        <v>0</v>
      </c>
      <c r="Z1059" s="200">
        <f t="shared" si="5372"/>
        <v>0</v>
      </c>
      <c r="AA1059" s="200">
        <f t="shared" si="5372"/>
        <v>0</v>
      </c>
      <c r="AB1059" s="200">
        <f t="shared" si="5372"/>
        <v>0</v>
      </c>
      <c r="AC1059" s="200">
        <f t="shared" si="5372"/>
        <v>0</v>
      </c>
      <c r="AD1059" s="200">
        <f t="shared" si="11"/>
        <v>1</v>
      </c>
      <c r="AE1059" s="200">
        <f t="shared" ref="AE1059:AG1059" si="5373">countif($D1059,"*"&amp;AE$2&amp;"*")</f>
        <v>0</v>
      </c>
      <c r="AF1059" s="200">
        <f t="shared" si="5373"/>
        <v>0</v>
      </c>
      <c r="AG1059" s="200">
        <f t="shared" si="5373"/>
        <v>0</v>
      </c>
      <c r="AH1059" s="171">
        <f t="shared" si="13"/>
        <v>0</v>
      </c>
      <c r="AI1059" s="200">
        <f t="shared" si="14"/>
        <v>0</v>
      </c>
      <c r="AJ1059" s="200">
        <f t="shared" si="4907"/>
        <v>0</v>
      </c>
      <c r="AK1059" s="201">
        <f t="shared" ref="AK1059:AS1059" si="5374">countif($D1059,"*"&amp;AK$2&amp;"*")</f>
        <v>0</v>
      </c>
      <c r="AL1059" s="201">
        <f t="shared" si="5374"/>
        <v>0</v>
      </c>
      <c r="AM1059" s="201">
        <f t="shared" si="5374"/>
        <v>0</v>
      </c>
      <c r="AN1059" s="201">
        <f t="shared" si="5374"/>
        <v>0</v>
      </c>
      <c r="AO1059" s="201">
        <f t="shared" si="5374"/>
        <v>0</v>
      </c>
      <c r="AP1059" s="201">
        <f t="shared" si="5374"/>
        <v>0</v>
      </c>
      <c r="AQ1059" s="201">
        <f t="shared" si="5374"/>
        <v>0</v>
      </c>
      <c r="AR1059" s="200">
        <f t="shared" si="5374"/>
        <v>0</v>
      </c>
      <c r="AS1059" s="200">
        <f t="shared" si="5374"/>
        <v>0</v>
      </c>
      <c r="AT1059" s="173">
        <v>1.0</v>
      </c>
      <c r="AU1059" s="200">
        <f t="shared" si="5324"/>
        <v>0</v>
      </c>
      <c r="AV1059" s="200">
        <f t="shared" ref="AV1059:AX1059" si="5375">countif($D1059,"*"&amp;AV$2&amp;"*")</f>
        <v>0</v>
      </c>
      <c r="AW1059" s="200">
        <f t="shared" si="5375"/>
        <v>0</v>
      </c>
      <c r="AX1059" s="200">
        <f t="shared" si="5375"/>
        <v>0</v>
      </c>
      <c r="AY1059" s="202">
        <v>0.0</v>
      </c>
      <c r="AZ1059" s="200"/>
      <c r="BA1059" s="171" t="str">
        <f t="shared" si="18"/>
        <v/>
      </c>
      <c r="BB1059" s="171" t="str">
        <f t="shared" si="19"/>
        <v/>
      </c>
      <c r="BC1059" s="171" t="str">
        <f t="shared" si="20"/>
        <v/>
      </c>
      <c r="BD1059" s="171" t="str">
        <f t="shared" si="21"/>
        <v>Institutional</v>
      </c>
      <c r="BE1059" s="171" t="str">
        <f t="shared" si="22"/>
        <v/>
      </c>
      <c r="BF1059" s="171" t="str">
        <f t="shared" si="23"/>
        <v>Institutional</v>
      </c>
    </row>
    <row r="1060">
      <c r="A1060" s="171">
        <f t="array" ref="A1060">XLOOKUP(C1060,ICSE!A:A,ICSE!C:C,,2,1)</f>
        <v>2023</v>
      </c>
      <c r="B1060" s="171" t="s">
        <v>5675</v>
      </c>
      <c r="C1060" s="160">
        <v>2083.0</v>
      </c>
      <c r="D1060" s="161" t="s">
        <v>1312</v>
      </c>
      <c r="E1060" s="197" t="str">
        <f t="array" ref="E1060">XLOOKUP(C1060,ICSE!A:A,ICSE!Z:Z,,0,1)</f>
        <v>Publicly available (3)</v>
      </c>
      <c r="F1060" s="198" t="s">
        <v>20</v>
      </c>
      <c r="G1060" s="163" t="str">
        <f t="array" ref="G1060">IF(B1060="ICSE",IF(COUNTIFS(B:B,B1060,C:C,C1060)=XLOOKUP(C1060,ICSE!A:A,ICSE!AA:AA,"ERROR",0,1),"OK","ERROR"),IF(B1060="FSE",IF(COUNTIFS(B:B,B1060,C:C,C1060)=XLOOKUP(C1060,FSE!A:A,FSE!AA:AA,"ERROR",0,1),"OK","ERROR")))</f>
        <v>OK</v>
      </c>
      <c r="H1060" s="199">
        <f t="shared" ref="H1060:O1060" si="5376">countif($D1060,"*"&amp;H$2&amp;"*")</f>
        <v>0</v>
      </c>
      <c r="I1060" s="200">
        <f t="shared" si="5376"/>
        <v>0</v>
      </c>
      <c r="J1060" s="200">
        <f t="shared" si="5376"/>
        <v>0</v>
      </c>
      <c r="K1060" s="200">
        <f t="shared" si="5376"/>
        <v>0</v>
      </c>
      <c r="L1060" s="200">
        <f t="shared" si="5376"/>
        <v>0</v>
      </c>
      <c r="M1060" s="200">
        <f t="shared" si="5376"/>
        <v>0</v>
      </c>
      <c r="N1060" s="200">
        <f t="shared" si="5376"/>
        <v>0</v>
      </c>
      <c r="O1060" s="200">
        <f t="shared" si="5376"/>
        <v>0</v>
      </c>
      <c r="P1060" s="200">
        <f t="shared" si="9"/>
        <v>0</v>
      </c>
      <c r="Q1060" s="200">
        <f t="shared" ref="Q1060:AC1060" si="5377">countif($D1060,"*"&amp;Q$2&amp;"*")</f>
        <v>0</v>
      </c>
      <c r="R1060" s="200">
        <f t="shared" si="5377"/>
        <v>0</v>
      </c>
      <c r="S1060" s="200">
        <f t="shared" si="5377"/>
        <v>0</v>
      </c>
      <c r="T1060" s="200">
        <f t="shared" si="5377"/>
        <v>0</v>
      </c>
      <c r="U1060" s="200">
        <f t="shared" si="5377"/>
        <v>0</v>
      </c>
      <c r="V1060" s="200">
        <f t="shared" si="5377"/>
        <v>0</v>
      </c>
      <c r="W1060" s="200">
        <f t="shared" si="5377"/>
        <v>0</v>
      </c>
      <c r="X1060" s="200">
        <f t="shared" si="5377"/>
        <v>0</v>
      </c>
      <c r="Y1060" s="200">
        <f t="shared" si="5377"/>
        <v>0</v>
      </c>
      <c r="Z1060" s="200">
        <f t="shared" si="5377"/>
        <v>0</v>
      </c>
      <c r="AA1060" s="200">
        <f t="shared" si="5377"/>
        <v>0</v>
      </c>
      <c r="AB1060" s="200">
        <f t="shared" si="5377"/>
        <v>0</v>
      </c>
      <c r="AC1060" s="200">
        <f t="shared" si="5377"/>
        <v>0</v>
      </c>
      <c r="AD1060" s="200">
        <f t="shared" si="11"/>
        <v>1</v>
      </c>
      <c r="AE1060" s="200">
        <f t="shared" ref="AE1060:AG1060" si="5378">countif($D1060,"*"&amp;AE$2&amp;"*")</f>
        <v>0</v>
      </c>
      <c r="AF1060" s="200">
        <f t="shared" si="5378"/>
        <v>0</v>
      </c>
      <c r="AG1060" s="200">
        <f t="shared" si="5378"/>
        <v>0</v>
      </c>
      <c r="AH1060" s="171">
        <f t="shared" si="13"/>
        <v>0</v>
      </c>
      <c r="AI1060" s="200">
        <f t="shared" si="14"/>
        <v>0</v>
      </c>
      <c r="AJ1060" s="200">
        <f t="shared" si="4907"/>
        <v>0</v>
      </c>
      <c r="AK1060" s="201">
        <f t="shared" ref="AK1060:AS1060" si="5379">countif($D1060,"*"&amp;AK$2&amp;"*")</f>
        <v>0</v>
      </c>
      <c r="AL1060" s="201">
        <f t="shared" si="5379"/>
        <v>0</v>
      </c>
      <c r="AM1060" s="201">
        <f t="shared" si="5379"/>
        <v>0</v>
      </c>
      <c r="AN1060" s="201">
        <f t="shared" si="5379"/>
        <v>0</v>
      </c>
      <c r="AO1060" s="201">
        <f t="shared" si="5379"/>
        <v>0</v>
      </c>
      <c r="AP1060" s="201">
        <f t="shared" si="5379"/>
        <v>0</v>
      </c>
      <c r="AQ1060" s="201">
        <f t="shared" si="5379"/>
        <v>0</v>
      </c>
      <c r="AR1060" s="200">
        <f t="shared" si="5379"/>
        <v>0</v>
      </c>
      <c r="AS1060" s="200">
        <f t="shared" si="5379"/>
        <v>0</v>
      </c>
      <c r="AT1060" s="173">
        <v>1.0</v>
      </c>
      <c r="AU1060" s="200">
        <f t="shared" si="5324"/>
        <v>0</v>
      </c>
      <c r="AV1060" s="200">
        <f t="shared" ref="AV1060:AX1060" si="5380">countif($D1060,"*"&amp;AV$2&amp;"*")</f>
        <v>0</v>
      </c>
      <c r="AW1060" s="200">
        <f t="shared" si="5380"/>
        <v>0</v>
      </c>
      <c r="AX1060" s="200">
        <f t="shared" si="5380"/>
        <v>0</v>
      </c>
      <c r="AY1060" s="202">
        <v>0.0</v>
      </c>
      <c r="AZ1060" s="200"/>
      <c r="BA1060" s="171" t="str">
        <f t="shared" si="18"/>
        <v/>
      </c>
      <c r="BB1060" s="171" t="str">
        <f t="shared" si="19"/>
        <v/>
      </c>
      <c r="BC1060" s="171" t="str">
        <f t="shared" si="20"/>
        <v/>
      </c>
      <c r="BD1060" s="171" t="str">
        <f t="shared" si="21"/>
        <v>Institutional</v>
      </c>
      <c r="BE1060" s="171" t="str">
        <f t="shared" si="22"/>
        <v/>
      </c>
      <c r="BF1060" s="171" t="str">
        <f t="shared" si="23"/>
        <v>Institutional</v>
      </c>
    </row>
    <row r="1061">
      <c r="A1061" s="171">
        <f t="array" ref="A1061">XLOOKUP(C1061,ICSE!A:A,ICSE!C:C,,2,1)</f>
        <v>2023</v>
      </c>
      <c r="B1061" s="171" t="s">
        <v>5675</v>
      </c>
      <c r="C1061" s="160">
        <v>2083.0</v>
      </c>
      <c r="D1061" s="161" t="s">
        <v>6119</v>
      </c>
      <c r="E1061" s="197" t="str">
        <f t="array" ref="E1061">XLOOKUP(C1061,ICSE!A:A,ICSE!Z:Z,,0,1)</f>
        <v>Publicly available (3)</v>
      </c>
      <c r="F1061" s="198" t="s">
        <v>20</v>
      </c>
      <c r="G1061" s="163" t="str">
        <f t="array" ref="G1061">IF(B1061="ICSE",IF(COUNTIFS(B:B,B1061,C:C,C1061)=XLOOKUP(C1061,ICSE!A:A,ICSE!AA:AA,"ERROR",0,1),"OK","ERROR"),IF(B1061="FSE",IF(COUNTIFS(B:B,B1061,C:C,C1061)=XLOOKUP(C1061,FSE!A:A,FSE!AA:AA,"ERROR",0,1),"OK","ERROR")))</f>
        <v>OK</v>
      </c>
      <c r="H1061" s="199">
        <f t="shared" ref="H1061:O1061" si="5381">countif($D1061,"*"&amp;H$2&amp;"*")</f>
        <v>0</v>
      </c>
      <c r="I1061" s="200">
        <f t="shared" si="5381"/>
        <v>0</v>
      </c>
      <c r="J1061" s="200">
        <f t="shared" si="5381"/>
        <v>0</v>
      </c>
      <c r="K1061" s="200">
        <f t="shared" si="5381"/>
        <v>0</v>
      </c>
      <c r="L1061" s="200">
        <f t="shared" si="5381"/>
        <v>0</v>
      </c>
      <c r="M1061" s="200">
        <f t="shared" si="5381"/>
        <v>0</v>
      </c>
      <c r="N1061" s="200">
        <f t="shared" si="5381"/>
        <v>0</v>
      </c>
      <c r="O1061" s="200">
        <f t="shared" si="5381"/>
        <v>0</v>
      </c>
      <c r="P1061" s="200">
        <f t="shared" si="9"/>
        <v>1</v>
      </c>
      <c r="Q1061" s="200">
        <f t="shared" ref="Q1061:AC1061" si="5382">countif($D1061,"*"&amp;Q$2&amp;"*")</f>
        <v>0</v>
      </c>
      <c r="R1061" s="200">
        <f t="shared" si="5382"/>
        <v>0</v>
      </c>
      <c r="S1061" s="200">
        <f t="shared" si="5382"/>
        <v>0</v>
      </c>
      <c r="T1061" s="200">
        <f t="shared" si="5382"/>
        <v>0</v>
      </c>
      <c r="U1061" s="200">
        <f t="shared" si="5382"/>
        <v>0</v>
      </c>
      <c r="V1061" s="200">
        <f t="shared" si="5382"/>
        <v>0</v>
      </c>
      <c r="W1061" s="200">
        <f t="shared" si="5382"/>
        <v>0</v>
      </c>
      <c r="X1061" s="200">
        <f t="shared" si="5382"/>
        <v>0</v>
      </c>
      <c r="Y1061" s="200">
        <f t="shared" si="5382"/>
        <v>0</v>
      </c>
      <c r="Z1061" s="200">
        <f t="shared" si="5382"/>
        <v>0</v>
      </c>
      <c r="AA1061" s="200">
        <f t="shared" si="5382"/>
        <v>0</v>
      </c>
      <c r="AB1061" s="200">
        <f t="shared" si="5382"/>
        <v>0</v>
      </c>
      <c r="AC1061" s="200">
        <f t="shared" si="5382"/>
        <v>0</v>
      </c>
      <c r="AD1061" s="200">
        <f t="shared" si="11"/>
        <v>0</v>
      </c>
      <c r="AE1061" s="200">
        <f t="shared" ref="AE1061:AG1061" si="5383">countif($D1061,"*"&amp;AE$2&amp;"*")</f>
        <v>0</v>
      </c>
      <c r="AF1061" s="200">
        <f t="shared" si="5383"/>
        <v>0</v>
      </c>
      <c r="AG1061" s="200">
        <f t="shared" si="5383"/>
        <v>0</v>
      </c>
      <c r="AH1061" s="171">
        <f t="shared" si="13"/>
        <v>0</v>
      </c>
      <c r="AI1061" s="200">
        <f t="shared" si="14"/>
        <v>0</v>
      </c>
      <c r="AJ1061" s="200">
        <f t="shared" si="4907"/>
        <v>0</v>
      </c>
      <c r="AK1061" s="201">
        <f t="shared" ref="AK1061:AS1061" si="5384">countif($D1061,"*"&amp;AK$2&amp;"*")</f>
        <v>0</v>
      </c>
      <c r="AL1061" s="201">
        <f t="shared" si="5384"/>
        <v>0</v>
      </c>
      <c r="AM1061" s="201">
        <f t="shared" si="5384"/>
        <v>0</v>
      </c>
      <c r="AN1061" s="201">
        <f t="shared" si="5384"/>
        <v>0</v>
      </c>
      <c r="AO1061" s="201">
        <f t="shared" si="5384"/>
        <v>0</v>
      </c>
      <c r="AP1061" s="201">
        <f t="shared" si="5384"/>
        <v>0</v>
      </c>
      <c r="AQ1061" s="201">
        <f t="shared" si="5384"/>
        <v>0</v>
      </c>
      <c r="AR1061" s="200">
        <f t="shared" si="5384"/>
        <v>0</v>
      </c>
      <c r="AS1061" s="200">
        <f t="shared" si="5384"/>
        <v>0</v>
      </c>
      <c r="AT1061" s="173">
        <v>0.0</v>
      </c>
      <c r="AU1061" s="200">
        <f t="shared" si="5324"/>
        <v>0</v>
      </c>
      <c r="AV1061" s="200">
        <f t="shared" ref="AV1061:AX1061" si="5385">countif($D1061,"*"&amp;AV$2&amp;"*")</f>
        <v>1</v>
      </c>
      <c r="AW1061" s="200">
        <f t="shared" si="5385"/>
        <v>0</v>
      </c>
      <c r="AX1061" s="200">
        <f t="shared" si="5385"/>
        <v>0</v>
      </c>
      <c r="AY1061" s="202">
        <v>0.0</v>
      </c>
      <c r="AZ1061" s="200"/>
      <c r="BA1061" s="171" t="str">
        <f t="shared" si="18"/>
        <v/>
      </c>
      <c r="BB1061" s="171" t="str">
        <f t="shared" si="19"/>
        <v>Code</v>
      </c>
      <c r="BC1061" s="171" t="str">
        <f t="shared" si="20"/>
        <v/>
      </c>
      <c r="BD1061" s="171" t="str">
        <f t="shared" si="21"/>
        <v/>
      </c>
      <c r="BE1061" s="171" t="str">
        <f t="shared" si="22"/>
        <v/>
      </c>
      <c r="BF1061" s="171" t="str">
        <f t="shared" si="23"/>
        <v>Code</v>
      </c>
    </row>
    <row r="1062">
      <c r="A1062" s="171">
        <f t="array" ref="A1062">XLOOKUP(C1062,ICSE!A:A,ICSE!C:C,,2,1)</f>
        <v>2023</v>
      </c>
      <c r="B1062" s="171" t="s">
        <v>5675</v>
      </c>
      <c r="C1062" s="160">
        <v>2083.0</v>
      </c>
      <c r="D1062" s="161" t="s">
        <v>6122</v>
      </c>
      <c r="E1062" s="197" t="str">
        <f t="array" ref="E1062">XLOOKUP(C1062,ICSE!A:A,ICSE!Z:Z,,0,1)</f>
        <v>Publicly available (3)</v>
      </c>
      <c r="F1062" s="198" t="s">
        <v>20</v>
      </c>
      <c r="G1062" s="163" t="str">
        <f t="array" ref="G1062">IF(B1062="ICSE",IF(COUNTIFS(B:B,B1062,C:C,C1062)=XLOOKUP(C1062,ICSE!A:A,ICSE!AA:AA,"ERROR",0,1),"OK","ERROR"),IF(B1062="FSE",IF(COUNTIFS(B:B,B1062,C:C,C1062)=XLOOKUP(C1062,FSE!A:A,FSE!AA:AA,"ERROR",0,1),"OK","ERROR")))</f>
        <v>OK</v>
      </c>
      <c r="H1062" s="199">
        <f t="shared" ref="H1062:O1062" si="5386">countif($D1062,"*"&amp;H$2&amp;"*")</f>
        <v>1</v>
      </c>
      <c r="I1062" s="200">
        <f t="shared" si="5386"/>
        <v>0</v>
      </c>
      <c r="J1062" s="200">
        <f t="shared" si="5386"/>
        <v>0</v>
      </c>
      <c r="K1062" s="200">
        <f t="shared" si="5386"/>
        <v>0</v>
      </c>
      <c r="L1062" s="200">
        <f t="shared" si="5386"/>
        <v>0</v>
      </c>
      <c r="M1062" s="200">
        <f t="shared" si="5386"/>
        <v>0</v>
      </c>
      <c r="N1062" s="200">
        <f t="shared" si="5386"/>
        <v>0</v>
      </c>
      <c r="O1062" s="200">
        <f t="shared" si="5386"/>
        <v>0</v>
      </c>
      <c r="P1062" s="200">
        <f t="shared" si="9"/>
        <v>0</v>
      </c>
      <c r="Q1062" s="200">
        <f t="shared" ref="Q1062:AC1062" si="5387">countif($D1062,"*"&amp;Q$2&amp;"*")</f>
        <v>0</v>
      </c>
      <c r="R1062" s="200">
        <f t="shared" si="5387"/>
        <v>0</v>
      </c>
      <c r="S1062" s="200">
        <f t="shared" si="5387"/>
        <v>0</v>
      </c>
      <c r="T1062" s="200">
        <f t="shared" si="5387"/>
        <v>0</v>
      </c>
      <c r="U1062" s="200">
        <f t="shared" si="5387"/>
        <v>0</v>
      </c>
      <c r="V1062" s="200">
        <f t="shared" si="5387"/>
        <v>0</v>
      </c>
      <c r="W1062" s="200">
        <f t="shared" si="5387"/>
        <v>0</v>
      </c>
      <c r="X1062" s="200">
        <f t="shared" si="5387"/>
        <v>0</v>
      </c>
      <c r="Y1062" s="200">
        <f t="shared" si="5387"/>
        <v>0</v>
      </c>
      <c r="Z1062" s="200">
        <f t="shared" si="5387"/>
        <v>0</v>
      </c>
      <c r="AA1062" s="200">
        <f t="shared" si="5387"/>
        <v>0</v>
      </c>
      <c r="AB1062" s="200">
        <f t="shared" si="5387"/>
        <v>0</v>
      </c>
      <c r="AC1062" s="200">
        <f t="shared" si="5387"/>
        <v>0</v>
      </c>
      <c r="AD1062" s="200">
        <f t="shared" si="11"/>
        <v>0</v>
      </c>
      <c r="AE1062" s="200">
        <f t="shared" ref="AE1062:AG1062" si="5388">countif($D1062,"*"&amp;AE$2&amp;"*")</f>
        <v>0</v>
      </c>
      <c r="AF1062" s="200">
        <f t="shared" si="5388"/>
        <v>0</v>
      </c>
      <c r="AG1062" s="200">
        <f t="shared" si="5388"/>
        <v>0</v>
      </c>
      <c r="AH1062" s="171">
        <f t="shared" si="13"/>
        <v>0</v>
      </c>
      <c r="AI1062" s="200">
        <f t="shared" si="14"/>
        <v>1</v>
      </c>
      <c r="AJ1062" s="200">
        <f t="shared" si="4907"/>
        <v>0</v>
      </c>
      <c r="AK1062" s="201">
        <f t="shared" ref="AK1062:AS1062" si="5389">countif($D1062,"*"&amp;AK$2&amp;"*")</f>
        <v>0</v>
      </c>
      <c r="AL1062" s="201">
        <f t="shared" si="5389"/>
        <v>0</v>
      </c>
      <c r="AM1062" s="201">
        <f t="shared" si="5389"/>
        <v>0</v>
      </c>
      <c r="AN1062" s="201">
        <f t="shared" si="5389"/>
        <v>0</v>
      </c>
      <c r="AO1062" s="201">
        <f t="shared" si="5389"/>
        <v>0</v>
      </c>
      <c r="AP1062" s="201">
        <f t="shared" si="5389"/>
        <v>0</v>
      </c>
      <c r="AQ1062" s="201">
        <f t="shared" si="5389"/>
        <v>0</v>
      </c>
      <c r="AR1062" s="200">
        <f t="shared" si="5389"/>
        <v>0</v>
      </c>
      <c r="AS1062" s="200">
        <f t="shared" si="5389"/>
        <v>0</v>
      </c>
      <c r="AT1062" s="173">
        <v>0.0</v>
      </c>
      <c r="AU1062" s="200">
        <f t="shared" si="5324"/>
        <v>0</v>
      </c>
      <c r="AV1062" s="200">
        <f t="shared" ref="AV1062:AX1062" si="5390">countif($D1062,"*"&amp;AV$2&amp;"*")</f>
        <v>0</v>
      </c>
      <c r="AW1062" s="200">
        <f t="shared" si="5390"/>
        <v>0</v>
      </c>
      <c r="AX1062" s="200">
        <f t="shared" si="5390"/>
        <v>1</v>
      </c>
      <c r="AY1062" s="202">
        <v>0.0</v>
      </c>
      <c r="AZ1062" s="200"/>
      <c r="BA1062" s="171" t="str">
        <f t="shared" si="18"/>
        <v>Archival</v>
      </c>
      <c r="BB1062" s="171" t="str">
        <f t="shared" si="19"/>
        <v/>
      </c>
      <c r="BC1062" s="171" t="str">
        <f t="shared" si="20"/>
        <v/>
      </c>
      <c r="BD1062" s="171" t="str">
        <f t="shared" si="21"/>
        <v/>
      </c>
      <c r="BE1062" s="171" t="str">
        <f t="shared" si="22"/>
        <v/>
      </c>
      <c r="BF1062" s="171" t="str">
        <f t="shared" si="23"/>
        <v>Archival</v>
      </c>
    </row>
    <row r="1063">
      <c r="A1063" s="171">
        <f t="array" ref="A1063">XLOOKUP(C1063,ICSE!A:A,ICSE!C:C,,2,1)</f>
        <v>2023</v>
      </c>
      <c r="B1063" s="171" t="s">
        <v>5675</v>
      </c>
      <c r="C1063" s="160">
        <v>2085.0</v>
      </c>
      <c r="D1063" s="161" t="s">
        <v>2967</v>
      </c>
      <c r="E1063" s="197" t="str">
        <f t="array" ref="E1063">XLOOKUP(C1063,ICSE!A:A,ICSE!Z:Z,,0,1)</f>
        <v>Publicly available (1)</v>
      </c>
      <c r="F1063" s="198" t="s">
        <v>20</v>
      </c>
      <c r="G1063" s="163" t="str">
        <f t="array" ref="G1063">IF(B1063="ICSE",IF(COUNTIFS(B:B,B1063,C:C,C1063)=XLOOKUP(C1063,ICSE!A:A,ICSE!AA:AA,"ERROR",0,1),"OK","ERROR"),IF(B1063="FSE",IF(COUNTIFS(B:B,B1063,C:C,C1063)=XLOOKUP(C1063,FSE!A:A,FSE!AA:AA,"ERROR",0,1),"OK","ERROR")))</f>
        <v>OK</v>
      </c>
      <c r="H1063" s="199">
        <f t="shared" ref="H1063:O1063" si="5391">countif($D1063,"*"&amp;H$2&amp;"*")</f>
        <v>0</v>
      </c>
      <c r="I1063" s="200">
        <f t="shared" si="5391"/>
        <v>0</v>
      </c>
      <c r="J1063" s="200">
        <f t="shared" si="5391"/>
        <v>0</v>
      </c>
      <c r="K1063" s="200">
        <f t="shared" si="5391"/>
        <v>0</v>
      </c>
      <c r="L1063" s="200">
        <f t="shared" si="5391"/>
        <v>0</v>
      </c>
      <c r="M1063" s="200">
        <f t="shared" si="5391"/>
        <v>0</v>
      </c>
      <c r="N1063" s="200">
        <f t="shared" si="5391"/>
        <v>0</v>
      </c>
      <c r="O1063" s="200">
        <f t="shared" si="5391"/>
        <v>0</v>
      </c>
      <c r="P1063" s="200">
        <f t="shared" si="9"/>
        <v>1</v>
      </c>
      <c r="Q1063" s="200">
        <f t="shared" ref="Q1063:AC1063" si="5392">countif($D1063,"*"&amp;Q$2&amp;"*")</f>
        <v>0</v>
      </c>
      <c r="R1063" s="200">
        <f t="shared" si="5392"/>
        <v>0</v>
      </c>
      <c r="S1063" s="200">
        <f t="shared" si="5392"/>
        <v>0</v>
      </c>
      <c r="T1063" s="200">
        <f t="shared" si="5392"/>
        <v>0</v>
      </c>
      <c r="U1063" s="200">
        <f t="shared" si="5392"/>
        <v>0</v>
      </c>
      <c r="V1063" s="200">
        <f t="shared" si="5392"/>
        <v>0</v>
      </c>
      <c r="W1063" s="200">
        <f t="shared" si="5392"/>
        <v>0</v>
      </c>
      <c r="X1063" s="200">
        <f t="shared" si="5392"/>
        <v>0</v>
      </c>
      <c r="Y1063" s="200">
        <f t="shared" si="5392"/>
        <v>0</v>
      </c>
      <c r="Z1063" s="200">
        <f t="shared" si="5392"/>
        <v>0</v>
      </c>
      <c r="AA1063" s="200">
        <f t="shared" si="5392"/>
        <v>0</v>
      </c>
      <c r="AB1063" s="200">
        <f t="shared" si="5392"/>
        <v>0</v>
      </c>
      <c r="AC1063" s="200">
        <f t="shared" si="5392"/>
        <v>0</v>
      </c>
      <c r="AD1063" s="200">
        <f t="shared" si="11"/>
        <v>0</v>
      </c>
      <c r="AE1063" s="200">
        <f t="shared" ref="AE1063:AG1063" si="5393">countif($D1063,"*"&amp;AE$2&amp;"*")</f>
        <v>0</v>
      </c>
      <c r="AF1063" s="200">
        <f t="shared" si="5393"/>
        <v>0</v>
      </c>
      <c r="AG1063" s="200">
        <f t="shared" si="5393"/>
        <v>0</v>
      </c>
      <c r="AH1063" s="171">
        <f t="shared" si="13"/>
        <v>0</v>
      </c>
      <c r="AI1063" s="200">
        <f t="shared" si="14"/>
        <v>0</v>
      </c>
      <c r="AJ1063" s="200">
        <f t="shared" si="4907"/>
        <v>0</v>
      </c>
      <c r="AK1063" s="201">
        <f t="shared" ref="AK1063:AS1063" si="5394">countif($D1063,"*"&amp;AK$2&amp;"*")</f>
        <v>0</v>
      </c>
      <c r="AL1063" s="201">
        <f t="shared" si="5394"/>
        <v>0</v>
      </c>
      <c r="AM1063" s="201">
        <f t="shared" si="5394"/>
        <v>0</v>
      </c>
      <c r="AN1063" s="201">
        <f t="shared" si="5394"/>
        <v>0</v>
      </c>
      <c r="AO1063" s="201">
        <f t="shared" si="5394"/>
        <v>0</v>
      </c>
      <c r="AP1063" s="201">
        <f t="shared" si="5394"/>
        <v>0</v>
      </c>
      <c r="AQ1063" s="201">
        <f t="shared" si="5394"/>
        <v>0</v>
      </c>
      <c r="AR1063" s="200">
        <f t="shared" si="5394"/>
        <v>0</v>
      </c>
      <c r="AS1063" s="200">
        <f t="shared" si="5394"/>
        <v>0</v>
      </c>
      <c r="AT1063" s="173">
        <v>0.0</v>
      </c>
      <c r="AU1063" s="200">
        <f t="shared" si="5324"/>
        <v>0</v>
      </c>
      <c r="AV1063" s="200">
        <f t="shared" ref="AV1063:AX1063" si="5395">countif($D1063,"*"&amp;AV$2&amp;"*")</f>
        <v>1</v>
      </c>
      <c r="AW1063" s="200">
        <f t="shared" si="5395"/>
        <v>0</v>
      </c>
      <c r="AX1063" s="200">
        <f t="shared" si="5395"/>
        <v>0</v>
      </c>
      <c r="AY1063" s="202">
        <v>0.0</v>
      </c>
      <c r="AZ1063" s="200"/>
      <c r="BA1063" s="171" t="str">
        <f t="shared" si="18"/>
        <v/>
      </c>
      <c r="BB1063" s="171" t="str">
        <f t="shared" si="19"/>
        <v>Code</v>
      </c>
      <c r="BC1063" s="171" t="str">
        <f t="shared" si="20"/>
        <v/>
      </c>
      <c r="BD1063" s="171" t="str">
        <f t="shared" si="21"/>
        <v/>
      </c>
      <c r="BE1063" s="171" t="str">
        <f t="shared" si="22"/>
        <v/>
      </c>
      <c r="BF1063" s="171" t="str">
        <f t="shared" si="23"/>
        <v>Code</v>
      </c>
    </row>
    <row r="1064">
      <c r="A1064" s="171">
        <f t="array" ref="A1064">XLOOKUP(C1064,ICSE!A:A,ICSE!C:C,,2,1)</f>
        <v>2023</v>
      </c>
      <c r="B1064" s="171" t="s">
        <v>5675</v>
      </c>
      <c r="C1064" s="160">
        <v>2086.0</v>
      </c>
      <c r="D1064" s="161" t="s">
        <v>6123</v>
      </c>
      <c r="E1064" s="197" t="str">
        <f t="array" ref="E1064">XLOOKUP(C1064,ICSE!A:A,ICSE!Z:Z,,0,1)</f>
        <v>Publicly available (2)</v>
      </c>
      <c r="F1064" s="198" t="s">
        <v>20</v>
      </c>
      <c r="G1064" s="163" t="str">
        <f t="array" ref="G1064">IF(B1064="ICSE",IF(COUNTIFS(B:B,B1064,C:C,C1064)=XLOOKUP(C1064,ICSE!A:A,ICSE!AA:AA,"ERROR",0,1),"OK","ERROR"),IF(B1064="FSE",IF(COUNTIFS(B:B,B1064,C:C,C1064)=XLOOKUP(C1064,FSE!A:A,FSE!AA:AA,"ERROR",0,1),"OK","ERROR")))</f>
        <v>OK</v>
      </c>
      <c r="H1064" s="199">
        <f t="shared" ref="H1064:O1064" si="5396">countif($D1064,"*"&amp;H$2&amp;"*")</f>
        <v>0</v>
      </c>
      <c r="I1064" s="200">
        <f t="shared" si="5396"/>
        <v>0</v>
      </c>
      <c r="J1064" s="200">
        <f t="shared" si="5396"/>
        <v>0</v>
      </c>
      <c r="K1064" s="200">
        <f t="shared" si="5396"/>
        <v>0</v>
      </c>
      <c r="L1064" s="200">
        <f t="shared" si="5396"/>
        <v>0</v>
      </c>
      <c r="M1064" s="200">
        <f t="shared" si="5396"/>
        <v>0</v>
      </c>
      <c r="N1064" s="200">
        <f t="shared" si="5396"/>
        <v>0</v>
      </c>
      <c r="O1064" s="200">
        <f t="shared" si="5396"/>
        <v>0</v>
      </c>
      <c r="P1064" s="200">
        <f t="shared" si="9"/>
        <v>0</v>
      </c>
      <c r="Q1064" s="200">
        <f t="shared" ref="Q1064:AC1064" si="5397">countif($D1064,"*"&amp;Q$2&amp;"*")</f>
        <v>0</v>
      </c>
      <c r="R1064" s="200">
        <f t="shared" si="5397"/>
        <v>0</v>
      </c>
      <c r="S1064" s="200">
        <f t="shared" si="5397"/>
        <v>0</v>
      </c>
      <c r="T1064" s="200">
        <f t="shared" si="5397"/>
        <v>0</v>
      </c>
      <c r="U1064" s="200">
        <f t="shared" si="5397"/>
        <v>0</v>
      </c>
      <c r="V1064" s="200">
        <f t="shared" si="5397"/>
        <v>1</v>
      </c>
      <c r="W1064" s="200">
        <f t="shared" si="5397"/>
        <v>0</v>
      </c>
      <c r="X1064" s="200">
        <f t="shared" si="5397"/>
        <v>0</v>
      </c>
      <c r="Y1064" s="200">
        <f t="shared" si="5397"/>
        <v>0</v>
      </c>
      <c r="Z1064" s="200">
        <f t="shared" si="5397"/>
        <v>0</v>
      </c>
      <c r="AA1064" s="200">
        <f t="shared" si="5397"/>
        <v>0</v>
      </c>
      <c r="AB1064" s="200">
        <f t="shared" si="5397"/>
        <v>0</v>
      </c>
      <c r="AC1064" s="200">
        <f t="shared" si="5397"/>
        <v>0</v>
      </c>
      <c r="AD1064" s="200">
        <f t="shared" si="11"/>
        <v>0</v>
      </c>
      <c r="AE1064" s="200">
        <f t="shared" ref="AE1064:AG1064" si="5398">countif($D1064,"*"&amp;AE$2&amp;"*")</f>
        <v>0</v>
      </c>
      <c r="AF1064" s="200">
        <f t="shared" si="5398"/>
        <v>0</v>
      </c>
      <c r="AG1064" s="200">
        <f t="shared" si="5398"/>
        <v>0</v>
      </c>
      <c r="AH1064" s="171">
        <f t="shared" si="13"/>
        <v>0</v>
      </c>
      <c r="AI1064" s="200">
        <f t="shared" si="14"/>
        <v>0</v>
      </c>
      <c r="AJ1064" s="200">
        <f t="shared" si="4907"/>
        <v>0</v>
      </c>
      <c r="AK1064" s="201">
        <f t="shared" ref="AK1064:AS1064" si="5399">countif($D1064,"*"&amp;AK$2&amp;"*")</f>
        <v>0</v>
      </c>
      <c r="AL1064" s="201">
        <f t="shared" si="5399"/>
        <v>0</v>
      </c>
      <c r="AM1064" s="201">
        <f t="shared" si="5399"/>
        <v>0</v>
      </c>
      <c r="AN1064" s="201">
        <f t="shared" si="5399"/>
        <v>0</v>
      </c>
      <c r="AO1064" s="201">
        <f t="shared" si="5399"/>
        <v>0</v>
      </c>
      <c r="AP1064" s="201">
        <f t="shared" si="5399"/>
        <v>0</v>
      </c>
      <c r="AQ1064" s="201">
        <f t="shared" si="5399"/>
        <v>0</v>
      </c>
      <c r="AR1064" s="200">
        <f t="shared" si="5399"/>
        <v>0</v>
      </c>
      <c r="AS1064" s="200">
        <f t="shared" si="5399"/>
        <v>0</v>
      </c>
      <c r="AT1064" s="173">
        <v>0.0</v>
      </c>
      <c r="AU1064" s="200">
        <f t="shared" si="5324"/>
        <v>0</v>
      </c>
      <c r="AV1064" s="200">
        <f t="shared" ref="AV1064:AX1064" si="5400">countif($D1064,"*"&amp;AV$2&amp;"*")</f>
        <v>0</v>
      </c>
      <c r="AW1064" s="200">
        <f t="shared" si="5400"/>
        <v>0</v>
      </c>
      <c r="AX1064" s="200">
        <f t="shared" si="5400"/>
        <v>0</v>
      </c>
      <c r="AY1064" s="202">
        <v>0.0</v>
      </c>
      <c r="AZ1064" s="200"/>
      <c r="BA1064" s="171" t="str">
        <f t="shared" si="18"/>
        <v/>
      </c>
      <c r="BB1064" s="171" t="str">
        <f t="shared" si="19"/>
        <v/>
      </c>
      <c r="BC1064" s="171" t="str">
        <f t="shared" si="20"/>
        <v>General-purpose</v>
      </c>
      <c r="BD1064" s="171" t="str">
        <f t="shared" si="21"/>
        <v/>
      </c>
      <c r="BE1064" s="171" t="str">
        <f t="shared" si="22"/>
        <v/>
      </c>
      <c r="BF1064" s="171" t="str">
        <f t="shared" si="23"/>
        <v>General-purpose</v>
      </c>
    </row>
    <row r="1065">
      <c r="A1065" s="171">
        <f t="array" ref="A1065">XLOOKUP(C1065,ICSE!A:A,ICSE!C:C,,2,1)</f>
        <v>2023</v>
      </c>
      <c r="B1065" s="171" t="s">
        <v>5675</v>
      </c>
      <c r="C1065" s="160">
        <v>2086.0</v>
      </c>
      <c r="D1065" s="161" t="s">
        <v>6124</v>
      </c>
      <c r="E1065" s="197" t="str">
        <f t="array" ref="E1065">XLOOKUP(C1065,ICSE!A:A,ICSE!Z:Z,,0,1)</f>
        <v>Publicly available (2)</v>
      </c>
      <c r="F1065" s="198" t="s">
        <v>20</v>
      </c>
      <c r="G1065" s="163" t="str">
        <f t="array" ref="G1065">IF(B1065="ICSE",IF(COUNTIFS(B:B,B1065,C:C,C1065)=XLOOKUP(C1065,ICSE!A:A,ICSE!AA:AA,"ERROR",0,1),"OK","ERROR"),IF(B1065="FSE",IF(COUNTIFS(B:B,B1065,C:C,C1065)=XLOOKUP(C1065,FSE!A:A,FSE!AA:AA,"ERROR",0,1),"OK","ERROR")))</f>
        <v>OK</v>
      </c>
      <c r="H1065" s="199">
        <f t="shared" ref="H1065:O1065" si="5401">countif($D1065,"*"&amp;H$2&amp;"*")</f>
        <v>0</v>
      </c>
      <c r="I1065" s="200">
        <f t="shared" si="5401"/>
        <v>0</v>
      </c>
      <c r="J1065" s="200">
        <f t="shared" si="5401"/>
        <v>0</v>
      </c>
      <c r="K1065" s="200">
        <f t="shared" si="5401"/>
        <v>0</v>
      </c>
      <c r="L1065" s="200">
        <f t="shared" si="5401"/>
        <v>0</v>
      </c>
      <c r="M1065" s="200">
        <f t="shared" si="5401"/>
        <v>0</v>
      </c>
      <c r="N1065" s="200">
        <f t="shared" si="5401"/>
        <v>0</v>
      </c>
      <c r="O1065" s="200">
        <f t="shared" si="5401"/>
        <v>0</v>
      </c>
      <c r="P1065" s="200">
        <f t="shared" si="9"/>
        <v>1</v>
      </c>
      <c r="Q1065" s="200">
        <f t="shared" ref="Q1065:AC1065" si="5402">countif($D1065,"*"&amp;Q$2&amp;"*")</f>
        <v>0</v>
      </c>
      <c r="R1065" s="200">
        <f t="shared" si="5402"/>
        <v>0</v>
      </c>
      <c r="S1065" s="200">
        <f t="shared" si="5402"/>
        <v>0</v>
      </c>
      <c r="T1065" s="200">
        <f t="shared" si="5402"/>
        <v>0</v>
      </c>
      <c r="U1065" s="200">
        <f t="shared" si="5402"/>
        <v>0</v>
      </c>
      <c r="V1065" s="200">
        <f t="shared" si="5402"/>
        <v>0</v>
      </c>
      <c r="W1065" s="200">
        <f t="shared" si="5402"/>
        <v>0</v>
      </c>
      <c r="X1065" s="200">
        <f t="shared" si="5402"/>
        <v>0</v>
      </c>
      <c r="Y1065" s="200">
        <f t="shared" si="5402"/>
        <v>0</v>
      </c>
      <c r="Z1065" s="200">
        <f t="shared" si="5402"/>
        <v>0</v>
      </c>
      <c r="AA1065" s="200">
        <f t="shared" si="5402"/>
        <v>0</v>
      </c>
      <c r="AB1065" s="200">
        <f t="shared" si="5402"/>
        <v>0</v>
      </c>
      <c r="AC1065" s="200">
        <f t="shared" si="5402"/>
        <v>0</v>
      </c>
      <c r="AD1065" s="200">
        <f t="shared" si="11"/>
        <v>0</v>
      </c>
      <c r="AE1065" s="200">
        <f t="shared" ref="AE1065:AG1065" si="5403">countif($D1065,"*"&amp;AE$2&amp;"*")</f>
        <v>0</v>
      </c>
      <c r="AF1065" s="200">
        <f t="shared" si="5403"/>
        <v>0</v>
      </c>
      <c r="AG1065" s="200">
        <f t="shared" si="5403"/>
        <v>0</v>
      </c>
      <c r="AH1065" s="171">
        <f t="shared" si="13"/>
        <v>0</v>
      </c>
      <c r="AI1065" s="200">
        <f t="shared" si="14"/>
        <v>0</v>
      </c>
      <c r="AJ1065" s="200">
        <f t="shared" si="4907"/>
        <v>0</v>
      </c>
      <c r="AK1065" s="201">
        <f t="shared" ref="AK1065:AS1065" si="5404">countif($D1065,"*"&amp;AK$2&amp;"*")</f>
        <v>0</v>
      </c>
      <c r="AL1065" s="201">
        <f t="shared" si="5404"/>
        <v>0</v>
      </c>
      <c r="AM1065" s="201">
        <f t="shared" si="5404"/>
        <v>0</v>
      </c>
      <c r="AN1065" s="201">
        <f t="shared" si="5404"/>
        <v>0</v>
      </c>
      <c r="AO1065" s="201">
        <f t="shared" si="5404"/>
        <v>0</v>
      </c>
      <c r="AP1065" s="201">
        <f t="shared" si="5404"/>
        <v>0</v>
      </c>
      <c r="AQ1065" s="201">
        <f t="shared" si="5404"/>
        <v>0</v>
      </c>
      <c r="AR1065" s="200">
        <f t="shared" si="5404"/>
        <v>0</v>
      </c>
      <c r="AS1065" s="200">
        <f t="shared" si="5404"/>
        <v>0</v>
      </c>
      <c r="AT1065" s="173">
        <v>0.0</v>
      </c>
      <c r="AU1065" s="200">
        <f t="shared" si="5324"/>
        <v>0</v>
      </c>
      <c r="AV1065" s="200">
        <f t="shared" ref="AV1065:AX1065" si="5405">countif($D1065,"*"&amp;AV$2&amp;"*")</f>
        <v>1</v>
      </c>
      <c r="AW1065" s="200">
        <f t="shared" si="5405"/>
        <v>0</v>
      </c>
      <c r="AX1065" s="200">
        <f t="shared" si="5405"/>
        <v>0</v>
      </c>
      <c r="AY1065" s="202">
        <v>0.0</v>
      </c>
      <c r="AZ1065" s="200"/>
      <c r="BA1065" s="171" t="str">
        <f t="shared" si="18"/>
        <v/>
      </c>
      <c r="BB1065" s="171" t="str">
        <f t="shared" si="19"/>
        <v>Code</v>
      </c>
      <c r="BC1065" s="171" t="str">
        <f t="shared" si="20"/>
        <v/>
      </c>
      <c r="BD1065" s="171" t="str">
        <f t="shared" si="21"/>
        <v/>
      </c>
      <c r="BE1065" s="171" t="str">
        <f t="shared" si="22"/>
        <v/>
      </c>
      <c r="BF1065" s="171" t="str">
        <f t="shared" si="23"/>
        <v>Code</v>
      </c>
    </row>
    <row r="1066">
      <c r="A1066" s="171">
        <f t="array" ref="A1066">XLOOKUP(C1066,ICSE!A:A,ICSE!C:C,,2,1)</f>
        <v>2023</v>
      </c>
      <c r="B1066" s="171" t="s">
        <v>5675</v>
      </c>
      <c r="C1066" s="160">
        <v>2087.0</v>
      </c>
      <c r="D1066" s="161" t="s">
        <v>2974</v>
      </c>
      <c r="E1066" s="197" t="str">
        <f t="array" ref="E1066">XLOOKUP(C1066,ICSE!A:A,ICSE!Z:Z,,0,1)</f>
        <v>Publicly available (1)</v>
      </c>
      <c r="F1066" s="198" t="s">
        <v>20</v>
      </c>
      <c r="G1066" s="163" t="str">
        <f t="array" ref="G1066">IF(B1066="ICSE",IF(COUNTIFS(B:B,B1066,C:C,C1066)=XLOOKUP(C1066,ICSE!A:A,ICSE!AA:AA,"ERROR",0,1),"OK","ERROR"),IF(B1066="FSE",IF(COUNTIFS(B:B,B1066,C:C,C1066)=XLOOKUP(C1066,FSE!A:A,FSE!AA:AA,"ERROR",0,1),"OK","ERROR")))</f>
        <v>OK</v>
      </c>
      <c r="H1066" s="199">
        <f t="shared" ref="H1066:O1066" si="5406">countif($D1066,"*"&amp;H$2&amp;"*")</f>
        <v>1</v>
      </c>
      <c r="I1066" s="200">
        <f t="shared" si="5406"/>
        <v>0</v>
      </c>
      <c r="J1066" s="200">
        <f t="shared" si="5406"/>
        <v>0</v>
      </c>
      <c r="K1066" s="200">
        <f t="shared" si="5406"/>
        <v>0</v>
      </c>
      <c r="L1066" s="200">
        <f t="shared" si="5406"/>
        <v>0</v>
      </c>
      <c r="M1066" s="200">
        <f t="shared" si="5406"/>
        <v>0</v>
      </c>
      <c r="N1066" s="200">
        <f t="shared" si="5406"/>
        <v>0</v>
      </c>
      <c r="O1066" s="200">
        <f t="shared" si="5406"/>
        <v>0</v>
      </c>
      <c r="P1066" s="200">
        <f t="shared" si="9"/>
        <v>0</v>
      </c>
      <c r="Q1066" s="200">
        <f t="shared" ref="Q1066:AC1066" si="5407">countif($D1066,"*"&amp;Q$2&amp;"*")</f>
        <v>0</v>
      </c>
      <c r="R1066" s="200">
        <f t="shared" si="5407"/>
        <v>0</v>
      </c>
      <c r="S1066" s="200">
        <f t="shared" si="5407"/>
        <v>0</v>
      </c>
      <c r="T1066" s="200">
        <f t="shared" si="5407"/>
        <v>0</v>
      </c>
      <c r="U1066" s="200">
        <f t="shared" si="5407"/>
        <v>0</v>
      </c>
      <c r="V1066" s="200">
        <f t="shared" si="5407"/>
        <v>0</v>
      </c>
      <c r="W1066" s="200">
        <f t="shared" si="5407"/>
        <v>0</v>
      </c>
      <c r="X1066" s="200">
        <f t="shared" si="5407"/>
        <v>0</v>
      </c>
      <c r="Y1066" s="200">
        <f t="shared" si="5407"/>
        <v>0</v>
      </c>
      <c r="Z1066" s="200">
        <f t="shared" si="5407"/>
        <v>0</v>
      </c>
      <c r="AA1066" s="200">
        <f t="shared" si="5407"/>
        <v>0</v>
      </c>
      <c r="AB1066" s="200">
        <f t="shared" si="5407"/>
        <v>0</v>
      </c>
      <c r="AC1066" s="200">
        <f t="shared" si="5407"/>
        <v>0</v>
      </c>
      <c r="AD1066" s="200">
        <f t="shared" si="11"/>
        <v>0</v>
      </c>
      <c r="AE1066" s="200">
        <f t="shared" ref="AE1066:AG1066" si="5408">countif($D1066,"*"&amp;AE$2&amp;"*")</f>
        <v>0</v>
      </c>
      <c r="AF1066" s="200">
        <f t="shared" si="5408"/>
        <v>0</v>
      </c>
      <c r="AG1066" s="200">
        <f t="shared" si="5408"/>
        <v>0</v>
      </c>
      <c r="AH1066" s="171">
        <f t="shared" si="13"/>
        <v>0</v>
      </c>
      <c r="AI1066" s="200">
        <f t="shared" si="14"/>
        <v>1</v>
      </c>
      <c r="AJ1066" s="200">
        <f t="shared" si="4907"/>
        <v>0</v>
      </c>
      <c r="AK1066" s="201">
        <f t="shared" ref="AK1066:AS1066" si="5409">countif($D1066,"*"&amp;AK$2&amp;"*")</f>
        <v>0</v>
      </c>
      <c r="AL1066" s="201">
        <f t="shared" si="5409"/>
        <v>0</v>
      </c>
      <c r="AM1066" s="201">
        <f t="shared" si="5409"/>
        <v>0</v>
      </c>
      <c r="AN1066" s="201">
        <f t="shared" si="5409"/>
        <v>0</v>
      </c>
      <c r="AO1066" s="201">
        <f t="shared" si="5409"/>
        <v>0</v>
      </c>
      <c r="AP1066" s="201">
        <f t="shared" si="5409"/>
        <v>0</v>
      </c>
      <c r="AQ1066" s="201">
        <f t="shared" si="5409"/>
        <v>0</v>
      </c>
      <c r="AR1066" s="200">
        <f t="shared" si="5409"/>
        <v>0</v>
      </c>
      <c r="AS1066" s="200">
        <f t="shared" si="5409"/>
        <v>0</v>
      </c>
      <c r="AT1066" s="173">
        <v>0.0</v>
      </c>
      <c r="AU1066" s="200">
        <f t="shared" si="5324"/>
        <v>0</v>
      </c>
      <c r="AV1066" s="200">
        <f t="shared" ref="AV1066:AX1066" si="5410">countif($D1066,"*"&amp;AV$2&amp;"*")</f>
        <v>0</v>
      </c>
      <c r="AW1066" s="200">
        <f t="shared" si="5410"/>
        <v>0</v>
      </c>
      <c r="AX1066" s="200">
        <f t="shared" si="5410"/>
        <v>1</v>
      </c>
      <c r="AY1066" s="202">
        <v>0.0</v>
      </c>
      <c r="AZ1066" s="200"/>
      <c r="BA1066" s="171" t="str">
        <f t="shared" si="18"/>
        <v>Archival</v>
      </c>
      <c r="BB1066" s="171" t="str">
        <f t="shared" si="19"/>
        <v/>
      </c>
      <c r="BC1066" s="171" t="str">
        <f t="shared" si="20"/>
        <v/>
      </c>
      <c r="BD1066" s="171" t="str">
        <f t="shared" si="21"/>
        <v/>
      </c>
      <c r="BE1066" s="171" t="str">
        <f t="shared" si="22"/>
        <v/>
      </c>
      <c r="BF1066" s="171" t="str">
        <f t="shared" si="23"/>
        <v>Archival</v>
      </c>
    </row>
    <row r="1067">
      <c r="A1067" s="171">
        <f t="array" ref="A1067">XLOOKUP(C1067,ICSE!A:A,ICSE!C:C,,2,1)</f>
        <v>2023</v>
      </c>
      <c r="B1067" s="171" t="s">
        <v>5675</v>
      </c>
      <c r="C1067" s="160">
        <v>2088.0</v>
      </c>
      <c r="D1067" s="161" t="s">
        <v>2977</v>
      </c>
      <c r="E1067" s="197" t="str">
        <f t="array" ref="E1067">XLOOKUP(C1067,ICSE!A:A,ICSE!Z:Z,,0,1)</f>
        <v>Publicly available (1)</v>
      </c>
      <c r="F1067" s="198" t="s">
        <v>20</v>
      </c>
      <c r="G1067" s="163" t="str">
        <f t="array" ref="G1067">IF(B1067="ICSE",IF(COUNTIFS(B:B,B1067,C:C,C1067)=XLOOKUP(C1067,ICSE!A:A,ICSE!AA:AA,"ERROR",0,1),"OK","ERROR"),IF(B1067="FSE",IF(COUNTIFS(B:B,B1067,C:C,C1067)=XLOOKUP(C1067,FSE!A:A,FSE!AA:AA,"ERROR",0,1),"OK","ERROR")))</f>
        <v>OK</v>
      </c>
      <c r="H1067" s="199">
        <f t="shared" ref="H1067:O1067" si="5411">countif($D1067,"*"&amp;H$2&amp;"*")</f>
        <v>1</v>
      </c>
      <c r="I1067" s="200">
        <f t="shared" si="5411"/>
        <v>0</v>
      </c>
      <c r="J1067" s="200">
        <f t="shared" si="5411"/>
        <v>0</v>
      </c>
      <c r="K1067" s="200">
        <f t="shared" si="5411"/>
        <v>0</v>
      </c>
      <c r="L1067" s="200">
        <f t="shared" si="5411"/>
        <v>0</v>
      </c>
      <c r="M1067" s="200">
        <f t="shared" si="5411"/>
        <v>0</v>
      </c>
      <c r="N1067" s="200">
        <f t="shared" si="5411"/>
        <v>0</v>
      </c>
      <c r="O1067" s="200">
        <f t="shared" si="5411"/>
        <v>0</v>
      </c>
      <c r="P1067" s="200">
        <f t="shared" si="9"/>
        <v>0</v>
      </c>
      <c r="Q1067" s="200">
        <f t="shared" ref="Q1067:AC1067" si="5412">countif($D1067,"*"&amp;Q$2&amp;"*")</f>
        <v>0</v>
      </c>
      <c r="R1067" s="200">
        <f t="shared" si="5412"/>
        <v>0</v>
      </c>
      <c r="S1067" s="200">
        <f t="shared" si="5412"/>
        <v>0</v>
      </c>
      <c r="T1067" s="200">
        <f t="shared" si="5412"/>
        <v>0</v>
      </c>
      <c r="U1067" s="200">
        <f t="shared" si="5412"/>
        <v>0</v>
      </c>
      <c r="V1067" s="200">
        <f t="shared" si="5412"/>
        <v>0</v>
      </c>
      <c r="W1067" s="200">
        <f t="shared" si="5412"/>
        <v>0</v>
      </c>
      <c r="X1067" s="200">
        <f t="shared" si="5412"/>
        <v>0</v>
      </c>
      <c r="Y1067" s="200">
        <f t="shared" si="5412"/>
        <v>0</v>
      </c>
      <c r="Z1067" s="200">
        <f t="shared" si="5412"/>
        <v>0</v>
      </c>
      <c r="AA1067" s="200">
        <f t="shared" si="5412"/>
        <v>0</v>
      </c>
      <c r="AB1067" s="200">
        <f t="shared" si="5412"/>
        <v>0</v>
      </c>
      <c r="AC1067" s="200">
        <f t="shared" si="5412"/>
        <v>0</v>
      </c>
      <c r="AD1067" s="200">
        <f t="shared" si="11"/>
        <v>0</v>
      </c>
      <c r="AE1067" s="200">
        <f t="shared" ref="AE1067:AG1067" si="5413">countif($D1067,"*"&amp;AE$2&amp;"*")</f>
        <v>0</v>
      </c>
      <c r="AF1067" s="200">
        <f t="shared" si="5413"/>
        <v>0</v>
      </c>
      <c r="AG1067" s="200">
        <f t="shared" si="5413"/>
        <v>0</v>
      </c>
      <c r="AH1067" s="171">
        <f t="shared" si="13"/>
        <v>0</v>
      </c>
      <c r="AI1067" s="200">
        <f t="shared" si="14"/>
        <v>1</v>
      </c>
      <c r="AJ1067" s="200">
        <f t="shared" si="4907"/>
        <v>0</v>
      </c>
      <c r="AK1067" s="201">
        <f t="shared" ref="AK1067:AS1067" si="5414">countif($D1067,"*"&amp;AK$2&amp;"*")</f>
        <v>0</v>
      </c>
      <c r="AL1067" s="201">
        <f t="shared" si="5414"/>
        <v>0</v>
      </c>
      <c r="AM1067" s="201">
        <f t="shared" si="5414"/>
        <v>0</v>
      </c>
      <c r="AN1067" s="201">
        <f t="shared" si="5414"/>
        <v>0</v>
      </c>
      <c r="AO1067" s="201">
        <f t="shared" si="5414"/>
        <v>0</v>
      </c>
      <c r="AP1067" s="201">
        <f t="shared" si="5414"/>
        <v>0</v>
      </c>
      <c r="AQ1067" s="201">
        <f t="shared" si="5414"/>
        <v>0</v>
      </c>
      <c r="AR1067" s="200">
        <f t="shared" si="5414"/>
        <v>0</v>
      </c>
      <c r="AS1067" s="200">
        <f t="shared" si="5414"/>
        <v>0</v>
      </c>
      <c r="AT1067" s="173">
        <v>0.0</v>
      </c>
      <c r="AU1067" s="200">
        <f t="shared" si="5324"/>
        <v>0</v>
      </c>
      <c r="AV1067" s="200">
        <f t="shared" ref="AV1067:AX1067" si="5415">countif($D1067,"*"&amp;AV$2&amp;"*")</f>
        <v>0</v>
      </c>
      <c r="AW1067" s="200">
        <f t="shared" si="5415"/>
        <v>0</v>
      </c>
      <c r="AX1067" s="200">
        <f t="shared" si="5415"/>
        <v>0</v>
      </c>
      <c r="AY1067" s="204">
        <v>1.0</v>
      </c>
      <c r="AZ1067" s="200"/>
      <c r="BA1067" s="171" t="str">
        <f t="shared" si="18"/>
        <v>Archival</v>
      </c>
      <c r="BB1067" s="171" t="str">
        <f t="shared" si="19"/>
        <v/>
      </c>
      <c r="BC1067" s="171" t="str">
        <f t="shared" si="20"/>
        <v/>
      </c>
      <c r="BD1067" s="171" t="str">
        <f t="shared" si="21"/>
        <v/>
      </c>
      <c r="BE1067" s="171" t="str">
        <f t="shared" si="22"/>
        <v/>
      </c>
      <c r="BF1067" s="171" t="str">
        <f t="shared" si="23"/>
        <v>Archival</v>
      </c>
    </row>
    <row r="1068">
      <c r="A1068" s="171">
        <f t="array" ref="A1068">XLOOKUP(C1068,ICSE!A:A,ICSE!C:C,,2,1)</f>
        <v>2023</v>
      </c>
      <c r="B1068" s="171" t="s">
        <v>5675</v>
      </c>
      <c r="C1068" s="160">
        <v>2089.0</v>
      </c>
      <c r="D1068" s="161" t="s">
        <v>2979</v>
      </c>
      <c r="E1068" s="197" t="str">
        <f t="array" ref="E1068">XLOOKUP(C1068,ICSE!A:A,ICSE!Z:Z,,0,1)</f>
        <v>Not available (1) - Broken link.</v>
      </c>
      <c r="F1068" s="198" t="s">
        <v>21</v>
      </c>
      <c r="G1068" s="163" t="str">
        <f t="array" ref="G1068">IF(B1068="ICSE",IF(COUNTIFS(B:B,B1068,C:C,C1068)=XLOOKUP(C1068,ICSE!A:A,ICSE!AA:AA,"ERROR",0,1),"OK","ERROR"),IF(B1068="FSE",IF(COUNTIFS(B:B,B1068,C:C,C1068)=XLOOKUP(C1068,FSE!A:A,FSE!AA:AA,"ERROR",0,1),"OK","ERROR")))</f>
        <v>OK</v>
      </c>
      <c r="H1068" s="199">
        <f t="shared" ref="H1068:O1068" si="5416">countif($D1068,"*"&amp;H$2&amp;"*")</f>
        <v>0</v>
      </c>
      <c r="I1068" s="200">
        <f t="shared" si="5416"/>
        <v>0</v>
      </c>
      <c r="J1068" s="200">
        <f t="shared" si="5416"/>
        <v>0</v>
      </c>
      <c r="K1068" s="200">
        <f t="shared" si="5416"/>
        <v>0</v>
      </c>
      <c r="L1068" s="200">
        <f t="shared" si="5416"/>
        <v>0</v>
      </c>
      <c r="M1068" s="200">
        <f t="shared" si="5416"/>
        <v>0</v>
      </c>
      <c r="N1068" s="200">
        <f t="shared" si="5416"/>
        <v>0</v>
      </c>
      <c r="O1068" s="200">
        <f t="shared" si="5416"/>
        <v>0</v>
      </c>
      <c r="P1068" s="200">
        <f t="shared" si="9"/>
        <v>1</v>
      </c>
      <c r="Q1068" s="200">
        <f t="shared" ref="Q1068:AC1068" si="5417">countif($D1068,"*"&amp;Q$2&amp;"*")</f>
        <v>0</v>
      </c>
      <c r="R1068" s="200">
        <f t="shared" si="5417"/>
        <v>0</v>
      </c>
      <c r="S1068" s="200">
        <f t="shared" si="5417"/>
        <v>0</v>
      </c>
      <c r="T1068" s="200">
        <f t="shared" si="5417"/>
        <v>0</v>
      </c>
      <c r="U1068" s="200">
        <f t="shared" si="5417"/>
        <v>0</v>
      </c>
      <c r="V1068" s="200">
        <f t="shared" si="5417"/>
        <v>0</v>
      </c>
      <c r="W1068" s="200">
        <f t="shared" si="5417"/>
        <v>0</v>
      </c>
      <c r="X1068" s="200">
        <f t="shared" si="5417"/>
        <v>0</v>
      </c>
      <c r="Y1068" s="200">
        <f t="shared" si="5417"/>
        <v>0</v>
      </c>
      <c r="Z1068" s="200">
        <f t="shared" si="5417"/>
        <v>0</v>
      </c>
      <c r="AA1068" s="200">
        <f t="shared" si="5417"/>
        <v>0</v>
      </c>
      <c r="AB1068" s="200">
        <f t="shared" si="5417"/>
        <v>0</v>
      </c>
      <c r="AC1068" s="200">
        <f t="shared" si="5417"/>
        <v>0</v>
      </c>
      <c r="AD1068" s="200">
        <f t="shared" si="11"/>
        <v>0</v>
      </c>
      <c r="AE1068" s="200">
        <f t="shared" ref="AE1068:AG1068" si="5418">countif($D1068,"*"&amp;AE$2&amp;"*")</f>
        <v>0</v>
      </c>
      <c r="AF1068" s="200">
        <f t="shared" si="5418"/>
        <v>0</v>
      </c>
      <c r="AG1068" s="200">
        <f t="shared" si="5418"/>
        <v>0</v>
      </c>
      <c r="AH1068" s="171">
        <f t="shared" si="13"/>
        <v>0</v>
      </c>
      <c r="AI1068" s="200">
        <f t="shared" si="14"/>
        <v>0</v>
      </c>
      <c r="AJ1068" s="200">
        <f t="shared" si="4907"/>
        <v>0</v>
      </c>
      <c r="AK1068" s="201">
        <f t="shared" ref="AK1068:AS1068" si="5419">countif($D1068,"*"&amp;AK$2&amp;"*")</f>
        <v>0</v>
      </c>
      <c r="AL1068" s="201">
        <f t="shared" si="5419"/>
        <v>0</v>
      </c>
      <c r="AM1068" s="201">
        <f t="shared" si="5419"/>
        <v>0</v>
      </c>
      <c r="AN1068" s="201">
        <f t="shared" si="5419"/>
        <v>0</v>
      </c>
      <c r="AO1068" s="201">
        <f t="shared" si="5419"/>
        <v>0</v>
      </c>
      <c r="AP1068" s="201">
        <f t="shared" si="5419"/>
        <v>0</v>
      </c>
      <c r="AQ1068" s="201">
        <f t="shared" si="5419"/>
        <v>0</v>
      </c>
      <c r="AR1068" s="200">
        <f t="shared" si="5419"/>
        <v>0</v>
      </c>
      <c r="AS1068" s="200">
        <f t="shared" si="5419"/>
        <v>0</v>
      </c>
      <c r="AT1068" s="173">
        <v>0.0</v>
      </c>
      <c r="AU1068" s="200">
        <f t="shared" si="5324"/>
        <v>0</v>
      </c>
      <c r="AV1068" s="200">
        <f t="shared" ref="AV1068:AX1068" si="5420">countif($D1068,"*"&amp;AV$2&amp;"*")</f>
        <v>1</v>
      </c>
      <c r="AW1068" s="200">
        <f t="shared" si="5420"/>
        <v>0</v>
      </c>
      <c r="AX1068" s="200">
        <f t="shared" si="5420"/>
        <v>0</v>
      </c>
      <c r="AY1068" s="202">
        <v>0.0</v>
      </c>
      <c r="AZ1068" s="200"/>
      <c r="BA1068" s="171" t="str">
        <f t="shared" si="18"/>
        <v/>
      </c>
      <c r="BB1068" s="171" t="str">
        <f t="shared" si="19"/>
        <v>Code</v>
      </c>
      <c r="BC1068" s="171" t="str">
        <f t="shared" si="20"/>
        <v/>
      </c>
      <c r="BD1068" s="171" t="str">
        <f t="shared" si="21"/>
        <v/>
      </c>
      <c r="BE1068" s="171" t="str">
        <f t="shared" si="22"/>
        <v/>
      </c>
      <c r="BF1068" s="171" t="str">
        <f t="shared" si="23"/>
        <v>Code</v>
      </c>
    </row>
    <row r="1069">
      <c r="A1069" s="171">
        <f t="array" ref="A1069">XLOOKUP(C1069,ICSE!A:A,ICSE!C:C,,2,1)</f>
        <v>2023</v>
      </c>
      <c r="B1069" s="171" t="s">
        <v>5675</v>
      </c>
      <c r="C1069" s="160">
        <v>2090.0</v>
      </c>
      <c r="D1069" s="161" t="s">
        <v>2981</v>
      </c>
      <c r="E1069" s="197" t="str">
        <f t="array" ref="E1069">XLOOKUP(C1069,ICSE!A:A,ICSE!Z:Z,,0,1)</f>
        <v>Publicly available (1)</v>
      </c>
      <c r="F1069" s="198" t="s">
        <v>20</v>
      </c>
      <c r="G1069" s="163" t="str">
        <f t="array" ref="G1069">IF(B1069="ICSE",IF(COUNTIFS(B:B,B1069,C:C,C1069)=XLOOKUP(C1069,ICSE!A:A,ICSE!AA:AA,"ERROR",0,1),"OK","ERROR"),IF(B1069="FSE",IF(COUNTIFS(B:B,B1069,C:C,C1069)=XLOOKUP(C1069,FSE!A:A,FSE!AA:AA,"ERROR",0,1),"OK","ERROR")))</f>
        <v>OK</v>
      </c>
      <c r="H1069" s="199">
        <f t="shared" ref="H1069:O1069" si="5421">countif($D1069,"*"&amp;H$2&amp;"*")</f>
        <v>0</v>
      </c>
      <c r="I1069" s="200">
        <f t="shared" si="5421"/>
        <v>0</v>
      </c>
      <c r="J1069" s="200">
        <f t="shared" si="5421"/>
        <v>0</v>
      </c>
      <c r="K1069" s="200">
        <f t="shared" si="5421"/>
        <v>0</v>
      </c>
      <c r="L1069" s="200">
        <f t="shared" si="5421"/>
        <v>0</v>
      </c>
      <c r="M1069" s="200">
        <f t="shared" si="5421"/>
        <v>0</v>
      </c>
      <c r="N1069" s="200">
        <f t="shared" si="5421"/>
        <v>0</v>
      </c>
      <c r="O1069" s="200">
        <f t="shared" si="5421"/>
        <v>0</v>
      </c>
      <c r="P1069" s="200">
        <f t="shared" si="9"/>
        <v>1</v>
      </c>
      <c r="Q1069" s="200">
        <f t="shared" ref="Q1069:AC1069" si="5422">countif($D1069,"*"&amp;Q$2&amp;"*")</f>
        <v>0</v>
      </c>
      <c r="R1069" s="200">
        <f t="shared" si="5422"/>
        <v>0</v>
      </c>
      <c r="S1069" s="200">
        <f t="shared" si="5422"/>
        <v>0</v>
      </c>
      <c r="T1069" s="200">
        <f t="shared" si="5422"/>
        <v>0</v>
      </c>
      <c r="U1069" s="200">
        <f t="shared" si="5422"/>
        <v>0</v>
      </c>
      <c r="V1069" s="200">
        <f t="shared" si="5422"/>
        <v>0</v>
      </c>
      <c r="W1069" s="200">
        <f t="shared" si="5422"/>
        <v>0</v>
      </c>
      <c r="X1069" s="200">
        <f t="shared" si="5422"/>
        <v>0</v>
      </c>
      <c r="Y1069" s="200">
        <f t="shared" si="5422"/>
        <v>0</v>
      </c>
      <c r="Z1069" s="200">
        <f t="shared" si="5422"/>
        <v>0</v>
      </c>
      <c r="AA1069" s="200">
        <f t="shared" si="5422"/>
        <v>0</v>
      </c>
      <c r="AB1069" s="200">
        <f t="shared" si="5422"/>
        <v>0</v>
      </c>
      <c r="AC1069" s="200">
        <f t="shared" si="5422"/>
        <v>0</v>
      </c>
      <c r="AD1069" s="200">
        <f t="shared" si="11"/>
        <v>0</v>
      </c>
      <c r="AE1069" s="200">
        <f t="shared" ref="AE1069:AG1069" si="5423">countif($D1069,"*"&amp;AE$2&amp;"*")</f>
        <v>0</v>
      </c>
      <c r="AF1069" s="200">
        <f t="shared" si="5423"/>
        <v>0</v>
      </c>
      <c r="AG1069" s="200">
        <f t="shared" si="5423"/>
        <v>0</v>
      </c>
      <c r="AH1069" s="171">
        <f t="shared" si="13"/>
        <v>0</v>
      </c>
      <c r="AI1069" s="200">
        <f t="shared" si="14"/>
        <v>0</v>
      </c>
      <c r="AJ1069" s="200">
        <f t="shared" si="4907"/>
        <v>0</v>
      </c>
      <c r="AK1069" s="201">
        <f t="shared" ref="AK1069:AS1069" si="5424">countif($D1069,"*"&amp;AK$2&amp;"*")</f>
        <v>0</v>
      </c>
      <c r="AL1069" s="201">
        <f t="shared" si="5424"/>
        <v>0</v>
      </c>
      <c r="AM1069" s="201">
        <f t="shared" si="5424"/>
        <v>0</v>
      </c>
      <c r="AN1069" s="201">
        <f t="shared" si="5424"/>
        <v>0</v>
      </c>
      <c r="AO1069" s="201">
        <f t="shared" si="5424"/>
        <v>0</v>
      </c>
      <c r="AP1069" s="201">
        <f t="shared" si="5424"/>
        <v>0</v>
      </c>
      <c r="AQ1069" s="201">
        <f t="shared" si="5424"/>
        <v>0</v>
      </c>
      <c r="AR1069" s="200">
        <f t="shared" si="5424"/>
        <v>0</v>
      </c>
      <c r="AS1069" s="200">
        <f t="shared" si="5424"/>
        <v>0</v>
      </c>
      <c r="AT1069" s="173">
        <v>0.0</v>
      </c>
      <c r="AU1069" s="200">
        <f t="shared" si="5324"/>
        <v>0</v>
      </c>
      <c r="AV1069" s="200">
        <f t="shared" ref="AV1069:AX1069" si="5425">countif($D1069,"*"&amp;AV$2&amp;"*")</f>
        <v>1</v>
      </c>
      <c r="AW1069" s="200">
        <f t="shared" si="5425"/>
        <v>0</v>
      </c>
      <c r="AX1069" s="200">
        <f t="shared" si="5425"/>
        <v>0</v>
      </c>
      <c r="AY1069" s="202">
        <v>0.0</v>
      </c>
      <c r="AZ1069" s="200"/>
      <c r="BA1069" s="171" t="str">
        <f t="shared" si="18"/>
        <v/>
      </c>
      <c r="BB1069" s="171" t="str">
        <f t="shared" si="19"/>
        <v>Code</v>
      </c>
      <c r="BC1069" s="171" t="str">
        <f t="shared" si="20"/>
        <v/>
      </c>
      <c r="BD1069" s="171" t="str">
        <f t="shared" si="21"/>
        <v/>
      </c>
      <c r="BE1069" s="171" t="str">
        <f t="shared" si="22"/>
        <v/>
      </c>
      <c r="BF1069" s="171" t="str">
        <f t="shared" si="23"/>
        <v>Code</v>
      </c>
    </row>
    <row r="1070">
      <c r="A1070" s="171">
        <f t="array" ref="A1070">XLOOKUP(C1070,ICSE!A:A,ICSE!C:C,,2,1)</f>
        <v>2023</v>
      </c>
      <c r="B1070" s="171" t="s">
        <v>5675</v>
      </c>
      <c r="C1070" s="160">
        <v>2091.0</v>
      </c>
      <c r="D1070" s="161" t="s">
        <v>2984</v>
      </c>
      <c r="E1070" s="197" t="str">
        <f t="array" ref="E1070">XLOOKUP(C1070,ICSE!A:A,ICSE!Z:Z,,0,1)</f>
        <v>Publicly available (1)</v>
      </c>
      <c r="F1070" s="198" t="s">
        <v>20</v>
      </c>
      <c r="G1070" s="163" t="str">
        <f t="array" ref="G1070">IF(B1070="ICSE",IF(COUNTIFS(B:B,B1070,C:C,C1070)=XLOOKUP(C1070,ICSE!A:A,ICSE!AA:AA,"ERROR",0,1),"OK","ERROR"),IF(B1070="FSE",IF(COUNTIFS(B:B,B1070,C:C,C1070)=XLOOKUP(C1070,FSE!A:A,FSE!AA:AA,"ERROR",0,1),"OK","ERROR")))</f>
        <v>OK</v>
      </c>
      <c r="H1070" s="199">
        <f t="shared" ref="H1070:O1070" si="5426">countif($D1070,"*"&amp;H$2&amp;"*")</f>
        <v>0</v>
      </c>
      <c r="I1070" s="200">
        <f t="shared" si="5426"/>
        <v>0</v>
      </c>
      <c r="J1070" s="200">
        <f t="shared" si="5426"/>
        <v>0</v>
      </c>
      <c r="K1070" s="200">
        <f t="shared" si="5426"/>
        <v>0</v>
      </c>
      <c r="L1070" s="200">
        <f t="shared" si="5426"/>
        <v>0</v>
      </c>
      <c r="M1070" s="200">
        <f t="shared" si="5426"/>
        <v>0</v>
      </c>
      <c r="N1070" s="200">
        <f t="shared" si="5426"/>
        <v>0</v>
      </c>
      <c r="O1070" s="200">
        <f t="shared" si="5426"/>
        <v>0</v>
      </c>
      <c r="P1070" s="200">
        <f t="shared" si="9"/>
        <v>1</v>
      </c>
      <c r="Q1070" s="200">
        <f t="shared" ref="Q1070:AC1070" si="5427">countif($D1070,"*"&amp;Q$2&amp;"*")</f>
        <v>0</v>
      </c>
      <c r="R1070" s="200">
        <f t="shared" si="5427"/>
        <v>0</v>
      </c>
      <c r="S1070" s="200">
        <f t="shared" si="5427"/>
        <v>0</v>
      </c>
      <c r="T1070" s="200">
        <f t="shared" si="5427"/>
        <v>0</v>
      </c>
      <c r="U1070" s="200">
        <f t="shared" si="5427"/>
        <v>0</v>
      </c>
      <c r="V1070" s="200">
        <f t="shared" si="5427"/>
        <v>0</v>
      </c>
      <c r="W1070" s="200">
        <f t="shared" si="5427"/>
        <v>0</v>
      </c>
      <c r="X1070" s="200">
        <f t="shared" si="5427"/>
        <v>0</v>
      </c>
      <c r="Y1070" s="200">
        <f t="shared" si="5427"/>
        <v>0</v>
      </c>
      <c r="Z1070" s="200">
        <f t="shared" si="5427"/>
        <v>0</v>
      </c>
      <c r="AA1070" s="200">
        <f t="shared" si="5427"/>
        <v>0</v>
      </c>
      <c r="AB1070" s="200">
        <f t="shared" si="5427"/>
        <v>0</v>
      </c>
      <c r="AC1070" s="200">
        <f t="shared" si="5427"/>
        <v>0</v>
      </c>
      <c r="AD1070" s="200">
        <f t="shared" si="11"/>
        <v>0</v>
      </c>
      <c r="AE1070" s="200">
        <f t="shared" ref="AE1070:AG1070" si="5428">countif($D1070,"*"&amp;AE$2&amp;"*")</f>
        <v>0</v>
      </c>
      <c r="AF1070" s="200">
        <f t="shared" si="5428"/>
        <v>0</v>
      </c>
      <c r="AG1070" s="200">
        <f t="shared" si="5428"/>
        <v>0</v>
      </c>
      <c r="AH1070" s="171">
        <f t="shared" si="13"/>
        <v>0</v>
      </c>
      <c r="AI1070" s="200">
        <f t="shared" si="14"/>
        <v>0</v>
      </c>
      <c r="AJ1070" s="200">
        <f t="shared" si="4907"/>
        <v>0</v>
      </c>
      <c r="AK1070" s="201">
        <f t="shared" ref="AK1070:AS1070" si="5429">countif($D1070,"*"&amp;AK$2&amp;"*")</f>
        <v>0</v>
      </c>
      <c r="AL1070" s="201">
        <f t="shared" si="5429"/>
        <v>0</v>
      </c>
      <c r="AM1070" s="201">
        <f t="shared" si="5429"/>
        <v>0</v>
      </c>
      <c r="AN1070" s="201">
        <f t="shared" si="5429"/>
        <v>0</v>
      </c>
      <c r="AO1070" s="201">
        <f t="shared" si="5429"/>
        <v>0</v>
      </c>
      <c r="AP1070" s="201">
        <f t="shared" si="5429"/>
        <v>0</v>
      </c>
      <c r="AQ1070" s="201">
        <f t="shared" si="5429"/>
        <v>0</v>
      </c>
      <c r="AR1070" s="200">
        <f t="shared" si="5429"/>
        <v>0</v>
      </c>
      <c r="AS1070" s="200">
        <f t="shared" si="5429"/>
        <v>0</v>
      </c>
      <c r="AT1070" s="173">
        <v>0.0</v>
      </c>
      <c r="AU1070" s="200">
        <f t="shared" si="5324"/>
        <v>0</v>
      </c>
      <c r="AV1070" s="200">
        <f t="shared" ref="AV1070:AX1070" si="5430">countif($D1070,"*"&amp;AV$2&amp;"*")</f>
        <v>1</v>
      </c>
      <c r="AW1070" s="200">
        <f t="shared" si="5430"/>
        <v>0</v>
      </c>
      <c r="AX1070" s="200">
        <f t="shared" si="5430"/>
        <v>0</v>
      </c>
      <c r="AY1070" s="202">
        <v>0.0</v>
      </c>
      <c r="AZ1070" s="200"/>
      <c r="BA1070" s="171" t="str">
        <f t="shared" si="18"/>
        <v/>
      </c>
      <c r="BB1070" s="171" t="str">
        <f t="shared" si="19"/>
        <v>Code</v>
      </c>
      <c r="BC1070" s="171" t="str">
        <f t="shared" si="20"/>
        <v/>
      </c>
      <c r="BD1070" s="171" t="str">
        <f t="shared" si="21"/>
        <v/>
      </c>
      <c r="BE1070" s="171" t="str">
        <f t="shared" si="22"/>
        <v/>
      </c>
      <c r="BF1070" s="171" t="str">
        <f t="shared" si="23"/>
        <v>Code</v>
      </c>
    </row>
    <row r="1071">
      <c r="A1071" s="171">
        <f t="array" ref="A1071">XLOOKUP(C1071,ICSE!A:A,ICSE!C:C,,2,1)</f>
        <v>2023</v>
      </c>
      <c r="B1071" s="171" t="s">
        <v>5675</v>
      </c>
      <c r="C1071" s="160">
        <v>2092.0</v>
      </c>
      <c r="D1071" s="161" t="s">
        <v>2987</v>
      </c>
      <c r="E1071" s="197" t="str">
        <f t="array" ref="E1071">XLOOKUP(C1071,ICSE!A:A,ICSE!Z:Z,,0,1)</f>
        <v>Publicly available (1)</v>
      </c>
      <c r="F1071" s="198" t="s">
        <v>20</v>
      </c>
      <c r="G1071" s="163" t="str">
        <f t="array" ref="G1071">IF(B1071="ICSE",IF(COUNTIFS(B:B,B1071,C:C,C1071)=XLOOKUP(C1071,ICSE!A:A,ICSE!AA:AA,"ERROR",0,1),"OK","ERROR"),IF(B1071="FSE",IF(COUNTIFS(B:B,B1071,C:C,C1071)=XLOOKUP(C1071,FSE!A:A,FSE!AA:AA,"ERROR",0,1),"OK","ERROR")))</f>
        <v>OK</v>
      </c>
      <c r="H1071" s="199">
        <f t="shared" ref="H1071:O1071" si="5431">countif($D1071,"*"&amp;H$2&amp;"*")</f>
        <v>0</v>
      </c>
      <c r="I1071" s="200">
        <f t="shared" si="5431"/>
        <v>1</v>
      </c>
      <c r="J1071" s="200">
        <f t="shared" si="5431"/>
        <v>0</v>
      </c>
      <c r="K1071" s="200">
        <f t="shared" si="5431"/>
        <v>0</v>
      </c>
      <c r="L1071" s="200">
        <f t="shared" si="5431"/>
        <v>0</v>
      </c>
      <c r="M1071" s="200">
        <f t="shared" si="5431"/>
        <v>0</v>
      </c>
      <c r="N1071" s="200">
        <f t="shared" si="5431"/>
        <v>0</v>
      </c>
      <c r="O1071" s="200">
        <f t="shared" si="5431"/>
        <v>0</v>
      </c>
      <c r="P1071" s="200">
        <f t="shared" si="9"/>
        <v>0</v>
      </c>
      <c r="Q1071" s="200">
        <f t="shared" ref="Q1071:AC1071" si="5432">countif($D1071,"*"&amp;Q$2&amp;"*")</f>
        <v>0</v>
      </c>
      <c r="R1071" s="200">
        <f t="shared" si="5432"/>
        <v>0</v>
      </c>
      <c r="S1071" s="200">
        <f t="shared" si="5432"/>
        <v>0</v>
      </c>
      <c r="T1071" s="200">
        <f t="shared" si="5432"/>
        <v>0</v>
      </c>
      <c r="U1071" s="200">
        <f t="shared" si="5432"/>
        <v>0</v>
      </c>
      <c r="V1071" s="200">
        <f t="shared" si="5432"/>
        <v>0</v>
      </c>
      <c r="W1071" s="200">
        <f t="shared" si="5432"/>
        <v>0</v>
      </c>
      <c r="X1071" s="200">
        <f t="shared" si="5432"/>
        <v>0</v>
      </c>
      <c r="Y1071" s="200">
        <f t="shared" si="5432"/>
        <v>0</v>
      </c>
      <c r="Z1071" s="200">
        <f t="shared" si="5432"/>
        <v>0</v>
      </c>
      <c r="AA1071" s="200">
        <f t="shared" si="5432"/>
        <v>0</v>
      </c>
      <c r="AB1071" s="200">
        <f t="shared" si="5432"/>
        <v>0</v>
      </c>
      <c r="AC1071" s="200">
        <f t="shared" si="5432"/>
        <v>0</v>
      </c>
      <c r="AD1071" s="200">
        <f t="shared" si="11"/>
        <v>0</v>
      </c>
      <c r="AE1071" s="200">
        <f t="shared" ref="AE1071:AG1071" si="5433">countif($D1071,"*"&amp;AE$2&amp;"*")</f>
        <v>0</v>
      </c>
      <c r="AF1071" s="200">
        <f t="shared" si="5433"/>
        <v>0</v>
      </c>
      <c r="AG1071" s="200">
        <f t="shared" si="5433"/>
        <v>0</v>
      </c>
      <c r="AH1071" s="171">
        <f t="shared" si="13"/>
        <v>0</v>
      </c>
      <c r="AI1071" s="200">
        <f t="shared" si="14"/>
        <v>1</v>
      </c>
      <c r="AJ1071" s="200">
        <f t="shared" si="4907"/>
        <v>0</v>
      </c>
      <c r="AK1071" s="201">
        <f t="shared" ref="AK1071:AS1071" si="5434">countif($D1071,"*"&amp;AK$2&amp;"*")</f>
        <v>0</v>
      </c>
      <c r="AL1071" s="201">
        <f t="shared" si="5434"/>
        <v>0</v>
      </c>
      <c r="AM1071" s="201">
        <f t="shared" si="5434"/>
        <v>0</v>
      </c>
      <c r="AN1071" s="201">
        <f t="shared" si="5434"/>
        <v>0</v>
      </c>
      <c r="AO1071" s="201">
        <f t="shared" si="5434"/>
        <v>0</v>
      </c>
      <c r="AP1071" s="201">
        <f t="shared" si="5434"/>
        <v>0</v>
      </c>
      <c r="AQ1071" s="201">
        <f t="shared" si="5434"/>
        <v>0</v>
      </c>
      <c r="AR1071" s="200">
        <f t="shared" si="5434"/>
        <v>0</v>
      </c>
      <c r="AS1071" s="200">
        <f t="shared" si="5434"/>
        <v>0</v>
      </c>
      <c r="AT1071" s="173">
        <v>0.0</v>
      </c>
      <c r="AU1071" s="200">
        <f t="shared" si="5324"/>
        <v>0</v>
      </c>
      <c r="AV1071" s="200">
        <f t="shared" ref="AV1071:AX1071" si="5435">countif($D1071,"*"&amp;AV$2&amp;"*")</f>
        <v>0</v>
      </c>
      <c r="AW1071" s="200">
        <f t="shared" si="5435"/>
        <v>0</v>
      </c>
      <c r="AX1071" s="200">
        <f t="shared" si="5435"/>
        <v>0</v>
      </c>
      <c r="AY1071" s="204">
        <v>1.0</v>
      </c>
      <c r="AZ1071" s="200"/>
      <c r="BA1071" s="171" t="str">
        <f t="shared" si="18"/>
        <v>Archival</v>
      </c>
      <c r="BB1071" s="171" t="str">
        <f t="shared" si="19"/>
        <v/>
      </c>
      <c r="BC1071" s="171" t="str">
        <f t="shared" si="20"/>
        <v/>
      </c>
      <c r="BD1071" s="171" t="str">
        <f t="shared" si="21"/>
        <v/>
      </c>
      <c r="BE1071" s="171" t="str">
        <f t="shared" si="22"/>
        <v/>
      </c>
      <c r="BF1071" s="171" t="str">
        <f t="shared" si="23"/>
        <v>Archival</v>
      </c>
    </row>
    <row r="1072">
      <c r="A1072" s="171">
        <f t="array" ref="A1072">XLOOKUP(C1072,ICSE!A:A,ICSE!C:C,,2,1)</f>
        <v>2023</v>
      </c>
      <c r="B1072" s="171" t="s">
        <v>5675</v>
      </c>
      <c r="C1072" s="160">
        <v>2093.0</v>
      </c>
      <c r="D1072" s="212" t="s">
        <v>2989</v>
      </c>
      <c r="E1072" s="197" t="str">
        <f t="array" ref="E1072">XLOOKUP(C1072,ICSE!A:A,ICSE!Z:Z,,0,1)</f>
        <v>Publicly available (1)</v>
      </c>
      <c r="F1072" s="198" t="s">
        <v>20</v>
      </c>
      <c r="G1072" s="163" t="str">
        <f t="array" ref="G1072">IF(B1072="ICSE",IF(COUNTIFS(B:B,B1072,C:C,C1072)=XLOOKUP(C1072,ICSE!A:A,ICSE!AA:AA,"ERROR",0,1),"OK","ERROR"),IF(B1072="FSE",IF(COUNTIFS(B:B,B1072,C:C,C1072)=XLOOKUP(C1072,FSE!A:A,FSE!AA:AA,"ERROR",0,1),"OK","ERROR")))</f>
        <v>OK</v>
      </c>
      <c r="H1072" s="199">
        <f t="shared" ref="H1072:O1072" si="5436">countif($D1072,"*"&amp;H$2&amp;"*")</f>
        <v>1</v>
      </c>
      <c r="I1072" s="200">
        <f t="shared" si="5436"/>
        <v>0</v>
      </c>
      <c r="J1072" s="200">
        <f t="shared" si="5436"/>
        <v>0</v>
      </c>
      <c r="K1072" s="200">
        <f t="shared" si="5436"/>
        <v>0</v>
      </c>
      <c r="L1072" s="200">
        <f t="shared" si="5436"/>
        <v>0</v>
      </c>
      <c r="M1072" s="200">
        <f t="shared" si="5436"/>
        <v>0</v>
      </c>
      <c r="N1072" s="200">
        <f t="shared" si="5436"/>
        <v>0</v>
      </c>
      <c r="O1072" s="200">
        <f t="shared" si="5436"/>
        <v>0</v>
      </c>
      <c r="P1072" s="200">
        <f t="shared" si="9"/>
        <v>0</v>
      </c>
      <c r="Q1072" s="200">
        <f t="shared" ref="Q1072:AC1072" si="5437">countif($D1072,"*"&amp;Q$2&amp;"*")</f>
        <v>0</v>
      </c>
      <c r="R1072" s="200">
        <f t="shared" si="5437"/>
        <v>0</v>
      </c>
      <c r="S1072" s="200">
        <f t="shared" si="5437"/>
        <v>0</v>
      </c>
      <c r="T1072" s="200">
        <f t="shared" si="5437"/>
        <v>0</v>
      </c>
      <c r="U1072" s="200">
        <f t="shared" si="5437"/>
        <v>0</v>
      </c>
      <c r="V1072" s="200">
        <f t="shared" si="5437"/>
        <v>0</v>
      </c>
      <c r="W1072" s="200">
        <f t="shared" si="5437"/>
        <v>0</v>
      </c>
      <c r="X1072" s="200">
        <f t="shared" si="5437"/>
        <v>0</v>
      </c>
      <c r="Y1072" s="200">
        <f t="shared" si="5437"/>
        <v>0</v>
      </c>
      <c r="Z1072" s="200">
        <f t="shared" si="5437"/>
        <v>0</v>
      </c>
      <c r="AA1072" s="200">
        <f t="shared" si="5437"/>
        <v>0</v>
      </c>
      <c r="AB1072" s="200">
        <f t="shared" si="5437"/>
        <v>0</v>
      </c>
      <c r="AC1072" s="200">
        <f t="shared" si="5437"/>
        <v>0</v>
      </c>
      <c r="AD1072" s="200">
        <f t="shared" si="11"/>
        <v>0</v>
      </c>
      <c r="AE1072" s="200">
        <f t="shared" ref="AE1072:AG1072" si="5438">countif($D1072,"*"&amp;AE$2&amp;"*")</f>
        <v>0</v>
      </c>
      <c r="AF1072" s="200">
        <f t="shared" si="5438"/>
        <v>0</v>
      </c>
      <c r="AG1072" s="200">
        <f t="shared" si="5438"/>
        <v>0</v>
      </c>
      <c r="AH1072" s="171">
        <f t="shared" si="13"/>
        <v>0</v>
      </c>
      <c r="AI1072" s="200">
        <f t="shared" si="14"/>
        <v>1</v>
      </c>
      <c r="AJ1072" s="200">
        <f t="shared" si="4907"/>
        <v>0</v>
      </c>
      <c r="AK1072" s="201">
        <f t="shared" ref="AK1072:AS1072" si="5439">countif($D1072,"*"&amp;AK$2&amp;"*")</f>
        <v>0</v>
      </c>
      <c r="AL1072" s="201">
        <f t="shared" si="5439"/>
        <v>0</v>
      </c>
      <c r="AM1072" s="201">
        <f t="shared" si="5439"/>
        <v>0</v>
      </c>
      <c r="AN1072" s="201">
        <f t="shared" si="5439"/>
        <v>0</v>
      </c>
      <c r="AO1072" s="201">
        <f t="shared" si="5439"/>
        <v>0</v>
      </c>
      <c r="AP1072" s="201">
        <f t="shared" si="5439"/>
        <v>0</v>
      </c>
      <c r="AQ1072" s="201">
        <f t="shared" si="5439"/>
        <v>0</v>
      </c>
      <c r="AR1072" s="200">
        <f t="shared" si="5439"/>
        <v>0</v>
      </c>
      <c r="AS1072" s="200">
        <f t="shared" si="5439"/>
        <v>0</v>
      </c>
      <c r="AT1072" s="173">
        <v>0.0</v>
      </c>
      <c r="AU1072" s="200">
        <f t="shared" si="5324"/>
        <v>0</v>
      </c>
      <c r="AV1072" s="200">
        <f t="shared" ref="AV1072:AX1072" si="5440">countif($D1072,"*"&amp;AV$2&amp;"*")</f>
        <v>0</v>
      </c>
      <c r="AW1072" s="200">
        <f t="shared" si="5440"/>
        <v>0</v>
      </c>
      <c r="AX1072" s="200">
        <f t="shared" si="5440"/>
        <v>1</v>
      </c>
      <c r="AY1072" s="202">
        <v>0.0</v>
      </c>
      <c r="AZ1072" s="200"/>
      <c r="BA1072" s="171" t="str">
        <f t="shared" si="18"/>
        <v>Archival</v>
      </c>
      <c r="BB1072" s="171" t="str">
        <f t="shared" si="19"/>
        <v/>
      </c>
      <c r="BC1072" s="171" t="str">
        <f t="shared" si="20"/>
        <v/>
      </c>
      <c r="BD1072" s="171" t="str">
        <f t="shared" si="21"/>
        <v/>
      </c>
      <c r="BE1072" s="171" t="str">
        <f t="shared" si="22"/>
        <v/>
      </c>
      <c r="BF1072" s="171" t="str">
        <f t="shared" si="23"/>
        <v>Archival</v>
      </c>
    </row>
    <row r="1073">
      <c r="A1073" s="171">
        <f t="array" ref="A1073">XLOOKUP(C1073,ICSE!A:A,ICSE!C:C,,2,1)</f>
        <v>2023</v>
      </c>
      <c r="B1073" s="171" t="s">
        <v>5675</v>
      </c>
      <c r="C1073" s="160">
        <v>2094.0</v>
      </c>
      <c r="D1073" s="161" t="s">
        <v>2992</v>
      </c>
      <c r="E1073" s="197" t="str">
        <f t="array" ref="E1073">XLOOKUP(C1073,ICSE!A:A,ICSE!Z:Z,,0,1)</f>
        <v>Publicly available (1)</v>
      </c>
      <c r="F1073" s="198" t="s">
        <v>20</v>
      </c>
      <c r="G1073" s="163" t="str">
        <f t="array" ref="G1073">IF(B1073="ICSE",IF(COUNTIFS(B:B,B1073,C:C,C1073)=XLOOKUP(C1073,ICSE!A:A,ICSE!AA:AA,"ERROR",0,1),"OK","ERROR"),IF(B1073="FSE",IF(COUNTIFS(B:B,B1073,C:C,C1073)=XLOOKUP(C1073,FSE!A:A,FSE!AA:AA,"ERROR",0,1),"OK","ERROR")))</f>
        <v>OK</v>
      </c>
      <c r="H1073" s="199">
        <f t="shared" ref="H1073:O1073" si="5441">countif($D1073,"*"&amp;H$2&amp;"*")</f>
        <v>0</v>
      </c>
      <c r="I1073" s="200">
        <f t="shared" si="5441"/>
        <v>0</v>
      </c>
      <c r="J1073" s="200">
        <f t="shared" si="5441"/>
        <v>0</v>
      </c>
      <c r="K1073" s="200">
        <f t="shared" si="5441"/>
        <v>0</v>
      </c>
      <c r="L1073" s="200">
        <f t="shared" si="5441"/>
        <v>0</v>
      </c>
      <c r="M1073" s="200">
        <f t="shared" si="5441"/>
        <v>0</v>
      </c>
      <c r="N1073" s="200">
        <f t="shared" si="5441"/>
        <v>0</v>
      </c>
      <c r="O1073" s="200">
        <f t="shared" si="5441"/>
        <v>0</v>
      </c>
      <c r="P1073" s="200">
        <f t="shared" si="9"/>
        <v>1</v>
      </c>
      <c r="Q1073" s="200">
        <f t="shared" ref="Q1073:AC1073" si="5442">countif($D1073,"*"&amp;Q$2&amp;"*")</f>
        <v>0</v>
      </c>
      <c r="R1073" s="200">
        <f t="shared" si="5442"/>
        <v>0</v>
      </c>
      <c r="S1073" s="200">
        <f t="shared" si="5442"/>
        <v>0</v>
      </c>
      <c r="T1073" s="200">
        <f t="shared" si="5442"/>
        <v>0</v>
      </c>
      <c r="U1073" s="200">
        <f t="shared" si="5442"/>
        <v>0</v>
      </c>
      <c r="V1073" s="200">
        <f t="shared" si="5442"/>
        <v>0</v>
      </c>
      <c r="W1073" s="200">
        <f t="shared" si="5442"/>
        <v>0</v>
      </c>
      <c r="X1073" s="200">
        <f t="shared" si="5442"/>
        <v>0</v>
      </c>
      <c r="Y1073" s="200">
        <f t="shared" si="5442"/>
        <v>0</v>
      </c>
      <c r="Z1073" s="200">
        <f t="shared" si="5442"/>
        <v>0</v>
      </c>
      <c r="AA1073" s="200">
        <f t="shared" si="5442"/>
        <v>0</v>
      </c>
      <c r="AB1073" s="200">
        <f t="shared" si="5442"/>
        <v>0</v>
      </c>
      <c r="AC1073" s="200">
        <f t="shared" si="5442"/>
        <v>0</v>
      </c>
      <c r="AD1073" s="200">
        <f t="shared" si="11"/>
        <v>0</v>
      </c>
      <c r="AE1073" s="200">
        <f t="shared" ref="AE1073:AG1073" si="5443">countif($D1073,"*"&amp;AE$2&amp;"*")</f>
        <v>0</v>
      </c>
      <c r="AF1073" s="200">
        <f t="shared" si="5443"/>
        <v>0</v>
      </c>
      <c r="AG1073" s="200">
        <f t="shared" si="5443"/>
        <v>0</v>
      </c>
      <c r="AH1073" s="171">
        <f t="shared" si="13"/>
        <v>0</v>
      </c>
      <c r="AI1073" s="200">
        <f t="shared" si="14"/>
        <v>0</v>
      </c>
      <c r="AJ1073" s="200">
        <f t="shared" si="4907"/>
        <v>0</v>
      </c>
      <c r="AK1073" s="201">
        <f t="shared" ref="AK1073:AS1073" si="5444">countif($D1073,"*"&amp;AK$2&amp;"*")</f>
        <v>0</v>
      </c>
      <c r="AL1073" s="201">
        <f t="shared" si="5444"/>
        <v>0</v>
      </c>
      <c r="AM1073" s="201">
        <f t="shared" si="5444"/>
        <v>0</v>
      </c>
      <c r="AN1073" s="201">
        <f t="shared" si="5444"/>
        <v>0</v>
      </c>
      <c r="AO1073" s="201">
        <f t="shared" si="5444"/>
        <v>0</v>
      </c>
      <c r="AP1073" s="201">
        <f t="shared" si="5444"/>
        <v>0</v>
      </c>
      <c r="AQ1073" s="201">
        <f t="shared" si="5444"/>
        <v>0</v>
      </c>
      <c r="AR1073" s="200">
        <f t="shared" si="5444"/>
        <v>0</v>
      </c>
      <c r="AS1073" s="200">
        <f t="shared" si="5444"/>
        <v>0</v>
      </c>
      <c r="AT1073" s="173">
        <v>0.0</v>
      </c>
      <c r="AU1073" s="200">
        <f t="shared" si="5324"/>
        <v>0</v>
      </c>
      <c r="AV1073" s="200">
        <f t="shared" ref="AV1073:AX1073" si="5445">countif($D1073,"*"&amp;AV$2&amp;"*")</f>
        <v>1</v>
      </c>
      <c r="AW1073" s="200">
        <f t="shared" si="5445"/>
        <v>0</v>
      </c>
      <c r="AX1073" s="200">
        <f t="shared" si="5445"/>
        <v>0</v>
      </c>
      <c r="AY1073" s="202">
        <v>0.0</v>
      </c>
      <c r="AZ1073" s="200"/>
      <c r="BA1073" s="171" t="str">
        <f t="shared" si="18"/>
        <v/>
      </c>
      <c r="BB1073" s="171" t="str">
        <f t="shared" si="19"/>
        <v>Code</v>
      </c>
      <c r="BC1073" s="171" t="str">
        <f t="shared" si="20"/>
        <v/>
      </c>
      <c r="BD1073" s="171" t="str">
        <f t="shared" si="21"/>
        <v/>
      </c>
      <c r="BE1073" s="171" t="str">
        <f t="shared" si="22"/>
        <v/>
      </c>
      <c r="BF1073" s="171" t="str">
        <f t="shared" si="23"/>
        <v>Code</v>
      </c>
    </row>
    <row r="1074">
      <c r="A1074" s="171">
        <f t="array" ref="A1074">XLOOKUP(C1074,ICSE!A:A,ICSE!C:C,,2,1)</f>
        <v>2023</v>
      </c>
      <c r="B1074" s="171" t="s">
        <v>5675</v>
      </c>
      <c r="C1074" s="160">
        <v>2095.0</v>
      </c>
      <c r="D1074" s="161" t="s">
        <v>2994</v>
      </c>
      <c r="E1074" s="197" t="str">
        <f t="array" ref="E1074">XLOOKUP(C1074,ICSE!A:A,ICSE!Z:Z,,0,1)</f>
        <v>Not available (1) - Broken link.</v>
      </c>
      <c r="F1074" s="198" t="s">
        <v>21</v>
      </c>
      <c r="G1074" s="163" t="str">
        <f t="array" ref="G1074">IF(B1074="ICSE",IF(COUNTIFS(B:B,B1074,C:C,C1074)=XLOOKUP(C1074,ICSE!A:A,ICSE!AA:AA,"ERROR",0,1),"OK","ERROR"),IF(B1074="FSE",IF(COUNTIFS(B:B,B1074,C:C,C1074)=XLOOKUP(C1074,FSE!A:A,FSE!AA:AA,"ERROR",0,1),"OK","ERROR")))</f>
        <v>OK</v>
      </c>
      <c r="H1074" s="199">
        <f t="shared" ref="H1074:O1074" si="5446">countif($D1074,"*"&amp;H$2&amp;"*")</f>
        <v>0</v>
      </c>
      <c r="I1074" s="200">
        <f t="shared" si="5446"/>
        <v>0</v>
      </c>
      <c r="J1074" s="200">
        <f t="shared" si="5446"/>
        <v>0</v>
      </c>
      <c r="K1074" s="200">
        <f t="shared" si="5446"/>
        <v>0</v>
      </c>
      <c r="L1074" s="200">
        <f t="shared" si="5446"/>
        <v>0</v>
      </c>
      <c r="M1074" s="200">
        <f t="shared" si="5446"/>
        <v>0</v>
      </c>
      <c r="N1074" s="200">
        <f t="shared" si="5446"/>
        <v>0</v>
      </c>
      <c r="O1074" s="200">
        <f t="shared" si="5446"/>
        <v>0</v>
      </c>
      <c r="P1074" s="200">
        <f t="shared" si="9"/>
        <v>1</v>
      </c>
      <c r="Q1074" s="200">
        <f t="shared" ref="Q1074:AC1074" si="5447">countif($D1074,"*"&amp;Q$2&amp;"*")</f>
        <v>0</v>
      </c>
      <c r="R1074" s="200">
        <f t="shared" si="5447"/>
        <v>0</v>
      </c>
      <c r="S1074" s="200">
        <f t="shared" si="5447"/>
        <v>0</v>
      </c>
      <c r="T1074" s="200">
        <f t="shared" si="5447"/>
        <v>0</v>
      </c>
      <c r="U1074" s="200">
        <f t="shared" si="5447"/>
        <v>0</v>
      </c>
      <c r="V1074" s="200">
        <f t="shared" si="5447"/>
        <v>0</v>
      </c>
      <c r="W1074" s="200">
        <f t="shared" si="5447"/>
        <v>0</v>
      </c>
      <c r="X1074" s="200">
        <f t="shared" si="5447"/>
        <v>0</v>
      </c>
      <c r="Y1074" s="200">
        <f t="shared" si="5447"/>
        <v>0</v>
      </c>
      <c r="Z1074" s="200">
        <f t="shared" si="5447"/>
        <v>0</v>
      </c>
      <c r="AA1074" s="200">
        <f t="shared" si="5447"/>
        <v>0</v>
      </c>
      <c r="AB1074" s="200">
        <f t="shared" si="5447"/>
        <v>0</v>
      </c>
      <c r="AC1074" s="200">
        <f t="shared" si="5447"/>
        <v>0</v>
      </c>
      <c r="AD1074" s="200">
        <f t="shared" si="11"/>
        <v>0</v>
      </c>
      <c r="AE1074" s="200">
        <f t="shared" ref="AE1074:AG1074" si="5448">countif($D1074,"*"&amp;AE$2&amp;"*")</f>
        <v>0</v>
      </c>
      <c r="AF1074" s="200">
        <f t="shared" si="5448"/>
        <v>0</v>
      </c>
      <c r="AG1074" s="200">
        <f t="shared" si="5448"/>
        <v>0</v>
      </c>
      <c r="AH1074" s="171">
        <f t="shared" si="13"/>
        <v>0</v>
      </c>
      <c r="AI1074" s="200">
        <f t="shared" si="14"/>
        <v>0</v>
      </c>
      <c r="AJ1074" s="200">
        <f t="shared" si="4907"/>
        <v>0</v>
      </c>
      <c r="AK1074" s="201">
        <f t="shared" ref="AK1074:AS1074" si="5449">countif($D1074,"*"&amp;AK$2&amp;"*")</f>
        <v>0</v>
      </c>
      <c r="AL1074" s="201">
        <f t="shared" si="5449"/>
        <v>0</v>
      </c>
      <c r="AM1074" s="201">
        <f t="shared" si="5449"/>
        <v>0</v>
      </c>
      <c r="AN1074" s="201">
        <f t="shared" si="5449"/>
        <v>0</v>
      </c>
      <c r="AO1074" s="201">
        <f t="shared" si="5449"/>
        <v>0</v>
      </c>
      <c r="AP1074" s="201">
        <f t="shared" si="5449"/>
        <v>0</v>
      </c>
      <c r="AQ1074" s="201">
        <f t="shared" si="5449"/>
        <v>0</v>
      </c>
      <c r="AR1074" s="200">
        <f t="shared" si="5449"/>
        <v>0</v>
      </c>
      <c r="AS1074" s="200">
        <f t="shared" si="5449"/>
        <v>0</v>
      </c>
      <c r="AT1074" s="173">
        <v>0.0</v>
      </c>
      <c r="AU1074" s="200">
        <f t="shared" si="5324"/>
        <v>0</v>
      </c>
      <c r="AV1074" s="200">
        <f t="shared" ref="AV1074:AX1074" si="5450">countif($D1074,"*"&amp;AV$2&amp;"*")</f>
        <v>1</v>
      </c>
      <c r="AW1074" s="200">
        <f t="shared" si="5450"/>
        <v>0</v>
      </c>
      <c r="AX1074" s="200">
        <f t="shared" si="5450"/>
        <v>0</v>
      </c>
      <c r="AY1074" s="202">
        <v>0.0</v>
      </c>
      <c r="AZ1074" s="200"/>
      <c r="BA1074" s="171" t="str">
        <f t="shared" si="18"/>
        <v/>
      </c>
      <c r="BB1074" s="171" t="str">
        <f t="shared" si="19"/>
        <v>Code</v>
      </c>
      <c r="BC1074" s="171" t="str">
        <f t="shared" si="20"/>
        <v/>
      </c>
      <c r="BD1074" s="171" t="str">
        <f t="shared" si="21"/>
        <v/>
      </c>
      <c r="BE1074" s="171" t="str">
        <f t="shared" si="22"/>
        <v/>
      </c>
      <c r="BF1074" s="171" t="str">
        <f t="shared" si="23"/>
        <v>Code</v>
      </c>
    </row>
    <row r="1075">
      <c r="A1075" s="171">
        <f t="array" ref="A1075">XLOOKUP(C1075,ICSE!A:A,ICSE!C:C,,2,1)</f>
        <v>2023</v>
      </c>
      <c r="B1075" s="171" t="s">
        <v>5675</v>
      </c>
      <c r="C1075" s="160">
        <v>2096.0</v>
      </c>
      <c r="D1075" s="161" t="s">
        <v>2997</v>
      </c>
      <c r="E1075" s="197" t="str">
        <f t="array" ref="E1075">XLOOKUP(C1075,ICSE!A:A,ICSE!Z:Z,,0,1)</f>
        <v>Publicly available (1)</v>
      </c>
      <c r="F1075" s="198" t="s">
        <v>20</v>
      </c>
      <c r="G1075" s="163" t="str">
        <f t="array" ref="G1075">IF(B1075="ICSE",IF(COUNTIFS(B:B,B1075,C:C,C1075)=XLOOKUP(C1075,ICSE!A:A,ICSE!AA:AA,"ERROR",0,1),"OK","ERROR"),IF(B1075="FSE",IF(COUNTIFS(B:B,B1075,C:C,C1075)=XLOOKUP(C1075,FSE!A:A,FSE!AA:AA,"ERROR",0,1),"OK","ERROR")))</f>
        <v>OK</v>
      </c>
      <c r="H1075" s="199">
        <f t="shared" ref="H1075:O1075" si="5451">countif($D1075,"*"&amp;H$2&amp;"*")</f>
        <v>0</v>
      </c>
      <c r="I1075" s="200">
        <f t="shared" si="5451"/>
        <v>0</v>
      </c>
      <c r="J1075" s="200">
        <f t="shared" si="5451"/>
        <v>0</v>
      </c>
      <c r="K1075" s="200">
        <f t="shared" si="5451"/>
        <v>0</v>
      </c>
      <c r="L1075" s="200">
        <f t="shared" si="5451"/>
        <v>0</v>
      </c>
      <c r="M1075" s="200">
        <f t="shared" si="5451"/>
        <v>0</v>
      </c>
      <c r="N1075" s="200">
        <f t="shared" si="5451"/>
        <v>0</v>
      </c>
      <c r="O1075" s="200">
        <f t="shared" si="5451"/>
        <v>0</v>
      </c>
      <c r="P1075" s="200">
        <f t="shared" si="9"/>
        <v>1</v>
      </c>
      <c r="Q1075" s="200">
        <f t="shared" ref="Q1075:AC1075" si="5452">countif($D1075,"*"&amp;Q$2&amp;"*")</f>
        <v>0</v>
      </c>
      <c r="R1075" s="200">
        <f t="shared" si="5452"/>
        <v>0</v>
      </c>
      <c r="S1075" s="200">
        <f t="shared" si="5452"/>
        <v>0</v>
      </c>
      <c r="T1075" s="200">
        <f t="shared" si="5452"/>
        <v>0</v>
      </c>
      <c r="U1075" s="200">
        <f t="shared" si="5452"/>
        <v>0</v>
      </c>
      <c r="V1075" s="200">
        <f t="shared" si="5452"/>
        <v>0</v>
      </c>
      <c r="W1075" s="200">
        <f t="shared" si="5452"/>
        <v>0</v>
      </c>
      <c r="X1075" s="200">
        <f t="shared" si="5452"/>
        <v>0</v>
      </c>
      <c r="Y1075" s="200">
        <f t="shared" si="5452"/>
        <v>0</v>
      </c>
      <c r="Z1075" s="200">
        <f t="shared" si="5452"/>
        <v>0</v>
      </c>
      <c r="AA1075" s="200">
        <f t="shared" si="5452"/>
        <v>0</v>
      </c>
      <c r="AB1075" s="200">
        <f t="shared" si="5452"/>
        <v>0</v>
      </c>
      <c r="AC1075" s="200">
        <f t="shared" si="5452"/>
        <v>0</v>
      </c>
      <c r="AD1075" s="200">
        <f t="shared" si="11"/>
        <v>0</v>
      </c>
      <c r="AE1075" s="200">
        <f t="shared" ref="AE1075:AG1075" si="5453">countif($D1075,"*"&amp;AE$2&amp;"*")</f>
        <v>0</v>
      </c>
      <c r="AF1075" s="200">
        <f t="shared" si="5453"/>
        <v>0</v>
      </c>
      <c r="AG1075" s="200">
        <f t="shared" si="5453"/>
        <v>0</v>
      </c>
      <c r="AH1075" s="171">
        <f t="shared" si="13"/>
        <v>0</v>
      </c>
      <c r="AI1075" s="200">
        <f t="shared" si="14"/>
        <v>0</v>
      </c>
      <c r="AJ1075" s="200">
        <f t="shared" si="4907"/>
        <v>0</v>
      </c>
      <c r="AK1075" s="201">
        <f t="shared" ref="AK1075:AS1075" si="5454">countif($D1075,"*"&amp;AK$2&amp;"*")</f>
        <v>0</v>
      </c>
      <c r="AL1075" s="201">
        <f t="shared" si="5454"/>
        <v>0</v>
      </c>
      <c r="AM1075" s="201">
        <f t="shared" si="5454"/>
        <v>0</v>
      </c>
      <c r="AN1075" s="201">
        <f t="shared" si="5454"/>
        <v>0</v>
      </c>
      <c r="AO1075" s="201">
        <f t="shared" si="5454"/>
        <v>0</v>
      </c>
      <c r="AP1075" s="201">
        <f t="shared" si="5454"/>
        <v>0</v>
      </c>
      <c r="AQ1075" s="201">
        <f t="shared" si="5454"/>
        <v>0</v>
      </c>
      <c r="AR1075" s="200">
        <f t="shared" si="5454"/>
        <v>0</v>
      </c>
      <c r="AS1075" s="200">
        <f t="shared" si="5454"/>
        <v>0</v>
      </c>
      <c r="AT1075" s="173">
        <v>0.0</v>
      </c>
      <c r="AU1075" s="200">
        <f t="shared" si="5324"/>
        <v>0</v>
      </c>
      <c r="AV1075" s="200">
        <f t="shared" ref="AV1075:AX1075" si="5455">countif($D1075,"*"&amp;AV$2&amp;"*")</f>
        <v>1</v>
      </c>
      <c r="AW1075" s="200">
        <f t="shared" si="5455"/>
        <v>0</v>
      </c>
      <c r="AX1075" s="200">
        <f t="shared" si="5455"/>
        <v>0</v>
      </c>
      <c r="AY1075" s="202">
        <v>0.0</v>
      </c>
      <c r="AZ1075" s="200"/>
      <c r="BA1075" s="171" t="str">
        <f t="shared" si="18"/>
        <v/>
      </c>
      <c r="BB1075" s="171" t="str">
        <f t="shared" si="19"/>
        <v>Code</v>
      </c>
      <c r="BC1075" s="171" t="str">
        <f t="shared" si="20"/>
        <v/>
      </c>
      <c r="BD1075" s="171" t="str">
        <f t="shared" si="21"/>
        <v/>
      </c>
      <c r="BE1075" s="171" t="str">
        <f t="shared" si="22"/>
        <v/>
      </c>
      <c r="BF1075" s="171" t="str">
        <f t="shared" si="23"/>
        <v>Code</v>
      </c>
    </row>
    <row r="1076">
      <c r="A1076" s="171">
        <f t="array" ref="A1076">XLOOKUP(C1076,ICSE!A:A,ICSE!C:C,,2,1)</f>
        <v>2023</v>
      </c>
      <c r="B1076" s="171" t="s">
        <v>5675</v>
      </c>
      <c r="C1076" s="160">
        <v>2097.0</v>
      </c>
      <c r="D1076" s="161" t="s">
        <v>3000</v>
      </c>
      <c r="E1076" s="197" t="str">
        <f t="array" ref="E1076">XLOOKUP(C1076,ICSE!A:A,ICSE!Z:Z,,0,1)</f>
        <v>Publicly available (1)</v>
      </c>
      <c r="F1076" s="198" t="s">
        <v>20</v>
      </c>
      <c r="G1076" s="163" t="str">
        <f t="array" ref="G1076">IF(B1076="ICSE",IF(COUNTIFS(B:B,B1076,C:C,C1076)=XLOOKUP(C1076,ICSE!A:A,ICSE!AA:AA,"ERROR",0,1),"OK","ERROR"),IF(B1076="FSE",IF(COUNTIFS(B:B,B1076,C:C,C1076)=XLOOKUP(C1076,FSE!A:A,FSE!AA:AA,"ERROR",0,1),"OK","ERROR")))</f>
        <v>OK</v>
      </c>
      <c r="H1076" s="199">
        <f t="shared" ref="H1076:O1076" si="5456">countif($D1076,"*"&amp;H$2&amp;"*")</f>
        <v>0</v>
      </c>
      <c r="I1076" s="200">
        <f t="shared" si="5456"/>
        <v>0</v>
      </c>
      <c r="J1076" s="200">
        <f t="shared" si="5456"/>
        <v>0</v>
      </c>
      <c r="K1076" s="200">
        <f t="shared" si="5456"/>
        <v>0</v>
      </c>
      <c r="L1076" s="200">
        <f t="shared" si="5456"/>
        <v>0</v>
      </c>
      <c r="M1076" s="200">
        <f t="shared" si="5456"/>
        <v>0</v>
      </c>
      <c r="N1076" s="200">
        <f t="shared" si="5456"/>
        <v>0</v>
      </c>
      <c r="O1076" s="200">
        <f t="shared" si="5456"/>
        <v>0</v>
      </c>
      <c r="P1076" s="200">
        <f t="shared" si="9"/>
        <v>1</v>
      </c>
      <c r="Q1076" s="200">
        <f t="shared" ref="Q1076:AC1076" si="5457">countif($D1076,"*"&amp;Q$2&amp;"*")</f>
        <v>0</v>
      </c>
      <c r="R1076" s="200">
        <f t="shared" si="5457"/>
        <v>0</v>
      </c>
      <c r="S1076" s="200">
        <f t="shared" si="5457"/>
        <v>0</v>
      </c>
      <c r="T1076" s="200">
        <f t="shared" si="5457"/>
        <v>0</v>
      </c>
      <c r="U1076" s="200">
        <f t="shared" si="5457"/>
        <v>0</v>
      </c>
      <c r="V1076" s="200">
        <f t="shared" si="5457"/>
        <v>0</v>
      </c>
      <c r="W1076" s="200">
        <f t="shared" si="5457"/>
        <v>0</v>
      </c>
      <c r="X1076" s="200">
        <f t="shared" si="5457"/>
        <v>0</v>
      </c>
      <c r="Y1076" s="200">
        <f t="shared" si="5457"/>
        <v>0</v>
      </c>
      <c r="Z1076" s="200">
        <f t="shared" si="5457"/>
        <v>0</v>
      </c>
      <c r="AA1076" s="200">
        <f t="shared" si="5457"/>
        <v>0</v>
      </c>
      <c r="AB1076" s="200">
        <f t="shared" si="5457"/>
        <v>0</v>
      </c>
      <c r="AC1076" s="200">
        <f t="shared" si="5457"/>
        <v>0</v>
      </c>
      <c r="AD1076" s="200">
        <f t="shared" si="11"/>
        <v>0</v>
      </c>
      <c r="AE1076" s="200">
        <f t="shared" ref="AE1076:AG1076" si="5458">countif($D1076,"*"&amp;AE$2&amp;"*")</f>
        <v>0</v>
      </c>
      <c r="AF1076" s="200">
        <f t="shared" si="5458"/>
        <v>0</v>
      </c>
      <c r="AG1076" s="200">
        <f t="shared" si="5458"/>
        <v>0</v>
      </c>
      <c r="AH1076" s="171">
        <f t="shared" si="13"/>
        <v>0</v>
      </c>
      <c r="AI1076" s="200">
        <f t="shared" si="14"/>
        <v>0</v>
      </c>
      <c r="AJ1076" s="200">
        <f t="shared" si="4907"/>
        <v>0</v>
      </c>
      <c r="AK1076" s="201">
        <f t="shared" ref="AK1076:AS1076" si="5459">countif($D1076,"*"&amp;AK$2&amp;"*")</f>
        <v>0</v>
      </c>
      <c r="AL1076" s="201">
        <f t="shared" si="5459"/>
        <v>0</v>
      </c>
      <c r="AM1076" s="201">
        <f t="shared" si="5459"/>
        <v>0</v>
      </c>
      <c r="AN1076" s="201">
        <f t="shared" si="5459"/>
        <v>0</v>
      </c>
      <c r="AO1076" s="201">
        <f t="shared" si="5459"/>
        <v>0</v>
      </c>
      <c r="AP1076" s="201">
        <f t="shared" si="5459"/>
        <v>0</v>
      </c>
      <c r="AQ1076" s="201">
        <f t="shared" si="5459"/>
        <v>0</v>
      </c>
      <c r="AR1076" s="200">
        <f t="shared" si="5459"/>
        <v>0</v>
      </c>
      <c r="AS1076" s="200">
        <f t="shared" si="5459"/>
        <v>0</v>
      </c>
      <c r="AT1076" s="173">
        <v>0.0</v>
      </c>
      <c r="AU1076" s="200">
        <f t="shared" si="5324"/>
        <v>0</v>
      </c>
      <c r="AV1076" s="200">
        <f t="shared" ref="AV1076:AX1076" si="5460">countif($D1076,"*"&amp;AV$2&amp;"*")</f>
        <v>1</v>
      </c>
      <c r="AW1076" s="200">
        <f t="shared" si="5460"/>
        <v>0</v>
      </c>
      <c r="AX1076" s="200">
        <f t="shared" si="5460"/>
        <v>0</v>
      </c>
      <c r="AY1076" s="202">
        <v>0.0</v>
      </c>
      <c r="AZ1076" s="200"/>
      <c r="BA1076" s="171" t="str">
        <f t="shared" si="18"/>
        <v/>
      </c>
      <c r="BB1076" s="171" t="str">
        <f t="shared" si="19"/>
        <v>Code</v>
      </c>
      <c r="BC1076" s="171" t="str">
        <f t="shared" si="20"/>
        <v/>
      </c>
      <c r="BD1076" s="171" t="str">
        <f t="shared" si="21"/>
        <v/>
      </c>
      <c r="BE1076" s="171" t="str">
        <f t="shared" si="22"/>
        <v/>
      </c>
      <c r="BF1076" s="171" t="str">
        <f t="shared" si="23"/>
        <v>Code</v>
      </c>
    </row>
    <row r="1077">
      <c r="A1077" s="171">
        <f t="array" ref="A1077">XLOOKUP(C1077,ICSE!A:A,ICSE!C:C,,2,1)</f>
        <v>2023</v>
      </c>
      <c r="B1077" s="171" t="s">
        <v>5675</v>
      </c>
      <c r="C1077" s="160">
        <v>2098.0</v>
      </c>
      <c r="D1077" s="161" t="s">
        <v>3003</v>
      </c>
      <c r="E1077" s="197" t="str">
        <f t="array" ref="E1077">XLOOKUP(C1077,ICSE!A:A,ICSE!Z:Z,,0,1)</f>
        <v>Publicly available (1)</v>
      </c>
      <c r="F1077" s="198" t="s">
        <v>20</v>
      </c>
      <c r="G1077" s="163" t="str">
        <f t="array" ref="G1077">IF(B1077="ICSE",IF(COUNTIFS(B:B,B1077,C:C,C1077)=XLOOKUP(C1077,ICSE!A:A,ICSE!AA:AA,"ERROR",0,1),"OK","ERROR"),IF(B1077="FSE",IF(COUNTIFS(B:B,B1077,C:C,C1077)=XLOOKUP(C1077,FSE!A:A,FSE!AA:AA,"ERROR",0,1),"OK","ERROR")))</f>
        <v>OK</v>
      </c>
      <c r="H1077" s="199">
        <f t="shared" ref="H1077:O1077" si="5461">countif($D1077,"*"&amp;H$2&amp;"*")</f>
        <v>0</v>
      </c>
      <c r="I1077" s="200">
        <f t="shared" si="5461"/>
        <v>0</v>
      </c>
      <c r="J1077" s="200">
        <f t="shared" si="5461"/>
        <v>0</v>
      </c>
      <c r="K1077" s="200">
        <f t="shared" si="5461"/>
        <v>0</v>
      </c>
      <c r="L1077" s="200">
        <f t="shared" si="5461"/>
        <v>0</v>
      </c>
      <c r="M1077" s="200">
        <f t="shared" si="5461"/>
        <v>0</v>
      </c>
      <c r="N1077" s="200">
        <f t="shared" si="5461"/>
        <v>0</v>
      </c>
      <c r="O1077" s="200">
        <f t="shared" si="5461"/>
        <v>0</v>
      </c>
      <c r="P1077" s="200">
        <f t="shared" si="9"/>
        <v>1</v>
      </c>
      <c r="Q1077" s="200">
        <f t="shared" ref="Q1077:AC1077" si="5462">countif($D1077,"*"&amp;Q$2&amp;"*")</f>
        <v>0</v>
      </c>
      <c r="R1077" s="200">
        <f t="shared" si="5462"/>
        <v>0</v>
      </c>
      <c r="S1077" s="200">
        <f t="shared" si="5462"/>
        <v>0</v>
      </c>
      <c r="T1077" s="200">
        <f t="shared" si="5462"/>
        <v>0</v>
      </c>
      <c r="U1077" s="200">
        <f t="shared" si="5462"/>
        <v>0</v>
      </c>
      <c r="V1077" s="200">
        <f t="shared" si="5462"/>
        <v>0</v>
      </c>
      <c r="W1077" s="200">
        <f t="shared" si="5462"/>
        <v>0</v>
      </c>
      <c r="X1077" s="200">
        <f t="shared" si="5462"/>
        <v>0</v>
      </c>
      <c r="Y1077" s="200">
        <f t="shared" si="5462"/>
        <v>0</v>
      </c>
      <c r="Z1077" s="200">
        <f t="shared" si="5462"/>
        <v>0</v>
      </c>
      <c r="AA1077" s="200">
        <f t="shared" si="5462"/>
        <v>0</v>
      </c>
      <c r="AB1077" s="200">
        <f t="shared" si="5462"/>
        <v>0</v>
      </c>
      <c r="AC1077" s="200">
        <f t="shared" si="5462"/>
        <v>0</v>
      </c>
      <c r="AD1077" s="200">
        <f t="shared" si="11"/>
        <v>0</v>
      </c>
      <c r="AE1077" s="200">
        <f t="shared" ref="AE1077:AG1077" si="5463">countif($D1077,"*"&amp;AE$2&amp;"*")</f>
        <v>0</v>
      </c>
      <c r="AF1077" s="200">
        <f t="shared" si="5463"/>
        <v>0</v>
      </c>
      <c r="AG1077" s="200">
        <f t="shared" si="5463"/>
        <v>0</v>
      </c>
      <c r="AH1077" s="171">
        <f t="shared" si="13"/>
        <v>0</v>
      </c>
      <c r="AI1077" s="200">
        <f t="shared" si="14"/>
        <v>0</v>
      </c>
      <c r="AJ1077" s="200">
        <f t="shared" si="4907"/>
        <v>0</v>
      </c>
      <c r="AK1077" s="201">
        <f t="shared" ref="AK1077:AS1077" si="5464">countif($D1077,"*"&amp;AK$2&amp;"*")</f>
        <v>0</v>
      </c>
      <c r="AL1077" s="201">
        <f t="shared" si="5464"/>
        <v>0</v>
      </c>
      <c r="AM1077" s="201">
        <f t="shared" si="5464"/>
        <v>0</v>
      </c>
      <c r="AN1077" s="201">
        <f t="shared" si="5464"/>
        <v>0</v>
      </c>
      <c r="AO1077" s="201">
        <f t="shared" si="5464"/>
        <v>0</v>
      </c>
      <c r="AP1077" s="201">
        <f t="shared" si="5464"/>
        <v>0</v>
      </c>
      <c r="AQ1077" s="201">
        <f t="shared" si="5464"/>
        <v>0</v>
      </c>
      <c r="AR1077" s="200">
        <f t="shared" si="5464"/>
        <v>0</v>
      </c>
      <c r="AS1077" s="200">
        <f t="shared" si="5464"/>
        <v>0</v>
      </c>
      <c r="AT1077" s="173">
        <v>0.0</v>
      </c>
      <c r="AU1077" s="200">
        <f t="shared" si="5324"/>
        <v>0</v>
      </c>
      <c r="AV1077" s="200">
        <f t="shared" ref="AV1077:AX1077" si="5465">countif($D1077,"*"&amp;AV$2&amp;"*")</f>
        <v>1</v>
      </c>
      <c r="AW1077" s="200">
        <f t="shared" si="5465"/>
        <v>0</v>
      </c>
      <c r="AX1077" s="200">
        <f t="shared" si="5465"/>
        <v>0</v>
      </c>
      <c r="AY1077" s="202">
        <v>0.0</v>
      </c>
      <c r="AZ1077" s="200"/>
      <c r="BA1077" s="171" t="str">
        <f t="shared" si="18"/>
        <v/>
      </c>
      <c r="BB1077" s="171" t="str">
        <f t="shared" si="19"/>
        <v>Code</v>
      </c>
      <c r="BC1077" s="171" t="str">
        <f t="shared" si="20"/>
        <v/>
      </c>
      <c r="BD1077" s="171" t="str">
        <f t="shared" si="21"/>
        <v/>
      </c>
      <c r="BE1077" s="171" t="str">
        <f t="shared" si="22"/>
        <v/>
      </c>
      <c r="BF1077" s="171" t="str">
        <f t="shared" si="23"/>
        <v>Code</v>
      </c>
    </row>
    <row r="1078">
      <c r="A1078" s="171">
        <f t="array" ref="A1078">XLOOKUP(C1078,ICSE!A:A,ICSE!C:C,,2,1)</f>
        <v>2023</v>
      </c>
      <c r="B1078" s="171" t="s">
        <v>5675</v>
      </c>
      <c r="C1078" s="160">
        <v>2099.0</v>
      </c>
      <c r="D1078" s="161" t="s">
        <v>3006</v>
      </c>
      <c r="E1078" s="197" t="str">
        <f t="array" ref="E1078">XLOOKUP(C1078,ICSE!A:A,ICSE!Z:Z,,0,1)</f>
        <v>Publicly available (1)</v>
      </c>
      <c r="F1078" s="198" t="s">
        <v>20</v>
      </c>
      <c r="G1078" s="163" t="str">
        <f t="array" ref="G1078">IF(B1078="ICSE",IF(COUNTIFS(B:B,B1078,C:C,C1078)=XLOOKUP(C1078,ICSE!A:A,ICSE!AA:AA,"ERROR",0,1),"OK","ERROR"),IF(B1078="FSE",IF(COUNTIFS(B:B,B1078,C:C,C1078)=XLOOKUP(C1078,FSE!A:A,FSE!AA:AA,"ERROR",0,1),"OK","ERROR")))</f>
        <v>OK</v>
      </c>
      <c r="H1078" s="199">
        <f t="shared" ref="H1078:O1078" si="5466">countif($D1078,"*"&amp;H$2&amp;"*")</f>
        <v>0</v>
      </c>
      <c r="I1078" s="200">
        <f t="shared" si="5466"/>
        <v>0</v>
      </c>
      <c r="J1078" s="200">
        <f t="shared" si="5466"/>
        <v>0</v>
      </c>
      <c r="K1078" s="200">
        <f t="shared" si="5466"/>
        <v>0</v>
      </c>
      <c r="L1078" s="200">
        <f t="shared" si="5466"/>
        <v>0</v>
      </c>
      <c r="M1078" s="200">
        <f t="shared" si="5466"/>
        <v>0</v>
      </c>
      <c r="N1078" s="200">
        <f t="shared" si="5466"/>
        <v>0</v>
      </c>
      <c r="O1078" s="200">
        <f t="shared" si="5466"/>
        <v>0</v>
      </c>
      <c r="P1078" s="200">
        <f t="shared" si="9"/>
        <v>1</v>
      </c>
      <c r="Q1078" s="200">
        <f t="shared" ref="Q1078:AC1078" si="5467">countif($D1078,"*"&amp;Q$2&amp;"*")</f>
        <v>0</v>
      </c>
      <c r="R1078" s="200">
        <f t="shared" si="5467"/>
        <v>0</v>
      </c>
      <c r="S1078" s="200">
        <f t="shared" si="5467"/>
        <v>0</v>
      </c>
      <c r="T1078" s="200">
        <f t="shared" si="5467"/>
        <v>0</v>
      </c>
      <c r="U1078" s="200">
        <f t="shared" si="5467"/>
        <v>0</v>
      </c>
      <c r="V1078" s="200">
        <f t="shared" si="5467"/>
        <v>0</v>
      </c>
      <c r="W1078" s="200">
        <f t="shared" si="5467"/>
        <v>0</v>
      </c>
      <c r="X1078" s="200">
        <f t="shared" si="5467"/>
        <v>0</v>
      </c>
      <c r="Y1078" s="200">
        <f t="shared" si="5467"/>
        <v>0</v>
      </c>
      <c r="Z1078" s="200">
        <f t="shared" si="5467"/>
        <v>0</v>
      </c>
      <c r="AA1078" s="200">
        <f t="shared" si="5467"/>
        <v>0</v>
      </c>
      <c r="AB1078" s="200">
        <f t="shared" si="5467"/>
        <v>0</v>
      </c>
      <c r="AC1078" s="200">
        <f t="shared" si="5467"/>
        <v>0</v>
      </c>
      <c r="AD1078" s="200">
        <f t="shared" si="11"/>
        <v>0</v>
      </c>
      <c r="AE1078" s="200">
        <f t="shared" ref="AE1078:AG1078" si="5468">countif($D1078,"*"&amp;AE$2&amp;"*")</f>
        <v>0</v>
      </c>
      <c r="AF1078" s="200">
        <f t="shared" si="5468"/>
        <v>0</v>
      </c>
      <c r="AG1078" s="200">
        <f t="shared" si="5468"/>
        <v>0</v>
      </c>
      <c r="AH1078" s="171">
        <f t="shared" si="13"/>
        <v>0</v>
      </c>
      <c r="AI1078" s="200">
        <f t="shared" si="14"/>
        <v>0</v>
      </c>
      <c r="AJ1078" s="200">
        <f t="shared" si="4907"/>
        <v>0</v>
      </c>
      <c r="AK1078" s="201">
        <f t="shared" ref="AK1078:AS1078" si="5469">countif($D1078,"*"&amp;AK$2&amp;"*")</f>
        <v>0</v>
      </c>
      <c r="AL1078" s="201">
        <f t="shared" si="5469"/>
        <v>0</v>
      </c>
      <c r="AM1078" s="201">
        <f t="shared" si="5469"/>
        <v>0</v>
      </c>
      <c r="AN1078" s="201">
        <f t="shared" si="5469"/>
        <v>0</v>
      </c>
      <c r="AO1078" s="201">
        <f t="shared" si="5469"/>
        <v>0</v>
      </c>
      <c r="AP1078" s="201">
        <f t="shared" si="5469"/>
        <v>0</v>
      </c>
      <c r="AQ1078" s="201">
        <f t="shared" si="5469"/>
        <v>0</v>
      </c>
      <c r="AR1078" s="200">
        <f t="shared" si="5469"/>
        <v>0</v>
      </c>
      <c r="AS1078" s="200">
        <f t="shared" si="5469"/>
        <v>0</v>
      </c>
      <c r="AT1078" s="173">
        <v>0.0</v>
      </c>
      <c r="AU1078" s="200">
        <f t="shared" si="5324"/>
        <v>0</v>
      </c>
      <c r="AV1078" s="200">
        <f t="shared" ref="AV1078:AX1078" si="5470">countif($D1078,"*"&amp;AV$2&amp;"*")</f>
        <v>1</v>
      </c>
      <c r="AW1078" s="200">
        <f t="shared" si="5470"/>
        <v>0</v>
      </c>
      <c r="AX1078" s="200">
        <f t="shared" si="5470"/>
        <v>0</v>
      </c>
      <c r="AY1078" s="202">
        <v>0.0</v>
      </c>
      <c r="AZ1078" s="200"/>
      <c r="BA1078" s="171" t="str">
        <f t="shared" si="18"/>
        <v/>
      </c>
      <c r="BB1078" s="171" t="str">
        <f t="shared" si="19"/>
        <v>Code</v>
      </c>
      <c r="BC1078" s="171" t="str">
        <f t="shared" si="20"/>
        <v/>
      </c>
      <c r="BD1078" s="171" t="str">
        <f t="shared" si="21"/>
        <v/>
      </c>
      <c r="BE1078" s="171" t="str">
        <f t="shared" si="22"/>
        <v/>
      </c>
      <c r="BF1078" s="171" t="str">
        <f t="shared" si="23"/>
        <v>Code</v>
      </c>
    </row>
    <row r="1079">
      <c r="A1079" s="171">
        <f t="array" ref="A1079">XLOOKUP(C1079,ICSE!A:A,ICSE!C:C,,2,1)</f>
        <v>2023</v>
      </c>
      <c r="B1079" s="171" t="s">
        <v>5675</v>
      </c>
      <c r="C1079" s="160">
        <v>2100.0</v>
      </c>
      <c r="D1079" s="161" t="s">
        <v>3009</v>
      </c>
      <c r="E1079" s="197" t="str">
        <f t="array" ref="E1079">XLOOKUP(C1079,ICSE!A:A,ICSE!Z:Z,,0,1)</f>
        <v>Publicly available (1)</v>
      </c>
      <c r="F1079" s="198" t="s">
        <v>20</v>
      </c>
      <c r="G1079" s="163" t="str">
        <f t="array" ref="G1079">IF(B1079="ICSE",IF(COUNTIFS(B:B,B1079,C:C,C1079)=XLOOKUP(C1079,ICSE!A:A,ICSE!AA:AA,"ERROR",0,1),"OK","ERROR"),IF(B1079="FSE",IF(COUNTIFS(B:B,B1079,C:C,C1079)=XLOOKUP(C1079,FSE!A:A,FSE!AA:AA,"ERROR",0,1),"OK","ERROR")))</f>
        <v>OK</v>
      </c>
      <c r="H1079" s="199">
        <f t="shared" ref="H1079:O1079" si="5471">countif($D1079,"*"&amp;H$2&amp;"*")</f>
        <v>0</v>
      </c>
      <c r="I1079" s="200">
        <f t="shared" si="5471"/>
        <v>1</v>
      </c>
      <c r="J1079" s="200">
        <f t="shared" si="5471"/>
        <v>0</v>
      </c>
      <c r="K1079" s="200">
        <f t="shared" si="5471"/>
        <v>0</v>
      </c>
      <c r="L1079" s="200">
        <f t="shared" si="5471"/>
        <v>0</v>
      </c>
      <c r="M1079" s="200">
        <f t="shared" si="5471"/>
        <v>0</v>
      </c>
      <c r="N1079" s="200">
        <f t="shared" si="5471"/>
        <v>0</v>
      </c>
      <c r="O1079" s="200">
        <f t="shared" si="5471"/>
        <v>0</v>
      </c>
      <c r="P1079" s="200">
        <f t="shared" si="9"/>
        <v>0</v>
      </c>
      <c r="Q1079" s="200">
        <f t="shared" ref="Q1079:AC1079" si="5472">countif($D1079,"*"&amp;Q$2&amp;"*")</f>
        <v>0</v>
      </c>
      <c r="R1079" s="200">
        <f t="shared" si="5472"/>
        <v>0</v>
      </c>
      <c r="S1079" s="200">
        <f t="shared" si="5472"/>
        <v>0</v>
      </c>
      <c r="T1079" s="200">
        <f t="shared" si="5472"/>
        <v>0</v>
      </c>
      <c r="U1079" s="200">
        <f t="shared" si="5472"/>
        <v>0</v>
      </c>
      <c r="V1079" s="200">
        <f t="shared" si="5472"/>
        <v>0</v>
      </c>
      <c r="W1079" s="200">
        <f t="shared" si="5472"/>
        <v>0</v>
      </c>
      <c r="X1079" s="200">
        <f t="shared" si="5472"/>
        <v>0</v>
      </c>
      <c r="Y1079" s="200">
        <f t="shared" si="5472"/>
        <v>0</v>
      </c>
      <c r="Z1079" s="200">
        <f t="shared" si="5472"/>
        <v>0</v>
      </c>
      <c r="AA1079" s="200">
        <f t="shared" si="5472"/>
        <v>0</v>
      </c>
      <c r="AB1079" s="200">
        <f t="shared" si="5472"/>
        <v>0</v>
      </c>
      <c r="AC1079" s="200">
        <f t="shared" si="5472"/>
        <v>0</v>
      </c>
      <c r="AD1079" s="200">
        <f t="shared" si="11"/>
        <v>0</v>
      </c>
      <c r="AE1079" s="200">
        <f t="shared" ref="AE1079:AG1079" si="5473">countif($D1079,"*"&amp;AE$2&amp;"*")</f>
        <v>0</v>
      </c>
      <c r="AF1079" s="200">
        <f t="shared" si="5473"/>
        <v>0</v>
      </c>
      <c r="AG1079" s="200">
        <f t="shared" si="5473"/>
        <v>0</v>
      </c>
      <c r="AH1079" s="171">
        <f t="shared" si="13"/>
        <v>0</v>
      </c>
      <c r="AI1079" s="200">
        <f t="shared" si="14"/>
        <v>1</v>
      </c>
      <c r="AJ1079" s="200">
        <f t="shared" si="4907"/>
        <v>0</v>
      </c>
      <c r="AK1079" s="201">
        <f t="shared" ref="AK1079:AS1079" si="5474">countif($D1079,"*"&amp;AK$2&amp;"*")</f>
        <v>0</v>
      </c>
      <c r="AL1079" s="201">
        <f t="shared" si="5474"/>
        <v>0</v>
      </c>
      <c r="AM1079" s="201">
        <f t="shared" si="5474"/>
        <v>0</v>
      </c>
      <c r="AN1079" s="201">
        <f t="shared" si="5474"/>
        <v>0</v>
      </c>
      <c r="AO1079" s="201">
        <f t="shared" si="5474"/>
        <v>0</v>
      </c>
      <c r="AP1079" s="201">
        <f t="shared" si="5474"/>
        <v>0</v>
      </c>
      <c r="AQ1079" s="201">
        <f t="shared" si="5474"/>
        <v>0</v>
      </c>
      <c r="AR1079" s="200">
        <f t="shared" si="5474"/>
        <v>0</v>
      </c>
      <c r="AS1079" s="200">
        <f t="shared" si="5474"/>
        <v>0</v>
      </c>
      <c r="AT1079" s="173">
        <v>0.0</v>
      </c>
      <c r="AU1079" s="200">
        <f t="shared" si="5324"/>
        <v>0</v>
      </c>
      <c r="AV1079" s="200">
        <f t="shared" ref="AV1079:AX1079" si="5475">countif($D1079,"*"&amp;AV$2&amp;"*")</f>
        <v>0</v>
      </c>
      <c r="AW1079" s="200">
        <f t="shared" si="5475"/>
        <v>0</v>
      </c>
      <c r="AX1079" s="200">
        <f t="shared" si="5475"/>
        <v>1</v>
      </c>
      <c r="AY1079" s="202">
        <v>0.0</v>
      </c>
      <c r="AZ1079" s="200"/>
      <c r="BA1079" s="171" t="str">
        <f t="shared" si="18"/>
        <v>Archival</v>
      </c>
      <c r="BB1079" s="171" t="str">
        <f t="shared" si="19"/>
        <v/>
      </c>
      <c r="BC1079" s="171" t="str">
        <f t="shared" si="20"/>
        <v/>
      </c>
      <c r="BD1079" s="171" t="str">
        <f t="shared" si="21"/>
        <v/>
      </c>
      <c r="BE1079" s="171" t="str">
        <f t="shared" si="22"/>
        <v/>
      </c>
      <c r="BF1079" s="171" t="str">
        <f t="shared" si="23"/>
        <v>Archival</v>
      </c>
    </row>
    <row r="1080">
      <c r="A1080" s="171">
        <f t="array" ref="A1080">XLOOKUP(C1080,ICSE!A:A,ICSE!C:C,,2,1)</f>
        <v>2023</v>
      </c>
      <c r="B1080" s="171" t="s">
        <v>5675</v>
      </c>
      <c r="C1080" s="160">
        <v>2101.0</v>
      </c>
      <c r="D1080" s="161" t="s">
        <v>3011</v>
      </c>
      <c r="E1080" s="197" t="str">
        <f t="array" ref="E1080">XLOOKUP(C1080,ICSE!A:A,ICSE!Z:Z,,0,1)</f>
        <v>Publicly available (1)</v>
      </c>
      <c r="F1080" s="198" t="s">
        <v>20</v>
      </c>
      <c r="G1080" s="163" t="str">
        <f t="array" ref="G1080">IF(B1080="ICSE",IF(COUNTIFS(B:B,B1080,C:C,C1080)=XLOOKUP(C1080,ICSE!A:A,ICSE!AA:AA,"ERROR",0,1),"OK","ERROR"),IF(B1080="FSE",IF(COUNTIFS(B:B,B1080,C:C,C1080)=XLOOKUP(C1080,FSE!A:A,FSE!AA:AA,"ERROR",0,1),"OK","ERROR")))</f>
        <v>OK</v>
      </c>
      <c r="H1080" s="199">
        <f t="shared" ref="H1080:O1080" si="5476">countif($D1080,"*"&amp;H$2&amp;"*")</f>
        <v>0</v>
      </c>
      <c r="I1080" s="200">
        <f t="shared" si="5476"/>
        <v>0</v>
      </c>
      <c r="J1080" s="200">
        <f t="shared" si="5476"/>
        <v>0</v>
      </c>
      <c r="K1080" s="200">
        <f t="shared" si="5476"/>
        <v>0</v>
      </c>
      <c r="L1080" s="200">
        <f t="shared" si="5476"/>
        <v>0</v>
      </c>
      <c r="M1080" s="200">
        <f t="shared" si="5476"/>
        <v>0</v>
      </c>
      <c r="N1080" s="200">
        <f t="shared" si="5476"/>
        <v>0</v>
      </c>
      <c r="O1080" s="200">
        <f t="shared" si="5476"/>
        <v>0</v>
      </c>
      <c r="P1080" s="200">
        <f t="shared" si="9"/>
        <v>1</v>
      </c>
      <c r="Q1080" s="200">
        <f t="shared" ref="Q1080:AC1080" si="5477">countif($D1080,"*"&amp;Q$2&amp;"*")</f>
        <v>0</v>
      </c>
      <c r="R1080" s="200">
        <f t="shared" si="5477"/>
        <v>0</v>
      </c>
      <c r="S1080" s="200">
        <f t="shared" si="5477"/>
        <v>0</v>
      </c>
      <c r="T1080" s="200">
        <f t="shared" si="5477"/>
        <v>0</v>
      </c>
      <c r="U1080" s="200">
        <f t="shared" si="5477"/>
        <v>0</v>
      </c>
      <c r="V1080" s="200">
        <f t="shared" si="5477"/>
        <v>0</v>
      </c>
      <c r="W1080" s="200">
        <f t="shared" si="5477"/>
        <v>0</v>
      </c>
      <c r="X1080" s="200">
        <f t="shared" si="5477"/>
        <v>0</v>
      </c>
      <c r="Y1080" s="200">
        <f t="shared" si="5477"/>
        <v>0</v>
      </c>
      <c r="Z1080" s="200">
        <f t="shared" si="5477"/>
        <v>0</v>
      </c>
      <c r="AA1080" s="200">
        <f t="shared" si="5477"/>
        <v>0</v>
      </c>
      <c r="AB1080" s="200">
        <f t="shared" si="5477"/>
        <v>0</v>
      </c>
      <c r="AC1080" s="200">
        <f t="shared" si="5477"/>
        <v>0</v>
      </c>
      <c r="AD1080" s="200">
        <f t="shared" si="11"/>
        <v>0</v>
      </c>
      <c r="AE1080" s="200">
        <f t="shared" ref="AE1080:AG1080" si="5478">countif($D1080,"*"&amp;AE$2&amp;"*")</f>
        <v>0</v>
      </c>
      <c r="AF1080" s="200">
        <f t="shared" si="5478"/>
        <v>0</v>
      </c>
      <c r="AG1080" s="200">
        <f t="shared" si="5478"/>
        <v>0</v>
      </c>
      <c r="AH1080" s="171">
        <f t="shared" si="13"/>
        <v>0</v>
      </c>
      <c r="AI1080" s="200">
        <f t="shared" si="14"/>
        <v>0</v>
      </c>
      <c r="AJ1080" s="200">
        <f t="shared" si="4907"/>
        <v>0</v>
      </c>
      <c r="AK1080" s="201">
        <f t="shared" ref="AK1080:AS1080" si="5479">countif($D1080,"*"&amp;AK$2&amp;"*")</f>
        <v>0</v>
      </c>
      <c r="AL1080" s="201">
        <f t="shared" si="5479"/>
        <v>0</v>
      </c>
      <c r="AM1080" s="201">
        <f t="shared" si="5479"/>
        <v>0</v>
      </c>
      <c r="AN1080" s="201">
        <f t="shared" si="5479"/>
        <v>0</v>
      </c>
      <c r="AO1080" s="201">
        <f t="shared" si="5479"/>
        <v>0</v>
      </c>
      <c r="AP1080" s="201">
        <f t="shared" si="5479"/>
        <v>0</v>
      </c>
      <c r="AQ1080" s="201">
        <f t="shared" si="5479"/>
        <v>0</v>
      </c>
      <c r="AR1080" s="200">
        <f t="shared" si="5479"/>
        <v>0</v>
      </c>
      <c r="AS1080" s="200">
        <f t="shared" si="5479"/>
        <v>0</v>
      </c>
      <c r="AT1080" s="173">
        <v>0.0</v>
      </c>
      <c r="AU1080" s="200">
        <f t="shared" si="5324"/>
        <v>0</v>
      </c>
      <c r="AV1080" s="200">
        <f t="shared" ref="AV1080:AX1080" si="5480">countif($D1080,"*"&amp;AV$2&amp;"*")</f>
        <v>1</v>
      </c>
      <c r="AW1080" s="200">
        <f t="shared" si="5480"/>
        <v>0</v>
      </c>
      <c r="AX1080" s="200">
        <f t="shared" si="5480"/>
        <v>0</v>
      </c>
      <c r="AY1080" s="202">
        <v>0.0</v>
      </c>
      <c r="AZ1080" s="200"/>
      <c r="BA1080" s="171" t="str">
        <f t="shared" si="18"/>
        <v/>
      </c>
      <c r="BB1080" s="171" t="str">
        <f t="shared" si="19"/>
        <v>Code</v>
      </c>
      <c r="BC1080" s="171" t="str">
        <f t="shared" si="20"/>
        <v/>
      </c>
      <c r="BD1080" s="171" t="str">
        <f t="shared" si="21"/>
        <v/>
      </c>
      <c r="BE1080" s="171" t="str">
        <f t="shared" si="22"/>
        <v/>
      </c>
      <c r="BF1080" s="171" t="str">
        <f t="shared" si="23"/>
        <v>Code</v>
      </c>
    </row>
    <row r="1081">
      <c r="A1081" s="171">
        <f t="array" ref="A1081">XLOOKUP(C1081,ICSE!A:A,ICSE!C:C,,2,1)</f>
        <v>2023</v>
      </c>
      <c r="B1081" s="171" t="s">
        <v>5675</v>
      </c>
      <c r="C1081" s="160">
        <v>2102.0</v>
      </c>
      <c r="D1081" s="161" t="s">
        <v>3014</v>
      </c>
      <c r="E1081" s="197" t="str">
        <f t="array" ref="E1081">XLOOKUP(C1081,ICSE!A:A,ICSE!Z:Z,,0,1)</f>
        <v>Publicly available (1)</v>
      </c>
      <c r="F1081" s="198" t="s">
        <v>20</v>
      </c>
      <c r="G1081" s="163" t="str">
        <f t="array" ref="G1081">IF(B1081="ICSE",IF(COUNTIFS(B:B,B1081,C:C,C1081)=XLOOKUP(C1081,ICSE!A:A,ICSE!AA:AA,"ERROR",0,1),"OK","ERROR"),IF(B1081="FSE",IF(COUNTIFS(B:B,B1081,C:C,C1081)=XLOOKUP(C1081,FSE!A:A,FSE!AA:AA,"ERROR",0,1),"OK","ERROR")))</f>
        <v>OK</v>
      </c>
      <c r="H1081" s="199">
        <f t="shared" ref="H1081:O1081" si="5481">countif($D1081,"*"&amp;H$2&amp;"*")</f>
        <v>0</v>
      </c>
      <c r="I1081" s="200">
        <f t="shared" si="5481"/>
        <v>0</v>
      </c>
      <c r="J1081" s="200">
        <f t="shared" si="5481"/>
        <v>0</v>
      </c>
      <c r="K1081" s="200">
        <f t="shared" si="5481"/>
        <v>0</v>
      </c>
      <c r="L1081" s="200">
        <f t="shared" si="5481"/>
        <v>0</v>
      </c>
      <c r="M1081" s="200">
        <f t="shared" si="5481"/>
        <v>0</v>
      </c>
      <c r="N1081" s="200">
        <f t="shared" si="5481"/>
        <v>0</v>
      </c>
      <c r="O1081" s="200">
        <f t="shared" si="5481"/>
        <v>0</v>
      </c>
      <c r="P1081" s="200">
        <f t="shared" si="9"/>
        <v>1</v>
      </c>
      <c r="Q1081" s="200">
        <f t="shared" ref="Q1081:AC1081" si="5482">countif($D1081,"*"&amp;Q$2&amp;"*")</f>
        <v>0</v>
      </c>
      <c r="R1081" s="200">
        <f t="shared" si="5482"/>
        <v>0</v>
      </c>
      <c r="S1081" s="200">
        <f t="shared" si="5482"/>
        <v>0</v>
      </c>
      <c r="T1081" s="200">
        <f t="shared" si="5482"/>
        <v>0</v>
      </c>
      <c r="U1081" s="200">
        <f t="shared" si="5482"/>
        <v>0</v>
      </c>
      <c r="V1081" s="200">
        <f t="shared" si="5482"/>
        <v>0</v>
      </c>
      <c r="W1081" s="200">
        <f t="shared" si="5482"/>
        <v>0</v>
      </c>
      <c r="X1081" s="200">
        <f t="shared" si="5482"/>
        <v>0</v>
      </c>
      <c r="Y1081" s="200">
        <f t="shared" si="5482"/>
        <v>0</v>
      </c>
      <c r="Z1081" s="200">
        <f t="shared" si="5482"/>
        <v>0</v>
      </c>
      <c r="AA1081" s="200">
        <f t="shared" si="5482"/>
        <v>0</v>
      </c>
      <c r="AB1081" s="200">
        <f t="shared" si="5482"/>
        <v>0</v>
      </c>
      <c r="AC1081" s="200">
        <f t="shared" si="5482"/>
        <v>0</v>
      </c>
      <c r="AD1081" s="200">
        <f t="shared" si="11"/>
        <v>0</v>
      </c>
      <c r="AE1081" s="200">
        <f t="shared" ref="AE1081:AG1081" si="5483">countif($D1081,"*"&amp;AE$2&amp;"*")</f>
        <v>0</v>
      </c>
      <c r="AF1081" s="200">
        <f t="shared" si="5483"/>
        <v>0</v>
      </c>
      <c r="AG1081" s="200">
        <f t="shared" si="5483"/>
        <v>0</v>
      </c>
      <c r="AH1081" s="171">
        <f t="shared" si="13"/>
        <v>0</v>
      </c>
      <c r="AI1081" s="200">
        <f t="shared" si="14"/>
        <v>0</v>
      </c>
      <c r="AJ1081" s="200">
        <f t="shared" si="4907"/>
        <v>0</v>
      </c>
      <c r="AK1081" s="201">
        <f t="shared" ref="AK1081:AS1081" si="5484">countif($D1081,"*"&amp;AK$2&amp;"*")</f>
        <v>0</v>
      </c>
      <c r="AL1081" s="201">
        <f t="shared" si="5484"/>
        <v>0</v>
      </c>
      <c r="AM1081" s="201">
        <f t="shared" si="5484"/>
        <v>0</v>
      </c>
      <c r="AN1081" s="201">
        <f t="shared" si="5484"/>
        <v>0</v>
      </c>
      <c r="AO1081" s="201">
        <f t="shared" si="5484"/>
        <v>0</v>
      </c>
      <c r="AP1081" s="201">
        <f t="shared" si="5484"/>
        <v>0</v>
      </c>
      <c r="AQ1081" s="201">
        <f t="shared" si="5484"/>
        <v>0</v>
      </c>
      <c r="AR1081" s="200">
        <f t="shared" si="5484"/>
        <v>0</v>
      </c>
      <c r="AS1081" s="200">
        <f t="shared" si="5484"/>
        <v>0</v>
      </c>
      <c r="AT1081" s="173">
        <v>0.0</v>
      </c>
      <c r="AU1081" s="200">
        <f t="shared" si="5324"/>
        <v>0</v>
      </c>
      <c r="AV1081" s="200">
        <f t="shared" ref="AV1081:AX1081" si="5485">countif($D1081,"*"&amp;AV$2&amp;"*")</f>
        <v>1</v>
      </c>
      <c r="AW1081" s="200">
        <f t="shared" si="5485"/>
        <v>0</v>
      </c>
      <c r="AX1081" s="200">
        <f t="shared" si="5485"/>
        <v>0</v>
      </c>
      <c r="AY1081" s="202">
        <v>0.0</v>
      </c>
      <c r="AZ1081" s="200"/>
      <c r="BA1081" s="171" t="str">
        <f t="shared" si="18"/>
        <v/>
      </c>
      <c r="BB1081" s="171" t="str">
        <f t="shared" si="19"/>
        <v>Code</v>
      </c>
      <c r="BC1081" s="171" t="str">
        <f t="shared" si="20"/>
        <v/>
      </c>
      <c r="BD1081" s="171" t="str">
        <f t="shared" si="21"/>
        <v/>
      </c>
      <c r="BE1081" s="171" t="str">
        <f t="shared" si="22"/>
        <v/>
      </c>
      <c r="BF1081" s="171" t="str">
        <f t="shared" si="23"/>
        <v>Code</v>
      </c>
    </row>
    <row r="1082">
      <c r="A1082" s="171">
        <f t="array" ref="A1082">XLOOKUP(C1082,ICSE!A:A,ICSE!C:C,,2,1)</f>
        <v>2023</v>
      </c>
      <c r="B1082" s="171" t="s">
        <v>5675</v>
      </c>
      <c r="C1082" s="160">
        <v>2103.0</v>
      </c>
      <c r="D1082" s="161" t="s">
        <v>3017</v>
      </c>
      <c r="E1082" s="197" t="str">
        <f t="array" ref="E1082">XLOOKUP(C1082,ICSE!A:A,ICSE!Z:Z,,0,1)</f>
        <v>Publicly available (1)</v>
      </c>
      <c r="F1082" s="198" t="s">
        <v>20</v>
      </c>
      <c r="G1082" s="163" t="str">
        <f t="array" ref="G1082">IF(B1082="ICSE",IF(COUNTIFS(B:B,B1082,C:C,C1082)=XLOOKUP(C1082,ICSE!A:A,ICSE!AA:AA,"ERROR",0,1),"OK","ERROR"),IF(B1082="FSE",IF(COUNTIFS(B:B,B1082,C:C,C1082)=XLOOKUP(C1082,FSE!A:A,FSE!AA:AA,"ERROR",0,1),"OK","ERROR")))</f>
        <v>OK</v>
      </c>
      <c r="H1082" s="199">
        <f t="shared" ref="H1082:O1082" si="5486">countif($D1082,"*"&amp;H$2&amp;"*")</f>
        <v>0</v>
      </c>
      <c r="I1082" s="200">
        <f t="shared" si="5486"/>
        <v>0</v>
      </c>
      <c r="J1082" s="200">
        <f t="shared" si="5486"/>
        <v>0</v>
      </c>
      <c r="K1082" s="200">
        <f t="shared" si="5486"/>
        <v>0</v>
      </c>
      <c r="L1082" s="200">
        <f t="shared" si="5486"/>
        <v>0</v>
      </c>
      <c r="M1082" s="200">
        <f t="shared" si="5486"/>
        <v>0</v>
      </c>
      <c r="N1082" s="200">
        <f t="shared" si="5486"/>
        <v>0</v>
      </c>
      <c r="O1082" s="200">
        <f t="shared" si="5486"/>
        <v>0</v>
      </c>
      <c r="P1082" s="200">
        <f t="shared" si="9"/>
        <v>1</v>
      </c>
      <c r="Q1082" s="200">
        <f t="shared" ref="Q1082:AC1082" si="5487">countif($D1082,"*"&amp;Q$2&amp;"*")</f>
        <v>0</v>
      </c>
      <c r="R1082" s="200">
        <f t="shared" si="5487"/>
        <v>0</v>
      </c>
      <c r="S1082" s="200">
        <f t="shared" si="5487"/>
        <v>0</v>
      </c>
      <c r="T1082" s="200">
        <f t="shared" si="5487"/>
        <v>0</v>
      </c>
      <c r="U1082" s="200">
        <f t="shared" si="5487"/>
        <v>0</v>
      </c>
      <c r="V1082" s="200">
        <f t="shared" si="5487"/>
        <v>0</v>
      </c>
      <c r="W1082" s="200">
        <f t="shared" si="5487"/>
        <v>0</v>
      </c>
      <c r="X1082" s="200">
        <f t="shared" si="5487"/>
        <v>0</v>
      </c>
      <c r="Y1082" s="200">
        <f t="shared" si="5487"/>
        <v>0</v>
      </c>
      <c r="Z1082" s="200">
        <f t="shared" si="5487"/>
        <v>0</v>
      </c>
      <c r="AA1082" s="200">
        <f t="shared" si="5487"/>
        <v>0</v>
      </c>
      <c r="AB1082" s="200">
        <f t="shared" si="5487"/>
        <v>0</v>
      </c>
      <c r="AC1082" s="200">
        <f t="shared" si="5487"/>
        <v>0</v>
      </c>
      <c r="AD1082" s="200">
        <f t="shared" si="11"/>
        <v>0</v>
      </c>
      <c r="AE1082" s="200">
        <f t="shared" ref="AE1082:AG1082" si="5488">countif($D1082,"*"&amp;AE$2&amp;"*")</f>
        <v>0</v>
      </c>
      <c r="AF1082" s="200">
        <f t="shared" si="5488"/>
        <v>0</v>
      </c>
      <c r="AG1082" s="200">
        <f t="shared" si="5488"/>
        <v>0</v>
      </c>
      <c r="AH1082" s="171">
        <f t="shared" si="13"/>
        <v>0</v>
      </c>
      <c r="AI1082" s="200">
        <f t="shared" si="14"/>
        <v>0</v>
      </c>
      <c r="AJ1082" s="200">
        <f t="shared" si="4907"/>
        <v>0</v>
      </c>
      <c r="AK1082" s="201">
        <f t="shared" ref="AK1082:AS1082" si="5489">countif($D1082,"*"&amp;AK$2&amp;"*")</f>
        <v>0</v>
      </c>
      <c r="AL1082" s="201">
        <f t="shared" si="5489"/>
        <v>0</v>
      </c>
      <c r="AM1082" s="201">
        <f t="shared" si="5489"/>
        <v>0</v>
      </c>
      <c r="AN1082" s="201">
        <f t="shared" si="5489"/>
        <v>0</v>
      </c>
      <c r="AO1082" s="201">
        <f t="shared" si="5489"/>
        <v>0</v>
      </c>
      <c r="AP1082" s="201">
        <f t="shared" si="5489"/>
        <v>0</v>
      </c>
      <c r="AQ1082" s="201">
        <f t="shared" si="5489"/>
        <v>0</v>
      </c>
      <c r="AR1082" s="200">
        <f t="shared" si="5489"/>
        <v>0</v>
      </c>
      <c r="AS1082" s="200">
        <f t="shared" si="5489"/>
        <v>0</v>
      </c>
      <c r="AT1082" s="173">
        <v>0.0</v>
      </c>
      <c r="AU1082" s="200">
        <f t="shared" si="5324"/>
        <v>0</v>
      </c>
      <c r="AV1082" s="200">
        <f t="shared" ref="AV1082:AX1082" si="5490">countif($D1082,"*"&amp;AV$2&amp;"*")</f>
        <v>1</v>
      </c>
      <c r="AW1082" s="200">
        <f t="shared" si="5490"/>
        <v>0</v>
      </c>
      <c r="AX1082" s="200">
        <f t="shared" si="5490"/>
        <v>0</v>
      </c>
      <c r="AY1082" s="202">
        <v>0.0</v>
      </c>
      <c r="AZ1082" s="200"/>
      <c r="BA1082" s="171" t="str">
        <f t="shared" si="18"/>
        <v/>
      </c>
      <c r="BB1082" s="171" t="str">
        <f t="shared" si="19"/>
        <v>Code</v>
      </c>
      <c r="BC1082" s="171" t="str">
        <f t="shared" si="20"/>
        <v/>
      </c>
      <c r="BD1082" s="171" t="str">
        <f t="shared" si="21"/>
        <v/>
      </c>
      <c r="BE1082" s="171" t="str">
        <f t="shared" si="22"/>
        <v/>
      </c>
      <c r="BF1082" s="171" t="str">
        <f t="shared" si="23"/>
        <v>Code</v>
      </c>
    </row>
    <row r="1083">
      <c r="A1083" s="171">
        <f t="array" ref="A1083">XLOOKUP(C1083,ICSE!A:A,ICSE!C:C,,2,1)</f>
        <v>2023</v>
      </c>
      <c r="B1083" s="171" t="s">
        <v>5675</v>
      </c>
      <c r="C1083" s="160">
        <v>2104.0</v>
      </c>
      <c r="D1083" s="161" t="s">
        <v>3020</v>
      </c>
      <c r="E1083" s="197" t="str">
        <f t="array" ref="E1083">XLOOKUP(C1083,ICSE!A:A,ICSE!Z:Z,,0,1)</f>
        <v>Publicly available (1)</v>
      </c>
      <c r="F1083" s="198" t="s">
        <v>20</v>
      </c>
      <c r="G1083" s="163" t="str">
        <f t="array" ref="G1083">IF(B1083="ICSE",IF(COUNTIFS(B:B,B1083,C:C,C1083)=XLOOKUP(C1083,ICSE!A:A,ICSE!AA:AA,"ERROR",0,1),"OK","ERROR"),IF(B1083="FSE",IF(COUNTIFS(B:B,B1083,C:C,C1083)=XLOOKUP(C1083,FSE!A:A,FSE!AA:AA,"ERROR",0,1),"OK","ERROR")))</f>
        <v>OK</v>
      </c>
      <c r="H1083" s="199">
        <f t="shared" ref="H1083:O1083" si="5491">countif($D1083,"*"&amp;H$2&amp;"*")</f>
        <v>0</v>
      </c>
      <c r="I1083" s="200">
        <f t="shared" si="5491"/>
        <v>0</v>
      </c>
      <c r="J1083" s="200">
        <f t="shared" si="5491"/>
        <v>0</v>
      </c>
      <c r="K1083" s="200">
        <f t="shared" si="5491"/>
        <v>0</v>
      </c>
      <c r="L1083" s="200">
        <f t="shared" si="5491"/>
        <v>0</v>
      </c>
      <c r="M1083" s="200">
        <f t="shared" si="5491"/>
        <v>0</v>
      </c>
      <c r="N1083" s="200">
        <f t="shared" si="5491"/>
        <v>0</v>
      </c>
      <c r="O1083" s="200">
        <f t="shared" si="5491"/>
        <v>0</v>
      </c>
      <c r="P1083" s="200">
        <f t="shared" si="9"/>
        <v>0</v>
      </c>
      <c r="Q1083" s="200">
        <f t="shared" ref="Q1083:AC1083" si="5492">countif($D1083,"*"&amp;Q$2&amp;"*")</f>
        <v>0</v>
      </c>
      <c r="R1083" s="200">
        <f t="shared" si="5492"/>
        <v>0</v>
      </c>
      <c r="S1083" s="200">
        <f t="shared" si="5492"/>
        <v>0</v>
      </c>
      <c r="T1083" s="200">
        <f t="shared" si="5492"/>
        <v>0</v>
      </c>
      <c r="U1083" s="200">
        <f t="shared" si="5492"/>
        <v>0</v>
      </c>
      <c r="V1083" s="200">
        <f t="shared" si="5492"/>
        <v>0</v>
      </c>
      <c r="W1083" s="200">
        <f t="shared" si="5492"/>
        <v>0</v>
      </c>
      <c r="X1083" s="200">
        <f t="shared" si="5492"/>
        <v>0</v>
      </c>
      <c r="Y1083" s="200">
        <f t="shared" si="5492"/>
        <v>0</v>
      </c>
      <c r="Z1083" s="200">
        <f t="shared" si="5492"/>
        <v>0</v>
      </c>
      <c r="AA1083" s="200">
        <f t="shared" si="5492"/>
        <v>1</v>
      </c>
      <c r="AB1083" s="200">
        <f t="shared" si="5492"/>
        <v>0</v>
      </c>
      <c r="AC1083" s="200">
        <f t="shared" si="5492"/>
        <v>0</v>
      </c>
      <c r="AD1083" s="200">
        <f t="shared" si="11"/>
        <v>0</v>
      </c>
      <c r="AE1083" s="200">
        <f t="shared" ref="AE1083:AG1083" si="5493">countif($D1083,"*"&amp;AE$2&amp;"*")</f>
        <v>0</v>
      </c>
      <c r="AF1083" s="200">
        <f t="shared" si="5493"/>
        <v>0</v>
      </c>
      <c r="AG1083" s="200">
        <f t="shared" si="5493"/>
        <v>0</v>
      </c>
      <c r="AH1083" s="171">
        <f t="shared" si="13"/>
        <v>0</v>
      </c>
      <c r="AI1083" s="200">
        <f t="shared" si="14"/>
        <v>0</v>
      </c>
      <c r="AJ1083" s="200">
        <f t="shared" si="4907"/>
        <v>0</v>
      </c>
      <c r="AK1083" s="201">
        <f t="shared" ref="AK1083:AS1083" si="5494">countif($D1083,"*"&amp;AK$2&amp;"*")</f>
        <v>0</v>
      </c>
      <c r="AL1083" s="201">
        <f t="shared" si="5494"/>
        <v>0</v>
      </c>
      <c r="AM1083" s="201">
        <f t="shared" si="5494"/>
        <v>0</v>
      </c>
      <c r="AN1083" s="201">
        <f t="shared" si="5494"/>
        <v>0</v>
      </c>
      <c r="AO1083" s="201">
        <f t="shared" si="5494"/>
        <v>0</v>
      </c>
      <c r="AP1083" s="201">
        <f t="shared" si="5494"/>
        <v>0</v>
      </c>
      <c r="AQ1083" s="201">
        <f t="shared" si="5494"/>
        <v>0</v>
      </c>
      <c r="AR1083" s="200">
        <f t="shared" si="5494"/>
        <v>0</v>
      </c>
      <c r="AS1083" s="200">
        <f t="shared" si="5494"/>
        <v>0</v>
      </c>
      <c r="AT1083" s="173">
        <v>0.0</v>
      </c>
      <c r="AU1083" s="200">
        <f t="shared" si="5324"/>
        <v>0</v>
      </c>
      <c r="AV1083" s="200">
        <f t="shared" ref="AV1083:AX1083" si="5495">countif($D1083,"*"&amp;AV$2&amp;"*")</f>
        <v>0</v>
      </c>
      <c r="AW1083" s="200">
        <f t="shared" si="5495"/>
        <v>0</v>
      </c>
      <c r="AX1083" s="200">
        <f t="shared" si="5495"/>
        <v>0</v>
      </c>
      <c r="AY1083" s="202">
        <v>0.0</v>
      </c>
      <c r="AZ1083" s="200"/>
      <c r="BA1083" s="171" t="str">
        <f t="shared" si="18"/>
        <v/>
      </c>
      <c r="BB1083" s="171" t="str">
        <f t="shared" si="19"/>
        <v/>
      </c>
      <c r="BC1083" s="171" t="str">
        <f t="shared" si="20"/>
        <v>General-purpose</v>
      </c>
      <c r="BD1083" s="171" t="str">
        <f t="shared" si="21"/>
        <v/>
      </c>
      <c r="BE1083" s="171" t="str">
        <f t="shared" si="22"/>
        <v/>
      </c>
      <c r="BF1083" s="171" t="str">
        <f t="shared" si="23"/>
        <v>General-purpose</v>
      </c>
    </row>
    <row r="1084">
      <c r="A1084" s="171">
        <f t="array" ref="A1084">XLOOKUP(C1084,ICSE!A:A,ICSE!C:C,,2,1)</f>
        <v>2023</v>
      </c>
      <c r="B1084" s="171" t="s">
        <v>5675</v>
      </c>
      <c r="C1084" s="160">
        <v>2105.0</v>
      </c>
      <c r="D1084" s="161" t="s">
        <v>3023</v>
      </c>
      <c r="E1084" s="197" t="str">
        <f t="array" ref="E1084">XLOOKUP(C1084,ICSE!A:A,ICSE!Z:Z,,0,1)</f>
        <v>Publicly available (1)</v>
      </c>
      <c r="F1084" s="198" t="s">
        <v>20</v>
      </c>
      <c r="G1084" s="163" t="str">
        <f t="array" ref="G1084">IF(B1084="ICSE",IF(COUNTIFS(B:B,B1084,C:C,C1084)=XLOOKUP(C1084,ICSE!A:A,ICSE!AA:AA,"ERROR",0,1),"OK","ERROR"),IF(B1084="FSE",IF(COUNTIFS(B:B,B1084,C:C,C1084)=XLOOKUP(C1084,FSE!A:A,FSE!AA:AA,"ERROR",0,1),"OK","ERROR")))</f>
        <v>OK</v>
      </c>
      <c r="H1084" s="199">
        <f t="shared" ref="H1084:O1084" si="5496">countif($D1084,"*"&amp;H$2&amp;"*")</f>
        <v>0</v>
      </c>
      <c r="I1084" s="200">
        <f t="shared" si="5496"/>
        <v>0</v>
      </c>
      <c r="J1084" s="200">
        <f t="shared" si="5496"/>
        <v>0</v>
      </c>
      <c r="K1084" s="200">
        <f t="shared" si="5496"/>
        <v>0</v>
      </c>
      <c r="L1084" s="200">
        <f t="shared" si="5496"/>
        <v>0</v>
      </c>
      <c r="M1084" s="200">
        <f t="shared" si="5496"/>
        <v>0</v>
      </c>
      <c r="N1084" s="200">
        <f t="shared" si="5496"/>
        <v>0</v>
      </c>
      <c r="O1084" s="200">
        <f t="shared" si="5496"/>
        <v>0</v>
      </c>
      <c r="P1084" s="200">
        <f t="shared" si="9"/>
        <v>0</v>
      </c>
      <c r="Q1084" s="200">
        <f t="shared" ref="Q1084:AC1084" si="5497">countif($D1084,"*"&amp;Q$2&amp;"*")</f>
        <v>0</v>
      </c>
      <c r="R1084" s="200">
        <f t="shared" si="5497"/>
        <v>0</v>
      </c>
      <c r="S1084" s="200">
        <f t="shared" si="5497"/>
        <v>0</v>
      </c>
      <c r="T1084" s="200">
        <f t="shared" si="5497"/>
        <v>0</v>
      </c>
      <c r="U1084" s="200">
        <f t="shared" si="5497"/>
        <v>0</v>
      </c>
      <c r="V1084" s="200">
        <f t="shared" si="5497"/>
        <v>0</v>
      </c>
      <c r="W1084" s="200">
        <f t="shared" si="5497"/>
        <v>0</v>
      </c>
      <c r="X1084" s="200">
        <f t="shared" si="5497"/>
        <v>0</v>
      </c>
      <c r="Y1084" s="200">
        <f t="shared" si="5497"/>
        <v>0</v>
      </c>
      <c r="Z1084" s="200">
        <f t="shared" si="5497"/>
        <v>0</v>
      </c>
      <c r="AA1084" s="200">
        <f t="shared" si="5497"/>
        <v>0</v>
      </c>
      <c r="AB1084" s="200">
        <f t="shared" si="5497"/>
        <v>0</v>
      </c>
      <c r="AC1084" s="200">
        <f t="shared" si="5497"/>
        <v>0</v>
      </c>
      <c r="AD1084" s="200">
        <f t="shared" si="11"/>
        <v>0</v>
      </c>
      <c r="AE1084" s="200">
        <f t="shared" ref="AE1084:AG1084" si="5498">countif($D1084,"*"&amp;AE$2&amp;"*")</f>
        <v>0</v>
      </c>
      <c r="AF1084" s="200">
        <f t="shared" si="5498"/>
        <v>0</v>
      </c>
      <c r="AG1084" s="200">
        <f t="shared" si="5498"/>
        <v>0</v>
      </c>
      <c r="AH1084" s="171">
        <f t="shared" si="13"/>
        <v>1</v>
      </c>
      <c r="AI1084" s="200">
        <f t="shared" si="14"/>
        <v>0</v>
      </c>
      <c r="AJ1084" s="200">
        <f t="shared" si="4907"/>
        <v>0</v>
      </c>
      <c r="AK1084" s="201">
        <f t="shared" ref="AK1084:AS1084" si="5499">countif($D1084,"*"&amp;AK$2&amp;"*")</f>
        <v>0</v>
      </c>
      <c r="AL1084" s="201">
        <f t="shared" si="5499"/>
        <v>0</v>
      </c>
      <c r="AM1084" s="201">
        <f t="shared" si="5499"/>
        <v>0</v>
      </c>
      <c r="AN1084" s="201">
        <f t="shared" si="5499"/>
        <v>0</v>
      </c>
      <c r="AO1084" s="201">
        <f t="shared" si="5499"/>
        <v>0</v>
      </c>
      <c r="AP1084" s="201">
        <f t="shared" si="5499"/>
        <v>0</v>
      </c>
      <c r="AQ1084" s="201">
        <f t="shared" si="5499"/>
        <v>0</v>
      </c>
      <c r="AR1084" s="200">
        <f t="shared" si="5499"/>
        <v>0</v>
      </c>
      <c r="AS1084" s="200">
        <f t="shared" si="5499"/>
        <v>0</v>
      </c>
      <c r="AT1084" s="173">
        <v>0.0</v>
      </c>
      <c r="AU1084" s="200">
        <f t="shared" si="5324"/>
        <v>0</v>
      </c>
      <c r="AV1084" s="200">
        <f t="shared" ref="AV1084:AX1084" si="5500">countif($D1084,"*"&amp;AV$2&amp;"*")</f>
        <v>0</v>
      </c>
      <c r="AW1084" s="200">
        <f t="shared" si="5500"/>
        <v>0</v>
      </c>
      <c r="AX1084" s="200">
        <f t="shared" si="5500"/>
        <v>0</v>
      </c>
      <c r="AY1084" s="202">
        <v>0.0</v>
      </c>
      <c r="AZ1084" s="200"/>
      <c r="BA1084" s="171" t="str">
        <f t="shared" si="18"/>
        <v/>
      </c>
      <c r="BB1084" s="171" t="str">
        <f t="shared" si="19"/>
        <v/>
      </c>
      <c r="BC1084" s="171" t="str">
        <f t="shared" si="20"/>
        <v/>
      </c>
      <c r="BD1084" s="171" t="str">
        <f t="shared" si="21"/>
        <v/>
      </c>
      <c r="BE1084" s="171" t="str">
        <f t="shared" si="22"/>
        <v>Others</v>
      </c>
      <c r="BF1084" s="171" t="str">
        <f t="shared" si="23"/>
        <v>Others</v>
      </c>
    </row>
    <row r="1085">
      <c r="A1085" s="171">
        <f t="array" ref="A1085">XLOOKUP(C1085,ICSE!A:A,ICSE!C:C,,2,1)</f>
        <v>2023</v>
      </c>
      <c r="B1085" s="171" t="s">
        <v>5675</v>
      </c>
      <c r="C1085" s="160">
        <v>2106.0</v>
      </c>
      <c r="D1085" s="161" t="s">
        <v>6125</v>
      </c>
      <c r="E1085" s="197" t="str">
        <f t="array" ref="E1085">XLOOKUP(C1085,ICSE!A:A,ICSE!Z:Z,,0,1)</f>
        <v>Publicly available (2)</v>
      </c>
      <c r="F1085" s="198" t="s">
        <v>20</v>
      </c>
      <c r="G1085" s="163" t="str">
        <f t="array" ref="G1085">IF(B1085="ICSE",IF(COUNTIFS(B:B,B1085,C:C,C1085)=XLOOKUP(C1085,ICSE!A:A,ICSE!AA:AA,"ERROR",0,1),"OK","ERROR"),IF(B1085="FSE",IF(COUNTIFS(B:B,B1085,C:C,C1085)=XLOOKUP(C1085,FSE!A:A,FSE!AA:AA,"ERROR",0,1),"OK","ERROR")))</f>
        <v>OK</v>
      </c>
      <c r="H1085" s="199">
        <f t="shared" ref="H1085:O1085" si="5501">countif($D1085,"*"&amp;H$2&amp;"*")</f>
        <v>0</v>
      </c>
      <c r="I1085" s="200">
        <f t="shared" si="5501"/>
        <v>0</v>
      </c>
      <c r="J1085" s="200">
        <f t="shared" si="5501"/>
        <v>0</v>
      </c>
      <c r="K1085" s="200">
        <f t="shared" si="5501"/>
        <v>0</v>
      </c>
      <c r="L1085" s="200">
        <f t="shared" si="5501"/>
        <v>0</v>
      </c>
      <c r="M1085" s="200">
        <f t="shared" si="5501"/>
        <v>0</v>
      </c>
      <c r="N1085" s="200">
        <f t="shared" si="5501"/>
        <v>0</v>
      </c>
      <c r="O1085" s="200">
        <f t="shared" si="5501"/>
        <v>0</v>
      </c>
      <c r="P1085" s="200">
        <f t="shared" si="9"/>
        <v>1</v>
      </c>
      <c r="Q1085" s="200">
        <f t="shared" ref="Q1085:AC1085" si="5502">countif($D1085,"*"&amp;Q$2&amp;"*")</f>
        <v>0</v>
      </c>
      <c r="R1085" s="200">
        <f t="shared" si="5502"/>
        <v>0</v>
      </c>
      <c r="S1085" s="200">
        <f t="shared" si="5502"/>
        <v>0</v>
      </c>
      <c r="T1085" s="200">
        <f t="shared" si="5502"/>
        <v>0</v>
      </c>
      <c r="U1085" s="200">
        <f t="shared" si="5502"/>
        <v>0</v>
      </c>
      <c r="V1085" s="200">
        <f t="shared" si="5502"/>
        <v>0</v>
      </c>
      <c r="W1085" s="200">
        <f t="shared" si="5502"/>
        <v>0</v>
      </c>
      <c r="X1085" s="200">
        <f t="shared" si="5502"/>
        <v>0</v>
      </c>
      <c r="Y1085" s="200">
        <f t="shared" si="5502"/>
        <v>0</v>
      </c>
      <c r="Z1085" s="200">
        <f t="shared" si="5502"/>
        <v>0</v>
      </c>
      <c r="AA1085" s="200">
        <f t="shared" si="5502"/>
        <v>0</v>
      </c>
      <c r="AB1085" s="200">
        <f t="shared" si="5502"/>
        <v>0</v>
      </c>
      <c r="AC1085" s="200">
        <f t="shared" si="5502"/>
        <v>0</v>
      </c>
      <c r="AD1085" s="200">
        <f t="shared" si="11"/>
        <v>0</v>
      </c>
      <c r="AE1085" s="200">
        <f t="shared" ref="AE1085:AG1085" si="5503">countif($D1085,"*"&amp;AE$2&amp;"*")</f>
        <v>0</v>
      </c>
      <c r="AF1085" s="200">
        <f t="shared" si="5503"/>
        <v>0</v>
      </c>
      <c r="AG1085" s="200">
        <f t="shared" si="5503"/>
        <v>0</v>
      </c>
      <c r="AH1085" s="171">
        <f t="shared" si="13"/>
        <v>0</v>
      </c>
      <c r="AI1085" s="200">
        <f t="shared" si="14"/>
        <v>0</v>
      </c>
      <c r="AJ1085" s="200">
        <f t="shared" si="4907"/>
        <v>0</v>
      </c>
      <c r="AK1085" s="201">
        <f t="shared" ref="AK1085:AS1085" si="5504">countif($D1085,"*"&amp;AK$2&amp;"*")</f>
        <v>0</v>
      </c>
      <c r="AL1085" s="201">
        <f t="shared" si="5504"/>
        <v>0</v>
      </c>
      <c r="AM1085" s="201">
        <f t="shared" si="5504"/>
        <v>0</v>
      </c>
      <c r="AN1085" s="201">
        <f t="shared" si="5504"/>
        <v>0</v>
      </c>
      <c r="AO1085" s="201">
        <f t="shared" si="5504"/>
        <v>0</v>
      </c>
      <c r="AP1085" s="201">
        <f t="shared" si="5504"/>
        <v>0</v>
      </c>
      <c r="AQ1085" s="201">
        <f t="shared" si="5504"/>
        <v>0</v>
      </c>
      <c r="AR1085" s="200">
        <f t="shared" si="5504"/>
        <v>0</v>
      </c>
      <c r="AS1085" s="200">
        <f t="shared" si="5504"/>
        <v>0</v>
      </c>
      <c r="AT1085" s="173">
        <v>0.0</v>
      </c>
      <c r="AU1085" s="200">
        <f t="shared" si="5324"/>
        <v>0</v>
      </c>
      <c r="AV1085" s="200">
        <f t="shared" ref="AV1085:AX1085" si="5505">countif($D1085,"*"&amp;AV$2&amp;"*")</f>
        <v>1</v>
      </c>
      <c r="AW1085" s="200">
        <f t="shared" si="5505"/>
        <v>0</v>
      </c>
      <c r="AX1085" s="200">
        <f t="shared" si="5505"/>
        <v>0</v>
      </c>
      <c r="AY1085" s="202">
        <v>0.0</v>
      </c>
      <c r="AZ1085" s="200"/>
      <c r="BA1085" s="171" t="str">
        <f t="shared" si="18"/>
        <v/>
      </c>
      <c r="BB1085" s="171" t="str">
        <f t="shared" si="19"/>
        <v>Code</v>
      </c>
      <c r="BC1085" s="171" t="str">
        <f t="shared" si="20"/>
        <v/>
      </c>
      <c r="BD1085" s="171" t="str">
        <f t="shared" si="21"/>
        <v/>
      </c>
      <c r="BE1085" s="171" t="str">
        <f t="shared" si="22"/>
        <v/>
      </c>
      <c r="BF1085" s="171" t="str">
        <f t="shared" si="23"/>
        <v>Code</v>
      </c>
    </row>
    <row r="1086">
      <c r="A1086" s="171">
        <f t="array" ref="A1086">XLOOKUP(C1086,ICSE!A:A,ICSE!C:C,,2,1)</f>
        <v>2023</v>
      </c>
      <c r="B1086" s="171" t="s">
        <v>5675</v>
      </c>
      <c r="C1086" s="160">
        <v>2106.0</v>
      </c>
      <c r="D1086" s="161" t="s">
        <v>6126</v>
      </c>
      <c r="E1086" s="197" t="str">
        <f t="array" ref="E1086">XLOOKUP(C1086,ICSE!A:A,ICSE!Z:Z,,0,1)</f>
        <v>Publicly available (2)</v>
      </c>
      <c r="F1086" s="198" t="s">
        <v>20</v>
      </c>
      <c r="G1086" s="163" t="str">
        <f t="array" ref="G1086">IF(B1086="ICSE",IF(COUNTIFS(B:B,B1086,C:C,C1086)=XLOOKUP(C1086,ICSE!A:A,ICSE!AA:AA,"ERROR",0,1),"OK","ERROR"),IF(B1086="FSE",IF(COUNTIFS(B:B,B1086,C:C,C1086)=XLOOKUP(C1086,FSE!A:A,FSE!AA:AA,"ERROR",0,1),"OK","ERROR")))</f>
        <v>OK</v>
      </c>
      <c r="H1086" s="199">
        <f t="shared" ref="H1086:O1086" si="5506">countif($D1086,"*"&amp;H$2&amp;"*")</f>
        <v>0</v>
      </c>
      <c r="I1086" s="200">
        <f t="shared" si="5506"/>
        <v>1</v>
      </c>
      <c r="J1086" s="200">
        <f t="shared" si="5506"/>
        <v>0</v>
      </c>
      <c r="K1086" s="200">
        <f t="shared" si="5506"/>
        <v>0</v>
      </c>
      <c r="L1086" s="200">
        <f t="shared" si="5506"/>
        <v>0</v>
      </c>
      <c r="M1086" s="200">
        <f t="shared" si="5506"/>
        <v>0</v>
      </c>
      <c r="N1086" s="200">
        <f t="shared" si="5506"/>
        <v>0</v>
      </c>
      <c r="O1086" s="200">
        <f t="shared" si="5506"/>
        <v>0</v>
      </c>
      <c r="P1086" s="200">
        <f t="shared" si="9"/>
        <v>0</v>
      </c>
      <c r="Q1086" s="200">
        <f t="shared" ref="Q1086:AC1086" si="5507">countif($D1086,"*"&amp;Q$2&amp;"*")</f>
        <v>0</v>
      </c>
      <c r="R1086" s="200">
        <f t="shared" si="5507"/>
        <v>0</v>
      </c>
      <c r="S1086" s="200">
        <f t="shared" si="5507"/>
        <v>0</v>
      </c>
      <c r="T1086" s="200">
        <f t="shared" si="5507"/>
        <v>0</v>
      </c>
      <c r="U1086" s="200">
        <f t="shared" si="5507"/>
        <v>0</v>
      </c>
      <c r="V1086" s="200">
        <f t="shared" si="5507"/>
        <v>0</v>
      </c>
      <c r="W1086" s="200">
        <f t="shared" si="5507"/>
        <v>0</v>
      </c>
      <c r="X1086" s="200">
        <f t="shared" si="5507"/>
        <v>0</v>
      </c>
      <c r="Y1086" s="200">
        <f t="shared" si="5507"/>
        <v>0</v>
      </c>
      <c r="Z1086" s="200">
        <f t="shared" si="5507"/>
        <v>0</v>
      </c>
      <c r="AA1086" s="200">
        <f t="shared" si="5507"/>
        <v>0</v>
      </c>
      <c r="AB1086" s="200">
        <f t="shared" si="5507"/>
        <v>0</v>
      </c>
      <c r="AC1086" s="200">
        <f t="shared" si="5507"/>
        <v>0</v>
      </c>
      <c r="AD1086" s="200">
        <f t="shared" si="11"/>
        <v>0</v>
      </c>
      <c r="AE1086" s="200">
        <f t="shared" ref="AE1086:AG1086" si="5508">countif($D1086,"*"&amp;AE$2&amp;"*")</f>
        <v>0</v>
      </c>
      <c r="AF1086" s="200">
        <f t="shared" si="5508"/>
        <v>0</v>
      </c>
      <c r="AG1086" s="200">
        <f t="shared" si="5508"/>
        <v>0</v>
      </c>
      <c r="AH1086" s="171">
        <f t="shared" si="13"/>
        <v>0</v>
      </c>
      <c r="AI1086" s="200">
        <f t="shared" si="14"/>
        <v>1</v>
      </c>
      <c r="AJ1086" s="200">
        <f t="shared" si="4907"/>
        <v>0</v>
      </c>
      <c r="AK1086" s="201">
        <f t="shared" ref="AK1086:AS1086" si="5509">countif($D1086,"*"&amp;AK$2&amp;"*")</f>
        <v>0</v>
      </c>
      <c r="AL1086" s="201">
        <f t="shared" si="5509"/>
        <v>0</v>
      </c>
      <c r="AM1086" s="201">
        <f t="shared" si="5509"/>
        <v>0</v>
      </c>
      <c r="AN1086" s="201">
        <f t="shared" si="5509"/>
        <v>0</v>
      </c>
      <c r="AO1086" s="201">
        <f t="shared" si="5509"/>
        <v>0</v>
      </c>
      <c r="AP1086" s="201">
        <f t="shared" si="5509"/>
        <v>0</v>
      </c>
      <c r="AQ1086" s="201">
        <f t="shared" si="5509"/>
        <v>0</v>
      </c>
      <c r="AR1086" s="200">
        <f t="shared" si="5509"/>
        <v>0</v>
      </c>
      <c r="AS1086" s="200">
        <f t="shared" si="5509"/>
        <v>0</v>
      </c>
      <c r="AT1086" s="173">
        <v>0.0</v>
      </c>
      <c r="AU1086" s="200">
        <f t="shared" si="5324"/>
        <v>0</v>
      </c>
      <c r="AV1086" s="200">
        <f t="shared" ref="AV1086:AX1086" si="5510">countif($D1086,"*"&amp;AV$2&amp;"*")</f>
        <v>0</v>
      </c>
      <c r="AW1086" s="200">
        <f t="shared" si="5510"/>
        <v>0</v>
      </c>
      <c r="AX1086" s="200">
        <f t="shared" si="5510"/>
        <v>0</v>
      </c>
      <c r="AY1086" s="204">
        <v>1.0</v>
      </c>
      <c r="AZ1086" s="200"/>
      <c r="BA1086" s="171" t="str">
        <f t="shared" si="18"/>
        <v>Archival</v>
      </c>
      <c r="BB1086" s="171" t="str">
        <f t="shared" si="19"/>
        <v/>
      </c>
      <c r="BC1086" s="171" t="str">
        <f t="shared" si="20"/>
        <v/>
      </c>
      <c r="BD1086" s="171" t="str">
        <f t="shared" si="21"/>
        <v/>
      </c>
      <c r="BE1086" s="171" t="str">
        <f t="shared" si="22"/>
        <v/>
      </c>
      <c r="BF1086" s="171" t="str">
        <f t="shared" si="23"/>
        <v>Archival</v>
      </c>
    </row>
    <row r="1087">
      <c r="A1087" s="171">
        <f t="array" ref="A1087">XLOOKUP(C1087,ICSE!A:A,ICSE!C:C,,2,1)</f>
        <v>2023</v>
      </c>
      <c r="B1087" s="171" t="s">
        <v>5675</v>
      </c>
      <c r="C1087" s="160">
        <v>2107.0</v>
      </c>
      <c r="D1087" s="161" t="s">
        <v>3028</v>
      </c>
      <c r="E1087" s="197" t="str">
        <f t="array" ref="E1087">XLOOKUP(C1087,ICSE!A:A,ICSE!Z:Z,,0,1)</f>
        <v>Publicly available (1)</v>
      </c>
      <c r="F1087" s="198" t="s">
        <v>20</v>
      </c>
      <c r="G1087" s="163" t="str">
        <f t="array" ref="G1087">IF(B1087="ICSE",IF(COUNTIFS(B:B,B1087,C:C,C1087)=XLOOKUP(C1087,ICSE!A:A,ICSE!AA:AA,"ERROR",0,1),"OK","ERROR"),IF(B1087="FSE",IF(COUNTIFS(B:B,B1087,C:C,C1087)=XLOOKUP(C1087,FSE!A:A,FSE!AA:AA,"ERROR",0,1),"OK","ERROR")))</f>
        <v>OK</v>
      </c>
      <c r="H1087" s="199">
        <f t="shared" ref="H1087:O1087" si="5511">countif($D1087,"*"&amp;H$2&amp;"*")</f>
        <v>0</v>
      </c>
      <c r="I1087" s="200">
        <f t="shared" si="5511"/>
        <v>0</v>
      </c>
      <c r="J1087" s="200">
        <f t="shared" si="5511"/>
        <v>0</v>
      </c>
      <c r="K1087" s="200">
        <f t="shared" si="5511"/>
        <v>0</v>
      </c>
      <c r="L1087" s="200">
        <f t="shared" si="5511"/>
        <v>0</v>
      </c>
      <c r="M1087" s="200">
        <f t="shared" si="5511"/>
        <v>0</v>
      </c>
      <c r="N1087" s="200">
        <f t="shared" si="5511"/>
        <v>0</v>
      </c>
      <c r="O1087" s="200">
        <f t="shared" si="5511"/>
        <v>0</v>
      </c>
      <c r="P1087" s="200">
        <f t="shared" si="9"/>
        <v>1</v>
      </c>
      <c r="Q1087" s="200">
        <f t="shared" ref="Q1087:AC1087" si="5512">countif($D1087,"*"&amp;Q$2&amp;"*")</f>
        <v>0</v>
      </c>
      <c r="R1087" s="200">
        <f t="shared" si="5512"/>
        <v>0</v>
      </c>
      <c r="S1087" s="200">
        <f t="shared" si="5512"/>
        <v>0</v>
      </c>
      <c r="T1087" s="200">
        <f t="shared" si="5512"/>
        <v>0</v>
      </c>
      <c r="U1087" s="200">
        <f t="shared" si="5512"/>
        <v>0</v>
      </c>
      <c r="V1087" s="200">
        <f t="shared" si="5512"/>
        <v>0</v>
      </c>
      <c r="W1087" s="200">
        <f t="shared" si="5512"/>
        <v>0</v>
      </c>
      <c r="X1087" s="200">
        <f t="shared" si="5512"/>
        <v>0</v>
      </c>
      <c r="Y1087" s="200">
        <f t="shared" si="5512"/>
        <v>0</v>
      </c>
      <c r="Z1087" s="200">
        <f t="shared" si="5512"/>
        <v>0</v>
      </c>
      <c r="AA1087" s="200">
        <f t="shared" si="5512"/>
        <v>0</v>
      </c>
      <c r="AB1087" s="200">
        <f t="shared" si="5512"/>
        <v>0</v>
      </c>
      <c r="AC1087" s="200">
        <f t="shared" si="5512"/>
        <v>0</v>
      </c>
      <c r="AD1087" s="200">
        <f t="shared" si="11"/>
        <v>0</v>
      </c>
      <c r="AE1087" s="200">
        <f t="shared" ref="AE1087:AG1087" si="5513">countif($D1087,"*"&amp;AE$2&amp;"*")</f>
        <v>0</v>
      </c>
      <c r="AF1087" s="200">
        <f t="shared" si="5513"/>
        <v>0</v>
      </c>
      <c r="AG1087" s="200">
        <f t="shared" si="5513"/>
        <v>0</v>
      </c>
      <c r="AH1087" s="171">
        <f t="shared" si="13"/>
        <v>0</v>
      </c>
      <c r="AI1087" s="200">
        <f t="shared" si="14"/>
        <v>0</v>
      </c>
      <c r="AJ1087" s="200">
        <f t="shared" si="4907"/>
        <v>0</v>
      </c>
      <c r="AK1087" s="201">
        <f t="shared" ref="AK1087:AS1087" si="5514">countif($D1087,"*"&amp;AK$2&amp;"*")</f>
        <v>0</v>
      </c>
      <c r="AL1087" s="201">
        <f t="shared" si="5514"/>
        <v>0</v>
      </c>
      <c r="AM1087" s="201">
        <f t="shared" si="5514"/>
        <v>0</v>
      </c>
      <c r="AN1087" s="201">
        <f t="shared" si="5514"/>
        <v>0</v>
      </c>
      <c r="AO1087" s="201">
        <f t="shared" si="5514"/>
        <v>0</v>
      </c>
      <c r="AP1087" s="201">
        <f t="shared" si="5514"/>
        <v>0</v>
      </c>
      <c r="AQ1087" s="201">
        <f t="shared" si="5514"/>
        <v>0</v>
      </c>
      <c r="AR1087" s="200">
        <f t="shared" si="5514"/>
        <v>0</v>
      </c>
      <c r="AS1087" s="200">
        <f t="shared" si="5514"/>
        <v>0</v>
      </c>
      <c r="AT1087" s="173">
        <v>0.0</v>
      </c>
      <c r="AU1087" s="200">
        <f t="shared" si="5324"/>
        <v>0</v>
      </c>
      <c r="AV1087" s="200">
        <f t="shared" ref="AV1087:AX1087" si="5515">countif($D1087,"*"&amp;AV$2&amp;"*")</f>
        <v>1</v>
      </c>
      <c r="AW1087" s="200">
        <f t="shared" si="5515"/>
        <v>0</v>
      </c>
      <c r="AX1087" s="200">
        <f t="shared" si="5515"/>
        <v>0</v>
      </c>
      <c r="AY1087" s="202">
        <v>0.0</v>
      </c>
      <c r="AZ1087" s="200"/>
      <c r="BA1087" s="171" t="str">
        <f t="shared" si="18"/>
        <v/>
      </c>
      <c r="BB1087" s="171" t="str">
        <f t="shared" si="19"/>
        <v>Code</v>
      </c>
      <c r="BC1087" s="171" t="str">
        <f t="shared" si="20"/>
        <v/>
      </c>
      <c r="BD1087" s="171" t="str">
        <f t="shared" si="21"/>
        <v/>
      </c>
      <c r="BE1087" s="171" t="str">
        <f t="shared" si="22"/>
        <v/>
      </c>
      <c r="BF1087" s="171" t="str">
        <f t="shared" si="23"/>
        <v>Code</v>
      </c>
    </row>
    <row r="1088">
      <c r="A1088" s="171">
        <f t="array" ref="A1088">XLOOKUP(C1088,ICSE!A:A,ICSE!C:C,,2,1)</f>
        <v>2023</v>
      </c>
      <c r="B1088" s="171" t="s">
        <v>5675</v>
      </c>
      <c r="C1088" s="160">
        <v>2108.0</v>
      </c>
      <c r="D1088" s="161" t="s">
        <v>3031</v>
      </c>
      <c r="E1088" s="197" t="str">
        <f t="array" ref="E1088">XLOOKUP(C1088,ICSE!A:A,ICSE!Z:Z,,0,1)</f>
        <v>Publicly available (1)</v>
      </c>
      <c r="F1088" s="198" t="s">
        <v>20</v>
      </c>
      <c r="G1088" s="163" t="str">
        <f t="array" ref="G1088">IF(B1088="ICSE",IF(COUNTIFS(B:B,B1088,C:C,C1088)=XLOOKUP(C1088,ICSE!A:A,ICSE!AA:AA,"ERROR",0,1),"OK","ERROR"),IF(B1088="FSE",IF(COUNTIFS(B:B,B1088,C:C,C1088)=XLOOKUP(C1088,FSE!A:A,FSE!AA:AA,"ERROR",0,1),"OK","ERROR")))</f>
        <v>OK</v>
      </c>
      <c r="H1088" s="199">
        <f t="shared" ref="H1088:O1088" si="5516">countif($D1088,"*"&amp;H$2&amp;"*")</f>
        <v>0</v>
      </c>
      <c r="I1088" s="200">
        <f t="shared" si="5516"/>
        <v>0</v>
      </c>
      <c r="J1088" s="200">
        <f t="shared" si="5516"/>
        <v>0</v>
      </c>
      <c r="K1088" s="200">
        <f t="shared" si="5516"/>
        <v>0</v>
      </c>
      <c r="L1088" s="200">
        <f t="shared" si="5516"/>
        <v>0</v>
      </c>
      <c r="M1088" s="200">
        <f t="shared" si="5516"/>
        <v>0</v>
      </c>
      <c r="N1088" s="200">
        <f t="shared" si="5516"/>
        <v>0</v>
      </c>
      <c r="O1088" s="200">
        <f t="shared" si="5516"/>
        <v>0</v>
      </c>
      <c r="P1088" s="200">
        <f t="shared" si="9"/>
        <v>1</v>
      </c>
      <c r="Q1088" s="200">
        <f t="shared" ref="Q1088:AC1088" si="5517">countif($D1088,"*"&amp;Q$2&amp;"*")</f>
        <v>0</v>
      </c>
      <c r="R1088" s="200">
        <f t="shared" si="5517"/>
        <v>0</v>
      </c>
      <c r="S1088" s="200">
        <f t="shared" si="5517"/>
        <v>0</v>
      </c>
      <c r="T1088" s="200">
        <f t="shared" si="5517"/>
        <v>0</v>
      </c>
      <c r="U1088" s="200">
        <f t="shared" si="5517"/>
        <v>0</v>
      </c>
      <c r="V1088" s="200">
        <f t="shared" si="5517"/>
        <v>0</v>
      </c>
      <c r="W1088" s="200">
        <f t="shared" si="5517"/>
        <v>0</v>
      </c>
      <c r="X1088" s="200">
        <f t="shared" si="5517"/>
        <v>0</v>
      </c>
      <c r="Y1088" s="200">
        <f t="shared" si="5517"/>
        <v>0</v>
      </c>
      <c r="Z1088" s="200">
        <f t="shared" si="5517"/>
        <v>0</v>
      </c>
      <c r="AA1088" s="200">
        <f t="shared" si="5517"/>
        <v>0</v>
      </c>
      <c r="AB1088" s="200">
        <f t="shared" si="5517"/>
        <v>0</v>
      </c>
      <c r="AC1088" s="200">
        <f t="shared" si="5517"/>
        <v>0</v>
      </c>
      <c r="AD1088" s="200">
        <f t="shared" si="11"/>
        <v>0</v>
      </c>
      <c r="AE1088" s="200">
        <f t="shared" ref="AE1088:AG1088" si="5518">countif($D1088,"*"&amp;AE$2&amp;"*")</f>
        <v>0</v>
      </c>
      <c r="AF1088" s="200">
        <f t="shared" si="5518"/>
        <v>0</v>
      </c>
      <c r="AG1088" s="200">
        <f t="shared" si="5518"/>
        <v>0</v>
      </c>
      <c r="AH1088" s="171">
        <f t="shared" si="13"/>
        <v>0</v>
      </c>
      <c r="AI1088" s="200">
        <f t="shared" si="14"/>
        <v>0</v>
      </c>
      <c r="AJ1088" s="200">
        <f t="shared" si="4907"/>
        <v>0</v>
      </c>
      <c r="AK1088" s="201">
        <f t="shared" ref="AK1088:AS1088" si="5519">countif($D1088,"*"&amp;AK$2&amp;"*")</f>
        <v>0</v>
      </c>
      <c r="AL1088" s="201">
        <f t="shared" si="5519"/>
        <v>0</v>
      </c>
      <c r="AM1088" s="201">
        <f t="shared" si="5519"/>
        <v>0</v>
      </c>
      <c r="AN1088" s="201">
        <f t="shared" si="5519"/>
        <v>0</v>
      </c>
      <c r="AO1088" s="201">
        <f t="shared" si="5519"/>
        <v>0</v>
      </c>
      <c r="AP1088" s="201">
        <f t="shared" si="5519"/>
        <v>0</v>
      </c>
      <c r="AQ1088" s="201">
        <f t="shared" si="5519"/>
        <v>0</v>
      </c>
      <c r="AR1088" s="200">
        <f t="shared" si="5519"/>
        <v>0</v>
      </c>
      <c r="AS1088" s="200">
        <f t="shared" si="5519"/>
        <v>0</v>
      </c>
      <c r="AT1088" s="173">
        <v>0.0</v>
      </c>
      <c r="AU1088" s="200">
        <f t="shared" si="5324"/>
        <v>0</v>
      </c>
      <c r="AV1088" s="200">
        <f t="shared" ref="AV1088:AX1088" si="5520">countif($D1088,"*"&amp;AV$2&amp;"*")</f>
        <v>1</v>
      </c>
      <c r="AW1088" s="200">
        <f t="shared" si="5520"/>
        <v>0</v>
      </c>
      <c r="AX1088" s="200">
        <f t="shared" si="5520"/>
        <v>0</v>
      </c>
      <c r="AY1088" s="202">
        <v>0.0</v>
      </c>
      <c r="AZ1088" s="200"/>
      <c r="BA1088" s="171" t="str">
        <f t="shared" si="18"/>
        <v/>
      </c>
      <c r="BB1088" s="171" t="str">
        <f t="shared" si="19"/>
        <v>Code</v>
      </c>
      <c r="BC1088" s="171" t="str">
        <f t="shared" si="20"/>
        <v/>
      </c>
      <c r="BD1088" s="171" t="str">
        <f t="shared" si="21"/>
        <v/>
      </c>
      <c r="BE1088" s="171" t="str">
        <f t="shared" si="22"/>
        <v/>
      </c>
      <c r="BF1088" s="171" t="str">
        <f t="shared" si="23"/>
        <v>Code</v>
      </c>
    </row>
    <row r="1089">
      <c r="A1089" s="171">
        <f t="array" ref="A1089">XLOOKUP(C1089,ICSE!A:A,ICSE!C:C,,2,1)</f>
        <v>2023</v>
      </c>
      <c r="B1089" s="171" t="s">
        <v>5675</v>
      </c>
      <c r="C1089" s="160">
        <v>2109.0</v>
      </c>
      <c r="D1089" s="161" t="s">
        <v>6127</v>
      </c>
      <c r="E1089" s="197" t="str">
        <f t="array" ref="E1089">XLOOKUP(C1089,ICSE!A:A,ICSE!Z:Z,,0,1)</f>
        <v>Publicly available (1)</v>
      </c>
      <c r="F1089" s="198" t="s">
        <v>20</v>
      </c>
      <c r="G1089" s="163" t="str">
        <f t="array" ref="G1089">IF(B1089="ICSE",IF(COUNTIFS(B:B,B1089,C:C,C1089)=XLOOKUP(C1089,ICSE!A:A,ICSE!AA:AA,"ERROR",0,1),"OK","ERROR"),IF(B1089="FSE",IF(COUNTIFS(B:B,B1089,C:C,C1089)=XLOOKUP(C1089,FSE!A:A,FSE!AA:AA,"ERROR",0,1),"OK","ERROR")))</f>
        <v>OK</v>
      </c>
      <c r="H1089" s="199">
        <f t="shared" ref="H1089:O1089" si="5521">countif($D1089,"*"&amp;H$2&amp;"*")</f>
        <v>0</v>
      </c>
      <c r="I1089" s="200">
        <f t="shared" si="5521"/>
        <v>1</v>
      </c>
      <c r="J1089" s="200">
        <f t="shared" si="5521"/>
        <v>0</v>
      </c>
      <c r="K1089" s="200">
        <f t="shared" si="5521"/>
        <v>0</v>
      </c>
      <c r="L1089" s="200">
        <f t="shared" si="5521"/>
        <v>0</v>
      </c>
      <c r="M1089" s="200">
        <f t="shared" si="5521"/>
        <v>0</v>
      </c>
      <c r="N1089" s="200">
        <f t="shared" si="5521"/>
        <v>0</v>
      </c>
      <c r="O1089" s="200">
        <f t="shared" si="5521"/>
        <v>0</v>
      </c>
      <c r="P1089" s="200">
        <f t="shared" si="9"/>
        <v>0</v>
      </c>
      <c r="Q1089" s="200">
        <f t="shared" ref="Q1089:AC1089" si="5522">countif($D1089,"*"&amp;Q$2&amp;"*")</f>
        <v>0</v>
      </c>
      <c r="R1089" s="200">
        <f t="shared" si="5522"/>
        <v>0</v>
      </c>
      <c r="S1089" s="200">
        <f t="shared" si="5522"/>
        <v>0</v>
      </c>
      <c r="T1089" s="200">
        <f t="shared" si="5522"/>
        <v>0</v>
      </c>
      <c r="U1089" s="200">
        <f t="shared" si="5522"/>
        <v>0</v>
      </c>
      <c r="V1089" s="200">
        <f t="shared" si="5522"/>
        <v>0</v>
      </c>
      <c r="W1089" s="200">
        <f t="shared" si="5522"/>
        <v>0</v>
      </c>
      <c r="X1089" s="200">
        <f t="shared" si="5522"/>
        <v>0</v>
      </c>
      <c r="Y1089" s="200">
        <f t="shared" si="5522"/>
        <v>0</v>
      </c>
      <c r="Z1089" s="200">
        <f t="shared" si="5522"/>
        <v>0</v>
      </c>
      <c r="AA1089" s="200">
        <f t="shared" si="5522"/>
        <v>0</v>
      </c>
      <c r="AB1089" s="200">
        <f t="shared" si="5522"/>
        <v>0</v>
      </c>
      <c r="AC1089" s="200">
        <f t="shared" si="5522"/>
        <v>0</v>
      </c>
      <c r="AD1089" s="200">
        <f t="shared" si="11"/>
        <v>0</v>
      </c>
      <c r="AE1089" s="200">
        <f t="shared" ref="AE1089:AG1089" si="5523">countif($D1089,"*"&amp;AE$2&amp;"*")</f>
        <v>0</v>
      </c>
      <c r="AF1089" s="200">
        <f t="shared" si="5523"/>
        <v>0</v>
      </c>
      <c r="AG1089" s="200">
        <f t="shared" si="5523"/>
        <v>0</v>
      </c>
      <c r="AH1089" s="171">
        <f t="shared" si="13"/>
        <v>0</v>
      </c>
      <c r="AI1089" s="200">
        <f t="shared" si="14"/>
        <v>1</v>
      </c>
      <c r="AJ1089" s="200">
        <f t="shared" si="4907"/>
        <v>0</v>
      </c>
      <c r="AK1089" s="201">
        <f t="shared" ref="AK1089:AS1089" si="5524">countif($D1089,"*"&amp;AK$2&amp;"*")</f>
        <v>0</v>
      </c>
      <c r="AL1089" s="201">
        <f t="shared" si="5524"/>
        <v>0</v>
      </c>
      <c r="AM1089" s="201">
        <f t="shared" si="5524"/>
        <v>0</v>
      </c>
      <c r="AN1089" s="201">
        <f t="shared" si="5524"/>
        <v>0</v>
      </c>
      <c r="AO1089" s="201">
        <f t="shared" si="5524"/>
        <v>0</v>
      </c>
      <c r="AP1089" s="201">
        <f t="shared" si="5524"/>
        <v>0</v>
      </c>
      <c r="AQ1089" s="201">
        <f t="shared" si="5524"/>
        <v>0</v>
      </c>
      <c r="AR1089" s="200">
        <f t="shared" si="5524"/>
        <v>0</v>
      </c>
      <c r="AS1089" s="200">
        <f t="shared" si="5524"/>
        <v>1</v>
      </c>
      <c r="AT1089" s="173">
        <v>0.0</v>
      </c>
      <c r="AU1089" s="200">
        <f t="shared" si="5324"/>
        <v>0</v>
      </c>
      <c r="AV1089" s="200">
        <f t="shared" ref="AV1089:AX1089" si="5525">countif($D1089,"*"&amp;AV$2&amp;"*")</f>
        <v>0</v>
      </c>
      <c r="AW1089" s="200">
        <f t="shared" si="5525"/>
        <v>0</v>
      </c>
      <c r="AX1089" s="200">
        <f t="shared" si="5525"/>
        <v>1</v>
      </c>
      <c r="AY1089" s="202">
        <v>0.0</v>
      </c>
      <c r="AZ1089" s="200"/>
      <c r="BA1089" s="171" t="str">
        <f t="shared" si="18"/>
        <v>Archival</v>
      </c>
      <c r="BB1089" s="171" t="str">
        <f t="shared" si="19"/>
        <v/>
      </c>
      <c r="BC1089" s="171" t="str">
        <f t="shared" si="20"/>
        <v/>
      </c>
      <c r="BD1089" s="171" t="str">
        <f t="shared" si="21"/>
        <v/>
      </c>
      <c r="BE1089" s="171" t="str">
        <f t="shared" si="22"/>
        <v/>
      </c>
      <c r="BF1089" s="171" t="str">
        <f t="shared" si="23"/>
        <v>Archival</v>
      </c>
    </row>
    <row r="1090">
      <c r="A1090" s="171">
        <f t="array" ref="A1090">XLOOKUP(C1090,ICSE!A:A,ICSE!C:C,,2,1)</f>
        <v>2023</v>
      </c>
      <c r="B1090" s="171" t="s">
        <v>5675</v>
      </c>
      <c r="C1090" s="160">
        <v>2110.0</v>
      </c>
      <c r="D1090" s="161" t="s">
        <v>3038</v>
      </c>
      <c r="E1090" s="197" t="str">
        <f t="array" ref="E1090">XLOOKUP(C1090,ICSE!A:A,ICSE!Z:Z,,0,1)</f>
        <v>Not available (1) - Broken link.</v>
      </c>
      <c r="F1090" s="198" t="s">
        <v>21</v>
      </c>
      <c r="G1090" s="163" t="str">
        <f t="array" ref="G1090">IF(B1090="ICSE",IF(COUNTIFS(B:B,B1090,C:C,C1090)=XLOOKUP(C1090,ICSE!A:A,ICSE!AA:AA,"ERROR",0,1),"OK","ERROR"),IF(B1090="FSE",IF(COUNTIFS(B:B,B1090,C:C,C1090)=XLOOKUP(C1090,FSE!A:A,FSE!AA:AA,"ERROR",0,1),"OK","ERROR")))</f>
        <v>OK</v>
      </c>
      <c r="H1090" s="199">
        <f t="shared" ref="H1090:O1090" si="5526">countif($D1090,"*"&amp;H$2&amp;"*")</f>
        <v>0</v>
      </c>
      <c r="I1090" s="200">
        <f t="shared" si="5526"/>
        <v>0</v>
      </c>
      <c r="J1090" s="200">
        <f t="shared" si="5526"/>
        <v>0</v>
      </c>
      <c r="K1090" s="200">
        <f t="shared" si="5526"/>
        <v>0</v>
      </c>
      <c r="L1090" s="200">
        <f t="shared" si="5526"/>
        <v>0</v>
      </c>
      <c r="M1090" s="200">
        <f t="shared" si="5526"/>
        <v>0</v>
      </c>
      <c r="N1090" s="200">
        <f t="shared" si="5526"/>
        <v>0</v>
      </c>
      <c r="O1090" s="200">
        <f t="shared" si="5526"/>
        <v>0</v>
      </c>
      <c r="P1090" s="200">
        <f t="shared" si="9"/>
        <v>1</v>
      </c>
      <c r="Q1090" s="200">
        <f t="shared" ref="Q1090:AC1090" si="5527">countif($D1090,"*"&amp;Q$2&amp;"*")</f>
        <v>0</v>
      </c>
      <c r="R1090" s="200">
        <f t="shared" si="5527"/>
        <v>0</v>
      </c>
      <c r="S1090" s="200">
        <f t="shared" si="5527"/>
        <v>0</v>
      </c>
      <c r="T1090" s="200">
        <f t="shared" si="5527"/>
        <v>0</v>
      </c>
      <c r="U1090" s="200">
        <f t="shared" si="5527"/>
        <v>0</v>
      </c>
      <c r="V1090" s="200">
        <f t="shared" si="5527"/>
        <v>0</v>
      </c>
      <c r="W1090" s="200">
        <f t="shared" si="5527"/>
        <v>0</v>
      </c>
      <c r="X1090" s="200">
        <f t="shared" si="5527"/>
        <v>0</v>
      </c>
      <c r="Y1090" s="200">
        <f t="shared" si="5527"/>
        <v>0</v>
      </c>
      <c r="Z1090" s="200">
        <f t="shared" si="5527"/>
        <v>0</v>
      </c>
      <c r="AA1090" s="200">
        <f t="shared" si="5527"/>
        <v>0</v>
      </c>
      <c r="AB1090" s="200">
        <f t="shared" si="5527"/>
        <v>0</v>
      </c>
      <c r="AC1090" s="200">
        <f t="shared" si="5527"/>
        <v>0</v>
      </c>
      <c r="AD1090" s="200">
        <f t="shared" si="11"/>
        <v>0</v>
      </c>
      <c r="AE1090" s="200">
        <f t="shared" ref="AE1090:AG1090" si="5528">countif($D1090,"*"&amp;AE$2&amp;"*")</f>
        <v>0</v>
      </c>
      <c r="AF1090" s="200">
        <f t="shared" si="5528"/>
        <v>0</v>
      </c>
      <c r="AG1090" s="200">
        <f t="shared" si="5528"/>
        <v>0</v>
      </c>
      <c r="AH1090" s="171">
        <f t="shared" si="13"/>
        <v>0</v>
      </c>
      <c r="AI1090" s="200">
        <f t="shared" si="14"/>
        <v>0</v>
      </c>
      <c r="AJ1090" s="200">
        <f t="shared" si="4907"/>
        <v>0</v>
      </c>
      <c r="AK1090" s="201">
        <f t="shared" ref="AK1090:AS1090" si="5529">countif($D1090,"*"&amp;AK$2&amp;"*")</f>
        <v>0</v>
      </c>
      <c r="AL1090" s="201">
        <f t="shared" si="5529"/>
        <v>0</v>
      </c>
      <c r="AM1090" s="201">
        <f t="shared" si="5529"/>
        <v>0</v>
      </c>
      <c r="AN1090" s="201">
        <f t="shared" si="5529"/>
        <v>0</v>
      </c>
      <c r="AO1090" s="201">
        <f t="shared" si="5529"/>
        <v>0</v>
      </c>
      <c r="AP1090" s="201">
        <f t="shared" si="5529"/>
        <v>0</v>
      </c>
      <c r="AQ1090" s="201">
        <f t="shared" si="5529"/>
        <v>0</v>
      </c>
      <c r="AR1090" s="200">
        <f t="shared" si="5529"/>
        <v>0</v>
      </c>
      <c r="AS1090" s="200">
        <f t="shared" si="5529"/>
        <v>0</v>
      </c>
      <c r="AT1090" s="173">
        <v>0.0</v>
      </c>
      <c r="AU1090" s="200">
        <f t="shared" si="5324"/>
        <v>0</v>
      </c>
      <c r="AV1090" s="200">
        <f t="shared" ref="AV1090:AX1090" si="5530">countif($D1090,"*"&amp;AV$2&amp;"*")</f>
        <v>1</v>
      </c>
      <c r="AW1090" s="200">
        <f t="shared" si="5530"/>
        <v>0</v>
      </c>
      <c r="AX1090" s="200">
        <f t="shared" si="5530"/>
        <v>0</v>
      </c>
      <c r="AY1090" s="202">
        <v>0.0</v>
      </c>
      <c r="AZ1090" s="200"/>
      <c r="BA1090" s="171" t="str">
        <f t="shared" si="18"/>
        <v/>
      </c>
      <c r="BB1090" s="171" t="str">
        <f t="shared" si="19"/>
        <v>Code</v>
      </c>
      <c r="BC1090" s="171" t="str">
        <f t="shared" si="20"/>
        <v/>
      </c>
      <c r="BD1090" s="171" t="str">
        <f t="shared" si="21"/>
        <v/>
      </c>
      <c r="BE1090" s="171" t="str">
        <f t="shared" si="22"/>
        <v/>
      </c>
      <c r="BF1090" s="171" t="str">
        <f t="shared" si="23"/>
        <v>Code</v>
      </c>
    </row>
    <row r="1091">
      <c r="A1091" s="171">
        <f t="array" ref="A1091">XLOOKUP(C1091,ICSE!A:A,ICSE!C:C,,2,1)</f>
        <v>2023</v>
      </c>
      <c r="B1091" s="171" t="s">
        <v>5675</v>
      </c>
      <c r="C1091" s="160">
        <v>2111.0</v>
      </c>
      <c r="D1091" s="161" t="s">
        <v>3041</v>
      </c>
      <c r="E1091" s="197" t="str">
        <f t="array" ref="E1091">XLOOKUP(C1091,ICSE!A:A,ICSE!Z:Z,,0,1)</f>
        <v>Publicly available (1)</v>
      </c>
      <c r="F1091" s="198" t="s">
        <v>20</v>
      </c>
      <c r="G1091" s="163" t="str">
        <f t="array" ref="G1091">IF(B1091="ICSE",IF(COUNTIFS(B:B,B1091,C:C,C1091)=XLOOKUP(C1091,ICSE!A:A,ICSE!AA:AA,"ERROR",0,1),"OK","ERROR"),IF(B1091="FSE",IF(COUNTIFS(B:B,B1091,C:C,C1091)=XLOOKUP(C1091,FSE!A:A,FSE!AA:AA,"ERROR",0,1),"OK","ERROR")))</f>
        <v>OK</v>
      </c>
      <c r="H1091" s="199">
        <f t="shared" ref="H1091:O1091" si="5531">countif($D1091,"*"&amp;H$2&amp;"*")</f>
        <v>0</v>
      </c>
      <c r="I1091" s="200">
        <f t="shared" si="5531"/>
        <v>0</v>
      </c>
      <c r="J1091" s="200">
        <f t="shared" si="5531"/>
        <v>0</v>
      </c>
      <c r="K1091" s="200">
        <f t="shared" si="5531"/>
        <v>0</v>
      </c>
      <c r="L1091" s="200">
        <f t="shared" si="5531"/>
        <v>0</v>
      </c>
      <c r="M1091" s="200">
        <f t="shared" si="5531"/>
        <v>0</v>
      </c>
      <c r="N1091" s="200">
        <f t="shared" si="5531"/>
        <v>0</v>
      </c>
      <c r="O1091" s="200">
        <f t="shared" si="5531"/>
        <v>0</v>
      </c>
      <c r="P1091" s="200">
        <f t="shared" si="9"/>
        <v>1</v>
      </c>
      <c r="Q1091" s="200">
        <f t="shared" ref="Q1091:AC1091" si="5532">countif($D1091,"*"&amp;Q$2&amp;"*")</f>
        <v>0</v>
      </c>
      <c r="R1091" s="200">
        <f t="shared" si="5532"/>
        <v>0</v>
      </c>
      <c r="S1091" s="200">
        <f t="shared" si="5532"/>
        <v>0</v>
      </c>
      <c r="T1091" s="200">
        <f t="shared" si="5532"/>
        <v>0</v>
      </c>
      <c r="U1091" s="200">
        <f t="shared" si="5532"/>
        <v>0</v>
      </c>
      <c r="V1091" s="200">
        <f t="shared" si="5532"/>
        <v>0</v>
      </c>
      <c r="W1091" s="200">
        <f t="shared" si="5532"/>
        <v>0</v>
      </c>
      <c r="X1091" s="200">
        <f t="shared" si="5532"/>
        <v>0</v>
      </c>
      <c r="Y1091" s="200">
        <f t="shared" si="5532"/>
        <v>0</v>
      </c>
      <c r="Z1091" s="200">
        <f t="shared" si="5532"/>
        <v>0</v>
      </c>
      <c r="AA1091" s="200">
        <f t="shared" si="5532"/>
        <v>0</v>
      </c>
      <c r="AB1091" s="200">
        <f t="shared" si="5532"/>
        <v>0</v>
      </c>
      <c r="AC1091" s="200">
        <f t="shared" si="5532"/>
        <v>0</v>
      </c>
      <c r="AD1091" s="200">
        <f t="shared" si="11"/>
        <v>0</v>
      </c>
      <c r="AE1091" s="200">
        <f t="shared" ref="AE1091:AG1091" si="5533">countif($D1091,"*"&amp;AE$2&amp;"*")</f>
        <v>0</v>
      </c>
      <c r="AF1091" s="200">
        <f t="shared" si="5533"/>
        <v>0</v>
      </c>
      <c r="AG1091" s="200">
        <f t="shared" si="5533"/>
        <v>0</v>
      </c>
      <c r="AH1091" s="171">
        <f t="shared" si="13"/>
        <v>0</v>
      </c>
      <c r="AI1091" s="200">
        <f t="shared" si="14"/>
        <v>0</v>
      </c>
      <c r="AJ1091" s="200">
        <f t="shared" si="4907"/>
        <v>0</v>
      </c>
      <c r="AK1091" s="201">
        <f t="shared" ref="AK1091:AS1091" si="5534">countif($D1091,"*"&amp;AK$2&amp;"*")</f>
        <v>0</v>
      </c>
      <c r="AL1091" s="201">
        <f t="shared" si="5534"/>
        <v>0</v>
      </c>
      <c r="AM1091" s="201">
        <f t="shared" si="5534"/>
        <v>0</v>
      </c>
      <c r="AN1091" s="201">
        <f t="shared" si="5534"/>
        <v>0</v>
      </c>
      <c r="AO1091" s="201">
        <f t="shared" si="5534"/>
        <v>0</v>
      </c>
      <c r="AP1091" s="201">
        <f t="shared" si="5534"/>
        <v>0</v>
      </c>
      <c r="AQ1091" s="201">
        <f t="shared" si="5534"/>
        <v>0</v>
      </c>
      <c r="AR1091" s="200">
        <f t="shared" si="5534"/>
        <v>0</v>
      </c>
      <c r="AS1091" s="200">
        <f t="shared" si="5534"/>
        <v>0</v>
      </c>
      <c r="AT1091" s="173">
        <v>0.0</v>
      </c>
      <c r="AU1091" s="200">
        <f t="shared" si="5324"/>
        <v>0</v>
      </c>
      <c r="AV1091" s="200">
        <f t="shared" ref="AV1091:AX1091" si="5535">countif($D1091,"*"&amp;AV$2&amp;"*")</f>
        <v>1</v>
      </c>
      <c r="AW1091" s="200">
        <f t="shared" si="5535"/>
        <v>0</v>
      </c>
      <c r="AX1091" s="200">
        <f t="shared" si="5535"/>
        <v>0</v>
      </c>
      <c r="AY1091" s="202">
        <v>0.0</v>
      </c>
      <c r="AZ1091" s="200"/>
      <c r="BA1091" s="171" t="str">
        <f t="shared" si="18"/>
        <v/>
      </c>
      <c r="BB1091" s="171" t="str">
        <f t="shared" si="19"/>
        <v>Code</v>
      </c>
      <c r="BC1091" s="171" t="str">
        <f t="shared" si="20"/>
        <v/>
      </c>
      <c r="BD1091" s="171" t="str">
        <f t="shared" si="21"/>
        <v/>
      </c>
      <c r="BE1091" s="171" t="str">
        <f t="shared" si="22"/>
        <v/>
      </c>
      <c r="BF1091" s="171" t="str">
        <f t="shared" si="23"/>
        <v>Code</v>
      </c>
    </row>
    <row r="1092">
      <c r="A1092" s="171">
        <f t="array" ref="A1092">XLOOKUP(C1092,ICSE!A:A,ICSE!C:C,,2,1)</f>
        <v>2023</v>
      </c>
      <c r="B1092" s="171" t="s">
        <v>5675</v>
      </c>
      <c r="C1092" s="160">
        <v>2112.0</v>
      </c>
      <c r="D1092" s="161" t="s">
        <v>3044</v>
      </c>
      <c r="E1092" s="197" t="str">
        <f t="array" ref="E1092">XLOOKUP(C1092,ICSE!A:A,ICSE!Z:Z,,0,1)</f>
        <v>Publicly available (1)</v>
      </c>
      <c r="F1092" s="198" t="s">
        <v>20</v>
      </c>
      <c r="G1092" s="163" t="str">
        <f t="array" ref="G1092">IF(B1092="ICSE",IF(COUNTIFS(B:B,B1092,C:C,C1092)=XLOOKUP(C1092,ICSE!A:A,ICSE!AA:AA,"ERROR",0,1),"OK","ERROR"),IF(B1092="FSE",IF(COUNTIFS(B:B,B1092,C:C,C1092)=XLOOKUP(C1092,FSE!A:A,FSE!AA:AA,"ERROR",0,1),"OK","ERROR")))</f>
        <v>OK</v>
      </c>
      <c r="H1092" s="199">
        <f t="shared" ref="H1092:O1092" si="5536">countif($D1092,"*"&amp;H$2&amp;"*")</f>
        <v>0</v>
      </c>
      <c r="I1092" s="200">
        <f t="shared" si="5536"/>
        <v>1</v>
      </c>
      <c r="J1092" s="200">
        <f t="shared" si="5536"/>
        <v>0</v>
      </c>
      <c r="K1092" s="200">
        <f t="shared" si="5536"/>
        <v>0</v>
      </c>
      <c r="L1092" s="200">
        <f t="shared" si="5536"/>
        <v>0</v>
      </c>
      <c r="M1092" s="200">
        <f t="shared" si="5536"/>
        <v>0</v>
      </c>
      <c r="N1092" s="200">
        <f t="shared" si="5536"/>
        <v>0</v>
      </c>
      <c r="O1092" s="200">
        <f t="shared" si="5536"/>
        <v>0</v>
      </c>
      <c r="P1092" s="200">
        <f t="shared" si="9"/>
        <v>0</v>
      </c>
      <c r="Q1092" s="200">
        <f t="shared" ref="Q1092:AC1092" si="5537">countif($D1092,"*"&amp;Q$2&amp;"*")</f>
        <v>0</v>
      </c>
      <c r="R1092" s="200">
        <f t="shared" si="5537"/>
        <v>0</v>
      </c>
      <c r="S1092" s="200">
        <f t="shared" si="5537"/>
        <v>0</v>
      </c>
      <c r="T1092" s="200">
        <f t="shared" si="5537"/>
        <v>0</v>
      </c>
      <c r="U1092" s="200">
        <f t="shared" si="5537"/>
        <v>0</v>
      </c>
      <c r="V1092" s="200">
        <f t="shared" si="5537"/>
        <v>0</v>
      </c>
      <c r="W1092" s="200">
        <f t="shared" si="5537"/>
        <v>0</v>
      </c>
      <c r="X1092" s="200">
        <f t="shared" si="5537"/>
        <v>0</v>
      </c>
      <c r="Y1092" s="200">
        <f t="shared" si="5537"/>
        <v>0</v>
      </c>
      <c r="Z1092" s="200">
        <f t="shared" si="5537"/>
        <v>0</v>
      </c>
      <c r="AA1092" s="200">
        <f t="shared" si="5537"/>
        <v>0</v>
      </c>
      <c r="AB1092" s="200">
        <f t="shared" si="5537"/>
        <v>0</v>
      </c>
      <c r="AC1092" s="200">
        <f t="shared" si="5537"/>
        <v>0</v>
      </c>
      <c r="AD1092" s="200">
        <f t="shared" si="11"/>
        <v>0</v>
      </c>
      <c r="AE1092" s="200">
        <f t="shared" ref="AE1092:AG1092" si="5538">countif($D1092,"*"&amp;AE$2&amp;"*")</f>
        <v>0</v>
      </c>
      <c r="AF1092" s="200">
        <f t="shared" si="5538"/>
        <v>0</v>
      </c>
      <c r="AG1092" s="200">
        <f t="shared" si="5538"/>
        <v>0</v>
      </c>
      <c r="AH1092" s="171">
        <f t="shared" si="13"/>
        <v>0</v>
      </c>
      <c r="AI1092" s="200">
        <f t="shared" si="14"/>
        <v>1</v>
      </c>
      <c r="AJ1092" s="200">
        <f t="shared" si="4907"/>
        <v>0</v>
      </c>
      <c r="AK1092" s="201">
        <f t="shared" ref="AK1092:AS1092" si="5539">countif($D1092,"*"&amp;AK$2&amp;"*")</f>
        <v>0</v>
      </c>
      <c r="AL1092" s="201">
        <f t="shared" si="5539"/>
        <v>0</v>
      </c>
      <c r="AM1092" s="201">
        <f t="shared" si="5539"/>
        <v>0</v>
      </c>
      <c r="AN1092" s="201">
        <f t="shared" si="5539"/>
        <v>0</v>
      </c>
      <c r="AO1092" s="201">
        <f t="shared" si="5539"/>
        <v>0</v>
      </c>
      <c r="AP1092" s="201">
        <f t="shared" si="5539"/>
        <v>0</v>
      </c>
      <c r="AQ1092" s="201">
        <f t="shared" si="5539"/>
        <v>0</v>
      </c>
      <c r="AR1092" s="200">
        <f t="shared" si="5539"/>
        <v>0</v>
      </c>
      <c r="AS1092" s="200">
        <f t="shared" si="5539"/>
        <v>0</v>
      </c>
      <c r="AT1092" s="173">
        <v>0.0</v>
      </c>
      <c r="AU1092" s="200">
        <f t="shared" si="5324"/>
        <v>0</v>
      </c>
      <c r="AV1092" s="200">
        <f t="shared" ref="AV1092:AX1092" si="5540">countif($D1092,"*"&amp;AV$2&amp;"*")</f>
        <v>0</v>
      </c>
      <c r="AW1092" s="200">
        <f t="shared" si="5540"/>
        <v>0</v>
      </c>
      <c r="AX1092" s="200">
        <f t="shared" si="5540"/>
        <v>1</v>
      </c>
      <c r="AY1092" s="202">
        <v>0.0</v>
      </c>
      <c r="AZ1092" s="200"/>
      <c r="BA1092" s="171" t="str">
        <f t="shared" si="18"/>
        <v>Archival</v>
      </c>
      <c r="BB1092" s="171" t="str">
        <f t="shared" si="19"/>
        <v/>
      </c>
      <c r="BC1092" s="171" t="str">
        <f t="shared" si="20"/>
        <v/>
      </c>
      <c r="BD1092" s="171" t="str">
        <f t="shared" si="21"/>
        <v/>
      </c>
      <c r="BE1092" s="171" t="str">
        <f t="shared" si="22"/>
        <v/>
      </c>
      <c r="BF1092" s="171" t="str">
        <f t="shared" si="23"/>
        <v>Archival</v>
      </c>
    </row>
    <row r="1093">
      <c r="A1093" s="171">
        <f t="array" ref="A1093">XLOOKUP(C1093,ICSE!A:A,ICSE!C:C,,2,1)</f>
        <v>2023</v>
      </c>
      <c r="B1093" s="171" t="s">
        <v>5675</v>
      </c>
      <c r="C1093" s="160">
        <v>2113.0</v>
      </c>
      <c r="D1093" s="161" t="s">
        <v>3046</v>
      </c>
      <c r="E1093" s="197" t="str">
        <f t="array" ref="E1093">XLOOKUP(C1093,ICSE!A:A,ICSE!Z:Z,,0,1)</f>
        <v>Publicly available (1)</v>
      </c>
      <c r="F1093" s="198" t="s">
        <v>20</v>
      </c>
      <c r="G1093" s="163" t="str">
        <f t="array" ref="G1093">IF(B1093="ICSE",IF(COUNTIFS(B:B,B1093,C:C,C1093)=XLOOKUP(C1093,ICSE!A:A,ICSE!AA:AA,"ERROR",0,1),"OK","ERROR"),IF(B1093="FSE",IF(COUNTIFS(B:B,B1093,C:C,C1093)=XLOOKUP(C1093,FSE!A:A,FSE!AA:AA,"ERROR",0,1),"OK","ERROR")))</f>
        <v>OK</v>
      </c>
      <c r="H1093" s="199">
        <f t="shared" ref="H1093:O1093" si="5541">countif($D1093,"*"&amp;H$2&amp;"*")</f>
        <v>0</v>
      </c>
      <c r="I1093" s="200">
        <f t="shared" si="5541"/>
        <v>0</v>
      </c>
      <c r="J1093" s="200">
        <f t="shared" si="5541"/>
        <v>0</v>
      </c>
      <c r="K1093" s="200">
        <f t="shared" si="5541"/>
        <v>0</v>
      </c>
      <c r="L1093" s="200">
        <f t="shared" si="5541"/>
        <v>0</v>
      </c>
      <c r="M1093" s="200">
        <f t="shared" si="5541"/>
        <v>0</v>
      </c>
      <c r="N1093" s="200">
        <f t="shared" si="5541"/>
        <v>0</v>
      </c>
      <c r="O1093" s="200">
        <f t="shared" si="5541"/>
        <v>0</v>
      </c>
      <c r="P1093" s="200">
        <f t="shared" si="9"/>
        <v>1</v>
      </c>
      <c r="Q1093" s="200">
        <f t="shared" ref="Q1093:AC1093" si="5542">countif($D1093,"*"&amp;Q$2&amp;"*")</f>
        <v>0</v>
      </c>
      <c r="R1093" s="200">
        <f t="shared" si="5542"/>
        <v>0</v>
      </c>
      <c r="S1093" s="200">
        <f t="shared" si="5542"/>
        <v>0</v>
      </c>
      <c r="T1093" s="200">
        <f t="shared" si="5542"/>
        <v>0</v>
      </c>
      <c r="U1093" s="200">
        <f t="shared" si="5542"/>
        <v>0</v>
      </c>
      <c r="V1093" s="200">
        <f t="shared" si="5542"/>
        <v>0</v>
      </c>
      <c r="W1093" s="200">
        <f t="shared" si="5542"/>
        <v>0</v>
      </c>
      <c r="X1093" s="200">
        <f t="shared" si="5542"/>
        <v>0</v>
      </c>
      <c r="Y1093" s="200">
        <f t="shared" si="5542"/>
        <v>0</v>
      </c>
      <c r="Z1093" s="200">
        <f t="shared" si="5542"/>
        <v>0</v>
      </c>
      <c r="AA1093" s="200">
        <f t="shared" si="5542"/>
        <v>0</v>
      </c>
      <c r="AB1093" s="200">
        <f t="shared" si="5542"/>
        <v>0</v>
      </c>
      <c r="AC1093" s="200">
        <f t="shared" si="5542"/>
        <v>0</v>
      </c>
      <c r="AD1093" s="200">
        <f t="shared" si="11"/>
        <v>0</v>
      </c>
      <c r="AE1093" s="200">
        <f t="shared" ref="AE1093:AG1093" si="5543">countif($D1093,"*"&amp;AE$2&amp;"*")</f>
        <v>0</v>
      </c>
      <c r="AF1093" s="200">
        <f t="shared" si="5543"/>
        <v>0</v>
      </c>
      <c r="AG1093" s="200">
        <f t="shared" si="5543"/>
        <v>0</v>
      </c>
      <c r="AH1093" s="171">
        <f t="shared" si="13"/>
        <v>0</v>
      </c>
      <c r="AI1093" s="200">
        <f t="shared" si="14"/>
        <v>0</v>
      </c>
      <c r="AJ1093" s="200">
        <f t="shared" si="4907"/>
        <v>0</v>
      </c>
      <c r="AK1093" s="201">
        <f t="shared" ref="AK1093:AS1093" si="5544">countif($D1093,"*"&amp;AK$2&amp;"*")</f>
        <v>0</v>
      </c>
      <c r="AL1093" s="201">
        <f t="shared" si="5544"/>
        <v>0</v>
      </c>
      <c r="AM1093" s="201">
        <f t="shared" si="5544"/>
        <v>0</v>
      </c>
      <c r="AN1093" s="201">
        <f t="shared" si="5544"/>
        <v>0</v>
      </c>
      <c r="AO1093" s="201">
        <f t="shared" si="5544"/>
        <v>0</v>
      </c>
      <c r="AP1093" s="201">
        <f t="shared" si="5544"/>
        <v>0</v>
      </c>
      <c r="AQ1093" s="201">
        <f t="shared" si="5544"/>
        <v>0</v>
      </c>
      <c r="AR1093" s="200">
        <f t="shared" si="5544"/>
        <v>0</v>
      </c>
      <c r="AS1093" s="200">
        <f t="shared" si="5544"/>
        <v>0</v>
      </c>
      <c r="AT1093" s="173">
        <v>0.0</v>
      </c>
      <c r="AU1093" s="200">
        <f t="shared" si="5324"/>
        <v>0</v>
      </c>
      <c r="AV1093" s="200">
        <f t="shared" ref="AV1093:AX1093" si="5545">countif($D1093,"*"&amp;AV$2&amp;"*")</f>
        <v>1</v>
      </c>
      <c r="AW1093" s="200">
        <f t="shared" si="5545"/>
        <v>0</v>
      </c>
      <c r="AX1093" s="200">
        <f t="shared" si="5545"/>
        <v>0</v>
      </c>
      <c r="AY1093" s="202">
        <v>0.0</v>
      </c>
      <c r="AZ1093" s="200"/>
      <c r="BA1093" s="171" t="str">
        <f t="shared" si="18"/>
        <v/>
      </c>
      <c r="BB1093" s="171" t="str">
        <f t="shared" si="19"/>
        <v>Code</v>
      </c>
      <c r="BC1093" s="171" t="str">
        <f t="shared" si="20"/>
        <v/>
      </c>
      <c r="BD1093" s="171" t="str">
        <f t="shared" si="21"/>
        <v/>
      </c>
      <c r="BE1093" s="171" t="str">
        <f t="shared" si="22"/>
        <v/>
      </c>
      <c r="BF1093" s="171" t="str">
        <f t="shared" si="23"/>
        <v>Code</v>
      </c>
    </row>
    <row r="1094">
      <c r="A1094" s="171">
        <f t="array" ref="A1094">XLOOKUP(C1094,ICSE!A:A,ICSE!C:C,,2,1)</f>
        <v>2023</v>
      </c>
      <c r="B1094" s="171" t="s">
        <v>5675</v>
      </c>
      <c r="C1094" s="160">
        <v>2114.0</v>
      </c>
      <c r="D1094" s="161" t="s">
        <v>3048</v>
      </c>
      <c r="E1094" s="197" t="str">
        <f t="array" ref="E1094">XLOOKUP(C1094,ICSE!A:A,ICSE!Z:Z,,0,1)</f>
        <v>Publicly available (1)</v>
      </c>
      <c r="F1094" s="198" t="s">
        <v>20</v>
      </c>
      <c r="G1094" s="163" t="str">
        <f t="array" ref="G1094">IF(B1094="ICSE",IF(COUNTIFS(B:B,B1094,C:C,C1094)=XLOOKUP(C1094,ICSE!A:A,ICSE!AA:AA,"ERROR",0,1),"OK","ERROR"),IF(B1094="FSE",IF(COUNTIFS(B:B,B1094,C:C,C1094)=XLOOKUP(C1094,FSE!A:A,FSE!AA:AA,"ERROR",0,1),"OK","ERROR")))</f>
        <v>OK</v>
      </c>
      <c r="H1094" s="199">
        <f t="shared" ref="H1094:O1094" si="5546">countif($D1094,"*"&amp;H$2&amp;"*")</f>
        <v>0</v>
      </c>
      <c r="I1094" s="200">
        <f t="shared" si="5546"/>
        <v>0</v>
      </c>
      <c r="J1094" s="200">
        <f t="shared" si="5546"/>
        <v>0</v>
      </c>
      <c r="K1094" s="200">
        <f t="shared" si="5546"/>
        <v>0</v>
      </c>
      <c r="L1094" s="200">
        <f t="shared" si="5546"/>
        <v>0</v>
      </c>
      <c r="M1094" s="200">
        <f t="shared" si="5546"/>
        <v>0</v>
      </c>
      <c r="N1094" s="200">
        <f t="shared" si="5546"/>
        <v>0</v>
      </c>
      <c r="O1094" s="200">
        <f t="shared" si="5546"/>
        <v>0</v>
      </c>
      <c r="P1094" s="200">
        <f t="shared" si="9"/>
        <v>1</v>
      </c>
      <c r="Q1094" s="200">
        <f t="shared" ref="Q1094:AC1094" si="5547">countif($D1094,"*"&amp;Q$2&amp;"*")</f>
        <v>0</v>
      </c>
      <c r="R1094" s="200">
        <f t="shared" si="5547"/>
        <v>0</v>
      </c>
      <c r="S1094" s="200">
        <f t="shared" si="5547"/>
        <v>0</v>
      </c>
      <c r="T1094" s="200">
        <f t="shared" si="5547"/>
        <v>0</v>
      </c>
      <c r="U1094" s="200">
        <f t="shared" si="5547"/>
        <v>0</v>
      </c>
      <c r="V1094" s="200">
        <f t="shared" si="5547"/>
        <v>0</v>
      </c>
      <c r="W1094" s="200">
        <f t="shared" si="5547"/>
        <v>0</v>
      </c>
      <c r="X1094" s="200">
        <f t="shared" si="5547"/>
        <v>0</v>
      </c>
      <c r="Y1094" s="200">
        <f t="shared" si="5547"/>
        <v>0</v>
      </c>
      <c r="Z1094" s="200">
        <f t="shared" si="5547"/>
        <v>0</v>
      </c>
      <c r="AA1094" s="200">
        <f t="shared" si="5547"/>
        <v>0</v>
      </c>
      <c r="AB1094" s="200">
        <f t="shared" si="5547"/>
        <v>0</v>
      </c>
      <c r="AC1094" s="200">
        <f t="shared" si="5547"/>
        <v>0</v>
      </c>
      <c r="AD1094" s="200">
        <f t="shared" si="11"/>
        <v>0</v>
      </c>
      <c r="AE1094" s="200">
        <f t="shared" ref="AE1094:AG1094" si="5548">countif($D1094,"*"&amp;AE$2&amp;"*")</f>
        <v>0</v>
      </c>
      <c r="AF1094" s="200">
        <f t="shared" si="5548"/>
        <v>0</v>
      </c>
      <c r="AG1094" s="200">
        <f t="shared" si="5548"/>
        <v>0</v>
      </c>
      <c r="AH1094" s="171">
        <f t="shared" si="13"/>
        <v>0</v>
      </c>
      <c r="AI1094" s="200">
        <f t="shared" si="14"/>
        <v>0</v>
      </c>
      <c r="AJ1094" s="200">
        <f t="shared" si="4907"/>
        <v>0</v>
      </c>
      <c r="AK1094" s="201">
        <f t="shared" ref="AK1094:AS1094" si="5549">countif($D1094,"*"&amp;AK$2&amp;"*")</f>
        <v>0</v>
      </c>
      <c r="AL1094" s="201">
        <f t="shared" si="5549"/>
        <v>0</v>
      </c>
      <c r="AM1094" s="201">
        <f t="shared" si="5549"/>
        <v>0</v>
      </c>
      <c r="AN1094" s="201">
        <f t="shared" si="5549"/>
        <v>0</v>
      </c>
      <c r="AO1094" s="201">
        <f t="shared" si="5549"/>
        <v>0</v>
      </c>
      <c r="AP1094" s="201">
        <f t="shared" si="5549"/>
        <v>0</v>
      </c>
      <c r="AQ1094" s="201">
        <f t="shared" si="5549"/>
        <v>0</v>
      </c>
      <c r="AR1094" s="200">
        <f t="shared" si="5549"/>
        <v>0</v>
      </c>
      <c r="AS1094" s="200">
        <f t="shared" si="5549"/>
        <v>0</v>
      </c>
      <c r="AT1094" s="173">
        <v>0.0</v>
      </c>
      <c r="AU1094" s="200">
        <f t="shared" si="5324"/>
        <v>0</v>
      </c>
      <c r="AV1094" s="200">
        <f t="shared" ref="AV1094:AX1094" si="5550">countif($D1094,"*"&amp;AV$2&amp;"*")</f>
        <v>1</v>
      </c>
      <c r="AW1094" s="200">
        <f t="shared" si="5550"/>
        <v>0</v>
      </c>
      <c r="AX1094" s="200">
        <f t="shared" si="5550"/>
        <v>0</v>
      </c>
      <c r="AY1094" s="202">
        <v>0.0</v>
      </c>
      <c r="AZ1094" s="200"/>
      <c r="BA1094" s="171" t="str">
        <f t="shared" si="18"/>
        <v/>
      </c>
      <c r="BB1094" s="171" t="str">
        <f t="shared" si="19"/>
        <v>Code</v>
      </c>
      <c r="BC1094" s="171" t="str">
        <f t="shared" si="20"/>
        <v/>
      </c>
      <c r="BD1094" s="171" t="str">
        <f t="shared" si="21"/>
        <v/>
      </c>
      <c r="BE1094" s="171" t="str">
        <f t="shared" si="22"/>
        <v/>
      </c>
      <c r="BF1094" s="171" t="str">
        <f t="shared" si="23"/>
        <v>Code</v>
      </c>
    </row>
    <row r="1095">
      <c r="A1095" s="171">
        <f t="array" ref="A1095">XLOOKUP(C1095,ICSE!A:A,ICSE!C:C,,2,1)</f>
        <v>2023</v>
      </c>
      <c r="B1095" s="171" t="s">
        <v>5675</v>
      </c>
      <c r="C1095" s="160">
        <v>2115.0</v>
      </c>
      <c r="D1095" s="161" t="s">
        <v>3051</v>
      </c>
      <c r="E1095" s="197" t="str">
        <f t="array" ref="E1095">XLOOKUP(C1095,ICSE!A:A,ICSE!Z:Z,,0,1)</f>
        <v>Publicly available (1)</v>
      </c>
      <c r="F1095" s="198" t="s">
        <v>20</v>
      </c>
      <c r="G1095" s="163" t="str">
        <f t="array" ref="G1095">IF(B1095="ICSE",IF(COUNTIFS(B:B,B1095,C:C,C1095)=XLOOKUP(C1095,ICSE!A:A,ICSE!AA:AA,"ERROR",0,1),"OK","ERROR"),IF(B1095="FSE",IF(COUNTIFS(B:B,B1095,C:C,C1095)=XLOOKUP(C1095,FSE!A:A,FSE!AA:AA,"ERROR",0,1),"OK","ERROR")))</f>
        <v>OK</v>
      </c>
      <c r="H1095" s="199">
        <f t="shared" ref="H1095:O1095" si="5551">countif($D1095,"*"&amp;H$2&amp;"*")</f>
        <v>1</v>
      </c>
      <c r="I1095" s="200">
        <f t="shared" si="5551"/>
        <v>0</v>
      </c>
      <c r="J1095" s="200">
        <f t="shared" si="5551"/>
        <v>0</v>
      </c>
      <c r="K1095" s="200">
        <f t="shared" si="5551"/>
        <v>0</v>
      </c>
      <c r="L1095" s="200">
        <f t="shared" si="5551"/>
        <v>0</v>
      </c>
      <c r="M1095" s="200">
        <f t="shared" si="5551"/>
        <v>0</v>
      </c>
      <c r="N1095" s="200">
        <f t="shared" si="5551"/>
        <v>0</v>
      </c>
      <c r="O1095" s="200">
        <f t="shared" si="5551"/>
        <v>0</v>
      </c>
      <c r="P1095" s="200">
        <f t="shared" si="9"/>
        <v>0</v>
      </c>
      <c r="Q1095" s="200">
        <f t="shared" ref="Q1095:AC1095" si="5552">countif($D1095,"*"&amp;Q$2&amp;"*")</f>
        <v>0</v>
      </c>
      <c r="R1095" s="200">
        <f t="shared" si="5552"/>
        <v>0</v>
      </c>
      <c r="S1095" s="200">
        <f t="shared" si="5552"/>
        <v>0</v>
      </c>
      <c r="T1095" s="200">
        <f t="shared" si="5552"/>
        <v>0</v>
      </c>
      <c r="U1095" s="200">
        <f t="shared" si="5552"/>
        <v>0</v>
      </c>
      <c r="V1095" s="200">
        <f t="shared" si="5552"/>
        <v>0</v>
      </c>
      <c r="W1095" s="200">
        <f t="shared" si="5552"/>
        <v>0</v>
      </c>
      <c r="X1095" s="200">
        <f t="shared" si="5552"/>
        <v>0</v>
      </c>
      <c r="Y1095" s="200">
        <f t="shared" si="5552"/>
        <v>0</v>
      </c>
      <c r="Z1095" s="200">
        <f t="shared" si="5552"/>
        <v>0</v>
      </c>
      <c r="AA1095" s="200">
        <f t="shared" si="5552"/>
        <v>0</v>
      </c>
      <c r="AB1095" s="200">
        <f t="shared" si="5552"/>
        <v>0</v>
      </c>
      <c r="AC1095" s="200">
        <f t="shared" si="5552"/>
        <v>0</v>
      </c>
      <c r="AD1095" s="200">
        <f t="shared" si="11"/>
        <v>0</v>
      </c>
      <c r="AE1095" s="200">
        <f t="shared" ref="AE1095:AG1095" si="5553">countif($D1095,"*"&amp;AE$2&amp;"*")</f>
        <v>0</v>
      </c>
      <c r="AF1095" s="200">
        <f t="shared" si="5553"/>
        <v>0</v>
      </c>
      <c r="AG1095" s="200">
        <f t="shared" si="5553"/>
        <v>0</v>
      </c>
      <c r="AH1095" s="171">
        <f t="shared" si="13"/>
        <v>0</v>
      </c>
      <c r="AI1095" s="200">
        <f t="shared" si="14"/>
        <v>1</v>
      </c>
      <c r="AJ1095" s="200">
        <f t="shared" si="4907"/>
        <v>0</v>
      </c>
      <c r="AK1095" s="201">
        <f t="shared" ref="AK1095:AS1095" si="5554">countif($D1095,"*"&amp;AK$2&amp;"*")</f>
        <v>0</v>
      </c>
      <c r="AL1095" s="201">
        <f t="shared" si="5554"/>
        <v>0</v>
      </c>
      <c r="AM1095" s="201">
        <f t="shared" si="5554"/>
        <v>0</v>
      </c>
      <c r="AN1095" s="201">
        <f t="shared" si="5554"/>
        <v>0</v>
      </c>
      <c r="AO1095" s="201">
        <f t="shared" si="5554"/>
        <v>0</v>
      </c>
      <c r="AP1095" s="201">
        <f t="shared" si="5554"/>
        <v>0</v>
      </c>
      <c r="AQ1095" s="201">
        <f t="shared" si="5554"/>
        <v>0</v>
      </c>
      <c r="AR1095" s="200">
        <f t="shared" si="5554"/>
        <v>0</v>
      </c>
      <c r="AS1095" s="200">
        <f t="shared" si="5554"/>
        <v>0</v>
      </c>
      <c r="AT1095" s="173">
        <v>0.0</v>
      </c>
      <c r="AU1095" s="200">
        <f t="shared" si="5324"/>
        <v>0</v>
      </c>
      <c r="AV1095" s="200">
        <f t="shared" ref="AV1095:AX1095" si="5555">countif($D1095,"*"&amp;AV$2&amp;"*")</f>
        <v>0</v>
      </c>
      <c r="AW1095" s="200">
        <f t="shared" si="5555"/>
        <v>0</v>
      </c>
      <c r="AX1095" s="200">
        <f t="shared" si="5555"/>
        <v>1</v>
      </c>
      <c r="AY1095" s="202">
        <v>0.0</v>
      </c>
      <c r="AZ1095" s="200"/>
      <c r="BA1095" s="171" t="str">
        <f t="shared" si="18"/>
        <v>Archival</v>
      </c>
      <c r="BB1095" s="171" t="str">
        <f t="shared" si="19"/>
        <v/>
      </c>
      <c r="BC1095" s="171" t="str">
        <f t="shared" si="20"/>
        <v/>
      </c>
      <c r="BD1095" s="171" t="str">
        <f t="shared" si="21"/>
        <v/>
      </c>
      <c r="BE1095" s="171" t="str">
        <f t="shared" si="22"/>
        <v/>
      </c>
      <c r="BF1095" s="171" t="str">
        <f t="shared" si="23"/>
        <v>Archival</v>
      </c>
    </row>
    <row r="1096">
      <c r="A1096" s="171">
        <f t="array" ref="A1096">XLOOKUP(C1096,ICSE!A:A,ICSE!C:C,,2,1)</f>
        <v>2023</v>
      </c>
      <c r="B1096" s="171" t="s">
        <v>5675</v>
      </c>
      <c r="C1096" s="160">
        <v>2116.0</v>
      </c>
      <c r="D1096" s="161" t="s">
        <v>3054</v>
      </c>
      <c r="E1096" s="197" t="str">
        <f t="array" ref="E1096">XLOOKUP(C1096,ICSE!A:A,ICSE!Z:Z,,0,1)</f>
        <v>Publicly available (1)</v>
      </c>
      <c r="F1096" s="198" t="s">
        <v>20</v>
      </c>
      <c r="G1096" s="163" t="str">
        <f t="array" ref="G1096">IF(B1096="ICSE",IF(COUNTIFS(B:B,B1096,C:C,C1096)=XLOOKUP(C1096,ICSE!A:A,ICSE!AA:AA,"ERROR",0,1),"OK","ERROR"),IF(B1096="FSE",IF(COUNTIFS(B:B,B1096,C:C,C1096)=XLOOKUP(C1096,FSE!A:A,FSE!AA:AA,"ERROR",0,1),"OK","ERROR")))</f>
        <v>OK</v>
      </c>
      <c r="H1096" s="199">
        <f t="shared" ref="H1096:O1096" si="5556">countif($D1096,"*"&amp;H$2&amp;"*")</f>
        <v>0</v>
      </c>
      <c r="I1096" s="200">
        <f t="shared" si="5556"/>
        <v>0</v>
      </c>
      <c r="J1096" s="200">
        <f t="shared" si="5556"/>
        <v>0</v>
      </c>
      <c r="K1096" s="200">
        <f t="shared" si="5556"/>
        <v>0</v>
      </c>
      <c r="L1096" s="200">
        <f t="shared" si="5556"/>
        <v>0</v>
      </c>
      <c r="M1096" s="200">
        <f t="shared" si="5556"/>
        <v>0</v>
      </c>
      <c r="N1096" s="200">
        <f t="shared" si="5556"/>
        <v>0</v>
      </c>
      <c r="O1096" s="200">
        <f t="shared" si="5556"/>
        <v>0</v>
      </c>
      <c r="P1096" s="200">
        <f t="shared" si="9"/>
        <v>1</v>
      </c>
      <c r="Q1096" s="200">
        <f t="shared" ref="Q1096:AC1096" si="5557">countif($D1096,"*"&amp;Q$2&amp;"*")</f>
        <v>0</v>
      </c>
      <c r="R1096" s="200">
        <f t="shared" si="5557"/>
        <v>0</v>
      </c>
      <c r="S1096" s="200">
        <f t="shared" si="5557"/>
        <v>0</v>
      </c>
      <c r="T1096" s="200">
        <f t="shared" si="5557"/>
        <v>0</v>
      </c>
      <c r="U1096" s="200">
        <f t="shared" si="5557"/>
        <v>0</v>
      </c>
      <c r="V1096" s="200">
        <f t="shared" si="5557"/>
        <v>0</v>
      </c>
      <c r="W1096" s="200">
        <f t="shared" si="5557"/>
        <v>0</v>
      </c>
      <c r="X1096" s="200">
        <f t="shared" si="5557"/>
        <v>0</v>
      </c>
      <c r="Y1096" s="200">
        <f t="shared" si="5557"/>
        <v>0</v>
      </c>
      <c r="Z1096" s="200">
        <f t="shared" si="5557"/>
        <v>0</v>
      </c>
      <c r="AA1096" s="200">
        <f t="shared" si="5557"/>
        <v>0</v>
      </c>
      <c r="AB1096" s="200">
        <f t="shared" si="5557"/>
        <v>0</v>
      </c>
      <c r="AC1096" s="200">
        <f t="shared" si="5557"/>
        <v>0</v>
      </c>
      <c r="AD1096" s="200">
        <f t="shared" si="11"/>
        <v>0</v>
      </c>
      <c r="AE1096" s="200">
        <f t="shared" ref="AE1096:AG1096" si="5558">countif($D1096,"*"&amp;AE$2&amp;"*")</f>
        <v>0</v>
      </c>
      <c r="AF1096" s="200">
        <f t="shared" si="5558"/>
        <v>0</v>
      </c>
      <c r="AG1096" s="200">
        <f t="shared" si="5558"/>
        <v>0</v>
      </c>
      <c r="AH1096" s="171">
        <f t="shared" si="13"/>
        <v>0</v>
      </c>
      <c r="AI1096" s="200">
        <f t="shared" si="14"/>
        <v>0</v>
      </c>
      <c r="AJ1096" s="200">
        <f t="shared" si="4907"/>
        <v>0</v>
      </c>
      <c r="AK1096" s="201">
        <f t="shared" ref="AK1096:AS1096" si="5559">countif($D1096,"*"&amp;AK$2&amp;"*")</f>
        <v>0</v>
      </c>
      <c r="AL1096" s="201">
        <f t="shared" si="5559"/>
        <v>0</v>
      </c>
      <c r="AM1096" s="201">
        <f t="shared" si="5559"/>
        <v>0</v>
      </c>
      <c r="AN1096" s="201">
        <f t="shared" si="5559"/>
        <v>0</v>
      </c>
      <c r="AO1096" s="201">
        <f t="shared" si="5559"/>
        <v>0</v>
      </c>
      <c r="AP1096" s="201">
        <f t="shared" si="5559"/>
        <v>0</v>
      </c>
      <c r="AQ1096" s="201">
        <f t="shared" si="5559"/>
        <v>0</v>
      </c>
      <c r="AR1096" s="200">
        <f t="shared" si="5559"/>
        <v>0</v>
      </c>
      <c r="AS1096" s="200">
        <f t="shared" si="5559"/>
        <v>0</v>
      </c>
      <c r="AT1096" s="173">
        <v>0.0</v>
      </c>
      <c r="AU1096" s="200">
        <f t="shared" si="5324"/>
        <v>0</v>
      </c>
      <c r="AV1096" s="200">
        <f t="shared" ref="AV1096:AX1096" si="5560">countif($D1096,"*"&amp;AV$2&amp;"*")</f>
        <v>1</v>
      </c>
      <c r="AW1096" s="200">
        <f t="shared" si="5560"/>
        <v>0</v>
      </c>
      <c r="AX1096" s="200">
        <f t="shared" si="5560"/>
        <v>0</v>
      </c>
      <c r="AY1096" s="202">
        <v>0.0</v>
      </c>
      <c r="AZ1096" s="200"/>
      <c r="BA1096" s="171" t="str">
        <f t="shared" si="18"/>
        <v/>
      </c>
      <c r="BB1096" s="171" t="str">
        <f t="shared" si="19"/>
        <v>Code</v>
      </c>
      <c r="BC1096" s="171" t="str">
        <f t="shared" si="20"/>
        <v/>
      </c>
      <c r="BD1096" s="171" t="str">
        <f t="shared" si="21"/>
        <v/>
      </c>
      <c r="BE1096" s="171" t="str">
        <f t="shared" si="22"/>
        <v/>
      </c>
      <c r="BF1096" s="171" t="str">
        <f t="shared" si="23"/>
        <v>Code</v>
      </c>
    </row>
    <row r="1097">
      <c r="A1097" s="171">
        <f t="array" ref="A1097">XLOOKUP(C1097,ICSE!A:A,ICSE!C:C,,2,1)</f>
        <v>2023</v>
      </c>
      <c r="B1097" s="171" t="s">
        <v>5675</v>
      </c>
      <c r="C1097" s="160">
        <v>2117.0</v>
      </c>
      <c r="D1097" s="161" t="s">
        <v>3057</v>
      </c>
      <c r="E1097" s="197" t="str">
        <f t="array" ref="E1097">XLOOKUP(C1097,ICSE!A:A,ICSE!Z:Z,,0,1)</f>
        <v>Publicly available (1)</v>
      </c>
      <c r="F1097" s="198" t="s">
        <v>20</v>
      </c>
      <c r="G1097" s="163" t="str">
        <f t="array" ref="G1097">IF(B1097="ICSE",IF(COUNTIFS(B:B,B1097,C:C,C1097)=XLOOKUP(C1097,ICSE!A:A,ICSE!AA:AA,"ERROR",0,1),"OK","ERROR"),IF(B1097="FSE",IF(COUNTIFS(B:B,B1097,C:C,C1097)=XLOOKUP(C1097,FSE!A:A,FSE!AA:AA,"ERROR",0,1),"OK","ERROR")))</f>
        <v>OK</v>
      </c>
      <c r="H1097" s="199">
        <f t="shared" ref="H1097:O1097" si="5561">countif($D1097,"*"&amp;H$2&amp;"*")</f>
        <v>0</v>
      </c>
      <c r="I1097" s="200">
        <f t="shared" si="5561"/>
        <v>0</v>
      </c>
      <c r="J1097" s="200">
        <f t="shared" si="5561"/>
        <v>0</v>
      </c>
      <c r="K1097" s="200">
        <f t="shared" si="5561"/>
        <v>0</v>
      </c>
      <c r="L1097" s="200">
        <f t="shared" si="5561"/>
        <v>0</v>
      </c>
      <c r="M1097" s="200">
        <f t="shared" si="5561"/>
        <v>0</v>
      </c>
      <c r="N1097" s="200">
        <f t="shared" si="5561"/>
        <v>0</v>
      </c>
      <c r="O1097" s="200">
        <f t="shared" si="5561"/>
        <v>0</v>
      </c>
      <c r="P1097" s="200">
        <f t="shared" si="9"/>
        <v>1</v>
      </c>
      <c r="Q1097" s="200">
        <f t="shared" ref="Q1097:AC1097" si="5562">countif($D1097,"*"&amp;Q$2&amp;"*")</f>
        <v>0</v>
      </c>
      <c r="R1097" s="200">
        <f t="shared" si="5562"/>
        <v>0</v>
      </c>
      <c r="S1097" s="200">
        <f t="shared" si="5562"/>
        <v>0</v>
      </c>
      <c r="T1097" s="200">
        <f t="shared" si="5562"/>
        <v>0</v>
      </c>
      <c r="U1097" s="200">
        <f t="shared" si="5562"/>
        <v>0</v>
      </c>
      <c r="V1097" s="200">
        <f t="shared" si="5562"/>
        <v>0</v>
      </c>
      <c r="W1097" s="200">
        <f t="shared" si="5562"/>
        <v>0</v>
      </c>
      <c r="X1097" s="200">
        <f t="shared" si="5562"/>
        <v>0</v>
      </c>
      <c r="Y1097" s="200">
        <f t="shared" si="5562"/>
        <v>0</v>
      </c>
      <c r="Z1097" s="200">
        <f t="shared" si="5562"/>
        <v>0</v>
      </c>
      <c r="AA1097" s="200">
        <f t="shared" si="5562"/>
        <v>0</v>
      </c>
      <c r="AB1097" s="200">
        <f t="shared" si="5562"/>
        <v>0</v>
      </c>
      <c r="AC1097" s="200">
        <f t="shared" si="5562"/>
        <v>0</v>
      </c>
      <c r="AD1097" s="200">
        <f t="shared" si="11"/>
        <v>0</v>
      </c>
      <c r="AE1097" s="200">
        <f t="shared" ref="AE1097:AG1097" si="5563">countif($D1097,"*"&amp;AE$2&amp;"*")</f>
        <v>0</v>
      </c>
      <c r="AF1097" s="200">
        <f t="shared" si="5563"/>
        <v>0</v>
      </c>
      <c r="AG1097" s="200">
        <f t="shared" si="5563"/>
        <v>0</v>
      </c>
      <c r="AH1097" s="171">
        <f t="shared" si="13"/>
        <v>0</v>
      </c>
      <c r="AI1097" s="200">
        <f t="shared" si="14"/>
        <v>0</v>
      </c>
      <c r="AJ1097" s="200">
        <f t="shared" si="4907"/>
        <v>0</v>
      </c>
      <c r="AK1097" s="201">
        <f t="shared" ref="AK1097:AS1097" si="5564">countif($D1097,"*"&amp;AK$2&amp;"*")</f>
        <v>0</v>
      </c>
      <c r="AL1097" s="201">
        <f t="shared" si="5564"/>
        <v>0</v>
      </c>
      <c r="AM1097" s="201">
        <f t="shared" si="5564"/>
        <v>0</v>
      </c>
      <c r="AN1097" s="201">
        <f t="shared" si="5564"/>
        <v>0</v>
      </c>
      <c r="AO1097" s="201">
        <f t="shared" si="5564"/>
        <v>0</v>
      </c>
      <c r="AP1097" s="201">
        <f t="shared" si="5564"/>
        <v>0</v>
      </c>
      <c r="AQ1097" s="201">
        <f t="shared" si="5564"/>
        <v>0</v>
      </c>
      <c r="AR1097" s="200">
        <f t="shared" si="5564"/>
        <v>0</v>
      </c>
      <c r="AS1097" s="200">
        <f t="shared" si="5564"/>
        <v>0</v>
      </c>
      <c r="AT1097" s="173">
        <v>0.0</v>
      </c>
      <c r="AU1097" s="200">
        <f t="shared" si="5324"/>
        <v>0</v>
      </c>
      <c r="AV1097" s="200">
        <f t="shared" ref="AV1097:AX1097" si="5565">countif($D1097,"*"&amp;AV$2&amp;"*")</f>
        <v>1</v>
      </c>
      <c r="AW1097" s="200">
        <f t="shared" si="5565"/>
        <v>0</v>
      </c>
      <c r="AX1097" s="200">
        <f t="shared" si="5565"/>
        <v>0</v>
      </c>
      <c r="AY1097" s="202">
        <v>0.0</v>
      </c>
      <c r="AZ1097" s="200"/>
      <c r="BA1097" s="171" t="str">
        <f t="shared" si="18"/>
        <v/>
      </c>
      <c r="BB1097" s="171" t="str">
        <f t="shared" si="19"/>
        <v>Code</v>
      </c>
      <c r="BC1097" s="171" t="str">
        <f t="shared" si="20"/>
        <v/>
      </c>
      <c r="BD1097" s="171" t="str">
        <f t="shared" si="21"/>
        <v/>
      </c>
      <c r="BE1097" s="171" t="str">
        <f t="shared" si="22"/>
        <v/>
      </c>
      <c r="BF1097" s="171" t="str">
        <f t="shared" si="23"/>
        <v>Code</v>
      </c>
    </row>
    <row r="1098">
      <c r="A1098" s="171">
        <f t="array" ref="A1098">XLOOKUP(C1098,ICSE!A:A,ICSE!C:C,,2,1)</f>
        <v>2023</v>
      </c>
      <c r="B1098" s="171" t="s">
        <v>5675</v>
      </c>
      <c r="C1098" s="160">
        <v>2118.0</v>
      </c>
      <c r="D1098" s="161" t="s">
        <v>3060</v>
      </c>
      <c r="E1098" s="197" t="str">
        <f t="array" ref="E1098">XLOOKUP(C1098,ICSE!A:A,ICSE!Z:Z,,0,1)</f>
        <v>Publicly available (1)</v>
      </c>
      <c r="F1098" s="198" t="s">
        <v>20</v>
      </c>
      <c r="G1098" s="163" t="str">
        <f t="array" ref="G1098">IF(B1098="ICSE",IF(COUNTIFS(B:B,B1098,C:C,C1098)=XLOOKUP(C1098,ICSE!A:A,ICSE!AA:AA,"ERROR",0,1),"OK","ERROR"),IF(B1098="FSE",IF(COUNTIFS(B:B,B1098,C:C,C1098)=XLOOKUP(C1098,FSE!A:A,FSE!AA:AA,"ERROR",0,1),"OK","ERROR")))</f>
        <v>OK</v>
      </c>
      <c r="H1098" s="199">
        <f t="shared" ref="H1098:O1098" si="5566">countif($D1098,"*"&amp;H$2&amp;"*")</f>
        <v>0</v>
      </c>
      <c r="I1098" s="200">
        <f t="shared" si="5566"/>
        <v>0</v>
      </c>
      <c r="J1098" s="200">
        <f t="shared" si="5566"/>
        <v>0</v>
      </c>
      <c r="K1098" s="200">
        <f t="shared" si="5566"/>
        <v>0</v>
      </c>
      <c r="L1098" s="200">
        <f t="shared" si="5566"/>
        <v>0</v>
      </c>
      <c r="M1098" s="200">
        <f t="shared" si="5566"/>
        <v>0</v>
      </c>
      <c r="N1098" s="200">
        <f t="shared" si="5566"/>
        <v>0</v>
      </c>
      <c r="O1098" s="200">
        <f t="shared" si="5566"/>
        <v>0</v>
      </c>
      <c r="P1098" s="200">
        <f t="shared" si="9"/>
        <v>1</v>
      </c>
      <c r="Q1098" s="200">
        <f t="shared" ref="Q1098:AC1098" si="5567">countif($D1098,"*"&amp;Q$2&amp;"*")</f>
        <v>0</v>
      </c>
      <c r="R1098" s="200">
        <f t="shared" si="5567"/>
        <v>0</v>
      </c>
      <c r="S1098" s="200">
        <f t="shared" si="5567"/>
        <v>0</v>
      </c>
      <c r="T1098" s="200">
        <f t="shared" si="5567"/>
        <v>0</v>
      </c>
      <c r="U1098" s="200">
        <f t="shared" si="5567"/>
        <v>0</v>
      </c>
      <c r="V1098" s="200">
        <f t="shared" si="5567"/>
        <v>0</v>
      </c>
      <c r="W1098" s="200">
        <f t="shared" si="5567"/>
        <v>0</v>
      </c>
      <c r="X1098" s="200">
        <f t="shared" si="5567"/>
        <v>0</v>
      </c>
      <c r="Y1098" s="200">
        <f t="shared" si="5567"/>
        <v>0</v>
      </c>
      <c r="Z1098" s="200">
        <f t="shared" si="5567"/>
        <v>0</v>
      </c>
      <c r="AA1098" s="200">
        <f t="shared" si="5567"/>
        <v>0</v>
      </c>
      <c r="AB1098" s="200">
        <f t="shared" si="5567"/>
        <v>0</v>
      </c>
      <c r="AC1098" s="200">
        <f t="shared" si="5567"/>
        <v>0</v>
      </c>
      <c r="AD1098" s="200">
        <f t="shared" si="11"/>
        <v>0</v>
      </c>
      <c r="AE1098" s="200">
        <f t="shared" ref="AE1098:AG1098" si="5568">countif($D1098,"*"&amp;AE$2&amp;"*")</f>
        <v>0</v>
      </c>
      <c r="AF1098" s="200">
        <f t="shared" si="5568"/>
        <v>0</v>
      </c>
      <c r="AG1098" s="200">
        <f t="shared" si="5568"/>
        <v>0</v>
      </c>
      <c r="AH1098" s="171">
        <f t="shared" si="13"/>
        <v>0</v>
      </c>
      <c r="AI1098" s="200">
        <f t="shared" si="14"/>
        <v>0</v>
      </c>
      <c r="AJ1098" s="200">
        <f t="shared" si="4907"/>
        <v>0</v>
      </c>
      <c r="AK1098" s="201">
        <f t="shared" ref="AK1098:AS1098" si="5569">countif($D1098,"*"&amp;AK$2&amp;"*")</f>
        <v>0</v>
      </c>
      <c r="AL1098" s="201">
        <f t="shared" si="5569"/>
        <v>0</v>
      </c>
      <c r="AM1098" s="201">
        <f t="shared" si="5569"/>
        <v>0</v>
      </c>
      <c r="AN1098" s="201">
        <f t="shared" si="5569"/>
        <v>0</v>
      </c>
      <c r="AO1098" s="201">
        <f t="shared" si="5569"/>
        <v>0</v>
      </c>
      <c r="AP1098" s="201">
        <f t="shared" si="5569"/>
        <v>0</v>
      </c>
      <c r="AQ1098" s="201">
        <f t="shared" si="5569"/>
        <v>0</v>
      </c>
      <c r="AR1098" s="200">
        <f t="shared" si="5569"/>
        <v>0</v>
      </c>
      <c r="AS1098" s="200">
        <f t="shared" si="5569"/>
        <v>0</v>
      </c>
      <c r="AT1098" s="173">
        <v>0.0</v>
      </c>
      <c r="AU1098" s="200">
        <f t="shared" si="5324"/>
        <v>0</v>
      </c>
      <c r="AV1098" s="200">
        <f t="shared" ref="AV1098:AX1098" si="5570">countif($D1098,"*"&amp;AV$2&amp;"*")</f>
        <v>1</v>
      </c>
      <c r="AW1098" s="200">
        <f t="shared" si="5570"/>
        <v>0</v>
      </c>
      <c r="AX1098" s="200">
        <f t="shared" si="5570"/>
        <v>0</v>
      </c>
      <c r="AY1098" s="202">
        <v>0.0</v>
      </c>
      <c r="AZ1098" s="200"/>
      <c r="BA1098" s="171" t="str">
        <f t="shared" si="18"/>
        <v/>
      </c>
      <c r="BB1098" s="171" t="str">
        <f t="shared" si="19"/>
        <v>Code</v>
      </c>
      <c r="BC1098" s="171" t="str">
        <f t="shared" si="20"/>
        <v/>
      </c>
      <c r="BD1098" s="171" t="str">
        <f t="shared" si="21"/>
        <v/>
      </c>
      <c r="BE1098" s="171" t="str">
        <f t="shared" si="22"/>
        <v/>
      </c>
      <c r="BF1098" s="171" t="str">
        <f t="shared" si="23"/>
        <v>Code</v>
      </c>
    </row>
    <row r="1099">
      <c r="A1099" s="171">
        <f t="array" ref="A1099">XLOOKUP(C1099,ICSE!A:A,ICSE!C:C,,2,1)</f>
        <v>2023</v>
      </c>
      <c r="B1099" s="171" t="s">
        <v>5675</v>
      </c>
      <c r="C1099" s="160">
        <v>2119.0</v>
      </c>
      <c r="D1099" s="161" t="s">
        <v>3063</v>
      </c>
      <c r="E1099" s="197" t="str">
        <f t="array" ref="E1099">XLOOKUP(C1099,ICSE!A:A,ICSE!Z:Z,,0,1)</f>
        <v>Publicly available (1)</v>
      </c>
      <c r="F1099" s="198" t="s">
        <v>20</v>
      </c>
      <c r="G1099" s="163" t="str">
        <f t="array" ref="G1099">IF(B1099="ICSE",IF(COUNTIFS(B:B,B1099,C:C,C1099)=XLOOKUP(C1099,ICSE!A:A,ICSE!AA:AA,"ERROR",0,1),"OK","ERROR"),IF(B1099="FSE",IF(COUNTIFS(B:B,B1099,C:C,C1099)=XLOOKUP(C1099,FSE!A:A,FSE!AA:AA,"ERROR",0,1),"OK","ERROR")))</f>
        <v>OK</v>
      </c>
      <c r="H1099" s="199">
        <f t="shared" ref="H1099:O1099" si="5571">countif($D1099,"*"&amp;H$2&amp;"*")</f>
        <v>0</v>
      </c>
      <c r="I1099" s="200">
        <f t="shared" si="5571"/>
        <v>0</v>
      </c>
      <c r="J1099" s="200">
        <f t="shared" si="5571"/>
        <v>0</v>
      </c>
      <c r="K1099" s="200">
        <f t="shared" si="5571"/>
        <v>0</v>
      </c>
      <c r="L1099" s="200">
        <f t="shared" si="5571"/>
        <v>0</v>
      </c>
      <c r="M1099" s="200">
        <f t="shared" si="5571"/>
        <v>0</v>
      </c>
      <c r="N1099" s="200">
        <f t="shared" si="5571"/>
        <v>0</v>
      </c>
      <c r="O1099" s="200">
        <f t="shared" si="5571"/>
        <v>0</v>
      </c>
      <c r="P1099" s="200">
        <f t="shared" si="9"/>
        <v>1</v>
      </c>
      <c r="Q1099" s="200">
        <f t="shared" ref="Q1099:AC1099" si="5572">countif($D1099,"*"&amp;Q$2&amp;"*")</f>
        <v>0</v>
      </c>
      <c r="R1099" s="200">
        <f t="shared" si="5572"/>
        <v>0</v>
      </c>
      <c r="S1099" s="200">
        <f t="shared" si="5572"/>
        <v>0</v>
      </c>
      <c r="T1099" s="200">
        <f t="shared" si="5572"/>
        <v>0</v>
      </c>
      <c r="U1099" s="200">
        <f t="shared" si="5572"/>
        <v>0</v>
      </c>
      <c r="V1099" s="200">
        <f t="shared" si="5572"/>
        <v>0</v>
      </c>
      <c r="W1099" s="200">
        <f t="shared" si="5572"/>
        <v>0</v>
      </c>
      <c r="X1099" s="200">
        <f t="shared" si="5572"/>
        <v>0</v>
      </c>
      <c r="Y1099" s="200">
        <f t="shared" si="5572"/>
        <v>0</v>
      </c>
      <c r="Z1099" s="200">
        <f t="shared" si="5572"/>
        <v>0</v>
      </c>
      <c r="AA1099" s="200">
        <f t="shared" si="5572"/>
        <v>0</v>
      </c>
      <c r="AB1099" s="200">
        <f t="shared" si="5572"/>
        <v>0</v>
      </c>
      <c r="AC1099" s="200">
        <f t="shared" si="5572"/>
        <v>0</v>
      </c>
      <c r="AD1099" s="200">
        <f t="shared" si="11"/>
        <v>0</v>
      </c>
      <c r="AE1099" s="200">
        <f t="shared" ref="AE1099:AG1099" si="5573">countif($D1099,"*"&amp;AE$2&amp;"*")</f>
        <v>0</v>
      </c>
      <c r="AF1099" s="200">
        <f t="shared" si="5573"/>
        <v>0</v>
      </c>
      <c r="AG1099" s="200">
        <f t="shared" si="5573"/>
        <v>0</v>
      </c>
      <c r="AH1099" s="171">
        <f t="shared" si="13"/>
        <v>0</v>
      </c>
      <c r="AI1099" s="200">
        <f t="shared" si="14"/>
        <v>0</v>
      </c>
      <c r="AJ1099" s="200">
        <f t="shared" si="4907"/>
        <v>0</v>
      </c>
      <c r="AK1099" s="201">
        <f t="shared" ref="AK1099:AS1099" si="5574">countif($D1099,"*"&amp;AK$2&amp;"*")</f>
        <v>0</v>
      </c>
      <c r="AL1099" s="201">
        <f t="shared" si="5574"/>
        <v>0</v>
      </c>
      <c r="AM1099" s="201">
        <f t="shared" si="5574"/>
        <v>0</v>
      </c>
      <c r="AN1099" s="201">
        <f t="shared" si="5574"/>
        <v>0</v>
      </c>
      <c r="AO1099" s="201">
        <f t="shared" si="5574"/>
        <v>0</v>
      </c>
      <c r="AP1099" s="201">
        <f t="shared" si="5574"/>
        <v>0</v>
      </c>
      <c r="AQ1099" s="201">
        <f t="shared" si="5574"/>
        <v>0</v>
      </c>
      <c r="AR1099" s="200">
        <f t="shared" si="5574"/>
        <v>0</v>
      </c>
      <c r="AS1099" s="200">
        <f t="shared" si="5574"/>
        <v>0</v>
      </c>
      <c r="AT1099" s="173">
        <v>0.0</v>
      </c>
      <c r="AU1099" s="200">
        <f t="shared" si="5324"/>
        <v>0</v>
      </c>
      <c r="AV1099" s="200">
        <f t="shared" ref="AV1099:AX1099" si="5575">countif($D1099,"*"&amp;AV$2&amp;"*")</f>
        <v>1</v>
      </c>
      <c r="AW1099" s="200">
        <f t="shared" si="5575"/>
        <v>0</v>
      </c>
      <c r="AX1099" s="200">
        <f t="shared" si="5575"/>
        <v>0</v>
      </c>
      <c r="AY1099" s="202">
        <v>0.0</v>
      </c>
      <c r="AZ1099" s="200"/>
      <c r="BA1099" s="171" t="str">
        <f t="shared" si="18"/>
        <v/>
      </c>
      <c r="BB1099" s="171" t="str">
        <f t="shared" si="19"/>
        <v>Code</v>
      </c>
      <c r="BC1099" s="171" t="str">
        <f t="shared" si="20"/>
        <v/>
      </c>
      <c r="BD1099" s="171" t="str">
        <f t="shared" si="21"/>
        <v/>
      </c>
      <c r="BE1099" s="171" t="str">
        <f t="shared" si="22"/>
        <v/>
      </c>
      <c r="BF1099" s="171" t="str">
        <f t="shared" si="23"/>
        <v>Code</v>
      </c>
    </row>
    <row r="1100">
      <c r="A1100" s="171">
        <f t="array" ref="A1100">XLOOKUP(C1100,ICSE!A:A,ICSE!C:C,,2,1)</f>
        <v>2023</v>
      </c>
      <c r="B1100" s="171" t="s">
        <v>5675</v>
      </c>
      <c r="C1100" s="160">
        <v>2120.0</v>
      </c>
      <c r="D1100" s="161" t="s">
        <v>3066</v>
      </c>
      <c r="E1100" s="197" t="str">
        <f t="array" ref="E1100">XLOOKUP(C1100,ICSE!A:A,ICSE!Z:Z,,0,1)</f>
        <v>Publicly available (1)</v>
      </c>
      <c r="F1100" s="198" t="s">
        <v>20</v>
      </c>
      <c r="G1100" s="163" t="str">
        <f t="array" ref="G1100">IF(B1100="ICSE",IF(COUNTIFS(B:B,B1100,C:C,C1100)=XLOOKUP(C1100,ICSE!A:A,ICSE!AA:AA,"ERROR",0,1),"OK","ERROR"),IF(B1100="FSE",IF(COUNTIFS(B:B,B1100,C:C,C1100)=XLOOKUP(C1100,FSE!A:A,FSE!AA:AA,"ERROR",0,1),"OK","ERROR")))</f>
        <v>OK</v>
      </c>
      <c r="H1100" s="199">
        <f t="shared" ref="H1100:O1100" si="5576">countif($D1100,"*"&amp;H$2&amp;"*")</f>
        <v>1</v>
      </c>
      <c r="I1100" s="200">
        <f t="shared" si="5576"/>
        <v>0</v>
      </c>
      <c r="J1100" s="200">
        <f t="shared" si="5576"/>
        <v>0</v>
      </c>
      <c r="K1100" s="200">
        <f t="shared" si="5576"/>
        <v>0</v>
      </c>
      <c r="L1100" s="200">
        <f t="shared" si="5576"/>
        <v>0</v>
      </c>
      <c r="M1100" s="200">
        <f t="shared" si="5576"/>
        <v>0</v>
      </c>
      <c r="N1100" s="200">
        <f t="shared" si="5576"/>
        <v>0</v>
      </c>
      <c r="O1100" s="200">
        <f t="shared" si="5576"/>
        <v>0</v>
      </c>
      <c r="P1100" s="200">
        <f t="shared" si="9"/>
        <v>0</v>
      </c>
      <c r="Q1100" s="200">
        <f t="shared" ref="Q1100:AC1100" si="5577">countif($D1100,"*"&amp;Q$2&amp;"*")</f>
        <v>0</v>
      </c>
      <c r="R1100" s="200">
        <f t="shared" si="5577"/>
        <v>0</v>
      </c>
      <c r="S1100" s="200">
        <f t="shared" si="5577"/>
        <v>0</v>
      </c>
      <c r="T1100" s="200">
        <f t="shared" si="5577"/>
        <v>0</v>
      </c>
      <c r="U1100" s="200">
        <f t="shared" si="5577"/>
        <v>0</v>
      </c>
      <c r="V1100" s="200">
        <f t="shared" si="5577"/>
        <v>0</v>
      </c>
      <c r="W1100" s="200">
        <f t="shared" si="5577"/>
        <v>0</v>
      </c>
      <c r="X1100" s="200">
        <f t="shared" si="5577"/>
        <v>0</v>
      </c>
      <c r="Y1100" s="200">
        <f t="shared" si="5577"/>
        <v>0</v>
      </c>
      <c r="Z1100" s="200">
        <f t="shared" si="5577"/>
        <v>0</v>
      </c>
      <c r="AA1100" s="200">
        <f t="shared" si="5577"/>
        <v>0</v>
      </c>
      <c r="AB1100" s="200">
        <f t="shared" si="5577"/>
        <v>0</v>
      </c>
      <c r="AC1100" s="200">
        <f t="shared" si="5577"/>
        <v>0</v>
      </c>
      <c r="AD1100" s="200">
        <f t="shared" si="11"/>
        <v>0</v>
      </c>
      <c r="AE1100" s="200">
        <f t="shared" ref="AE1100:AG1100" si="5578">countif($D1100,"*"&amp;AE$2&amp;"*")</f>
        <v>0</v>
      </c>
      <c r="AF1100" s="200">
        <f t="shared" si="5578"/>
        <v>0</v>
      </c>
      <c r="AG1100" s="200">
        <f t="shared" si="5578"/>
        <v>0</v>
      </c>
      <c r="AH1100" s="171">
        <f t="shared" si="13"/>
        <v>0</v>
      </c>
      <c r="AI1100" s="200">
        <f t="shared" si="14"/>
        <v>1</v>
      </c>
      <c r="AJ1100" s="200">
        <f t="shared" si="4907"/>
        <v>0</v>
      </c>
      <c r="AK1100" s="201">
        <f t="shared" ref="AK1100:AS1100" si="5579">countif($D1100,"*"&amp;AK$2&amp;"*")</f>
        <v>0</v>
      </c>
      <c r="AL1100" s="201">
        <f t="shared" si="5579"/>
        <v>0</v>
      </c>
      <c r="AM1100" s="201">
        <f t="shared" si="5579"/>
        <v>0</v>
      </c>
      <c r="AN1100" s="201">
        <f t="shared" si="5579"/>
        <v>0</v>
      </c>
      <c r="AO1100" s="201">
        <f t="shared" si="5579"/>
        <v>0</v>
      </c>
      <c r="AP1100" s="201">
        <f t="shared" si="5579"/>
        <v>0</v>
      </c>
      <c r="AQ1100" s="201">
        <f t="shared" si="5579"/>
        <v>0</v>
      </c>
      <c r="AR1100" s="200">
        <f t="shared" si="5579"/>
        <v>0</v>
      </c>
      <c r="AS1100" s="200">
        <f t="shared" si="5579"/>
        <v>0</v>
      </c>
      <c r="AT1100" s="173">
        <v>0.0</v>
      </c>
      <c r="AU1100" s="200">
        <f t="shared" si="5324"/>
        <v>0</v>
      </c>
      <c r="AV1100" s="200">
        <f t="shared" ref="AV1100:AX1100" si="5580">countif($D1100,"*"&amp;AV$2&amp;"*")</f>
        <v>0</v>
      </c>
      <c r="AW1100" s="200">
        <f t="shared" si="5580"/>
        <v>0</v>
      </c>
      <c r="AX1100" s="200">
        <f t="shared" si="5580"/>
        <v>1</v>
      </c>
      <c r="AY1100" s="202">
        <v>0.0</v>
      </c>
      <c r="AZ1100" s="200"/>
      <c r="BA1100" s="171" t="str">
        <f t="shared" si="18"/>
        <v>Archival</v>
      </c>
      <c r="BB1100" s="171" t="str">
        <f t="shared" si="19"/>
        <v/>
      </c>
      <c r="BC1100" s="171" t="str">
        <f t="shared" si="20"/>
        <v/>
      </c>
      <c r="BD1100" s="171" t="str">
        <f t="shared" si="21"/>
        <v/>
      </c>
      <c r="BE1100" s="171" t="str">
        <f t="shared" si="22"/>
        <v/>
      </c>
      <c r="BF1100" s="171" t="str">
        <f t="shared" si="23"/>
        <v>Archival</v>
      </c>
    </row>
    <row r="1101">
      <c r="A1101" s="171">
        <f t="array" ref="A1101">XLOOKUP(C1101,ICSE!A:A,ICSE!C:C,,2,1)</f>
        <v>2023</v>
      </c>
      <c r="B1101" s="171" t="s">
        <v>5675</v>
      </c>
      <c r="C1101" s="160">
        <v>2121.0</v>
      </c>
      <c r="D1101" s="161" t="s">
        <v>6128</v>
      </c>
      <c r="E1101" s="197" t="str">
        <f t="array" ref="E1101">XLOOKUP(C1101,ICSE!A:A,ICSE!Z:Z,,0,1)</f>
        <v>Publicly available (1)</v>
      </c>
      <c r="F1101" s="198" t="s">
        <v>20</v>
      </c>
      <c r="G1101" s="163" t="str">
        <f t="array" ref="G1101">IF(B1101="ICSE",IF(COUNTIFS(B:B,B1101,C:C,C1101)=XLOOKUP(C1101,ICSE!A:A,ICSE!AA:AA,"ERROR",0,1),"OK","ERROR"),IF(B1101="FSE",IF(COUNTIFS(B:B,B1101,C:C,C1101)=XLOOKUP(C1101,FSE!A:A,FSE!AA:AA,"ERROR",0,1),"OK","ERROR")))</f>
        <v>OK</v>
      </c>
      <c r="H1101" s="199">
        <f t="shared" ref="H1101:O1101" si="5581">countif($D1101,"*"&amp;H$2&amp;"*")</f>
        <v>0</v>
      </c>
      <c r="I1101" s="200">
        <f t="shared" si="5581"/>
        <v>0</v>
      </c>
      <c r="J1101" s="200">
        <f t="shared" si="5581"/>
        <v>0</v>
      </c>
      <c r="K1101" s="200">
        <f t="shared" si="5581"/>
        <v>0</v>
      </c>
      <c r="L1101" s="200">
        <f t="shared" si="5581"/>
        <v>0</v>
      </c>
      <c r="M1101" s="200">
        <f t="shared" si="5581"/>
        <v>0</v>
      </c>
      <c r="N1101" s="200">
        <f t="shared" si="5581"/>
        <v>0</v>
      </c>
      <c r="O1101" s="200">
        <f t="shared" si="5581"/>
        <v>0</v>
      </c>
      <c r="P1101" s="200">
        <f t="shared" si="9"/>
        <v>0</v>
      </c>
      <c r="Q1101" s="200">
        <f t="shared" ref="Q1101:AC1101" si="5582">countif($D1101,"*"&amp;Q$2&amp;"*")</f>
        <v>0</v>
      </c>
      <c r="R1101" s="200">
        <f t="shared" si="5582"/>
        <v>0</v>
      </c>
      <c r="S1101" s="200">
        <f t="shared" si="5582"/>
        <v>0</v>
      </c>
      <c r="T1101" s="200">
        <f t="shared" si="5582"/>
        <v>0</v>
      </c>
      <c r="U1101" s="200">
        <f t="shared" si="5582"/>
        <v>0</v>
      </c>
      <c r="V1101" s="200">
        <f t="shared" si="5582"/>
        <v>0</v>
      </c>
      <c r="W1101" s="200">
        <f t="shared" si="5582"/>
        <v>0</v>
      </c>
      <c r="X1101" s="200">
        <f t="shared" si="5582"/>
        <v>0</v>
      </c>
      <c r="Y1101" s="200">
        <f t="shared" si="5582"/>
        <v>0</v>
      </c>
      <c r="Z1101" s="200">
        <f t="shared" si="5582"/>
        <v>0</v>
      </c>
      <c r="AA1101" s="200">
        <f t="shared" si="5582"/>
        <v>0</v>
      </c>
      <c r="AB1101" s="200">
        <f t="shared" si="5582"/>
        <v>0</v>
      </c>
      <c r="AC1101" s="200">
        <f t="shared" si="5582"/>
        <v>0</v>
      </c>
      <c r="AD1101" s="200">
        <f t="shared" si="11"/>
        <v>1</v>
      </c>
      <c r="AE1101" s="200">
        <f t="shared" ref="AE1101:AG1101" si="5583">countif($D1101,"*"&amp;AE$2&amp;"*")</f>
        <v>0</v>
      </c>
      <c r="AF1101" s="200">
        <f t="shared" si="5583"/>
        <v>0</v>
      </c>
      <c r="AG1101" s="200">
        <f t="shared" si="5583"/>
        <v>0</v>
      </c>
      <c r="AH1101" s="171">
        <f t="shared" si="13"/>
        <v>0</v>
      </c>
      <c r="AI1101" s="200">
        <f t="shared" si="14"/>
        <v>1</v>
      </c>
      <c r="AJ1101" s="200">
        <f>SUM(AK1101:AQ1101)</f>
        <v>0</v>
      </c>
      <c r="AK1101" s="201">
        <f t="shared" ref="AK1101:AS1101" si="5584">countif($D1101,"*"&amp;AK$2&amp;"*")</f>
        <v>0</v>
      </c>
      <c r="AL1101" s="201">
        <f t="shared" si="5584"/>
        <v>0</v>
      </c>
      <c r="AM1101" s="201">
        <f t="shared" si="5584"/>
        <v>0</v>
      </c>
      <c r="AN1101" s="201">
        <f t="shared" si="5584"/>
        <v>0</v>
      </c>
      <c r="AO1101" s="201">
        <f t="shared" si="5584"/>
        <v>0</v>
      </c>
      <c r="AP1101" s="201">
        <f t="shared" si="5584"/>
        <v>0</v>
      </c>
      <c r="AQ1101" s="201">
        <f t="shared" si="5584"/>
        <v>0</v>
      </c>
      <c r="AR1101" s="201">
        <f t="shared" si="5584"/>
        <v>0</v>
      </c>
      <c r="AS1101" s="200">
        <f t="shared" si="5584"/>
        <v>1</v>
      </c>
      <c r="AT1101" s="205">
        <v>0.0</v>
      </c>
      <c r="AU1101" s="200">
        <f t="shared" si="5324"/>
        <v>1</v>
      </c>
      <c r="AV1101" s="200">
        <f t="shared" ref="AV1101:AX1101" si="5585">countif($D1101,"*"&amp;AV$2&amp;"*")</f>
        <v>0</v>
      </c>
      <c r="AW1101" s="200">
        <f t="shared" si="5585"/>
        <v>0</v>
      </c>
      <c r="AX1101" s="200">
        <f t="shared" si="5585"/>
        <v>1</v>
      </c>
      <c r="AY1101" s="202">
        <v>0.0</v>
      </c>
      <c r="AZ1101" s="200"/>
      <c r="BA1101" s="171" t="str">
        <f t="shared" si="18"/>
        <v/>
      </c>
      <c r="BB1101" s="171" t="str">
        <f t="shared" si="19"/>
        <v/>
      </c>
      <c r="BC1101" s="171" t="str">
        <f t="shared" si="20"/>
        <v/>
      </c>
      <c r="BD1101" s="171" t="str">
        <f t="shared" si="21"/>
        <v>Institutional</v>
      </c>
      <c r="BE1101" s="171" t="str">
        <f t="shared" si="22"/>
        <v/>
      </c>
      <c r="BF1101" s="171" t="str">
        <f t="shared" si="23"/>
        <v>Institutional</v>
      </c>
    </row>
    <row r="1102">
      <c r="A1102" s="171">
        <f t="array" ref="A1102">XLOOKUP(C1102,ICSE!A:A,ICSE!C:C,,2,1)</f>
        <v>2023</v>
      </c>
      <c r="B1102" s="171" t="s">
        <v>5675</v>
      </c>
      <c r="C1102" s="160">
        <v>2122.0</v>
      </c>
      <c r="D1102" s="161" t="s">
        <v>3073</v>
      </c>
      <c r="E1102" s="197" t="str">
        <f t="array" ref="E1102">XLOOKUP(C1102,ICSE!A:A,ICSE!Z:Z,,0,1)</f>
        <v>Publicly available (1)</v>
      </c>
      <c r="F1102" s="198" t="s">
        <v>20</v>
      </c>
      <c r="G1102" s="163" t="str">
        <f t="array" ref="G1102">IF(B1102="ICSE",IF(COUNTIFS(B:B,B1102,C:C,C1102)=XLOOKUP(C1102,ICSE!A:A,ICSE!AA:AA,"ERROR",0,1),"OK","ERROR"),IF(B1102="FSE",IF(COUNTIFS(B:B,B1102,C:C,C1102)=XLOOKUP(C1102,FSE!A:A,FSE!AA:AA,"ERROR",0,1),"OK","ERROR")))</f>
        <v>OK</v>
      </c>
      <c r="H1102" s="199">
        <f t="shared" ref="H1102:O1102" si="5586">countif($D1102,"*"&amp;H$2&amp;"*")</f>
        <v>0</v>
      </c>
      <c r="I1102" s="200">
        <f t="shared" si="5586"/>
        <v>0</v>
      </c>
      <c r="J1102" s="200">
        <f t="shared" si="5586"/>
        <v>0</v>
      </c>
      <c r="K1102" s="200">
        <f t="shared" si="5586"/>
        <v>0</v>
      </c>
      <c r="L1102" s="200">
        <f t="shared" si="5586"/>
        <v>0</v>
      </c>
      <c r="M1102" s="200">
        <f t="shared" si="5586"/>
        <v>0</v>
      </c>
      <c r="N1102" s="200">
        <f t="shared" si="5586"/>
        <v>0</v>
      </c>
      <c r="O1102" s="200">
        <f t="shared" si="5586"/>
        <v>0</v>
      </c>
      <c r="P1102" s="200">
        <f t="shared" si="9"/>
        <v>0</v>
      </c>
      <c r="Q1102" s="200">
        <f t="shared" ref="Q1102:AC1102" si="5587">countif($D1102,"*"&amp;Q$2&amp;"*")</f>
        <v>0</v>
      </c>
      <c r="R1102" s="200">
        <f t="shared" si="5587"/>
        <v>0</v>
      </c>
      <c r="S1102" s="200">
        <f t="shared" si="5587"/>
        <v>0</v>
      </c>
      <c r="T1102" s="200">
        <f t="shared" si="5587"/>
        <v>0</v>
      </c>
      <c r="U1102" s="200">
        <f t="shared" si="5587"/>
        <v>0</v>
      </c>
      <c r="V1102" s="200">
        <f t="shared" si="5587"/>
        <v>0</v>
      </c>
      <c r="W1102" s="200">
        <f t="shared" si="5587"/>
        <v>0</v>
      </c>
      <c r="X1102" s="200">
        <f t="shared" si="5587"/>
        <v>0</v>
      </c>
      <c r="Y1102" s="200">
        <f t="shared" si="5587"/>
        <v>0</v>
      </c>
      <c r="Z1102" s="200">
        <f t="shared" si="5587"/>
        <v>0</v>
      </c>
      <c r="AA1102" s="200">
        <f t="shared" si="5587"/>
        <v>1</v>
      </c>
      <c r="AB1102" s="200">
        <f t="shared" si="5587"/>
        <v>0</v>
      </c>
      <c r="AC1102" s="200">
        <f t="shared" si="5587"/>
        <v>0</v>
      </c>
      <c r="AD1102" s="200">
        <f t="shared" si="11"/>
        <v>0</v>
      </c>
      <c r="AE1102" s="200">
        <f t="shared" ref="AE1102:AG1102" si="5588">countif($D1102,"*"&amp;AE$2&amp;"*")</f>
        <v>0</v>
      </c>
      <c r="AF1102" s="200">
        <f t="shared" si="5588"/>
        <v>0</v>
      </c>
      <c r="AG1102" s="200">
        <f t="shared" si="5588"/>
        <v>0</v>
      </c>
      <c r="AH1102" s="171">
        <f t="shared" si="13"/>
        <v>0</v>
      </c>
      <c r="AI1102" s="200">
        <f t="shared" si="14"/>
        <v>0</v>
      </c>
      <c r="AJ1102" s="200">
        <f t="shared" ref="AJ1102:AJ1201" si="5594">SUM(AK1102:AR1102)</f>
        <v>0</v>
      </c>
      <c r="AK1102" s="201">
        <f t="shared" ref="AK1102:AS1102" si="5589">countif($D1102,"*"&amp;AK$2&amp;"*")</f>
        <v>0</v>
      </c>
      <c r="AL1102" s="201">
        <f t="shared" si="5589"/>
        <v>0</v>
      </c>
      <c r="AM1102" s="201">
        <f t="shared" si="5589"/>
        <v>0</v>
      </c>
      <c r="AN1102" s="201">
        <f t="shared" si="5589"/>
        <v>0</v>
      </c>
      <c r="AO1102" s="201">
        <f t="shared" si="5589"/>
        <v>0</v>
      </c>
      <c r="AP1102" s="201">
        <f t="shared" si="5589"/>
        <v>0</v>
      </c>
      <c r="AQ1102" s="201">
        <f t="shared" si="5589"/>
        <v>0</v>
      </c>
      <c r="AR1102" s="200">
        <f t="shared" si="5589"/>
        <v>0</v>
      </c>
      <c r="AS1102" s="200">
        <f t="shared" si="5589"/>
        <v>0</v>
      </c>
      <c r="AT1102" s="173">
        <v>0.0</v>
      </c>
      <c r="AU1102" s="200">
        <f t="shared" si="5324"/>
        <v>0</v>
      </c>
      <c r="AV1102" s="200">
        <f t="shared" ref="AV1102:AX1102" si="5590">countif($D1102,"*"&amp;AV$2&amp;"*")</f>
        <v>0</v>
      </c>
      <c r="AW1102" s="200">
        <f t="shared" si="5590"/>
        <v>0</v>
      </c>
      <c r="AX1102" s="200">
        <f t="shared" si="5590"/>
        <v>0</v>
      </c>
      <c r="AY1102" s="202">
        <v>0.0</v>
      </c>
      <c r="AZ1102" s="200"/>
      <c r="BA1102" s="171" t="str">
        <f t="shared" si="18"/>
        <v/>
      </c>
      <c r="BB1102" s="171" t="str">
        <f t="shared" si="19"/>
        <v/>
      </c>
      <c r="BC1102" s="171" t="str">
        <f t="shared" si="20"/>
        <v>General-purpose</v>
      </c>
      <c r="BD1102" s="171" t="str">
        <f t="shared" si="21"/>
        <v/>
      </c>
      <c r="BE1102" s="171" t="str">
        <f t="shared" si="22"/>
        <v/>
      </c>
      <c r="BF1102" s="171" t="str">
        <f t="shared" si="23"/>
        <v>General-purpose</v>
      </c>
    </row>
    <row r="1103">
      <c r="A1103" s="171">
        <f t="array" ref="A1103">XLOOKUP(C1103,ICSE!A:A,ICSE!C:C,,2,1)</f>
        <v>2023</v>
      </c>
      <c r="B1103" s="171" t="s">
        <v>5675</v>
      </c>
      <c r="C1103" s="160">
        <v>2123.0</v>
      </c>
      <c r="D1103" s="161" t="s">
        <v>3076</v>
      </c>
      <c r="E1103" s="197" t="str">
        <f t="array" ref="E1103">XLOOKUP(C1103,ICSE!A:A,ICSE!Z:Z,,0,1)</f>
        <v>Publicly available (1)</v>
      </c>
      <c r="F1103" s="198" t="s">
        <v>20</v>
      </c>
      <c r="G1103" s="163" t="str">
        <f t="array" ref="G1103">IF(B1103="ICSE",IF(COUNTIFS(B:B,B1103,C:C,C1103)=XLOOKUP(C1103,ICSE!A:A,ICSE!AA:AA,"ERROR",0,1),"OK","ERROR"),IF(B1103="FSE",IF(COUNTIFS(B:B,B1103,C:C,C1103)=XLOOKUP(C1103,FSE!A:A,FSE!AA:AA,"ERROR",0,1),"OK","ERROR")))</f>
        <v>OK</v>
      </c>
      <c r="H1103" s="199">
        <f t="shared" ref="H1103:O1103" si="5591">countif($D1103,"*"&amp;H$2&amp;"*")</f>
        <v>0</v>
      </c>
      <c r="I1103" s="200">
        <f t="shared" si="5591"/>
        <v>0</v>
      </c>
      <c r="J1103" s="200">
        <f t="shared" si="5591"/>
        <v>0</v>
      </c>
      <c r="K1103" s="200">
        <f t="shared" si="5591"/>
        <v>0</v>
      </c>
      <c r="L1103" s="200">
        <f t="shared" si="5591"/>
        <v>0</v>
      </c>
      <c r="M1103" s="200">
        <f t="shared" si="5591"/>
        <v>0</v>
      </c>
      <c r="N1103" s="200">
        <f t="shared" si="5591"/>
        <v>0</v>
      </c>
      <c r="O1103" s="200">
        <f t="shared" si="5591"/>
        <v>0</v>
      </c>
      <c r="P1103" s="200">
        <f t="shared" si="9"/>
        <v>1</v>
      </c>
      <c r="Q1103" s="200">
        <f t="shared" ref="Q1103:AC1103" si="5592">countif($D1103,"*"&amp;Q$2&amp;"*")</f>
        <v>0</v>
      </c>
      <c r="R1103" s="200">
        <f t="shared" si="5592"/>
        <v>0</v>
      </c>
      <c r="S1103" s="200">
        <f t="shared" si="5592"/>
        <v>0</v>
      </c>
      <c r="T1103" s="200">
        <f t="shared" si="5592"/>
        <v>0</v>
      </c>
      <c r="U1103" s="200">
        <f t="shared" si="5592"/>
        <v>0</v>
      </c>
      <c r="V1103" s="200">
        <f t="shared" si="5592"/>
        <v>0</v>
      </c>
      <c r="W1103" s="200">
        <f t="shared" si="5592"/>
        <v>0</v>
      </c>
      <c r="X1103" s="200">
        <f t="shared" si="5592"/>
        <v>0</v>
      </c>
      <c r="Y1103" s="200">
        <f t="shared" si="5592"/>
        <v>0</v>
      </c>
      <c r="Z1103" s="200">
        <f t="shared" si="5592"/>
        <v>0</v>
      </c>
      <c r="AA1103" s="200">
        <f t="shared" si="5592"/>
        <v>0</v>
      </c>
      <c r="AB1103" s="200">
        <f t="shared" si="5592"/>
        <v>0</v>
      </c>
      <c r="AC1103" s="200">
        <f t="shared" si="5592"/>
        <v>0</v>
      </c>
      <c r="AD1103" s="200">
        <f t="shared" si="11"/>
        <v>0</v>
      </c>
      <c r="AE1103" s="200">
        <f t="shared" ref="AE1103:AG1103" si="5593">countif($D1103,"*"&amp;AE$2&amp;"*")</f>
        <v>0</v>
      </c>
      <c r="AF1103" s="200">
        <f t="shared" si="5593"/>
        <v>0</v>
      </c>
      <c r="AG1103" s="200">
        <f t="shared" si="5593"/>
        <v>0</v>
      </c>
      <c r="AH1103" s="171">
        <f t="shared" si="13"/>
        <v>0</v>
      </c>
      <c r="AI1103" s="200">
        <f t="shared" si="14"/>
        <v>0</v>
      </c>
      <c r="AJ1103" s="200">
        <f t="shared" si="5594"/>
        <v>0</v>
      </c>
      <c r="AK1103" s="201">
        <f t="shared" ref="AK1103:AS1103" si="5595">countif($D1103,"*"&amp;AK$2&amp;"*")</f>
        <v>0</v>
      </c>
      <c r="AL1103" s="201">
        <f t="shared" si="5595"/>
        <v>0</v>
      </c>
      <c r="AM1103" s="201">
        <f t="shared" si="5595"/>
        <v>0</v>
      </c>
      <c r="AN1103" s="201">
        <f t="shared" si="5595"/>
        <v>0</v>
      </c>
      <c r="AO1103" s="201">
        <f t="shared" si="5595"/>
        <v>0</v>
      </c>
      <c r="AP1103" s="201">
        <f t="shared" si="5595"/>
        <v>0</v>
      </c>
      <c r="AQ1103" s="201">
        <f t="shared" si="5595"/>
        <v>0</v>
      </c>
      <c r="AR1103" s="200">
        <f t="shared" si="5595"/>
        <v>0</v>
      </c>
      <c r="AS1103" s="200">
        <f t="shared" si="5595"/>
        <v>0</v>
      </c>
      <c r="AT1103" s="173">
        <v>0.0</v>
      </c>
      <c r="AU1103" s="200">
        <f t="shared" si="5324"/>
        <v>0</v>
      </c>
      <c r="AV1103" s="200">
        <f t="shared" ref="AV1103:AX1103" si="5596">countif($D1103,"*"&amp;AV$2&amp;"*")</f>
        <v>1</v>
      </c>
      <c r="AW1103" s="200">
        <f t="shared" si="5596"/>
        <v>0</v>
      </c>
      <c r="AX1103" s="200">
        <f t="shared" si="5596"/>
        <v>0</v>
      </c>
      <c r="AY1103" s="202">
        <v>0.0</v>
      </c>
      <c r="AZ1103" s="200"/>
      <c r="BA1103" s="171" t="str">
        <f t="shared" si="18"/>
        <v/>
      </c>
      <c r="BB1103" s="171" t="str">
        <f t="shared" si="19"/>
        <v>Code</v>
      </c>
      <c r="BC1103" s="171" t="str">
        <f t="shared" si="20"/>
        <v/>
      </c>
      <c r="BD1103" s="171" t="str">
        <f t="shared" si="21"/>
        <v/>
      </c>
      <c r="BE1103" s="171" t="str">
        <f t="shared" si="22"/>
        <v/>
      </c>
      <c r="BF1103" s="171" t="str">
        <f t="shared" si="23"/>
        <v>Code</v>
      </c>
    </row>
    <row r="1104">
      <c r="A1104" s="171">
        <f t="array" ref="A1104">XLOOKUP(C1104,ICSE!A:A,ICSE!C:C,,2,1)</f>
        <v>2023</v>
      </c>
      <c r="B1104" s="171" t="s">
        <v>5675</v>
      </c>
      <c r="C1104" s="160">
        <v>2124.0</v>
      </c>
      <c r="D1104" s="161" t="s">
        <v>3078</v>
      </c>
      <c r="E1104" s="197" t="str">
        <f t="array" ref="E1104">XLOOKUP(C1104,ICSE!A:A,ICSE!Z:Z,,0,1)</f>
        <v>Publicly available (1)</v>
      </c>
      <c r="F1104" s="198" t="s">
        <v>20</v>
      </c>
      <c r="G1104" s="163" t="str">
        <f t="array" ref="G1104">IF(B1104="ICSE",IF(COUNTIFS(B:B,B1104,C:C,C1104)=XLOOKUP(C1104,ICSE!A:A,ICSE!AA:AA,"ERROR",0,1),"OK","ERROR"),IF(B1104="FSE",IF(COUNTIFS(B:B,B1104,C:C,C1104)=XLOOKUP(C1104,FSE!A:A,FSE!AA:AA,"ERROR",0,1),"OK","ERROR")))</f>
        <v>OK</v>
      </c>
      <c r="H1104" s="199">
        <f t="shared" ref="H1104:O1104" si="5597">countif($D1104,"*"&amp;H$2&amp;"*")</f>
        <v>0</v>
      </c>
      <c r="I1104" s="200">
        <f t="shared" si="5597"/>
        <v>0</v>
      </c>
      <c r="J1104" s="200">
        <f t="shared" si="5597"/>
        <v>0</v>
      </c>
      <c r="K1104" s="200">
        <f t="shared" si="5597"/>
        <v>0</v>
      </c>
      <c r="L1104" s="200">
        <f t="shared" si="5597"/>
        <v>0</v>
      </c>
      <c r="M1104" s="200">
        <f t="shared" si="5597"/>
        <v>0</v>
      </c>
      <c r="N1104" s="200">
        <f t="shared" si="5597"/>
        <v>0</v>
      </c>
      <c r="O1104" s="200">
        <f t="shared" si="5597"/>
        <v>0</v>
      </c>
      <c r="P1104" s="200">
        <f t="shared" si="9"/>
        <v>1</v>
      </c>
      <c r="Q1104" s="200">
        <f t="shared" ref="Q1104:AC1104" si="5598">countif($D1104,"*"&amp;Q$2&amp;"*")</f>
        <v>0</v>
      </c>
      <c r="R1104" s="200">
        <f t="shared" si="5598"/>
        <v>0</v>
      </c>
      <c r="S1104" s="200">
        <f t="shared" si="5598"/>
        <v>0</v>
      </c>
      <c r="T1104" s="200">
        <f t="shared" si="5598"/>
        <v>0</v>
      </c>
      <c r="U1104" s="200">
        <f t="shared" si="5598"/>
        <v>0</v>
      </c>
      <c r="V1104" s="200">
        <f t="shared" si="5598"/>
        <v>0</v>
      </c>
      <c r="W1104" s="200">
        <f t="shared" si="5598"/>
        <v>0</v>
      </c>
      <c r="X1104" s="200">
        <f t="shared" si="5598"/>
        <v>0</v>
      </c>
      <c r="Y1104" s="200">
        <f t="shared" si="5598"/>
        <v>0</v>
      </c>
      <c r="Z1104" s="200">
        <f t="shared" si="5598"/>
        <v>0</v>
      </c>
      <c r="AA1104" s="200">
        <f t="shared" si="5598"/>
        <v>0</v>
      </c>
      <c r="AB1104" s="200">
        <f t="shared" si="5598"/>
        <v>0</v>
      </c>
      <c r="AC1104" s="200">
        <f t="shared" si="5598"/>
        <v>0</v>
      </c>
      <c r="AD1104" s="200">
        <f t="shared" si="11"/>
        <v>0</v>
      </c>
      <c r="AE1104" s="200">
        <f t="shared" ref="AE1104:AG1104" si="5599">countif($D1104,"*"&amp;AE$2&amp;"*")</f>
        <v>0</v>
      </c>
      <c r="AF1104" s="200">
        <f t="shared" si="5599"/>
        <v>0</v>
      </c>
      <c r="AG1104" s="200">
        <f t="shared" si="5599"/>
        <v>0</v>
      </c>
      <c r="AH1104" s="171">
        <f t="shared" si="13"/>
        <v>0</v>
      </c>
      <c r="AI1104" s="200">
        <f t="shared" si="14"/>
        <v>0</v>
      </c>
      <c r="AJ1104" s="200">
        <f t="shared" si="5594"/>
        <v>0</v>
      </c>
      <c r="AK1104" s="201">
        <f t="shared" ref="AK1104:AS1104" si="5600">countif($D1104,"*"&amp;AK$2&amp;"*")</f>
        <v>0</v>
      </c>
      <c r="AL1104" s="201">
        <f t="shared" si="5600"/>
        <v>0</v>
      </c>
      <c r="AM1104" s="201">
        <f t="shared" si="5600"/>
        <v>0</v>
      </c>
      <c r="AN1104" s="201">
        <f t="shared" si="5600"/>
        <v>0</v>
      </c>
      <c r="AO1104" s="201">
        <f t="shared" si="5600"/>
        <v>0</v>
      </c>
      <c r="AP1104" s="201">
        <f t="shared" si="5600"/>
        <v>0</v>
      </c>
      <c r="AQ1104" s="201">
        <f t="shared" si="5600"/>
        <v>0</v>
      </c>
      <c r="AR1104" s="200">
        <f t="shared" si="5600"/>
        <v>0</v>
      </c>
      <c r="AS1104" s="200">
        <f t="shared" si="5600"/>
        <v>0</v>
      </c>
      <c r="AT1104" s="173">
        <v>0.0</v>
      </c>
      <c r="AU1104" s="200">
        <f t="shared" si="5324"/>
        <v>0</v>
      </c>
      <c r="AV1104" s="200">
        <f t="shared" ref="AV1104:AX1104" si="5601">countif($D1104,"*"&amp;AV$2&amp;"*")</f>
        <v>1</v>
      </c>
      <c r="AW1104" s="200">
        <f t="shared" si="5601"/>
        <v>0</v>
      </c>
      <c r="AX1104" s="200">
        <f t="shared" si="5601"/>
        <v>0</v>
      </c>
      <c r="AY1104" s="202">
        <v>0.0</v>
      </c>
      <c r="AZ1104" s="200"/>
      <c r="BA1104" s="171" t="str">
        <f t="shared" si="18"/>
        <v/>
      </c>
      <c r="BB1104" s="171" t="str">
        <f t="shared" si="19"/>
        <v>Code</v>
      </c>
      <c r="BC1104" s="171" t="str">
        <f t="shared" si="20"/>
        <v/>
      </c>
      <c r="BD1104" s="171" t="str">
        <f t="shared" si="21"/>
        <v/>
      </c>
      <c r="BE1104" s="171" t="str">
        <f t="shared" si="22"/>
        <v/>
      </c>
      <c r="BF1104" s="171" t="str">
        <f t="shared" si="23"/>
        <v>Code</v>
      </c>
    </row>
    <row r="1105">
      <c r="A1105" s="171">
        <f t="array" ref="A1105">XLOOKUP(C1105,ICSE!A:A,ICSE!C:C,,2,1)</f>
        <v>2023</v>
      </c>
      <c r="B1105" s="171" t="s">
        <v>5675</v>
      </c>
      <c r="C1105" s="160">
        <v>2125.0</v>
      </c>
      <c r="D1105" s="161" t="s">
        <v>3081</v>
      </c>
      <c r="E1105" s="197" t="str">
        <f t="array" ref="E1105">XLOOKUP(C1105,ICSE!A:A,ICSE!Z:Z,,0,1)</f>
        <v>Publicly available (1)</v>
      </c>
      <c r="F1105" s="198" t="s">
        <v>20</v>
      </c>
      <c r="G1105" s="163" t="str">
        <f t="array" ref="G1105">IF(B1105="ICSE",IF(COUNTIFS(B:B,B1105,C:C,C1105)=XLOOKUP(C1105,ICSE!A:A,ICSE!AA:AA,"ERROR",0,1),"OK","ERROR"),IF(B1105="FSE",IF(COUNTIFS(B:B,B1105,C:C,C1105)=XLOOKUP(C1105,FSE!A:A,FSE!AA:AA,"ERROR",0,1),"OK","ERROR")))</f>
        <v>OK</v>
      </c>
      <c r="H1105" s="199">
        <f t="shared" ref="H1105:O1105" si="5602">countif($D1105,"*"&amp;H$2&amp;"*")</f>
        <v>0</v>
      </c>
      <c r="I1105" s="200">
        <f t="shared" si="5602"/>
        <v>0</v>
      </c>
      <c r="J1105" s="200">
        <f t="shared" si="5602"/>
        <v>0</v>
      </c>
      <c r="K1105" s="200">
        <f t="shared" si="5602"/>
        <v>0</v>
      </c>
      <c r="L1105" s="200">
        <f t="shared" si="5602"/>
        <v>0</v>
      </c>
      <c r="M1105" s="200">
        <f t="shared" si="5602"/>
        <v>0</v>
      </c>
      <c r="N1105" s="200">
        <f t="shared" si="5602"/>
        <v>0</v>
      </c>
      <c r="O1105" s="200">
        <f t="shared" si="5602"/>
        <v>0</v>
      </c>
      <c r="P1105" s="200">
        <f t="shared" si="9"/>
        <v>0</v>
      </c>
      <c r="Q1105" s="200">
        <f t="shared" ref="Q1105:AC1105" si="5603">countif($D1105,"*"&amp;Q$2&amp;"*")</f>
        <v>1</v>
      </c>
      <c r="R1105" s="200">
        <f t="shared" si="5603"/>
        <v>0</v>
      </c>
      <c r="S1105" s="200">
        <f t="shared" si="5603"/>
        <v>0</v>
      </c>
      <c r="T1105" s="200">
        <f t="shared" si="5603"/>
        <v>0</v>
      </c>
      <c r="U1105" s="200">
        <f t="shared" si="5603"/>
        <v>0</v>
      </c>
      <c r="V1105" s="200">
        <f t="shared" si="5603"/>
        <v>0</v>
      </c>
      <c r="W1105" s="200">
        <f t="shared" si="5603"/>
        <v>0</v>
      </c>
      <c r="X1105" s="200">
        <f t="shared" si="5603"/>
        <v>0</v>
      </c>
      <c r="Y1105" s="200">
        <f t="shared" si="5603"/>
        <v>0</v>
      </c>
      <c r="Z1105" s="200">
        <f t="shared" si="5603"/>
        <v>0</v>
      </c>
      <c r="AA1105" s="200">
        <f t="shared" si="5603"/>
        <v>0</v>
      </c>
      <c r="AB1105" s="200">
        <f t="shared" si="5603"/>
        <v>0</v>
      </c>
      <c r="AC1105" s="200">
        <f t="shared" si="5603"/>
        <v>0</v>
      </c>
      <c r="AD1105" s="200">
        <f t="shared" si="11"/>
        <v>0</v>
      </c>
      <c r="AE1105" s="200">
        <f t="shared" ref="AE1105:AG1105" si="5604">countif($D1105,"*"&amp;AE$2&amp;"*")</f>
        <v>0</v>
      </c>
      <c r="AF1105" s="200">
        <f t="shared" si="5604"/>
        <v>0</v>
      </c>
      <c r="AG1105" s="200">
        <f t="shared" si="5604"/>
        <v>0</v>
      </c>
      <c r="AH1105" s="171">
        <f t="shared" si="13"/>
        <v>0</v>
      </c>
      <c r="AI1105" s="200">
        <f t="shared" si="14"/>
        <v>0</v>
      </c>
      <c r="AJ1105" s="200">
        <f t="shared" si="5594"/>
        <v>0</v>
      </c>
      <c r="AK1105" s="201">
        <f t="shared" ref="AK1105:AS1105" si="5605">countif($D1105,"*"&amp;AK$2&amp;"*")</f>
        <v>0</v>
      </c>
      <c r="AL1105" s="201">
        <f t="shared" si="5605"/>
        <v>0</v>
      </c>
      <c r="AM1105" s="201">
        <f t="shared" si="5605"/>
        <v>0</v>
      </c>
      <c r="AN1105" s="201">
        <f t="shared" si="5605"/>
        <v>0</v>
      </c>
      <c r="AO1105" s="201">
        <f t="shared" si="5605"/>
        <v>0</v>
      </c>
      <c r="AP1105" s="201">
        <f t="shared" si="5605"/>
        <v>0</v>
      </c>
      <c r="AQ1105" s="201">
        <f t="shared" si="5605"/>
        <v>0</v>
      </c>
      <c r="AR1105" s="200">
        <f t="shared" si="5605"/>
        <v>0</v>
      </c>
      <c r="AS1105" s="200">
        <f t="shared" si="5605"/>
        <v>0</v>
      </c>
      <c r="AT1105" s="173">
        <v>0.0</v>
      </c>
      <c r="AU1105" s="200">
        <f t="shared" si="5324"/>
        <v>0</v>
      </c>
      <c r="AV1105" s="200">
        <f t="shared" ref="AV1105:AX1105" si="5606">countif($D1105,"*"&amp;AV$2&amp;"*")</f>
        <v>0</v>
      </c>
      <c r="AW1105" s="200">
        <f t="shared" si="5606"/>
        <v>0</v>
      </c>
      <c r="AX1105" s="200">
        <f t="shared" si="5606"/>
        <v>0</v>
      </c>
      <c r="AY1105" s="202">
        <v>0.0</v>
      </c>
      <c r="AZ1105" s="200"/>
      <c r="BA1105" s="171" t="str">
        <f t="shared" si="18"/>
        <v/>
      </c>
      <c r="BB1105" s="171" t="str">
        <f t="shared" si="19"/>
        <v>Code</v>
      </c>
      <c r="BC1105" s="171" t="str">
        <f t="shared" si="20"/>
        <v/>
      </c>
      <c r="BD1105" s="171" t="str">
        <f t="shared" si="21"/>
        <v/>
      </c>
      <c r="BE1105" s="171" t="str">
        <f t="shared" si="22"/>
        <v/>
      </c>
      <c r="BF1105" s="171" t="str">
        <f t="shared" si="23"/>
        <v>Code</v>
      </c>
    </row>
    <row r="1106">
      <c r="A1106" s="171">
        <f t="array" ref="A1106">XLOOKUP(C1106,ICSE!A:A,ICSE!C:C,,2,1)</f>
        <v>2023</v>
      </c>
      <c r="B1106" s="171" t="s">
        <v>5675</v>
      </c>
      <c r="C1106" s="160">
        <v>2126.0</v>
      </c>
      <c r="D1106" s="161" t="s">
        <v>3084</v>
      </c>
      <c r="E1106" s="197" t="str">
        <f t="array" ref="E1106">XLOOKUP(C1106,ICSE!A:A,ICSE!Z:Z,,0,1)</f>
        <v>Publicly available (1)</v>
      </c>
      <c r="F1106" s="198" t="s">
        <v>20</v>
      </c>
      <c r="G1106" s="163" t="str">
        <f t="array" ref="G1106">IF(B1106="ICSE",IF(COUNTIFS(B:B,B1106,C:C,C1106)=XLOOKUP(C1106,ICSE!A:A,ICSE!AA:AA,"ERROR",0,1),"OK","ERROR"),IF(B1106="FSE",IF(COUNTIFS(B:B,B1106,C:C,C1106)=XLOOKUP(C1106,FSE!A:A,FSE!AA:AA,"ERROR",0,1),"OK","ERROR")))</f>
        <v>OK</v>
      </c>
      <c r="H1106" s="199">
        <f t="shared" ref="H1106:O1106" si="5607">countif($D1106,"*"&amp;H$2&amp;"*")</f>
        <v>1</v>
      </c>
      <c r="I1106" s="200">
        <f t="shared" si="5607"/>
        <v>0</v>
      </c>
      <c r="J1106" s="200">
        <f t="shared" si="5607"/>
        <v>0</v>
      </c>
      <c r="K1106" s="200">
        <f t="shared" si="5607"/>
        <v>0</v>
      </c>
      <c r="L1106" s="200">
        <f t="shared" si="5607"/>
        <v>0</v>
      </c>
      <c r="M1106" s="200">
        <f t="shared" si="5607"/>
        <v>0</v>
      </c>
      <c r="N1106" s="200">
        <f t="shared" si="5607"/>
        <v>0</v>
      </c>
      <c r="O1106" s="200">
        <f t="shared" si="5607"/>
        <v>0</v>
      </c>
      <c r="P1106" s="200">
        <f t="shared" si="9"/>
        <v>0</v>
      </c>
      <c r="Q1106" s="200">
        <f t="shared" ref="Q1106:AC1106" si="5608">countif($D1106,"*"&amp;Q$2&amp;"*")</f>
        <v>0</v>
      </c>
      <c r="R1106" s="200">
        <f t="shared" si="5608"/>
        <v>0</v>
      </c>
      <c r="S1106" s="200">
        <f t="shared" si="5608"/>
        <v>0</v>
      </c>
      <c r="T1106" s="200">
        <f t="shared" si="5608"/>
        <v>0</v>
      </c>
      <c r="U1106" s="200">
        <f t="shared" si="5608"/>
        <v>0</v>
      </c>
      <c r="V1106" s="200">
        <f t="shared" si="5608"/>
        <v>0</v>
      </c>
      <c r="W1106" s="200">
        <f t="shared" si="5608"/>
        <v>0</v>
      </c>
      <c r="X1106" s="200">
        <f t="shared" si="5608"/>
        <v>0</v>
      </c>
      <c r="Y1106" s="200">
        <f t="shared" si="5608"/>
        <v>0</v>
      </c>
      <c r="Z1106" s="200">
        <f t="shared" si="5608"/>
        <v>0</v>
      </c>
      <c r="AA1106" s="200">
        <f t="shared" si="5608"/>
        <v>0</v>
      </c>
      <c r="AB1106" s="200">
        <f t="shared" si="5608"/>
        <v>0</v>
      </c>
      <c r="AC1106" s="200">
        <f t="shared" si="5608"/>
        <v>0</v>
      </c>
      <c r="AD1106" s="200">
        <f t="shared" si="11"/>
        <v>0</v>
      </c>
      <c r="AE1106" s="200">
        <f t="shared" ref="AE1106:AG1106" si="5609">countif($D1106,"*"&amp;AE$2&amp;"*")</f>
        <v>0</v>
      </c>
      <c r="AF1106" s="200">
        <f t="shared" si="5609"/>
        <v>0</v>
      </c>
      <c r="AG1106" s="200">
        <f t="shared" si="5609"/>
        <v>0</v>
      </c>
      <c r="AH1106" s="171">
        <f t="shared" si="13"/>
        <v>0</v>
      </c>
      <c r="AI1106" s="200">
        <f t="shared" si="14"/>
        <v>1</v>
      </c>
      <c r="AJ1106" s="200">
        <f t="shared" si="5594"/>
        <v>0</v>
      </c>
      <c r="AK1106" s="201">
        <f t="shared" ref="AK1106:AS1106" si="5610">countif($D1106,"*"&amp;AK$2&amp;"*")</f>
        <v>0</v>
      </c>
      <c r="AL1106" s="201">
        <f t="shared" si="5610"/>
        <v>0</v>
      </c>
      <c r="AM1106" s="201">
        <f t="shared" si="5610"/>
        <v>0</v>
      </c>
      <c r="AN1106" s="201">
        <f t="shared" si="5610"/>
        <v>0</v>
      </c>
      <c r="AO1106" s="201">
        <f t="shared" si="5610"/>
        <v>0</v>
      </c>
      <c r="AP1106" s="201">
        <f t="shared" si="5610"/>
        <v>0</v>
      </c>
      <c r="AQ1106" s="201">
        <f t="shared" si="5610"/>
        <v>0</v>
      </c>
      <c r="AR1106" s="200">
        <f t="shared" si="5610"/>
        <v>0</v>
      </c>
      <c r="AS1106" s="200">
        <f t="shared" si="5610"/>
        <v>0</v>
      </c>
      <c r="AT1106" s="173">
        <v>0.0</v>
      </c>
      <c r="AU1106" s="200">
        <f t="shared" si="5324"/>
        <v>0</v>
      </c>
      <c r="AV1106" s="200">
        <f t="shared" ref="AV1106:AX1106" si="5611">countif($D1106,"*"&amp;AV$2&amp;"*")</f>
        <v>0</v>
      </c>
      <c r="AW1106" s="200">
        <f t="shared" si="5611"/>
        <v>0</v>
      </c>
      <c r="AX1106" s="200">
        <f t="shared" si="5611"/>
        <v>1</v>
      </c>
      <c r="AY1106" s="202">
        <v>0.0</v>
      </c>
      <c r="AZ1106" s="200"/>
      <c r="BA1106" s="171" t="str">
        <f t="shared" si="18"/>
        <v>Archival</v>
      </c>
      <c r="BB1106" s="171" t="str">
        <f t="shared" si="19"/>
        <v/>
      </c>
      <c r="BC1106" s="171" t="str">
        <f t="shared" si="20"/>
        <v/>
      </c>
      <c r="BD1106" s="171" t="str">
        <f t="shared" si="21"/>
        <v/>
      </c>
      <c r="BE1106" s="171" t="str">
        <f t="shared" si="22"/>
        <v/>
      </c>
      <c r="BF1106" s="171" t="str">
        <f t="shared" si="23"/>
        <v>Archival</v>
      </c>
    </row>
    <row r="1107">
      <c r="A1107" s="171">
        <f t="array" ref="A1107">XLOOKUP(C1107,ICSE!A:A,ICSE!C:C,,2,1)</f>
        <v>2023</v>
      </c>
      <c r="B1107" s="171" t="s">
        <v>5675</v>
      </c>
      <c r="C1107" s="160">
        <v>2128.0</v>
      </c>
      <c r="D1107" s="161" t="s">
        <v>3087</v>
      </c>
      <c r="E1107" s="197" t="str">
        <f t="array" ref="E1107">XLOOKUP(C1107,ICSE!A:A,ICSE!Z:Z,,0,1)</f>
        <v>Publicly available (1)</v>
      </c>
      <c r="F1107" s="198" t="s">
        <v>20</v>
      </c>
      <c r="G1107" s="163" t="str">
        <f t="array" ref="G1107">IF(B1107="ICSE",IF(COUNTIFS(B:B,B1107,C:C,C1107)=XLOOKUP(C1107,ICSE!A:A,ICSE!AA:AA,"ERROR",0,1),"OK","ERROR"),IF(B1107="FSE",IF(COUNTIFS(B:B,B1107,C:C,C1107)=XLOOKUP(C1107,FSE!A:A,FSE!AA:AA,"ERROR",0,1),"OK","ERROR")))</f>
        <v>OK</v>
      </c>
      <c r="H1107" s="199">
        <f t="shared" ref="H1107:O1107" si="5612">countif($D1107,"*"&amp;H$2&amp;"*")</f>
        <v>0</v>
      </c>
      <c r="I1107" s="200">
        <f t="shared" si="5612"/>
        <v>0</v>
      </c>
      <c r="J1107" s="200">
        <f t="shared" si="5612"/>
        <v>0</v>
      </c>
      <c r="K1107" s="200">
        <f t="shared" si="5612"/>
        <v>0</v>
      </c>
      <c r="L1107" s="200">
        <f t="shared" si="5612"/>
        <v>0</v>
      </c>
      <c r="M1107" s="200">
        <f t="shared" si="5612"/>
        <v>0</v>
      </c>
      <c r="N1107" s="200">
        <f t="shared" si="5612"/>
        <v>0</v>
      </c>
      <c r="O1107" s="200">
        <f t="shared" si="5612"/>
        <v>0</v>
      </c>
      <c r="P1107" s="200">
        <f t="shared" si="9"/>
        <v>0</v>
      </c>
      <c r="Q1107" s="200">
        <f t="shared" ref="Q1107:AC1107" si="5613">countif($D1107,"*"&amp;Q$2&amp;"*")</f>
        <v>0</v>
      </c>
      <c r="R1107" s="200">
        <f t="shared" si="5613"/>
        <v>0</v>
      </c>
      <c r="S1107" s="200">
        <f t="shared" si="5613"/>
        <v>0</v>
      </c>
      <c r="T1107" s="200">
        <f t="shared" si="5613"/>
        <v>0</v>
      </c>
      <c r="U1107" s="200">
        <f t="shared" si="5613"/>
        <v>0</v>
      </c>
      <c r="V1107" s="200">
        <f t="shared" si="5613"/>
        <v>0</v>
      </c>
      <c r="W1107" s="200">
        <f t="shared" si="5613"/>
        <v>0</v>
      </c>
      <c r="X1107" s="200">
        <f t="shared" si="5613"/>
        <v>0</v>
      </c>
      <c r="Y1107" s="200">
        <f t="shared" si="5613"/>
        <v>0</v>
      </c>
      <c r="Z1107" s="200">
        <f t="shared" si="5613"/>
        <v>0</v>
      </c>
      <c r="AA1107" s="200">
        <f t="shared" si="5613"/>
        <v>0</v>
      </c>
      <c r="AB1107" s="200">
        <f t="shared" si="5613"/>
        <v>0</v>
      </c>
      <c r="AC1107" s="200">
        <f t="shared" si="5613"/>
        <v>0</v>
      </c>
      <c r="AD1107" s="200">
        <f t="shared" si="11"/>
        <v>0</v>
      </c>
      <c r="AE1107" s="200">
        <f t="shared" ref="AE1107:AG1107" si="5614">countif($D1107,"*"&amp;AE$2&amp;"*")</f>
        <v>0</v>
      </c>
      <c r="AF1107" s="200">
        <f t="shared" si="5614"/>
        <v>0</v>
      </c>
      <c r="AG1107" s="200">
        <f t="shared" si="5614"/>
        <v>0</v>
      </c>
      <c r="AH1107" s="171">
        <f t="shared" si="13"/>
        <v>1</v>
      </c>
      <c r="AI1107" s="200">
        <f t="shared" si="14"/>
        <v>0</v>
      </c>
      <c r="AJ1107" s="200">
        <f t="shared" si="5594"/>
        <v>0</v>
      </c>
      <c r="AK1107" s="201">
        <f t="shared" ref="AK1107:AS1107" si="5615">countif($D1107,"*"&amp;AK$2&amp;"*")</f>
        <v>0</v>
      </c>
      <c r="AL1107" s="201">
        <f t="shared" si="5615"/>
        <v>0</v>
      </c>
      <c r="AM1107" s="201">
        <f t="shared" si="5615"/>
        <v>0</v>
      </c>
      <c r="AN1107" s="201">
        <f t="shared" si="5615"/>
        <v>0</v>
      </c>
      <c r="AO1107" s="201">
        <f t="shared" si="5615"/>
        <v>0</v>
      </c>
      <c r="AP1107" s="201">
        <f t="shared" si="5615"/>
        <v>0</v>
      </c>
      <c r="AQ1107" s="201">
        <f t="shared" si="5615"/>
        <v>0</v>
      </c>
      <c r="AR1107" s="200">
        <f t="shared" si="5615"/>
        <v>0</v>
      </c>
      <c r="AS1107" s="200">
        <f t="shared" si="5615"/>
        <v>0</v>
      </c>
      <c r="AT1107" s="173">
        <v>0.0</v>
      </c>
      <c r="AU1107" s="200">
        <f t="shared" si="5324"/>
        <v>0</v>
      </c>
      <c r="AV1107" s="200">
        <f t="shared" ref="AV1107:AX1107" si="5616">countif($D1107,"*"&amp;AV$2&amp;"*")</f>
        <v>0</v>
      </c>
      <c r="AW1107" s="200">
        <f t="shared" si="5616"/>
        <v>0</v>
      </c>
      <c r="AX1107" s="200">
        <f t="shared" si="5616"/>
        <v>0</v>
      </c>
      <c r="AY1107" s="202">
        <v>0.0</v>
      </c>
      <c r="AZ1107" s="200"/>
      <c r="BA1107" s="171" t="str">
        <f t="shared" si="18"/>
        <v/>
      </c>
      <c r="BB1107" s="171" t="str">
        <f t="shared" si="19"/>
        <v/>
      </c>
      <c r="BC1107" s="171" t="str">
        <f t="shared" si="20"/>
        <v/>
      </c>
      <c r="BD1107" s="171" t="str">
        <f t="shared" si="21"/>
        <v/>
      </c>
      <c r="BE1107" s="171" t="str">
        <f t="shared" si="22"/>
        <v>Others</v>
      </c>
      <c r="BF1107" s="171" t="str">
        <f t="shared" si="23"/>
        <v>Others</v>
      </c>
    </row>
    <row r="1108">
      <c r="A1108" s="171">
        <f t="array" ref="A1108">XLOOKUP(C1108,ICSE!A:A,ICSE!C:C,,2,1)</f>
        <v>2023</v>
      </c>
      <c r="B1108" s="171" t="s">
        <v>5675</v>
      </c>
      <c r="C1108" s="160">
        <v>2129.0</v>
      </c>
      <c r="D1108" s="161" t="s">
        <v>3090</v>
      </c>
      <c r="E1108" s="197" t="str">
        <f t="array" ref="E1108">XLOOKUP(C1108,ICSE!A:A,ICSE!Z:Z,,0,1)</f>
        <v>Publicly available (1)</v>
      </c>
      <c r="F1108" s="198" t="s">
        <v>20</v>
      </c>
      <c r="G1108" s="163" t="str">
        <f t="array" ref="G1108">IF(B1108="ICSE",IF(COUNTIFS(B:B,B1108,C:C,C1108)=XLOOKUP(C1108,ICSE!A:A,ICSE!AA:AA,"ERROR",0,1),"OK","ERROR"),IF(B1108="FSE",IF(COUNTIFS(B:B,B1108,C:C,C1108)=XLOOKUP(C1108,FSE!A:A,FSE!AA:AA,"ERROR",0,1),"OK","ERROR")))</f>
        <v>OK</v>
      </c>
      <c r="H1108" s="199">
        <f t="shared" ref="H1108:O1108" si="5617">countif($D1108,"*"&amp;H$2&amp;"*")</f>
        <v>0</v>
      </c>
      <c r="I1108" s="200">
        <f t="shared" si="5617"/>
        <v>0</v>
      </c>
      <c r="J1108" s="200">
        <f t="shared" si="5617"/>
        <v>0</v>
      </c>
      <c r="K1108" s="200">
        <f t="shared" si="5617"/>
        <v>0</v>
      </c>
      <c r="L1108" s="200">
        <f t="shared" si="5617"/>
        <v>0</v>
      </c>
      <c r="M1108" s="200">
        <f t="shared" si="5617"/>
        <v>0</v>
      </c>
      <c r="N1108" s="200">
        <f t="shared" si="5617"/>
        <v>0</v>
      </c>
      <c r="O1108" s="200">
        <f t="shared" si="5617"/>
        <v>0</v>
      </c>
      <c r="P1108" s="200">
        <f t="shared" si="9"/>
        <v>1</v>
      </c>
      <c r="Q1108" s="200">
        <f t="shared" ref="Q1108:AC1108" si="5618">countif($D1108,"*"&amp;Q$2&amp;"*")</f>
        <v>0</v>
      </c>
      <c r="R1108" s="200">
        <f t="shared" si="5618"/>
        <v>0</v>
      </c>
      <c r="S1108" s="200">
        <f t="shared" si="5618"/>
        <v>0</v>
      </c>
      <c r="T1108" s="200">
        <f t="shared" si="5618"/>
        <v>0</v>
      </c>
      <c r="U1108" s="200">
        <f t="shared" si="5618"/>
        <v>0</v>
      </c>
      <c r="V1108" s="200">
        <f t="shared" si="5618"/>
        <v>0</v>
      </c>
      <c r="W1108" s="200">
        <f t="shared" si="5618"/>
        <v>0</v>
      </c>
      <c r="X1108" s="200">
        <f t="shared" si="5618"/>
        <v>0</v>
      </c>
      <c r="Y1108" s="200">
        <f t="shared" si="5618"/>
        <v>0</v>
      </c>
      <c r="Z1108" s="200">
        <f t="shared" si="5618"/>
        <v>0</v>
      </c>
      <c r="AA1108" s="200">
        <f t="shared" si="5618"/>
        <v>0</v>
      </c>
      <c r="AB1108" s="200">
        <f t="shared" si="5618"/>
        <v>0</v>
      </c>
      <c r="AC1108" s="200">
        <f t="shared" si="5618"/>
        <v>0</v>
      </c>
      <c r="AD1108" s="200">
        <f t="shared" si="11"/>
        <v>0</v>
      </c>
      <c r="AE1108" s="200">
        <f t="shared" ref="AE1108:AG1108" si="5619">countif($D1108,"*"&amp;AE$2&amp;"*")</f>
        <v>0</v>
      </c>
      <c r="AF1108" s="200">
        <f t="shared" si="5619"/>
        <v>0</v>
      </c>
      <c r="AG1108" s="200">
        <f t="shared" si="5619"/>
        <v>0</v>
      </c>
      <c r="AH1108" s="171">
        <f t="shared" si="13"/>
        <v>0</v>
      </c>
      <c r="AI1108" s="200">
        <f t="shared" si="14"/>
        <v>0</v>
      </c>
      <c r="AJ1108" s="200">
        <f t="shared" si="5594"/>
        <v>0</v>
      </c>
      <c r="AK1108" s="201">
        <f t="shared" ref="AK1108:AS1108" si="5620">countif($D1108,"*"&amp;AK$2&amp;"*")</f>
        <v>0</v>
      </c>
      <c r="AL1108" s="201">
        <f t="shared" si="5620"/>
        <v>0</v>
      </c>
      <c r="AM1108" s="201">
        <f t="shared" si="5620"/>
        <v>0</v>
      </c>
      <c r="AN1108" s="201">
        <f t="shared" si="5620"/>
        <v>0</v>
      </c>
      <c r="AO1108" s="201">
        <f t="shared" si="5620"/>
        <v>0</v>
      </c>
      <c r="AP1108" s="201">
        <f t="shared" si="5620"/>
        <v>0</v>
      </c>
      <c r="AQ1108" s="201">
        <f t="shared" si="5620"/>
        <v>0</v>
      </c>
      <c r="AR1108" s="200">
        <f t="shared" si="5620"/>
        <v>0</v>
      </c>
      <c r="AS1108" s="200">
        <f t="shared" si="5620"/>
        <v>0</v>
      </c>
      <c r="AT1108" s="173">
        <v>0.0</v>
      </c>
      <c r="AU1108" s="200">
        <f t="shared" si="5324"/>
        <v>0</v>
      </c>
      <c r="AV1108" s="200">
        <f t="shared" ref="AV1108:AX1108" si="5621">countif($D1108,"*"&amp;AV$2&amp;"*")</f>
        <v>1</v>
      </c>
      <c r="AW1108" s="200">
        <f t="shared" si="5621"/>
        <v>0</v>
      </c>
      <c r="AX1108" s="200">
        <f t="shared" si="5621"/>
        <v>0</v>
      </c>
      <c r="AY1108" s="202">
        <v>0.0</v>
      </c>
      <c r="AZ1108" s="200"/>
      <c r="BA1108" s="171" t="str">
        <f t="shared" si="18"/>
        <v/>
      </c>
      <c r="BB1108" s="171" t="str">
        <f t="shared" si="19"/>
        <v>Code</v>
      </c>
      <c r="BC1108" s="171" t="str">
        <f t="shared" si="20"/>
        <v/>
      </c>
      <c r="BD1108" s="171" t="str">
        <f t="shared" si="21"/>
        <v/>
      </c>
      <c r="BE1108" s="171" t="str">
        <f t="shared" si="22"/>
        <v/>
      </c>
      <c r="BF1108" s="171" t="str">
        <f t="shared" si="23"/>
        <v>Code</v>
      </c>
    </row>
    <row r="1109">
      <c r="A1109" s="171">
        <f t="array" ref="A1109">XLOOKUP(C1109,ICSE!A:A,ICSE!C:C,,2,1)</f>
        <v>2023</v>
      </c>
      <c r="B1109" s="171" t="s">
        <v>5675</v>
      </c>
      <c r="C1109" s="160">
        <v>2131.0</v>
      </c>
      <c r="D1109" s="212" t="s">
        <v>3095</v>
      </c>
      <c r="E1109" s="197" t="str">
        <f t="array" ref="E1109">XLOOKUP(C1109,ICSE!A:A,ICSE!Z:Z,,0,1)</f>
        <v>Publicly available (1)</v>
      </c>
      <c r="F1109" s="198" t="s">
        <v>20</v>
      </c>
      <c r="G1109" s="163" t="str">
        <f t="array" ref="G1109">IF(B1109="ICSE",IF(COUNTIFS(B:B,B1109,C:C,C1109)=XLOOKUP(C1109,ICSE!A:A,ICSE!AA:AA,"ERROR",0,1),"OK","ERROR"),IF(B1109="FSE",IF(COUNTIFS(B:B,B1109,C:C,C1109)=XLOOKUP(C1109,FSE!A:A,FSE!AA:AA,"ERROR",0,1),"OK","ERROR")))</f>
        <v>OK</v>
      </c>
      <c r="H1109" s="199">
        <f t="shared" ref="H1109:O1109" si="5622">countif($D1109,"*"&amp;H$2&amp;"*")</f>
        <v>0</v>
      </c>
      <c r="I1109" s="200">
        <f t="shared" si="5622"/>
        <v>0</v>
      </c>
      <c r="J1109" s="200">
        <f t="shared" si="5622"/>
        <v>0</v>
      </c>
      <c r="K1109" s="200">
        <f t="shared" si="5622"/>
        <v>0</v>
      </c>
      <c r="L1109" s="200">
        <f t="shared" si="5622"/>
        <v>0</v>
      </c>
      <c r="M1109" s="200">
        <f t="shared" si="5622"/>
        <v>0</v>
      </c>
      <c r="N1109" s="200">
        <f t="shared" si="5622"/>
        <v>0</v>
      </c>
      <c r="O1109" s="200">
        <f t="shared" si="5622"/>
        <v>0</v>
      </c>
      <c r="P1109" s="200">
        <f t="shared" si="9"/>
        <v>1</v>
      </c>
      <c r="Q1109" s="200">
        <f t="shared" ref="Q1109:AC1109" si="5623">countif($D1109,"*"&amp;Q$2&amp;"*")</f>
        <v>0</v>
      </c>
      <c r="R1109" s="200">
        <f t="shared" si="5623"/>
        <v>0</v>
      </c>
      <c r="S1109" s="200">
        <f t="shared" si="5623"/>
        <v>0</v>
      </c>
      <c r="T1109" s="200">
        <f t="shared" si="5623"/>
        <v>0</v>
      </c>
      <c r="U1109" s="200">
        <f t="shared" si="5623"/>
        <v>0</v>
      </c>
      <c r="V1109" s="200">
        <f t="shared" si="5623"/>
        <v>0</v>
      </c>
      <c r="W1109" s="200">
        <f t="shared" si="5623"/>
        <v>0</v>
      </c>
      <c r="X1109" s="200">
        <f t="shared" si="5623"/>
        <v>0</v>
      </c>
      <c r="Y1109" s="200">
        <f t="shared" si="5623"/>
        <v>0</v>
      </c>
      <c r="Z1109" s="200">
        <f t="shared" si="5623"/>
        <v>0</v>
      </c>
      <c r="AA1109" s="200">
        <f t="shared" si="5623"/>
        <v>0</v>
      </c>
      <c r="AB1109" s="200">
        <f t="shared" si="5623"/>
        <v>0</v>
      </c>
      <c r="AC1109" s="200">
        <f t="shared" si="5623"/>
        <v>0</v>
      </c>
      <c r="AD1109" s="200">
        <f t="shared" si="11"/>
        <v>0</v>
      </c>
      <c r="AE1109" s="200">
        <f t="shared" ref="AE1109:AG1109" si="5624">countif($D1109,"*"&amp;AE$2&amp;"*")</f>
        <v>0</v>
      </c>
      <c r="AF1109" s="200">
        <f t="shared" si="5624"/>
        <v>0</v>
      </c>
      <c r="AG1109" s="200">
        <f t="shared" si="5624"/>
        <v>0</v>
      </c>
      <c r="AH1109" s="171">
        <f t="shared" si="13"/>
        <v>0</v>
      </c>
      <c r="AI1109" s="200">
        <f t="shared" si="14"/>
        <v>0</v>
      </c>
      <c r="AJ1109" s="200">
        <f t="shared" si="5594"/>
        <v>0</v>
      </c>
      <c r="AK1109" s="201">
        <f t="shared" ref="AK1109:AS1109" si="5625">countif($D1109,"*"&amp;AK$2&amp;"*")</f>
        <v>0</v>
      </c>
      <c r="AL1109" s="201">
        <f t="shared" si="5625"/>
        <v>0</v>
      </c>
      <c r="AM1109" s="201">
        <f t="shared" si="5625"/>
        <v>0</v>
      </c>
      <c r="AN1109" s="201">
        <f t="shared" si="5625"/>
        <v>0</v>
      </c>
      <c r="AO1109" s="201">
        <f t="shared" si="5625"/>
        <v>0</v>
      </c>
      <c r="AP1109" s="201">
        <f t="shared" si="5625"/>
        <v>0</v>
      </c>
      <c r="AQ1109" s="201">
        <f t="shared" si="5625"/>
        <v>0</v>
      </c>
      <c r="AR1109" s="200">
        <f t="shared" si="5625"/>
        <v>0</v>
      </c>
      <c r="AS1109" s="200">
        <f t="shared" si="5625"/>
        <v>0</v>
      </c>
      <c r="AT1109" s="173">
        <v>0.0</v>
      </c>
      <c r="AU1109" s="200">
        <f t="shared" si="5324"/>
        <v>0</v>
      </c>
      <c r="AV1109" s="200">
        <f t="shared" ref="AV1109:AX1109" si="5626">countif($D1109,"*"&amp;AV$2&amp;"*")</f>
        <v>1</v>
      </c>
      <c r="AW1109" s="200">
        <f t="shared" si="5626"/>
        <v>0</v>
      </c>
      <c r="AX1109" s="200">
        <f t="shared" si="5626"/>
        <v>0</v>
      </c>
      <c r="AY1109" s="202">
        <v>0.0</v>
      </c>
      <c r="AZ1109" s="200"/>
      <c r="BA1109" s="171" t="str">
        <f t="shared" si="18"/>
        <v/>
      </c>
      <c r="BB1109" s="171" t="str">
        <f t="shared" si="19"/>
        <v>Code</v>
      </c>
      <c r="BC1109" s="171" t="str">
        <f t="shared" si="20"/>
        <v/>
      </c>
      <c r="BD1109" s="171" t="str">
        <f t="shared" si="21"/>
        <v/>
      </c>
      <c r="BE1109" s="171" t="str">
        <f t="shared" si="22"/>
        <v/>
      </c>
      <c r="BF1109" s="171" t="str">
        <f t="shared" si="23"/>
        <v>Code</v>
      </c>
    </row>
    <row r="1110">
      <c r="A1110" s="171">
        <f t="array" ref="A1110">XLOOKUP(C1110,ICSE!A:A,ICSE!C:C,,2,1)</f>
        <v>2023</v>
      </c>
      <c r="B1110" s="171" t="s">
        <v>5675</v>
      </c>
      <c r="C1110" s="160">
        <v>2132.0</v>
      </c>
      <c r="D1110" s="161" t="s">
        <v>3098</v>
      </c>
      <c r="E1110" s="197" t="str">
        <f t="array" ref="E1110">XLOOKUP(C1110,ICSE!A:A,ICSE!Z:Z,,0,1)</f>
        <v>Publicly available (1)</v>
      </c>
      <c r="F1110" s="198" t="s">
        <v>20</v>
      </c>
      <c r="G1110" s="163" t="str">
        <f t="array" ref="G1110">IF(B1110="ICSE",IF(COUNTIFS(B:B,B1110,C:C,C1110)=XLOOKUP(C1110,ICSE!A:A,ICSE!AA:AA,"ERROR",0,1),"OK","ERROR"),IF(B1110="FSE",IF(COUNTIFS(B:B,B1110,C:C,C1110)=XLOOKUP(C1110,FSE!A:A,FSE!AA:AA,"ERROR",0,1),"OK","ERROR")))</f>
        <v>OK</v>
      </c>
      <c r="H1110" s="199">
        <f t="shared" ref="H1110:O1110" si="5627">countif($D1110,"*"&amp;H$2&amp;"*")</f>
        <v>0</v>
      </c>
      <c r="I1110" s="200">
        <f t="shared" si="5627"/>
        <v>0</v>
      </c>
      <c r="J1110" s="200">
        <f t="shared" si="5627"/>
        <v>0</v>
      </c>
      <c r="K1110" s="200">
        <f t="shared" si="5627"/>
        <v>0</v>
      </c>
      <c r="L1110" s="200">
        <f t="shared" si="5627"/>
        <v>0</v>
      </c>
      <c r="M1110" s="200">
        <f t="shared" si="5627"/>
        <v>0</v>
      </c>
      <c r="N1110" s="200">
        <f t="shared" si="5627"/>
        <v>0</v>
      </c>
      <c r="O1110" s="200">
        <f t="shared" si="5627"/>
        <v>0</v>
      </c>
      <c r="P1110" s="200">
        <f t="shared" si="9"/>
        <v>0</v>
      </c>
      <c r="Q1110" s="200">
        <f t="shared" ref="Q1110:AC1110" si="5628">countif($D1110,"*"&amp;Q$2&amp;"*")</f>
        <v>0</v>
      </c>
      <c r="R1110" s="200">
        <f t="shared" si="5628"/>
        <v>0</v>
      </c>
      <c r="S1110" s="200">
        <f t="shared" si="5628"/>
        <v>0</v>
      </c>
      <c r="T1110" s="200">
        <f t="shared" si="5628"/>
        <v>0</v>
      </c>
      <c r="U1110" s="200">
        <f t="shared" si="5628"/>
        <v>0</v>
      </c>
      <c r="V1110" s="200">
        <f t="shared" si="5628"/>
        <v>0</v>
      </c>
      <c r="W1110" s="200">
        <f t="shared" si="5628"/>
        <v>0</v>
      </c>
      <c r="X1110" s="200">
        <f t="shared" si="5628"/>
        <v>0</v>
      </c>
      <c r="Y1110" s="200">
        <f t="shared" si="5628"/>
        <v>0</v>
      </c>
      <c r="Z1110" s="200">
        <f t="shared" si="5628"/>
        <v>0</v>
      </c>
      <c r="AA1110" s="200">
        <f t="shared" si="5628"/>
        <v>1</v>
      </c>
      <c r="AB1110" s="200">
        <f t="shared" si="5628"/>
        <v>0</v>
      </c>
      <c r="AC1110" s="200">
        <f t="shared" si="5628"/>
        <v>0</v>
      </c>
      <c r="AD1110" s="200">
        <f t="shared" si="11"/>
        <v>0</v>
      </c>
      <c r="AE1110" s="200">
        <f t="shared" ref="AE1110:AG1110" si="5629">countif($D1110,"*"&amp;AE$2&amp;"*")</f>
        <v>0</v>
      </c>
      <c r="AF1110" s="200">
        <f t="shared" si="5629"/>
        <v>0</v>
      </c>
      <c r="AG1110" s="200">
        <f t="shared" si="5629"/>
        <v>0</v>
      </c>
      <c r="AH1110" s="171">
        <f t="shared" si="13"/>
        <v>0</v>
      </c>
      <c r="AI1110" s="200">
        <f t="shared" si="14"/>
        <v>0</v>
      </c>
      <c r="AJ1110" s="200">
        <f t="shared" si="5594"/>
        <v>0</v>
      </c>
      <c r="AK1110" s="201">
        <f t="shared" ref="AK1110:AS1110" si="5630">countif($D1110,"*"&amp;AK$2&amp;"*")</f>
        <v>0</v>
      </c>
      <c r="AL1110" s="201">
        <f t="shared" si="5630"/>
        <v>0</v>
      </c>
      <c r="AM1110" s="201">
        <f t="shared" si="5630"/>
        <v>0</v>
      </c>
      <c r="AN1110" s="201">
        <f t="shared" si="5630"/>
        <v>0</v>
      </c>
      <c r="AO1110" s="201">
        <f t="shared" si="5630"/>
        <v>0</v>
      </c>
      <c r="AP1110" s="201">
        <f t="shared" si="5630"/>
        <v>0</v>
      </c>
      <c r="AQ1110" s="201">
        <f t="shared" si="5630"/>
        <v>0</v>
      </c>
      <c r="AR1110" s="200">
        <f t="shared" si="5630"/>
        <v>0</v>
      </c>
      <c r="AS1110" s="200">
        <f t="shared" si="5630"/>
        <v>0</v>
      </c>
      <c r="AT1110" s="173">
        <v>0.0</v>
      </c>
      <c r="AU1110" s="209">
        <v>0.0</v>
      </c>
      <c r="AV1110" s="200">
        <f t="shared" ref="AV1110:AX1110" si="5631">countif($D1110,"*"&amp;AV$2&amp;"*")</f>
        <v>0</v>
      </c>
      <c r="AW1110" s="200">
        <f t="shared" si="5631"/>
        <v>0</v>
      </c>
      <c r="AX1110" s="200">
        <f t="shared" si="5631"/>
        <v>0</v>
      </c>
      <c r="AY1110" s="202">
        <v>0.0</v>
      </c>
      <c r="AZ1110" s="200"/>
      <c r="BA1110" s="171" t="str">
        <f t="shared" si="18"/>
        <v/>
      </c>
      <c r="BB1110" s="171" t="str">
        <f t="shared" si="19"/>
        <v/>
      </c>
      <c r="BC1110" s="171" t="str">
        <f t="shared" si="20"/>
        <v>General-purpose</v>
      </c>
      <c r="BD1110" s="171" t="str">
        <f t="shared" si="21"/>
        <v/>
      </c>
      <c r="BE1110" s="171" t="str">
        <f t="shared" si="22"/>
        <v/>
      </c>
      <c r="BF1110" s="171" t="str">
        <f t="shared" si="23"/>
        <v>General-purpose</v>
      </c>
    </row>
    <row r="1111">
      <c r="A1111" s="171">
        <f t="array" ref="A1111">XLOOKUP(C1111,ICSE!A:A,ICSE!C:C,,2,1)</f>
        <v>2023</v>
      </c>
      <c r="B1111" s="171" t="s">
        <v>5675</v>
      </c>
      <c r="C1111" s="160">
        <v>2133.0</v>
      </c>
      <c r="D1111" s="161" t="s">
        <v>3101</v>
      </c>
      <c r="E1111" s="197" t="str">
        <f t="array" ref="E1111">XLOOKUP(C1111,ICSE!A:A,ICSE!Z:Z,,0,1)</f>
        <v>Publicly available (1)</v>
      </c>
      <c r="F1111" s="198" t="s">
        <v>20</v>
      </c>
      <c r="G1111" s="163" t="str">
        <f t="array" ref="G1111">IF(B1111="ICSE",IF(COUNTIFS(B:B,B1111,C:C,C1111)=XLOOKUP(C1111,ICSE!A:A,ICSE!AA:AA,"ERROR",0,1),"OK","ERROR"),IF(B1111="FSE",IF(COUNTIFS(B:B,B1111,C:C,C1111)=XLOOKUP(C1111,FSE!A:A,FSE!AA:AA,"ERROR",0,1),"OK","ERROR")))</f>
        <v>OK</v>
      </c>
      <c r="H1111" s="199">
        <f t="shared" ref="H1111:O1111" si="5632">countif($D1111,"*"&amp;H$2&amp;"*")</f>
        <v>0</v>
      </c>
      <c r="I1111" s="200">
        <f t="shared" si="5632"/>
        <v>0</v>
      </c>
      <c r="J1111" s="200">
        <f t="shared" si="5632"/>
        <v>0</v>
      </c>
      <c r="K1111" s="200">
        <f t="shared" si="5632"/>
        <v>0</v>
      </c>
      <c r="L1111" s="200">
        <f t="shared" si="5632"/>
        <v>0</v>
      </c>
      <c r="M1111" s="200">
        <f t="shared" si="5632"/>
        <v>0</v>
      </c>
      <c r="N1111" s="200">
        <f t="shared" si="5632"/>
        <v>0</v>
      </c>
      <c r="O1111" s="200">
        <f t="shared" si="5632"/>
        <v>0</v>
      </c>
      <c r="P1111" s="200">
        <f t="shared" si="9"/>
        <v>1</v>
      </c>
      <c r="Q1111" s="200">
        <f t="shared" ref="Q1111:AC1111" si="5633">countif($D1111,"*"&amp;Q$2&amp;"*")</f>
        <v>0</v>
      </c>
      <c r="R1111" s="200">
        <f t="shared" si="5633"/>
        <v>0</v>
      </c>
      <c r="S1111" s="200">
        <f t="shared" si="5633"/>
        <v>0</v>
      </c>
      <c r="T1111" s="200">
        <f t="shared" si="5633"/>
        <v>0</v>
      </c>
      <c r="U1111" s="200">
        <f t="shared" si="5633"/>
        <v>0</v>
      </c>
      <c r="V1111" s="200">
        <f t="shared" si="5633"/>
        <v>0</v>
      </c>
      <c r="W1111" s="200">
        <f t="shared" si="5633"/>
        <v>0</v>
      </c>
      <c r="X1111" s="200">
        <f t="shared" si="5633"/>
        <v>0</v>
      </c>
      <c r="Y1111" s="200">
        <f t="shared" si="5633"/>
        <v>0</v>
      </c>
      <c r="Z1111" s="200">
        <f t="shared" si="5633"/>
        <v>0</v>
      </c>
      <c r="AA1111" s="200">
        <f t="shared" si="5633"/>
        <v>0</v>
      </c>
      <c r="AB1111" s="200">
        <f t="shared" si="5633"/>
        <v>0</v>
      </c>
      <c r="AC1111" s="200">
        <f t="shared" si="5633"/>
        <v>0</v>
      </c>
      <c r="AD1111" s="200">
        <f t="shared" si="11"/>
        <v>0</v>
      </c>
      <c r="AE1111" s="200">
        <f t="shared" ref="AE1111:AG1111" si="5634">countif($D1111,"*"&amp;AE$2&amp;"*")</f>
        <v>0</v>
      </c>
      <c r="AF1111" s="200">
        <f t="shared" si="5634"/>
        <v>0</v>
      </c>
      <c r="AG1111" s="200">
        <f t="shared" si="5634"/>
        <v>0</v>
      </c>
      <c r="AH1111" s="171">
        <f t="shared" si="13"/>
        <v>0</v>
      </c>
      <c r="AI1111" s="200">
        <f t="shared" si="14"/>
        <v>0</v>
      </c>
      <c r="AJ1111" s="200">
        <f t="shared" si="5594"/>
        <v>0</v>
      </c>
      <c r="AK1111" s="201">
        <f t="shared" ref="AK1111:AS1111" si="5635">countif($D1111,"*"&amp;AK$2&amp;"*")</f>
        <v>0</v>
      </c>
      <c r="AL1111" s="201">
        <f t="shared" si="5635"/>
        <v>0</v>
      </c>
      <c r="AM1111" s="201">
        <f t="shared" si="5635"/>
        <v>0</v>
      </c>
      <c r="AN1111" s="201">
        <f t="shared" si="5635"/>
        <v>0</v>
      </c>
      <c r="AO1111" s="201">
        <f t="shared" si="5635"/>
        <v>0</v>
      </c>
      <c r="AP1111" s="201">
        <f t="shared" si="5635"/>
        <v>0</v>
      </c>
      <c r="AQ1111" s="201">
        <f t="shared" si="5635"/>
        <v>0</v>
      </c>
      <c r="AR1111" s="200">
        <f t="shared" si="5635"/>
        <v>0</v>
      </c>
      <c r="AS1111" s="200">
        <f t="shared" si="5635"/>
        <v>0</v>
      </c>
      <c r="AT1111" s="173">
        <v>0.0</v>
      </c>
      <c r="AU1111" s="200">
        <f t="shared" ref="AU1111:AX1111" si="5636">countif($D1111,"*"&amp;AU$2&amp;"*")</f>
        <v>0</v>
      </c>
      <c r="AV1111" s="200">
        <f t="shared" si="5636"/>
        <v>1</v>
      </c>
      <c r="AW1111" s="200">
        <f t="shared" si="5636"/>
        <v>0</v>
      </c>
      <c r="AX1111" s="200">
        <f t="shared" si="5636"/>
        <v>0</v>
      </c>
      <c r="AY1111" s="202">
        <v>0.0</v>
      </c>
      <c r="AZ1111" s="200"/>
      <c r="BA1111" s="171" t="str">
        <f t="shared" si="18"/>
        <v/>
      </c>
      <c r="BB1111" s="171" t="str">
        <f t="shared" si="19"/>
        <v>Code</v>
      </c>
      <c r="BC1111" s="171" t="str">
        <f t="shared" si="20"/>
        <v/>
      </c>
      <c r="BD1111" s="171" t="str">
        <f t="shared" si="21"/>
        <v/>
      </c>
      <c r="BE1111" s="171" t="str">
        <f t="shared" si="22"/>
        <v/>
      </c>
      <c r="BF1111" s="171" t="str">
        <f t="shared" si="23"/>
        <v>Code</v>
      </c>
    </row>
    <row r="1112">
      <c r="A1112" s="171">
        <f t="array" ref="A1112">XLOOKUP(C1112,ICSE!A:A,ICSE!C:C,,2,1)</f>
        <v>2023</v>
      </c>
      <c r="B1112" s="171" t="s">
        <v>5675</v>
      </c>
      <c r="C1112" s="160">
        <v>2134.0</v>
      </c>
      <c r="D1112" s="161" t="s">
        <v>3104</v>
      </c>
      <c r="E1112" s="197" t="str">
        <f t="array" ref="E1112">XLOOKUP(C1112,ICSE!A:A,ICSE!Z:Z,,0,1)</f>
        <v>Publicly available (1)</v>
      </c>
      <c r="F1112" s="198" t="s">
        <v>20</v>
      </c>
      <c r="G1112" s="163" t="str">
        <f t="array" ref="G1112">IF(B1112="ICSE",IF(COUNTIFS(B:B,B1112,C:C,C1112)=XLOOKUP(C1112,ICSE!A:A,ICSE!AA:AA,"ERROR",0,1),"OK","ERROR"),IF(B1112="FSE",IF(COUNTIFS(B:B,B1112,C:C,C1112)=XLOOKUP(C1112,FSE!A:A,FSE!AA:AA,"ERROR",0,1),"OK","ERROR")))</f>
        <v>OK</v>
      </c>
      <c r="H1112" s="199">
        <f t="shared" ref="H1112:O1112" si="5637">countif($D1112,"*"&amp;H$2&amp;"*")</f>
        <v>0</v>
      </c>
      <c r="I1112" s="200">
        <f t="shared" si="5637"/>
        <v>0</v>
      </c>
      <c r="J1112" s="200">
        <f t="shared" si="5637"/>
        <v>0</v>
      </c>
      <c r="K1112" s="200">
        <f t="shared" si="5637"/>
        <v>0</v>
      </c>
      <c r="L1112" s="200">
        <f t="shared" si="5637"/>
        <v>0</v>
      </c>
      <c r="M1112" s="200">
        <f t="shared" si="5637"/>
        <v>0</v>
      </c>
      <c r="N1112" s="200">
        <f t="shared" si="5637"/>
        <v>0</v>
      </c>
      <c r="O1112" s="200">
        <f t="shared" si="5637"/>
        <v>0</v>
      </c>
      <c r="P1112" s="200">
        <f t="shared" si="9"/>
        <v>0</v>
      </c>
      <c r="Q1112" s="200">
        <f t="shared" ref="Q1112:AC1112" si="5638">countif($D1112,"*"&amp;Q$2&amp;"*")</f>
        <v>0</v>
      </c>
      <c r="R1112" s="200">
        <f t="shared" si="5638"/>
        <v>0</v>
      </c>
      <c r="S1112" s="200">
        <f t="shared" si="5638"/>
        <v>0</v>
      </c>
      <c r="T1112" s="200">
        <f t="shared" si="5638"/>
        <v>0</v>
      </c>
      <c r="U1112" s="200">
        <f t="shared" si="5638"/>
        <v>0</v>
      </c>
      <c r="V1112" s="200">
        <f t="shared" si="5638"/>
        <v>0</v>
      </c>
      <c r="W1112" s="200">
        <f t="shared" si="5638"/>
        <v>0</v>
      </c>
      <c r="X1112" s="200">
        <f t="shared" si="5638"/>
        <v>0</v>
      </c>
      <c r="Y1112" s="200">
        <f t="shared" si="5638"/>
        <v>0</v>
      </c>
      <c r="Z1112" s="200">
        <f t="shared" si="5638"/>
        <v>0</v>
      </c>
      <c r="AA1112" s="200">
        <f t="shared" si="5638"/>
        <v>1</v>
      </c>
      <c r="AB1112" s="200">
        <f t="shared" si="5638"/>
        <v>0</v>
      </c>
      <c r="AC1112" s="200">
        <f t="shared" si="5638"/>
        <v>0</v>
      </c>
      <c r="AD1112" s="200">
        <f t="shared" si="11"/>
        <v>0</v>
      </c>
      <c r="AE1112" s="200">
        <f t="shared" ref="AE1112:AG1112" si="5639">countif($D1112,"*"&amp;AE$2&amp;"*")</f>
        <v>0</v>
      </c>
      <c r="AF1112" s="200">
        <f t="shared" si="5639"/>
        <v>0</v>
      </c>
      <c r="AG1112" s="200">
        <f t="shared" si="5639"/>
        <v>0</v>
      </c>
      <c r="AH1112" s="171">
        <f t="shared" si="13"/>
        <v>0</v>
      </c>
      <c r="AI1112" s="200">
        <f t="shared" si="14"/>
        <v>0</v>
      </c>
      <c r="AJ1112" s="200">
        <f t="shared" si="5594"/>
        <v>0</v>
      </c>
      <c r="AK1112" s="201">
        <f t="shared" ref="AK1112:AS1112" si="5640">countif($D1112,"*"&amp;AK$2&amp;"*")</f>
        <v>0</v>
      </c>
      <c r="AL1112" s="201">
        <f t="shared" si="5640"/>
        <v>0</v>
      </c>
      <c r="AM1112" s="201">
        <f t="shared" si="5640"/>
        <v>0</v>
      </c>
      <c r="AN1112" s="201">
        <f t="shared" si="5640"/>
        <v>0</v>
      </c>
      <c r="AO1112" s="201">
        <f t="shared" si="5640"/>
        <v>0</v>
      </c>
      <c r="AP1112" s="201">
        <f t="shared" si="5640"/>
        <v>0</v>
      </c>
      <c r="AQ1112" s="201">
        <f t="shared" si="5640"/>
        <v>0</v>
      </c>
      <c r="AR1112" s="200">
        <f t="shared" si="5640"/>
        <v>0</v>
      </c>
      <c r="AS1112" s="200">
        <f t="shared" si="5640"/>
        <v>0</v>
      </c>
      <c r="AT1112" s="173">
        <v>0.0</v>
      </c>
      <c r="AU1112" s="200">
        <f t="shared" ref="AU1112:AX1112" si="5641">countif($D1112,"*"&amp;AU$2&amp;"*")</f>
        <v>0</v>
      </c>
      <c r="AV1112" s="200">
        <f t="shared" si="5641"/>
        <v>0</v>
      </c>
      <c r="AW1112" s="200">
        <f t="shared" si="5641"/>
        <v>0</v>
      </c>
      <c r="AX1112" s="200">
        <f t="shared" si="5641"/>
        <v>0</v>
      </c>
      <c r="AY1112" s="202">
        <v>0.0</v>
      </c>
      <c r="AZ1112" s="200"/>
      <c r="BA1112" s="171" t="str">
        <f t="shared" si="18"/>
        <v/>
      </c>
      <c r="BB1112" s="171" t="str">
        <f t="shared" si="19"/>
        <v/>
      </c>
      <c r="BC1112" s="171" t="str">
        <f t="shared" si="20"/>
        <v>General-purpose</v>
      </c>
      <c r="BD1112" s="171" t="str">
        <f t="shared" si="21"/>
        <v/>
      </c>
      <c r="BE1112" s="171" t="str">
        <f t="shared" si="22"/>
        <v/>
      </c>
      <c r="BF1112" s="171" t="str">
        <f t="shared" si="23"/>
        <v>General-purpose</v>
      </c>
    </row>
    <row r="1113">
      <c r="A1113" s="171">
        <f t="array" ref="A1113">XLOOKUP(C1113,ICSE!A:A,ICSE!C:C,,2,1)</f>
        <v>2023</v>
      </c>
      <c r="B1113" s="171" t="s">
        <v>5675</v>
      </c>
      <c r="C1113" s="160">
        <v>2135.0</v>
      </c>
      <c r="D1113" s="161" t="s">
        <v>3107</v>
      </c>
      <c r="E1113" s="197" t="str">
        <f t="array" ref="E1113">XLOOKUP(C1113,ICSE!A:A,ICSE!Z:Z,,0,1)</f>
        <v>Publicly available (1)</v>
      </c>
      <c r="F1113" s="198" t="s">
        <v>20</v>
      </c>
      <c r="G1113" s="163" t="str">
        <f t="array" ref="G1113">IF(B1113="ICSE",IF(COUNTIFS(B:B,B1113,C:C,C1113)=XLOOKUP(C1113,ICSE!A:A,ICSE!AA:AA,"ERROR",0,1),"OK","ERROR"),IF(B1113="FSE",IF(COUNTIFS(B:B,B1113,C:C,C1113)=XLOOKUP(C1113,FSE!A:A,FSE!AA:AA,"ERROR",0,1),"OK","ERROR")))</f>
        <v>OK</v>
      </c>
      <c r="H1113" s="199">
        <f t="shared" ref="H1113:O1113" si="5642">countif($D1113,"*"&amp;H$2&amp;"*")</f>
        <v>1</v>
      </c>
      <c r="I1113" s="200">
        <f t="shared" si="5642"/>
        <v>0</v>
      </c>
      <c r="J1113" s="200">
        <f t="shared" si="5642"/>
        <v>0</v>
      </c>
      <c r="K1113" s="200">
        <f t="shared" si="5642"/>
        <v>0</v>
      </c>
      <c r="L1113" s="200">
        <f t="shared" si="5642"/>
        <v>0</v>
      </c>
      <c r="M1113" s="200">
        <f t="shared" si="5642"/>
        <v>0</v>
      </c>
      <c r="N1113" s="200">
        <f t="shared" si="5642"/>
        <v>0</v>
      </c>
      <c r="O1113" s="200">
        <f t="shared" si="5642"/>
        <v>0</v>
      </c>
      <c r="P1113" s="200">
        <f t="shared" si="9"/>
        <v>0</v>
      </c>
      <c r="Q1113" s="200">
        <f t="shared" ref="Q1113:AC1113" si="5643">countif($D1113,"*"&amp;Q$2&amp;"*")</f>
        <v>0</v>
      </c>
      <c r="R1113" s="200">
        <f t="shared" si="5643"/>
        <v>0</v>
      </c>
      <c r="S1113" s="200">
        <f t="shared" si="5643"/>
        <v>0</v>
      </c>
      <c r="T1113" s="200">
        <f t="shared" si="5643"/>
        <v>0</v>
      </c>
      <c r="U1113" s="200">
        <f t="shared" si="5643"/>
        <v>0</v>
      </c>
      <c r="V1113" s="200">
        <f t="shared" si="5643"/>
        <v>0</v>
      </c>
      <c r="W1113" s="200">
        <f t="shared" si="5643"/>
        <v>0</v>
      </c>
      <c r="X1113" s="200">
        <f t="shared" si="5643"/>
        <v>0</v>
      </c>
      <c r="Y1113" s="200">
        <f t="shared" si="5643"/>
        <v>0</v>
      </c>
      <c r="Z1113" s="200">
        <f t="shared" si="5643"/>
        <v>0</v>
      </c>
      <c r="AA1113" s="200">
        <f t="shared" si="5643"/>
        <v>0</v>
      </c>
      <c r="AB1113" s="200">
        <f t="shared" si="5643"/>
        <v>0</v>
      </c>
      <c r="AC1113" s="200">
        <f t="shared" si="5643"/>
        <v>0</v>
      </c>
      <c r="AD1113" s="200">
        <f t="shared" si="11"/>
        <v>0</v>
      </c>
      <c r="AE1113" s="200">
        <f t="shared" ref="AE1113:AG1113" si="5644">countif($D1113,"*"&amp;AE$2&amp;"*")</f>
        <v>0</v>
      </c>
      <c r="AF1113" s="200">
        <f t="shared" si="5644"/>
        <v>0</v>
      </c>
      <c r="AG1113" s="200">
        <f t="shared" si="5644"/>
        <v>0</v>
      </c>
      <c r="AH1113" s="171">
        <f t="shared" si="13"/>
        <v>0</v>
      </c>
      <c r="AI1113" s="200">
        <f t="shared" si="14"/>
        <v>1</v>
      </c>
      <c r="AJ1113" s="200">
        <f t="shared" si="5594"/>
        <v>0</v>
      </c>
      <c r="AK1113" s="201">
        <f t="shared" ref="AK1113:AS1113" si="5645">countif($D1113,"*"&amp;AK$2&amp;"*")</f>
        <v>0</v>
      </c>
      <c r="AL1113" s="201">
        <f t="shared" si="5645"/>
        <v>0</v>
      </c>
      <c r="AM1113" s="201">
        <f t="shared" si="5645"/>
        <v>0</v>
      </c>
      <c r="AN1113" s="201">
        <f t="shared" si="5645"/>
        <v>0</v>
      </c>
      <c r="AO1113" s="201">
        <f t="shared" si="5645"/>
        <v>0</v>
      </c>
      <c r="AP1113" s="201">
        <f t="shared" si="5645"/>
        <v>0</v>
      </c>
      <c r="AQ1113" s="201">
        <f t="shared" si="5645"/>
        <v>0</v>
      </c>
      <c r="AR1113" s="200">
        <f t="shared" si="5645"/>
        <v>0</v>
      </c>
      <c r="AS1113" s="200">
        <f t="shared" si="5645"/>
        <v>0</v>
      </c>
      <c r="AT1113" s="173">
        <v>0.0</v>
      </c>
      <c r="AU1113" s="200">
        <f t="shared" ref="AU1113:AX1113" si="5646">countif($D1113,"*"&amp;AU$2&amp;"*")</f>
        <v>0</v>
      </c>
      <c r="AV1113" s="200">
        <f t="shared" si="5646"/>
        <v>0</v>
      </c>
      <c r="AW1113" s="200">
        <f t="shared" si="5646"/>
        <v>0</v>
      </c>
      <c r="AX1113" s="200">
        <f t="shared" si="5646"/>
        <v>1</v>
      </c>
      <c r="AY1113" s="202">
        <v>0.0</v>
      </c>
      <c r="AZ1113" s="200"/>
      <c r="BA1113" s="171" t="str">
        <f t="shared" si="18"/>
        <v>Archival</v>
      </c>
      <c r="BB1113" s="171" t="str">
        <f t="shared" si="19"/>
        <v/>
      </c>
      <c r="BC1113" s="171" t="str">
        <f t="shared" si="20"/>
        <v/>
      </c>
      <c r="BD1113" s="171" t="str">
        <f t="shared" si="21"/>
        <v/>
      </c>
      <c r="BE1113" s="171" t="str">
        <f t="shared" si="22"/>
        <v/>
      </c>
      <c r="BF1113" s="171" t="str">
        <f t="shared" si="23"/>
        <v>Archival</v>
      </c>
    </row>
    <row r="1114">
      <c r="A1114" s="171">
        <f t="array" ref="A1114">XLOOKUP(C1114,ICSE!A:A,ICSE!C:C,,2,1)</f>
        <v>2023</v>
      </c>
      <c r="B1114" s="171" t="s">
        <v>5675</v>
      </c>
      <c r="C1114" s="160">
        <v>2136.0</v>
      </c>
      <c r="D1114" s="161" t="s">
        <v>6129</v>
      </c>
      <c r="E1114" s="197" t="str">
        <f t="array" ref="E1114">XLOOKUP(C1114,ICSE!A:A,ICSE!Z:Z,,0,1)</f>
        <v>Publicly available (2)</v>
      </c>
      <c r="F1114" s="198" t="s">
        <v>20</v>
      </c>
      <c r="G1114" s="163" t="str">
        <f t="array" ref="G1114">IF(B1114="ICSE",IF(COUNTIFS(B:B,B1114,C:C,C1114)=XLOOKUP(C1114,ICSE!A:A,ICSE!AA:AA,"ERROR",0,1),"OK","ERROR"),IF(B1114="FSE",IF(COUNTIFS(B:B,B1114,C:C,C1114)=XLOOKUP(C1114,FSE!A:A,FSE!AA:AA,"ERROR",0,1),"OK","ERROR")))</f>
        <v>OK</v>
      </c>
      <c r="H1114" s="199">
        <f t="shared" ref="H1114:O1114" si="5647">countif($D1114,"*"&amp;H$2&amp;"*")</f>
        <v>1</v>
      </c>
      <c r="I1114" s="200">
        <f t="shared" si="5647"/>
        <v>0</v>
      </c>
      <c r="J1114" s="200">
        <f t="shared" si="5647"/>
        <v>0</v>
      </c>
      <c r="K1114" s="200">
        <f t="shared" si="5647"/>
        <v>0</v>
      </c>
      <c r="L1114" s="200">
        <f t="shared" si="5647"/>
        <v>0</v>
      </c>
      <c r="M1114" s="200">
        <f t="shared" si="5647"/>
        <v>0</v>
      </c>
      <c r="N1114" s="200">
        <f t="shared" si="5647"/>
        <v>0</v>
      </c>
      <c r="O1114" s="200">
        <f t="shared" si="5647"/>
        <v>0</v>
      </c>
      <c r="P1114" s="200">
        <f t="shared" si="9"/>
        <v>0</v>
      </c>
      <c r="Q1114" s="200">
        <f t="shared" ref="Q1114:AC1114" si="5648">countif($D1114,"*"&amp;Q$2&amp;"*")</f>
        <v>0</v>
      </c>
      <c r="R1114" s="200">
        <f t="shared" si="5648"/>
        <v>0</v>
      </c>
      <c r="S1114" s="200">
        <f t="shared" si="5648"/>
        <v>0</v>
      </c>
      <c r="T1114" s="200">
        <f t="shared" si="5648"/>
        <v>0</v>
      </c>
      <c r="U1114" s="200">
        <f t="shared" si="5648"/>
        <v>0</v>
      </c>
      <c r="V1114" s="200">
        <f t="shared" si="5648"/>
        <v>0</v>
      </c>
      <c r="W1114" s="200">
        <f t="shared" si="5648"/>
        <v>0</v>
      </c>
      <c r="X1114" s="200">
        <f t="shared" si="5648"/>
        <v>0</v>
      </c>
      <c r="Y1114" s="200">
        <f t="shared" si="5648"/>
        <v>0</v>
      </c>
      <c r="Z1114" s="200">
        <f t="shared" si="5648"/>
        <v>0</v>
      </c>
      <c r="AA1114" s="200">
        <f t="shared" si="5648"/>
        <v>0</v>
      </c>
      <c r="AB1114" s="200">
        <f t="shared" si="5648"/>
        <v>0</v>
      </c>
      <c r="AC1114" s="200">
        <f t="shared" si="5648"/>
        <v>0</v>
      </c>
      <c r="AD1114" s="200">
        <f t="shared" si="11"/>
        <v>0</v>
      </c>
      <c r="AE1114" s="200">
        <f t="shared" ref="AE1114:AG1114" si="5649">countif($D1114,"*"&amp;AE$2&amp;"*")</f>
        <v>0</v>
      </c>
      <c r="AF1114" s="200">
        <f t="shared" si="5649"/>
        <v>0</v>
      </c>
      <c r="AG1114" s="200">
        <f t="shared" si="5649"/>
        <v>0</v>
      </c>
      <c r="AH1114" s="171">
        <f t="shared" si="13"/>
        <v>0</v>
      </c>
      <c r="AI1114" s="200">
        <f t="shared" si="14"/>
        <v>1</v>
      </c>
      <c r="AJ1114" s="200">
        <f t="shared" si="5594"/>
        <v>0</v>
      </c>
      <c r="AK1114" s="201">
        <f t="shared" ref="AK1114:AS1114" si="5650">countif($D1114,"*"&amp;AK$2&amp;"*")</f>
        <v>0</v>
      </c>
      <c r="AL1114" s="201">
        <f t="shared" si="5650"/>
        <v>0</v>
      </c>
      <c r="AM1114" s="201">
        <f t="shared" si="5650"/>
        <v>0</v>
      </c>
      <c r="AN1114" s="201">
        <f t="shared" si="5650"/>
        <v>0</v>
      </c>
      <c r="AO1114" s="201">
        <f t="shared" si="5650"/>
        <v>0</v>
      </c>
      <c r="AP1114" s="201">
        <f t="shared" si="5650"/>
        <v>0</v>
      </c>
      <c r="AQ1114" s="201">
        <f t="shared" si="5650"/>
        <v>0</v>
      </c>
      <c r="AR1114" s="200">
        <f t="shared" si="5650"/>
        <v>0</v>
      </c>
      <c r="AS1114" s="200">
        <f t="shared" si="5650"/>
        <v>0</v>
      </c>
      <c r="AT1114" s="173">
        <v>0.0</v>
      </c>
      <c r="AU1114" s="200">
        <f t="shared" ref="AU1114:AX1114" si="5651">countif($D1114,"*"&amp;AU$2&amp;"*")</f>
        <v>0</v>
      </c>
      <c r="AV1114" s="200">
        <f t="shared" si="5651"/>
        <v>0</v>
      </c>
      <c r="AW1114" s="200">
        <f t="shared" si="5651"/>
        <v>0</v>
      </c>
      <c r="AX1114" s="200">
        <f t="shared" si="5651"/>
        <v>1</v>
      </c>
      <c r="AY1114" s="202">
        <v>0.0</v>
      </c>
      <c r="AZ1114" s="200"/>
      <c r="BA1114" s="171" t="str">
        <f t="shared" si="18"/>
        <v>Archival</v>
      </c>
      <c r="BB1114" s="171" t="str">
        <f t="shared" si="19"/>
        <v/>
      </c>
      <c r="BC1114" s="171" t="str">
        <f t="shared" si="20"/>
        <v/>
      </c>
      <c r="BD1114" s="171" t="str">
        <f t="shared" si="21"/>
        <v/>
      </c>
      <c r="BE1114" s="171" t="str">
        <f t="shared" si="22"/>
        <v/>
      </c>
      <c r="BF1114" s="171" t="str">
        <f t="shared" si="23"/>
        <v>Archival</v>
      </c>
    </row>
    <row r="1115">
      <c r="A1115" s="171">
        <f t="array" ref="A1115">XLOOKUP(C1115,ICSE!A:A,ICSE!C:C,,2,1)</f>
        <v>2023</v>
      </c>
      <c r="B1115" s="171" t="s">
        <v>5675</v>
      </c>
      <c r="C1115" s="160">
        <v>2136.0</v>
      </c>
      <c r="D1115" s="161" t="s">
        <v>6130</v>
      </c>
      <c r="E1115" s="197" t="str">
        <f t="array" ref="E1115">XLOOKUP(C1115,ICSE!A:A,ICSE!Z:Z,,0,1)</f>
        <v>Publicly available (2)</v>
      </c>
      <c r="F1115" s="198" t="s">
        <v>20</v>
      </c>
      <c r="G1115" s="163" t="str">
        <f t="array" ref="G1115">IF(B1115="ICSE",IF(COUNTIFS(B:B,B1115,C:C,C1115)=XLOOKUP(C1115,ICSE!A:A,ICSE!AA:AA,"ERROR",0,1),"OK","ERROR"),IF(B1115="FSE",IF(COUNTIFS(B:B,B1115,C:C,C1115)=XLOOKUP(C1115,FSE!A:A,FSE!AA:AA,"ERROR",0,1),"OK","ERROR")))</f>
        <v>OK</v>
      </c>
      <c r="H1115" s="199">
        <f t="shared" ref="H1115:O1115" si="5652">countif($D1115,"*"&amp;H$2&amp;"*")</f>
        <v>0</v>
      </c>
      <c r="I1115" s="200">
        <f t="shared" si="5652"/>
        <v>0</v>
      </c>
      <c r="J1115" s="200">
        <f t="shared" si="5652"/>
        <v>0</v>
      </c>
      <c r="K1115" s="200">
        <f t="shared" si="5652"/>
        <v>0</v>
      </c>
      <c r="L1115" s="200">
        <f t="shared" si="5652"/>
        <v>0</v>
      </c>
      <c r="M1115" s="200">
        <f t="shared" si="5652"/>
        <v>0</v>
      </c>
      <c r="N1115" s="200">
        <f t="shared" si="5652"/>
        <v>0</v>
      </c>
      <c r="O1115" s="200">
        <f t="shared" si="5652"/>
        <v>0</v>
      </c>
      <c r="P1115" s="200">
        <f t="shared" si="9"/>
        <v>1</v>
      </c>
      <c r="Q1115" s="200">
        <f t="shared" ref="Q1115:AC1115" si="5653">countif($D1115,"*"&amp;Q$2&amp;"*")</f>
        <v>0</v>
      </c>
      <c r="R1115" s="200">
        <f t="shared" si="5653"/>
        <v>0</v>
      </c>
      <c r="S1115" s="200">
        <f t="shared" si="5653"/>
        <v>0</v>
      </c>
      <c r="T1115" s="200">
        <f t="shared" si="5653"/>
        <v>0</v>
      </c>
      <c r="U1115" s="200">
        <f t="shared" si="5653"/>
        <v>0</v>
      </c>
      <c r="V1115" s="200">
        <f t="shared" si="5653"/>
        <v>0</v>
      </c>
      <c r="W1115" s="200">
        <f t="shared" si="5653"/>
        <v>0</v>
      </c>
      <c r="X1115" s="200">
        <f t="shared" si="5653"/>
        <v>0</v>
      </c>
      <c r="Y1115" s="200">
        <f t="shared" si="5653"/>
        <v>0</v>
      </c>
      <c r="Z1115" s="200">
        <f t="shared" si="5653"/>
        <v>0</v>
      </c>
      <c r="AA1115" s="200">
        <f t="shared" si="5653"/>
        <v>0</v>
      </c>
      <c r="AB1115" s="200">
        <f t="shared" si="5653"/>
        <v>0</v>
      </c>
      <c r="AC1115" s="200">
        <f t="shared" si="5653"/>
        <v>0</v>
      </c>
      <c r="AD1115" s="200">
        <f t="shared" si="11"/>
        <v>0</v>
      </c>
      <c r="AE1115" s="200">
        <f t="shared" ref="AE1115:AG1115" si="5654">countif($D1115,"*"&amp;AE$2&amp;"*")</f>
        <v>0</v>
      </c>
      <c r="AF1115" s="200">
        <f t="shared" si="5654"/>
        <v>0</v>
      </c>
      <c r="AG1115" s="200">
        <f t="shared" si="5654"/>
        <v>0</v>
      </c>
      <c r="AH1115" s="171">
        <f t="shared" si="13"/>
        <v>0</v>
      </c>
      <c r="AI1115" s="200">
        <f t="shared" si="14"/>
        <v>0</v>
      </c>
      <c r="AJ1115" s="200">
        <f t="shared" si="5594"/>
        <v>0</v>
      </c>
      <c r="AK1115" s="201">
        <f t="shared" ref="AK1115:AS1115" si="5655">countif($D1115,"*"&amp;AK$2&amp;"*")</f>
        <v>0</v>
      </c>
      <c r="AL1115" s="201">
        <f t="shared" si="5655"/>
        <v>0</v>
      </c>
      <c r="AM1115" s="201">
        <f t="shared" si="5655"/>
        <v>0</v>
      </c>
      <c r="AN1115" s="201">
        <f t="shared" si="5655"/>
        <v>0</v>
      </c>
      <c r="AO1115" s="201">
        <f t="shared" si="5655"/>
        <v>0</v>
      </c>
      <c r="AP1115" s="201">
        <f t="shared" si="5655"/>
        <v>0</v>
      </c>
      <c r="AQ1115" s="201">
        <f t="shared" si="5655"/>
        <v>0</v>
      </c>
      <c r="AR1115" s="200">
        <f t="shared" si="5655"/>
        <v>0</v>
      </c>
      <c r="AS1115" s="200">
        <f t="shared" si="5655"/>
        <v>0</v>
      </c>
      <c r="AT1115" s="173">
        <v>0.0</v>
      </c>
      <c r="AU1115" s="200">
        <f t="shared" ref="AU1115:AX1115" si="5656">countif($D1115,"*"&amp;AU$2&amp;"*")</f>
        <v>0</v>
      </c>
      <c r="AV1115" s="200">
        <f t="shared" si="5656"/>
        <v>1</v>
      </c>
      <c r="AW1115" s="200">
        <f t="shared" si="5656"/>
        <v>0</v>
      </c>
      <c r="AX1115" s="200">
        <f t="shared" si="5656"/>
        <v>0</v>
      </c>
      <c r="AY1115" s="202">
        <v>0.0</v>
      </c>
      <c r="AZ1115" s="200"/>
      <c r="BA1115" s="171" t="str">
        <f t="shared" si="18"/>
        <v/>
      </c>
      <c r="BB1115" s="171" t="str">
        <f t="shared" si="19"/>
        <v>Code</v>
      </c>
      <c r="BC1115" s="171" t="str">
        <f t="shared" si="20"/>
        <v/>
      </c>
      <c r="BD1115" s="171" t="str">
        <f t="shared" si="21"/>
        <v/>
      </c>
      <c r="BE1115" s="171" t="str">
        <f t="shared" si="22"/>
        <v/>
      </c>
      <c r="BF1115" s="171" t="str">
        <f t="shared" si="23"/>
        <v>Code</v>
      </c>
    </row>
    <row r="1116">
      <c r="A1116" s="171">
        <f t="array" ref="A1116">XLOOKUP(C1116,ICSE!A:A,ICSE!C:C,,2,1)</f>
        <v>2023</v>
      </c>
      <c r="B1116" s="171" t="s">
        <v>5675</v>
      </c>
      <c r="C1116" s="160">
        <v>2137.0</v>
      </c>
      <c r="D1116" s="161" t="s">
        <v>3114</v>
      </c>
      <c r="E1116" s="197" t="str">
        <f t="array" ref="E1116">XLOOKUP(C1116,ICSE!A:A,ICSE!Z:Z,,0,1)</f>
        <v>Publicly available (1)</v>
      </c>
      <c r="F1116" s="198" t="s">
        <v>20</v>
      </c>
      <c r="G1116" s="163" t="str">
        <f t="array" ref="G1116">IF(B1116="ICSE",IF(COUNTIFS(B:B,B1116,C:C,C1116)=XLOOKUP(C1116,ICSE!A:A,ICSE!AA:AA,"ERROR",0,1),"OK","ERROR"),IF(B1116="FSE",IF(COUNTIFS(B:B,B1116,C:C,C1116)=XLOOKUP(C1116,FSE!A:A,FSE!AA:AA,"ERROR",0,1),"OK","ERROR")))</f>
        <v>OK</v>
      </c>
      <c r="H1116" s="199">
        <f t="shared" ref="H1116:O1116" si="5657">countif($D1116,"*"&amp;H$2&amp;"*")</f>
        <v>0</v>
      </c>
      <c r="I1116" s="200">
        <f t="shared" si="5657"/>
        <v>0</v>
      </c>
      <c r="J1116" s="200">
        <f t="shared" si="5657"/>
        <v>0</v>
      </c>
      <c r="K1116" s="200">
        <f t="shared" si="5657"/>
        <v>0</v>
      </c>
      <c r="L1116" s="200">
        <f t="shared" si="5657"/>
        <v>0</v>
      </c>
      <c r="M1116" s="200">
        <f t="shared" si="5657"/>
        <v>0</v>
      </c>
      <c r="N1116" s="200">
        <f t="shared" si="5657"/>
        <v>0</v>
      </c>
      <c r="O1116" s="200">
        <f t="shared" si="5657"/>
        <v>0</v>
      </c>
      <c r="P1116" s="200">
        <f t="shared" si="9"/>
        <v>1</v>
      </c>
      <c r="Q1116" s="200">
        <f t="shared" ref="Q1116:AC1116" si="5658">countif($D1116,"*"&amp;Q$2&amp;"*")</f>
        <v>0</v>
      </c>
      <c r="R1116" s="200">
        <f t="shared" si="5658"/>
        <v>0</v>
      </c>
      <c r="S1116" s="200">
        <f t="shared" si="5658"/>
        <v>0</v>
      </c>
      <c r="T1116" s="200">
        <f t="shared" si="5658"/>
        <v>0</v>
      </c>
      <c r="U1116" s="200">
        <f t="shared" si="5658"/>
        <v>0</v>
      </c>
      <c r="V1116" s="200">
        <f t="shared" si="5658"/>
        <v>0</v>
      </c>
      <c r="W1116" s="200">
        <f t="shared" si="5658"/>
        <v>0</v>
      </c>
      <c r="X1116" s="200">
        <f t="shared" si="5658"/>
        <v>0</v>
      </c>
      <c r="Y1116" s="200">
        <f t="shared" si="5658"/>
        <v>0</v>
      </c>
      <c r="Z1116" s="200">
        <f t="shared" si="5658"/>
        <v>0</v>
      </c>
      <c r="AA1116" s="200">
        <f t="shared" si="5658"/>
        <v>0</v>
      </c>
      <c r="AB1116" s="200">
        <f t="shared" si="5658"/>
        <v>0</v>
      </c>
      <c r="AC1116" s="200">
        <f t="shared" si="5658"/>
        <v>0</v>
      </c>
      <c r="AD1116" s="200">
        <f t="shared" si="11"/>
        <v>0</v>
      </c>
      <c r="AE1116" s="200">
        <f t="shared" ref="AE1116:AG1116" si="5659">countif($D1116,"*"&amp;AE$2&amp;"*")</f>
        <v>0</v>
      </c>
      <c r="AF1116" s="200">
        <f t="shared" si="5659"/>
        <v>0</v>
      </c>
      <c r="AG1116" s="200">
        <f t="shared" si="5659"/>
        <v>0</v>
      </c>
      <c r="AH1116" s="171">
        <f t="shared" si="13"/>
        <v>0</v>
      </c>
      <c r="AI1116" s="200">
        <f t="shared" si="14"/>
        <v>0</v>
      </c>
      <c r="AJ1116" s="200">
        <f t="shared" si="5594"/>
        <v>0</v>
      </c>
      <c r="AK1116" s="201">
        <f t="shared" ref="AK1116:AS1116" si="5660">countif($D1116,"*"&amp;AK$2&amp;"*")</f>
        <v>0</v>
      </c>
      <c r="AL1116" s="201">
        <f t="shared" si="5660"/>
        <v>0</v>
      </c>
      <c r="AM1116" s="201">
        <f t="shared" si="5660"/>
        <v>0</v>
      </c>
      <c r="AN1116" s="201">
        <f t="shared" si="5660"/>
        <v>0</v>
      </c>
      <c r="AO1116" s="201">
        <f t="shared" si="5660"/>
        <v>0</v>
      </c>
      <c r="AP1116" s="201">
        <f t="shared" si="5660"/>
        <v>0</v>
      </c>
      <c r="AQ1116" s="201">
        <f t="shared" si="5660"/>
        <v>0</v>
      </c>
      <c r="AR1116" s="200">
        <f t="shared" si="5660"/>
        <v>0</v>
      </c>
      <c r="AS1116" s="200">
        <f t="shared" si="5660"/>
        <v>0</v>
      </c>
      <c r="AT1116" s="173">
        <v>0.0</v>
      </c>
      <c r="AU1116" s="200">
        <f t="shared" ref="AU1116:AX1116" si="5661">countif($D1116,"*"&amp;AU$2&amp;"*")</f>
        <v>0</v>
      </c>
      <c r="AV1116" s="200">
        <f t="shared" si="5661"/>
        <v>1</v>
      </c>
      <c r="AW1116" s="200">
        <f t="shared" si="5661"/>
        <v>0</v>
      </c>
      <c r="AX1116" s="200">
        <f t="shared" si="5661"/>
        <v>0</v>
      </c>
      <c r="AY1116" s="202">
        <v>0.0</v>
      </c>
      <c r="AZ1116" s="200"/>
      <c r="BA1116" s="171" t="str">
        <f t="shared" si="18"/>
        <v/>
      </c>
      <c r="BB1116" s="171" t="str">
        <f t="shared" si="19"/>
        <v>Code</v>
      </c>
      <c r="BC1116" s="171" t="str">
        <f t="shared" si="20"/>
        <v/>
      </c>
      <c r="BD1116" s="171" t="str">
        <f t="shared" si="21"/>
        <v/>
      </c>
      <c r="BE1116" s="171" t="str">
        <f t="shared" si="22"/>
        <v/>
      </c>
      <c r="BF1116" s="171" t="str">
        <f t="shared" si="23"/>
        <v>Code</v>
      </c>
    </row>
    <row r="1117">
      <c r="A1117" s="171">
        <f t="array" ref="A1117">XLOOKUP(C1117,ICSE!A:A,ICSE!C:C,,2,1)</f>
        <v>2023</v>
      </c>
      <c r="B1117" s="171" t="s">
        <v>5675</v>
      </c>
      <c r="C1117" s="160">
        <v>2138.0</v>
      </c>
      <c r="D1117" s="161" t="s">
        <v>3116</v>
      </c>
      <c r="E1117" s="197" t="str">
        <f t="array" ref="E1117">XLOOKUP(C1117,ICSE!A:A,ICSE!Z:Z,,0,1)</f>
        <v>Publicly available (1)</v>
      </c>
      <c r="F1117" s="198" t="s">
        <v>20</v>
      </c>
      <c r="G1117" s="163" t="str">
        <f t="array" ref="G1117">IF(B1117="ICSE",IF(COUNTIFS(B:B,B1117,C:C,C1117)=XLOOKUP(C1117,ICSE!A:A,ICSE!AA:AA,"ERROR",0,1),"OK","ERROR"),IF(B1117="FSE",IF(COUNTIFS(B:B,B1117,C:C,C1117)=XLOOKUP(C1117,FSE!A:A,FSE!AA:AA,"ERROR",0,1),"OK","ERROR")))</f>
        <v>OK</v>
      </c>
      <c r="H1117" s="199">
        <f t="shared" ref="H1117:O1117" si="5662">countif($D1117,"*"&amp;H$2&amp;"*")</f>
        <v>1</v>
      </c>
      <c r="I1117" s="200">
        <f t="shared" si="5662"/>
        <v>0</v>
      </c>
      <c r="J1117" s="200">
        <f t="shared" si="5662"/>
        <v>0</v>
      </c>
      <c r="K1117" s="200">
        <f t="shared" si="5662"/>
        <v>0</v>
      </c>
      <c r="L1117" s="200">
        <f t="shared" si="5662"/>
        <v>0</v>
      </c>
      <c r="M1117" s="200">
        <f t="shared" si="5662"/>
        <v>0</v>
      </c>
      <c r="N1117" s="200">
        <f t="shared" si="5662"/>
        <v>0</v>
      </c>
      <c r="O1117" s="200">
        <f t="shared" si="5662"/>
        <v>0</v>
      </c>
      <c r="P1117" s="200">
        <f t="shared" si="9"/>
        <v>0</v>
      </c>
      <c r="Q1117" s="200">
        <f t="shared" ref="Q1117:AC1117" si="5663">countif($D1117,"*"&amp;Q$2&amp;"*")</f>
        <v>0</v>
      </c>
      <c r="R1117" s="200">
        <f t="shared" si="5663"/>
        <v>0</v>
      </c>
      <c r="S1117" s="200">
        <f t="shared" si="5663"/>
        <v>0</v>
      </c>
      <c r="T1117" s="200">
        <f t="shared" si="5663"/>
        <v>0</v>
      </c>
      <c r="U1117" s="200">
        <f t="shared" si="5663"/>
        <v>0</v>
      </c>
      <c r="V1117" s="200">
        <f t="shared" si="5663"/>
        <v>0</v>
      </c>
      <c r="W1117" s="200">
        <f t="shared" si="5663"/>
        <v>0</v>
      </c>
      <c r="X1117" s="200">
        <f t="shared" si="5663"/>
        <v>0</v>
      </c>
      <c r="Y1117" s="200">
        <f t="shared" si="5663"/>
        <v>0</v>
      </c>
      <c r="Z1117" s="200">
        <f t="shared" si="5663"/>
        <v>0</v>
      </c>
      <c r="AA1117" s="200">
        <f t="shared" si="5663"/>
        <v>0</v>
      </c>
      <c r="AB1117" s="200">
        <f t="shared" si="5663"/>
        <v>0</v>
      </c>
      <c r="AC1117" s="200">
        <f t="shared" si="5663"/>
        <v>0</v>
      </c>
      <c r="AD1117" s="200">
        <f t="shared" si="11"/>
        <v>0</v>
      </c>
      <c r="AE1117" s="200">
        <f t="shared" ref="AE1117:AG1117" si="5664">countif($D1117,"*"&amp;AE$2&amp;"*")</f>
        <v>0</v>
      </c>
      <c r="AF1117" s="200">
        <f t="shared" si="5664"/>
        <v>0</v>
      </c>
      <c r="AG1117" s="200">
        <f t="shared" si="5664"/>
        <v>0</v>
      </c>
      <c r="AH1117" s="171">
        <f t="shared" si="13"/>
        <v>0</v>
      </c>
      <c r="AI1117" s="200">
        <f t="shared" si="14"/>
        <v>1</v>
      </c>
      <c r="AJ1117" s="200">
        <f t="shared" si="5594"/>
        <v>0</v>
      </c>
      <c r="AK1117" s="201">
        <f t="shared" ref="AK1117:AS1117" si="5665">countif($D1117,"*"&amp;AK$2&amp;"*")</f>
        <v>0</v>
      </c>
      <c r="AL1117" s="201">
        <f t="shared" si="5665"/>
        <v>0</v>
      </c>
      <c r="AM1117" s="201">
        <f t="shared" si="5665"/>
        <v>0</v>
      </c>
      <c r="AN1117" s="201">
        <f t="shared" si="5665"/>
        <v>0</v>
      </c>
      <c r="AO1117" s="201">
        <f t="shared" si="5665"/>
        <v>0</v>
      </c>
      <c r="AP1117" s="201">
        <f t="shared" si="5665"/>
        <v>0</v>
      </c>
      <c r="AQ1117" s="201">
        <f t="shared" si="5665"/>
        <v>0</v>
      </c>
      <c r="AR1117" s="200">
        <f t="shared" si="5665"/>
        <v>0</v>
      </c>
      <c r="AS1117" s="200">
        <f t="shared" si="5665"/>
        <v>0</v>
      </c>
      <c r="AT1117" s="173">
        <v>0.0</v>
      </c>
      <c r="AU1117" s="200">
        <f t="shared" ref="AU1117:AX1117" si="5666">countif($D1117,"*"&amp;AU$2&amp;"*")</f>
        <v>0</v>
      </c>
      <c r="AV1117" s="200">
        <f t="shared" si="5666"/>
        <v>0</v>
      </c>
      <c r="AW1117" s="200">
        <f t="shared" si="5666"/>
        <v>0</v>
      </c>
      <c r="AX1117" s="200">
        <f t="shared" si="5666"/>
        <v>1</v>
      </c>
      <c r="AY1117" s="202">
        <v>0.0</v>
      </c>
      <c r="AZ1117" s="200"/>
      <c r="BA1117" s="171" t="str">
        <f t="shared" si="18"/>
        <v>Archival</v>
      </c>
      <c r="BB1117" s="171" t="str">
        <f t="shared" si="19"/>
        <v/>
      </c>
      <c r="BC1117" s="171" t="str">
        <f t="shared" si="20"/>
        <v/>
      </c>
      <c r="BD1117" s="171" t="str">
        <f t="shared" si="21"/>
        <v/>
      </c>
      <c r="BE1117" s="171" t="str">
        <f t="shared" si="22"/>
        <v/>
      </c>
      <c r="BF1117" s="171" t="str">
        <f t="shared" si="23"/>
        <v>Archival</v>
      </c>
    </row>
    <row r="1118">
      <c r="A1118" s="171">
        <f t="array" ref="A1118">XLOOKUP(C1118,ICSE!A:A,ICSE!C:C,,2,1)</f>
        <v>2023</v>
      </c>
      <c r="B1118" s="171" t="s">
        <v>5675</v>
      </c>
      <c r="C1118" s="160">
        <v>2139.0</v>
      </c>
      <c r="D1118" s="161" t="s">
        <v>3119</v>
      </c>
      <c r="E1118" s="197" t="str">
        <f t="array" ref="E1118">XLOOKUP(C1118,ICSE!A:A,ICSE!Z:Z,,0,1)</f>
        <v>Publicly available (1)</v>
      </c>
      <c r="F1118" s="198" t="s">
        <v>20</v>
      </c>
      <c r="G1118" s="163" t="str">
        <f t="array" ref="G1118">IF(B1118="ICSE",IF(COUNTIFS(B:B,B1118,C:C,C1118)=XLOOKUP(C1118,ICSE!A:A,ICSE!AA:AA,"ERROR",0,1),"OK","ERROR"),IF(B1118="FSE",IF(COUNTIFS(B:B,B1118,C:C,C1118)=XLOOKUP(C1118,FSE!A:A,FSE!AA:AA,"ERROR",0,1),"OK","ERROR")))</f>
        <v>OK</v>
      </c>
      <c r="H1118" s="199">
        <f t="shared" ref="H1118:O1118" si="5667">countif($D1118,"*"&amp;H$2&amp;"*")</f>
        <v>0</v>
      </c>
      <c r="I1118" s="200">
        <f t="shared" si="5667"/>
        <v>0</v>
      </c>
      <c r="J1118" s="200">
        <f t="shared" si="5667"/>
        <v>0</v>
      </c>
      <c r="K1118" s="200">
        <f t="shared" si="5667"/>
        <v>0</v>
      </c>
      <c r="L1118" s="200">
        <f t="shared" si="5667"/>
        <v>0</v>
      </c>
      <c r="M1118" s="200">
        <f t="shared" si="5667"/>
        <v>0</v>
      </c>
      <c r="N1118" s="200">
        <f t="shared" si="5667"/>
        <v>0</v>
      </c>
      <c r="O1118" s="200">
        <f t="shared" si="5667"/>
        <v>0</v>
      </c>
      <c r="P1118" s="200">
        <f t="shared" si="9"/>
        <v>1</v>
      </c>
      <c r="Q1118" s="200">
        <f t="shared" ref="Q1118:AC1118" si="5668">countif($D1118,"*"&amp;Q$2&amp;"*")</f>
        <v>0</v>
      </c>
      <c r="R1118" s="200">
        <f t="shared" si="5668"/>
        <v>0</v>
      </c>
      <c r="S1118" s="200">
        <f t="shared" si="5668"/>
        <v>0</v>
      </c>
      <c r="T1118" s="200">
        <f t="shared" si="5668"/>
        <v>0</v>
      </c>
      <c r="U1118" s="200">
        <f t="shared" si="5668"/>
        <v>0</v>
      </c>
      <c r="V1118" s="200">
        <f t="shared" si="5668"/>
        <v>0</v>
      </c>
      <c r="W1118" s="200">
        <f t="shared" si="5668"/>
        <v>0</v>
      </c>
      <c r="X1118" s="200">
        <f t="shared" si="5668"/>
        <v>0</v>
      </c>
      <c r="Y1118" s="200">
        <f t="shared" si="5668"/>
        <v>0</v>
      </c>
      <c r="Z1118" s="200">
        <f t="shared" si="5668"/>
        <v>0</v>
      </c>
      <c r="AA1118" s="200">
        <f t="shared" si="5668"/>
        <v>0</v>
      </c>
      <c r="AB1118" s="200">
        <f t="shared" si="5668"/>
        <v>0</v>
      </c>
      <c r="AC1118" s="200">
        <f t="shared" si="5668"/>
        <v>0</v>
      </c>
      <c r="AD1118" s="200">
        <f t="shared" si="11"/>
        <v>0</v>
      </c>
      <c r="AE1118" s="200">
        <f t="shared" ref="AE1118:AG1118" si="5669">countif($D1118,"*"&amp;AE$2&amp;"*")</f>
        <v>0</v>
      </c>
      <c r="AF1118" s="200">
        <f t="shared" si="5669"/>
        <v>0</v>
      </c>
      <c r="AG1118" s="200">
        <f t="shared" si="5669"/>
        <v>0</v>
      </c>
      <c r="AH1118" s="171">
        <f t="shared" si="13"/>
        <v>0</v>
      </c>
      <c r="AI1118" s="200">
        <f t="shared" si="14"/>
        <v>0</v>
      </c>
      <c r="AJ1118" s="200">
        <f t="shared" si="5594"/>
        <v>0</v>
      </c>
      <c r="AK1118" s="201">
        <f t="shared" ref="AK1118:AS1118" si="5670">countif($D1118,"*"&amp;AK$2&amp;"*")</f>
        <v>0</v>
      </c>
      <c r="AL1118" s="201">
        <f t="shared" si="5670"/>
        <v>0</v>
      </c>
      <c r="AM1118" s="201">
        <f t="shared" si="5670"/>
        <v>0</v>
      </c>
      <c r="AN1118" s="201">
        <f t="shared" si="5670"/>
        <v>0</v>
      </c>
      <c r="AO1118" s="201">
        <f t="shared" si="5670"/>
        <v>0</v>
      </c>
      <c r="AP1118" s="201">
        <f t="shared" si="5670"/>
        <v>0</v>
      </c>
      <c r="AQ1118" s="201">
        <f t="shared" si="5670"/>
        <v>0</v>
      </c>
      <c r="AR1118" s="200">
        <f t="shared" si="5670"/>
        <v>0</v>
      </c>
      <c r="AS1118" s="200">
        <f t="shared" si="5670"/>
        <v>0</v>
      </c>
      <c r="AT1118" s="173">
        <v>0.0</v>
      </c>
      <c r="AU1118" s="200">
        <f t="shared" ref="AU1118:AX1118" si="5671">countif($D1118,"*"&amp;AU$2&amp;"*")</f>
        <v>0</v>
      </c>
      <c r="AV1118" s="200">
        <f t="shared" si="5671"/>
        <v>1</v>
      </c>
      <c r="AW1118" s="200">
        <f t="shared" si="5671"/>
        <v>0</v>
      </c>
      <c r="AX1118" s="200">
        <f t="shared" si="5671"/>
        <v>0</v>
      </c>
      <c r="AY1118" s="202">
        <v>0.0</v>
      </c>
      <c r="AZ1118" s="200"/>
      <c r="BA1118" s="171" t="str">
        <f t="shared" si="18"/>
        <v/>
      </c>
      <c r="BB1118" s="171" t="str">
        <f t="shared" si="19"/>
        <v>Code</v>
      </c>
      <c r="BC1118" s="171" t="str">
        <f t="shared" si="20"/>
        <v/>
      </c>
      <c r="BD1118" s="171" t="str">
        <f t="shared" si="21"/>
        <v/>
      </c>
      <c r="BE1118" s="171" t="str">
        <f t="shared" si="22"/>
        <v/>
      </c>
      <c r="BF1118" s="171" t="str">
        <f t="shared" si="23"/>
        <v>Code</v>
      </c>
    </row>
    <row r="1119">
      <c r="A1119" s="171">
        <f t="array" ref="A1119">XLOOKUP(C1119,ICSE!A:A,ICSE!C:C,,2,1)</f>
        <v>2023</v>
      </c>
      <c r="B1119" s="171" t="s">
        <v>5675</v>
      </c>
      <c r="C1119" s="160">
        <v>2140.0</v>
      </c>
      <c r="D1119" s="161" t="s">
        <v>3121</v>
      </c>
      <c r="E1119" s="197" t="str">
        <f t="array" ref="E1119">XLOOKUP(C1119,ICSE!A:A,ICSE!Z:Z,,0,1)</f>
        <v>Publicly available (1)</v>
      </c>
      <c r="F1119" s="198" t="s">
        <v>20</v>
      </c>
      <c r="G1119" s="163" t="str">
        <f t="array" ref="G1119">IF(B1119="ICSE",IF(COUNTIFS(B:B,B1119,C:C,C1119)=XLOOKUP(C1119,ICSE!A:A,ICSE!AA:AA,"ERROR",0,1),"OK","ERROR"),IF(B1119="FSE",IF(COUNTIFS(B:B,B1119,C:C,C1119)=XLOOKUP(C1119,FSE!A:A,FSE!AA:AA,"ERROR",0,1),"OK","ERROR")))</f>
        <v>OK</v>
      </c>
      <c r="H1119" s="199">
        <f t="shared" ref="H1119:O1119" si="5672">countif($D1119,"*"&amp;H$2&amp;"*")</f>
        <v>0</v>
      </c>
      <c r="I1119" s="200">
        <f t="shared" si="5672"/>
        <v>0</v>
      </c>
      <c r="J1119" s="200">
        <f t="shared" si="5672"/>
        <v>0</v>
      </c>
      <c r="K1119" s="200">
        <f t="shared" si="5672"/>
        <v>0</v>
      </c>
      <c r="L1119" s="200">
        <f t="shared" si="5672"/>
        <v>0</v>
      </c>
      <c r="M1119" s="200">
        <f t="shared" si="5672"/>
        <v>0</v>
      </c>
      <c r="N1119" s="200">
        <f t="shared" si="5672"/>
        <v>0</v>
      </c>
      <c r="O1119" s="200">
        <f t="shared" si="5672"/>
        <v>0</v>
      </c>
      <c r="P1119" s="200">
        <f t="shared" si="9"/>
        <v>1</v>
      </c>
      <c r="Q1119" s="200">
        <f t="shared" ref="Q1119:AC1119" si="5673">countif($D1119,"*"&amp;Q$2&amp;"*")</f>
        <v>0</v>
      </c>
      <c r="R1119" s="200">
        <f t="shared" si="5673"/>
        <v>0</v>
      </c>
      <c r="S1119" s="200">
        <f t="shared" si="5673"/>
        <v>0</v>
      </c>
      <c r="T1119" s="200">
        <f t="shared" si="5673"/>
        <v>0</v>
      </c>
      <c r="U1119" s="200">
        <f t="shared" si="5673"/>
        <v>0</v>
      </c>
      <c r="V1119" s="200">
        <f t="shared" si="5673"/>
        <v>0</v>
      </c>
      <c r="W1119" s="200">
        <f t="shared" si="5673"/>
        <v>0</v>
      </c>
      <c r="X1119" s="200">
        <f t="shared" si="5673"/>
        <v>0</v>
      </c>
      <c r="Y1119" s="200">
        <f t="shared" si="5673"/>
        <v>0</v>
      </c>
      <c r="Z1119" s="200">
        <f t="shared" si="5673"/>
        <v>0</v>
      </c>
      <c r="AA1119" s="200">
        <f t="shared" si="5673"/>
        <v>0</v>
      </c>
      <c r="AB1119" s="200">
        <f t="shared" si="5673"/>
        <v>0</v>
      </c>
      <c r="AC1119" s="200">
        <f t="shared" si="5673"/>
        <v>0</v>
      </c>
      <c r="AD1119" s="200">
        <f t="shared" si="11"/>
        <v>0</v>
      </c>
      <c r="AE1119" s="200">
        <f t="shared" ref="AE1119:AG1119" si="5674">countif($D1119,"*"&amp;AE$2&amp;"*")</f>
        <v>0</v>
      </c>
      <c r="AF1119" s="200">
        <f t="shared" si="5674"/>
        <v>0</v>
      </c>
      <c r="AG1119" s="200">
        <f t="shared" si="5674"/>
        <v>0</v>
      </c>
      <c r="AH1119" s="171">
        <f t="shared" si="13"/>
        <v>0</v>
      </c>
      <c r="AI1119" s="200">
        <f t="shared" si="14"/>
        <v>0</v>
      </c>
      <c r="AJ1119" s="200">
        <f t="shared" si="5594"/>
        <v>0</v>
      </c>
      <c r="AK1119" s="201">
        <f t="shared" ref="AK1119:AS1119" si="5675">countif($D1119,"*"&amp;AK$2&amp;"*")</f>
        <v>0</v>
      </c>
      <c r="AL1119" s="201">
        <f t="shared" si="5675"/>
        <v>0</v>
      </c>
      <c r="AM1119" s="201">
        <f t="shared" si="5675"/>
        <v>0</v>
      </c>
      <c r="AN1119" s="201">
        <f t="shared" si="5675"/>
        <v>0</v>
      </c>
      <c r="AO1119" s="201">
        <f t="shared" si="5675"/>
        <v>0</v>
      </c>
      <c r="AP1119" s="201">
        <f t="shared" si="5675"/>
        <v>0</v>
      </c>
      <c r="AQ1119" s="201">
        <f t="shared" si="5675"/>
        <v>0</v>
      </c>
      <c r="AR1119" s="200">
        <f t="shared" si="5675"/>
        <v>0</v>
      </c>
      <c r="AS1119" s="200">
        <f t="shared" si="5675"/>
        <v>0</v>
      </c>
      <c r="AT1119" s="173">
        <v>0.0</v>
      </c>
      <c r="AU1119" s="200">
        <f t="shared" ref="AU1119:AX1119" si="5676">countif($D1119,"*"&amp;AU$2&amp;"*")</f>
        <v>0</v>
      </c>
      <c r="AV1119" s="200">
        <f t="shared" si="5676"/>
        <v>1</v>
      </c>
      <c r="AW1119" s="200">
        <f t="shared" si="5676"/>
        <v>0</v>
      </c>
      <c r="AX1119" s="200">
        <f t="shared" si="5676"/>
        <v>0</v>
      </c>
      <c r="AY1119" s="202">
        <v>0.0</v>
      </c>
      <c r="AZ1119" s="200"/>
      <c r="BA1119" s="171" t="str">
        <f t="shared" si="18"/>
        <v/>
      </c>
      <c r="BB1119" s="171" t="str">
        <f t="shared" si="19"/>
        <v>Code</v>
      </c>
      <c r="BC1119" s="171" t="str">
        <f t="shared" si="20"/>
        <v/>
      </c>
      <c r="BD1119" s="171" t="str">
        <f t="shared" si="21"/>
        <v/>
      </c>
      <c r="BE1119" s="171" t="str">
        <f t="shared" si="22"/>
        <v/>
      </c>
      <c r="BF1119" s="171" t="str">
        <f t="shared" si="23"/>
        <v>Code</v>
      </c>
    </row>
    <row r="1120">
      <c r="A1120" s="171">
        <f t="array" ref="A1120">XLOOKUP(C1120,ICSE!A:A,ICSE!C:C,,2,1)</f>
        <v>2023</v>
      </c>
      <c r="B1120" s="171" t="s">
        <v>5675</v>
      </c>
      <c r="C1120" s="160">
        <v>2141.0</v>
      </c>
      <c r="D1120" s="212" t="s">
        <v>3125</v>
      </c>
      <c r="E1120" s="197" t="str">
        <f t="array" ref="E1120">XLOOKUP(C1120,ICSE!A:A,ICSE!Z:Z,,0,1)</f>
        <v>Publicly available (1)</v>
      </c>
      <c r="F1120" s="198" t="s">
        <v>20</v>
      </c>
      <c r="G1120" s="163" t="str">
        <f t="array" ref="G1120">IF(B1120="ICSE",IF(COUNTIFS(B:B,B1120,C:C,C1120)=XLOOKUP(C1120,ICSE!A:A,ICSE!AA:AA,"ERROR",0,1),"OK","ERROR"),IF(B1120="FSE",IF(COUNTIFS(B:B,B1120,C:C,C1120)=XLOOKUP(C1120,FSE!A:A,FSE!AA:AA,"ERROR",0,1),"OK","ERROR")))</f>
        <v>OK</v>
      </c>
      <c r="H1120" s="199">
        <f t="shared" ref="H1120:O1120" si="5677">countif($D1120,"*"&amp;H$2&amp;"*")</f>
        <v>1</v>
      </c>
      <c r="I1120" s="200">
        <f t="shared" si="5677"/>
        <v>0</v>
      </c>
      <c r="J1120" s="200">
        <f t="shared" si="5677"/>
        <v>0</v>
      </c>
      <c r="K1120" s="200">
        <f t="shared" si="5677"/>
        <v>0</v>
      </c>
      <c r="L1120" s="200">
        <f t="shared" si="5677"/>
        <v>0</v>
      </c>
      <c r="M1120" s="200">
        <f t="shared" si="5677"/>
        <v>0</v>
      </c>
      <c r="N1120" s="200">
        <f t="shared" si="5677"/>
        <v>0</v>
      </c>
      <c r="O1120" s="200">
        <f t="shared" si="5677"/>
        <v>0</v>
      </c>
      <c r="P1120" s="200">
        <f t="shared" si="9"/>
        <v>0</v>
      </c>
      <c r="Q1120" s="200">
        <f t="shared" ref="Q1120:AC1120" si="5678">countif($D1120,"*"&amp;Q$2&amp;"*")</f>
        <v>0</v>
      </c>
      <c r="R1120" s="200">
        <f t="shared" si="5678"/>
        <v>0</v>
      </c>
      <c r="S1120" s="200">
        <f t="shared" si="5678"/>
        <v>0</v>
      </c>
      <c r="T1120" s="200">
        <f t="shared" si="5678"/>
        <v>0</v>
      </c>
      <c r="U1120" s="200">
        <f t="shared" si="5678"/>
        <v>0</v>
      </c>
      <c r="V1120" s="200">
        <f t="shared" si="5678"/>
        <v>0</v>
      </c>
      <c r="W1120" s="200">
        <f t="shared" si="5678"/>
        <v>0</v>
      </c>
      <c r="X1120" s="200">
        <f t="shared" si="5678"/>
        <v>0</v>
      </c>
      <c r="Y1120" s="200">
        <f t="shared" si="5678"/>
        <v>0</v>
      </c>
      <c r="Z1120" s="200">
        <f t="shared" si="5678"/>
        <v>0</v>
      </c>
      <c r="AA1120" s="200">
        <f t="shared" si="5678"/>
        <v>0</v>
      </c>
      <c r="AB1120" s="200">
        <f t="shared" si="5678"/>
        <v>0</v>
      </c>
      <c r="AC1120" s="200">
        <f t="shared" si="5678"/>
        <v>0</v>
      </c>
      <c r="AD1120" s="200">
        <f t="shared" si="11"/>
        <v>0</v>
      </c>
      <c r="AE1120" s="200">
        <f t="shared" ref="AE1120:AG1120" si="5679">countif($D1120,"*"&amp;AE$2&amp;"*")</f>
        <v>0</v>
      </c>
      <c r="AF1120" s="200">
        <f t="shared" si="5679"/>
        <v>0</v>
      </c>
      <c r="AG1120" s="200">
        <f t="shared" si="5679"/>
        <v>0</v>
      </c>
      <c r="AH1120" s="171">
        <f t="shared" si="13"/>
        <v>0</v>
      </c>
      <c r="AI1120" s="200">
        <f t="shared" si="14"/>
        <v>1</v>
      </c>
      <c r="AJ1120" s="200">
        <f t="shared" si="5594"/>
        <v>0</v>
      </c>
      <c r="AK1120" s="201">
        <f t="shared" ref="AK1120:AS1120" si="5680">countif($D1120,"*"&amp;AK$2&amp;"*")</f>
        <v>0</v>
      </c>
      <c r="AL1120" s="201">
        <f t="shared" si="5680"/>
        <v>0</v>
      </c>
      <c r="AM1120" s="201">
        <f t="shared" si="5680"/>
        <v>0</v>
      </c>
      <c r="AN1120" s="201">
        <f t="shared" si="5680"/>
        <v>0</v>
      </c>
      <c r="AO1120" s="201">
        <f t="shared" si="5680"/>
        <v>0</v>
      </c>
      <c r="AP1120" s="201">
        <f t="shared" si="5680"/>
        <v>0</v>
      </c>
      <c r="AQ1120" s="201">
        <f t="shared" si="5680"/>
        <v>0</v>
      </c>
      <c r="AR1120" s="200">
        <f t="shared" si="5680"/>
        <v>0</v>
      </c>
      <c r="AS1120" s="200">
        <f t="shared" si="5680"/>
        <v>0</v>
      </c>
      <c r="AT1120" s="173">
        <v>0.0</v>
      </c>
      <c r="AU1120" s="200">
        <f t="shared" ref="AU1120:AX1120" si="5681">countif($D1120,"*"&amp;AU$2&amp;"*")</f>
        <v>0</v>
      </c>
      <c r="AV1120" s="200">
        <f t="shared" si="5681"/>
        <v>0</v>
      </c>
      <c r="AW1120" s="200">
        <f t="shared" si="5681"/>
        <v>0</v>
      </c>
      <c r="AX1120" s="200">
        <f t="shared" si="5681"/>
        <v>0</v>
      </c>
      <c r="AY1120" s="204">
        <v>1.0</v>
      </c>
      <c r="AZ1120" s="200"/>
      <c r="BA1120" s="171" t="str">
        <f t="shared" si="18"/>
        <v>Archival</v>
      </c>
      <c r="BB1120" s="171" t="str">
        <f t="shared" si="19"/>
        <v/>
      </c>
      <c r="BC1120" s="171" t="str">
        <f t="shared" si="20"/>
        <v/>
      </c>
      <c r="BD1120" s="171" t="str">
        <f t="shared" si="21"/>
        <v/>
      </c>
      <c r="BE1120" s="171" t="str">
        <f t="shared" si="22"/>
        <v/>
      </c>
      <c r="BF1120" s="171" t="str">
        <f t="shared" si="23"/>
        <v>Archival</v>
      </c>
    </row>
    <row r="1121">
      <c r="A1121" s="171">
        <f t="array" ref="A1121">XLOOKUP(C1121,ICSE!A:A,ICSE!C:C,,2,1)</f>
        <v>2023</v>
      </c>
      <c r="B1121" s="171" t="s">
        <v>5675</v>
      </c>
      <c r="C1121" s="160">
        <v>2142.0</v>
      </c>
      <c r="D1121" s="161" t="s">
        <v>3129</v>
      </c>
      <c r="E1121" s="197" t="str">
        <f t="array" ref="E1121">XLOOKUP(C1121,ICSE!A:A,ICSE!Z:Z,,0,1)</f>
        <v>Publicly available (1)</v>
      </c>
      <c r="F1121" s="198" t="s">
        <v>20</v>
      </c>
      <c r="G1121" s="163" t="str">
        <f t="array" ref="G1121">IF(B1121="ICSE",IF(COUNTIFS(B:B,B1121,C:C,C1121)=XLOOKUP(C1121,ICSE!A:A,ICSE!AA:AA,"ERROR",0,1),"OK","ERROR"),IF(B1121="FSE",IF(COUNTIFS(B:B,B1121,C:C,C1121)=XLOOKUP(C1121,FSE!A:A,FSE!AA:AA,"ERROR",0,1),"OK","ERROR")))</f>
        <v>OK</v>
      </c>
      <c r="H1121" s="199">
        <f t="shared" ref="H1121:O1121" si="5682">countif($D1121,"*"&amp;H$2&amp;"*")</f>
        <v>0</v>
      </c>
      <c r="I1121" s="200">
        <f t="shared" si="5682"/>
        <v>0</v>
      </c>
      <c r="J1121" s="200">
        <f t="shared" si="5682"/>
        <v>0</v>
      </c>
      <c r="K1121" s="200">
        <f t="shared" si="5682"/>
        <v>0</v>
      </c>
      <c r="L1121" s="200">
        <f t="shared" si="5682"/>
        <v>0</v>
      </c>
      <c r="M1121" s="200">
        <f t="shared" si="5682"/>
        <v>0</v>
      </c>
      <c r="N1121" s="200">
        <f t="shared" si="5682"/>
        <v>0</v>
      </c>
      <c r="O1121" s="200">
        <f t="shared" si="5682"/>
        <v>0</v>
      </c>
      <c r="P1121" s="200">
        <f t="shared" si="9"/>
        <v>1</v>
      </c>
      <c r="Q1121" s="200">
        <f t="shared" ref="Q1121:AC1121" si="5683">countif($D1121,"*"&amp;Q$2&amp;"*")</f>
        <v>0</v>
      </c>
      <c r="R1121" s="200">
        <f t="shared" si="5683"/>
        <v>0</v>
      </c>
      <c r="S1121" s="200">
        <f t="shared" si="5683"/>
        <v>0</v>
      </c>
      <c r="T1121" s="200">
        <f t="shared" si="5683"/>
        <v>0</v>
      </c>
      <c r="U1121" s="200">
        <f t="shared" si="5683"/>
        <v>0</v>
      </c>
      <c r="V1121" s="200">
        <f t="shared" si="5683"/>
        <v>0</v>
      </c>
      <c r="W1121" s="200">
        <f t="shared" si="5683"/>
        <v>0</v>
      </c>
      <c r="X1121" s="200">
        <f t="shared" si="5683"/>
        <v>0</v>
      </c>
      <c r="Y1121" s="200">
        <f t="shared" si="5683"/>
        <v>0</v>
      </c>
      <c r="Z1121" s="200">
        <f t="shared" si="5683"/>
        <v>0</v>
      </c>
      <c r="AA1121" s="200">
        <f t="shared" si="5683"/>
        <v>0</v>
      </c>
      <c r="AB1121" s="200">
        <f t="shared" si="5683"/>
        <v>0</v>
      </c>
      <c r="AC1121" s="200">
        <f t="shared" si="5683"/>
        <v>0</v>
      </c>
      <c r="AD1121" s="200">
        <f t="shared" si="11"/>
        <v>0</v>
      </c>
      <c r="AE1121" s="200">
        <f t="shared" ref="AE1121:AG1121" si="5684">countif($D1121,"*"&amp;AE$2&amp;"*")</f>
        <v>0</v>
      </c>
      <c r="AF1121" s="200">
        <f t="shared" si="5684"/>
        <v>0</v>
      </c>
      <c r="AG1121" s="200">
        <f t="shared" si="5684"/>
        <v>0</v>
      </c>
      <c r="AH1121" s="171">
        <f t="shared" si="13"/>
        <v>0</v>
      </c>
      <c r="AI1121" s="200">
        <f t="shared" si="14"/>
        <v>0</v>
      </c>
      <c r="AJ1121" s="200">
        <f t="shared" si="5594"/>
        <v>0</v>
      </c>
      <c r="AK1121" s="201">
        <f t="shared" ref="AK1121:AS1121" si="5685">countif($D1121,"*"&amp;AK$2&amp;"*")</f>
        <v>0</v>
      </c>
      <c r="AL1121" s="201">
        <f t="shared" si="5685"/>
        <v>0</v>
      </c>
      <c r="AM1121" s="201">
        <f t="shared" si="5685"/>
        <v>0</v>
      </c>
      <c r="AN1121" s="201">
        <f t="shared" si="5685"/>
        <v>0</v>
      </c>
      <c r="AO1121" s="201">
        <f t="shared" si="5685"/>
        <v>0</v>
      </c>
      <c r="AP1121" s="201">
        <f t="shared" si="5685"/>
        <v>0</v>
      </c>
      <c r="AQ1121" s="201">
        <f t="shared" si="5685"/>
        <v>0</v>
      </c>
      <c r="AR1121" s="200">
        <f t="shared" si="5685"/>
        <v>0</v>
      </c>
      <c r="AS1121" s="200">
        <f t="shared" si="5685"/>
        <v>1</v>
      </c>
      <c r="AT1121" s="173">
        <v>0.0</v>
      </c>
      <c r="AU1121" s="200">
        <f t="shared" ref="AU1121:AX1121" si="5686">countif($D1121,"*"&amp;AU$2&amp;"*")</f>
        <v>0</v>
      </c>
      <c r="AV1121" s="200">
        <f t="shared" si="5686"/>
        <v>1</v>
      </c>
      <c r="AW1121" s="200">
        <f t="shared" si="5686"/>
        <v>0</v>
      </c>
      <c r="AX1121" s="200">
        <f t="shared" si="5686"/>
        <v>0</v>
      </c>
      <c r="AY1121" s="202">
        <v>0.0</v>
      </c>
      <c r="AZ1121" s="200"/>
      <c r="BA1121" s="171" t="str">
        <f t="shared" si="18"/>
        <v/>
      </c>
      <c r="BB1121" s="171" t="str">
        <f t="shared" si="19"/>
        <v>Code</v>
      </c>
      <c r="BC1121" s="171" t="str">
        <f t="shared" si="20"/>
        <v/>
      </c>
      <c r="BD1121" s="171" t="str">
        <f t="shared" si="21"/>
        <v/>
      </c>
      <c r="BE1121" s="171" t="str">
        <f t="shared" si="22"/>
        <v/>
      </c>
      <c r="BF1121" s="171" t="str">
        <f t="shared" si="23"/>
        <v>Code</v>
      </c>
    </row>
    <row r="1122">
      <c r="A1122" s="171">
        <f t="array" ref="A1122">XLOOKUP(C1122,ICSE!A:A,ICSE!C:C,,2,1)</f>
        <v>2023</v>
      </c>
      <c r="B1122" s="171" t="s">
        <v>5675</v>
      </c>
      <c r="C1122" s="160">
        <v>2143.0</v>
      </c>
      <c r="D1122" s="161" t="s">
        <v>3133</v>
      </c>
      <c r="E1122" s="197" t="str">
        <f t="array" ref="E1122">XLOOKUP(C1122,ICSE!A:A,ICSE!Z:Z,,0,1)</f>
        <v>Publicly available (1)</v>
      </c>
      <c r="F1122" s="198" t="s">
        <v>20</v>
      </c>
      <c r="G1122" s="163" t="str">
        <f t="array" ref="G1122">IF(B1122="ICSE",IF(COUNTIFS(B:B,B1122,C:C,C1122)=XLOOKUP(C1122,ICSE!A:A,ICSE!AA:AA,"ERROR",0,1),"OK","ERROR"),IF(B1122="FSE",IF(COUNTIFS(B:B,B1122,C:C,C1122)=XLOOKUP(C1122,FSE!A:A,FSE!AA:AA,"ERROR",0,1),"OK","ERROR")))</f>
        <v>OK</v>
      </c>
      <c r="H1122" s="199">
        <f t="shared" ref="H1122:O1122" si="5687">countif($D1122,"*"&amp;H$2&amp;"*")</f>
        <v>0</v>
      </c>
      <c r="I1122" s="200">
        <f t="shared" si="5687"/>
        <v>0</v>
      </c>
      <c r="J1122" s="200">
        <f t="shared" si="5687"/>
        <v>0</v>
      </c>
      <c r="K1122" s="200">
        <f t="shared" si="5687"/>
        <v>0</v>
      </c>
      <c r="L1122" s="200">
        <f t="shared" si="5687"/>
        <v>0</v>
      </c>
      <c r="M1122" s="200">
        <f t="shared" si="5687"/>
        <v>0</v>
      </c>
      <c r="N1122" s="200">
        <f t="shared" si="5687"/>
        <v>0</v>
      </c>
      <c r="O1122" s="200">
        <f t="shared" si="5687"/>
        <v>0</v>
      </c>
      <c r="P1122" s="200">
        <f t="shared" si="9"/>
        <v>1</v>
      </c>
      <c r="Q1122" s="200">
        <f t="shared" ref="Q1122:AC1122" si="5688">countif($D1122,"*"&amp;Q$2&amp;"*")</f>
        <v>0</v>
      </c>
      <c r="R1122" s="200">
        <f t="shared" si="5688"/>
        <v>0</v>
      </c>
      <c r="S1122" s="200">
        <f t="shared" si="5688"/>
        <v>0</v>
      </c>
      <c r="T1122" s="200">
        <f t="shared" si="5688"/>
        <v>0</v>
      </c>
      <c r="U1122" s="200">
        <f t="shared" si="5688"/>
        <v>0</v>
      </c>
      <c r="V1122" s="200">
        <f t="shared" si="5688"/>
        <v>0</v>
      </c>
      <c r="W1122" s="200">
        <f t="shared" si="5688"/>
        <v>0</v>
      </c>
      <c r="X1122" s="200">
        <f t="shared" si="5688"/>
        <v>0</v>
      </c>
      <c r="Y1122" s="200">
        <f t="shared" si="5688"/>
        <v>0</v>
      </c>
      <c r="Z1122" s="200">
        <f t="shared" si="5688"/>
        <v>0</v>
      </c>
      <c r="AA1122" s="200">
        <f t="shared" si="5688"/>
        <v>0</v>
      </c>
      <c r="AB1122" s="200">
        <f t="shared" si="5688"/>
        <v>0</v>
      </c>
      <c r="AC1122" s="200">
        <f t="shared" si="5688"/>
        <v>0</v>
      </c>
      <c r="AD1122" s="200">
        <f t="shared" si="11"/>
        <v>0</v>
      </c>
      <c r="AE1122" s="200">
        <f t="shared" ref="AE1122:AG1122" si="5689">countif($D1122,"*"&amp;AE$2&amp;"*")</f>
        <v>0</v>
      </c>
      <c r="AF1122" s="200">
        <f t="shared" si="5689"/>
        <v>0</v>
      </c>
      <c r="AG1122" s="200">
        <f t="shared" si="5689"/>
        <v>0</v>
      </c>
      <c r="AH1122" s="171">
        <f t="shared" si="13"/>
        <v>0</v>
      </c>
      <c r="AI1122" s="200">
        <f t="shared" si="14"/>
        <v>0</v>
      </c>
      <c r="AJ1122" s="200">
        <f t="shared" si="5594"/>
        <v>0</v>
      </c>
      <c r="AK1122" s="201">
        <f t="shared" ref="AK1122:AS1122" si="5690">countif($D1122,"*"&amp;AK$2&amp;"*")</f>
        <v>0</v>
      </c>
      <c r="AL1122" s="201">
        <f t="shared" si="5690"/>
        <v>0</v>
      </c>
      <c r="AM1122" s="201">
        <f t="shared" si="5690"/>
        <v>0</v>
      </c>
      <c r="AN1122" s="201">
        <f t="shared" si="5690"/>
        <v>0</v>
      </c>
      <c r="AO1122" s="201">
        <f t="shared" si="5690"/>
        <v>0</v>
      </c>
      <c r="AP1122" s="201">
        <f t="shared" si="5690"/>
        <v>0</v>
      </c>
      <c r="AQ1122" s="201">
        <f t="shared" si="5690"/>
        <v>0</v>
      </c>
      <c r="AR1122" s="200">
        <f t="shared" si="5690"/>
        <v>0</v>
      </c>
      <c r="AS1122" s="200">
        <f t="shared" si="5690"/>
        <v>0</v>
      </c>
      <c r="AT1122" s="173">
        <v>0.0</v>
      </c>
      <c r="AU1122" s="200">
        <f t="shared" ref="AU1122:AX1122" si="5691">countif($D1122,"*"&amp;AU$2&amp;"*")</f>
        <v>0</v>
      </c>
      <c r="AV1122" s="200">
        <f t="shared" si="5691"/>
        <v>1</v>
      </c>
      <c r="AW1122" s="200">
        <f t="shared" si="5691"/>
        <v>0</v>
      </c>
      <c r="AX1122" s="200">
        <f t="shared" si="5691"/>
        <v>0</v>
      </c>
      <c r="AY1122" s="202">
        <v>0.0</v>
      </c>
      <c r="AZ1122" s="200"/>
      <c r="BA1122" s="171" t="str">
        <f t="shared" si="18"/>
        <v/>
      </c>
      <c r="BB1122" s="171" t="str">
        <f t="shared" si="19"/>
        <v>Code</v>
      </c>
      <c r="BC1122" s="171" t="str">
        <f t="shared" si="20"/>
        <v/>
      </c>
      <c r="BD1122" s="171" t="str">
        <f t="shared" si="21"/>
        <v/>
      </c>
      <c r="BE1122" s="171" t="str">
        <f t="shared" si="22"/>
        <v/>
      </c>
      <c r="BF1122" s="171" t="str">
        <f t="shared" si="23"/>
        <v>Code</v>
      </c>
    </row>
    <row r="1123">
      <c r="A1123" s="171">
        <f t="array" ref="A1123">XLOOKUP(C1123,ICSE!A:A,ICSE!C:C,,2,1)</f>
        <v>2023</v>
      </c>
      <c r="B1123" s="171" t="s">
        <v>5675</v>
      </c>
      <c r="C1123" s="160">
        <v>2144.0</v>
      </c>
      <c r="D1123" s="161" t="s">
        <v>3136</v>
      </c>
      <c r="E1123" s="197" t="str">
        <f t="array" ref="E1123">XLOOKUP(C1123,ICSE!A:A,ICSE!Z:Z,,0,1)</f>
        <v>Publicly available (1)</v>
      </c>
      <c r="F1123" s="198" t="s">
        <v>20</v>
      </c>
      <c r="G1123" s="163" t="str">
        <f t="array" ref="G1123">IF(B1123="ICSE",IF(COUNTIFS(B:B,B1123,C:C,C1123)=XLOOKUP(C1123,ICSE!A:A,ICSE!AA:AA,"ERROR",0,1),"OK","ERROR"),IF(B1123="FSE",IF(COUNTIFS(B:B,B1123,C:C,C1123)=XLOOKUP(C1123,FSE!A:A,FSE!AA:AA,"ERROR",0,1),"OK","ERROR")))</f>
        <v>OK</v>
      </c>
      <c r="H1123" s="199">
        <f t="shared" ref="H1123:O1123" si="5692">countif($D1123,"*"&amp;H$2&amp;"*")</f>
        <v>1</v>
      </c>
      <c r="I1123" s="200">
        <f t="shared" si="5692"/>
        <v>0</v>
      </c>
      <c r="J1123" s="200">
        <f t="shared" si="5692"/>
        <v>0</v>
      </c>
      <c r="K1123" s="200">
        <f t="shared" si="5692"/>
        <v>0</v>
      </c>
      <c r="L1123" s="200">
        <f t="shared" si="5692"/>
        <v>0</v>
      </c>
      <c r="M1123" s="200">
        <f t="shared" si="5692"/>
        <v>0</v>
      </c>
      <c r="N1123" s="200">
        <f t="shared" si="5692"/>
        <v>0</v>
      </c>
      <c r="O1123" s="200">
        <f t="shared" si="5692"/>
        <v>0</v>
      </c>
      <c r="P1123" s="200">
        <f t="shared" si="9"/>
        <v>0</v>
      </c>
      <c r="Q1123" s="200">
        <f t="shared" ref="Q1123:AC1123" si="5693">countif($D1123,"*"&amp;Q$2&amp;"*")</f>
        <v>0</v>
      </c>
      <c r="R1123" s="200">
        <f t="shared" si="5693"/>
        <v>0</v>
      </c>
      <c r="S1123" s="200">
        <f t="shared" si="5693"/>
        <v>0</v>
      </c>
      <c r="T1123" s="200">
        <f t="shared" si="5693"/>
        <v>0</v>
      </c>
      <c r="U1123" s="200">
        <f t="shared" si="5693"/>
        <v>0</v>
      </c>
      <c r="V1123" s="200">
        <f t="shared" si="5693"/>
        <v>0</v>
      </c>
      <c r="W1123" s="200">
        <f t="shared" si="5693"/>
        <v>0</v>
      </c>
      <c r="X1123" s="200">
        <f t="shared" si="5693"/>
        <v>0</v>
      </c>
      <c r="Y1123" s="200">
        <f t="shared" si="5693"/>
        <v>0</v>
      </c>
      <c r="Z1123" s="200">
        <f t="shared" si="5693"/>
        <v>0</v>
      </c>
      <c r="AA1123" s="200">
        <f t="shared" si="5693"/>
        <v>0</v>
      </c>
      <c r="AB1123" s="200">
        <f t="shared" si="5693"/>
        <v>0</v>
      </c>
      <c r="AC1123" s="200">
        <f t="shared" si="5693"/>
        <v>0</v>
      </c>
      <c r="AD1123" s="200">
        <f t="shared" si="11"/>
        <v>0</v>
      </c>
      <c r="AE1123" s="200">
        <f t="shared" ref="AE1123:AG1123" si="5694">countif($D1123,"*"&amp;AE$2&amp;"*")</f>
        <v>0</v>
      </c>
      <c r="AF1123" s="200">
        <f t="shared" si="5694"/>
        <v>0</v>
      </c>
      <c r="AG1123" s="200">
        <f t="shared" si="5694"/>
        <v>0</v>
      </c>
      <c r="AH1123" s="171">
        <f t="shared" si="13"/>
        <v>0</v>
      </c>
      <c r="AI1123" s="200">
        <f t="shared" si="14"/>
        <v>1</v>
      </c>
      <c r="AJ1123" s="200">
        <f t="shared" si="5594"/>
        <v>0</v>
      </c>
      <c r="AK1123" s="201">
        <f t="shared" ref="AK1123:AS1123" si="5695">countif($D1123,"*"&amp;AK$2&amp;"*")</f>
        <v>0</v>
      </c>
      <c r="AL1123" s="201">
        <f t="shared" si="5695"/>
        <v>0</v>
      </c>
      <c r="AM1123" s="201">
        <f t="shared" si="5695"/>
        <v>0</v>
      </c>
      <c r="AN1123" s="201">
        <f t="shared" si="5695"/>
        <v>0</v>
      </c>
      <c r="AO1123" s="201">
        <f t="shared" si="5695"/>
        <v>0</v>
      </c>
      <c r="AP1123" s="201">
        <f t="shared" si="5695"/>
        <v>0</v>
      </c>
      <c r="AQ1123" s="201">
        <f t="shared" si="5695"/>
        <v>0</v>
      </c>
      <c r="AR1123" s="200">
        <f t="shared" si="5695"/>
        <v>0</v>
      </c>
      <c r="AS1123" s="200">
        <f t="shared" si="5695"/>
        <v>0</v>
      </c>
      <c r="AT1123" s="173">
        <v>0.0</v>
      </c>
      <c r="AU1123" s="200">
        <f t="shared" ref="AU1123:AX1123" si="5696">countif($D1123,"*"&amp;AU$2&amp;"*")</f>
        <v>0</v>
      </c>
      <c r="AV1123" s="200">
        <f t="shared" si="5696"/>
        <v>0</v>
      </c>
      <c r="AW1123" s="200">
        <f t="shared" si="5696"/>
        <v>0</v>
      </c>
      <c r="AX1123" s="200">
        <f t="shared" si="5696"/>
        <v>1</v>
      </c>
      <c r="AY1123" s="202">
        <v>0.0</v>
      </c>
      <c r="AZ1123" s="200"/>
      <c r="BA1123" s="171" t="str">
        <f t="shared" si="18"/>
        <v>Archival</v>
      </c>
      <c r="BB1123" s="171" t="str">
        <f t="shared" si="19"/>
        <v/>
      </c>
      <c r="BC1123" s="171" t="str">
        <f t="shared" si="20"/>
        <v/>
      </c>
      <c r="BD1123" s="171" t="str">
        <f t="shared" si="21"/>
        <v/>
      </c>
      <c r="BE1123" s="171" t="str">
        <f t="shared" si="22"/>
        <v/>
      </c>
      <c r="BF1123" s="171" t="str">
        <f t="shared" si="23"/>
        <v>Archival</v>
      </c>
    </row>
    <row r="1124">
      <c r="A1124" s="171">
        <f t="array" ref="A1124">XLOOKUP(C1124,ICSE!A:A,ICSE!C:C,,2,1)</f>
        <v>2023</v>
      </c>
      <c r="B1124" s="171" t="s">
        <v>5675</v>
      </c>
      <c r="C1124" s="160">
        <v>2145.0</v>
      </c>
      <c r="D1124" s="161" t="s">
        <v>3138</v>
      </c>
      <c r="E1124" s="197" t="str">
        <f t="array" ref="E1124">XLOOKUP(C1124,ICSE!A:A,ICSE!Z:Z,,0,1)</f>
        <v>Publicly available (1)</v>
      </c>
      <c r="F1124" s="198" t="s">
        <v>20</v>
      </c>
      <c r="G1124" s="163" t="str">
        <f t="array" ref="G1124">IF(B1124="ICSE",IF(COUNTIFS(B:B,B1124,C:C,C1124)=XLOOKUP(C1124,ICSE!A:A,ICSE!AA:AA,"ERROR",0,1),"OK","ERROR"),IF(B1124="FSE",IF(COUNTIFS(B:B,B1124,C:C,C1124)=XLOOKUP(C1124,FSE!A:A,FSE!AA:AA,"ERROR",0,1),"OK","ERROR")))</f>
        <v>OK</v>
      </c>
      <c r="H1124" s="199">
        <f t="shared" ref="H1124:O1124" si="5697">countif($D1124,"*"&amp;H$2&amp;"*")</f>
        <v>0</v>
      </c>
      <c r="I1124" s="200">
        <f t="shared" si="5697"/>
        <v>0</v>
      </c>
      <c r="J1124" s="200">
        <f t="shared" si="5697"/>
        <v>0</v>
      </c>
      <c r="K1124" s="200">
        <f t="shared" si="5697"/>
        <v>0</v>
      </c>
      <c r="L1124" s="200">
        <f t="shared" si="5697"/>
        <v>0</v>
      </c>
      <c r="M1124" s="200">
        <f t="shared" si="5697"/>
        <v>0</v>
      </c>
      <c r="N1124" s="200">
        <f t="shared" si="5697"/>
        <v>0</v>
      </c>
      <c r="O1124" s="200">
        <f t="shared" si="5697"/>
        <v>0</v>
      </c>
      <c r="P1124" s="200">
        <f t="shared" si="9"/>
        <v>1</v>
      </c>
      <c r="Q1124" s="200">
        <f t="shared" ref="Q1124:AC1124" si="5698">countif($D1124,"*"&amp;Q$2&amp;"*")</f>
        <v>0</v>
      </c>
      <c r="R1124" s="200">
        <f t="shared" si="5698"/>
        <v>0</v>
      </c>
      <c r="S1124" s="200">
        <f t="shared" si="5698"/>
        <v>0</v>
      </c>
      <c r="T1124" s="200">
        <f t="shared" si="5698"/>
        <v>0</v>
      </c>
      <c r="U1124" s="200">
        <f t="shared" si="5698"/>
        <v>0</v>
      </c>
      <c r="V1124" s="200">
        <f t="shared" si="5698"/>
        <v>0</v>
      </c>
      <c r="W1124" s="200">
        <f t="shared" si="5698"/>
        <v>0</v>
      </c>
      <c r="X1124" s="200">
        <f t="shared" si="5698"/>
        <v>0</v>
      </c>
      <c r="Y1124" s="200">
        <f t="shared" si="5698"/>
        <v>0</v>
      </c>
      <c r="Z1124" s="200">
        <f t="shared" si="5698"/>
        <v>0</v>
      </c>
      <c r="AA1124" s="200">
        <f t="shared" si="5698"/>
        <v>0</v>
      </c>
      <c r="AB1124" s="200">
        <f t="shared" si="5698"/>
        <v>0</v>
      </c>
      <c r="AC1124" s="200">
        <f t="shared" si="5698"/>
        <v>0</v>
      </c>
      <c r="AD1124" s="200">
        <f t="shared" si="11"/>
        <v>0</v>
      </c>
      <c r="AE1124" s="200">
        <f t="shared" ref="AE1124:AG1124" si="5699">countif($D1124,"*"&amp;AE$2&amp;"*")</f>
        <v>0</v>
      </c>
      <c r="AF1124" s="200">
        <f t="shared" si="5699"/>
        <v>0</v>
      </c>
      <c r="AG1124" s="200">
        <f t="shared" si="5699"/>
        <v>0</v>
      </c>
      <c r="AH1124" s="171">
        <f t="shared" si="13"/>
        <v>0</v>
      </c>
      <c r="AI1124" s="200">
        <f t="shared" si="14"/>
        <v>0</v>
      </c>
      <c r="AJ1124" s="200">
        <f t="shared" si="5594"/>
        <v>0</v>
      </c>
      <c r="AK1124" s="201">
        <f t="shared" ref="AK1124:AS1124" si="5700">countif($D1124,"*"&amp;AK$2&amp;"*")</f>
        <v>0</v>
      </c>
      <c r="AL1124" s="201">
        <f t="shared" si="5700"/>
        <v>0</v>
      </c>
      <c r="AM1124" s="201">
        <f t="shared" si="5700"/>
        <v>0</v>
      </c>
      <c r="AN1124" s="201">
        <f t="shared" si="5700"/>
        <v>0</v>
      </c>
      <c r="AO1124" s="201">
        <f t="shared" si="5700"/>
        <v>0</v>
      </c>
      <c r="AP1124" s="201">
        <f t="shared" si="5700"/>
        <v>0</v>
      </c>
      <c r="AQ1124" s="201">
        <f t="shared" si="5700"/>
        <v>0</v>
      </c>
      <c r="AR1124" s="200">
        <f t="shared" si="5700"/>
        <v>0</v>
      </c>
      <c r="AS1124" s="200">
        <f t="shared" si="5700"/>
        <v>0</v>
      </c>
      <c r="AT1124" s="173">
        <v>0.0</v>
      </c>
      <c r="AU1124" s="200">
        <f t="shared" ref="AU1124:AX1124" si="5701">countif($D1124,"*"&amp;AU$2&amp;"*")</f>
        <v>0</v>
      </c>
      <c r="AV1124" s="200">
        <f t="shared" si="5701"/>
        <v>1</v>
      </c>
      <c r="AW1124" s="200">
        <f t="shared" si="5701"/>
        <v>0</v>
      </c>
      <c r="AX1124" s="200">
        <f t="shared" si="5701"/>
        <v>0</v>
      </c>
      <c r="AY1124" s="202">
        <v>0.0</v>
      </c>
      <c r="AZ1124" s="200"/>
      <c r="BA1124" s="171" t="str">
        <f t="shared" si="18"/>
        <v/>
      </c>
      <c r="BB1124" s="171" t="str">
        <f t="shared" si="19"/>
        <v>Code</v>
      </c>
      <c r="BC1124" s="171" t="str">
        <f t="shared" si="20"/>
        <v/>
      </c>
      <c r="BD1124" s="171" t="str">
        <f t="shared" si="21"/>
        <v/>
      </c>
      <c r="BE1124" s="171" t="str">
        <f t="shared" si="22"/>
        <v/>
      </c>
      <c r="BF1124" s="171" t="str">
        <f t="shared" si="23"/>
        <v>Code</v>
      </c>
    </row>
    <row r="1125">
      <c r="A1125" s="171">
        <f t="array" ref="A1125">XLOOKUP(C1125,ICSE!A:A,ICSE!C:C,,2,1)</f>
        <v>2023</v>
      </c>
      <c r="B1125" s="171" t="s">
        <v>5675</v>
      </c>
      <c r="C1125" s="160">
        <v>2146.0</v>
      </c>
      <c r="D1125" s="161" t="s">
        <v>6131</v>
      </c>
      <c r="E1125" s="197" t="str">
        <f t="array" ref="E1125">XLOOKUP(C1125,ICSE!A:A,ICSE!Z:Z,,0,1)</f>
        <v>Publicly available (1)</v>
      </c>
      <c r="F1125" s="198" t="s">
        <v>20</v>
      </c>
      <c r="G1125" s="163" t="str">
        <f t="array" ref="G1125">IF(B1125="ICSE",IF(COUNTIFS(B:B,B1125,C:C,C1125)=XLOOKUP(C1125,ICSE!A:A,ICSE!AA:AA,"ERROR",0,1),"OK","ERROR"),IF(B1125="FSE",IF(COUNTIFS(B:B,B1125,C:C,C1125)=XLOOKUP(C1125,FSE!A:A,FSE!AA:AA,"ERROR",0,1),"OK","ERROR")))</f>
        <v>OK</v>
      </c>
      <c r="H1125" s="199">
        <f t="shared" ref="H1125:O1125" si="5702">countif($D1125,"*"&amp;H$2&amp;"*")</f>
        <v>0</v>
      </c>
      <c r="I1125" s="200">
        <f t="shared" si="5702"/>
        <v>0</v>
      </c>
      <c r="J1125" s="200">
        <f t="shared" si="5702"/>
        <v>0</v>
      </c>
      <c r="K1125" s="200">
        <f t="shared" si="5702"/>
        <v>0</v>
      </c>
      <c r="L1125" s="200">
        <f t="shared" si="5702"/>
        <v>0</v>
      </c>
      <c r="M1125" s="200">
        <f t="shared" si="5702"/>
        <v>0</v>
      </c>
      <c r="N1125" s="200">
        <f t="shared" si="5702"/>
        <v>0</v>
      </c>
      <c r="O1125" s="200">
        <f t="shared" si="5702"/>
        <v>0</v>
      </c>
      <c r="P1125" s="200">
        <f t="shared" si="9"/>
        <v>1</v>
      </c>
      <c r="Q1125" s="200">
        <f t="shared" ref="Q1125:AC1125" si="5703">countif($D1125,"*"&amp;Q$2&amp;"*")</f>
        <v>0</v>
      </c>
      <c r="R1125" s="200">
        <f t="shared" si="5703"/>
        <v>0</v>
      </c>
      <c r="S1125" s="200">
        <f t="shared" si="5703"/>
        <v>0</v>
      </c>
      <c r="T1125" s="200">
        <f t="shared" si="5703"/>
        <v>0</v>
      </c>
      <c r="U1125" s="200">
        <f t="shared" si="5703"/>
        <v>0</v>
      </c>
      <c r="V1125" s="200">
        <f t="shared" si="5703"/>
        <v>0</v>
      </c>
      <c r="W1125" s="200">
        <f t="shared" si="5703"/>
        <v>0</v>
      </c>
      <c r="X1125" s="200">
        <f t="shared" si="5703"/>
        <v>0</v>
      </c>
      <c r="Y1125" s="200">
        <f t="shared" si="5703"/>
        <v>0</v>
      </c>
      <c r="Z1125" s="200">
        <f t="shared" si="5703"/>
        <v>0</v>
      </c>
      <c r="AA1125" s="200">
        <f t="shared" si="5703"/>
        <v>0</v>
      </c>
      <c r="AB1125" s="200">
        <f t="shared" si="5703"/>
        <v>0</v>
      </c>
      <c r="AC1125" s="200">
        <f t="shared" si="5703"/>
        <v>0</v>
      </c>
      <c r="AD1125" s="200">
        <f t="shared" si="11"/>
        <v>0</v>
      </c>
      <c r="AE1125" s="200">
        <f t="shared" ref="AE1125:AG1125" si="5704">countif($D1125,"*"&amp;AE$2&amp;"*")</f>
        <v>0</v>
      </c>
      <c r="AF1125" s="200">
        <f t="shared" si="5704"/>
        <v>0</v>
      </c>
      <c r="AG1125" s="200">
        <f t="shared" si="5704"/>
        <v>0</v>
      </c>
      <c r="AH1125" s="171">
        <f t="shared" si="13"/>
        <v>0</v>
      </c>
      <c r="AI1125" s="200">
        <f t="shared" si="14"/>
        <v>0</v>
      </c>
      <c r="AJ1125" s="200">
        <f t="shared" si="5594"/>
        <v>0</v>
      </c>
      <c r="AK1125" s="201">
        <f t="shared" ref="AK1125:AS1125" si="5705">countif($D1125,"*"&amp;AK$2&amp;"*")</f>
        <v>0</v>
      </c>
      <c r="AL1125" s="201">
        <f t="shared" si="5705"/>
        <v>0</v>
      </c>
      <c r="AM1125" s="201">
        <f t="shared" si="5705"/>
        <v>0</v>
      </c>
      <c r="AN1125" s="201">
        <f t="shared" si="5705"/>
        <v>0</v>
      </c>
      <c r="AO1125" s="201">
        <f t="shared" si="5705"/>
        <v>0</v>
      </c>
      <c r="AP1125" s="201">
        <f t="shared" si="5705"/>
        <v>0</v>
      </c>
      <c r="AQ1125" s="201">
        <f t="shared" si="5705"/>
        <v>0</v>
      </c>
      <c r="AR1125" s="200">
        <f t="shared" si="5705"/>
        <v>0</v>
      </c>
      <c r="AS1125" s="200">
        <f t="shared" si="5705"/>
        <v>0</v>
      </c>
      <c r="AT1125" s="173">
        <v>0.0</v>
      </c>
      <c r="AU1125" s="200">
        <f t="shared" ref="AU1125:AX1125" si="5706">countif($D1125,"*"&amp;AU$2&amp;"*")</f>
        <v>0</v>
      </c>
      <c r="AV1125" s="200">
        <f t="shared" si="5706"/>
        <v>1</v>
      </c>
      <c r="AW1125" s="200">
        <f t="shared" si="5706"/>
        <v>0</v>
      </c>
      <c r="AX1125" s="200">
        <f t="shared" si="5706"/>
        <v>0</v>
      </c>
      <c r="AY1125" s="202">
        <v>0.0</v>
      </c>
      <c r="AZ1125" s="200"/>
      <c r="BA1125" s="171" t="str">
        <f t="shared" si="18"/>
        <v/>
      </c>
      <c r="BB1125" s="171" t="str">
        <f t="shared" si="19"/>
        <v>Code</v>
      </c>
      <c r="BC1125" s="171" t="str">
        <f t="shared" si="20"/>
        <v/>
      </c>
      <c r="BD1125" s="171" t="str">
        <f t="shared" si="21"/>
        <v/>
      </c>
      <c r="BE1125" s="171" t="str">
        <f t="shared" si="22"/>
        <v/>
      </c>
      <c r="BF1125" s="171" t="str">
        <f t="shared" si="23"/>
        <v>Code</v>
      </c>
    </row>
    <row r="1126">
      <c r="A1126" s="171">
        <f t="array" ref="A1126">XLOOKUP(C1126,ICSE!A:A,ICSE!C:C,,2,1)</f>
        <v>2023</v>
      </c>
      <c r="B1126" s="171" t="s">
        <v>5675</v>
      </c>
      <c r="C1126" s="160">
        <v>2147.0</v>
      </c>
      <c r="D1126" s="161" t="s">
        <v>3146</v>
      </c>
      <c r="E1126" s="197" t="str">
        <f t="array" ref="E1126">XLOOKUP(C1126,ICSE!A:A,ICSE!Z:Z,,0,1)</f>
        <v>Publicly available (1)</v>
      </c>
      <c r="F1126" s="198" t="s">
        <v>20</v>
      </c>
      <c r="G1126" s="163" t="str">
        <f t="array" ref="G1126">IF(B1126="ICSE",IF(COUNTIFS(B:B,B1126,C:C,C1126)=XLOOKUP(C1126,ICSE!A:A,ICSE!AA:AA,"ERROR",0,1),"OK","ERROR"),IF(B1126="FSE",IF(COUNTIFS(B:B,B1126,C:C,C1126)=XLOOKUP(C1126,FSE!A:A,FSE!AA:AA,"ERROR",0,1),"OK","ERROR")))</f>
        <v>OK</v>
      </c>
      <c r="H1126" s="199">
        <f t="shared" ref="H1126:O1126" si="5707">countif($D1126,"*"&amp;H$2&amp;"*")</f>
        <v>0</v>
      </c>
      <c r="I1126" s="200">
        <f t="shared" si="5707"/>
        <v>0</v>
      </c>
      <c r="J1126" s="200">
        <f t="shared" si="5707"/>
        <v>0</v>
      </c>
      <c r="K1126" s="200">
        <f t="shared" si="5707"/>
        <v>0</v>
      </c>
      <c r="L1126" s="200">
        <f t="shared" si="5707"/>
        <v>0</v>
      </c>
      <c r="M1126" s="200">
        <f t="shared" si="5707"/>
        <v>0</v>
      </c>
      <c r="N1126" s="200">
        <f t="shared" si="5707"/>
        <v>0</v>
      </c>
      <c r="O1126" s="200">
        <f t="shared" si="5707"/>
        <v>0</v>
      </c>
      <c r="P1126" s="200">
        <f t="shared" si="9"/>
        <v>1</v>
      </c>
      <c r="Q1126" s="200">
        <f t="shared" ref="Q1126:AC1126" si="5708">countif($D1126,"*"&amp;Q$2&amp;"*")</f>
        <v>0</v>
      </c>
      <c r="R1126" s="200">
        <f t="shared" si="5708"/>
        <v>0</v>
      </c>
      <c r="S1126" s="200">
        <f t="shared" si="5708"/>
        <v>0</v>
      </c>
      <c r="T1126" s="200">
        <f t="shared" si="5708"/>
        <v>0</v>
      </c>
      <c r="U1126" s="200">
        <f t="shared" si="5708"/>
        <v>0</v>
      </c>
      <c r="V1126" s="200">
        <f t="shared" si="5708"/>
        <v>0</v>
      </c>
      <c r="W1126" s="200">
        <f t="shared" si="5708"/>
        <v>0</v>
      </c>
      <c r="X1126" s="200">
        <f t="shared" si="5708"/>
        <v>0</v>
      </c>
      <c r="Y1126" s="200">
        <f t="shared" si="5708"/>
        <v>0</v>
      </c>
      <c r="Z1126" s="200">
        <f t="shared" si="5708"/>
        <v>0</v>
      </c>
      <c r="AA1126" s="200">
        <f t="shared" si="5708"/>
        <v>0</v>
      </c>
      <c r="AB1126" s="200">
        <f t="shared" si="5708"/>
        <v>0</v>
      </c>
      <c r="AC1126" s="200">
        <f t="shared" si="5708"/>
        <v>0</v>
      </c>
      <c r="AD1126" s="200">
        <f t="shared" si="11"/>
        <v>0</v>
      </c>
      <c r="AE1126" s="200">
        <f t="shared" ref="AE1126:AG1126" si="5709">countif($D1126,"*"&amp;AE$2&amp;"*")</f>
        <v>0</v>
      </c>
      <c r="AF1126" s="200">
        <f t="shared" si="5709"/>
        <v>0</v>
      </c>
      <c r="AG1126" s="200">
        <f t="shared" si="5709"/>
        <v>0</v>
      </c>
      <c r="AH1126" s="171">
        <f t="shared" si="13"/>
        <v>0</v>
      </c>
      <c r="AI1126" s="200">
        <f t="shared" si="14"/>
        <v>0</v>
      </c>
      <c r="AJ1126" s="200">
        <f t="shared" si="5594"/>
        <v>0</v>
      </c>
      <c r="AK1126" s="201">
        <f t="shared" ref="AK1126:AS1126" si="5710">countif($D1126,"*"&amp;AK$2&amp;"*")</f>
        <v>0</v>
      </c>
      <c r="AL1126" s="201">
        <f t="shared" si="5710"/>
        <v>0</v>
      </c>
      <c r="AM1126" s="201">
        <f t="shared" si="5710"/>
        <v>0</v>
      </c>
      <c r="AN1126" s="201">
        <f t="shared" si="5710"/>
        <v>0</v>
      </c>
      <c r="AO1126" s="201">
        <f t="shared" si="5710"/>
        <v>0</v>
      </c>
      <c r="AP1126" s="201">
        <f t="shared" si="5710"/>
        <v>0</v>
      </c>
      <c r="AQ1126" s="201">
        <f t="shared" si="5710"/>
        <v>0</v>
      </c>
      <c r="AR1126" s="200">
        <f t="shared" si="5710"/>
        <v>0</v>
      </c>
      <c r="AS1126" s="200">
        <f t="shared" si="5710"/>
        <v>0</v>
      </c>
      <c r="AT1126" s="173">
        <v>0.0</v>
      </c>
      <c r="AU1126" s="200">
        <f t="shared" ref="AU1126:AX1126" si="5711">countif($D1126,"*"&amp;AU$2&amp;"*")</f>
        <v>0</v>
      </c>
      <c r="AV1126" s="200">
        <f t="shared" si="5711"/>
        <v>1</v>
      </c>
      <c r="AW1126" s="200">
        <f t="shared" si="5711"/>
        <v>0</v>
      </c>
      <c r="AX1126" s="200">
        <f t="shared" si="5711"/>
        <v>0</v>
      </c>
      <c r="AY1126" s="202">
        <v>0.0</v>
      </c>
      <c r="AZ1126" s="200"/>
      <c r="BA1126" s="171" t="str">
        <f t="shared" si="18"/>
        <v/>
      </c>
      <c r="BB1126" s="171" t="str">
        <f t="shared" si="19"/>
        <v>Code</v>
      </c>
      <c r="BC1126" s="171" t="str">
        <f t="shared" si="20"/>
        <v/>
      </c>
      <c r="BD1126" s="171" t="str">
        <f t="shared" si="21"/>
        <v/>
      </c>
      <c r="BE1126" s="171" t="str">
        <f t="shared" si="22"/>
        <v/>
      </c>
      <c r="BF1126" s="171" t="str">
        <f t="shared" si="23"/>
        <v>Code</v>
      </c>
    </row>
    <row r="1127">
      <c r="A1127" s="171">
        <f t="array" ref="A1127">XLOOKUP(C1127,ICSE!A:A,ICSE!C:C,,2,1)</f>
        <v>2023</v>
      </c>
      <c r="B1127" s="171" t="s">
        <v>5675</v>
      </c>
      <c r="C1127" s="160">
        <v>2148.0</v>
      </c>
      <c r="D1127" s="212" t="s">
        <v>3148</v>
      </c>
      <c r="E1127" s="197" t="str">
        <f t="array" ref="E1127">XLOOKUP(C1127,ICSE!A:A,ICSE!Z:Z,,0,1)</f>
        <v>Publicly available (1)</v>
      </c>
      <c r="F1127" s="198" t="s">
        <v>20</v>
      </c>
      <c r="G1127" s="163" t="str">
        <f t="array" ref="G1127">IF(B1127="ICSE",IF(COUNTIFS(B:B,B1127,C:C,C1127)=XLOOKUP(C1127,ICSE!A:A,ICSE!AA:AA,"ERROR",0,1),"OK","ERROR"),IF(B1127="FSE",IF(COUNTIFS(B:B,B1127,C:C,C1127)=XLOOKUP(C1127,FSE!A:A,FSE!AA:AA,"ERROR",0,1),"OK","ERROR")))</f>
        <v>OK</v>
      </c>
      <c r="H1127" s="199">
        <f t="shared" ref="H1127:O1127" si="5712">countif($D1127,"*"&amp;H$2&amp;"*")</f>
        <v>0</v>
      </c>
      <c r="I1127" s="200">
        <f t="shared" si="5712"/>
        <v>0</v>
      </c>
      <c r="J1127" s="200">
        <f t="shared" si="5712"/>
        <v>0</v>
      </c>
      <c r="K1127" s="200">
        <f t="shared" si="5712"/>
        <v>0</v>
      </c>
      <c r="L1127" s="200">
        <f t="shared" si="5712"/>
        <v>0</v>
      </c>
      <c r="M1127" s="200">
        <f t="shared" si="5712"/>
        <v>0</v>
      </c>
      <c r="N1127" s="200">
        <f t="shared" si="5712"/>
        <v>0</v>
      </c>
      <c r="O1127" s="200">
        <f t="shared" si="5712"/>
        <v>0</v>
      </c>
      <c r="P1127" s="200">
        <f t="shared" si="9"/>
        <v>1</v>
      </c>
      <c r="Q1127" s="200">
        <f t="shared" ref="Q1127:AC1127" si="5713">countif($D1127,"*"&amp;Q$2&amp;"*")</f>
        <v>0</v>
      </c>
      <c r="R1127" s="200">
        <f t="shared" si="5713"/>
        <v>0</v>
      </c>
      <c r="S1127" s="200">
        <f t="shared" si="5713"/>
        <v>0</v>
      </c>
      <c r="T1127" s="200">
        <f t="shared" si="5713"/>
        <v>0</v>
      </c>
      <c r="U1127" s="200">
        <f t="shared" si="5713"/>
        <v>0</v>
      </c>
      <c r="V1127" s="200">
        <f t="shared" si="5713"/>
        <v>0</v>
      </c>
      <c r="W1127" s="200">
        <f t="shared" si="5713"/>
        <v>0</v>
      </c>
      <c r="X1127" s="200">
        <f t="shared" si="5713"/>
        <v>0</v>
      </c>
      <c r="Y1127" s="200">
        <f t="shared" si="5713"/>
        <v>0</v>
      </c>
      <c r="Z1127" s="200">
        <f t="shared" si="5713"/>
        <v>0</v>
      </c>
      <c r="AA1127" s="200">
        <f t="shared" si="5713"/>
        <v>0</v>
      </c>
      <c r="AB1127" s="200">
        <f t="shared" si="5713"/>
        <v>0</v>
      </c>
      <c r="AC1127" s="200">
        <f t="shared" si="5713"/>
        <v>0</v>
      </c>
      <c r="AD1127" s="200">
        <f t="shared" si="11"/>
        <v>0</v>
      </c>
      <c r="AE1127" s="200">
        <f t="shared" ref="AE1127:AG1127" si="5714">countif($D1127,"*"&amp;AE$2&amp;"*")</f>
        <v>0</v>
      </c>
      <c r="AF1127" s="200">
        <f t="shared" si="5714"/>
        <v>0</v>
      </c>
      <c r="AG1127" s="200">
        <f t="shared" si="5714"/>
        <v>0</v>
      </c>
      <c r="AH1127" s="171">
        <f t="shared" si="13"/>
        <v>0</v>
      </c>
      <c r="AI1127" s="200">
        <f t="shared" si="14"/>
        <v>0</v>
      </c>
      <c r="AJ1127" s="200">
        <f t="shared" si="5594"/>
        <v>0</v>
      </c>
      <c r="AK1127" s="201">
        <f t="shared" ref="AK1127:AS1127" si="5715">countif($D1127,"*"&amp;AK$2&amp;"*")</f>
        <v>0</v>
      </c>
      <c r="AL1127" s="201">
        <f t="shared" si="5715"/>
        <v>0</v>
      </c>
      <c r="AM1127" s="201">
        <f t="shared" si="5715"/>
        <v>0</v>
      </c>
      <c r="AN1127" s="201">
        <f t="shared" si="5715"/>
        <v>0</v>
      </c>
      <c r="AO1127" s="201">
        <f t="shared" si="5715"/>
        <v>0</v>
      </c>
      <c r="AP1127" s="201">
        <f t="shared" si="5715"/>
        <v>0</v>
      </c>
      <c r="AQ1127" s="201">
        <f t="shared" si="5715"/>
        <v>0</v>
      </c>
      <c r="AR1127" s="200">
        <f t="shared" si="5715"/>
        <v>0</v>
      </c>
      <c r="AS1127" s="200">
        <f t="shared" si="5715"/>
        <v>0</v>
      </c>
      <c r="AT1127" s="173">
        <v>0.0</v>
      </c>
      <c r="AU1127" s="200">
        <f t="shared" ref="AU1127:AX1127" si="5716">countif($D1127,"*"&amp;AU$2&amp;"*")</f>
        <v>0</v>
      </c>
      <c r="AV1127" s="200">
        <f t="shared" si="5716"/>
        <v>1</v>
      </c>
      <c r="AW1127" s="200">
        <f t="shared" si="5716"/>
        <v>0</v>
      </c>
      <c r="AX1127" s="200">
        <f t="shared" si="5716"/>
        <v>0</v>
      </c>
      <c r="AY1127" s="202">
        <v>0.0</v>
      </c>
      <c r="AZ1127" s="200"/>
      <c r="BA1127" s="171" t="str">
        <f t="shared" si="18"/>
        <v/>
      </c>
      <c r="BB1127" s="171" t="str">
        <f t="shared" si="19"/>
        <v>Code</v>
      </c>
      <c r="BC1127" s="171" t="str">
        <f t="shared" si="20"/>
        <v/>
      </c>
      <c r="BD1127" s="171" t="str">
        <f t="shared" si="21"/>
        <v/>
      </c>
      <c r="BE1127" s="171" t="str">
        <f t="shared" si="22"/>
        <v/>
      </c>
      <c r="BF1127" s="171" t="str">
        <f t="shared" si="23"/>
        <v>Code</v>
      </c>
    </row>
    <row r="1128">
      <c r="A1128" s="171">
        <f t="array" ref="A1128">XLOOKUP(C1128,ICSE!A:A,ICSE!C:C,,2,1)</f>
        <v>2023</v>
      </c>
      <c r="B1128" s="171" t="s">
        <v>5675</v>
      </c>
      <c r="C1128" s="160">
        <v>2149.0</v>
      </c>
      <c r="D1128" s="161" t="s">
        <v>3150</v>
      </c>
      <c r="E1128" s="197" t="str">
        <f t="array" ref="E1128">XLOOKUP(C1128,ICSE!A:A,ICSE!Z:Z,,0,1)</f>
        <v>Publicly available (1)</v>
      </c>
      <c r="F1128" s="198" t="s">
        <v>20</v>
      </c>
      <c r="G1128" s="163" t="str">
        <f t="array" ref="G1128">IF(B1128="ICSE",IF(COUNTIFS(B:B,B1128,C:C,C1128)=XLOOKUP(C1128,ICSE!A:A,ICSE!AA:AA,"ERROR",0,1),"OK","ERROR"),IF(B1128="FSE",IF(COUNTIFS(B:B,B1128,C:C,C1128)=XLOOKUP(C1128,FSE!A:A,FSE!AA:AA,"ERROR",0,1),"OK","ERROR")))</f>
        <v>OK</v>
      </c>
      <c r="H1128" s="199">
        <f t="shared" ref="H1128:O1128" si="5717">countif($D1128,"*"&amp;H$2&amp;"*")</f>
        <v>1</v>
      </c>
      <c r="I1128" s="200">
        <f t="shared" si="5717"/>
        <v>0</v>
      </c>
      <c r="J1128" s="200">
        <f t="shared" si="5717"/>
        <v>0</v>
      </c>
      <c r="K1128" s="200">
        <f t="shared" si="5717"/>
        <v>0</v>
      </c>
      <c r="L1128" s="200">
        <f t="shared" si="5717"/>
        <v>0</v>
      </c>
      <c r="M1128" s="200">
        <f t="shared" si="5717"/>
        <v>0</v>
      </c>
      <c r="N1128" s="200">
        <f t="shared" si="5717"/>
        <v>0</v>
      </c>
      <c r="O1128" s="200">
        <f t="shared" si="5717"/>
        <v>0</v>
      </c>
      <c r="P1128" s="200">
        <f t="shared" si="9"/>
        <v>0</v>
      </c>
      <c r="Q1128" s="200">
        <f t="shared" ref="Q1128:AC1128" si="5718">countif($D1128,"*"&amp;Q$2&amp;"*")</f>
        <v>0</v>
      </c>
      <c r="R1128" s="200">
        <f t="shared" si="5718"/>
        <v>0</v>
      </c>
      <c r="S1128" s="200">
        <f t="shared" si="5718"/>
        <v>0</v>
      </c>
      <c r="T1128" s="200">
        <f t="shared" si="5718"/>
        <v>0</v>
      </c>
      <c r="U1128" s="200">
        <f t="shared" si="5718"/>
        <v>0</v>
      </c>
      <c r="V1128" s="200">
        <f t="shared" si="5718"/>
        <v>0</v>
      </c>
      <c r="W1128" s="200">
        <f t="shared" si="5718"/>
        <v>0</v>
      </c>
      <c r="X1128" s="200">
        <f t="shared" si="5718"/>
        <v>0</v>
      </c>
      <c r="Y1128" s="200">
        <f t="shared" si="5718"/>
        <v>0</v>
      </c>
      <c r="Z1128" s="200">
        <f t="shared" si="5718"/>
        <v>0</v>
      </c>
      <c r="AA1128" s="200">
        <f t="shared" si="5718"/>
        <v>0</v>
      </c>
      <c r="AB1128" s="200">
        <f t="shared" si="5718"/>
        <v>0</v>
      </c>
      <c r="AC1128" s="200">
        <f t="shared" si="5718"/>
        <v>0</v>
      </c>
      <c r="AD1128" s="200">
        <f t="shared" si="11"/>
        <v>0</v>
      </c>
      <c r="AE1128" s="200">
        <f t="shared" ref="AE1128:AG1128" si="5719">countif($D1128,"*"&amp;AE$2&amp;"*")</f>
        <v>0</v>
      </c>
      <c r="AF1128" s="200">
        <f t="shared" si="5719"/>
        <v>0</v>
      </c>
      <c r="AG1128" s="200">
        <f t="shared" si="5719"/>
        <v>0</v>
      </c>
      <c r="AH1128" s="171">
        <f t="shared" si="13"/>
        <v>0</v>
      </c>
      <c r="AI1128" s="200">
        <f t="shared" si="14"/>
        <v>1</v>
      </c>
      <c r="AJ1128" s="200">
        <f t="shared" si="5594"/>
        <v>0</v>
      </c>
      <c r="AK1128" s="201">
        <f t="shared" ref="AK1128:AS1128" si="5720">countif($D1128,"*"&amp;AK$2&amp;"*")</f>
        <v>0</v>
      </c>
      <c r="AL1128" s="201">
        <f t="shared" si="5720"/>
        <v>0</v>
      </c>
      <c r="AM1128" s="201">
        <f t="shared" si="5720"/>
        <v>0</v>
      </c>
      <c r="AN1128" s="201">
        <f t="shared" si="5720"/>
        <v>0</v>
      </c>
      <c r="AO1128" s="201">
        <f t="shared" si="5720"/>
        <v>0</v>
      </c>
      <c r="AP1128" s="201">
        <f t="shared" si="5720"/>
        <v>0</v>
      </c>
      <c r="AQ1128" s="201">
        <f t="shared" si="5720"/>
        <v>0</v>
      </c>
      <c r="AR1128" s="200">
        <f t="shared" si="5720"/>
        <v>0</v>
      </c>
      <c r="AS1128" s="200">
        <f t="shared" si="5720"/>
        <v>0</v>
      </c>
      <c r="AT1128" s="173">
        <v>0.0</v>
      </c>
      <c r="AU1128" s="200">
        <f t="shared" ref="AU1128:AX1128" si="5721">countif($D1128,"*"&amp;AU$2&amp;"*")</f>
        <v>0</v>
      </c>
      <c r="AV1128" s="200">
        <f t="shared" si="5721"/>
        <v>0</v>
      </c>
      <c r="AW1128" s="200">
        <f t="shared" si="5721"/>
        <v>0</v>
      </c>
      <c r="AX1128" s="200">
        <f t="shared" si="5721"/>
        <v>1</v>
      </c>
      <c r="AY1128" s="202">
        <v>0.0</v>
      </c>
      <c r="AZ1128" s="200"/>
      <c r="BA1128" s="171" t="str">
        <f t="shared" si="18"/>
        <v>Archival</v>
      </c>
      <c r="BB1128" s="171" t="str">
        <f t="shared" si="19"/>
        <v/>
      </c>
      <c r="BC1128" s="171" t="str">
        <f t="shared" si="20"/>
        <v/>
      </c>
      <c r="BD1128" s="171" t="str">
        <f t="shared" si="21"/>
        <v/>
      </c>
      <c r="BE1128" s="171" t="str">
        <f t="shared" si="22"/>
        <v/>
      </c>
      <c r="BF1128" s="171" t="str">
        <f t="shared" si="23"/>
        <v>Archival</v>
      </c>
    </row>
    <row r="1129">
      <c r="A1129" s="171">
        <f t="array" ref="A1129">XLOOKUP(C1129,ICSE!A:A,ICSE!C:C,,2,1)</f>
        <v>2023</v>
      </c>
      <c r="B1129" s="171" t="s">
        <v>5675</v>
      </c>
      <c r="C1129" s="160">
        <v>2150.0</v>
      </c>
      <c r="D1129" s="161" t="s">
        <v>3154</v>
      </c>
      <c r="E1129" s="197" t="str">
        <f t="array" ref="E1129">XLOOKUP(C1129,ICSE!A:A,ICSE!Z:Z,,0,1)</f>
        <v>Publicly available (1)</v>
      </c>
      <c r="F1129" s="198" t="s">
        <v>20</v>
      </c>
      <c r="G1129" s="163" t="str">
        <f t="array" ref="G1129">IF(B1129="ICSE",IF(COUNTIFS(B:B,B1129,C:C,C1129)=XLOOKUP(C1129,ICSE!A:A,ICSE!AA:AA,"ERROR",0,1),"OK","ERROR"),IF(B1129="FSE",IF(COUNTIFS(B:B,B1129,C:C,C1129)=XLOOKUP(C1129,FSE!A:A,FSE!AA:AA,"ERROR",0,1),"OK","ERROR")))</f>
        <v>OK</v>
      </c>
      <c r="H1129" s="199">
        <f t="shared" ref="H1129:O1129" si="5722">countif($D1129,"*"&amp;H$2&amp;"*")</f>
        <v>0</v>
      </c>
      <c r="I1129" s="200">
        <f t="shared" si="5722"/>
        <v>0</v>
      </c>
      <c r="J1129" s="200">
        <f t="shared" si="5722"/>
        <v>0</v>
      </c>
      <c r="K1129" s="200">
        <f t="shared" si="5722"/>
        <v>0</v>
      </c>
      <c r="L1129" s="200">
        <f t="shared" si="5722"/>
        <v>0</v>
      </c>
      <c r="M1129" s="200">
        <f t="shared" si="5722"/>
        <v>0</v>
      </c>
      <c r="N1129" s="200">
        <f t="shared" si="5722"/>
        <v>0</v>
      </c>
      <c r="O1129" s="200">
        <f t="shared" si="5722"/>
        <v>0</v>
      </c>
      <c r="P1129" s="200">
        <f t="shared" si="9"/>
        <v>1</v>
      </c>
      <c r="Q1129" s="200">
        <f t="shared" ref="Q1129:AC1129" si="5723">countif($D1129,"*"&amp;Q$2&amp;"*")</f>
        <v>0</v>
      </c>
      <c r="R1129" s="200">
        <f t="shared" si="5723"/>
        <v>0</v>
      </c>
      <c r="S1129" s="200">
        <f t="shared" si="5723"/>
        <v>0</v>
      </c>
      <c r="T1129" s="200">
        <f t="shared" si="5723"/>
        <v>0</v>
      </c>
      <c r="U1129" s="200">
        <f t="shared" si="5723"/>
        <v>0</v>
      </c>
      <c r="V1129" s="200">
        <f t="shared" si="5723"/>
        <v>0</v>
      </c>
      <c r="W1129" s="200">
        <f t="shared" si="5723"/>
        <v>0</v>
      </c>
      <c r="X1129" s="200">
        <f t="shared" si="5723"/>
        <v>0</v>
      </c>
      <c r="Y1129" s="200">
        <f t="shared" si="5723"/>
        <v>0</v>
      </c>
      <c r="Z1129" s="200">
        <f t="shared" si="5723"/>
        <v>0</v>
      </c>
      <c r="AA1129" s="200">
        <f t="shared" si="5723"/>
        <v>0</v>
      </c>
      <c r="AB1129" s="200">
        <f t="shared" si="5723"/>
        <v>0</v>
      </c>
      <c r="AC1129" s="200">
        <f t="shared" si="5723"/>
        <v>0</v>
      </c>
      <c r="AD1129" s="200">
        <f t="shared" si="11"/>
        <v>0</v>
      </c>
      <c r="AE1129" s="200">
        <f t="shared" ref="AE1129:AG1129" si="5724">countif($D1129,"*"&amp;AE$2&amp;"*")</f>
        <v>0</v>
      </c>
      <c r="AF1129" s="200">
        <f t="shared" si="5724"/>
        <v>0</v>
      </c>
      <c r="AG1129" s="200">
        <f t="shared" si="5724"/>
        <v>0</v>
      </c>
      <c r="AH1129" s="171">
        <f t="shared" si="13"/>
        <v>0</v>
      </c>
      <c r="AI1129" s="200">
        <f t="shared" si="14"/>
        <v>0</v>
      </c>
      <c r="AJ1129" s="200">
        <f t="shared" si="5594"/>
        <v>0</v>
      </c>
      <c r="AK1129" s="201">
        <f t="shared" ref="AK1129:AS1129" si="5725">countif($D1129,"*"&amp;AK$2&amp;"*")</f>
        <v>0</v>
      </c>
      <c r="AL1129" s="201">
        <f t="shared" si="5725"/>
        <v>0</v>
      </c>
      <c r="AM1129" s="201">
        <f t="shared" si="5725"/>
        <v>0</v>
      </c>
      <c r="AN1129" s="201">
        <f t="shared" si="5725"/>
        <v>0</v>
      </c>
      <c r="AO1129" s="201">
        <f t="shared" si="5725"/>
        <v>0</v>
      </c>
      <c r="AP1129" s="201">
        <f t="shared" si="5725"/>
        <v>0</v>
      </c>
      <c r="AQ1129" s="201">
        <f t="shared" si="5725"/>
        <v>0</v>
      </c>
      <c r="AR1129" s="200">
        <f t="shared" si="5725"/>
        <v>0</v>
      </c>
      <c r="AS1129" s="200">
        <f t="shared" si="5725"/>
        <v>0</v>
      </c>
      <c r="AT1129" s="173">
        <v>0.0</v>
      </c>
      <c r="AU1129" s="200">
        <f t="shared" ref="AU1129:AX1129" si="5726">countif($D1129,"*"&amp;AU$2&amp;"*")</f>
        <v>0</v>
      </c>
      <c r="AV1129" s="200">
        <f t="shared" si="5726"/>
        <v>1</v>
      </c>
      <c r="AW1129" s="200">
        <f t="shared" si="5726"/>
        <v>0</v>
      </c>
      <c r="AX1129" s="200">
        <f t="shared" si="5726"/>
        <v>0</v>
      </c>
      <c r="AY1129" s="202">
        <v>0.0</v>
      </c>
      <c r="AZ1129" s="200"/>
      <c r="BA1129" s="171" t="str">
        <f t="shared" si="18"/>
        <v/>
      </c>
      <c r="BB1129" s="171" t="str">
        <f t="shared" si="19"/>
        <v>Code</v>
      </c>
      <c r="BC1129" s="171" t="str">
        <f t="shared" si="20"/>
        <v/>
      </c>
      <c r="BD1129" s="171" t="str">
        <f t="shared" si="21"/>
        <v/>
      </c>
      <c r="BE1129" s="171" t="str">
        <f t="shared" si="22"/>
        <v/>
      </c>
      <c r="BF1129" s="171" t="str">
        <f t="shared" si="23"/>
        <v>Code</v>
      </c>
    </row>
    <row r="1130">
      <c r="A1130" s="171">
        <f t="array" ref="A1130">XLOOKUP(C1130,ICSE!A:A,ICSE!C:C,,2,1)</f>
        <v>2023</v>
      </c>
      <c r="B1130" s="171" t="s">
        <v>5675</v>
      </c>
      <c r="C1130" s="160">
        <v>2152.0</v>
      </c>
      <c r="D1130" s="161" t="s">
        <v>6132</v>
      </c>
      <c r="E1130" s="197" t="str">
        <f t="array" ref="E1130">XLOOKUP(C1130,ICSE!A:A,ICSE!Z:Z,,0,1)</f>
        <v>Publicly available (1)</v>
      </c>
      <c r="F1130" s="198" t="s">
        <v>20</v>
      </c>
      <c r="G1130" s="163" t="str">
        <f t="array" ref="G1130">IF(B1130="ICSE",IF(COUNTIFS(B:B,B1130,C:C,C1130)=XLOOKUP(C1130,ICSE!A:A,ICSE!AA:AA,"ERROR",0,1),"OK","ERROR"),IF(B1130="FSE",IF(COUNTIFS(B:B,B1130,C:C,C1130)=XLOOKUP(C1130,FSE!A:A,FSE!AA:AA,"ERROR",0,1),"OK","ERROR")))</f>
        <v>OK</v>
      </c>
      <c r="H1130" s="199">
        <f t="shared" ref="H1130:O1130" si="5727">countif($D1130,"*"&amp;H$2&amp;"*")</f>
        <v>0</v>
      </c>
      <c r="I1130" s="200">
        <f t="shared" si="5727"/>
        <v>0</v>
      </c>
      <c r="J1130" s="200">
        <f t="shared" si="5727"/>
        <v>0</v>
      </c>
      <c r="K1130" s="200">
        <f t="shared" si="5727"/>
        <v>1</v>
      </c>
      <c r="L1130" s="200">
        <f t="shared" si="5727"/>
        <v>0</v>
      </c>
      <c r="M1130" s="200">
        <f t="shared" si="5727"/>
        <v>0</v>
      </c>
      <c r="N1130" s="200">
        <f t="shared" si="5727"/>
        <v>0</v>
      </c>
      <c r="O1130" s="200">
        <f t="shared" si="5727"/>
        <v>0</v>
      </c>
      <c r="P1130" s="200">
        <f t="shared" si="9"/>
        <v>0</v>
      </c>
      <c r="Q1130" s="200">
        <f t="shared" ref="Q1130:AC1130" si="5728">countif($D1130,"*"&amp;Q$2&amp;"*")</f>
        <v>0</v>
      </c>
      <c r="R1130" s="200">
        <f t="shared" si="5728"/>
        <v>0</v>
      </c>
      <c r="S1130" s="200">
        <f t="shared" si="5728"/>
        <v>0</v>
      </c>
      <c r="T1130" s="200">
        <f t="shared" si="5728"/>
        <v>0</v>
      </c>
      <c r="U1130" s="200">
        <f t="shared" si="5728"/>
        <v>0</v>
      </c>
      <c r="V1130" s="200">
        <f t="shared" si="5728"/>
        <v>0</v>
      </c>
      <c r="W1130" s="200">
        <f t="shared" si="5728"/>
        <v>0</v>
      </c>
      <c r="X1130" s="200">
        <f t="shared" si="5728"/>
        <v>0</v>
      </c>
      <c r="Y1130" s="200">
        <f t="shared" si="5728"/>
        <v>0</v>
      </c>
      <c r="Z1130" s="200">
        <f t="shared" si="5728"/>
        <v>0</v>
      </c>
      <c r="AA1130" s="200">
        <f t="shared" si="5728"/>
        <v>0</v>
      </c>
      <c r="AB1130" s="200">
        <f t="shared" si="5728"/>
        <v>0</v>
      </c>
      <c r="AC1130" s="200">
        <f t="shared" si="5728"/>
        <v>0</v>
      </c>
      <c r="AD1130" s="200">
        <f t="shared" si="11"/>
        <v>0</v>
      </c>
      <c r="AE1130" s="200">
        <f t="shared" ref="AE1130:AG1130" si="5729">countif($D1130,"*"&amp;AE$2&amp;"*")</f>
        <v>0</v>
      </c>
      <c r="AF1130" s="200">
        <f t="shared" si="5729"/>
        <v>0</v>
      </c>
      <c r="AG1130" s="200">
        <f t="shared" si="5729"/>
        <v>0</v>
      </c>
      <c r="AH1130" s="171">
        <f t="shared" si="13"/>
        <v>0</v>
      </c>
      <c r="AI1130" s="200">
        <f t="shared" si="14"/>
        <v>1</v>
      </c>
      <c r="AJ1130" s="200">
        <f t="shared" si="5594"/>
        <v>0</v>
      </c>
      <c r="AK1130" s="201">
        <f t="shared" ref="AK1130:AS1130" si="5730">countif($D1130,"*"&amp;AK$2&amp;"*")</f>
        <v>0</v>
      </c>
      <c r="AL1130" s="201">
        <f t="shared" si="5730"/>
        <v>0</v>
      </c>
      <c r="AM1130" s="201">
        <f t="shared" si="5730"/>
        <v>0</v>
      </c>
      <c r="AN1130" s="201">
        <f t="shared" si="5730"/>
        <v>0</v>
      </c>
      <c r="AO1130" s="201">
        <f t="shared" si="5730"/>
        <v>0</v>
      </c>
      <c r="AP1130" s="201">
        <f t="shared" si="5730"/>
        <v>0</v>
      </c>
      <c r="AQ1130" s="201">
        <f t="shared" si="5730"/>
        <v>0</v>
      </c>
      <c r="AR1130" s="200">
        <f t="shared" si="5730"/>
        <v>0</v>
      </c>
      <c r="AS1130" s="200">
        <f t="shared" si="5730"/>
        <v>0</v>
      </c>
      <c r="AT1130" s="173">
        <v>0.0</v>
      </c>
      <c r="AU1130" s="200">
        <f t="shared" ref="AU1130:AX1130" si="5731">countif($D1130,"*"&amp;AU$2&amp;"*")</f>
        <v>0</v>
      </c>
      <c r="AV1130" s="200">
        <f t="shared" si="5731"/>
        <v>0</v>
      </c>
      <c r="AW1130" s="200">
        <f t="shared" si="5731"/>
        <v>0</v>
      </c>
      <c r="AX1130" s="200">
        <f t="shared" si="5731"/>
        <v>0</v>
      </c>
      <c r="AY1130" s="204">
        <v>1.0</v>
      </c>
      <c r="AZ1130" s="200"/>
      <c r="BA1130" s="171" t="str">
        <f t="shared" si="18"/>
        <v>Archival</v>
      </c>
      <c r="BB1130" s="171" t="str">
        <f t="shared" si="19"/>
        <v/>
      </c>
      <c r="BC1130" s="171" t="str">
        <f t="shared" si="20"/>
        <v/>
      </c>
      <c r="BD1130" s="171" t="str">
        <f t="shared" si="21"/>
        <v/>
      </c>
      <c r="BE1130" s="171" t="str">
        <f t="shared" si="22"/>
        <v/>
      </c>
      <c r="BF1130" s="171" t="str">
        <f t="shared" si="23"/>
        <v>Archival</v>
      </c>
    </row>
    <row r="1131">
      <c r="A1131" s="171">
        <f t="array" ref="A1131">XLOOKUP(C1131,ICSE!A:A,ICSE!C:C,,2,1)</f>
        <v>2023</v>
      </c>
      <c r="B1131" s="171" t="s">
        <v>5675</v>
      </c>
      <c r="C1131" s="160">
        <v>2153.0</v>
      </c>
      <c r="D1131" s="161" t="s">
        <v>6133</v>
      </c>
      <c r="E1131" s="197" t="str">
        <f t="array" ref="E1131">XLOOKUP(C1131,ICSE!A:A,ICSE!Z:Z,,0,1)</f>
        <v>Not available (1) - Broken link.
Publicly available (2)</v>
      </c>
      <c r="F1131" s="198" t="s">
        <v>20</v>
      </c>
      <c r="G1131" s="163" t="str">
        <f t="array" ref="G1131">IF(B1131="ICSE",IF(COUNTIFS(B:B,B1131,C:C,C1131)=XLOOKUP(C1131,ICSE!A:A,ICSE!AA:AA,"ERROR",0,1),"OK","ERROR"),IF(B1131="FSE",IF(COUNTIFS(B:B,B1131,C:C,C1131)=XLOOKUP(C1131,FSE!A:A,FSE!AA:AA,"ERROR",0,1),"OK","ERROR")))</f>
        <v>OK</v>
      </c>
      <c r="H1131" s="199">
        <f t="shared" ref="H1131:O1131" si="5732">countif($D1131,"*"&amp;H$2&amp;"*")</f>
        <v>0</v>
      </c>
      <c r="I1131" s="200">
        <f t="shared" si="5732"/>
        <v>0</v>
      </c>
      <c r="J1131" s="200">
        <f t="shared" si="5732"/>
        <v>0</v>
      </c>
      <c r="K1131" s="200">
        <f t="shared" si="5732"/>
        <v>0</v>
      </c>
      <c r="L1131" s="200">
        <f t="shared" si="5732"/>
        <v>0</v>
      </c>
      <c r="M1131" s="200">
        <f t="shared" si="5732"/>
        <v>0</v>
      </c>
      <c r="N1131" s="200">
        <f t="shared" si="5732"/>
        <v>0</v>
      </c>
      <c r="O1131" s="200">
        <f t="shared" si="5732"/>
        <v>0</v>
      </c>
      <c r="P1131" s="200">
        <f t="shared" si="9"/>
        <v>1</v>
      </c>
      <c r="Q1131" s="200">
        <f t="shared" ref="Q1131:AC1131" si="5733">countif($D1131,"*"&amp;Q$2&amp;"*")</f>
        <v>0</v>
      </c>
      <c r="R1131" s="200">
        <f t="shared" si="5733"/>
        <v>0</v>
      </c>
      <c r="S1131" s="200">
        <f t="shared" si="5733"/>
        <v>0</v>
      </c>
      <c r="T1131" s="200">
        <f t="shared" si="5733"/>
        <v>0</v>
      </c>
      <c r="U1131" s="200">
        <f t="shared" si="5733"/>
        <v>0</v>
      </c>
      <c r="V1131" s="200">
        <f t="shared" si="5733"/>
        <v>0</v>
      </c>
      <c r="W1131" s="200">
        <f t="shared" si="5733"/>
        <v>0</v>
      </c>
      <c r="X1131" s="200">
        <f t="shared" si="5733"/>
        <v>0</v>
      </c>
      <c r="Y1131" s="200">
        <f t="shared" si="5733"/>
        <v>0</v>
      </c>
      <c r="Z1131" s="200">
        <f t="shared" si="5733"/>
        <v>0</v>
      </c>
      <c r="AA1131" s="200">
        <f t="shared" si="5733"/>
        <v>0</v>
      </c>
      <c r="AB1131" s="200">
        <f t="shared" si="5733"/>
        <v>0</v>
      </c>
      <c r="AC1131" s="200">
        <f t="shared" si="5733"/>
        <v>0</v>
      </c>
      <c r="AD1131" s="200">
        <f t="shared" si="11"/>
        <v>0</v>
      </c>
      <c r="AE1131" s="200">
        <f t="shared" ref="AE1131:AG1131" si="5734">countif($D1131,"*"&amp;AE$2&amp;"*")</f>
        <v>0</v>
      </c>
      <c r="AF1131" s="200">
        <f t="shared" si="5734"/>
        <v>0</v>
      </c>
      <c r="AG1131" s="200">
        <f t="shared" si="5734"/>
        <v>0</v>
      </c>
      <c r="AH1131" s="171">
        <f t="shared" si="13"/>
        <v>0</v>
      </c>
      <c r="AI1131" s="200">
        <f t="shared" si="14"/>
        <v>0</v>
      </c>
      <c r="AJ1131" s="200">
        <f t="shared" si="5594"/>
        <v>0</v>
      </c>
      <c r="AK1131" s="201">
        <f t="shared" ref="AK1131:AS1131" si="5735">countif($D1131,"*"&amp;AK$2&amp;"*")</f>
        <v>0</v>
      </c>
      <c r="AL1131" s="201">
        <f t="shared" si="5735"/>
        <v>0</v>
      </c>
      <c r="AM1131" s="201">
        <f t="shared" si="5735"/>
        <v>0</v>
      </c>
      <c r="AN1131" s="201">
        <f t="shared" si="5735"/>
        <v>0</v>
      </c>
      <c r="AO1131" s="201">
        <f t="shared" si="5735"/>
        <v>0</v>
      </c>
      <c r="AP1131" s="201">
        <f t="shared" si="5735"/>
        <v>0</v>
      </c>
      <c r="AQ1131" s="201">
        <f t="shared" si="5735"/>
        <v>0</v>
      </c>
      <c r="AR1131" s="200">
        <f t="shared" si="5735"/>
        <v>0</v>
      </c>
      <c r="AS1131" s="200">
        <f t="shared" si="5735"/>
        <v>0</v>
      </c>
      <c r="AT1131" s="173">
        <v>0.0</v>
      </c>
      <c r="AU1131" s="200">
        <f t="shared" ref="AU1131:AX1131" si="5736">countif($D1131,"*"&amp;AU$2&amp;"*")</f>
        <v>0</v>
      </c>
      <c r="AV1131" s="200">
        <f t="shared" si="5736"/>
        <v>1</v>
      </c>
      <c r="AW1131" s="200">
        <f t="shared" si="5736"/>
        <v>0</v>
      </c>
      <c r="AX1131" s="200">
        <f t="shared" si="5736"/>
        <v>0</v>
      </c>
      <c r="AY1131" s="202">
        <v>0.0</v>
      </c>
      <c r="AZ1131" s="200"/>
      <c r="BA1131" s="171" t="str">
        <f t="shared" si="18"/>
        <v/>
      </c>
      <c r="BB1131" s="171" t="str">
        <f t="shared" si="19"/>
        <v>Code</v>
      </c>
      <c r="BC1131" s="171" t="str">
        <f t="shared" si="20"/>
        <v/>
      </c>
      <c r="BD1131" s="171" t="str">
        <f t="shared" si="21"/>
        <v/>
      </c>
      <c r="BE1131" s="171" t="str">
        <f t="shared" si="22"/>
        <v/>
      </c>
      <c r="BF1131" s="171" t="str">
        <f t="shared" si="23"/>
        <v>Code</v>
      </c>
    </row>
    <row r="1132">
      <c r="A1132" s="171">
        <f t="array" ref="A1132">XLOOKUP(C1132,ICSE!A:A,ICSE!C:C,,2,1)</f>
        <v>2023</v>
      </c>
      <c r="B1132" s="171" t="s">
        <v>5675</v>
      </c>
      <c r="C1132" s="160">
        <v>2153.0</v>
      </c>
      <c r="D1132" s="161" t="s">
        <v>6134</v>
      </c>
      <c r="E1132" s="197" t="str">
        <f t="array" ref="E1132">XLOOKUP(C1132,ICSE!A:A,ICSE!Z:Z,,0,1)</f>
        <v>Not available (1) - Broken link.
Publicly available (2)</v>
      </c>
      <c r="F1132" s="198" t="s">
        <v>20</v>
      </c>
      <c r="G1132" s="163" t="str">
        <f t="array" ref="G1132">IF(B1132="ICSE",IF(COUNTIFS(B:B,B1132,C:C,C1132)=XLOOKUP(C1132,ICSE!A:A,ICSE!AA:AA,"ERROR",0,1),"OK","ERROR"),IF(B1132="FSE",IF(COUNTIFS(B:B,B1132,C:C,C1132)=XLOOKUP(C1132,FSE!A:A,FSE!AA:AA,"ERROR",0,1),"OK","ERROR")))</f>
        <v>OK</v>
      </c>
      <c r="H1132" s="199">
        <f t="shared" ref="H1132:O1132" si="5737">countif($D1132,"*"&amp;H$2&amp;"*")</f>
        <v>0</v>
      </c>
      <c r="I1132" s="200">
        <f t="shared" si="5737"/>
        <v>1</v>
      </c>
      <c r="J1132" s="200">
        <f t="shared" si="5737"/>
        <v>0</v>
      </c>
      <c r="K1132" s="200">
        <f t="shared" si="5737"/>
        <v>0</v>
      </c>
      <c r="L1132" s="200">
        <f t="shared" si="5737"/>
        <v>0</v>
      </c>
      <c r="M1132" s="200">
        <f t="shared" si="5737"/>
        <v>0</v>
      </c>
      <c r="N1132" s="200">
        <f t="shared" si="5737"/>
        <v>0</v>
      </c>
      <c r="O1132" s="200">
        <f t="shared" si="5737"/>
        <v>0</v>
      </c>
      <c r="P1132" s="200">
        <f t="shared" si="9"/>
        <v>0</v>
      </c>
      <c r="Q1132" s="200">
        <f t="shared" ref="Q1132:AC1132" si="5738">countif($D1132,"*"&amp;Q$2&amp;"*")</f>
        <v>0</v>
      </c>
      <c r="R1132" s="200">
        <f t="shared" si="5738"/>
        <v>0</v>
      </c>
      <c r="S1132" s="200">
        <f t="shared" si="5738"/>
        <v>0</v>
      </c>
      <c r="T1132" s="200">
        <f t="shared" si="5738"/>
        <v>0</v>
      </c>
      <c r="U1132" s="200">
        <f t="shared" si="5738"/>
        <v>0</v>
      </c>
      <c r="V1132" s="200">
        <f t="shared" si="5738"/>
        <v>0</v>
      </c>
      <c r="W1132" s="200">
        <f t="shared" si="5738"/>
        <v>0</v>
      </c>
      <c r="X1132" s="200">
        <f t="shared" si="5738"/>
        <v>0</v>
      </c>
      <c r="Y1132" s="200">
        <f t="shared" si="5738"/>
        <v>0</v>
      </c>
      <c r="Z1132" s="200">
        <f t="shared" si="5738"/>
        <v>0</v>
      </c>
      <c r="AA1132" s="200">
        <f t="shared" si="5738"/>
        <v>0</v>
      </c>
      <c r="AB1132" s="200">
        <f t="shared" si="5738"/>
        <v>0</v>
      </c>
      <c r="AC1132" s="200">
        <f t="shared" si="5738"/>
        <v>0</v>
      </c>
      <c r="AD1132" s="200">
        <f t="shared" si="11"/>
        <v>0</v>
      </c>
      <c r="AE1132" s="200">
        <f t="shared" ref="AE1132:AG1132" si="5739">countif($D1132,"*"&amp;AE$2&amp;"*")</f>
        <v>0</v>
      </c>
      <c r="AF1132" s="200">
        <f t="shared" si="5739"/>
        <v>0</v>
      </c>
      <c r="AG1132" s="200">
        <f t="shared" si="5739"/>
        <v>0</v>
      </c>
      <c r="AH1132" s="171">
        <f t="shared" si="13"/>
        <v>0</v>
      </c>
      <c r="AI1132" s="200">
        <f t="shared" si="14"/>
        <v>1</v>
      </c>
      <c r="AJ1132" s="200">
        <f t="shared" si="5594"/>
        <v>0</v>
      </c>
      <c r="AK1132" s="201">
        <f t="shared" ref="AK1132:AS1132" si="5740">countif($D1132,"*"&amp;AK$2&amp;"*")</f>
        <v>0</v>
      </c>
      <c r="AL1132" s="201">
        <f t="shared" si="5740"/>
        <v>0</v>
      </c>
      <c r="AM1132" s="201">
        <f t="shared" si="5740"/>
        <v>0</v>
      </c>
      <c r="AN1132" s="201">
        <f t="shared" si="5740"/>
        <v>0</v>
      </c>
      <c r="AO1132" s="201">
        <f t="shared" si="5740"/>
        <v>0</v>
      </c>
      <c r="AP1132" s="201">
        <f t="shared" si="5740"/>
        <v>0</v>
      </c>
      <c r="AQ1132" s="201">
        <f t="shared" si="5740"/>
        <v>0</v>
      </c>
      <c r="AR1132" s="200">
        <f t="shared" si="5740"/>
        <v>0</v>
      </c>
      <c r="AS1132" s="200">
        <f t="shared" si="5740"/>
        <v>0</v>
      </c>
      <c r="AT1132" s="173">
        <v>0.0</v>
      </c>
      <c r="AU1132" s="200">
        <f t="shared" ref="AU1132:AX1132" si="5741">countif($D1132,"*"&amp;AU$2&amp;"*")</f>
        <v>0</v>
      </c>
      <c r="AV1132" s="200">
        <f t="shared" si="5741"/>
        <v>0</v>
      </c>
      <c r="AW1132" s="200">
        <f t="shared" si="5741"/>
        <v>0</v>
      </c>
      <c r="AX1132" s="200">
        <f t="shared" si="5741"/>
        <v>0</v>
      </c>
      <c r="AY1132" s="204">
        <v>1.0</v>
      </c>
      <c r="AZ1132" s="200"/>
      <c r="BA1132" s="171" t="str">
        <f t="shared" si="18"/>
        <v>Archival</v>
      </c>
      <c r="BB1132" s="171" t="str">
        <f t="shared" si="19"/>
        <v/>
      </c>
      <c r="BC1132" s="171" t="str">
        <f t="shared" si="20"/>
        <v/>
      </c>
      <c r="BD1132" s="171" t="str">
        <f t="shared" si="21"/>
        <v/>
      </c>
      <c r="BE1132" s="171" t="str">
        <f t="shared" si="22"/>
        <v/>
      </c>
      <c r="BF1132" s="171" t="str">
        <f t="shared" si="23"/>
        <v>Archival</v>
      </c>
    </row>
    <row r="1133">
      <c r="A1133" s="171">
        <f t="array" ref="A1133">XLOOKUP(C1133,ICSE!A:A,ICSE!C:C,,2,1)</f>
        <v>2023</v>
      </c>
      <c r="B1133" s="171" t="s">
        <v>5675</v>
      </c>
      <c r="C1133" s="160">
        <v>2153.0</v>
      </c>
      <c r="D1133" s="161" t="s">
        <v>6135</v>
      </c>
      <c r="E1133" s="197" t="str">
        <f t="array" ref="E1133">XLOOKUP(C1133,ICSE!A:A,ICSE!Z:Z,,0,1)</f>
        <v>Not available (1) - Broken link.
Publicly available (2)</v>
      </c>
      <c r="F1133" s="198" t="s">
        <v>21</v>
      </c>
      <c r="G1133" s="163" t="str">
        <f t="array" ref="G1133">IF(B1133="ICSE",IF(COUNTIFS(B:B,B1133,C:C,C1133)=XLOOKUP(C1133,ICSE!A:A,ICSE!AA:AA,"ERROR",0,1),"OK","ERROR"),IF(B1133="FSE",IF(COUNTIFS(B:B,B1133,C:C,C1133)=XLOOKUP(C1133,FSE!A:A,FSE!AA:AA,"ERROR",0,1),"OK","ERROR")))</f>
        <v>OK</v>
      </c>
      <c r="H1133" s="199">
        <f t="shared" ref="H1133:O1133" si="5742">countif($D1133,"*"&amp;H$2&amp;"*")</f>
        <v>0</v>
      </c>
      <c r="I1133" s="200">
        <f t="shared" si="5742"/>
        <v>1</v>
      </c>
      <c r="J1133" s="200">
        <f t="shared" si="5742"/>
        <v>0</v>
      </c>
      <c r="K1133" s="200">
        <f t="shared" si="5742"/>
        <v>0</v>
      </c>
      <c r="L1133" s="200">
        <f t="shared" si="5742"/>
        <v>0</v>
      </c>
      <c r="M1133" s="200">
        <f t="shared" si="5742"/>
        <v>0</v>
      </c>
      <c r="N1133" s="200">
        <f t="shared" si="5742"/>
        <v>0</v>
      </c>
      <c r="O1133" s="200">
        <f t="shared" si="5742"/>
        <v>0</v>
      </c>
      <c r="P1133" s="200">
        <f t="shared" si="9"/>
        <v>0</v>
      </c>
      <c r="Q1133" s="200">
        <f t="shared" ref="Q1133:AC1133" si="5743">countif($D1133,"*"&amp;Q$2&amp;"*")</f>
        <v>0</v>
      </c>
      <c r="R1133" s="200">
        <f t="shared" si="5743"/>
        <v>0</v>
      </c>
      <c r="S1133" s="200">
        <f t="shared" si="5743"/>
        <v>0</v>
      </c>
      <c r="T1133" s="200">
        <f t="shared" si="5743"/>
        <v>0</v>
      </c>
      <c r="U1133" s="200">
        <f t="shared" si="5743"/>
        <v>0</v>
      </c>
      <c r="V1133" s="200">
        <f t="shared" si="5743"/>
        <v>0</v>
      </c>
      <c r="W1133" s="200">
        <f t="shared" si="5743"/>
        <v>0</v>
      </c>
      <c r="X1133" s="200">
        <f t="shared" si="5743"/>
        <v>0</v>
      </c>
      <c r="Y1133" s="200">
        <f t="shared" si="5743"/>
        <v>0</v>
      </c>
      <c r="Z1133" s="200">
        <f t="shared" si="5743"/>
        <v>0</v>
      </c>
      <c r="AA1133" s="200">
        <f t="shared" si="5743"/>
        <v>0</v>
      </c>
      <c r="AB1133" s="200">
        <f t="shared" si="5743"/>
        <v>0</v>
      </c>
      <c r="AC1133" s="200">
        <f t="shared" si="5743"/>
        <v>0</v>
      </c>
      <c r="AD1133" s="200">
        <f t="shared" si="11"/>
        <v>0</v>
      </c>
      <c r="AE1133" s="200">
        <f t="shared" ref="AE1133:AG1133" si="5744">countif($D1133,"*"&amp;AE$2&amp;"*")</f>
        <v>0</v>
      </c>
      <c r="AF1133" s="200">
        <f t="shared" si="5744"/>
        <v>0</v>
      </c>
      <c r="AG1133" s="200">
        <f t="shared" si="5744"/>
        <v>0</v>
      </c>
      <c r="AH1133" s="171">
        <f t="shared" si="13"/>
        <v>0</v>
      </c>
      <c r="AI1133" s="200">
        <f t="shared" si="14"/>
        <v>1</v>
      </c>
      <c r="AJ1133" s="200">
        <f t="shared" si="5594"/>
        <v>0</v>
      </c>
      <c r="AK1133" s="201">
        <f t="shared" ref="AK1133:AS1133" si="5745">countif($D1133,"*"&amp;AK$2&amp;"*")</f>
        <v>0</v>
      </c>
      <c r="AL1133" s="201">
        <f t="shared" si="5745"/>
        <v>0</v>
      </c>
      <c r="AM1133" s="201">
        <f t="shared" si="5745"/>
        <v>0</v>
      </c>
      <c r="AN1133" s="201">
        <f t="shared" si="5745"/>
        <v>0</v>
      </c>
      <c r="AO1133" s="201">
        <f t="shared" si="5745"/>
        <v>0</v>
      </c>
      <c r="AP1133" s="201">
        <f t="shared" si="5745"/>
        <v>0</v>
      </c>
      <c r="AQ1133" s="201">
        <f t="shared" si="5745"/>
        <v>0</v>
      </c>
      <c r="AR1133" s="200">
        <f t="shared" si="5745"/>
        <v>0</v>
      </c>
      <c r="AS1133" s="200">
        <f t="shared" si="5745"/>
        <v>0</v>
      </c>
      <c r="AT1133" s="173">
        <v>0.0</v>
      </c>
      <c r="AU1133" s="200">
        <f t="shared" ref="AU1133:AX1133" si="5746">countif($D1133,"*"&amp;AU$2&amp;"*")</f>
        <v>0</v>
      </c>
      <c r="AV1133" s="200">
        <f t="shared" si="5746"/>
        <v>0</v>
      </c>
      <c r="AW1133" s="200">
        <f t="shared" si="5746"/>
        <v>0</v>
      </c>
      <c r="AX1133" s="200">
        <f t="shared" si="5746"/>
        <v>0</v>
      </c>
      <c r="AY1133" s="204">
        <v>1.0</v>
      </c>
      <c r="AZ1133" s="200"/>
      <c r="BA1133" s="171" t="str">
        <f t="shared" si="18"/>
        <v>Archival</v>
      </c>
      <c r="BB1133" s="171" t="str">
        <f t="shared" si="19"/>
        <v/>
      </c>
      <c r="BC1133" s="171" t="str">
        <f t="shared" si="20"/>
        <v/>
      </c>
      <c r="BD1133" s="171" t="str">
        <f t="shared" si="21"/>
        <v/>
      </c>
      <c r="BE1133" s="171" t="str">
        <f t="shared" si="22"/>
        <v/>
      </c>
      <c r="BF1133" s="171" t="str">
        <f t="shared" si="23"/>
        <v>Archival</v>
      </c>
    </row>
    <row r="1134">
      <c r="A1134" s="171">
        <f t="array" ref="A1134">XLOOKUP(C1134,ICSE!A:A,ICSE!C:C,,2,1)</f>
        <v>2023</v>
      </c>
      <c r="B1134" s="171" t="s">
        <v>5675</v>
      </c>
      <c r="C1134" s="160">
        <v>2154.0</v>
      </c>
      <c r="D1134" s="161" t="s">
        <v>6136</v>
      </c>
      <c r="E1134" s="197" t="str">
        <f t="array" ref="E1134">XLOOKUP(C1134,ICSE!A:A,ICSE!Z:Z,,0,1)</f>
        <v>Publicly available (2)</v>
      </c>
      <c r="F1134" s="198" t="s">
        <v>20</v>
      </c>
      <c r="G1134" s="163" t="str">
        <f t="array" ref="G1134">IF(B1134="ICSE",IF(COUNTIFS(B:B,B1134,C:C,C1134)=XLOOKUP(C1134,ICSE!A:A,ICSE!AA:AA,"ERROR",0,1),"OK","ERROR"),IF(B1134="FSE",IF(COUNTIFS(B:B,B1134,C:C,C1134)=XLOOKUP(C1134,FSE!A:A,FSE!AA:AA,"ERROR",0,1),"OK","ERROR")))</f>
        <v>OK</v>
      </c>
      <c r="H1134" s="199">
        <f t="shared" ref="H1134:O1134" si="5747">countif($D1134,"*"&amp;H$2&amp;"*")</f>
        <v>0</v>
      </c>
      <c r="I1134" s="200">
        <f t="shared" si="5747"/>
        <v>0</v>
      </c>
      <c r="J1134" s="200">
        <f t="shared" si="5747"/>
        <v>0</v>
      </c>
      <c r="K1134" s="200">
        <f t="shared" si="5747"/>
        <v>0</v>
      </c>
      <c r="L1134" s="200">
        <f t="shared" si="5747"/>
        <v>0</v>
      </c>
      <c r="M1134" s="200">
        <f t="shared" si="5747"/>
        <v>0</v>
      </c>
      <c r="N1134" s="200">
        <f t="shared" si="5747"/>
        <v>0</v>
      </c>
      <c r="O1134" s="200">
        <f t="shared" si="5747"/>
        <v>0</v>
      </c>
      <c r="P1134" s="200">
        <f t="shared" si="9"/>
        <v>1</v>
      </c>
      <c r="Q1134" s="200">
        <f t="shared" ref="Q1134:AC1134" si="5748">countif($D1134,"*"&amp;Q$2&amp;"*")</f>
        <v>0</v>
      </c>
      <c r="R1134" s="200">
        <f t="shared" si="5748"/>
        <v>0</v>
      </c>
      <c r="S1134" s="200">
        <f t="shared" si="5748"/>
        <v>0</v>
      </c>
      <c r="T1134" s="200">
        <f t="shared" si="5748"/>
        <v>0</v>
      </c>
      <c r="U1134" s="200">
        <f t="shared" si="5748"/>
        <v>0</v>
      </c>
      <c r="V1134" s="200">
        <f t="shared" si="5748"/>
        <v>0</v>
      </c>
      <c r="W1134" s="200">
        <f t="shared" si="5748"/>
        <v>0</v>
      </c>
      <c r="X1134" s="200">
        <f t="shared" si="5748"/>
        <v>0</v>
      </c>
      <c r="Y1134" s="200">
        <f t="shared" si="5748"/>
        <v>0</v>
      </c>
      <c r="Z1134" s="200">
        <f t="shared" si="5748"/>
        <v>0</v>
      </c>
      <c r="AA1134" s="200">
        <f t="shared" si="5748"/>
        <v>0</v>
      </c>
      <c r="AB1134" s="200">
        <f t="shared" si="5748"/>
        <v>0</v>
      </c>
      <c r="AC1134" s="200">
        <f t="shared" si="5748"/>
        <v>0</v>
      </c>
      <c r="AD1134" s="200">
        <f t="shared" si="11"/>
        <v>0</v>
      </c>
      <c r="AE1134" s="200">
        <f t="shared" ref="AE1134:AG1134" si="5749">countif($D1134,"*"&amp;AE$2&amp;"*")</f>
        <v>0</v>
      </c>
      <c r="AF1134" s="200">
        <f t="shared" si="5749"/>
        <v>0</v>
      </c>
      <c r="AG1134" s="200">
        <f t="shared" si="5749"/>
        <v>0</v>
      </c>
      <c r="AH1134" s="171">
        <f t="shared" si="13"/>
        <v>0</v>
      </c>
      <c r="AI1134" s="200">
        <f t="shared" si="14"/>
        <v>0</v>
      </c>
      <c r="AJ1134" s="200">
        <f t="shared" si="5594"/>
        <v>0</v>
      </c>
      <c r="AK1134" s="201">
        <f t="shared" ref="AK1134:AS1134" si="5750">countif($D1134,"*"&amp;AK$2&amp;"*")</f>
        <v>0</v>
      </c>
      <c r="AL1134" s="201">
        <f t="shared" si="5750"/>
        <v>0</v>
      </c>
      <c r="AM1134" s="201">
        <f t="shared" si="5750"/>
        <v>0</v>
      </c>
      <c r="AN1134" s="201">
        <f t="shared" si="5750"/>
        <v>0</v>
      </c>
      <c r="AO1134" s="201">
        <f t="shared" si="5750"/>
        <v>0</v>
      </c>
      <c r="AP1134" s="201">
        <f t="shared" si="5750"/>
        <v>0</v>
      </c>
      <c r="AQ1134" s="201">
        <f t="shared" si="5750"/>
        <v>0</v>
      </c>
      <c r="AR1134" s="200">
        <f t="shared" si="5750"/>
        <v>0</v>
      </c>
      <c r="AS1134" s="200">
        <f t="shared" si="5750"/>
        <v>0</v>
      </c>
      <c r="AT1134" s="173">
        <v>0.0</v>
      </c>
      <c r="AU1134" s="200">
        <f t="shared" ref="AU1134:AX1134" si="5751">countif($D1134,"*"&amp;AU$2&amp;"*")</f>
        <v>0</v>
      </c>
      <c r="AV1134" s="200">
        <f t="shared" si="5751"/>
        <v>1</v>
      </c>
      <c r="AW1134" s="200">
        <f t="shared" si="5751"/>
        <v>0</v>
      </c>
      <c r="AX1134" s="200">
        <f t="shared" si="5751"/>
        <v>0</v>
      </c>
      <c r="AY1134" s="202">
        <v>0.0</v>
      </c>
      <c r="AZ1134" s="200"/>
      <c r="BA1134" s="171" t="str">
        <f t="shared" si="18"/>
        <v/>
      </c>
      <c r="BB1134" s="171" t="str">
        <f t="shared" si="19"/>
        <v>Code</v>
      </c>
      <c r="BC1134" s="171" t="str">
        <f t="shared" si="20"/>
        <v/>
      </c>
      <c r="BD1134" s="171" t="str">
        <f t="shared" si="21"/>
        <v/>
      </c>
      <c r="BE1134" s="171" t="str">
        <f t="shared" si="22"/>
        <v/>
      </c>
      <c r="BF1134" s="171" t="str">
        <f t="shared" si="23"/>
        <v>Code</v>
      </c>
    </row>
    <row r="1135">
      <c r="A1135" s="171">
        <f t="array" ref="A1135">XLOOKUP(C1135,ICSE!A:A,ICSE!C:C,,2,1)</f>
        <v>2023</v>
      </c>
      <c r="B1135" s="171" t="s">
        <v>5675</v>
      </c>
      <c r="C1135" s="160">
        <v>2154.0</v>
      </c>
      <c r="D1135" s="161" t="s">
        <v>6137</v>
      </c>
      <c r="E1135" s="197" t="str">
        <f t="array" ref="E1135">XLOOKUP(C1135,ICSE!A:A,ICSE!Z:Z,,0,1)</f>
        <v>Publicly available (2)</v>
      </c>
      <c r="F1135" s="198" t="s">
        <v>20</v>
      </c>
      <c r="G1135" s="163" t="str">
        <f t="array" ref="G1135">IF(B1135="ICSE",IF(COUNTIFS(B:B,B1135,C:C,C1135)=XLOOKUP(C1135,ICSE!A:A,ICSE!AA:AA,"ERROR",0,1),"OK","ERROR"),IF(B1135="FSE",IF(COUNTIFS(B:B,B1135,C:C,C1135)=XLOOKUP(C1135,FSE!A:A,FSE!AA:AA,"ERROR",0,1),"OK","ERROR")))</f>
        <v>OK</v>
      </c>
      <c r="H1135" s="199">
        <f t="shared" ref="H1135:O1135" si="5752">countif($D1135,"*"&amp;H$2&amp;"*")</f>
        <v>0</v>
      </c>
      <c r="I1135" s="200">
        <f t="shared" si="5752"/>
        <v>0</v>
      </c>
      <c r="J1135" s="200">
        <f t="shared" si="5752"/>
        <v>0</v>
      </c>
      <c r="K1135" s="200">
        <f t="shared" si="5752"/>
        <v>0</v>
      </c>
      <c r="L1135" s="200">
        <f t="shared" si="5752"/>
        <v>0</v>
      </c>
      <c r="M1135" s="200">
        <f t="shared" si="5752"/>
        <v>0</v>
      </c>
      <c r="N1135" s="200">
        <f t="shared" si="5752"/>
        <v>0</v>
      </c>
      <c r="O1135" s="200">
        <f t="shared" si="5752"/>
        <v>0</v>
      </c>
      <c r="P1135" s="200">
        <f t="shared" si="9"/>
        <v>1</v>
      </c>
      <c r="Q1135" s="200">
        <f t="shared" ref="Q1135:AC1135" si="5753">countif($D1135,"*"&amp;Q$2&amp;"*")</f>
        <v>0</v>
      </c>
      <c r="R1135" s="200">
        <f t="shared" si="5753"/>
        <v>0</v>
      </c>
      <c r="S1135" s="200">
        <f t="shared" si="5753"/>
        <v>0</v>
      </c>
      <c r="T1135" s="200">
        <f t="shared" si="5753"/>
        <v>0</v>
      </c>
      <c r="U1135" s="200">
        <f t="shared" si="5753"/>
        <v>0</v>
      </c>
      <c r="V1135" s="200">
        <f t="shared" si="5753"/>
        <v>0</v>
      </c>
      <c r="W1135" s="200">
        <f t="shared" si="5753"/>
        <v>0</v>
      </c>
      <c r="X1135" s="200">
        <f t="shared" si="5753"/>
        <v>0</v>
      </c>
      <c r="Y1135" s="200">
        <f t="shared" si="5753"/>
        <v>0</v>
      </c>
      <c r="Z1135" s="200">
        <f t="shared" si="5753"/>
        <v>0</v>
      </c>
      <c r="AA1135" s="200">
        <f t="shared" si="5753"/>
        <v>0</v>
      </c>
      <c r="AB1135" s="200">
        <f t="shared" si="5753"/>
        <v>0</v>
      </c>
      <c r="AC1135" s="200">
        <f t="shared" si="5753"/>
        <v>0</v>
      </c>
      <c r="AD1135" s="200">
        <f t="shared" si="11"/>
        <v>0</v>
      </c>
      <c r="AE1135" s="200">
        <f t="shared" ref="AE1135:AG1135" si="5754">countif($D1135,"*"&amp;AE$2&amp;"*")</f>
        <v>0</v>
      </c>
      <c r="AF1135" s="200">
        <f t="shared" si="5754"/>
        <v>0</v>
      </c>
      <c r="AG1135" s="200">
        <f t="shared" si="5754"/>
        <v>0</v>
      </c>
      <c r="AH1135" s="171">
        <f t="shared" si="13"/>
        <v>0</v>
      </c>
      <c r="AI1135" s="200">
        <f t="shared" si="14"/>
        <v>0</v>
      </c>
      <c r="AJ1135" s="200">
        <f t="shared" si="5594"/>
        <v>0</v>
      </c>
      <c r="AK1135" s="201">
        <f t="shared" ref="AK1135:AS1135" si="5755">countif($D1135,"*"&amp;AK$2&amp;"*")</f>
        <v>0</v>
      </c>
      <c r="AL1135" s="201">
        <f t="shared" si="5755"/>
        <v>0</v>
      </c>
      <c r="AM1135" s="201">
        <f t="shared" si="5755"/>
        <v>0</v>
      </c>
      <c r="AN1135" s="201">
        <f t="shared" si="5755"/>
        <v>0</v>
      </c>
      <c r="AO1135" s="201">
        <f t="shared" si="5755"/>
        <v>0</v>
      </c>
      <c r="AP1135" s="201">
        <f t="shared" si="5755"/>
        <v>0</v>
      </c>
      <c r="AQ1135" s="201">
        <f t="shared" si="5755"/>
        <v>0</v>
      </c>
      <c r="AR1135" s="200">
        <f t="shared" si="5755"/>
        <v>0</v>
      </c>
      <c r="AS1135" s="200">
        <f t="shared" si="5755"/>
        <v>0</v>
      </c>
      <c r="AT1135" s="173">
        <v>0.0</v>
      </c>
      <c r="AU1135" s="200">
        <f t="shared" ref="AU1135:AX1135" si="5756">countif($D1135,"*"&amp;AU$2&amp;"*")</f>
        <v>0</v>
      </c>
      <c r="AV1135" s="200">
        <f t="shared" si="5756"/>
        <v>1</v>
      </c>
      <c r="AW1135" s="200">
        <f t="shared" si="5756"/>
        <v>0</v>
      </c>
      <c r="AX1135" s="200">
        <f t="shared" si="5756"/>
        <v>0</v>
      </c>
      <c r="AY1135" s="202">
        <v>0.0</v>
      </c>
      <c r="AZ1135" s="200"/>
      <c r="BA1135" s="171" t="str">
        <f t="shared" si="18"/>
        <v/>
      </c>
      <c r="BB1135" s="171" t="str">
        <f t="shared" si="19"/>
        <v>Code</v>
      </c>
      <c r="BC1135" s="171" t="str">
        <f t="shared" si="20"/>
        <v/>
      </c>
      <c r="BD1135" s="171" t="str">
        <f t="shared" si="21"/>
        <v/>
      </c>
      <c r="BE1135" s="171" t="str">
        <f t="shared" si="22"/>
        <v/>
      </c>
      <c r="BF1135" s="171" t="str">
        <f t="shared" si="23"/>
        <v>Code</v>
      </c>
    </row>
    <row r="1136">
      <c r="A1136" s="171">
        <f t="array" ref="A1136">XLOOKUP(C1136,ICSE!A:A,ICSE!C:C,,2,1)</f>
        <v>2023</v>
      </c>
      <c r="B1136" s="171" t="s">
        <v>5675</v>
      </c>
      <c r="C1136" s="160">
        <v>2155.0</v>
      </c>
      <c r="D1136" s="161" t="s">
        <v>6138</v>
      </c>
      <c r="E1136" s="197" t="str">
        <f t="array" ref="E1136">XLOOKUP(C1136,ICSE!A:A,ICSE!Z:Z,,0,1)</f>
        <v>Publicly available (3)</v>
      </c>
      <c r="F1136" s="198" t="s">
        <v>20</v>
      </c>
      <c r="G1136" s="163" t="str">
        <f t="array" ref="G1136">IF(B1136="ICSE",IF(COUNTIFS(B:B,B1136,C:C,C1136)=XLOOKUP(C1136,ICSE!A:A,ICSE!AA:AA,"ERROR",0,1),"OK","ERROR"),IF(B1136="FSE",IF(COUNTIFS(B:B,B1136,C:C,C1136)=XLOOKUP(C1136,FSE!A:A,FSE!AA:AA,"ERROR",0,1),"OK","ERROR")))</f>
        <v>OK</v>
      </c>
      <c r="H1136" s="199">
        <f t="shared" ref="H1136:O1136" si="5757">countif($D1136,"*"&amp;H$2&amp;"*")</f>
        <v>1</v>
      </c>
      <c r="I1136" s="200">
        <f t="shared" si="5757"/>
        <v>0</v>
      </c>
      <c r="J1136" s="200">
        <f t="shared" si="5757"/>
        <v>0</v>
      </c>
      <c r="K1136" s="200">
        <f t="shared" si="5757"/>
        <v>0</v>
      </c>
      <c r="L1136" s="200">
        <f t="shared" si="5757"/>
        <v>0</v>
      </c>
      <c r="M1136" s="200">
        <f t="shared" si="5757"/>
        <v>0</v>
      </c>
      <c r="N1136" s="200">
        <f t="shared" si="5757"/>
        <v>0</v>
      </c>
      <c r="O1136" s="200">
        <f t="shared" si="5757"/>
        <v>0</v>
      </c>
      <c r="P1136" s="200">
        <f t="shared" si="9"/>
        <v>0</v>
      </c>
      <c r="Q1136" s="200">
        <f t="shared" ref="Q1136:AC1136" si="5758">countif($D1136,"*"&amp;Q$2&amp;"*")</f>
        <v>0</v>
      </c>
      <c r="R1136" s="200">
        <f t="shared" si="5758"/>
        <v>0</v>
      </c>
      <c r="S1136" s="200">
        <f t="shared" si="5758"/>
        <v>0</v>
      </c>
      <c r="T1136" s="200">
        <f t="shared" si="5758"/>
        <v>0</v>
      </c>
      <c r="U1136" s="200">
        <f t="shared" si="5758"/>
        <v>0</v>
      </c>
      <c r="V1136" s="200">
        <f t="shared" si="5758"/>
        <v>0</v>
      </c>
      <c r="W1136" s="200">
        <f t="shared" si="5758"/>
        <v>0</v>
      </c>
      <c r="X1136" s="200">
        <f t="shared" si="5758"/>
        <v>0</v>
      </c>
      <c r="Y1136" s="200">
        <f t="shared" si="5758"/>
        <v>0</v>
      </c>
      <c r="Z1136" s="200">
        <f t="shared" si="5758"/>
        <v>0</v>
      </c>
      <c r="AA1136" s="200">
        <f t="shared" si="5758"/>
        <v>0</v>
      </c>
      <c r="AB1136" s="200">
        <f t="shared" si="5758"/>
        <v>0</v>
      </c>
      <c r="AC1136" s="200">
        <f t="shared" si="5758"/>
        <v>0</v>
      </c>
      <c r="AD1136" s="200">
        <f t="shared" si="11"/>
        <v>0</v>
      </c>
      <c r="AE1136" s="200">
        <f t="shared" ref="AE1136:AG1136" si="5759">countif($D1136,"*"&amp;AE$2&amp;"*")</f>
        <v>0</v>
      </c>
      <c r="AF1136" s="200">
        <f t="shared" si="5759"/>
        <v>0</v>
      </c>
      <c r="AG1136" s="200">
        <f t="shared" si="5759"/>
        <v>0</v>
      </c>
      <c r="AH1136" s="171">
        <f t="shared" si="13"/>
        <v>0</v>
      </c>
      <c r="AI1136" s="200">
        <f t="shared" si="14"/>
        <v>1</v>
      </c>
      <c r="AJ1136" s="200">
        <f t="shared" si="5594"/>
        <v>0</v>
      </c>
      <c r="AK1136" s="201">
        <f t="shared" ref="AK1136:AS1136" si="5760">countif($D1136,"*"&amp;AK$2&amp;"*")</f>
        <v>0</v>
      </c>
      <c r="AL1136" s="201">
        <f t="shared" si="5760"/>
        <v>0</v>
      </c>
      <c r="AM1136" s="201">
        <f t="shared" si="5760"/>
        <v>0</v>
      </c>
      <c r="AN1136" s="201">
        <f t="shared" si="5760"/>
        <v>0</v>
      </c>
      <c r="AO1136" s="201">
        <f t="shared" si="5760"/>
        <v>0</v>
      </c>
      <c r="AP1136" s="201">
        <f t="shared" si="5760"/>
        <v>0</v>
      </c>
      <c r="AQ1136" s="201">
        <f t="shared" si="5760"/>
        <v>0</v>
      </c>
      <c r="AR1136" s="200">
        <f t="shared" si="5760"/>
        <v>0</v>
      </c>
      <c r="AS1136" s="200">
        <f t="shared" si="5760"/>
        <v>0</v>
      </c>
      <c r="AT1136" s="173">
        <v>0.0</v>
      </c>
      <c r="AU1136" s="200">
        <f t="shared" ref="AU1136:AX1136" si="5761">countif($D1136,"*"&amp;AU$2&amp;"*")</f>
        <v>0</v>
      </c>
      <c r="AV1136" s="200">
        <f t="shared" si="5761"/>
        <v>0</v>
      </c>
      <c r="AW1136" s="200">
        <f t="shared" si="5761"/>
        <v>0</v>
      </c>
      <c r="AX1136" s="200">
        <f t="shared" si="5761"/>
        <v>1</v>
      </c>
      <c r="AY1136" s="202">
        <v>0.0</v>
      </c>
      <c r="AZ1136" s="200"/>
      <c r="BA1136" s="171" t="str">
        <f t="shared" si="18"/>
        <v>Archival</v>
      </c>
      <c r="BB1136" s="171" t="str">
        <f t="shared" si="19"/>
        <v/>
      </c>
      <c r="BC1136" s="171" t="str">
        <f t="shared" si="20"/>
        <v/>
      </c>
      <c r="BD1136" s="171" t="str">
        <f t="shared" si="21"/>
        <v/>
      </c>
      <c r="BE1136" s="171" t="str">
        <f t="shared" si="22"/>
        <v/>
      </c>
      <c r="BF1136" s="171" t="str">
        <f t="shared" si="23"/>
        <v>Archival</v>
      </c>
    </row>
    <row r="1137">
      <c r="A1137" s="171">
        <f t="array" ref="A1137">XLOOKUP(C1137,ICSE!A:A,ICSE!C:C,,2,1)</f>
        <v>2023</v>
      </c>
      <c r="B1137" s="171" t="s">
        <v>5675</v>
      </c>
      <c r="C1137" s="160">
        <v>2155.0</v>
      </c>
      <c r="D1137" s="161" t="s">
        <v>6139</v>
      </c>
      <c r="E1137" s="197" t="str">
        <f t="array" ref="E1137">XLOOKUP(C1137,ICSE!A:A,ICSE!Z:Z,,0,1)</f>
        <v>Publicly available (3)</v>
      </c>
      <c r="F1137" s="198" t="s">
        <v>20</v>
      </c>
      <c r="G1137" s="163" t="str">
        <f t="array" ref="G1137">IF(B1137="ICSE",IF(COUNTIFS(B:B,B1137,C:C,C1137)=XLOOKUP(C1137,ICSE!A:A,ICSE!AA:AA,"ERROR",0,1),"OK","ERROR"),IF(B1137="FSE",IF(COUNTIFS(B:B,B1137,C:C,C1137)=XLOOKUP(C1137,FSE!A:A,FSE!AA:AA,"ERROR",0,1),"OK","ERROR")))</f>
        <v>OK</v>
      </c>
      <c r="H1137" s="199">
        <f t="shared" ref="H1137:O1137" si="5762">countif($D1137,"*"&amp;H$2&amp;"*")</f>
        <v>1</v>
      </c>
      <c r="I1137" s="200">
        <f t="shared" si="5762"/>
        <v>0</v>
      </c>
      <c r="J1137" s="200">
        <f t="shared" si="5762"/>
        <v>0</v>
      </c>
      <c r="K1137" s="200">
        <f t="shared" si="5762"/>
        <v>0</v>
      </c>
      <c r="L1137" s="200">
        <f t="shared" si="5762"/>
        <v>0</v>
      </c>
      <c r="M1137" s="200">
        <f t="shared" si="5762"/>
        <v>0</v>
      </c>
      <c r="N1137" s="200">
        <f t="shared" si="5762"/>
        <v>0</v>
      </c>
      <c r="O1137" s="200">
        <f t="shared" si="5762"/>
        <v>0</v>
      </c>
      <c r="P1137" s="200">
        <f t="shared" si="9"/>
        <v>0</v>
      </c>
      <c r="Q1137" s="200">
        <f t="shared" ref="Q1137:AC1137" si="5763">countif($D1137,"*"&amp;Q$2&amp;"*")</f>
        <v>0</v>
      </c>
      <c r="R1137" s="200">
        <f t="shared" si="5763"/>
        <v>0</v>
      </c>
      <c r="S1137" s="200">
        <f t="shared" si="5763"/>
        <v>0</v>
      </c>
      <c r="T1137" s="200">
        <f t="shared" si="5763"/>
        <v>0</v>
      </c>
      <c r="U1137" s="200">
        <f t="shared" si="5763"/>
        <v>0</v>
      </c>
      <c r="V1137" s="200">
        <f t="shared" si="5763"/>
        <v>0</v>
      </c>
      <c r="W1137" s="200">
        <f t="shared" si="5763"/>
        <v>0</v>
      </c>
      <c r="X1137" s="200">
        <f t="shared" si="5763"/>
        <v>0</v>
      </c>
      <c r="Y1137" s="200">
        <f t="shared" si="5763"/>
        <v>0</v>
      </c>
      <c r="Z1137" s="200">
        <f t="shared" si="5763"/>
        <v>0</v>
      </c>
      <c r="AA1137" s="200">
        <f t="shared" si="5763"/>
        <v>0</v>
      </c>
      <c r="AB1137" s="200">
        <f t="shared" si="5763"/>
        <v>0</v>
      </c>
      <c r="AC1137" s="200">
        <f t="shared" si="5763"/>
        <v>0</v>
      </c>
      <c r="AD1137" s="200">
        <f t="shared" si="11"/>
        <v>0</v>
      </c>
      <c r="AE1137" s="200">
        <f t="shared" ref="AE1137:AG1137" si="5764">countif($D1137,"*"&amp;AE$2&amp;"*")</f>
        <v>0</v>
      </c>
      <c r="AF1137" s="200">
        <f t="shared" si="5764"/>
        <v>0</v>
      </c>
      <c r="AG1137" s="200">
        <f t="shared" si="5764"/>
        <v>0</v>
      </c>
      <c r="AH1137" s="171">
        <f t="shared" si="13"/>
        <v>0</v>
      </c>
      <c r="AI1137" s="200">
        <f t="shared" si="14"/>
        <v>1</v>
      </c>
      <c r="AJ1137" s="200">
        <f t="shared" si="5594"/>
        <v>0</v>
      </c>
      <c r="AK1137" s="201">
        <f t="shared" ref="AK1137:AS1137" si="5765">countif($D1137,"*"&amp;AK$2&amp;"*")</f>
        <v>0</v>
      </c>
      <c r="AL1137" s="201">
        <f t="shared" si="5765"/>
        <v>0</v>
      </c>
      <c r="AM1137" s="201">
        <f t="shared" si="5765"/>
        <v>0</v>
      </c>
      <c r="AN1137" s="201">
        <f t="shared" si="5765"/>
        <v>0</v>
      </c>
      <c r="AO1137" s="201">
        <f t="shared" si="5765"/>
        <v>0</v>
      </c>
      <c r="AP1137" s="201">
        <f t="shared" si="5765"/>
        <v>0</v>
      </c>
      <c r="AQ1137" s="201">
        <f t="shared" si="5765"/>
        <v>0</v>
      </c>
      <c r="AR1137" s="200">
        <f t="shared" si="5765"/>
        <v>0</v>
      </c>
      <c r="AS1137" s="200">
        <f t="shared" si="5765"/>
        <v>0</v>
      </c>
      <c r="AT1137" s="173">
        <v>0.0</v>
      </c>
      <c r="AU1137" s="200">
        <f t="shared" ref="AU1137:AX1137" si="5766">countif($D1137,"*"&amp;AU$2&amp;"*")</f>
        <v>0</v>
      </c>
      <c r="AV1137" s="200">
        <f t="shared" si="5766"/>
        <v>0</v>
      </c>
      <c r="AW1137" s="200">
        <f t="shared" si="5766"/>
        <v>0</v>
      </c>
      <c r="AX1137" s="200">
        <f t="shared" si="5766"/>
        <v>1</v>
      </c>
      <c r="AY1137" s="202">
        <v>0.0</v>
      </c>
      <c r="AZ1137" s="200"/>
      <c r="BA1137" s="171" t="str">
        <f t="shared" si="18"/>
        <v>Archival</v>
      </c>
      <c r="BB1137" s="171" t="str">
        <f t="shared" si="19"/>
        <v/>
      </c>
      <c r="BC1137" s="171" t="str">
        <f t="shared" si="20"/>
        <v/>
      </c>
      <c r="BD1137" s="171" t="str">
        <f t="shared" si="21"/>
        <v/>
      </c>
      <c r="BE1137" s="171" t="str">
        <f t="shared" si="22"/>
        <v/>
      </c>
      <c r="BF1137" s="171" t="str">
        <f t="shared" si="23"/>
        <v>Archival</v>
      </c>
    </row>
    <row r="1138">
      <c r="A1138" s="171">
        <f t="array" ref="A1138">XLOOKUP(C1138,ICSE!A:A,ICSE!C:C,,2,1)</f>
        <v>2023</v>
      </c>
      <c r="B1138" s="171" t="s">
        <v>5675</v>
      </c>
      <c r="C1138" s="160">
        <v>2155.0</v>
      </c>
      <c r="D1138" s="161" t="s">
        <v>6140</v>
      </c>
      <c r="E1138" s="197" t="str">
        <f t="array" ref="E1138">XLOOKUP(C1138,ICSE!A:A,ICSE!Z:Z,,0,1)</f>
        <v>Publicly available (3)</v>
      </c>
      <c r="F1138" s="198" t="s">
        <v>20</v>
      </c>
      <c r="G1138" s="163" t="str">
        <f t="array" ref="G1138">IF(B1138="ICSE",IF(COUNTIFS(B:B,B1138,C:C,C1138)=XLOOKUP(C1138,ICSE!A:A,ICSE!AA:AA,"ERROR",0,1),"OK","ERROR"),IF(B1138="FSE",IF(COUNTIFS(B:B,B1138,C:C,C1138)=XLOOKUP(C1138,FSE!A:A,FSE!AA:AA,"ERROR",0,1),"OK","ERROR")))</f>
        <v>OK</v>
      </c>
      <c r="H1138" s="199">
        <f t="shared" ref="H1138:O1138" si="5767">countif($D1138,"*"&amp;H$2&amp;"*")</f>
        <v>1</v>
      </c>
      <c r="I1138" s="200">
        <f t="shared" si="5767"/>
        <v>0</v>
      </c>
      <c r="J1138" s="200">
        <f t="shared" si="5767"/>
        <v>0</v>
      </c>
      <c r="K1138" s="200">
        <f t="shared" si="5767"/>
        <v>0</v>
      </c>
      <c r="L1138" s="200">
        <f t="shared" si="5767"/>
        <v>0</v>
      </c>
      <c r="M1138" s="200">
        <f t="shared" si="5767"/>
        <v>0</v>
      </c>
      <c r="N1138" s="200">
        <f t="shared" si="5767"/>
        <v>0</v>
      </c>
      <c r="O1138" s="200">
        <f t="shared" si="5767"/>
        <v>0</v>
      </c>
      <c r="P1138" s="200">
        <f t="shared" si="9"/>
        <v>0</v>
      </c>
      <c r="Q1138" s="200">
        <f t="shared" ref="Q1138:AC1138" si="5768">countif($D1138,"*"&amp;Q$2&amp;"*")</f>
        <v>0</v>
      </c>
      <c r="R1138" s="200">
        <f t="shared" si="5768"/>
        <v>0</v>
      </c>
      <c r="S1138" s="200">
        <f t="shared" si="5768"/>
        <v>0</v>
      </c>
      <c r="T1138" s="200">
        <f t="shared" si="5768"/>
        <v>0</v>
      </c>
      <c r="U1138" s="200">
        <f t="shared" si="5768"/>
        <v>0</v>
      </c>
      <c r="V1138" s="200">
        <f t="shared" si="5768"/>
        <v>0</v>
      </c>
      <c r="W1138" s="200">
        <f t="shared" si="5768"/>
        <v>0</v>
      </c>
      <c r="X1138" s="200">
        <f t="shared" si="5768"/>
        <v>0</v>
      </c>
      <c r="Y1138" s="200">
        <f t="shared" si="5768"/>
        <v>0</v>
      </c>
      <c r="Z1138" s="200">
        <f t="shared" si="5768"/>
        <v>0</v>
      </c>
      <c r="AA1138" s="200">
        <f t="shared" si="5768"/>
        <v>0</v>
      </c>
      <c r="AB1138" s="200">
        <f t="shared" si="5768"/>
        <v>0</v>
      </c>
      <c r="AC1138" s="200">
        <f t="shared" si="5768"/>
        <v>0</v>
      </c>
      <c r="AD1138" s="200">
        <f t="shared" si="11"/>
        <v>0</v>
      </c>
      <c r="AE1138" s="200">
        <f t="shared" ref="AE1138:AG1138" si="5769">countif($D1138,"*"&amp;AE$2&amp;"*")</f>
        <v>0</v>
      </c>
      <c r="AF1138" s="200">
        <f t="shared" si="5769"/>
        <v>0</v>
      </c>
      <c r="AG1138" s="200">
        <f t="shared" si="5769"/>
        <v>0</v>
      </c>
      <c r="AH1138" s="171">
        <f t="shared" si="13"/>
        <v>0</v>
      </c>
      <c r="AI1138" s="200">
        <f t="shared" si="14"/>
        <v>1</v>
      </c>
      <c r="AJ1138" s="200">
        <f t="shared" si="5594"/>
        <v>0</v>
      </c>
      <c r="AK1138" s="201">
        <f t="shared" ref="AK1138:AS1138" si="5770">countif($D1138,"*"&amp;AK$2&amp;"*")</f>
        <v>0</v>
      </c>
      <c r="AL1138" s="201">
        <f t="shared" si="5770"/>
        <v>0</v>
      </c>
      <c r="AM1138" s="201">
        <f t="shared" si="5770"/>
        <v>0</v>
      </c>
      <c r="AN1138" s="201">
        <f t="shared" si="5770"/>
        <v>0</v>
      </c>
      <c r="AO1138" s="201">
        <f t="shared" si="5770"/>
        <v>0</v>
      </c>
      <c r="AP1138" s="201">
        <f t="shared" si="5770"/>
        <v>0</v>
      </c>
      <c r="AQ1138" s="201">
        <f t="shared" si="5770"/>
        <v>0</v>
      </c>
      <c r="AR1138" s="200">
        <f t="shared" si="5770"/>
        <v>0</v>
      </c>
      <c r="AS1138" s="200">
        <f t="shared" si="5770"/>
        <v>0</v>
      </c>
      <c r="AT1138" s="173">
        <v>0.0</v>
      </c>
      <c r="AU1138" s="200">
        <f t="shared" ref="AU1138:AX1138" si="5771">countif($D1138,"*"&amp;AU$2&amp;"*")</f>
        <v>0</v>
      </c>
      <c r="AV1138" s="200">
        <f t="shared" si="5771"/>
        <v>0</v>
      </c>
      <c r="AW1138" s="200">
        <f t="shared" si="5771"/>
        <v>0</v>
      </c>
      <c r="AX1138" s="200">
        <f t="shared" si="5771"/>
        <v>1</v>
      </c>
      <c r="AY1138" s="202">
        <v>0.0</v>
      </c>
      <c r="AZ1138" s="200"/>
      <c r="BA1138" s="171" t="str">
        <f t="shared" si="18"/>
        <v>Archival</v>
      </c>
      <c r="BB1138" s="171" t="str">
        <f t="shared" si="19"/>
        <v/>
      </c>
      <c r="BC1138" s="171" t="str">
        <f t="shared" si="20"/>
        <v/>
      </c>
      <c r="BD1138" s="171" t="str">
        <f t="shared" si="21"/>
        <v/>
      </c>
      <c r="BE1138" s="171" t="str">
        <f t="shared" si="22"/>
        <v/>
      </c>
      <c r="BF1138" s="171" t="str">
        <f t="shared" si="23"/>
        <v>Archival</v>
      </c>
    </row>
    <row r="1139">
      <c r="A1139" s="171">
        <f t="array" ref="A1139">XLOOKUP(C1139,ICSE!A:A,ICSE!C:C,,2,1)</f>
        <v>2023</v>
      </c>
      <c r="B1139" s="171" t="s">
        <v>5675</v>
      </c>
      <c r="C1139" s="160">
        <v>2156.0</v>
      </c>
      <c r="D1139" s="161" t="s">
        <v>3172</v>
      </c>
      <c r="E1139" s="197" t="str">
        <f t="array" ref="E1139">XLOOKUP(C1139,ICSE!A:A,ICSE!Z:Z,,0,1)</f>
        <v>Publicly available (1)</v>
      </c>
      <c r="F1139" s="198" t="s">
        <v>20</v>
      </c>
      <c r="G1139" s="163" t="str">
        <f t="array" ref="G1139">IF(B1139="ICSE",IF(COUNTIFS(B:B,B1139,C:C,C1139)=XLOOKUP(C1139,ICSE!A:A,ICSE!AA:AA,"ERROR",0,1),"OK","ERROR"),IF(B1139="FSE",IF(COUNTIFS(B:B,B1139,C:C,C1139)=XLOOKUP(C1139,FSE!A:A,FSE!AA:AA,"ERROR",0,1),"OK","ERROR")))</f>
        <v>OK</v>
      </c>
      <c r="H1139" s="199">
        <f t="shared" ref="H1139:O1139" si="5772">countif($D1139,"*"&amp;H$2&amp;"*")</f>
        <v>0</v>
      </c>
      <c r="I1139" s="200">
        <f t="shared" si="5772"/>
        <v>0</v>
      </c>
      <c r="J1139" s="200">
        <f t="shared" si="5772"/>
        <v>0</v>
      </c>
      <c r="K1139" s="200">
        <f t="shared" si="5772"/>
        <v>0</v>
      </c>
      <c r="L1139" s="200">
        <f t="shared" si="5772"/>
        <v>0</v>
      </c>
      <c r="M1139" s="200">
        <f t="shared" si="5772"/>
        <v>0</v>
      </c>
      <c r="N1139" s="200">
        <f t="shared" si="5772"/>
        <v>0</v>
      </c>
      <c r="O1139" s="200">
        <f t="shared" si="5772"/>
        <v>0</v>
      </c>
      <c r="P1139" s="200">
        <f t="shared" si="9"/>
        <v>1</v>
      </c>
      <c r="Q1139" s="200">
        <f t="shared" ref="Q1139:AC1139" si="5773">countif($D1139,"*"&amp;Q$2&amp;"*")</f>
        <v>0</v>
      </c>
      <c r="R1139" s="200">
        <f t="shared" si="5773"/>
        <v>0</v>
      </c>
      <c r="S1139" s="200">
        <f t="shared" si="5773"/>
        <v>0</v>
      </c>
      <c r="T1139" s="200">
        <f t="shared" si="5773"/>
        <v>0</v>
      </c>
      <c r="U1139" s="200">
        <f t="shared" si="5773"/>
        <v>0</v>
      </c>
      <c r="V1139" s="200">
        <f t="shared" si="5773"/>
        <v>0</v>
      </c>
      <c r="W1139" s="200">
        <f t="shared" si="5773"/>
        <v>0</v>
      </c>
      <c r="X1139" s="200">
        <f t="shared" si="5773"/>
        <v>0</v>
      </c>
      <c r="Y1139" s="200">
        <f t="shared" si="5773"/>
        <v>0</v>
      </c>
      <c r="Z1139" s="200">
        <f t="shared" si="5773"/>
        <v>0</v>
      </c>
      <c r="AA1139" s="200">
        <f t="shared" si="5773"/>
        <v>0</v>
      </c>
      <c r="AB1139" s="200">
        <f t="shared" si="5773"/>
        <v>0</v>
      </c>
      <c r="AC1139" s="200">
        <f t="shared" si="5773"/>
        <v>0</v>
      </c>
      <c r="AD1139" s="200">
        <f t="shared" si="11"/>
        <v>0</v>
      </c>
      <c r="AE1139" s="200">
        <f t="shared" ref="AE1139:AG1139" si="5774">countif($D1139,"*"&amp;AE$2&amp;"*")</f>
        <v>0</v>
      </c>
      <c r="AF1139" s="200">
        <f t="shared" si="5774"/>
        <v>0</v>
      </c>
      <c r="AG1139" s="200">
        <f t="shared" si="5774"/>
        <v>0</v>
      </c>
      <c r="AH1139" s="171">
        <f t="shared" si="13"/>
        <v>0</v>
      </c>
      <c r="AI1139" s="200">
        <f t="shared" si="14"/>
        <v>0</v>
      </c>
      <c r="AJ1139" s="200">
        <f t="shared" si="5594"/>
        <v>0</v>
      </c>
      <c r="AK1139" s="201">
        <f t="shared" ref="AK1139:AS1139" si="5775">countif($D1139,"*"&amp;AK$2&amp;"*")</f>
        <v>0</v>
      </c>
      <c r="AL1139" s="201">
        <f t="shared" si="5775"/>
        <v>0</v>
      </c>
      <c r="AM1139" s="201">
        <f t="shared" si="5775"/>
        <v>0</v>
      </c>
      <c r="AN1139" s="201">
        <f t="shared" si="5775"/>
        <v>0</v>
      </c>
      <c r="AO1139" s="201">
        <f t="shared" si="5775"/>
        <v>0</v>
      </c>
      <c r="AP1139" s="201">
        <f t="shared" si="5775"/>
        <v>0</v>
      </c>
      <c r="AQ1139" s="201">
        <f t="shared" si="5775"/>
        <v>0</v>
      </c>
      <c r="AR1139" s="200">
        <f t="shared" si="5775"/>
        <v>0</v>
      </c>
      <c r="AS1139" s="200">
        <f t="shared" si="5775"/>
        <v>0</v>
      </c>
      <c r="AT1139" s="173">
        <v>0.0</v>
      </c>
      <c r="AU1139" s="200">
        <f t="shared" ref="AU1139:AX1139" si="5776">countif($D1139,"*"&amp;AU$2&amp;"*")</f>
        <v>0</v>
      </c>
      <c r="AV1139" s="200">
        <f t="shared" si="5776"/>
        <v>1</v>
      </c>
      <c r="AW1139" s="200">
        <f t="shared" si="5776"/>
        <v>0</v>
      </c>
      <c r="AX1139" s="200">
        <f t="shared" si="5776"/>
        <v>0</v>
      </c>
      <c r="AY1139" s="202">
        <v>0.0</v>
      </c>
      <c r="AZ1139" s="200"/>
      <c r="BA1139" s="171" t="str">
        <f t="shared" si="18"/>
        <v/>
      </c>
      <c r="BB1139" s="171" t="str">
        <f t="shared" si="19"/>
        <v>Code</v>
      </c>
      <c r="BC1139" s="171" t="str">
        <f t="shared" si="20"/>
        <v/>
      </c>
      <c r="BD1139" s="171" t="str">
        <f t="shared" si="21"/>
        <v/>
      </c>
      <c r="BE1139" s="171" t="str">
        <f t="shared" si="22"/>
        <v/>
      </c>
      <c r="BF1139" s="171" t="str">
        <f t="shared" si="23"/>
        <v>Code</v>
      </c>
    </row>
    <row r="1140">
      <c r="A1140" s="171">
        <f t="array" ref="A1140">XLOOKUP(C1140,ICSE!A:A,ICSE!C:C,,2,1)</f>
        <v>2023</v>
      </c>
      <c r="B1140" s="171" t="s">
        <v>5675</v>
      </c>
      <c r="C1140" s="160">
        <v>2157.0</v>
      </c>
      <c r="D1140" s="161" t="s">
        <v>6141</v>
      </c>
      <c r="E1140" s="197" t="str">
        <f t="array" ref="E1140">XLOOKUP(C1140,ICSE!A:A,ICSE!Z:Z,,0,1)</f>
        <v>Publicly available (1)</v>
      </c>
      <c r="F1140" s="198" t="s">
        <v>20</v>
      </c>
      <c r="G1140" s="163" t="str">
        <f t="array" ref="G1140">IF(B1140="ICSE",IF(COUNTIFS(B:B,B1140,C:C,C1140)=XLOOKUP(C1140,ICSE!A:A,ICSE!AA:AA,"ERROR",0,1),"OK","ERROR"),IF(B1140="FSE",IF(COUNTIFS(B:B,B1140,C:C,C1140)=XLOOKUP(C1140,FSE!A:A,FSE!AA:AA,"ERROR",0,1),"OK","ERROR")))</f>
        <v>OK</v>
      </c>
      <c r="H1140" s="199">
        <f t="shared" ref="H1140:O1140" si="5777">countif($D1140,"*"&amp;H$2&amp;"*")</f>
        <v>0</v>
      </c>
      <c r="I1140" s="200">
        <f t="shared" si="5777"/>
        <v>0</v>
      </c>
      <c r="J1140" s="200">
        <f t="shared" si="5777"/>
        <v>0</v>
      </c>
      <c r="K1140" s="200">
        <f t="shared" si="5777"/>
        <v>0</v>
      </c>
      <c r="L1140" s="200">
        <f t="shared" si="5777"/>
        <v>0</v>
      </c>
      <c r="M1140" s="200">
        <f t="shared" si="5777"/>
        <v>0</v>
      </c>
      <c r="N1140" s="200">
        <f t="shared" si="5777"/>
        <v>0</v>
      </c>
      <c r="O1140" s="200">
        <f t="shared" si="5777"/>
        <v>0</v>
      </c>
      <c r="P1140" s="200">
        <f t="shared" si="9"/>
        <v>1</v>
      </c>
      <c r="Q1140" s="200">
        <f t="shared" ref="Q1140:AC1140" si="5778">countif($D1140,"*"&amp;Q$2&amp;"*")</f>
        <v>0</v>
      </c>
      <c r="R1140" s="200">
        <f t="shared" si="5778"/>
        <v>0</v>
      </c>
      <c r="S1140" s="200">
        <f t="shared" si="5778"/>
        <v>0</v>
      </c>
      <c r="T1140" s="200">
        <f t="shared" si="5778"/>
        <v>0</v>
      </c>
      <c r="U1140" s="200">
        <f t="shared" si="5778"/>
        <v>0</v>
      </c>
      <c r="V1140" s="200">
        <f t="shared" si="5778"/>
        <v>0</v>
      </c>
      <c r="W1140" s="200">
        <f t="shared" si="5778"/>
        <v>0</v>
      </c>
      <c r="X1140" s="200">
        <f t="shared" si="5778"/>
        <v>0</v>
      </c>
      <c r="Y1140" s="200">
        <f t="shared" si="5778"/>
        <v>0</v>
      </c>
      <c r="Z1140" s="200">
        <f t="shared" si="5778"/>
        <v>0</v>
      </c>
      <c r="AA1140" s="200">
        <f t="shared" si="5778"/>
        <v>0</v>
      </c>
      <c r="AB1140" s="200">
        <f t="shared" si="5778"/>
        <v>0</v>
      </c>
      <c r="AC1140" s="200">
        <f t="shared" si="5778"/>
        <v>0</v>
      </c>
      <c r="AD1140" s="200">
        <f t="shared" si="11"/>
        <v>0</v>
      </c>
      <c r="AE1140" s="200">
        <f t="shared" ref="AE1140:AG1140" si="5779">countif($D1140,"*"&amp;AE$2&amp;"*")</f>
        <v>0</v>
      </c>
      <c r="AF1140" s="200">
        <f t="shared" si="5779"/>
        <v>0</v>
      </c>
      <c r="AG1140" s="200">
        <f t="shared" si="5779"/>
        <v>0</v>
      </c>
      <c r="AH1140" s="171">
        <f t="shared" si="13"/>
        <v>0</v>
      </c>
      <c r="AI1140" s="200">
        <f t="shared" si="14"/>
        <v>0</v>
      </c>
      <c r="AJ1140" s="200">
        <f t="shared" si="5594"/>
        <v>0</v>
      </c>
      <c r="AK1140" s="201">
        <f t="shared" ref="AK1140:AS1140" si="5780">countif($D1140,"*"&amp;AK$2&amp;"*")</f>
        <v>0</v>
      </c>
      <c r="AL1140" s="201">
        <f t="shared" si="5780"/>
        <v>0</v>
      </c>
      <c r="AM1140" s="201">
        <f t="shared" si="5780"/>
        <v>0</v>
      </c>
      <c r="AN1140" s="201">
        <f t="shared" si="5780"/>
        <v>0</v>
      </c>
      <c r="AO1140" s="201">
        <f t="shared" si="5780"/>
        <v>0</v>
      </c>
      <c r="AP1140" s="201">
        <f t="shared" si="5780"/>
        <v>0</v>
      </c>
      <c r="AQ1140" s="201">
        <f t="shared" si="5780"/>
        <v>0</v>
      </c>
      <c r="AR1140" s="200">
        <f t="shared" si="5780"/>
        <v>0</v>
      </c>
      <c r="AS1140" s="200">
        <f t="shared" si="5780"/>
        <v>0</v>
      </c>
      <c r="AT1140" s="173">
        <v>0.0</v>
      </c>
      <c r="AU1140" s="200">
        <f t="shared" ref="AU1140:AX1140" si="5781">countif($D1140,"*"&amp;AU$2&amp;"*")</f>
        <v>0</v>
      </c>
      <c r="AV1140" s="200">
        <f t="shared" si="5781"/>
        <v>1</v>
      </c>
      <c r="AW1140" s="200">
        <f t="shared" si="5781"/>
        <v>0</v>
      </c>
      <c r="AX1140" s="200">
        <f t="shared" si="5781"/>
        <v>0</v>
      </c>
      <c r="AY1140" s="202">
        <v>0.0</v>
      </c>
      <c r="AZ1140" s="200"/>
      <c r="BA1140" s="171" t="str">
        <f t="shared" si="18"/>
        <v/>
      </c>
      <c r="BB1140" s="171" t="str">
        <f t="shared" si="19"/>
        <v>Code</v>
      </c>
      <c r="BC1140" s="171" t="str">
        <f t="shared" si="20"/>
        <v/>
      </c>
      <c r="BD1140" s="171" t="str">
        <f t="shared" si="21"/>
        <v/>
      </c>
      <c r="BE1140" s="171" t="str">
        <f t="shared" si="22"/>
        <v/>
      </c>
      <c r="BF1140" s="171" t="str">
        <f t="shared" si="23"/>
        <v>Code</v>
      </c>
    </row>
    <row r="1141">
      <c r="A1141" s="171">
        <f t="array" ref="A1141">XLOOKUP(C1141,ICSE!A:A,ICSE!C:C,,2,1)</f>
        <v>2023</v>
      </c>
      <c r="B1141" s="171" t="s">
        <v>5675</v>
      </c>
      <c r="C1141" s="160">
        <v>2158.0</v>
      </c>
      <c r="D1141" s="161" t="s">
        <v>3178</v>
      </c>
      <c r="E1141" s="197" t="str">
        <f t="array" ref="E1141">XLOOKUP(C1141,ICSE!A:A,ICSE!Z:Z,,0,1)</f>
        <v>Publicly available (1)</v>
      </c>
      <c r="F1141" s="198" t="s">
        <v>20</v>
      </c>
      <c r="G1141" s="163" t="str">
        <f t="array" ref="G1141">IF(B1141="ICSE",IF(COUNTIFS(B:B,B1141,C:C,C1141)=XLOOKUP(C1141,ICSE!A:A,ICSE!AA:AA,"ERROR",0,1),"OK","ERROR"),IF(B1141="FSE",IF(COUNTIFS(B:B,B1141,C:C,C1141)=XLOOKUP(C1141,FSE!A:A,FSE!AA:AA,"ERROR",0,1),"OK","ERROR")))</f>
        <v>OK</v>
      </c>
      <c r="H1141" s="199">
        <f t="shared" ref="H1141:O1141" si="5782">countif($D1141,"*"&amp;H$2&amp;"*")</f>
        <v>1</v>
      </c>
      <c r="I1141" s="200">
        <f t="shared" si="5782"/>
        <v>0</v>
      </c>
      <c r="J1141" s="200">
        <f t="shared" si="5782"/>
        <v>0</v>
      </c>
      <c r="K1141" s="200">
        <f t="shared" si="5782"/>
        <v>0</v>
      </c>
      <c r="L1141" s="200">
        <f t="shared" si="5782"/>
        <v>0</v>
      </c>
      <c r="M1141" s="200">
        <f t="shared" si="5782"/>
        <v>0</v>
      </c>
      <c r="N1141" s="200">
        <f t="shared" si="5782"/>
        <v>0</v>
      </c>
      <c r="O1141" s="200">
        <f t="shared" si="5782"/>
        <v>0</v>
      </c>
      <c r="P1141" s="200">
        <f t="shared" si="9"/>
        <v>0</v>
      </c>
      <c r="Q1141" s="200">
        <f t="shared" ref="Q1141:AC1141" si="5783">countif($D1141,"*"&amp;Q$2&amp;"*")</f>
        <v>0</v>
      </c>
      <c r="R1141" s="200">
        <f t="shared" si="5783"/>
        <v>0</v>
      </c>
      <c r="S1141" s="200">
        <f t="shared" si="5783"/>
        <v>0</v>
      </c>
      <c r="T1141" s="200">
        <f t="shared" si="5783"/>
        <v>0</v>
      </c>
      <c r="U1141" s="200">
        <f t="shared" si="5783"/>
        <v>0</v>
      </c>
      <c r="V1141" s="200">
        <f t="shared" si="5783"/>
        <v>0</v>
      </c>
      <c r="W1141" s="200">
        <f t="shared" si="5783"/>
        <v>0</v>
      </c>
      <c r="X1141" s="200">
        <f t="shared" si="5783"/>
        <v>0</v>
      </c>
      <c r="Y1141" s="200">
        <f t="shared" si="5783"/>
        <v>0</v>
      </c>
      <c r="Z1141" s="200">
        <f t="shared" si="5783"/>
        <v>0</v>
      </c>
      <c r="AA1141" s="200">
        <f t="shared" si="5783"/>
        <v>0</v>
      </c>
      <c r="AB1141" s="200">
        <f t="shared" si="5783"/>
        <v>0</v>
      </c>
      <c r="AC1141" s="200">
        <f t="shared" si="5783"/>
        <v>0</v>
      </c>
      <c r="AD1141" s="200">
        <f t="shared" si="11"/>
        <v>0</v>
      </c>
      <c r="AE1141" s="200">
        <f t="shared" ref="AE1141:AG1141" si="5784">countif($D1141,"*"&amp;AE$2&amp;"*")</f>
        <v>0</v>
      </c>
      <c r="AF1141" s="200">
        <f t="shared" si="5784"/>
        <v>0</v>
      </c>
      <c r="AG1141" s="200">
        <f t="shared" si="5784"/>
        <v>0</v>
      </c>
      <c r="AH1141" s="171">
        <f t="shared" si="13"/>
        <v>0</v>
      </c>
      <c r="AI1141" s="200">
        <f t="shared" si="14"/>
        <v>1</v>
      </c>
      <c r="AJ1141" s="200">
        <f t="shared" si="5594"/>
        <v>0</v>
      </c>
      <c r="AK1141" s="201">
        <f t="shared" ref="AK1141:AS1141" si="5785">countif($D1141,"*"&amp;AK$2&amp;"*")</f>
        <v>0</v>
      </c>
      <c r="AL1141" s="201">
        <f t="shared" si="5785"/>
        <v>0</v>
      </c>
      <c r="AM1141" s="201">
        <f t="shared" si="5785"/>
        <v>0</v>
      </c>
      <c r="AN1141" s="201">
        <f t="shared" si="5785"/>
        <v>0</v>
      </c>
      <c r="AO1141" s="201">
        <f t="shared" si="5785"/>
        <v>0</v>
      </c>
      <c r="AP1141" s="201">
        <f t="shared" si="5785"/>
        <v>0</v>
      </c>
      <c r="AQ1141" s="201">
        <f t="shared" si="5785"/>
        <v>0</v>
      </c>
      <c r="AR1141" s="200">
        <f t="shared" si="5785"/>
        <v>0</v>
      </c>
      <c r="AS1141" s="200">
        <f t="shared" si="5785"/>
        <v>0</v>
      </c>
      <c r="AT1141" s="173">
        <v>0.0</v>
      </c>
      <c r="AU1141" s="200">
        <f t="shared" ref="AU1141:AX1141" si="5786">countif($D1141,"*"&amp;AU$2&amp;"*")</f>
        <v>0</v>
      </c>
      <c r="AV1141" s="200">
        <f t="shared" si="5786"/>
        <v>0</v>
      </c>
      <c r="AW1141" s="200">
        <f t="shared" si="5786"/>
        <v>0</v>
      </c>
      <c r="AX1141" s="200">
        <f t="shared" si="5786"/>
        <v>1</v>
      </c>
      <c r="AY1141" s="202">
        <v>0.0</v>
      </c>
      <c r="AZ1141" s="200"/>
      <c r="BA1141" s="171" t="str">
        <f t="shared" si="18"/>
        <v>Archival</v>
      </c>
      <c r="BB1141" s="171" t="str">
        <f t="shared" si="19"/>
        <v/>
      </c>
      <c r="BC1141" s="171" t="str">
        <f t="shared" si="20"/>
        <v/>
      </c>
      <c r="BD1141" s="171" t="str">
        <f t="shared" si="21"/>
        <v/>
      </c>
      <c r="BE1141" s="171" t="str">
        <f t="shared" si="22"/>
        <v/>
      </c>
      <c r="BF1141" s="171" t="str">
        <f t="shared" si="23"/>
        <v>Archival</v>
      </c>
    </row>
    <row r="1142">
      <c r="A1142" s="171">
        <f t="array" ref="A1142">XLOOKUP(C1142,ICSE!A:A,ICSE!C:C,,2,1)</f>
        <v>2023</v>
      </c>
      <c r="B1142" s="171" t="s">
        <v>5675</v>
      </c>
      <c r="C1142" s="160">
        <v>2159.0</v>
      </c>
      <c r="D1142" s="161" t="s">
        <v>3181</v>
      </c>
      <c r="E1142" s="197" t="str">
        <f t="array" ref="E1142">XLOOKUP(C1142,ICSE!A:A,ICSE!Z:Z,,0,1)</f>
        <v>Publicly available (1)</v>
      </c>
      <c r="F1142" s="198" t="s">
        <v>20</v>
      </c>
      <c r="G1142" s="163" t="str">
        <f t="array" ref="G1142">IF(B1142="ICSE",IF(COUNTIFS(B:B,B1142,C:C,C1142)=XLOOKUP(C1142,ICSE!A:A,ICSE!AA:AA,"ERROR",0,1),"OK","ERROR"),IF(B1142="FSE",IF(COUNTIFS(B:B,B1142,C:C,C1142)=XLOOKUP(C1142,FSE!A:A,FSE!AA:AA,"ERROR",0,1),"OK","ERROR")))</f>
        <v>OK</v>
      </c>
      <c r="H1142" s="199">
        <f t="shared" ref="H1142:O1142" si="5787">countif($D1142,"*"&amp;H$2&amp;"*")</f>
        <v>0</v>
      </c>
      <c r="I1142" s="200">
        <f t="shared" si="5787"/>
        <v>1</v>
      </c>
      <c r="J1142" s="200">
        <f t="shared" si="5787"/>
        <v>0</v>
      </c>
      <c r="K1142" s="200">
        <f t="shared" si="5787"/>
        <v>0</v>
      </c>
      <c r="L1142" s="200">
        <f t="shared" si="5787"/>
        <v>0</v>
      </c>
      <c r="M1142" s="200">
        <f t="shared" si="5787"/>
        <v>0</v>
      </c>
      <c r="N1142" s="200">
        <f t="shared" si="5787"/>
        <v>0</v>
      </c>
      <c r="O1142" s="200">
        <f t="shared" si="5787"/>
        <v>0</v>
      </c>
      <c r="P1142" s="200">
        <f t="shared" si="9"/>
        <v>0</v>
      </c>
      <c r="Q1142" s="200">
        <f t="shared" ref="Q1142:AC1142" si="5788">countif($D1142,"*"&amp;Q$2&amp;"*")</f>
        <v>0</v>
      </c>
      <c r="R1142" s="200">
        <f t="shared" si="5788"/>
        <v>0</v>
      </c>
      <c r="S1142" s="200">
        <f t="shared" si="5788"/>
        <v>0</v>
      </c>
      <c r="T1142" s="200">
        <f t="shared" si="5788"/>
        <v>0</v>
      </c>
      <c r="U1142" s="200">
        <f t="shared" si="5788"/>
        <v>0</v>
      </c>
      <c r="V1142" s="200">
        <f t="shared" si="5788"/>
        <v>0</v>
      </c>
      <c r="W1142" s="200">
        <f t="shared" si="5788"/>
        <v>0</v>
      </c>
      <c r="X1142" s="200">
        <f t="shared" si="5788"/>
        <v>0</v>
      </c>
      <c r="Y1142" s="200">
        <f t="shared" si="5788"/>
        <v>0</v>
      </c>
      <c r="Z1142" s="200">
        <f t="shared" si="5788"/>
        <v>0</v>
      </c>
      <c r="AA1142" s="200">
        <f t="shared" si="5788"/>
        <v>0</v>
      </c>
      <c r="AB1142" s="200">
        <f t="shared" si="5788"/>
        <v>0</v>
      </c>
      <c r="AC1142" s="200">
        <f t="shared" si="5788"/>
        <v>0</v>
      </c>
      <c r="AD1142" s="200">
        <f t="shared" si="11"/>
        <v>0</v>
      </c>
      <c r="AE1142" s="200">
        <f t="shared" ref="AE1142:AG1142" si="5789">countif($D1142,"*"&amp;AE$2&amp;"*")</f>
        <v>0</v>
      </c>
      <c r="AF1142" s="200">
        <f t="shared" si="5789"/>
        <v>0</v>
      </c>
      <c r="AG1142" s="200">
        <f t="shared" si="5789"/>
        <v>0</v>
      </c>
      <c r="AH1142" s="171">
        <f t="shared" si="13"/>
        <v>0</v>
      </c>
      <c r="AI1142" s="200">
        <f t="shared" si="14"/>
        <v>1</v>
      </c>
      <c r="AJ1142" s="200">
        <f t="shared" si="5594"/>
        <v>0</v>
      </c>
      <c r="AK1142" s="201">
        <f t="shared" ref="AK1142:AS1142" si="5790">countif($D1142,"*"&amp;AK$2&amp;"*")</f>
        <v>0</v>
      </c>
      <c r="AL1142" s="201">
        <f t="shared" si="5790"/>
        <v>0</v>
      </c>
      <c r="AM1142" s="201">
        <f t="shared" si="5790"/>
        <v>0</v>
      </c>
      <c r="AN1142" s="201">
        <f t="shared" si="5790"/>
        <v>0</v>
      </c>
      <c r="AO1142" s="201">
        <f t="shared" si="5790"/>
        <v>0</v>
      </c>
      <c r="AP1142" s="201">
        <f t="shared" si="5790"/>
        <v>0</v>
      </c>
      <c r="AQ1142" s="201">
        <f t="shared" si="5790"/>
        <v>0</v>
      </c>
      <c r="AR1142" s="200">
        <f t="shared" si="5790"/>
        <v>0</v>
      </c>
      <c r="AS1142" s="200">
        <f t="shared" si="5790"/>
        <v>0</v>
      </c>
      <c r="AT1142" s="173">
        <v>0.0</v>
      </c>
      <c r="AU1142" s="200">
        <f t="shared" ref="AU1142:AX1142" si="5791">countif($D1142,"*"&amp;AU$2&amp;"*")</f>
        <v>0</v>
      </c>
      <c r="AV1142" s="200">
        <f t="shared" si="5791"/>
        <v>0</v>
      </c>
      <c r="AW1142" s="200">
        <f t="shared" si="5791"/>
        <v>0</v>
      </c>
      <c r="AX1142" s="200">
        <f t="shared" si="5791"/>
        <v>1</v>
      </c>
      <c r="AY1142" s="202">
        <v>0.0</v>
      </c>
      <c r="AZ1142" s="200"/>
      <c r="BA1142" s="171" t="str">
        <f t="shared" si="18"/>
        <v>Archival</v>
      </c>
      <c r="BB1142" s="171" t="str">
        <f t="shared" si="19"/>
        <v/>
      </c>
      <c r="BC1142" s="171" t="str">
        <f t="shared" si="20"/>
        <v/>
      </c>
      <c r="BD1142" s="171" t="str">
        <f t="shared" si="21"/>
        <v/>
      </c>
      <c r="BE1142" s="171" t="str">
        <f t="shared" si="22"/>
        <v/>
      </c>
      <c r="BF1142" s="171" t="str">
        <f t="shared" si="23"/>
        <v>Archival</v>
      </c>
    </row>
    <row r="1143">
      <c r="A1143" s="171">
        <f t="array" ref="A1143">XLOOKUP(C1143,ICSE!A:A,ICSE!C:C,,2,1)</f>
        <v>2023</v>
      </c>
      <c r="B1143" s="171" t="s">
        <v>5675</v>
      </c>
      <c r="C1143" s="160">
        <v>2160.0</v>
      </c>
      <c r="D1143" s="161" t="s">
        <v>3184</v>
      </c>
      <c r="E1143" s="197" t="str">
        <f t="array" ref="E1143">XLOOKUP(C1143,ICSE!A:A,ICSE!Z:Z,,0,1)</f>
        <v>Publicly available (1)</v>
      </c>
      <c r="F1143" s="198" t="s">
        <v>20</v>
      </c>
      <c r="G1143" s="163" t="str">
        <f t="array" ref="G1143">IF(B1143="ICSE",IF(COUNTIFS(B:B,B1143,C:C,C1143)=XLOOKUP(C1143,ICSE!A:A,ICSE!AA:AA,"ERROR",0,1),"OK","ERROR"),IF(B1143="FSE",IF(COUNTIFS(B:B,B1143,C:C,C1143)=XLOOKUP(C1143,FSE!A:A,FSE!AA:AA,"ERROR",0,1),"OK","ERROR")))</f>
        <v>OK</v>
      </c>
      <c r="H1143" s="199">
        <f t="shared" ref="H1143:O1143" si="5792">countif($D1143,"*"&amp;H$2&amp;"*")</f>
        <v>0</v>
      </c>
      <c r="I1143" s="200">
        <f t="shared" si="5792"/>
        <v>0</v>
      </c>
      <c r="J1143" s="200">
        <f t="shared" si="5792"/>
        <v>0</v>
      </c>
      <c r="K1143" s="200">
        <f t="shared" si="5792"/>
        <v>0</v>
      </c>
      <c r="L1143" s="200">
        <f t="shared" si="5792"/>
        <v>0</v>
      </c>
      <c r="M1143" s="200">
        <f t="shared" si="5792"/>
        <v>0</v>
      </c>
      <c r="N1143" s="200">
        <f t="shared" si="5792"/>
        <v>0</v>
      </c>
      <c r="O1143" s="200">
        <f t="shared" si="5792"/>
        <v>0</v>
      </c>
      <c r="P1143" s="200">
        <f t="shared" si="9"/>
        <v>1</v>
      </c>
      <c r="Q1143" s="200">
        <f t="shared" ref="Q1143:AC1143" si="5793">countif($D1143,"*"&amp;Q$2&amp;"*")</f>
        <v>0</v>
      </c>
      <c r="R1143" s="200">
        <f t="shared" si="5793"/>
        <v>0</v>
      </c>
      <c r="S1143" s="200">
        <f t="shared" si="5793"/>
        <v>0</v>
      </c>
      <c r="T1143" s="200">
        <f t="shared" si="5793"/>
        <v>0</v>
      </c>
      <c r="U1143" s="200">
        <f t="shared" si="5793"/>
        <v>0</v>
      </c>
      <c r="V1143" s="200">
        <f t="shared" si="5793"/>
        <v>0</v>
      </c>
      <c r="W1143" s="200">
        <f t="shared" si="5793"/>
        <v>0</v>
      </c>
      <c r="X1143" s="200">
        <f t="shared" si="5793"/>
        <v>0</v>
      </c>
      <c r="Y1143" s="200">
        <f t="shared" si="5793"/>
        <v>0</v>
      </c>
      <c r="Z1143" s="200">
        <f t="shared" si="5793"/>
        <v>0</v>
      </c>
      <c r="AA1143" s="200">
        <f t="shared" si="5793"/>
        <v>0</v>
      </c>
      <c r="AB1143" s="200">
        <f t="shared" si="5793"/>
        <v>0</v>
      </c>
      <c r="AC1143" s="200">
        <f t="shared" si="5793"/>
        <v>0</v>
      </c>
      <c r="AD1143" s="200">
        <f t="shared" si="11"/>
        <v>0</v>
      </c>
      <c r="AE1143" s="200">
        <f t="shared" ref="AE1143:AG1143" si="5794">countif($D1143,"*"&amp;AE$2&amp;"*")</f>
        <v>0</v>
      </c>
      <c r="AF1143" s="200">
        <f t="shared" si="5794"/>
        <v>0</v>
      </c>
      <c r="AG1143" s="200">
        <f t="shared" si="5794"/>
        <v>0</v>
      </c>
      <c r="AH1143" s="171">
        <f t="shared" si="13"/>
        <v>0</v>
      </c>
      <c r="AI1143" s="200">
        <f t="shared" si="14"/>
        <v>0</v>
      </c>
      <c r="AJ1143" s="200">
        <f t="shared" si="5594"/>
        <v>0</v>
      </c>
      <c r="AK1143" s="201">
        <f t="shared" ref="AK1143:AS1143" si="5795">countif($D1143,"*"&amp;AK$2&amp;"*")</f>
        <v>0</v>
      </c>
      <c r="AL1143" s="201">
        <f t="shared" si="5795"/>
        <v>0</v>
      </c>
      <c r="AM1143" s="201">
        <f t="shared" si="5795"/>
        <v>0</v>
      </c>
      <c r="AN1143" s="201">
        <f t="shared" si="5795"/>
        <v>0</v>
      </c>
      <c r="AO1143" s="201">
        <f t="shared" si="5795"/>
        <v>0</v>
      </c>
      <c r="AP1143" s="201">
        <f t="shared" si="5795"/>
        <v>0</v>
      </c>
      <c r="AQ1143" s="201">
        <f t="shared" si="5795"/>
        <v>0</v>
      </c>
      <c r="AR1143" s="200">
        <f t="shared" si="5795"/>
        <v>0</v>
      </c>
      <c r="AS1143" s="200">
        <f t="shared" si="5795"/>
        <v>0</v>
      </c>
      <c r="AT1143" s="173">
        <v>0.0</v>
      </c>
      <c r="AU1143" s="200">
        <f t="shared" ref="AU1143:AX1143" si="5796">countif($D1143,"*"&amp;AU$2&amp;"*")</f>
        <v>0</v>
      </c>
      <c r="AV1143" s="200">
        <f t="shared" si="5796"/>
        <v>1</v>
      </c>
      <c r="AW1143" s="200">
        <f t="shared" si="5796"/>
        <v>0</v>
      </c>
      <c r="AX1143" s="200">
        <f t="shared" si="5796"/>
        <v>0</v>
      </c>
      <c r="AY1143" s="202">
        <v>0.0</v>
      </c>
      <c r="AZ1143" s="200"/>
      <c r="BA1143" s="171" t="str">
        <f t="shared" si="18"/>
        <v/>
      </c>
      <c r="BB1143" s="171" t="str">
        <f t="shared" si="19"/>
        <v>Code</v>
      </c>
      <c r="BC1143" s="171" t="str">
        <f t="shared" si="20"/>
        <v/>
      </c>
      <c r="BD1143" s="171" t="str">
        <f t="shared" si="21"/>
        <v/>
      </c>
      <c r="BE1143" s="171" t="str">
        <f t="shared" si="22"/>
        <v/>
      </c>
      <c r="BF1143" s="171" t="str">
        <f t="shared" si="23"/>
        <v>Code</v>
      </c>
    </row>
    <row r="1144">
      <c r="A1144" s="171">
        <f t="array" ref="A1144">XLOOKUP(C1144,ICSE!A:A,ICSE!C:C,,2,1)</f>
        <v>2023</v>
      </c>
      <c r="B1144" s="171" t="s">
        <v>5675</v>
      </c>
      <c r="C1144" s="160">
        <v>2162.0</v>
      </c>
      <c r="D1144" s="161" t="s">
        <v>3188</v>
      </c>
      <c r="E1144" s="197" t="str">
        <f t="array" ref="E1144">XLOOKUP(C1144,ICSE!A:A,ICSE!Z:Z,,0,1)</f>
        <v>Publicly available (1)</v>
      </c>
      <c r="F1144" s="198" t="s">
        <v>20</v>
      </c>
      <c r="G1144" s="163" t="str">
        <f t="array" ref="G1144">IF(B1144="ICSE",IF(COUNTIFS(B:B,B1144,C:C,C1144)=XLOOKUP(C1144,ICSE!A:A,ICSE!AA:AA,"ERROR",0,1),"OK","ERROR"),IF(B1144="FSE",IF(COUNTIFS(B:B,B1144,C:C,C1144)=XLOOKUP(C1144,FSE!A:A,FSE!AA:AA,"ERROR",0,1),"OK","ERROR")))</f>
        <v>OK</v>
      </c>
      <c r="H1144" s="199">
        <f t="shared" ref="H1144:O1144" si="5797">countif($D1144,"*"&amp;H$2&amp;"*")</f>
        <v>0</v>
      </c>
      <c r="I1144" s="200">
        <f t="shared" si="5797"/>
        <v>0</v>
      </c>
      <c r="J1144" s="200">
        <f t="shared" si="5797"/>
        <v>0</v>
      </c>
      <c r="K1144" s="200">
        <f t="shared" si="5797"/>
        <v>0</v>
      </c>
      <c r="L1144" s="200">
        <f t="shared" si="5797"/>
        <v>0</v>
      </c>
      <c r="M1144" s="200">
        <f t="shared" si="5797"/>
        <v>0</v>
      </c>
      <c r="N1144" s="200">
        <f t="shared" si="5797"/>
        <v>0</v>
      </c>
      <c r="O1144" s="200">
        <f t="shared" si="5797"/>
        <v>0</v>
      </c>
      <c r="P1144" s="200">
        <f t="shared" si="9"/>
        <v>1</v>
      </c>
      <c r="Q1144" s="200">
        <f t="shared" ref="Q1144:AC1144" si="5798">countif($D1144,"*"&amp;Q$2&amp;"*")</f>
        <v>0</v>
      </c>
      <c r="R1144" s="200">
        <f t="shared" si="5798"/>
        <v>0</v>
      </c>
      <c r="S1144" s="200">
        <f t="shared" si="5798"/>
        <v>0</v>
      </c>
      <c r="T1144" s="200">
        <f t="shared" si="5798"/>
        <v>0</v>
      </c>
      <c r="U1144" s="200">
        <f t="shared" si="5798"/>
        <v>0</v>
      </c>
      <c r="V1144" s="200">
        <f t="shared" si="5798"/>
        <v>0</v>
      </c>
      <c r="W1144" s="200">
        <f t="shared" si="5798"/>
        <v>0</v>
      </c>
      <c r="X1144" s="200">
        <f t="shared" si="5798"/>
        <v>0</v>
      </c>
      <c r="Y1144" s="200">
        <f t="shared" si="5798"/>
        <v>0</v>
      </c>
      <c r="Z1144" s="200">
        <f t="shared" si="5798"/>
        <v>0</v>
      </c>
      <c r="AA1144" s="200">
        <f t="shared" si="5798"/>
        <v>0</v>
      </c>
      <c r="AB1144" s="200">
        <f t="shared" si="5798"/>
        <v>0</v>
      </c>
      <c r="AC1144" s="200">
        <f t="shared" si="5798"/>
        <v>0</v>
      </c>
      <c r="AD1144" s="200">
        <f t="shared" si="11"/>
        <v>0</v>
      </c>
      <c r="AE1144" s="200">
        <f t="shared" ref="AE1144:AG1144" si="5799">countif($D1144,"*"&amp;AE$2&amp;"*")</f>
        <v>0</v>
      </c>
      <c r="AF1144" s="200">
        <f t="shared" si="5799"/>
        <v>0</v>
      </c>
      <c r="AG1144" s="200">
        <f t="shared" si="5799"/>
        <v>0</v>
      </c>
      <c r="AH1144" s="171">
        <f t="shared" si="13"/>
        <v>0</v>
      </c>
      <c r="AI1144" s="200">
        <f t="shared" si="14"/>
        <v>0</v>
      </c>
      <c r="AJ1144" s="200">
        <f t="shared" si="5594"/>
        <v>0</v>
      </c>
      <c r="AK1144" s="201">
        <f t="shared" ref="AK1144:AS1144" si="5800">countif($D1144,"*"&amp;AK$2&amp;"*")</f>
        <v>0</v>
      </c>
      <c r="AL1144" s="201">
        <f t="shared" si="5800"/>
        <v>0</v>
      </c>
      <c r="AM1144" s="201">
        <f t="shared" si="5800"/>
        <v>0</v>
      </c>
      <c r="AN1144" s="201">
        <f t="shared" si="5800"/>
        <v>0</v>
      </c>
      <c r="AO1144" s="201">
        <f t="shared" si="5800"/>
        <v>0</v>
      </c>
      <c r="AP1144" s="201">
        <f t="shared" si="5800"/>
        <v>0</v>
      </c>
      <c r="AQ1144" s="201">
        <f t="shared" si="5800"/>
        <v>0</v>
      </c>
      <c r="AR1144" s="200">
        <f t="shared" si="5800"/>
        <v>0</v>
      </c>
      <c r="AS1144" s="200">
        <f t="shared" si="5800"/>
        <v>0</v>
      </c>
      <c r="AT1144" s="173">
        <v>0.0</v>
      </c>
      <c r="AU1144" s="200">
        <f t="shared" ref="AU1144:AX1144" si="5801">countif($D1144,"*"&amp;AU$2&amp;"*")</f>
        <v>0</v>
      </c>
      <c r="AV1144" s="200">
        <f t="shared" si="5801"/>
        <v>1</v>
      </c>
      <c r="AW1144" s="200">
        <f t="shared" si="5801"/>
        <v>0</v>
      </c>
      <c r="AX1144" s="200">
        <f t="shared" si="5801"/>
        <v>0</v>
      </c>
      <c r="AY1144" s="202">
        <v>0.0</v>
      </c>
      <c r="AZ1144" s="200"/>
      <c r="BA1144" s="171" t="str">
        <f t="shared" si="18"/>
        <v/>
      </c>
      <c r="BB1144" s="171" t="str">
        <f t="shared" si="19"/>
        <v>Code</v>
      </c>
      <c r="BC1144" s="171" t="str">
        <f t="shared" si="20"/>
        <v/>
      </c>
      <c r="BD1144" s="171" t="str">
        <f t="shared" si="21"/>
        <v/>
      </c>
      <c r="BE1144" s="171" t="str">
        <f t="shared" si="22"/>
        <v/>
      </c>
      <c r="BF1144" s="171" t="str">
        <f t="shared" si="23"/>
        <v>Code</v>
      </c>
    </row>
    <row r="1145">
      <c r="A1145" s="171">
        <f t="array" ref="A1145">XLOOKUP(C1145,ICSE!A:A,ICSE!C:C,,2,1)</f>
        <v>2023</v>
      </c>
      <c r="B1145" s="171" t="s">
        <v>5675</v>
      </c>
      <c r="C1145" s="160">
        <v>2163.0</v>
      </c>
      <c r="D1145" s="161" t="s">
        <v>3191</v>
      </c>
      <c r="E1145" s="197" t="str">
        <f t="array" ref="E1145">XLOOKUP(C1145,ICSE!A:A,ICSE!Z:Z,,0,1)</f>
        <v>Publicly available (1)</v>
      </c>
      <c r="F1145" s="198" t="s">
        <v>20</v>
      </c>
      <c r="G1145" s="163" t="str">
        <f t="array" ref="G1145">IF(B1145="ICSE",IF(COUNTIFS(B:B,B1145,C:C,C1145)=XLOOKUP(C1145,ICSE!A:A,ICSE!AA:AA,"ERROR",0,1),"OK","ERROR"),IF(B1145="FSE",IF(COUNTIFS(B:B,B1145,C:C,C1145)=XLOOKUP(C1145,FSE!A:A,FSE!AA:AA,"ERROR",0,1),"OK","ERROR")))</f>
        <v>OK</v>
      </c>
      <c r="H1145" s="199">
        <f t="shared" ref="H1145:O1145" si="5802">countif($D1145,"*"&amp;H$2&amp;"*")</f>
        <v>0</v>
      </c>
      <c r="I1145" s="200">
        <f t="shared" si="5802"/>
        <v>0</v>
      </c>
      <c r="J1145" s="200">
        <f t="shared" si="5802"/>
        <v>0</v>
      </c>
      <c r="K1145" s="200">
        <f t="shared" si="5802"/>
        <v>0</v>
      </c>
      <c r="L1145" s="200">
        <f t="shared" si="5802"/>
        <v>0</v>
      </c>
      <c r="M1145" s="200">
        <f t="shared" si="5802"/>
        <v>0</v>
      </c>
      <c r="N1145" s="200">
        <f t="shared" si="5802"/>
        <v>0</v>
      </c>
      <c r="O1145" s="200">
        <f t="shared" si="5802"/>
        <v>0</v>
      </c>
      <c r="P1145" s="200">
        <f t="shared" si="9"/>
        <v>1</v>
      </c>
      <c r="Q1145" s="200">
        <f t="shared" ref="Q1145:AC1145" si="5803">countif($D1145,"*"&amp;Q$2&amp;"*")</f>
        <v>0</v>
      </c>
      <c r="R1145" s="200">
        <f t="shared" si="5803"/>
        <v>0</v>
      </c>
      <c r="S1145" s="200">
        <f t="shared" si="5803"/>
        <v>0</v>
      </c>
      <c r="T1145" s="200">
        <f t="shared" si="5803"/>
        <v>0</v>
      </c>
      <c r="U1145" s="200">
        <f t="shared" si="5803"/>
        <v>0</v>
      </c>
      <c r="V1145" s="200">
        <f t="shared" si="5803"/>
        <v>0</v>
      </c>
      <c r="W1145" s="200">
        <f t="shared" si="5803"/>
        <v>0</v>
      </c>
      <c r="X1145" s="200">
        <f t="shared" si="5803"/>
        <v>0</v>
      </c>
      <c r="Y1145" s="200">
        <f t="shared" si="5803"/>
        <v>0</v>
      </c>
      <c r="Z1145" s="200">
        <f t="shared" si="5803"/>
        <v>0</v>
      </c>
      <c r="AA1145" s="200">
        <f t="shared" si="5803"/>
        <v>0</v>
      </c>
      <c r="AB1145" s="200">
        <f t="shared" si="5803"/>
        <v>0</v>
      </c>
      <c r="AC1145" s="200">
        <f t="shared" si="5803"/>
        <v>0</v>
      </c>
      <c r="AD1145" s="200">
        <f t="shared" si="11"/>
        <v>0</v>
      </c>
      <c r="AE1145" s="200">
        <f t="shared" ref="AE1145:AG1145" si="5804">countif($D1145,"*"&amp;AE$2&amp;"*")</f>
        <v>0</v>
      </c>
      <c r="AF1145" s="200">
        <f t="shared" si="5804"/>
        <v>0</v>
      </c>
      <c r="AG1145" s="200">
        <f t="shared" si="5804"/>
        <v>0</v>
      </c>
      <c r="AH1145" s="171">
        <f t="shared" si="13"/>
        <v>0</v>
      </c>
      <c r="AI1145" s="200">
        <f t="shared" si="14"/>
        <v>0</v>
      </c>
      <c r="AJ1145" s="200">
        <f t="shared" si="5594"/>
        <v>0</v>
      </c>
      <c r="AK1145" s="201">
        <f t="shared" ref="AK1145:AS1145" si="5805">countif($D1145,"*"&amp;AK$2&amp;"*")</f>
        <v>0</v>
      </c>
      <c r="AL1145" s="201">
        <f t="shared" si="5805"/>
        <v>0</v>
      </c>
      <c r="AM1145" s="201">
        <f t="shared" si="5805"/>
        <v>0</v>
      </c>
      <c r="AN1145" s="201">
        <f t="shared" si="5805"/>
        <v>0</v>
      </c>
      <c r="AO1145" s="201">
        <f t="shared" si="5805"/>
        <v>0</v>
      </c>
      <c r="AP1145" s="201">
        <f t="shared" si="5805"/>
        <v>0</v>
      </c>
      <c r="AQ1145" s="201">
        <f t="shared" si="5805"/>
        <v>0</v>
      </c>
      <c r="AR1145" s="200">
        <f t="shared" si="5805"/>
        <v>0</v>
      </c>
      <c r="AS1145" s="200">
        <f t="shared" si="5805"/>
        <v>0</v>
      </c>
      <c r="AT1145" s="173">
        <v>0.0</v>
      </c>
      <c r="AU1145" s="200">
        <f t="shared" ref="AU1145:AX1145" si="5806">countif($D1145,"*"&amp;AU$2&amp;"*")</f>
        <v>0</v>
      </c>
      <c r="AV1145" s="200">
        <f t="shared" si="5806"/>
        <v>1</v>
      </c>
      <c r="AW1145" s="200">
        <f t="shared" si="5806"/>
        <v>0</v>
      </c>
      <c r="AX1145" s="200">
        <f t="shared" si="5806"/>
        <v>0</v>
      </c>
      <c r="AY1145" s="202">
        <v>0.0</v>
      </c>
      <c r="AZ1145" s="200"/>
      <c r="BA1145" s="171" t="str">
        <f t="shared" si="18"/>
        <v/>
      </c>
      <c r="BB1145" s="171" t="str">
        <f t="shared" si="19"/>
        <v>Code</v>
      </c>
      <c r="BC1145" s="171" t="str">
        <f t="shared" si="20"/>
        <v/>
      </c>
      <c r="BD1145" s="171" t="str">
        <f t="shared" si="21"/>
        <v/>
      </c>
      <c r="BE1145" s="171" t="str">
        <f t="shared" si="22"/>
        <v/>
      </c>
      <c r="BF1145" s="171" t="str">
        <f t="shared" si="23"/>
        <v>Code</v>
      </c>
    </row>
    <row r="1146">
      <c r="A1146" s="171">
        <f t="array" ref="A1146">XLOOKUP(C1146,ICSE!A:A,ICSE!C:C,,2,1)</f>
        <v>2023</v>
      </c>
      <c r="B1146" s="171" t="s">
        <v>5675</v>
      </c>
      <c r="C1146" s="160">
        <v>2164.0</v>
      </c>
      <c r="D1146" s="161" t="s">
        <v>3195</v>
      </c>
      <c r="E1146" s="197" t="str">
        <f t="array" ref="E1146">XLOOKUP(C1146,ICSE!A:A,ICSE!Z:Z,,0,1)</f>
        <v>Publicly available (1)</v>
      </c>
      <c r="F1146" s="198" t="s">
        <v>20</v>
      </c>
      <c r="G1146" s="163" t="str">
        <f t="array" ref="G1146">IF(B1146="ICSE",IF(COUNTIFS(B:B,B1146,C:C,C1146)=XLOOKUP(C1146,ICSE!A:A,ICSE!AA:AA,"ERROR",0,1),"OK","ERROR"),IF(B1146="FSE",IF(COUNTIFS(B:B,B1146,C:C,C1146)=XLOOKUP(C1146,FSE!A:A,FSE!AA:AA,"ERROR",0,1),"OK","ERROR")))</f>
        <v>OK</v>
      </c>
      <c r="H1146" s="199">
        <f t="shared" ref="H1146:O1146" si="5807">countif($D1146,"*"&amp;H$2&amp;"*")</f>
        <v>0</v>
      </c>
      <c r="I1146" s="200">
        <f t="shared" si="5807"/>
        <v>0</v>
      </c>
      <c r="J1146" s="200">
        <f t="shared" si="5807"/>
        <v>0</v>
      </c>
      <c r="K1146" s="200">
        <f t="shared" si="5807"/>
        <v>0</v>
      </c>
      <c r="L1146" s="200">
        <f t="shared" si="5807"/>
        <v>0</v>
      </c>
      <c r="M1146" s="200">
        <f t="shared" si="5807"/>
        <v>0</v>
      </c>
      <c r="N1146" s="200">
        <f t="shared" si="5807"/>
        <v>0</v>
      </c>
      <c r="O1146" s="200">
        <f t="shared" si="5807"/>
        <v>0</v>
      </c>
      <c r="P1146" s="200">
        <f t="shared" si="9"/>
        <v>1</v>
      </c>
      <c r="Q1146" s="200">
        <f t="shared" ref="Q1146:AC1146" si="5808">countif($D1146,"*"&amp;Q$2&amp;"*")</f>
        <v>0</v>
      </c>
      <c r="R1146" s="200">
        <f t="shared" si="5808"/>
        <v>0</v>
      </c>
      <c r="S1146" s="200">
        <f t="shared" si="5808"/>
        <v>0</v>
      </c>
      <c r="T1146" s="200">
        <f t="shared" si="5808"/>
        <v>0</v>
      </c>
      <c r="U1146" s="200">
        <f t="shared" si="5808"/>
        <v>0</v>
      </c>
      <c r="V1146" s="200">
        <f t="shared" si="5808"/>
        <v>0</v>
      </c>
      <c r="W1146" s="200">
        <f t="shared" si="5808"/>
        <v>0</v>
      </c>
      <c r="X1146" s="200">
        <f t="shared" si="5808"/>
        <v>0</v>
      </c>
      <c r="Y1146" s="200">
        <f t="shared" si="5808"/>
        <v>0</v>
      </c>
      <c r="Z1146" s="200">
        <f t="shared" si="5808"/>
        <v>0</v>
      </c>
      <c r="AA1146" s="200">
        <f t="shared" si="5808"/>
        <v>0</v>
      </c>
      <c r="AB1146" s="200">
        <f t="shared" si="5808"/>
        <v>0</v>
      </c>
      <c r="AC1146" s="200">
        <f t="shared" si="5808"/>
        <v>0</v>
      </c>
      <c r="AD1146" s="200">
        <f t="shared" si="11"/>
        <v>0</v>
      </c>
      <c r="AE1146" s="200">
        <f t="shared" ref="AE1146:AG1146" si="5809">countif($D1146,"*"&amp;AE$2&amp;"*")</f>
        <v>0</v>
      </c>
      <c r="AF1146" s="200">
        <f t="shared" si="5809"/>
        <v>0</v>
      </c>
      <c r="AG1146" s="200">
        <f t="shared" si="5809"/>
        <v>0</v>
      </c>
      <c r="AH1146" s="171">
        <f t="shared" si="13"/>
        <v>0</v>
      </c>
      <c r="AI1146" s="200">
        <f t="shared" si="14"/>
        <v>0</v>
      </c>
      <c r="AJ1146" s="200">
        <f t="shared" si="5594"/>
        <v>0</v>
      </c>
      <c r="AK1146" s="201">
        <f t="shared" ref="AK1146:AS1146" si="5810">countif($D1146,"*"&amp;AK$2&amp;"*")</f>
        <v>0</v>
      </c>
      <c r="AL1146" s="201">
        <f t="shared" si="5810"/>
        <v>0</v>
      </c>
      <c r="AM1146" s="201">
        <f t="shared" si="5810"/>
        <v>0</v>
      </c>
      <c r="AN1146" s="201">
        <f t="shared" si="5810"/>
        <v>0</v>
      </c>
      <c r="AO1146" s="201">
        <f t="shared" si="5810"/>
        <v>0</v>
      </c>
      <c r="AP1146" s="201">
        <f t="shared" si="5810"/>
        <v>0</v>
      </c>
      <c r="AQ1146" s="201">
        <f t="shared" si="5810"/>
        <v>0</v>
      </c>
      <c r="AR1146" s="200">
        <f t="shared" si="5810"/>
        <v>0</v>
      </c>
      <c r="AS1146" s="200">
        <f t="shared" si="5810"/>
        <v>0</v>
      </c>
      <c r="AT1146" s="173">
        <v>0.0</v>
      </c>
      <c r="AU1146" s="200">
        <f t="shared" ref="AU1146:AX1146" si="5811">countif($D1146,"*"&amp;AU$2&amp;"*")</f>
        <v>0</v>
      </c>
      <c r="AV1146" s="200">
        <f t="shared" si="5811"/>
        <v>1</v>
      </c>
      <c r="AW1146" s="200">
        <f t="shared" si="5811"/>
        <v>0</v>
      </c>
      <c r="AX1146" s="200">
        <f t="shared" si="5811"/>
        <v>0</v>
      </c>
      <c r="AY1146" s="202">
        <v>0.0</v>
      </c>
      <c r="AZ1146" s="200"/>
      <c r="BA1146" s="171" t="str">
        <f t="shared" si="18"/>
        <v/>
      </c>
      <c r="BB1146" s="171" t="str">
        <f t="shared" si="19"/>
        <v>Code</v>
      </c>
      <c r="BC1146" s="171" t="str">
        <f t="shared" si="20"/>
        <v/>
      </c>
      <c r="BD1146" s="171" t="str">
        <f t="shared" si="21"/>
        <v/>
      </c>
      <c r="BE1146" s="171" t="str">
        <f t="shared" si="22"/>
        <v/>
      </c>
      <c r="BF1146" s="171" t="str">
        <f t="shared" si="23"/>
        <v>Code</v>
      </c>
    </row>
    <row r="1147">
      <c r="A1147" s="171">
        <f t="array" ref="A1147">XLOOKUP(C1147,ICSE!A:A,ICSE!C:C,,2,1)</f>
        <v>2023</v>
      </c>
      <c r="B1147" s="171" t="s">
        <v>5675</v>
      </c>
      <c r="C1147" s="160">
        <v>2165.0</v>
      </c>
      <c r="D1147" s="161" t="s">
        <v>6142</v>
      </c>
      <c r="E1147" s="197" t="str">
        <f t="array" ref="E1147">XLOOKUP(C1147,ICSE!A:A,ICSE!Z:Z,,0,1)</f>
        <v>Publicly available (1)</v>
      </c>
      <c r="F1147" s="198" t="s">
        <v>20</v>
      </c>
      <c r="G1147" s="163" t="str">
        <f t="array" ref="G1147">IF(B1147="ICSE",IF(COUNTIFS(B:B,B1147,C:C,C1147)=XLOOKUP(C1147,ICSE!A:A,ICSE!AA:AA,"ERROR",0,1),"OK","ERROR"),IF(B1147="FSE",IF(COUNTIFS(B:B,B1147,C:C,C1147)=XLOOKUP(C1147,FSE!A:A,FSE!AA:AA,"ERROR",0,1),"OK","ERROR")))</f>
        <v>OK</v>
      </c>
      <c r="H1147" s="199">
        <f t="shared" ref="H1147:O1147" si="5812">countif($D1147,"*"&amp;H$2&amp;"*")</f>
        <v>0</v>
      </c>
      <c r="I1147" s="200">
        <f t="shared" si="5812"/>
        <v>0</v>
      </c>
      <c r="J1147" s="200">
        <f t="shared" si="5812"/>
        <v>0</v>
      </c>
      <c r="K1147" s="200">
        <f t="shared" si="5812"/>
        <v>0</v>
      </c>
      <c r="L1147" s="200">
        <f t="shared" si="5812"/>
        <v>0</v>
      </c>
      <c r="M1147" s="200">
        <f t="shared" si="5812"/>
        <v>0</v>
      </c>
      <c r="N1147" s="200">
        <f t="shared" si="5812"/>
        <v>0</v>
      </c>
      <c r="O1147" s="200">
        <f t="shared" si="5812"/>
        <v>0</v>
      </c>
      <c r="P1147" s="200">
        <f t="shared" si="9"/>
        <v>1</v>
      </c>
      <c r="Q1147" s="200">
        <f t="shared" ref="Q1147:AC1147" si="5813">countif($D1147,"*"&amp;Q$2&amp;"*")</f>
        <v>0</v>
      </c>
      <c r="R1147" s="200">
        <f t="shared" si="5813"/>
        <v>0</v>
      </c>
      <c r="S1147" s="200">
        <f t="shared" si="5813"/>
        <v>0</v>
      </c>
      <c r="T1147" s="200">
        <f t="shared" si="5813"/>
        <v>0</v>
      </c>
      <c r="U1147" s="200">
        <f t="shared" si="5813"/>
        <v>0</v>
      </c>
      <c r="V1147" s="200">
        <f t="shared" si="5813"/>
        <v>0</v>
      </c>
      <c r="W1147" s="200">
        <f t="shared" si="5813"/>
        <v>0</v>
      </c>
      <c r="X1147" s="200">
        <f t="shared" si="5813"/>
        <v>0</v>
      </c>
      <c r="Y1147" s="200">
        <f t="shared" si="5813"/>
        <v>0</v>
      </c>
      <c r="Z1147" s="200">
        <f t="shared" si="5813"/>
        <v>0</v>
      </c>
      <c r="AA1147" s="200">
        <f t="shared" si="5813"/>
        <v>0</v>
      </c>
      <c r="AB1147" s="200">
        <f t="shared" si="5813"/>
        <v>0</v>
      </c>
      <c r="AC1147" s="200">
        <f t="shared" si="5813"/>
        <v>0</v>
      </c>
      <c r="AD1147" s="200">
        <f t="shared" si="11"/>
        <v>0</v>
      </c>
      <c r="AE1147" s="200">
        <f t="shared" ref="AE1147:AG1147" si="5814">countif($D1147,"*"&amp;AE$2&amp;"*")</f>
        <v>0</v>
      </c>
      <c r="AF1147" s="200">
        <f t="shared" si="5814"/>
        <v>0</v>
      </c>
      <c r="AG1147" s="200">
        <f t="shared" si="5814"/>
        <v>0</v>
      </c>
      <c r="AH1147" s="171">
        <f t="shared" si="13"/>
        <v>0</v>
      </c>
      <c r="AI1147" s="200">
        <f t="shared" si="14"/>
        <v>0</v>
      </c>
      <c r="AJ1147" s="200">
        <f t="shared" si="5594"/>
        <v>0</v>
      </c>
      <c r="AK1147" s="201">
        <f t="shared" ref="AK1147:AS1147" si="5815">countif($D1147,"*"&amp;AK$2&amp;"*")</f>
        <v>0</v>
      </c>
      <c r="AL1147" s="201">
        <f t="shared" si="5815"/>
        <v>0</v>
      </c>
      <c r="AM1147" s="201">
        <f t="shared" si="5815"/>
        <v>0</v>
      </c>
      <c r="AN1147" s="201">
        <f t="shared" si="5815"/>
        <v>0</v>
      </c>
      <c r="AO1147" s="201">
        <f t="shared" si="5815"/>
        <v>0</v>
      </c>
      <c r="AP1147" s="201">
        <f t="shared" si="5815"/>
        <v>0</v>
      </c>
      <c r="AQ1147" s="201">
        <f t="shared" si="5815"/>
        <v>0</v>
      </c>
      <c r="AR1147" s="200">
        <f t="shared" si="5815"/>
        <v>0</v>
      </c>
      <c r="AS1147" s="200">
        <f t="shared" si="5815"/>
        <v>1</v>
      </c>
      <c r="AT1147" s="173">
        <v>0.0</v>
      </c>
      <c r="AU1147" s="200">
        <f t="shared" ref="AU1147:AX1147" si="5816">countif($D1147,"*"&amp;AU$2&amp;"*")</f>
        <v>0</v>
      </c>
      <c r="AV1147" s="200">
        <f t="shared" si="5816"/>
        <v>1</v>
      </c>
      <c r="AW1147" s="200">
        <f t="shared" si="5816"/>
        <v>1</v>
      </c>
      <c r="AX1147" s="200">
        <f t="shared" si="5816"/>
        <v>0</v>
      </c>
      <c r="AY1147" s="202">
        <v>0.0</v>
      </c>
      <c r="AZ1147" s="200"/>
      <c r="BA1147" s="171" t="str">
        <f t="shared" si="18"/>
        <v/>
      </c>
      <c r="BB1147" s="171" t="str">
        <f t="shared" si="19"/>
        <v>Code</v>
      </c>
      <c r="BC1147" s="171" t="str">
        <f t="shared" si="20"/>
        <v/>
      </c>
      <c r="BD1147" s="171" t="str">
        <f t="shared" si="21"/>
        <v/>
      </c>
      <c r="BE1147" s="171" t="str">
        <f t="shared" si="22"/>
        <v/>
      </c>
      <c r="BF1147" s="171" t="str">
        <f t="shared" si="23"/>
        <v>Code</v>
      </c>
    </row>
    <row r="1148">
      <c r="A1148" s="171">
        <f t="array" ref="A1148">XLOOKUP(C1148,ICSE!A:A,ICSE!C:C,,2,1)</f>
        <v>2023</v>
      </c>
      <c r="B1148" s="171" t="s">
        <v>5675</v>
      </c>
      <c r="C1148" s="160">
        <v>2166.0</v>
      </c>
      <c r="D1148" s="161" t="s">
        <v>3201</v>
      </c>
      <c r="E1148" s="197" t="str">
        <f t="array" ref="E1148">XLOOKUP(C1148,ICSE!A:A,ICSE!Z:Z,,0,1)</f>
        <v>Publicly available (1)</v>
      </c>
      <c r="F1148" s="198" t="s">
        <v>20</v>
      </c>
      <c r="G1148" s="163" t="str">
        <f t="array" ref="G1148">IF(B1148="ICSE",IF(COUNTIFS(B:B,B1148,C:C,C1148)=XLOOKUP(C1148,ICSE!A:A,ICSE!AA:AA,"ERROR",0,1),"OK","ERROR"),IF(B1148="FSE",IF(COUNTIFS(B:B,B1148,C:C,C1148)=XLOOKUP(C1148,FSE!A:A,FSE!AA:AA,"ERROR",0,1),"OK","ERROR")))</f>
        <v>OK</v>
      </c>
      <c r="H1148" s="199">
        <f t="shared" ref="H1148:O1148" si="5817">countif($D1148,"*"&amp;H$2&amp;"*")</f>
        <v>0</v>
      </c>
      <c r="I1148" s="200">
        <f t="shared" si="5817"/>
        <v>0</v>
      </c>
      <c r="J1148" s="200">
        <f t="shared" si="5817"/>
        <v>0</v>
      </c>
      <c r="K1148" s="200">
        <f t="shared" si="5817"/>
        <v>0</v>
      </c>
      <c r="L1148" s="200">
        <f t="shared" si="5817"/>
        <v>0</v>
      </c>
      <c r="M1148" s="200">
        <f t="shared" si="5817"/>
        <v>0</v>
      </c>
      <c r="N1148" s="200">
        <f t="shared" si="5817"/>
        <v>0</v>
      </c>
      <c r="O1148" s="200">
        <f t="shared" si="5817"/>
        <v>0</v>
      </c>
      <c r="P1148" s="200">
        <f t="shared" si="9"/>
        <v>1</v>
      </c>
      <c r="Q1148" s="200">
        <f t="shared" ref="Q1148:AC1148" si="5818">countif($D1148,"*"&amp;Q$2&amp;"*")</f>
        <v>0</v>
      </c>
      <c r="R1148" s="200">
        <f t="shared" si="5818"/>
        <v>0</v>
      </c>
      <c r="S1148" s="200">
        <f t="shared" si="5818"/>
        <v>0</v>
      </c>
      <c r="T1148" s="200">
        <f t="shared" si="5818"/>
        <v>0</v>
      </c>
      <c r="U1148" s="200">
        <f t="shared" si="5818"/>
        <v>0</v>
      </c>
      <c r="V1148" s="200">
        <f t="shared" si="5818"/>
        <v>0</v>
      </c>
      <c r="W1148" s="200">
        <f t="shared" si="5818"/>
        <v>0</v>
      </c>
      <c r="X1148" s="200">
        <f t="shared" si="5818"/>
        <v>0</v>
      </c>
      <c r="Y1148" s="200">
        <f t="shared" si="5818"/>
        <v>0</v>
      </c>
      <c r="Z1148" s="200">
        <f t="shared" si="5818"/>
        <v>0</v>
      </c>
      <c r="AA1148" s="200">
        <f t="shared" si="5818"/>
        <v>0</v>
      </c>
      <c r="AB1148" s="200">
        <f t="shared" si="5818"/>
        <v>0</v>
      </c>
      <c r="AC1148" s="200">
        <f t="shared" si="5818"/>
        <v>0</v>
      </c>
      <c r="AD1148" s="200">
        <f t="shared" si="11"/>
        <v>0</v>
      </c>
      <c r="AE1148" s="200">
        <f t="shared" ref="AE1148:AG1148" si="5819">countif($D1148,"*"&amp;AE$2&amp;"*")</f>
        <v>0</v>
      </c>
      <c r="AF1148" s="200">
        <f t="shared" si="5819"/>
        <v>0</v>
      </c>
      <c r="AG1148" s="200">
        <f t="shared" si="5819"/>
        <v>0</v>
      </c>
      <c r="AH1148" s="171">
        <f t="shared" si="13"/>
        <v>0</v>
      </c>
      <c r="AI1148" s="200">
        <f t="shared" si="14"/>
        <v>0</v>
      </c>
      <c r="AJ1148" s="200">
        <f t="shared" si="5594"/>
        <v>0</v>
      </c>
      <c r="AK1148" s="201">
        <f t="shared" ref="AK1148:AS1148" si="5820">countif($D1148,"*"&amp;AK$2&amp;"*")</f>
        <v>0</v>
      </c>
      <c r="AL1148" s="201">
        <f t="shared" si="5820"/>
        <v>0</v>
      </c>
      <c r="AM1148" s="201">
        <f t="shared" si="5820"/>
        <v>0</v>
      </c>
      <c r="AN1148" s="201">
        <f t="shared" si="5820"/>
        <v>0</v>
      </c>
      <c r="AO1148" s="201">
        <f t="shared" si="5820"/>
        <v>0</v>
      </c>
      <c r="AP1148" s="201">
        <f t="shared" si="5820"/>
        <v>0</v>
      </c>
      <c r="AQ1148" s="201">
        <f t="shared" si="5820"/>
        <v>0</v>
      </c>
      <c r="AR1148" s="200">
        <f t="shared" si="5820"/>
        <v>0</v>
      </c>
      <c r="AS1148" s="200">
        <f t="shared" si="5820"/>
        <v>0</v>
      </c>
      <c r="AT1148" s="173">
        <v>0.0</v>
      </c>
      <c r="AU1148" s="200">
        <f t="shared" ref="AU1148:AX1148" si="5821">countif($D1148,"*"&amp;AU$2&amp;"*")</f>
        <v>0</v>
      </c>
      <c r="AV1148" s="200">
        <f t="shared" si="5821"/>
        <v>1</v>
      </c>
      <c r="AW1148" s="200">
        <f t="shared" si="5821"/>
        <v>0</v>
      </c>
      <c r="AX1148" s="200">
        <f t="shared" si="5821"/>
        <v>0</v>
      </c>
      <c r="AY1148" s="202">
        <v>0.0</v>
      </c>
      <c r="AZ1148" s="200"/>
      <c r="BA1148" s="171" t="str">
        <f t="shared" si="18"/>
        <v/>
      </c>
      <c r="BB1148" s="171" t="str">
        <f t="shared" si="19"/>
        <v>Code</v>
      </c>
      <c r="BC1148" s="171" t="str">
        <f t="shared" si="20"/>
        <v/>
      </c>
      <c r="BD1148" s="171" t="str">
        <f t="shared" si="21"/>
        <v/>
      </c>
      <c r="BE1148" s="171" t="str">
        <f t="shared" si="22"/>
        <v/>
      </c>
      <c r="BF1148" s="171" t="str">
        <f t="shared" si="23"/>
        <v>Code</v>
      </c>
    </row>
    <row r="1149">
      <c r="A1149" s="171">
        <f t="array" ref="A1149">XLOOKUP(C1149,ICSE!A:A,ICSE!C:C,,2,1)</f>
        <v>2023</v>
      </c>
      <c r="B1149" s="171" t="s">
        <v>5675</v>
      </c>
      <c r="C1149" s="160">
        <v>2167.0</v>
      </c>
      <c r="D1149" s="161" t="s">
        <v>3204</v>
      </c>
      <c r="E1149" s="197" t="str">
        <f t="array" ref="E1149">XLOOKUP(C1149,ICSE!A:A,ICSE!Z:Z,,0,1)</f>
        <v>Publicly available (1)</v>
      </c>
      <c r="F1149" s="198" t="s">
        <v>20</v>
      </c>
      <c r="G1149" s="163" t="str">
        <f t="array" ref="G1149">IF(B1149="ICSE",IF(COUNTIFS(B:B,B1149,C:C,C1149)=XLOOKUP(C1149,ICSE!A:A,ICSE!AA:AA,"ERROR",0,1),"OK","ERROR"),IF(B1149="FSE",IF(COUNTIFS(B:B,B1149,C:C,C1149)=XLOOKUP(C1149,FSE!A:A,FSE!AA:AA,"ERROR",0,1),"OK","ERROR")))</f>
        <v>OK</v>
      </c>
      <c r="H1149" s="199">
        <f t="shared" ref="H1149:O1149" si="5822">countif($D1149,"*"&amp;H$2&amp;"*")</f>
        <v>0</v>
      </c>
      <c r="I1149" s="200">
        <f t="shared" si="5822"/>
        <v>1</v>
      </c>
      <c r="J1149" s="200">
        <f t="shared" si="5822"/>
        <v>0</v>
      </c>
      <c r="K1149" s="200">
        <f t="shared" si="5822"/>
        <v>0</v>
      </c>
      <c r="L1149" s="200">
        <f t="shared" si="5822"/>
        <v>0</v>
      </c>
      <c r="M1149" s="200">
        <f t="shared" si="5822"/>
        <v>0</v>
      </c>
      <c r="N1149" s="200">
        <f t="shared" si="5822"/>
        <v>0</v>
      </c>
      <c r="O1149" s="200">
        <f t="shared" si="5822"/>
        <v>0</v>
      </c>
      <c r="P1149" s="200">
        <f t="shared" si="9"/>
        <v>0</v>
      </c>
      <c r="Q1149" s="200">
        <f t="shared" ref="Q1149:AC1149" si="5823">countif($D1149,"*"&amp;Q$2&amp;"*")</f>
        <v>0</v>
      </c>
      <c r="R1149" s="200">
        <f t="shared" si="5823"/>
        <v>0</v>
      </c>
      <c r="S1149" s="200">
        <f t="shared" si="5823"/>
        <v>0</v>
      </c>
      <c r="T1149" s="200">
        <f t="shared" si="5823"/>
        <v>0</v>
      </c>
      <c r="U1149" s="200">
        <f t="shared" si="5823"/>
        <v>0</v>
      </c>
      <c r="V1149" s="200">
        <f t="shared" si="5823"/>
        <v>0</v>
      </c>
      <c r="W1149" s="200">
        <f t="shared" si="5823"/>
        <v>0</v>
      </c>
      <c r="X1149" s="200">
        <f t="shared" si="5823"/>
        <v>0</v>
      </c>
      <c r="Y1149" s="200">
        <f t="shared" si="5823"/>
        <v>0</v>
      </c>
      <c r="Z1149" s="200">
        <f t="shared" si="5823"/>
        <v>0</v>
      </c>
      <c r="AA1149" s="200">
        <f t="shared" si="5823"/>
        <v>0</v>
      </c>
      <c r="AB1149" s="200">
        <f t="shared" si="5823"/>
        <v>0</v>
      </c>
      <c r="AC1149" s="200">
        <f t="shared" si="5823"/>
        <v>0</v>
      </c>
      <c r="AD1149" s="200">
        <f t="shared" si="11"/>
        <v>0</v>
      </c>
      <c r="AE1149" s="200">
        <f t="shared" ref="AE1149:AG1149" si="5824">countif($D1149,"*"&amp;AE$2&amp;"*")</f>
        <v>0</v>
      </c>
      <c r="AF1149" s="200">
        <f t="shared" si="5824"/>
        <v>0</v>
      </c>
      <c r="AG1149" s="200">
        <f t="shared" si="5824"/>
        <v>0</v>
      </c>
      <c r="AH1149" s="171">
        <f t="shared" si="13"/>
        <v>0</v>
      </c>
      <c r="AI1149" s="200">
        <f t="shared" si="14"/>
        <v>1</v>
      </c>
      <c r="AJ1149" s="200">
        <f t="shared" si="5594"/>
        <v>0</v>
      </c>
      <c r="AK1149" s="201">
        <f t="shared" ref="AK1149:AS1149" si="5825">countif($D1149,"*"&amp;AK$2&amp;"*")</f>
        <v>0</v>
      </c>
      <c r="AL1149" s="201">
        <f t="shared" si="5825"/>
        <v>0</v>
      </c>
      <c r="AM1149" s="201">
        <f t="shared" si="5825"/>
        <v>0</v>
      </c>
      <c r="AN1149" s="201">
        <f t="shared" si="5825"/>
        <v>0</v>
      </c>
      <c r="AO1149" s="201">
        <f t="shared" si="5825"/>
        <v>0</v>
      </c>
      <c r="AP1149" s="201">
        <f t="shared" si="5825"/>
        <v>0</v>
      </c>
      <c r="AQ1149" s="201">
        <f t="shared" si="5825"/>
        <v>0</v>
      </c>
      <c r="AR1149" s="200">
        <f t="shared" si="5825"/>
        <v>0</v>
      </c>
      <c r="AS1149" s="200">
        <f t="shared" si="5825"/>
        <v>0</v>
      </c>
      <c r="AT1149" s="173">
        <v>0.0</v>
      </c>
      <c r="AU1149" s="200">
        <f t="shared" ref="AU1149:AX1149" si="5826">countif($D1149,"*"&amp;AU$2&amp;"*")</f>
        <v>0</v>
      </c>
      <c r="AV1149" s="200">
        <f t="shared" si="5826"/>
        <v>0</v>
      </c>
      <c r="AW1149" s="200">
        <f t="shared" si="5826"/>
        <v>0</v>
      </c>
      <c r="AX1149" s="200">
        <f t="shared" si="5826"/>
        <v>1</v>
      </c>
      <c r="AY1149" s="202">
        <v>0.0</v>
      </c>
      <c r="AZ1149" s="200"/>
      <c r="BA1149" s="171" t="str">
        <f t="shared" si="18"/>
        <v>Archival</v>
      </c>
      <c r="BB1149" s="171" t="str">
        <f t="shared" si="19"/>
        <v/>
      </c>
      <c r="BC1149" s="171" t="str">
        <f t="shared" si="20"/>
        <v/>
      </c>
      <c r="BD1149" s="171" t="str">
        <f t="shared" si="21"/>
        <v/>
      </c>
      <c r="BE1149" s="171" t="str">
        <f t="shared" si="22"/>
        <v/>
      </c>
      <c r="BF1149" s="171" t="str">
        <f t="shared" si="23"/>
        <v>Archival</v>
      </c>
    </row>
    <row r="1150">
      <c r="A1150" s="171">
        <f t="array" ref="A1150">XLOOKUP(C1150,ICSE!A:A,ICSE!C:C,,2,1)</f>
        <v>2023</v>
      </c>
      <c r="B1150" s="171" t="s">
        <v>5675</v>
      </c>
      <c r="C1150" s="160">
        <v>2168.0</v>
      </c>
      <c r="D1150" s="161" t="s">
        <v>6143</v>
      </c>
      <c r="E1150" s="197" t="str">
        <f t="array" ref="E1150">XLOOKUP(C1150,ICSE!A:A,ICSE!Z:Z,,0,1)</f>
        <v>Publicly available (2)</v>
      </c>
      <c r="F1150" s="198" t="s">
        <v>20</v>
      </c>
      <c r="G1150" s="163" t="str">
        <f t="array" ref="G1150">IF(B1150="ICSE",IF(COUNTIFS(B:B,B1150,C:C,C1150)=XLOOKUP(C1150,ICSE!A:A,ICSE!AA:AA,"ERROR",0,1),"OK","ERROR"),IF(B1150="FSE",IF(COUNTIFS(B:B,B1150,C:C,C1150)=XLOOKUP(C1150,FSE!A:A,FSE!AA:AA,"ERROR",0,1),"OK","ERROR")))</f>
        <v>OK</v>
      </c>
      <c r="H1150" s="199">
        <f t="shared" ref="H1150:O1150" si="5827">countif($D1150,"*"&amp;H$2&amp;"*")</f>
        <v>0</v>
      </c>
      <c r="I1150" s="200">
        <f t="shared" si="5827"/>
        <v>0</v>
      </c>
      <c r="J1150" s="200">
        <f t="shared" si="5827"/>
        <v>0</v>
      </c>
      <c r="K1150" s="200">
        <f t="shared" si="5827"/>
        <v>0</v>
      </c>
      <c r="L1150" s="200">
        <f t="shared" si="5827"/>
        <v>0</v>
      </c>
      <c r="M1150" s="200">
        <f t="shared" si="5827"/>
        <v>0</v>
      </c>
      <c r="N1150" s="200">
        <f t="shared" si="5827"/>
        <v>0</v>
      </c>
      <c r="O1150" s="200">
        <f t="shared" si="5827"/>
        <v>0</v>
      </c>
      <c r="P1150" s="200">
        <f t="shared" si="9"/>
        <v>1</v>
      </c>
      <c r="Q1150" s="200">
        <f t="shared" ref="Q1150:AC1150" si="5828">countif($D1150,"*"&amp;Q$2&amp;"*")</f>
        <v>0</v>
      </c>
      <c r="R1150" s="200">
        <f t="shared" si="5828"/>
        <v>0</v>
      </c>
      <c r="S1150" s="200">
        <f t="shared" si="5828"/>
        <v>0</v>
      </c>
      <c r="T1150" s="200">
        <f t="shared" si="5828"/>
        <v>0</v>
      </c>
      <c r="U1150" s="200">
        <f t="shared" si="5828"/>
        <v>0</v>
      </c>
      <c r="V1150" s="200">
        <f t="shared" si="5828"/>
        <v>0</v>
      </c>
      <c r="W1150" s="200">
        <f t="shared" si="5828"/>
        <v>0</v>
      </c>
      <c r="X1150" s="200">
        <f t="shared" si="5828"/>
        <v>0</v>
      </c>
      <c r="Y1150" s="200">
        <f t="shared" si="5828"/>
        <v>0</v>
      </c>
      <c r="Z1150" s="200">
        <f t="shared" si="5828"/>
        <v>0</v>
      </c>
      <c r="AA1150" s="200">
        <f t="shared" si="5828"/>
        <v>0</v>
      </c>
      <c r="AB1150" s="200">
        <f t="shared" si="5828"/>
        <v>0</v>
      </c>
      <c r="AC1150" s="200">
        <f t="shared" si="5828"/>
        <v>0</v>
      </c>
      <c r="AD1150" s="200">
        <f t="shared" si="11"/>
        <v>0</v>
      </c>
      <c r="AE1150" s="200">
        <f t="shared" ref="AE1150:AG1150" si="5829">countif($D1150,"*"&amp;AE$2&amp;"*")</f>
        <v>0</v>
      </c>
      <c r="AF1150" s="200">
        <f t="shared" si="5829"/>
        <v>0</v>
      </c>
      <c r="AG1150" s="200">
        <f t="shared" si="5829"/>
        <v>0</v>
      </c>
      <c r="AH1150" s="171">
        <f t="shared" si="13"/>
        <v>0</v>
      </c>
      <c r="AI1150" s="200">
        <f t="shared" si="14"/>
        <v>0</v>
      </c>
      <c r="AJ1150" s="200">
        <f t="shared" si="5594"/>
        <v>0</v>
      </c>
      <c r="AK1150" s="201">
        <f t="shared" ref="AK1150:AS1150" si="5830">countif($D1150,"*"&amp;AK$2&amp;"*")</f>
        <v>0</v>
      </c>
      <c r="AL1150" s="201">
        <f t="shared" si="5830"/>
        <v>0</v>
      </c>
      <c r="AM1150" s="201">
        <f t="shared" si="5830"/>
        <v>0</v>
      </c>
      <c r="AN1150" s="201">
        <f t="shared" si="5830"/>
        <v>0</v>
      </c>
      <c r="AO1150" s="201">
        <f t="shared" si="5830"/>
        <v>0</v>
      </c>
      <c r="AP1150" s="201">
        <f t="shared" si="5830"/>
        <v>0</v>
      </c>
      <c r="AQ1150" s="201">
        <f t="shared" si="5830"/>
        <v>0</v>
      </c>
      <c r="AR1150" s="200">
        <f t="shared" si="5830"/>
        <v>0</v>
      </c>
      <c r="AS1150" s="200">
        <f t="shared" si="5830"/>
        <v>0</v>
      </c>
      <c r="AT1150" s="173">
        <v>0.0</v>
      </c>
      <c r="AU1150" s="200">
        <f t="shared" ref="AU1150:AX1150" si="5831">countif($D1150,"*"&amp;AU$2&amp;"*")</f>
        <v>0</v>
      </c>
      <c r="AV1150" s="200">
        <f t="shared" si="5831"/>
        <v>1</v>
      </c>
      <c r="AW1150" s="200">
        <f t="shared" si="5831"/>
        <v>0</v>
      </c>
      <c r="AX1150" s="200">
        <f t="shared" si="5831"/>
        <v>0</v>
      </c>
      <c r="AY1150" s="202">
        <v>0.0</v>
      </c>
      <c r="AZ1150" s="200"/>
      <c r="BA1150" s="171" t="str">
        <f t="shared" si="18"/>
        <v/>
      </c>
      <c r="BB1150" s="171" t="str">
        <f t="shared" si="19"/>
        <v>Code</v>
      </c>
      <c r="BC1150" s="171" t="str">
        <f t="shared" si="20"/>
        <v/>
      </c>
      <c r="BD1150" s="171" t="str">
        <f t="shared" si="21"/>
        <v/>
      </c>
      <c r="BE1150" s="171" t="str">
        <f t="shared" si="22"/>
        <v/>
      </c>
      <c r="BF1150" s="171" t="str">
        <f t="shared" si="23"/>
        <v>Code</v>
      </c>
    </row>
    <row r="1151">
      <c r="A1151" s="171">
        <f t="array" ref="A1151">XLOOKUP(C1151,ICSE!A:A,ICSE!C:C,,2,1)</f>
        <v>2023</v>
      </c>
      <c r="B1151" s="171" t="s">
        <v>5675</v>
      </c>
      <c r="C1151" s="160">
        <v>2168.0</v>
      </c>
      <c r="D1151" s="161" t="s">
        <v>6144</v>
      </c>
      <c r="E1151" s="197" t="str">
        <f t="array" ref="E1151">XLOOKUP(C1151,ICSE!A:A,ICSE!Z:Z,,0,1)</f>
        <v>Publicly available (2)</v>
      </c>
      <c r="F1151" s="198" t="s">
        <v>20</v>
      </c>
      <c r="G1151" s="163" t="str">
        <f t="array" ref="G1151">IF(B1151="ICSE",IF(COUNTIFS(B:B,B1151,C:C,C1151)=XLOOKUP(C1151,ICSE!A:A,ICSE!AA:AA,"ERROR",0,1),"OK","ERROR"),IF(B1151="FSE",IF(COUNTIFS(B:B,B1151,C:C,C1151)=XLOOKUP(C1151,FSE!A:A,FSE!AA:AA,"ERROR",0,1),"OK","ERROR")))</f>
        <v>OK</v>
      </c>
      <c r="H1151" s="199">
        <f t="shared" ref="H1151:O1151" si="5832">countif($D1151,"*"&amp;H$2&amp;"*")</f>
        <v>0</v>
      </c>
      <c r="I1151" s="200">
        <f t="shared" si="5832"/>
        <v>0</v>
      </c>
      <c r="J1151" s="200">
        <f t="shared" si="5832"/>
        <v>1</v>
      </c>
      <c r="K1151" s="200">
        <f t="shared" si="5832"/>
        <v>0</v>
      </c>
      <c r="L1151" s="200">
        <f t="shared" si="5832"/>
        <v>0</v>
      </c>
      <c r="M1151" s="200">
        <f t="shared" si="5832"/>
        <v>0</v>
      </c>
      <c r="N1151" s="200">
        <f t="shared" si="5832"/>
        <v>0</v>
      </c>
      <c r="O1151" s="200">
        <f t="shared" si="5832"/>
        <v>0</v>
      </c>
      <c r="P1151" s="200">
        <f t="shared" si="9"/>
        <v>0</v>
      </c>
      <c r="Q1151" s="200">
        <f t="shared" ref="Q1151:AC1151" si="5833">countif($D1151,"*"&amp;Q$2&amp;"*")</f>
        <v>0</v>
      </c>
      <c r="R1151" s="200">
        <f t="shared" si="5833"/>
        <v>0</v>
      </c>
      <c r="S1151" s="200">
        <f t="shared" si="5833"/>
        <v>0</v>
      </c>
      <c r="T1151" s="200">
        <f t="shared" si="5833"/>
        <v>0</v>
      </c>
      <c r="U1151" s="200">
        <f t="shared" si="5833"/>
        <v>0</v>
      </c>
      <c r="V1151" s="200">
        <f t="shared" si="5833"/>
        <v>0</v>
      </c>
      <c r="W1151" s="200">
        <f t="shared" si="5833"/>
        <v>0</v>
      </c>
      <c r="X1151" s="200">
        <f t="shared" si="5833"/>
        <v>0</v>
      </c>
      <c r="Y1151" s="200">
        <f t="shared" si="5833"/>
        <v>0</v>
      </c>
      <c r="Z1151" s="200">
        <f t="shared" si="5833"/>
        <v>0</v>
      </c>
      <c r="AA1151" s="200">
        <f t="shared" si="5833"/>
        <v>0</v>
      </c>
      <c r="AB1151" s="200">
        <f t="shared" si="5833"/>
        <v>0</v>
      </c>
      <c r="AC1151" s="200">
        <f t="shared" si="5833"/>
        <v>0</v>
      </c>
      <c r="AD1151" s="200">
        <f t="shared" si="11"/>
        <v>0</v>
      </c>
      <c r="AE1151" s="200">
        <f t="shared" ref="AE1151:AG1151" si="5834">countif($D1151,"*"&amp;AE$2&amp;"*")</f>
        <v>0</v>
      </c>
      <c r="AF1151" s="200">
        <f t="shared" si="5834"/>
        <v>0</v>
      </c>
      <c r="AG1151" s="200">
        <f t="shared" si="5834"/>
        <v>0</v>
      </c>
      <c r="AH1151" s="171">
        <f t="shared" si="13"/>
        <v>0</v>
      </c>
      <c r="AI1151" s="200">
        <f t="shared" si="14"/>
        <v>1</v>
      </c>
      <c r="AJ1151" s="200">
        <f t="shared" si="5594"/>
        <v>0</v>
      </c>
      <c r="AK1151" s="201">
        <f t="shared" ref="AK1151:AS1151" si="5835">countif($D1151,"*"&amp;AK$2&amp;"*")</f>
        <v>0</v>
      </c>
      <c r="AL1151" s="201">
        <f t="shared" si="5835"/>
        <v>0</v>
      </c>
      <c r="AM1151" s="201">
        <f t="shared" si="5835"/>
        <v>0</v>
      </c>
      <c r="AN1151" s="201">
        <f t="shared" si="5835"/>
        <v>0</v>
      </c>
      <c r="AO1151" s="201">
        <f t="shared" si="5835"/>
        <v>0</v>
      </c>
      <c r="AP1151" s="201">
        <f t="shared" si="5835"/>
        <v>0</v>
      </c>
      <c r="AQ1151" s="201">
        <f t="shared" si="5835"/>
        <v>0</v>
      </c>
      <c r="AR1151" s="200">
        <f t="shared" si="5835"/>
        <v>0</v>
      </c>
      <c r="AS1151" s="200">
        <f t="shared" si="5835"/>
        <v>0</v>
      </c>
      <c r="AT1151" s="173">
        <v>0.0</v>
      </c>
      <c r="AU1151" s="200">
        <f t="shared" ref="AU1151:AX1151" si="5836">countif($D1151,"*"&amp;AU$2&amp;"*")</f>
        <v>0</v>
      </c>
      <c r="AV1151" s="200">
        <f t="shared" si="5836"/>
        <v>0</v>
      </c>
      <c r="AW1151" s="200">
        <f t="shared" si="5836"/>
        <v>0</v>
      </c>
      <c r="AX1151" s="200">
        <f t="shared" si="5836"/>
        <v>0</v>
      </c>
      <c r="AY1151" s="204">
        <v>1.0</v>
      </c>
      <c r="AZ1151" s="200"/>
      <c r="BA1151" s="171" t="str">
        <f t="shared" si="18"/>
        <v>Archival</v>
      </c>
      <c r="BB1151" s="171" t="str">
        <f t="shared" si="19"/>
        <v/>
      </c>
      <c r="BC1151" s="171" t="str">
        <f t="shared" si="20"/>
        <v/>
      </c>
      <c r="BD1151" s="171" t="str">
        <f t="shared" si="21"/>
        <v/>
      </c>
      <c r="BE1151" s="171" t="str">
        <f t="shared" si="22"/>
        <v/>
      </c>
      <c r="BF1151" s="171" t="str">
        <f t="shared" si="23"/>
        <v>Archival</v>
      </c>
    </row>
    <row r="1152">
      <c r="A1152" s="171">
        <f t="array" ref="A1152">XLOOKUP(C1152,ICSE!A:A,ICSE!C:C,,2,1)</f>
        <v>2023</v>
      </c>
      <c r="B1152" s="171" t="s">
        <v>5675</v>
      </c>
      <c r="C1152" s="160">
        <v>2169.0</v>
      </c>
      <c r="D1152" s="161" t="s">
        <v>3210</v>
      </c>
      <c r="E1152" s="197" t="str">
        <f t="array" ref="E1152">XLOOKUP(C1152,ICSE!A:A,ICSE!Z:Z,,0,1)</f>
        <v>Publicly available (1)</v>
      </c>
      <c r="F1152" s="198" t="s">
        <v>20</v>
      </c>
      <c r="G1152" s="163" t="str">
        <f t="array" ref="G1152">IF(B1152="ICSE",IF(COUNTIFS(B:B,B1152,C:C,C1152)=XLOOKUP(C1152,ICSE!A:A,ICSE!AA:AA,"ERROR",0,1),"OK","ERROR"),IF(B1152="FSE",IF(COUNTIFS(B:B,B1152,C:C,C1152)=XLOOKUP(C1152,FSE!A:A,FSE!AA:AA,"ERROR",0,1),"OK","ERROR")))</f>
        <v>OK</v>
      </c>
      <c r="H1152" s="199">
        <f t="shared" ref="H1152:O1152" si="5837">countif($D1152,"*"&amp;H$2&amp;"*")</f>
        <v>1</v>
      </c>
      <c r="I1152" s="200">
        <f t="shared" si="5837"/>
        <v>0</v>
      </c>
      <c r="J1152" s="200">
        <f t="shared" si="5837"/>
        <v>0</v>
      </c>
      <c r="K1152" s="200">
        <f t="shared" si="5837"/>
        <v>0</v>
      </c>
      <c r="L1152" s="200">
        <f t="shared" si="5837"/>
        <v>0</v>
      </c>
      <c r="M1152" s="200">
        <f t="shared" si="5837"/>
        <v>0</v>
      </c>
      <c r="N1152" s="200">
        <f t="shared" si="5837"/>
        <v>0</v>
      </c>
      <c r="O1152" s="200">
        <f t="shared" si="5837"/>
        <v>0</v>
      </c>
      <c r="P1152" s="200">
        <f t="shared" si="9"/>
        <v>0</v>
      </c>
      <c r="Q1152" s="200">
        <f t="shared" ref="Q1152:AC1152" si="5838">countif($D1152,"*"&amp;Q$2&amp;"*")</f>
        <v>0</v>
      </c>
      <c r="R1152" s="200">
        <f t="shared" si="5838"/>
        <v>0</v>
      </c>
      <c r="S1152" s="200">
        <f t="shared" si="5838"/>
        <v>0</v>
      </c>
      <c r="T1152" s="200">
        <f t="shared" si="5838"/>
        <v>0</v>
      </c>
      <c r="U1152" s="200">
        <f t="shared" si="5838"/>
        <v>0</v>
      </c>
      <c r="V1152" s="200">
        <f t="shared" si="5838"/>
        <v>0</v>
      </c>
      <c r="W1152" s="200">
        <f t="shared" si="5838"/>
        <v>0</v>
      </c>
      <c r="X1152" s="200">
        <f t="shared" si="5838"/>
        <v>0</v>
      </c>
      <c r="Y1152" s="200">
        <f t="shared" si="5838"/>
        <v>0</v>
      </c>
      <c r="Z1152" s="200">
        <f t="shared" si="5838"/>
        <v>0</v>
      </c>
      <c r="AA1152" s="200">
        <f t="shared" si="5838"/>
        <v>0</v>
      </c>
      <c r="AB1152" s="200">
        <f t="shared" si="5838"/>
        <v>0</v>
      </c>
      <c r="AC1152" s="200">
        <f t="shared" si="5838"/>
        <v>0</v>
      </c>
      <c r="AD1152" s="200">
        <f t="shared" si="11"/>
        <v>0</v>
      </c>
      <c r="AE1152" s="200">
        <f t="shared" ref="AE1152:AG1152" si="5839">countif($D1152,"*"&amp;AE$2&amp;"*")</f>
        <v>0</v>
      </c>
      <c r="AF1152" s="200">
        <f t="shared" si="5839"/>
        <v>0</v>
      </c>
      <c r="AG1152" s="200">
        <f t="shared" si="5839"/>
        <v>0</v>
      </c>
      <c r="AH1152" s="171">
        <f t="shared" si="13"/>
        <v>0</v>
      </c>
      <c r="AI1152" s="200">
        <f t="shared" si="14"/>
        <v>1</v>
      </c>
      <c r="AJ1152" s="200">
        <f t="shared" si="5594"/>
        <v>0</v>
      </c>
      <c r="AK1152" s="201">
        <f t="shared" ref="AK1152:AS1152" si="5840">countif($D1152,"*"&amp;AK$2&amp;"*")</f>
        <v>0</v>
      </c>
      <c r="AL1152" s="201">
        <f t="shared" si="5840"/>
        <v>0</v>
      </c>
      <c r="AM1152" s="201">
        <f t="shared" si="5840"/>
        <v>0</v>
      </c>
      <c r="AN1152" s="201">
        <f t="shared" si="5840"/>
        <v>0</v>
      </c>
      <c r="AO1152" s="201">
        <f t="shared" si="5840"/>
        <v>0</v>
      </c>
      <c r="AP1152" s="201">
        <f t="shared" si="5840"/>
        <v>0</v>
      </c>
      <c r="AQ1152" s="201">
        <f t="shared" si="5840"/>
        <v>0</v>
      </c>
      <c r="AR1152" s="200">
        <f t="shared" si="5840"/>
        <v>0</v>
      </c>
      <c r="AS1152" s="200">
        <f t="shared" si="5840"/>
        <v>0</v>
      </c>
      <c r="AT1152" s="173">
        <v>0.0</v>
      </c>
      <c r="AU1152" s="200">
        <f t="shared" ref="AU1152:AX1152" si="5841">countif($D1152,"*"&amp;AU$2&amp;"*")</f>
        <v>0</v>
      </c>
      <c r="AV1152" s="200">
        <f t="shared" si="5841"/>
        <v>0</v>
      </c>
      <c r="AW1152" s="200">
        <f t="shared" si="5841"/>
        <v>0</v>
      </c>
      <c r="AX1152" s="200">
        <f t="shared" si="5841"/>
        <v>0</v>
      </c>
      <c r="AY1152" s="204">
        <v>1.0</v>
      </c>
      <c r="AZ1152" s="200"/>
      <c r="BA1152" s="171" t="str">
        <f t="shared" si="18"/>
        <v>Archival</v>
      </c>
      <c r="BB1152" s="171" t="str">
        <f t="shared" si="19"/>
        <v/>
      </c>
      <c r="BC1152" s="171" t="str">
        <f t="shared" si="20"/>
        <v/>
      </c>
      <c r="BD1152" s="171" t="str">
        <f t="shared" si="21"/>
        <v/>
      </c>
      <c r="BE1152" s="171" t="str">
        <f t="shared" si="22"/>
        <v/>
      </c>
      <c r="BF1152" s="171" t="str">
        <f t="shared" si="23"/>
        <v>Archival</v>
      </c>
    </row>
    <row r="1153">
      <c r="A1153" s="171">
        <f t="array" ref="A1153">XLOOKUP(C1153,ICSE!A:A,ICSE!C:C,,2,1)</f>
        <v>2023</v>
      </c>
      <c r="B1153" s="171" t="s">
        <v>5675</v>
      </c>
      <c r="C1153" s="160">
        <v>2170.0</v>
      </c>
      <c r="D1153" s="161" t="s">
        <v>3213</v>
      </c>
      <c r="E1153" s="197" t="str">
        <f t="array" ref="E1153">XLOOKUP(C1153,ICSE!A:A,ICSE!Z:Z,,0,1)</f>
        <v>Publicly available (1)</v>
      </c>
      <c r="F1153" s="198" t="s">
        <v>20</v>
      </c>
      <c r="G1153" s="163" t="str">
        <f t="array" ref="G1153">IF(B1153="ICSE",IF(COUNTIFS(B:B,B1153,C:C,C1153)=XLOOKUP(C1153,ICSE!A:A,ICSE!AA:AA,"ERROR",0,1),"OK","ERROR"),IF(B1153="FSE",IF(COUNTIFS(B:B,B1153,C:C,C1153)=XLOOKUP(C1153,FSE!A:A,FSE!AA:AA,"ERROR",0,1),"OK","ERROR")))</f>
        <v>OK</v>
      </c>
      <c r="H1153" s="199">
        <f t="shared" ref="H1153:O1153" si="5842">countif($D1153,"*"&amp;H$2&amp;"*")</f>
        <v>0</v>
      </c>
      <c r="I1153" s="200">
        <f t="shared" si="5842"/>
        <v>0</v>
      </c>
      <c r="J1153" s="200">
        <f t="shared" si="5842"/>
        <v>0</v>
      </c>
      <c r="K1153" s="200">
        <f t="shared" si="5842"/>
        <v>0</v>
      </c>
      <c r="L1153" s="200">
        <f t="shared" si="5842"/>
        <v>0</v>
      </c>
      <c r="M1153" s="200">
        <f t="shared" si="5842"/>
        <v>0</v>
      </c>
      <c r="N1153" s="200">
        <f t="shared" si="5842"/>
        <v>0</v>
      </c>
      <c r="O1153" s="200">
        <f t="shared" si="5842"/>
        <v>0</v>
      </c>
      <c r="P1153" s="200">
        <f t="shared" si="9"/>
        <v>1</v>
      </c>
      <c r="Q1153" s="200">
        <f t="shared" ref="Q1153:AC1153" si="5843">countif($D1153,"*"&amp;Q$2&amp;"*")</f>
        <v>0</v>
      </c>
      <c r="R1153" s="200">
        <f t="shared" si="5843"/>
        <v>0</v>
      </c>
      <c r="S1153" s="200">
        <f t="shared" si="5843"/>
        <v>0</v>
      </c>
      <c r="T1153" s="200">
        <f t="shared" si="5843"/>
        <v>0</v>
      </c>
      <c r="U1153" s="200">
        <f t="shared" si="5843"/>
        <v>0</v>
      </c>
      <c r="V1153" s="200">
        <f t="shared" si="5843"/>
        <v>0</v>
      </c>
      <c r="W1153" s="200">
        <f t="shared" si="5843"/>
        <v>0</v>
      </c>
      <c r="X1153" s="200">
        <f t="shared" si="5843"/>
        <v>0</v>
      </c>
      <c r="Y1153" s="200">
        <f t="shared" si="5843"/>
        <v>0</v>
      </c>
      <c r="Z1153" s="200">
        <f t="shared" si="5843"/>
        <v>0</v>
      </c>
      <c r="AA1153" s="200">
        <f t="shared" si="5843"/>
        <v>0</v>
      </c>
      <c r="AB1153" s="200">
        <f t="shared" si="5843"/>
        <v>0</v>
      </c>
      <c r="AC1153" s="200">
        <f t="shared" si="5843"/>
        <v>0</v>
      </c>
      <c r="AD1153" s="200">
        <f t="shared" si="11"/>
        <v>0</v>
      </c>
      <c r="AE1153" s="200">
        <f t="shared" ref="AE1153:AG1153" si="5844">countif($D1153,"*"&amp;AE$2&amp;"*")</f>
        <v>0</v>
      </c>
      <c r="AF1153" s="200">
        <f t="shared" si="5844"/>
        <v>0</v>
      </c>
      <c r="AG1153" s="200">
        <f t="shared" si="5844"/>
        <v>0</v>
      </c>
      <c r="AH1153" s="171">
        <f t="shared" si="13"/>
        <v>0</v>
      </c>
      <c r="AI1153" s="200">
        <f t="shared" si="14"/>
        <v>0</v>
      </c>
      <c r="AJ1153" s="200">
        <f t="shared" si="5594"/>
        <v>0</v>
      </c>
      <c r="AK1153" s="201">
        <f t="shared" ref="AK1153:AS1153" si="5845">countif($D1153,"*"&amp;AK$2&amp;"*")</f>
        <v>0</v>
      </c>
      <c r="AL1153" s="201">
        <f t="shared" si="5845"/>
        <v>0</v>
      </c>
      <c r="AM1153" s="201">
        <f t="shared" si="5845"/>
        <v>0</v>
      </c>
      <c r="AN1153" s="201">
        <f t="shared" si="5845"/>
        <v>0</v>
      </c>
      <c r="AO1153" s="201">
        <f t="shared" si="5845"/>
        <v>0</v>
      </c>
      <c r="AP1153" s="201">
        <f t="shared" si="5845"/>
        <v>0</v>
      </c>
      <c r="AQ1153" s="201">
        <f t="shared" si="5845"/>
        <v>0</v>
      </c>
      <c r="AR1153" s="200">
        <f t="shared" si="5845"/>
        <v>0</v>
      </c>
      <c r="AS1153" s="200">
        <f t="shared" si="5845"/>
        <v>0</v>
      </c>
      <c r="AT1153" s="173">
        <v>0.0</v>
      </c>
      <c r="AU1153" s="200">
        <f t="shared" ref="AU1153:AX1153" si="5846">countif($D1153,"*"&amp;AU$2&amp;"*")</f>
        <v>0</v>
      </c>
      <c r="AV1153" s="200">
        <f t="shared" si="5846"/>
        <v>1</v>
      </c>
      <c r="AW1153" s="200">
        <f t="shared" si="5846"/>
        <v>0</v>
      </c>
      <c r="AX1153" s="200">
        <f t="shared" si="5846"/>
        <v>0</v>
      </c>
      <c r="AY1153" s="202">
        <v>0.0</v>
      </c>
      <c r="AZ1153" s="200"/>
      <c r="BA1153" s="171" t="str">
        <f t="shared" si="18"/>
        <v/>
      </c>
      <c r="BB1153" s="171" t="str">
        <f t="shared" si="19"/>
        <v>Code</v>
      </c>
      <c r="BC1153" s="171" t="str">
        <f t="shared" si="20"/>
        <v/>
      </c>
      <c r="BD1153" s="171" t="str">
        <f t="shared" si="21"/>
        <v/>
      </c>
      <c r="BE1153" s="171" t="str">
        <f t="shared" si="22"/>
        <v/>
      </c>
      <c r="BF1153" s="171" t="str">
        <f t="shared" si="23"/>
        <v>Code</v>
      </c>
    </row>
    <row r="1154">
      <c r="A1154" s="171">
        <f t="array" ref="A1154">XLOOKUP(C1154,ICSE!A:A,ICSE!C:C,,2,1)</f>
        <v>2023</v>
      </c>
      <c r="B1154" s="171" t="s">
        <v>5675</v>
      </c>
      <c r="C1154" s="160">
        <v>2171.0</v>
      </c>
      <c r="D1154" s="161" t="s">
        <v>3216</v>
      </c>
      <c r="E1154" s="197" t="str">
        <f t="array" ref="E1154">XLOOKUP(C1154,ICSE!A:A,ICSE!Z:Z,,0,1)</f>
        <v>Publicly available (1)</v>
      </c>
      <c r="F1154" s="198" t="s">
        <v>20</v>
      </c>
      <c r="G1154" s="163" t="str">
        <f t="array" ref="G1154">IF(B1154="ICSE",IF(COUNTIFS(B:B,B1154,C:C,C1154)=XLOOKUP(C1154,ICSE!A:A,ICSE!AA:AA,"ERROR",0,1),"OK","ERROR"),IF(B1154="FSE",IF(COUNTIFS(B:B,B1154,C:C,C1154)=XLOOKUP(C1154,FSE!A:A,FSE!AA:AA,"ERROR",0,1),"OK","ERROR")))</f>
        <v>OK</v>
      </c>
      <c r="H1154" s="199">
        <f t="shared" ref="H1154:O1154" si="5847">countif($D1154,"*"&amp;H$2&amp;"*")</f>
        <v>1</v>
      </c>
      <c r="I1154" s="200">
        <f t="shared" si="5847"/>
        <v>0</v>
      </c>
      <c r="J1154" s="200">
        <f t="shared" si="5847"/>
        <v>0</v>
      </c>
      <c r="K1154" s="200">
        <f t="shared" si="5847"/>
        <v>0</v>
      </c>
      <c r="L1154" s="200">
        <f t="shared" si="5847"/>
        <v>0</v>
      </c>
      <c r="M1154" s="200">
        <f t="shared" si="5847"/>
        <v>0</v>
      </c>
      <c r="N1154" s="200">
        <f t="shared" si="5847"/>
        <v>0</v>
      </c>
      <c r="O1154" s="200">
        <f t="shared" si="5847"/>
        <v>0</v>
      </c>
      <c r="P1154" s="200">
        <f t="shared" si="9"/>
        <v>0</v>
      </c>
      <c r="Q1154" s="200">
        <f t="shared" ref="Q1154:AC1154" si="5848">countif($D1154,"*"&amp;Q$2&amp;"*")</f>
        <v>0</v>
      </c>
      <c r="R1154" s="200">
        <f t="shared" si="5848"/>
        <v>0</v>
      </c>
      <c r="S1154" s="200">
        <f t="shared" si="5848"/>
        <v>0</v>
      </c>
      <c r="T1154" s="200">
        <f t="shared" si="5848"/>
        <v>0</v>
      </c>
      <c r="U1154" s="200">
        <f t="shared" si="5848"/>
        <v>0</v>
      </c>
      <c r="V1154" s="200">
        <f t="shared" si="5848"/>
        <v>0</v>
      </c>
      <c r="W1154" s="200">
        <f t="shared" si="5848"/>
        <v>0</v>
      </c>
      <c r="X1154" s="200">
        <f t="shared" si="5848"/>
        <v>0</v>
      </c>
      <c r="Y1154" s="200">
        <f t="shared" si="5848"/>
        <v>0</v>
      </c>
      <c r="Z1154" s="200">
        <f t="shared" si="5848"/>
        <v>0</v>
      </c>
      <c r="AA1154" s="200">
        <f t="shared" si="5848"/>
        <v>0</v>
      </c>
      <c r="AB1154" s="200">
        <f t="shared" si="5848"/>
        <v>0</v>
      </c>
      <c r="AC1154" s="200">
        <f t="shared" si="5848"/>
        <v>0</v>
      </c>
      <c r="AD1154" s="200">
        <f t="shared" si="11"/>
        <v>0</v>
      </c>
      <c r="AE1154" s="200">
        <f t="shared" ref="AE1154:AG1154" si="5849">countif($D1154,"*"&amp;AE$2&amp;"*")</f>
        <v>0</v>
      </c>
      <c r="AF1154" s="200">
        <f t="shared" si="5849"/>
        <v>0</v>
      </c>
      <c r="AG1154" s="200">
        <f t="shared" si="5849"/>
        <v>0</v>
      </c>
      <c r="AH1154" s="171">
        <f t="shared" si="13"/>
        <v>0</v>
      </c>
      <c r="AI1154" s="200">
        <f t="shared" si="14"/>
        <v>1</v>
      </c>
      <c r="AJ1154" s="200">
        <f t="shared" si="5594"/>
        <v>0</v>
      </c>
      <c r="AK1154" s="201">
        <f t="shared" ref="AK1154:AS1154" si="5850">countif($D1154,"*"&amp;AK$2&amp;"*")</f>
        <v>0</v>
      </c>
      <c r="AL1154" s="201">
        <f t="shared" si="5850"/>
        <v>0</v>
      </c>
      <c r="AM1154" s="201">
        <f t="shared" si="5850"/>
        <v>0</v>
      </c>
      <c r="AN1154" s="201">
        <f t="shared" si="5850"/>
        <v>0</v>
      </c>
      <c r="AO1154" s="201">
        <f t="shared" si="5850"/>
        <v>0</v>
      </c>
      <c r="AP1154" s="201">
        <f t="shared" si="5850"/>
        <v>0</v>
      </c>
      <c r="AQ1154" s="201">
        <f t="shared" si="5850"/>
        <v>0</v>
      </c>
      <c r="AR1154" s="200">
        <f t="shared" si="5850"/>
        <v>0</v>
      </c>
      <c r="AS1154" s="200">
        <f t="shared" si="5850"/>
        <v>0</v>
      </c>
      <c r="AT1154" s="173">
        <v>0.0</v>
      </c>
      <c r="AU1154" s="200">
        <f t="shared" ref="AU1154:AX1154" si="5851">countif($D1154,"*"&amp;AU$2&amp;"*")</f>
        <v>0</v>
      </c>
      <c r="AV1154" s="200">
        <f t="shared" si="5851"/>
        <v>0</v>
      </c>
      <c r="AW1154" s="200">
        <f t="shared" si="5851"/>
        <v>0</v>
      </c>
      <c r="AX1154" s="200">
        <f t="shared" si="5851"/>
        <v>1</v>
      </c>
      <c r="AY1154" s="202">
        <v>0.0</v>
      </c>
      <c r="AZ1154" s="200"/>
      <c r="BA1154" s="171" t="str">
        <f t="shared" si="18"/>
        <v>Archival</v>
      </c>
      <c r="BB1154" s="171" t="str">
        <f t="shared" si="19"/>
        <v/>
      </c>
      <c r="BC1154" s="171" t="str">
        <f t="shared" si="20"/>
        <v/>
      </c>
      <c r="BD1154" s="171" t="str">
        <f t="shared" si="21"/>
        <v/>
      </c>
      <c r="BE1154" s="171" t="str">
        <f t="shared" si="22"/>
        <v/>
      </c>
      <c r="BF1154" s="171" t="str">
        <f t="shared" si="23"/>
        <v>Archival</v>
      </c>
    </row>
    <row r="1155">
      <c r="A1155" s="171">
        <f t="array" ref="A1155">XLOOKUP(C1155,ICSE!A:A,ICSE!C:C,,2,1)</f>
        <v>2023</v>
      </c>
      <c r="B1155" s="171" t="s">
        <v>5675</v>
      </c>
      <c r="C1155" s="160">
        <v>2172.0</v>
      </c>
      <c r="D1155" s="161" t="s">
        <v>3220</v>
      </c>
      <c r="E1155" s="197" t="str">
        <f t="array" ref="E1155">XLOOKUP(C1155,ICSE!A:A,ICSE!Z:Z,,0,1)</f>
        <v>Publicly available (1)</v>
      </c>
      <c r="F1155" s="198" t="s">
        <v>20</v>
      </c>
      <c r="G1155" s="163" t="str">
        <f t="array" ref="G1155">IF(B1155="ICSE",IF(COUNTIFS(B:B,B1155,C:C,C1155)=XLOOKUP(C1155,ICSE!A:A,ICSE!AA:AA,"ERROR",0,1),"OK","ERROR"),IF(B1155="FSE",IF(COUNTIFS(B:B,B1155,C:C,C1155)=XLOOKUP(C1155,FSE!A:A,FSE!AA:AA,"ERROR",0,1),"OK","ERROR")))</f>
        <v>OK</v>
      </c>
      <c r="H1155" s="199">
        <f t="shared" ref="H1155:O1155" si="5852">countif($D1155,"*"&amp;H$2&amp;"*")</f>
        <v>0</v>
      </c>
      <c r="I1155" s="200">
        <f t="shared" si="5852"/>
        <v>0</v>
      </c>
      <c r="J1155" s="200">
        <f t="shared" si="5852"/>
        <v>0</v>
      </c>
      <c r="K1155" s="200">
        <f t="shared" si="5852"/>
        <v>0</v>
      </c>
      <c r="L1155" s="200">
        <f t="shared" si="5852"/>
        <v>0</v>
      </c>
      <c r="M1155" s="200">
        <f t="shared" si="5852"/>
        <v>0</v>
      </c>
      <c r="N1155" s="200">
        <f t="shared" si="5852"/>
        <v>0</v>
      </c>
      <c r="O1155" s="200">
        <f t="shared" si="5852"/>
        <v>0</v>
      </c>
      <c r="P1155" s="200">
        <f t="shared" si="9"/>
        <v>1</v>
      </c>
      <c r="Q1155" s="200">
        <f t="shared" ref="Q1155:AC1155" si="5853">countif($D1155,"*"&amp;Q$2&amp;"*")</f>
        <v>0</v>
      </c>
      <c r="R1155" s="200">
        <f t="shared" si="5853"/>
        <v>0</v>
      </c>
      <c r="S1155" s="200">
        <f t="shared" si="5853"/>
        <v>0</v>
      </c>
      <c r="T1155" s="200">
        <f t="shared" si="5853"/>
        <v>0</v>
      </c>
      <c r="U1155" s="200">
        <f t="shared" si="5853"/>
        <v>0</v>
      </c>
      <c r="V1155" s="200">
        <f t="shared" si="5853"/>
        <v>0</v>
      </c>
      <c r="W1155" s="200">
        <f t="shared" si="5853"/>
        <v>0</v>
      </c>
      <c r="X1155" s="200">
        <f t="shared" si="5853"/>
        <v>0</v>
      </c>
      <c r="Y1155" s="200">
        <f t="shared" si="5853"/>
        <v>0</v>
      </c>
      <c r="Z1155" s="200">
        <f t="shared" si="5853"/>
        <v>0</v>
      </c>
      <c r="AA1155" s="200">
        <f t="shared" si="5853"/>
        <v>0</v>
      </c>
      <c r="AB1155" s="200">
        <f t="shared" si="5853"/>
        <v>0</v>
      </c>
      <c r="AC1155" s="200">
        <f t="shared" si="5853"/>
        <v>0</v>
      </c>
      <c r="AD1155" s="200">
        <f t="shared" si="11"/>
        <v>0</v>
      </c>
      <c r="AE1155" s="200">
        <f t="shared" ref="AE1155:AG1155" si="5854">countif($D1155,"*"&amp;AE$2&amp;"*")</f>
        <v>0</v>
      </c>
      <c r="AF1155" s="200">
        <f t="shared" si="5854"/>
        <v>0</v>
      </c>
      <c r="AG1155" s="200">
        <f t="shared" si="5854"/>
        <v>0</v>
      </c>
      <c r="AH1155" s="171">
        <f t="shared" si="13"/>
        <v>0</v>
      </c>
      <c r="AI1155" s="200">
        <f t="shared" si="14"/>
        <v>0</v>
      </c>
      <c r="AJ1155" s="200">
        <f t="shared" si="5594"/>
        <v>0</v>
      </c>
      <c r="AK1155" s="201">
        <f t="shared" ref="AK1155:AS1155" si="5855">countif($D1155,"*"&amp;AK$2&amp;"*")</f>
        <v>0</v>
      </c>
      <c r="AL1155" s="201">
        <f t="shared" si="5855"/>
        <v>0</v>
      </c>
      <c r="AM1155" s="201">
        <f t="shared" si="5855"/>
        <v>0</v>
      </c>
      <c r="AN1155" s="201">
        <f t="shared" si="5855"/>
        <v>0</v>
      </c>
      <c r="AO1155" s="201">
        <f t="shared" si="5855"/>
        <v>0</v>
      </c>
      <c r="AP1155" s="201">
        <f t="shared" si="5855"/>
        <v>0</v>
      </c>
      <c r="AQ1155" s="201">
        <f t="shared" si="5855"/>
        <v>0</v>
      </c>
      <c r="AR1155" s="200">
        <f t="shared" si="5855"/>
        <v>0</v>
      </c>
      <c r="AS1155" s="200">
        <f t="shared" si="5855"/>
        <v>0</v>
      </c>
      <c r="AT1155" s="173">
        <v>0.0</v>
      </c>
      <c r="AU1155" s="200">
        <f t="shared" ref="AU1155:AX1155" si="5856">countif($D1155,"*"&amp;AU$2&amp;"*")</f>
        <v>0</v>
      </c>
      <c r="AV1155" s="200">
        <f t="shared" si="5856"/>
        <v>1</v>
      </c>
      <c r="AW1155" s="200">
        <f t="shared" si="5856"/>
        <v>0</v>
      </c>
      <c r="AX1155" s="200">
        <f t="shared" si="5856"/>
        <v>0</v>
      </c>
      <c r="AY1155" s="202">
        <v>0.0</v>
      </c>
      <c r="AZ1155" s="200"/>
      <c r="BA1155" s="171" t="str">
        <f t="shared" si="18"/>
        <v/>
      </c>
      <c r="BB1155" s="171" t="str">
        <f t="shared" si="19"/>
        <v>Code</v>
      </c>
      <c r="BC1155" s="171" t="str">
        <f t="shared" si="20"/>
        <v/>
      </c>
      <c r="BD1155" s="171" t="str">
        <f t="shared" si="21"/>
        <v/>
      </c>
      <c r="BE1155" s="171" t="str">
        <f t="shared" si="22"/>
        <v/>
      </c>
      <c r="BF1155" s="171" t="str">
        <f t="shared" si="23"/>
        <v>Code</v>
      </c>
    </row>
    <row r="1156">
      <c r="A1156" s="171">
        <f t="array" ref="A1156">XLOOKUP(C1156,ICSE!A:A,ICSE!C:C,,2,1)</f>
        <v>2023</v>
      </c>
      <c r="B1156" s="171" t="s">
        <v>5675</v>
      </c>
      <c r="C1156" s="160">
        <v>2173.0</v>
      </c>
      <c r="D1156" s="161" t="s">
        <v>3224</v>
      </c>
      <c r="E1156" s="197" t="str">
        <f t="array" ref="E1156">XLOOKUP(C1156,ICSE!A:A,ICSE!Z:Z,,0,1)</f>
        <v>Publicly available (1)</v>
      </c>
      <c r="F1156" s="198" t="s">
        <v>20</v>
      </c>
      <c r="G1156" s="163" t="str">
        <f t="array" ref="G1156">IF(B1156="ICSE",IF(COUNTIFS(B:B,B1156,C:C,C1156)=XLOOKUP(C1156,ICSE!A:A,ICSE!AA:AA,"ERROR",0,1),"OK","ERROR"),IF(B1156="FSE",IF(COUNTIFS(B:B,B1156,C:C,C1156)=XLOOKUP(C1156,FSE!A:A,FSE!AA:AA,"ERROR",0,1),"OK","ERROR")))</f>
        <v>OK</v>
      </c>
      <c r="H1156" s="199">
        <f t="shared" ref="H1156:O1156" si="5857">countif($D1156,"*"&amp;H$2&amp;"*")</f>
        <v>1</v>
      </c>
      <c r="I1156" s="200">
        <f t="shared" si="5857"/>
        <v>0</v>
      </c>
      <c r="J1156" s="200">
        <f t="shared" si="5857"/>
        <v>0</v>
      </c>
      <c r="K1156" s="200">
        <f t="shared" si="5857"/>
        <v>0</v>
      </c>
      <c r="L1156" s="200">
        <f t="shared" si="5857"/>
        <v>0</v>
      </c>
      <c r="M1156" s="200">
        <f t="shared" si="5857"/>
        <v>0</v>
      </c>
      <c r="N1156" s="200">
        <f t="shared" si="5857"/>
        <v>0</v>
      </c>
      <c r="O1156" s="200">
        <f t="shared" si="5857"/>
        <v>0</v>
      </c>
      <c r="P1156" s="200">
        <f t="shared" si="9"/>
        <v>0</v>
      </c>
      <c r="Q1156" s="200">
        <f t="shared" ref="Q1156:AC1156" si="5858">countif($D1156,"*"&amp;Q$2&amp;"*")</f>
        <v>0</v>
      </c>
      <c r="R1156" s="200">
        <f t="shared" si="5858"/>
        <v>0</v>
      </c>
      <c r="S1156" s="200">
        <f t="shared" si="5858"/>
        <v>0</v>
      </c>
      <c r="T1156" s="200">
        <f t="shared" si="5858"/>
        <v>0</v>
      </c>
      <c r="U1156" s="200">
        <f t="shared" si="5858"/>
        <v>0</v>
      </c>
      <c r="V1156" s="200">
        <f t="shared" si="5858"/>
        <v>0</v>
      </c>
      <c r="W1156" s="200">
        <f t="shared" si="5858"/>
        <v>0</v>
      </c>
      <c r="X1156" s="200">
        <f t="shared" si="5858"/>
        <v>0</v>
      </c>
      <c r="Y1156" s="200">
        <f t="shared" si="5858"/>
        <v>0</v>
      </c>
      <c r="Z1156" s="200">
        <f t="shared" si="5858"/>
        <v>0</v>
      </c>
      <c r="AA1156" s="200">
        <f t="shared" si="5858"/>
        <v>0</v>
      </c>
      <c r="AB1156" s="200">
        <f t="shared" si="5858"/>
        <v>0</v>
      </c>
      <c r="AC1156" s="200">
        <f t="shared" si="5858"/>
        <v>0</v>
      </c>
      <c r="AD1156" s="200">
        <f t="shared" si="11"/>
        <v>0</v>
      </c>
      <c r="AE1156" s="200">
        <f t="shared" ref="AE1156:AG1156" si="5859">countif($D1156,"*"&amp;AE$2&amp;"*")</f>
        <v>0</v>
      </c>
      <c r="AF1156" s="200">
        <f t="shared" si="5859"/>
        <v>0</v>
      </c>
      <c r="AG1156" s="200">
        <f t="shared" si="5859"/>
        <v>0</v>
      </c>
      <c r="AH1156" s="171">
        <f t="shared" si="13"/>
        <v>0</v>
      </c>
      <c r="AI1156" s="200">
        <f t="shared" si="14"/>
        <v>1</v>
      </c>
      <c r="AJ1156" s="200">
        <f t="shared" si="5594"/>
        <v>0</v>
      </c>
      <c r="AK1156" s="201">
        <f t="shared" ref="AK1156:AS1156" si="5860">countif($D1156,"*"&amp;AK$2&amp;"*")</f>
        <v>0</v>
      </c>
      <c r="AL1156" s="201">
        <f t="shared" si="5860"/>
        <v>0</v>
      </c>
      <c r="AM1156" s="201">
        <f t="shared" si="5860"/>
        <v>0</v>
      </c>
      <c r="AN1156" s="201">
        <f t="shared" si="5860"/>
        <v>0</v>
      </c>
      <c r="AO1156" s="201">
        <f t="shared" si="5860"/>
        <v>0</v>
      </c>
      <c r="AP1156" s="201">
        <f t="shared" si="5860"/>
        <v>0</v>
      </c>
      <c r="AQ1156" s="201">
        <f t="shared" si="5860"/>
        <v>0</v>
      </c>
      <c r="AR1156" s="200">
        <f t="shared" si="5860"/>
        <v>0</v>
      </c>
      <c r="AS1156" s="200">
        <f t="shared" si="5860"/>
        <v>0</v>
      </c>
      <c r="AT1156" s="173">
        <v>0.0</v>
      </c>
      <c r="AU1156" s="200">
        <f t="shared" ref="AU1156:AX1156" si="5861">countif($D1156,"*"&amp;AU$2&amp;"*")</f>
        <v>0</v>
      </c>
      <c r="AV1156" s="200">
        <f t="shared" si="5861"/>
        <v>0</v>
      </c>
      <c r="AW1156" s="200">
        <f t="shared" si="5861"/>
        <v>0</v>
      </c>
      <c r="AX1156" s="200">
        <f t="shared" si="5861"/>
        <v>1</v>
      </c>
      <c r="AY1156" s="202">
        <v>0.0</v>
      </c>
      <c r="AZ1156" s="200"/>
      <c r="BA1156" s="171" t="str">
        <f t="shared" si="18"/>
        <v>Archival</v>
      </c>
      <c r="BB1156" s="171" t="str">
        <f t="shared" si="19"/>
        <v/>
      </c>
      <c r="BC1156" s="171" t="str">
        <f t="shared" si="20"/>
        <v/>
      </c>
      <c r="BD1156" s="171" t="str">
        <f t="shared" si="21"/>
        <v/>
      </c>
      <c r="BE1156" s="171" t="str">
        <f t="shared" si="22"/>
        <v/>
      </c>
      <c r="BF1156" s="171" t="str">
        <f t="shared" si="23"/>
        <v>Archival</v>
      </c>
    </row>
    <row r="1157">
      <c r="A1157" s="171">
        <f t="array" ref="A1157">XLOOKUP(C1157,ICSE!A:A,ICSE!C:C,,2,1)</f>
        <v>2023</v>
      </c>
      <c r="B1157" s="171" t="s">
        <v>5675</v>
      </c>
      <c r="C1157" s="160">
        <v>2174.0</v>
      </c>
      <c r="D1157" s="161" t="s">
        <v>3227</v>
      </c>
      <c r="E1157" s="197" t="str">
        <f t="array" ref="E1157">XLOOKUP(C1157,ICSE!A:A,ICSE!Z:Z,,0,1)</f>
        <v>Publicly available (1)</v>
      </c>
      <c r="F1157" s="198" t="s">
        <v>20</v>
      </c>
      <c r="G1157" s="163" t="str">
        <f t="array" ref="G1157">IF(B1157="ICSE",IF(COUNTIFS(B:B,B1157,C:C,C1157)=XLOOKUP(C1157,ICSE!A:A,ICSE!AA:AA,"ERROR",0,1),"OK","ERROR"),IF(B1157="FSE",IF(COUNTIFS(B:B,B1157,C:C,C1157)=XLOOKUP(C1157,FSE!A:A,FSE!AA:AA,"ERROR",0,1),"OK","ERROR")))</f>
        <v>OK</v>
      </c>
      <c r="H1157" s="199">
        <f t="shared" ref="H1157:O1157" si="5862">countif($D1157,"*"&amp;H$2&amp;"*")</f>
        <v>1</v>
      </c>
      <c r="I1157" s="200">
        <f t="shared" si="5862"/>
        <v>0</v>
      </c>
      <c r="J1157" s="200">
        <f t="shared" si="5862"/>
        <v>0</v>
      </c>
      <c r="K1157" s="200">
        <f t="shared" si="5862"/>
        <v>0</v>
      </c>
      <c r="L1157" s="200">
        <f t="shared" si="5862"/>
        <v>0</v>
      </c>
      <c r="M1157" s="200">
        <f t="shared" si="5862"/>
        <v>0</v>
      </c>
      <c r="N1157" s="200">
        <f t="shared" si="5862"/>
        <v>0</v>
      </c>
      <c r="O1157" s="200">
        <f t="shared" si="5862"/>
        <v>0</v>
      </c>
      <c r="P1157" s="200">
        <f t="shared" si="9"/>
        <v>0</v>
      </c>
      <c r="Q1157" s="200">
        <f t="shared" ref="Q1157:AC1157" si="5863">countif($D1157,"*"&amp;Q$2&amp;"*")</f>
        <v>0</v>
      </c>
      <c r="R1157" s="200">
        <f t="shared" si="5863"/>
        <v>0</v>
      </c>
      <c r="S1157" s="200">
        <f t="shared" si="5863"/>
        <v>0</v>
      </c>
      <c r="T1157" s="200">
        <f t="shared" si="5863"/>
        <v>0</v>
      </c>
      <c r="U1157" s="200">
        <f t="shared" si="5863"/>
        <v>0</v>
      </c>
      <c r="V1157" s="200">
        <f t="shared" si="5863"/>
        <v>0</v>
      </c>
      <c r="W1157" s="200">
        <f t="shared" si="5863"/>
        <v>0</v>
      </c>
      <c r="X1157" s="200">
        <f t="shared" si="5863"/>
        <v>0</v>
      </c>
      <c r="Y1157" s="200">
        <f t="shared" si="5863"/>
        <v>0</v>
      </c>
      <c r="Z1157" s="200">
        <f t="shared" si="5863"/>
        <v>0</v>
      </c>
      <c r="AA1157" s="200">
        <f t="shared" si="5863"/>
        <v>0</v>
      </c>
      <c r="AB1157" s="200">
        <f t="shared" si="5863"/>
        <v>0</v>
      </c>
      <c r="AC1157" s="200">
        <f t="shared" si="5863"/>
        <v>0</v>
      </c>
      <c r="AD1157" s="200">
        <f t="shared" si="11"/>
        <v>0</v>
      </c>
      <c r="AE1157" s="200">
        <f t="shared" ref="AE1157:AG1157" si="5864">countif($D1157,"*"&amp;AE$2&amp;"*")</f>
        <v>0</v>
      </c>
      <c r="AF1157" s="200">
        <f t="shared" si="5864"/>
        <v>0</v>
      </c>
      <c r="AG1157" s="200">
        <f t="shared" si="5864"/>
        <v>0</v>
      </c>
      <c r="AH1157" s="171">
        <f t="shared" si="13"/>
        <v>0</v>
      </c>
      <c r="AI1157" s="200">
        <f t="shared" si="14"/>
        <v>1</v>
      </c>
      <c r="AJ1157" s="200">
        <f t="shared" si="5594"/>
        <v>0</v>
      </c>
      <c r="AK1157" s="201">
        <f t="shared" ref="AK1157:AS1157" si="5865">countif($D1157,"*"&amp;AK$2&amp;"*")</f>
        <v>0</v>
      </c>
      <c r="AL1157" s="201">
        <f t="shared" si="5865"/>
        <v>0</v>
      </c>
      <c r="AM1157" s="201">
        <f t="shared" si="5865"/>
        <v>0</v>
      </c>
      <c r="AN1157" s="201">
        <f t="shared" si="5865"/>
        <v>0</v>
      </c>
      <c r="AO1157" s="201">
        <f t="shared" si="5865"/>
        <v>0</v>
      </c>
      <c r="AP1157" s="201">
        <f t="shared" si="5865"/>
        <v>0</v>
      </c>
      <c r="AQ1157" s="201">
        <f t="shared" si="5865"/>
        <v>0</v>
      </c>
      <c r="AR1157" s="200">
        <f t="shared" si="5865"/>
        <v>0</v>
      </c>
      <c r="AS1157" s="200">
        <f t="shared" si="5865"/>
        <v>0</v>
      </c>
      <c r="AT1157" s="173">
        <v>0.0</v>
      </c>
      <c r="AU1157" s="200">
        <f t="shared" ref="AU1157:AX1157" si="5866">countif($D1157,"*"&amp;AU$2&amp;"*")</f>
        <v>0</v>
      </c>
      <c r="AV1157" s="200">
        <f t="shared" si="5866"/>
        <v>0</v>
      </c>
      <c r="AW1157" s="200">
        <f t="shared" si="5866"/>
        <v>0</v>
      </c>
      <c r="AX1157" s="200">
        <f t="shared" si="5866"/>
        <v>1</v>
      </c>
      <c r="AY1157" s="202">
        <v>0.0</v>
      </c>
      <c r="AZ1157" s="200"/>
      <c r="BA1157" s="171" t="str">
        <f t="shared" si="18"/>
        <v>Archival</v>
      </c>
      <c r="BB1157" s="171" t="str">
        <f t="shared" si="19"/>
        <v/>
      </c>
      <c r="BC1157" s="171" t="str">
        <f t="shared" si="20"/>
        <v/>
      </c>
      <c r="BD1157" s="171" t="str">
        <f t="shared" si="21"/>
        <v/>
      </c>
      <c r="BE1157" s="171" t="str">
        <f t="shared" si="22"/>
        <v/>
      </c>
      <c r="BF1157" s="171" t="str">
        <f t="shared" si="23"/>
        <v>Archival</v>
      </c>
    </row>
    <row r="1158">
      <c r="A1158" s="171">
        <f t="array" ref="A1158">XLOOKUP(C1158,ICSE!A:A,ICSE!C:C,,2,1)</f>
        <v>2023</v>
      </c>
      <c r="B1158" s="171" t="s">
        <v>5675</v>
      </c>
      <c r="C1158" s="160">
        <v>2175.0</v>
      </c>
      <c r="D1158" s="161" t="s">
        <v>3230</v>
      </c>
      <c r="E1158" s="197" t="str">
        <f t="array" ref="E1158">XLOOKUP(C1158,ICSE!A:A,ICSE!Z:Z,,0,1)</f>
        <v>Publicly available (1)</v>
      </c>
      <c r="F1158" s="198" t="s">
        <v>20</v>
      </c>
      <c r="G1158" s="163" t="str">
        <f t="array" ref="G1158">IF(B1158="ICSE",IF(COUNTIFS(B:B,B1158,C:C,C1158)=XLOOKUP(C1158,ICSE!A:A,ICSE!AA:AA,"ERROR",0,1),"OK","ERROR"),IF(B1158="FSE",IF(COUNTIFS(B:B,B1158,C:C,C1158)=XLOOKUP(C1158,FSE!A:A,FSE!AA:AA,"ERROR",0,1),"OK","ERROR")))</f>
        <v>OK</v>
      </c>
      <c r="H1158" s="199">
        <f t="shared" ref="H1158:O1158" si="5867">countif($D1158,"*"&amp;H$2&amp;"*")</f>
        <v>0</v>
      </c>
      <c r="I1158" s="200">
        <f t="shared" si="5867"/>
        <v>0</v>
      </c>
      <c r="J1158" s="200">
        <f t="shared" si="5867"/>
        <v>0</v>
      </c>
      <c r="K1158" s="200">
        <f t="shared" si="5867"/>
        <v>0</v>
      </c>
      <c r="L1158" s="200">
        <f t="shared" si="5867"/>
        <v>0</v>
      </c>
      <c r="M1158" s="200">
        <f t="shared" si="5867"/>
        <v>0</v>
      </c>
      <c r="N1158" s="200">
        <f t="shared" si="5867"/>
        <v>0</v>
      </c>
      <c r="O1158" s="200">
        <f t="shared" si="5867"/>
        <v>0</v>
      </c>
      <c r="P1158" s="200">
        <f t="shared" si="9"/>
        <v>1</v>
      </c>
      <c r="Q1158" s="200">
        <f t="shared" ref="Q1158:AC1158" si="5868">countif($D1158,"*"&amp;Q$2&amp;"*")</f>
        <v>0</v>
      </c>
      <c r="R1158" s="200">
        <f t="shared" si="5868"/>
        <v>0</v>
      </c>
      <c r="S1158" s="200">
        <f t="shared" si="5868"/>
        <v>0</v>
      </c>
      <c r="T1158" s="200">
        <f t="shared" si="5868"/>
        <v>0</v>
      </c>
      <c r="U1158" s="200">
        <f t="shared" si="5868"/>
        <v>0</v>
      </c>
      <c r="V1158" s="200">
        <f t="shared" si="5868"/>
        <v>0</v>
      </c>
      <c r="W1158" s="200">
        <f t="shared" si="5868"/>
        <v>0</v>
      </c>
      <c r="X1158" s="200">
        <f t="shared" si="5868"/>
        <v>0</v>
      </c>
      <c r="Y1158" s="200">
        <f t="shared" si="5868"/>
        <v>0</v>
      </c>
      <c r="Z1158" s="200">
        <f t="shared" si="5868"/>
        <v>0</v>
      </c>
      <c r="AA1158" s="200">
        <f t="shared" si="5868"/>
        <v>0</v>
      </c>
      <c r="AB1158" s="200">
        <f t="shared" si="5868"/>
        <v>0</v>
      </c>
      <c r="AC1158" s="200">
        <f t="shared" si="5868"/>
        <v>0</v>
      </c>
      <c r="AD1158" s="200">
        <f t="shared" si="11"/>
        <v>0</v>
      </c>
      <c r="AE1158" s="200">
        <f t="shared" ref="AE1158:AG1158" si="5869">countif($D1158,"*"&amp;AE$2&amp;"*")</f>
        <v>0</v>
      </c>
      <c r="AF1158" s="200">
        <f t="shared" si="5869"/>
        <v>0</v>
      </c>
      <c r="AG1158" s="200">
        <f t="shared" si="5869"/>
        <v>0</v>
      </c>
      <c r="AH1158" s="171">
        <f t="shared" si="13"/>
        <v>0</v>
      </c>
      <c r="AI1158" s="200">
        <f t="shared" si="14"/>
        <v>0</v>
      </c>
      <c r="AJ1158" s="200">
        <f t="shared" si="5594"/>
        <v>0</v>
      </c>
      <c r="AK1158" s="201">
        <f t="shared" ref="AK1158:AS1158" si="5870">countif($D1158,"*"&amp;AK$2&amp;"*")</f>
        <v>0</v>
      </c>
      <c r="AL1158" s="201">
        <f t="shared" si="5870"/>
        <v>0</v>
      </c>
      <c r="AM1158" s="201">
        <f t="shared" si="5870"/>
        <v>0</v>
      </c>
      <c r="AN1158" s="201">
        <f t="shared" si="5870"/>
        <v>0</v>
      </c>
      <c r="AO1158" s="201">
        <f t="shared" si="5870"/>
        <v>0</v>
      </c>
      <c r="AP1158" s="201">
        <f t="shared" si="5870"/>
        <v>0</v>
      </c>
      <c r="AQ1158" s="201">
        <f t="shared" si="5870"/>
        <v>0</v>
      </c>
      <c r="AR1158" s="200">
        <f t="shared" si="5870"/>
        <v>0</v>
      </c>
      <c r="AS1158" s="200">
        <f t="shared" si="5870"/>
        <v>0</v>
      </c>
      <c r="AT1158" s="173">
        <v>0.0</v>
      </c>
      <c r="AU1158" s="200">
        <f t="shared" ref="AU1158:AX1158" si="5871">countif($D1158,"*"&amp;AU$2&amp;"*")</f>
        <v>0</v>
      </c>
      <c r="AV1158" s="200">
        <f t="shared" si="5871"/>
        <v>1</v>
      </c>
      <c r="AW1158" s="200">
        <f t="shared" si="5871"/>
        <v>0</v>
      </c>
      <c r="AX1158" s="200">
        <f t="shared" si="5871"/>
        <v>0</v>
      </c>
      <c r="AY1158" s="202">
        <v>0.0</v>
      </c>
      <c r="AZ1158" s="200"/>
      <c r="BA1158" s="171" t="str">
        <f t="shared" si="18"/>
        <v/>
      </c>
      <c r="BB1158" s="171" t="str">
        <f t="shared" si="19"/>
        <v>Code</v>
      </c>
      <c r="BC1158" s="171" t="str">
        <f t="shared" si="20"/>
        <v/>
      </c>
      <c r="BD1158" s="171" t="str">
        <f t="shared" si="21"/>
        <v/>
      </c>
      <c r="BE1158" s="171" t="str">
        <f t="shared" si="22"/>
        <v/>
      </c>
      <c r="BF1158" s="171" t="str">
        <f t="shared" si="23"/>
        <v>Code</v>
      </c>
    </row>
    <row r="1159">
      <c r="A1159" s="171">
        <f t="array" ref="A1159">XLOOKUP(C1159,ICSE!A:A,ICSE!C:C,,2,1)</f>
        <v>2023</v>
      </c>
      <c r="B1159" s="171" t="s">
        <v>5675</v>
      </c>
      <c r="C1159" s="160">
        <v>2176.0</v>
      </c>
      <c r="D1159" s="161" t="s">
        <v>3233</v>
      </c>
      <c r="E1159" s="197" t="str">
        <f t="array" ref="E1159">XLOOKUP(C1159,ICSE!A:A,ICSE!Z:Z,,0,1)</f>
        <v>Publicly available (1)</v>
      </c>
      <c r="F1159" s="198" t="s">
        <v>20</v>
      </c>
      <c r="G1159" s="163" t="str">
        <f t="array" ref="G1159">IF(B1159="ICSE",IF(COUNTIFS(B:B,B1159,C:C,C1159)=XLOOKUP(C1159,ICSE!A:A,ICSE!AA:AA,"ERROR",0,1),"OK","ERROR"),IF(B1159="FSE",IF(COUNTIFS(B:B,B1159,C:C,C1159)=XLOOKUP(C1159,FSE!A:A,FSE!AA:AA,"ERROR",0,1),"OK","ERROR")))</f>
        <v>OK</v>
      </c>
      <c r="H1159" s="199">
        <f t="shared" ref="H1159:O1159" si="5872">countif($D1159,"*"&amp;H$2&amp;"*")</f>
        <v>0</v>
      </c>
      <c r="I1159" s="200">
        <f t="shared" si="5872"/>
        <v>0</v>
      </c>
      <c r="J1159" s="200">
        <f t="shared" si="5872"/>
        <v>0</v>
      </c>
      <c r="K1159" s="200">
        <f t="shared" si="5872"/>
        <v>0</v>
      </c>
      <c r="L1159" s="200">
        <f t="shared" si="5872"/>
        <v>0</v>
      </c>
      <c r="M1159" s="200">
        <f t="shared" si="5872"/>
        <v>0</v>
      </c>
      <c r="N1159" s="200">
        <f t="shared" si="5872"/>
        <v>0</v>
      </c>
      <c r="O1159" s="200">
        <f t="shared" si="5872"/>
        <v>0</v>
      </c>
      <c r="P1159" s="200">
        <f t="shared" si="9"/>
        <v>1</v>
      </c>
      <c r="Q1159" s="200">
        <f t="shared" ref="Q1159:AC1159" si="5873">countif($D1159,"*"&amp;Q$2&amp;"*")</f>
        <v>0</v>
      </c>
      <c r="R1159" s="200">
        <f t="shared" si="5873"/>
        <v>0</v>
      </c>
      <c r="S1159" s="200">
        <f t="shared" si="5873"/>
        <v>0</v>
      </c>
      <c r="T1159" s="200">
        <f t="shared" si="5873"/>
        <v>0</v>
      </c>
      <c r="U1159" s="200">
        <f t="shared" si="5873"/>
        <v>0</v>
      </c>
      <c r="V1159" s="200">
        <f t="shared" si="5873"/>
        <v>0</v>
      </c>
      <c r="W1159" s="200">
        <f t="shared" si="5873"/>
        <v>0</v>
      </c>
      <c r="X1159" s="200">
        <f t="shared" si="5873"/>
        <v>0</v>
      </c>
      <c r="Y1159" s="200">
        <f t="shared" si="5873"/>
        <v>0</v>
      </c>
      <c r="Z1159" s="200">
        <f t="shared" si="5873"/>
        <v>0</v>
      </c>
      <c r="AA1159" s="200">
        <f t="shared" si="5873"/>
        <v>0</v>
      </c>
      <c r="AB1159" s="200">
        <f t="shared" si="5873"/>
        <v>0</v>
      </c>
      <c r="AC1159" s="200">
        <f t="shared" si="5873"/>
        <v>0</v>
      </c>
      <c r="AD1159" s="200">
        <f t="shared" si="11"/>
        <v>0</v>
      </c>
      <c r="AE1159" s="200">
        <f t="shared" ref="AE1159:AG1159" si="5874">countif($D1159,"*"&amp;AE$2&amp;"*")</f>
        <v>0</v>
      </c>
      <c r="AF1159" s="200">
        <f t="shared" si="5874"/>
        <v>0</v>
      </c>
      <c r="AG1159" s="200">
        <f t="shared" si="5874"/>
        <v>0</v>
      </c>
      <c r="AH1159" s="171">
        <f t="shared" si="13"/>
        <v>0</v>
      </c>
      <c r="AI1159" s="200">
        <f t="shared" si="14"/>
        <v>0</v>
      </c>
      <c r="AJ1159" s="200">
        <f t="shared" si="5594"/>
        <v>0</v>
      </c>
      <c r="AK1159" s="201">
        <f t="shared" ref="AK1159:AS1159" si="5875">countif($D1159,"*"&amp;AK$2&amp;"*")</f>
        <v>0</v>
      </c>
      <c r="AL1159" s="201">
        <f t="shared" si="5875"/>
        <v>0</v>
      </c>
      <c r="AM1159" s="201">
        <f t="shared" si="5875"/>
        <v>0</v>
      </c>
      <c r="AN1159" s="201">
        <f t="shared" si="5875"/>
        <v>0</v>
      </c>
      <c r="AO1159" s="201">
        <f t="shared" si="5875"/>
        <v>0</v>
      </c>
      <c r="AP1159" s="201">
        <f t="shared" si="5875"/>
        <v>0</v>
      </c>
      <c r="AQ1159" s="201">
        <f t="shared" si="5875"/>
        <v>0</v>
      </c>
      <c r="AR1159" s="200">
        <f t="shared" si="5875"/>
        <v>0</v>
      </c>
      <c r="AS1159" s="200">
        <f t="shared" si="5875"/>
        <v>0</v>
      </c>
      <c r="AT1159" s="173">
        <v>0.0</v>
      </c>
      <c r="AU1159" s="200">
        <f t="shared" ref="AU1159:AX1159" si="5876">countif($D1159,"*"&amp;AU$2&amp;"*")</f>
        <v>0</v>
      </c>
      <c r="AV1159" s="200">
        <f t="shared" si="5876"/>
        <v>1</v>
      </c>
      <c r="AW1159" s="200">
        <f t="shared" si="5876"/>
        <v>0</v>
      </c>
      <c r="AX1159" s="200">
        <f t="shared" si="5876"/>
        <v>0</v>
      </c>
      <c r="AY1159" s="202">
        <v>0.0</v>
      </c>
      <c r="AZ1159" s="200"/>
      <c r="BA1159" s="171" t="str">
        <f t="shared" si="18"/>
        <v/>
      </c>
      <c r="BB1159" s="171" t="str">
        <f t="shared" si="19"/>
        <v>Code</v>
      </c>
      <c r="BC1159" s="171" t="str">
        <f t="shared" si="20"/>
        <v/>
      </c>
      <c r="BD1159" s="171" t="str">
        <f t="shared" si="21"/>
        <v/>
      </c>
      <c r="BE1159" s="171" t="str">
        <f t="shared" si="22"/>
        <v/>
      </c>
      <c r="BF1159" s="171" t="str">
        <f t="shared" si="23"/>
        <v>Code</v>
      </c>
    </row>
    <row r="1160">
      <c r="A1160" s="171">
        <f t="array" ref="A1160">XLOOKUP(C1160,ICSE!A:A,ICSE!C:C,,2,1)</f>
        <v>2023</v>
      </c>
      <c r="B1160" s="171" t="s">
        <v>5675</v>
      </c>
      <c r="C1160" s="160">
        <v>2177.0</v>
      </c>
      <c r="D1160" s="161" t="s">
        <v>6145</v>
      </c>
      <c r="E1160" s="197" t="str">
        <f t="array" ref="E1160">XLOOKUP(C1160,ICSE!A:A,ICSE!Z:Z,,0,1)</f>
        <v>Publicly available (1)
Not available (1) - Broken link.</v>
      </c>
      <c r="F1160" s="198" t="s">
        <v>20</v>
      </c>
      <c r="G1160" s="163" t="str">
        <f t="array" ref="G1160">IF(B1160="ICSE",IF(COUNTIFS(B:B,B1160,C:C,C1160)=XLOOKUP(C1160,ICSE!A:A,ICSE!AA:AA,"ERROR",0,1),"OK","ERROR"),IF(B1160="FSE",IF(COUNTIFS(B:B,B1160,C:C,C1160)=XLOOKUP(C1160,FSE!A:A,FSE!AA:AA,"ERROR",0,1),"OK","ERROR")))</f>
        <v>OK</v>
      </c>
      <c r="H1160" s="199">
        <f t="shared" ref="H1160:O1160" si="5877">countif($D1160,"*"&amp;H$2&amp;"*")</f>
        <v>0</v>
      </c>
      <c r="I1160" s="200">
        <f t="shared" si="5877"/>
        <v>0</v>
      </c>
      <c r="J1160" s="200">
        <f t="shared" si="5877"/>
        <v>0</v>
      </c>
      <c r="K1160" s="200">
        <f t="shared" si="5877"/>
        <v>0</v>
      </c>
      <c r="L1160" s="200">
        <f t="shared" si="5877"/>
        <v>0</v>
      </c>
      <c r="M1160" s="200">
        <f t="shared" si="5877"/>
        <v>0</v>
      </c>
      <c r="N1160" s="200">
        <f t="shared" si="5877"/>
        <v>0</v>
      </c>
      <c r="O1160" s="200">
        <f t="shared" si="5877"/>
        <v>0</v>
      </c>
      <c r="P1160" s="200">
        <f t="shared" si="9"/>
        <v>1</v>
      </c>
      <c r="Q1160" s="200">
        <f t="shared" ref="Q1160:AC1160" si="5878">countif($D1160,"*"&amp;Q$2&amp;"*")</f>
        <v>0</v>
      </c>
      <c r="R1160" s="200">
        <f t="shared" si="5878"/>
        <v>0</v>
      </c>
      <c r="S1160" s="200">
        <f t="shared" si="5878"/>
        <v>0</v>
      </c>
      <c r="T1160" s="200">
        <f t="shared" si="5878"/>
        <v>0</v>
      </c>
      <c r="U1160" s="200">
        <f t="shared" si="5878"/>
        <v>0</v>
      </c>
      <c r="V1160" s="200">
        <f t="shared" si="5878"/>
        <v>0</v>
      </c>
      <c r="W1160" s="200">
        <f t="shared" si="5878"/>
        <v>0</v>
      </c>
      <c r="X1160" s="200">
        <f t="shared" si="5878"/>
        <v>0</v>
      </c>
      <c r="Y1160" s="200">
        <f t="shared" si="5878"/>
        <v>0</v>
      </c>
      <c r="Z1160" s="200">
        <f t="shared" si="5878"/>
        <v>0</v>
      </c>
      <c r="AA1160" s="200">
        <f t="shared" si="5878"/>
        <v>0</v>
      </c>
      <c r="AB1160" s="200">
        <f t="shared" si="5878"/>
        <v>0</v>
      </c>
      <c r="AC1160" s="200">
        <f t="shared" si="5878"/>
        <v>0</v>
      </c>
      <c r="AD1160" s="200">
        <f t="shared" si="11"/>
        <v>0</v>
      </c>
      <c r="AE1160" s="200">
        <f t="shared" ref="AE1160:AG1160" si="5879">countif($D1160,"*"&amp;AE$2&amp;"*")</f>
        <v>0</v>
      </c>
      <c r="AF1160" s="200">
        <f t="shared" si="5879"/>
        <v>0</v>
      </c>
      <c r="AG1160" s="200">
        <f t="shared" si="5879"/>
        <v>0</v>
      </c>
      <c r="AH1160" s="171">
        <f t="shared" si="13"/>
        <v>0</v>
      </c>
      <c r="AI1160" s="200">
        <f t="shared" si="14"/>
        <v>0</v>
      </c>
      <c r="AJ1160" s="200">
        <f t="shared" si="5594"/>
        <v>0</v>
      </c>
      <c r="AK1160" s="201">
        <f t="shared" ref="AK1160:AS1160" si="5880">countif($D1160,"*"&amp;AK$2&amp;"*")</f>
        <v>0</v>
      </c>
      <c r="AL1160" s="201">
        <f t="shared" si="5880"/>
        <v>0</v>
      </c>
      <c r="AM1160" s="201">
        <f t="shared" si="5880"/>
        <v>0</v>
      </c>
      <c r="AN1160" s="201">
        <f t="shared" si="5880"/>
        <v>0</v>
      </c>
      <c r="AO1160" s="201">
        <f t="shared" si="5880"/>
        <v>0</v>
      </c>
      <c r="AP1160" s="201">
        <f t="shared" si="5880"/>
        <v>0</v>
      </c>
      <c r="AQ1160" s="201">
        <f t="shared" si="5880"/>
        <v>0</v>
      </c>
      <c r="AR1160" s="200">
        <f t="shared" si="5880"/>
        <v>0</v>
      </c>
      <c r="AS1160" s="200">
        <f t="shared" si="5880"/>
        <v>0</v>
      </c>
      <c r="AT1160" s="173">
        <v>0.0</v>
      </c>
      <c r="AU1160" s="200">
        <f t="shared" ref="AU1160:AX1160" si="5881">countif($D1160,"*"&amp;AU$2&amp;"*")</f>
        <v>0</v>
      </c>
      <c r="AV1160" s="200">
        <f t="shared" si="5881"/>
        <v>1</v>
      </c>
      <c r="AW1160" s="200">
        <f t="shared" si="5881"/>
        <v>0</v>
      </c>
      <c r="AX1160" s="200">
        <f t="shared" si="5881"/>
        <v>0</v>
      </c>
      <c r="AY1160" s="202">
        <v>0.0</v>
      </c>
      <c r="AZ1160" s="200"/>
      <c r="BA1160" s="171" t="str">
        <f t="shared" si="18"/>
        <v/>
      </c>
      <c r="BB1160" s="171" t="str">
        <f t="shared" si="19"/>
        <v>Code</v>
      </c>
      <c r="BC1160" s="171" t="str">
        <f t="shared" si="20"/>
        <v/>
      </c>
      <c r="BD1160" s="171" t="str">
        <f t="shared" si="21"/>
        <v/>
      </c>
      <c r="BE1160" s="171" t="str">
        <f t="shared" si="22"/>
        <v/>
      </c>
      <c r="BF1160" s="171" t="str">
        <f t="shared" si="23"/>
        <v>Code</v>
      </c>
    </row>
    <row r="1161">
      <c r="A1161" s="171">
        <f t="array" ref="A1161">XLOOKUP(C1161,ICSE!A:A,ICSE!C:C,,2,1)</f>
        <v>2023</v>
      </c>
      <c r="B1161" s="171" t="s">
        <v>5675</v>
      </c>
      <c r="C1161" s="160">
        <v>2177.0</v>
      </c>
      <c r="D1161" s="161" t="s">
        <v>6146</v>
      </c>
      <c r="E1161" s="197" t="str">
        <f t="array" ref="E1161">XLOOKUP(C1161,ICSE!A:A,ICSE!Z:Z,,0,1)</f>
        <v>Publicly available (1)
Not available (1) - Broken link.</v>
      </c>
      <c r="F1161" s="198" t="s">
        <v>21</v>
      </c>
      <c r="G1161" s="163" t="str">
        <f t="array" ref="G1161">IF(B1161="ICSE",IF(COUNTIFS(B:B,B1161,C:C,C1161)=XLOOKUP(C1161,ICSE!A:A,ICSE!AA:AA,"ERROR",0,1),"OK","ERROR"),IF(B1161="FSE",IF(COUNTIFS(B:B,B1161,C:C,C1161)=XLOOKUP(C1161,FSE!A:A,FSE!AA:AA,"ERROR",0,1),"OK","ERROR")))</f>
        <v>OK</v>
      </c>
      <c r="H1161" s="199">
        <f t="shared" ref="H1161:O1161" si="5882">countif($D1161,"*"&amp;H$2&amp;"*")</f>
        <v>0</v>
      </c>
      <c r="I1161" s="200">
        <f t="shared" si="5882"/>
        <v>0</v>
      </c>
      <c r="J1161" s="200">
        <f t="shared" si="5882"/>
        <v>0</v>
      </c>
      <c r="K1161" s="200">
        <f t="shared" si="5882"/>
        <v>0</v>
      </c>
      <c r="L1161" s="200">
        <f t="shared" si="5882"/>
        <v>0</v>
      </c>
      <c r="M1161" s="200">
        <f t="shared" si="5882"/>
        <v>0</v>
      </c>
      <c r="N1161" s="200">
        <f t="shared" si="5882"/>
        <v>0</v>
      </c>
      <c r="O1161" s="200">
        <f t="shared" si="5882"/>
        <v>0</v>
      </c>
      <c r="P1161" s="200">
        <f t="shared" si="9"/>
        <v>0</v>
      </c>
      <c r="Q1161" s="200">
        <f t="shared" ref="Q1161:AC1161" si="5883">countif($D1161,"*"&amp;Q$2&amp;"*")</f>
        <v>0</v>
      </c>
      <c r="R1161" s="200">
        <f t="shared" si="5883"/>
        <v>0</v>
      </c>
      <c r="S1161" s="200">
        <f t="shared" si="5883"/>
        <v>0</v>
      </c>
      <c r="T1161" s="200">
        <f t="shared" si="5883"/>
        <v>0</v>
      </c>
      <c r="U1161" s="200">
        <f t="shared" si="5883"/>
        <v>0</v>
      </c>
      <c r="V1161" s="200">
        <f t="shared" si="5883"/>
        <v>0</v>
      </c>
      <c r="W1161" s="200">
        <f t="shared" si="5883"/>
        <v>0</v>
      </c>
      <c r="X1161" s="200">
        <f t="shared" si="5883"/>
        <v>0</v>
      </c>
      <c r="Y1161" s="200">
        <f t="shared" si="5883"/>
        <v>0</v>
      </c>
      <c r="Z1161" s="200">
        <f t="shared" si="5883"/>
        <v>0</v>
      </c>
      <c r="AA1161" s="200">
        <f t="shared" si="5883"/>
        <v>0</v>
      </c>
      <c r="AB1161" s="200">
        <f t="shared" si="5883"/>
        <v>0</v>
      </c>
      <c r="AC1161" s="200">
        <f t="shared" si="5883"/>
        <v>0</v>
      </c>
      <c r="AD1161" s="200">
        <f t="shared" si="11"/>
        <v>0</v>
      </c>
      <c r="AE1161" s="200">
        <f t="shared" ref="AE1161:AG1161" si="5884">countif($D1161,"*"&amp;AE$2&amp;"*")</f>
        <v>0</v>
      </c>
      <c r="AF1161" s="200">
        <f t="shared" si="5884"/>
        <v>0</v>
      </c>
      <c r="AG1161" s="200">
        <f t="shared" si="5884"/>
        <v>0</v>
      </c>
      <c r="AH1161" s="171">
        <f t="shared" si="13"/>
        <v>1</v>
      </c>
      <c r="AI1161" s="200">
        <f t="shared" si="14"/>
        <v>0</v>
      </c>
      <c r="AJ1161" s="200">
        <f t="shared" si="5594"/>
        <v>0</v>
      </c>
      <c r="AK1161" s="201">
        <f t="shared" ref="AK1161:AS1161" si="5885">countif($D1161,"*"&amp;AK$2&amp;"*")</f>
        <v>0</v>
      </c>
      <c r="AL1161" s="201">
        <f t="shared" si="5885"/>
        <v>0</v>
      </c>
      <c r="AM1161" s="201">
        <f t="shared" si="5885"/>
        <v>0</v>
      </c>
      <c r="AN1161" s="201">
        <f t="shared" si="5885"/>
        <v>0</v>
      </c>
      <c r="AO1161" s="201">
        <f t="shared" si="5885"/>
        <v>0</v>
      </c>
      <c r="AP1161" s="201">
        <f t="shared" si="5885"/>
        <v>0</v>
      </c>
      <c r="AQ1161" s="201">
        <f t="shared" si="5885"/>
        <v>0</v>
      </c>
      <c r="AR1161" s="200">
        <f t="shared" si="5885"/>
        <v>0</v>
      </c>
      <c r="AS1161" s="200">
        <f t="shared" si="5885"/>
        <v>0</v>
      </c>
      <c r="AT1161" s="173">
        <v>0.0</v>
      </c>
      <c r="AU1161" s="200">
        <f t="shared" ref="AU1161:AX1161" si="5886">countif($D1161,"*"&amp;AU$2&amp;"*")</f>
        <v>0</v>
      </c>
      <c r="AV1161" s="200">
        <f t="shared" si="5886"/>
        <v>0</v>
      </c>
      <c r="AW1161" s="200">
        <f t="shared" si="5886"/>
        <v>0</v>
      </c>
      <c r="AX1161" s="200">
        <f t="shared" si="5886"/>
        <v>0</v>
      </c>
      <c r="AY1161" s="202">
        <v>0.0</v>
      </c>
      <c r="AZ1161" s="200"/>
      <c r="BA1161" s="171" t="str">
        <f t="shared" si="18"/>
        <v/>
      </c>
      <c r="BB1161" s="171" t="str">
        <f t="shared" si="19"/>
        <v/>
      </c>
      <c r="BC1161" s="171" t="str">
        <f t="shared" si="20"/>
        <v/>
      </c>
      <c r="BD1161" s="171" t="str">
        <f t="shared" si="21"/>
        <v/>
      </c>
      <c r="BE1161" s="171" t="str">
        <f t="shared" si="22"/>
        <v>Others</v>
      </c>
      <c r="BF1161" s="171" t="str">
        <f t="shared" si="23"/>
        <v>Others</v>
      </c>
    </row>
    <row r="1162">
      <c r="A1162" s="171">
        <f t="array" ref="A1162">XLOOKUP(C1162,ICSE!A:A,ICSE!C:C,,2,1)</f>
        <v>2023</v>
      </c>
      <c r="B1162" s="171" t="s">
        <v>5675</v>
      </c>
      <c r="C1162" s="160">
        <v>2178.0</v>
      </c>
      <c r="D1162" s="161" t="s">
        <v>6147</v>
      </c>
      <c r="E1162" s="197" t="str">
        <f t="array" ref="E1162">XLOOKUP(C1162,ICSE!A:A,ICSE!Z:Z,,0,1)</f>
        <v>Publicly available (2)
Not available (1) - Broken link.</v>
      </c>
      <c r="F1162" s="198" t="s">
        <v>20</v>
      </c>
      <c r="G1162" s="163" t="str">
        <f t="array" ref="G1162">IF(B1162="ICSE",IF(COUNTIFS(B:B,B1162,C:C,C1162)=XLOOKUP(C1162,ICSE!A:A,ICSE!AA:AA,"ERROR",0,1),"OK","ERROR"),IF(B1162="FSE",IF(COUNTIFS(B:B,B1162,C:C,C1162)=XLOOKUP(C1162,FSE!A:A,FSE!AA:AA,"ERROR",0,1),"OK","ERROR")))</f>
        <v>OK</v>
      </c>
      <c r="H1162" s="199">
        <f t="shared" ref="H1162:O1162" si="5887">countif($D1162,"*"&amp;H$2&amp;"*")</f>
        <v>0</v>
      </c>
      <c r="I1162" s="200">
        <f t="shared" si="5887"/>
        <v>0</v>
      </c>
      <c r="J1162" s="200">
        <f t="shared" si="5887"/>
        <v>0</v>
      </c>
      <c r="K1162" s="200">
        <f t="shared" si="5887"/>
        <v>0</v>
      </c>
      <c r="L1162" s="200">
        <f t="shared" si="5887"/>
        <v>0</v>
      </c>
      <c r="M1162" s="200">
        <f t="shared" si="5887"/>
        <v>0</v>
      </c>
      <c r="N1162" s="200">
        <f t="shared" si="5887"/>
        <v>0</v>
      </c>
      <c r="O1162" s="200">
        <f t="shared" si="5887"/>
        <v>0</v>
      </c>
      <c r="P1162" s="200">
        <f t="shared" si="9"/>
        <v>1</v>
      </c>
      <c r="Q1162" s="200">
        <f t="shared" ref="Q1162:AC1162" si="5888">countif($D1162,"*"&amp;Q$2&amp;"*")</f>
        <v>0</v>
      </c>
      <c r="R1162" s="200">
        <f t="shared" si="5888"/>
        <v>0</v>
      </c>
      <c r="S1162" s="200">
        <f t="shared" si="5888"/>
        <v>0</v>
      </c>
      <c r="T1162" s="200">
        <f t="shared" si="5888"/>
        <v>0</v>
      </c>
      <c r="U1162" s="200">
        <f t="shared" si="5888"/>
        <v>0</v>
      </c>
      <c r="V1162" s="200">
        <f t="shared" si="5888"/>
        <v>0</v>
      </c>
      <c r="W1162" s="200">
        <f t="shared" si="5888"/>
        <v>0</v>
      </c>
      <c r="X1162" s="200">
        <f t="shared" si="5888"/>
        <v>0</v>
      </c>
      <c r="Y1162" s="200">
        <f t="shared" si="5888"/>
        <v>0</v>
      </c>
      <c r="Z1162" s="200">
        <f t="shared" si="5888"/>
        <v>0</v>
      </c>
      <c r="AA1162" s="200">
        <f t="shared" si="5888"/>
        <v>0</v>
      </c>
      <c r="AB1162" s="200">
        <f t="shared" si="5888"/>
        <v>0</v>
      </c>
      <c r="AC1162" s="200">
        <f t="shared" si="5888"/>
        <v>0</v>
      </c>
      <c r="AD1162" s="200">
        <f t="shared" si="11"/>
        <v>0</v>
      </c>
      <c r="AE1162" s="200">
        <f t="shared" ref="AE1162:AG1162" si="5889">countif($D1162,"*"&amp;AE$2&amp;"*")</f>
        <v>0</v>
      </c>
      <c r="AF1162" s="200">
        <f t="shared" si="5889"/>
        <v>0</v>
      </c>
      <c r="AG1162" s="200">
        <f t="shared" si="5889"/>
        <v>0</v>
      </c>
      <c r="AH1162" s="171">
        <f t="shared" si="13"/>
        <v>0</v>
      </c>
      <c r="AI1162" s="200">
        <f t="shared" si="14"/>
        <v>0</v>
      </c>
      <c r="AJ1162" s="200">
        <f t="shared" si="5594"/>
        <v>0</v>
      </c>
      <c r="AK1162" s="201">
        <f t="shared" ref="AK1162:AS1162" si="5890">countif($D1162,"*"&amp;AK$2&amp;"*")</f>
        <v>0</v>
      </c>
      <c r="AL1162" s="201">
        <f t="shared" si="5890"/>
        <v>0</v>
      </c>
      <c r="AM1162" s="201">
        <f t="shared" si="5890"/>
        <v>0</v>
      </c>
      <c r="AN1162" s="201">
        <f t="shared" si="5890"/>
        <v>0</v>
      </c>
      <c r="AO1162" s="201">
        <f t="shared" si="5890"/>
        <v>0</v>
      </c>
      <c r="AP1162" s="201">
        <f t="shared" si="5890"/>
        <v>0</v>
      </c>
      <c r="AQ1162" s="201">
        <f t="shared" si="5890"/>
        <v>0</v>
      </c>
      <c r="AR1162" s="200">
        <f t="shared" si="5890"/>
        <v>0</v>
      </c>
      <c r="AS1162" s="200">
        <f t="shared" si="5890"/>
        <v>0</v>
      </c>
      <c r="AT1162" s="173">
        <v>0.0</v>
      </c>
      <c r="AU1162" s="200">
        <f t="shared" ref="AU1162:AX1162" si="5891">countif($D1162,"*"&amp;AU$2&amp;"*")</f>
        <v>0</v>
      </c>
      <c r="AV1162" s="200">
        <f t="shared" si="5891"/>
        <v>1</v>
      </c>
      <c r="AW1162" s="200">
        <f t="shared" si="5891"/>
        <v>0</v>
      </c>
      <c r="AX1162" s="200">
        <f t="shared" si="5891"/>
        <v>0</v>
      </c>
      <c r="AY1162" s="202">
        <v>0.0</v>
      </c>
      <c r="AZ1162" s="200"/>
      <c r="BA1162" s="171" t="str">
        <f t="shared" si="18"/>
        <v/>
      </c>
      <c r="BB1162" s="171" t="str">
        <f t="shared" si="19"/>
        <v>Code</v>
      </c>
      <c r="BC1162" s="171" t="str">
        <f t="shared" si="20"/>
        <v/>
      </c>
      <c r="BD1162" s="171" t="str">
        <f t="shared" si="21"/>
        <v/>
      </c>
      <c r="BE1162" s="171" t="str">
        <f t="shared" si="22"/>
        <v/>
      </c>
      <c r="BF1162" s="171" t="str">
        <f t="shared" si="23"/>
        <v>Code</v>
      </c>
    </row>
    <row r="1163">
      <c r="A1163" s="171">
        <f t="array" ref="A1163">XLOOKUP(C1163,ICSE!A:A,ICSE!C:C,,2,1)</f>
        <v>2023</v>
      </c>
      <c r="B1163" s="171" t="s">
        <v>5675</v>
      </c>
      <c r="C1163" s="160">
        <v>2178.0</v>
      </c>
      <c r="D1163" s="161" t="s">
        <v>6148</v>
      </c>
      <c r="E1163" s="197" t="str">
        <f t="array" ref="E1163">XLOOKUP(C1163,ICSE!A:A,ICSE!Z:Z,,0,1)</f>
        <v>Publicly available (2)
Not available (1) - Broken link.</v>
      </c>
      <c r="F1163" s="198" t="s">
        <v>20</v>
      </c>
      <c r="G1163" s="163" t="str">
        <f t="array" ref="G1163">IF(B1163="ICSE",IF(COUNTIFS(B:B,B1163,C:C,C1163)=XLOOKUP(C1163,ICSE!A:A,ICSE!AA:AA,"ERROR",0,1),"OK","ERROR"),IF(B1163="FSE",IF(COUNTIFS(B:B,B1163,C:C,C1163)=XLOOKUP(C1163,FSE!A:A,FSE!AA:AA,"ERROR",0,1),"OK","ERROR")))</f>
        <v>OK</v>
      </c>
      <c r="H1163" s="199">
        <f t="shared" ref="H1163:O1163" si="5892">countif($D1163,"*"&amp;H$2&amp;"*")</f>
        <v>1</v>
      </c>
      <c r="I1163" s="200">
        <f t="shared" si="5892"/>
        <v>0</v>
      </c>
      <c r="J1163" s="200">
        <f t="shared" si="5892"/>
        <v>0</v>
      </c>
      <c r="K1163" s="200">
        <f t="shared" si="5892"/>
        <v>0</v>
      </c>
      <c r="L1163" s="200">
        <f t="shared" si="5892"/>
        <v>0</v>
      </c>
      <c r="M1163" s="200">
        <f t="shared" si="5892"/>
        <v>0</v>
      </c>
      <c r="N1163" s="200">
        <f t="shared" si="5892"/>
        <v>0</v>
      </c>
      <c r="O1163" s="200">
        <f t="shared" si="5892"/>
        <v>0</v>
      </c>
      <c r="P1163" s="200">
        <f t="shared" si="9"/>
        <v>0</v>
      </c>
      <c r="Q1163" s="200">
        <f t="shared" ref="Q1163:AC1163" si="5893">countif($D1163,"*"&amp;Q$2&amp;"*")</f>
        <v>0</v>
      </c>
      <c r="R1163" s="200">
        <f t="shared" si="5893"/>
        <v>0</v>
      </c>
      <c r="S1163" s="200">
        <f t="shared" si="5893"/>
        <v>0</v>
      </c>
      <c r="T1163" s="200">
        <f t="shared" si="5893"/>
        <v>0</v>
      </c>
      <c r="U1163" s="200">
        <f t="shared" si="5893"/>
        <v>0</v>
      </c>
      <c r="V1163" s="200">
        <f t="shared" si="5893"/>
        <v>0</v>
      </c>
      <c r="W1163" s="200">
        <f t="shared" si="5893"/>
        <v>0</v>
      </c>
      <c r="X1163" s="200">
        <f t="shared" si="5893"/>
        <v>0</v>
      </c>
      <c r="Y1163" s="200">
        <f t="shared" si="5893"/>
        <v>0</v>
      </c>
      <c r="Z1163" s="200">
        <f t="shared" si="5893"/>
        <v>0</v>
      </c>
      <c r="AA1163" s="200">
        <f t="shared" si="5893"/>
        <v>0</v>
      </c>
      <c r="AB1163" s="200">
        <f t="shared" si="5893"/>
        <v>0</v>
      </c>
      <c r="AC1163" s="200">
        <f t="shared" si="5893"/>
        <v>0</v>
      </c>
      <c r="AD1163" s="200">
        <f t="shared" si="11"/>
        <v>0</v>
      </c>
      <c r="AE1163" s="200">
        <f t="shared" ref="AE1163:AG1163" si="5894">countif($D1163,"*"&amp;AE$2&amp;"*")</f>
        <v>0</v>
      </c>
      <c r="AF1163" s="200">
        <f t="shared" si="5894"/>
        <v>0</v>
      </c>
      <c r="AG1163" s="200">
        <f t="shared" si="5894"/>
        <v>0</v>
      </c>
      <c r="AH1163" s="171">
        <f t="shared" si="13"/>
        <v>0</v>
      </c>
      <c r="AI1163" s="200">
        <f t="shared" si="14"/>
        <v>1</v>
      </c>
      <c r="AJ1163" s="200">
        <f t="shared" si="5594"/>
        <v>0</v>
      </c>
      <c r="AK1163" s="201">
        <f t="shared" ref="AK1163:AS1163" si="5895">countif($D1163,"*"&amp;AK$2&amp;"*")</f>
        <v>0</v>
      </c>
      <c r="AL1163" s="201">
        <f t="shared" si="5895"/>
        <v>0</v>
      </c>
      <c r="AM1163" s="201">
        <f t="shared" si="5895"/>
        <v>0</v>
      </c>
      <c r="AN1163" s="201">
        <f t="shared" si="5895"/>
        <v>0</v>
      </c>
      <c r="AO1163" s="201">
        <f t="shared" si="5895"/>
        <v>0</v>
      </c>
      <c r="AP1163" s="201">
        <f t="shared" si="5895"/>
        <v>0</v>
      </c>
      <c r="AQ1163" s="201">
        <f t="shared" si="5895"/>
        <v>0</v>
      </c>
      <c r="AR1163" s="200">
        <f t="shared" si="5895"/>
        <v>0</v>
      </c>
      <c r="AS1163" s="200">
        <f t="shared" si="5895"/>
        <v>0</v>
      </c>
      <c r="AT1163" s="173">
        <v>0.0</v>
      </c>
      <c r="AU1163" s="200">
        <f t="shared" ref="AU1163:AX1163" si="5896">countif($D1163,"*"&amp;AU$2&amp;"*")</f>
        <v>0</v>
      </c>
      <c r="AV1163" s="200">
        <f t="shared" si="5896"/>
        <v>0</v>
      </c>
      <c r="AW1163" s="200">
        <f t="shared" si="5896"/>
        <v>0</v>
      </c>
      <c r="AX1163" s="200">
        <f t="shared" si="5896"/>
        <v>1</v>
      </c>
      <c r="AY1163" s="202">
        <v>0.0</v>
      </c>
      <c r="AZ1163" s="200"/>
      <c r="BA1163" s="171" t="str">
        <f t="shared" si="18"/>
        <v>Archival</v>
      </c>
      <c r="BB1163" s="171" t="str">
        <f t="shared" si="19"/>
        <v/>
      </c>
      <c r="BC1163" s="171" t="str">
        <f t="shared" si="20"/>
        <v/>
      </c>
      <c r="BD1163" s="171" t="str">
        <f t="shared" si="21"/>
        <v/>
      </c>
      <c r="BE1163" s="171" t="str">
        <f t="shared" si="22"/>
        <v/>
      </c>
      <c r="BF1163" s="171" t="str">
        <f t="shared" si="23"/>
        <v>Archival</v>
      </c>
    </row>
    <row r="1164">
      <c r="A1164" s="171">
        <f t="array" ref="A1164">XLOOKUP(C1164,ICSE!A:A,ICSE!C:C,,2,1)</f>
        <v>2023</v>
      </c>
      <c r="B1164" s="171" t="s">
        <v>5675</v>
      </c>
      <c r="C1164" s="160">
        <v>2178.0</v>
      </c>
      <c r="D1164" s="161" t="s">
        <v>6149</v>
      </c>
      <c r="E1164" s="197" t="str">
        <f t="array" ref="E1164">XLOOKUP(C1164,ICSE!A:A,ICSE!Z:Z,,0,1)</f>
        <v>Publicly available (2)
Not available (1) - Broken link.</v>
      </c>
      <c r="F1164" s="198" t="s">
        <v>21</v>
      </c>
      <c r="G1164" s="163" t="str">
        <f t="array" ref="G1164">IF(B1164="ICSE",IF(COUNTIFS(B:B,B1164,C:C,C1164)=XLOOKUP(C1164,ICSE!A:A,ICSE!AA:AA,"ERROR",0,1),"OK","ERROR"),IF(B1164="FSE",IF(COUNTIFS(B:B,B1164,C:C,C1164)=XLOOKUP(C1164,FSE!A:A,FSE!AA:AA,"ERROR",0,1),"OK","ERROR")))</f>
        <v>OK</v>
      </c>
      <c r="H1164" s="199">
        <f t="shared" ref="H1164:O1164" si="5897">countif($D1164,"*"&amp;H$2&amp;"*")</f>
        <v>0</v>
      </c>
      <c r="I1164" s="200">
        <f t="shared" si="5897"/>
        <v>0</v>
      </c>
      <c r="J1164" s="200">
        <f t="shared" si="5897"/>
        <v>0</v>
      </c>
      <c r="K1164" s="200">
        <f t="shared" si="5897"/>
        <v>0</v>
      </c>
      <c r="L1164" s="200">
        <f t="shared" si="5897"/>
        <v>0</v>
      </c>
      <c r="M1164" s="200">
        <f t="shared" si="5897"/>
        <v>0</v>
      </c>
      <c r="N1164" s="200">
        <f t="shared" si="5897"/>
        <v>0</v>
      </c>
      <c r="O1164" s="200">
        <f t="shared" si="5897"/>
        <v>0</v>
      </c>
      <c r="P1164" s="200">
        <f t="shared" si="9"/>
        <v>0</v>
      </c>
      <c r="Q1164" s="200">
        <f t="shared" ref="Q1164:AC1164" si="5898">countif($D1164,"*"&amp;Q$2&amp;"*")</f>
        <v>0</v>
      </c>
      <c r="R1164" s="200">
        <f t="shared" si="5898"/>
        <v>0</v>
      </c>
      <c r="S1164" s="200">
        <f t="shared" si="5898"/>
        <v>0</v>
      </c>
      <c r="T1164" s="200">
        <f t="shared" si="5898"/>
        <v>0</v>
      </c>
      <c r="U1164" s="200">
        <f t="shared" si="5898"/>
        <v>0</v>
      </c>
      <c r="V1164" s="200">
        <f t="shared" si="5898"/>
        <v>0</v>
      </c>
      <c r="W1164" s="200">
        <f t="shared" si="5898"/>
        <v>0</v>
      </c>
      <c r="X1164" s="200">
        <f t="shared" si="5898"/>
        <v>0</v>
      </c>
      <c r="Y1164" s="200">
        <f t="shared" si="5898"/>
        <v>0</v>
      </c>
      <c r="Z1164" s="200">
        <f t="shared" si="5898"/>
        <v>0</v>
      </c>
      <c r="AA1164" s="200">
        <f t="shared" si="5898"/>
        <v>0</v>
      </c>
      <c r="AB1164" s="200">
        <f t="shared" si="5898"/>
        <v>0</v>
      </c>
      <c r="AC1164" s="200">
        <f t="shared" si="5898"/>
        <v>0</v>
      </c>
      <c r="AD1164" s="200">
        <f t="shared" si="11"/>
        <v>0</v>
      </c>
      <c r="AE1164" s="200">
        <f t="shared" ref="AE1164:AG1164" si="5899">countif($D1164,"*"&amp;AE$2&amp;"*")</f>
        <v>0</v>
      </c>
      <c r="AF1164" s="200">
        <f t="shared" si="5899"/>
        <v>0</v>
      </c>
      <c r="AG1164" s="200">
        <f t="shared" si="5899"/>
        <v>0</v>
      </c>
      <c r="AH1164" s="171">
        <f t="shared" si="13"/>
        <v>1</v>
      </c>
      <c r="AI1164" s="200">
        <f t="shared" si="14"/>
        <v>0</v>
      </c>
      <c r="AJ1164" s="200">
        <f t="shared" si="5594"/>
        <v>0</v>
      </c>
      <c r="AK1164" s="201">
        <f t="shared" ref="AK1164:AS1164" si="5900">countif($D1164,"*"&amp;AK$2&amp;"*")</f>
        <v>0</v>
      </c>
      <c r="AL1164" s="201">
        <f t="shared" si="5900"/>
        <v>0</v>
      </c>
      <c r="AM1164" s="201">
        <f t="shared" si="5900"/>
        <v>0</v>
      </c>
      <c r="AN1164" s="201">
        <f t="shared" si="5900"/>
        <v>0</v>
      </c>
      <c r="AO1164" s="201">
        <f t="shared" si="5900"/>
        <v>0</v>
      </c>
      <c r="AP1164" s="201">
        <f t="shared" si="5900"/>
        <v>0</v>
      </c>
      <c r="AQ1164" s="201">
        <f t="shared" si="5900"/>
        <v>0</v>
      </c>
      <c r="AR1164" s="200">
        <f t="shared" si="5900"/>
        <v>0</v>
      </c>
      <c r="AS1164" s="200">
        <f t="shared" si="5900"/>
        <v>0</v>
      </c>
      <c r="AT1164" s="173">
        <v>0.0</v>
      </c>
      <c r="AU1164" s="200">
        <f t="shared" ref="AU1164:AX1164" si="5901">countif($D1164,"*"&amp;AU$2&amp;"*")</f>
        <v>0</v>
      </c>
      <c r="AV1164" s="200">
        <f t="shared" si="5901"/>
        <v>0</v>
      </c>
      <c r="AW1164" s="200">
        <f t="shared" si="5901"/>
        <v>0</v>
      </c>
      <c r="AX1164" s="200">
        <f t="shared" si="5901"/>
        <v>0</v>
      </c>
      <c r="AY1164" s="202">
        <v>0.0</v>
      </c>
      <c r="AZ1164" s="200"/>
      <c r="BA1164" s="171" t="str">
        <f t="shared" si="18"/>
        <v/>
      </c>
      <c r="BB1164" s="171" t="str">
        <f t="shared" si="19"/>
        <v/>
      </c>
      <c r="BC1164" s="171" t="str">
        <f t="shared" si="20"/>
        <v/>
      </c>
      <c r="BD1164" s="171" t="str">
        <f t="shared" si="21"/>
        <v/>
      </c>
      <c r="BE1164" s="171" t="str">
        <f t="shared" si="22"/>
        <v>Others</v>
      </c>
      <c r="BF1164" s="171" t="str">
        <f t="shared" si="23"/>
        <v>Others</v>
      </c>
    </row>
    <row r="1165">
      <c r="A1165" s="171">
        <f t="array" ref="A1165">XLOOKUP(C1165,ICSE!A:A,ICSE!C:C,,2,1)</f>
        <v>2023</v>
      </c>
      <c r="B1165" s="171" t="s">
        <v>5675</v>
      </c>
      <c r="C1165" s="160">
        <v>2179.0</v>
      </c>
      <c r="D1165" s="161" t="s">
        <v>3243</v>
      </c>
      <c r="E1165" s="197" t="str">
        <f t="array" ref="E1165">XLOOKUP(C1165,ICSE!A:A,ICSE!Z:Z,,0,1)</f>
        <v>Publicly available (1)</v>
      </c>
      <c r="F1165" s="198" t="s">
        <v>20</v>
      </c>
      <c r="G1165" s="163" t="str">
        <f t="array" ref="G1165">IF(B1165="ICSE",IF(COUNTIFS(B:B,B1165,C:C,C1165)=XLOOKUP(C1165,ICSE!A:A,ICSE!AA:AA,"ERROR",0,1),"OK","ERROR"),IF(B1165="FSE",IF(COUNTIFS(B:B,B1165,C:C,C1165)=XLOOKUP(C1165,FSE!A:A,FSE!AA:AA,"ERROR",0,1),"OK","ERROR")))</f>
        <v>OK</v>
      </c>
      <c r="H1165" s="199">
        <f t="shared" ref="H1165:O1165" si="5902">countif($D1165,"*"&amp;H$2&amp;"*")</f>
        <v>0</v>
      </c>
      <c r="I1165" s="200">
        <f t="shared" si="5902"/>
        <v>0</v>
      </c>
      <c r="J1165" s="200">
        <f t="shared" si="5902"/>
        <v>0</v>
      </c>
      <c r="K1165" s="200">
        <f t="shared" si="5902"/>
        <v>0</v>
      </c>
      <c r="L1165" s="200">
        <f t="shared" si="5902"/>
        <v>0</v>
      </c>
      <c r="M1165" s="200">
        <f t="shared" si="5902"/>
        <v>0</v>
      </c>
      <c r="N1165" s="200">
        <f t="shared" si="5902"/>
        <v>0</v>
      </c>
      <c r="O1165" s="200">
        <f t="shared" si="5902"/>
        <v>0</v>
      </c>
      <c r="P1165" s="200">
        <f t="shared" si="9"/>
        <v>1</v>
      </c>
      <c r="Q1165" s="200">
        <f t="shared" ref="Q1165:AC1165" si="5903">countif($D1165,"*"&amp;Q$2&amp;"*")</f>
        <v>0</v>
      </c>
      <c r="R1165" s="200">
        <f t="shared" si="5903"/>
        <v>0</v>
      </c>
      <c r="S1165" s="200">
        <f t="shared" si="5903"/>
        <v>0</v>
      </c>
      <c r="T1165" s="200">
        <f t="shared" si="5903"/>
        <v>0</v>
      </c>
      <c r="U1165" s="200">
        <f t="shared" si="5903"/>
        <v>0</v>
      </c>
      <c r="V1165" s="200">
        <f t="shared" si="5903"/>
        <v>0</v>
      </c>
      <c r="W1165" s="200">
        <f t="shared" si="5903"/>
        <v>0</v>
      </c>
      <c r="X1165" s="200">
        <f t="shared" si="5903"/>
        <v>0</v>
      </c>
      <c r="Y1165" s="200">
        <f t="shared" si="5903"/>
        <v>0</v>
      </c>
      <c r="Z1165" s="200">
        <f t="shared" si="5903"/>
        <v>0</v>
      </c>
      <c r="AA1165" s="200">
        <f t="shared" si="5903"/>
        <v>0</v>
      </c>
      <c r="AB1165" s="200">
        <f t="shared" si="5903"/>
        <v>0</v>
      </c>
      <c r="AC1165" s="200">
        <f t="shared" si="5903"/>
        <v>0</v>
      </c>
      <c r="AD1165" s="200">
        <f t="shared" si="11"/>
        <v>0</v>
      </c>
      <c r="AE1165" s="200">
        <f t="shared" ref="AE1165:AG1165" si="5904">countif($D1165,"*"&amp;AE$2&amp;"*")</f>
        <v>0</v>
      </c>
      <c r="AF1165" s="200">
        <f t="shared" si="5904"/>
        <v>0</v>
      </c>
      <c r="AG1165" s="200">
        <f t="shared" si="5904"/>
        <v>0</v>
      </c>
      <c r="AH1165" s="171">
        <f t="shared" si="13"/>
        <v>0</v>
      </c>
      <c r="AI1165" s="200">
        <f t="shared" si="14"/>
        <v>0</v>
      </c>
      <c r="AJ1165" s="200">
        <f t="shared" si="5594"/>
        <v>0</v>
      </c>
      <c r="AK1165" s="201">
        <f t="shared" ref="AK1165:AS1165" si="5905">countif($D1165,"*"&amp;AK$2&amp;"*")</f>
        <v>0</v>
      </c>
      <c r="AL1165" s="201">
        <f t="shared" si="5905"/>
        <v>0</v>
      </c>
      <c r="AM1165" s="201">
        <f t="shared" si="5905"/>
        <v>0</v>
      </c>
      <c r="AN1165" s="201">
        <f t="shared" si="5905"/>
        <v>0</v>
      </c>
      <c r="AO1165" s="201">
        <f t="shared" si="5905"/>
        <v>0</v>
      </c>
      <c r="AP1165" s="201">
        <f t="shared" si="5905"/>
        <v>0</v>
      </c>
      <c r="AQ1165" s="201">
        <f t="shared" si="5905"/>
        <v>0</v>
      </c>
      <c r="AR1165" s="200">
        <f t="shared" si="5905"/>
        <v>0</v>
      </c>
      <c r="AS1165" s="200">
        <f t="shared" si="5905"/>
        <v>0</v>
      </c>
      <c r="AT1165" s="173">
        <v>0.0</v>
      </c>
      <c r="AU1165" s="200">
        <f t="shared" ref="AU1165:AX1165" si="5906">countif($D1165,"*"&amp;AU$2&amp;"*")</f>
        <v>0</v>
      </c>
      <c r="AV1165" s="200">
        <f t="shared" si="5906"/>
        <v>1</v>
      </c>
      <c r="AW1165" s="200">
        <f t="shared" si="5906"/>
        <v>0</v>
      </c>
      <c r="AX1165" s="200">
        <f t="shared" si="5906"/>
        <v>0</v>
      </c>
      <c r="AY1165" s="202">
        <v>0.0</v>
      </c>
      <c r="AZ1165" s="200"/>
      <c r="BA1165" s="171" t="str">
        <f t="shared" si="18"/>
        <v/>
      </c>
      <c r="BB1165" s="171" t="str">
        <f t="shared" si="19"/>
        <v>Code</v>
      </c>
      <c r="BC1165" s="171" t="str">
        <f t="shared" si="20"/>
        <v/>
      </c>
      <c r="BD1165" s="171" t="str">
        <f t="shared" si="21"/>
        <v/>
      </c>
      <c r="BE1165" s="171" t="str">
        <f t="shared" si="22"/>
        <v/>
      </c>
      <c r="BF1165" s="171" t="str">
        <f t="shared" si="23"/>
        <v>Code</v>
      </c>
    </row>
    <row r="1166">
      <c r="A1166" s="171">
        <f t="array" ref="A1166">XLOOKUP(C1166,ICSE!A:A,ICSE!C:C,,2,1)</f>
        <v>2023</v>
      </c>
      <c r="B1166" s="171" t="s">
        <v>5675</v>
      </c>
      <c r="C1166" s="160">
        <v>2180.0</v>
      </c>
      <c r="D1166" s="161" t="s">
        <v>6150</v>
      </c>
      <c r="E1166" s="197" t="str">
        <f t="array" ref="E1166">XLOOKUP(C1166,ICSE!A:A,ICSE!Z:Z,,0,1)</f>
        <v>Not available (1) - Broken link.
Publicly available (1)</v>
      </c>
      <c r="F1166" s="198" t="s">
        <v>20</v>
      </c>
      <c r="G1166" s="163" t="str">
        <f t="array" ref="G1166">IF(B1166="ICSE",IF(COUNTIFS(B:B,B1166,C:C,C1166)=XLOOKUP(C1166,ICSE!A:A,ICSE!AA:AA,"ERROR",0,1),"OK","ERROR"),IF(B1166="FSE",IF(COUNTIFS(B:B,B1166,C:C,C1166)=XLOOKUP(C1166,FSE!A:A,FSE!AA:AA,"ERROR",0,1),"OK","ERROR")))</f>
        <v>OK</v>
      </c>
      <c r="H1166" s="199">
        <f t="shared" ref="H1166:O1166" si="5907">countif($D1166,"*"&amp;H$2&amp;"*")</f>
        <v>0</v>
      </c>
      <c r="I1166" s="200">
        <f t="shared" si="5907"/>
        <v>0</v>
      </c>
      <c r="J1166" s="200">
        <f t="shared" si="5907"/>
        <v>0</v>
      </c>
      <c r="K1166" s="200">
        <f t="shared" si="5907"/>
        <v>0</v>
      </c>
      <c r="L1166" s="200">
        <f t="shared" si="5907"/>
        <v>0</v>
      </c>
      <c r="M1166" s="200">
        <f t="shared" si="5907"/>
        <v>0</v>
      </c>
      <c r="N1166" s="200">
        <f t="shared" si="5907"/>
        <v>0</v>
      </c>
      <c r="O1166" s="200">
        <f t="shared" si="5907"/>
        <v>0</v>
      </c>
      <c r="P1166" s="200">
        <f t="shared" si="9"/>
        <v>0</v>
      </c>
      <c r="Q1166" s="200">
        <f t="shared" ref="Q1166:AC1166" si="5908">countif($D1166,"*"&amp;Q$2&amp;"*")</f>
        <v>0</v>
      </c>
      <c r="R1166" s="200">
        <f t="shared" si="5908"/>
        <v>0</v>
      </c>
      <c r="S1166" s="200">
        <f t="shared" si="5908"/>
        <v>0</v>
      </c>
      <c r="T1166" s="200">
        <f t="shared" si="5908"/>
        <v>0</v>
      </c>
      <c r="U1166" s="200">
        <f t="shared" si="5908"/>
        <v>0</v>
      </c>
      <c r="V1166" s="200">
        <f t="shared" si="5908"/>
        <v>0</v>
      </c>
      <c r="W1166" s="200">
        <f t="shared" si="5908"/>
        <v>0</v>
      </c>
      <c r="X1166" s="200">
        <f t="shared" si="5908"/>
        <v>0</v>
      </c>
      <c r="Y1166" s="200">
        <f t="shared" si="5908"/>
        <v>0</v>
      </c>
      <c r="Z1166" s="200">
        <f t="shared" si="5908"/>
        <v>0</v>
      </c>
      <c r="AA1166" s="200">
        <f t="shared" si="5908"/>
        <v>0</v>
      </c>
      <c r="AB1166" s="200">
        <f t="shared" si="5908"/>
        <v>1</v>
      </c>
      <c r="AC1166" s="200">
        <f t="shared" si="5908"/>
        <v>0</v>
      </c>
      <c r="AD1166" s="200">
        <f t="shared" si="11"/>
        <v>0</v>
      </c>
      <c r="AE1166" s="200">
        <f t="shared" ref="AE1166:AG1166" si="5909">countif($D1166,"*"&amp;AE$2&amp;"*")</f>
        <v>0</v>
      </c>
      <c r="AF1166" s="200">
        <f t="shared" si="5909"/>
        <v>0</v>
      </c>
      <c r="AG1166" s="200">
        <f t="shared" si="5909"/>
        <v>0</v>
      </c>
      <c r="AH1166" s="171">
        <f t="shared" si="13"/>
        <v>0</v>
      </c>
      <c r="AI1166" s="200">
        <f t="shared" si="14"/>
        <v>0</v>
      </c>
      <c r="AJ1166" s="200">
        <f t="shared" si="5594"/>
        <v>1</v>
      </c>
      <c r="AK1166" s="201">
        <f t="shared" ref="AK1166:AS1166" si="5910">countif($D1166,"*"&amp;AK$2&amp;"*")</f>
        <v>0</v>
      </c>
      <c r="AL1166" s="201">
        <f t="shared" si="5910"/>
        <v>0</v>
      </c>
      <c r="AM1166" s="201">
        <f t="shared" si="5910"/>
        <v>0</v>
      </c>
      <c r="AN1166" s="201">
        <f t="shared" si="5910"/>
        <v>0</v>
      </c>
      <c r="AO1166" s="201">
        <f t="shared" si="5910"/>
        <v>0</v>
      </c>
      <c r="AP1166" s="201">
        <f t="shared" si="5910"/>
        <v>0</v>
      </c>
      <c r="AQ1166" s="201">
        <f t="shared" si="5910"/>
        <v>0</v>
      </c>
      <c r="AR1166" s="200">
        <f t="shared" si="5910"/>
        <v>1</v>
      </c>
      <c r="AS1166" s="200">
        <f t="shared" si="5910"/>
        <v>1</v>
      </c>
      <c r="AT1166" s="173">
        <v>0.0</v>
      </c>
      <c r="AU1166" s="200">
        <f t="shared" ref="AU1166:AX1166" si="5911">countif($D1166,"*"&amp;AU$2&amp;"*")</f>
        <v>0</v>
      </c>
      <c r="AV1166" s="200">
        <f t="shared" si="5911"/>
        <v>0</v>
      </c>
      <c r="AW1166" s="200">
        <f t="shared" si="5911"/>
        <v>0</v>
      </c>
      <c r="AX1166" s="200">
        <f t="shared" si="5911"/>
        <v>0</v>
      </c>
      <c r="AY1166" s="202">
        <v>0.0</v>
      </c>
      <c r="AZ1166" s="200"/>
      <c r="BA1166" s="171" t="str">
        <f t="shared" si="18"/>
        <v/>
      </c>
      <c r="BB1166" s="171" t="str">
        <f t="shared" si="19"/>
        <v/>
      </c>
      <c r="BC1166" s="171" t="str">
        <f t="shared" si="20"/>
        <v>General-purpose</v>
      </c>
      <c r="BD1166" s="171" t="str">
        <f t="shared" si="21"/>
        <v/>
      </c>
      <c r="BE1166" s="171" t="str">
        <f t="shared" si="22"/>
        <v/>
      </c>
      <c r="BF1166" s="171" t="str">
        <f t="shared" si="23"/>
        <v>General-purpose</v>
      </c>
    </row>
    <row r="1167">
      <c r="A1167" s="171">
        <f t="array" ref="A1167">XLOOKUP(C1167,ICSE!A:A,ICSE!C:C,,2,1)</f>
        <v>2023</v>
      </c>
      <c r="B1167" s="171" t="s">
        <v>5675</v>
      </c>
      <c r="C1167" s="160">
        <v>2180.0</v>
      </c>
      <c r="D1167" s="161" t="s">
        <v>6151</v>
      </c>
      <c r="E1167" s="197" t="str">
        <f t="array" ref="E1167">XLOOKUP(C1167,ICSE!A:A,ICSE!Z:Z,,0,1)</f>
        <v>Not available (1) - Broken link.
Publicly available (1)</v>
      </c>
      <c r="F1167" s="198" t="s">
        <v>21</v>
      </c>
      <c r="G1167" s="163" t="str">
        <f t="array" ref="G1167">IF(B1167="ICSE",IF(COUNTIFS(B:B,B1167,C:C,C1167)=XLOOKUP(C1167,ICSE!A:A,ICSE!AA:AA,"ERROR",0,1),"OK","ERROR"),IF(B1167="FSE",IF(COUNTIFS(B:B,B1167,C:C,C1167)=XLOOKUP(C1167,FSE!A:A,FSE!AA:AA,"ERROR",0,1),"OK","ERROR")))</f>
        <v>OK</v>
      </c>
      <c r="H1167" s="199">
        <f t="shared" ref="H1167:O1167" si="5912">countif($D1167,"*"&amp;H$2&amp;"*")</f>
        <v>0</v>
      </c>
      <c r="I1167" s="200">
        <f t="shared" si="5912"/>
        <v>0</v>
      </c>
      <c r="J1167" s="200">
        <f t="shared" si="5912"/>
        <v>0</v>
      </c>
      <c r="K1167" s="200">
        <f t="shared" si="5912"/>
        <v>0</v>
      </c>
      <c r="L1167" s="200">
        <f t="shared" si="5912"/>
        <v>0</v>
      </c>
      <c r="M1167" s="200">
        <f t="shared" si="5912"/>
        <v>0</v>
      </c>
      <c r="N1167" s="200">
        <f t="shared" si="5912"/>
        <v>0</v>
      </c>
      <c r="O1167" s="200">
        <f t="shared" si="5912"/>
        <v>0</v>
      </c>
      <c r="P1167" s="200">
        <f t="shared" si="9"/>
        <v>1</v>
      </c>
      <c r="Q1167" s="200">
        <f t="shared" ref="Q1167:AC1167" si="5913">countif($D1167,"*"&amp;Q$2&amp;"*")</f>
        <v>0</v>
      </c>
      <c r="R1167" s="200">
        <f t="shared" si="5913"/>
        <v>0</v>
      </c>
      <c r="S1167" s="200">
        <f t="shared" si="5913"/>
        <v>0</v>
      </c>
      <c r="T1167" s="200">
        <f t="shared" si="5913"/>
        <v>0</v>
      </c>
      <c r="U1167" s="200">
        <f t="shared" si="5913"/>
        <v>0</v>
      </c>
      <c r="V1167" s="200">
        <f t="shared" si="5913"/>
        <v>0</v>
      </c>
      <c r="W1167" s="200">
        <f t="shared" si="5913"/>
        <v>0</v>
      </c>
      <c r="X1167" s="200">
        <f t="shared" si="5913"/>
        <v>0</v>
      </c>
      <c r="Y1167" s="200">
        <f t="shared" si="5913"/>
        <v>0</v>
      </c>
      <c r="Z1167" s="200">
        <f t="shared" si="5913"/>
        <v>0</v>
      </c>
      <c r="AA1167" s="200">
        <f t="shared" si="5913"/>
        <v>0</v>
      </c>
      <c r="AB1167" s="200">
        <f t="shared" si="5913"/>
        <v>0</v>
      </c>
      <c r="AC1167" s="200">
        <f t="shared" si="5913"/>
        <v>0</v>
      </c>
      <c r="AD1167" s="200">
        <f t="shared" si="11"/>
        <v>0</v>
      </c>
      <c r="AE1167" s="200">
        <f t="shared" ref="AE1167:AG1167" si="5914">countif($D1167,"*"&amp;AE$2&amp;"*")</f>
        <v>0</v>
      </c>
      <c r="AF1167" s="200">
        <f t="shared" si="5914"/>
        <v>0</v>
      </c>
      <c r="AG1167" s="200">
        <f t="shared" si="5914"/>
        <v>0</v>
      </c>
      <c r="AH1167" s="171">
        <f t="shared" si="13"/>
        <v>0</v>
      </c>
      <c r="AI1167" s="200">
        <f t="shared" si="14"/>
        <v>0</v>
      </c>
      <c r="AJ1167" s="200">
        <f t="shared" si="5594"/>
        <v>0</v>
      </c>
      <c r="AK1167" s="201">
        <f t="shared" ref="AK1167:AS1167" si="5915">countif($D1167,"*"&amp;AK$2&amp;"*")</f>
        <v>0</v>
      </c>
      <c r="AL1167" s="201">
        <f t="shared" si="5915"/>
        <v>0</v>
      </c>
      <c r="AM1167" s="201">
        <f t="shared" si="5915"/>
        <v>0</v>
      </c>
      <c r="AN1167" s="201">
        <f t="shared" si="5915"/>
        <v>0</v>
      </c>
      <c r="AO1167" s="201">
        <f t="shared" si="5915"/>
        <v>0</v>
      </c>
      <c r="AP1167" s="201">
        <f t="shared" si="5915"/>
        <v>0</v>
      </c>
      <c r="AQ1167" s="201">
        <f t="shared" si="5915"/>
        <v>0</v>
      </c>
      <c r="AR1167" s="200">
        <f t="shared" si="5915"/>
        <v>0</v>
      </c>
      <c r="AS1167" s="200">
        <f t="shared" si="5915"/>
        <v>0</v>
      </c>
      <c r="AT1167" s="173">
        <v>0.0</v>
      </c>
      <c r="AU1167" s="200">
        <f t="shared" ref="AU1167:AX1167" si="5916">countif($D1167,"*"&amp;AU$2&amp;"*")</f>
        <v>0</v>
      </c>
      <c r="AV1167" s="200">
        <f t="shared" si="5916"/>
        <v>1</v>
      </c>
      <c r="AW1167" s="200">
        <f t="shared" si="5916"/>
        <v>0</v>
      </c>
      <c r="AX1167" s="200">
        <f t="shared" si="5916"/>
        <v>0</v>
      </c>
      <c r="AY1167" s="202">
        <v>0.0</v>
      </c>
      <c r="AZ1167" s="200"/>
      <c r="BA1167" s="171" t="str">
        <f t="shared" si="18"/>
        <v/>
      </c>
      <c r="BB1167" s="171" t="str">
        <f t="shared" si="19"/>
        <v>Code</v>
      </c>
      <c r="BC1167" s="171" t="str">
        <f t="shared" si="20"/>
        <v/>
      </c>
      <c r="BD1167" s="171" t="str">
        <f t="shared" si="21"/>
        <v/>
      </c>
      <c r="BE1167" s="171" t="str">
        <f t="shared" si="22"/>
        <v/>
      </c>
      <c r="BF1167" s="171" t="str">
        <f t="shared" si="23"/>
        <v>Code</v>
      </c>
    </row>
    <row r="1168">
      <c r="A1168" s="171">
        <f t="array" ref="A1168">XLOOKUP(C1168,ICSE!A:A,ICSE!C:C,,2,1)</f>
        <v>2023</v>
      </c>
      <c r="B1168" s="171" t="s">
        <v>5675</v>
      </c>
      <c r="C1168" s="160">
        <v>2181.0</v>
      </c>
      <c r="D1168" s="161" t="s">
        <v>3249</v>
      </c>
      <c r="E1168" s="197" t="str">
        <f t="array" ref="E1168">XLOOKUP(C1168,ICSE!A:A,ICSE!Z:Z,,0,1)</f>
        <v>Publicly available (1)</v>
      </c>
      <c r="F1168" s="198" t="s">
        <v>20</v>
      </c>
      <c r="G1168" s="163" t="str">
        <f t="array" ref="G1168">IF(B1168="ICSE",IF(COUNTIFS(B:B,B1168,C:C,C1168)=XLOOKUP(C1168,ICSE!A:A,ICSE!AA:AA,"ERROR",0,1),"OK","ERROR"),IF(B1168="FSE",IF(COUNTIFS(B:B,B1168,C:C,C1168)=XLOOKUP(C1168,FSE!A:A,FSE!AA:AA,"ERROR",0,1),"OK","ERROR")))</f>
        <v>OK</v>
      </c>
      <c r="H1168" s="199">
        <f t="shared" ref="H1168:O1168" si="5917">countif($D1168,"*"&amp;H$2&amp;"*")</f>
        <v>0</v>
      </c>
      <c r="I1168" s="200">
        <f t="shared" si="5917"/>
        <v>1</v>
      </c>
      <c r="J1168" s="200">
        <f t="shared" si="5917"/>
        <v>0</v>
      </c>
      <c r="K1168" s="200">
        <f t="shared" si="5917"/>
        <v>0</v>
      </c>
      <c r="L1168" s="200">
        <f t="shared" si="5917"/>
        <v>0</v>
      </c>
      <c r="M1168" s="200">
        <f t="shared" si="5917"/>
        <v>0</v>
      </c>
      <c r="N1168" s="200">
        <f t="shared" si="5917"/>
        <v>0</v>
      </c>
      <c r="O1168" s="200">
        <f t="shared" si="5917"/>
        <v>0</v>
      </c>
      <c r="P1168" s="200">
        <f t="shared" si="9"/>
        <v>0</v>
      </c>
      <c r="Q1168" s="200">
        <f t="shared" ref="Q1168:AC1168" si="5918">countif($D1168,"*"&amp;Q$2&amp;"*")</f>
        <v>0</v>
      </c>
      <c r="R1168" s="200">
        <f t="shared" si="5918"/>
        <v>0</v>
      </c>
      <c r="S1168" s="200">
        <f t="shared" si="5918"/>
        <v>0</v>
      </c>
      <c r="T1168" s="200">
        <f t="shared" si="5918"/>
        <v>0</v>
      </c>
      <c r="U1168" s="200">
        <f t="shared" si="5918"/>
        <v>0</v>
      </c>
      <c r="V1168" s="200">
        <f t="shared" si="5918"/>
        <v>0</v>
      </c>
      <c r="W1168" s="200">
        <f t="shared" si="5918"/>
        <v>0</v>
      </c>
      <c r="X1168" s="200">
        <f t="shared" si="5918"/>
        <v>0</v>
      </c>
      <c r="Y1168" s="200">
        <f t="shared" si="5918"/>
        <v>0</v>
      </c>
      <c r="Z1168" s="200">
        <f t="shared" si="5918"/>
        <v>0</v>
      </c>
      <c r="AA1168" s="200">
        <f t="shared" si="5918"/>
        <v>0</v>
      </c>
      <c r="AB1168" s="200">
        <f t="shared" si="5918"/>
        <v>0</v>
      </c>
      <c r="AC1168" s="200">
        <f t="shared" si="5918"/>
        <v>0</v>
      </c>
      <c r="AD1168" s="200">
        <f t="shared" si="11"/>
        <v>0</v>
      </c>
      <c r="AE1168" s="200">
        <f t="shared" ref="AE1168:AG1168" si="5919">countif($D1168,"*"&amp;AE$2&amp;"*")</f>
        <v>0</v>
      </c>
      <c r="AF1168" s="200">
        <f t="shared" si="5919"/>
        <v>0</v>
      </c>
      <c r="AG1168" s="200">
        <f t="shared" si="5919"/>
        <v>0</v>
      </c>
      <c r="AH1168" s="171">
        <f t="shared" si="13"/>
        <v>0</v>
      </c>
      <c r="AI1168" s="200">
        <f t="shared" si="14"/>
        <v>1</v>
      </c>
      <c r="AJ1168" s="200">
        <f t="shared" si="5594"/>
        <v>0</v>
      </c>
      <c r="AK1168" s="201">
        <f t="shared" ref="AK1168:AS1168" si="5920">countif($D1168,"*"&amp;AK$2&amp;"*")</f>
        <v>0</v>
      </c>
      <c r="AL1168" s="201">
        <f t="shared" si="5920"/>
        <v>0</v>
      </c>
      <c r="AM1168" s="201">
        <f t="shared" si="5920"/>
        <v>0</v>
      </c>
      <c r="AN1168" s="201">
        <f t="shared" si="5920"/>
        <v>0</v>
      </c>
      <c r="AO1168" s="201">
        <f t="shared" si="5920"/>
        <v>0</v>
      </c>
      <c r="AP1168" s="201">
        <f t="shared" si="5920"/>
        <v>0</v>
      </c>
      <c r="AQ1168" s="201">
        <f t="shared" si="5920"/>
        <v>0</v>
      </c>
      <c r="AR1168" s="200">
        <f t="shared" si="5920"/>
        <v>0</v>
      </c>
      <c r="AS1168" s="200">
        <f t="shared" si="5920"/>
        <v>0</v>
      </c>
      <c r="AT1168" s="173">
        <v>0.0</v>
      </c>
      <c r="AU1168" s="200">
        <f t="shared" ref="AU1168:AX1168" si="5921">countif($D1168,"*"&amp;AU$2&amp;"*")</f>
        <v>0</v>
      </c>
      <c r="AV1168" s="200">
        <f t="shared" si="5921"/>
        <v>0</v>
      </c>
      <c r="AW1168" s="200">
        <f t="shared" si="5921"/>
        <v>0</v>
      </c>
      <c r="AX1168" s="200">
        <f t="shared" si="5921"/>
        <v>1</v>
      </c>
      <c r="AY1168" s="202">
        <v>0.0</v>
      </c>
      <c r="AZ1168" s="200"/>
      <c r="BA1168" s="171" t="str">
        <f t="shared" si="18"/>
        <v>Archival</v>
      </c>
      <c r="BB1168" s="171" t="str">
        <f t="shared" si="19"/>
        <v/>
      </c>
      <c r="BC1168" s="171" t="str">
        <f t="shared" si="20"/>
        <v/>
      </c>
      <c r="BD1168" s="171" t="str">
        <f t="shared" si="21"/>
        <v/>
      </c>
      <c r="BE1168" s="171" t="str">
        <f t="shared" si="22"/>
        <v/>
      </c>
      <c r="BF1168" s="171" t="str">
        <f t="shared" si="23"/>
        <v>Archival</v>
      </c>
    </row>
    <row r="1169">
      <c r="A1169" s="171">
        <f t="array" ref="A1169">XLOOKUP(C1169,ICSE!A:A,ICSE!C:C,,2,1)</f>
        <v>2023</v>
      </c>
      <c r="B1169" s="171" t="s">
        <v>5675</v>
      </c>
      <c r="C1169" s="160">
        <v>2182.0</v>
      </c>
      <c r="D1169" s="161" t="s">
        <v>6152</v>
      </c>
      <c r="E1169" s="197" t="str">
        <f t="array" ref="E1169">XLOOKUP(C1169,ICSE!A:A,ICSE!Z:Z,,0,1)</f>
        <v>Publicly available (2)</v>
      </c>
      <c r="F1169" s="198" t="s">
        <v>20</v>
      </c>
      <c r="G1169" s="163" t="str">
        <f t="array" ref="G1169">IF(B1169="ICSE",IF(COUNTIFS(B:B,B1169,C:C,C1169)=XLOOKUP(C1169,ICSE!A:A,ICSE!AA:AA,"ERROR",0,1),"OK","ERROR"),IF(B1169="FSE",IF(COUNTIFS(B:B,B1169,C:C,C1169)=XLOOKUP(C1169,FSE!A:A,FSE!AA:AA,"ERROR",0,1),"OK","ERROR")))</f>
        <v>OK</v>
      </c>
      <c r="H1169" s="199">
        <f t="shared" ref="H1169:O1169" si="5922">countif($D1169,"*"&amp;H$2&amp;"*")</f>
        <v>0</v>
      </c>
      <c r="I1169" s="200">
        <f t="shared" si="5922"/>
        <v>0</v>
      </c>
      <c r="J1169" s="200">
        <f t="shared" si="5922"/>
        <v>0</v>
      </c>
      <c r="K1169" s="200">
        <f t="shared" si="5922"/>
        <v>0</v>
      </c>
      <c r="L1169" s="200">
        <f t="shared" si="5922"/>
        <v>0</v>
      </c>
      <c r="M1169" s="200">
        <f t="shared" si="5922"/>
        <v>0</v>
      </c>
      <c r="N1169" s="200">
        <f t="shared" si="5922"/>
        <v>0</v>
      </c>
      <c r="O1169" s="200">
        <f t="shared" si="5922"/>
        <v>0</v>
      </c>
      <c r="P1169" s="200">
        <f t="shared" si="9"/>
        <v>1</v>
      </c>
      <c r="Q1169" s="200">
        <f t="shared" ref="Q1169:AC1169" si="5923">countif($D1169,"*"&amp;Q$2&amp;"*")</f>
        <v>0</v>
      </c>
      <c r="R1169" s="200">
        <f t="shared" si="5923"/>
        <v>0</v>
      </c>
      <c r="S1169" s="200">
        <f t="shared" si="5923"/>
        <v>0</v>
      </c>
      <c r="T1169" s="200">
        <f t="shared" si="5923"/>
        <v>0</v>
      </c>
      <c r="U1169" s="200">
        <f t="shared" si="5923"/>
        <v>0</v>
      </c>
      <c r="V1169" s="200">
        <f t="shared" si="5923"/>
        <v>0</v>
      </c>
      <c r="W1169" s="200">
        <f t="shared" si="5923"/>
        <v>0</v>
      </c>
      <c r="X1169" s="200">
        <f t="shared" si="5923"/>
        <v>0</v>
      </c>
      <c r="Y1169" s="200">
        <f t="shared" si="5923"/>
        <v>0</v>
      </c>
      <c r="Z1169" s="200">
        <f t="shared" si="5923"/>
        <v>0</v>
      </c>
      <c r="AA1169" s="200">
        <f t="shared" si="5923"/>
        <v>0</v>
      </c>
      <c r="AB1169" s="200">
        <f t="shared" si="5923"/>
        <v>0</v>
      </c>
      <c r="AC1169" s="200">
        <f t="shared" si="5923"/>
        <v>0</v>
      </c>
      <c r="AD1169" s="200">
        <f t="shared" si="11"/>
        <v>0</v>
      </c>
      <c r="AE1169" s="200">
        <f t="shared" ref="AE1169:AG1169" si="5924">countif($D1169,"*"&amp;AE$2&amp;"*")</f>
        <v>0</v>
      </c>
      <c r="AF1169" s="200">
        <f t="shared" si="5924"/>
        <v>0</v>
      </c>
      <c r="AG1169" s="200">
        <f t="shared" si="5924"/>
        <v>0</v>
      </c>
      <c r="AH1169" s="171">
        <f t="shared" si="13"/>
        <v>0</v>
      </c>
      <c r="AI1169" s="200">
        <f t="shared" si="14"/>
        <v>0</v>
      </c>
      <c r="AJ1169" s="200">
        <f t="shared" si="5594"/>
        <v>0</v>
      </c>
      <c r="AK1169" s="201">
        <f t="shared" ref="AK1169:AS1169" si="5925">countif($D1169,"*"&amp;AK$2&amp;"*")</f>
        <v>0</v>
      </c>
      <c r="AL1169" s="201">
        <f t="shared" si="5925"/>
        <v>0</v>
      </c>
      <c r="AM1169" s="201">
        <f t="shared" si="5925"/>
        <v>0</v>
      </c>
      <c r="AN1169" s="201">
        <f t="shared" si="5925"/>
        <v>0</v>
      </c>
      <c r="AO1169" s="201">
        <f t="shared" si="5925"/>
        <v>0</v>
      </c>
      <c r="AP1169" s="201">
        <f t="shared" si="5925"/>
        <v>0</v>
      </c>
      <c r="AQ1169" s="201">
        <f t="shared" si="5925"/>
        <v>0</v>
      </c>
      <c r="AR1169" s="200">
        <f t="shared" si="5925"/>
        <v>0</v>
      </c>
      <c r="AS1169" s="200">
        <f t="shared" si="5925"/>
        <v>0</v>
      </c>
      <c r="AT1169" s="173">
        <v>0.0</v>
      </c>
      <c r="AU1169" s="200">
        <f t="shared" ref="AU1169:AX1169" si="5926">countif($D1169,"*"&amp;AU$2&amp;"*")</f>
        <v>0</v>
      </c>
      <c r="AV1169" s="200">
        <f t="shared" si="5926"/>
        <v>1</v>
      </c>
      <c r="AW1169" s="200">
        <f t="shared" si="5926"/>
        <v>0</v>
      </c>
      <c r="AX1169" s="200">
        <f t="shared" si="5926"/>
        <v>0</v>
      </c>
      <c r="AY1169" s="202">
        <v>0.0</v>
      </c>
      <c r="AZ1169" s="200"/>
      <c r="BA1169" s="171" t="str">
        <f t="shared" si="18"/>
        <v/>
      </c>
      <c r="BB1169" s="171" t="str">
        <f t="shared" si="19"/>
        <v>Code</v>
      </c>
      <c r="BC1169" s="171" t="str">
        <f t="shared" si="20"/>
        <v/>
      </c>
      <c r="BD1169" s="171" t="str">
        <f t="shared" si="21"/>
        <v/>
      </c>
      <c r="BE1169" s="171" t="str">
        <f t="shared" si="22"/>
        <v/>
      </c>
      <c r="BF1169" s="171" t="str">
        <f t="shared" si="23"/>
        <v>Code</v>
      </c>
    </row>
    <row r="1170">
      <c r="A1170" s="171">
        <f t="array" ref="A1170">XLOOKUP(C1170,ICSE!A:A,ICSE!C:C,,2,1)</f>
        <v>2023</v>
      </c>
      <c r="B1170" s="171" t="s">
        <v>5675</v>
      </c>
      <c r="C1170" s="160">
        <v>2182.0</v>
      </c>
      <c r="D1170" s="161" t="s">
        <v>6153</v>
      </c>
      <c r="E1170" s="197" t="str">
        <f t="array" ref="E1170">XLOOKUP(C1170,ICSE!A:A,ICSE!Z:Z,,0,1)</f>
        <v>Publicly available (2)</v>
      </c>
      <c r="F1170" s="198" t="s">
        <v>20</v>
      </c>
      <c r="G1170" s="163" t="str">
        <f t="array" ref="G1170">IF(B1170="ICSE",IF(COUNTIFS(B:B,B1170,C:C,C1170)=XLOOKUP(C1170,ICSE!A:A,ICSE!AA:AA,"ERROR",0,1),"OK","ERROR"),IF(B1170="FSE",IF(COUNTIFS(B:B,B1170,C:C,C1170)=XLOOKUP(C1170,FSE!A:A,FSE!AA:AA,"ERROR",0,1),"OK","ERROR")))</f>
        <v>OK</v>
      </c>
      <c r="H1170" s="199">
        <f t="shared" ref="H1170:O1170" si="5927">countif($D1170,"*"&amp;H$2&amp;"*")</f>
        <v>1</v>
      </c>
      <c r="I1170" s="200">
        <f t="shared" si="5927"/>
        <v>0</v>
      </c>
      <c r="J1170" s="200">
        <f t="shared" si="5927"/>
        <v>0</v>
      </c>
      <c r="K1170" s="200">
        <f t="shared" si="5927"/>
        <v>0</v>
      </c>
      <c r="L1170" s="200">
        <f t="shared" si="5927"/>
        <v>0</v>
      </c>
      <c r="M1170" s="200">
        <f t="shared" si="5927"/>
        <v>0</v>
      </c>
      <c r="N1170" s="200">
        <f t="shared" si="5927"/>
        <v>0</v>
      </c>
      <c r="O1170" s="200">
        <f t="shared" si="5927"/>
        <v>0</v>
      </c>
      <c r="P1170" s="200">
        <f t="shared" si="9"/>
        <v>0</v>
      </c>
      <c r="Q1170" s="200">
        <f t="shared" ref="Q1170:AC1170" si="5928">countif($D1170,"*"&amp;Q$2&amp;"*")</f>
        <v>0</v>
      </c>
      <c r="R1170" s="200">
        <f t="shared" si="5928"/>
        <v>0</v>
      </c>
      <c r="S1170" s="200">
        <f t="shared" si="5928"/>
        <v>0</v>
      </c>
      <c r="T1170" s="200">
        <f t="shared" si="5928"/>
        <v>0</v>
      </c>
      <c r="U1170" s="200">
        <f t="shared" si="5928"/>
        <v>0</v>
      </c>
      <c r="V1170" s="200">
        <f t="shared" si="5928"/>
        <v>0</v>
      </c>
      <c r="W1170" s="200">
        <f t="shared" si="5928"/>
        <v>0</v>
      </c>
      <c r="X1170" s="200">
        <f t="shared" si="5928"/>
        <v>0</v>
      </c>
      <c r="Y1170" s="200">
        <f t="shared" si="5928"/>
        <v>0</v>
      </c>
      <c r="Z1170" s="200">
        <f t="shared" si="5928"/>
        <v>0</v>
      </c>
      <c r="AA1170" s="200">
        <f t="shared" si="5928"/>
        <v>0</v>
      </c>
      <c r="AB1170" s="200">
        <f t="shared" si="5928"/>
        <v>0</v>
      </c>
      <c r="AC1170" s="200">
        <f t="shared" si="5928"/>
        <v>0</v>
      </c>
      <c r="AD1170" s="200">
        <f t="shared" si="11"/>
        <v>0</v>
      </c>
      <c r="AE1170" s="200">
        <f t="shared" ref="AE1170:AG1170" si="5929">countif($D1170,"*"&amp;AE$2&amp;"*")</f>
        <v>0</v>
      </c>
      <c r="AF1170" s="200">
        <f t="shared" si="5929"/>
        <v>0</v>
      </c>
      <c r="AG1170" s="200">
        <f t="shared" si="5929"/>
        <v>0</v>
      </c>
      <c r="AH1170" s="171">
        <f t="shared" si="13"/>
        <v>0</v>
      </c>
      <c r="AI1170" s="200">
        <f t="shared" si="14"/>
        <v>1</v>
      </c>
      <c r="AJ1170" s="200">
        <f t="shared" si="5594"/>
        <v>0</v>
      </c>
      <c r="AK1170" s="201">
        <f t="shared" ref="AK1170:AS1170" si="5930">countif($D1170,"*"&amp;AK$2&amp;"*")</f>
        <v>0</v>
      </c>
      <c r="AL1170" s="201">
        <f t="shared" si="5930"/>
        <v>0</v>
      </c>
      <c r="AM1170" s="201">
        <f t="shared" si="5930"/>
        <v>0</v>
      </c>
      <c r="AN1170" s="201">
        <f t="shared" si="5930"/>
        <v>0</v>
      </c>
      <c r="AO1170" s="201">
        <f t="shared" si="5930"/>
        <v>0</v>
      </c>
      <c r="AP1170" s="201">
        <f t="shared" si="5930"/>
        <v>0</v>
      </c>
      <c r="AQ1170" s="201">
        <f t="shared" si="5930"/>
        <v>0</v>
      </c>
      <c r="AR1170" s="200">
        <f t="shared" si="5930"/>
        <v>0</v>
      </c>
      <c r="AS1170" s="200">
        <f t="shared" si="5930"/>
        <v>0</v>
      </c>
      <c r="AT1170" s="173">
        <v>0.0</v>
      </c>
      <c r="AU1170" s="200">
        <f t="shared" ref="AU1170:AX1170" si="5931">countif($D1170,"*"&amp;AU$2&amp;"*")</f>
        <v>0</v>
      </c>
      <c r="AV1170" s="200">
        <f t="shared" si="5931"/>
        <v>0</v>
      </c>
      <c r="AW1170" s="200">
        <f t="shared" si="5931"/>
        <v>0</v>
      </c>
      <c r="AX1170" s="200">
        <f t="shared" si="5931"/>
        <v>1</v>
      </c>
      <c r="AY1170" s="202">
        <v>0.0</v>
      </c>
      <c r="AZ1170" s="200"/>
      <c r="BA1170" s="171" t="str">
        <f t="shared" si="18"/>
        <v>Archival</v>
      </c>
      <c r="BB1170" s="171" t="str">
        <f t="shared" si="19"/>
        <v/>
      </c>
      <c r="BC1170" s="171" t="str">
        <f t="shared" si="20"/>
        <v/>
      </c>
      <c r="BD1170" s="171" t="str">
        <f t="shared" si="21"/>
        <v/>
      </c>
      <c r="BE1170" s="171" t="str">
        <f t="shared" si="22"/>
        <v/>
      </c>
      <c r="BF1170" s="171" t="str">
        <f t="shared" si="23"/>
        <v>Archival</v>
      </c>
    </row>
    <row r="1171">
      <c r="A1171" s="171">
        <f t="array" ref="A1171">XLOOKUP(C1171,ICSE!A:A,ICSE!C:C,,2,1)</f>
        <v>2023</v>
      </c>
      <c r="B1171" s="171" t="s">
        <v>5675</v>
      </c>
      <c r="C1171" s="160">
        <v>2183.0</v>
      </c>
      <c r="D1171" s="161" t="s">
        <v>3255</v>
      </c>
      <c r="E1171" s="197" t="str">
        <f t="array" ref="E1171">XLOOKUP(C1171,ICSE!A:A,ICSE!Z:Z,,0,1)</f>
        <v>Publicly available (1)</v>
      </c>
      <c r="F1171" s="198" t="s">
        <v>20</v>
      </c>
      <c r="G1171" s="163" t="str">
        <f t="array" ref="G1171">IF(B1171="ICSE",IF(COUNTIFS(B:B,B1171,C:C,C1171)=XLOOKUP(C1171,ICSE!A:A,ICSE!AA:AA,"ERROR",0,1),"OK","ERROR"),IF(B1171="FSE",IF(COUNTIFS(B:B,B1171,C:C,C1171)=XLOOKUP(C1171,FSE!A:A,FSE!AA:AA,"ERROR",0,1),"OK","ERROR")))</f>
        <v>OK</v>
      </c>
      <c r="H1171" s="199">
        <f t="shared" ref="H1171:O1171" si="5932">countif($D1171,"*"&amp;H$2&amp;"*")</f>
        <v>0</v>
      </c>
      <c r="I1171" s="200">
        <f t="shared" si="5932"/>
        <v>0</v>
      </c>
      <c r="J1171" s="200">
        <f t="shared" si="5932"/>
        <v>0</v>
      </c>
      <c r="K1171" s="200">
        <f t="shared" si="5932"/>
        <v>0</v>
      </c>
      <c r="L1171" s="200">
        <f t="shared" si="5932"/>
        <v>0</v>
      </c>
      <c r="M1171" s="200">
        <f t="shared" si="5932"/>
        <v>0</v>
      </c>
      <c r="N1171" s="200">
        <f t="shared" si="5932"/>
        <v>0</v>
      </c>
      <c r="O1171" s="200">
        <f t="shared" si="5932"/>
        <v>0</v>
      </c>
      <c r="P1171" s="200">
        <f t="shared" si="9"/>
        <v>1</v>
      </c>
      <c r="Q1171" s="200">
        <f t="shared" ref="Q1171:AC1171" si="5933">countif($D1171,"*"&amp;Q$2&amp;"*")</f>
        <v>0</v>
      </c>
      <c r="R1171" s="200">
        <f t="shared" si="5933"/>
        <v>0</v>
      </c>
      <c r="S1171" s="200">
        <f t="shared" si="5933"/>
        <v>0</v>
      </c>
      <c r="T1171" s="200">
        <f t="shared" si="5933"/>
        <v>0</v>
      </c>
      <c r="U1171" s="200">
        <f t="shared" si="5933"/>
        <v>0</v>
      </c>
      <c r="V1171" s="200">
        <f t="shared" si="5933"/>
        <v>0</v>
      </c>
      <c r="W1171" s="200">
        <f t="shared" si="5933"/>
        <v>0</v>
      </c>
      <c r="X1171" s="200">
        <f t="shared" si="5933"/>
        <v>0</v>
      </c>
      <c r="Y1171" s="200">
        <f t="shared" si="5933"/>
        <v>0</v>
      </c>
      <c r="Z1171" s="200">
        <f t="shared" si="5933"/>
        <v>0</v>
      </c>
      <c r="AA1171" s="200">
        <f t="shared" si="5933"/>
        <v>0</v>
      </c>
      <c r="AB1171" s="200">
        <f t="shared" si="5933"/>
        <v>0</v>
      </c>
      <c r="AC1171" s="200">
        <f t="shared" si="5933"/>
        <v>0</v>
      </c>
      <c r="AD1171" s="200">
        <f t="shared" si="11"/>
        <v>0</v>
      </c>
      <c r="AE1171" s="200">
        <f t="shared" ref="AE1171:AG1171" si="5934">countif($D1171,"*"&amp;AE$2&amp;"*")</f>
        <v>0</v>
      </c>
      <c r="AF1171" s="200">
        <f t="shared" si="5934"/>
        <v>0</v>
      </c>
      <c r="AG1171" s="200">
        <f t="shared" si="5934"/>
        <v>0</v>
      </c>
      <c r="AH1171" s="171">
        <f t="shared" si="13"/>
        <v>0</v>
      </c>
      <c r="AI1171" s="200">
        <f t="shared" si="14"/>
        <v>0</v>
      </c>
      <c r="AJ1171" s="200">
        <f t="shared" si="5594"/>
        <v>0</v>
      </c>
      <c r="AK1171" s="201">
        <f t="shared" ref="AK1171:AS1171" si="5935">countif($D1171,"*"&amp;AK$2&amp;"*")</f>
        <v>0</v>
      </c>
      <c r="AL1171" s="201">
        <f t="shared" si="5935"/>
        <v>0</v>
      </c>
      <c r="AM1171" s="201">
        <f t="shared" si="5935"/>
        <v>0</v>
      </c>
      <c r="AN1171" s="201">
        <f t="shared" si="5935"/>
        <v>0</v>
      </c>
      <c r="AO1171" s="201">
        <f t="shared" si="5935"/>
        <v>0</v>
      </c>
      <c r="AP1171" s="201">
        <f t="shared" si="5935"/>
        <v>0</v>
      </c>
      <c r="AQ1171" s="201">
        <f t="shared" si="5935"/>
        <v>0</v>
      </c>
      <c r="AR1171" s="200">
        <f t="shared" si="5935"/>
        <v>0</v>
      </c>
      <c r="AS1171" s="200">
        <f t="shared" si="5935"/>
        <v>0</v>
      </c>
      <c r="AT1171" s="173">
        <v>0.0</v>
      </c>
      <c r="AU1171" s="200">
        <f t="shared" ref="AU1171:AX1171" si="5936">countif($D1171,"*"&amp;AU$2&amp;"*")</f>
        <v>0</v>
      </c>
      <c r="AV1171" s="200">
        <f t="shared" si="5936"/>
        <v>1</v>
      </c>
      <c r="AW1171" s="200">
        <f t="shared" si="5936"/>
        <v>0</v>
      </c>
      <c r="AX1171" s="200">
        <f t="shared" si="5936"/>
        <v>0</v>
      </c>
      <c r="AY1171" s="202">
        <v>0.0</v>
      </c>
      <c r="AZ1171" s="200"/>
      <c r="BA1171" s="171" t="str">
        <f t="shared" si="18"/>
        <v/>
      </c>
      <c r="BB1171" s="171" t="str">
        <f t="shared" si="19"/>
        <v>Code</v>
      </c>
      <c r="BC1171" s="171" t="str">
        <f t="shared" si="20"/>
        <v/>
      </c>
      <c r="BD1171" s="171" t="str">
        <f t="shared" si="21"/>
        <v/>
      </c>
      <c r="BE1171" s="171" t="str">
        <f t="shared" si="22"/>
        <v/>
      </c>
      <c r="BF1171" s="171" t="str">
        <f t="shared" si="23"/>
        <v>Code</v>
      </c>
    </row>
    <row r="1172">
      <c r="A1172" s="171">
        <f t="array" ref="A1172">XLOOKUP(C1172,ICSE!A:A,ICSE!C:C,,2,1)</f>
        <v>2023</v>
      </c>
      <c r="B1172" s="171" t="s">
        <v>5675</v>
      </c>
      <c r="C1172" s="160">
        <v>2184.0</v>
      </c>
      <c r="D1172" s="161" t="s">
        <v>3258</v>
      </c>
      <c r="E1172" s="197" t="str">
        <f t="array" ref="E1172">XLOOKUP(C1172,ICSE!A:A,ICSE!Z:Z,,0,1)</f>
        <v>Publicly available (1)</v>
      </c>
      <c r="F1172" s="198" t="s">
        <v>20</v>
      </c>
      <c r="G1172" s="163" t="str">
        <f t="array" ref="G1172">IF(B1172="ICSE",IF(COUNTIFS(B:B,B1172,C:C,C1172)=XLOOKUP(C1172,ICSE!A:A,ICSE!AA:AA,"ERROR",0,1),"OK","ERROR"),IF(B1172="FSE",IF(COUNTIFS(B:B,B1172,C:C,C1172)=XLOOKUP(C1172,FSE!A:A,FSE!AA:AA,"ERROR",0,1),"OK","ERROR")))</f>
        <v>OK</v>
      </c>
      <c r="H1172" s="199">
        <f t="shared" ref="H1172:O1172" si="5937">countif($D1172,"*"&amp;H$2&amp;"*")</f>
        <v>0</v>
      </c>
      <c r="I1172" s="200">
        <f t="shared" si="5937"/>
        <v>0</v>
      </c>
      <c r="J1172" s="200">
        <f t="shared" si="5937"/>
        <v>0</v>
      </c>
      <c r="K1172" s="200">
        <f t="shared" si="5937"/>
        <v>0</v>
      </c>
      <c r="L1172" s="200">
        <f t="shared" si="5937"/>
        <v>0</v>
      </c>
      <c r="M1172" s="200">
        <f t="shared" si="5937"/>
        <v>0</v>
      </c>
      <c r="N1172" s="200">
        <f t="shared" si="5937"/>
        <v>0</v>
      </c>
      <c r="O1172" s="200">
        <f t="shared" si="5937"/>
        <v>0</v>
      </c>
      <c r="P1172" s="200">
        <f t="shared" si="9"/>
        <v>1</v>
      </c>
      <c r="Q1172" s="200">
        <f t="shared" ref="Q1172:AC1172" si="5938">countif($D1172,"*"&amp;Q$2&amp;"*")</f>
        <v>0</v>
      </c>
      <c r="R1172" s="200">
        <f t="shared" si="5938"/>
        <v>0</v>
      </c>
      <c r="S1172" s="200">
        <f t="shared" si="5938"/>
        <v>0</v>
      </c>
      <c r="T1172" s="200">
        <f t="shared" si="5938"/>
        <v>0</v>
      </c>
      <c r="U1172" s="200">
        <f t="shared" si="5938"/>
        <v>0</v>
      </c>
      <c r="V1172" s="200">
        <f t="shared" si="5938"/>
        <v>0</v>
      </c>
      <c r="W1172" s="200">
        <f t="shared" si="5938"/>
        <v>0</v>
      </c>
      <c r="X1172" s="200">
        <f t="shared" si="5938"/>
        <v>0</v>
      </c>
      <c r="Y1172" s="200">
        <f t="shared" si="5938"/>
        <v>0</v>
      </c>
      <c r="Z1172" s="200">
        <f t="shared" si="5938"/>
        <v>0</v>
      </c>
      <c r="AA1172" s="200">
        <f t="shared" si="5938"/>
        <v>0</v>
      </c>
      <c r="AB1172" s="200">
        <f t="shared" si="5938"/>
        <v>0</v>
      </c>
      <c r="AC1172" s="200">
        <f t="shared" si="5938"/>
        <v>0</v>
      </c>
      <c r="AD1172" s="200">
        <f t="shared" si="11"/>
        <v>0</v>
      </c>
      <c r="AE1172" s="200">
        <f t="shared" ref="AE1172:AG1172" si="5939">countif($D1172,"*"&amp;AE$2&amp;"*")</f>
        <v>0</v>
      </c>
      <c r="AF1172" s="200">
        <f t="shared" si="5939"/>
        <v>0</v>
      </c>
      <c r="AG1172" s="200">
        <f t="shared" si="5939"/>
        <v>0</v>
      </c>
      <c r="AH1172" s="171">
        <f t="shared" si="13"/>
        <v>0</v>
      </c>
      <c r="AI1172" s="200">
        <f t="shared" si="14"/>
        <v>0</v>
      </c>
      <c r="AJ1172" s="200">
        <f t="shared" si="5594"/>
        <v>0</v>
      </c>
      <c r="AK1172" s="201">
        <f t="shared" ref="AK1172:AS1172" si="5940">countif($D1172,"*"&amp;AK$2&amp;"*")</f>
        <v>0</v>
      </c>
      <c r="AL1172" s="201">
        <f t="shared" si="5940"/>
        <v>0</v>
      </c>
      <c r="AM1172" s="201">
        <f t="shared" si="5940"/>
        <v>0</v>
      </c>
      <c r="AN1172" s="201">
        <f t="shared" si="5940"/>
        <v>0</v>
      </c>
      <c r="AO1172" s="201">
        <f t="shared" si="5940"/>
        <v>0</v>
      </c>
      <c r="AP1172" s="201">
        <f t="shared" si="5940"/>
        <v>0</v>
      </c>
      <c r="AQ1172" s="201">
        <f t="shared" si="5940"/>
        <v>0</v>
      </c>
      <c r="AR1172" s="200">
        <f t="shared" si="5940"/>
        <v>0</v>
      </c>
      <c r="AS1172" s="200">
        <f t="shared" si="5940"/>
        <v>0</v>
      </c>
      <c r="AT1172" s="173">
        <v>0.0</v>
      </c>
      <c r="AU1172" s="200">
        <f t="shared" ref="AU1172:AX1172" si="5941">countif($D1172,"*"&amp;AU$2&amp;"*")</f>
        <v>0</v>
      </c>
      <c r="AV1172" s="200">
        <f t="shared" si="5941"/>
        <v>1</v>
      </c>
      <c r="AW1172" s="200">
        <f t="shared" si="5941"/>
        <v>0</v>
      </c>
      <c r="AX1172" s="200">
        <f t="shared" si="5941"/>
        <v>0</v>
      </c>
      <c r="AY1172" s="202">
        <v>0.0</v>
      </c>
      <c r="AZ1172" s="200"/>
      <c r="BA1172" s="171" t="str">
        <f t="shared" si="18"/>
        <v/>
      </c>
      <c r="BB1172" s="171" t="str">
        <f t="shared" si="19"/>
        <v>Code</v>
      </c>
      <c r="BC1172" s="171" t="str">
        <f t="shared" si="20"/>
        <v/>
      </c>
      <c r="BD1172" s="171" t="str">
        <f t="shared" si="21"/>
        <v/>
      </c>
      <c r="BE1172" s="171" t="str">
        <f t="shared" si="22"/>
        <v/>
      </c>
      <c r="BF1172" s="171" t="str">
        <f t="shared" si="23"/>
        <v>Code</v>
      </c>
    </row>
    <row r="1173">
      <c r="A1173" s="171">
        <f t="array" ref="A1173">XLOOKUP(C1173,ICSE!A:A,ICSE!C:C,,2,1)</f>
        <v>2023</v>
      </c>
      <c r="B1173" s="171" t="s">
        <v>5675</v>
      </c>
      <c r="C1173" s="160">
        <v>2186.0</v>
      </c>
      <c r="D1173" s="161" t="s">
        <v>3261</v>
      </c>
      <c r="E1173" s="197" t="str">
        <f t="array" ref="E1173">XLOOKUP(C1173,ICSE!A:A,ICSE!Z:Z,,0,1)</f>
        <v>Publicly available (1)</v>
      </c>
      <c r="F1173" s="198" t="s">
        <v>20</v>
      </c>
      <c r="G1173" s="163" t="str">
        <f t="array" ref="G1173">IF(B1173="ICSE",IF(COUNTIFS(B:B,B1173,C:C,C1173)=XLOOKUP(C1173,ICSE!A:A,ICSE!AA:AA,"ERROR",0,1),"OK","ERROR"),IF(B1173="FSE",IF(COUNTIFS(B:B,B1173,C:C,C1173)=XLOOKUP(C1173,FSE!A:A,FSE!AA:AA,"ERROR",0,1),"OK","ERROR")))</f>
        <v>OK</v>
      </c>
      <c r="H1173" s="199">
        <f t="shared" ref="H1173:O1173" si="5942">countif($D1173,"*"&amp;H$2&amp;"*")</f>
        <v>1</v>
      </c>
      <c r="I1173" s="200">
        <f t="shared" si="5942"/>
        <v>0</v>
      </c>
      <c r="J1173" s="200">
        <f t="shared" si="5942"/>
        <v>0</v>
      </c>
      <c r="K1173" s="200">
        <f t="shared" si="5942"/>
        <v>0</v>
      </c>
      <c r="L1173" s="200">
        <f t="shared" si="5942"/>
        <v>0</v>
      </c>
      <c r="M1173" s="200">
        <f t="shared" si="5942"/>
        <v>0</v>
      </c>
      <c r="N1173" s="200">
        <f t="shared" si="5942"/>
        <v>0</v>
      </c>
      <c r="O1173" s="200">
        <f t="shared" si="5942"/>
        <v>0</v>
      </c>
      <c r="P1173" s="200">
        <f t="shared" si="9"/>
        <v>0</v>
      </c>
      <c r="Q1173" s="200">
        <f t="shared" ref="Q1173:AC1173" si="5943">countif($D1173,"*"&amp;Q$2&amp;"*")</f>
        <v>0</v>
      </c>
      <c r="R1173" s="200">
        <f t="shared" si="5943"/>
        <v>0</v>
      </c>
      <c r="S1173" s="200">
        <f t="shared" si="5943"/>
        <v>0</v>
      </c>
      <c r="T1173" s="200">
        <f t="shared" si="5943"/>
        <v>0</v>
      </c>
      <c r="U1173" s="200">
        <f t="shared" si="5943"/>
        <v>0</v>
      </c>
      <c r="V1173" s="200">
        <f t="shared" si="5943"/>
        <v>0</v>
      </c>
      <c r="W1173" s="200">
        <f t="shared" si="5943"/>
        <v>0</v>
      </c>
      <c r="X1173" s="200">
        <f t="shared" si="5943"/>
        <v>0</v>
      </c>
      <c r="Y1173" s="200">
        <f t="shared" si="5943"/>
        <v>0</v>
      </c>
      <c r="Z1173" s="200">
        <f t="shared" si="5943"/>
        <v>0</v>
      </c>
      <c r="AA1173" s="200">
        <f t="shared" si="5943"/>
        <v>0</v>
      </c>
      <c r="AB1173" s="200">
        <f t="shared" si="5943"/>
        <v>0</v>
      </c>
      <c r="AC1173" s="200">
        <f t="shared" si="5943"/>
        <v>0</v>
      </c>
      <c r="AD1173" s="200">
        <f t="shared" si="11"/>
        <v>0</v>
      </c>
      <c r="AE1173" s="200">
        <f t="shared" ref="AE1173:AG1173" si="5944">countif($D1173,"*"&amp;AE$2&amp;"*")</f>
        <v>0</v>
      </c>
      <c r="AF1173" s="200">
        <f t="shared" si="5944"/>
        <v>0</v>
      </c>
      <c r="AG1173" s="200">
        <f t="shared" si="5944"/>
        <v>0</v>
      </c>
      <c r="AH1173" s="171">
        <f t="shared" si="13"/>
        <v>0</v>
      </c>
      <c r="AI1173" s="200">
        <f t="shared" si="14"/>
        <v>1</v>
      </c>
      <c r="AJ1173" s="200">
        <f t="shared" si="5594"/>
        <v>0</v>
      </c>
      <c r="AK1173" s="201">
        <f t="shared" ref="AK1173:AS1173" si="5945">countif($D1173,"*"&amp;AK$2&amp;"*")</f>
        <v>0</v>
      </c>
      <c r="AL1173" s="201">
        <f t="shared" si="5945"/>
        <v>0</v>
      </c>
      <c r="AM1173" s="201">
        <f t="shared" si="5945"/>
        <v>0</v>
      </c>
      <c r="AN1173" s="201">
        <f t="shared" si="5945"/>
        <v>0</v>
      </c>
      <c r="AO1173" s="201">
        <f t="shared" si="5945"/>
        <v>0</v>
      </c>
      <c r="AP1173" s="201">
        <f t="shared" si="5945"/>
        <v>0</v>
      </c>
      <c r="AQ1173" s="201">
        <f t="shared" si="5945"/>
        <v>0</v>
      </c>
      <c r="AR1173" s="200">
        <f t="shared" si="5945"/>
        <v>0</v>
      </c>
      <c r="AS1173" s="200">
        <f t="shared" si="5945"/>
        <v>0</v>
      </c>
      <c r="AT1173" s="173">
        <v>0.0</v>
      </c>
      <c r="AU1173" s="200">
        <f t="shared" ref="AU1173:AX1173" si="5946">countif($D1173,"*"&amp;AU$2&amp;"*")</f>
        <v>0</v>
      </c>
      <c r="AV1173" s="200">
        <f t="shared" si="5946"/>
        <v>0</v>
      </c>
      <c r="AW1173" s="200">
        <f t="shared" si="5946"/>
        <v>0</v>
      </c>
      <c r="AX1173" s="200">
        <f t="shared" si="5946"/>
        <v>0</v>
      </c>
      <c r="AY1173" s="204">
        <v>1.0</v>
      </c>
      <c r="AZ1173" s="200"/>
      <c r="BA1173" s="171" t="str">
        <f t="shared" si="18"/>
        <v>Archival</v>
      </c>
      <c r="BB1173" s="171" t="str">
        <f t="shared" si="19"/>
        <v/>
      </c>
      <c r="BC1173" s="171" t="str">
        <f t="shared" si="20"/>
        <v/>
      </c>
      <c r="BD1173" s="171" t="str">
        <f t="shared" si="21"/>
        <v/>
      </c>
      <c r="BE1173" s="171" t="str">
        <f t="shared" si="22"/>
        <v/>
      </c>
      <c r="BF1173" s="171" t="str">
        <f t="shared" si="23"/>
        <v>Archival</v>
      </c>
    </row>
    <row r="1174">
      <c r="A1174" s="171">
        <f t="array" ref="A1174">XLOOKUP(C1174,ICSE!A:A,ICSE!C:C,,2,1)</f>
        <v>2023</v>
      </c>
      <c r="B1174" s="171" t="s">
        <v>5675</v>
      </c>
      <c r="C1174" s="160">
        <v>2187.0</v>
      </c>
      <c r="D1174" s="161" t="s">
        <v>3263</v>
      </c>
      <c r="E1174" s="197" t="str">
        <f t="array" ref="E1174">XLOOKUP(C1174,ICSE!A:A,ICSE!Z:Z,,0,1)</f>
        <v>Publicly available (1)</v>
      </c>
      <c r="F1174" s="198" t="s">
        <v>20</v>
      </c>
      <c r="G1174" s="163" t="str">
        <f t="array" ref="G1174">IF(B1174="ICSE",IF(COUNTIFS(B:B,B1174,C:C,C1174)=XLOOKUP(C1174,ICSE!A:A,ICSE!AA:AA,"ERROR",0,1),"OK","ERROR"),IF(B1174="FSE",IF(COUNTIFS(B:B,B1174,C:C,C1174)=XLOOKUP(C1174,FSE!A:A,FSE!AA:AA,"ERROR",0,1),"OK","ERROR")))</f>
        <v>OK</v>
      </c>
      <c r="H1174" s="199">
        <f t="shared" ref="H1174:O1174" si="5947">countif($D1174,"*"&amp;H$2&amp;"*")</f>
        <v>0</v>
      </c>
      <c r="I1174" s="200">
        <f t="shared" si="5947"/>
        <v>0</v>
      </c>
      <c r="J1174" s="200">
        <f t="shared" si="5947"/>
        <v>0</v>
      </c>
      <c r="K1174" s="200">
        <f t="shared" si="5947"/>
        <v>0</v>
      </c>
      <c r="L1174" s="200">
        <f t="shared" si="5947"/>
        <v>0</v>
      </c>
      <c r="M1174" s="200">
        <f t="shared" si="5947"/>
        <v>0</v>
      </c>
      <c r="N1174" s="200">
        <f t="shared" si="5947"/>
        <v>0</v>
      </c>
      <c r="O1174" s="200">
        <f t="shared" si="5947"/>
        <v>0</v>
      </c>
      <c r="P1174" s="200">
        <f t="shared" si="9"/>
        <v>1</v>
      </c>
      <c r="Q1174" s="200">
        <f t="shared" ref="Q1174:AC1174" si="5948">countif($D1174,"*"&amp;Q$2&amp;"*")</f>
        <v>0</v>
      </c>
      <c r="R1174" s="200">
        <f t="shared" si="5948"/>
        <v>0</v>
      </c>
      <c r="S1174" s="200">
        <f t="shared" si="5948"/>
        <v>0</v>
      </c>
      <c r="T1174" s="200">
        <f t="shared" si="5948"/>
        <v>0</v>
      </c>
      <c r="U1174" s="200">
        <f t="shared" si="5948"/>
        <v>0</v>
      </c>
      <c r="V1174" s="200">
        <f t="shared" si="5948"/>
        <v>0</v>
      </c>
      <c r="W1174" s="200">
        <f t="shared" si="5948"/>
        <v>0</v>
      </c>
      <c r="X1174" s="200">
        <f t="shared" si="5948"/>
        <v>0</v>
      </c>
      <c r="Y1174" s="200">
        <f t="shared" si="5948"/>
        <v>0</v>
      </c>
      <c r="Z1174" s="200">
        <f t="shared" si="5948"/>
        <v>0</v>
      </c>
      <c r="AA1174" s="200">
        <f t="shared" si="5948"/>
        <v>0</v>
      </c>
      <c r="AB1174" s="200">
        <f t="shared" si="5948"/>
        <v>0</v>
      </c>
      <c r="AC1174" s="200">
        <f t="shared" si="5948"/>
        <v>0</v>
      </c>
      <c r="AD1174" s="200">
        <f t="shared" si="11"/>
        <v>0</v>
      </c>
      <c r="AE1174" s="200">
        <f t="shared" ref="AE1174:AG1174" si="5949">countif($D1174,"*"&amp;AE$2&amp;"*")</f>
        <v>0</v>
      </c>
      <c r="AF1174" s="200">
        <f t="shared" si="5949"/>
        <v>0</v>
      </c>
      <c r="AG1174" s="200">
        <f t="shared" si="5949"/>
        <v>0</v>
      </c>
      <c r="AH1174" s="171">
        <f t="shared" si="13"/>
        <v>0</v>
      </c>
      <c r="AI1174" s="200">
        <f t="shared" si="14"/>
        <v>0</v>
      </c>
      <c r="AJ1174" s="200">
        <f t="shared" si="5594"/>
        <v>0</v>
      </c>
      <c r="AK1174" s="201">
        <f t="shared" ref="AK1174:AS1174" si="5950">countif($D1174,"*"&amp;AK$2&amp;"*")</f>
        <v>0</v>
      </c>
      <c r="AL1174" s="201">
        <f t="shared" si="5950"/>
        <v>0</v>
      </c>
      <c r="AM1174" s="201">
        <f t="shared" si="5950"/>
        <v>0</v>
      </c>
      <c r="AN1174" s="201">
        <f t="shared" si="5950"/>
        <v>0</v>
      </c>
      <c r="AO1174" s="201">
        <f t="shared" si="5950"/>
        <v>0</v>
      </c>
      <c r="AP1174" s="201">
        <f t="shared" si="5950"/>
        <v>0</v>
      </c>
      <c r="AQ1174" s="201">
        <f t="shared" si="5950"/>
        <v>0</v>
      </c>
      <c r="AR1174" s="200">
        <f t="shared" si="5950"/>
        <v>0</v>
      </c>
      <c r="AS1174" s="200">
        <f t="shared" si="5950"/>
        <v>0</v>
      </c>
      <c r="AT1174" s="173">
        <v>0.0</v>
      </c>
      <c r="AU1174" s="200">
        <f t="shared" ref="AU1174:AX1174" si="5951">countif($D1174,"*"&amp;AU$2&amp;"*")</f>
        <v>0</v>
      </c>
      <c r="AV1174" s="200">
        <f t="shared" si="5951"/>
        <v>1</v>
      </c>
      <c r="AW1174" s="200">
        <f t="shared" si="5951"/>
        <v>0</v>
      </c>
      <c r="AX1174" s="200">
        <f t="shared" si="5951"/>
        <v>0</v>
      </c>
      <c r="AY1174" s="202">
        <v>0.0</v>
      </c>
      <c r="AZ1174" s="200"/>
      <c r="BA1174" s="171" t="str">
        <f t="shared" si="18"/>
        <v/>
      </c>
      <c r="BB1174" s="171" t="str">
        <f t="shared" si="19"/>
        <v>Code</v>
      </c>
      <c r="BC1174" s="171" t="str">
        <f t="shared" si="20"/>
        <v/>
      </c>
      <c r="BD1174" s="171" t="str">
        <f t="shared" si="21"/>
        <v/>
      </c>
      <c r="BE1174" s="171" t="str">
        <f t="shared" si="22"/>
        <v/>
      </c>
      <c r="BF1174" s="171" t="str">
        <f t="shared" si="23"/>
        <v>Code</v>
      </c>
    </row>
    <row r="1175">
      <c r="A1175" s="171">
        <f t="array" ref="A1175">XLOOKUP(C1175,ICSE!A:A,ICSE!C:C,,2,1)</f>
        <v>2023</v>
      </c>
      <c r="B1175" s="171" t="s">
        <v>5675</v>
      </c>
      <c r="C1175" s="160">
        <v>2188.0</v>
      </c>
      <c r="D1175" s="161" t="s">
        <v>3265</v>
      </c>
      <c r="E1175" s="197" t="str">
        <f t="array" ref="E1175">XLOOKUP(C1175,ICSE!A:A,ICSE!Z:Z,,0,1)</f>
        <v>Publicly available (1)</v>
      </c>
      <c r="F1175" s="198" t="s">
        <v>20</v>
      </c>
      <c r="G1175" s="163" t="str">
        <f t="array" ref="G1175">IF(B1175="ICSE",IF(COUNTIFS(B:B,B1175,C:C,C1175)=XLOOKUP(C1175,ICSE!A:A,ICSE!AA:AA,"ERROR",0,1),"OK","ERROR"),IF(B1175="FSE",IF(COUNTIFS(B:B,B1175,C:C,C1175)=XLOOKUP(C1175,FSE!A:A,FSE!AA:AA,"ERROR",0,1),"OK","ERROR")))</f>
        <v>OK</v>
      </c>
      <c r="H1175" s="199">
        <f t="shared" ref="H1175:O1175" si="5952">countif($D1175,"*"&amp;H$2&amp;"*")</f>
        <v>1</v>
      </c>
      <c r="I1175" s="200">
        <f t="shared" si="5952"/>
        <v>0</v>
      </c>
      <c r="J1175" s="200">
        <f t="shared" si="5952"/>
        <v>0</v>
      </c>
      <c r="K1175" s="200">
        <f t="shared" si="5952"/>
        <v>0</v>
      </c>
      <c r="L1175" s="200">
        <f t="shared" si="5952"/>
        <v>0</v>
      </c>
      <c r="M1175" s="200">
        <f t="shared" si="5952"/>
        <v>0</v>
      </c>
      <c r="N1175" s="200">
        <f t="shared" si="5952"/>
        <v>0</v>
      </c>
      <c r="O1175" s="200">
        <f t="shared" si="5952"/>
        <v>0</v>
      </c>
      <c r="P1175" s="200">
        <f t="shared" si="9"/>
        <v>0</v>
      </c>
      <c r="Q1175" s="200">
        <f t="shared" ref="Q1175:AC1175" si="5953">countif($D1175,"*"&amp;Q$2&amp;"*")</f>
        <v>0</v>
      </c>
      <c r="R1175" s="200">
        <f t="shared" si="5953"/>
        <v>0</v>
      </c>
      <c r="S1175" s="200">
        <f t="shared" si="5953"/>
        <v>0</v>
      </c>
      <c r="T1175" s="200">
        <f t="shared" si="5953"/>
        <v>0</v>
      </c>
      <c r="U1175" s="200">
        <f t="shared" si="5953"/>
        <v>0</v>
      </c>
      <c r="V1175" s="200">
        <f t="shared" si="5953"/>
        <v>0</v>
      </c>
      <c r="W1175" s="200">
        <f t="shared" si="5953"/>
        <v>0</v>
      </c>
      <c r="X1175" s="200">
        <f t="shared" si="5953"/>
        <v>0</v>
      </c>
      <c r="Y1175" s="200">
        <f t="shared" si="5953"/>
        <v>0</v>
      </c>
      <c r="Z1175" s="200">
        <f t="shared" si="5953"/>
        <v>0</v>
      </c>
      <c r="AA1175" s="200">
        <f t="shared" si="5953"/>
        <v>0</v>
      </c>
      <c r="AB1175" s="200">
        <f t="shared" si="5953"/>
        <v>0</v>
      </c>
      <c r="AC1175" s="200">
        <f t="shared" si="5953"/>
        <v>0</v>
      </c>
      <c r="AD1175" s="200">
        <f t="shared" si="11"/>
        <v>0</v>
      </c>
      <c r="AE1175" s="200">
        <f t="shared" ref="AE1175:AG1175" si="5954">countif($D1175,"*"&amp;AE$2&amp;"*")</f>
        <v>0</v>
      </c>
      <c r="AF1175" s="200">
        <f t="shared" si="5954"/>
        <v>0</v>
      </c>
      <c r="AG1175" s="200">
        <f t="shared" si="5954"/>
        <v>0</v>
      </c>
      <c r="AH1175" s="171">
        <f t="shared" si="13"/>
        <v>0</v>
      </c>
      <c r="AI1175" s="200">
        <f t="shared" si="14"/>
        <v>1</v>
      </c>
      <c r="AJ1175" s="200">
        <f t="shared" si="5594"/>
        <v>0</v>
      </c>
      <c r="AK1175" s="201">
        <f t="shared" ref="AK1175:AS1175" si="5955">countif($D1175,"*"&amp;AK$2&amp;"*")</f>
        <v>0</v>
      </c>
      <c r="AL1175" s="201">
        <f t="shared" si="5955"/>
        <v>0</v>
      </c>
      <c r="AM1175" s="201">
        <f t="shared" si="5955"/>
        <v>0</v>
      </c>
      <c r="AN1175" s="201">
        <f t="shared" si="5955"/>
        <v>0</v>
      </c>
      <c r="AO1175" s="201">
        <f t="shared" si="5955"/>
        <v>0</v>
      </c>
      <c r="AP1175" s="201">
        <f t="shared" si="5955"/>
        <v>0</v>
      </c>
      <c r="AQ1175" s="201">
        <f t="shared" si="5955"/>
        <v>0</v>
      </c>
      <c r="AR1175" s="200">
        <f t="shared" si="5955"/>
        <v>0</v>
      </c>
      <c r="AS1175" s="200">
        <f t="shared" si="5955"/>
        <v>0</v>
      </c>
      <c r="AT1175" s="173">
        <v>0.0</v>
      </c>
      <c r="AU1175" s="200">
        <f t="shared" ref="AU1175:AX1175" si="5956">countif($D1175,"*"&amp;AU$2&amp;"*")</f>
        <v>0</v>
      </c>
      <c r="AV1175" s="200">
        <f t="shared" si="5956"/>
        <v>0</v>
      </c>
      <c r="AW1175" s="200">
        <f t="shared" si="5956"/>
        <v>0</v>
      </c>
      <c r="AX1175" s="200">
        <f t="shared" si="5956"/>
        <v>1</v>
      </c>
      <c r="AY1175" s="202">
        <v>0.0</v>
      </c>
      <c r="AZ1175" s="200"/>
      <c r="BA1175" s="171" t="str">
        <f t="shared" si="18"/>
        <v>Archival</v>
      </c>
      <c r="BB1175" s="171" t="str">
        <f t="shared" si="19"/>
        <v/>
      </c>
      <c r="BC1175" s="171" t="str">
        <f t="shared" si="20"/>
        <v/>
      </c>
      <c r="BD1175" s="171" t="str">
        <f t="shared" si="21"/>
        <v/>
      </c>
      <c r="BE1175" s="171" t="str">
        <f t="shared" si="22"/>
        <v/>
      </c>
      <c r="BF1175" s="171" t="str">
        <f t="shared" si="23"/>
        <v>Archival</v>
      </c>
    </row>
    <row r="1176">
      <c r="A1176" s="171">
        <f t="array" ref="A1176">XLOOKUP(C1176,ICSE!A:A,ICSE!C:C,,2,1)</f>
        <v>2023</v>
      </c>
      <c r="B1176" s="171" t="s">
        <v>5675</v>
      </c>
      <c r="C1176" s="160">
        <v>2189.0</v>
      </c>
      <c r="D1176" s="161" t="s">
        <v>3268</v>
      </c>
      <c r="E1176" s="197" t="str">
        <f t="array" ref="E1176">XLOOKUP(C1176,ICSE!A:A,ICSE!Z:Z,,0,1)</f>
        <v>Publicly available (1)</v>
      </c>
      <c r="F1176" s="198" t="s">
        <v>20</v>
      </c>
      <c r="G1176" s="163" t="str">
        <f t="array" ref="G1176">IF(B1176="ICSE",IF(COUNTIFS(B:B,B1176,C:C,C1176)=XLOOKUP(C1176,ICSE!A:A,ICSE!AA:AA,"ERROR",0,1),"OK","ERROR"),IF(B1176="FSE",IF(COUNTIFS(B:B,B1176,C:C,C1176)=XLOOKUP(C1176,FSE!A:A,FSE!AA:AA,"ERROR",0,1),"OK","ERROR")))</f>
        <v>OK</v>
      </c>
      <c r="H1176" s="199">
        <f t="shared" ref="H1176:O1176" si="5957">countif($D1176,"*"&amp;H$2&amp;"*")</f>
        <v>1</v>
      </c>
      <c r="I1176" s="200">
        <f t="shared" si="5957"/>
        <v>0</v>
      </c>
      <c r="J1176" s="200">
        <f t="shared" si="5957"/>
        <v>0</v>
      </c>
      <c r="K1176" s="200">
        <f t="shared" si="5957"/>
        <v>0</v>
      </c>
      <c r="L1176" s="200">
        <f t="shared" si="5957"/>
        <v>0</v>
      </c>
      <c r="M1176" s="200">
        <f t="shared" si="5957"/>
        <v>0</v>
      </c>
      <c r="N1176" s="200">
        <f t="shared" si="5957"/>
        <v>0</v>
      </c>
      <c r="O1176" s="200">
        <f t="shared" si="5957"/>
        <v>0</v>
      </c>
      <c r="P1176" s="200">
        <f t="shared" si="9"/>
        <v>0</v>
      </c>
      <c r="Q1176" s="200">
        <f t="shared" ref="Q1176:AC1176" si="5958">countif($D1176,"*"&amp;Q$2&amp;"*")</f>
        <v>0</v>
      </c>
      <c r="R1176" s="200">
        <f t="shared" si="5958"/>
        <v>0</v>
      </c>
      <c r="S1176" s="200">
        <f t="shared" si="5958"/>
        <v>0</v>
      </c>
      <c r="T1176" s="200">
        <f t="shared" si="5958"/>
        <v>0</v>
      </c>
      <c r="U1176" s="200">
        <f t="shared" si="5958"/>
        <v>0</v>
      </c>
      <c r="V1176" s="200">
        <f t="shared" si="5958"/>
        <v>0</v>
      </c>
      <c r="W1176" s="200">
        <f t="shared" si="5958"/>
        <v>0</v>
      </c>
      <c r="X1176" s="200">
        <f t="shared" si="5958"/>
        <v>0</v>
      </c>
      <c r="Y1176" s="200">
        <f t="shared" si="5958"/>
        <v>0</v>
      </c>
      <c r="Z1176" s="200">
        <f t="shared" si="5958"/>
        <v>0</v>
      </c>
      <c r="AA1176" s="200">
        <f t="shared" si="5958"/>
        <v>0</v>
      </c>
      <c r="AB1176" s="200">
        <f t="shared" si="5958"/>
        <v>0</v>
      </c>
      <c r="AC1176" s="200">
        <f t="shared" si="5958"/>
        <v>0</v>
      </c>
      <c r="AD1176" s="200">
        <f t="shared" si="11"/>
        <v>0</v>
      </c>
      <c r="AE1176" s="200">
        <f t="shared" ref="AE1176:AG1176" si="5959">countif($D1176,"*"&amp;AE$2&amp;"*")</f>
        <v>0</v>
      </c>
      <c r="AF1176" s="200">
        <f t="shared" si="5959"/>
        <v>0</v>
      </c>
      <c r="AG1176" s="200">
        <f t="shared" si="5959"/>
        <v>0</v>
      </c>
      <c r="AH1176" s="171">
        <f t="shared" si="13"/>
        <v>0</v>
      </c>
      <c r="AI1176" s="200">
        <f t="shared" si="14"/>
        <v>1</v>
      </c>
      <c r="AJ1176" s="200">
        <f t="shared" si="5594"/>
        <v>0</v>
      </c>
      <c r="AK1176" s="201">
        <f t="shared" ref="AK1176:AS1176" si="5960">countif($D1176,"*"&amp;AK$2&amp;"*")</f>
        <v>0</v>
      </c>
      <c r="AL1176" s="201">
        <f t="shared" si="5960"/>
        <v>0</v>
      </c>
      <c r="AM1176" s="201">
        <f t="shared" si="5960"/>
        <v>0</v>
      </c>
      <c r="AN1176" s="201">
        <f t="shared" si="5960"/>
        <v>0</v>
      </c>
      <c r="AO1176" s="201">
        <f t="shared" si="5960"/>
        <v>0</v>
      </c>
      <c r="AP1176" s="201">
        <f t="shared" si="5960"/>
        <v>0</v>
      </c>
      <c r="AQ1176" s="201">
        <f t="shared" si="5960"/>
        <v>0</v>
      </c>
      <c r="AR1176" s="200">
        <f t="shared" si="5960"/>
        <v>0</v>
      </c>
      <c r="AS1176" s="200">
        <f t="shared" si="5960"/>
        <v>0</v>
      </c>
      <c r="AT1176" s="173">
        <v>0.0</v>
      </c>
      <c r="AU1176" s="200">
        <f t="shared" ref="AU1176:AX1176" si="5961">countif($D1176,"*"&amp;AU$2&amp;"*")</f>
        <v>0</v>
      </c>
      <c r="AV1176" s="200">
        <f t="shared" si="5961"/>
        <v>0</v>
      </c>
      <c r="AW1176" s="200">
        <f t="shared" si="5961"/>
        <v>0</v>
      </c>
      <c r="AX1176" s="200">
        <f t="shared" si="5961"/>
        <v>0</v>
      </c>
      <c r="AY1176" s="204">
        <v>1.0</v>
      </c>
      <c r="AZ1176" s="200"/>
      <c r="BA1176" s="171" t="str">
        <f t="shared" si="18"/>
        <v>Archival</v>
      </c>
      <c r="BB1176" s="171" t="str">
        <f t="shared" si="19"/>
        <v/>
      </c>
      <c r="BC1176" s="171" t="str">
        <f t="shared" si="20"/>
        <v/>
      </c>
      <c r="BD1176" s="171" t="str">
        <f t="shared" si="21"/>
        <v/>
      </c>
      <c r="BE1176" s="171" t="str">
        <f t="shared" si="22"/>
        <v/>
      </c>
      <c r="BF1176" s="171" t="str">
        <f t="shared" si="23"/>
        <v>Archival</v>
      </c>
    </row>
    <row r="1177">
      <c r="A1177" s="171">
        <f t="array" ref="A1177">XLOOKUP(C1177,ICSE!A:A,ICSE!C:C,,2,1)</f>
        <v>2023</v>
      </c>
      <c r="B1177" s="171" t="s">
        <v>5675</v>
      </c>
      <c r="C1177" s="160">
        <v>2190.0</v>
      </c>
      <c r="D1177" s="161" t="s">
        <v>3270</v>
      </c>
      <c r="E1177" s="197" t="str">
        <f t="array" ref="E1177">XLOOKUP(C1177,ICSE!A:A,ICSE!Z:Z,,0,1)</f>
        <v>Publicly available (1)</v>
      </c>
      <c r="F1177" s="198" t="s">
        <v>20</v>
      </c>
      <c r="G1177" s="163" t="str">
        <f t="array" ref="G1177">IF(B1177="ICSE",IF(COUNTIFS(B:B,B1177,C:C,C1177)=XLOOKUP(C1177,ICSE!A:A,ICSE!AA:AA,"ERROR",0,1),"OK","ERROR"),IF(B1177="FSE",IF(COUNTIFS(B:B,B1177,C:C,C1177)=XLOOKUP(C1177,FSE!A:A,FSE!AA:AA,"ERROR",0,1),"OK","ERROR")))</f>
        <v>OK</v>
      </c>
      <c r="H1177" s="199">
        <f t="shared" ref="H1177:O1177" si="5962">countif($D1177,"*"&amp;H$2&amp;"*")</f>
        <v>0</v>
      </c>
      <c r="I1177" s="200">
        <f t="shared" si="5962"/>
        <v>0</v>
      </c>
      <c r="J1177" s="200">
        <f t="shared" si="5962"/>
        <v>0</v>
      </c>
      <c r="K1177" s="200">
        <f t="shared" si="5962"/>
        <v>0</v>
      </c>
      <c r="L1177" s="200">
        <f t="shared" si="5962"/>
        <v>0</v>
      </c>
      <c r="M1177" s="200">
        <f t="shared" si="5962"/>
        <v>0</v>
      </c>
      <c r="N1177" s="200">
        <f t="shared" si="5962"/>
        <v>0</v>
      </c>
      <c r="O1177" s="200">
        <f t="shared" si="5962"/>
        <v>0</v>
      </c>
      <c r="P1177" s="200">
        <f t="shared" si="9"/>
        <v>1</v>
      </c>
      <c r="Q1177" s="200">
        <f t="shared" ref="Q1177:AC1177" si="5963">countif($D1177,"*"&amp;Q$2&amp;"*")</f>
        <v>0</v>
      </c>
      <c r="R1177" s="200">
        <f t="shared" si="5963"/>
        <v>0</v>
      </c>
      <c r="S1177" s="200">
        <f t="shared" si="5963"/>
        <v>0</v>
      </c>
      <c r="T1177" s="200">
        <f t="shared" si="5963"/>
        <v>0</v>
      </c>
      <c r="U1177" s="200">
        <f t="shared" si="5963"/>
        <v>0</v>
      </c>
      <c r="V1177" s="200">
        <f t="shared" si="5963"/>
        <v>0</v>
      </c>
      <c r="W1177" s="200">
        <f t="shared" si="5963"/>
        <v>0</v>
      </c>
      <c r="X1177" s="200">
        <f t="shared" si="5963"/>
        <v>0</v>
      </c>
      <c r="Y1177" s="200">
        <f t="shared" si="5963"/>
        <v>0</v>
      </c>
      <c r="Z1177" s="200">
        <f t="shared" si="5963"/>
        <v>0</v>
      </c>
      <c r="AA1177" s="200">
        <f t="shared" si="5963"/>
        <v>0</v>
      </c>
      <c r="AB1177" s="200">
        <f t="shared" si="5963"/>
        <v>0</v>
      </c>
      <c r="AC1177" s="200">
        <f t="shared" si="5963"/>
        <v>0</v>
      </c>
      <c r="AD1177" s="200">
        <f t="shared" si="11"/>
        <v>0</v>
      </c>
      <c r="AE1177" s="200">
        <f t="shared" ref="AE1177:AG1177" si="5964">countif($D1177,"*"&amp;AE$2&amp;"*")</f>
        <v>0</v>
      </c>
      <c r="AF1177" s="200">
        <f t="shared" si="5964"/>
        <v>0</v>
      </c>
      <c r="AG1177" s="200">
        <f t="shared" si="5964"/>
        <v>0</v>
      </c>
      <c r="AH1177" s="171">
        <f t="shared" si="13"/>
        <v>0</v>
      </c>
      <c r="AI1177" s="200">
        <f t="shared" si="14"/>
        <v>0</v>
      </c>
      <c r="AJ1177" s="200">
        <f t="shared" si="5594"/>
        <v>0</v>
      </c>
      <c r="AK1177" s="201">
        <f t="shared" ref="AK1177:AS1177" si="5965">countif($D1177,"*"&amp;AK$2&amp;"*")</f>
        <v>0</v>
      </c>
      <c r="AL1177" s="201">
        <f t="shared" si="5965"/>
        <v>0</v>
      </c>
      <c r="AM1177" s="201">
        <f t="shared" si="5965"/>
        <v>0</v>
      </c>
      <c r="AN1177" s="201">
        <f t="shared" si="5965"/>
        <v>0</v>
      </c>
      <c r="AO1177" s="201">
        <f t="shared" si="5965"/>
        <v>0</v>
      </c>
      <c r="AP1177" s="201">
        <f t="shared" si="5965"/>
        <v>0</v>
      </c>
      <c r="AQ1177" s="201">
        <f t="shared" si="5965"/>
        <v>0</v>
      </c>
      <c r="AR1177" s="200">
        <f t="shared" si="5965"/>
        <v>0</v>
      </c>
      <c r="AS1177" s="200">
        <f t="shared" si="5965"/>
        <v>0</v>
      </c>
      <c r="AT1177" s="173">
        <v>0.0</v>
      </c>
      <c r="AU1177" s="200">
        <f t="shared" ref="AU1177:AX1177" si="5966">countif($D1177,"*"&amp;AU$2&amp;"*")</f>
        <v>0</v>
      </c>
      <c r="AV1177" s="200">
        <f t="shared" si="5966"/>
        <v>1</v>
      </c>
      <c r="AW1177" s="200">
        <f t="shared" si="5966"/>
        <v>0</v>
      </c>
      <c r="AX1177" s="200">
        <f t="shared" si="5966"/>
        <v>0</v>
      </c>
      <c r="AY1177" s="202">
        <v>0.0</v>
      </c>
      <c r="AZ1177" s="200"/>
      <c r="BA1177" s="171" t="str">
        <f t="shared" si="18"/>
        <v/>
      </c>
      <c r="BB1177" s="171" t="str">
        <f t="shared" si="19"/>
        <v>Code</v>
      </c>
      <c r="BC1177" s="171" t="str">
        <f t="shared" si="20"/>
        <v/>
      </c>
      <c r="BD1177" s="171" t="str">
        <f t="shared" si="21"/>
        <v/>
      </c>
      <c r="BE1177" s="171" t="str">
        <f t="shared" si="22"/>
        <v/>
      </c>
      <c r="BF1177" s="171" t="str">
        <f t="shared" si="23"/>
        <v>Code</v>
      </c>
    </row>
    <row r="1178">
      <c r="A1178" s="171">
        <f t="array" ref="A1178">XLOOKUP(C1178,ICSE!A:A,ICSE!C:C,,2,1)</f>
        <v>2023</v>
      </c>
      <c r="B1178" s="171" t="s">
        <v>5675</v>
      </c>
      <c r="C1178" s="160">
        <v>2191.0</v>
      </c>
      <c r="D1178" s="161" t="s">
        <v>3273</v>
      </c>
      <c r="E1178" s="197" t="str">
        <f t="array" ref="E1178">XLOOKUP(C1178,ICSE!A:A,ICSE!Z:Z,,0,1)</f>
        <v>Publicly available (1)</v>
      </c>
      <c r="F1178" s="198" t="s">
        <v>20</v>
      </c>
      <c r="G1178" s="163" t="str">
        <f t="array" ref="G1178">IF(B1178="ICSE",IF(COUNTIFS(B:B,B1178,C:C,C1178)=XLOOKUP(C1178,ICSE!A:A,ICSE!AA:AA,"ERROR",0,1),"OK","ERROR"),IF(B1178="FSE",IF(COUNTIFS(B:B,B1178,C:C,C1178)=XLOOKUP(C1178,FSE!A:A,FSE!AA:AA,"ERROR",0,1),"OK","ERROR")))</f>
        <v>OK</v>
      </c>
      <c r="H1178" s="199">
        <f t="shared" ref="H1178:O1178" si="5967">countif($D1178,"*"&amp;H$2&amp;"*")</f>
        <v>0</v>
      </c>
      <c r="I1178" s="200">
        <f t="shared" si="5967"/>
        <v>0</v>
      </c>
      <c r="J1178" s="200">
        <f t="shared" si="5967"/>
        <v>0</v>
      </c>
      <c r="K1178" s="200">
        <f t="shared" si="5967"/>
        <v>0</v>
      </c>
      <c r="L1178" s="200">
        <f t="shared" si="5967"/>
        <v>0</v>
      </c>
      <c r="M1178" s="200">
        <f t="shared" si="5967"/>
        <v>0</v>
      </c>
      <c r="N1178" s="200">
        <f t="shared" si="5967"/>
        <v>0</v>
      </c>
      <c r="O1178" s="200">
        <f t="shared" si="5967"/>
        <v>0</v>
      </c>
      <c r="P1178" s="200">
        <f t="shared" si="9"/>
        <v>1</v>
      </c>
      <c r="Q1178" s="200">
        <f t="shared" ref="Q1178:AC1178" si="5968">countif($D1178,"*"&amp;Q$2&amp;"*")</f>
        <v>0</v>
      </c>
      <c r="R1178" s="200">
        <f t="shared" si="5968"/>
        <v>0</v>
      </c>
      <c r="S1178" s="200">
        <f t="shared" si="5968"/>
        <v>0</v>
      </c>
      <c r="T1178" s="200">
        <f t="shared" si="5968"/>
        <v>0</v>
      </c>
      <c r="U1178" s="200">
        <f t="shared" si="5968"/>
        <v>0</v>
      </c>
      <c r="V1178" s="200">
        <f t="shared" si="5968"/>
        <v>0</v>
      </c>
      <c r="W1178" s="200">
        <f t="shared" si="5968"/>
        <v>0</v>
      </c>
      <c r="X1178" s="200">
        <f t="shared" si="5968"/>
        <v>0</v>
      </c>
      <c r="Y1178" s="200">
        <f t="shared" si="5968"/>
        <v>0</v>
      </c>
      <c r="Z1178" s="200">
        <f t="shared" si="5968"/>
        <v>0</v>
      </c>
      <c r="AA1178" s="200">
        <f t="shared" si="5968"/>
        <v>0</v>
      </c>
      <c r="AB1178" s="200">
        <f t="shared" si="5968"/>
        <v>0</v>
      </c>
      <c r="AC1178" s="200">
        <f t="shared" si="5968"/>
        <v>0</v>
      </c>
      <c r="AD1178" s="200">
        <f t="shared" si="11"/>
        <v>0</v>
      </c>
      <c r="AE1178" s="200">
        <f t="shared" ref="AE1178:AG1178" si="5969">countif($D1178,"*"&amp;AE$2&amp;"*")</f>
        <v>0</v>
      </c>
      <c r="AF1178" s="200">
        <f t="shared" si="5969"/>
        <v>0</v>
      </c>
      <c r="AG1178" s="200">
        <f t="shared" si="5969"/>
        <v>0</v>
      </c>
      <c r="AH1178" s="171">
        <f t="shared" si="13"/>
        <v>0</v>
      </c>
      <c r="AI1178" s="200">
        <f t="shared" si="14"/>
        <v>0</v>
      </c>
      <c r="AJ1178" s="200">
        <f t="shared" si="5594"/>
        <v>0</v>
      </c>
      <c r="AK1178" s="201">
        <f t="shared" ref="AK1178:AS1178" si="5970">countif($D1178,"*"&amp;AK$2&amp;"*")</f>
        <v>0</v>
      </c>
      <c r="AL1178" s="201">
        <f t="shared" si="5970"/>
        <v>0</v>
      </c>
      <c r="AM1178" s="201">
        <f t="shared" si="5970"/>
        <v>0</v>
      </c>
      <c r="AN1178" s="201">
        <f t="shared" si="5970"/>
        <v>0</v>
      </c>
      <c r="AO1178" s="201">
        <f t="shared" si="5970"/>
        <v>0</v>
      </c>
      <c r="AP1178" s="201">
        <f t="shared" si="5970"/>
        <v>0</v>
      </c>
      <c r="AQ1178" s="201">
        <f t="shared" si="5970"/>
        <v>0</v>
      </c>
      <c r="AR1178" s="200">
        <f t="shared" si="5970"/>
        <v>0</v>
      </c>
      <c r="AS1178" s="200">
        <f t="shared" si="5970"/>
        <v>0</v>
      </c>
      <c r="AT1178" s="173">
        <v>0.0</v>
      </c>
      <c r="AU1178" s="200">
        <f t="shared" ref="AU1178:AX1178" si="5971">countif($D1178,"*"&amp;AU$2&amp;"*")</f>
        <v>0</v>
      </c>
      <c r="AV1178" s="200">
        <f t="shared" si="5971"/>
        <v>1</v>
      </c>
      <c r="AW1178" s="200">
        <f t="shared" si="5971"/>
        <v>0</v>
      </c>
      <c r="AX1178" s="200">
        <f t="shared" si="5971"/>
        <v>0</v>
      </c>
      <c r="AY1178" s="202">
        <v>0.0</v>
      </c>
      <c r="AZ1178" s="200"/>
      <c r="BA1178" s="171" t="str">
        <f t="shared" si="18"/>
        <v/>
      </c>
      <c r="BB1178" s="171" t="str">
        <f t="shared" si="19"/>
        <v>Code</v>
      </c>
      <c r="BC1178" s="171" t="str">
        <f t="shared" si="20"/>
        <v/>
      </c>
      <c r="BD1178" s="171" t="str">
        <f t="shared" si="21"/>
        <v/>
      </c>
      <c r="BE1178" s="171" t="str">
        <f t="shared" si="22"/>
        <v/>
      </c>
      <c r="BF1178" s="171" t="str">
        <f t="shared" si="23"/>
        <v>Code</v>
      </c>
    </row>
    <row r="1179">
      <c r="A1179" s="171">
        <f t="array" ref="A1179">XLOOKUP(C1179,ICSE!A:A,ICSE!C:C,,2,1)</f>
        <v>2023</v>
      </c>
      <c r="B1179" s="171" t="s">
        <v>5675</v>
      </c>
      <c r="C1179" s="160">
        <v>2192.0</v>
      </c>
      <c r="D1179" s="161" t="s">
        <v>6154</v>
      </c>
      <c r="E1179" s="197" t="str">
        <f t="array" ref="E1179">XLOOKUP(C1179,ICSE!A:A,ICSE!Z:Z,,0,1)</f>
        <v>Publicly available (2)</v>
      </c>
      <c r="F1179" s="198" t="s">
        <v>20</v>
      </c>
      <c r="G1179" s="163" t="str">
        <f t="array" ref="G1179">IF(B1179="ICSE",IF(COUNTIFS(B:B,B1179,C:C,C1179)=XLOOKUP(C1179,ICSE!A:A,ICSE!AA:AA,"ERROR",0,1),"OK","ERROR"),IF(B1179="FSE",IF(COUNTIFS(B:B,B1179,C:C,C1179)=XLOOKUP(C1179,FSE!A:A,FSE!AA:AA,"ERROR",0,1),"OK","ERROR")))</f>
        <v>OK</v>
      </c>
      <c r="H1179" s="199">
        <f t="shared" ref="H1179:O1179" si="5972">countif($D1179,"*"&amp;H$2&amp;"*")</f>
        <v>0</v>
      </c>
      <c r="I1179" s="200">
        <f t="shared" si="5972"/>
        <v>0</v>
      </c>
      <c r="J1179" s="200">
        <f t="shared" si="5972"/>
        <v>0</v>
      </c>
      <c r="K1179" s="200">
        <f t="shared" si="5972"/>
        <v>0</v>
      </c>
      <c r="L1179" s="200">
        <f t="shared" si="5972"/>
        <v>0</v>
      </c>
      <c r="M1179" s="200">
        <f t="shared" si="5972"/>
        <v>0</v>
      </c>
      <c r="N1179" s="200">
        <f t="shared" si="5972"/>
        <v>0</v>
      </c>
      <c r="O1179" s="200">
        <f t="shared" si="5972"/>
        <v>0</v>
      </c>
      <c r="P1179" s="200">
        <f t="shared" si="9"/>
        <v>1</v>
      </c>
      <c r="Q1179" s="200">
        <f t="shared" ref="Q1179:AC1179" si="5973">countif($D1179,"*"&amp;Q$2&amp;"*")</f>
        <v>0</v>
      </c>
      <c r="R1179" s="200">
        <f t="shared" si="5973"/>
        <v>0</v>
      </c>
      <c r="S1179" s="200">
        <f t="shared" si="5973"/>
        <v>0</v>
      </c>
      <c r="T1179" s="200">
        <f t="shared" si="5973"/>
        <v>0</v>
      </c>
      <c r="U1179" s="200">
        <f t="shared" si="5973"/>
        <v>0</v>
      </c>
      <c r="V1179" s="200">
        <f t="shared" si="5973"/>
        <v>0</v>
      </c>
      <c r="W1179" s="200">
        <f t="shared" si="5973"/>
        <v>0</v>
      </c>
      <c r="X1179" s="200">
        <f t="shared" si="5973"/>
        <v>0</v>
      </c>
      <c r="Y1179" s="200">
        <f t="shared" si="5973"/>
        <v>0</v>
      </c>
      <c r="Z1179" s="200">
        <f t="shared" si="5973"/>
        <v>0</v>
      </c>
      <c r="AA1179" s="200">
        <f t="shared" si="5973"/>
        <v>0</v>
      </c>
      <c r="AB1179" s="200">
        <f t="shared" si="5973"/>
        <v>0</v>
      </c>
      <c r="AC1179" s="200">
        <f t="shared" si="5973"/>
        <v>0</v>
      </c>
      <c r="AD1179" s="200">
        <f t="shared" si="11"/>
        <v>0</v>
      </c>
      <c r="AE1179" s="200">
        <f t="shared" ref="AE1179:AG1179" si="5974">countif($D1179,"*"&amp;AE$2&amp;"*")</f>
        <v>0</v>
      </c>
      <c r="AF1179" s="200">
        <f t="shared" si="5974"/>
        <v>0</v>
      </c>
      <c r="AG1179" s="200">
        <f t="shared" si="5974"/>
        <v>0</v>
      </c>
      <c r="AH1179" s="171">
        <f t="shared" si="13"/>
        <v>0</v>
      </c>
      <c r="AI1179" s="200">
        <f t="shared" si="14"/>
        <v>0</v>
      </c>
      <c r="AJ1179" s="200">
        <f t="shared" si="5594"/>
        <v>0</v>
      </c>
      <c r="AK1179" s="201">
        <f t="shared" ref="AK1179:AS1179" si="5975">countif($D1179,"*"&amp;AK$2&amp;"*")</f>
        <v>0</v>
      </c>
      <c r="AL1179" s="201">
        <f t="shared" si="5975"/>
        <v>0</v>
      </c>
      <c r="AM1179" s="201">
        <f t="shared" si="5975"/>
        <v>0</v>
      </c>
      <c r="AN1179" s="201">
        <f t="shared" si="5975"/>
        <v>0</v>
      </c>
      <c r="AO1179" s="201">
        <f t="shared" si="5975"/>
        <v>0</v>
      </c>
      <c r="AP1179" s="201">
        <f t="shared" si="5975"/>
        <v>0</v>
      </c>
      <c r="AQ1179" s="201">
        <f t="shared" si="5975"/>
        <v>0</v>
      </c>
      <c r="AR1179" s="200">
        <f t="shared" si="5975"/>
        <v>0</v>
      </c>
      <c r="AS1179" s="200">
        <f t="shared" si="5975"/>
        <v>0</v>
      </c>
      <c r="AT1179" s="173">
        <v>0.0</v>
      </c>
      <c r="AU1179" s="200">
        <f t="shared" ref="AU1179:AX1179" si="5976">countif($D1179,"*"&amp;AU$2&amp;"*")</f>
        <v>0</v>
      </c>
      <c r="AV1179" s="200">
        <f t="shared" si="5976"/>
        <v>1</v>
      </c>
      <c r="AW1179" s="200">
        <f t="shared" si="5976"/>
        <v>0</v>
      </c>
      <c r="AX1179" s="200">
        <f t="shared" si="5976"/>
        <v>0</v>
      </c>
      <c r="AY1179" s="202">
        <v>0.0</v>
      </c>
      <c r="AZ1179" s="200"/>
      <c r="BA1179" s="171" t="str">
        <f t="shared" si="18"/>
        <v/>
      </c>
      <c r="BB1179" s="171" t="str">
        <f t="shared" si="19"/>
        <v>Code</v>
      </c>
      <c r="BC1179" s="171" t="str">
        <f t="shared" si="20"/>
        <v/>
      </c>
      <c r="BD1179" s="171" t="str">
        <f t="shared" si="21"/>
        <v/>
      </c>
      <c r="BE1179" s="171" t="str">
        <f t="shared" si="22"/>
        <v/>
      </c>
      <c r="BF1179" s="171" t="str">
        <f t="shared" si="23"/>
        <v>Code</v>
      </c>
    </row>
    <row r="1180">
      <c r="A1180" s="171">
        <f t="array" ref="A1180">XLOOKUP(C1180,ICSE!A:A,ICSE!C:C,,2,1)</f>
        <v>2023</v>
      </c>
      <c r="B1180" s="171" t="s">
        <v>5675</v>
      </c>
      <c r="C1180" s="160">
        <v>2192.0</v>
      </c>
      <c r="D1180" s="161" t="s">
        <v>6155</v>
      </c>
      <c r="E1180" s="197" t="str">
        <f t="array" ref="E1180">XLOOKUP(C1180,ICSE!A:A,ICSE!Z:Z,,0,1)</f>
        <v>Publicly available (2)</v>
      </c>
      <c r="F1180" s="198" t="s">
        <v>20</v>
      </c>
      <c r="G1180" s="163" t="str">
        <f t="array" ref="G1180">IF(B1180="ICSE",IF(COUNTIFS(B:B,B1180,C:C,C1180)=XLOOKUP(C1180,ICSE!A:A,ICSE!AA:AA,"ERROR",0,1),"OK","ERROR"),IF(B1180="FSE",IF(COUNTIFS(B:B,B1180,C:C,C1180)=XLOOKUP(C1180,FSE!A:A,FSE!AA:AA,"ERROR",0,1),"OK","ERROR")))</f>
        <v>OK</v>
      </c>
      <c r="H1180" s="199">
        <f t="shared" ref="H1180:O1180" si="5977">countif($D1180,"*"&amp;H$2&amp;"*")</f>
        <v>1</v>
      </c>
      <c r="I1180" s="200">
        <f t="shared" si="5977"/>
        <v>0</v>
      </c>
      <c r="J1180" s="200">
        <f t="shared" si="5977"/>
        <v>0</v>
      </c>
      <c r="K1180" s="200">
        <f t="shared" si="5977"/>
        <v>0</v>
      </c>
      <c r="L1180" s="200">
        <f t="shared" si="5977"/>
        <v>0</v>
      </c>
      <c r="M1180" s="200">
        <f t="shared" si="5977"/>
        <v>0</v>
      </c>
      <c r="N1180" s="200">
        <f t="shared" si="5977"/>
        <v>0</v>
      </c>
      <c r="O1180" s="200">
        <f t="shared" si="5977"/>
        <v>0</v>
      </c>
      <c r="P1180" s="200">
        <f t="shared" si="9"/>
        <v>0</v>
      </c>
      <c r="Q1180" s="200">
        <f t="shared" ref="Q1180:AC1180" si="5978">countif($D1180,"*"&amp;Q$2&amp;"*")</f>
        <v>0</v>
      </c>
      <c r="R1180" s="200">
        <f t="shared" si="5978"/>
        <v>0</v>
      </c>
      <c r="S1180" s="200">
        <f t="shared" si="5978"/>
        <v>0</v>
      </c>
      <c r="T1180" s="200">
        <f t="shared" si="5978"/>
        <v>0</v>
      </c>
      <c r="U1180" s="200">
        <f t="shared" si="5978"/>
        <v>0</v>
      </c>
      <c r="V1180" s="200">
        <f t="shared" si="5978"/>
        <v>0</v>
      </c>
      <c r="W1180" s="200">
        <f t="shared" si="5978"/>
        <v>0</v>
      </c>
      <c r="X1180" s="200">
        <f t="shared" si="5978"/>
        <v>0</v>
      </c>
      <c r="Y1180" s="200">
        <f t="shared" si="5978"/>
        <v>0</v>
      </c>
      <c r="Z1180" s="200">
        <f t="shared" si="5978"/>
        <v>0</v>
      </c>
      <c r="AA1180" s="200">
        <f t="shared" si="5978"/>
        <v>0</v>
      </c>
      <c r="AB1180" s="200">
        <f t="shared" si="5978"/>
        <v>0</v>
      </c>
      <c r="AC1180" s="200">
        <f t="shared" si="5978"/>
        <v>0</v>
      </c>
      <c r="AD1180" s="200">
        <f t="shared" si="11"/>
        <v>0</v>
      </c>
      <c r="AE1180" s="200">
        <f t="shared" ref="AE1180:AG1180" si="5979">countif($D1180,"*"&amp;AE$2&amp;"*")</f>
        <v>0</v>
      </c>
      <c r="AF1180" s="200">
        <f t="shared" si="5979"/>
        <v>0</v>
      </c>
      <c r="AG1180" s="200">
        <f t="shared" si="5979"/>
        <v>0</v>
      </c>
      <c r="AH1180" s="171">
        <f t="shared" si="13"/>
        <v>0</v>
      </c>
      <c r="AI1180" s="200">
        <f t="shared" si="14"/>
        <v>1</v>
      </c>
      <c r="AJ1180" s="200">
        <f t="shared" si="5594"/>
        <v>0</v>
      </c>
      <c r="AK1180" s="201">
        <f t="shared" ref="AK1180:AS1180" si="5980">countif($D1180,"*"&amp;AK$2&amp;"*")</f>
        <v>0</v>
      </c>
      <c r="AL1180" s="201">
        <f t="shared" si="5980"/>
        <v>0</v>
      </c>
      <c r="AM1180" s="201">
        <f t="shared" si="5980"/>
        <v>0</v>
      </c>
      <c r="AN1180" s="201">
        <f t="shared" si="5980"/>
        <v>0</v>
      </c>
      <c r="AO1180" s="201">
        <f t="shared" si="5980"/>
        <v>0</v>
      </c>
      <c r="AP1180" s="201">
        <f t="shared" si="5980"/>
        <v>0</v>
      </c>
      <c r="AQ1180" s="201">
        <f t="shared" si="5980"/>
        <v>0</v>
      </c>
      <c r="AR1180" s="200">
        <f t="shared" si="5980"/>
        <v>0</v>
      </c>
      <c r="AS1180" s="200">
        <f t="shared" si="5980"/>
        <v>0</v>
      </c>
      <c r="AT1180" s="173">
        <v>0.0</v>
      </c>
      <c r="AU1180" s="200">
        <f t="shared" ref="AU1180:AX1180" si="5981">countif($D1180,"*"&amp;AU$2&amp;"*")</f>
        <v>0</v>
      </c>
      <c r="AV1180" s="200">
        <f t="shared" si="5981"/>
        <v>0</v>
      </c>
      <c r="AW1180" s="200">
        <f t="shared" si="5981"/>
        <v>0</v>
      </c>
      <c r="AX1180" s="200">
        <f t="shared" si="5981"/>
        <v>1</v>
      </c>
      <c r="AY1180" s="202">
        <v>0.0</v>
      </c>
      <c r="AZ1180" s="200"/>
      <c r="BA1180" s="171" t="str">
        <f t="shared" si="18"/>
        <v>Archival</v>
      </c>
      <c r="BB1180" s="171" t="str">
        <f t="shared" si="19"/>
        <v/>
      </c>
      <c r="BC1180" s="171" t="str">
        <f t="shared" si="20"/>
        <v/>
      </c>
      <c r="BD1180" s="171" t="str">
        <f t="shared" si="21"/>
        <v/>
      </c>
      <c r="BE1180" s="171" t="str">
        <f t="shared" si="22"/>
        <v/>
      </c>
      <c r="BF1180" s="171" t="str">
        <f t="shared" si="23"/>
        <v>Archival</v>
      </c>
    </row>
    <row r="1181">
      <c r="A1181" s="171">
        <f t="array" ref="A1181">XLOOKUP(C1181,ICSE!A:A,ICSE!C:C,,2,1)</f>
        <v>2023</v>
      </c>
      <c r="B1181" s="171" t="s">
        <v>5675</v>
      </c>
      <c r="C1181" s="160">
        <v>2193.0</v>
      </c>
      <c r="D1181" s="161" t="s">
        <v>3280</v>
      </c>
      <c r="E1181" s="197" t="str">
        <f t="array" ref="E1181">XLOOKUP(C1181,ICSE!A:A,ICSE!Z:Z,,0,1)</f>
        <v>Publicly available (1)</v>
      </c>
      <c r="F1181" s="198" t="s">
        <v>20</v>
      </c>
      <c r="G1181" s="163" t="str">
        <f t="array" ref="G1181">IF(B1181="ICSE",IF(COUNTIFS(B:B,B1181,C:C,C1181)=XLOOKUP(C1181,ICSE!A:A,ICSE!AA:AA,"ERROR",0,1),"OK","ERROR"),IF(B1181="FSE",IF(COUNTIFS(B:B,B1181,C:C,C1181)=XLOOKUP(C1181,FSE!A:A,FSE!AA:AA,"ERROR",0,1),"OK","ERROR")))</f>
        <v>OK</v>
      </c>
      <c r="H1181" s="199">
        <f t="shared" ref="H1181:O1181" si="5982">countif($D1181,"*"&amp;H$2&amp;"*")</f>
        <v>0</v>
      </c>
      <c r="I1181" s="200">
        <f t="shared" si="5982"/>
        <v>0</v>
      </c>
      <c r="J1181" s="200">
        <f t="shared" si="5982"/>
        <v>0</v>
      </c>
      <c r="K1181" s="200">
        <f t="shared" si="5982"/>
        <v>0</v>
      </c>
      <c r="L1181" s="200">
        <f t="shared" si="5982"/>
        <v>0</v>
      </c>
      <c r="M1181" s="200">
        <f t="shared" si="5982"/>
        <v>0</v>
      </c>
      <c r="N1181" s="200">
        <f t="shared" si="5982"/>
        <v>0</v>
      </c>
      <c r="O1181" s="200">
        <f t="shared" si="5982"/>
        <v>0</v>
      </c>
      <c r="P1181" s="200">
        <f t="shared" si="9"/>
        <v>1</v>
      </c>
      <c r="Q1181" s="200">
        <f t="shared" ref="Q1181:AC1181" si="5983">countif($D1181,"*"&amp;Q$2&amp;"*")</f>
        <v>0</v>
      </c>
      <c r="R1181" s="200">
        <f t="shared" si="5983"/>
        <v>0</v>
      </c>
      <c r="S1181" s="200">
        <f t="shared" si="5983"/>
        <v>0</v>
      </c>
      <c r="T1181" s="200">
        <f t="shared" si="5983"/>
        <v>0</v>
      </c>
      <c r="U1181" s="200">
        <f t="shared" si="5983"/>
        <v>0</v>
      </c>
      <c r="V1181" s="200">
        <f t="shared" si="5983"/>
        <v>0</v>
      </c>
      <c r="W1181" s="200">
        <f t="shared" si="5983"/>
        <v>0</v>
      </c>
      <c r="X1181" s="200">
        <f t="shared" si="5983"/>
        <v>0</v>
      </c>
      <c r="Y1181" s="200">
        <f t="shared" si="5983"/>
        <v>0</v>
      </c>
      <c r="Z1181" s="200">
        <f t="shared" si="5983"/>
        <v>0</v>
      </c>
      <c r="AA1181" s="200">
        <f t="shared" si="5983"/>
        <v>0</v>
      </c>
      <c r="AB1181" s="200">
        <f t="shared" si="5983"/>
        <v>0</v>
      </c>
      <c r="AC1181" s="200">
        <f t="shared" si="5983"/>
        <v>0</v>
      </c>
      <c r="AD1181" s="200">
        <f t="shared" si="11"/>
        <v>0</v>
      </c>
      <c r="AE1181" s="200">
        <f t="shared" ref="AE1181:AG1181" si="5984">countif($D1181,"*"&amp;AE$2&amp;"*")</f>
        <v>0</v>
      </c>
      <c r="AF1181" s="200">
        <f t="shared" si="5984"/>
        <v>0</v>
      </c>
      <c r="AG1181" s="200">
        <f t="shared" si="5984"/>
        <v>0</v>
      </c>
      <c r="AH1181" s="171">
        <f t="shared" si="13"/>
        <v>0</v>
      </c>
      <c r="AI1181" s="200">
        <f t="shared" si="14"/>
        <v>0</v>
      </c>
      <c r="AJ1181" s="200">
        <f t="shared" si="5594"/>
        <v>0</v>
      </c>
      <c r="AK1181" s="201">
        <f t="shared" ref="AK1181:AS1181" si="5985">countif($D1181,"*"&amp;AK$2&amp;"*")</f>
        <v>0</v>
      </c>
      <c r="AL1181" s="201">
        <f t="shared" si="5985"/>
        <v>0</v>
      </c>
      <c r="AM1181" s="201">
        <f t="shared" si="5985"/>
        <v>0</v>
      </c>
      <c r="AN1181" s="201">
        <f t="shared" si="5985"/>
        <v>0</v>
      </c>
      <c r="AO1181" s="201">
        <f t="shared" si="5985"/>
        <v>0</v>
      </c>
      <c r="AP1181" s="201">
        <f t="shared" si="5985"/>
        <v>0</v>
      </c>
      <c r="AQ1181" s="201">
        <f t="shared" si="5985"/>
        <v>0</v>
      </c>
      <c r="AR1181" s="200">
        <f t="shared" si="5985"/>
        <v>0</v>
      </c>
      <c r="AS1181" s="200">
        <f t="shared" si="5985"/>
        <v>0</v>
      </c>
      <c r="AT1181" s="173">
        <v>0.0</v>
      </c>
      <c r="AU1181" s="200">
        <f t="shared" ref="AU1181:AX1181" si="5986">countif($D1181,"*"&amp;AU$2&amp;"*")</f>
        <v>0</v>
      </c>
      <c r="AV1181" s="200">
        <f t="shared" si="5986"/>
        <v>1</v>
      </c>
      <c r="AW1181" s="200">
        <f t="shared" si="5986"/>
        <v>0</v>
      </c>
      <c r="AX1181" s="200">
        <f t="shared" si="5986"/>
        <v>0</v>
      </c>
      <c r="AY1181" s="202">
        <v>0.0</v>
      </c>
      <c r="AZ1181" s="200"/>
      <c r="BA1181" s="171" t="str">
        <f t="shared" si="18"/>
        <v/>
      </c>
      <c r="BB1181" s="171" t="str">
        <f t="shared" si="19"/>
        <v>Code</v>
      </c>
      <c r="BC1181" s="171" t="str">
        <f t="shared" si="20"/>
        <v/>
      </c>
      <c r="BD1181" s="171" t="str">
        <f t="shared" si="21"/>
        <v/>
      </c>
      <c r="BE1181" s="171" t="str">
        <f t="shared" si="22"/>
        <v/>
      </c>
      <c r="BF1181" s="171" t="str">
        <f t="shared" si="23"/>
        <v>Code</v>
      </c>
    </row>
    <row r="1182">
      <c r="A1182" s="171">
        <f t="array" ref="A1182">XLOOKUP(C1182,ICSE!A:A,ICSE!C:C,,2,1)</f>
        <v>2023</v>
      </c>
      <c r="B1182" s="171" t="s">
        <v>5675</v>
      </c>
      <c r="C1182" s="160">
        <v>2194.0</v>
      </c>
      <c r="D1182" s="161" t="s">
        <v>3283</v>
      </c>
      <c r="E1182" s="197" t="str">
        <f t="array" ref="E1182">XLOOKUP(C1182,ICSE!A:A,ICSE!Z:Z,,0,1)</f>
        <v>Publicly available (1)</v>
      </c>
      <c r="F1182" s="198" t="s">
        <v>20</v>
      </c>
      <c r="G1182" s="163" t="str">
        <f t="array" ref="G1182">IF(B1182="ICSE",IF(COUNTIFS(B:B,B1182,C:C,C1182)=XLOOKUP(C1182,ICSE!A:A,ICSE!AA:AA,"ERROR",0,1),"OK","ERROR"),IF(B1182="FSE",IF(COUNTIFS(B:B,B1182,C:C,C1182)=XLOOKUP(C1182,FSE!A:A,FSE!AA:AA,"ERROR",0,1),"OK","ERROR")))</f>
        <v>OK</v>
      </c>
      <c r="H1182" s="199">
        <f t="shared" ref="H1182:O1182" si="5987">countif($D1182,"*"&amp;H$2&amp;"*")</f>
        <v>0</v>
      </c>
      <c r="I1182" s="200">
        <f t="shared" si="5987"/>
        <v>0</v>
      </c>
      <c r="J1182" s="200">
        <f t="shared" si="5987"/>
        <v>0</v>
      </c>
      <c r="K1182" s="200">
        <f t="shared" si="5987"/>
        <v>0</v>
      </c>
      <c r="L1182" s="200">
        <f t="shared" si="5987"/>
        <v>0</v>
      </c>
      <c r="M1182" s="200">
        <f t="shared" si="5987"/>
        <v>0</v>
      </c>
      <c r="N1182" s="200">
        <f t="shared" si="5987"/>
        <v>0</v>
      </c>
      <c r="O1182" s="200">
        <f t="shared" si="5987"/>
        <v>0</v>
      </c>
      <c r="P1182" s="200">
        <f t="shared" si="9"/>
        <v>1</v>
      </c>
      <c r="Q1182" s="200">
        <f t="shared" ref="Q1182:AC1182" si="5988">countif($D1182,"*"&amp;Q$2&amp;"*")</f>
        <v>0</v>
      </c>
      <c r="R1182" s="200">
        <f t="shared" si="5988"/>
        <v>0</v>
      </c>
      <c r="S1182" s="200">
        <f t="shared" si="5988"/>
        <v>0</v>
      </c>
      <c r="T1182" s="200">
        <f t="shared" si="5988"/>
        <v>0</v>
      </c>
      <c r="U1182" s="200">
        <f t="shared" si="5988"/>
        <v>0</v>
      </c>
      <c r="V1182" s="200">
        <f t="shared" si="5988"/>
        <v>0</v>
      </c>
      <c r="W1182" s="200">
        <f t="shared" si="5988"/>
        <v>0</v>
      </c>
      <c r="X1182" s="200">
        <f t="shared" si="5988"/>
        <v>0</v>
      </c>
      <c r="Y1182" s="200">
        <f t="shared" si="5988"/>
        <v>0</v>
      </c>
      <c r="Z1182" s="200">
        <f t="shared" si="5988"/>
        <v>0</v>
      </c>
      <c r="AA1182" s="200">
        <f t="shared" si="5988"/>
        <v>0</v>
      </c>
      <c r="AB1182" s="200">
        <f t="shared" si="5988"/>
        <v>0</v>
      </c>
      <c r="AC1182" s="200">
        <f t="shared" si="5988"/>
        <v>0</v>
      </c>
      <c r="AD1182" s="200">
        <f t="shared" si="11"/>
        <v>0</v>
      </c>
      <c r="AE1182" s="200">
        <f t="shared" ref="AE1182:AG1182" si="5989">countif($D1182,"*"&amp;AE$2&amp;"*")</f>
        <v>0</v>
      </c>
      <c r="AF1182" s="200">
        <f t="shared" si="5989"/>
        <v>0</v>
      </c>
      <c r="AG1182" s="200">
        <f t="shared" si="5989"/>
        <v>0</v>
      </c>
      <c r="AH1182" s="171">
        <f t="shared" si="13"/>
        <v>0</v>
      </c>
      <c r="AI1182" s="200">
        <f t="shared" si="14"/>
        <v>0</v>
      </c>
      <c r="AJ1182" s="200">
        <f t="shared" si="5594"/>
        <v>0</v>
      </c>
      <c r="AK1182" s="201">
        <f t="shared" ref="AK1182:AS1182" si="5990">countif($D1182,"*"&amp;AK$2&amp;"*")</f>
        <v>0</v>
      </c>
      <c r="AL1182" s="201">
        <f t="shared" si="5990"/>
        <v>0</v>
      </c>
      <c r="AM1182" s="201">
        <f t="shared" si="5990"/>
        <v>0</v>
      </c>
      <c r="AN1182" s="201">
        <f t="shared" si="5990"/>
        <v>0</v>
      </c>
      <c r="AO1182" s="201">
        <f t="shared" si="5990"/>
        <v>0</v>
      </c>
      <c r="AP1182" s="201">
        <f t="shared" si="5990"/>
        <v>0</v>
      </c>
      <c r="AQ1182" s="201">
        <f t="shared" si="5990"/>
        <v>0</v>
      </c>
      <c r="AR1182" s="200">
        <f t="shared" si="5990"/>
        <v>0</v>
      </c>
      <c r="AS1182" s="200">
        <f t="shared" si="5990"/>
        <v>0</v>
      </c>
      <c r="AT1182" s="173">
        <v>0.0</v>
      </c>
      <c r="AU1182" s="200">
        <f t="shared" ref="AU1182:AX1182" si="5991">countif($D1182,"*"&amp;AU$2&amp;"*")</f>
        <v>0</v>
      </c>
      <c r="AV1182" s="200">
        <f t="shared" si="5991"/>
        <v>1</v>
      </c>
      <c r="AW1182" s="200">
        <f t="shared" si="5991"/>
        <v>0</v>
      </c>
      <c r="AX1182" s="200">
        <f t="shared" si="5991"/>
        <v>0</v>
      </c>
      <c r="AY1182" s="202">
        <v>0.0</v>
      </c>
      <c r="AZ1182" s="200"/>
      <c r="BA1182" s="171" t="str">
        <f t="shared" si="18"/>
        <v/>
      </c>
      <c r="BB1182" s="171" t="str">
        <f t="shared" si="19"/>
        <v>Code</v>
      </c>
      <c r="BC1182" s="171" t="str">
        <f t="shared" si="20"/>
        <v/>
      </c>
      <c r="BD1182" s="171" t="str">
        <f t="shared" si="21"/>
        <v/>
      </c>
      <c r="BE1182" s="171" t="str">
        <f t="shared" si="22"/>
        <v/>
      </c>
      <c r="BF1182" s="171" t="str">
        <f t="shared" si="23"/>
        <v>Code</v>
      </c>
    </row>
    <row r="1183">
      <c r="A1183" s="171">
        <f t="array" ref="A1183">XLOOKUP(C1183,ICSE!A:A,ICSE!C:C,,2,1)</f>
        <v>2023</v>
      </c>
      <c r="B1183" s="171" t="s">
        <v>5675</v>
      </c>
      <c r="C1183" s="160">
        <v>2195.0</v>
      </c>
      <c r="D1183" s="161" t="s">
        <v>3286</v>
      </c>
      <c r="E1183" s="197" t="str">
        <f t="array" ref="E1183">XLOOKUP(C1183,ICSE!A:A,ICSE!Z:Z,,0,1)</f>
        <v>Publicly available (1)</v>
      </c>
      <c r="F1183" s="198" t="s">
        <v>20</v>
      </c>
      <c r="G1183" s="163" t="str">
        <f t="array" ref="G1183">IF(B1183="ICSE",IF(COUNTIFS(B:B,B1183,C:C,C1183)=XLOOKUP(C1183,ICSE!A:A,ICSE!AA:AA,"ERROR",0,1),"OK","ERROR"),IF(B1183="FSE",IF(COUNTIFS(B:B,B1183,C:C,C1183)=XLOOKUP(C1183,FSE!A:A,FSE!AA:AA,"ERROR",0,1),"OK","ERROR")))</f>
        <v>OK</v>
      </c>
      <c r="H1183" s="199">
        <f t="shared" ref="H1183:O1183" si="5992">countif($D1183,"*"&amp;H$2&amp;"*")</f>
        <v>0</v>
      </c>
      <c r="I1183" s="200">
        <f t="shared" si="5992"/>
        <v>0</v>
      </c>
      <c r="J1183" s="200">
        <f t="shared" si="5992"/>
        <v>0</v>
      </c>
      <c r="K1183" s="200">
        <f t="shared" si="5992"/>
        <v>0</v>
      </c>
      <c r="L1183" s="200">
        <f t="shared" si="5992"/>
        <v>0</v>
      </c>
      <c r="M1183" s="200">
        <f t="shared" si="5992"/>
        <v>0</v>
      </c>
      <c r="N1183" s="200">
        <f t="shared" si="5992"/>
        <v>0</v>
      </c>
      <c r="O1183" s="200">
        <f t="shared" si="5992"/>
        <v>0</v>
      </c>
      <c r="P1183" s="200">
        <f t="shared" si="9"/>
        <v>1</v>
      </c>
      <c r="Q1183" s="200">
        <f t="shared" ref="Q1183:AC1183" si="5993">countif($D1183,"*"&amp;Q$2&amp;"*")</f>
        <v>0</v>
      </c>
      <c r="R1183" s="200">
        <f t="shared" si="5993"/>
        <v>0</v>
      </c>
      <c r="S1183" s="200">
        <f t="shared" si="5993"/>
        <v>0</v>
      </c>
      <c r="T1183" s="200">
        <f t="shared" si="5993"/>
        <v>0</v>
      </c>
      <c r="U1183" s="200">
        <f t="shared" si="5993"/>
        <v>0</v>
      </c>
      <c r="V1183" s="200">
        <f t="shared" si="5993"/>
        <v>0</v>
      </c>
      <c r="W1183" s="200">
        <f t="shared" si="5993"/>
        <v>0</v>
      </c>
      <c r="X1183" s="200">
        <f t="shared" si="5993"/>
        <v>0</v>
      </c>
      <c r="Y1183" s="200">
        <f t="shared" si="5993"/>
        <v>0</v>
      </c>
      <c r="Z1183" s="200">
        <f t="shared" si="5993"/>
        <v>0</v>
      </c>
      <c r="AA1183" s="200">
        <f t="shared" si="5993"/>
        <v>0</v>
      </c>
      <c r="AB1183" s="200">
        <f t="shared" si="5993"/>
        <v>0</v>
      </c>
      <c r="AC1183" s="200">
        <f t="shared" si="5993"/>
        <v>0</v>
      </c>
      <c r="AD1183" s="200">
        <f t="shared" si="11"/>
        <v>0</v>
      </c>
      <c r="AE1183" s="200">
        <f t="shared" ref="AE1183:AG1183" si="5994">countif($D1183,"*"&amp;AE$2&amp;"*")</f>
        <v>0</v>
      </c>
      <c r="AF1183" s="200">
        <f t="shared" si="5994"/>
        <v>0</v>
      </c>
      <c r="AG1183" s="200">
        <f t="shared" si="5994"/>
        <v>0</v>
      </c>
      <c r="AH1183" s="171">
        <f t="shared" si="13"/>
        <v>0</v>
      </c>
      <c r="AI1183" s="200">
        <f t="shared" si="14"/>
        <v>0</v>
      </c>
      <c r="AJ1183" s="200">
        <f t="shared" si="5594"/>
        <v>0</v>
      </c>
      <c r="AK1183" s="201">
        <f t="shared" ref="AK1183:AS1183" si="5995">countif($D1183,"*"&amp;AK$2&amp;"*")</f>
        <v>0</v>
      </c>
      <c r="AL1183" s="201">
        <f t="shared" si="5995"/>
        <v>0</v>
      </c>
      <c r="AM1183" s="201">
        <f t="shared" si="5995"/>
        <v>0</v>
      </c>
      <c r="AN1183" s="201">
        <f t="shared" si="5995"/>
        <v>0</v>
      </c>
      <c r="AO1183" s="201">
        <f t="shared" si="5995"/>
        <v>0</v>
      </c>
      <c r="AP1183" s="201">
        <f t="shared" si="5995"/>
        <v>0</v>
      </c>
      <c r="AQ1183" s="201">
        <f t="shared" si="5995"/>
        <v>0</v>
      </c>
      <c r="AR1183" s="200">
        <f t="shared" si="5995"/>
        <v>0</v>
      </c>
      <c r="AS1183" s="200">
        <f t="shared" si="5995"/>
        <v>0</v>
      </c>
      <c r="AT1183" s="173">
        <v>0.0</v>
      </c>
      <c r="AU1183" s="200">
        <f t="shared" ref="AU1183:AX1183" si="5996">countif($D1183,"*"&amp;AU$2&amp;"*")</f>
        <v>0</v>
      </c>
      <c r="AV1183" s="200">
        <f t="shared" si="5996"/>
        <v>1</v>
      </c>
      <c r="AW1183" s="200">
        <f t="shared" si="5996"/>
        <v>0</v>
      </c>
      <c r="AX1183" s="200">
        <f t="shared" si="5996"/>
        <v>0</v>
      </c>
      <c r="AY1183" s="202">
        <v>0.0</v>
      </c>
      <c r="AZ1183" s="200"/>
      <c r="BA1183" s="171" t="str">
        <f t="shared" si="18"/>
        <v/>
      </c>
      <c r="BB1183" s="171" t="str">
        <f t="shared" si="19"/>
        <v>Code</v>
      </c>
      <c r="BC1183" s="171" t="str">
        <f t="shared" si="20"/>
        <v/>
      </c>
      <c r="BD1183" s="171" t="str">
        <f t="shared" si="21"/>
        <v/>
      </c>
      <c r="BE1183" s="171" t="str">
        <f t="shared" si="22"/>
        <v/>
      </c>
      <c r="BF1183" s="171" t="str">
        <f t="shared" si="23"/>
        <v>Code</v>
      </c>
    </row>
    <row r="1184">
      <c r="A1184" s="171">
        <f t="array" ref="A1184">XLOOKUP(C1184,ICSE!A:A,ICSE!C:C,,2,1)</f>
        <v>2023</v>
      </c>
      <c r="B1184" s="171" t="s">
        <v>5675</v>
      </c>
      <c r="C1184" s="160">
        <v>2196.0</v>
      </c>
      <c r="D1184" s="161" t="s">
        <v>6156</v>
      </c>
      <c r="E1184" s="197" t="str">
        <f t="array" ref="E1184">XLOOKUP(C1184,ICSE!A:A,ICSE!Z:Z,,0,1)</f>
        <v>Publicly available (3)</v>
      </c>
      <c r="F1184" s="198" t="s">
        <v>20</v>
      </c>
      <c r="G1184" s="163" t="str">
        <f t="array" ref="G1184">IF(B1184="ICSE",IF(COUNTIFS(B:B,B1184,C:C,C1184)=XLOOKUP(C1184,ICSE!A:A,ICSE!AA:AA,"ERROR",0,1),"OK","ERROR"),IF(B1184="FSE",IF(COUNTIFS(B:B,B1184,C:C,C1184)=XLOOKUP(C1184,FSE!A:A,FSE!AA:AA,"ERROR",0,1),"OK","ERROR")))</f>
        <v>OK</v>
      </c>
      <c r="H1184" s="199">
        <f t="shared" ref="H1184:O1184" si="5997">countif($D1184,"*"&amp;H$2&amp;"*")</f>
        <v>1</v>
      </c>
      <c r="I1184" s="200">
        <f t="shared" si="5997"/>
        <v>0</v>
      </c>
      <c r="J1184" s="200">
        <f t="shared" si="5997"/>
        <v>0</v>
      </c>
      <c r="K1184" s="200">
        <f t="shared" si="5997"/>
        <v>0</v>
      </c>
      <c r="L1184" s="200">
        <f t="shared" si="5997"/>
        <v>0</v>
      </c>
      <c r="M1184" s="200">
        <f t="shared" si="5997"/>
        <v>0</v>
      </c>
      <c r="N1184" s="200">
        <f t="shared" si="5997"/>
        <v>0</v>
      </c>
      <c r="O1184" s="200">
        <f t="shared" si="5997"/>
        <v>0</v>
      </c>
      <c r="P1184" s="200">
        <f t="shared" si="9"/>
        <v>0</v>
      </c>
      <c r="Q1184" s="200">
        <f t="shared" ref="Q1184:AC1184" si="5998">countif($D1184,"*"&amp;Q$2&amp;"*")</f>
        <v>0</v>
      </c>
      <c r="R1184" s="200">
        <f t="shared" si="5998"/>
        <v>0</v>
      </c>
      <c r="S1184" s="200">
        <f t="shared" si="5998"/>
        <v>0</v>
      </c>
      <c r="T1184" s="200">
        <f t="shared" si="5998"/>
        <v>0</v>
      </c>
      <c r="U1184" s="200">
        <f t="shared" si="5998"/>
        <v>0</v>
      </c>
      <c r="V1184" s="200">
        <f t="shared" si="5998"/>
        <v>0</v>
      </c>
      <c r="W1184" s="200">
        <f t="shared" si="5998"/>
        <v>0</v>
      </c>
      <c r="X1184" s="200">
        <f t="shared" si="5998"/>
        <v>0</v>
      </c>
      <c r="Y1184" s="200">
        <f t="shared" si="5998"/>
        <v>0</v>
      </c>
      <c r="Z1184" s="200">
        <f t="shared" si="5998"/>
        <v>0</v>
      </c>
      <c r="AA1184" s="200">
        <f t="shared" si="5998"/>
        <v>0</v>
      </c>
      <c r="AB1184" s="200">
        <f t="shared" si="5998"/>
        <v>0</v>
      </c>
      <c r="AC1184" s="200">
        <f t="shared" si="5998"/>
        <v>0</v>
      </c>
      <c r="AD1184" s="200">
        <f t="shared" si="11"/>
        <v>0</v>
      </c>
      <c r="AE1184" s="200">
        <f t="shared" ref="AE1184:AG1184" si="5999">countif($D1184,"*"&amp;AE$2&amp;"*")</f>
        <v>0</v>
      </c>
      <c r="AF1184" s="200">
        <f t="shared" si="5999"/>
        <v>0</v>
      </c>
      <c r="AG1184" s="200">
        <f t="shared" si="5999"/>
        <v>0</v>
      </c>
      <c r="AH1184" s="171">
        <f t="shared" si="13"/>
        <v>0</v>
      </c>
      <c r="AI1184" s="200">
        <f t="shared" si="14"/>
        <v>1</v>
      </c>
      <c r="AJ1184" s="200">
        <f t="shared" si="5594"/>
        <v>0</v>
      </c>
      <c r="AK1184" s="201">
        <f t="shared" ref="AK1184:AS1184" si="6000">countif($D1184,"*"&amp;AK$2&amp;"*")</f>
        <v>0</v>
      </c>
      <c r="AL1184" s="201">
        <f t="shared" si="6000"/>
        <v>0</v>
      </c>
      <c r="AM1184" s="201">
        <f t="shared" si="6000"/>
        <v>0</v>
      </c>
      <c r="AN1184" s="201">
        <f t="shared" si="6000"/>
        <v>0</v>
      </c>
      <c r="AO1184" s="201">
        <f t="shared" si="6000"/>
        <v>0</v>
      </c>
      <c r="AP1184" s="201">
        <f t="shared" si="6000"/>
        <v>0</v>
      </c>
      <c r="AQ1184" s="201">
        <f t="shared" si="6000"/>
        <v>0</v>
      </c>
      <c r="AR1184" s="200">
        <f t="shared" si="6000"/>
        <v>0</v>
      </c>
      <c r="AS1184" s="200">
        <f t="shared" si="6000"/>
        <v>0</v>
      </c>
      <c r="AT1184" s="173">
        <v>0.0</v>
      </c>
      <c r="AU1184" s="200">
        <f t="shared" ref="AU1184:AX1184" si="6001">countif($D1184,"*"&amp;AU$2&amp;"*")</f>
        <v>0</v>
      </c>
      <c r="AV1184" s="200">
        <f t="shared" si="6001"/>
        <v>0</v>
      </c>
      <c r="AW1184" s="200">
        <f t="shared" si="6001"/>
        <v>0</v>
      </c>
      <c r="AX1184" s="200">
        <f t="shared" si="6001"/>
        <v>1</v>
      </c>
      <c r="AY1184" s="202">
        <v>0.0</v>
      </c>
      <c r="AZ1184" s="200"/>
      <c r="BA1184" s="171" t="str">
        <f t="shared" si="18"/>
        <v>Archival</v>
      </c>
      <c r="BB1184" s="171" t="str">
        <f t="shared" si="19"/>
        <v/>
      </c>
      <c r="BC1184" s="171" t="str">
        <f t="shared" si="20"/>
        <v/>
      </c>
      <c r="BD1184" s="171" t="str">
        <f t="shared" si="21"/>
        <v/>
      </c>
      <c r="BE1184" s="171" t="str">
        <f t="shared" si="22"/>
        <v/>
      </c>
      <c r="BF1184" s="171" t="str">
        <f t="shared" si="23"/>
        <v>Archival</v>
      </c>
    </row>
    <row r="1185">
      <c r="A1185" s="171">
        <f t="array" ref="A1185">XLOOKUP(C1185,ICSE!A:A,ICSE!C:C,,2,1)</f>
        <v>2023</v>
      </c>
      <c r="B1185" s="171" t="s">
        <v>5675</v>
      </c>
      <c r="C1185" s="160">
        <v>2196.0</v>
      </c>
      <c r="D1185" s="161" t="s">
        <v>6157</v>
      </c>
      <c r="E1185" s="197" t="str">
        <f t="array" ref="E1185">XLOOKUP(C1185,ICSE!A:A,ICSE!Z:Z,,0,1)</f>
        <v>Publicly available (3)</v>
      </c>
      <c r="F1185" s="198" t="s">
        <v>20</v>
      </c>
      <c r="G1185" s="163" t="str">
        <f t="array" ref="G1185">IF(B1185="ICSE",IF(COUNTIFS(B:B,B1185,C:C,C1185)=XLOOKUP(C1185,ICSE!A:A,ICSE!AA:AA,"ERROR",0,1),"OK","ERROR"),IF(B1185="FSE",IF(COUNTIFS(B:B,B1185,C:C,C1185)=XLOOKUP(C1185,FSE!A:A,FSE!AA:AA,"ERROR",0,1),"OK","ERROR")))</f>
        <v>OK</v>
      </c>
      <c r="H1185" s="199">
        <f t="shared" ref="H1185:O1185" si="6002">countif($D1185,"*"&amp;H$2&amp;"*")</f>
        <v>0</v>
      </c>
      <c r="I1185" s="200">
        <f t="shared" si="6002"/>
        <v>0</v>
      </c>
      <c r="J1185" s="200">
        <f t="shared" si="6002"/>
        <v>0</v>
      </c>
      <c r="K1185" s="200">
        <f t="shared" si="6002"/>
        <v>0</v>
      </c>
      <c r="L1185" s="200">
        <f t="shared" si="6002"/>
        <v>0</v>
      </c>
      <c r="M1185" s="200">
        <f t="shared" si="6002"/>
        <v>0</v>
      </c>
      <c r="N1185" s="200">
        <f t="shared" si="6002"/>
        <v>1</v>
      </c>
      <c r="O1185" s="200">
        <f t="shared" si="6002"/>
        <v>0</v>
      </c>
      <c r="P1185" s="200">
        <f t="shared" si="9"/>
        <v>0</v>
      </c>
      <c r="Q1185" s="200">
        <f t="shared" ref="Q1185:AC1185" si="6003">countif($D1185,"*"&amp;Q$2&amp;"*")</f>
        <v>0</v>
      </c>
      <c r="R1185" s="200">
        <f t="shared" si="6003"/>
        <v>0</v>
      </c>
      <c r="S1185" s="200">
        <f t="shared" si="6003"/>
        <v>0</v>
      </c>
      <c r="T1185" s="200">
        <f t="shared" si="6003"/>
        <v>0</v>
      </c>
      <c r="U1185" s="200">
        <f t="shared" si="6003"/>
        <v>0</v>
      </c>
      <c r="V1185" s="200">
        <f t="shared" si="6003"/>
        <v>0</v>
      </c>
      <c r="W1185" s="200">
        <f t="shared" si="6003"/>
        <v>0</v>
      </c>
      <c r="X1185" s="200">
        <f t="shared" si="6003"/>
        <v>0</v>
      </c>
      <c r="Y1185" s="200">
        <f t="shared" si="6003"/>
        <v>0</v>
      </c>
      <c r="Z1185" s="200">
        <f t="shared" si="6003"/>
        <v>0</v>
      </c>
      <c r="AA1185" s="200">
        <f t="shared" si="6003"/>
        <v>0</v>
      </c>
      <c r="AB1185" s="200">
        <f t="shared" si="6003"/>
        <v>0</v>
      </c>
      <c r="AC1185" s="200">
        <f t="shared" si="6003"/>
        <v>0</v>
      </c>
      <c r="AD1185" s="200">
        <f t="shared" si="11"/>
        <v>0</v>
      </c>
      <c r="AE1185" s="200">
        <f t="shared" ref="AE1185:AG1185" si="6004">countif($D1185,"*"&amp;AE$2&amp;"*")</f>
        <v>0</v>
      </c>
      <c r="AF1185" s="200">
        <f t="shared" si="6004"/>
        <v>0</v>
      </c>
      <c r="AG1185" s="200">
        <f t="shared" si="6004"/>
        <v>0</v>
      </c>
      <c r="AH1185" s="171">
        <f t="shared" si="13"/>
        <v>0</v>
      </c>
      <c r="AI1185" s="200">
        <f t="shared" si="14"/>
        <v>1</v>
      </c>
      <c r="AJ1185" s="200">
        <f t="shared" si="5594"/>
        <v>0</v>
      </c>
      <c r="AK1185" s="201">
        <f t="shared" ref="AK1185:AS1185" si="6005">countif($D1185,"*"&amp;AK$2&amp;"*")</f>
        <v>0</v>
      </c>
      <c r="AL1185" s="201">
        <f t="shared" si="6005"/>
        <v>0</v>
      </c>
      <c r="AM1185" s="201">
        <f t="shared" si="6005"/>
        <v>0</v>
      </c>
      <c r="AN1185" s="201">
        <f t="shared" si="6005"/>
        <v>0</v>
      </c>
      <c r="AO1185" s="201">
        <f t="shared" si="6005"/>
        <v>0</v>
      </c>
      <c r="AP1185" s="201">
        <f t="shared" si="6005"/>
        <v>0</v>
      </c>
      <c r="AQ1185" s="201">
        <f t="shared" si="6005"/>
        <v>0</v>
      </c>
      <c r="AR1185" s="200">
        <f t="shared" si="6005"/>
        <v>0</v>
      </c>
      <c r="AS1185" s="200">
        <f t="shared" si="6005"/>
        <v>0</v>
      </c>
      <c r="AT1185" s="173">
        <v>0.0</v>
      </c>
      <c r="AU1185" s="200">
        <f t="shared" ref="AU1185:AX1185" si="6006">countif($D1185,"*"&amp;AU$2&amp;"*")</f>
        <v>0</v>
      </c>
      <c r="AV1185" s="200">
        <f t="shared" si="6006"/>
        <v>0</v>
      </c>
      <c r="AW1185" s="200">
        <f t="shared" si="6006"/>
        <v>0</v>
      </c>
      <c r="AX1185" s="200">
        <f t="shared" si="6006"/>
        <v>0</v>
      </c>
      <c r="AY1185" s="204">
        <v>1.0</v>
      </c>
      <c r="AZ1185" s="200"/>
      <c r="BA1185" s="171" t="str">
        <f t="shared" si="18"/>
        <v>Archival</v>
      </c>
      <c r="BB1185" s="171" t="str">
        <f t="shared" si="19"/>
        <v/>
      </c>
      <c r="BC1185" s="171" t="str">
        <f t="shared" si="20"/>
        <v/>
      </c>
      <c r="BD1185" s="171" t="str">
        <f t="shared" si="21"/>
        <v/>
      </c>
      <c r="BE1185" s="171" t="str">
        <f t="shared" si="22"/>
        <v/>
      </c>
      <c r="BF1185" s="171" t="str">
        <f t="shared" si="23"/>
        <v>Archival</v>
      </c>
    </row>
    <row r="1186">
      <c r="A1186" s="171">
        <f t="array" ref="A1186">XLOOKUP(C1186,ICSE!A:A,ICSE!C:C,,2,1)</f>
        <v>2023</v>
      </c>
      <c r="B1186" s="171" t="s">
        <v>5675</v>
      </c>
      <c r="C1186" s="160">
        <v>2196.0</v>
      </c>
      <c r="D1186" s="161" t="s">
        <v>6158</v>
      </c>
      <c r="E1186" s="197" t="str">
        <f t="array" ref="E1186">XLOOKUP(C1186,ICSE!A:A,ICSE!Z:Z,,0,1)</f>
        <v>Publicly available (3)</v>
      </c>
      <c r="F1186" s="198" t="s">
        <v>20</v>
      </c>
      <c r="G1186" s="163" t="str">
        <f t="array" ref="G1186">IF(B1186="ICSE",IF(COUNTIFS(B:B,B1186,C:C,C1186)=XLOOKUP(C1186,ICSE!A:A,ICSE!AA:AA,"ERROR",0,1),"OK","ERROR"),IF(B1186="FSE",IF(COUNTIFS(B:B,B1186,C:C,C1186)=XLOOKUP(C1186,FSE!A:A,FSE!AA:AA,"ERROR",0,1),"OK","ERROR")))</f>
        <v>OK</v>
      </c>
      <c r="H1186" s="199">
        <f t="shared" ref="H1186:O1186" si="6007">countif($D1186,"*"&amp;H$2&amp;"*")</f>
        <v>0</v>
      </c>
      <c r="I1186" s="200">
        <f t="shared" si="6007"/>
        <v>0</v>
      </c>
      <c r="J1186" s="200">
        <f t="shared" si="6007"/>
        <v>0</v>
      </c>
      <c r="K1186" s="200">
        <f t="shared" si="6007"/>
        <v>0</v>
      </c>
      <c r="L1186" s="200">
        <f t="shared" si="6007"/>
        <v>0</v>
      </c>
      <c r="M1186" s="200">
        <f t="shared" si="6007"/>
        <v>0</v>
      </c>
      <c r="N1186" s="200">
        <f t="shared" si="6007"/>
        <v>0</v>
      </c>
      <c r="O1186" s="200">
        <f t="shared" si="6007"/>
        <v>0</v>
      </c>
      <c r="P1186" s="200">
        <f t="shared" si="9"/>
        <v>1</v>
      </c>
      <c r="Q1186" s="200">
        <f t="shared" ref="Q1186:AC1186" si="6008">countif($D1186,"*"&amp;Q$2&amp;"*")</f>
        <v>0</v>
      </c>
      <c r="R1186" s="200">
        <f t="shared" si="6008"/>
        <v>0</v>
      </c>
      <c r="S1186" s="200">
        <f t="shared" si="6008"/>
        <v>0</v>
      </c>
      <c r="T1186" s="200">
        <f t="shared" si="6008"/>
        <v>0</v>
      </c>
      <c r="U1186" s="200">
        <f t="shared" si="6008"/>
        <v>0</v>
      </c>
      <c r="V1186" s="200">
        <f t="shared" si="6008"/>
        <v>0</v>
      </c>
      <c r="W1186" s="200">
        <f t="shared" si="6008"/>
        <v>0</v>
      </c>
      <c r="X1186" s="200">
        <f t="shared" si="6008"/>
        <v>0</v>
      </c>
      <c r="Y1186" s="200">
        <f t="shared" si="6008"/>
        <v>0</v>
      </c>
      <c r="Z1186" s="200">
        <f t="shared" si="6008"/>
        <v>0</v>
      </c>
      <c r="AA1186" s="200">
        <f t="shared" si="6008"/>
        <v>0</v>
      </c>
      <c r="AB1186" s="200">
        <f t="shared" si="6008"/>
        <v>0</v>
      </c>
      <c r="AC1186" s="200">
        <f t="shared" si="6008"/>
        <v>0</v>
      </c>
      <c r="AD1186" s="200">
        <f t="shared" si="11"/>
        <v>0</v>
      </c>
      <c r="AE1186" s="200">
        <f t="shared" ref="AE1186:AG1186" si="6009">countif($D1186,"*"&amp;AE$2&amp;"*")</f>
        <v>0</v>
      </c>
      <c r="AF1186" s="200">
        <f t="shared" si="6009"/>
        <v>0</v>
      </c>
      <c r="AG1186" s="200">
        <f t="shared" si="6009"/>
        <v>0</v>
      </c>
      <c r="AH1186" s="171">
        <f t="shared" si="13"/>
        <v>0</v>
      </c>
      <c r="AI1186" s="200">
        <f t="shared" si="14"/>
        <v>0</v>
      </c>
      <c r="AJ1186" s="200">
        <f t="shared" si="5594"/>
        <v>0</v>
      </c>
      <c r="AK1186" s="201">
        <f t="shared" ref="AK1186:AS1186" si="6010">countif($D1186,"*"&amp;AK$2&amp;"*")</f>
        <v>0</v>
      </c>
      <c r="AL1186" s="201">
        <f t="shared" si="6010"/>
        <v>0</v>
      </c>
      <c r="AM1186" s="201">
        <f t="shared" si="6010"/>
        <v>0</v>
      </c>
      <c r="AN1186" s="201">
        <f t="shared" si="6010"/>
        <v>0</v>
      </c>
      <c r="AO1186" s="201">
        <f t="shared" si="6010"/>
        <v>0</v>
      </c>
      <c r="AP1186" s="201">
        <f t="shared" si="6010"/>
        <v>0</v>
      </c>
      <c r="AQ1186" s="201">
        <f t="shared" si="6010"/>
        <v>0</v>
      </c>
      <c r="AR1186" s="200">
        <f t="shared" si="6010"/>
        <v>0</v>
      </c>
      <c r="AS1186" s="200">
        <f t="shared" si="6010"/>
        <v>0</v>
      </c>
      <c r="AT1186" s="173">
        <v>0.0</v>
      </c>
      <c r="AU1186" s="200">
        <f t="shared" ref="AU1186:AX1186" si="6011">countif($D1186,"*"&amp;AU$2&amp;"*")</f>
        <v>0</v>
      </c>
      <c r="AV1186" s="200">
        <f t="shared" si="6011"/>
        <v>0</v>
      </c>
      <c r="AW1186" s="200">
        <f t="shared" si="6011"/>
        <v>1</v>
      </c>
      <c r="AX1186" s="200">
        <f t="shared" si="6011"/>
        <v>0</v>
      </c>
      <c r="AY1186" s="202">
        <v>0.0</v>
      </c>
      <c r="AZ1186" s="200"/>
      <c r="BA1186" s="171" t="str">
        <f t="shared" si="18"/>
        <v/>
      </c>
      <c r="BB1186" s="171" t="str">
        <f t="shared" si="19"/>
        <v>Code</v>
      </c>
      <c r="BC1186" s="171" t="str">
        <f t="shared" si="20"/>
        <v/>
      </c>
      <c r="BD1186" s="171" t="str">
        <f t="shared" si="21"/>
        <v/>
      </c>
      <c r="BE1186" s="171" t="str">
        <f t="shared" si="22"/>
        <v/>
      </c>
      <c r="BF1186" s="171" t="str">
        <f t="shared" si="23"/>
        <v>Code</v>
      </c>
    </row>
    <row r="1187">
      <c r="A1187" s="171">
        <f t="array" ref="A1187">XLOOKUP(C1187,ICSE!A:A,ICSE!C:C,,2,1)</f>
        <v>2023</v>
      </c>
      <c r="B1187" s="171" t="s">
        <v>5675</v>
      </c>
      <c r="C1187" s="160">
        <v>2197.0</v>
      </c>
      <c r="D1187" s="161" t="s">
        <v>3293</v>
      </c>
      <c r="E1187" s="197" t="str">
        <f t="array" ref="E1187">XLOOKUP(C1187,ICSE!A:A,ICSE!Z:Z,,0,1)</f>
        <v>Publicly available (1)</v>
      </c>
      <c r="F1187" s="198" t="s">
        <v>20</v>
      </c>
      <c r="G1187" s="163" t="str">
        <f t="array" ref="G1187">IF(B1187="ICSE",IF(COUNTIFS(B:B,B1187,C:C,C1187)=XLOOKUP(C1187,ICSE!A:A,ICSE!AA:AA,"ERROR",0,1),"OK","ERROR"),IF(B1187="FSE",IF(COUNTIFS(B:B,B1187,C:C,C1187)=XLOOKUP(C1187,FSE!A:A,FSE!AA:AA,"ERROR",0,1),"OK","ERROR")))</f>
        <v>OK</v>
      </c>
      <c r="H1187" s="199">
        <f t="shared" ref="H1187:O1187" si="6012">countif($D1187,"*"&amp;H$2&amp;"*")</f>
        <v>0</v>
      </c>
      <c r="I1187" s="200">
        <f t="shared" si="6012"/>
        <v>0</v>
      </c>
      <c r="J1187" s="200">
        <f t="shared" si="6012"/>
        <v>0</v>
      </c>
      <c r="K1187" s="200">
        <f t="shared" si="6012"/>
        <v>0</v>
      </c>
      <c r="L1187" s="200">
        <f t="shared" si="6012"/>
        <v>0</v>
      </c>
      <c r="M1187" s="200">
        <f t="shared" si="6012"/>
        <v>0</v>
      </c>
      <c r="N1187" s="200">
        <f t="shared" si="6012"/>
        <v>0</v>
      </c>
      <c r="O1187" s="200">
        <f t="shared" si="6012"/>
        <v>0</v>
      </c>
      <c r="P1187" s="200">
        <f t="shared" si="9"/>
        <v>1</v>
      </c>
      <c r="Q1187" s="200">
        <f t="shared" ref="Q1187:AC1187" si="6013">countif($D1187,"*"&amp;Q$2&amp;"*")</f>
        <v>0</v>
      </c>
      <c r="R1187" s="200">
        <f t="shared" si="6013"/>
        <v>0</v>
      </c>
      <c r="S1187" s="200">
        <f t="shared" si="6013"/>
        <v>0</v>
      </c>
      <c r="T1187" s="200">
        <f t="shared" si="6013"/>
        <v>0</v>
      </c>
      <c r="U1187" s="200">
        <f t="shared" si="6013"/>
        <v>0</v>
      </c>
      <c r="V1187" s="200">
        <f t="shared" si="6013"/>
        <v>0</v>
      </c>
      <c r="W1187" s="200">
        <f t="shared" si="6013"/>
        <v>0</v>
      </c>
      <c r="X1187" s="200">
        <f t="shared" si="6013"/>
        <v>0</v>
      </c>
      <c r="Y1187" s="200">
        <f t="shared" si="6013"/>
        <v>0</v>
      </c>
      <c r="Z1187" s="200">
        <f t="shared" si="6013"/>
        <v>0</v>
      </c>
      <c r="AA1187" s="200">
        <f t="shared" si="6013"/>
        <v>0</v>
      </c>
      <c r="AB1187" s="200">
        <f t="shared" si="6013"/>
        <v>0</v>
      </c>
      <c r="AC1187" s="200">
        <f t="shared" si="6013"/>
        <v>0</v>
      </c>
      <c r="AD1187" s="200">
        <f t="shared" si="11"/>
        <v>0</v>
      </c>
      <c r="AE1187" s="200">
        <f t="shared" ref="AE1187:AG1187" si="6014">countif($D1187,"*"&amp;AE$2&amp;"*")</f>
        <v>0</v>
      </c>
      <c r="AF1187" s="200">
        <f t="shared" si="6014"/>
        <v>0</v>
      </c>
      <c r="AG1187" s="200">
        <f t="shared" si="6014"/>
        <v>0</v>
      </c>
      <c r="AH1187" s="171">
        <f t="shared" si="13"/>
        <v>0</v>
      </c>
      <c r="AI1187" s="200">
        <f t="shared" si="14"/>
        <v>0</v>
      </c>
      <c r="AJ1187" s="200">
        <f t="shared" si="5594"/>
        <v>0</v>
      </c>
      <c r="AK1187" s="201">
        <f t="shared" ref="AK1187:AS1187" si="6015">countif($D1187,"*"&amp;AK$2&amp;"*")</f>
        <v>0</v>
      </c>
      <c r="AL1187" s="201">
        <f t="shared" si="6015"/>
        <v>0</v>
      </c>
      <c r="AM1187" s="201">
        <f t="shared" si="6015"/>
        <v>0</v>
      </c>
      <c r="AN1187" s="201">
        <f t="shared" si="6015"/>
        <v>0</v>
      </c>
      <c r="AO1187" s="201">
        <f t="shared" si="6015"/>
        <v>0</v>
      </c>
      <c r="AP1187" s="201">
        <f t="shared" si="6015"/>
        <v>0</v>
      </c>
      <c r="AQ1187" s="201">
        <f t="shared" si="6015"/>
        <v>0</v>
      </c>
      <c r="AR1187" s="200">
        <f t="shared" si="6015"/>
        <v>0</v>
      </c>
      <c r="AS1187" s="200">
        <f t="shared" si="6015"/>
        <v>0</v>
      </c>
      <c r="AT1187" s="173">
        <v>0.0</v>
      </c>
      <c r="AU1187" s="200">
        <f t="shared" ref="AU1187:AX1187" si="6016">countif($D1187,"*"&amp;AU$2&amp;"*")</f>
        <v>0</v>
      </c>
      <c r="AV1187" s="200">
        <f t="shared" si="6016"/>
        <v>1</v>
      </c>
      <c r="AW1187" s="200">
        <f t="shared" si="6016"/>
        <v>0</v>
      </c>
      <c r="AX1187" s="200">
        <f t="shared" si="6016"/>
        <v>0</v>
      </c>
      <c r="AY1187" s="202">
        <v>0.0</v>
      </c>
      <c r="AZ1187" s="200"/>
      <c r="BA1187" s="171" t="str">
        <f t="shared" si="18"/>
        <v/>
      </c>
      <c r="BB1187" s="171" t="str">
        <f t="shared" si="19"/>
        <v>Code</v>
      </c>
      <c r="BC1187" s="171" t="str">
        <f t="shared" si="20"/>
        <v/>
      </c>
      <c r="BD1187" s="171" t="str">
        <f t="shared" si="21"/>
        <v/>
      </c>
      <c r="BE1187" s="171" t="str">
        <f t="shared" si="22"/>
        <v/>
      </c>
      <c r="BF1187" s="171" t="str">
        <f t="shared" si="23"/>
        <v>Code</v>
      </c>
    </row>
    <row r="1188">
      <c r="A1188" s="171">
        <f t="array" ref="A1188">XLOOKUP(C1188,ICSE!A:A,ICSE!C:C,,2,1)</f>
        <v>2023</v>
      </c>
      <c r="B1188" s="171" t="s">
        <v>5675</v>
      </c>
      <c r="C1188" s="160">
        <v>2198.0</v>
      </c>
      <c r="D1188" s="161" t="s">
        <v>3295</v>
      </c>
      <c r="E1188" s="197" t="str">
        <f t="array" ref="E1188">XLOOKUP(C1188,ICSE!A:A,ICSE!Z:Z,,0,1)</f>
        <v>Publicly available (1)</v>
      </c>
      <c r="F1188" s="198" t="s">
        <v>20</v>
      </c>
      <c r="G1188" s="163" t="str">
        <f t="array" ref="G1188">IF(B1188="ICSE",IF(COUNTIFS(B:B,B1188,C:C,C1188)=XLOOKUP(C1188,ICSE!A:A,ICSE!AA:AA,"ERROR",0,1),"OK","ERROR"),IF(B1188="FSE",IF(COUNTIFS(B:B,B1188,C:C,C1188)=XLOOKUP(C1188,FSE!A:A,FSE!AA:AA,"ERROR",0,1),"OK","ERROR")))</f>
        <v>OK</v>
      </c>
      <c r="H1188" s="199">
        <f t="shared" ref="H1188:O1188" si="6017">countif($D1188,"*"&amp;H$2&amp;"*")</f>
        <v>0</v>
      </c>
      <c r="I1188" s="200">
        <f t="shared" si="6017"/>
        <v>0</v>
      </c>
      <c r="J1188" s="200">
        <f t="shared" si="6017"/>
        <v>0</v>
      </c>
      <c r="K1188" s="200">
        <f t="shared" si="6017"/>
        <v>0</v>
      </c>
      <c r="L1188" s="200">
        <f t="shared" si="6017"/>
        <v>0</v>
      </c>
      <c r="M1188" s="200">
        <f t="shared" si="6017"/>
        <v>0</v>
      </c>
      <c r="N1188" s="200">
        <f t="shared" si="6017"/>
        <v>0</v>
      </c>
      <c r="O1188" s="200">
        <f t="shared" si="6017"/>
        <v>0</v>
      </c>
      <c r="P1188" s="200">
        <f t="shared" si="9"/>
        <v>1</v>
      </c>
      <c r="Q1188" s="200">
        <f t="shared" ref="Q1188:AC1188" si="6018">countif($D1188,"*"&amp;Q$2&amp;"*")</f>
        <v>0</v>
      </c>
      <c r="R1188" s="200">
        <f t="shared" si="6018"/>
        <v>0</v>
      </c>
      <c r="S1188" s="200">
        <f t="shared" si="6018"/>
        <v>0</v>
      </c>
      <c r="T1188" s="200">
        <f t="shared" si="6018"/>
        <v>0</v>
      </c>
      <c r="U1188" s="200">
        <f t="shared" si="6018"/>
        <v>0</v>
      </c>
      <c r="V1188" s="200">
        <f t="shared" si="6018"/>
        <v>0</v>
      </c>
      <c r="W1188" s="200">
        <f t="shared" si="6018"/>
        <v>0</v>
      </c>
      <c r="X1188" s="200">
        <f t="shared" si="6018"/>
        <v>0</v>
      </c>
      <c r="Y1188" s="200">
        <f t="shared" si="6018"/>
        <v>0</v>
      </c>
      <c r="Z1188" s="200">
        <f t="shared" si="6018"/>
        <v>0</v>
      </c>
      <c r="AA1188" s="200">
        <f t="shared" si="6018"/>
        <v>0</v>
      </c>
      <c r="AB1188" s="200">
        <f t="shared" si="6018"/>
        <v>0</v>
      </c>
      <c r="AC1188" s="200">
        <f t="shared" si="6018"/>
        <v>0</v>
      </c>
      <c r="AD1188" s="200">
        <f t="shared" si="11"/>
        <v>0</v>
      </c>
      <c r="AE1188" s="200">
        <f t="shared" ref="AE1188:AG1188" si="6019">countif($D1188,"*"&amp;AE$2&amp;"*")</f>
        <v>0</v>
      </c>
      <c r="AF1188" s="200">
        <f t="shared" si="6019"/>
        <v>0</v>
      </c>
      <c r="AG1188" s="200">
        <f t="shared" si="6019"/>
        <v>0</v>
      </c>
      <c r="AH1188" s="171">
        <f t="shared" si="13"/>
        <v>0</v>
      </c>
      <c r="AI1188" s="200">
        <f t="shared" si="14"/>
        <v>0</v>
      </c>
      <c r="AJ1188" s="200">
        <f t="shared" si="5594"/>
        <v>0</v>
      </c>
      <c r="AK1188" s="201">
        <f t="shared" ref="AK1188:AS1188" si="6020">countif($D1188,"*"&amp;AK$2&amp;"*")</f>
        <v>0</v>
      </c>
      <c r="AL1188" s="201">
        <f t="shared" si="6020"/>
        <v>0</v>
      </c>
      <c r="AM1188" s="201">
        <f t="shared" si="6020"/>
        <v>0</v>
      </c>
      <c r="AN1188" s="201">
        <f t="shared" si="6020"/>
        <v>0</v>
      </c>
      <c r="AO1188" s="201">
        <f t="shared" si="6020"/>
        <v>0</v>
      </c>
      <c r="AP1188" s="201">
        <f t="shared" si="6020"/>
        <v>0</v>
      </c>
      <c r="AQ1188" s="201">
        <f t="shared" si="6020"/>
        <v>0</v>
      </c>
      <c r="AR1188" s="200">
        <f t="shared" si="6020"/>
        <v>0</v>
      </c>
      <c r="AS1188" s="200">
        <f t="shared" si="6020"/>
        <v>0</v>
      </c>
      <c r="AT1188" s="173">
        <v>0.0</v>
      </c>
      <c r="AU1188" s="200">
        <f t="shared" ref="AU1188:AX1188" si="6021">countif($D1188,"*"&amp;AU$2&amp;"*")</f>
        <v>0</v>
      </c>
      <c r="AV1188" s="200">
        <f t="shared" si="6021"/>
        <v>1</v>
      </c>
      <c r="AW1188" s="200">
        <f t="shared" si="6021"/>
        <v>0</v>
      </c>
      <c r="AX1188" s="200">
        <f t="shared" si="6021"/>
        <v>0</v>
      </c>
      <c r="AY1188" s="202">
        <v>0.0</v>
      </c>
      <c r="AZ1188" s="200"/>
      <c r="BA1188" s="171" t="str">
        <f t="shared" si="18"/>
        <v/>
      </c>
      <c r="BB1188" s="171" t="str">
        <f t="shared" si="19"/>
        <v>Code</v>
      </c>
      <c r="BC1188" s="171" t="str">
        <f t="shared" si="20"/>
        <v/>
      </c>
      <c r="BD1188" s="171" t="str">
        <f t="shared" si="21"/>
        <v/>
      </c>
      <c r="BE1188" s="171" t="str">
        <f t="shared" si="22"/>
        <v/>
      </c>
      <c r="BF1188" s="171" t="str">
        <f t="shared" si="23"/>
        <v>Code</v>
      </c>
    </row>
    <row r="1189">
      <c r="A1189" s="171">
        <f t="array" ref="A1189">XLOOKUP(C1189,ICSE!A:A,ICSE!C:C,,2,1)</f>
        <v>2023</v>
      </c>
      <c r="B1189" s="171" t="s">
        <v>5675</v>
      </c>
      <c r="C1189" s="160">
        <v>2199.0</v>
      </c>
      <c r="D1189" s="161" t="s">
        <v>3297</v>
      </c>
      <c r="E1189" s="197" t="str">
        <f t="array" ref="E1189">XLOOKUP(C1189,ICSE!A:A,ICSE!Z:Z,,0,1)</f>
        <v>Publicly available (1)</v>
      </c>
      <c r="F1189" s="198" t="s">
        <v>20</v>
      </c>
      <c r="G1189" s="163" t="str">
        <f t="array" ref="G1189">IF(B1189="ICSE",IF(COUNTIFS(B:B,B1189,C:C,C1189)=XLOOKUP(C1189,ICSE!A:A,ICSE!AA:AA,"ERROR",0,1),"OK","ERROR"),IF(B1189="FSE",IF(COUNTIFS(B:B,B1189,C:C,C1189)=XLOOKUP(C1189,FSE!A:A,FSE!AA:AA,"ERROR",0,1),"OK","ERROR")))</f>
        <v>OK</v>
      </c>
      <c r="H1189" s="199">
        <f t="shared" ref="H1189:O1189" si="6022">countif($D1189,"*"&amp;H$2&amp;"*")</f>
        <v>0</v>
      </c>
      <c r="I1189" s="200">
        <f t="shared" si="6022"/>
        <v>0</v>
      </c>
      <c r="J1189" s="200">
        <f t="shared" si="6022"/>
        <v>0</v>
      </c>
      <c r="K1189" s="200">
        <f t="shared" si="6022"/>
        <v>0</v>
      </c>
      <c r="L1189" s="200">
        <f t="shared" si="6022"/>
        <v>0</v>
      </c>
      <c r="M1189" s="200">
        <f t="shared" si="6022"/>
        <v>0</v>
      </c>
      <c r="N1189" s="200">
        <f t="shared" si="6022"/>
        <v>0</v>
      </c>
      <c r="O1189" s="200">
        <f t="shared" si="6022"/>
        <v>0</v>
      </c>
      <c r="P1189" s="200">
        <f t="shared" si="9"/>
        <v>1</v>
      </c>
      <c r="Q1189" s="200">
        <f t="shared" ref="Q1189:AC1189" si="6023">countif($D1189,"*"&amp;Q$2&amp;"*")</f>
        <v>0</v>
      </c>
      <c r="R1189" s="200">
        <f t="shared" si="6023"/>
        <v>0</v>
      </c>
      <c r="S1189" s="200">
        <f t="shared" si="6023"/>
        <v>0</v>
      </c>
      <c r="T1189" s="200">
        <f t="shared" si="6023"/>
        <v>0</v>
      </c>
      <c r="U1189" s="200">
        <f t="shared" si="6023"/>
        <v>0</v>
      </c>
      <c r="V1189" s="200">
        <f t="shared" si="6023"/>
        <v>0</v>
      </c>
      <c r="W1189" s="200">
        <f t="shared" si="6023"/>
        <v>0</v>
      </c>
      <c r="X1189" s="200">
        <f t="shared" si="6023"/>
        <v>0</v>
      </c>
      <c r="Y1189" s="200">
        <f t="shared" si="6023"/>
        <v>0</v>
      </c>
      <c r="Z1189" s="200">
        <f t="shared" si="6023"/>
        <v>0</v>
      </c>
      <c r="AA1189" s="200">
        <f t="shared" si="6023"/>
        <v>0</v>
      </c>
      <c r="AB1189" s="200">
        <f t="shared" si="6023"/>
        <v>0</v>
      </c>
      <c r="AC1189" s="200">
        <f t="shared" si="6023"/>
        <v>0</v>
      </c>
      <c r="AD1189" s="200">
        <f t="shared" si="11"/>
        <v>0</v>
      </c>
      <c r="AE1189" s="200">
        <f t="shared" ref="AE1189:AG1189" si="6024">countif($D1189,"*"&amp;AE$2&amp;"*")</f>
        <v>0</v>
      </c>
      <c r="AF1189" s="200">
        <f t="shared" si="6024"/>
        <v>0</v>
      </c>
      <c r="AG1189" s="200">
        <f t="shared" si="6024"/>
        <v>0</v>
      </c>
      <c r="AH1189" s="171">
        <f t="shared" si="13"/>
        <v>0</v>
      </c>
      <c r="AI1189" s="200">
        <f t="shared" si="14"/>
        <v>0</v>
      </c>
      <c r="AJ1189" s="200">
        <f t="shared" si="5594"/>
        <v>0</v>
      </c>
      <c r="AK1189" s="201">
        <f t="shared" ref="AK1189:AS1189" si="6025">countif($D1189,"*"&amp;AK$2&amp;"*")</f>
        <v>0</v>
      </c>
      <c r="AL1189" s="201">
        <f t="shared" si="6025"/>
        <v>0</v>
      </c>
      <c r="AM1189" s="201">
        <f t="shared" si="6025"/>
        <v>0</v>
      </c>
      <c r="AN1189" s="201">
        <f t="shared" si="6025"/>
        <v>0</v>
      </c>
      <c r="AO1189" s="201">
        <f t="shared" si="6025"/>
        <v>0</v>
      </c>
      <c r="AP1189" s="201">
        <f t="shared" si="6025"/>
        <v>0</v>
      </c>
      <c r="AQ1189" s="201">
        <f t="shared" si="6025"/>
        <v>0</v>
      </c>
      <c r="AR1189" s="200">
        <f t="shared" si="6025"/>
        <v>0</v>
      </c>
      <c r="AS1189" s="200">
        <f t="shared" si="6025"/>
        <v>0</v>
      </c>
      <c r="AT1189" s="173">
        <v>0.0</v>
      </c>
      <c r="AU1189" s="200">
        <f t="shared" ref="AU1189:AX1189" si="6026">countif($D1189,"*"&amp;AU$2&amp;"*")</f>
        <v>0</v>
      </c>
      <c r="AV1189" s="200">
        <f t="shared" si="6026"/>
        <v>1</v>
      </c>
      <c r="AW1189" s="200">
        <f t="shared" si="6026"/>
        <v>0</v>
      </c>
      <c r="AX1189" s="200">
        <f t="shared" si="6026"/>
        <v>0</v>
      </c>
      <c r="AY1189" s="202">
        <v>0.0</v>
      </c>
      <c r="AZ1189" s="200"/>
      <c r="BA1189" s="171" t="str">
        <f t="shared" si="18"/>
        <v/>
      </c>
      <c r="BB1189" s="171" t="str">
        <f t="shared" si="19"/>
        <v>Code</v>
      </c>
      <c r="BC1189" s="171" t="str">
        <f t="shared" si="20"/>
        <v/>
      </c>
      <c r="BD1189" s="171" t="str">
        <f t="shared" si="21"/>
        <v/>
      </c>
      <c r="BE1189" s="171" t="str">
        <f t="shared" si="22"/>
        <v/>
      </c>
      <c r="BF1189" s="171" t="str">
        <f t="shared" si="23"/>
        <v>Code</v>
      </c>
    </row>
    <row r="1190">
      <c r="A1190" s="171">
        <f t="array" ref="A1190">XLOOKUP(C1190,ICSE!A:A,ICSE!C:C,,2,1)</f>
        <v>2023</v>
      </c>
      <c r="B1190" s="171" t="s">
        <v>5675</v>
      </c>
      <c r="C1190" s="160">
        <v>2200.0</v>
      </c>
      <c r="D1190" s="161" t="s">
        <v>3300</v>
      </c>
      <c r="E1190" s="197" t="str">
        <f t="array" ref="E1190">XLOOKUP(C1190,ICSE!A:A,ICSE!Z:Z,,0,1)</f>
        <v>Publicly available (1)</v>
      </c>
      <c r="F1190" s="198" t="s">
        <v>20</v>
      </c>
      <c r="G1190" s="163" t="str">
        <f t="array" ref="G1190">IF(B1190="ICSE",IF(COUNTIFS(B:B,B1190,C:C,C1190)=XLOOKUP(C1190,ICSE!A:A,ICSE!AA:AA,"ERROR",0,1),"OK","ERROR"),IF(B1190="FSE",IF(COUNTIFS(B:B,B1190,C:C,C1190)=XLOOKUP(C1190,FSE!A:A,FSE!AA:AA,"ERROR",0,1),"OK","ERROR")))</f>
        <v>OK</v>
      </c>
      <c r="H1190" s="199">
        <f t="shared" ref="H1190:O1190" si="6027">countif($D1190,"*"&amp;H$2&amp;"*")</f>
        <v>0</v>
      </c>
      <c r="I1190" s="200">
        <f t="shared" si="6027"/>
        <v>1</v>
      </c>
      <c r="J1190" s="200">
        <f t="shared" si="6027"/>
        <v>0</v>
      </c>
      <c r="K1190" s="200">
        <f t="shared" si="6027"/>
        <v>0</v>
      </c>
      <c r="L1190" s="200">
        <f t="shared" si="6027"/>
        <v>0</v>
      </c>
      <c r="M1190" s="200">
        <f t="shared" si="6027"/>
        <v>0</v>
      </c>
      <c r="N1190" s="200">
        <f t="shared" si="6027"/>
        <v>0</v>
      </c>
      <c r="O1190" s="200">
        <f t="shared" si="6027"/>
        <v>0</v>
      </c>
      <c r="P1190" s="200">
        <f t="shared" si="9"/>
        <v>0</v>
      </c>
      <c r="Q1190" s="200">
        <f t="shared" ref="Q1190:AC1190" si="6028">countif($D1190,"*"&amp;Q$2&amp;"*")</f>
        <v>0</v>
      </c>
      <c r="R1190" s="200">
        <f t="shared" si="6028"/>
        <v>0</v>
      </c>
      <c r="S1190" s="200">
        <f t="shared" si="6028"/>
        <v>0</v>
      </c>
      <c r="T1190" s="200">
        <f t="shared" si="6028"/>
        <v>0</v>
      </c>
      <c r="U1190" s="200">
        <f t="shared" si="6028"/>
        <v>0</v>
      </c>
      <c r="V1190" s="200">
        <f t="shared" si="6028"/>
        <v>0</v>
      </c>
      <c r="W1190" s="200">
        <f t="shared" si="6028"/>
        <v>0</v>
      </c>
      <c r="X1190" s="200">
        <f t="shared" si="6028"/>
        <v>0</v>
      </c>
      <c r="Y1190" s="200">
        <f t="shared" si="6028"/>
        <v>0</v>
      </c>
      <c r="Z1190" s="200">
        <f t="shared" si="6028"/>
        <v>0</v>
      </c>
      <c r="AA1190" s="200">
        <f t="shared" si="6028"/>
        <v>0</v>
      </c>
      <c r="AB1190" s="200">
        <f t="shared" si="6028"/>
        <v>0</v>
      </c>
      <c r="AC1190" s="200">
        <f t="shared" si="6028"/>
        <v>0</v>
      </c>
      <c r="AD1190" s="200">
        <f t="shared" si="11"/>
        <v>0</v>
      </c>
      <c r="AE1190" s="200">
        <f t="shared" ref="AE1190:AG1190" si="6029">countif($D1190,"*"&amp;AE$2&amp;"*")</f>
        <v>0</v>
      </c>
      <c r="AF1190" s="200">
        <f t="shared" si="6029"/>
        <v>0</v>
      </c>
      <c r="AG1190" s="200">
        <f t="shared" si="6029"/>
        <v>0</v>
      </c>
      <c r="AH1190" s="171">
        <f t="shared" si="13"/>
        <v>0</v>
      </c>
      <c r="AI1190" s="200">
        <f t="shared" si="14"/>
        <v>1</v>
      </c>
      <c r="AJ1190" s="200">
        <f t="shared" si="5594"/>
        <v>0</v>
      </c>
      <c r="AK1190" s="201">
        <f t="shared" ref="AK1190:AS1190" si="6030">countif($D1190,"*"&amp;AK$2&amp;"*")</f>
        <v>0</v>
      </c>
      <c r="AL1190" s="201">
        <f t="shared" si="6030"/>
        <v>0</v>
      </c>
      <c r="AM1190" s="201">
        <f t="shared" si="6030"/>
        <v>0</v>
      </c>
      <c r="AN1190" s="201">
        <f t="shared" si="6030"/>
        <v>0</v>
      </c>
      <c r="AO1190" s="201">
        <f t="shared" si="6030"/>
        <v>0</v>
      </c>
      <c r="AP1190" s="201">
        <f t="shared" si="6030"/>
        <v>0</v>
      </c>
      <c r="AQ1190" s="201">
        <f t="shared" si="6030"/>
        <v>0</v>
      </c>
      <c r="AR1190" s="200">
        <f t="shared" si="6030"/>
        <v>0</v>
      </c>
      <c r="AS1190" s="200">
        <f t="shared" si="6030"/>
        <v>0</v>
      </c>
      <c r="AT1190" s="173">
        <v>0.0</v>
      </c>
      <c r="AU1190" s="200">
        <f t="shared" ref="AU1190:AX1190" si="6031">countif($D1190,"*"&amp;AU$2&amp;"*")</f>
        <v>0</v>
      </c>
      <c r="AV1190" s="200">
        <f t="shared" si="6031"/>
        <v>0</v>
      </c>
      <c r="AW1190" s="200">
        <f t="shared" si="6031"/>
        <v>0</v>
      </c>
      <c r="AX1190" s="200">
        <f t="shared" si="6031"/>
        <v>1</v>
      </c>
      <c r="AY1190" s="202">
        <v>0.0</v>
      </c>
      <c r="AZ1190" s="200"/>
      <c r="BA1190" s="171" t="str">
        <f t="shared" si="18"/>
        <v>Archival</v>
      </c>
      <c r="BB1190" s="171" t="str">
        <f t="shared" si="19"/>
        <v/>
      </c>
      <c r="BC1190" s="171" t="str">
        <f t="shared" si="20"/>
        <v/>
      </c>
      <c r="BD1190" s="171" t="str">
        <f t="shared" si="21"/>
        <v/>
      </c>
      <c r="BE1190" s="171" t="str">
        <f t="shared" si="22"/>
        <v/>
      </c>
      <c r="BF1190" s="171" t="str">
        <f t="shared" si="23"/>
        <v>Archival</v>
      </c>
    </row>
    <row r="1191">
      <c r="A1191" s="171">
        <f t="array" ref="A1191">XLOOKUP(C1191,ICSE!A:A,ICSE!C:C,,2,1)</f>
        <v>2023</v>
      </c>
      <c r="B1191" s="171" t="s">
        <v>5675</v>
      </c>
      <c r="C1191" s="160">
        <v>2201.0</v>
      </c>
      <c r="D1191" s="161" t="s">
        <v>3303</v>
      </c>
      <c r="E1191" s="197" t="str">
        <f t="array" ref="E1191">XLOOKUP(C1191,ICSE!A:A,ICSE!Z:Z,,0,1)</f>
        <v>Publicly available (1)</v>
      </c>
      <c r="F1191" s="198" t="s">
        <v>20</v>
      </c>
      <c r="G1191" s="163" t="str">
        <f t="array" ref="G1191">IF(B1191="ICSE",IF(COUNTIFS(B:B,B1191,C:C,C1191)=XLOOKUP(C1191,ICSE!A:A,ICSE!AA:AA,"ERROR",0,1),"OK","ERROR"),IF(B1191="FSE",IF(COUNTIFS(B:B,B1191,C:C,C1191)=XLOOKUP(C1191,FSE!A:A,FSE!AA:AA,"ERROR",0,1),"OK","ERROR")))</f>
        <v>OK</v>
      </c>
      <c r="H1191" s="199">
        <f t="shared" ref="H1191:O1191" si="6032">countif($D1191,"*"&amp;H$2&amp;"*")</f>
        <v>0</v>
      </c>
      <c r="I1191" s="200">
        <f t="shared" si="6032"/>
        <v>0</v>
      </c>
      <c r="J1191" s="200">
        <f t="shared" si="6032"/>
        <v>0</v>
      </c>
      <c r="K1191" s="200">
        <f t="shared" si="6032"/>
        <v>0</v>
      </c>
      <c r="L1191" s="200">
        <f t="shared" si="6032"/>
        <v>0</v>
      </c>
      <c r="M1191" s="200">
        <f t="shared" si="6032"/>
        <v>0</v>
      </c>
      <c r="N1191" s="200">
        <f t="shared" si="6032"/>
        <v>0</v>
      </c>
      <c r="O1191" s="200">
        <f t="shared" si="6032"/>
        <v>0</v>
      </c>
      <c r="P1191" s="200">
        <f t="shared" si="9"/>
        <v>1</v>
      </c>
      <c r="Q1191" s="200">
        <f t="shared" ref="Q1191:AC1191" si="6033">countif($D1191,"*"&amp;Q$2&amp;"*")</f>
        <v>0</v>
      </c>
      <c r="R1191" s="200">
        <f t="shared" si="6033"/>
        <v>0</v>
      </c>
      <c r="S1191" s="200">
        <f t="shared" si="6033"/>
        <v>0</v>
      </c>
      <c r="T1191" s="200">
        <f t="shared" si="6033"/>
        <v>0</v>
      </c>
      <c r="U1191" s="200">
        <f t="shared" si="6033"/>
        <v>0</v>
      </c>
      <c r="V1191" s="200">
        <f t="shared" si="6033"/>
        <v>0</v>
      </c>
      <c r="W1191" s="200">
        <f t="shared" si="6033"/>
        <v>0</v>
      </c>
      <c r="X1191" s="200">
        <f t="shared" si="6033"/>
        <v>0</v>
      </c>
      <c r="Y1191" s="200">
        <f t="shared" si="6033"/>
        <v>0</v>
      </c>
      <c r="Z1191" s="200">
        <f t="shared" si="6033"/>
        <v>0</v>
      </c>
      <c r="AA1191" s="200">
        <f t="shared" si="6033"/>
        <v>0</v>
      </c>
      <c r="AB1191" s="200">
        <f t="shared" si="6033"/>
        <v>0</v>
      </c>
      <c r="AC1191" s="200">
        <f t="shared" si="6033"/>
        <v>0</v>
      </c>
      <c r="AD1191" s="200">
        <f t="shared" si="11"/>
        <v>0</v>
      </c>
      <c r="AE1191" s="200">
        <f t="shared" ref="AE1191:AG1191" si="6034">countif($D1191,"*"&amp;AE$2&amp;"*")</f>
        <v>0</v>
      </c>
      <c r="AF1191" s="200">
        <f t="shared" si="6034"/>
        <v>0</v>
      </c>
      <c r="AG1191" s="200">
        <f t="shared" si="6034"/>
        <v>0</v>
      </c>
      <c r="AH1191" s="171">
        <f t="shared" si="13"/>
        <v>0</v>
      </c>
      <c r="AI1191" s="200">
        <f t="shared" si="14"/>
        <v>0</v>
      </c>
      <c r="AJ1191" s="200">
        <f t="shared" si="5594"/>
        <v>0</v>
      </c>
      <c r="AK1191" s="201">
        <f t="shared" ref="AK1191:AS1191" si="6035">countif($D1191,"*"&amp;AK$2&amp;"*")</f>
        <v>0</v>
      </c>
      <c r="AL1191" s="201">
        <f t="shared" si="6035"/>
        <v>0</v>
      </c>
      <c r="AM1191" s="201">
        <f t="shared" si="6035"/>
        <v>0</v>
      </c>
      <c r="AN1191" s="201">
        <f t="shared" si="6035"/>
        <v>0</v>
      </c>
      <c r="AO1191" s="201">
        <f t="shared" si="6035"/>
        <v>0</v>
      </c>
      <c r="AP1191" s="201">
        <f t="shared" si="6035"/>
        <v>0</v>
      </c>
      <c r="AQ1191" s="201">
        <f t="shared" si="6035"/>
        <v>0</v>
      </c>
      <c r="AR1191" s="200">
        <f t="shared" si="6035"/>
        <v>0</v>
      </c>
      <c r="AS1191" s="200">
        <f t="shared" si="6035"/>
        <v>0</v>
      </c>
      <c r="AT1191" s="173">
        <v>0.0</v>
      </c>
      <c r="AU1191" s="200">
        <f t="shared" ref="AU1191:AX1191" si="6036">countif($D1191,"*"&amp;AU$2&amp;"*")</f>
        <v>0</v>
      </c>
      <c r="AV1191" s="200">
        <f t="shared" si="6036"/>
        <v>1</v>
      </c>
      <c r="AW1191" s="200">
        <f t="shared" si="6036"/>
        <v>0</v>
      </c>
      <c r="AX1191" s="200">
        <f t="shared" si="6036"/>
        <v>0</v>
      </c>
      <c r="AY1191" s="202">
        <v>0.0</v>
      </c>
      <c r="AZ1191" s="200"/>
      <c r="BA1191" s="171" t="str">
        <f t="shared" si="18"/>
        <v/>
      </c>
      <c r="BB1191" s="171" t="str">
        <f t="shared" si="19"/>
        <v>Code</v>
      </c>
      <c r="BC1191" s="171" t="str">
        <f t="shared" si="20"/>
        <v/>
      </c>
      <c r="BD1191" s="171" t="str">
        <f t="shared" si="21"/>
        <v/>
      </c>
      <c r="BE1191" s="171" t="str">
        <f t="shared" si="22"/>
        <v/>
      </c>
      <c r="BF1191" s="171" t="str">
        <f t="shared" si="23"/>
        <v>Code</v>
      </c>
    </row>
    <row r="1192">
      <c r="A1192" s="171">
        <f t="array" ref="A1192">XLOOKUP(C1192,ICSE!A:A,ICSE!C:C,,2,1)</f>
        <v>2023</v>
      </c>
      <c r="B1192" s="171" t="s">
        <v>5675</v>
      </c>
      <c r="C1192" s="160">
        <v>2202.0</v>
      </c>
      <c r="D1192" s="161" t="s">
        <v>3306</v>
      </c>
      <c r="E1192" s="197" t="str">
        <f t="array" ref="E1192">XLOOKUP(C1192,ICSE!A:A,ICSE!Z:Z,,0,1)</f>
        <v>Publicly available (1)</v>
      </c>
      <c r="F1192" s="198" t="s">
        <v>20</v>
      </c>
      <c r="G1192" s="163" t="str">
        <f t="array" ref="G1192">IF(B1192="ICSE",IF(COUNTIFS(B:B,B1192,C:C,C1192)=XLOOKUP(C1192,ICSE!A:A,ICSE!AA:AA,"ERROR",0,1),"OK","ERROR"),IF(B1192="FSE",IF(COUNTIFS(B:B,B1192,C:C,C1192)=XLOOKUP(C1192,FSE!A:A,FSE!AA:AA,"ERROR",0,1),"OK","ERROR")))</f>
        <v>OK</v>
      </c>
      <c r="H1192" s="199">
        <f t="shared" ref="H1192:O1192" si="6037">countif($D1192,"*"&amp;H$2&amp;"*")</f>
        <v>0</v>
      </c>
      <c r="I1192" s="200">
        <f t="shared" si="6037"/>
        <v>0</v>
      </c>
      <c r="J1192" s="200">
        <f t="shared" si="6037"/>
        <v>0</v>
      </c>
      <c r="K1192" s="200">
        <f t="shared" si="6037"/>
        <v>0</v>
      </c>
      <c r="L1192" s="200">
        <f t="shared" si="6037"/>
        <v>0</v>
      </c>
      <c r="M1192" s="200">
        <f t="shared" si="6037"/>
        <v>0</v>
      </c>
      <c r="N1192" s="200">
        <f t="shared" si="6037"/>
        <v>0</v>
      </c>
      <c r="O1192" s="200">
        <f t="shared" si="6037"/>
        <v>0</v>
      </c>
      <c r="P1192" s="200">
        <f t="shared" si="9"/>
        <v>1</v>
      </c>
      <c r="Q1192" s="200">
        <f t="shared" ref="Q1192:AC1192" si="6038">countif($D1192,"*"&amp;Q$2&amp;"*")</f>
        <v>0</v>
      </c>
      <c r="R1192" s="200">
        <f t="shared" si="6038"/>
        <v>0</v>
      </c>
      <c r="S1192" s="200">
        <f t="shared" si="6038"/>
        <v>0</v>
      </c>
      <c r="T1192" s="200">
        <f t="shared" si="6038"/>
        <v>0</v>
      </c>
      <c r="U1192" s="200">
        <f t="shared" si="6038"/>
        <v>0</v>
      </c>
      <c r="V1192" s="200">
        <f t="shared" si="6038"/>
        <v>0</v>
      </c>
      <c r="W1192" s="200">
        <f t="shared" si="6038"/>
        <v>0</v>
      </c>
      <c r="X1192" s="200">
        <f t="shared" si="6038"/>
        <v>0</v>
      </c>
      <c r="Y1192" s="200">
        <f t="shared" si="6038"/>
        <v>0</v>
      </c>
      <c r="Z1192" s="200">
        <f t="shared" si="6038"/>
        <v>0</v>
      </c>
      <c r="AA1192" s="200">
        <f t="shared" si="6038"/>
        <v>0</v>
      </c>
      <c r="AB1192" s="200">
        <f t="shared" si="6038"/>
        <v>0</v>
      </c>
      <c r="AC1192" s="200">
        <f t="shared" si="6038"/>
        <v>0</v>
      </c>
      <c r="AD1192" s="200">
        <f t="shared" si="11"/>
        <v>0</v>
      </c>
      <c r="AE1192" s="200">
        <f t="shared" ref="AE1192:AG1192" si="6039">countif($D1192,"*"&amp;AE$2&amp;"*")</f>
        <v>0</v>
      </c>
      <c r="AF1192" s="200">
        <f t="shared" si="6039"/>
        <v>0</v>
      </c>
      <c r="AG1192" s="200">
        <f t="shared" si="6039"/>
        <v>0</v>
      </c>
      <c r="AH1192" s="171">
        <f t="shared" si="13"/>
        <v>0</v>
      </c>
      <c r="AI1192" s="200">
        <f t="shared" si="14"/>
        <v>0</v>
      </c>
      <c r="AJ1192" s="200">
        <f t="shared" si="5594"/>
        <v>0</v>
      </c>
      <c r="AK1192" s="201">
        <f t="shared" ref="AK1192:AS1192" si="6040">countif($D1192,"*"&amp;AK$2&amp;"*")</f>
        <v>0</v>
      </c>
      <c r="AL1192" s="201">
        <f t="shared" si="6040"/>
        <v>0</v>
      </c>
      <c r="AM1192" s="201">
        <f t="shared" si="6040"/>
        <v>0</v>
      </c>
      <c r="AN1192" s="201">
        <f t="shared" si="6040"/>
        <v>0</v>
      </c>
      <c r="AO1192" s="201">
        <f t="shared" si="6040"/>
        <v>0</v>
      </c>
      <c r="AP1192" s="201">
        <f t="shared" si="6040"/>
        <v>0</v>
      </c>
      <c r="AQ1192" s="201">
        <f t="shared" si="6040"/>
        <v>0</v>
      </c>
      <c r="AR1192" s="200">
        <f t="shared" si="6040"/>
        <v>0</v>
      </c>
      <c r="AS1192" s="200">
        <f t="shared" si="6040"/>
        <v>0</v>
      </c>
      <c r="AT1192" s="173">
        <v>0.0</v>
      </c>
      <c r="AU1192" s="200">
        <f t="shared" ref="AU1192:AX1192" si="6041">countif($D1192,"*"&amp;AU$2&amp;"*")</f>
        <v>0</v>
      </c>
      <c r="AV1192" s="200">
        <f t="shared" si="6041"/>
        <v>1</v>
      </c>
      <c r="AW1192" s="200">
        <f t="shared" si="6041"/>
        <v>0</v>
      </c>
      <c r="AX1192" s="200">
        <f t="shared" si="6041"/>
        <v>0</v>
      </c>
      <c r="AY1192" s="202">
        <v>0.0</v>
      </c>
      <c r="AZ1192" s="200"/>
      <c r="BA1192" s="171" t="str">
        <f t="shared" si="18"/>
        <v/>
      </c>
      <c r="BB1192" s="171" t="str">
        <f t="shared" si="19"/>
        <v>Code</v>
      </c>
      <c r="BC1192" s="171" t="str">
        <f t="shared" si="20"/>
        <v/>
      </c>
      <c r="BD1192" s="171" t="str">
        <f t="shared" si="21"/>
        <v/>
      </c>
      <c r="BE1192" s="171" t="str">
        <f t="shared" si="22"/>
        <v/>
      </c>
      <c r="BF1192" s="171" t="str">
        <f t="shared" si="23"/>
        <v>Code</v>
      </c>
    </row>
    <row r="1193">
      <c r="A1193" s="171">
        <f t="array" ref="A1193">XLOOKUP(C1193,ICSE!A:A,ICSE!C:C,,2,1)</f>
        <v>2023</v>
      </c>
      <c r="B1193" s="171" t="s">
        <v>5675</v>
      </c>
      <c r="C1193" s="160">
        <v>2203.0</v>
      </c>
      <c r="D1193" s="161" t="s">
        <v>3309</v>
      </c>
      <c r="E1193" s="197" t="str">
        <f t="array" ref="E1193">XLOOKUP(C1193,ICSE!A:A,ICSE!Z:Z,,0,1)</f>
        <v>Publicly available (1)</v>
      </c>
      <c r="F1193" s="198" t="s">
        <v>20</v>
      </c>
      <c r="G1193" s="163" t="str">
        <f t="array" ref="G1193">IF(B1193="ICSE",IF(COUNTIFS(B:B,B1193,C:C,C1193)=XLOOKUP(C1193,ICSE!A:A,ICSE!AA:AA,"ERROR",0,1),"OK","ERROR"),IF(B1193="FSE",IF(COUNTIFS(B:B,B1193,C:C,C1193)=XLOOKUP(C1193,FSE!A:A,FSE!AA:AA,"ERROR",0,1),"OK","ERROR")))</f>
        <v>OK</v>
      </c>
      <c r="H1193" s="199">
        <f t="shared" ref="H1193:O1193" si="6042">countif($D1193,"*"&amp;H$2&amp;"*")</f>
        <v>0</v>
      </c>
      <c r="I1193" s="200">
        <f t="shared" si="6042"/>
        <v>0</v>
      </c>
      <c r="J1193" s="200">
        <f t="shared" si="6042"/>
        <v>0</v>
      </c>
      <c r="K1193" s="200">
        <f t="shared" si="6042"/>
        <v>0</v>
      </c>
      <c r="L1193" s="200">
        <f t="shared" si="6042"/>
        <v>0</v>
      </c>
      <c r="M1193" s="200">
        <f t="shared" si="6042"/>
        <v>0</v>
      </c>
      <c r="N1193" s="200">
        <f t="shared" si="6042"/>
        <v>0</v>
      </c>
      <c r="O1193" s="200">
        <f t="shared" si="6042"/>
        <v>0</v>
      </c>
      <c r="P1193" s="200">
        <f t="shared" si="9"/>
        <v>1</v>
      </c>
      <c r="Q1193" s="200">
        <f t="shared" ref="Q1193:AC1193" si="6043">countif($D1193,"*"&amp;Q$2&amp;"*")</f>
        <v>0</v>
      </c>
      <c r="R1193" s="200">
        <f t="shared" si="6043"/>
        <v>0</v>
      </c>
      <c r="S1193" s="200">
        <f t="shared" si="6043"/>
        <v>0</v>
      </c>
      <c r="T1193" s="200">
        <f t="shared" si="6043"/>
        <v>0</v>
      </c>
      <c r="U1193" s="200">
        <f t="shared" si="6043"/>
        <v>0</v>
      </c>
      <c r="V1193" s="200">
        <f t="shared" si="6043"/>
        <v>0</v>
      </c>
      <c r="W1193" s="200">
        <f t="shared" si="6043"/>
        <v>0</v>
      </c>
      <c r="X1193" s="200">
        <f t="shared" si="6043"/>
        <v>0</v>
      </c>
      <c r="Y1193" s="200">
        <f t="shared" si="6043"/>
        <v>0</v>
      </c>
      <c r="Z1193" s="200">
        <f t="shared" si="6043"/>
        <v>0</v>
      </c>
      <c r="AA1193" s="200">
        <f t="shared" si="6043"/>
        <v>0</v>
      </c>
      <c r="AB1193" s="200">
        <f t="shared" si="6043"/>
        <v>0</v>
      </c>
      <c r="AC1193" s="200">
        <f t="shared" si="6043"/>
        <v>0</v>
      </c>
      <c r="AD1193" s="200">
        <f t="shared" si="11"/>
        <v>0</v>
      </c>
      <c r="AE1193" s="200">
        <f t="shared" ref="AE1193:AG1193" si="6044">countif($D1193,"*"&amp;AE$2&amp;"*")</f>
        <v>0</v>
      </c>
      <c r="AF1193" s="200">
        <f t="shared" si="6044"/>
        <v>0</v>
      </c>
      <c r="AG1193" s="200">
        <f t="shared" si="6044"/>
        <v>0</v>
      </c>
      <c r="AH1193" s="171">
        <f t="shared" si="13"/>
        <v>0</v>
      </c>
      <c r="AI1193" s="200">
        <f t="shared" si="14"/>
        <v>0</v>
      </c>
      <c r="AJ1193" s="200">
        <f t="shared" si="5594"/>
        <v>0</v>
      </c>
      <c r="AK1193" s="201">
        <f t="shared" ref="AK1193:AS1193" si="6045">countif($D1193,"*"&amp;AK$2&amp;"*")</f>
        <v>0</v>
      </c>
      <c r="AL1193" s="201">
        <f t="shared" si="6045"/>
        <v>0</v>
      </c>
      <c r="AM1193" s="201">
        <f t="shared" si="6045"/>
        <v>0</v>
      </c>
      <c r="AN1193" s="201">
        <f t="shared" si="6045"/>
        <v>0</v>
      </c>
      <c r="AO1193" s="201">
        <f t="shared" si="6045"/>
        <v>0</v>
      </c>
      <c r="AP1193" s="201">
        <f t="shared" si="6045"/>
        <v>0</v>
      </c>
      <c r="AQ1193" s="201">
        <f t="shared" si="6045"/>
        <v>0</v>
      </c>
      <c r="AR1193" s="200">
        <f t="shared" si="6045"/>
        <v>0</v>
      </c>
      <c r="AS1193" s="200">
        <f t="shared" si="6045"/>
        <v>0</v>
      </c>
      <c r="AT1193" s="173">
        <v>0.0</v>
      </c>
      <c r="AU1193" s="200">
        <f t="shared" ref="AU1193:AX1193" si="6046">countif($D1193,"*"&amp;AU$2&amp;"*")</f>
        <v>0</v>
      </c>
      <c r="AV1193" s="200">
        <f t="shared" si="6046"/>
        <v>1</v>
      </c>
      <c r="AW1193" s="200">
        <f t="shared" si="6046"/>
        <v>0</v>
      </c>
      <c r="AX1193" s="200">
        <f t="shared" si="6046"/>
        <v>0</v>
      </c>
      <c r="AY1193" s="202">
        <v>0.0</v>
      </c>
      <c r="AZ1193" s="200"/>
      <c r="BA1193" s="171" t="str">
        <f t="shared" si="18"/>
        <v/>
      </c>
      <c r="BB1193" s="171" t="str">
        <f t="shared" si="19"/>
        <v>Code</v>
      </c>
      <c r="BC1193" s="171" t="str">
        <f t="shared" si="20"/>
        <v/>
      </c>
      <c r="BD1193" s="171" t="str">
        <f t="shared" si="21"/>
        <v/>
      </c>
      <c r="BE1193" s="171" t="str">
        <f t="shared" si="22"/>
        <v/>
      </c>
      <c r="BF1193" s="171" t="str">
        <f t="shared" si="23"/>
        <v>Code</v>
      </c>
    </row>
    <row r="1194">
      <c r="A1194" s="171">
        <f t="array" ref="A1194">XLOOKUP(C1194,ICSE!A:A,ICSE!C:C,,2,1)</f>
        <v>2023</v>
      </c>
      <c r="B1194" s="171" t="s">
        <v>5675</v>
      </c>
      <c r="C1194" s="160">
        <v>2204.0</v>
      </c>
      <c r="D1194" s="161" t="s">
        <v>3311</v>
      </c>
      <c r="E1194" s="197" t="str">
        <f t="array" ref="E1194">XLOOKUP(C1194,ICSE!A:A,ICSE!Z:Z,,0,1)</f>
        <v>Publicly available (1)</v>
      </c>
      <c r="F1194" s="198" t="s">
        <v>20</v>
      </c>
      <c r="G1194" s="163" t="str">
        <f t="array" ref="G1194">IF(B1194="ICSE",IF(COUNTIFS(B:B,B1194,C:C,C1194)=XLOOKUP(C1194,ICSE!A:A,ICSE!AA:AA,"ERROR",0,1),"OK","ERROR"),IF(B1194="FSE",IF(COUNTIFS(B:B,B1194,C:C,C1194)=XLOOKUP(C1194,FSE!A:A,FSE!AA:AA,"ERROR",0,1),"OK","ERROR")))</f>
        <v>OK</v>
      </c>
      <c r="H1194" s="199">
        <f t="shared" ref="H1194:O1194" si="6047">countif($D1194,"*"&amp;H$2&amp;"*")</f>
        <v>0</v>
      </c>
      <c r="I1194" s="200">
        <f t="shared" si="6047"/>
        <v>0</v>
      </c>
      <c r="J1194" s="200">
        <f t="shared" si="6047"/>
        <v>0</v>
      </c>
      <c r="K1194" s="200">
        <f t="shared" si="6047"/>
        <v>0</v>
      </c>
      <c r="L1194" s="200">
        <f t="shared" si="6047"/>
        <v>0</v>
      </c>
      <c r="M1194" s="200">
        <f t="shared" si="6047"/>
        <v>0</v>
      </c>
      <c r="N1194" s="200">
        <f t="shared" si="6047"/>
        <v>0</v>
      </c>
      <c r="O1194" s="200">
        <f t="shared" si="6047"/>
        <v>0</v>
      </c>
      <c r="P1194" s="200">
        <f t="shared" si="9"/>
        <v>1</v>
      </c>
      <c r="Q1194" s="200">
        <f t="shared" ref="Q1194:AC1194" si="6048">countif($D1194,"*"&amp;Q$2&amp;"*")</f>
        <v>0</v>
      </c>
      <c r="R1194" s="200">
        <f t="shared" si="6048"/>
        <v>0</v>
      </c>
      <c r="S1194" s="200">
        <f t="shared" si="6048"/>
        <v>0</v>
      </c>
      <c r="T1194" s="200">
        <f t="shared" si="6048"/>
        <v>0</v>
      </c>
      <c r="U1194" s="200">
        <f t="shared" si="6048"/>
        <v>0</v>
      </c>
      <c r="V1194" s="200">
        <f t="shared" si="6048"/>
        <v>0</v>
      </c>
      <c r="W1194" s="200">
        <f t="shared" si="6048"/>
        <v>0</v>
      </c>
      <c r="X1194" s="200">
        <f t="shared" si="6048"/>
        <v>0</v>
      </c>
      <c r="Y1194" s="200">
        <f t="shared" si="6048"/>
        <v>0</v>
      </c>
      <c r="Z1194" s="200">
        <f t="shared" si="6048"/>
        <v>0</v>
      </c>
      <c r="AA1194" s="200">
        <f t="shared" si="6048"/>
        <v>0</v>
      </c>
      <c r="AB1194" s="200">
        <f t="shared" si="6048"/>
        <v>0</v>
      </c>
      <c r="AC1194" s="200">
        <f t="shared" si="6048"/>
        <v>0</v>
      </c>
      <c r="AD1194" s="200">
        <f t="shared" si="11"/>
        <v>0</v>
      </c>
      <c r="AE1194" s="200">
        <f t="shared" ref="AE1194:AG1194" si="6049">countif($D1194,"*"&amp;AE$2&amp;"*")</f>
        <v>0</v>
      </c>
      <c r="AF1194" s="200">
        <f t="shared" si="6049"/>
        <v>0</v>
      </c>
      <c r="AG1194" s="200">
        <f t="shared" si="6049"/>
        <v>0</v>
      </c>
      <c r="AH1194" s="171">
        <f t="shared" si="13"/>
        <v>0</v>
      </c>
      <c r="AI1194" s="200">
        <f t="shared" si="14"/>
        <v>0</v>
      </c>
      <c r="AJ1194" s="200">
        <f t="shared" si="5594"/>
        <v>0</v>
      </c>
      <c r="AK1194" s="201">
        <f t="shared" ref="AK1194:AS1194" si="6050">countif($D1194,"*"&amp;AK$2&amp;"*")</f>
        <v>0</v>
      </c>
      <c r="AL1194" s="201">
        <f t="shared" si="6050"/>
        <v>0</v>
      </c>
      <c r="AM1194" s="201">
        <f t="shared" si="6050"/>
        <v>0</v>
      </c>
      <c r="AN1194" s="201">
        <f t="shared" si="6050"/>
        <v>0</v>
      </c>
      <c r="AO1194" s="201">
        <f t="shared" si="6050"/>
        <v>0</v>
      </c>
      <c r="AP1194" s="201">
        <f t="shared" si="6050"/>
        <v>0</v>
      </c>
      <c r="AQ1194" s="201">
        <f t="shared" si="6050"/>
        <v>0</v>
      </c>
      <c r="AR1194" s="200">
        <f t="shared" si="6050"/>
        <v>0</v>
      </c>
      <c r="AS1194" s="200">
        <f t="shared" si="6050"/>
        <v>0</v>
      </c>
      <c r="AT1194" s="173">
        <v>0.0</v>
      </c>
      <c r="AU1194" s="200">
        <f t="shared" ref="AU1194:AX1194" si="6051">countif($D1194,"*"&amp;AU$2&amp;"*")</f>
        <v>0</v>
      </c>
      <c r="AV1194" s="200">
        <f t="shared" si="6051"/>
        <v>1</v>
      </c>
      <c r="AW1194" s="200">
        <f t="shared" si="6051"/>
        <v>0</v>
      </c>
      <c r="AX1194" s="200">
        <f t="shared" si="6051"/>
        <v>0</v>
      </c>
      <c r="AY1194" s="202">
        <v>0.0</v>
      </c>
      <c r="AZ1194" s="200"/>
      <c r="BA1194" s="171" t="str">
        <f t="shared" si="18"/>
        <v/>
      </c>
      <c r="BB1194" s="171" t="str">
        <f t="shared" si="19"/>
        <v>Code</v>
      </c>
      <c r="BC1194" s="171" t="str">
        <f t="shared" si="20"/>
        <v/>
      </c>
      <c r="BD1194" s="171" t="str">
        <f t="shared" si="21"/>
        <v/>
      </c>
      <c r="BE1194" s="171" t="str">
        <f t="shared" si="22"/>
        <v/>
      </c>
      <c r="BF1194" s="171" t="str">
        <f t="shared" si="23"/>
        <v>Code</v>
      </c>
    </row>
    <row r="1195">
      <c r="A1195" s="171">
        <f t="array" ref="A1195">XLOOKUP(C1195,ICSE!A:A,ICSE!C:C,,2,1)</f>
        <v>2023</v>
      </c>
      <c r="B1195" s="171" t="s">
        <v>5675</v>
      </c>
      <c r="C1195" s="160">
        <v>2205.0</v>
      </c>
      <c r="D1195" s="161" t="s">
        <v>3314</v>
      </c>
      <c r="E1195" s="197" t="str">
        <f t="array" ref="E1195">XLOOKUP(C1195,ICSE!A:A,ICSE!Z:Z,,0,1)</f>
        <v>Publicly available (1)</v>
      </c>
      <c r="F1195" s="198" t="s">
        <v>20</v>
      </c>
      <c r="G1195" s="163" t="str">
        <f t="array" ref="G1195">IF(B1195="ICSE",IF(COUNTIFS(B:B,B1195,C:C,C1195)=XLOOKUP(C1195,ICSE!A:A,ICSE!AA:AA,"ERROR",0,1),"OK","ERROR"),IF(B1195="FSE",IF(COUNTIFS(B:B,B1195,C:C,C1195)=XLOOKUP(C1195,FSE!A:A,FSE!AA:AA,"ERROR",0,1),"OK","ERROR")))</f>
        <v>OK</v>
      </c>
      <c r="H1195" s="199">
        <f t="shared" ref="H1195:O1195" si="6052">countif($D1195,"*"&amp;H$2&amp;"*")</f>
        <v>0</v>
      </c>
      <c r="I1195" s="200">
        <f t="shared" si="6052"/>
        <v>0</v>
      </c>
      <c r="J1195" s="200">
        <f t="shared" si="6052"/>
        <v>0</v>
      </c>
      <c r="K1195" s="200">
        <f t="shared" si="6052"/>
        <v>0</v>
      </c>
      <c r="L1195" s="200">
        <f t="shared" si="6052"/>
        <v>0</v>
      </c>
      <c r="M1195" s="200">
        <f t="shared" si="6052"/>
        <v>0</v>
      </c>
      <c r="N1195" s="200">
        <f t="shared" si="6052"/>
        <v>0</v>
      </c>
      <c r="O1195" s="200">
        <f t="shared" si="6052"/>
        <v>0</v>
      </c>
      <c r="P1195" s="200">
        <f t="shared" si="9"/>
        <v>1</v>
      </c>
      <c r="Q1195" s="200">
        <f t="shared" ref="Q1195:AC1195" si="6053">countif($D1195,"*"&amp;Q$2&amp;"*")</f>
        <v>0</v>
      </c>
      <c r="R1195" s="200">
        <f t="shared" si="6053"/>
        <v>0</v>
      </c>
      <c r="S1195" s="200">
        <f t="shared" si="6053"/>
        <v>0</v>
      </c>
      <c r="T1195" s="200">
        <f t="shared" si="6053"/>
        <v>0</v>
      </c>
      <c r="U1195" s="200">
        <f t="shared" si="6053"/>
        <v>0</v>
      </c>
      <c r="V1195" s="200">
        <f t="shared" si="6053"/>
        <v>0</v>
      </c>
      <c r="W1195" s="200">
        <f t="shared" si="6053"/>
        <v>0</v>
      </c>
      <c r="X1195" s="200">
        <f t="shared" si="6053"/>
        <v>0</v>
      </c>
      <c r="Y1195" s="200">
        <f t="shared" si="6053"/>
        <v>0</v>
      </c>
      <c r="Z1195" s="200">
        <f t="shared" si="6053"/>
        <v>0</v>
      </c>
      <c r="AA1195" s="200">
        <f t="shared" si="6053"/>
        <v>0</v>
      </c>
      <c r="AB1195" s="200">
        <f t="shared" si="6053"/>
        <v>0</v>
      </c>
      <c r="AC1195" s="200">
        <f t="shared" si="6053"/>
        <v>0</v>
      </c>
      <c r="AD1195" s="200">
        <f t="shared" si="11"/>
        <v>0</v>
      </c>
      <c r="AE1195" s="200">
        <f t="shared" ref="AE1195:AG1195" si="6054">countif($D1195,"*"&amp;AE$2&amp;"*")</f>
        <v>0</v>
      </c>
      <c r="AF1195" s="200">
        <f t="shared" si="6054"/>
        <v>0</v>
      </c>
      <c r="AG1195" s="200">
        <f t="shared" si="6054"/>
        <v>0</v>
      </c>
      <c r="AH1195" s="171">
        <f t="shared" si="13"/>
        <v>0</v>
      </c>
      <c r="AI1195" s="200">
        <f t="shared" si="14"/>
        <v>0</v>
      </c>
      <c r="AJ1195" s="200">
        <f t="shared" si="5594"/>
        <v>0</v>
      </c>
      <c r="AK1195" s="201">
        <f t="shared" ref="AK1195:AS1195" si="6055">countif($D1195,"*"&amp;AK$2&amp;"*")</f>
        <v>0</v>
      </c>
      <c r="AL1195" s="201">
        <f t="shared" si="6055"/>
        <v>0</v>
      </c>
      <c r="AM1195" s="201">
        <f t="shared" si="6055"/>
        <v>0</v>
      </c>
      <c r="AN1195" s="201">
        <f t="shared" si="6055"/>
        <v>0</v>
      </c>
      <c r="AO1195" s="201">
        <f t="shared" si="6055"/>
        <v>0</v>
      </c>
      <c r="AP1195" s="201">
        <f t="shared" si="6055"/>
        <v>0</v>
      </c>
      <c r="AQ1195" s="201">
        <f t="shared" si="6055"/>
        <v>0</v>
      </c>
      <c r="AR1195" s="200">
        <f t="shared" si="6055"/>
        <v>0</v>
      </c>
      <c r="AS1195" s="200">
        <f t="shared" si="6055"/>
        <v>0</v>
      </c>
      <c r="AT1195" s="173">
        <v>0.0</v>
      </c>
      <c r="AU1195" s="200">
        <f t="shared" ref="AU1195:AX1195" si="6056">countif($D1195,"*"&amp;AU$2&amp;"*")</f>
        <v>0</v>
      </c>
      <c r="AV1195" s="200">
        <f t="shared" si="6056"/>
        <v>1</v>
      </c>
      <c r="AW1195" s="200">
        <f t="shared" si="6056"/>
        <v>0</v>
      </c>
      <c r="AX1195" s="200">
        <f t="shared" si="6056"/>
        <v>0</v>
      </c>
      <c r="AY1195" s="202">
        <v>0.0</v>
      </c>
      <c r="AZ1195" s="200"/>
      <c r="BA1195" s="171" t="str">
        <f t="shared" si="18"/>
        <v/>
      </c>
      <c r="BB1195" s="171" t="str">
        <f t="shared" si="19"/>
        <v>Code</v>
      </c>
      <c r="BC1195" s="171" t="str">
        <f t="shared" si="20"/>
        <v/>
      </c>
      <c r="BD1195" s="171" t="str">
        <f t="shared" si="21"/>
        <v/>
      </c>
      <c r="BE1195" s="171" t="str">
        <f t="shared" si="22"/>
        <v/>
      </c>
      <c r="BF1195" s="171" t="str">
        <f t="shared" si="23"/>
        <v>Code</v>
      </c>
    </row>
    <row r="1196">
      <c r="A1196" s="171">
        <f t="array" ref="A1196">XLOOKUP(C1196,ICSE!A:A,ICSE!C:C,,2,1)</f>
        <v>2023</v>
      </c>
      <c r="B1196" s="171" t="s">
        <v>5675</v>
      </c>
      <c r="C1196" s="160">
        <v>2206.0</v>
      </c>
      <c r="D1196" s="161" t="s">
        <v>3318</v>
      </c>
      <c r="E1196" s="197" t="str">
        <f t="array" ref="E1196">XLOOKUP(C1196,ICSE!A:A,ICSE!Z:Z,,0,1)</f>
        <v>Not available (1) - No data access - Expired repository.</v>
      </c>
      <c r="F1196" s="198" t="s">
        <v>21</v>
      </c>
      <c r="G1196" s="163" t="str">
        <f t="array" ref="G1196">IF(B1196="ICSE",IF(COUNTIFS(B:B,B1196,C:C,C1196)=XLOOKUP(C1196,ICSE!A:A,ICSE!AA:AA,"ERROR",0,1),"OK","ERROR"),IF(B1196="FSE",IF(COUNTIFS(B:B,B1196,C:C,C1196)=XLOOKUP(C1196,FSE!A:A,FSE!AA:AA,"ERROR",0,1),"OK","ERROR")))</f>
        <v>OK</v>
      </c>
      <c r="H1196" s="199">
        <f t="shared" ref="H1196:O1196" si="6057">countif($D1196,"*"&amp;H$2&amp;"*")</f>
        <v>0</v>
      </c>
      <c r="I1196" s="200">
        <f t="shared" si="6057"/>
        <v>0</v>
      </c>
      <c r="J1196" s="200">
        <f t="shared" si="6057"/>
        <v>0</v>
      </c>
      <c r="K1196" s="200">
        <f t="shared" si="6057"/>
        <v>0</v>
      </c>
      <c r="L1196" s="200">
        <f t="shared" si="6057"/>
        <v>0</v>
      </c>
      <c r="M1196" s="200">
        <f t="shared" si="6057"/>
        <v>0</v>
      </c>
      <c r="N1196" s="200">
        <f t="shared" si="6057"/>
        <v>0</v>
      </c>
      <c r="O1196" s="200">
        <f t="shared" si="6057"/>
        <v>0</v>
      </c>
      <c r="P1196" s="200">
        <f t="shared" si="9"/>
        <v>1</v>
      </c>
      <c r="Q1196" s="200">
        <f t="shared" ref="Q1196:AC1196" si="6058">countif($D1196,"*"&amp;Q$2&amp;"*")</f>
        <v>0</v>
      </c>
      <c r="R1196" s="200">
        <f t="shared" si="6058"/>
        <v>0</v>
      </c>
      <c r="S1196" s="200">
        <f t="shared" si="6058"/>
        <v>0</v>
      </c>
      <c r="T1196" s="200">
        <f t="shared" si="6058"/>
        <v>0</v>
      </c>
      <c r="U1196" s="200">
        <f t="shared" si="6058"/>
        <v>0</v>
      </c>
      <c r="V1196" s="200">
        <f t="shared" si="6058"/>
        <v>0</v>
      </c>
      <c r="W1196" s="200">
        <f t="shared" si="6058"/>
        <v>0</v>
      </c>
      <c r="X1196" s="200">
        <f t="shared" si="6058"/>
        <v>0</v>
      </c>
      <c r="Y1196" s="200">
        <f t="shared" si="6058"/>
        <v>0</v>
      </c>
      <c r="Z1196" s="200">
        <f t="shared" si="6058"/>
        <v>0</v>
      </c>
      <c r="AA1196" s="200">
        <f t="shared" si="6058"/>
        <v>0</v>
      </c>
      <c r="AB1196" s="200">
        <f t="shared" si="6058"/>
        <v>0</v>
      </c>
      <c r="AC1196" s="200">
        <f t="shared" si="6058"/>
        <v>0</v>
      </c>
      <c r="AD1196" s="200">
        <f t="shared" si="11"/>
        <v>0</v>
      </c>
      <c r="AE1196" s="200">
        <f t="shared" ref="AE1196:AG1196" si="6059">countif($D1196,"*"&amp;AE$2&amp;"*")</f>
        <v>0</v>
      </c>
      <c r="AF1196" s="200">
        <f t="shared" si="6059"/>
        <v>0</v>
      </c>
      <c r="AG1196" s="200">
        <f t="shared" si="6059"/>
        <v>0</v>
      </c>
      <c r="AH1196" s="171">
        <f t="shared" si="13"/>
        <v>0</v>
      </c>
      <c r="AI1196" s="200">
        <f t="shared" si="14"/>
        <v>0</v>
      </c>
      <c r="AJ1196" s="200">
        <f t="shared" si="5594"/>
        <v>0</v>
      </c>
      <c r="AK1196" s="201">
        <f t="shared" ref="AK1196:AS1196" si="6060">countif($D1196,"*"&amp;AK$2&amp;"*")</f>
        <v>0</v>
      </c>
      <c r="AL1196" s="201">
        <f t="shared" si="6060"/>
        <v>0</v>
      </c>
      <c r="AM1196" s="201">
        <f t="shared" si="6060"/>
        <v>0</v>
      </c>
      <c r="AN1196" s="201">
        <f t="shared" si="6060"/>
        <v>0</v>
      </c>
      <c r="AO1196" s="201">
        <f t="shared" si="6060"/>
        <v>0</v>
      </c>
      <c r="AP1196" s="201">
        <f t="shared" si="6060"/>
        <v>0</v>
      </c>
      <c r="AQ1196" s="201">
        <f t="shared" si="6060"/>
        <v>0</v>
      </c>
      <c r="AR1196" s="200">
        <f t="shared" si="6060"/>
        <v>0</v>
      </c>
      <c r="AS1196" s="200">
        <f t="shared" si="6060"/>
        <v>0</v>
      </c>
      <c r="AT1196" s="173">
        <v>0.0</v>
      </c>
      <c r="AU1196" s="200">
        <f t="shared" ref="AU1196:AX1196" si="6061">countif($D1196,"*"&amp;AU$2&amp;"*")</f>
        <v>0</v>
      </c>
      <c r="AV1196" s="200">
        <f t="shared" si="6061"/>
        <v>0</v>
      </c>
      <c r="AW1196" s="200">
        <f t="shared" si="6061"/>
        <v>1</v>
      </c>
      <c r="AX1196" s="200">
        <f t="shared" si="6061"/>
        <v>0</v>
      </c>
      <c r="AY1196" s="202">
        <v>0.0</v>
      </c>
      <c r="AZ1196" s="200"/>
      <c r="BA1196" s="171" t="str">
        <f t="shared" si="18"/>
        <v/>
      </c>
      <c r="BB1196" s="171" t="str">
        <f t="shared" si="19"/>
        <v>Code</v>
      </c>
      <c r="BC1196" s="171" t="str">
        <f t="shared" si="20"/>
        <v/>
      </c>
      <c r="BD1196" s="171" t="str">
        <f t="shared" si="21"/>
        <v/>
      </c>
      <c r="BE1196" s="171" t="str">
        <f t="shared" si="22"/>
        <v/>
      </c>
      <c r="BF1196" s="171" t="str">
        <f t="shared" si="23"/>
        <v>Code</v>
      </c>
    </row>
    <row r="1197">
      <c r="A1197" s="171">
        <f t="array" ref="A1197">XLOOKUP(C1197,ICSE!A:A,ICSE!C:C,,2,1)</f>
        <v>2023</v>
      </c>
      <c r="B1197" s="171" t="s">
        <v>5675</v>
      </c>
      <c r="C1197" s="160">
        <v>2207.0</v>
      </c>
      <c r="D1197" s="161" t="s">
        <v>3321</v>
      </c>
      <c r="E1197" s="197" t="str">
        <f t="array" ref="E1197">XLOOKUP(C1197,ICSE!A:A,ICSE!Z:Z,,0,1)</f>
        <v>Publicly available (1)</v>
      </c>
      <c r="F1197" s="198" t="s">
        <v>20</v>
      </c>
      <c r="G1197" s="163" t="str">
        <f t="array" ref="G1197">IF(B1197="ICSE",IF(COUNTIFS(B:B,B1197,C:C,C1197)=XLOOKUP(C1197,ICSE!A:A,ICSE!AA:AA,"ERROR",0,1),"OK","ERROR"),IF(B1197="FSE",IF(COUNTIFS(B:B,B1197,C:C,C1197)=XLOOKUP(C1197,FSE!A:A,FSE!AA:AA,"ERROR",0,1),"OK","ERROR")))</f>
        <v>OK</v>
      </c>
      <c r="H1197" s="199">
        <f t="shared" ref="H1197:O1197" si="6062">countif($D1197,"*"&amp;H$2&amp;"*")</f>
        <v>0</v>
      </c>
      <c r="I1197" s="200">
        <f t="shared" si="6062"/>
        <v>0</v>
      </c>
      <c r="J1197" s="200">
        <f t="shared" si="6062"/>
        <v>0</v>
      </c>
      <c r="K1197" s="200">
        <f t="shared" si="6062"/>
        <v>0</v>
      </c>
      <c r="L1197" s="200">
        <f t="shared" si="6062"/>
        <v>0</v>
      </c>
      <c r="M1197" s="200">
        <f t="shared" si="6062"/>
        <v>0</v>
      </c>
      <c r="N1197" s="200">
        <f t="shared" si="6062"/>
        <v>0</v>
      </c>
      <c r="O1197" s="200">
        <f t="shared" si="6062"/>
        <v>0</v>
      </c>
      <c r="P1197" s="200">
        <f t="shared" si="9"/>
        <v>1</v>
      </c>
      <c r="Q1197" s="200">
        <f t="shared" ref="Q1197:AC1197" si="6063">countif($D1197,"*"&amp;Q$2&amp;"*")</f>
        <v>0</v>
      </c>
      <c r="R1197" s="200">
        <f t="shared" si="6063"/>
        <v>0</v>
      </c>
      <c r="S1197" s="200">
        <f t="shared" si="6063"/>
        <v>0</v>
      </c>
      <c r="T1197" s="200">
        <f t="shared" si="6063"/>
        <v>0</v>
      </c>
      <c r="U1197" s="200">
        <f t="shared" si="6063"/>
        <v>0</v>
      </c>
      <c r="V1197" s="200">
        <f t="shared" si="6063"/>
        <v>0</v>
      </c>
      <c r="W1197" s="200">
        <f t="shared" si="6063"/>
        <v>0</v>
      </c>
      <c r="X1197" s="200">
        <f t="shared" si="6063"/>
        <v>0</v>
      </c>
      <c r="Y1197" s="200">
        <f t="shared" si="6063"/>
        <v>0</v>
      </c>
      <c r="Z1197" s="200">
        <f t="shared" si="6063"/>
        <v>0</v>
      </c>
      <c r="AA1197" s="200">
        <f t="shared" si="6063"/>
        <v>0</v>
      </c>
      <c r="AB1197" s="200">
        <f t="shared" si="6063"/>
        <v>0</v>
      </c>
      <c r="AC1197" s="200">
        <f t="shared" si="6063"/>
        <v>0</v>
      </c>
      <c r="AD1197" s="200">
        <f t="shared" si="11"/>
        <v>0</v>
      </c>
      <c r="AE1197" s="200">
        <f t="shared" ref="AE1197:AG1197" si="6064">countif($D1197,"*"&amp;AE$2&amp;"*")</f>
        <v>0</v>
      </c>
      <c r="AF1197" s="200">
        <f t="shared" si="6064"/>
        <v>0</v>
      </c>
      <c r="AG1197" s="200">
        <f t="shared" si="6064"/>
        <v>0</v>
      </c>
      <c r="AH1197" s="171">
        <f t="shared" si="13"/>
        <v>0</v>
      </c>
      <c r="AI1197" s="200">
        <f t="shared" si="14"/>
        <v>0</v>
      </c>
      <c r="AJ1197" s="200">
        <f t="shared" si="5594"/>
        <v>0</v>
      </c>
      <c r="AK1197" s="201">
        <f t="shared" ref="AK1197:AS1197" si="6065">countif($D1197,"*"&amp;AK$2&amp;"*")</f>
        <v>0</v>
      </c>
      <c r="AL1197" s="201">
        <f t="shared" si="6065"/>
        <v>0</v>
      </c>
      <c r="AM1197" s="201">
        <f t="shared" si="6065"/>
        <v>0</v>
      </c>
      <c r="AN1197" s="201">
        <f t="shared" si="6065"/>
        <v>0</v>
      </c>
      <c r="AO1197" s="201">
        <f t="shared" si="6065"/>
        <v>0</v>
      </c>
      <c r="AP1197" s="201">
        <f t="shared" si="6065"/>
        <v>0</v>
      </c>
      <c r="AQ1197" s="201">
        <f t="shared" si="6065"/>
        <v>0</v>
      </c>
      <c r="AR1197" s="200">
        <f t="shared" si="6065"/>
        <v>0</v>
      </c>
      <c r="AS1197" s="200">
        <f t="shared" si="6065"/>
        <v>0</v>
      </c>
      <c r="AT1197" s="173">
        <v>0.0</v>
      </c>
      <c r="AU1197" s="200">
        <f t="shared" ref="AU1197:AX1197" si="6066">countif($D1197,"*"&amp;AU$2&amp;"*")</f>
        <v>0</v>
      </c>
      <c r="AV1197" s="200">
        <f t="shared" si="6066"/>
        <v>1</v>
      </c>
      <c r="AW1197" s="200">
        <f t="shared" si="6066"/>
        <v>0</v>
      </c>
      <c r="AX1197" s="200">
        <f t="shared" si="6066"/>
        <v>0</v>
      </c>
      <c r="AY1197" s="202">
        <v>0.0</v>
      </c>
      <c r="AZ1197" s="200"/>
      <c r="BA1197" s="171" t="str">
        <f t="shared" si="18"/>
        <v/>
      </c>
      <c r="BB1197" s="171" t="str">
        <f t="shared" si="19"/>
        <v>Code</v>
      </c>
      <c r="BC1197" s="171" t="str">
        <f t="shared" si="20"/>
        <v/>
      </c>
      <c r="BD1197" s="171" t="str">
        <f t="shared" si="21"/>
        <v/>
      </c>
      <c r="BE1197" s="171" t="str">
        <f t="shared" si="22"/>
        <v/>
      </c>
      <c r="BF1197" s="171" t="str">
        <f t="shared" si="23"/>
        <v>Code</v>
      </c>
    </row>
    <row r="1198">
      <c r="A1198" s="171">
        <f t="array" ref="A1198">XLOOKUP(C1198,ICSE!A:A,ICSE!C:C,,2,1)</f>
        <v>2023</v>
      </c>
      <c r="B1198" s="171" t="s">
        <v>5675</v>
      </c>
      <c r="C1198" s="160">
        <v>2208.0</v>
      </c>
      <c r="D1198" s="161" t="s">
        <v>3323</v>
      </c>
      <c r="E1198" s="197" t="str">
        <f t="array" ref="E1198">XLOOKUP(C1198,ICSE!A:A,ICSE!Z:Z,,0,1)</f>
        <v>Not available (1) - Broken link.</v>
      </c>
      <c r="F1198" s="198" t="s">
        <v>21</v>
      </c>
      <c r="G1198" s="163" t="str">
        <f t="array" ref="G1198">IF(B1198="ICSE",IF(COUNTIFS(B:B,B1198,C:C,C1198)=XLOOKUP(C1198,ICSE!A:A,ICSE!AA:AA,"ERROR",0,1),"OK","ERROR"),IF(B1198="FSE",IF(COUNTIFS(B:B,B1198,C:C,C1198)=XLOOKUP(C1198,FSE!A:A,FSE!AA:AA,"ERROR",0,1),"OK","ERROR")))</f>
        <v>OK</v>
      </c>
      <c r="H1198" s="199">
        <f t="shared" ref="H1198:O1198" si="6067">countif($D1198,"*"&amp;H$2&amp;"*")</f>
        <v>0</v>
      </c>
      <c r="I1198" s="200">
        <f t="shared" si="6067"/>
        <v>0</v>
      </c>
      <c r="J1198" s="200">
        <f t="shared" si="6067"/>
        <v>0</v>
      </c>
      <c r="K1198" s="200">
        <f t="shared" si="6067"/>
        <v>0</v>
      </c>
      <c r="L1198" s="200">
        <f t="shared" si="6067"/>
        <v>0</v>
      </c>
      <c r="M1198" s="200">
        <f t="shared" si="6067"/>
        <v>0</v>
      </c>
      <c r="N1198" s="200">
        <f t="shared" si="6067"/>
        <v>0</v>
      </c>
      <c r="O1198" s="200">
        <f t="shared" si="6067"/>
        <v>0</v>
      </c>
      <c r="P1198" s="200">
        <f t="shared" si="9"/>
        <v>1</v>
      </c>
      <c r="Q1198" s="200">
        <f t="shared" ref="Q1198:AC1198" si="6068">countif($D1198,"*"&amp;Q$2&amp;"*")</f>
        <v>0</v>
      </c>
      <c r="R1198" s="200">
        <f t="shared" si="6068"/>
        <v>0</v>
      </c>
      <c r="S1198" s="200">
        <f t="shared" si="6068"/>
        <v>0</v>
      </c>
      <c r="T1198" s="200">
        <f t="shared" si="6068"/>
        <v>0</v>
      </c>
      <c r="U1198" s="200">
        <f t="shared" si="6068"/>
        <v>0</v>
      </c>
      <c r="V1198" s="200">
        <f t="shared" si="6068"/>
        <v>0</v>
      </c>
      <c r="W1198" s="200">
        <f t="shared" si="6068"/>
        <v>0</v>
      </c>
      <c r="X1198" s="200">
        <f t="shared" si="6068"/>
        <v>0</v>
      </c>
      <c r="Y1198" s="200">
        <f t="shared" si="6068"/>
        <v>0</v>
      </c>
      <c r="Z1198" s="200">
        <f t="shared" si="6068"/>
        <v>0</v>
      </c>
      <c r="AA1198" s="200">
        <f t="shared" si="6068"/>
        <v>0</v>
      </c>
      <c r="AB1198" s="200">
        <f t="shared" si="6068"/>
        <v>0</v>
      </c>
      <c r="AC1198" s="200">
        <f t="shared" si="6068"/>
        <v>0</v>
      </c>
      <c r="AD1198" s="200">
        <f t="shared" si="11"/>
        <v>0</v>
      </c>
      <c r="AE1198" s="200">
        <f t="shared" ref="AE1198:AG1198" si="6069">countif($D1198,"*"&amp;AE$2&amp;"*")</f>
        <v>0</v>
      </c>
      <c r="AF1198" s="200">
        <f t="shared" si="6069"/>
        <v>0</v>
      </c>
      <c r="AG1198" s="200">
        <f t="shared" si="6069"/>
        <v>0</v>
      </c>
      <c r="AH1198" s="171">
        <f t="shared" si="13"/>
        <v>0</v>
      </c>
      <c r="AI1198" s="200">
        <f t="shared" si="14"/>
        <v>0</v>
      </c>
      <c r="AJ1198" s="200">
        <f t="shared" si="5594"/>
        <v>0</v>
      </c>
      <c r="AK1198" s="201">
        <f t="shared" ref="AK1198:AS1198" si="6070">countif($D1198,"*"&amp;AK$2&amp;"*")</f>
        <v>0</v>
      </c>
      <c r="AL1198" s="201">
        <f t="shared" si="6070"/>
        <v>0</v>
      </c>
      <c r="AM1198" s="201">
        <f t="shared" si="6070"/>
        <v>0</v>
      </c>
      <c r="AN1198" s="201">
        <f t="shared" si="6070"/>
        <v>0</v>
      </c>
      <c r="AO1198" s="201">
        <f t="shared" si="6070"/>
        <v>0</v>
      </c>
      <c r="AP1198" s="201">
        <f t="shared" si="6070"/>
        <v>0</v>
      </c>
      <c r="AQ1198" s="201">
        <f t="shared" si="6070"/>
        <v>0</v>
      </c>
      <c r="AR1198" s="200">
        <f t="shared" si="6070"/>
        <v>0</v>
      </c>
      <c r="AS1198" s="200">
        <f t="shared" si="6070"/>
        <v>0</v>
      </c>
      <c r="AT1198" s="173">
        <v>0.0</v>
      </c>
      <c r="AU1198" s="200">
        <f t="shared" ref="AU1198:AX1198" si="6071">countif($D1198,"*"&amp;AU$2&amp;"*")</f>
        <v>0</v>
      </c>
      <c r="AV1198" s="200">
        <f t="shared" si="6071"/>
        <v>1</v>
      </c>
      <c r="AW1198" s="200">
        <f t="shared" si="6071"/>
        <v>0</v>
      </c>
      <c r="AX1198" s="200">
        <f t="shared" si="6071"/>
        <v>0</v>
      </c>
      <c r="AY1198" s="202">
        <v>0.0</v>
      </c>
      <c r="AZ1198" s="200"/>
      <c r="BA1198" s="171" t="str">
        <f t="shared" si="18"/>
        <v/>
      </c>
      <c r="BB1198" s="171" t="str">
        <f t="shared" si="19"/>
        <v>Code</v>
      </c>
      <c r="BC1198" s="171" t="str">
        <f t="shared" si="20"/>
        <v/>
      </c>
      <c r="BD1198" s="171" t="str">
        <f t="shared" si="21"/>
        <v/>
      </c>
      <c r="BE1198" s="171" t="str">
        <f t="shared" si="22"/>
        <v/>
      </c>
      <c r="BF1198" s="171" t="str">
        <f t="shared" si="23"/>
        <v>Code</v>
      </c>
    </row>
    <row r="1199">
      <c r="A1199" s="171">
        <f t="array" ref="A1199">XLOOKUP(C1199,ICSE!A:A,ICSE!C:C,,2,1)</f>
        <v>2023</v>
      </c>
      <c r="B1199" s="171" t="s">
        <v>5675</v>
      </c>
      <c r="C1199" s="160">
        <v>2209.0</v>
      </c>
      <c r="D1199" s="161" t="s">
        <v>3326</v>
      </c>
      <c r="E1199" s="197" t="str">
        <f t="array" ref="E1199">XLOOKUP(C1199,ICSE!A:A,ICSE!Z:Z,,0,1)</f>
        <v>Publicly available (1)</v>
      </c>
      <c r="F1199" s="198" t="s">
        <v>20</v>
      </c>
      <c r="G1199" s="163" t="str">
        <f t="array" ref="G1199">IF(B1199="ICSE",IF(COUNTIFS(B:B,B1199,C:C,C1199)=XLOOKUP(C1199,ICSE!A:A,ICSE!AA:AA,"ERROR",0,1),"OK","ERROR"),IF(B1199="FSE",IF(COUNTIFS(B:B,B1199,C:C,C1199)=XLOOKUP(C1199,FSE!A:A,FSE!AA:AA,"ERROR",0,1),"OK","ERROR")))</f>
        <v>OK</v>
      </c>
      <c r="H1199" s="199">
        <f t="shared" ref="H1199:O1199" si="6072">countif($D1199,"*"&amp;H$2&amp;"*")</f>
        <v>0</v>
      </c>
      <c r="I1199" s="200">
        <f t="shared" si="6072"/>
        <v>0</v>
      </c>
      <c r="J1199" s="200">
        <f t="shared" si="6072"/>
        <v>0</v>
      </c>
      <c r="K1199" s="200">
        <f t="shared" si="6072"/>
        <v>0</v>
      </c>
      <c r="L1199" s="200">
        <f t="shared" si="6072"/>
        <v>0</v>
      </c>
      <c r="M1199" s="200">
        <f t="shared" si="6072"/>
        <v>0</v>
      </c>
      <c r="N1199" s="200">
        <f t="shared" si="6072"/>
        <v>0</v>
      </c>
      <c r="O1199" s="200">
        <f t="shared" si="6072"/>
        <v>0</v>
      </c>
      <c r="P1199" s="200">
        <f t="shared" si="9"/>
        <v>1</v>
      </c>
      <c r="Q1199" s="200">
        <f t="shared" ref="Q1199:AC1199" si="6073">countif($D1199,"*"&amp;Q$2&amp;"*")</f>
        <v>0</v>
      </c>
      <c r="R1199" s="200">
        <f t="shared" si="6073"/>
        <v>0</v>
      </c>
      <c r="S1199" s="200">
        <f t="shared" si="6073"/>
        <v>0</v>
      </c>
      <c r="T1199" s="200">
        <f t="shared" si="6073"/>
        <v>0</v>
      </c>
      <c r="U1199" s="200">
        <f t="shared" si="6073"/>
        <v>0</v>
      </c>
      <c r="V1199" s="200">
        <f t="shared" si="6073"/>
        <v>0</v>
      </c>
      <c r="W1199" s="200">
        <f t="shared" si="6073"/>
        <v>0</v>
      </c>
      <c r="X1199" s="200">
        <f t="shared" si="6073"/>
        <v>0</v>
      </c>
      <c r="Y1199" s="200">
        <f t="shared" si="6073"/>
        <v>0</v>
      </c>
      <c r="Z1199" s="200">
        <f t="shared" si="6073"/>
        <v>0</v>
      </c>
      <c r="AA1199" s="200">
        <f t="shared" si="6073"/>
        <v>0</v>
      </c>
      <c r="AB1199" s="200">
        <f t="shared" si="6073"/>
        <v>0</v>
      </c>
      <c r="AC1199" s="200">
        <f t="shared" si="6073"/>
        <v>0</v>
      </c>
      <c r="AD1199" s="200">
        <f t="shared" si="11"/>
        <v>0</v>
      </c>
      <c r="AE1199" s="200">
        <f t="shared" ref="AE1199:AG1199" si="6074">countif($D1199,"*"&amp;AE$2&amp;"*")</f>
        <v>0</v>
      </c>
      <c r="AF1199" s="200">
        <f t="shared" si="6074"/>
        <v>0</v>
      </c>
      <c r="AG1199" s="200">
        <f t="shared" si="6074"/>
        <v>0</v>
      </c>
      <c r="AH1199" s="171">
        <f t="shared" si="13"/>
        <v>0</v>
      </c>
      <c r="AI1199" s="200">
        <f t="shared" si="14"/>
        <v>0</v>
      </c>
      <c r="AJ1199" s="200">
        <f t="shared" si="5594"/>
        <v>0</v>
      </c>
      <c r="AK1199" s="201">
        <f t="shared" ref="AK1199:AS1199" si="6075">countif($D1199,"*"&amp;AK$2&amp;"*")</f>
        <v>0</v>
      </c>
      <c r="AL1199" s="201">
        <f t="shared" si="6075"/>
        <v>0</v>
      </c>
      <c r="AM1199" s="201">
        <f t="shared" si="6075"/>
        <v>0</v>
      </c>
      <c r="AN1199" s="201">
        <f t="shared" si="6075"/>
        <v>0</v>
      </c>
      <c r="AO1199" s="201">
        <f t="shared" si="6075"/>
        <v>0</v>
      </c>
      <c r="AP1199" s="201">
        <f t="shared" si="6075"/>
        <v>0</v>
      </c>
      <c r="AQ1199" s="201">
        <f t="shared" si="6075"/>
        <v>0</v>
      </c>
      <c r="AR1199" s="200">
        <f t="shared" si="6075"/>
        <v>0</v>
      </c>
      <c r="AS1199" s="200">
        <f t="shared" si="6075"/>
        <v>0</v>
      </c>
      <c r="AT1199" s="173">
        <v>0.0</v>
      </c>
      <c r="AU1199" s="200">
        <f t="shared" ref="AU1199:AX1199" si="6076">countif($D1199,"*"&amp;AU$2&amp;"*")</f>
        <v>0</v>
      </c>
      <c r="AV1199" s="200">
        <f t="shared" si="6076"/>
        <v>1</v>
      </c>
      <c r="AW1199" s="200">
        <f t="shared" si="6076"/>
        <v>0</v>
      </c>
      <c r="AX1199" s="200">
        <f t="shared" si="6076"/>
        <v>0</v>
      </c>
      <c r="AY1199" s="202">
        <v>0.0</v>
      </c>
      <c r="AZ1199" s="200"/>
      <c r="BA1199" s="171" t="str">
        <f t="shared" si="18"/>
        <v/>
      </c>
      <c r="BB1199" s="171" t="str">
        <f t="shared" si="19"/>
        <v>Code</v>
      </c>
      <c r="BC1199" s="171" t="str">
        <f t="shared" si="20"/>
        <v/>
      </c>
      <c r="BD1199" s="171" t="str">
        <f t="shared" si="21"/>
        <v/>
      </c>
      <c r="BE1199" s="171" t="str">
        <f t="shared" si="22"/>
        <v/>
      </c>
      <c r="BF1199" s="171" t="str">
        <f t="shared" si="23"/>
        <v>Code</v>
      </c>
    </row>
    <row r="1200">
      <c r="A1200" s="171">
        <f t="array" ref="A1200">XLOOKUP(C1200,ICSE!A:A,ICSE!C:C,,2,1)</f>
        <v>2023</v>
      </c>
      <c r="B1200" s="171" t="s">
        <v>5675</v>
      </c>
      <c r="C1200" s="160">
        <v>2210.0</v>
      </c>
      <c r="D1200" s="161" t="s">
        <v>3329</v>
      </c>
      <c r="E1200" s="197" t="str">
        <f t="array" ref="E1200">XLOOKUP(C1200,ICSE!A:A,ICSE!Z:Z,,0,1)</f>
        <v>Publicly available (1)</v>
      </c>
      <c r="F1200" s="198" t="s">
        <v>20</v>
      </c>
      <c r="G1200" s="163" t="str">
        <f t="array" ref="G1200">IF(B1200="ICSE",IF(COUNTIFS(B:B,B1200,C:C,C1200)=XLOOKUP(C1200,ICSE!A:A,ICSE!AA:AA,"ERROR",0,1),"OK","ERROR"),IF(B1200="FSE",IF(COUNTIFS(B:B,B1200,C:C,C1200)=XLOOKUP(C1200,FSE!A:A,FSE!AA:AA,"ERROR",0,1),"OK","ERROR")))</f>
        <v>OK</v>
      </c>
      <c r="H1200" s="199">
        <f t="shared" ref="H1200:O1200" si="6077">countif($D1200,"*"&amp;H$2&amp;"*")</f>
        <v>0</v>
      </c>
      <c r="I1200" s="200">
        <f t="shared" si="6077"/>
        <v>0</v>
      </c>
      <c r="J1200" s="200">
        <f t="shared" si="6077"/>
        <v>0</v>
      </c>
      <c r="K1200" s="200">
        <f t="shared" si="6077"/>
        <v>0</v>
      </c>
      <c r="L1200" s="200">
        <f t="shared" si="6077"/>
        <v>0</v>
      </c>
      <c r="M1200" s="200">
        <f t="shared" si="6077"/>
        <v>0</v>
      </c>
      <c r="N1200" s="200">
        <f t="shared" si="6077"/>
        <v>0</v>
      </c>
      <c r="O1200" s="200">
        <f t="shared" si="6077"/>
        <v>0</v>
      </c>
      <c r="P1200" s="200">
        <f t="shared" si="9"/>
        <v>1</v>
      </c>
      <c r="Q1200" s="200">
        <f t="shared" ref="Q1200:AC1200" si="6078">countif($D1200,"*"&amp;Q$2&amp;"*")</f>
        <v>0</v>
      </c>
      <c r="R1200" s="200">
        <f t="shared" si="6078"/>
        <v>0</v>
      </c>
      <c r="S1200" s="200">
        <f t="shared" si="6078"/>
        <v>0</v>
      </c>
      <c r="T1200" s="200">
        <f t="shared" si="6078"/>
        <v>0</v>
      </c>
      <c r="U1200" s="200">
        <f t="shared" si="6078"/>
        <v>0</v>
      </c>
      <c r="V1200" s="200">
        <f t="shared" si="6078"/>
        <v>0</v>
      </c>
      <c r="W1200" s="200">
        <f t="shared" si="6078"/>
        <v>0</v>
      </c>
      <c r="X1200" s="200">
        <f t="shared" si="6078"/>
        <v>0</v>
      </c>
      <c r="Y1200" s="200">
        <f t="shared" si="6078"/>
        <v>0</v>
      </c>
      <c r="Z1200" s="200">
        <f t="shared" si="6078"/>
        <v>0</v>
      </c>
      <c r="AA1200" s="200">
        <f t="shared" si="6078"/>
        <v>0</v>
      </c>
      <c r="AB1200" s="200">
        <f t="shared" si="6078"/>
        <v>0</v>
      </c>
      <c r="AC1200" s="200">
        <f t="shared" si="6078"/>
        <v>0</v>
      </c>
      <c r="AD1200" s="200">
        <f t="shared" si="11"/>
        <v>0</v>
      </c>
      <c r="AE1200" s="200">
        <f t="shared" ref="AE1200:AG1200" si="6079">countif($D1200,"*"&amp;AE$2&amp;"*")</f>
        <v>0</v>
      </c>
      <c r="AF1200" s="200">
        <f t="shared" si="6079"/>
        <v>0</v>
      </c>
      <c r="AG1200" s="200">
        <f t="shared" si="6079"/>
        <v>0</v>
      </c>
      <c r="AH1200" s="171">
        <f t="shared" si="13"/>
        <v>0</v>
      </c>
      <c r="AI1200" s="200">
        <f t="shared" si="14"/>
        <v>0</v>
      </c>
      <c r="AJ1200" s="200">
        <f t="shared" si="5594"/>
        <v>0</v>
      </c>
      <c r="AK1200" s="201">
        <f t="shared" ref="AK1200:AS1200" si="6080">countif($D1200,"*"&amp;AK$2&amp;"*")</f>
        <v>0</v>
      </c>
      <c r="AL1200" s="201">
        <f t="shared" si="6080"/>
        <v>0</v>
      </c>
      <c r="AM1200" s="201">
        <f t="shared" si="6080"/>
        <v>0</v>
      </c>
      <c r="AN1200" s="201">
        <f t="shared" si="6080"/>
        <v>0</v>
      </c>
      <c r="AO1200" s="201">
        <f t="shared" si="6080"/>
        <v>0</v>
      </c>
      <c r="AP1200" s="201">
        <f t="shared" si="6080"/>
        <v>0</v>
      </c>
      <c r="AQ1200" s="201">
        <f t="shared" si="6080"/>
        <v>0</v>
      </c>
      <c r="AR1200" s="200">
        <f t="shared" si="6080"/>
        <v>0</v>
      </c>
      <c r="AS1200" s="200">
        <f t="shared" si="6080"/>
        <v>0</v>
      </c>
      <c r="AT1200" s="173">
        <v>0.0</v>
      </c>
      <c r="AU1200" s="200">
        <f t="shared" ref="AU1200:AX1200" si="6081">countif($D1200,"*"&amp;AU$2&amp;"*")</f>
        <v>0</v>
      </c>
      <c r="AV1200" s="200">
        <f t="shared" si="6081"/>
        <v>1</v>
      </c>
      <c r="AW1200" s="200">
        <f t="shared" si="6081"/>
        <v>0</v>
      </c>
      <c r="AX1200" s="200">
        <f t="shared" si="6081"/>
        <v>0</v>
      </c>
      <c r="AY1200" s="202">
        <v>0.0</v>
      </c>
      <c r="AZ1200" s="200"/>
      <c r="BA1200" s="171" t="str">
        <f t="shared" si="18"/>
        <v/>
      </c>
      <c r="BB1200" s="171" t="str">
        <f t="shared" si="19"/>
        <v>Code</v>
      </c>
      <c r="BC1200" s="171" t="str">
        <f t="shared" si="20"/>
        <v/>
      </c>
      <c r="BD1200" s="171" t="str">
        <f t="shared" si="21"/>
        <v/>
      </c>
      <c r="BE1200" s="171" t="str">
        <f t="shared" si="22"/>
        <v/>
      </c>
      <c r="BF1200" s="171" t="str">
        <f t="shared" si="23"/>
        <v>Code</v>
      </c>
    </row>
    <row r="1201">
      <c r="A1201" s="171">
        <f t="array" ref="A1201">XLOOKUP(C1201,ICSE!A:A,ICSE!C:C,,2,1)</f>
        <v>2023</v>
      </c>
      <c r="B1201" s="171" t="s">
        <v>5675</v>
      </c>
      <c r="C1201" s="160">
        <v>2211.0</v>
      </c>
      <c r="D1201" s="161" t="s">
        <v>3331</v>
      </c>
      <c r="E1201" s="197" t="str">
        <f t="array" ref="E1201">XLOOKUP(C1201,ICSE!A:A,ICSE!Z:Z,,0,1)</f>
        <v>Publicly available (1)</v>
      </c>
      <c r="F1201" s="198" t="s">
        <v>20</v>
      </c>
      <c r="G1201" s="163" t="str">
        <f t="array" ref="G1201">IF(B1201="ICSE",IF(COUNTIFS(B:B,B1201,C:C,C1201)=XLOOKUP(C1201,ICSE!A:A,ICSE!AA:AA,"ERROR",0,1),"OK","ERROR"),IF(B1201="FSE",IF(COUNTIFS(B:B,B1201,C:C,C1201)=XLOOKUP(C1201,FSE!A:A,FSE!AA:AA,"ERROR",0,1),"OK","ERROR")))</f>
        <v>OK</v>
      </c>
      <c r="H1201" s="199">
        <f t="shared" ref="H1201:O1201" si="6082">countif($D1201,"*"&amp;H$2&amp;"*")</f>
        <v>0</v>
      </c>
      <c r="I1201" s="200">
        <f t="shared" si="6082"/>
        <v>1</v>
      </c>
      <c r="J1201" s="200">
        <f t="shared" si="6082"/>
        <v>0</v>
      </c>
      <c r="K1201" s="200">
        <f t="shared" si="6082"/>
        <v>0</v>
      </c>
      <c r="L1201" s="200">
        <f t="shared" si="6082"/>
        <v>0</v>
      </c>
      <c r="M1201" s="200">
        <f t="shared" si="6082"/>
        <v>0</v>
      </c>
      <c r="N1201" s="200">
        <f t="shared" si="6082"/>
        <v>0</v>
      </c>
      <c r="O1201" s="200">
        <f t="shared" si="6082"/>
        <v>0</v>
      </c>
      <c r="P1201" s="200">
        <f t="shared" si="9"/>
        <v>0</v>
      </c>
      <c r="Q1201" s="200">
        <f t="shared" ref="Q1201:AC1201" si="6083">countif($D1201,"*"&amp;Q$2&amp;"*")</f>
        <v>0</v>
      </c>
      <c r="R1201" s="200">
        <f t="shared" si="6083"/>
        <v>0</v>
      </c>
      <c r="S1201" s="200">
        <f t="shared" si="6083"/>
        <v>0</v>
      </c>
      <c r="T1201" s="200">
        <f t="shared" si="6083"/>
        <v>0</v>
      </c>
      <c r="U1201" s="200">
        <f t="shared" si="6083"/>
        <v>0</v>
      </c>
      <c r="V1201" s="200">
        <f t="shared" si="6083"/>
        <v>0</v>
      </c>
      <c r="W1201" s="200">
        <f t="shared" si="6083"/>
        <v>0</v>
      </c>
      <c r="X1201" s="200">
        <f t="shared" si="6083"/>
        <v>0</v>
      </c>
      <c r="Y1201" s="200">
        <f t="shared" si="6083"/>
        <v>0</v>
      </c>
      <c r="Z1201" s="200">
        <f t="shared" si="6083"/>
        <v>0</v>
      </c>
      <c r="AA1201" s="200">
        <f t="shared" si="6083"/>
        <v>0</v>
      </c>
      <c r="AB1201" s="200">
        <f t="shared" si="6083"/>
        <v>0</v>
      </c>
      <c r="AC1201" s="200">
        <f t="shared" si="6083"/>
        <v>0</v>
      </c>
      <c r="AD1201" s="200">
        <f t="shared" si="11"/>
        <v>0</v>
      </c>
      <c r="AE1201" s="200">
        <f t="shared" ref="AE1201:AG1201" si="6084">countif($D1201,"*"&amp;AE$2&amp;"*")</f>
        <v>0</v>
      </c>
      <c r="AF1201" s="200">
        <f t="shared" si="6084"/>
        <v>0</v>
      </c>
      <c r="AG1201" s="200">
        <f t="shared" si="6084"/>
        <v>0</v>
      </c>
      <c r="AH1201" s="171">
        <f t="shared" si="13"/>
        <v>0</v>
      </c>
      <c r="AI1201" s="200">
        <f t="shared" si="14"/>
        <v>1</v>
      </c>
      <c r="AJ1201" s="200">
        <f t="shared" si="5594"/>
        <v>0</v>
      </c>
      <c r="AK1201" s="201">
        <f t="shared" ref="AK1201:AS1201" si="6085">countif($D1201,"*"&amp;AK$2&amp;"*")</f>
        <v>0</v>
      </c>
      <c r="AL1201" s="201">
        <f t="shared" si="6085"/>
        <v>0</v>
      </c>
      <c r="AM1201" s="201">
        <f t="shared" si="6085"/>
        <v>0</v>
      </c>
      <c r="AN1201" s="201">
        <f t="shared" si="6085"/>
        <v>0</v>
      </c>
      <c r="AO1201" s="201">
        <f t="shared" si="6085"/>
        <v>0</v>
      </c>
      <c r="AP1201" s="201">
        <f t="shared" si="6085"/>
        <v>0</v>
      </c>
      <c r="AQ1201" s="201">
        <f t="shared" si="6085"/>
        <v>0</v>
      </c>
      <c r="AR1201" s="200">
        <f t="shared" si="6085"/>
        <v>0</v>
      </c>
      <c r="AS1201" s="200">
        <f t="shared" si="6085"/>
        <v>0</v>
      </c>
      <c r="AT1201" s="173">
        <v>0.0</v>
      </c>
      <c r="AU1201" s="200">
        <f t="shared" ref="AU1201:AX1201" si="6086">countif($D1201,"*"&amp;AU$2&amp;"*")</f>
        <v>0</v>
      </c>
      <c r="AV1201" s="200">
        <f t="shared" si="6086"/>
        <v>0</v>
      </c>
      <c r="AW1201" s="200">
        <f t="shared" si="6086"/>
        <v>0</v>
      </c>
      <c r="AX1201" s="200">
        <f t="shared" si="6086"/>
        <v>1</v>
      </c>
      <c r="AY1201" s="202">
        <v>0.0</v>
      </c>
      <c r="AZ1201" s="200"/>
      <c r="BA1201" s="171" t="str">
        <f t="shared" si="18"/>
        <v>Archival</v>
      </c>
      <c r="BB1201" s="171" t="str">
        <f t="shared" si="19"/>
        <v/>
      </c>
      <c r="BC1201" s="171" t="str">
        <f t="shared" si="20"/>
        <v/>
      </c>
      <c r="BD1201" s="171" t="str">
        <f t="shared" si="21"/>
        <v/>
      </c>
      <c r="BE1201" s="171" t="str">
        <f t="shared" si="22"/>
        <v/>
      </c>
      <c r="BF1201" s="171" t="str">
        <f t="shared" si="23"/>
        <v>Archival</v>
      </c>
    </row>
    <row r="1202">
      <c r="A1202" s="171">
        <f t="array" ref="A1202">XLOOKUP(C1202,ICSE!A:A,ICSE!C:C,,2,1)</f>
        <v>2023</v>
      </c>
      <c r="B1202" s="171" t="s">
        <v>5675</v>
      </c>
      <c r="C1202" s="160">
        <v>2212.0</v>
      </c>
      <c r="D1202" s="161" t="s">
        <v>6159</v>
      </c>
      <c r="E1202" s="197" t="str">
        <f t="array" ref="E1202">XLOOKUP(C1202,ICSE!A:A,ICSE!Z:Z,,0,1)</f>
        <v>Publicly available (2)</v>
      </c>
      <c r="F1202" s="198" t="s">
        <v>20</v>
      </c>
      <c r="G1202" s="163" t="str">
        <f t="array" ref="G1202">IF(B1202="ICSE",IF(COUNTIFS(B:B,B1202,C:C,C1202)=XLOOKUP(C1202,ICSE!A:A,ICSE!AA:AA,"ERROR",0,1),"OK","ERROR"),IF(B1202="FSE",IF(COUNTIFS(B:B,B1202,C:C,C1202)=XLOOKUP(C1202,FSE!A:A,FSE!AA:AA,"ERROR",0,1),"OK","ERROR")))</f>
        <v>OK</v>
      </c>
      <c r="H1202" s="199">
        <f t="shared" ref="H1202:O1202" si="6087">countif($D1202,"*"&amp;H$2&amp;"*")</f>
        <v>0</v>
      </c>
      <c r="I1202" s="200">
        <f t="shared" si="6087"/>
        <v>0</v>
      </c>
      <c r="J1202" s="200">
        <f t="shared" si="6087"/>
        <v>0</v>
      </c>
      <c r="K1202" s="200">
        <f t="shared" si="6087"/>
        <v>0</v>
      </c>
      <c r="L1202" s="200">
        <f t="shared" si="6087"/>
        <v>0</v>
      </c>
      <c r="M1202" s="200">
        <f t="shared" si="6087"/>
        <v>0</v>
      </c>
      <c r="N1202" s="200">
        <f t="shared" si="6087"/>
        <v>0</v>
      </c>
      <c r="O1202" s="200">
        <f t="shared" si="6087"/>
        <v>0</v>
      </c>
      <c r="P1202" s="200">
        <f t="shared" si="9"/>
        <v>0</v>
      </c>
      <c r="Q1202" s="200">
        <f t="shared" ref="Q1202:AC1202" si="6088">countif($D1202,"*"&amp;Q$2&amp;"*")</f>
        <v>0</v>
      </c>
      <c r="R1202" s="200">
        <f t="shared" si="6088"/>
        <v>0</v>
      </c>
      <c r="S1202" s="200">
        <f t="shared" si="6088"/>
        <v>0</v>
      </c>
      <c r="T1202" s="200">
        <f t="shared" si="6088"/>
        <v>0</v>
      </c>
      <c r="U1202" s="200">
        <f t="shared" si="6088"/>
        <v>0</v>
      </c>
      <c r="V1202" s="200">
        <f t="shared" si="6088"/>
        <v>0</v>
      </c>
      <c r="W1202" s="200">
        <f t="shared" si="6088"/>
        <v>0</v>
      </c>
      <c r="X1202" s="200">
        <f t="shared" si="6088"/>
        <v>0</v>
      </c>
      <c r="Y1202" s="200">
        <f t="shared" si="6088"/>
        <v>0</v>
      </c>
      <c r="Z1202" s="200">
        <f t="shared" si="6088"/>
        <v>0</v>
      </c>
      <c r="AA1202" s="200">
        <f t="shared" si="6088"/>
        <v>0</v>
      </c>
      <c r="AB1202" s="200">
        <f t="shared" si="6088"/>
        <v>0</v>
      </c>
      <c r="AC1202" s="200">
        <f t="shared" si="6088"/>
        <v>0</v>
      </c>
      <c r="AD1202" s="200">
        <f t="shared" si="11"/>
        <v>1</v>
      </c>
      <c r="AE1202" s="200">
        <f t="shared" ref="AE1202:AG1202" si="6089">countif($D1202,"*"&amp;AE$2&amp;"*")</f>
        <v>0</v>
      </c>
      <c r="AF1202" s="200">
        <f t="shared" si="6089"/>
        <v>0</v>
      </c>
      <c r="AG1202" s="200">
        <f t="shared" si="6089"/>
        <v>0</v>
      </c>
      <c r="AH1202" s="171">
        <f t="shared" si="13"/>
        <v>0</v>
      </c>
      <c r="AI1202" s="200">
        <f t="shared" si="14"/>
        <v>0</v>
      </c>
      <c r="AJ1202" s="200">
        <f>SUM(AK1202:AQ1202)</f>
        <v>0</v>
      </c>
      <c r="AK1202" s="201">
        <f t="shared" ref="AK1202:AS1202" si="6090">countif($D1202,"*"&amp;AK$2&amp;"*")</f>
        <v>0</v>
      </c>
      <c r="AL1202" s="201">
        <f t="shared" si="6090"/>
        <v>0</v>
      </c>
      <c r="AM1202" s="201">
        <f t="shared" si="6090"/>
        <v>0</v>
      </c>
      <c r="AN1202" s="201">
        <f t="shared" si="6090"/>
        <v>0</v>
      </c>
      <c r="AO1202" s="201">
        <f t="shared" si="6090"/>
        <v>0</v>
      </c>
      <c r="AP1202" s="201">
        <f t="shared" si="6090"/>
        <v>0</v>
      </c>
      <c r="AQ1202" s="201">
        <f t="shared" si="6090"/>
        <v>0</v>
      </c>
      <c r="AR1202" s="201">
        <f t="shared" si="6090"/>
        <v>0</v>
      </c>
      <c r="AS1202" s="200">
        <f t="shared" si="6090"/>
        <v>0</v>
      </c>
      <c r="AT1202" s="205">
        <v>0.0</v>
      </c>
      <c r="AU1202" s="200">
        <f t="shared" ref="AU1202:AX1202" si="6091">countif($D1202,"*"&amp;AU$2&amp;"*")</f>
        <v>1</v>
      </c>
      <c r="AV1202" s="200">
        <f t="shared" si="6091"/>
        <v>0</v>
      </c>
      <c r="AW1202" s="200">
        <f t="shared" si="6091"/>
        <v>0</v>
      </c>
      <c r="AX1202" s="200">
        <f t="shared" si="6091"/>
        <v>0</v>
      </c>
      <c r="AY1202" s="202">
        <v>0.0</v>
      </c>
      <c r="AZ1202" s="200"/>
      <c r="BA1202" s="171" t="str">
        <f t="shared" si="18"/>
        <v/>
      </c>
      <c r="BB1202" s="171" t="str">
        <f t="shared" si="19"/>
        <v/>
      </c>
      <c r="BC1202" s="171" t="str">
        <f t="shared" si="20"/>
        <v/>
      </c>
      <c r="BD1202" s="171" t="str">
        <f t="shared" si="21"/>
        <v>Institutional</v>
      </c>
      <c r="BE1202" s="171" t="str">
        <f t="shared" si="22"/>
        <v/>
      </c>
      <c r="BF1202" s="171" t="str">
        <f t="shared" si="23"/>
        <v>Institutional</v>
      </c>
    </row>
    <row r="1203">
      <c r="A1203" s="171">
        <f t="array" ref="A1203">XLOOKUP(C1203,ICSE!A:A,ICSE!C:C,,2,1)</f>
        <v>2023</v>
      </c>
      <c r="B1203" s="171" t="s">
        <v>5675</v>
      </c>
      <c r="C1203" s="160">
        <v>2212.0</v>
      </c>
      <c r="D1203" s="161" t="s">
        <v>6160</v>
      </c>
      <c r="E1203" s="197" t="str">
        <f t="array" ref="E1203">XLOOKUP(C1203,ICSE!A:A,ICSE!Z:Z,,0,1)</f>
        <v>Publicly available (2)</v>
      </c>
      <c r="F1203" s="198" t="s">
        <v>20</v>
      </c>
      <c r="G1203" s="163" t="str">
        <f t="array" ref="G1203">IF(B1203="ICSE",IF(COUNTIFS(B:B,B1203,C:C,C1203)=XLOOKUP(C1203,ICSE!A:A,ICSE!AA:AA,"ERROR",0,1),"OK","ERROR"),IF(B1203="FSE",IF(COUNTIFS(B:B,B1203,C:C,C1203)=XLOOKUP(C1203,FSE!A:A,FSE!AA:AA,"ERROR",0,1),"OK","ERROR")))</f>
        <v>OK</v>
      </c>
      <c r="H1203" s="199">
        <f t="shared" ref="H1203:O1203" si="6092">countif($D1203,"*"&amp;H$2&amp;"*")</f>
        <v>0</v>
      </c>
      <c r="I1203" s="200">
        <f t="shared" si="6092"/>
        <v>0</v>
      </c>
      <c r="J1203" s="200">
        <f t="shared" si="6092"/>
        <v>0</v>
      </c>
      <c r="K1203" s="200">
        <f t="shared" si="6092"/>
        <v>0</v>
      </c>
      <c r="L1203" s="200">
        <f t="shared" si="6092"/>
        <v>0</v>
      </c>
      <c r="M1203" s="200">
        <f t="shared" si="6092"/>
        <v>0</v>
      </c>
      <c r="N1203" s="200">
        <f t="shared" si="6092"/>
        <v>0</v>
      </c>
      <c r="O1203" s="200">
        <f t="shared" si="6092"/>
        <v>0</v>
      </c>
      <c r="P1203" s="200">
        <f t="shared" si="9"/>
        <v>1</v>
      </c>
      <c r="Q1203" s="200">
        <f t="shared" ref="Q1203:AC1203" si="6093">countif($D1203,"*"&amp;Q$2&amp;"*")</f>
        <v>0</v>
      </c>
      <c r="R1203" s="200">
        <f t="shared" si="6093"/>
        <v>0</v>
      </c>
      <c r="S1203" s="200">
        <f t="shared" si="6093"/>
        <v>0</v>
      </c>
      <c r="T1203" s="200">
        <f t="shared" si="6093"/>
        <v>0</v>
      </c>
      <c r="U1203" s="200">
        <f t="shared" si="6093"/>
        <v>0</v>
      </c>
      <c r="V1203" s="200">
        <f t="shared" si="6093"/>
        <v>0</v>
      </c>
      <c r="W1203" s="200">
        <f t="shared" si="6093"/>
        <v>0</v>
      </c>
      <c r="X1203" s="200">
        <f t="shared" si="6093"/>
        <v>0</v>
      </c>
      <c r="Y1203" s="200">
        <f t="shared" si="6093"/>
        <v>0</v>
      </c>
      <c r="Z1203" s="200">
        <f t="shared" si="6093"/>
        <v>0</v>
      </c>
      <c r="AA1203" s="200">
        <f t="shared" si="6093"/>
        <v>0</v>
      </c>
      <c r="AB1203" s="200">
        <f t="shared" si="6093"/>
        <v>0</v>
      </c>
      <c r="AC1203" s="200">
        <f t="shared" si="6093"/>
        <v>0</v>
      </c>
      <c r="AD1203" s="200">
        <f t="shared" si="11"/>
        <v>0</v>
      </c>
      <c r="AE1203" s="200">
        <f t="shared" ref="AE1203:AG1203" si="6094">countif($D1203,"*"&amp;AE$2&amp;"*")</f>
        <v>0</v>
      </c>
      <c r="AF1203" s="200">
        <f t="shared" si="6094"/>
        <v>0</v>
      </c>
      <c r="AG1203" s="200">
        <f t="shared" si="6094"/>
        <v>0</v>
      </c>
      <c r="AH1203" s="171">
        <f t="shared" si="13"/>
        <v>0</v>
      </c>
      <c r="AI1203" s="200">
        <f t="shared" si="14"/>
        <v>0</v>
      </c>
      <c r="AJ1203" s="200">
        <f t="shared" ref="AJ1203:AJ1658" si="6100">SUM(AK1203:AR1203)</f>
        <v>0</v>
      </c>
      <c r="AK1203" s="201">
        <f t="shared" ref="AK1203:AS1203" si="6095">countif($D1203,"*"&amp;AK$2&amp;"*")</f>
        <v>0</v>
      </c>
      <c r="AL1203" s="201">
        <f t="shared" si="6095"/>
        <v>0</v>
      </c>
      <c r="AM1203" s="201">
        <f t="shared" si="6095"/>
        <v>0</v>
      </c>
      <c r="AN1203" s="201">
        <f t="shared" si="6095"/>
        <v>0</v>
      </c>
      <c r="AO1203" s="201">
        <f t="shared" si="6095"/>
        <v>0</v>
      </c>
      <c r="AP1203" s="201">
        <f t="shared" si="6095"/>
        <v>0</v>
      </c>
      <c r="AQ1203" s="201">
        <f t="shared" si="6095"/>
        <v>0</v>
      </c>
      <c r="AR1203" s="200">
        <f t="shared" si="6095"/>
        <v>0</v>
      </c>
      <c r="AS1203" s="200">
        <f t="shared" si="6095"/>
        <v>0</v>
      </c>
      <c r="AT1203" s="173">
        <v>0.0</v>
      </c>
      <c r="AU1203" s="200">
        <f t="shared" ref="AU1203:AX1203" si="6096">countif($D1203,"*"&amp;AU$2&amp;"*")</f>
        <v>0</v>
      </c>
      <c r="AV1203" s="200">
        <f t="shared" si="6096"/>
        <v>1</v>
      </c>
      <c r="AW1203" s="200">
        <f t="shared" si="6096"/>
        <v>0</v>
      </c>
      <c r="AX1203" s="200">
        <f t="shared" si="6096"/>
        <v>0</v>
      </c>
      <c r="AY1203" s="202">
        <v>0.0</v>
      </c>
      <c r="AZ1203" s="200"/>
      <c r="BA1203" s="171" t="str">
        <f t="shared" si="18"/>
        <v/>
      </c>
      <c r="BB1203" s="171" t="str">
        <f t="shared" si="19"/>
        <v>Code</v>
      </c>
      <c r="BC1203" s="171" t="str">
        <f t="shared" si="20"/>
        <v/>
      </c>
      <c r="BD1203" s="171" t="str">
        <f t="shared" si="21"/>
        <v/>
      </c>
      <c r="BE1203" s="171" t="str">
        <f t="shared" si="22"/>
        <v/>
      </c>
      <c r="BF1203" s="171" t="str">
        <f t="shared" si="23"/>
        <v>Code</v>
      </c>
    </row>
    <row r="1204">
      <c r="A1204" s="171">
        <f t="array" ref="A1204">XLOOKUP(C1204,ICSE!A:A,ICSE!C:C,,2,1)</f>
        <v>2023</v>
      </c>
      <c r="B1204" s="171" t="s">
        <v>5675</v>
      </c>
      <c r="C1204" s="160">
        <v>2213.0</v>
      </c>
      <c r="D1204" s="161" t="s">
        <v>6161</v>
      </c>
      <c r="E1204" s="197" t="str">
        <f t="array" ref="E1204">XLOOKUP(C1204,ICSE!A:A,ICSE!Z:Z,,0,1)</f>
        <v>Publicly available (2)</v>
      </c>
      <c r="F1204" s="198" t="s">
        <v>20</v>
      </c>
      <c r="G1204" s="163" t="str">
        <f t="array" ref="G1204">IF(B1204="ICSE",IF(COUNTIFS(B:B,B1204,C:C,C1204)=XLOOKUP(C1204,ICSE!A:A,ICSE!AA:AA,"ERROR",0,1),"OK","ERROR"),IF(B1204="FSE",IF(COUNTIFS(B:B,B1204,C:C,C1204)=XLOOKUP(C1204,FSE!A:A,FSE!AA:AA,"ERROR",0,1),"OK","ERROR")))</f>
        <v>OK</v>
      </c>
      <c r="H1204" s="199">
        <f t="shared" ref="H1204:O1204" si="6097">countif($D1204,"*"&amp;H$2&amp;"*")</f>
        <v>0</v>
      </c>
      <c r="I1204" s="200">
        <f t="shared" si="6097"/>
        <v>0</v>
      </c>
      <c r="J1204" s="200">
        <f t="shared" si="6097"/>
        <v>0</v>
      </c>
      <c r="K1204" s="200">
        <f t="shared" si="6097"/>
        <v>0</v>
      </c>
      <c r="L1204" s="200">
        <f t="shared" si="6097"/>
        <v>0</v>
      </c>
      <c r="M1204" s="200">
        <f t="shared" si="6097"/>
        <v>0</v>
      </c>
      <c r="N1204" s="200">
        <f t="shared" si="6097"/>
        <v>0</v>
      </c>
      <c r="O1204" s="200">
        <f t="shared" si="6097"/>
        <v>0</v>
      </c>
      <c r="P1204" s="200">
        <f t="shared" si="9"/>
        <v>0</v>
      </c>
      <c r="Q1204" s="200">
        <f t="shared" ref="Q1204:AC1204" si="6098">countif($D1204,"*"&amp;Q$2&amp;"*")</f>
        <v>0</v>
      </c>
      <c r="R1204" s="200">
        <f t="shared" si="6098"/>
        <v>0</v>
      </c>
      <c r="S1204" s="200">
        <f t="shared" si="6098"/>
        <v>0</v>
      </c>
      <c r="T1204" s="200">
        <f t="shared" si="6098"/>
        <v>0</v>
      </c>
      <c r="U1204" s="200">
        <f t="shared" si="6098"/>
        <v>0</v>
      </c>
      <c r="V1204" s="200">
        <f t="shared" si="6098"/>
        <v>0</v>
      </c>
      <c r="W1204" s="200">
        <f t="shared" si="6098"/>
        <v>0</v>
      </c>
      <c r="X1204" s="200">
        <f t="shared" si="6098"/>
        <v>0</v>
      </c>
      <c r="Y1204" s="200">
        <f t="shared" si="6098"/>
        <v>0</v>
      </c>
      <c r="Z1204" s="200">
        <f t="shared" si="6098"/>
        <v>0</v>
      </c>
      <c r="AA1204" s="200">
        <f t="shared" si="6098"/>
        <v>1</v>
      </c>
      <c r="AB1204" s="200">
        <f t="shared" si="6098"/>
        <v>0</v>
      </c>
      <c r="AC1204" s="200">
        <f t="shared" si="6098"/>
        <v>0</v>
      </c>
      <c r="AD1204" s="200">
        <f t="shared" si="11"/>
        <v>0</v>
      </c>
      <c r="AE1204" s="200">
        <f t="shared" ref="AE1204:AG1204" si="6099">countif($D1204,"*"&amp;AE$2&amp;"*")</f>
        <v>0</v>
      </c>
      <c r="AF1204" s="200">
        <f t="shared" si="6099"/>
        <v>0</v>
      </c>
      <c r="AG1204" s="200">
        <f t="shared" si="6099"/>
        <v>0</v>
      </c>
      <c r="AH1204" s="171">
        <f t="shared" si="13"/>
        <v>0</v>
      </c>
      <c r="AI1204" s="200">
        <f t="shared" si="14"/>
        <v>0</v>
      </c>
      <c r="AJ1204" s="200">
        <f t="shared" si="6100"/>
        <v>0</v>
      </c>
      <c r="AK1204" s="201">
        <f t="shared" ref="AK1204:AS1204" si="6101">countif($D1204,"*"&amp;AK$2&amp;"*")</f>
        <v>0</v>
      </c>
      <c r="AL1204" s="201">
        <f t="shared" si="6101"/>
        <v>0</v>
      </c>
      <c r="AM1204" s="201">
        <f t="shared" si="6101"/>
        <v>0</v>
      </c>
      <c r="AN1204" s="201">
        <f t="shared" si="6101"/>
        <v>0</v>
      </c>
      <c r="AO1204" s="201">
        <f t="shared" si="6101"/>
        <v>0</v>
      </c>
      <c r="AP1204" s="201">
        <f t="shared" si="6101"/>
        <v>0</v>
      </c>
      <c r="AQ1204" s="201">
        <f t="shared" si="6101"/>
        <v>0</v>
      </c>
      <c r="AR1204" s="200">
        <f t="shared" si="6101"/>
        <v>0</v>
      </c>
      <c r="AS1204" s="200">
        <f t="shared" si="6101"/>
        <v>0</v>
      </c>
      <c r="AT1204" s="173">
        <v>0.0</v>
      </c>
      <c r="AU1204" s="200">
        <f t="shared" ref="AU1204:AX1204" si="6102">countif($D1204,"*"&amp;AU$2&amp;"*")</f>
        <v>0</v>
      </c>
      <c r="AV1204" s="200">
        <f t="shared" si="6102"/>
        <v>0</v>
      </c>
      <c r="AW1204" s="200">
        <f t="shared" si="6102"/>
        <v>0</v>
      </c>
      <c r="AX1204" s="200">
        <f t="shared" si="6102"/>
        <v>0</v>
      </c>
      <c r="AY1204" s="202">
        <v>0.0</v>
      </c>
      <c r="AZ1204" s="200"/>
      <c r="BA1204" s="171" t="str">
        <f t="shared" si="18"/>
        <v/>
      </c>
      <c r="BB1204" s="171" t="str">
        <f t="shared" si="19"/>
        <v/>
      </c>
      <c r="BC1204" s="171" t="str">
        <f t="shared" si="20"/>
        <v>General-purpose</v>
      </c>
      <c r="BD1204" s="171" t="str">
        <f t="shared" si="21"/>
        <v/>
      </c>
      <c r="BE1204" s="171" t="str">
        <f t="shared" si="22"/>
        <v/>
      </c>
      <c r="BF1204" s="171" t="str">
        <f t="shared" si="23"/>
        <v>General-purpose</v>
      </c>
    </row>
    <row r="1205">
      <c r="A1205" s="171">
        <f t="array" ref="A1205">XLOOKUP(C1205,ICSE!A:A,ICSE!C:C,,2,1)</f>
        <v>2023</v>
      </c>
      <c r="B1205" s="171" t="s">
        <v>5675</v>
      </c>
      <c r="C1205" s="160">
        <v>2213.0</v>
      </c>
      <c r="D1205" s="161" t="s">
        <v>6162</v>
      </c>
      <c r="E1205" s="197" t="str">
        <f t="array" ref="E1205">XLOOKUP(C1205,ICSE!A:A,ICSE!Z:Z,,0,1)</f>
        <v>Publicly available (2)</v>
      </c>
      <c r="F1205" s="198" t="s">
        <v>20</v>
      </c>
      <c r="G1205" s="163" t="str">
        <f t="array" ref="G1205">IF(B1205="ICSE",IF(COUNTIFS(B:B,B1205,C:C,C1205)=XLOOKUP(C1205,ICSE!A:A,ICSE!AA:AA,"ERROR",0,1),"OK","ERROR"),IF(B1205="FSE",IF(COUNTIFS(B:B,B1205,C:C,C1205)=XLOOKUP(C1205,FSE!A:A,FSE!AA:AA,"ERROR",0,1),"OK","ERROR")))</f>
        <v>OK</v>
      </c>
      <c r="H1205" s="199">
        <f t="shared" ref="H1205:O1205" si="6103">countif($D1205,"*"&amp;H$2&amp;"*")</f>
        <v>0</v>
      </c>
      <c r="I1205" s="200">
        <f t="shared" si="6103"/>
        <v>0</v>
      </c>
      <c r="J1205" s="200">
        <f t="shared" si="6103"/>
        <v>0</v>
      </c>
      <c r="K1205" s="200">
        <f t="shared" si="6103"/>
        <v>0</v>
      </c>
      <c r="L1205" s="200">
        <f t="shared" si="6103"/>
        <v>0</v>
      </c>
      <c r="M1205" s="200">
        <f t="shared" si="6103"/>
        <v>0</v>
      </c>
      <c r="N1205" s="200">
        <f t="shared" si="6103"/>
        <v>0</v>
      </c>
      <c r="O1205" s="200">
        <f t="shared" si="6103"/>
        <v>0</v>
      </c>
      <c r="P1205" s="200">
        <f t="shared" si="9"/>
        <v>1</v>
      </c>
      <c r="Q1205" s="200">
        <f t="shared" ref="Q1205:AC1205" si="6104">countif($D1205,"*"&amp;Q$2&amp;"*")</f>
        <v>0</v>
      </c>
      <c r="R1205" s="200">
        <f t="shared" si="6104"/>
        <v>0</v>
      </c>
      <c r="S1205" s="200">
        <f t="shared" si="6104"/>
        <v>0</v>
      </c>
      <c r="T1205" s="200">
        <f t="shared" si="6104"/>
        <v>0</v>
      </c>
      <c r="U1205" s="200">
        <f t="shared" si="6104"/>
        <v>0</v>
      </c>
      <c r="V1205" s="200">
        <f t="shared" si="6104"/>
        <v>0</v>
      </c>
      <c r="W1205" s="200">
        <f t="shared" si="6104"/>
        <v>0</v>
      </c>
      <c r="X1205" s="200">
        <f t="shared" si="6104"/>
        <v>0</v>
      </c>
      <c r="Y1205" s="200">
        <f t="shared" si="6104"/>
        <v>0</v>
      </c>
      <c r="Z1205" s="200">
        <f t="shared" si="6104"/>
        <v>0</v>
      </c>
      <c r="AA1205" s="200">
        <f t="shared" si="6104"/>
        <v>0</v>
      </c>
      <c r="AB1205" s="200">
        <f t="shared" si="6104"/>
        <v>0</v>
      </c>
      <c r="AC1205" s="200">
        <f t="shared" si="6104"/>
        <v>0</v>
      </c>
      <c r="AD1205" s="200">
        <f t="shared" si="11"/>
        <v>0</v>
      </c>
      <c r="AE1205" s="200">
        <f t="shared" ref="AE1205:AG1205" si="6105">countif($D1205,"*"&amp;AE$2&amp;"*")</f>
        <v>0</v>
      </c>
      <c r="AF1205" s="200">
        <f t="shared" si="6105"/>
        <v>0</v>
      </c>
      <c r="AG1205" s="200">
        <f t="shared" si="6105"/>
        <v>0</v>
      </c>
      <c r="AH1205" s="171">
        <f t="shared" si="13"/>
        <v>0</v>
      </c>
      <c r="AI1205" s="200">
        <f t="shared" si="14"/>
        <v>0</v>
      </c>
      <c r="AJ1205" s="200">
        <f t="shared" si="6100"/>
        <v>0</v>
      </c>
      <c r="AK1205" s="201">
        <f t="shared" ref="AK1205:AS1205" si="6106">countif($D1205,"*"&amp;AK$2&amp;"*")</f>
        <v>0</v>
      </c>
      <c r="AL1205" s="201">
        <f t="shared" si="6106"/>
        <v>0</v>
      </c>
      <c r="AM1205" s="201">
        <f t="shared" si="6106"/>
        <v>0</v>
      </c>
      <c r="AN1205" s="201">
        <f t="shared" si="6106"/>
        <v>0</v>
      </c>
      <c r="AO1205" s="201">
        <f t="shared" si="6106"/>
        <v>0</v>
      </c>
      <c r="AP1205" s="201">
        <f t="shared" si="6106"/>
        <v>0</v>
      </c>
      <c r="AQ1205" s="201">
        <f t="shared" si="6106"/>
        <v>0</v>
      </c>
      <c r="AR1205" s="200">
        <f t="shared" si="6106"/>
        <v>0</v>
      </c>
      <c r="AS1205" s="200">
        <f t="shared" si="6106"/>
        <v>0</v>
      </c>
      <c r="AT1205" s="173">
        <v>0.0</v>
      </c>
      <c r="AU1205" s="200">
        <f t="shared" ref="AU1205:AX1205" si="6107">countif($D1205,"*"&amp;AU$2&amp;"*")</f>
        <v>0</v>
      </c>
      <c r="AV1205" s="200">
        <f t="shared" si="6107"/>
        <v>1</v>
      </c>
      <c r="AW1205" s="200">
        <f t="shared" si="6107"/>
        <v>0</v>
      </c>
      <c r="AX1205" s="200">
        <f t="shared" si="6107"/>
        <v>0</v>
      </c>
      <c r="AY1205" s="202">
        <v>0.0</v>
      </c>
      <c r="AZ1205" s="200"/>
      <c r="BA1205" s="171" t="str">
        <f t="shared" si="18"/>
        <v/>
      </c>
      <c r="BB1205" s="171" t="str">
        <f t="shared" si="19"/>
        <v>Code</v>
      </c>
      <c r="BC1205" s="171" t="str">
        <f t="shared" si="20"/>
        <v/>
      </c>
      <c r="BD1205" s="171" t="str">
        <f t="shared" si="21"/>
        <v/>
      </c>
      <c r="BE1205" s="171" t="str">
        <f t="shared" si="22"/>
        <v/>
      </c>
      <c r="BF1205" s="171" t="str">
        <f t="shared" si="23"/>
        <v>Code</v>
      </c>
    </row>
    <row r="1206">
      <c r="A1206" s="171">
        <f t="array" ref="A1206">XLOOKUP(C1206,ICSE!A:A,ICSE!C:C,,2,1)</f>
        <v>2023</v>
      </c>
      <c r="B1206" s="171" t="s">
        <v>5675</v>
      </c>
      <c r="C1206" s="160">
        <v>2214.0</v>
      </c>
      <c r="D1206" s="161" t="s">
        <v>6163</v>
      </c>
      <c r="E1206" s="197" t="str">
        <f t="array" ref="E1206">XLOOKUP(C1206,ICSE!A:A,ICSE!Z:Z,,0,1)</f>
        <v>Publicly available (3)</v>
      </c>
      <c r="F1206" s="198" t="s">
        <v>20</v>
      </c>
      <c r="G1206" s="163" t="str">
        <f t="array" ref="G1206">IF(B1206="ICSE",IF(COUNTIFS(B:B,B1206,C:C,C1206)=XLOOKUP(C1206,ICSE!A:A,ICSE!AA:AA,"ERROR",0,1),"OK","ERROR"),IF(B1206="FSE",IF(COUNTIFS(B:B,B1206,C:C,C1206)=XLOOKUP(C1206,FSE!A:A,FSE!AA:AA,"ERROR",0,1),"OK","ERROR")))</f>
        <v>OK</v>
      </c>
      <c r="H1206" s="199">
        <f t="shared" ref="H1206:O1206" si="6108">countif($D1206,"*"&amp;H$2&amp;"*")</f>
        <v>0</v>
      </c>
      <c r="I1206" s="200">
        <f t="shared" si="6108"/>
        <v>0</v>
      </c>
      <c r="J1206" s="200">
        <f t="shared" si="6108"/>
        <v>0</v>
      </c>
      <c r="K1206" s="200">
        <f t="shared" si="6108"/>
        <v>0</v>
      </c>
      <c r="L1206" s="200">
        <f t="shared" si="6108"/>
        <v>0</v>
      </c>
      <c r="M1206" s="200">
        <f t="shared" si="6108"/>
        <v>0</v>
      </c>
      <c r="N1206" s="200">
        <f t="shared" si="6108"/>
        <v>0</v>
      </c>
      <c r="O1206" s="200">
        <f t="shared" si="6108"/>
        <v>0</v>
      </c>
      <c r="P1206" s="200">
        <f t="shared" si="9"/>
        <v>1</v>
      </c>
      <c r="Q1206" s="200">
        <f t="shared" ref="Q1206:AC1206" si="6109">countif($D1206,"*"&amp;Q$2&amp;"*")</f>
        <v>0</v>
      </c>
      <c r="R1206" s="200">
        <f t="shared" si="6109"/>
        <v>0</v>
      </c>
      <c r="S1206" s="200">
        <f t="shared" si="6109"/>
        <v>0</v>
      </c>
      <c r="T1206" s="200">
        <f t="shared" si="6109"/>
        <v>0</v>
      </c>
      <c r="U1206" s="200">
        <f t="shared" si="6109"/>
        <v>0</v>
      </c>
      <c r="V1206" s="200">
        <f t="shared" si="6109"/>
        <v>0</v>
      </c>
      <c r="W1206" s="200">
        <f t="shared" si="6109"/>
        <v>0</v>
      </c>
      <c r="X1206" s="200">
        <f t="shared" si="6109"/>
        <v>0</v>
      </c>
      <c r="Y1206" s="200">
        <f t="shared" si="6109"/>
        <v>0</v>
      </c>
      <c r="Z1206" s="200">
        <f t="shared" si="6109"/>
        <v>0</v>
      </c>
      <c r="AA1206" s="200">
        <f t="shared" si="6109"/>
        <v>0</v>
      </c>
      <c r="AB1206" s="200">
        <f t="shared" si="6109"/>
        <v>0</v>
      </c>
      <c r="AC1206" s="200">
        <f t="shared" si="6109"/>
        <v>0</v>
      </c>
      <c r="AD1206" s="200">
        <f t="shared" si="11"/>
        <v>0</v>
      </c>
      <c r="AE1206" s="200">
        <f t="shared" ref="AE1206:AG1206" si="6110">countif($D1206,"*"&amp;AE$2&amp;"*")</f>
        <v>0</v>
      </c>
      <c r="AF1206" s="200">
        <f t="shared" si="6110"/>
        <v>0</v>
      </c>
      <c r="AG1206" s="200">
        <f t="shared" si="6110"/>
        <v>0</v>
      </c>
      <c r="AH1206" s="171">
        <f t="shared" si="13"/>
        <v>0</v>
      </c>
      <c r="AI1206" s="200">
        <f t="shared" si="14"/>
        <v>0</v>
      </c>
      <c r="AJ1206" s="200">
        <f t="shared" si="6100"/>
        <v>0</v>
      </c>
      <c r="AK1206" s="201">
        <f t="shared" ref="AK1206:AS1206" si="6111">countif($D1206,"*"&amp;AK$2&amp;"*")</f>
        <v>0</v>
      </c>
      <c r="AL1206" s="201">
        <f t="shared" si="6111"/>
        <v>0</v>
      </c>
      <c r="AM1206" s="201">
        <f t="shared" si="6111"/>
        <v>0</v>
      </c>
      <c r="AN1206" s="201">
        <f t="shared" si="6111"/>
        <v>0</v>
      </c>
      <c r="AO1206" s="201">
        <f t="shared" si="6111"/>
        <v>0</v>
      </c>
      <c r="AP1206" s="201">
        <f t="shared" si="6111"/>
        <v>0</v>
      </c>
      <c r="AQ1206" s="201">
        <f t="shared" si="6111"/>
        <v>0</v>
      </c>
      <c r="AR1206" s="200">
        <f t="shared" si="6111"/>
        <v>0</v>
      </c>
      <c r="AS1206" s="200">
        <f t="shared" si="6111"/>
        <v>0</v>
      </c>
      <c r="AT1206" s="173">
        <v>0.0</v>
      </c>
      <c r="AU1206" s="200">
        <f t="shared" ref="AU1206:AX1206" si="6112">countif($D1206,"*"&amp;AU$2&amp;"*")</f>
        <v>0</v>
      </c>
      <c r="AV1206" s="200">
        <f t="shared" si="6112"/>
        <v>1</v>
      </c>
      <c r="AW1206" s="200">
        <f t="shared" si="6112"/>
        <v>0</v>
      </c>
      <c r="AX1206" s="200">
        <f t="shared" si="6112"/>
        <v>0</v>
      </c>
      <c r="AY1206" s="202">
        <v>0.0</v>
      </c>
      <c r="AZ1206" s="200"/>
      <c r="BA1206" s="171" t="str">
        <f t="shared" si="18"/>
        <v/>
      </c>
      <c r="BB1206" s="171" t="str">
        <f t="shared" si="19"/>
        <v>Code</v>
      </c>
      <c r="BC1206" s="171" t="str">
        <f t="shared" si="20"/>
        <v/>
      </c>
      <c r="BD1206" s="171" t="str">
        <f t="shared" si="21"/>
        <v/>
      </c>
      <c r="BE1206" s="171" t="str">
        <f t="shared" si="22"/>
        <v/>
      </c>
      <c r="BF1206" s="171" t="str">
        <f t="shared" si="23"/>
        <v>Code</v>
      </c>
    </row>
    <row r="1207">
      <c r="A1207" s="171">
        <f t="array" ref="A1207">XLOOKUP(C1207,ICSE!A:A,ICSE!C:C,,2,1)</f>
        <v>2023</v>
      </c>
      <c r="B1207" s="171" t="s">
        <v>5675</v>
      </c>
      <c r="C1207" s="160">
        <v>2214.0</v>
      </c>
      <c r="D1207" s="161" t="s">
        <v>6164</v>
      </c>
      <c r="E1207" s="197" t="str">
        <f t="array" ref="E1207">XLOOKUP(C1207,ICSE!A:A,ICSE!Z:Z,,0,1)</f>
        <v>Publicly available (3)</v>
      </c>
      <c r="F1207" s="198" t="s">
        <v>20</v>
      </c>
      <c r="G1207" s="163" t="str">
        <f t="array" ref="G1207">IF(B1207="ICSE",IF(COUNTIFS(B:B,B1207,C:C,C1207)=XLOOKUP(C1207,ICSE!A:A,ICSE!AA:AA,"ERROR",0,1),"OK","ERROR"),IF(B1207="FSE",IF(COUNTIFS(B:B,B1207,C:C,C1207)=XLOOKUP(C1207,FSE!A:A,FSE!AA:AA,"ERROR",0,1),"OK","ERROR")))</f>
        <v>OK</v>
      </c>
      <c r="H1207" s="199">
        <f t="shared" ref="H1207:O1207" si="6113">countif($D1207,"*"&amp;H$2&amp;"*")</f>
        <v>0</v>
      </c>
      <c r="I1207" s="200">
        <f t="shared" si="6113"/>
        <v>1</v>
      </c>
      <c r="J1207" s="200">
        <f t="shared" si="6113"/>
        <v>0</v>
      </c>
      <c r="K1207" s="200">
        <f t="shared" si="6113"/>
        <v>0</v>
      </c>
      <c r="L1207" s="200">
        <f t="shared" si="6113"/>
        <v>0</v>
      </c>
      <c r="M1207" s="200">
        <f t="shared" si="6113"/>
        <v>0</v>
      </c>
      <c r="N1207" s="200">
        <f t="shared" si="6113"/>
        <v>0</v>
      </c>
      <c r="O1207" s="200">
        <f t="shared" si="6113"/>
        <v>0</v>
      </c>
      <c r="P1207" s="200">
        <f t="shared" si="9"/>
        <v>0</v>
      </c>
      <c r="Q1207" s="200">
        <f t="shared" ref="Q1207:AC1207" si="6114">countif($D1207,"*"&amp;Q$2&amp;"*")</f>
        <v>0</v>
      </c>
      <c r="R1207" s="200">
        <f t="shared" si="6114"/>
        <v>0</v>
      </c>
      <c r="S1207" s="200">
        <f t="shared" si="6114"/>
        <v>0</v>
      </c>
      <c r="T1207" s="200">
        <f t="shared" si="6114"/>
        <v>0</v>
      </c>
      <c r="U1207" s="200">
        <f t="shared" si="6114"/>
        <v>0</v>
      </c>
      <c r="V1207" s="200">
        <f t="shared" si="6114"/>
        <v>0</v>
      </c>
      <c r="W1207" s="200">
        <f t="shared" si="6114"/>
        <v>0</v>
      </c>
      <c r="X1207" s="200">
        <f t="shared" si="6114"/>
        <v>0</v>
      </c>
      <c r="Y1207" s="200">
        <f t="shared" si="6114"/>
        <v>0</v>
      </c>
      <c r="Z1207" s="200">
        <f t="shared" si="6114"/>
        <v>0</v>
      </c>
      <c r="AA1207" s="200">
        <f t="shared" si="6114"/>
        <v>0</v>
      </c>
      <c r="AB1207" s="200">
        <f t="shared" si="6114"/>
        <v>0</v>
      </c>
      <c r="AC1207" s="200">
        <f t="shared" si="6114"/>
        <v>0</v>
      </c>
      <c r="AD1207" s="200">
        <f t="shared" si="11"/>
        <v>0</v>
      </c>
      <c r="AE1207" s="200">
        <f t="shared" ref="AE1207:AG1207" si="6115">countif($D1207,"*"&amp;AE$2&amp;"*")</f>
        <v>0</v>
      </c>
      <c r="AF1207" s="200">
        <f t="shared" si="6115"/>
        <v>0</v>
      </c>
      <c r="AG1207" s="200">
        <f t="shared" si="6115"/>
        <v>0</v>
      </c>
      <c r="AH1207" s="171">
        <f t="shared" si="13"/>
        <v>0</v>
      </c>
      <c r="AI1207" s="200">
        <f t="shared" si="14"/>
        <v>1</v>
      </c>
      <c r="AJ1207" s="200">
        <f t="shared" si="6100"/>
        <v>0</v>
      </c>
      <c r="AK1207" s="201">
        <f t="shared" ref="AK1207:AS1207" si="6116">countif($D1207,"*"&amp;AK$2&amp;"*")</f>
        <v>0</v>
      </c>
      <c r="AL1207" s="201">
        <f t="shared" si="6116"/>
        <v>0</v>
      </c>
      <c r="AM1207" s="201">
        <f t="shared" si="6116"/>
        <v>0</v>
      </c>
      <c r="AN1207" s="201">
        <f t="shared" si="6116"/>
        <v>0</v>
      </c>
      <c r="AO1207" s="201">
        <f t="shared" si="6116"/>
        <v>0</v>
      </c>
      <c r="AP1207" s="201">
        <f t="shared" si="6116"/>
        <v>0</v>
      </c>
      <c r="AQ1207" s="201">
        <f t="shared" si="6116"/>
        <v>0</v>
      </c>
      <c r="AR1207" s="200">
        <f t="shared" si="6116"/>
        <v>0</v>
      </c>
      <c r="AS1207" s="200">
        <f t="shared" si="6116"/>
        <v>0</v>
      </c>
      <c r="AT1207" s="173">
        <v>0.0</v>
      </c>
      <c r="AU1207" s="200">
        <f t="shared" ref="AU1207:AX1207" si="6117">countif($D1207,"*"&amp;AU$2&amp;"*")</f>
        <v>0</v>
      </c>
      <c r="AV1207" s="200">
        <f t="shared" si="6117"/>
        <v>0</v>
      </c>
      <c r="AW1207" s="200">
        <f t="shared" si="6117"/>
        <v>0</v>
      </c>
      <c r="AX1207" s="200">
        <f t="shared" si="6117"/>
        <v>0</v>
      </c>
      <c r="AY1207" s="204">
        <v>1.0</v>
      </c>
      <c r="AZ1207" s="200"/>
      <c r="BA1207" s="171" t="str">
        <f t="shared" si="18"/>
        <v>Archival</v>
      </c>
      <c r="BB1207" s="171" t="str">
        <f t="shared" si="19"/>
        <v/>
      </c>
      <c r="BC1207" s="171" t="str">
        <f t="shared" si="20"/>
        <v/>
      </c>
      <c r="BD1207" s="171" t="str">
        <f t="shared" si="21"/>
        <v/>
      </c>
      <c r="BE1207" s="171" t="str">
        <f t="shared" si="22"/>
        <v/>
      </c>
      <c r="BF1207" s="171" t="str">
        <f t="shared" si="23"/>
        <v>Archival</v>
      </c>
    </row>
    <row r="1208">
      <c r="A1208" s="171">
        <f t="array" ref="A1208">XLOOKUP(C1208,ICSE!A:A,ICSE!C:C,,2,1)</f>
        <v>2023</v>
      </c>
      <c r="B1208" s="171" t="s">
        <v>5675</v>
      </c>
      <c r="C1208" s="160">
        <v>2214.0</v>
      </c>
      <c r="D1208" s="161" t="s">
        <v>6165</v>
      </c>
      <c r="E1208" s="197" t="str">
        <f t="array" ref="E1208">XLOOKUP(C1208,ICSE!A:A,ICSE!Z:Z,,0,1)</f>
        <v>Publicly available (3)</v>
      </c>
      <c r="F1208" s="198" t="s">
        <v>20</v>
      </c>
      <c r="G1208" s="163" t="str">
        <f t="array" ref="G1208">IF(B1208="ICSE",IF(COUNTIFS(B:B,B1208,C:C,C1208)=XLOOKUP(C1208,ICSE!A:A,ICSE!AA:AA,"ERROR",0,1),"OK","ERROR"),IF(B1208="FSE",IF(COUNTIFS(B:B,B1208,C:C,C1208)=XLOOKUP(C1208,FSE!A:A,FSE!AA:AA,"ERROR",0,1),"OK","ERROR")))</f>
        <v>OK</v>
      </c>
      <c r="H1208" s="199">
        <f t="shared" ref="H1208:O1208" si="6118">countif($D1208,"*"&amp;H$2&amp;"*")</f>
        <v>1</v>
      </c>
      <c r="I1208" s="200">
        <f t="shared" si="6118"/>
        <v>0</v>
      </c>
      <c r="J1208" s="200">
        <f t="shared" si="6118"/>
        <v>0</v>
      </c>
      <c r="K1208" s="200">
        <f t="shared" si="6118"/>
        <v>0</v>
      </c>
      <c r="L1208" s="200">
        <f t="shared" si="6118"/>
        <v>0</v>
      </c>
      <c r="M1208" s="200">
        <f t="shared" si="6118"/>
        <v>0</v>
      </c>
      <c r="N1208" s="200">
        <f t="shared" si="6118"/>
        <v>0</v>
      </c>
      <c r="O1208" s="200">
        <f t="shared" si="6118"/>
        <v>0</v>
      </c>
      <c r="P1208" s="200">
        <f t="shared" si="9"/>
        <v>0</v>
      </c>
      <c r="Q1208" s="200">
        <f t="shared" ref="Q1208:AC1208" si="6119">countif($D1208,"*"&amp;Q$2&amp;"*")</f>
        <v>0</v>
      </c>
      <c r="R1208" s="200">
        <f t="shared" si="6119"/>
        <v>0</v>
      </c>
      <c r="S1208" s="200">
        <f t="shared" si="6119"/>
        <v>0</v>
      </c>
      <c r="T1208" s="200">
        <f t="shared" si="6119"/>
        <v>0</v>
      </c>
      <c r="U1208" s="200">
        <f t="shared" si="6119"/>
        <v>0</v>
      </c>
      <c r="V1208" s="200">
        <f t="shared" si="6119"/>
        <v>0</v>
      </c>
      <c r="W1208" s="200">
        <f t="shared" si="6119"/>
        <v>0</v>
      </c>
      <c r="X1208" s="200">
        <f t="shared" si="6119"/>
        <v>0</v>
      </c>
      <c r="Y1208" s="200">
        <f t="shared" si="6119"/>
        <v>0</v>
      </c>
      <c r="Z1208" s="200">
        <f t="shared" si="6119"/>
        <v>0</v>
      </c>
      <c r="AA1208" s="200">
        <f t="shared" si="6119"/>
        <v>0</v>
      </c>
      <c r="AB1208" s="200">
        <f t="shared" si="6119"/>
        <v>0</v>
      </c>
      <c r="AC1208" s="200">
        <f t="shared" si="6119"/>
        <v>0</v>
      </c>
      <c r="AD1208" s="200">
        <f t="shared" si="11"/>
        <v>0</v>
      </c>
      <c r="AE1208" s="200">
        <f t="shared" ref="AE1208:AG1208" si="6120">countif($D1208,"*"&amp;AE$2&amp;"*")</f>
        <v>0</v>
      </c>
      <c r="AF1208" s="200">
        <f t="shared" si="6120"/>
        <v>0</v>
      </c>
      <c r="AG1208" s="200">
        <f t="shared" si="6120"/>
        <v>0</v>
      </c>
      <c r="AH1208" s="171">
        <f t="shared" si="13"/>
        <v>0</v>
      </c>
      <c r="AI1208" s="200">
        <f t="shared" si="14"/>
        <v>1</v>
      </c>
      <c r="AJ1208" s="200">
        <f t="shared" si="6100"/>
        <v>0</v>
      </c>
      <c r="AK1208" s="201">
        <f t="shared" ref="AK1208:AS1208" si="6121">countif($D1208,"*"&amp;AK$2&amp;"*")</f>
        <v>0</v>
      </c>
      <c r="AL1208" s="201">
        <f t="shared" si="6121"/>
        <v>0</v>
      </c>
      <c r="AM1208" s="201">
        <f t="shared" si="6121"/>
        <v>0</v>
      </c>
      <c r="AN1208" s="201">
        <f t="shared" si="6121"/>
        <v>0</v>
      </c>
      <c r="AO1208" s="201">
        <f t="shared" si="6121"/>
        <v>0</v>
      </c>
      <c r="AP1208" s="201">
        <f t="shared" si="6121"/>
        <v>0</v>
      </c>
      <c r="AQ1208" s="201">
        <f t="shared" si="6121"/>
        <v>0</v>
      </c>
      <c r="AR1208" s="200">
        <f t="shared" si="6121"/>
        <v>0</v>
      </c>
      <c r="AS1208" s="200">
        <f t="shared" si="6121"/>
        <v>0</v>
      </c>
      <c r="AT1208" s="173">
        <v>0.0</v>
      </c>
      <c r="AU1208" s="200">
        <f t="shared" ref="AU1208:AX1208" si="6122">countif($D1208,"*"&amp;AU$2&amp;"*")</f>
        <v>0</v>
      </c>
      <c r="AV1208" s="200">
        <f t="shared" si="6122"/>
        <v>0</v>
      </c>
      <c r="AW1208" s="200">
        <f t="shared" si="6122"/>
        <v>0</v>
      </c>
      <c r="AX1208" s="200">
        <f t="shared" si="6122"/>
        <v>0</v>
      </c>
      <c r="AY1208" s="204">
        <v>1.0</v>
      </c>
      <c r="AZ1208" s="200"/>
      <c r="BA1208" s="171" t="str">
        <f t="shared" si="18"/>
        <v>Archival</v>
      </c>
      <c r="BB1208" s="171" t="str">
        <f t="shared" si="19"/>
        <v/>
      </c>
      <c r="BC1208" s="171" t="str">
        <f t="shared" si="20"/>
        <v/>
      </c>
      <c r="BD1208" s="171" t="str">
        <f t="shared" si="21"/>
        <v/>
      </c>
      <c r="BE1208" s="171" t="str">
        <f t="shared" si="22"/>
        <v/>
      </c>
      <c r="BF1208" s="171" t="str">
        <f t="shared" si="23"/>
        <v>Archival</v>
      </c>
    </row>
    <row r="1209">
      <c r="A1209" s="171">
        <f t="array" ref="A1209">XLOOKUP(C1209,ICSE!A:A,ICSE!C:C,,2,1)</f>
        <v>2023</v>
      </c>
      <c r="B1209" s="171" t="s">
        <v>5675</v>
      </c>
      <c r="C1209" s="160">
        <v>2215.0</v>
      </c>
      <c r="D1209" s="161" t="s">
        <v>3345</v>
      </c>
      <c r="E1209" s="197" t="str">
        <f t="array" ref="E1209">XLOOKUP(C1209,ICSE!A:A,ICSE!Z:Z,,0,1)</f>
        <v>Publicly available (1)</v>
      </c>
      <c r="F1209" s="198" t="s">
        <v>20</v>
      </c>
      <c r="G1209" s="163" t="str">
        <f t="array" ref="G1209">IF(B1209="ICSE",IF(COUNTIFS(B:B,B1209,C:C,C1209)=XLOOKUP(C1209,ICSE!A:A,ICSE!AA:AA,"ERROR",0,1),"OK","ERROR"),IF(B1209="FSE",IF(COUNTIFS(B:B,B1209,C:C,C1209)=XLOOKUP(C1209,FSE!A:A,FSE!AA:AA,"ERROR",0,1),"OK","ERROR")))</f>
        <v>OK</v>
      </c>
      <c r="H1209" s="199">
        <f t="shared" ref="H1209:O1209" si="6123">countif($D1209,"*"&amp;H$2&amp;"*")</f>
        <v>0</v>
      </c>
      <c r="I1209" s="200">
        <f t="shared" si="6123"/>
        <v>0</v>
      </c>
      <c r="J1209" s="200">
        <f t="shared" si="6123"/>
        <v>0</v>
      </c>
      <c r="K1209" s="200">
        <f t="shared" si="6123"/>
        <v>0</v>
      </c>
      <c r="L1209" s="200">
        <f t="shared" si="6123"/>
        <v>0</v>
      </c>
      <c r="M1209" s="200">
        <f t="shared" si="6123"/>
        <v>0</v>
      </c>
      <c r="N1209" s="200">
        <f t="shared" si="6123"/>
        <v>0</v>
      </c>
      <c r="O1209" s="200">
        <f t="shared" si="6123"/>
        <v>0</v>
      </c>
      <c r="P1209" s="200">
        <f t="shared" si="9"/>
        <v>1</v>
      </c>
      <c r="Q1209" s="200">
        <f t="shared" ref="Q1209:AC1209" si="6124">countif($D1209,"*"&amp;Q$2&amp;"*")</f>
        <v>0</v>
      </c>
      <c r="R1209" s="200">
        <f t="shared" si="6124"/>
        <v>0</v>
      </c>
      <c r="S1209" s="200">
        <f t="shared" si="6124"/>
        <v>0</v>
      </c>
      <c r="T1209" s="200">
        <f t="shared" si="6124"/>
        <v>0</v>
      </c>
      <c r="U1209" s="200">
        <f t="shared" si="6124"/>
        <v>0</v>
      </c>
      <c r="V1209" s="200">
        <f t="shared" si="6124"/>
        <v>0</v>
      </c>
      <c r="W1209" s="200">
        <f t="shared" si="6124"/>
        <v>0</v>
      </c>
      <c r="X1209" s="200">
        <f t="shared" si="6124"/>
        <v>0</v>
      </c>
      <c r="Y1209" s="200">
        <f t="shared" si="6124"/>
        <v>0</v>
      </c>
      <c r="Z1209" s="200">
        <f t="shared" si="6124"/>
        <v>0</v>
      </c>
      <c r="AA1209" s="200">
        <f t="shared" si="6124"/>
        <v>0</v>
      </c>
      <c r="AB1209" s="200">
        <f t="shared" si="6124"/>
        <v>0</v>
      </c>
      <c r="AC1209" s="200">
        <f t="shared" si="6124"/>
        <v>0</v>
      </c>
      <c r="AD1209" s="200">
        <f t="shared" si="11"/>
        <v>0</v>
      </c>
      <c r="AE1209" s="200">
        <f t="shared" ref="AE1209:AG1209" si="6125">countif($D1209,"*"&amp;AE$2&amp;"*")</f>
        <v>0</v>
      </c>
      <c r="AF1209" s="200">
        <f t="shared" si="6125"/>
        <v>0</v>
      </c>
      <c r="AG1209" s="200">
        <f t="shared" si="6125"/>
        <v>0</v>
      </c>
      <c r="AH1209" s="171">
        <f t="shared" si="13"/>
        <v>0</v>
      </c>
      <c r="AI1209" s="200">
        <f t="shared" si="14"/>
        <v>0</v>
      </c>
      <c r="AJ1209" s="200">
        <f t="shared" si="6100"/>
        <v>0</v>
      </c>
      <c r="AK1209" s="201">
        <f t="shared" ref="AK1209:AS1209" si="6126">countif($D1209,"*"&amp;AK$2&amp;"*")</f>
        <v>0</v>
      </c>
      <c r="AL1209" s="201">
        <f t="shared" si="6126"/>
        <v>0</v>
      </c>
      <c r="AM1209" s="201">
        <f t="shared" si="6126"/>
        <v>0</v>
      </c>
      <c r="AN1209" s="201">
        <f t="shared" si="6126"/>
        <v>0</v>
      </c>
      <c r="AO1209" s="201">
        <f t="shared" si="6126"/>
        <v>0</v>
      </c>
      <c r="AP1209" s="201">
        <f t="shared" si="6126"/>
        <v>0</v>
      </c>
      <c r="AQ1209" s="201">
        <f t="shared" si="6126"/>
        <v>0</v>
      </c>
      <c r="AR1209" s="200">
        <f t="shared" si="6126"/>
        <v>0</v>
      </c>
      <c r="AS1209" s="200">
        <f t="shared" si="6126"/>
        <v>0</v>
      </c>
      <c r="AT1209" s="173">
        <v>0.0</v>
      </c>
      <c r="AU1209" s="200">
        <f t="shared" ref="AU1209:AX1209" si="6127">countif($D1209,"*"&amp;AU$2&amp;"*")</f>
        <v>0</v>
      </c>
      <c r="AV1209" s="200">
        <f t="shared" si="6127"/>
        <v>1</v>
      </c>
      <c r="AW1209" s="200">
        <f t="shared" si="6127"/>
        <v>0</v>
      </c>
      <c r="AX1209" s="200">
        <f t="shared" si="6127"/>
        <v>0</v>
      </c>
      <c r="AY1209" s="202">
        <v>0.0</v>
      </c>
      <c r="AZ1209" s="200"/>
      <c r="BA1209" s="171" t="str">
        <f t="shared" si="18"/>
        <v/>
      </c>
      <c r="BB1209" s="171" t="str">
        <f t="shared" si="19"/>
        <v>Code</v>
      </c>
      <c r="BC1209" s="171" t="str">
        <f t="shared" si="20"/>
        <v/>
      </c>
      <c r="BD1209" s="171" t="str">
        <f t="shared" si="21"/>
        <v/>
      </c>
      <c r="BE1209" s="171" t="str">
        <f t="shared" si="22"/>
        <v/>
      </c>
      <c r="BF1209" s="171" t="str">
        <f t="shared" si="23"/>
        <v>Code</v>
      </c>
    </row>
    <row r="1210">
      <c r="A1210" s="171">
        <f t="array" ref="A1210">XLOOKUP(C1210,ICSE!A:A,ICSE!C:C,,2,1)</f>
        <v>2023</v>
      </c>
      <c r="B1210" s="171" t="s">
        <v>5675</v>
      </c>
      <c r="C1210" s="160">
        <v>2216.0</v>
      </c>
      <c r="D1210" s="161" t="s">
        <v>3348</v>
      </c>
      <c r="E1210" s="197" t="str">
        <f t="array" ref="E1210">XLOOKUP(C1210,ICSE!A:A,ICSE!Z:Z,,0,1)</f>
        <v>Publicly available (1)</v>
      </c>
      <c r="F1210" s="198" t="s">
        <v>20</v>
      </c>
      <c r="G1210" s="163" t="str">
        <f t="array" ref="G1210">IF(B1210="ICSE",IF(COUNTIFS(B:B,B1210,C:C,C1210)=XLOOKUP(C1210,ICSE!A:A,ICSE!AA:AA,"ERROR",0,1),"OK","ERROR"),IF(B1210="FSE",IF(COUNTIFS(B:B,B1210,C:C,C1210)=XLOOKUP(C1210,FSE!A:A,FSE!AA:AA,"ERROR",0,1),"OK","ERROR")))</f>
        <v>OK</v>
      </c>
      <c r="H1210" s="199">
        <f t="shared" ref="H1210:O1210" si="6128">countif($D1210,"*"&amp;H$2&amp;"*")</f>
        <v>0</v>
      </c>
      <c r="I1210" s="200">
        <f t="shared" si="6128"/>
        <v>0</v>
      </c>
      <c r="J1210" s="200">
        <f t="shared" si="6128"/>
        <v>0</v>
      </c>
      <c r="K1210" s="200">
        <f t="shared" si="6128"/>
        <v>0</v>
      </c>
      <c r="L1210" s="200">
        <f t="shared" si="6128"/>
        <v>0</v>
      </c>
      <c r="M1210" s="200">
        <f t="shared" si="6128"/>
        <v>0</v>
      </c>
      <c r="N1210" s="200">
        <f t="shared" si="6128"/>
        <v>0</v>
      </c>
      <c r="O1210" s="200">
        <f t="shared" si="6128"/>
        <v>0</v>
      </c>
      <c r="P1210" s="200">
        <f t="shared" si="9"/>
        <v>1</v>
      </c>
      <c r="Q1210" s="200">
        <f t="shared" ref="Q1210:AC1210" si="6129">countif($D1210,"*"&amp;Q$2&amp;"*")</f>
        <v>0</v>
      </c>
      <c r="R1210" s="200">
        <f t="shared" si="6129"/>
        <v>0</v>
      </c>
      <c r="S1210" s="200">
        <f t="shared" si="6129"/>
        <v>0</v>
      </c>
      <c r="T1210" s="200">
        <f t="shared" si="6129"/>
        <v>0</v>
      </c>
      <c r="U1210" s="200">
        <f t="shared" si="6129"/>
        <v>0</v>
      </c>
      <c r="V1210" s="200">
        <f t="shared" si="6129"/>
        <v>0</v>
      </c>
      <c r="W1210" s="200">
        <f t="shared" si="6129"/>
        <v>0</v>
      </c>
      <c r="X1210" s="200">
        <f t="shared" si="6129"/>
        <v>0</v>
      </c>
      <c r="Y1210" s="200">
        <f t="shared" si="6129"/>
        <v>0</v>
      </c>
      <c r="Z1210" s="200">
        <f t="shared" si="6129"/>
        <v>0</v>
      </c>
      <c r="AA1210" s="200">
        <f t="shared" si="6129"/>
        <v>0</v>
      </c>
      <c r="AB1210" s="200">
        <f t="shared" si="6129"/>
        <v>0</v>
      </c>
      <c r="AC1210" s="200">
        <f t="shared" si="6129"/>
        <v>0</v>
      </c>
      <c r="AD1210" s="200">
        <f t="shared" si="11"/>
        <v>0</v>
      </c>
      <c r="AE1210" s="200">
        <f t="shared" ref="AE1210:AG1210" si="6130">countif($D1210,"*"&amp;AE$2&amp;"*")</f>
        <v>0</v>
      </c>
      <c r="AF1210" s="200">
        <f t="shared" si="6130"/>
        <v>0</v>
      </c>
      <c r="AG1210" s="200">
        <f t="shared" si="6130"/>
        <v>0</v>
      </c>
      <c r="AH1210" s="171">
        <f t="shared" si="13"/>
        <v>0</v>
      </c>
      <c r="AI1210" s="200">
        <f t="shared" si="14"/>
        <v>0</v>
      </c>
      <c r="AJ1210" s="200">
        <f t="shared" si="6100"/>
        <v>0</v>
      </c>
      <c r="AK1210" s="201">
        <f t="shared" ref="AK1210:AS1210" si="6131">countif($D1210,"*"&amp;AK$2&amp;"*")</f>
        <v>0</v>
      </c>
      <c r="AL1210" s="201">
        <f t="shared" si="6131"/>
        <v>0</v>
      </c>
      <c r="AM1210" s="201">
        <f t="shared" si="6131"/>
        <v>0</v>
      </c>
      <c r="AN1210" s="201">
        <f t="shared" si="6131"/>
        <v>0</v>
      </c>
      <c r="AO1210" s="201">
        <f t="shared" si="6131"/>
        <v>0</v>
      </c>
      <c r="AP1210" s="201">
        <f t="shared" si="6131"/>
        <v>0</v>
      </c>
      <c r="AQ1210" s="201">
        <f t="shared" si="6131"/>
        <v>0</v>
      </c>
      <c r="AR1210" s="200">
        <f t="shared" si="6131"/>
        <v>0</v>
      </c>
      <c r="AS1210" s="200">
        <f t="shared" si="6131"/>
        <v>0</v>
      </c>
      <c r="AT1210" s="173">
        <v>0.0</v>
      </c>
      <c r="AU1210" s="200">
        <f t="shared" ref="AU1210:AX1210" si="6132">countif($D1210,"*"&amp;AU$2&amp;"*")</f>
        <v>0</v>
      </c>
      <c r="AV1210" s="200">
        <f t="shared" si="6132"/>
        <v>1</v>
      </c>
      <c r="AW1210" s="200">
        <f t="shared" si="6132"/>
        <v>0</v>
      </c>
      <c r="AX1210" s="200">
        <f t="shared" si="6132"/>
        <v>0</v>
      </c>
      <c r="AY1210" s="202">
        <v>0.0</v>
      </c>
      <c r="AZ1210" s="200"/>
      <c r="BA1210" s="171" t="str">
        <f t="shared" si="18"/>
        <v/>
      </c>
      <c r="BB1210" s="171" t="str">
        <f t="shared" si="19"/>
        <v>Code</v>
      </c>
      <c r="BC1210" s="171" t="str">
        <f t="shared" si="20"/>
        <v/>
      </c>
      <c r="BD1210" s="171" t="str">
        <f t="shared" si="21"/>
        <v/>
      </c>
      <c r="BE1210" s="171" t="str">
        <f t="shared" si="22"/>
        <v/>
      </c>
      <c r="BF1210" s="171" t="str">
        <f t="shared" si="23"/>
        <v>Code</v>
      </c>
    </row>
    <row r="1211">
      <c r="A1211" s="171">
        <f t="array" ref="A1211">XLOOKUP(C1211,ICSE!A:A,ICSE!C:C,,2,1)</f>
        <v>2023</v>
      </c>
      <c r="B1211" s="171" t="s">
        <v>5675</v>
      </c>
      <c r="C1211" s="160">
        <v>2217.0</v>
      </c>
      <c r="D1211" s="161" t="s">
        <v>3351</v>
      </c>
      <c r="E1211" s="197" t="str">
        <f t="array" ref="E1211">XLOOKUP(C1211,ICSE!A:A,ICSE!Z:Z,,0,1)</f>
        <v>Publicly available (1)</v>
      </c>
      <c r="F1211" s="198" t="s">
        <v>20</v>
      </c>
      <c r="G1211" s="163" t="str">
        <f t="array" ref="G1211">IF(B1211="ICSE",IF(COUNTIFS(B:B,B1211,C:C,C1211)=XLOOKUP(C1211,ICSE!A:A,ICSE!AA:AA,"ERROR",0,1),"OK","ERROR"),IF(B1211="FSE",IF(COUNTIFS(B:B,B1211,C:C,C1211)=XLOOKUP(C1211,FSE!A:A,FSE!AA:AA,"ERROR",0,1),"OK","ERROR")))</f>
        <v>OK</v>
      </c>
      <c r="H1211" s="199">
        <f t="shared" ref="H1211:O1211" si="6133">countif($D1211,"*"&amp;H$2&amp;"*")</f>
        <v>0</v>
      </c>
      <c r="I1211" s="200">
        <f t="shared" si="6133"/>
        <v>0</v>
      </c>
      <c r="J1211" s="200">
        <f t="shared" si="6133"/>
        <v>0</v>
      </c>
      <c r="K1211" s="200">
        <f t="shared" si="6133"/>
        <v>0</v>
      </c>
      <c r="L1211" s="200">
        <f t="shared" si="6133"/>
        <v>0</v>
      </c>
      <c r="M1211" s="200">
        <f t="shared" si="6133"/>
        <v>0</v>
      </c>
      <c r="N1211" s="200">
        <f t="shared" si="6133"/>
        <v>0</v>
      </c>
      <c r="O1211" s="200">
        <f t="shared" si="6133"/>
        <v>0</v>
      </c>
      <c r="P1211" s="200">
        <f t="shared" si="9"/>
        <v>1</v>
      </c>
      <c r="Q1211" s="200">
        <f t="shared" ref="Q1211:AC1211" si="6134">countif($D1211,"*"&amp;Q$2&amp;"*")</f>
        <v>0</v>
      </c>
      <c r="R1211" s="200">
        <f t="shared" si="6134"/>
        <v>0</v>
      </c>
      <c r="S1211" s="200">
        <f t="shared" si="6134"/>
        <v>0</v>
      </c>
      <c r="T1211" s="200">
        <f t="shared" si="6134"/>
        <v>0</v>
      </c>
      <c r="U1211" s="200">
        <f t="shared" si="6134"/>
        <v>0</v>
      </c>
      <c r="V1211" s="200">
        <f t="shared" si="6134"/>
        <v>0</v>
      </c>
      <c r="W1211" s="200">
        <f t="shared" si="6134"/>
        <v>0</v>
      </c>
      <c r="X1211" s="200">
        <f t="shared" si="6134"/>
        <v>0</v>
      </c>
      <c r="Y1211" s="200">
        <f t="shared" si="6134"/>
        <v>0</v>
      </c>
      <c r="Z1211" s="200">
        <f t="shared" si="6134"/>
        <v>0</v>
      </c>
      <c r="AA1211" s="200">
        <f t="shared" si="6134"/>
        <v>0</v>
      </c>
      <c r="AB1211" s="200">
        <f t="shared" si="6134"/>
        <v>0</v>
      </c>
      <c r="AC1211" s="200">
        <f t="shared" si="6134"/>
        <v>0</v>
      </c>
      <c r="AD1211" s="200">
        <f t="shared" si="11"/>
        <v>0</v>
      </c>
      <c r="AE1211" s="200">
        <f t="shared" ref="AE1211:AG1211" si="6135">countif($D1211,"*"&amp;AE$2&amp;"*")</f>
        <v>0</v>
      </c>
      <c r="AF1211" s="200">
        <f t="shared" si="6135"/>
        <v>0</v>
      </c>
      <c r="AG1211" s="200">
        <f t="shared" si="6135"/>
        <v>0</v>
      </c>
      <c r="AH1211" s="171">
        <f t="shared" si="13"/>
        <v>0</v>
      </c>
      <c r="AI1211" s="200">
        <f t="shared" si="14"/>
        <v>0</v>
      </c>
      <c r="AJ1211" s="200">
        <f t="shared" si="6100"/>
        <v>0</v>
      </c>
      <c r="AK1211" s="201">
        <f t="shared" ref="AK1211:AS1211" si="6136">countif($D1211,"*"&amp;AK$2&amp;"*")</f>
        <v>0</v>
      </c>
      <c r="AL1211" s="201">
        <f t="shared" si="6136"/>
        <v>0</v>
      </c>
      <c r="AM1211" s="201">
        <f t="shared" si="6136"/>
        <v>0</v>
      </c>
      <c r="AN1211" s="201">
        <f t="shared" si="6136"/>
        <v>0</v>
      </c>
      <c r="AO1211" s="201">
        <f t="shared" si="6136"/>
        <v>0</v>
      </c>
      <c r="AP1211" s="201">
        <f t="shared" si="6136"/>
        <v>0</v>
      </c>
      <c r="AQ1211" s="201">
        <f t="shared" si="6136"/>
        <v>0</v>
      </c>
      <c r="AR1211" s="200">
        <f t="shared" si="6136"/>
        <v>0</v>
      </c>
      <c r="AS1211" s="200">
        <f t="shared" si="6136"/>
        <v>0</v>
      </c>
      <c r="AT1211" s="173">
        <v>0.0</v>
      </c>
      <c r="AU1211" s="200">
        <f t="shared" ref="AU1211:AX1211" si="6137">countif($D1211,"*"&amp;AU$2&amp;"*")</f>
        <v>0</v>
      </c>
      <c r="AV1211" s="200">
        <f t="shared" si="6137"/>
        <v>1</v>
      </c>
      <c r="AW1211" s="200">
        <f t="shared" si="6137"/>
        <v>0</v>
      </c>
      <c r="AX1211" s="200">
        <f t="shared" si="6137"/>
        <v>0</v>
      </c>
      <c r="AY1211" s="202">
        <v>0.0</v>
      </c>
      <c r="AZ1211" s="200"/>
      <c r="BA1211" s="171" t="str">
        <f t="shared" si="18"/>
        <v/>
      </c>
      <c r="BB1211" s="171" t="str">
        <f t="shared" si="19"/>
        <v>Code</v>
      </c>
      <c r="BC1211" s="171" t="str">
        <f t="shared" si="20"/>
        <v/>
      </c>
      <c r="BD1211" s="171" t="str">
        <f t="shared" si="21"/>
        <v/>
      </c>
      <c r="BE1211" s="171" t="str">
        <f t="shared" si="22"/>
        <v/>
      </c>
      <c r="BF1211" s="171" t="str">
        <f t="shared" si="23"/>
        <v>Code</v>
      </c>
    </row>
    <row r="1212">
      <c r="A1212" s="171">
        <f t="array" ref="A1212">XLOOKUP(C1212,ICSE!A:A,ICSE!C:C,,2,1)</f>
        <v>2023</v>
      </c>
      <c r="B1212" s="171" t="s">
        <v>5675</v>
      </c>
      <c r="C1212" s="160">
        <v>2218.0</v>
      </c>
      <c r="D1212" s="161" t="s">
        <v>3354</v>
      </c>
      <c r="E1212" s="197" t="str">
        <f t="array" ref="E1212">XLOOKUP(C1212,ICSE!A:A,ICSE!Z:Z,,0,1)</f>
        <v>Publicly available (1)</v>
      </c>
      <c r="F1212" s="198" t="s">
        <v>20</v>
      </c>
      <c r="G1212" s="163" t="str">
        <f t="array" ref="G1212">IF(B1212="ICSE",IF(COUNTIFS(B:B,B1212,C:C,C1212)=XLOOKUP(C1212,ICSE!A:A,ICSE!AA:AA,"ERROR",0,1),"OK","ERROR"),IF(B1212="FSE",IF(COUNTIFS(B:B,B1212,C:C,C1212)=XLOOKUP(C1212,FSE!A:A,FSE!AA:AA,"ERROR",0,1),"OK","ERROR")))</f>
        <v>OK</v>
      </c>
      <c r="H1212" s="199">
        <f t="shared" ref="H1212:O1212" si="6138">countif($D1212,"*"&amp;H$2&amp;"*")</f>
        <v>1</v>
      </c>
      <c r="I1212" s="200">
        <f t="shared" si="6138"/>
        <v>0</v>
      </c>
      <c r="J1212" s="200">
        <f t="shared" si="6138"/>
        <v>0</v>
      </c>
      <c r="K1212" s="200">
        <f t="shared" si="6138"/>
        <v>0</v>
      </c>
      <c r="L1212" s="200">
        <f t="shared" si="6138"/>
        <v>0</v>
      </c>
      <c r="M1212" s="200">
        <f t="shared" si="6138"/>
        <v>0</v>
      </c>
      <c r="N1212" s="200">
        <f t="shared" si="6138"/>
        <v>0</v>
      </c>
      <c r="O1212" s="200">
        <f t="shared" si="6138"/>
        <v>0</v>
      </c>
      <c r="P1212" s="200">
        <f t="shared" si="9"/>
        <v>0</v>
      </c>
      <c r="Q1212" s="200">
        <f t="shared" ref="Q1212:AC1212" si="6139">countif($D1212,"*"&amp;Q$2&amp;"*")</f>
        <v>0</v>
      </c>
      <c r="R1212" s="200">
        <f t="shared" si="6139"/>
        <v>0</v>
      </c>
      <c r="S1212" s="200">
        <f t="shared" si="6139"/>
        <v>0</v>
      </c>
      <c r="T1212" s="200">
        <f t="shared" si="6139"/>
        <v>0</v>
      </c>
      <c r="U1212" s="200">
        <f t="shared" si="6139"/>
        <v>0</v>
      </c>
      <c r="V1212" s="200">
        <f t="shared" si="6139"/>
        <v>0</v>
      </c>
      <c r="W1212" s="200">
        <f t="shared" si="6139"/>
        <v>0</v>
      </c>
      <c r="X1212" s="200">
        <f t="shared" si="6139"/>
        <v>0</v>
      </c>
      <c r="Y1212" s="200">
        <f t="shared" si="6139"/>
        <v>0</v>
      </c>
      <c r="Z1212" s="200">
        <f t="shared" si="6139"/>
        <v>0</v>
      </c>
      <c r="AA1212" s="200">
        <f t="shared" si="6139"/>
        <v>0</v>
      </c>
      <c r="AB1212" s="200">
        <f t="shared" si="6139"/>
        <v>0</v>
      </c>
      <c r="AC1212" s="200">
        <f t="shared" si="6139"/>
        <v>0</v>
      </c>
      <c r="AD1212" s="200">
        <f t="shared" si="11"/>
        <v>0</v>
      </c>
      <c r="AE1212" s="200">
        <f t="shared" ref="AE1212:AG1212" si="6140">countif($D1212,"*"&amp;AE$2&amp;"*")</f>
        <v>0</v>
      </c>
      <c r="AF1212" s="200">
        <f t="shared" si="6140"/>
        <v>0</v>
      </c>
      <c r="AG1212" s="200">
        <f t="shared" si="6140"/>
        <v>0</v>
      </c>
      <c r="AH1212" s="171">
        <f t="shared" si="13"/>
        <v>0</v>
      </c>
      <c r="AI1212" s="200">
        <f t="shared" si="14"/>
        <v>1</v>
      </c>
      <c r="AJ1212" s="200">
        <f t="shared" si="6100"/>
        <v>0</v>
      </c>
      <c r="AK1212" s="201">
        <f t="shared" ref="AK1212:AS1212" si="6141">countif($D1212,"*"&amp;AK$2&amp;"*")</f>
        <v>0</v>
      </c>
      <c r="AL1212" s="201">
        <f t="shared" si="6141"/>
        <v>0</v>
      </c>
      <c r="AM1212" s="201">
        <f t="shared" si="6141"/>
        <v>0</v>
      </c>
      <c r="AN1212" s="201">
        <f t="shared" si="6141"/>
        <v>0</v>
      </c>
      <c r="AO1212" s="201">
        <f t="shared" si="6141"/>
        <v>0</v>
      </c>
      <c r="AP1212" s="201">
        <f t="shared" si="6141"/>
        <v>0</v>
      </c>
      <c r="AQ1212" s="201">
        <f t="shared" si="6141"/>
        <v>0</v>
      </c>
      <c r="AR1212" s="200">
        <f t="shared" si="6141"/>
        <v>0</v>
      </c>
      <c r="AS1212" s="200">
        <f t="shared" si="6141"/>
        <v>0</v>
      </c>
      <c r="AT1212" s="173">
        <v>0.0</v>
      </c>
      <c r="AU1212" s="200">
        <f t="shared" ref="AU1212:AX1212" si="6142">countif($D1212,"*"&amp;AU$2&amp;"*")</f>
        <v>0</v>
      </c>
      <c r="AV1212" s="200">
        <f t="shared" si="6142"/>
        <v>0</v>
      </c>
      <c r="AW1212" s="200">
        <f t="shared" si="6142"/>
        <v>0</v>
      </c>
      <c r="AX1212" s="200">
        <f t="shared" si="6142"/>
        <v>1</v>
      </c>
      <c r="AY1212" s="202">
        <v>0.0</v>
      </c>
      <c r="AZ1212" s="200"/>
      <c r="BA1212" s="171" t="str">
        <f t="shared" si="18"/>
        <v>Archival</v>
      </c>
      <c r="BB1212" s="171" t="str">
        <f t="shared" si="19"/>
        <v/>
      </c>
      <c r="BC1212" s="171" t="str">
        <f t="shared" si="20"/>
        <v/>
      </c>
      <c r="BD1212" s="171" t="str">
        <f t="shared" si="21"/>
        <v/>
      </c>
      <c r="BE1212" s="171" t="str">
        <f t="shared" si="22"/>
        <v/>
      </c>
      <c r="BF1212" s="171" t="str">
        <f t="shared" si="23"/>
        <v>Archival</v>
      </c>
    </row>
    <row r="1213">
      <c r="A1213" s="171">
        <f t="array" ref="A1213">XLOOKUP(C1213,ICSE!A:A,ICSE!C:C,,2,1)</f>
        <v>2023</v>
      </c>
      <c r="B1213" s="171" t="s">
        <v>5675</v>
      </c>
      <c r="C1213" s="160">
        <v>2219.0</v>
      </c>
      <c r="D1213" s="161" t="s">
        <v>3357</v>
      </c>
      <c r="E1213" s="197" t="str">
        <f t="array" ref="E1213">XLOOKUP(C1213,ICSE!A:A,ICSE!Z:Z,,0,1)</f>
        <v>Publicly available (1)</v>
      </c>
      <c r="F1213" s="198" t="s">
        <v>20</v>
      </c>
      <c r="G1213" s="163" t="str">
        <f t="array" ref="G1213">IF(B1213="ICSE",IF(COUNTIFS(B:B,B1213,C:C,C1213)=XLOOKUP(C1213,ICSE!A:A,ICSE!AA:AA,"ERROR",0,1),"OK","ERROR"),IF(B1213="FSE",IF(COUNTIFS(B:B,B1213,C:C,C1213)=XLOOKUP(C1213,FSE!A:A,FSE!AA:AA,"ERROR",0,1),"OK","ERROR")))</f>
        <v>OK</v>
      </c>
      <c r="H1213" s="199">
        <f t="shared" ref="H1213:O1213" si="6143">countif($D1213,"*"&amp;H$2&amp;"*")</f>
        <v>0</v>
      </c>
      <c r="I1213" s="200">
        <f t="shared" si="6143"/>
        <v>0</v>
      </c>
      <c r="J1213" s="200">
        <f t="shared" si="6143"/>
        <v>0</v>
      </c>
      <c r="K1213" s="200">
        <f t="shared" si="6143"/>
        <v>0</v>
      </c>
      <c r="L1213" s="200">
        <f t="shared" si="6143"/>
        <v>0</v>
      </c>
      <c r="M1213" s="200">
        <f t="shared" si="6143"/>
        <v>0</v>
      </c>
      <c r="N1213" s="200">
        <f t="shared" si="6143"/>
        <v>0</v>
      </c>
      <c r="O1213" s="200">
        <f t="shared" si="6143"/>
        <v>0</v>
      </c>
      <c r="P1213" s="200">
        <f t="shared" si="9"/>
        <v>0</v>
      </c>
      <c r="Q1213" s="200">
        <f t="shared" ref="Q1213:AC1213" si="6144">countif($D1213,"*"&amp;Q$2&amp;"*")</f>
        <v>0</v>
      </c>
      <c r="R1213" s="200">
        <f t="shared" si="6144"/>
        <v>0</v>
      </c>
      <c r="S1213" s="200">
        <f t="shared" si="6144"/>
        <v>0</v>
      </c>
      <c r="T1213" s="200">
        <f t="shared" si="6144"/>
        <v>0</v>
      </c>
      <c r="U1213" s="200">
        <f t="shared" si="6144"/>
        <v>0</v>
      </c>
      <c r="V1213" s="200">
        <f t="shared" si="6144"/>
        <v>0</v>
      </c>
      <c r="W1213" s="200">
        <f t="shared" si="6144"/>
        <v>0</v>
      </c>
      <c r="X1213" s="200">
        <f t="shared" si="6144"/>
        <v>0</v>
      </c>
      <c r="Y1213" s="200">
        <f t="shared" si="6144"/>
        <v>0</v>
      </c>
      <c r="Z1213" s="200">
        <f t="shared" si="6144"/>
        <v>0</v>
      </c>
      <c r="AA1213" s="200">
        <f t="shared" si="6144"/>
        <v>1</v>
      </c>
      <c r="AB1213" s="200">
        <f t="shared" si="6144"/>
        <v>0</v>
      </c>
      <c r="AC1213" s="200">
        <f t="shared" si="6144"/>
        <v>0</v>
      </c>
      <c r="AD1213" s="200">
        <f t="shared" si="11"/>
        <v>0</v>
      </c>
      <c r="AE1213" s="200">
        <f t="shared" ref="AE1213:AG1213" si="6145">countif($D1213,"*"&amp;AE$2&amp;"*")</f>
        <v>0</v>
      </c>
      <c r="AF1213" s="200">
        <f t="shared" si="6145"/>
        <v>0</v>
      </c>
      <c r="AG1213" s="200">
        <f t="shared" si="6145"/>
        <v>0</v>
      </c>
      <c r="AH1213" s="171">
        <f t="shared" si="13"/>
        <v>0</v>
      </c>
      <c r="AI1213" s="200">
        <f t="shared" si="14"/>
        <v>0</v>
      </c>
      <c r="AJ1213" s="200">
        <f t="shared" si="6100"/>
        <v>0</v>
      </c>
      <c r="AK1213" s="201">
        <f t="shared" ref="AK1213:AS1213" si="6146">countif($D1213,"*"&amp;AK$2&amp;"*")</f>
        <v>0</v>
      </c>
      <c r="AL1213" s="201">
        <f t="shared" si="6146"/>
        <v>0</v>
      </c>
      <c r="AM1213" s="201">
        <f t="shared" si="6146"/>
        <v>0</v>
      </c>
      <c r="AN1213" s="201">
        <f t="shared" si="6146"/>
        <v>0</v>
      </c>
      <c r="AO1213" s="201">
        <f t="shared" si="6146"/>
        <v>0</v>
      </c>
      <c r="AP1213" s="201">
        <f t="shared" si="6146"/>
        <v>0</v>
      </c>
      <c r="AQ1213" s="201">
        <f t="shared" si="6146"/>
        <v>0</v>
      </c>
      <c r="AR1213" s="200">
        <f t="shared" si="6146"/>
        <v>0</v>
      </c>
      <c r="AS1213" s="200">
        <f t="shared" si="6146"/>
        <v>0</v>
      </c>
      <c r="AT1213" s="173">
        <v>0.0</v>
      </c>
      <c r="AU1213" s="200">
        <f t="shared" ref="AU1213:AX1213" si="6147">countif($D1213,"*"&amp;AU$2&amp;"*")</f>
        <v>0</v>
      </c>
      <c r="AV1213" s="200">
        <f t="shared" si="6147"/>
        <v>0</v>
      </c>
      <c r="AW1213" s="200">
        <f t="shared" si="6147"/>
        <v>0</v>
      </c>
      <c r="AX1213" s="200">
        <f t="shared" si="6147"/>
        <v>0</v>
      </c>
      <c r="AY1213" s="202">
        <v>0.0</v>
      </c>
      <c r="AZ1213" s="200"/>
      <c r="BA1213" s="171" t="str">
        <f t="shared" si="18"/>
        <v/>
      </c>
      <c r="BB1213" s="171" t="str">
        <f t="shared" si="19"/>
        <v/>
      </c>
      <c r="BC1213" s="171" t="str">
        <f t="shared" si="20"/>
        <v>General-purpose</v>
      </c>
      <c r="BD1213" s="171" t="str">
        <f t="shared" si="21"/>
        <v/>
      </c>
      <c r="BE1213" s="171" t="str">
        <f t="shared" si="22"/>
        <v/>
      </c>
      <c r="BF1213" s="171" t="str">
        <f t="shared" si="23"/>
        <v>General-purpose</v>
      </c>
    </row>
    <row r="1214">
      <c r="A1214" s="171">
        <f t="array" ref="A1214">XLOOKUP(C1214,ICSE!A:A,ICSE!C:C,,2,1)</f>
        <v>2023</v>
      </c>
      <c r="B1214" s="171" t="s">
        <v>5675</v>
      </c>
      <c r="C1214" s="160">
        <v>2220.0</v>
      </c>
      <c r="D1214" s="161" t="s">
        <v>3359</v>
      </c>
      <c r="E1214" s="197" t="str">
        <f t="array" ref="E1214">XLOOKUP(C1214,ICSE!A:A,ICSE!Z:Z,,0,1)</f>
        <v>Publicly available (1)</v>
      </c>
      <c r="F1214" s="198" t="s">
        <v>20</v>
      </c>
      <c r="G1214" s="163" t="str">
        <f t="array" ref="G1214">IF(B1214="ICSE",IF(COUNTIFS(B:B,B1214,C:C,C1214)=XLOOKUP(C1214,ICSE!A:A,ICSE!AA:AA,"ERROR",0,1),"OK","ERROR"),IF(B1214="FSE",IF(COUNTIFS(B:B,B1214,C:C,C1214)=XLOOKUP(C1214,FSE!A:A,FSE!AA:AA,"ERROR",0,1),"OK","ERROR")))</f>
        <v>OK</v>
      </c>
      <c r="H1214" s="199">
        <f t="shared" ref="H1214:O1214" si="6148">countif($D1214,"*"&amp;H$2&amp;"*")</f>
        <v>0</v>
      </c>
      <c r="I1214" s="200">
        <f t="shared" si="6148"/>
        <v>0</v>
      </c>
      <c r="J1214" s="200">
        <f t="shared" si="6148"/>
        <v>0</v>
      </c>
      <c r="K1214" s="200">
        <f t="shared" si="6148"/>
        <v>0</v>
      </c>
      <c r="L1214" s="200">
        <f t="shared" si="6148"/>
        <v>0</v>
      </c>
      <c r="M1214" s="200">
        <f t="shared" si="6148"/>
        <v>0</v>
      </c>
      <c r="N1214" s="200">
        <f t="shared" si="6148"/>
        <v>0</v>
      </c>
      <c r="O1214" s="200">
        <f t="shared" si="6148"/>
        <v>0</v>
      </c>
      <c r="P1214" s="200">
        <f t="shared" si="9"/>
        <v>1</v>
      </c>
      <c r="Q1214" s="200">
        <f t="shared" ref="Q1214:AC1214" si="6149">countif($D1214,"*"&amp;Q$2&amp;"*")</f>
        <v>0</v>
      </c>
      <c r="R1214" s="200">
        <f t="shared" si="6149"/>
        <v>0</v>
      </c>
      <c r="S1214" s="200">
        <f t="shared" si="6149"/>
        <v>0</v>
      </c>
      <c r="T1214" s="200">
        <f t="shared" si="6149"/>
        <v>0</v>
      </c>
      <c r="U1214" s="200">
        <f t="shared" si="6149"/>
        <v>0</v>
      </c>
      <c r="V1214" s="200">
        <f t="shared" si="6149"/>
        <v>0</v>
      </c>
      <c r="W1214" s="200">
        <f t="shared" si="6149"/>
        <v>0</v>
      </c>
      <c r="X1214" s="200">
        <f t="shared" si="6149"/>
        <v>0</v>
      </c>
      <c r="Y1214" s="200">
        <f t="shared" si="6149"/>
        <v>0</v>
      </c>
      <c r="Z1214" s="200">
        <f t="shared" si="6149"/>
        <v>0</v>
      </c>
      <c r="AA1214" s="200">
        <f t="shared" si="6149"/>
        <v>0</v>
      </c>
      <c r="AB1214" s="200">
        <f t="shared" si="6149"/>
        <v>0</v>
      </c>
      <c r="AC1214" s="200">
        <f t="shared" si="6149"/>
        <v>0</v>
      </c>
      <c r="AD1214" s="200">
        <f t="shared" si="11"/>
        <v>0</v>
      </c>
      <c r="AE1214" s="200">
        <f t="shared" ref="AE1214:AG1214" si="6150">countif($D1214,"*"&amp;AE$2&amp;"*")</f>
        <v>0</v>
      </c>
      <c r="AF1214" s="200">
        <f t="shared" si="6150"/>
        <v>0</v>
      </c>
      <c r="AG1214" s="200">
        <f t="shared" si="6150"/>
        <v>0</v>
      </c>
      <c r="AH1214" s="171">
        <f t="shared" si="13"/>
        <v>0</v>
      </c>
      <c r="AI1214" s="200">
        <f t="shared" si="14"/>
        <v>0</v>
      </c>
      <c r="AJ1214" s="200">
        <f t="shared" si="6100"/>
        <v>0</v>
      </c>
      <c r="AK1214" s="201">
        <f t="shared" ref="AK1214:AS1214" si="6151">countif($D1214,"*"&amp;AK$2&amp;"*")</f>
        <v>0</v>
      </c>
      <c r="AL1214" s="201">
        <f t="shared" si="6151"/>
        <v>0</v>
      </c>
      <c r="AM1214" s="201">
        <f t="shared" si="6151"/>
        <v>0</v>
      </c>
      <c r="AN1214" s="201">
        <f t="shared" si="6151"/>
        <v>0</v>
      </c>
      <c r="AO1214" s="201">
        <f t="shared" si="6151"/>
        <v>0</v>
      </c>
      <c r="AP1214" s="201">
        <f t="shared" si="6151"/>
        <v>0</v>
      </c>
      <c r="AQ1214" s="201">
        <f t="shared" si="6151"/>
        <v>0</v>
      </c>
      <c r="AR1214" s="200">
        <f t="shared" si="6151"/>
        <v>0</v>
      </c>
      <c r="AS1214" s="200">
        <f t="shared" si="6151"/>
        <v>0</v>
      </c>
      <c r="AT1214" s="173">
        <v>0.0</v>
      </c>
      <c r="AU1214" s="200">
        <f t="shared" ref="AU1214:AX1214" si="6152">countif($D1214,"*"&amp;AU$2&amp;"*")</f>
        <v>0</v>
      </c>
      <c r="AV1214" s="200">
        <f t="shared" si="6152"/>
        <v>1</v>
      </c>
      <c r="AW1214" s="200">
        <f t="shared" si="6152"/>
        <v>0</v>
      </c>
      <c r="AX1214" s="200">
        <f t="shared" si="6152"/>
        <v>0</v>
      </c>
      <c r="AY1214" s="202">
        <v>0.0</v>
      </c>
      <c r="AZ1214" s="200"/>
      <c r="BA1214" s="171" t="str">
        <f t="shared" si="18"/>
        <v/>
      </c>
      <c r="BB1214" s="171" t="str">
        <f t="shared" si="19"/>
        <v>Code</v>
      </c>
      <c r="BC1214" s="171" t="str">
        <f t="shared" si="20"/>
        <v/>
      </c>
      <c r="BD1214" s="171" t="str">
        <f t="shared" si="21"/>
        <v/>
      </c>
      <c r="BE1214" s="171" t="str">
        <f t="shared" si="22"/>
        <v/>
      </c>
      <c r="BF1214" s="171" t="str">
        <f t="shared" si="23"/>
        <v>Code</v>
      </c>
    </row>
    <row r="1215">
      <c r="A1215" s="171">
        <f t="array" ref="A1215">XLOOKUP(C1215,ICSE!A:A,ICSE!C:C,,2,1)</f>
        <v>2023</v>
      </c>
      <c r="B1215" s="171" t="s">
        <v>5675</v>
      </c>
      <c r="C1215" s="160">
        <v>2221.0</v>
      </c>
      <c r="D1215" s="161" t="s">
        <v>3362</v>
      </c>
      <c r="E1215" s="197" t="str">
        <f t="array" ref="E1215">XLOOKUP(C1215,ICSE!A:A,ICSE!Z:Z,,0,1)</f>
        <v>Publicly available (1)</v>
      </c>
      <c r="F1215" s="198" t="s">
        <v>20</v>
      </c>
      <c r="G1215" s="163" t="str">
        <f t="array" ref="G1215">IF(B1215="ICSE",IF(COUNTIFS(B:B,B1215,C:C,C1215)=XLOOKUP(C1215,ICSE!A:A,ICSE!AA:AA,"ERROR",0,1),"OK","ERROR"),IF(B1215="FSE",IF(COUNTIFS(B:B,B1215,C:C,C1215)=XLOOKUP(C1215,FSE!A:A,FSE!AA:AA,"ERROR",0,1),"OK","ERROR")))</f>
        <v>OK</v>
      </c>
      <c r="H1215" s="199">
        <f t="shared" ref="H1215:O1215" si="6153">countif($D1215,"*"&amp;H$2&amp;"*")</f>
        <v>0</v>
      </c>
      <c r="I1215" s="200">
        <f t="shared" si="6153"/>
        <v>0</v>
      </c>
      <c r="J1215" s="200">
        <f t="shared" si="6153"/>
        <v>0</v>
      </c>
      <c r="K1215" s="200">
        <f t="shared" si="6153"/>
        <v>0</v>
      </c>
      <c r="L1215" s="200">
        <f t="shared" si="6153"/>
        <v>0</v>
      </c>
      <c r="M1215" s="200">
        <f t="shared" si="6153"/>
        <v>0</v>
      </c>
      <c r="N1215" s="200">
        <f t="shared" si="6153"/>
        <v>0</v>
      </c>
      <c r="O1215" s="200">
        <f t="shared" si="6153"/>
        <v>0</v>
      </c>
      <c r="P1215" s="200">
        <f t="shared" si="9"/>
        <v>1</v>
      </c>
      <c r="Q1215" s="200">
        <f t="shared" ref="Q1215:AC1215" si="6154">countif($D1215,"*"&amp;Q$2&amp;"*")</f>
        <v>0</v>
      </c>
      <c r="R1215" s="200">
        <f t="shared" si="6154"/>
        <v>0</v>
      </c>
      <c r="S1215" s="200">
        <f t="shared" si="6154"/>
        <v>0</v>
      </c>
      <c r="T1215" s="200">
        <f t="shared" si="6154"/>
        <v>0</v>
      </c>
      <c r="U1215" s="200">
        <f t="shared" si="6154"/>
        <v>0</v>
      </c>
      <c r="V1215" s="200">
        <f t="shared" si="6154"/>
        <v>0</v>
      </c>
      <c r="W1215" s="200">
        <f t="shared" si="6154"/>
        <v>0</v>
      </c>
      <c r="X1215" s="200">
        <f t="shared" si="6154"/>
        <v>0</v>
      </c>
      <c r="Y1215" s="200">
        <f t="shared" si="6154"/>
        <v>0</v>
      </c>
      <c r="Z1215" s="200">
        <f t="shared" si="6154"/>
        <v>0</v>
      </c>
      <c r="AA1215" s="200">
        <f t="shared" si="6154"/>
        <v>0</v>
      </c>
      <c r="AB1215" s="200">
        <f t="shared" si="6154"/>
        <v>0</v>
      </c>
      <c r="AC1215" s="200">
        <f t="shared" si="6154"/>
        <v>0</v>
      </c>
      <c r="AD1215" s="200">
        <f t="shared" si="11"/>
        <v>0</v>
      </c>
      <c r="AE1215" s="200">
        <f t="shared" ref="AE1215:AG1215" si="6155">countif($D1215,"*"&amp;AE$2&amp;"*")</f>
        <v>0</v>
      </c>
      <c r="AF1215" s="200">
        <f t="shared" si="6155"/>
        <v>0</v>
      </c>
      <c r="AG1215" s="200">
        <f t="shared" si="6155"/>
        <v>0</v>
      </c>
      <c r="AH1215" s="171">
        <f t="shared" si="13"/>
        <v>0</v>
      </c>
      <c r="AI1215" s="200">
        <f t="shared" si="14"/>
        <v>0</v>
      </c>
      <c r="AJ1215" s="200">
        <f t="shared" si="6100"/>
        <v>0</v>
      </c>
      <c r="AK1215" s="201">
        <f t="shared" ref="AK1215:AS1215" si="6156">countif($D1215,"*"&amp;AK$2&amp;"*")</f>
        <v>0</v>
      </c>
      <c r="AL1215" s="201">
        <f t="shared" si="6156"/>
        <v>0</v>
      </c>
      <c r="AM1215" s="201">
        <f t="shared" si="6156"/>
        <v>0</v>
      </c>
      <c r="AN1215" s="201">
        <f t="shared" si="6156"/>
        <v>0</v>
      </c>
      <c r="AO1215" s="201">
        <f t="shared" si="6156"/>
        <v>0</v>
      </c>
      <c r="AP1215" s="201">
        <f t="shared" si="6156"/>
        <v>0</v>
      </c>
      <c r="AQ1215" s="201">
        <f t="shared" si="6156"/>
        <v>0</v>
      </c>
      <c r="AR1215" s="200">
        <f t="shared" si="6156"/>
        <v>0</v>
      </c>
      <c r="AS1215" s="200">
        <f t="shared" si="6156"/>
        <v>0</v>
      </c>
      <c r="AT1215" s="173">
        <v>0.0</v>
      </c>
      <c r="AU1215" s="200">
        <f t="shared" ref="AU1215:AX1215" si="6157">countif($D1215,"*"&amp;AU$2&amp;"*")</f>
        <v>0</v>
      </c>
      <c r="AV1215" s="200">
        <f t="shared" si="6157"/>
        <v>1</v>
      </c>
      <c r="AW1215" s="200">
        <f t="shared" si="6157"/>
        <v>0</v>
      </c>
      <c r="AX1215" s="200">
        <f t="shared" si="6157"/>
        <v>0</v>
      </c>
      <c r="AY1215" s="202">
        <v>0.0</v>
      </c>
      <c r="AZ1215" s="200"/>
      <c r="BA1215" s="171" t="str">
        <f t="shared" si="18"/>
        <v/>
      </c>
      <c r="BB1215" s="171" t="str">
        <f t="shared" si="19"/>
        <v>Code</v>
      </c>
      <c r="BC1215" s="171" t="str">
        <f t="shared" si="20"/>
        <v/>
      </c>
      <c r="BD1215" s="171" t="str">
        <f t="shared" si="21"/>
        <v/>
      </c>
      <c r="BE1215" s="171" t="str">
        <f t="shared" si="22"/>
        <v/>
      </c>
      <c r="BF1215" s="171" t="str">
        <f t="shared" si="23"/>
        <v>Code</v>
      </c>
    </row>
    <row r="1216">
      <c r="A1216" s="171">
        <f t="array" ref="A1216">XLOOKUP(C1216,ICSE!A:A,ICSE!C:C,,2,1)</f>
        <v>2023</v>
      </c>
      <c r="B1216" s="171" t="s">
        <v>5675</v>
      </c>
      <c r="C1216" s="160">
        <v>2222.0</v>
      </c>
      <c r="D1216" s="161" t="s">
        <v>3365</v>
      </c>
      <c r="E1216" s="197" t="str">
        <f t="array" ref="E1216">XLOOKUP(C1216,ICSE!A:A,ICSE!Z:Z,,0,1)</f>
        <v>Publicly available (1)</v>
      </c>
      <c r="F1216" s="198" t="s">
        <v>20</v>
      </c>
      <c r="G1216" s="163" t="str">
        <f t="array" ref="G1216">IF(B1216="ICSE",IF(COUNTIFS(B:B,B1216,C:C,C1216)=XLOOKUP(C1216,ICSE!A:A,ICSE!AA:AA,"ERROR",0,1),"OK","ERROR"),IF(B1216="FSE",IF(COUNTIFS(B:B,B1216,C:C,C1216)=XLOOKUP(C1216,FSE!A:A,FSE!AA:AA,"ERROR",0,1),"OK","ERROR")))</f>
        <v>OK</v>
      </c>
      <c r="H1216" s="199">
        <f t="shared" ref="H1216:O1216" si="6158">countif($D1216,"*"&amp;H$2&amp;"*")</f>
        <v>0</v>
      </c>
      <c r="I1216" s="200">
        <f t="shared" si="6158"/>
        <v>0</v>
      </c>
      <c r="J1216" s="200">
        <f t="shared" si="6158"/>
        <v>0</v>
      </c>
      <c r="K1216" s="200">
        <f t="shared" si="6158"/>
        <v>0</v>
      </c>
      <c r="L1216" s="200">
        <f t="shared" si="6158"/>
        <v>0</v>
      </c>
      <c r="M1216" s="200">
        <f t="shared" si="6158"/>
        <v>0</v>
      </c>
      <c r="N1216" s="200">
        <f t="shared" si="6158"/>
        <v>0</v>
      </c>
      <c r="O1216" s="200">
        <f t="shared" si="6158"/>
        <v>0</v>
      </c>
      <c r="P1216" s="200">
        <f t="shared" si="9"/>
        <v>1</v>
      </c>
      <c r="Q1216" s="200">
        <f t="shared" ref="Q1216:AC1216" si="6159">countif($D1216,"*"&amp;Q$2&amp;"*")</f>
        <v>0</v>
      </c>
      <c r="R1216" s="200">
        <f t="shared" si="6159"/>
        <v>0</v>
      </c>
      <c r="S1216" s="200">
        <f t="shared" si="6159"/>
        <v>0</v>
      </c>
      <c r="T1216" s="200">
        <f t="shared" si="6159"/>
        <v>0</v>
      </c>
      <c r="U1216" s="200">
        <f t="shared" si="6159"/>
        <v>0</v>
      </c>
      <c r="V1216" s="200">
        <f t="shared" si="6159"/>
        <v>0</v>
      </c>
      <c r="W1216" s="200">
        <f t="shared" si="6159"/>
        <v>0</v>
      </c>
      <c r="X1216" s="200">
        <f t="shared" si="6159"/>
        <v>0</v>
      </c>
      <c r="Y1216" s="200">
        <f t="shared" si="6159"/>
        <v>0</v>
      </c>
      <c r="Z1216" s="200">
        <f t="shared" si="6159"/>
        <v>0</v>
      </c>
      <c r="AA1216" s="200">
        <f t="shared" si="6159"/>
        <v>0</v>
      </c>
      <c r="AB1216" s="200">
        <f t="shared" si="6159"/>
        <v>0</v>
      </c>
      <c r="AC1216" s="200">
        <f t="shared" si="6159"/>
        <v>0</v>
      </c>
      <c r="AD1216" s="200">
        <f t="shared" si="11"/>
        <v>0</v>
      </c>
      <c r="AE1216" s="200">
        <f t="shared" ref="AE1216:AG1216" si="6160">countif($D1216,"*"&amp;AE$2&amp;"*")</f>
        <v>0</v>
      </c>
      <c r="AF1216" s="200">
        <f t="shared" si="6160"/>
        <v>0</v>
      </c>
      <c r="AG1216" s="200">
        <f t="shared" si="6160"/>
        <v>0</v>
      </c>
      <c r="AH1216" s="171">
        <f t="shared" si="13"/>
        <v>0</v>
      </c>
      <c r="AI1216" s="200">
        <f t="shared" si="14"/>
        <v>0</v>
      </c>
      <c r="AJ1216" s="200">
        <f t="shared" si="6100"/>
        <v>0</v>
      </c>
      <c r="AK1216" s="201">
        <f t="shared" ref="AK1216:AS1216" si="6161">countif($D1216,"*"&amp;AK$2&amp;"*")</f>
        <v>0</v>
      </c>
      <c r="AL1216" s="201">
        <f t="shared" si="6161"/>
        <v>0</v>
      </c>
      <c r="AM1216" s="201">
        <f t="shared" si="6161"/>
        <v>0</v>
      </c>
      <c r="AN1216" s="201">
        <f t="shared" si="6161"/>
        <v>0</v>
      </c>
      <c r="AO1216" s="201">
        <f t="shared" si="6161"/>
        <v>0</v>
      </c>
      <c r="AP1216" s="201">
        <f t="shared" si="6161"/>
        <v>0</v>
      </c>
      <c r="AQ1216" s="201">
        <f t="shared" si="6161"/>
        <v>0</v>
      </c>
      <c r="AR1216" s="200">
        <f t="shared" si="6161"/>
        <v>0</v>
      </c>
      <c r="AS1216" s="200">
        <f t="shared" si="6161"/>
        <v>0</v>
      </c>
      <c r="AT1216" s="173">
        <v>0.0</v>
      </c>
      <c r="AU1216" s="200">
        <f t="shared" ref="AU1216:AX1216" si="6162">countif($D1216,"*"&amp;AU$2&amp;"*")</f>
        <v>0</v>
      </c>
      <c r="AV1216" s="200">
        <f t="shared" si="6162"/>
        <v>1</v>
      </c>
      <c r="AW1216" s="200">
        <f t="shared" si="6162"/>
        <v>0</v>
      </c>
      <c r="AX1216" s="200">
        <f t="shared" si="6162"/>
        <v>0</v>
      </c>
      <c r="AY1216" s="202">
        <v>0.0</v>
      </c>
      <c r="AZ1216" s="200"/>
      <c r="BA1216" s="171" t="str">
        <f t="shared" si="18"/>
        <v/>
      </c>
      <c r="BB1216" s="171" t="str">
        <f t="shared" si="19"/>
        <v>Code</v>
      </c>
      <c r="BC1216" s="171" t="str">
        <f t="shared" si="20"/>
        <v/>
      </c>
      <c r="BD1216" s="171" t="str">
        <f t="shared" si="21"/>
        <v/>
      </c>
      <c r="BE1216" s="171" t="str">
        <f t="shared" si="22"/>
        <v/>
      </c>
      <c r="BF1216" s="171" t="str">
        <f t="shared" si="23"/>
        <v>Code</v>
      </c>
    </row>
    <row r="1217">
      <c r="A1217" s="171">
        <f t="array" ref="A1217">XLOOKUP(C1217,ICSE!A:A,ICSE!C:C,,2,1)</f>
        <v>2023</v>
      </c>
      <c r="B1217" s="171" t="s">
        <v>5675</v>
      </c>
      <c r="C1217" s="160">
        <v>2223.0</v>
      </c>
      <c r="D1217" s="161" t="s">
        <v>3369</v>
      </c>
      <c r="E1217" s="197" t="str">
        <f t="array" ref="E1217">XLOOKUP(C1217,ICSE!A:A,ICSE!Z:Z,,0,1)</f>
        <v>Publicly available (1)</v>
      </c>
      <c r="F1217" s="198" t="s">
        <v>20</v>
      </c>
      <c r="G1217" s="163" t="str">
        <f t="array" ref="G1217">IF(B1217="ICSE",IF(COUNTIFS(B:B,B1217,C:C,C1217)=XLOOKUP(C1217,ICSE!A:A,ICSE!AA:AA,"ERROR",0,1),"OK","ERROR"),IF(B1217="FSE",IF(COUNTIFS(B:B,B1217,C:C,C1217)=XLOOKUP(C1217,FSE!A:A,FSE!AA:AA,"ERROR",0,1),"OK","ERROR")))</f>
        <v>OK</v>
      </c>
      <c r="H1217" s="199">
        <f t="shared" ref="H1217:O1217" si="6163">countif($D1217,"*"&amp;H$2&amp;"*")</f>
        <v>1</v>
      </c>
      <c r="I1217" s="200">
        <f t="shared" si="6163"/>
        <v>0</v>
      </c>
      <c r="J1217" s="200">
        <f t="shared" si="6163"/>
        <v>0</v>
      </c>
      <c r="K1217" s="200">
        <f t="shared" si="6163"/>
        <v>0</v>
      </c>
      <c r="L1217" s="200">
        <f t="shared" si="6163"/>
        <v>0</v>
      </c>
      <c r="M1217" s="200">
        <f t="shared" si="6163"/>
        <v>0</v>
      </c>
      <c r="N1217" s="200">
        <f t="shared" si="6163"/>
        <v>0</v>
      </c>
      <c r="O1217" s="200">
        <f t="shared" si="6163"/>
        <v>0</v>
      </c>
      <c r="P1217" s="200">
        <f t="shared" si="9"/>
        <v>0</v>
      </c>
      <c r="Q1217" s="200">
        <f t="shared" ref="Q1217:AC1217" si="6164">countif($D1217,"*"&amp;Q$2&amp;"*")</f>
        <v>0</v>
      </c>
      <c r="R1217" s="200">
        <f t="shared" si="6164"/>
        <v>0</v>
      </c>
      <c r="S1217" s="200">
        <f t="shared" si="6164"/>
        <v>0</v>
      </c>
      <c r="T1217" s="200">
        <f t="shared" si="6164"/>
        <v>0</v>
      </c>
      <c r="U1217" s="200">
        <f t="shared" si="6164"/>
        <v>0</v>
      </c>
      <c r="V1217" s="200">
        <f t="shared" si="6164"/>
        <v>0</v>
      </c>
      <c r="W1217" s="200">
        <f t="shared" si="6164"/>
        <v>0</v>
      </c>
      <c r="X1217" s="200">
        <f t="shared" si="6164"/>
        <v>0</v>
      </c>
      <c r="Y1217" s="200">
        <f t="shared" si="6164"/>
        <v>0</v>
      </c>
      <c r="Z1217" s="200">
        <f t="shared" si="6164"/>
        <v>0</v>
      </c>
      <c r="AA1217" s="200">
        <f t="shared" si="6164"/>
        <v>0</v>
      </c>
      <c r="AB1217" s="200">
        <f t="shared" si="6164"/>
        <v>0</v>
      </c>
      <c r="AC1217" s="200">
        <f t="shared" si="6164"/>
        <v>0</v>
      </c>
      <c r="AD1217" s="200">
        <f t="shared" si="11"/>
        <v>0</v>
      </c>
      <c r="AE1217" s="200">
        <f t="shared" ref="AE1217:AG1217" si="6165">countif($D1217,"*"&amp;AE$2&amp;"*")</f>
        <v>0</v>
      </c>
      <c r="AF1217" s="200">
        <f t="shared" si="6165"/>
        <v>0</v>
      </c>
      <c r="AG1217" s="200">
        <f t="shared" si="6165"/>
        <v>0</v>
      </c>
      <c r="AH1217" s="171">
        <f t="shared" si="13"/>
        <v>0</v>
      </c>
      <c r="AI1217" s="200">
        <f t="shared" si="14"/>
        <v>1</v>
      </c>
      <c r="AJ1217" s="200">
        <f t="shared" si="6100"/>
        <v>0</v>
      </c>
      <c r="AK1217" s="201">
        <f t="shared" ref="AK1217:AS1217" si="6166">countif($D1217,"*"&amp;AK$2&amp;"*")</f>
        <v>0</v>
      </c>
      <c r="AL1217" s="201">
        <f t="shared" si="6166"/>
        <v>0</v>
      </c>
      <c r="AM1217" s="201">
        <f t="shared" si="6166"/>
        <v>0</v>
      </c>
      <c r="AN1217" s="201">
        <f t="shared" si="6166"/>
        <v>0</v>
      </c>
      <c r="AO1217" s="201">
        <f t="shared" si="6166"/>
        <v>0</v>
      </c>
      <c r="AP1217" s="201">
        <f t="shared" si="6166"/>
        <v>0</v>
      </c>
      <c r="AQ1217" s="201">
        <f t="shared" si="6166"/>
        <v>0</v>
      </c>
      <c r="AR1217" s="200">
        <f t="shared" si="6166"/>
        <v>0</v>
      </c>
      <c r="AS1217" s="200">
        <f t="shared" si="6166"/>
        <v>0</v>
      </c>
      <c r="AT1217" s="173">
        <v>0.0</v>
      </c>
      <c r="AU1217" s="200">
        <f t="shared" ref="AU1217:AX1217" si="6167">countif($D1217,"*"&amp;AU$2&amp;"*")</f>
        <v>0</v>
      </c>
      <c r="AV1217" s="200">
        <f t="shared" si="6167"/>
        <v>0</v>
      </c>
      <c r="AW1217" s="200">
        <f t="shared" si="6167"/>
        <v>0</v>
      </c>
      <c r="AX1217" s="200">
        <f t="shared" si="6167"/>
        <v>0</v>
      </c>
      <c r="AY1217" s="204">
        <v>1.0</v>
      </c>
      <c r="AZ1217" s="200"/>
      <c r="BA1217" s="171" t="str">
        <f t="shared" si="18"/>
        <v>Archival</v>
      </c>
      <c r="BB1217" s="171" t="str">
        <f t="shared" si="19"/>
        <v/>
      </c>
      <c r="BC1217" s="171" t="str">
        <f t="shared" si="20"/>
        <v/>
      </c>
      <c r="BD1217" s="171" t="str">
        <f t="shared" si="21"/>
        <v/>
      </c>
      <c r="BE1217" s="171" t="str">
        <f t="shared" si="22"/>
        <v/>
      </c>
      <c r="BF1217" s="171" t="str">
        <f t="shared" si="23"/>
        <v>Archival</v>
      </c>
    </row>
    <row r="1218">
      <c r="A1218" s="171">
        <f t="array" ref="A1218">XLOOKUP(C1218,ICSE!A:A,ICSE!C:C,,2,1)</f>
        <v>2023</v>
      </c>
      <c r="B1218" s="171" t="s">
        <v>5675</v>
      </c>
      <c r="C1218" s="160">
        <v>2224.0</v>
      </c>
      <c r="D1218" s="161" t="s">
        <v>3372</v>
      </c>
      <c r="E1218" s="197" t="str">
        <f t="array" ref="E1218">XLOOKUP(C1218,ICSE!A:A,ICSE!Z:Z,,0,1)</f>
        <v>Publicly available (1)</v>
      </c>
      <c r="F1218" s="198" t="s">
        <v>20</v>
      </c>
      <c r="G1218" s="163" t="str">
        <f t="array" ref="G1218">IF(B1218="ICSE",IF(COUNTIFS(B:B,B1218,C:C,C1218)=XLOOKUP(C1218,ICSE!A:A,ICSE!AA:AA,"ERROR",0,1),"OK","ERROR"),IF(B1218="FSE",IF(COUNTIFS(B:B,B1218,C:C,C1218)=XLOOKUP(C1218,FSE!A:A,FSE!AA:AA,"ERROR",0,1),"OK","ERROR")))</f>
        <v>OK</v>
      </c>
      <c r="H1218" s="199">
        <f t="shared" ref="H1218:O1218" si="6168">countif($D1218,"*"&amp;H$2&amp;"*")</f>
        <v>0</v>
      </c>
      <c r="I1218" s="200">
        <f t="shared" si="6168"/>
        <v>0</v>
      </c>
      <c r="J1218" s="200">
        <f t="shared" si="6168"/>
        <v>0</v>
      </c>
      <c r="K1218" s="200">
        <f t="shared" si="6168"/>
        <v>0</v>
      </c>
      <c r="L1218" s="200">
        <f t="shared" si="6168"/>
        <v>0</v>
      </c>
      <c r="M1218" s="200">
        <f t="shared" si="6168"/>
        <v>0</v>
      </c>
      <c r="N1218" s="200">
        <f t="shared" si="6168"/>
        <v>0</v>
      </c>
      <c r="O1218" s="200">
        <f t="shared" si="6168"/>
        <v>0</v>
      </c>
      <c r="P1218" s="200">
        <f t="shared" si="9"/>
        <v>0</v>
      </c>
      <c r="Q1218" s="200">
        <f t="shared" ref="Q1218:AC1218" si="6169">countif($D1218,"*"&amp;Q$2&amp;"*")</f>
        <v>0</v>
      </c>
      <c r="R1218" s="200">
        <f t="shared" si="6169"/>
        <v>0</v>
      </c>
      <c r="S1218" s="200">
        <f t="shared" si="6169"/>
        <v>0</v>
      </c>
      <c r="T1218" s="200">
        <f t="shared" si="6169"/>
        <v>0</v>
      </c>
      <c r="U1218" s="200">
        <f t="shared" si="6169"/>
        <v>0</v>
      </c>
      <c r="V1218" s="200">
        <f t="shared" si="6169"/>
        <v>0</v>
      </c>
      <c r="W1218" s="200">
        <f t="shared" si="6169"/>
        <v>0</v>
      </c>
      <c r="X1218" s="200">
        <f t="shared" si="6169"/>
        <v>0</v>
      </c>
      <c r="Y1218" s="200">
        <f t="shared" si="6169"/>
        <v>0</v>
      </c>
      <c r="Z1218" s="200">
        <f t="shared" si="6169"/>
        <v>0</v>
      </c>
      <c r="AA1218" s="200">
        <f t="shared" si="6169"/>
        <v>1</v>
      </c>
      <c r="AB1218" s="200">
        <f t="shared" si="6169"/>
        <v>0</v>
      </c>
      <c r="AC1218" s="200">
        <f t="shared" si="6169"/>
        <v>0</v>
      </c>
      <c r="AD1218" s="200">
        <f t="shared" si="11"/>
        <v>0</v>
      </c>
      <c r="AE1218" s="200">
        <f t="shared" ref="AE1218:AG1218" si="6170">countif($D1218,"*"&amp;AE$2&amp;"*")</f>
        <v>0</v>
      </c>
      <c r="AF1218" s="200">
        <f t="shared" si="6170"/>
        <v>0</v>
      </c>
      <c r="AG1218" s="200">
        <f t="shared" si="6170"/>
        <v>0</v>
      </c>
      <c r="AH1218" s="171">
        <f t="shared" si="13"/>
        <v>0</v>
      </c>
      <c r="AI1218" s="200">
        <f t="shared" si="14"/>
        <v>0</v>
      </c>
      <c r="AJ1218" s="200">
        <f t="shared" si="6100"/>
        <v>0</v>
      </c>
      <c r="AK1218" s="201">
        <f t="shared" ref="AK1218:AS1218" si="6171">countif($D1218,"*"&amp;AK$2&amp;"*")</f>
        <v>0</v>
      </c>
      <c r="AL1218" s="201">
        <f t="shared" si="6171"/>
        <v>0</v>
      </c>
      <c r="AM1218" s="201">
        <f t="shared" si="6171"/>
        <v>0</v>
      </c>
      <c r="AN1218" s="201">
        <f t="shared" si="6171"/>
        <v>0</v>
      </c>
      <c r="AO1218" s="201">
        <f t="shared" si="6171"/>
        <v>0</v>
      </c>
      <c r="AP1218" s="201">
        <f t="shared" si="6171"/>
        <v>0</v>
      </c>
      <c r="AQ1218" s="201">
        <f t="shared" si="6171"/>
        <v>0</v>
      </c>
      <c r="AR1218" s="200">
        <f t="shared" si="6171"/>
        <v>0</v>
      </c>
      <c r="AS1218" s="200">
        <f t="shared" si="6171"/>
        <v>0</v>
      </c>
      <c r="AT1218" s="173">
        <v>0.0</v>
      </c>
      <c r="AU1218" s="200">
        <f t="shared" ref="AU1218:AX1218" si="6172">countif($D1218,"*"&amp;AU$2&amp;"*")</f>
        <v>0</v>
      </c>
      <c r="AV1218" s="200">
        <f t="shared" si="6172"/>
        <v>0</v>
      </c>
      <c r="AW1218" s="200">
        <f t="shared" si="6172"/>
        <v>0</v>
      </c>
      <c r="AX1218" s="200">
        <f t="shared" si="6172"/>
        <v>0</v>
      </c>
      <c r="AY1218" s="202">
        <v>0.0</v>
      </c>
      <c r="AZ1218" s="200"/>
      <c r="BA1218" s="171" t="str">
        <f t="shared" si="18"/>
        <v/>
      </c>
      <c r="BB1218" s="171" t="str">
        <f t="shared" si="19"/>
        <v/>
      </c>
      <c r="BC1218" s="171" t="str">
        <f t="shared" si="20"/>
        <v>General-purpose</v>
      </c>
      <c r="BD1218" s="171" t="str">
        <f t="shared" si="21"/>
        <v/>
      </c>
      <c r="BE1218" s="171" t="str">
        <f t="shared" si="22"/>
        <v/>
      </c>
      <c r="BF1218" s="171" t="str">
        <f t="shared" si="23"/>
        <v>General-purpose</v>
      </c>
    </row>
    <row r="1219">
      <c r="A1219" s="171">
        <f t="array" ref="A1219">XLOOKUP(C1219,ICSE!A:A,ICSE!C:C,,2,1)</f>
        <v>2023</v>
      </c>
      <c r="B1219" s="171" t="s">
        <v>5675</v>
      </c>
      <c r="C1219" s="160">
        <v>2225.0</v>
      </c>
      <c r="D1219" s="161" t="s">
        <v>6166</v>
      </c>
      <c r="E1219" s="197" t="str">
        <f t="array" ref="E1219">XLOOKUP(C1219,ICSE!A:A,ICSE!Z:Z,,0,1)</f>
        <v>Publicly available (2)</v>
      </c>
      <c r="F1219" s="198" t="s">
        <v>20</v>
      </c>
      <c r="G1219" s="163" t="str">
        <f t="array" ref="G1219">IF(B1219="ICSE",IF(COUNTIFS(B:B,B1219,C:C,C1219)=XLOOKUP(C1219,ICSE!A:A,ICSE!AA:AA,"ERROR",0,1),"OK","ERROR"),IF(B1219="FSE",IF(COUNTIFS(B:B,B1219,C:C,C1219)=XLOOKUP(C1219,FSE!A:A,FSE!AA:AA,"ERROR",0,1),"OK","ERROR")))</f>
        <v>OK</v>
      </c>
      <c r="H1219" s="199">
        <f t="shared" ref="H1219:O1219" si="6173">countif($D1219,"*"&amp;H$2&amp;"*")</f>
        <v>1</v>
      </c>
      <c r="I1219" s="200">
        <f t="shared" si="6173"/>
        <v>0</v>
      </c>
      <c r="J1219" s="200">
        <f t="shared" si="6173"/>
        <v>0</v>
      </c>
      <c r="K1219" s="200">
        <f t="shared" si="6173"/>
        <v>0</v>
      </c>
      <c r="L1219" s="200">
        <f t="shared" si="6173"/>
        <v>0</v>
      </c>
      <c r="M1219" s="200">
        <f t="shared" si="6173"/>
        <v>0</v>
      </c>
      <c r="N1219" s="200">
        <f t="shared" si="6173"/>
        <v>0</v>
      </c>
      <c r="O1219" s="200">
        <f t="shared" si="6173"/>
        <v>0</v>
      </c>
      <c r="P1219" s="200">
        <f t="shared" si="9"/>
        <v>0</v>
      </c>
      <c r="Q1219" s="200">
        <f t="shared" ref="Q1219:AC1219" si="6174">countif($D1219,"*"&amp;Q$2&amp;"*")</f>
        <v>0</v>
      </c>
      <c r="R1219" s="200">
        <f t="shared" si="6174"/>
        <v>0</v>
      </c>
      <c r="S1219" s="200">
        <f t="shared" si="6174"/>
        <v>0</v>
      </c>
      <c r="T1219" s="200">
        <f t="shared" si="6174"/>
        <v>0</v>
      </c>
      <c r="U1219" s="200">
        <f t="shared" si="6174"/>
        <v>0</v>
      </c>
      <c r="V1219" s="200">
        <f t="shared" si="6174"/>
        <v>0</v>
      </c>
      <c r="W1219" s="200">
        <f t="shared" si="6174"/>
        <v>0</v>
      </c>
      <c r="X1219" s="200">
        <f t="shared" si="6174"/>
        <v>0</v>
      </c>
      <c r="Y1219" s="200">
        <f t="shared" si="6174"/>
        <v>0</v>
      </c>
      <c r="Z1219" s="200">
        <f t="shared" si="6174"/>
        <v>0</v>
      </c>
      <c r="AA1219" s="200">
        <f t="shared" si="6174"/>
        <v>0</v>
      </c>
      <c r="AB1219" s="200">
        <f t="shared" si="6174"/>
        <v>0</v>
      </c>
      <c r="AC1219" s="200">
        <f t="shared" si="6174"/>
        <v>0</v>
      </c>
      <c r="AD1219" s="200">
        <f t="shared" si="11"/>
        <v>0</v>
      </c>
      <c r="AE1219" s="200">
        <f t="shared" ref="AE1219:AG1219" si="6175">countif($D1219,"*"&amp;AE$2&amp;"*")</f>
        <v>0</v>
      </c>
      <c r="AF1219" s="200">
        <f t="shared" si="6175"/>
        <v>0</v>
      </c>
      <c r="AG1219" s="200">
        <f t="shared" si="6175"/>
        <v>0</v>
      </c>
      <c r="AH1219" s="171">
        <f t="shared" si="13"/>
        <v>0</v>
      </c>
      <c r="AI1219" s="200">
        <f t="shared" si="14"/>
        <v>1</v>
      </c>
      <c r="AJ1219" s="200">
        <f t="shared" si="6100"/>
        <v>0</v>
      </c>
      <c r="AK1219" s="201">
        <f t="shared" ref="AK1219:AS1219" si="6176">countif($D1219,"*"&amp;AK$2&amp;"*")</f>
        <v>0</v>
      </c>
      <c r="AL1219" s="201">
        <f t="shared" si="6176"/>
        <v>0</v>
      </c>
      <c r="AM1219" s="201">
        <f t="shared" si="6176"/>
        <v>0</v>
      </c>
      <c r="AN1219" s="201">
        <f t="shared" si="6176"/>
        <v>0</v>
      </c>
      <c r="AO1219" s="201">
        <f t="shared" si="6176"/>
        <v>0</v>
      </c>
      <c r="AP1219" s="201">
        <f t="shared" si="6176"/>
        <v>0</v>
      </c>
      <c r="AQ1219" s="201">
        <f t="shared" si="6176"/>
        <v>0</v>
      </c>
      <c r="AR1219" s="200">
        <f t="shared" si="6176"/>
        <v>0</v>
      </c>
      <c r="AS1219" s="200">
        <f t="shared" si="6176"/>
        <v>0</v>
      </c>
      <c r="AT1219" s="173">
        <v>0.0</v>
      </c>
      <c r="AU1219" s="200">
        <f t="shared" ref="AU1219:AX1219" si="6177">countif($D1219,"*"&amp;AU$2&amp;"*")</f>
        <v>0</v>
      </c>
      <c r="AV1219" s="200">
        <f t="shared" si="6177"/>
        <v>0</v>
      </c>
      <c r="AW1219" s="200">
        <f t="shared" si="6177"/>
        <v>0</v>
      </c>
      <c r="AX1219" s="200">
        <f t="shared" si="6177"/>
        <v>1</v>
      </c>
      <c r="AY1219" s="202">
        <v>0.0</v>
      </c>
      <c r="AZ1219" s="200"/>
      <c r="BA1219" s="171" t="str">
        <f t="shared" si="18"/>
        <v>Archival</v>
      </c>
      <c r="BB1219" s="171" t="str">
        <f t="shared" si="19"/>
        <v/>
      </c>
      <c r="BC1219" s="171" t="str">
        <f t="shared" si="20"/>
        <v/>
      </c>
      <c r="BD1219" s="171" t="str">
        <f t="shared" si="21"/>
        <v/>
      </c>
      <c r="BE1219" s="171" t="str">
        <f t="shared" si="22"/>
        <v/>
      </c>
      <c r="BF1219" s="171" t="str">
        <f t="shared" si="23"/>
        <v>Archival</v>
      </c>
    </row>
    <row r="1220">
      <c r="A1220" s="171">
        <f t="array" ref="A1220">XLOOKUP(C1220,ICSE!A:A,ICSE!C:C,,2,1)</f>
        <v>2023</v>
      </c>
      <c r="B1220" s="171" t="s">
        <v>5675</v>
      </c>
      <c r="C1220" s="160">
        <v>2225.0</v>
      </c>
      <c r="D1220" s="161" t="s">
        <v>6167</v>
      </c>
      <c r="E1220" s="197" t="str">
        <f t="array" ref="E1220">XLOOKUP(C1220,ICSE!A:A,ICSE!Z:Z,,0,1)</f>
        <v>Publicly available (2)</v>
      </c>
      <c r="F1220" s="198" t="s">
        <v>20</v>
      </c>
      <c r="G1220" s="163" t="str">
        <f t="array" ref="G1220">IF(B1220="ICSE",IF(COUNTIFS(B:B,B1220,C:C,C1220)=XLOOKUP(C1220,ICSE!A:A,ICSE!AA:AA,"ERROR",0,1),"OK","ERROR"),IF(B1220="FSE",IF(COUNTIFS(B:B,B1220,C:C,C1220)=XLOOKUP(C1220,FSE!A:A,FSE!AA:AA,"ERROR",0,1),"OK","ERROR")))</f>
        <v>OK</v>
      </c>
      <c r="H1220" s="199">
        <f t="shared" ref="H1220:O1220" si="6178">countif($D1220,"*"&amp;H$2&amp;"*")</f>
        <v>0</v>
      </c>
      <c r="I1220" s="200">
        <f t="shared" si="6178"/>
        <v>0</v>
      </c>
      <c r="J1220" s="200">
        <f t="shared" si="6178"/>
        <v>0</v>
      </c>
      <c r="K1220" s="200">
        <f t="shared" si="6178"/>
        <v>0</v>
      </c>
      <c r="L1220" s="200">
        <f t="shared" si="6178"/>
        <v>0</v>
      </c>
      <c r="M1220" s="200">
        <f t="shared" si="6178"/>
        <v>0</v>
      </c>
      <c r="N1220" s="200">
        <f t="shared" si="6178"/>
        <v>0</v>
      </c>
      <c r="O1220" s="200">
        <f t="shared" si="6178"/>
        <v>0</v>
      </c>
      <c r="P1220" s="200">
        <f t="shared" si="9"/>
        <v>1</v>
      </c>
      <c r="Q1220" s="200">
        <f t="shared" ref="Q1220:AC1220" si="6179">countif($D1220,"*"&amp;Q$2&amp;"*")</f>
        <v>0</v>
      </c>
      <c r="R1220" s="200">
        <f t="shared" si="6179"/>
        <v>0</v>
      </c>
      <c r="S1220" s="200">
        <f t="shared" si="6179"/>
        <v>0</v>
      </c>
      <c r="T1220" s="200">
        <f t="shared" si="6179"/>
        <v>0</v>
      </c>
      <c r="U1220" s="200">
        <f t="shared" si="6179"/>
        <v>0</v>
      </c>
      <c r="V1220" s="200">
        <f t="shared" si="6179"/>
        <v>0</v>
      </c>
      <c r="W1220" s="200">
        <f t="shared" si="6179"/>
        <v>0</v>
      </c>
      <c r="X1220" s="200">
        <f t="shared" si="6179"/>
        <v>0</v>
      </c>
      <c r="Y1220" s="200">
        <f t="shared" si="6179"/>
        <v>0</v>
      </c>
      <c r="Z1220" s="200">
        <f t="shared" si="6179"/>
        <v>0</v>
      </c>
      <c r="AA1220" s="200">
        <f t="shared" si="6179"/>
        <v>0</v>
      </c>
      <c r="AB1220" s="200">
        <f t="shared" si="6179"/>
        <v>0</v>
      </c>
      <c r="AC1220" s="200">
        <f t="shared" si="6179"/>
        <v>0</v>
      </c>
      <c r="AD1220" s="200">
        <f t="shared" si="11"/>
        <v>0</v>
      </c>
      <c r="AE1220" s="200">
        <f t="shared" ref="AE1220:AG1220" si="6180">countif($D1220,"*"&amp;AE$2&amp;"*")</f>
        <v>0</v>
      </c>
      <c r="AF1220" s="200">
        <f t="shared" si="6180"/>
        <v>0</v>
      </c>
      <c r="AG1220" s="200">
        <f t="shared" si="6180"/>
        <v>0</v>
      </c>
      <c r="AH1220" s="171">
        <f t="shared" si="13"/>
        <v>0</v>
      </c>
      <c r="AI1220" s="200">
        <f t="shared" si="14"/>
        <v>0</v>
      </c>
      <c r="AJ1220" s="200">
        <f t="shared" si="6100"/>
        <v>0</v>
      </c>
      <c r="AK1220" s="201">
        <f t="shared" ref="AK1220:AS1220" si="6181">countif($D1220,"*"&amp;AK$2&amp;"*")</f>
        <v>0</v>
      </c>
      <c r="AL1220" s="201">
        <f t="shared" si="6181"/>
        <v>0</v>
      </c>
      <c r="AM1220" s="201">
        <f t="shared" si="6181"/>
        <v>0</v>
      </c>
      <c r="AN1220" s="201">
        <f t="shared" si="6181"/>
        <v>0</v>
      </c>
      <c r="AO1220" s="201">
        <f t="shared" si="6181"/>
        <v>0</v>
      </c>
      <c r="AP1220" s="201">
        <f t="shared" si="6181"/>
        <v>0</v>
      </c>
      <c r="AQ1220" s="201">
        <f t="shared" si="6181"/>
        <v>0</v>
      </c>
      <c r="AR1220" s="200">
        <f t="shared" si="6181"/>
        <v>0</v>
      </c>
      <c r="AS1220" s="200">
        <f t="shared" si="6181"/>
        <v>0</v>
      </c>
      <c r="AT1220" s="173">
        <v>0.0</v>
      </c>
      <c r="AU1220" s="200">
        <f t="shared" ref="AU1220:AX1220" si="6182">countif($D1220,"*"&amp;AU$2&amp;"*")</f>
        <v>0</v>
      </c>
      <c r="AV1220" s="200">
        <f t="shared" si="6182"/>
        <v>1</v>
      </c>
      <c r="AW1220" s="200">
        <f t="shared" si="6182"/>
        <v>0</v>
      </c>
      <c r="AX1220" s="200">
        <f t="shared" si="6182"/>
        <v>0</v>
      </c>
      <c r="AY1220" s="202">
        <v>0.0</v>
      </c>
      <c r="AZ1220" s="200"/>
      <c r="BA1220" s="171" t="str">
        <f t="shared" si="18"/>
        <v/>
      </c>
      <c r="BB1220" s="171" t="str">
        <f t="shared" si="19"/>
        <v>Code</v>
      </c>
      <c r="BC1220" s="171" t="str">
        <f t="shared" si="20"/>
        <v/>
      </c>
      <c r="BD1220" s="171" t="str">
        <f t="shared" si="21"/>
        <v/>
      </c>
      <c r="BE1220" s="171" t="str">
        <f t="shared" si="22"/>
        <v/>
      </c>
      <c r="BF1220" s="171" t="str">
        <f t="shared" si="23"/>
        <v>Code</v>
      </c>
    </row>
    <row r="1221">
      <c r="A1221" s="171">
        <f t="array" ref="A1221">XLOOKUP(C1221,ICSE!A:A,ICSE!C:C,,2,1)</f>
        <v>2023</v>
      </c>
      <c r="B1221" s="171" t="s">
        <v>5675</v>
      </c>
      <c r="C1221" s="160">
        <v>2226.0</v>
      </c>
      <c r="D1221" s="161" t="s">
        <v>3377</v>
      </c>
      <c r="E1221" s="197" t="str">
        <f t="array" ref="E1221">XLOOKUP(C1221,ICSE!A:A,ICSE!Z:Z,,0,1)</f>
        <v>Publicly available (1)</v>
      </c>
      <c r="F1221" s="198" t="s">
        <v>20</v>
      </c>
      <c r="G1221" s="163" t="str">
        <f t="array" ref="G1221">IF(B1221="ICSE",IF(COUNTIFS(B:B,B1221,C:C,C1221)=XLOOKUP(C1221,ICSE!A:A,ICSE!AA:AA,"ERROR",0,1),"OK","ERROR"),IF(B1221="FSE",IF(COUNTIFS(B:B,B1221,C:C,C1221)=XLOOKUP(C1221,FSE!A:A,FSE!AA:AA,"ERROR",0,1),"OK","ERROR")))</f>
        <v>OK</v>
      </c>
      <c r="H1221" s="199">
        <f t="shared" ref="H1221:O1221" si="6183">countif($D1221,"*"&amp;H$2&amp;"*")</f>
        <v>0</v>
      </c>
      <c r="I1221" s="200">
        <f t="shared" si="6183"/>
        <v>1</v>
      </c>
      <c r="J1221" s="200">
        <f t="shared" si="6183"/>
        <v>0</v>
      </c>
      <c r="K1221" s="200">
        <f t="shared" si="6183"/>
        <v>0</v>
      </c>
      <c r="L1221" s="200">
        <f t="shared" si="6183"/>
        <v>0</v>
      </c>
      <c r="M1221" s="200">
        <f t="shared" si="6183"/>
        <v>0</v>
      </c>
      <c r="N1221" s="200">
        <f t="shared" si="6183"/>
        <v>0</v>
      </c>
      <c r="O1221" s="200">
        <f t="shared" si="6183"/>
        <v>0</v>
      </c>
      <c r="P1221" s="200">
        <f t="shared" si="9"/>
        <v>0</v>
      </c>
      <c r="Q1221" s="200">
        <f t="shared" ref="Q1221:AC1221" si="6184">countif($D1221,"*"&amp;Q$2&amp;"*")</f>
        <v>0</v>
      </c>
      <c r="R1221" s="200">
        <f t="shared" si="6184"/>
        <v>0</v>
      </c>
      <c r="S1221" s="200">
        <f t="shared" si="6184"/>
        <v>0</v>
      </c>
      <c r="T1221" s="200">
        <f t="shared" si="6184"/>
        <v>0</v>
      </c>
      <c r="U1221" s="200">
        <f t="shared" si="6184"/>
        <v>0</v>
      </c>
      <c r="V1221" s="200">
        <f t="shared" si="6184"/>
        <v>0</v>
      </c>
      <c r="W1221" s="200">
        <f t="shared" si="6184"/>
        <v>0</v>
      </c>
      <c r="X1221" s="200">
        <f t="shared" si="6184"/>
        <v>0</v>
      </c>
      <c r="Y1221" s="200">
        <f t="shared" si="6184"/>
        <v>0</v>
      </c>
      <c r="Z1221" s="200">
        <f t="shared" si="6184"/>
        <v>0</v>
      </c>
      <c r="AA1221" s="200">
        <f t="shared" si="6184"/>
        <v>0</v>
      </c>
      <c r="AB1221" s="200">
        <f t="shared" si="6184"/>
        <v>0</v>
      </c>
      <c r="AC1221" s="200">
        <f t="shared" si="6184"/>
        <v>0</v>
      </c>
      <c r="AD1221" s="200">
        <f t="shared" si="11"/>
        <v>0</v>
      </c>
      <c r="AE1221" s="200">
        <f t="shared" ref="AE1221:AG1221" si="6185">countif($D1221,"*"&amp;AE$2&amp;"*")</f>
        <v>0</v>
      </c>
      <c r="AF1221" s="200">
        <f t="shared" si="6185"/>
        <v>0</v>
      </c>
      <c r="AG1221" s="200">
        <f t="shared" si="6185"/>
        <v>0</v>
      </c>
      <c r="AH1221" s="171">
        <f t="shared" si="13"/>
        <v>0</v>
      </c>
      <c r="AI1221" s="200">
        <f t="shared" si="14"/>
        <v>1</v>
      </c>
      <c r="AJ1221" s="200">
        <f t="shared" si="6100"/>
        <v>0</v>
      </c>
      <c r="AK1221" s="201">
        <f t="shared" ref="AK1221:AS1221" si="6186">countif($D1221,"*"&amp;AK$2&amp;"*")</f>
        <v>0</v>
      </c>
      <c r="AL1221" s="201">
        <f t="shared" si="6186"/>
        <v>0</v>
      </c>
      <c r="AM1221" s="201">
        <f t="shared" si="6186"/>
        <v>0</v>
      </c>
      <c r="AN1221" s="201">
        <f t="shared" si="6186"/>
        <v>0</v>
      </c>
      <c r="AO1221" s="201">
        <f t="shared" si="6186"/>
        <v>0</v>
      </c>
      <c r="AP1221" s="201">
        <f t="shared" si="6186"/>
        <v>0</v>
      </c>
      <c r="AQ1221" s="201">
        <f t="shared" si="6186"/>
        <v>0</v>
      </c>
      <c r="AR1221" s="200">
        <f t="shared" si="6186"/>
        <v>0</v>
      </c>
      <c r="AS1221" s="200">
        <f t="shared" si="6186"/>
        <v>0</v>
      </c>
      <c r="AT1221" s="173">
        <v>0.0</v>
      </c>
      <c r="AU1221" s="200">
        <f t="shared" ref="AU1221:AX1221" si="6187">countif($D1221,"*"&amp;AU$2&amp;"*")</f>
        <v>0</v>
      </c>
      <c r="AV1221" s="200">
        <f t="shared" si="6187"/>
        <v>0</v>
      </c>
      <c r="AW1221" s="200">
        <f t="shared" si="6187"/>
        <v>0</v>
      </c>
      <c r="AX1221" s="200">
        <f t="shared" si="6187"/>
        <v>0</v>
      </c>
      <c r="AY1221" s="204">
        <v>1.0</v>
      </c>
      <c r="AZ1221" s="200"/>
      <c r="BA1221" s="171" t="str">
        <f t="shared" si="18"/>
        <v>Archival</v>
      </c>
      <c r="BB1221" s="171" t="str">
        <f t="shared" si="19"/>
        <v/>
      </c>
      <c r="BC1221" s="171" t="str">
        <f t="shared" si="20"/>
        <v/>
      </c>
      <c r="BD1221" s="171" t="str">
        <f t="shared" si="21"/>
        <v/>
      </c>
      <c r="BE1221" s="171" t="str">
        <f t="shared" si="22"/>
        <v/>
      </c>
      <c r="BF1221" s="171" t="str">
        <f t="shared" si="23"/>
        <v>Archival</v>
      </c>
    </row>
    <row r="1222">
      <c r="A1222" s="171">
        <f t="array" ref="A1222">XLOOKUP(C1222,ICSE!A:A,ICSE!C:C,,2,1)</f>
        <v>2023</v>
      </c>
      <c r="B1222" s="171" t="s">
        <v>5675</v>
      </c>
      <c r="C1222" s="160">
        <v>2227.0</v>
      </c>
      <c r="D1222" s="161" t="s">
        <v>6168</v>
      </c>
      <c r="E1222" s="197" t="str">
        <f t="array" ref="E1222">XLOOKUP(C1222,ICSE!A:A,ICSE!Z:Z,,0,1)</f>
        <v>Publicly available (2)</v>
      </c>
      <c r="F1222" s="198" t="s">
        <v>20</v>
      </c>
      <c r="G1222" s="163" t="str">
        <f t="array" ref="G1222">IF(B1222="ICSE",IF(COUNTIFS(B:B,B1222,C:C,C1222)=XLOOKUP(C1222,ICSE!A:A,ICSE!AA:AA,"ERROR",0,1),"OK","ERROR"),IF(B1222="FSE",IF(COUNTIFS(B:B,B1222,C:C,C1222)=XLOOKUP(C1222,FSE!A:A,FSE!AA:AA,"ERROR",0,1),"OK","ERROR")))</f>
        <v>OK</v>
      </c>
      <c r="H1222" s="199">
        <f t="shared" ref="H1222:O1222" si="6188">countif($D1222,"*"&amp;H$2&amp;"*")</f>
        <v>0</v>
      </c>
      <c r="I1222" s="200">
        <f t="shared" si="6188"/>
        <v>0</v>
      </c>
      <c r="J1222" s="200">
        <f t="shared" si="6188"/>
        <v>1</v>
      </c>
      <c r="K1222" s="200">
        <f t="shared" si="6188"/>
        <v>0</v>
      </c>
      <c r="L1222" s="200">
        <f t="shared" si="6188"/>
        <v>0</v>
      </c>
      <c r="M1222" s="200">
        <f t="shared" si="6188"/>
        <v>0</v>
      </c>
      <c r="N1222" s="200">
        <f t="shared" si="6188"/>
        <v>0</v>
      </c>
      <c r="O1222" s="200">
        <f t="shared" si="6188"/>
        <v>0</v>
      </c>
      <c r="P1222" s="200">
        <f t="shared" si="9"/>
        <v>0</v>
      </c>
      <c r="Q1222" s="200">
        <f t="shared" ref="Q1222:AC1222" si="6189">countif($D1222,"*"&amp;Q$2&amp;"*")</f>
        <v>0</v>
      </c>
      <c r="R1222" s="200">
        <f t="shared" si="6189"/>
        <v>0</v>
      </c>
      <c r="S1222" s="200">
        <f t="shared" si="6189"/>
        <v>0</v>
      </c>
      <c r="T1222" s="200">
        <f t="shared" si="6189"/>
        <v>0</v>
      </c>
      <c r="U1222" s="200">
        <f t="shared" si="6189"/>
        <v>0</v>
      </c>
      <c r="V1222" s="200">
        <f t="shared" si="6189"/>
        <v>0</v>
      </c>
      <c r="W1222" s="200">
        <f t="shared" si="6189"/>
        <v>0</v>
      </c>
      <c r="X1222" s="200">
        <f t="shared" si="6189"/>
        <v>0</v>
      </c>
      <c r="Y1222" s="200">
        <f t="shared" si="6189"/>
        <v>0</v>
      </c>
      <c r="Z1222" s="200">
        <f t="shared" si="6189"/>
        <v>0</v>
      </c>
      <c r="AA1222" s="200">
        <f t="shared" si="6189"/>
        <v>0</v>
      </c>
      <c r="AB1222" s="200">
        <f t="shared" si="6189"/>
        <v>0</v>
      </c>
      <c r="AC1222" s="200">
        <f t="shared" si="6189"/>
        <v>0</v>
      </c>
      <c r="AD1222" s="200">
        <f t="shared" si="11"/>
        <v>0</v>
      </c>
      <c r="AE1222" s="200">
        <f t="shared" ref="AE1222:AG1222" si="6190">countif($D1222,"*"&amp;AE$2&amp;"*")</f>
        <v>0</v>
      </c>
      <c r="AF1222" s="200">
        <f t="shared" si="6190"/>
        <v>0</v>
      </c>
      <c r="AG1222" s="200">
        <f t="shared" si="6190"/>
        <v>0</v>
      </c>
      <c r="AH1222" s="171">
        <f t="shared" si="13"/>
        <v>0</v>
      </c>
      <c r="AI1222" s="200">
        <f t="shared" si="14"/>
        <v>1</v>
      </c>
      <c r="AJ1222" s="200">
        <f t="shared" si="6100"/>
        <v>0</v>
      </c>
      <c r="AK1222" s="201">
        <f t="shared" ref="AK1222:AS1222" si="6191">countif($D1222,"*"&amp;AK$2&amp;"*")</f>
        <v>0</v>
      </c>
      <c r="AL1222" s="201">
        <f t="shared" si="6191"/>
        <v>0</v>
      </c>
      <c r="AM1222" s="201">
        <f t="shared" si="6191"/>
        <v>0</v>
      </c>
      <c r="AN1222" s="201">
        <f t="shared" si="6191"/>
        <v>0</v>
      </c>
      <c r="AO1222" s="201">
        <f t="shared" si="6191"/>
        <v>0</v>
      </c>
      <c r="AP1222" s="201">
        <f t="shared" si="6191"/>
        <v>0</v>
      </c>
      <c r="AQ1222" s="201">
        <f t="shared" si="6191"/>
        <v>0</v>
      </c>
      <c r="AR1222" s="200">
        <f t="shared" si="6191"/>
        <v>0</v>
      </c>
      <c r="AS1222" s="200">
        <f t="shared" si="6191"/>
        <v>0</v>
      </c>
      <c r="AT1222" s="173">
        <v>0.0</v>
      </c>
      <c r="AU1222" s="200">
        <f t="shared" ref="AU1222:AX1222" si="6192">countif($D1222,"*"&amp;AU$2&amp;"*")</f>
        <v>0</v>
      </c>
      <c r="AV1222" s="200">
        <f t="shared" si="6192"/>
        <v>0</v>
      </c>
      <c r="AW1222" s="200">
        <f t="shared" si="6192"/>
        <v>0</v>
      </c>
      <c r="AX1222" s="200">
        <f t="shared" si="6192"/>
        <v>0</v>
      </c>
      <c r="AY1222" s="204">
        <v>1.0</v>
      </c>
      <c r="AZ1222" s="200"/>
      <c r="BA1222" s="171" t="str">
        <f t="shared" si="18"/>
        <v>Archival</v>
      </c>
      <c r="BB1222" s="171" t="str">
        <f t="shared" si="19"/>
        <v/>
      </c>
      <c r="BC1222" s="171" t="str">
        <f t="shared" si="20"/>
        <v/>
      </c>
      <c r="BD1222" s="171" t="str">
        <f t="shared" si="21"/>
        <v/>
      </c>
      <c r="BE1222" s="171" t="str">
        <f t="shared" si="22"/>
        <v/>
      </c>
      <c r="BF1222" s="171" t="str">
        <f t="shared" si="23"/>
        <v>Archival</v>
      </c>
    </row>
    <row r="1223">
      <c r="A1223" s="171">
        <f t="array" ref="A1223">XLOOKUP(C1223,ICSE!A:A,ICSE!C:C,,2,1)</f>
        <v>2023</v>
      </c>
      <c r="B1223" s="171" t="s">
        <v>5675</v>
      </c>
      <c r="C1223" s="160">
        <v>2227.0</v>
      </c>
      <c r="D1223" s="161" t="s">
        <v>6169</v>
      </c>
      <c r="E1223" s="197" t="str">
        <f t="array" ref="E1223">XLOOKUP(C1223,ICSE!A:A,ICSE!Z:Z,,0,1)</f>
        <v>Publicly available (2)</v>
      </c>
      <c r="F1223" s="198" t="s">
        <v>20</v>
      </c>
      <c r="G1223" s="163" t="str">
        <f t="array" ref="G1223">IF(B1223="ICSE",IF(COUNTIFS(B:B,B1223,C:C,C1223)=XLOOKUP(C1223,ICSE!A:A,ICSE!AA:AA,"ERROR",0,1),"OK","ERROR"),IF(B1223="FSE",IF(COUNTIFS(B:B,B1223,C:C,C1223)=XLOOKUP(C1223,FSE!A:A,FSE!AA:AA,"ERROR",0,1),"OK","ERROR")))</f>
        <v>OK</v>
      </c>
      <c r="H1223" s="199">
        <f t="shared" ref="H1223:O1223" si="6193">countif($D1223,"*"&amp;H$2&amp;"*")</f>
        <v>0</v>
      </c>
      <c r="I1223" s="200">
        <f t="shared" si="6193"/>
        <v>0</v>
      </c>
      <c r="J1223" s="200">
        <f t="shared" si="6193"/>
        <v>0</v>
      </c>
      <c r="K1223" s="200">
        <f t="shared" si="6193"/>
        <v>0</v>
      </c>
      <c r="L1223" s="200">
        <f t="shared" si="6193"/>
        <v>0</v>
      </c>
      <c r="M1223" s="200">
        <f t="shared" si="6193"/>
        <v>0</v>
      </c>
      <c r="N1223" s="200">
        <f t="shared" si="6193"/>
        <v>0</v>
      </c>
      <c r="O1223" s="200">
        <f t="shared" si="6193"/>
        <v>0</v>
      </c>
      <c r="P1223" s="200">
        <f t="shared" si="9"/>
        <v>1</v>
      </c>
      <c r="Q1223" s="200">
        <f t="shared" ref="Q1223:AC1223" si="6194">countif($D1223,"*"&amp;Q$2&amp;"*")</f>
        <v>0</v>
      </c>
      <c r="R1223" s="200">
        <f t="shared" si="6194"/>
        <v>0</v>
      </c>
      <c r="S1223" s="200">
        <f t="shared" si="6194"/>
        <v>0</v>
      </c>
      <c r="T1223" s="200">
        <f t="shared" si="6194"/>
        <v>0</v>
      </c>
      <c r="U1223" s="200">
        <f t="shared" si="6194"/>
        <v>0</v>
      </c>
      <c r="V1223" s="200">
        <f t="shared" si="6194"/>
        <v>0</v>
      </c>
      <c r="W1223" s="200">
        <f t="shared" si="6194"/>
        <v>0</v>
      </c>
      <c r="X1223" s="200">
        <f t="shared" si="6194"/>
        <v>0</v>
      </c>
      <c r="Y1223" s="200">
        <f t="shared" si="6194"/>
        <v>0</v>
      </c>
      <c r="Z1223" s="200">
        <f t="shared" si="6194"/>
        <v>0</v>
      </c>
      <c r="AA1223" s="200">
        <f t="shared" si="6194"/>
        <v>0</v>
      </c>
      <c r="AB1223" s="200">
        <f t="shared" si="6194"/>
        <v>0</v>
      </c>
      <c r="AC1223" s="200">
        <f t="shared" si="6194"/>
        <v>0</v>
      </c>
      <c r="AD1223" s="200">
        <f t="shared" si="11"/>
        <v>0</v>
      </c>
      <c r="AE1223" s="200">
        <f t="shared" ref="AE1223:AG1223" si="6195">countif($D1223,"*"&amp;AE$2&amp;"*")</f>
        <v>0</v>
      </c>
      <c r="AF1223" s="200">
        <f t="shared" si="6195"/>
        <v>0</v>
      </c>
      <c r="AG1223" s="200">
        <f t="shared" si="6195"/>
        <v>0</v>
      </c>
      <c r="AH1223" s="171">
        <f t="shared" si="13"/>
        <v>0</v>
      </c>
      <c r="AI1223" s="200">
        <f t="shared" si="14"/>
        <v>0</v>
      </c>
      <c r="AJ1223" s="200">
        <f t="shared" si="6100"/>
        <v>0</v>
      </c>
      <c r="AK1223" s="201">
        <f t="shared" ref="AK1223:AS1223" si="6196">countif($D1223,"*"&amp;AK$2&amp;"*")</f>
        <v>0</v>
      </c>
      <c r="AL1223" s="201">
        <f t="shared" si="6196"/>
        <v>0</v>
      </c>
      <c r="AM1223" s="201">
        <f t="shared" si="6196"/>
        <v>0</v>
      </c>
      <c r="AN1223" s="201">
        <f t="shared" si="6196"/>
        <v>0</v>
      </c>
      <c r="AO1223" s="201">
        <f t="shared" si="6196"/>
        <v>0</v>
      </c>
      <c r="AP1223" s="201">
        <f t="shared" si="6196"/>
        <v>0</v>
      </c>
      <c r="AQ1223" s="201">
        <f t="shared" si="6196"/>
        <v>0</v>
      </c>
      <c r="AR1223" s="200">
        <f t="shared" si="6196"/>
        <v>0</v>
      </c>
      <c r="AS1223" s="200">
        <f t="shared" si="6196"/>
        <v>0</v>
      </c>
      <c r="AT1223" s="173">
        <v>0.0</v>
      </c>
      <c r="AU1223" s="200">
        <f t="shared" ref="AU1223:AX1223" si="6197">countif($D1223,"*"&amp;AU$2&amp;"*")</f>
        <v>0</v>
      </c>
      <c r="AV1223" s="200">
        <f t="shared" si="6197"/>
        <v>1</v>
      </c>
      <c r="AW1223" s="200">
        <f t="shared" si="6197"/>
        <v>0</v>
      </c>
      <c r="AX1223" s="200">
        <f t="shared" si="6197"/>
        <v>0</v>
      </c>
      <c r="AY1223" s="202">
        <v>0.0</v>
      </c>
      <c r="AZ1223" s="200"/>
      <c r="BA1223" s="171" t="str">
        <f t="shared" si="18"/>
        <v/>
      </c>
      <c r="BB1223" s="171" t="str">
        <f t="shared" si="19"/>
        <v>Code</v>
      </c>
      <c r="BC1223" s="171" t="str">
        <f t="shared" si="20"/>
        <v/>
      </c>
      <c r="BD1223" s="171" t="str">
        <f t="shared" si="21"/>
        <v/>
      </c>
      <c r="BE1223" s="171" t="str">
        <f t="shared" si="22"/>
        <v/>
      </c>
      <c r="BF1223" s="171" t="str">
        <f t="shared" si="23"/>
        <v>Code</v>
      </c>
    </row>
    <row r="1224">
      <c r="A1224" s="171">
        <f t="array" ref="A1224">XLOOKUP(C1224,ICSE!A:A,ICSE!C:C,,2,1)</f>
        <v>2023</v>
      </c>
      <c r="B1224" s="171" t="s">
        <v>5675</v>
      </c>
      <c r="C1224" s="160">
        <v>2228.0</v>
      </c>
      <c r="D1224" s="161" t="s">
        <v>6170</v>
      </c>
      <c r="E1224" s="197" t="str">
        <f t="array" ref="E1224">XLOOKUP(C1224,ICSE!A:A,ICSE!Z:Z,,0,1)</f>
        <v>Publicly available (2)</v>
      </c>
      <c r="F1224" s="198" t="s">
        <v>20</v>
      </c>
      <c r="G1224" s="163" t="str">
        <f t="array" ref="G1224">IF(B1224="ICSE",IF(COUNTIFS(B:B,B1224,C:C,C1224)=XLOOKUP(C1224,ICSE!A:A,ICSE!AA:AA,"ERROR",0,1),"OK","ERROR"),IF(B1224="FSE",IF(COUNTIFS(B:B,B1224,C:C,C1224)=XLOOKUP(C1224,FSE!A:A,FSE!AA:AA,"ERROR",0,1),"OK","ERROR")))</f>
        <v>OK</v>
      </c>
      <c r="H1224" s="199">
        <f t="shared" ref="H1224:O1224" si="6198">countif($D1224,"*"&amp;H$2&amp;"*")</f>
        <v>1</v>
      </c>
      <c r="I1224" s="200">
        <f t="shared" si="6198"/>
        <v>0</v>
      </c>
      <c r="J1224" s="200">
        <f t="shared" si="6198"/>
        <v>0</v>
      </c>
      <c r="K1224" s="200">
        <f t="shared" si="6198"/>
        <v>0</v>
      </c>
      <c r="L1224" s="200">
        <f t="shared" si="6198"/>
        <v>0</v>
      </c>
      <c r="M1224" s="200">
        <f t="shared" si="6198"/>
        <v>0</v>
      </c>
      <c r="N1224" s="200">
        <f t="shared" si="6198"/>
        <v>0</v>
      </c>
      <c r="O1224" s="200">
        <f t="shared" si="6198"/>
        <v>0</v>
      </c>
      <c r="P1224" s="200">
        <f t="shared" si="9"/>
        <v>0</v>
      </c>
      <c r="Q1224" s="200">
        <f t="shared" ref="Q1224:AC1224" si="6199">countif($D1224,"*"&amp;Q$2&amp;"*")</f>
        <v>0</v>
      </c>
      <c r="R1224" s="200">
        <f t="shared" si="6199"/>
        <v>0</v>
      </c>
      <c r="S1224" s="200">
        <f t="shared" si="6199"/>
        <v>0</v>
      </c>
      <c r="T1224" s="200">
        <f t="shared" si="6199"/>
        <v>0</v>
      </c>
      <c r="U1224" s="200">
        <f t="shared" si="6199"/>
        <v>0</v>
      </c>
      <c r="V1224" s="200">
        <f t="shared" si="6199"/>
        <v>0</v>
      </c>
      <c r="W1224" s="200">
        <f t="shared" si="6199"/>
        <v>0</v>
      </c>
      <c r="X1224" s="200">
        <f t="shared" si="6199"/>
        <v>0</v>
      </c>
      <c r="Y1224" s="200">
        <f t="shared" si="6199"/>
        <v>0</v>
      </c>
      <c r="Z1224" s="200">
        <f t="shared" si="6199"/>
        <v>0</v>
      </c>
      <c r="AA1224" s="200">
        <f t="shared" si="6199"/>
        <v>0</v>
      </c>
      <c r="AB1224" s="200">
        <f t="shared" si="6199"/>
        <v>0</v>
      </c>
      <c r="AC1224" s="200">
        <f t="shared" si="6199"/>
        <v>0</v>
      </c>
      <c r="AD1224" s="200">
        <f t="shared" si="11"/>
        <v>0</v>
      </c>
      <c r="AE1224" s="200">
        <f t="shared" ref="AE1224:AG1224" si="6200">countif($D1224,"*"&amp;AE$2&amp;"*")</f>
        <v>0</v>
      </c>
      <c r="AF1224" s="200">
        <f t="shared" si="6200"/>
        <v>0</v>
      </c>
      <c r="AG1224" s="200">
        <f t="shared" si="6200"/>
        <v>0</v>
      </c>
      <c r="AH1224" s="171">
        <f t="shared" si="13"/>
        <v>0</v>
      </c>
      <c r="AI1224" s="200">
        <f t="shared" si="14"/>
        <v>1</v>
      </c>
      <c r="AJ1224" s="200">
        <f t="shared" si="6100"/>
        <v>0</v>
      </c>
      <c r="AK1224" s="201">
        <f t="shared" ref="AK1224:AS1224" si="6201">countif($D1224,"*"&amp;AK$2&amp;"*")</f>
        <v>0</v>
      </c>
      <c r="AL1224" s="201">
        <f t="shared" si="6201"/>
        <v>0</v>
      </c>
      <c r="AM1224" s="201">
        <f t="shared" si="6201"/>
        <v>0</v>
      </c>
      <c r="AN1224" s="201">
        <f t="shared" si="6201"/>
        <v>0</v>
      </c>
      <c r="AO1224" s="201">
        <f t="shared" si="6201"/>
        <v>0</v>
      </c>
      <c r="AP1224" s="201">
        <f t="shared" si="6201"/>
        <v>0</v>
      </c>
      <c r="AQ1224" s="201">
        <f t="shared" si="6201"/>
        <v>0</v>
      </c>
      <c r="AR1224" s="200">
        <f t="shared" si="6201"/>
        <v>0</v>
      </c>
      <c r="AS1224" s="200">
        <f t="shared" si="6201"/>
        <v>0</v>
      </c>
      <c r="AT1224" s="173">
        <v>0.0</v>
      </c>
      <c r="AU1224" s="200">
        <f t="shared" ref="AU1224:AX1224" si="6202">countif($D1224,"*"&amp;AU$2&amp;"*")</f>
        <v>0</v>
      </c>
      <c r="AV1224" s="200">
        <f t="shared" si="6202"/>
        <v>0</v>
      </c>
      <c r="AW1224" s="200">
        <f t="shared" si="6202"/>
        <v>0</v>
      </c>
      <c r="AX1224" s="200">
        <f t="shared" si="6202"/>
        <v>1</v>
      </c>
      <c r="AY1224" s="202">
        <v>0.0</v>
      </c>
      <c r="AZ1224" s="200"/>
      <c r="BA1224" s="171" t="str">
        <f t="shared" si="18"/>
        <v>Archival</v>
      </c>
      <c r="BB1224" s="171" t="str">
        <f t="shared" si="19"/>
        <v/>
      </c>
      <c r="BC1224" s="171" t="str">
        <f t="shared" si="20"/>
        <v/>
      </c>
      <c r="BD1224" s="171" t="str">
        <f t="shared" si="21"/>
        <v/>
      </c>
      <c r="BE1224" s="171" t="str">
        <f t="shared" si="22"/>
        <v/>
      </c>
      <c r="BF1224" s="171" t="str">
        <f t="shared" si="23"/>
        <v>Archival</v>
      </c>
    </row>
    <row r="1225">
      <c r="A1225" s="171">
        <f t="array" ref="A1225">XLOOKUP(C1225,ICSE!A:A,ICSE!C:C,,2,1)</f>
        <v>2023</v>
      </c>
      <c r="B1225" s="171" t="s">
        <v>5675</v>
      </c>
      <c r="C1225" s="160">
        <v>2228.0</v>
      </c>
      <c r="D1225" s="161" t="s">
        <v>6171</v>
      </c>
      <c r="E1225" s="197" t="str">
        <f t="array" ref="E1225">XLOOKUP(C1225,ICSE!A:A,ICSE!Z:Z,,0,1)</f>
        <v>Publicly available (2)</v>
      </c>
      <c r="F1225" s="198" t="s">
        <v>20</v>
      </c>
      <c r="G1225" s="163" t="str">
        <f t="array" ref="G1225">IF(B1225="ICSE",IF(COUNTIFS(B:B,B1225,C:C,C1225)=XLOOKUP(C1225,ICSE!A:A,ICSE!AA:AA,"ERROR",0,1),"OK","ERROR"),IF(B1225="FSE",IF(COUNTIFS(B:B,B1225,C:C,C1225)=XLOOKUP(C1225,FSE!A:A,FSE!AA:AA,"ERROR",0,1),"OK","ERROR")))</f>
        <v>OK</v>
      </c>
      <c r="H1225" s="199">
        <f t="shared" ref="H1225:O1225" si="6203">countif($D1225,"*"&amp;H$2&amp;"*")</f>
        <v>1</v>
      </c>
      <c r="I1225" s="200">
        <f t="shared" si="6203"/>
        <v>0</v>
      </c>
      <c r="J1225" s="200">
        <f t="shared" si="6203"/>
        <v>0</v>
      </c>
      <c r="K1225" s="200">
        <f t="shared" si="6203"/>
        <v>0</v>
      </c>
      <c r="L1225" s="200">
        <f t="shared" si="6203"/>
        <v>0</v>
      </c>
      <c r="M1225" s="200">
        <f t="shared" si="6203"/>
        <v>0</v>
      </c>
      <c r="N1225" s="200">
        <f t="shared" si="6203"/>
        <v>0</v>
      </c>
      <c r="O1225" s="200">
        <f t="shared" si="6203"/>
        <v>0</v>
      </c>
      <c r="P1225" s="200">
        <f t="shared" si="9"/>
        <v>0</v>
      </c>
      <c r="Q1225" s="200">
        <f t="shared" ref="Q1225:AC1225" si="6204">countif($D1225,"*"&amp;Q$2&amp;"*")</f>
        <v>0</v>
      </c>
      <c r="R1225" s="200">
        <f t="shared" si="6204"/>
        <v>0</v>
      </c>
      <c r="S1225" s="200">
        <f t="shared" si="6204"/>
        <v>0</v>
      </c>
      <c r="T1225" s="200">
        <f t="shared" si="6204"/>
        <v>0</v>
      </c>
      <c r="U1225" s="200">
        <f t="shared" si="6204"/>
        <v>0</v>
      </c>
      <c r="V1225" s="200">
        <f t="shared" si="6204"/>
        <v>0</v>
      </c>
      <c r="W1225" s="200">
        <f t="shared" si="6204"/>
        <v>0</v>
      </c>
      <c r="X1225" s="200">
        <f t="shared" si="6204"/>
        <v>0</v>
      </c>
      <c r="Y1225" s="200">
        <f t="shared" si="6204"/>
        <v>0</v>
      </c>
      <c r="Z1225" s="200">
        <f t="shared" si="6204"/>
        <v>0</v>
      </c>
      <c r="AA1225" s="200">
        <f t="shared" si="6204"/>
        <v>0</v>
      </c>
      <c r="AB1225" s="200">
        <f t="shared" si="6204"/>
        <v>0</v>
      </c>
      <c r="AC1225" s="200">
        <f t="shared" si="6204"/>
        <v>0</v>
      </c>
      <c r="AD1225" s="200">
        <f t="shared" si="11"/>
        <v>0</v>
      </c>
      <c r="AE1225" s="200">
        <f t="shared" ref="AE1225:AG1225" si="6205">countif($D1225,"*"&amp;AE$2&amp;"*")</f>
        <v>0</v>
      </c>
      <c r="AF1225" s="200">
        <f t="shared" si="6205"/>
        <v>0</v>
      </c>
      <c r="AG1225" s="200">
        <f t="shared" si="6205"/>
        <v>0</v>
      </c>
      <c r="AH1225" s="171">
        <f t="shared" si="13"/>
        <v>0</v>
      </c>
      <c r="AI1225" s="200">
        <f t="shared" si="14"/>
        <v>1</v>
      </c>
      <c r="AJ1225" s="200">
        <f t="shared" si="6100"/>
        <v>0</v>
      </c>
      <c r="AK1225" s="201">
        <f t="shared" ref="AK1225:AS1225" si="6206">countif($D1225,"*"&amp;AK$2&amp;"*")</f>
        <v>0</v>
      </c>
      <c r="AL1225" s="201">
        <f t="shared" si="6206"/>
        <v>0</v>
      </c>
      <c r="AM1225" s="201">
        <f t="shared" si="6206"/>
        <v>0</v>
      </c>
      <c r="AN1225" s="201">
        <f t="shared" si="6206"/>
        <v>0</v>
      </c>
      <c r="AO1225" s="201">
        <f t="shared" si="6206"/>
        <v>0</v>
      </c>
      <c r="AP1225" s="201">
        <f t="shared" si="6206"/>
        <v>0</v>
      </c>
      <c r="AQ1225" s="201">
        <f t="shared" si="6206"/>
        <v>0</v>
      </c>
      <c r="AR1225" s="200">
        <f t="shared" si="6206"/>
        <v>0</v>
      </c>
      <c r="AS1225" s="200">
        <f t="shared" si="6206"/>
        <v>0</v>
      </c>
      <c r="AT1225" s="173">
        <v>0.0</v>
      </c>
      <c r="AU1225" s="200">
        <f t="shared" ref="AU1225:AX1225" si="6207">countif($D1225,"*"&amp;AU$2&amp;"*")</f>
        <v>0</v>
      </c>
      <c r="AV1225" s="200">
        <f t="shared" si="6207"/>
        <v>0</v>
      </c>
      <c r="AW1225" s="200">
        <f t="shared" si="6207"/>
        <v>0</v>
      </c>
      <c r="AX1225" s="200">
        <f t="shared" si="6207"/>
        <v>1</v>
      </c>
      <c r="AY1225" s="202">
        <v>0.0</v>
      </c>
      <c r="AZ1225" s="200"/>
      <c r="BA1225" s="171" t="str">
        <f t="shared" si="18"/>
        <v>Archival</v>
      </c>
      <c r="BB1225" s="171" t="str">
        <f t="shared" si="19"/>
        <v/>
      </c>
      <c r="BC1225" s="171" t="str">
        <f t="shared" si="20"/>
        <v/>
      </c>
      <c r="BD1225" s="171" t="str">
        <f t="shared" si="21"/>
        <v/>
      </c>
      <c r="BE1225" s="171" t="str">
        <f t="shared" si="22"/>
        <v/>
      </c>
      <c r="BF1225" s="171" t="str">
        <f t="shared" si="23"/>
        <v>Archival</v>
      </c>
    </row>
    <row r="1226">
      <c r="A1226" s="171">
        <f t="array" ref="A1226">XLOOKUP(C1226,ICSE!A:A,ICSE!C:C,,2,1)</f>
        <v>2023</v>
      </c>
      <c r="B1226" s="171" t="s">
        <v>5675</v>
      </c>
      <c r="C1226" s="160">
        <v>2229.0</v>
      </c>
      <c r="D1226" s="208" t="s">
        <v>6172</v>
      </c>
      <c r="E1226" s="197" t="str">
        <f t="array" ref="E1226">XLOOKUP(C1226,ICSE!A:A,ICSE!Z:Z,,0,1)</f>
        <v>Publicly available (2)</v>
      </c>
      <c r="F1226" s="198" t="s">
        <v>20</v>
      </c>
      <c r="G1226" s="163" t="str">
        <f t="array" ref="G1226">IF(B1226="ICSE",IF(COUNTIFS(B:B,B1226,C:C,C1226)=XLOOKUP(C1226,ICSE!A:A,ICSE!AA:AA,"ERROR",0,1),"OK","ERROR"),IF(B1226="FSE",IF(COUNTIFS(B:B,B1226,C:C,C1226)=XLOOKUP(C1226,FSE!A:A,FSE!AA:AA,"ERROR",0,1),"OK","ERROR")))</f>
        <v>OK</v>
      </c>
      <c r="H1226" s="199">
        <f t="shared" ref="H1226:O1226" si="6208">countif($D1226,"*"&amp;H$2&amp;"*")</f>
        <v>0</v>
      </c>
      <c r="I1226" s="200">
        <f t="shared" si="6208"/>
        <v>0</v>
      </c>
      <c r="J1226" s="200">
        <f t="shared" si="6208"/>
        <v>0</v>
      </c>
      <c r="K1226" s="200">
        <f t="shared" si="6208"/>
        <v>0</v>
      </c>
      <c r="L1226" s="200">
        <f t="shared" si="6208"/>
        <v>0</v>
      </c>
      <c r="M1226" s="200">
        <f t="shared" si="6208"/>
        <v>0</v>
      </c>
      <c r="N1226" s="200">
        <f t="shared" si="6208"/>
        <v>1</v>
      </c>
      <c r="O1226" s="200">
        <f t="shared" si="6208"/>
        <v>0</v>
      </c>
      <c r="P1226" s="200">
        <f t="shared" si="9"/>
        <v>0</v>
      </c>
      <c r="Q1226" s="200">
        <f t="shared" ref="Q1226:AC1226" si="6209">countif($D1226,"*"&amp;Q$2&amp;"*")</f>
        <v>0</v>
      </c>
      <c r="R1226" s="200">
        <f t="shared" si="6209"/>
        <v>0</v>
      </c>
      <c r="S1226" s="200">
        <f t="shared" si="6209"/>
        <v>0</v>
      </c>
      <c r="T1226" s="200">
        <f t="shared" si="6209"/>
        <v>0</v>
      </c>
      <c r="U1226" s="200">
        <f t="shared" si="6209"/>
        <v>0</v>
      </c>
      <c r="V1226" s="200">
        <f t="shared" si="6209"/>
        <v>0</v>
      </c>
      <c r="W1226" s="200">
        <f t="shared" si="6209"/>
        <v>0</v>
      </c>
      <c r="X1226" s="200">
        <f t="shared" si="6209"/>
        <v>0</v>
      </c>
      <c r="Y1226" s="200">
        <f t="shared" si="6209"/>
        <v>0</v>
      </c>
      <c r="Z1226" s="200">
        <f t="shared" si="6209"/>
        <v>0</v>
      </c>
      <c r="AA1226" s="200">
        <f t="shared" si="6209"/>
        <v>0</v>
      </c>
      <c r="AB1226" s="200">
        <f t="shared" si="6209"/>
        <v>0</v>
      </c>
      <c r="AC1226" s="200">
        <f t="shared" si="6209"/>
        <v>0</v>
      </c>
      <c r="AD1226" s="200">
        <f t="shared" si="11"/>
        <v>0</v>
      </c>
      <c r="AE1226" s="200">
        <f t="shared" ref="AE1226:AG1226" si="6210">countif($D1226,"*"&amp;AE$2&amp;"*")</f>
        <v>0</v>
      </c>
      <c r="AF1226" s="200">
        <f t="shared" si="6210"/>
        <v>0</v>
      </c>
      <c r="AG1226" s="200">
        <f t="shared" si="6210"/>
        <v>0</v>
      </c>
      <c r="AH1226" s="171">
        <f t="shared" si="13"/>
        <v>0</v>
      </c>
      <c r="AI1226" s="200">
        <f t="shared" si="14"/>
        <v>0</v>
      </c>
      <c r="AJ1226" s="200">
        <f t="shared" si="6100"/>
        <v>0</v>
      </c>
      <c r="AK1226" s="201">
        <f t="shared" ref="AK1226:AS1226" si="6211">countif($D1226,"*"&amp;AK$2&amp;"*")</f>
        <v>0</v>
      </c>
      <c r="AL1226" s="201">
        <f t="shared" si="6211"/>
        <v>0</v>
      </c>
      <c r="AM1226" s="201">
        <f t="shared" si="6211"/>
        <v>0</v>
      </c>
      <c r="AN1226" s="201">
        <f t="shared" si="6211"/>
        <v>0</v>
      </c>
      <c r="AO1226" s="201">
        <f t="shared" si="6211"/>
        <v>0</v>
      </c>
      <c r="AP1226" s="201">
        <f t="shared" si="6211"/>
        <v>0</v>
      </c>
      <c r="AQ1226" s="201">
        <f t="shared" si="6211"/>
        <v>0</v>
      </c>
      <c r="AR1226" s="200">
        <f t="shared" si="6211"/>
        <v>0</v>
      </c>
      <c r="AS1226" s="200">
        <f t="shared" si="6211"/>
        <v>0</v>
      </c>
      <c r="AT1226" s="173">
        <v>0.0</v>
      </c>
      <c r="AU1226" s="200">
        <f t="shared" ref="AU1226:AU1678" si="6217">countif($D1226,"*"&amp;AU$2&amp;"*")</f>
        <v>0</v>
      </c>
      <c r="AV1226" s="171">
        <v>0.0</v>
      </c>
      <c r="AW1226" s="200">
        <f t="shared" ref="AW1226:AX1226" si="6212">countif($D1226,"*"&amp;AW$2&amp;"*")</f>
        <v>0</v>
      </c>
      <c r="AX1226" s="200">
        <f t="shared" si="6212"/>
        <v>0</v>
      </c>
      <c r="AY1226" s="202">
        <v>0.0</v>
      </c>
      <c r="AZ1226" s="200"/>
      <c r="BA1226" s="171" t="str">
        <f t="shared" si="18"/>
        <v>Archival</v>
      </c>
      <c r="BB1226" s="171" t="str">
        <f t="shared" si="19"/>
        <v/>
      </c>
      <c r="BC1226" s="171" t="str">
        <f t="shared" si="20"/>
        <v/>
      </c>
      <c r="BD1226" s="171" t="str">
        <f t="shared" si="21"/>
        <v/>
      </c>
      <c r="BE1226" s="171" t="str">
        <f t="shared" si="22"/>
        <v/>
      </c>
      <c r="BF1226" s="171" t="str">
        <f t="shared" si="23"/>
        <v>Archival</v>
      </c>
    </row>
    <row r="1227">
      <c r="A1227" s="171">
        <f t="array" ref="A1227">XLOOKUP(C1227,ICSE!A:A,ICSE!C:C,,2,1)</f>
        <v>2023</v>
      </c>
      <c r="B1227" s="171" t="s">
        <v>5675</v>
      </c>
      <c r="C1227" s="160">
        <v>2229.0</v>
      </c>
      <c r="D1227" s="161" t="s">
        <v>6173</v>
      </c>
      <c r="E1227" s="197" t="str">
        <f t="array" ref="E1227">XLOOKUP(C1227,ICSE!A:A,ICSE!Z:Z,,0,1)</f>
        <v>Publicly available (2)</v>
      </c>
      <c r="F1227" s="198" t="s">
        <v>20</v>
      </c>
      <c r="G1227" s="163" t="str">
        <f t="array" ref="G1227">IF(B1227="ICSE",IF(COUNTIFS(B:B,B1227,C:C,C1227)=XLOOKUP(C1227,ICSE!A:A,ICSE!AA:AA,"ERROR",0,1),"OK","ERROR"),IF(B1227="FSE",IF(COUNTIFS(B:B,B1227,C:C,C1227)=XLOOKUP(C1227,FSE!A:A,FSE!AA:AA,"ERROR",0,1),"OK","ERROR")))</f>
        <v>OK</v>
      </c>
      <c r="H1227" s="199">
        <f t="shared" ref="H1227:O1227" si="6213">countif($D1227,"*"&amp;H$2&amp;"*")</f>
        <v>0</v>
      </c>
      <c r="I1227" s="200">
        <f t="shared" si="6213"/>
        <v>0</v>
      </c>
      <c r="J1227" s="200">
        <f t="shared" si="6213"/>
        <v>0</v>
      </c>
      <c r="K1227" s="200">
        <f t="shared" si="6213"/>
        <v>0</v>
      </c>
      <c r="L1227" s="200">
        <f t="shared" si="6213"/>
        <v>0</v>
      </c>
      <c r="M1227" s="200">
        <f t="shared" si="6213"/>
        <v>0</v>
      </c>
      <c r="N1227" s="200">
        <f t="shared" si="6213"/>
        <v>0</v>
      </c>
      <c r="O1227" s="200">
        <f t="shared" si="6213"/>
        <v>0</v>
      </c>
      <c r="P1227" s="200">
        <f t="shared" si="9"/>
        <v>1</v>
      </c>
      <c r="Q1227" s="200">
        <f t="shared" ref="Q1227:AC1227" si="6214">countif($D1227,"*"&amp;Q$2&amp;"*")</f>
        <v>0</v>
      </c>
      <c r="R1227" s="200">
        <f t="shared" si="6214"/>
        <v>0</v>
      </c>
      <c r="S1227" s="200">
        <f t="shared" si="6214"/>
        <v>0</v>
      </c>
      <c r="T1227" s="200">
        <f t="shared" si="6214"/>
        <v>0</v>
      </c>
      <c r="U1227" s="200">
        <f t="shared" si="6214"/>
        <v>0</v>
      </c>
      <c r="V1227" s="200">
        <f t="shared" si="6214"/>
        <v>0</v>
      </c>
      <c r="W1227" s="200">
        <f t="shared" si="6214"/>
        <v>0</v>
      </c>
      <c r="X1227" s="200">
        <f t="shared" si="6214"/>
        <v>0</v>
      </c>
      <c r="Y1227" s="200">
        <f t="shared" si="6214"/>
        <v>0</v>
      </c>
      <c r="Z1227" s="200">
        <f t="shared" si="6214"/>
        <v>0</v>
      </c>
      <c r="AA1227" s="200">
        <f t="shared" si="6214"/>
        <v>0</v>
      </c>
      <c r="AB1227" s="200">
        <f t="shared" si="6214"/>
        <v>0</v>
      </c>
      <c r="AC1227" s="200">
        <f t="shared" si="6214"/>
        <v>0</v>
      </c>
      <c r="AD1227" s="200">
        <f t="shared" si="11"/>
        <v>0</v>
      </c>
      <c r="AE1227" s="200">
        <f t="shared" ref="AE1227:AG1227" si="6215">countif($D1227,"*"&amp;AE$2&amp;"*")</f>
        <v>0</v>
      </c>
      <c r="AF1227" s="200">
        <f t="shared" si="6215"/>
        <v>0</v>
      </c>
      <c r="AG1227" s="200">
        <f t="shared" si="6215"/>
        <v>0</v>
      </c>
      <c r="AH1227" s="171">
        <f t="shared" si="13"/>
        <v>0</v>
      </c>
      <c r="AI1227" s="200">
        <f t="shared" si="14"/>
        <v>0</v>
      </c>
      <c r="AJ1227" s="200">
        <f t="shared" si="6100"/>
        <v>0</v>
      </c>
      <c r="AK1227" s="201">
        <f t="shared" ref="AK1227:AS1227" si="6216">countif($D1227,"*"&amp;AK$2&amp;"*")</f>
        <v>0</v>
      </c>
      <c r="AL1227" s="201">
        <f t="shared" si="6216"/>
        <v>0</v>
      </c>
      <c r="AM1227" s="201">
        <f t="shared" si="6216"/>
        <v>0</v>
      </c>
      <c r="AN1227" s="201">
        <f t="shared" si="6216"/>
        <v>0</v>
      </c>
      <c r="AO1227" s="201">
        <f t="shared" si="6216"/>
        <v>0</v>
      </c>
      <c r="AP1227" s="201">
        <f t="shared" si="6216"/>
        <v>0</v>
      </c>
      <c r="AQ1227" s="201">
        <f t="shared" si="6216"/>
        <v>0</v>
      </c>
      <c r="AR1227" s="200">
        <f t="shared" si="6216"/>
        <v>0</v>
      </c>
      <c r="AS1227" s="200">
        <f t="shared" si="6216"/>
        <v>0</v>
      </c>
      <c r="AT1227" s="173">
        <v>0.0</v>
      </c>
      <c r="AU1227" s="200">
        <f t="shared" si="6217"/>
        <v>0</v>
      </c>
      <c r="AV1227" s="200">
        <f t="shared" ref="AV1227:AX1227" si="6218">countif($D1227,"*"&amp;AV$2&amp;"*")</f>
        <v>1</v>
      </c>
      <c r="AW1227" s="200">
        <f t="shared" si="6218"/>
        <v>0</v>
      </c>
      <c r="AX1227" s="200">
        <f t="shared" si="6218"/>
        <v>0</v>
      </c>
      <c r="AY1227" s="202">
        <v>0.0</v>
      </c>
      <c r="AZ1227" s="200"/>
      <c r="BA1227" s="171" t="str">
        <f t="shared" si="18"/>
        <v/>
      </c>
      <c r="BB1227" s="171" t="str">
        <f t="shared" si="19"/>
        <v>Code</v>
      </c>
      <c r="BC1227" s="171" t="str">
        <f t="shared" si="20"/>
        <v/>
      </c>
      <c r="BD1227" s="171" t="str">
        <f t="shared" si="21"/>
        <v/>
      </c>
      <c r="BE1227" s="171" t="str">
        <f t="shared" si="22"/>
        <v/>
      </c>
      <c r="BF1227" s="171" t="str">
        <f t="shared" si="23"/>
        <v>Code</v>
      </c>
    </row>
    <row r="1228">
      <c r="A1228" s="171">
        <f t="array" ref="A1228">XLOOKUP(C1228,ICSE!A:A,ICSE!C:C,,2,1)</f>
        <v>2023</v>
      </c>
      <c r="B1228" s="171" t="s">
        <v>5675</v>
      </c>
      <c r="C1228" s="160">
        <v>2230.0</v>
      </c>
      <c r="D1228" s="161" t="s">
        <v>3389</v>
      </c>
      <c r="E1228" s="197" t="str">
        <f t="array" ref="E1228">XLOOKUP(C1228,ICSE!A:A,ICSE!Z:Z,,0,1)</f>
        <v>Publicly available (1)</v>
      </c>
      <c r="F1228" s="198" t="s">
        <v>20</v>
      </c>
      <c r="G1228" s="163" t="str">
        <f t="array" ref="G1228">IF(B1228="ICSE",IF(COUNTIFS(B:B,B1228,C:C,C1228)=XLOOKUP(C1228,ICSE!A:A,ICSE!AA:AA,"ERROR",0,1),"OK","ERROR"),IF(B1228="FSE",IF(COUNTIFS(B:B,B1228,C:C,C1228)=XLOOKUP(C1228,FSE!A:A,FSE!AA:AA,"ERROR",0,1),"OK","ERROR")))</f>
        <v>OK</v>
      </c>
      <c r="H1228" s="199">
        <f t="shared" ref="H1228:O1228" si="6219">countif($D1228,"*"&amp;H$2&amp;"*")</f>
        <v>0</v>
      </c>
      <c r="I1228" s="200">
        <f t="shared" si="6219"/>
        <v>1</v>
      </c>
      <c r="J1228" s="200">
        <f t="shared" si="6219"/>
        <v>0</v>
      </c>
      <c r="K1228" s="200">
        <f t="shared" si="6219"/>
        <v>0</v>
      </c>
      <c r="L1228" s="200">
        <f t="shared" si="6219"/>
        <v>0</v>
      </c>
      <c r="M1228" s="200">
        <f t="shared" si="6219"/>
        <v>0</v>
      </c>
      <c r="N1228" s="200">
        <f t="shared" si="6219"/>
        <v>0</v>
      </c>
      <c r="O1228" s="200">
        <f t="shared" si="6219"/>
        <v>0</v>
      </c>
      <c r="P1228" s="200">
        <f t="shared" si="9"/>
        <v>0</v>
      </c>
      <c r="Q1228" s="200">
        <f t="shared" ref="Q1228:AC1228" si="6220">countif($D1228,"*"&amp;Q$2&amp;"*")</f>
        <v>0</v>
      </c>
      <c r="R1228" s="200">
        <f t="shared" si="6220"/>
        <v>0</v>
      </c>
      <c r="S1228" s="200">
        <f t="shared" si="6220"/>
        <v>0</v>
      </c>
      <c r="T1228" s="200">
        <f t="shared" si="6220"/>
        <v>0</v>
      </c>
      <c r="U1228" s="200">
        <f t="shared" si="6220"/>
        <v>0</v>
      </c>
      <c r="V1228" s="200">
        <f t="shared" si="6220"/>
        <v>0</v>
      </c>
      <c r="W1228" s="200">
        <f t="shared" si="6220"/>
        <v>0</v>
      </c>
      <c r="X1228" s="200">
        <f t="shared" si="6220"/>
        <v>0</v>
      </c>
      <c r="Y1228" s="200">
        <f t="shared" si="6220"/>
        <v>0</v>
      </c>
      <c r="Z1228" s="200">
        <f t="shared" si="6220"/>
        <v>0</v>
      </c>
      <c r="AA1228" s="200">
        <f t="shared" si="6220"/>
        <v>0</v>
      </c>
      <c r="AB1228" s="200">
        <f t="shared" si="6220"/>
        <v>0</v>
      </c>
      <c r="AC1228" s="200">
        <f t="shared" si="6220"/>
        <v>0</v>
      </c>
      <c r="AD1228" s="200">
        <f t="shared" si="11"/>
        <v>0</v>
      </c>
      <c r="AE1228" s="200">
        <f t="shared" ref="AE1228:AG1228" si="6221">countif($D1228,"*"&amp;AE$2&amp;"*")</f>
        <v>0</v>
      </c>
      <c r="AF1228" s="200">
        <f t="shared" si="6221"/>
        <v>0</v>
      </c>
      <c r="AG1228" s="200">
        <f t="shared" si="6221"/>
        <v>0</v>
      </c>
      <c r="AH1228" s="171">
        <f t="shared" si="13"/>
        <v>0</v>
      </c>
      <c r="AI1228" s="200">
        <f t="shared" si="14"/>
        <v>1</v>
      </c>
      <c r="AJ1228" s="200">
        <f t="shared" si="6100"/>
        <v>0</v>
      </c>
      <c r="AK1228" s="201">
        <f t="shared" ref="AK1228:AS1228" si="6222">countif($D1228,"*"&amp;AK$2&amp;"*")</f>
        <v>0</v>
      </c>
      <c r="AL1228" s="201">
        <f t="shared" si="6222"/>
        <v>0</v>
      </c>
      <c r="AM1228" s="201">
        <f t="shared" si="6222"/>
        <v>0</v>
      </c>
      <c r="AN1228" s="201">
        <f t="shared" si="6222"/>
        <v>0</v>
      </c>
      <c r="AO1228" s="201">
        <f t="shared" si="6222"/>
        <v>0</v>
      </c>
      <c r="AP1228" s="201">
        <f t="shared" si="6222"/>
        <v>0</v>
      </c>
      <c r="AQ1228" s="201">
        <f t="shared" si="6222"/>
        <v>0</v>
      </c>
      <c r="AR1228" s="200">
        <f t="shared" si="6222"/>
        <v>0</v>
      </c>
      <c r="AS1228" s="200">
        <f t="shared" si="6222"/>
        <v>0</v>
      </c>
      <c r="AT1228" s="173">
        <v>0.0</v>
      </c>
      <c r="AU1228" s="200">
        <f t="shared" si="6217"/>
        <v>0</v>
      </c>
      <c r="AV1228" s="200">
        <f t="shared" ref="AV1228:AX1228" si="6223">countif($D1228,"*"&amp;AV$2&amp;"*")</f>
        <v>0</v>
      </c>
      <c r="AW1228" s="200">
        <f t="shared" si="6223"/>
        <v>0</v>
      </c>
      <c r="AX1228" s="200">
        <f t="shared" si="6223"/>
        <v>0</v>
      </c>
      <c r="AY1228" s="204">
        <v>1.0</v>
      </c>
      <c r="AZ1228" s="200"/>
      <c r="BA1228" s="171" t="str">
        <f t="shared" si="18"/>
        <v>Archival</v>
      </c>
      <c r="BB1228" s="171" t="str">
        <f t="shared" si="19"/>
        <v/>
      </c>
      <c r="BC1228" s="171" t="str">
        <f t="shared" si="20"/>
        <v/>
      </c>
      <c r="BD1228" s="171" t="str">
        <f t="shared" si="21"/>
        <v/>
      </c>
      <c r="BE1228" s="171" t="str">
        <f t="shared" si="22"/>
        <v/>
      </c>
      <c r="BF1228" s="171" t="str">
        <f t="shared" si="23"/>
        <v>Archival</v>
      </c>
    </row>
    <row r="1229">
      <c r="A1229" s="171">
        <f t="array" ref="A1229">XLOOKUP(C1229,ICSE!A:A,ICSE!C:C,,2,1)</f>
        <v>2023</v>
      </c>
      <c r="B1229" s="171" t="s">
        <v>5675</v>
      </c>
      <c r="C1229" s="160">
        <v>2231.0</v>
      </c>
      <c r="D1229" s="161" t="s">
        <v>3393</v>
      </c>
      <c r="E1229" s="197" t="str">
        <f t="array" ref="E1229">XLOOKUP(C1229,ICSE!A:A,ICSE!Z:Z,,0,1)</f>
        <v>Publicly available (1)</v>
      </c>
      <c r="F1229" s="198" t="s">
        <v>20</v>
      </c>
      <c r="G1229" s="163" t="str">
        <f t="array" ref="G1229">IF(B1229="ICSE",IF(COUNTIFS(B:B,B1229,C:C,C1229)=XLOOKUP(C1229,ICSE!A:A,ICSE!AA:AA,"ERROR",0,1),"OK","ERROR"),IF(B1229="FSE",IF(COUNTIFS(B:B,B1229,C:C,C1229)=XLOOKUP(C1229,FSE!A:A,FSE!AA:AA,"ERROR",0,1),"OK","ERROR")))</f>
        <v>OK</v>
      </c>
      <c r="H1229" s="199">
        <f t="shared" ref="H1229:O1229" si="6224">countif($D1229,"*"&amp;H$2&amp;"*")</f>
        <v>0</v>
      </c>
      <c r="I1229" s="200">
        <f t="shared" si="6224"/>
        <v>0</v>
      </c>
      <c r="J1229" s="200">
        <f t="shared" si="6224"/>
        <v>0</v>
      </c>
      <c r="K1229" s="200">
        <f t="shared" si="6224"/>
        <v>0</v>
      </c>
      <c r="L1229" s="200">
        <f t="shared" si="6224"/>
        <v>0</v>
      </c>
      <c r="M1229" s="200">
        <f t="shared" si="6224"/>
        <v>0</v>
      </c>
      <c r="N1229" s="200">
        <f t="shared" si="6224"/>
        <v>0</v>
      </c>
      <c r="O1229" s="200">
        <f t="shared" si="6224"/>
        <v>0</v>
      </c>
      <c r="P1229" s="200">
        <f t="shared" si="9"/>
        <v>0</v>
      </c>
      <c r="Q1229" s="200">
        <f t="shared" ref="Q1229:AC1229" si="6225">countif($D1229,"*"&amp;Q$2&amp;"*")</f>
        <v>0</v>
      </c>
      <c r="R1229" s="200">
        <f t="shared" si="6225"/>
        <v>0</v>
      </c>
      <c r="S1229" s="200">
        <f t="shared" si="6225"/>
        <v>0</v>
      </c>
      <c r="T1229" s="200">
        <f t="shared" si="6225"/>
        <v>0</v>
      </c>
      <c r="U1229" s="200">
        <f t="shared" si="6225"/>
        <v>0</v>
      </c>
      <c r="V1229" s="200">
        <f t="shared" si="6225"/>
        <v>1</v>
      </c>
      <c r="W1229" s="200">
        <f t="shared" si="6225"/>
        <v>0</v>
      </c>
      <c r="X1229" s="200">
        <f t="shared" si="6225"/>
        <v>0</v>
      </c>
      <c r="Y1229" s="200">
        <f t="shared" si="6225"/>
        <v>0</v>
      </c>
      <c r="Z1229" s="200">
        <f t="shared" si="6225"/>
        <v>0</v>
      </c>
      <c r="AA1229" s="200">
        <f t="shared" si="6225"/>
        <v>0</v>
      </c>
      <c r="AB1229" s="200">
        <f t="shared" si="6225"/>
        <v>0</v>
      </c>
      <c r="AC1229" s="200">
        <f t="shared" si="6225"/>
        <v>0</v>
      </c>
      <c r="AD1229" s="200">
        <f t="shared" si="11"/>
        <v>0</v>
      </c>
      <c r="AE1229" s="200">
        <f t="shared" ref="AE1229:AG1229" si="6226">countif($D1229,"*"&amp;AE$2&amp;"*")</f>
        <v>0</v>
      </c>
      <c r="AF1229" s="200">
        <f t="shared" si="6226"/>
        <v>0</v>
      </c>
      <c r="AG1229" s="200">
        <f t="shared" si="6226"/>
        <v>0</v>
      </c>
      <c r="AH1229" s="171">
        <f t="shared" si="13"/>
        <v>0</v>
      </c>
      <c r="AI1229" s="200">
        <f t="shared" si="14"/>
        <v>0</v>
      </c>
      <c r="AJ1229" s="200">
        <f t="shared" si="6100"/>
        <v>0</v>
      </c>
      <c r="AK1229" s="201">
        <f t="shared" ref="AK1229:AS1229" si="6227">countif($D1229,"*"&amp;AK$2&amp;"*")</f>
        <v>0</v>
      </c>
      <c r="AL1229" s="201">
        <f t="shared" si="6227"/>
        <v>0</v>
      </c>
      <c r="AM1229" s="201">
        <f t="shared" si="6227"/>
        <v>0</v>
      </c>
      <c r="AN1229" s="201">
        <f t="shared" si="6227"/>
        <v>0</v>
      </c>
      <c r="AO1229" s="201">
        <f t="shared" si="6227"/>
        <v>0</v>
      </c>
      <c r="AP1229" s="201">
        <f t="shared" si="6227"/>
        <v>0</v>
      </c>
      <c r="AQ1229" s="201">
        <f t="shared" si="6227"/>
        <v>0</v>
      </c>
      <c r="AR1229" s="200">
        <f t="shared" si="6227"/>
        <v>0</v>
      </c>
      <c r="AS1229" s="200">
        <f t="shared" si="6227"/>
        <v>0</v>
      </c>
      <c r="AT1229" s="173">
        <v>0.0</v>
      </c>
      <c r="AU1229" s="200">
        <f t="shared" si="6217"/>
        <v>0</v>
      </c>
      <c r="AV1229" s="200">
        <f t="shared" ref="AV1229:AX1229" si="6228">countif($D1229,"*"&amp;AV$2&amp;"*")</f>
        <v>0</v>
      </c>
      <c r="AW1229" s="200">
        <f t="shared" si="6228"/>
        <v>0</v>
      </c>
      <c r="AX1229" s="200">
        <f t="shared" si="6228"/>
        <v>0</v>
      </c>
      <c r="AY1229" s="202">
        <v>0.0</v>
      </c>
      <c r="AZ1229" s="200"/>
      <c r="BA1229" s="171" t="str">
        <f t="shared" si="18"/>
        <v/>
      </c>
      <c r="BB1229" s="171" t="str">
        <f t="shared" si="19"/>
        <v/>
      </c>
      <c r="BC1229" s="171" t="str">
        <f t="shared" si="20"/>
        <v>General-purpose</v>
      </c>
      <c r="BD1229" s="171" t="str">
        <f t="shared" si="21"/>
        <v/>
      </c>
      <c r="BE1229" s="171" t="str">
        <f t="shared" si="22"/>
        <v/>
      </c>
      <c r="BF1229" s="171" t="str">
        <f t="shared" si="23"/>
        <v>General-purpose</v>
      </c>
    </row>
    <row r="1230">
      <c r="A1230" s="171">
        <f t="array" ref="A1230">XLOOKUP(C1230,FSE!A:A,FSE!C:C,"XXXXX",0,1)</f>
        <v>2023</v>
      </c>
      <c r="B1230" s="213" t="s">
        <v>5676</v>
      </c>
      <c r="C1230" s="214">
        <v>1.0</v>
      </c>
      <c r="D1230" s="215" t="s">
        <v>5300</v>
      </c>
      <c r="E1230" s="197" t="str">
        <f t="array" ref="E1230">XLOOKUP(C1230,FSE!A:A,FSE!Z:Z,"XXXXX",0,1)</f>
        <v>Publicly Available (1)</v>
      </c>
      <c r="F1230" s="213" t="s">
        <v>3394</v>
      </c>
      <c r="G1230" s="163" t="str">
        <f t="array" ref="G1230">IF(B1230="ICSE",IF(COUNTIFS(B:B,B1230,C:C,C1230)=XLOOKUP(C1230,ICSE!A:A,ICSE!AA:AA,"ERROR",0,1),"OK","ERROR"),IF(B1230="FSE",IF(COUNTIFS(B:B,B1230,C:C,C1230)=XLOOKUP(C1230,FSE!A:A,FSE!AA:AA,"ERROR",0,1),"OK","ERROR")))</f>
        <v>OK</v>
      </c>
      <c r="H1230" s="199">
        <f t="shared" ref="H1230:O1230" si="6229">countif($D1230,"*"&amp;H$2&amp;"*")</f>
        <v>1</v>
      </c>
      <c r="I1230" s="200">
        <f t="shared" si="6229"/>
        <v>0</v>
      </c>
      <c r="J1230" s="200">
        <f t="shared" si="6229"/>
        <v>0</v>
      </c>
      <c r="K1230" s="200">
        <f t="shared" si="6229"/>
        <v>0</v>
      </c>
      <c r="L1230" s="200">
        <f t="shared" si="6229"/>
        <v>0</v>
      </c>
      <c r="M1230" s="200">
        <f t="shared" si="6229"/>
        <v>0</v>
      </c>
      <c r="N1230" s="200">
        <f t="shared" si="6229"/>
        <v>0</v>
      </c>
      <c r="O1230" s="200">
        <f t="shared" si="6229"/>
        <v>0</v>
      </c>
      <c r="P1230" s="200">
        <f t="shared" si="9"/>
        <v>0</v>
      </c>
      <c r="Q1230" s="200">
        <f t="shared" ref="Q1230:AC1230" si="6230">countif($D1230,"*"&amp;Q$2&amp;"*")</f>
        <v>0</v>
      </c>
      <c r="R1230" s="200">
        <f t="shared" si="6230"/>
        <v>0</v>
      </c>
      <c r="S1230" s="200">
        <f t="shared" si="6230"/>
        <v>0</v>
      </c>
      <c r="T1230" s="200">
        <f t="shared" si="6230"/>
        <v>0</v>
      </c>
      <c r="U1230" s="200">
        <f t="shared" si="6230"/>
        <v>0</v>
      </c>
      <c r="V1230" s="200">
        <f t="shared" si="6230"/>
        <v>0</v>
      </c>
      <c r="W1230" s="200">
        <f t="shared" si="6230"/>
        <v>0</v>
      </c>
      <c r="X1230" s="200">
        <f t="shared" si="6230"/>
        <v>0</v>
      </c>
      <c r="Y1230" s="200">
        <f t="shared" si="6230"/>
        <v>0</v>
      </c>
      <c r="Z1230" s="200">
        <f t="shared" si="6230"/>
        <v>0</v>
      </c>
      <c r="AA1230" s="200">
        <f t="shared" si="6230"/>
        <v>0</v>
      </c>
      <c r="AB1230" s="200">
        <f t="shared" si="6230"/>
        <v>0</v>
      </c>
      <c r="AC1230" s="200">
        <f t="shared" si="6230"/>
        <v>0</v>
      </c>
      <c r="AD1230" s="200">
        <f t="shared" si="11"/>
        <v>0</v>
      </c>
      <c r="AE1230" s="200">
        <f t="shared" ref="AE1230:AG1230" si="6231">countif($D1230,"*"&amp;AE$2&amp;"*")</f>
        <v>0</v>
      </c>
      <c r="AF1230" s="200">
        <f t="shared" si="6231"/>
        <v>0</v>
      </c>
      <c r="AG1230" s="200">
        <f t="shared" si="6231"/>
        <v>0</v>
      </c>
      <c r="AH1230" s="171">
        <f t="shared" si="13"/>
        <v>0</v>
      </c>
      <c r="AI1230" s="200">
        <f t="shared" si="14"/>
        <v>1</v>
      </c>
      <c r="AJ1230" s="200">
        <f t="shared" si="6100"/>
        <v>0</v>
      </c>
      <c r="AK1230" s="201">
        <f t="shared" ref="AK1230:AS1230" si="6232">countif($D1230,"*"&amp;AK$2&amp;"*")</f>
        <v>0</v>
      </c>
      <c r="AL1230" s="201">
        <f t="shared" si="6232"/>
        <v>0</v>
      </c>
      <c r="AM1230" s="201">
        <f t="shared" si="6232"/>
        <v>0</v>
      </c>
      <c r="AN1230" s="201">
        <f t="shared" si="6232"/>
        <v>0</v>
      </c>
      <c r="AO1230" s="201">
        <f t="shared" si="6232"/>
        <v>0</v>
      </c>
      <c r="AP1230" s="201">
        <f t="shared" si="6232"/>
        <v>0</v>
      </c>
      <c r="AQ1230" s="201">
        <f t="shared" si="6232"/>
        <v>0</v>
      </c>
      <c r="AR1230" s="200">
        <f t="shared" si="6232"/>
        <v>0</v>
      </c>
      <c r="AS1230" s="200">
        <f t="shared" si="6232"/>
        <v>0</v>
      </c>
      <c r="AT1230" s="173">
        <v>0.0</v>
      </c>
      <c r="AU1230" s="200">
        <f t="shared" si="6217"/>
        <v>0</v>
      </c>
      <c r="AV1230" s="200">
        <f t="shared" ref="AV1230:AX1230" si="6233">countif($D1230,"*"&amp;AV$2&amp;"*")</f>
        <v>0</v>
      </c>
      <c r="AW1230" s="200">
        <f t="shared" si="6233"/>
        <v>0</v>
      </c>
      <c r="AX1230" s="200">
        <f t="shared" si="6233"/>
        <v>1</v>
      </c>
      <c r="AY1230" s="202">
        <v>0.0</v>
      </c>
      <c r="AZ1230" s="200"/>
      <c r="BA1230" s="171" t="str">
        <f t="shared" si="18"/>
        <v>Archival</v>
      </c>
      <c r="BB1230" s="171" t="str">
        <f t="shared" si="19"/>
        <v/>
      </c>
      <c r="BC1230" s="171" t="str">
        <f t="shared" si="20"/>
        <v/>
      </c>
      <c r="BD1230" s="171" t="str">
        <f t="shared" si="21"/>
        <v/>
      </c>
      <c r="BE1230" s="171" t="str">
        <f t="shared" si="22"/>
        <v/>
      </c>
      <c r="BF1230" s="171" t="str">
        <f t="shared" si="23"/>
        <v>Archival</v>
      </c>
    </row>
    <row r="1231">
      <c r="A1231" s="171">
        <f t="array" ref="A1231">XLOOKUP(C1231,FSE!A:A,FSE!C:C,"XXXXX",0,1)</f>
        <v>2023</v>
      </c>
      <c r="B1231" s="213" t="s">
        <v>5676</v>
      </c>
      <c r="C1231" s="214">
        <v>2.0</v>
      </c>
      <c r="D1231" s="215" t="s">
        <v>6174</v>
      </c>
      <c r="E1231" s="197" t="str">
        <f t="array" ref="E1231">XLOOKUP(C1231,FSE!A:A,FSE!Z:Z,"XXXXX",0,1)</f>
        <v>Publicly Available (2)</v>
      </c>
      <c r="F1231" s="213" t="s">
        <v>3394</v>
      </c>
      <c r="G1231" s="163" t="str">
        <f t="array" ref="G1231">IF(B1231="ICSE",IF(COUNTIFS(B:B,B1231,C:C,C1231)=XLOOKUP(C1231,ICSE!A:A,ICSE!AA:AA,"ERROR",0,1),"OK","ERROR"),IF(B1231="FSE",IF(COUNTIFS(B:B,B1231,C:C,C1231)=XLOOKUP(C1231,FSE!A:A,FSE!AA:AA,"ERROR",0,1),"OK","ERROR")))</f>
        <v>OK</v>
      </c>
      <c r="H1231" s="199">
        <f t="shared" ref="H1231:O1231" si="6234">countif($D1231,"*"&amp;H$2&amp;"*")</f>
        <v>1</v>
      </c>
      <c r="I1231" s="200">
        <f t="shared" si="6234"/>
        <v>0</v>
      </c>
      <c r="J1231" s="200">
        <f t="shared" si="6234"/>
        <v>0</v>
      </c>
      <c r="K1231" s="200">
        <f t="shared" si="6234"/>
        <v>0</v>
      </c>
      <c r="L1231" s="200">
        <f t="shared" si="6234"/>
        <v>0</v>
      </c>
      <c r="M1231" s="200">
        <f t="shared" si="6234"/>
        <v>0</v>
      </c>
      <c r="N1231" s="200">
        <f t="shared" si="6234"/>
        <v>0</v>
      </c>
      <c r="O1231" s="200">
        <f t="shared" si="6234"/>
        <v>0</v>
      </c>
      <c r="P1231" s="200">
        <f t="shared" si="9"/>
        <v>0</v>
      </c>
      <c r="Q1231" s="200">
        <f t="shared" ref="Q1231:AC1231" si="6235">countif($D1231,"*"&amp;Q$2&amp;"*")</f>
        <v>0</v>
      </c>
      <c r="R1231" s="200">
        <f t="shared" si="6235"/>
        <v>0</v>
      </c>
      <c r="S1231" s="200">
        <f t="shared" si="6235"/>
        <v>0</v>
      </c>
      <c r="T1231" s="200">
        <f t="shared" si="6235"/>
        <v>0</v>
      </c>
      <c r="U1231" s="200">
        <f t="shared" si="6235"/>
        <v>0</v>
      </c>
      <c r="V1231" s="200">
        <f t="shared" si="6235"/>
        <v>0</v>
      </c>
      <c r="W1231" s="200">
        <f t="shared" si="6235"/>
        <v>0</v>
      </c>
      <c r="X1231" s="200">
        <f t="shared" si="6235"/>
        <v>0</v>
      </c>
      <c r="Y1231" s="200">
        <f t="shared" si="6235"/>
        <v>0</v>
      </c>
      <c r="Z1231" s="200">
        <f t="shared" si="6235"/>
        <v>0</v>
      </c>
      <c r="AA1231" s="200">
        <f t="shared" si="6235"/>
        <v>0</v>
      </c>
      <c r="AB1231" s="200">
        <f t="shared" si="6235"/>
        <v>0</v>
      </c>
      <c r="AC1231" s="200">
        <f t="shared" si="6235"/>
        <v>0</v>
      </c>
      <c r="AD1231" s="200">
        <f t="shared" si="11"/>
        <v>0</v>
      </c>
      <c r="AE1231" s="200">
        <f t="shared" ref="AE1231:AG1231" si="6236">countif($D1231,"*"&amp;AE$2&amp;"*")</f>
        <v>0</v>
      </c>
      <c r="AF1231" s="200">
        <f t="shared" si="6236"/>
        <v>0</v>
      </c>
      <c r="AG1231" s="200">
        <f t="shared" si="6236"/>
        <v>0</v>
      </c>
      <c r="AH1231" s="171">
        <f t="shared" si="13"/>
        <v>0</v>
      </c>
      <c r="AI1231" s="200">
        <f t="shared" si="14"/>
        <v>1</v>
      </c>
      <c r="AJ1231" s="200">
        <f t="shared" si="6100"/>
        <v>0</v>
      </c>
      <c r="AK1231" s="201">
        <f t="shared" ref="AK1231:AS1231" si="6237">countif($D1231,"*"&amp;AK$2&amp;"*")</f>
        <v>0</v>
      </c>
      <c r="AL1231" s="201">
        <f t="shared" si="6237"/>
        <v>0</v>
      </c>
      <c r="AM1231" s="201">
        <f t="shared" si="6237"/>
        <v>0</v>
      </c>
      <c r="AN1231" s="201">
        <f t="shared" si="6237"/>
        <v>0</v>
      </c>
      <c r="AO1231" s="201">
        <f t="shared" si="6237"/>
        <v>0</v>
      </c>
      <c r="AP1231" s="201">
        <f t="shared" si="6237"/>
        <v>0</v>
      </c>
      <c r="AQ1231" s="201">
        <f t="shared" si="6237"/>
        <v>0</v>
      </c>
      <c r="AR1231" s="200">
        <f t="shared" si="6237"/>
        <v>0</v>
      </c>
      <c r="AS1231" s="200">
        <f t="shared" si="6237"/>
        <v>0</v>
      </c>
      <c r="AT1231" s="173">
        <v>0.0</v>
      </c>
      <c r="AU1231" s="200">
        <f t="shared" si="6217"/>
        <v>0</v>
      </c>
      <c r="AV1231" s="200">
        <f t="shared" ref="AV1231:AX1231" si="6238">countif($D1231,"*"&amp;AV$2&amp;"*")</f>
        <v>0</v>
      </c>
      <c r="AW1231" s="200">
        <f t="shared" si="6238"/>
        <v>0</v>
      </c>
      <c r="AX1231" s="200">
        <f t="shared" si="6238"/>
        <v>0</v>
      </c>
      <c r="AY1231" s="204">
        <v>1.0</v>
      </c>
      <c r="AZ1231" s="200"/>
      <c r="BA1231" s="171" t="str">
        <f t="shared" si="18"/>
        <v>Archival</v>
      </c>
      <c r="BB1231" s="171" t="str">
        <f t="shared" si="19"/>
        <v/>
      </c>
      <c r="BC1231" s="171" t="str">
        <f t="shared" si="20"/>
        <v/>
      </c>
      <c r="BD1231" s="171" t="str">
        <f t="shared" si="21"/>
        <v/>
      </c>
      <c r="BE1231" s="171" t="str">
        <f t="shared" si="22"/>
        <v/>
      </c>
      <c r="BF1231" s="171" t="str">
        <f t="shared" si="23"/>
        <v>Archival</v>
      </c>
    </row>
    <row r="1232">
      <c r="A1232" s="171">
        <f t="array" ref="A1232">XLOOKUP(C1232,FSE!A:A,FSE!C:C,"XXXXX",0,1)</f>
        <v>2023</v>
      </c>
      <c r="B1232" s="171" t="s">
        <v>5676</v>
      </c>
      <c r="C1232" s="160">
        <v>2.0</v>
      </c>
      <c r="D1232" s="161" t="s">
        <v>6175</v>
      </c>
      <c r="E1232" s="197" t="str">
        <f t="array" ref="E1232">XLOOKUP(C1232,FSE!A:A,FSE!Z:Z,"XXXXX",0,1)</f>
        <v>Publicly Available (2)</v>
      </c>
      <c r="F1232" s="213" t="s">
        <v>3394</v>
      </c>
      <c r="G1232" s="163" t="str">
        <f t="array" ref="G1232">IF(B1232="ICSE",IF(COUNTIFS(B:B,B1232,C:C,C1232)=XLOOKUP(C1232,ICSE!A:A,ICSE!AA:AA,"ERROR",0,1),"OK","ERROR"),IF(B1232="FSE",IF(COUNTIFS(B:B,B1232,C:C,C1232)=XLOOKUP(C1232,FSE!A:A,FSE!AA:AA,"ERROR",0,1),"OK","ERROR")))</f>
        <v>OK</v>
      </c>
      <c r="H1232" s="199">
        <f t="shared" ref="H1232:O1232" si="6239">countif($D1232,"*"&amp;H$2&amp;"*")</f>
        <v>0</v>
      </c>
      <c r="I1232" s="200">
        <f t="shared" si="6239"/>
        <v>0</v>
      </c>
      <c r="J1232" s="200">
        <f t="shared" si="6239"/>
        <v>0</v>
      </c>
      <c r="K1232" s="200">
        <f t="shared" si="6239"/>
        <v>0</v>
      </c>
      <c r="L1232" s="200">
        <f t="shared" si="6239"/>
        <v>0</v>
      </c>
      <c r="M1232" s="200">
        <f t="shared" si="6239"/>
        <v>0</v>
      </c>
      <c r="N1232" s="200">
        <f t="shared" si="6239"/>
        <v>0</v>
      </c>
      <c r="O1232" s="200">
        <f t="shared" si="6239"/>
        <v>0</v>
      </c>
      <c r="P1232" s="200">
        <f t="shared" si="9"/>
        <v>0</v>
      </c>
      <c r="Q1232" s="200">
        <f t="shared" ref="Q1232:AC1232" si="6240">countif($D1232,"*"&amp;Q$2&amp;"*")</f>
        <v>0</v>
      </c>
      <c r="R1232" s="200">
        <f t="shared" si="6240"/>
        <v>0</v>
      </c>
      <c r="S1232" s="200">
        <f t="shared" si="6240"/>
        <v>0</v>
      </c>
      <c r="T1232" s="200">
        <f t="shared" si="6240"/>
        <v>0</v>
      </c>
      <c r="U1232" s="200">
        <f t="shared" si="6240"/>
        <v>0</v>
      </c>
      <c r="V1232" s="200">
        <f t="shared" si="6240"/>
        <v>0</v>
      </c>
      <c r="W1232" s="200">
        <f t="shared" si="6240"/>
        <v>0</v>
      </c>
      <c r="X1232" s="200">
        <f t="shared" si="6240"/>
        <v>0</v>
      </c>
      <c r="Y1232" s="200">
        <f t="shared" si="6240"/>
        <v>0</v>
      </c>
      <c r="Z1232" s="200">
        <f t="shared" si="6240"/>
        <v>0</v>
      </c>
      <c r="AA1232" s="200">
        <f t="shared" si="6240"/>
        <v>0</v>
      </c>
      <c r="AB1232" s="200">
        <f t="shared" si="6240"/>
        <v>0</v>
      </c>
      <c r="AC1232" s="200">
        <f t="shared" si="6240"/>
        <v>0</v>
      </c>
      <c r="AD1232" s="200">
        <f t="shared" si="11"/>
        <v>0</v>
      </c>
      <c r="AE1232" s="200">
        <f t="shared" ref="AE1232:AG1232" si="6241">countif($D1232,"*"&amp;AE$2&amp;"*")</f>
        <v>0</v>
      </c>
      <c r="AF1232" s="200">
        <f t="shared" si="6241"/>
        <v>0</v>
      </c>
      <c r="AG1232" s="200">
        <f t="shared" si="6241"/>
        <v>0</v>
      </c>
      <c r="AH1232" s="171">
        <f t="shared" si="13"/>
        <v>1</v>
      </c>
      <c r="AI1232" s="200">
        <f t="shared" si="14"/>
        <v>0</v>
      </c>
      <c r="AJ1232" s="200">
        <f t="shared" si="6100"/>
        <v>0</v>
      </c>
      <c r="AK1232" s="201">
        <f t="shared" ref="AK1232:AS1232" si="6242">countif($D1232,"*"&amp;AK$2&amp;"*")</f>
        <v>0</v>
      </c>
      <c r="AL1232" s="201">
        <f t="shared" si="6242"/>
        <v>0</v>
      </c>
      <c r="AM1232" s="201">
        <f t="shared" si="6242"/>
        <v>0</v>
      </c>
      <c r="AN1232" s="201">
        <f t="shared" si="6242"/>
        <v>0</v>
      </c>
      <c r="AO1232" s="201">
        <f t="shared" si="6242"/>
        <v>0</v>
      </c>
      <c r="AP1232" s="201">
        <f t="shared" si="6242"/>
        <v>0</v>
      </c>
      <c r="AQ1232" s="201">
        <f t="shared" si="6242"/>
        <v>0</v>
      </c>
      <c r="AR1232" s="200">
        <f t="shared" si="6242"/>
        <v>0</v>
      </c>
      <c r="AS1232" s="200">
        <f t="shared" si="6242"/>
        <v>0</v>
      </c>
      <c r="AT1232" s="173">
        <v>0.0</v>
      </c>
      <c r="AU1232" s="200">
        <f t="shared" si="6217"/>
        <v>0</v>
      </c>
      <c r="AV1232" s="200">
        <f t="shared" ref="AV1232:AX1232" si="6243">countif($D1232,"*"&amp;AV$2&amp;"*")</f>
        <v>0</v>
      </c>
      <c r="AW1232" s="200">
        <f t="shared" si="6243"/>
        <v>0</v>
      </c>
      <c r="AX1232" s="200">
        <f t="shared" si="6243"/>
        <v>0</v>
      </c>
      <c r="AY1232" s="202">
        <v>0.0</v>
      </c>
      <c r="AZ1232" s="200"/>
      <c r="BA1232" s="171" t="str">
        <f t="shared" si="18"/>
        <v/>
      </c>
      <c r="BB1232" s="171" t="str">
        <f t="shared" si="19"/>
        <v/>
      </c>
      <c r="BC1232" s="171" t="str">
        <f t="shared" si="20"/>
        <v/>
      </c>
      <c r="BD1232" s="171" t="str">
        <f t="shared" si="21"/>
        <v/>
      </c>
      <c r="BE1232" s="171" t="str">
        <f t="shared" si="22"/>
        <v>Others</v>
      </c>
      <c r="BF1232" s="171" t="str">
        <f t="shared" si="23"/>
        <v>Others</v>
      </c>
    </row>
    <row r="1233">
      <c r="A1233" s="171">
        <f t="array" ref="A1233">XLOOKUP(C1233,FSE!A:A,FSE!C:C,"XXXXX",0,1)</f>
        <v>2023</v>
      </c>
      <c r="B1233" s="213" t="s">
        <v>5676</v>
      </c>
      <c r="C1233" s="214">
        <v>3.0</v>
      </c>
      <c r="D1233" s="215" t="s">
        <v>5306</v>
      </c>
      <c r="E1233" s="197" t="str">
        <f t="array" ref="E1233">XLOOKUP(C1233,FSE!A:A,FSE!Z:Z,"XXXXX",0,1)</f>
        <v>Publicly Available (1)</v>
      </c>
      <c r="F1233" s="213" t="s">
        <v>3394</v>
      </c>
      <c r="G1233" s="163" t="str">
        <f t="array" ref="G1233">IF(B1233="ICSE",IF(COUNTIFS(B:B,B1233,C:C,C1233)=XLOOKUP(C1233,ICSE!A:A,ICSE!AA:AA,"ERROR",0,1),"OK","ERROR"),IF(B1233="FSE",IF(COUNTIFS(B:B,B1233,C:C,C1233)=XLOOKUP(C1233,FSE!A:A,FSE!AA:AA,"ERROR",0,1),"OK","ERROR")))</f>
        <v>OK</v>
      </c>
      <c r="H1233" s="199">
        <f t="shared" ref="H1233:O1233" si="6244">countif($D1233,"*"&amp;H$2&amp;"*")</f>
        <v>1</v>
      </c>
      <c r="I1233" s="200">
        <f t="shared" si="6244"/>
        <v>0</v>
      </c>
      <c r="J1233" s="200">
        <f t="shared" si="6244"/>
        <v>0</v>
      </c>
      <c r="K1233" s="200">
        <f t="shared" si="6244"/>
        <v>0</v>
      </c>
      <c r="L1233" s="200">
        <f t="shared" si="6244"/>
        <v>0</v>
      </c>
      <c r="M1233" s="200">
        <f t="shared" si="6244"/>
        <v>0</v>
      </c>
      <c r="N1233" s="200">
        <f t="shared" si="6244"/>
        <v>0</v>
      </c>
      <c r="O1233" s="200">
        <f t="shared" si="6244"/>
        <v>0</v>
      </c>
      <c r="P1233" s="200">
        <f t="shared" si="9"/>
        <v>0</v>
      </c>
      <c r="Q1233" s="200">
        <f t="shared" ref="Q1233:AC1233" si="6245">countif($D1233,"*"&amp;Q$2&amp;"*")</f>
        <v>0</v>
      </c>
      <c r="R1233" s="200">
        <f t="shared" si="6245"/>
        <v>0</v>
      </c>
      <c r="S1233" s="200">
        <f t="shared" si="6245"/>
        <v>0</v>
      </c>
      <c r="T1233" s="200">
        <f t="shared" si="6245"/>
        <v>0</v>
      </c>
      <c r="U1233" s="200">
        <f t="shared" si="6245"/>
        <v>0</v>
      </c>
      <c r="V1233" s="200">
        <f t="shared" si="6245"/>
        <v>0</v>
      </c>
      <c r="W1233" s="200">
        <f t="shared" si="6245"/>
        <v>0</v>
      </c>
      <c r="X1233" s="200">
        <f t="shared" si="6245"/>
        <v>0</v>
      </c>
      <c r="Y1233" s="200">
        <f t="shared" si="6245"/>
        <v>0</v>
      </c>
      <c r="Z1233" s="200">
        <f t="shared" si="6245"/>
        <v>0</v>
      </c>
      <c r="AA1233" s="200">
        <f t="shared" si="6245"/>
        <v>0</v>
      </c>
      <c r="AB1233" s="200">
        <f t="shared" si="6245"/>
        <v>0</v>
      </c>
      <c r="AC1233" s="200">
        <f t="shared" si="6245"/>
        <v>0</v>
      </c>
      <c r="AD1233" s="200">
        <f t="shared" si="11"/>
        <v>0</v>
      </c>
      <c r="AE1233" s="200">
        <f t="shared" ref="AE1233:AG1233" si="6246">countif($D1233,"*"&amp;AE$2&amp;"*")</f>
        <v>0</v>
      </c>
      <c r="AF1233" s="200">
        <f t="shared" si="6246"/>
        <v>0</v>
      </c>
      <c r="AG1233" s="200">
        <f t="shared" si="6246"/>
        <v>0</v>
      </c>
      <c r="AH1233" s="171">
        <f t="shared" si="13"/>
        <v>0</v>
      </c>
      <c r="AI1233" s="200">
        <f t="shared" si="14"/>
        <v>1</v>
      </c>
      <c r="AJ1233" s="200">
        <f t="shared" si="6100"/>
        <v>0</v>
      </c>
      <c r="AK1233" s="201">
        <f t="shared" ref="AK1233:AS1233" si="6247">countif($D1233,"*"&amp;AK$2&amp;"*")</f>
        <v>0</v>
      </c>
      <c r="AL1233" s="201">
        <f t="shared" si="6247"/>
        <v>0</v>
      </c>
      <c r="AM1233" s="201">
        <f t="shared" si="6247"/>
        <v>0</v>
      </c>
      <c r="AN1233" s="201">
        <f t="shared" si="6247"/>
        <v>0</v>
      </c>
      <c r="AO1233" s="201">
        <f t="shared" si="6247"/>
        <v>0</v>
      </c>
      <c r="AP1233" s="201">
        <f t="shared" si="6247"/>
        <v>0</v>
      </c>
      <c r="AQ1233" s="201">
        <f t="shared" si="6247"/>
        <v>0</v>
      </c>
      <c r="AR1233" s="200">
        <f t="shared" si="6247"/>
        <v>0</v>
      </c>
      <c r="AS1233" s="200">
        <f t="shared" si="6247"/>
        <v>0</v>
      </c>
      <c r="AT1233" s="173">
        <v>0.0</v>
      </c>
      <c r="AU1233" s="200">
        <f t="shared" si="6217"/>
        <v>0</v>
      </c>
      <c r="AV1233" s="200">
        <f t="shared" ref="AV1233:AX1233" si="6248">countif($D1233,"*"&amp;AV$2&amp;"*")</f>
        <v>0</v>
      </c>
      <c r="AW1233" s="200">
        <f t="shared" si="6248"/>
        <v>0</v>
      </c>
      <c r="AX1233" s="200">
        <f t="shared" si="6248"/>
        <v>0</v>
      </c>
      <c r="AY1233" s="204">
        <v>1.0</v>
      </c>
      <c r="AZ1233" s="200"/>
      <c r="BA1233" s="171" t="str">
        <f t="shared" si="18"/>
        <v>Archival</v>
      </c>
      <c r="BB1233" s="171" t="str">
        <f t="shared" si="19"/>
        <v/>
      </c>
      <c r="BC1233" s="171" t="str">
        <f t="shared" si="20"/>
        <v/>
      </c>
      <c r="BD1233" s="171" t="str">
        <f t="shared" si="21"/>
        <v/>
      </c>
      <c r="BE1233" s="171" t="str">
        <f t="shared" si="22"/>
        <v/>
      </c>
      <c r="BF1233" s="171" t="str">
        <f t="shared" si="23"/>
        <v>Archival</v>
      </c>
    </row>
    <row r="1234">
      <c r="A1234" s="171">
        <f t="array" ref="A1234">XLOOKUP(C1234,FSE!A:A,FSE!C:C,"XXXXX",0,1)</f>
        <v>2023</v>
      </c>
      <c r="B1234" s="213" t="s">
        <v>5676</v>
      </c>
      <c r="C1234" s="214">
        <v>4.0</v>
      </c>
      <c r="D1234" s="215" t="s">
        <v>5308</v>
      </c>
      <c r="E1234" s="197" t="str">
        <f t="array" ref="E1234">XLOOKUP(C1234,FSE!A:A,FSE!Z:Z,"XXXXX",0,1)</f>
        <v>Publicly Available (1)</v>
      </c>
      <c r="F1234" s="213" t="s">
        <v>3394</v>
      </c>
      <c r="G1234" s="163" t="str">
        <f t="array" ref="G1234">IF(B1234="ICSE",IF(COUNTIFS(B:B,B1234,C:C,C1234)=XLOOKUP(C1234,ICSE!A:A,ICSE!AA:AA,"ERROR",0,1),"OK","ERROR"),IF(B1234="FSE",IF(COUNTIFS(B:B,B1234,C:C,C1234)=XLOOKUP(C1234,FSE!A:A,FSE!AA:AA,"ERROR",0,1),"OK","ERROR")))</f>
        <v>OK</v>
      </c>
      <c r="H1234" s="199">
        <f t="shared" ref="H1234:O1234" si="6249">countif($D1234,"*"&amp;H$2&amp;"*")</f>
        <v>1</v>
      </c>
      <c r="I1234" s="200">
        <f t="shared" si="6249"/>
        <v>0</v>
      </c>
      <c r="J1234" s="200">
        <f t="shared" si="6249"/>
        <v>0</v>
      </c>
      <c r="K1234" s="200">
        <f t="shared" si="6249"/>
        <v>0</v>
      </c>
      <c r="L1234" s="200">
        <f t="shared" si="6249"/>
        <v>0</v>
      </c>
      <c r="M1234" s="200">
        <f t="shared" si="6249"/>
        <v>0</v>
      </c>
      <c r="N1234" s="200">
        <f t="shared" si="6249"/>
        <v>0</v>
      </c>
      <c r="O1234" s="200">
        <f t="shared" si="6249"/>
        <v>0</v>
      </c>
      <c r="P1234" s="200">
        <f t="shared" si="9"/>
        <v>0</v>
      </c>
      <c r="Q1234" s="200">
        <f t="shared" ref="Q1234:AC1234" si="6250">countif($D1234,"*"&amp;Q$2&amp;"*")</f>
        <v>0</v>
      </c>
      <c r="R1234" s="200">
        <f t="shared" si="6250"/>
        <v>0</v>
      </c>
      <c r="S1234" s="200">
        <f t="shared" si="6250"/>
        <v>0</v>
      </c>
      <c r="T1234" s="200">
        <f t="shared" si="6250"/>
        <v>0</v>
      </c>
      <c r="U1234" s="200">
        <f t="shared" si="6250"/>
        <v>0</v>
      </c>
      <c r="V1234" s="200">
        <f t="shared" si="6250"/>
        <v>0</v>
      </c>
      <c r="W1234" s="200">
        <f t="shared" si="6250"/>
        <v>0</v>
      </c>
      <c r="X1234" s="200">
        <f t="shared" si="6250"/>
        <v>0</v>
      </c>
      <c r="Y1234" s="200">
        <f t="shared" si="6250"/>
        <v>0</v>
      </c>
      <c r="Z1234" s="200">
        <f t="shared" si="6250"/>
        <v>0</v>
      </c>
      <c r="AA1234" s="200">
        <f t="shared" si="6250"/>
        <v>0</v>
      </c>
      <c r="AB1234" s="200">
        <f t="shared" si="6250"/>
        <v>0</v>
      </c>
      <c r="AC1234" s="200">
        <f t="shared" si="6250"/>
        <v>0</v>
      </c>
      <c r="AD1234" s="200">
        <f t="shared" si="11"/>
        <v>0</v>
      </c>
      <c r="AE1234" s="200">
        <f t="shared" ref="AE1234:AG1234" si="6251">countif($D1234,"*"&amp;AE$2&amp;"*")</f>
        <v>0</v>
      </c>
      <c r="AF1234" s="200">
        <f t="shared" si="6251"/>
        <v>0</v>
      </c>
      <c r="AG1234" s="200">
        <f t="shared" si="6251"/>
        <v>0</v>
      </c>
      <c r="AH1234" s="171">
        <f t="shared" si="13"/>
        <v>0</v>
      </c>
      <c r="AI1234" s="200">
        <f t="shared" si="14"/>
        <v>1</v>
      </c>
      <c r="AJ1234" s="200">
        <f t="shared" si="6100"/>
        <v>0</v>
      </c>
      <c r="AK1234" s="201">
        <f t="shared" ref="AK1234:AS1234" si="6252">countif($D1234,"*"&amp;AK$2&amp;"*")</f>
        <v>0</v>
      </c>
      <c r="AL1234" s="201">
        <f t="shared" si="6252"/>
        <v>0</v>
      </c>
      <c r="AM1234" s="201">
        <f t="shared" si="6252"/>
        <v>0</v>
      </c>
      <c r="AN1234" s="201">
        <f t="shared" si="6252"/>
        <v>0</v>
      </c>
      <c r="AO1234" s="201">
        <f t="shared" si="6252"/>
        <v>0</v>
      </c>
      <c r="AP1234" s="201">
        <f t="shared" si="6252"/>
        <v>0</v>
      </c>
      <c r="AQ1234" s="201">
        <f t="shared" si="6252"/>
        <v>0</v>
      </c>
      <c r="AR1234" s="200">
        <f t="shared" si="6252"/>
        <v>0</v>
      </c>
      <c r="AS1234" s="200">
        <f t="shared" si="6252"/>
        <v>0</v>
      </c>
      <c r="AT1234" s="173">
        <v>0.0</v>
      </c>
      <c r="AU1234" s="200">
        <f t="shared" si="6217"/>
        <v>0</v>
      </c>
      <c r="AV1234" s="200">
        <f t="shared" ref="AV1234:AX1234" si="6253">countif($D1234,"*"&amp;AV$2&amp;"*")</f>
        <v>0</v>
      </c>
      <c r="AW1234" s="200">
        <f t="shared" si="6253"/>
        <v>0</v>
      </c>
      <c r="AX1234" s="200">
        <f t="shared" si="6253"/>
        <v>1</v>
      </c>
      <c r="AY1234" s="202">
        <v>0.0</v>
      </c>
      <c r="AZ1234" s="200"/>
      <c r="BA1234" s="171" t="str">
        <f t="shared" si="18"/>
        <v>Archival</v>
      </c>
      <c r="BB1234" s="171" t="str">
        <f t="shared" si="19"/>
        <v/>
      </c>
      <c r="BC1234" s="171" t="str">
        <f t="shared" si="20"/>
        <v/>
      </c>
      <c r="BD1234" s="171" t="str">
        <f t="shared" si="21"/>
        <v/>
      </c>
      <c r="BE1234" s="171" t="str">
        <f t="shared" si="22"/>
        <v/>
      </c>
      <c r="BF1234" s="171" t="str">
        <f t="shared" si="23"/>
        <v>Archival</v>
      </c>
    </row>
    <row r="1235">
      <c r="A1235" s="171">
        <f t="array" ref="A1235">XLOOKUP(C1235,FSE!A:A,FSE!C:C,"XXXXX",0,1)</f>
        <v>2023</v>
      </c>
      <c r="B1235" s="213" t="s">
        <v>5676</v>
      </c>
      <c r="C1235" s="214">
        <v>5.0</v>
      </c>
      <c r="D1235" s="215" t="s">
        <v>5310</v>
      </c>
      <c r="E1235" s="197" t="str">
        <f t="array" ref="E1235">XLOOKUP(C1235,FSE!A:A,FSE!Z:Z,"XXXXX",0,1)</f>
        <v>Publicly Available (1)</v>
      </c>
      <c r="F1235" s="213" t="s">
        <v>3394</v>
      </c>
      <c r="G1235" s="163" t="str">
        <f t="array" ref="G1235">IF(B1235="ICSE",IF(COUNTIFS(B:B,B1235,C:C,C1235)=XLOOKUP(C1235,ICSE!A:A,ICSE!AA:AA,"ERROR",0,1),"OK","ERROR"),IF(B1235="FSE",IF(COUNTIFS(B:B,B1235,C:C,C1235)=XLOOKUP(C1235,FSE!A:A,FSE!AA:AA,"ERROR",0,1),"OK","ERROR")))</f>
        <v>OK</v>
      </c>
      <c r="H1235" s="199">
        <f t="shared" ref="H1235:O1235" si="6254">countif($D1235,"*"&amp;H$2&amp;"*")</f>
        <v>0</v>
      </c>
      <c r="I1235" s="200">
        <f t="shared" si="6254"/>
        <v>0</v>
      </c>
      <c r="J1235" s="200">
        <f t="shared" si="6254"/>
        <v>0</v>
      </c>
      <c r="K1235" s="200">
        <f t="shared" si="6254"/>
        <v>0</v>
      </c>
      <c r="L1235" s="200">
        <f t="shared" si="6254"/>
        <v>0</v>
      </c>
      <c r="M1235" s="200">
        <f t="shared" si="6254"/>
        <v>0</v>
      </c>
      <c r="N1235" s="200">
        <f t="shared" si="6254"/>
        <v>0</v>
      </c>
      <c r="O1235" s="200">
        <f t="shared" si="6254"/>
        <v>0</v>
      </c>
      <c r="P1235" s="200">
        <f t="shared" si="9"/>
        <v>1</v>
      </c>
      <c r="Q1235" s="200">
        <f t="shared" ref="Q1235:AC1235" si="6255">countif($D1235,"*"&amp;Q$2&amp;"*")</f>
        <v>0</v>
      </c>
      <c r="R1235" s="200">
        <f t="shared" si="6255"/>
        <v>0</v>
      </c>
      <c r="S1235" s="200">
        <f t="shared" si="6255"/>
        <v>0</v>
      </c>
      <c r="T1235" s="200">
        <f t="shared" si="6255"/>
        <v>0</v>
      </c>
      <c r="U1235" s="200">
        <f t="shared" si="6255"/>
        <v>0</v>
      </c>
      <c r="V1235" s="200">
        <f t="shared" si="6255"/>
        <v>0</v>
      </c>
      <c r="W1235" s="200">
        <f t="shared" si="6255"/>
        <v>0</v>
      </c>
      <c r="X1235" s="200">
        <f t="shared" si="6255"/>
        <v>0</v>
      </c>
      <c r="Y1235" s="200">
        <f t="shared" si="6255"/>
        <v>0</v>
      </c>
      <c r="Z1235" s="200">
        <f t="shared" si="6255"/>
        <v>0</v>
      </c>
      <c r="AA1235" s="200">
        <f t="shared" si="6255"/>
        <v>0</v>
      </c>
      <c r="AB1235" s="200">
        <f t="shared" si="6255"/>
        <v>0</v>
      </c>
      <c r="AC1235" s="200">
        <f t="shared" si="6255"/>
        <v>0</v>
      </c>
      <c r="AD1235" s="200">
        <f t="shared" si="11"/>
        <v>0</v>
      </c>
      <c r="AE1235" s="200">
        <f t="shared" ref="AE1235:AG1235" si="6256">countif($D1235,"*"&amp;AE$2&amp;"*")</f>
        <v>0</v>
      </c>
      <c r="AF1235" s="200">
        <f t="shared" si="6256"/>
        <v>0</v>
      </c>
      <c r="AG1235" s="200">
        <f t="shared" si="6256"/>
        <v>0</v>
      </c>
      <c r="AH1235" s="171">
        <f t="shared" si="13"/>
        <v>0</v>
      </c>
      <c r="AI1235" s="200">
        <f t="shared" si="14"/>
        <v>0</v>
      </c>
      <c r="AJ1235" s="200">
        <f t="shared" si="6100"/>
        <v>0</v>
      </c>
      <c r="AK1235" s="201">
        <f t="shared" ref="AK1235:AS1235" si="6257">countif($D1235,"*"&amp;AK$2&amp;"*")</f>
        <v>0</v>
      </c>
      <c r="AL1235" s="201">
        <f t="shared" si="6257"/>
        <v>0</v>
      </c>
      <c r="AM1235" s="201">
        <f t="shared" si="6257"/>
        <v>0</v>
      </c>
      <c r="AN1235" s="201">
        <f t="shared" si="6257"/>
        <v>0</v>
      </c>
      <c r="AO1235" s="201">
        <f t="shared" si="6257"/>
        <v>0</v>
      </c>
      <c r="AP1235" s="201">
        <f t="shared" si="6257"/>
        <v>0</v>
      </c>
      <c r="AQ1235" s="201">
        <f t="shared" si="6257"/>
        <v>0</v>
      </c>
      <c r="AR1235" s="200">
        <f t="shared" si="6257"/>
        <v>0</v>
      </c>
      <c r="AS1235" s="200">
        <f t="shared" si="6257"/>
        <v>0</v>
      </c>
      <c r="AT1235" s="173">
        <v>0.0</v>
      </c>
      <c r="AU1235" s="200">
        <f t="shared" si="6217"/>
        <v>0</v>
      </c>
      <c r="AV1235" s="200">
        <f t="shared" ref="AV1235:AX1235" si="6258">countif($D1235,"*"&amp;AV$2&amp;"*")</f>
        <v>1</v>
      </c>
      <c r="AW1235" s="200">
        <f t="shared" si="6258"/>
        <v>0</v>
      </c>
      <c r="AX1235" s="200">
        <f t="shared" si="6258"/>
        <v>0</v>
      </c>
      <c r="AY1235" s="202">
        <v>0.0</v>
      </c>
      <c r="AZ1235" s="200"/>
      <c r="BA1235" s="171" t="str">
        <f t="shared" si="18"/>
        <v/>
      </c>
      <c r="BB1235" s="171" t="str">
        <f t="shared" si="19"/>
        <v>Code</v>
      </c>
      <c r="BC1235" s="171" t="str">
        <f t="shared" si="20"/>
        <v/>
      </c>
      <c r="BD1235" s="171" t="str">
        <f t="shared" si="21"/>
        <v/>
      </c>
      <c r="BE1235" s="171" t="str">
        <f t="shared" si="22"/>
        <v/>
      </c>
      <c r="BF1235" s="171" t="str">
        <f t="shared" si="23"/>
        <v>Code</v>
      </c>
    </row>
    <row r="1236">
      <c r="A1236" s="171">
        <f t="array" ref="A1236">XLOOKUP(C1236,FSE!A:A,FSE!C:C,"XXXXX",0,1)</f>
        <v>2023</v>
      </c>
      <c r="B1236" s="213" t="s">
        <v>5676</v>
      </c>
      <c r="C1236" s="214">
        <v>6.0</v>
      </c>
      <c r="D1236" s="215" t="s">
        <v>6176</v>
      </c>
      <c r="E1236" s="197" t="str">
        <f t="array" ref="E1236">XLOOKUP(C1236,FSE!A:A,FSE!Z:Z,"XXXXX",0,1)</f>
        <v>Publicly Available (2)</v>
      </c>
      <c r="F1236" s="213" t="s">
        <v>3394</v>
      </c>
      <c r="G1236" s="163" t="str">
        <f t="array" ref="G1236">IF(B1236="ICSE",IF(COUNTIFS(B:B,B1236,C:C,C1236)=XLOOKUP(C1236,ICSE!A:A,ICSE!AA:AA,"ERROR",0,1),"OK","ERROR"),IF(B1236="FSE",IF(COUNTIFS(B:B,B1236,C:C,C1236)=XLOOKUP(C1236,FSE!A:A,FSE!AA:AA,"ERROR",0,1),"OK","ERROR")))</f>
        <v>OK</v>
      </c>
      <c r="H1236" s="199">
        <f t="shared" ref="H1236:O1236" si="6259">countif($D1236,"*"&amp;H$2&amp;"*")</f>
        <v>0</v>
      </c>
      <c r="I1236" s="200">
        <f t="shared" si="6259"/>
        <v>0</v>
      </c>
      <c r="J1236" s="200">
        <f t="shared" si="6259"/>
        <v>0</v>
      </c>
      <c r="K1236" s="200">
        <f t="shared" si="6259"/>
        <v>0</v>
      </c>
      <c r="L1236" s="200">
        <f t="shared" si="6259"/>
        <v>0</v>
      </c>
      <c r="M1236" s="200">
        <f t="shared" si="6259"/>
        <v>0</v>
      </c>
      <c r="N1236" s="200">
        <f t="shared" si="6259"/>
        <v>0</v>
      </c>
      <c r="O1236" s="200">
        <f t="shared" si="6259"/>
        <v>0</v>
      </c>
      <c r="P1236" s="200">
        <f t="shared" si="9"/>
        <v>1</v>
      </c>
      <c r="Q1236" s="200">
        <f t="shared" ref="Q1236:AC1236" si="6260">countif($D1236,"*"&amp;Q$2&amp;"*")</f>
        <v>0</v>
      </c>
      <c r="R1236" s="200">
        <f t="shared" si="6260"/>
        <v>0</v>
      </c>
      <c r="S1236" s="200">
        <f t="shared" si="6260"/>
        <v>0</v>
      </c>
      <c r="T1236" s="200">
        <f t="shared" si="6260"/>
        <v>0</v>
      </c>
      <c r="U1236" s="200">
        <f t="shared" si="6260"/>
        <v>0</v>
      </c>
      <c r="V1236" s="200">
        <f t="shared" si="6260"/>
        <v>0</v>
      </c>
      <c r="W1236" s="200">
        <f t="shared" si="6260"/>
        <v>0</v>
      </c>
      <c r="X1236" s="200">
        <f t="shared" si="6260"/>
        <v>0</v>
      </c>
      <c r="Y1236" s="200">
        <f t="shared" si="6260"/>
        <v>0</v>
      </c>
      <c r="Z1236" s="200">
        <f t="shared" si="6260"/>
        <v>0</v>
      </c>
      <c r="AA1236" s="200">
        <f t="shared" si="6260"/>
        <v>0</v>
      </c>
      <c r="AB1236" s="200">
        <f t="shared" si="6260"/>
        <v>0</v>
      </c>
      <c r="AC1236" s="200">
        <f t="shared" si="6260"/>
        <v>0</v>
      </c>
      <c r="AD1236" s="200">
        <f t="shared" si="11"/>
        <v>0</v>
      </c>
      <c r="AE1236" s="200">
        <f t="shared" ref="AE1236:AG1236" si="6261">countif($D1236,"*"&amp;AE$2&amp;"*")</f>
        <v>0</v>
      </c>
      <c r="AF1236" s="200">
        <f t="shared" si="6261"/>
        <v>0</v>
      </c>
      <c r="AG1236" s="200">
        <f t="shared" si="6261"/>
        <v>0</v>
      </c>
      <c r="AH1236" s="171">
        <f t="shared" si="13"/>
        <v>0</v>
      </c>
      <c r="AI1236" s="200">
        <f t="shared" si="14"/>
        <v>0</v>
      </c>
      <c r="AJ1236" s="200">
        <f t="shared" si="6100"/>
        <v>0</v>
      </c>
      <c r="AK1236" s="201">
        <f t="shared" ref="AK1236:AS1236" si="6262">countif($D1236,"*"&amp;AK$2&amp;"*")</f>
        <v>0</v>
      </c>
      <c r="AL1236" s="201">
        <f t="shared" si="6262"/>
        <v>0</v>
      </c>
      <c r="AM1236" s="201">
        <f t="shared" si="6262"/>
        <v>0</v>
      </c>
      <c r="AN1236" s="201">
        <f t="shared" si="6262"/>
        <v>0</v>
      </c>
      <c r="AO1236" s="201">
        <f t="shared" si="6262"/>
        <v>0</v>
      </c>
      <c r="AP1236" s="201">
        <f t="shared" si="6262"/>
        <v>0</v>
      </c>
      <c r="AQ1236" s="201">
        <f t="shared" si="6262"/>
        <v>0</v>
      </c>
      <c r="AR1236" s="200">
        <f t="shared" si="6262"/>
        <v>0</v>
      </c>
      <c r="AS1236" s="200">
        <f t="shared" si="6262"/>
        <v>0</v>
      </c>
      <c r="AT1236" s="173">
        <v>0.0</v>
      </c>
      <c r="AU1236" s="200">
        <f t="shared" si="6217"/>
        <v>0</v>
      </c>
      <c r="AV1236" s="200">
        <f t="shared" ref="AV1236:AX1236" si="6263">countif($D1236,"*"&amp;AV$2&amp;"*")</f>
        <v>1</v>
      </c>
      <c r="AW1236" s="200">
        <f t="shared" si="6263"/>
        <v>0</v>
      </c>
      <c r="AX1236" s="200">
        <f t="shared" si="6263"/>
        <v>0</v>
      </c>
      <c r="AY1236" s="202">
        <v>0.0</v>
      </c>
      <c r="AZ1236" s="200"/>
      <c r="BA1236" s="171" t="str">
        <f t="shared" si="18"/>
        <v/>
      </c>
      <c r="BB1236" s="171" t="str">
        <f t="shared" si="19"/>
        <v>Code</v>
      </c>
      <c r="BC1236" s="171" t="str">
        <f t="shared" si="20"/>
        <v/>
      </c>
      <c r="BD1236" s="171" t="str">
        <f t="shared" si="21"/>
        <v/>
      </c>
      <c r="BE1236" s="171" t="str">
        <f t="shared" si="22"/>
        <v/>
      </c>
      <c r="BF1236" s="171" t="str">
        <f t="shared" si="23"/>
        <v>Code</v>
      </c>
    </row>
    <row r="1237">
      <c r="A1237" s="171">
        <f t="array" ref="A1237">XLOOKUP(C1237,FSE!A:A,FSE!C:C,"XXXXX",0,1)</f>
        <v>2023</v>
      </c>
      <c r="B1237" s="171" t="s">
        <v>5676</v>
      </c>
      <c r="C1237" s="160">
        <v>6.0</v>
      </c>
      <c r="D1237" s="161" t="s">
        <v>6177</v>
      </c>
      <c r="E1237" s="197" t="str">
        <f t="array" ref="E1237">XLOOKUP(C1237,FSE!A:A,FSE!Z:Z,"XXXXX",0,1)</f>
        <v>Publicly Available (2)</v>
      </c>
      <c r="F1237" s="213" t="s">
        <v>3394</v>
      </c>
      <c r="G1237" s="163" t="str">
        <f t="array" ref="G1237">IF(B1237="ICSE",IF(COUNTIFS(B:B,B1237,C:C,C1237)=XLOOKUP(C1237,ICSE!A:A,ICSE!AA:AA,"ERROR",0,1),"OK","ERROR"),IF(B1237="FSE",IF(COUNTIFS(B:B,B1237,C:C,C1237)=XLOOKUP(C1237,FSE!A:A,FSE!AA:AA,"ERROR",0,1),"OK","ERROR")))</f>
        <v>OK</v>
      </c>
      <c r="H1237" s="199">
        <f t="shared" ref="H1237:O1237" si="6264">countif($D1237,"*"&amp;H$2&amp;"*")</f>
        <v>0</v>
      </c>
      <c r="I1237" s="200">
        <f t="shared" si="6264"/>
        <v>0</v>
      </c>
      <c r="J1237" s="200">
        <f t="shared" si="6264"/>
        <v>0</v>
      </c>
      <c r="K1237" s="200">
        <f t="shared" si="6264"/>
        <v>0</v>
      </c>
      <c r="L1237" s="200">
        <f t="shared" si="6264"/>
        <v>0</v>
      </c>
      <c r="M1237" s="200">
        <f t="shared" si="6264"/>
        <v>0</v>
      </c>
      <c r="N1237" s="200">
        <f t="shared" si="6264"/>
        <v>0</v>
      </c>
      <c r="O1237" s="200">
        <f t="shared" si="6264"/>
        <v>0</v>
      </c>
      <c r="P1237" s="200">
        <f t="shared" si="9"/>
        <v>0</v>
      </c>
      <c r="Q1237" s="200">
        <f t="shared" ref="Q1237:AC1237" si="6265">countif($D1237,"*"&amp;Q$2&amp;"*")</f>
        <v>0</v>
      </c>
      <c r="R1237" s="200">
        <f t="shared" si="6265"/>
        <v>0</v>
      </c>
      <c r="S1237" s="200">
        <f t="shared" si="6265"/>
        <v>0</v>
      </c>
      <c r="T1237" s="200">
        <f t="shared" si="6265"/>
        <v>0</v>
      </c>
      <c r="U1237" s="200">
        <f t="shared" si="6265"/>
        <v>0</v>
      </c>
      <c r="V1237" s="200">
        <f t="shared" si="6265"/>
        <v>0</v>
      </c>
      <c r="W1237" s="200">
        <f t="shared" si="6265"/>
        <v>0</v>
      </c>
      <c r="X1237" s="200">
        <f t="shared" si="6265"/>
        <v>0</v>
      </c>
      <c r="Y1237" s="200">
        <f t="shared" si="6265"/>
        <v>0</v>
      </c>
      <c r="Z1237" s="200">
        <f t="shared" si="6265"/>
        <v>0</v>
      </c>
      <c r="AA1237" s="200">
        <f t="shared" si="6265"/>
        <v>1</v>
      </c>
      <c r="AB1237" s="200">
        <f t="shared" si="6265"/>
        <v>0</v>
      </c>
      <c r="AC1237" s="200">
        <f t="shared" si="6265"/>
        <v>0</v>
      </c>
      <c r="AD1237" s="200">
        <f t="shared" si="11"/>
        <v>0</v>
      </c>
      <c r="AE1237" s="200">
        <f t="shared" ref="AE1237:AG1237" si="6266">countif($D1237,"*"&amp;AE$2&amp;"*")</f>
        <v>0</v>
      </c>
      <c r="AF1237" s="200">
        <f t="shared" si="6266"/>
        <v>0</v>
      </c>
      <c r="AG1237" s="200">
        <f t="shared" si="6266"/>
        <v>0</v>
      </c>
      <c r="AH1237" s="171">
        <f t="shared" si="13"/>
        <v>0</v>
      </c>
      <c r="AI1237" s="200">
        <f t="shared" si="14"/>
        <v>0</v>
      </c>
      <c r="AJ1237" s="200">
        <f t="shared" si="6100"/>
        <v>0</v>
      </c>
      <c r="AK1237" s="201">
        <f t="shared" ref="AK1237:AS1237" si="6267">countif($D1237,"*"&amp;AK$2&amp;"*")</f>
        <v>0</v>
      </c>
      <c r="AL1237" s="201">
        <f t="shared" si="6267"/>
        <v>0</v>
      </c>
      <c r="AM1237" s="201">
        <f t="shared" si="6267"/>
        <v>0</v>
      </c>
      <c r="AN1237" s="201">
        <f t="shared" si="6267"/>
        <v>0</v>
      </c>
      <c r="AO1237" s="201">
        <f t="shared" si="6267"/>
        <v>0</v>
      </c>
      <c r="AP1237" s="201">
        <f t="shared" si="6267"/>
        <v>0</v>
      </c>
      <c r="AQ1237" s="201">
        <f t="shared" si="6267"/>
        <v>0</v>
      </c>
      <c r="AR1237" s="200">
        <f t="shared" si="6267"/>
        <v>0</v>
      </c>
      <c r="AS1237" s="200">
        <f t="shared" si="6267"/>
        <v>0</v>
      </c>
      <c r="AT1237" s="173">
        <v>0.0</v>
      </c>
      <c r="AU1237" s="200">
        <f t="shared" si="6217"/>
        <v>0</v>
      </c>
      <c r="AV1237" s="200">
        <f t="shared" ref="AV1237:AX1237" si="6268">countif($D1237,"*"&amp;AV$2&amp;"*")</f>
        <v>0</v>
      </c>
      <c r="AW1237" s="200">
        <f t="shared" si="6268"/>
        <v>0</v>
      </c>
      <c r="AX1237" s="200">
        <f t="shared" si="6268"/>
        <v>0</v>
      </c>
      <c r="AY1237" s="202">
        <v>0.0</v>
      </c>
      <c r="AZ1237" s="200"/>
      <c r="BA1237" s="171" t="str">
        <f t="shared" si="18"/>
        <v/>
      </c>
      <c r="BB1237" s="171" t="str">
        <f t="shared" si="19"/>
        <v/>
      </c>
      <c r="BC1237" s="171" t="str">
        <f t="shared" si="20"/>
        <v>General-purpose</v>
      </c>
      <c r="BD1237" s="171" t="str">
        <f t="shared" si="21"/>
        <v/>
      </c>
      <c r="BE1237" s="171" t="str">
        <f t="shared" si="22"/>
        <v/>
      </c>
      <c r="BF1237" s="171" t="str">
        <f t="shared" si="23"/>
        <v>General-purpose</v>
      </c>
    </row>
    <row r="1238">
      <c r="A1238" s="171">
        <f t="array" ref="A1238">XLOOKUP(C1238,FSE!A:A,FSE!C:C,"XXXXX",0,1)</f>
        <v>2023</v>
      </c>
      <c r="B1238" s="213" t="s">
        <v>5676</v>
      </c>
      <c r="C1238" s="214">
        <v>7.0</v>
      </c>
      <c r="D1238" s="215" t="s">
        <v>5317</v>
      </c>
      <c r="E1238" s="197" t="str">
        <f t="array" ref="E1238">XLOOKUP(C1238,FSE!A:A,FSE!Z:Z,"XXXXX",0,1)</f>
        <v>Publicly Available (1)</v>
      </c>
      <c r="F1238" s="213" t="s">
        <v>3394</v>
      </c>
      <c r="G1238" s="163" t="str">
        <f t="array" ref="G1238">IF(B1238="ICSE",IF(COUNTIFS(B:B,B1238,C:C,C1238)=XLOOKUP(C1238,ICSE!A:A,ICSE!AA:AA,"ERROR",0,1),"OK","ERROR"),IF(B1238="FSE",IF(COUNTIFS(B:B,B1238,C:C,C1238)=XLOOKUP(C1238,FSE!A:A,FSE!AA:AA,"ERROR",0,1),"OK","ERROR")))</f>
        <v>OK</v>
      </c>
      <c r="H1238" s="199">
        <f t="shared" ref="H1238:O1238" si="6269">countif($D1238,"*"&amp;H$2&amp;"*")</f>
        <v>0</v>
      </c>
      <c r="I1238" s="200">
        <f t="shared" si="6269"/>
        <v>0</v>
      </c>
      <c r="J1238" s="200">
        <f t="shared" si="6269"/>
        <v>0</v>
      </c>
      <c r="K1238" s="200">
        <f t="shared" si="6269"/>
        <v>0</v>
      </c>
      <c r="L1238" s="200">
        <f t="shared" si="6269"/>
        <v>0</v>
      </c>
      <c r="M1238" s="200">
        <f t="shared" si="6269"/>
        <v>0</v>
      </c>
      <c r="N1238" s="200">
        <f t="shared" si="6269"/>
        <v>0</v>
      </c>
      <c r="O1238" s="200">
        <f t="shared" si="6269"/>
        <v>0</v>
      </c>
      <c r="P1238" s="200">
        <f t="shared" si="9"/>
        <v>1</v>
      </c>
      <c r="Q1238" s="200">
        <f t="shared" ref="Q1238:AC1238" si="6270">countif($D1238,"*"&amp;Q$2&amp;"*")</f>
        <v>0</v>
      </c>
      <c r="R1238" s="200">
        <f t="shared" si="6270"/>
        <v>0</v>
      </c>
      <c r="S1238" s="200">
        <f t="shared" si="6270"/>
        <v>0</v>
      </c>
      <c r="T1238" s="200">
        <f t="shared" si="6270"/>
        <v>0</v>
      </c>
      <c r="U1238" s="200">
        <f t="shared" si="6270"/>
        <v>0</v>
      </c>
      <c r="V1238" s="200">
        <f t="shared" si="6270"/>
        <v>0</v>
      </c>
      <c r="W1238" s="200">
        <f t="shared" si="6270"/>
        <v>0</v>
      </c>
      <c r="X1238" s="200">
        <f t="shared" si="6270"/>
        <v>0</v>
      </c>
      <c r="Y1238" s="200">
        <f t="shared" si="6270"/>
        <v>0</v>
      </c>
      <c r="Z1238" s="200">
        <f t="shared" si="6270"/>
        <v>0</v>
      </c>
      <c r="AA1238" s="200">
        <f t="shared" si="6270"/>
        <v>0</v>
      </c>
      <c r="AB1238" s="200">
        <f t="shared" si="6270"/>
        <v>0</v>
      </c>
      <c r="AC1238" s="200">
        <f t="shared" si="6270"/>
        <v>0</v>
      </c>
      <c r="AD1238" s="200">
        <f t="shared" si="11"/>
        <v>0</v>
      </c>
      <c r="AE1238" s="200">
        <f t="shared" ref="AE1238:AG1238" si="6271">countif($D1238,"*"&amp;AE$2&amp;"*")</f>
        <v>0</v>
      </c>
      <c r="AF1238" s="200">
        <f t="shared" si="6271"/>
        <v>0</v>
      </c>
      <c r="AG1238" s="200">
        <f t="shared" si="6271"/>
        <v>0</v>
      </c>
      <c r="AH1238" s="171">
        <f t="shared" si="13"/>
        <v>0</v>
      </c>
      <c r="AI1238" s="200">
        <f t="shared" si="14"/>
        <v>0</v>
      </c>
      <c r="AJ1238" s="200">
        <f t="shared" si="6100"/>
        <v>0</v>
      </c>
      <c r="AK1238" s="201">
        <f t="shared" ref="AK1238:AS1238" si="6272">countif($D1238,"*"&amp;AK$2&amp;"*")</f>
        <v>0</v>
      </c>
      <c r="AL1238" s="201">
        <f t="shared" si="6272"/>
        <v>0</v>
      </c>
      <c r="AM1238" s="201">
        <f t="shared" si="6272"/>
        <v>0</v>
      </c>
      <c r="AN1238" s="201">
        <f t="shared" si="6272"/>
        <v>0</v>
      </c>
      <c r="AO1238" s="201">
        <f t="shared" si="6272"/>
        <v>0</v>
      </c>
      <c r="AP1238" s="201">
        <f t="shared" si="6272"/>
        <v>0</v>
      </c>
      <c r="AQ1238" s="201">
        <f t="shared" si="6272"/>
        <v>0</v>
      </c>
      <c r="AR1238" s="200">
        <f t="shared" si="6272"/>
        <v>0</v>
      </c>
      <c r="AS1238" s="200">
        <f t="shared" si="6272"/>
        <v>0</v>
      </c>
      <c r="AT1238" s="173">
        <v>0.0</v>
      </c>
      <c r="AU1238" s="200">
        <f t="shared" si="6217"/>
        <v>0</v>
      </c>
      <c r="AV1238" s="200">
        <f t="shared" ref="AV1238:AX1238" si="6273">countif($D1238,"*"&amp;AV$2&amp;"*")</f>
        <v>1</v>
      </c>
      <c r="AW1238" s="200">
        <f t="shared" si="6273"/>
        <v>0</v>
      </c>
      <c r="AX1238" s="200">
        <f t="shared" si="6273"/>
        <v>0</v>
      </c>
      <c r="AY1238" s="202">
        <v>0.0</v>
      </c>
      <c r="AZ1238" s="200"/>
      <c r="BA1238" s="171" t="str">
        <f t="shared" si="18"/>
        <v/>
      </c>
      <c r="BB1238" s="171" t="str">
        <f t="shared" si="19"/>
        <v>Code</v>
      </c>
      <c r="BC1238" s="171" t="str">
        <f t="shared" si="20"/>
        <v/>
      </c>
      <c r="BD1238" s="171" t="str">
        <f t="shared" si="21"/>
        <v/>
      </c>
      <c r="BE1238" s="171" t="str">
        <f t="shared" si="22"/>
        <v/>
      </c>
      <c r="BF1238" s="171" t="str">
        <f t="shared" si="23"/>
        <v>Code</v>
      </c>
    </row>
    <row r="1239">
      <c r="A1239" s="171">
        <f t="array" ref="A1239">XLOOKUP(C1239,FSE!A:A,FSE!C:C,"XXXXX",0,1)</f>
        <v>2023</v>
      </c>
      <c r="B1239" s="213" t="s">
        <v>5676</v>
      </c>
      <c r="C1239" s="214">
        <v>8.0</v>
      </c>
      <c r="D1239" s="215" t="s">
        <v>6178</v>
      </c>
      <c r="E1239" s="197" t="str">
        <f t="array" ref="E1239">XLOOKUP(C1239,FSE!A:A,FSE!Z:Z,"XXXXX",0,1)</f>
        <v>Publicly Available (2)</v>
      </c>
      <c r="F1239" s="213" t="s">
        <v>3394</v>
      </c>
      <c r="G1239" s="163" t="str">
        <f t="array" ref="G1239">IF(B1239="ICSE",IF(COUNTIFS(B:B,B1239,C:C,C1239)=XLOOKUP(C1239,ICSE!A:A,ICSE!AA:AA,"ERROR",0,1),"OK","ERROR"),IF(B1239="FSE",IF(COUNTIFS(B:B,B1239,C:C,C1239)=XLOOKUP(C1239,FSE!A:A,FSE!AA:AA,"ERROR",0,1),"OK","ERROR")))</f>
        <v>OK</v>
      </c>
      <c r="H1239" s="199">
        <f t="shared" ref="H1239:O1239" si="6274">countif($D1239,"*"&amp;H$2&amp;"*")</f>
        <v>0</v>
      </c>
      <c r="I1239" s="200">
        <f t="shared" si="6274"/>
        <v>0</v>
      </c>
      <c r="J1239" s="200">
        <f t="shared" si="6274"/>
        <v>0</v>
      </c>
      <c r="K1239" s="200">
        <f t="shared" si="6274"/>
        <v>0</v>
      </c>
      <c r="L1239" s="200">
        <f t="shared" si="6274"/>
        <v>0</v>
      </c>
      <c r="M1239" s="200">
        <f t="shared" si="6274"/>
        <v>0</v>
      </c>
      <c r="N1239" s="200">
        <f t="shared" si="6274"/>
        <v>0</v>
      </c>
      <c r="O1239" s="200">
        <f t="shared" si="6274"/>
        <v>0</v>
      </c>
      <c r="P1239" s="200">
        <f t="shared" si="9"/>
        <v>1</v>
      </c>
      <c r="Q1239" s="200">
        <f t="shared" ref="Q1239:AC1239" si="6275">countif($D1239,"*"&amp;Q$2&amp;"*")</f>
        <v>0</v>
      </c>
      <c r="R1239" s="200">
        <f t="shared" si="6275"/>
        <v>0</v>
      </c>
      <c r="S1239" s="200">
        <f t="shared" si="6275"/>
        <v>0</v>
      </c>
      <c r="T1239" s="200">
        <f t="shared" si="6275"/>
        <v>0</v>
      </c>
      <c r="U1239" s="200">
        <f t="shared" si="6275"/>
        <v>0</v>
      </c>
      <c r="V1239" s="200">
        <f t="shared" si="6275"/>
        <v>0</v>
      </c>
      <c r="W1239" s="200">
        <f t="shared" si="6275"/>
        <v>0</v>
      </c>
      <c r="X1239" s="200">
        <f t="shared" si="6275"/>
        <v>0</v>
      </c>
      <c r="Y1239" s="200">
        <f t="shared" si="6275"/>
        <v>0</v>
      </c>
      <c r="Z1239" s="200">
        <f t="shared" si="6275"/>
        <v>0</v>
      </c>
      <c r="AA1239" s="200">
        <f t="shared" si="6275"/>
        <v>0</v>
      </c>
      <c r="AB1239" s="200">
        <f t="shared" si="6275"/>
        <v>0</v>
      </c>
      <c r="AC1239" s="200">
        <f t="shared" si="6275"/>
        <v>0</v>
      </c>
      <c r="AD1239" s="200">
        <f t="shared" si="11"/>
        <v>0</v>
      </c>
      <c r="AE1239" s="200">
        <f t="shared" ref="AE1239:AG1239" si="6276">countif($D1239,"*"&amp;AE$2&amp;"*")</f>
        <v>0</v>
      </c>
      <c r="AF1239" s="200">
        <f t="shared" si="6276"/>
        <v>0</v>
      </c>
      <c r="AG1239" s="200">
        <f t="shared" si="6276"/>
        <v>0</v>
      </c>
      <c r="AH1239" s="171">
        <f t="shared" si="13"/>
        <v>0</v>
      </c>
      <c r="AI1239" s="200">
        <f t="shared" si="14"/>
        <v>0</v>
      </c>
      <c r="AJ1239" s="200">
        <f t="shared" si="6100"/>
        <v>0</v>
      </c>
      <c r="AK1239" s="201">
        <f t="shared" ref="AK1239:AS1239" si="6277">countif($D1239,"*"&amp;AK$2&amp;"*")</f>
        <v>0</v>
      </c>
      <c r="AL1239" s="201">
        <f t="shared" si="6277"/>
        <v>0</v>
      </c>
      <c r="AM1239" s="201">
        <f t="shared" si="6277"/>
        <v>0</v>
      </c>
      <c r="AN1239" s="201">
        <f t="shared" si="6277"/>
        <v>0</v>
      </c>
      <c r="AO1239" s="201">
        <f t="shared" si="6277"/>
        <v>0</v>
      </c>
      <c r="AP1239" s="201">
        <f t="shared" si="6277"/>
        <v>0</v>
      </c>
      <c r="AQ1239" s="201">
        <f t="shared" si="6277"/>
        <v>0</v>
      </c>
      <c r="AR1239" s="200">
        <f t="shared" si="6277"/>
        <v>0</v>
      </c>
      <c r="AS1239" s="200">
        <f t="shared" si="6277"/>
        <v>0</v>
      </c>
      <c r="AT1239" s="173">
        <v>0.0</v>
      </c>
      <c r="AU1239" s="200">
        <f t="shared" si="6217"/>
        <v>0</v>
      </c>
      <c r="AV1239" s="200">
        <f t="shared" ref="AV1239:AX1239" si="6278">countif($D1239,"*"&amp;AV$2&amp;"*")</f>
        <v>1</v>
      </c>
      <c r="AW1239" s="200">
        <f t="shared" si="6278"/>
        <v>0</v>
      </c>
      <c r="AX1239" s="200">
        <f t="shared" si="6278"/>
        <v>0</v>
      </c>
      <c r="AY1239" s="202">
        <v>0.0</v>
      </c>
      <c r="AZ1239" s="200"/>
      <c r="BA1239" s="171" t="str">
        <f t="shared" si="18"/>
        <v/>
      </c>
      <c r="BB1239" s="171" t="str">
        <f t="shared" si="19"/>
        <v>Code</v>
      </c>
      <c r="BC1239" s="171" t="str">
        <f t="shared" si="20"/>
        <v/>
      </c>
      <c r="BD1239" s="171" t="str">
        <f t="shared" si="21"/>
        <v/>
      </c>
      <c r="BE1239" s="171" t="str">
        <f t="shared" si="22"/>
        <v/>
      </c>
      <c r="BF1239" s="171" t="str">
        <f t="shared" si="23"/>
        <v>Code</v>
      </c>
    </row>
    <row r="1240">
      <c r="A1240" s="171">
        <f t="array" ref="A1240">XLOOKUP(C1240,FSE!A:A,FSE!C:C,"XXXXX",0,1)</f>
        <v>2023</v>
      </c>
      <c r="B1240" s="171" t="s">
        <v>5676</v>
      </c>
      <c r="C1240" s="160">
        <v>8.0</v>
      </c>
      <c r="D1240" s="161" t="s">
        <v>6179</v>
      </c>
      <c r="E1240" s="197" t="str">
        <f t="array" ref="E1240">XLOOKUP(C1240,FSE!A:A,FSE!Z:Z,"XXXXX",0,1)</f>
        <v>Publicly Available (2)</v>
      </c>
      <c r="F1240" s="213" t="s">
        <v>3394</v>
      </c>
      <c r="G1240" s="163" t="str">
        <f t="array" ref="G1240">IF(B1240="ICSE",IF(COUNTIFS(B:B,B1240,C:C,C1240)=XLOOKUP(C1240,ICSE!A:A,ICSE!AA:AA,"ERROR",0,1),"OK","ERROR"),IF(B1240="FSE",IF(COUNTIFS(B:B,B1240,C:C,C1240)=XLOOKUP(C1240,FSE!A:A,FSE!AA:AA,"ERROR",0,1),"OK","ERROR")))</f>
        <v>OK</v>
      </c>
      <c r="H1240" s="199">
        <f t="shared" ref="H1240:O1240" si="6279">countif($D1240,"*"&amp;H$2&amp;"*")</f>
        <v>1</v>
      </c>
      <c r="I1240" s="200">
        <f t="shared" si="6279"/>
        <v>0</v>
      </c>
      <c r="J1240" s="200">
        <f t="shared" si="6279"/>
        <v>0</v>
      </c>
      <c r="K1240" s="200">
        <f t="shared" si="6279"/>
        <v>0</v>
      </c>
      <c r="L1240" s="200">
        <f t="shared" si="6279"/>
        <v>0</v>
      </c>
      <c r="M1240" s="200">
        <f t="shared" si="6279"/>
        <v>0</v>
      </c>
      <c r="N1240" s="200">
        <f t="shared" si="6279"/>
        <v>0</v>
      </c>
      <c r="O1240" s="200">
        <f t="shared" si="6279"/>
        <v>0</v>
      </c>
      <c r="P1240" s="200">
        <f t="shared" si="9"/>
        <v>0</v>
      </c>
      <c r="Q1240" s="200">
        <f t="shared" ref="Q1240:AC1240" si="6280">countif($D1240,"*"&amp;Q$2&amp;"*")</f>
        <v>0</v>
      </c>
      <c r="R1240" s="200">
        <f t="shared" si="6280"/>
        <v>0</v>
      </c>
      <c r="S1240" s="200">
        <f t="shared" si="6280"/>
        <v>0</v>
      </c>
      <c r="T1240" s="200">
        <f t="shared" si="6280"/>
        <v>0</v>
      </c>
      <c r="U1240" s="200">
        <f t="shared" si="6280"/>
        <v>0</v>
      </c>
      <c r="V1240" s="200">
        <f t="shared" si="6280"/>
        <v>0</v>
      </c>
      <c r="W1240" s="200">
        <f t="shared" si="6280"/>
        <v>0</v>
      </c>
      <c r="X1240" s="200">
        <f t="shared" si="6280"/>
        <v>0</v>
      </c>
      <c r="Y1240" s="200">
        <f t="shared" si="6280"/>
        <v>0</v>
      </c>
      <c r="Z1240" s="200">
        <f t="shared" si="6280"/>
        <v>0</v>
      </c>
      <c r="AA1240" s="200">
        <f t="shared" si="6280"/>
        <v>0</v>
      </c>
      <c r="AB1240" s="200">
        <f t="shared" si="6280"/>
        <v>0</v>
      </c>
      <c r="AC1240" s="200">
        <f t="shared" si="6280"/>
        <v>0</v>
      </c>
      <c r="AD1240" s="200">
        <f t="shared" si="11"/>
        <v>0</v>
      </c>
      <c r="AE1240" s="200">
        <f t="shared" ref="AE1240:AG1240" si="6281">countif($D1240,"*"&amp;AE$2&amp;"*")</f>
        <v>0</v>
      </c>
      <c r="AF1240" s="200">
        <f t="shared" si="6281"/>
        <v>0</v>
      </c>
      <c r="AG1240" s="200">
        <f t="shared" si="6281"/>
        <v>0</v>
      </c>
      <c r="AH1240" s="171">
        <f t="shared" si="13"/>
        <v>0</v>
      </c>
      <c r="AI1240" s="200">
        <f t="shared" si="14"/>
        <v>1</v>
      </c>
      <c r="AJ1240" s="200">
        <f t="shared" si="6100"/>
        <v>0</v>
      </c>
      <c r="AK1240" s="201">
        <f t="shared" ref="AK1240:AS1240" si="6282">countif($D1240,"*"&amp;AK$2&amp;"*")</f>
        <v>0</v>
      </c>
      <c r="AL1240" s="201">
        <f t="shared" si="6282"/>
        <v>0</v>
      </c>
      <c r="AM1240" s="201">
        <f t="shared" si="6282"/>
        <v>0</v>
      </c>
      <c r="AN1240" s="201">
        <f t="shared" si="6282"/>
        <v>0</v>
      </c>
      <c r="AO1240" s="201">
        <f t="shared" si="6282"/>
        <v>0</v>
      </c>
      <c r="AP1240" s="201">
        <f t="shared" si="6282"/>
        <v>0</v>
      </c>
      <c r="AQ1240" s="201">
        <f t="shared" si="6282"/>
        <v>0</v>
      </c>
      <c r="AR1240" s="200">
        <f t="shared" si="6282"/>
        <v>0</v>
      </c>
      <c r="AS1240" s="200">
        <f t="shared" si="6282"/>
        <v>0</v>
      </c>
      <c r="AT1240" s="173">
        <v>0.0</v>
      </c>
      <c r="AU1240" s="200">
        <f t="shared" si="6217"/>
        <v>0</v>
      </c>
      <c r="AV1240" s="200">
        <f t="shared" ref="AV1240:AX1240" si="6283">countif($D1240,"*"&amp;AV$2&amp;"*")</f>
        <v>0</v>
      </c>
      <c r="AW1240" s="200">
        <f t="shared" si="6283"/>
        <v>0</v>
      </c>
      <c r="AX1240" s="200">
        <f t="shared" si="6283"/>
        <v>1</v>
      </c>
      <c r="AY1240" s="202">
        <v>0.0</v>
      </c>
      <c r="AZ1240" s="200"/>
      <c r="BA1240" s="171" t="str">
        <f t="shared" si="18"/>
        <v>Archival</v>
      </c>
      <c r="BB1240" s="171" t="str">
        <f t="shared" si="19"/>
        <v/>
      </c>
      <c r="BC1240" s="171" t="str">
        <f t="shared" si="20"/>
        <v/>
      </c>
      <c r="BD1240" s="171" t="str">
        <f t="shared" si="21"/>
        <v/>
      </c>
      <c r="BE1240" s="171" t="str">
        <f t="shared" si="22"/>
        <v/>
      </c>
      <c r="BF1240" s="171" t="str">
        <f t="shared" si="23"/>
        <v>Archival</v>
      </c>
    </row>
    <row r="1241">
      <c r="A1241" s="171">
        <f t="array" ref="A1241">XLOOKUP(C1241,FSE!A:A,FSE!C:C,"XXXXX",0,1)</f>
        <v>2023</v>
      </c>
      <c r="B1241" s="213" t="s">
        <v>5676</v>
      </c>
      <c r="C1241" s="214">
        <v>9.0</v>
      </c>
      <c r="D1241" s="215" t="s">
        <v>5324</v>
      </c>
      <c r="E1241" s="197" t="str">
        <f t="array" ref="E1241">XLOOKUP(C1241,FSE!A:A,FSE!Z:Z,"XXXXX",0,1)</f>
        <v>Publicly Available (1)</v>
      </c>
      <c r="F1241" s="213" t="s">
        <v>3394</v>
      </c>
      <c r="G1241" s="163" t="str">
        <f t="array" ref="G1241">IF(B1241="ICSE",IF(COUNTIFS(B:B,B1241,C:C,C1241)=XLOOKUP(C1241,ICSE!A:A,ICSE!AA:AA,"ERROR",0,1),"OK","ERROR"),IF(B1241="FSE",IF(COUNTIFS(B:B,B1241,C:C,C1241)=XLOOKUP(C1241,FSE!A:A,FSE!AA:AA,"ERROR",0,1),"OK","ERROR")))</f>
        <v>OK</v>
      </c>
      <c r="H1241" s="199">
        <f t="shared" ref="H1241:O1241" si="6284">countif($D1241,"*"&amp;H$2&amp;"*")</f>
        <v>1</v>
      </c>
      <c r="I1241" s="200">
        <f t="shared" si="6284"/>
        <v>0</v>
      </c>
      <c r="J1241" s="200">
        <f t="shared" si="6284"/>
        <v>0</v>
      </c>
      <c r="K1241" s="200">
        <f t="shared" si="6284"/>
        <v>0</v>
      </c>
      <c r="L1241" s="200">
        <f t="shared" si="6284"/>
        <v>0</v>
      </c>
      <c r="M1241" s="200">
        <f t="shared" si="6284"/>
        <v>0</v>
      </c>
      <c r="N1241" s="200">
        <f t="shared" si="6284"/>
        <v>0</v>
      </c>
      <c r="O1241" s="200">
        <f t="shared" si="6284"/>
        <v>0</v>
      </c>
      <c r="P1241" s="200">
        <f t="shared" si="9"/>
        <v>0</v>
      </c>
      <c r="Q1241" s="200">
        <f t="shared" ref="Q1241:AC1241" si="6285">countif($D1241,"*"&amp;Q$2&amp;"*")</f>
        <v>0</v>
      </c>
      <c r="R1241" s="200">
        <f t="shared" si="6285"/>
        <v>0</v>
      </c>
      <c r="S1241" s="200">
        <f t="shared" si="6285"/>
        <v>0</v>
      </c>
      <c r="T1241" s="200">
        <f t="shared" si="6285"/>
        <v>0</v>
      </c>
      <c r="U1241" s="200">
        <f t="shared" si="6285"/>
        <v>0</v>
      </c>
      <c r="V1241" s="200">
        <f t="shared" si="6285"/>
        <v>0</v>
      </c>
      <c r="W1241" s="200">
        <f t="shared" si="6285"/>
        <v>0</v>
      </c>
      <c r="X1241" s="200">
        <f t="shared" si="6285"/>
        <v>0</v>
      </c>
      <c r="Y1241" s="200">
        <f t="shared" si="6285"/>
        <v>0</v>
      </c>
      <c r="Z1241" s="200">
        <f t="shared" si="6285"/>
        <v>0</v>
      </c>
      <c r="AA1241" s="200">
        <f t="shared" si="6285"/>
        <v>0</v>
      </c>
      <c r="AB1241" s="200">
        <f t="shared" si="6285"/>
        <v>0</v>
      </c>
      <c r="AC1241" s="200">
        <f t="shared" si="6285"/>
        <v>0</v>
      </c>
      <c r="AD1241" s="200">
        <f t="shared" si="11"/>
        <v>0</v>
      </c>
      <c r="AE1241" s="200">
        <f t="shared" ref="AE1241:AG1241" si="6286">countif($D1241,"*"&amp;AE$2&amp;"*")</f>
        <v>0</v>
      </c>
      <c r="AF1241" s="200">
        <f t="shared" si="6286"/>
        <v>0</v>
      </c>
      <c r="AG1241" s="200">
        <f t="shared" si="6286"/>
        <v>0</v>
      </c>
      <c r="AH1241" s="171">
        <f t="shared" si="13"/>
        <v>0</v>
      </c>
      <c r="AI1241" s="200">
        <f t="shared" si="14"/>
        <v>1</v>
      </c>
      <c r="AJ1241" s="200">
        <f t="shared" si="6100"/>
        <v>0</v>
      </c>
      <c r="AK1241" s="201">
        <f t="shared" ref="AK1241:AS1241" si="6287">countif($D1241,"*"&amp;AK$2&amp;"*")</f>
        <v>0</v>
      </c>
      <c r="AL1241" s="201">
        <f t="shared" si="6287"/>
        <v>0</v>
      </c>
      <c r="AM1241" s="201">
        <f t="shared" si="6287"/>
        <v>0</v>
      </c>
      <c r="AN1241" s="201">
        <f t="shared" si="6287"/>
        <v>0</v>
      </c>
      <c r="AO1241" s="201">
        <f t="shared" si="6287"/>
        <v>0</v>
      </c>
      <c r="AP1241" s="201">
        <f t="shared" si="6287"/>
        <v>0</v>
      </c>
      <c r="AQ1241" s="201">
        <f t="shared" si="6287"/>
        <v>0</v>
      </c>
      <c r="AR1241" s="200">
        <f t="shared" si="6287"/>
        <v>0</v>
      </c>
      <c r="AS1241" s="200">
        <f t="shared" si="6287"/>
        <v>0</v>
      </c>
      <c r="AT1241" s="173">
        <v>0.0</v>
      </c>
      <c r="AU1241" s="200">
        <f t="shared" si="6217"/>
        <v>0</v>
      </c>
      <c r="AV1241" s="200">
        <f t="shared" ref="AV1241:AX1241" si="6288">countif($D1241,"*"&amp;AV$2&amp;"*")</f>
        <v>0</v>
      </c>
      <c r="AW1241" s="200">
        <f t="shared" si="6288"/>
        <v>0</v>
      </c>
      <c r="AX1241" s="200">
        <f t="shared" si="6288"/>
        <v>1</v>
      </c>
      <c r="AY1241" s="202">
        <v>0.0</v>
      </c>
      <c r="AZ1241" s="200"/>
      <c r="BA1241" s="171" t="str">
        <f t="shared" si="18"/>
        <v>Archival</v>
      </c>
      <c r="BB1241" s="171" t="str">
        <f t="shared" si="19"/>
        <v/>
      </c>
      <c r="BC1241" s="171" t="str">
        <f t="shared" si="20"/>
        <v/>
      </c>
      <c r="BD1241" s="171" t="str">
        <f t="shared" si="21"/>
        <v/>
      </c>
      <c r="BE1241" s="171" t="str">
        <f t="shared" si="22"/>
        <v/>
      </c>
      <c r="BF1241" s="171" t="str">
        <f t="shared" si="23"/>
        <v>Archival</v>
      </c>
    </row>
    <row r="1242">
      <c r="A1242" s="171">
        <f t="array" ref="A1242">XLOOKUP(C1242,FSE!A:A,FSE!C:C,"XXXXX",0,1)</f>
        <v>2023</v>
      </c>
      <c r="B1242" s="213" t="s">
        <v>5676</v>
      </c>
      <c r="C1242" s="214">
        <v>10.0</v>
      </c>
      <c r="D1242" s="215" t="s">
        <v>5327</v>
      </c>
      <c r="E1242" s="197" t="str">
        <f t="array" ref="E1242">XLOOKUP(C1242,FSE!A:A,FSE!Z:Z,"XXXXX",0,1)</f>
        <v>Publicly Available (1)</v>
      </c>
      <c r="F1242" s="213" t="s">
        <v>3394</v>
      </c>
      <c r="G1242" s="163" t="str">
        <f t="array" ref="G1242">IF(B1242="ICSE",IF(COUNTIFS(B:B,B1242,C:C,C1242)=XLOOKUP(C1242,ICSE!A:A,ICSE!AA:AA,"ERROR",0,1),"OK","ERROR"),IF(B1242="FSE",IF(COUNTIFS(B:B,B1242,C:C,C1242)=XLOOKUP(C1242,FSE!A:A,FSE!AA:AA,"ERROR",0,1),"OK","ERROR")))</f>
        <v>OK</v>
      </c>
      <c r="H1242" s="199">
        <f t="shared" ref="H1242:O1242" si="6289">countif($D1242,"*"&amp;H$2&amp;"*")</f>
        <v>0</v>
      </c>
      <c r="I1242" s="200">
        <f t="shared" si="6289"/>
        <v>1</v>
      </c>
      <c r="J1242" s="200">
        <f t="shared" si="6289"/>
        <v>0</v>
      </c>
      <c r="K1242" s="200">
        <f t="shared" si="6289"/>
        <v>0</v>
      </c>
      <c r="L1242" s="200">
        <f t="shared" si="6289"/>
        <v>0</v>
      </c>
      <c r="M1242" s="200">
        <f t="shared" si="6289"/>
        <v>0</v>
      </c>
      <c r="N1242" s="200">
        <f t="shared" si="6289"/>
        <v>0</v>
      </c>
      <c r="O1242" s="200">
        <f t="shared" si="6289"/>
        <v>0</v>
      </c>
      <c r="P1242" s="200">
        <f t="shared" si="9"/>
        <v>0</v>
      </c>
      <c r="Q1242" s="200">
        <f t="shared" ref="Q1242:AC1242" si="6290">countif($D1242,"*"&amp;Q$2&amp;"*")</f>
        <v>0</v>
      </c>
      <c r="R1242" s="200">
        <f t="shared" si="6290"/>
        <v>0</v>
      </c>
      <c r="S1242" s="200">
        <f t="shared" si="6290"/>
        <v>0</v>
      </c>
      <c r="T1242" s="200">
        <f t="shared" si="6290"/>
        <v>0</v>
      </c>
      <c r="U1242" s="200">
        <f t="shared" si="6290"/>
        <v>0</v>
      </c>
      <c r="V1242" s="200">
        <f t="shared" si="6290"/>
        <v>0</v>
      </c>
      <c r="W1242" s="200">
        <f t="shared" si="6290"/>
        <v>0</v>
      </c>
      <c r="X1242" s="200">
        <f t="shared" si="6290"/>
        <v>0</v>
      </c>
      <c r="Y1242" s="200">
        <f t="shared" si="6290"/>
        <v>0</v>
      </c>
      <c r="Z1242" s="200">
        <f t="shared" si="6290"/>
        <v>0</v>
      </c>
      <c r="AA1242" s="200">
        <f t="shared" si="6290"/>
        <v>0</v>
      </c>
      <c r="AB1242" s="200">
        <f t="shared" si="6290"/>
        <v>0</v>
      </c>
      <c r="AC1242" s="200">
        <f t="shared" si="6290"/>
        <v>0</v>
      </c>
      <c r="AD1242" s="200">
        <f t="shared" si="11"/>
        <v>0</v>
      </c>
      <c r="AE1242" s="200">
        <f t="shared" ref="AE1242:AG1242" si="6291">countif($D1242,"*"&amp;AE$2&amp;"*")</f>
        <v>0</v>
      </c>
      <c r="AF1242" s="200">
        <f t="shared" si="6291"/>
        <v>0</v>
      </c>
      <c r="AG1242" s="200">
        <f t="shared" si="6291"/>
        <v>0</v>
      </c>
      <c r="AH1242" s="171">
        <f t="shared" si="13"/>
        <v>0</v>
      </c>
      <c r="AI1242" s="200">
        <f t="shared" si="14"/>
        <v>1</v>
      </c>
      <c r="AJ1242" s="200">
        <f t="shared" si="6100"/>
        <v>0</v>
      </c>
      <c r="AK1242" s="201">
        <f t="shared" ref="AK1242:AS1242" si="6292">countif($D1242,"*"&amp;AK$2&amp;"*")</f>
        <v>0</v>
      </c>
      <c r="AL1242" s="201">
        <f t="shared" si="6292"/>
        <v>0</v>
      </c>
      <c r="AM1242" s="201">
        <f t="shared" si="6292"/>
        <v>0</v>
      </c>
      <c r="AN1242" s="201">
        <f t="shared" si="6292"/>
        <v>0</v>
      </c>
      <c r="AO1242" s="201">
        <f t="shared" si="6292"/>
        <v>0</v>
      </c>
      <c r="AP1242" s="201">
        <f t="shared" si="6292"/>
        <v>0</v>
      </c>
      <c r="AQ1242" s="201">
        <f t="shared" si="6292"/>
        <v>0</v>
      </c>
      <c r="AR1242" s="200">
        <f t="shared" si="6292"/>
        <v>0</v>
      </c>
      <c r="AS1242" s="200">
        <f t="shared" si="6292"/>
        <v>0</v>
      </c>
      <c r="AT1242" s="173">
        <v>0.0</v>
      </c>
      <c r="AU1242" s="200">
        <f t="shared" si="6217"/>
        <v>0</v>
      </c>
      <c r="AV1242" s="200">
        <f t="shared" ref="AV1242:AX1242" si="6293">countif($D1242,"*"&amp;AV$2&amp;"*")</f>
        <v>0</v>
      </c>
      <c r="AW1242" s="200">
        <f t="shared" si="6293"/>
        <v>0</v>
      </c>
      <c r="AX1242" s="200">
        <f t="shared" si="6293"/>
        <v>1</v>
      </c>
      <c r="AY1242" s="202">
        <v>0.0</v>
      </c>
      <c r="AZ1242" s="200"/>
      <c r="BA1242" s="171" t="str">
        <f t="shared" si="18"/>
        <v>Archival</v>
      </c>
      <c r="BB1242" s="171" t="str">
        <f t="shared" si="19"/>
        <v/>
      </c>
      <c r="BC1242" s="171" t="str">
        <f t="shared" si="20"/>
        <v/>
      </c>
      <c r="BD1242" s="171" t="str">
        <f t="shared" si="21"/>
        <v/>
      </c>
      <c r="BE1242" s="171" t="str">
        <f t="shared" si="22"/>
        <v/>
      </c>
      <c r="BF1242" s="171" t="str">
        <f t="shared" si="23"/>
        <v>Archival</v>
      </c>
    </row>
    <row r="1243">
      <c r="A1243" s="171">
        <f t="array" ref="A1243">XLOOKUP(C1243,FSE!A:A,FSE!C:C,"XXXXX",0,1)</f>
        <v>2023</v>
      </c>
      <c r="B1243" s="213" t="s">
        <v>5676</v>
      </c>
      <c r="C1243" s="214">
        <v>11.0</v>
      </c>
      <c r="D1243" s="215" t="s">
        <v>6180</v>
      </c>
      <c r="E1243" s="197" t="str">
        <f t="array" ref="E1243">XLOOKUP(C1243,FSE!A:A,FSE!Z:Z,"XXXXX",0,1)</f>
        <v>Publicly Available (2)</v>
      </c>
      <c r="F1243" s="213" t="s">
        <v>3394</v>
      </c>
      <c r="G1243" s="163" t="str">
        <f t="array" ref="G1243">IF(B1243="ICSE",IF(COUNTIFS(B:B,B1243,C:C,C1243)=XLOOKUP(C1243,ICSE!A:A,ICSE!AA:AA,"ERROR",0,1),"OK","ERROR"),IF(B1243="FSE",IF(COUNTIFS(B:B,B1243,C:C,C1243)=XLOOKUP(C1243,FSE!A:A,FSE!AA:AA,"ERROR",0,1),"OK","ERROR")))</f>
        <v>OK</v>
      </c>
      <c r="H1243" s="199">
        <f t="shared" ref="H1243:O1243" si="6294">countif($D1243,"*"&amp;H$2&amp;"*")</f>
        <v>0</v>
      </c>
      <c r="I1243" s="200">
        <f t="shared" si="6294"/>
        <v>0</v>
      </c>
      <c r="J1243" s="200">
        <f t="shared" si="6294"/>
        <v>0</v>
      </c>
      <c r="K1243" s="200">
        <f t="shared" si="6294"/>
        <v>0</v>
      </c>
      <c r="L1243" s="200">
        <f t="shared" si="6294"/>
        <v>0</v>
      </c>
      <c r="M1243" s="200">
        <f t="shared" si="6294"/>
        <v>0</v>
      </c>
      <c r="N1243" s="200">
        <f t="shared" si="6294"/>
        <v>0</v>
      </c>
      <c r="O1243" s="200">
        <f t="shared" si="6294"/>
        <v>0</v>
      </c>
      <c r="P1243" s="200">
        <f t="shared" si="9"/>
        <v>1</v>
      </c>
      <c r="Q1243" s="200">
        <f t="shared" ref="Q1243:AC1243" si="6295">countif($D1243,"*"&amp;Q$2&amp;"*")</f>
        <v>0</v>
      </c>
      <c r="R1243" s="200">
        <f t="shared" si="6295"/>
        <v>0</v>
      </c>
      <c r="S1243" s="200">
        <f t="shared" si="6295"/>
        <v>0</v>
      </c>
      <c r="T1243" s="200">
        <f t="shared" si="6295"/>
        <v>0</v>
      </c>
      <c r="U1243" s="200">
        <f t="shared" si="6295"/>
        <v>0</v>
      </c>
      <c r="V1243" s="200">
        <f t="shared" si="6295"/>
        <v>0</v>
      </c>
      <c r="W1243" s="200">
        <f t="shared" si="6295"/>
        <v>0</v>
      </c>
      <c r="X1243" s="200">
        <f t="shared" si="6295"/>
        <v>0</v>
      </c>
      <c r="Y1243" s="200">
        <f t="shared" si="6295"/>
        <v>0</v>
      </c>
      <c r="Z1243" s="200">
        <f t="shared" si="6295"/>
        <v>0</v>
      </c>
      <c r="AA1243" s="200">
        <f t="shared" si="6295"/>
        <v>0</v>
      </c>
      <c r="AB1243" s="200">
        <f t="shared" si="6295"/>
        <v>0</v>
      </c>
      <c r="AC1243" s="200">
        <f t="shared" si="6295"/>
        <v>0</v>
      </c>
      <c r="AD1243" s="200">
        <f t="shared" si="11"/>
        <v>0</v>
      </c>
      <c r="AE1243" s="200">
        <f t="shared" ref="AE1243:AG1243" si="6296">countif($D1243,"*"&amp;AE$2&amp;"*")</f>
        <v>0</v>
      </c>
      <c r="AF1243" s="200">
        <f t="shared" si="6296"/>
        <v>0</v>
      </c>
      <c r="AG1243" s="200">
        <f t="shared" si="6296"/>
        <v>0</v>
      </c>
      <c r="AH1243" s="171">
        <f t="shared" si="13"/>
        <v>0</v>
      </c>
      <c r="AI1243" s="200">
        <f t="shared" si="14"/>
        <v>0</v>
      </c>
      <c r="AJ1243" s="200">
        <f t="shared" si="6100"/>
        <v>0</v>
      </c>
      <c r="AK1243" s="201">
        <f t="shared" ref="AK1243:AS1243" si="6297">countif($D1243,"*"&amp;AK$2&amp;"*")</f>
        <v>0</v>
      </c>
      <c r="AL1243" s="201">
        <f t="shared" si="6297"/>
        <v>0</v>
      </c>
      <c r="AM1243" s="201">
        <f t="shared" si="6297"/>
        <v>0</v>
      </c>
      <c r="AN1243" s="201">
        <f t="shared" si="6297"/>
        <v>0</v>
      </c>
      <c r="AO1243" s="201">
        <f t="shared" si="6297"/>
        <v>0</v>
      </c>
      <c r="AP1243" s="201">
        <f t="shared" si="6297"/>
        <v>0</v>
      </c>
      <c r="AQ1243" s="201">
        <f t="shared" si="6297"/>
        <v>0</v>
      </c>
      <c r="AR1243" s="200">
        <f t="shared" si="6297"/>
        <v>0</v>
      </c>
      <c r="AS1243" s="200">
        <f t="shared" si="6297"/>
        <v>0</v>
      </c>
      <c r="AT1243" s="173">
        <v>0.0</v>
      </c>
      <c r="AU1243" s="200">
        <f t="shared" si="6217"/>
        <v>0</v>
      </c>
      <c r="AV1243" s="200">
        <f t="shared" ref="AV1243:AX1243" si="6298">countif($D1243,"*"&amp;AV$2&amp;"*")</f>
        <v>1</v>
      </c>
      <c r="AW1243" s="200">
        <f t="shared" si="6298"/>
        <v>0</v>
      </c>
      <c r="AX1243" s="200">
        <f t="shared" si="6298"/>
        <v>0</v>
      </c>
      <c r="AY1243" s="202">
        <v>0.0</v>
      </c>
      <c r="AZ1243" s="200"/>
      <c r="BA1243" s="171" t="str">
        <f t="shared" si="18"/>
        <v/>
      </c>
      <c r="BB1243" s="171" t="str">
        <f t="shared" si="19"/>
        <v>Code</v>
      </c>
      <c r="BC1243" s="171" t="str">
        <f t="shared" si="20"/>
        <v/>
      </c>
      <c r="BD1243" s="171" t="str">
        <f t="shared" si="21"/>
        <v/>
      </c>
      <c r="BE1243" s="171" t="str">
        <f t="shared" si="22"/>
        <v/>
      </c>
      <c r="BF1243" s="171" t="str">
        <f t="shared" si="23"/>
        <v>Code</v>
      </c>
    </row>
    <row r="1244">
      <c r="A1244" s="171">
        <f t="array" ref="A1244">XLOOKUP(C1244,FSE!A:A,FSE!C:C,"XXXXX",0,1)</f>
        <v>2023</v>
      </c>
      <c r="B1244" s="213" t="s">
        <v>5676</v>
      </c>
      <c r="C1244" s="214">
        <v>11.0</v>
      </c>
      <c r="D1244" s="215" t="s">
        <v>6181</v>
      </c>
      <c r="E1244" s="197" t="str">
        <f t="array" ref="E1244">XLOOKUP(C1244,FSE!A:A,FSE!Z:Z,"XXXXX",0,1)</f>
        <v>Publicly Available (2)</v>
      </c>
      <c r="F1244" s="213" t="s">
        <v>3394</v>
      </c>
      <c r="G1244" s="163" t="str">
        <f t="array" ref="G1244">IF(B1244="ICSE",IF(COUNTIFS(B:B,B1244,C:C,C1244)=XLOOKUP(C1244,ICSE!A:A,ICSE!AA:AA,"ERROR",0,1),"OK","ERROR"),IF(B1244="FSE",IF(COUNTIFS(B:B,B1244,C:C,C1244)=XLOOKUP(C1244,FSE!A:A,FSE!AA:AA,"ERROR",0,1),"OK","ERROR")))</f>
        <v>OK</v>
      </c>
      <c r="H1244" s="199">
        <f t="shared" ref="H1244:O1244" si="6299">countif($D1244,"*"&amp;H$2&amp;"*")</f>
        <v>0</v>
      </c>
      <c r="I1244" s="200">
        <f t="shared" si="6299"/>
        <v>0</v>
      </c>
      <c r="J1244" s="200">
        <f t="shared" si="6299"/>
        <v>0</v>
      </c>
      <c r="K1244" s="200">
        <f t="shared" si="6299"/>
        <v>0</v>
      </c>
      <c r="L1244" s="200">
        <f t="shared" si="6299"/>
        <v>0</v>
      </c>
      <c r="M1244" s="200">
        <f t="shared" si="6299"/>
        <v>0</v>
      </c>
      <c r="N1244" s="200">
        <f t="shared" si="6299"/>
        <v>0</v>
      </c>
      <c r="O1244" s="200">
        <f t="shared" si="6299"/>
        <v>0</v>
      </c>
      <c r="P1244" s="200">
        <f t="shared" si="9"/>
        <v>1</v>
      </c>
      <c r="Q1244" s="200">
        <f t="shared" ref="Q1244:AC1244" si="6300">countif($D1244,"*"&amp;Q$2&amp;"*")</f>
        <v>0</v>
      </c>
      <c r="R1244" s="200">
        <f t="shared" si="6300"/>
        <v>0</v>
      </c>
      <c r="S1244" s="200">
        <f t="shared" si="6300"/>
        <v>0</v>
      </c>
      <c r="T1244" s="200">
        <f t="shared" si="6300"/>
        <v>0</v>
      </c>
      <c r="U1244" s="200">
        <f t="shared" si="6300"/>
        <v>0</v>
      </c>
      <c r="V1244" s="200">
        <f t="shared" si="6300"/>
        <v>0</v>
      </c>
      <c r="W1244" s="200">
        <f t="shared" si="6300"/>
        <v>0</v>
      </c>
      <c r="X1244" s="200">
        <f t="shared" si="6300"/>
        <v>0</v>
      </c>
      <c r="Y1244" s="200">
        <f t="shared" si="6300"/>
        <v>0</v>
      </c>
      <c r="Z1244" s="200">
        <f t="shared" si="6300"/>
        <v>0</v>
      </c>
      <c r="AA1244" s="200">
        <f t="shared" si="6300"/>
        <v>0</v>
      </c>
      <c r="AB1244" s="200">
        <f t="shared" si="6300"/>
        <v>0</v>
      </c>
      <c r="AC1244" s="200">
        <f t="shared" si="6300"/>
        <v>0</v>
      </c>
      <c r="AD1244" s="200">
        <f t="shared" si="11"/>
        <v>0</v>
      </c>
      <c r="AE1244" s="200">
        <f t="shared" ref="AE1244:AG1244" si="6301">countif($D1244,"*"&amp;AE$2&amp;"*")</f>
        <v>0</v>
      </c>
      <c r="AF1244" s="200">
        <f t="shared" si="6301"/>
        <v>0</v>
      </c>
      <c r="AG1244" s="200">
        <f t="shared" si="6301"/>
        <v>0</v>
      </c>
      <c r="AH1244" s="171">
        <f t="shared" si="13"/>
        <v>0</v>
      </c>
      <c r="AI1244" s="200">
        <f t="shared" si="14"/>
        <v>0</v>
      </c>
      <c r="AJ1244" s="200">
        <f t="shared" si="6100"/>
        <v>0</v>
      </c>
      <c r="AK1244" s="201">
        <f t="shared" ref="AK1244:AS1244" si="6302">countif($D1244,"*"&amp;AK$2&amp;"*")</f>
        <v>0</v>
      </c>
      <c r="AL1244" s="201">
        <f t="shared" si="6302"/>
        <v>0</v>
      </c>
      <c r="AM1244" s="201">
        <f t="shared" si="6302"/>
        <v>0</v>
      </c>
      <c r="AN1244" s="201">
        <f t="shared" si="6302"/>
        <v>0</v>
      </c>
      <c r="AO1244" s="201">
        <f t="shared" si="6302"/>
        <v>0</v>
      </c>
      <c r="AP1244" s="201">
        <f t="shared" si="6302"/>
        <v>0</v>
      </c>
      <c r="AQ1244" s="201">
        <f t="shared" si="6302"/>
        <v>0</v>
      </c>
      <c r="AR1244" s="200">
        <f t="shared" si="6302"/>
        <v>0</v>
      </c>
      <c r="AS1244" s="200">
        <f t="shared" si="6302"/>
        <v>0</v>
      </c>
      <c r="AT1244" s="173">
        <v>0.0</v>
      </c>
      <c r="AU1244" s="200">
        <f t="shared" si="6217"/>
        <v>0</v>
      </c>
      <c r="AV1244" s="200">
        <f t="shared" ref="AV1244:AX1244" si="6303">countif($D1244,"*"&amp;AV$2&amp;"*")</f>
        <v>1</v>
      </c>
      <c r="AW1244" s="200">
        <f t="shared" si="6303"/>
        <v>0</v>
      </c>
      <c r="AX1244" s="200">
        <f t="shared" si="6303"/>
        <v>0</v>
      </c>
      <c r="AY1244" s="202">
        <v>0.0</v>
      </c>
      <c r="AZ1244" s="200"/>
      <c r="BA1244" s="171" t="str">
        <f t="shared" si="18"/>
        <v/>
      </c>
      <c r="BB1244" s="171" t="str">
        <f t="shared" si="19"/>
        <v>Code</v>
      </c>
      <c r="BC1244" s="171" t="str">
        <f t="shared" si="20"/>
        <v/>
      </c>
      <c r="BD1244" s="171" t="str">
        <f t="shared" si="21"/>
        <v/>
      </c>
      <c r="BE1244" s="171" t="str">
        <f t="shared" si="22"/>
        <v/>
      </c>
      <c r="BF1244" s="171" t="str">
        <f t="shared" si="23"/>
        <v>Code</v>
      </c>
    </row>
    <row r="1245">
      <c r="A1245" s="171">
        <f t="array" ref="A1245">XLOOKUP(C1245,FSE!A:A,FSE!C:C,"XXXXX",0,1)</f>
        <v>2023</v>
      </c>
      <c r="B1245" s="213" t="s">
        <v>5676</v>
      </c>
      <c r="C1245" s="214">
        <v>12.0</v>
      </c>
      <c r="D1245" s="215" t="s">
        <v>5332</v>
      </c>
      <c r="E1245" s="197" t="str">
        <f t="array" ref="E1245">XLOOKUP(C1245,FSE!A:A,FSE!Z:Z,"XXXXX",0,1)</f>
        <v>Publicly Available (1)</v>
      </c>
      <c r="F1245" s="213" t="s">
        <v>3394</v>
      </c>
      <c r="G1245" s="163" t="str">
        <f t="array" ref="G1245">IF(B1245="ICSE",IF(COUNTIFS(B:B,B1245,C:C,C1245)=XLOOKUP(C1245,ICSE!A:A,ICSE!AA:AA,"ERROR",0,1),"OK","ERROR"),IF(B1245="FSE",IF(COUNTIFS(B:B,B1245,C:C,C1245)=XLOOKUP(C1245,FSE!A:A,FSE!AA:AA,"ERROR",0,1),"OK","ERROR")))</f>
        <v>OK</v>
      </c>
      <c r="H1245" s="199">
        <f t="shared" ref="H1245:O1245" si="6304">countif($D1245,"*"&amp;H$2&amp;"*")</f>
        <v>0</v>
      </c>
      <c r="I1245" s="200">
        <f t="shared" si="6304"/>
        <v>1</v>
      </c>
      <c r="J1245" s="200">
        <f t="shared" si="6304"/>
        <v>0</v>
      </c>
      <c r="K1245" s="200">
        <f t="shared" si="6304"/>
        <v>0</v>
      </c>
      <c r="L1245" s="200">
        <f t="shared" si="6304"/>
        <v>0</v>
      </c>
      <c r="M1245" s="200">
        <f t="shared" si="6304"/>
        <v>0</v>
      </c>
      <c r="N1245" s="200">
        <f t="shared" si="6304"/>
        <v>0</v>
      </c>
      <c r="O1245" s="200">
        <f t="shared" si="6304"/>
        <v>0</v>
      </c>
      <c r="P1245" s="200">
        <f t="shared" si="9"/>
        <v>0</v>
      </c>
      <c r="Q1245" s="200">
        <f t="shared" ref="Q1245:AC1245" si="6305">countif($D1245,"*"&amp;Q$2&amp;"*")</f>
        <v>0</v>
      </c>
      <c r="R1245" s="200">
        <f t="shared" si="6305"/>
        <v>0</v>
      </c>
      <c r="S1245" s="200">
        <f t="shared" si="6305"/>
        <v>0</v>
      </c>
      <c r="T1245" s="200">
        <f t="shared" si="6305"/>
        <v>0</v>
      </c>
      <c r="U1245" s="200">
        <f t="shared" si="6305"/>
        <v>0</v>
      </c>
      <c r="V1245" s="200">
        <f t="shared" si="6305"/>
        <v>0</v>
      </c>
      <c r="W1245" s="200">
        <f t="shared" si="6305"/>
        <v>0</v>
      </c>
      <c r="X1245" s="200">
        <f t="shared" si="6305"/>
        <v>0</v>
      </c>
      <c r="Y1245" s="200">
        <f t="shared" si="6305"/>
        <v>0</v>
      </c>
      <c r="Z1245" s="200">
        <f t="shared" si="6305"/>
        <v>0</v>
      </c>
      <c r="AA1245" s="200">
        <f t="shared" si="6305"/>
        <v>0</v>
      </c>
      <c r="AB1245" s="200">
        <f t="shared" si="6305"/>
        <v>0</v>
      </c>
      <c r="AC1245" s="200">
        <f t="shared" si="6305"/>
        <v>0</v>
      </c>
      <c r="AD1245" s="200">
        <f t="shared" si="11"/>
        <v>0</v>
      </c>
      <c r="AE1245" s="200">
        <f t="shared" ref="AE1245:AG1245" si="6306">countif($D1245,"*"&amp;AE$2&amp;"*")</f>
        <v>0</v>
      </c>
      <c r="AF1245" s="200">
        <f t="shared" si="6306"/>
        <v>0</v>
      </c>
      <c r="AG1245" s="200">
        <f t="shared" si="6306"/>
        <v>0</v>
      </c>
      <c r="AH1245" s="171">
        <f t="shared" si="13"/>
        <v>0</v>
      </c>
      <c r="AI1245" s="200">
        <f t="shared" si="14"/>
        <v>1</v>
      </c>
      <c r="AJ1245" s="200">
        <f t="shared" si="6100"/>
        <v>0</v>
      </c>
      <c r="AK1245" s="201">
        <f t="shared" ref="AK1245:AS1245" si="6307">countif($D1245,"*"&amp;AK$2&amp;"*")</f>
        <v>0</v>
      </c>
      <c r="AL1245" s="201">
        <f t="shared" si="6307"/>
        <v>0</v>
      </c>
      <c r="AM1245" s="201">
        <f t="shared" si="6307"/>
        <v>0</v>
      </c>
      <c r="AN1245" s="201">
        <f t="shared" si="6307"/>
        <v>0</v>
      </c>
      <c r="AO1245" s="201">
        <f t="shared" si="6307"/>
        <v>0</v>
      </c>
      <c r="AP1245" s="201">
        <f t="shared" si="6307"/>
        <v>0</v>
      </c>
      <c r="AQ1245" s="201">
        <f t="shared" si="6307"/>
        <v>0</v>
      </c>
      <c r="AR1245" s="200">
        <f t="shared" si="6307"/>
        <v>0</v>
      </c>
      <c r="AS1245" s="200">
        <f t="shared" si="6307"/>
        <v>0</v>
      </c>
      <c r="AT1245" s="173">
        <v>0.0</v>
      </c>
      <c r="AU1245" s="200">
        <f t="shared" si="6217"/>
        <v>0</v>
      </c>
      <c r="AV1245" s="200">
        <f t="shared" ref="AV1245:AX1245" si="6308">countif($D1245,"*"&amp;AV$2&amp;"*")</f>
        <v>0</v>
      </c>
      <c r="AW1245" s="200">
        <f t="shared" si="6308"/>
        <v>0</v>
      </c>
      <c r="AX1245" s="200">
        <f t="shared" si="6308"/>
        <v>0</v>
      </c>
      <c r="AY1245" s="204">
        <v>1.0</v>
      </c>
      <c r="AZ1245" s="200"/>
      <c r="BA1245" s="171" t="str">
        <f t="shared" si="18"/>
        <v>Archival</v>
      </c>
      <c r="BB1245" s="171" t="str">
        <f t="shared" si="19"/>
        <v/>
      </c>
      <c r="BC1245" s="171" t="str">
        <f t="shared" si="20"/>
        <v/>
      </c>
      <c r="BD1245" s="171" t="str">
        <f t="shared" si="21"/>
        <v/>
      </c>
      <c r="BE1245" s="171" t="str">
        <f t="shared" si="22"/>
        <v/>
      </c>
      <c r="BF1245" s="171" t="str">
        <f t="shared" si="23"/>
        <v>Archival</v>
      </c>
    </row>
    <row r="1246">
      <c r="A1246" s="171">
        <f t="array" ref="A1246">XLOOKUP(C1246,FSE!A:A,FSE!C:C,"XXXXX",0,1)</f>
        <v>2023</v>
      </c>
      <c r="B1246" s="213" t="s">
        <v>5676</v>
      </c>
      <c r="C1246" s="214">
        <v>13.0</v>
      </c>
      <c r="D1246" s="215" t="s">
        <v>6182</v>
      </c>
      <c r="E1246" s="197" t="str">
        <f t="array" ref="E1246">XLOOKUP(C1246,FSE!A:A,FSE!Z:Z,"XXXXX",0,1)</f>
        <v>Publicly Available (2)</v>
      </c>
      <c r="F1246" s="213" t="s">
        <v>3394</v>
      </c>
      <c r="G1246" s="163" t="str">
        <f t="array" ref="G1246">IF(B1246="ICSE",IF(COUNTIFS(B:B,B1246,C:C,C1246)=XLOOKUP(C1246,ICSE!A:A,ICSE!AA:AA,"ERROR",0,1),"OK","ERROR"),IF(B1246="FSE",IF(COUNTIFS(B:B,B1246,C:C,C1246)=XLOOKUP(C1246,FSE!A:A,FSE!AA:AA,"ERROR",0,1),"OK","ERROR")))</f>
        <v>OK</v>
      </c>
      <c r="H1246" s="199">
        <f t="shared" ref="H1246:O1246" si="6309">countif($D1246,"*"&amp;H$2&amp;"*")</f>
        <v>1</v>
      </c>
      <c r="I1246" s="200">
        <f t="shared" si="6309"/>
        <v>0</v>
      </c>
      <c r="J1246" s="200">
        <f t="shared" si="6309"/>
        <v>0</v>
      </c>
      <c r="K1246" s="200">
        <f t="shared" si="6309"/>
        <v>0</v>
      </c>
      <c r="L1246" s="200">
        <f t="shared" si="6309"/>
        <v>0</v>
      </c>
      <c r="M1246" s="200">
        <f t="shared" si="6309"/>
        <v>0</v>
      </c>
      <c r="N1246" s="200">
        <f t="shared" si="6309"/>
        <v>0</v>
      </c>
      <c r="O1246" s="200">
        <f t="shared" si="6309"/>
        <v>0</v>
      </c>
      <c r="P1246" s="200">
        <f t="shared" si="9"/>
        <v>0</v>
      </c>
      <c r="Q1246" s="200">
        <f t="shared" ref="Q1246:AC1246" si="6310">countif($D1246,"*"&amp;Q$2&amp;"*")</f>
        <v>0</v>
      </c>
      <c r="R1246" s="200">
        <f t="shared" si="6310"/>
        <v>0</v>
      </c>
      <c r="S1246" s="200">
        <f t="shared" si="6310"/>
        <v>0</v>
      </c>
      <c r="T1246" s="200">
        <f t="shared" si="6310"/>
        <v>0</v>
      </c>
      <c r="U1246" s="200">
        <f t="shared" si="6310"/>
        <v>0</v>
      </c>
      <c r="V1246" s="200">
        <f t="shared" si="6310"/>
        <v>0</v>
      </c>
      <c r="W1246" s="200">
        <f t="shared" si="6310"/>
        <v>0</v>
      </c>
      <c r="X1246" s="200">
        <f t="shared" si="6310"/>
        <v>0</v>
      </c>
      <c r="Y1246" s="200">
        <f t="shared" si="6310"/>
        <v>0</v>
      </c>
      <c r="Z1246" s="200">
        <f t="shared" si="6310"/>
        <v>0</v>
      </c>
      <c r="AA1246" s="200">
        <f t="shared" si="6310"/>
        <v>0</v>
      </c>
      <c r="AB1246" s="200">
        <f t="shared" si="6310"/>
        <v>0</v>
      </c>
      <c r="AC1246" s="200">
        <f t="shared" si="6310"/>
        <v>0</v>
      </c>
      <c r="AD1246" s="200">
        <f t="shared" si="11"/>
        <v>0</v>
      </c>
      <c r="AE1246" s="200">
        <f t="shared" ref="AE1246:AG1246" si="6311">countif($D1246,"*"&amp;AE$2&amp;"*")</f>
        <v>0</v>
      </c>
      <c r="AF1246" s="200">
        <f t="shared" si="6311"/>
        <v>0</v>
      </c>
      <c r="AG1246" s="200">
        <f t="shared" si="6311"/>
        <v>0</v>
      </c>
      <c r="AH1246" s="171">
        <f t="shared" si="13"/>
        <v>0</v>
      </c>
      <c r="AI1246" s="200">
        <f t="shared" si="14"/>
        <v>1</v>
      </c>
      <c r="AJ1246" s="200">
        <f t="shared" si="6100"/>
        <v>0</v>
      </c>
      <c r="AK1246" s="201">
        <f t="shared" ref="AK1246:AS1246" si="6312">countif($D1246,"*"&amp;AK$2&amp;"*")</f>
        <v>0</v>
      </c>
      <c r="AL1246" s="201">
        <f t="shared" si="6312"/>
        <v>0</v>
      </c>
      <c r="AM1246" s="201">
        <f t="shared" si="6312"/>
        <v>0</v>
      </c>
      <c r="AN1246" s="201">
        <f t="shared" si="6312"/>
        <v>0</v>
      </c>
      <c r="AO1246" s="201">
        <f t="shared" si="6312"/>
        <v>0</v>
      </c>
      <c r="AP1246" s="201">
        <f t="shared" si="6312"/>
        <v>0</v>
      </c>
      <c r="AQ1246" s="201">
        <f t="shared" si="6312"/>
        <v>0</v>
      </c>
      <c r="AR1246" s="200">
        <f t="shared" si="6312"/>
        <v>0</v>
      </c>
      <c r="AS1246" s="200">
        <f t="shared" si="6312"/>
        <v>0</v>
      </c>
      <c r="AT1246" s="173">
        <v>0.0</v>
      </c>
      <c r="AU1246" s="200">
        <f t="shared" si="6217"/>
        <v>0</v>
      </c>
      <c r="AV1246" s="200">
        <f t="shared" ref="AV1246:AX1246" si="6313">countif($D1246,"*"&amp;AV$2&amp;"*")</f>
        <v>0</v>
      </c>
      <c r="AW1246" s="200">
        <f t="shared" si="6313"/>
        <v>0</v>
      </c>
      <c r="AX1246" s="200">
        <f t="shared" si="6313"/>
        <v>1</v>
      </c>
      <c r="AY1246" s="202">
        <v>0.0</v>
      </c>
      <c r="AZ1246" s="200"/>
      <c r="BA1246" s="171" t="str">
        <f t="shared" si="18"/>
        <v>Archival</v>
      </c>
      <c r="BB1246" s="171" t="str">
        <f t="shared" si="19"/>
        <v/>
      </c>
      <c r="BC1246" s="171" t="str">
        <f t="shared" si="20"/>
        <v/>
      </c>
      <c r="BD1246" s="171" t="str">
        <f t="shared" si="21"/>
        <v/>
      </c>
      <c r="BE1246" s="171" t="str">
        <f t="shared" si="22"/>
        <v/>
      </c>
      <c r="BF1246" s="171" t="str">
        <f t="shared" si="23"/>
        <v>Archival</v>
      </c>
    </row>
    <row r="1247">
      <c r="A1247" s="171">
        <f t="array" ref="A1247">XLOOKUP(C1247,FSE!A:A,FSE!C:C,"XXXXX",0,1)</f>
        <v>2023</v>
      </c>
      <c r="B1247" s="213" t="s">
        <v>5676</v>
      </c>
      <c r="C1247" s="214">
        <v>13.0</v>
      </c>
      <c r="D1247" s="215" t="s">
        <v>6183</v>
      </c>
      <c r="E1247" s="197" t="str">
        <f t="array" ref="E1247">XLOOKUP(C1247,FSE!A:A,FSE!Z:Z,"XXXXX",0,1)</f>
        <v>Publicly Available (2)</v>
      </c>
      <c r="F1247" s="213" t="s">
        <v>3394</v>
      </c>
      <c r="G1247" s="163" t="str">
        <f t="array" ref="G1247">IF(B1247="ICSE",IF(COUNTIFS(B:B,B1247,C:C,C1247)=XLOOKUP(C1247,ICSE!A:A,ICSE!AA:AA,"ERROR",0,1),"OK","ERROR"),IF(B1247="FSE",IF(COUNTIFS(B:B,B1247,C:C,C1247)=XLOOKUP(C1247,FSE!A:A,FSE!AA:AA,"ERROR",0,1),"OK","ERROR")))</f>
        <v>OK</v>
      </c>
      <c r="H1247" s="199">
        <f t="shared" ref="H1247:O1247" si="6314">countif($D1247,"*"&amp;H$2&amp;"*")</f>
        <v>1</v>
      </c>
      <c r="I1247" s="200">
        <f t="shared" si="6314"/>
        <v>0</v>
      </c>
      <c r="J1247" s="200">
        <f t="shared" si="6314"/>
        <v>0</v>
      </c>
      <c r="K1247" s="200">
        <f t="shared" si="6314"/>
        <v>0</v>
      </c>
      <c r="L1247" s="200">
        <f t="shared" si="6314"/>
        <v>0</v>
      </c>
      <c r="M1247" s="200">
        <f t="shared" si="6314"/>
        <v>0</v>
      </c>
      <c r="N1247" s="200">
        <f t="shared" si="6314"/>
        <v>0</v>
      </c>
      <c r="O1247" s="200">
        <f t="shared" si="6314"/>
        <v>0</v>
      </c>
      <c r="P1247" s="200">
        <f t="shared" si="9"/>
        <v>0</v>
      </c>
      <c r="Q1247" s="200">
        <f t="shared" ref="Q1247:AC1247" si="6315">countif($D1247,"*"&amp;Q$2&amp;"*")</f>
        <v>0</v>
      </c>
      <c r="R1247" s="200">
        <f t="shared" si="6315"/>
        <v>0</v>
      </c>
      <c r="S1247" s="200">
        <f t="shared" si="6315"/>
        <v>0</v>
      </c>
      <c r="T1247" s="200">
        <f t="shared" si="6315"/>
        <v>0</v>
      </c>
      <c r="U1247" s="200">
        <f t="shared" si="6315"/>
        <v>0</v>
      </c>
      <c r="V1247" s="200">
        <f t="shared" si="6315"/>
        <v>0</v>
      </c>
      <c r="W1247" s="200">
        <f t="shared" si="6315"/>
        <v>0</v>
      </c>
      <c r="X1247" s="200">
        <f t="shared" si="6315"/>
        <v>0</v>
      </c>
      <c r="Y1247" s="200">
        <f t="shared" si="6315"/>
        <v>0</v>
      </c>
      <c r="Z1247" s="200">
        <f t="shared" si="6315"/>
        <v>0</v>
      </c>
      <c r="AA1247" s="200">
        <f t="shared" si="6315"/>
        <v>0</v>
      </c>
      <c r="AB1247" s="200">
        <f t="shared" si="6315"/>
        <v>0</v>
      </c>
      <c r="AC1247" s="200">
        <f t="shared" si="6315"/>
        <v>0</v>
      </c>
      <c r="AD1247" s="200">
        <f t="shared" si="11"/>
        <v>0</v>
      </c>
      <c r="AE1247" s="200">
        <f t="shared" ref="AE1247:AG1247" si="6316">countif($D1247,"*"&amp;AE$2&amp;"*")</f>
        <v>0</v>
      </c>
      <c r="AF1247" s="200">
        <f t="shared" si="6316"/>
        <v>0</v>
      </c>
      <c r="AG1247" s="200">
        <f t="shared" si="6316"/>
        <v>0</v>
      </c>
      <c r="AH1247" s="171">
        <f t="shared" si="13"/>
        <v>0</v>
      </c>
      <c r="AI1247" s="200">
        <f t="shared" si="14"/>
        <v>1</v>
      </c>
      <c r="AJ1247" s="200">
        <f t="shared" si="6100"/>
        <v>0</v>
      </c>
      <c r="AK1247" s="201">
        <f t="shared" ref="AK1247:AS1247" si="6317">countif($D1247,"*"&amp;AK$2&amp;"*")</f>
        <v>0</v>
      </c>
      <c r="AL1247" s="201">
        <f t="shared" si="6317"/>
        <v>0</v>
      </c>
      <c r="AM1247" s="201">
        <f t="shared" si="6317"/>
        <v>0</v>
      </c>
      <c r="AN1247" s="201">
        <f t="shared" si="6317"/>
        <v>0</v>
      </c>
      <c r="AO1247" s="201">
        <f t="shared" si="6317"/>
        <v>0</v>
      </c>
      <c r="AP1247" s="201">
        <f t="shared" si="6317"/>
        <v>0</v>
      </c>
      <c r="AQ1247" s="201">
        <f t="shared" si="6317"/>
        <v>0</v>
      </c>
      <c r="AR1247" s="200">
        <f t="shared" si="6317"/>
        <v>0</v>
      </c>
      <c r="AS1247" s="200">
        <f t="shared" si="6317"/>
        <v>0</v>
      </c>
      <c r="AT1247" s="173">
        <v>0.0</v>
      </c>
      <c r="AU1247" s="200">
        <f t="shared" si="6217"/>
        <v>0</v>
      </c>
      <c r="AV1247" s="200">
        <f t="shared" ref="AV1247:AX1247" si="6318">countif($D1247,"*"&amp;AV$2&amp;"*")</f>
        <v>0</v>
      </c>
      <c r="AW1247" s="200">
        <f t="shared" si="6318"/>
        <v>0</v>
      </c>
      <c r="AX1247" s="200">
        <f t="shared" si="6318"/>
        <v>1</v>
      </c>
      <c r="AY1247" s="202">
        <v>0.0</v>
      </c>
      <c r="AZ1247" s="200"/>
      <c r="BA1247" s="171" t="str">
        <f t="shared" si="18"/>
        <v>Archival</v>
      </c>
      <c r="BB1247" s="171" t="str">
        <f t="shared" si="19"/>
        <v/>
      </c>
      <c r="BC1247" s="171" t="str">
        <f t="shared" si="20"/>
        <v/>
      </c>
      <c r="BD1247" s="171" t="str">
        <f t="shared" si="21"/>
        <v/>
      </c>
      <c r="BE1247" s="171" t="str">
        <f t="shared" si="22"/>
        <v/>
      </c>
      <c r="BF1247" s="171" t="str">
        <f t="shared" si="23"/>
        <v>Archival</v>
      </c>
    </row>
    <row r="1248">
      <c r="A1248" s="171">
        <f t="array" ref="A1248">XLOOKUP(C1248,FSE!A:A,FSE!C:C,"XXXXX",0,1)</f>
        <v>2023</v>
      </c>
      <c r="B1248" s="213" t="s">
        <v>5676</v>
      </c>
      <c r="C1248" s="214">
        <v>14.0</v>
      </c>
      <c r="D1248" s="215" t="s">
        <v>6184</v>
      </c>
      <c r="E1248" s="197" t="str">
        <f t="array" ref="E1248">XLOOKUP(C1248,FSE!A:A,FSE!Z:Z,"XXXXX",0,1)</f>
        <v>Publicly Available (2)</v>
      </c>
      <c r="F1248" s="213" t="s">
        <v>3394</v>
      </c>
      <c r="G1248" s="163" t="str">
        <f t="array" ref="G1248">IF(B1248="ICSE",IF(COUNTIFS(B:B,B1248,C:C,C1248)=XLOOKUP(C1248,ICSE!A:A,ICSE!AA:AA,"ERROR",0,1),"OK","ERROR"),IF(B1248="FSE",IF(COUNTIFS(B:B,B1248,C:C,C1248)=XLOOKUP(C1248,FSE!A:A,FSE!AA:AA,"ERROR",0,1),"OK","ERROR")))</f>
        <v>OK</v>
      </c>
      <c r="H1248" s="199">
        <f t="shared" ref="H1248:O1248" si="6319">countif($D1248,"*"&amp;H$2&amp;"*")</f>
        <v>0</v>
      </c>
      <c r="I1248" s="200">
        <f t="shared" si="6319"/>
        <v>0</v>
      </c>
      <c r="J1248" s="200">
        <f t="shared" si="6319"/>
        <v>0</v>
      </c>
      <c r="K1248" s="200">
        <f t="shared" si="6319"/>
        <v>0</v>
      </c>
      <c r="L1248" s="200">
        <f t="shared" si="6319"/>
        <v>0</v>
      </c>
      <c r="M1248" s="200">
        <f t="shared" si="6319"/>
        <v>0</v>
      </c>
      <c r="N1248" s="200">
        <f t="shared" si="6319"/>
        <v>0</v>
      </c>
      <c r="O1248" s="200">
        <f t="shared" si="6319"/>
        <v>0</v>
      </c>
      <c r="P1248" s="200">
        <f t="shared" si="9"/>
        <v>1</v>
      </c>
      <c r="Q1248" s="200">
        <f t="shared" ref="Q1248:AC1248" si="6320">countif($D1248,"*"&amp;Q$2&amp;"*")</f>
        <v>0</v>
      </c>
      <c r="R1248" s="200">
        <f t="shared" si="6320"/>
        <v>0</v>
      </c>
      <c r="S1248" s="200">
        <f t="shared" si="6320"/>
        <v>0</v>
      </c>
      <c r="T1248" s="200">
        <f t="shared" si="6320"/>
        <v>0</v>
      </c>
      <c r="U1248" s="200">
        <f t="shared" si="6320"/>
        <v>0</v>
      </c>
      <c r="V1248" s="200">
        <f t="shared" si="6320"/>
        <v>0</v>
      </c>
      <c r="W1248" s="200">
        <f t="shared" si="6320"/>
        <v>0</v>
      </c>
      <c r="X1248" s="200">
        <f t="shared" si="6320"/>
        <v>0</v>
      </c>
      <c r="Y1248" s="200">
        <f t="shared" si="6320"/>
        <v>0</v>
      </c>
      <c r="Z1248" s="200">
        <f t="shared" si="6320"/>
        <v>0</v>
      </c>
      <c r="AA1248" s="200">
        <f t="shared" si="6320"/>
        <v>0</v>
      </c>
      <c r="AB1248" s="200">
        <f t="shared" si="6320"/>
        <v>0</v>
      </c>
      <c r="AC1248" s="200">
        <f t="shared" si="6320"/>
        <v>0</v>
      </c>
      <c r="AD1248" s="200">
        <f t="shared" si="11"/>
        <v>0</v>
      </c>
      <c r="AE1248" s="200">
        <f t="shared" ref="AE1248:AG1248" si="6321">countif($D1248,"*"&amp;AE$2&amp;"*")</f>
        <v>0</v>
      </c>
      <c r="AF1248" s="200">
        <f t="shared" si="6321"/>
        <v>0</v>
      </c>
      <c r="AG1248" s="200">
        <f t="shared" si="6321"/>
        <v>0</v>
      </c>
      <c r="AH1248" s="171">
        <f t="shared" si="13"/>
        <v>0</v>
      </c>
      <c r="AI1248" s="200">
        <f t="shared" si="14"/>
        <v>0</v>
      </c>
      <c r="AJ1248" s="200">
        <f t="shared" si="6100"/>
        <v>0</v>
      </c>
      <c r="AK1248" s="201">
        <f t="shared" ref="AK1248:AS1248" si="6322">countif($D1248,"*"&amp;AK$2&amp;"*")</f>
        <v>0</v>
      </c>
      <c r="AL1248" s="201">
        <f t="shared" si="6322"/>
        <v>0</v>
      </c>
      <c r="AM1248" s="201">
        <f t="shared" si="6322"/>
        <v>0</v>
      </c>
      <c r="AN1248" s="201">
        <f t="shared" si="6322"/>
        <v>0</v>
      </c>
      <c r="AO1248" s="201">
        <f t="shared" si="6322"/>
        <v>0</v>
      </c>
      <c r="AP1248" s="201">
        <f t="shared" si="6322"/>
        <v>0</v>
      </c>
      <c r="AQ1248" s="201">
        <f t="shared" si="6322"/>
        <v>0</v>
      </c>
      <c r="AR1248" s="200">
        <f t="shared" si="6322"/>
        <v>0</v>
      </c>
      <c r="AS1248" s="200">
        <f t="shared" si="6322"/>
        <v>0</v>
      </c>
      <c r="AT1248" s="173">
        <v>0.0</v>
      </c>
      <c r="AU1248" s="200">
        <f t="shared" si="6217"/>
        <v>0</v>
      </c>
      <c r="AV1248" s="200">
        <f t="shared" ref="AV1248:AX1248" si="6323">countif($D1248,"*"&amp;AV$2&amp;"*")</f>
        <v>1</v>
      </c>
      <c r="AW1248" s="200">
        <f t="shared" si="6323"/>
        <v>0</v>
      </c>
      <c r="AX1248" s="200">
        <f t="shared" si="6323"/>
        <v>0</v>
      </c>
      <c r="AY1248" s="202">
        <v>0.0</v>
      </c>
      <c r="AZ1248" s="200"/>
      <c r="BA1248" s="171" t="str">
        <f t="shared" si="18"/>
        <v/>
      </c>
      <c r="BB1248" s="171" t="str">
        <f t="shared" si="19"/>
        <v>Code</v>
      </c>
      <c r="BC1248" s="171" t="str">
        <f t="shared" si="20"/>
        <v/>
      </c>
      <c r="BD1248" s="171" t="str">
        <f t="shared" si="21"/>
        <v/>
      </c>
      <c r="BE1248" s="171" t="str">
        <f t="shared" si="22"/>
        <v/>
      </c>
      <c r="BF1248" s="171" t="str">
        <f t="shared" si="23"/>
        <v>Code</v>
      </c>
    </row>
    <row r="1249">
      <c r="A1249" s="171">
        <f t="array" ref="A1249">XLOOKUP(C1249,FSE!A:A,FSE!C:C,"XXXXX",0,1)</f>
        <v>2023</v>
      </c>
      <c r="B1249" s="213" t="s">
        <v>5676</v>
      </c>
      <c r="C1249" s="214">
        <v>14.0</v>
      </c>
      <c r="D1249" s="215" t="s">
        <v>6185</v>
      </c>
      <c r="E1249" s="197" t="str">
        <f t="array" ref="E1249">XLOOKUP(C1249,FSE!A:A,FSE!Z:Z,"XXXXX",0,1)</f>
        <v>Publicly Available (2)</v>
      </c>
      <c r="F1249" s="213" t="s">
        <v>3394</v>
      </c>
      <c r="G1249" s="163" t="str">
        <f t="array" ref="G1249">IF(B1249="ICSE",IF(COUNTIFS(B:B,B1249,C:C,C1249)=XLOOKUP(C1249,ICSE!A:A,ICSE!AA:AA,"ERROR",0,1),"OK","ERROR"),IF(B1249="FSE",IF(COUNTIFS(B:B,B1249,C:C,C1249)=XLOOKUP(C1249,FSE!A:A,FSE!AA:AA,"ERROR",0,1),"OK","ERROR")))</f>
        <v>OK</v>
      </c>
      <c r="H1249" s="199">
        <f t="shared" ref="H1249:O1249" si="6324">countif($D1249,"*"&amp;H$2&amp;"*")</f>
        <v>1</v>
      </c>
      <c r="I1249" s="200">
        <f t="shared" si="6324"/>
        <v>0</v>
      </c>
      <c r="J1249" s="200">
        <f t="shared" si="6324"/>
        <v>0</v>
      </c>
      <c r="K1249" s="200">
        <f t="shared" si="6324"/>
        <v>0</v>
      </c>
      <c r="L1249" s="200">
        <f t="shared" si="6324"/>
        <v>0</v>
      </c>
      <c r="M1249" s="200">
        <f t="shared" si="6324"/>
        <v>0</v>
      </c>
      <c r="N1249" s="200">
        <f t="shared" si="6324"/>
        <v>0</v>
      </c>
      <c r="O1249" s="200">
        <f t="shared" si="6324"/>
        <v>0</v>
      </c>
      <c r="P1249" s="200">
        <f t="shared" si="9"/>
        <v>0</v>
      </c>
      <c r="Q1249" s="200">
        <f t="shared" ref="Q1249:AC1249" si="6325">countif($D1249,"*"&amp;Q$2&amp;"*")</f>
        <v>0</v>
      </c>
      <c r="R1249" s="200">
        <f t="shared" si="6325"/>
        <v>0</v>
      </c>
      <c r="S1249" s="200">
        <f t="shared" si="6325"/>
        <v>0</v>
      </c>
      <c r="T1249" s="200">
        <f t="shared" si="6325"/>
        <v>0</v>
      </c>
      <c r="U1249" s="200">
        <f t="shared" si="6325"/>
        <v>0</v>
      </c>
      <c r="V1249" s="200">
        <f t="shared" si="6325"/>
        <v>0</v>
      </c>
      <c r="W1249" s="200">
        <f t="shared" si="6325"/>
        <v>0</v>
      </c>
      <c r="X1249" s="200">
        <f t="shared" si="6325"/>
        <v>0</v>
      </c>
      <c r="Y1249" s="200">
        <f t="shared" si="6325"/>
        <v>0</v>
      </c>
      <c r="Z1249" s="200">
        <f t="shared" si="6325"/>
        <v>0</v>
      </c>
      <c r="AA1249" s="200">
        <f t="shared" si="6325"/>
        <v>0</v>
      </c>
      <c r="AB1249" s="200">
        <f t="shared" si="6325"/>
        <v>0</v>
      </c>
      <c r="AC1249" s="200">
        <f t="shared" si="6325"/>
        <v>0</v>
      </c>
      <c r="AD1249" s="200">
        <f t="shared" si="11"/>
        <v>0</v>
      </c>
      <c r="AE1249" s="200">
        <f t="shared" ref="AE1249:AG1249" si="6326">countif($D1249,"*"&amp;AE$2&amp;"*")</f>
        <v>0</v>
      </c>
      <c r="AF1249" s="200">
        <f t="shared" si="6326"/>
        <v>0</v>
      </c>
      <c r="AG1249" s="200">
        <f t="shared" si="6326"/>
        <v>0</v>
      </c>
      <c r="AH1249" s="171">
        <f t="shared" si="13"/>
        <v>0</v>
      </c>
      <c r="AI1249" s="200">
        <f t="shared" si="14"/>
        <v>1</v>
      </c>
      <c r="AJ1249" s="200">
        <f t="shared" si="6100"/>
        <v>0</v>
      </c>
      <c r="AK1249" s="201">
        <f t="shared" ref="AK1249:AS1249" si="6327">countif($D1249,"*"&amp;AK$2&amp;"*")</f>
        <v>0</v>
      </c>
      <c r="AL1249" s="201">
        <f t="shared" si="6327"/>
        <v>0</v>
      </c>
      <c r="AM1249" s="201">
        <f t="shared" si="6327"/>
        <v>0</v>
      </c>
      <c r="AN1249" s="201">
        <f t="shared" si="6327"/>
        <v>0</v>
      </c>
      <c r="AO1249" s="201">
        <f t="shared" si="6327"/>
        <v>0</v>
      </c>
      <c r="AP1249" s="201">
        <f t="shared" si="6327"/>
        <v>0</v>
      </c>
      <c r="AQ1249" s="201">
        <f t="shared" si="6327"/>
        <v>0</v>
      </c>
      <c r="AR1249" s="200">
        <f t="shared" si="6327"/>
        <v>0</v>
      </c>
      <c r="AS1249" s="200">
        <f t="shared" si="6327"/>
        <v>0</v>
      </c>
      <c r="AT1249" s="173">
        <v>0.0</v>
      </c>
      <c r="AU1249" s="200">
        <f t="shared" si="6217"/>
        <v>0</v>
      </c>
      <c r="AV1249" s="200">
        <f t="shared" ref="AV1249:AX1249" si="6328">countif($D1249,"*"&amp;AV$2&amp;"*")</f>
        <v>0</v>
      </c>
      <c r="AW1249" s="200">
        <f t="shared" si="6328"/>
        <v>0</v>
      </c>
      <c r="AX1249" s="200">
        <f t="shared" si="6328"/>
        <v>1</v>
      </c>
      <c r="AY1249" s="202">
        <v>0.0</v>
      </c>
      <c r="AZ1249" s="200"/>
      <c r="BA1249" s="171" t="str">
        <f t="shared" si="18"/>
        <v>Archival</v>
      </c>
      <c r="BB1249" s="171" t="str">
        <f t="shared" si="19"/>
        <v/>
      </c>
      <c r="BC1249" s="171" t="str">
        <f t="shared" si="20"/>
        <v/>
      </c>
      <c r="BD1249" s="171" t="str">
        <f t="shared" si="21"/>
        <v/>
      </c>
      <c r="BE1249" s="171" t="str">
        <f t="shared" si="22"/>
        <v/>
      </c>
      <c r="BF1249" s="171" t="str">
        <f t="shared" si="23"/>
        <v>Archival</v>
      </c>
    </row>
    <row r="1250">
      <c r="A1250" s="171">
        <f t="array" ref="A1250">XLOOKUP(C1250,FSE!A:A,FSE!C:C,"XXXXX",0,1)</f>
        <v>2023</v>
      </c>
      <c r="B1250" s="213" t="s">
        <v>5676</v>
      </c>
      <c r="C1250" s="214">
        <v>15.0</v>
      </c>
      <c r="D1250" s="215" t="s">
        <v>5342</v>
      </c>
      <c r="E1250" s="197" t="str">
        <f t="array" ref="E1250">XLOOKUP(C1250,FSE!A:A,FSE!Z:Z,"XXXXX",0,1)</f>
        <v>Publicly Available (1)</v>
      </c>
      <c r="F1250" s="213" t="s">
        <v>3394</v>
      </c>
      <c r="G1250" s="163" t="str">
        <f t="array" ref="G1250">IF(B1250="ICSE",IF(COUNTIFS(B:B,B1250,C:C,C1250)=XLOOKUP(C1250,ICSE!A:A,ICSE!AA:AA,"ERROR",0,1),"OK","ERROR"),IF(B1250="FSE",IF(COUNTIFS(B:B,B1250,C:C,C1250)=XLOOKUP(C1250,FSE!A:A,FSE!AA:AA,"ERROR",0,1),"OK","ERROR")))</f>
        <v>OK</v>
      </c>
      <c r="H1250" s="199">
        <f t="shared" ref="H1250:O1250" si="6329">countif($D1250,"*"&amp;H$2&amp;"*")</f>
        <v>1</v>
      </c>
      <c r="I1250" s="200">
        <f t="shared" si="6329"/>
        <v>0</v>
      </c>
      <c r="J1250" s="200">
        <f t="shared" si="6329"/>
        <v>0</v>
      </c>
      <c r="K1250" s="200">
        <f t="shared" si="6329"/>
        <v>0</v>
      </c>
      <c r="L1250" s="200">
        <f t="shared" si="6329"/>
        <v>0</v>
      </c>
      <c r="M1250" s="200">
        <f t="shared" si="6329"/>
        <v>0</v>
      </c>
      <c r="N1250" s="200">
        <f t="shared" si="6329"/>
        <v>0</v>
      </c>
      <c r="O1250" s="200">
        <f t="shared" si="6329"/>
        <v>0</v>
      </c>
      <c r="P1250" s="200">
        <f t="shared" si="9"/>
        <v>0</v>
      </c>
      <c r="Q1250" s="200">
        <f t="shared" ref="Q1250:AC1250" si="6330">countif($D1250,"*"&amp;Q$2&amp;"*")</f>
        <v>0</v>
      </c>
      <c r="R1250" s="200">
        <f t="shared" si="6330"/>
        <v>0</v>
      </c>
      <c r="S1250" s="200">
        <f t="shared" si="6330"/>
        <v>0</v>
      </c>
      <c r="T1250" s="200">
        <f t="shared" si="6330"/>
        <v>0</v>
      </c>
      <c r="U1250" s="200">
        <f t="shared" si="6330"/>
        <v>0</v>
      </c>
      <c r="V1250" s="200">
        <f t="shared" si="6330"/>
        <v>0</v>
      </c>
      <c r="W1250" s="200">
        <f t="shared" si="6330"/>
        <v>0</v>
      </c>
      <c r="X1250" s="200">
        <f t="shared" si="6330"/>
        <v>0</v>
      </c>
      <c r="Y1250" s="200">
        <f t="shared" si="6330"/>
        <v>0</v>
      </c>
      <c r="Z1250" s="200">
        <f t="shared" si="6330"/>
        <v>0</v>
      </c>
      <c r="AA1250" s="200">
        <f t="shared" si="6330"/>
        <v>0</v>
      </c>
      <c r="AB1250" s="200">
        <f t="shared" si="6330"/>
        <v>0</v>
      </c>
      <c r="AC1250" s="200">
        <f t="shared" si="6330"/>
        <v>0</v>
      </c>
      <c r="AD1250" s="200">
        <f t="shared" si="11"/>
        <v>0</v>
      </c>
      <c r="AE1250" s="200">
        <f t="shared" ref="AE1250:AG1250" si="6331">countif($D1250,"*"&amp;AE$2&amp;"*")</f>
        <v>0</v>
      </c>
      <c r="AF1250" s="200">
        <f t="shared" si="6331"/>
        <v>0</v>
      </c>
      <c r="AG1250" s="200">
        <f t="shared" si="6331"/>
        <v>0</v>
      </c>
      <c r="AH1250" s="171">
        <f t="shared" si="13"/>
        <v>0</v>
      </c>
      <c r="AI1250" s="200">
        <f t="shared" si="14"/>
        <v>1</v>
      </c>
      <c r="AJ1250" s="200">
        <f t="shared" si="6100"/>
        <v>0</v>
      </c>
      <c r="AK1250" s="201">
        <f t="shared" ref="AK1250:AS1250" si="6332">countif($D1250,"*"&amp;AK$2&amp;"*")</f>
        <v>0</v>
      </c>
      <c r="AL1250" s="201">
        <f t="shared" si="6332"/>
        <v>0</v>
      </c>
      <c r="AM1250" s="201">
        <f t="shared" si="6332"/>
        <v>0</v>
      </c>
      <c r="AN1250" s="201">
        <f t="shared" si="6332"/>
        <v>0</v>
      </c>
      <c r="AO1250" s="201">
        <f t="shared" si="6332"/>
        <v>0</v>
      </c>
      <c r="AP1250" s="201">
        <f t="shared" si="6332"/>
        <v>0</v>
      </c>
      <c r="AQ1250" s="201">
        <f t="shared" si="6332"/>
        <v>0</v>
      </c>
      <c r="AR1250" s="200">
        <f t="shared" si="6332"/>
        <v>0</v>
      </c>
      <c r="AS1250" s="200">
        <f t="shared" si="6332"/>
        <v>0</v>
      </c>
      <c r="AT1250" s="173">
        <v>0.0</v>
      </c>
      <c r="AU1250" s="200">
        <f t="shared" si="6217"/>
        <v>0</v>
      </c>
      <c r="AV1250" s="200">
        <f t="shared" ref="AV1250:AX1250" si="6333">countif($D1250,"*"&amp;AV$2&amp;"*")</f>
        <v>0</v>
      </c>
      <c r="AW1250" s="200">
        <f t="shared" si="6333"/>
        <v>0</v>
      </c>
      <c r="AX1250" s="200">
        <f t="shared" si="6333"/>
        <v>1</v>
      </c>
      <c r="AY1250" s="202">
        <v>0.0</v>
      </c>
      <c r="AZ1250" s="200"/>
      <c r="BA1250" s="171" t="str">
        <f t="shared" si="18"/>
        <v>Archival</v>
      </c>
      <c r="BB1250" s="171" t="str">
        <f t="shared" si="19"/>
        <v/>
      </c>
      <c r="BC1250" s="171" t="str">
        <f t="shared" si="20"/>
        <v/>
      </c>
      <c r="BD1250" s="171" t="str">
        <f t="shared" si="21"/>
        <v/>
      </c>
      <c r="BE1250" s="171" t="str">
        <f t="shared" si="22"/>
        <v/>
      </c>
      <c r="BF1250" s="171" t="str">
        <f t="shared" si="23"/>
        <v>Archival</v>
      </c>
    </row>
    <row r="1251">
      <c r="A1251" s="171">
        <f t="array" ref="A1251">XLOOKUP(C1251,FSE!A:A,FSE!C:C,"XXXXX",0,1)</f>
        <v>2023</v>
      </c>
      <c r="B1251" s="213" t="s">
        <v>5676</v>
      </c>
      <c r="C1251" s="214">
        <v>16.0</v>
      </c>
      <c r="D1251" s="215" t="s">
        <v>5345</v>
      </c>
      <c r="E1251" s="197" t="str">
        <f t="array" ref="E1251">XLOOKUP(C1251,FSE!A:A,FSE!Z:Z,"XXXXX",0,1)</f>
        <v>Publicly Available (1)</v>
      </c>
      <c r="F1251" s="213" t="s">
        <v>3394</v>
      </c>
      <c r="G1251" s="163" t="str">
        <f t="array" ref="G1251">IF(B1251="ICSE",IF(COUNTIFS(B:B,B1251,C:C,C1251)=XLOOKUP(C1251,ICSE!A:A,ICSE!AA:AA,"ERROR",0,1),"OK","ERROR"),IF(B1251="FSE",IF(COUNTIFS(B:B,B1251,C:C,C1251)=XLOOKUP(C1251,FSE!A:A,FSE!AA:AA,"ERROR",0,1),"OK","ERROR")))</f>
        <v>OK</v>
      </c>
      <c r="H1251" s="199">
        <f t="shared" ref="H1251:O1251" si="6334">countif($D1251,"*"&amp;H$2&amp;"*")</f>
        <v>0</v>
      </c>
      <c r="I1251" s="200">
        <f t="shared" si="6334"/>
        <v>0</v>
      </c>
      <c r="J1251" s="200">
        <f t="shared" si="6334"/>
        <v>0</v>
      </c>
      <c r="K1251" s="200">
        <f t="shared" si="6334"/>
        <v>0</v>
      </c>
      <c r="L1251" s="200">
        <f t="shared" si="6334"/>
        <v>0</v>
      </c>
      <c r="M1251" s="200">
        <f t="shared" si="6334"/>
        <v>0</v>
      </c>
      <c r="N1251" s="200">
        <f t="shared" si="6334"/>
        <v>0</v>
      </c>
      <c r="O1251" s="200">
        <f t="shared" si="6334"/>
        <v>0</v>
      </c>
      <c r="P1251" s="200">
        <f t="shared" si="9"/>
        <v>1</v>
      </c>
      <c r="Q1251" s="200">
        <f t="shared" ref="Q1251:AC1251" si="6335">countif($D1251,"*"&amp;Q$2&amp;"*")</f>
        <v>0</v>
      </c>
      <c r="R1251" s="200">
        <f t="shared" si="6335"/>
        <v>0</v>
      </c>
      <c r="S1251" s="200">
        <f t="shared" si="6335"/>
        <v>0</v>
      </c>
      <c r="T1251" s="200">
        <f t="shared" si="6335"/>
        <v>0</v>
      </c>
      <c r="U1251" s="200">
        <f t="shared" si="6335"/>
        <v>0</v>
      </c>
      <c r="V1251" s="200">
        <f t="shared" si="6335"/>
        <v>0</v>
      </c>
      <c r="W1251" s="200">
        <f t="shared" si="6335"/>
        <v>0</v>
      </c>
      <c r="X1251" s="200">
        <f t="shared" si="6335"/>
        <v>0</v>
      </c>
      <c r="Y1251" s="200">
        <f t="shared" si="6335"/>
        <v>0</v>
      </c>
      <c r="Z1251" s="200">
        <f t="shared" si="6335"/>
        <v>0</v>
      </c>
      <c r="AA1251" s="200">
        <f t="shared" si="6335"/>
        <v>0</v>
      </c>
      <c r="AB1251" s="200">
        <f t="shared" si="6335"/>
        <v>0</v>
      </c>
      <c r="AC1251" s="200">
        <f t="shared" si="6335"/>
        <v>0</v>
      </c>
      <c r="AD1251" s="200">
        <f t="shared" si="11"/>
        <v>0</v>
      </c>
      <c r="AE1251" s="200">
        <f t="shared" ref="AE1251:AG1251" si="6336">countif($D1251,"*"&amp;AE$2&amp;"*")</f>
        <v>0</v>
      </c>
      <c r="AF1251" s="200">
        <f t="shared" si="6336"/>
        <v>0</v>
      </c>
      <c r="AG1251" s="200">
        <f t="shared" si="6336"/>
        <v>0</v>
      </c>
      <c r="AH1251" s="171">
        <f t="shared" si="13"/>
        <v>0</v>
      </c>
      <c r="AI1251" s="200">
        <f t="shared" si="14"/>
        <v>0</v>
      </c>
      <c r="AJ1251" s="200">
        <f t="shared" si="6100"/>
        <v>0</v>
      </c>
      <c r="AK1251" s="201">
        <f t="shared" ref="AK1251:AS1251" si="6337">countif($D1251,"*"&amp;AK$2&amp;"*")</f>
        <v>0</v>
      </c>
      <c r="AL1251" s="201">
        <f t="shared" si="6337"/>
        <v>0</v>
      </c>
      <c r="AM1251" s="201">
        <f t="shared" si="6337"/>
        <v>0</v>
      </c>
      <c r="AN1251" s="201">
        <f t="shared" si="6337"/>
        <v>0</v>
      </c>
      <c r="AO1251" s="201">
        <f t="shared" si="6337"/>
        <v>0</v>
      </c>
      <c r="AP1251" s="201">
        <f t="shared" si="6337"/>
        <v>0</v>
      </c>
      <c r="AQ1251" s="201">
        <f t="shared" si="6337"/>
        <v>0</v>
      </c>
      <c r="AR1251" s="200">
        <f t="shared" si="6337"/>
        <v>0</v>
      </c>
      <c r="AS1251" s="200">
        <f t="shared" si="6337"/>
        <v>0</v>
      </c>
      <c r="AT1251" s="173">
        <v>0.0</v>
      </c>
      <c r="AU1251" s="200">
        <f t="shared" si="6217"/>
        <v>0</v>
      </c>
      <c r="AV1251" s="200">
        <f t="shared" ref="AV1251:AX1251" si="6338">countif($D1251,"*"&amp;AV$2&amp;"*")</f>
        <v>1</v>
      </c>
      <c r="AW1251" s="200">
        <f t="shared" si="6338"/>
        <v>0</v>
      </c>
      <c r="AX1251" s="200">
        <f t="shared" si="6338"/>
        <v>0</v>
      </c>
      <c r="AY1251" s="202">
        <v>0.0</v>
      </c>
      <c r="AZ1251" s="200"/>
      <c r="BA1251" s="171" t="str">
        <f t="shared" si="18"/>
        <v/>
      </c>
      <c r="BB1251" s="171" t="str">
        <f t="shared" si="19"/>
        <v>Code</v>
      </c>
      <c r="BC1251" s="171" t="str">
        <f t="shared" si="20"/>
        <v/>
      </c>
      <c r="BD1251" s="171" t="str">
        <f t="shared" si="21"/>
        <v/>
      </c>
      <c r="BE1251" s="171" t="str">
        <f t="shared" si="22"/>
        <v/>
      </c>
      <c r="BF1251" s="171" t="str">
        <f t="shared" si="23"/>
        <v>Code</v>
      </c>
    </row>
    <row r="1252">
      <c r="A1252" s="171">
        <f t="array" ref="A1252">XLOOKUP(C1252,FSE!A:A,FSE!C:C,"XXXXX",0,1)</f>
        <v>2023</v>
      </c>
      <c r="B1252" s="213" t="s">
        <v>5676</v>
      </c>
      <c r="C1252" s="214">
        <v>17.0</v>
      </c>
      <c r="D1252" s="215" t="s">
        <v>5348</v>
      </c>
      <c r="E1252" s="197" t="str">
        <f t="array" ref="E1252">XLOOKUP(C1252,FSE!A:A,FSE!Z:Z,"XXXXX",0,1)</f>
        <v>Publicly Available (1)</v>
      </c>
      <c r="F1252" s="213" t="s">
        <v>3394</v>
      </c>
      <c r="G1252" s="163" t="str">
        <f t="array" ref="G1252">IF(B1252="ICSE",IF(COUNTIFS(B:B,B1252,C:C,C1252)=XLOOKUP(C1252,ICSE!A:A,ICSE!AA:AA,"ERROR",0,1),"OK","ERROR"),IF(B1252="FSE",IF(COUNTIFS(B:B,B1252,C:C,C1252)=XLOOKUP(C1252,FSE!A:A,FSE!AA:AA,"ERROR",0,1),"OK","ERROR")))</f>
        <v>OK</v>
      </c>
      <c r="H1252" s="199">
        <f t="shared" ref="H1252:O1252" si="6339">countif($D1252,"*"&amp;H$2&amp;"*")</f>
        <v>1</v>
      </c>
      <c r="I1252" s="200">
        <f t="shared" si="6339"/>
        <v>0</v>
      </c>
      <c r="J1252" s="200">
        <f t="shared" si="6339"/>
        <v>0</v>
      </c>
      <c r="K1252" s="200">
        <f t="shared" si="6339"/>
        <v>0</v>
      </c>
      <c r="L1252" s="200">
        <f t="shared" si="6339"/>
        <v>0</v>
      </c>
      <c r="M1252" s="200">
        <f t="shared" si="6339"/>
        <v>0</v>
      </c>
      <c r="N1252" s="200">
        <f t="shared" si="6339"/>
        <v>0</v>
      </c>
      <c r="O1252" s="200">
        <f t="shared" si="6339"/>
        <v>0</v>
      </c>
      <c r="P1252" s="200">
        <f t="shared" si="9"/>
        <v>0</v>
      </c>
      <c r="Q1252" s="200">
        <f t="shared" ref="Q1252:AC1252" si="6340">countif($D1252,"*"&amp;Q$2&amp;"*")</f>
        <v>0</v>
      </c>
      <c r="R1252" s="200">
        <f t="shared" si="6340"/>
        <v>0</v>
      </c>
      <c r="S1252" s="200">
        <f t="shared" si="6340"/>
        <v>0</v>
      </c>
      <c r="T1252" s="200">
        <f t="shared" si="6340"/>
        <v>0</v>
      </c>
      <c r="U1252" s="200">
        <f t="shared" si="6340"/>
        <v>0</v>
      </c>
      <c r="V1252" s="200">
        <f t="shared" si="6340"/>
        <v>0</v>
      </c>
      <c r="W1252" s="200">
        <f t="shared" si="6340"/>
        <v>0</v>
      </c>
      <c r="X1252" s="200">
        <f t="shared" si="6340"/>
        <v>0</v>
      </c>
      <c r="Y1252" s="200">
        <f t="shared" si="6340"/>
        <v>0</v>
      </c>
      <c r="Z1252" s="200">
        <f t="shared" si="6340"/>
        <v>0</v>
      </c>
      <c r="AA1252" s="200">
        <f t="shared" si="6340"/>
        <v>0</v>
      </c>
      <c r="AB1252" s="200">
        <f t="shared" si="6340"/>
        <v>0</v>
      </c>
      <c r="AC1252" s="200">
        <f t="shared" si="6340"/>
        <v>0</v>
      </c>
      <c r="AD1252" s="200">
        <f t="shared" si="11"/>
        <v>0</v>
      </c>
      <c r="AE1252" s="200">
        <f t="shared" ref="AE1252:AG1252" si="6341">countif($D1252,"*"&amp;AE$2&amp;"*")</f>
        <v>0</v>
      </c>
      <c r="AF1252" s="200">
        <f t="shared" si="6341"/>
        <v>0</v>
      </c>
      <c r="AG1252" s="200">
        <f t="shared" si="6341"/>
        <v>0</v>
      </c>
      <c r="AH1252" s="171">
        <f t="shared" si="13"/>
        <v>0</v>
      </c>
      <c r="AI1252" s="200">
        <f t="shared" si="14"/>
        <v>1</v>
      </c>
      <c r="AJ1252" s="200">
        <f t="shared" si="6100"/>
        <v>0</v>
      </c>
      <c r="AK1252" s="201">
        <f t="shared" ref="AK1252:AS1252" si="6342">countif($D1252,"*"&amp;AK$2&amp;"*")</f>
        <v>0</v>
      </c>
      <c r="AL1252" s="201">
        <f t="shared" si="6342"/>
        <v>0</v>
      </c>
      <c r="AM1252" s="201">
        <f t="shared" si="6342"/>
        <v>0</v>
      </c>
      <c r="AN1252" s="201">
        <f t="shared" si="6342"/>
        <v>0</v>
      </c>
      <c r="AO1252" s="201">
        <f t="shared" si="6342"/>
        <v>0</v>
      </c>
      <c r="AP1252" s="201">
        <f t="shared" si="6342"/>
        <v>0</v>
      </c>
      <c r="AQ1252" s="201">
        <f t="shared" si="6342"/>
        <v>0</v>
      </c>
      <c r="AR1252" s="200">
        <f t="shared" si="6342"/>
        <v>0</v>
      </c>
      <c r="AS1252" s="200">
        <f t="shared" si="6342"/>
        <v>0</v>
      </c>
      <c r="AT1252" s="173">
        <v>0.0</v>
      </c>
      <c r="AU1252" s="200">
        <f t="shared" si="6217"/>
        <v>0</v>
      </c>
      <c r="AV1252" s="200">
        <f t="shared" ref="AV1252:AX1252" si="6343">countif($D1252,"*"&amp;AV$2&amp;"*")</f>
        <v>0</v>
      </c>
      <c r="AW1252" s="200">
        <f t="shared" si="6343"/>
        <v>0</v>
      </c>
      <c r="AX1252" s="200">
        <f t="shared" si="6343"/>
        <v>1</v>
      </c>
      <c r="AY1252" s="202">
        <v>0.0</v>
      </c>
      <c r="AZ1252" s="200"/>
      <c r="BA1252" s="171" t="str">
        <f t="shared" si="18"/>
        <v>Archival</v>
      </c>
      <c r="BB1252" s="171" t="str">
        <f t="shared" si="19"/>
        <v/>
      </c>
      <c r="BC1252" s="171" t="str">
        <f t="shared" si="20"/>
        <v/>
      </c>
      <c r="BD1252" s="171" t="str">
        <f t="shared" si="21"/>
        <v/>
      </c>
      <c r="BE1252" s="171" t="str">
        <f t="shared" si="22"/>
        <v/>
      </c>
      <c r="BF1252" s="171" t="str">
        <f t="shared" si="23"/>
        <v>Archival</v>
      </c>
    </row>
    <row r="1253">
      <c r="A1253" s="171">
        <f t="array" ref="A1253">XLOOKUP(C1253,FSE!A:A,FSE!C:C,"XXXXX",0,1)</f>
        <v>2023</v>
      </c>
      <c r="B1253" s="213" t="s">
        <v>5676</v>
      </c>
      <c r="C1253" s="214">
        <v>18.0</v>
      </c>
      <c r="D1253" s="215" t="s">
        <v>5350</v>
      </c>
      <c r="E1253" s="197" t="str">
        <f t="array" ref="E1253">XLOOKUP(C1253,FSE!A:A,FSE!Z:Z,"XXXXX",0,1)</f>
        <v>Publicly Available (1)</v>
      </c>
      <c r="F1253" s="213" t="s">
        <v>3394</v>
      </c>
      <c r="G1253" s="163" t="str">
        <f t="array" ref="G1253">IF(B1253="ICSE",IF(COUNTIFS(B:B,B1253,C:C,C1253)=XLOOKUP(C1253,ICSE!A:A,ICSE!AA:AA,"ERROR",0,1),"OK","ERROR"),IF(B1253="FSE",IF(COUNTIFS(B:B,B1253,C:C,C1253)=XLOOKUP(C1253,FSE!A:A,FSE!AA:AA,"ERROR",0,1),"OK","ERROR")))</f>
        <v>OK</v>
      </c>
      <c r="H1253" s="199">
        <f t="shared" ref="H1253:O1253" si="6344">countif($D1253,"*"&amp;H$2&amp;"*")</f>
        <v>0</v>
      </c>
      <c r="I1253" s="200">
        <f t="shared" si="6344"/>
        <v>0</v>
      </c>
      <c r="J1253" s="200">
        <f t="shared" si="6344"/>
        <v>0</v>
      </c>
      <c r="K1253" s="200">
        <f t="shared" si="6344"/>
        <v>0</v>
      </c>
      <c r="L1253" s="200">
        <f t="shared" si="6344"/>
        <v>0</v>
      </c>
      <c r="M1253" s="200">
        <f t="shared" si="6344"/>
        <v>0</v>
      </c>
      <c r="N1253" s="200">
        <f t="shared" si="6344"/>
        <v>0</v>
      </c>
      <c r="O1253" s="200">
        <f t="shared" si="6344"/>
        <v>0</v>
      </c>
      <c r="P1253" s="200">
        <f t="shared" si="9"/>
        <v>1</v>
      </c>
      <c r="Q1253" s="200">
        <f t="shared" ref="Q1253:AC1253" si="6345">countif($D1253,"*"&amp;Q$2&amp;"*")</f>
        <v>0</v>
      </c>
      <c r="R1253" s="200">
        <f t="shared" si="6345"/>
        <v>0</v>
      </c>
      <c r="S1253" s="200">
        <f t="shared" si="6345"/>
        <v>0</v>
      </c>
      <c r="T1253" s="200">
        <f t="shared" si="6345"/>
        <v>0</v>
      </c>
      <c r="U1253" s="200">
        <f t="shared" si="6345"/>
        <v>0</v>
      </c>
      <c r="V1253" s="200">
        <f t="shared" si="6345"/>
        <v>0</v>
      </c>
      <c r="W1253" s="200">
        <f t="shared" si="6345"/>
        <v>0</v>
      </c>
      <c r="X1253" s="200">
        <f t="shared" si="6345"/>
        <v>0</v>
      </c>
      <c r="Y1253" s="200">
        <f t="shared" si="6345"/>
        <v>0</v>
      </c>
      <c r="Z1253" s="200">
        <f t="shared" si="6345"/>
        <v>0</v>
      </c>
      <c r="AA1253" s="200">
        <f t="shared" si="6345"/>
        <v>0</v>
      </c>
      <c r="AB1253" s="200">
        <f t="shared" si="6345"/>
        <v>0</v>
      </c>
      <c r="AC1253" s="200">
        <f t="shared" si="6345"/>
        <v>0</v>
      </c>
      <c r="AD1253" s="200">
        <f t="shared" si="11"/>
        <v>0</v>
      </c>
      <c r="AE1253" s="200">
        <f t="shared" ref="AE1253:AG1253" si="6346">countif($D1253,"*"&amp;AE$2&amp;"*")</f>
        <v>0</v>
      </c>
      <c r="AF1253" s="200">
        <f t="shared" si="6346"/>
        <v>0</v>
      </c>
      <c r="AG1253" s="200">
        <f t="shared" si="6346"/>
        <v>0</v>
      </c>
      <c r="AH1253" s="171">
        <f t="shared" si="13"/>
        <v>0</v>
      </c>
      <c r="AI1253" s="200">
        <f t="shared" si="14"/>
        <v>0</v>
      </c>
      <c r="AJ1253" s="200">
        <f t="shared" si="6100"/>
        <v>0</v>
      </c>
      <c r="AK1253" s="201">
        <f t="shared" ref="AK1253:AS1253" si="6347">countif($D1253,"*"&amp;AK$2&amp;"*")</f>
        <v>0</v>
      </c>
      <c r="AL1253" s="201">
        <f t="shared" si="6347"/>
        <v>0</v>
      </c>
      <c r="AM1253" s="201">
        <f t="shared" si="6347"/>
        <v>0</v>
      </c>
      <c r="AN1253" s="201">
        <f t="shared" si="6347"/>
        <v>0</v>
      </c>
      <c r="AO1253" s="201">
        <f t="shared" si="6347"/>
        <v>0</v>
      </c>
      <c r="AP1253" s="201">
        <f t="shared" si="6347"/>
        <v>0</v>
      </c>
      <c r="AQ1253" s="201">
        <f t="shared" si="6347"/>
        <v>0</v>
      </c>
      <c r="AR1253" s="200">
        <f t="shared" si="6347"/>
        <v>0</v>
      </c>
      <c r="AS1253" s="200">
        <f t="shared" si="6347"/>
        <v>0</v>
      </c>
      <c r="AT1253" s="173">
        <v>0.0</v>
      </c>
      <c r="AU1253" s="200">
        <f t="shared" si="6217"/>
        <v>0</v>
      </c>
      <c r="AV1253" s="200">
        <f t="shared" ref="AV1253:AX1253" si="6348">countif($D1253,"*"&amp;AV$2&amp;"*")</f>
        <v>1</v>
      </c>
      <c r="AW1253" s="200">
        <f t="shared" si="6348"/>
        <v>0</v>
      </c>
      <c r="AX1253" s="200">
        <f t="shared" si="6348"/>
        <v>0</v>
      </c>
      <c r="AY1253" s="202">
        <v>0.0</v>
      </c>
      <c r="AZ1253" s="200"/>
      <c r="BA1253" s="171" t="str">
        <f t="shared" si="18"/>
        <v/>
      </c>
      <c r="BB1253" s="171" t="str">
        <f t="shared" si="19"/>
        <v>Code</v>
      </c>
      <c r="BC1253" s="171" t="str">
        <f t="shared" si="20"/>
        <v/>
      </c>
      <c r="BD1253" s="171" t="str">
        <f t="shared" si="21"/>
        <v/>
      </c>
      <c r="BE1253" s="171" t="str">
        <f t="shared" si="22"/>
        <v/>
      </c>
      <c r="BF1253" s="171" t="str">
        <f t="shared" si="23"/>
        <v>Code</v>
      </c>
    </row>
    <row r="1254">
      <c r="A1254" s="171">
        <f t="array" ref="A1254">XLOOKUP(C1254,FSE!A:A,FSE!C:C,"XXXXX",0,1)</f>
        <v>2023</v>
      </c>
      <c r="B1254" s="213" t="s">
        <v>5676</v>
      </c>
      <c r="C1254" s="214">
        <v>19.0</v>
      </c>
      <c r="D1254" s="215" t="s">
        <v>5354</v>
      </c>
      <c r="E1254" s="197" t="str">
        <f t="array" ref="E1254">XLOOKUP(C1254,FSE!A:A,FSE!Z:Z,"XXXXX",0,1)</f>
        <v>Publicly Available (1)</v>
      </c>
      <c r="F1254" s="213" t="s">
        <v>3394</v>
      </c>
      <c r="G1254" s="163" t="str">
        <f t="array" ref="G1254">IF(B1254="ICSE",IF(COUNTIFS(B:B,B1254,C:C,C1254)=XLOOKUP(C1254,ICSE!A:A,ICSE!AA:AA,"ERROR",0,1),"OK","ERROR"),IF(B1254="FSE",IF(COUNTIFS(B:B,B1254,C:C,C1254)=XLOOKUP(C1254,FSE!A:A,FSE!AA:AA,"ERROR",0,1),"OK","ERROR")))</f>
        <v>OK</v>
      </c>
      <c r="H1254" s="199">
        <f t="shared" ref="H1254:O1254" si="6349">countif($D1254,"*"&amp;H$2&amp;"*")</f>
        <v>0</v>
      </c>
      <c r="I1254" s="200">
        <f t="shared" si="6349"/>
        <v>0</v>
      </c>
      <c r="J1254" s="200">
        <f t="shared" si="6349"/>
        <v>0</v>
      </c>
      <c r="K1254" s="200">
        <f t="shared" si="6349"/>
        <v>0</v>
      </c>
      <c r="L1254" s="200">
        <f t="shared" si="6349"/>
        <v>0</v>
      </c>
      <c r="M1254" s="200">
        <f t="shared" si="6349"/>
        <v>0</v>
      </c>
      <c r="N1254" s="200">
        <f t="shared" si="6349"/>
        <v>0</v>
      </c>
      <c r="O1254" s="200">
        <f t="shared" si="6349"/>
        <v>0</v>
      </c>
      <c r="P1254" s="200">
        <f t="shared" si="9"/>
        <v>1</v>
      </c>
      <c r="Q1254" s="200">
        <f t="shared" ref="Q1254:AC1254" si="6350">countif($D1254,"*"&amp;Q$2&amp;"*")</f>
        <v>0</v>
      </c>
      <c r="R1254" s="200">
        <f t="shared" si="6350"/>
        <v>0</v>
      </c>
      <c r="S1254" s="200">
        <f t="shared" si="6350"/>
        <v>0</v>
      </c>
      <c r="T1254" s="200">
        <f t="shared" si="6350"/>
        <v>0</v>
      </c>
      <c r="U1254" s="200">
        <f t="shared" si="6350"/>
        <v>0</v>
      </c>
      <c r="V1254" s="200">
        <f t="shared" si="6350"/>
        <v>0</v>
      </c>
      <c r="W1254" s="200">
        <f t="shared" si="6350"/>
        <v>0</v>
      </c>
      <c r="X1254" s="200">
        <f t="shared" si="6350"/>
        <v>0</v>
      </c>
      <c r="Y1254" s="200">
        <f t="shared" si="6350"/>
        <v>0</v>
      </c>
      <c r="Z1254" s="200">
        <f t="shared" si="6350"/>
        <v>0</v>
      </c>
      <c r="AA1254" s="200">
        <f t="shared" si="6350"/>
        <v>0</v>
      </c>
      <c r="AB1254" s="200">
        <f t="shared" si="6350"/>
        <v>0</v>
      </c>
      <c r="AC1254" s="200">
        <f t="shared" si="6350"/>
        <v>0</v>
      </c>
      <c r="AD1254" s="200">
        <f t="shared" si="11"/>
        <v>0</v>
      </c>
      <c r="AE1254" s="200">
        <f t="shared" ref="AE1254:AG1254" si="6351">countif($D1254,"*"&amp;AE$2&amp;"*")</f>
        <v>0</v>
      </c>
      <c r="AF1254" s="200">
        <f t="shared" si="6351"/>
        <v>0</v>
      </c>
      <c r="AG1254" s="200">
        <f t="shared" si="6351"/>
        <v>0</v>
      </c>
      <c r="AH1254" s="171">
        <f t="shared" si="13"/>
        <v>0</v>
      </c>
      <c r="AI1254" s="200">
        <f t="shared" si="14"/>
        <v>0</v>
      </c>
      <c r="AJ1254" s="200">
        <f t="shared" si="6100"/>
        <v>0</v>
      </c>
      <c r="AK1254" s="201">
        <f t="shared" ref="AK1254:AS1254" si="6352">countif($D1254,"*"&amp;AK$2&amp;"*")</f>
        <v>0</v>
      </c>
      <c r="AL1254" s="201">
        <f t="shared" si="6352"/>
        <v>0</v>
      </c>
      <c r="AM1254" s="201">
        <f t="shared" si="6352"/>
        <v>0</v>
      </c>
      <c r="AN1254" s="201">
        <f t="shared" si="6352"/>
        <v>0</v>
      </c>
      <c r="AO1254" s="201">
        <f t="shared" si="6352"/>
        <v>0</v>
      </c>
      <c r="AP1254" s="201">
        <f t="shared" si="6352"/>
        <v>0</v>
      </c>
      <c r="AQ1254" s="201">
        <f t="shared" si="6352"/>
        <v>0</v>
      </c>
      <c r="AR1254" s="200">
        <f t="shared" si="6352"/>
        <v>0</v>
      </c>
      <c r="AS1254" s="200">
        <f t="shared" si="6352"/>
        <v>0</v>
      </c>
      <c r="AT1254" s="173">
        <v>0.0</v>
      </c>
      <c r="AU1254" s="200">
        <f t="shared" si="6217"/>
        <v>0</v>
      </c>
      <c r="AV1254" s="200">
        <f t="shared" ref="AV1254:AX1254" si="6353">countif($D1254,"*"&amp;AV$2&amp;"*")</f>
        <v>1</v>
      </c>
      <c r="AW1254" s="200">
        <f t="shared" si="6353"/>
        <v>0</v>
      </c>
      <c r="AX1254" s="200">
        <f t="shared" si="6353"/>
        <v>0</v>
      </c>
      <c r="AY1254" s="202">
        <v>0.0</v>
      </c>
      <c r="AZ1254" s="200"/>
      <c r="BA1254" s="171" t="str">
        <f t="shared" si="18"/>
        <v/>
      </c>
      <c r="BB1254" s="171" t="str">
        <f t="shared" si="19"/>
        <v>Code</v>
      </c>
      <c r="BC1254" s="171" t="str">
        <f t="shared" si="20"/>
        <v/>
      </c>
      <c r="BD1254" s="171" t="str">
        <f t="shared" si="21"/>
        <v/>
      </c>
      <c r="BE1254" s="171" t="str">
        <f t="shared" si="22"/>
        <v/>
      </c>
      <c r="BF1254" s="171" t="str">
        <f t="shared" si="23"/>
        <v>Code</v>
      </c>
    </row>
    <row r="1255">
      <c r="A1255" s="171">
        <f t="array" ref="A1255">XLOOKUP(C1255,FSE!A:A,FSE!C:C,"XXXXX",0,1)</f>
        <v>2023</v>
      </c>
      <c r="B1255" s="213" t="s">
        <v>5676</v>
      </c>
      <c r="C1255" s="214">
        <v>20.0</v>
      </c>
      <c r="D1255" s="215" t="s">
        <v>5357</v>
      </c>
      <c r="E1255" s="197" t="str">
        <f t="array" ref="E1255">XLOOKUP(C1255,FSE!A:A,FSE!Z:Z,"XXXXX",0,1)</f>
        <v>Publicly Available (1)</v>
      </c>
      <c r="F1255" s="213" t="s">
        <v>3394</v>
      </c>
      <c r="G1255" s="163" t="str">
        <f t="array" ref="G1255">IF(B1255="ICSE",IF(COUNTIFS(B:B,B1255,C:C,C1255)=XLOOKUP(C1255,ICSE!A:A,ICSE!AA:AA,"ERROR",0,1),"OK","ERROR"),IF(B1255="FSE",IF(COUNTIFS(B:B,B1255,C:C,C1255)=XLOOKUP(C1255,FSE!A:A,FSE!AA:AA,"ERROR",0,1),"OK","ERROR")))</f>
        <v>OK</v>
      </c>
      <c r="H1255" s="199">
        <f t="shared" ref="H1255:O1255" si="6354">countif($D1255,"*"&amp;H$2&amp;"*")</f>
        <v>1</v>
      </c>
      <c r="I1255" s="200">
        <f t="shared" si="6354"/>
        <v>0</v>
      </c>
      <c r="J1255" s="200">
        <f t="shared" si="6354"/>
        <v>0</v>
      </c>
      <c r="K1255" s="200">
        <f t="shared" si="6354"/>
        <v>0</v>
      </c>
      <c r="L1255" s="200">
        <f t="shared" si="6354"/>
        <v>0</v>
      </c>
      <c r="M1255" s="200">
        <f t="shared" si="6354"/>
        <v>0</v>
      </c>
      <c r="N1255" s="200">
        <f t="shared" si="6354"/>
        <v>0</v>
      </c>
      <c r="O1255" s="200">
        <f t="shared" si="6354"/>
        <v>0</v>
      </c>
      <c r="P1255" s="200">
        <f t="shared" si="9"/>
        <v>0</v>
      </c>
      <c r="Q1255" s="200">
        <f t="shared" ref="Q1255:AC1255" si="6355">countif($D1255,"*"&amp;Q$2&amp;"*")</f>
        <v>0</v>
      </c>
      <c r="R1255" s="200">
        <f t="shared" si="6355"/>
        <v>0</v>
      </c>
      <c r="S1255" s="200">
        <f t="shared" si="6355"/>
        <v>0</v>
      </c>
      <c r="T1255" s="200">
        <f t="shared" si="6355"/>
        <v>0</v>
      </c>
      <c r="U1255" s="200">
        <f t="shared" si="6355"/>
        <v>0</v>
      </c>
      <c r="V1255" s="200">
        <f t="shared" si="6355"/>
        <v>0</v>
      </c>
      <c r="W1255" s="200">
        <f t="shared" si="6355"/>
        <v>0</v>
      </c>
      <c r="X1255" s="200">
        <f t="shared" si="6355"/>
        <v>0</v>
      </c>
      <c r="Y1255" s="200">
        <f t="shared" si="6355"/>
        <v>0</v>
      </c>
      <c r="Z1255" s="200">
        <f t="shared" si="6355"/>
        <v>0</v>
      </c>
      <c r="AA1255" s="200">
        <f t="shared" si="6355"/>
        <v>0</v>
      </c>
      <c r="AB1255" s="200">
        <f t="shared" si="6355"/>
        <v>0</v>
      </c>
      <c r="AC1255" s="200">
        <f t="shared" si="6355"/>
        <v>0</v>
      </c>
      <c r="AD1255" s="200">
        <f t="shared" si="11"/>
        <v>0</v>
      </c>
      <c r="AE1255" s="200">
        <f t="shared" ref="AE1255:AG1255" si="6356">countif($D1255,"*"&amp;AE$2&amp;"*")</f>
        <v>0</v>
      </c>
      <c r="AF1255" s="200">
        <f t="shared" si="6356"/>
        <v>0</v>
      </c>
      <c r="AG1255" s="200">
        <f t="shared" si="6356"/>
        <v>0</v>
      </c>
      <c r="AH1255" s="171">
        <f t="shared" si="13"/>
        <v>0</v>
      </c>
      <c r="AI1255" s="200">
        <f t="shared" si="14"/>
        <v>1</v>
      </c>
      <c r="AJ1255" s="200">
        <f t="shared" si="6100"/>
        <v>0</v>
      </c>
      <c r="AK1255" s="201">
        <f t="shared" ref="AK1255:AS1255" si="6357">countif($D1255,"*"&amp;AK$2&amp;"*")</f>
        <v>0</v>
      </c>
      <c r="AL1255" s="201">
        <f t="shared" si="6357"/>
        <v>0</v>
      </c>
      <c r="AM1255" s="201">
        <f t="shared" si="6357"/>
        <v>0</v>
      </c>
      <c r="AN1255" s="201">
        <f t="shared" si="6357"/>
        <v>0</v>
      </c>
      <c r="AO1255" s="201">
        <f t="shared" si="6357"/>
        <v>0</v>
      </c>
      <c r="AP1255" s="201">
        <f t="shared" si="6357"/>
        <v>0</v>
      </c>
      <c r="AQ1255" s="201">
        <f t="shared" si="6357"/>
        <v>0</v>
      </c>
      <c r="AR1255" s="200">
        <f t="shared" si="6357"/>
        <v>0</v>
      </c>
      <c r="AS1255" s="200">
        <f t="shared" si="6357"/>
        <v>0</v>
      </c>
      <c r="AT1255" s="173">
        <v>0.0</v>
      </c>
      <c r="AU1255" s="200">
        <f t="shared" si="6217"/>
        <v>0</v>
      </c>
      <c r="AV1255" s="200">
        <f t="shared" ref="AV1255:AX1255" si="6358">countif($D1255,"*"&amp;AV$2&amp;"*")</f>
        <v>0</v>
      </c>
      <c r="AW1255" s="200">
        <f t="shared" si="6358"/>
        <v>0</v>
      </c>
      <c r="AX1255" s="200">
        <f t="shared" si="6358"/>
        <v>1</v>
      </c>
      <c r="AY1255" s="202">
        <v>0.0</v>
      </c>
      <c r="AZ1255" s="200"/>
      <c r="BA1255" s="171" t="str">
        <f t="shared" si="18"/>
        <v>Archival</v>
      </c>
      <c r="BB1255" s="171" t="str">
        <f t="shared" si="19"/>
        <v/>
      </c>
      <c r="BC1255" s="171" t="str">
        <f t="shared" si="20"/>
        <v/>
      </c>
      <c r="BD1255" s="171" t="str">
        <f t="shared" si="21"/>
        <v/>
      </c>
      <c r="BE1255" s="171" t="str">
        <f t="shared" si="22"/>
        <v/>
      </c>
      <c r="BF1255" s="171" t="str">
        <f t="shared" si="23"/>
        <v>Archival</v>
      </c>
    </row>
    <row r="1256">
      <c r="A1256" s="171">
        <f t="array" ref="A1256">XLOOKUP(C1256,FSE!A:A,FSE!C:C,"XXXXX",0,1)</f>
        <v>2023</v>
      </c>
      <c r="B1256" s="213" t="s">
        <v>5676</v>
      </c>
      <c r="C1256" s="214">
        <v>21.0</v>
      </c>
      <c r="D1256" s="216" t="s">
        <v>5360</v>
      </c>
      <c r="E1256" s="197" t="str">
        <f t="array" ref="E1256">XLOOKUP(C1256,FSE!A:A,FSE!Z:Z,"XXXXX",0,1)</f>
        <v>Publicly Available (1)</v>
      </c>
      <c r="F1256" s="213" t="s">
        <v>3394</v>
      </c>
      <c r="G1256" s="163" t="str">
        <f t="array" ref="G1256">IF(B1256="ICSE",IF(COUNTIFS(B:B,B1256,C:C,C1256)=XLOOKUP(C1256,ICSE!A:A,ICSE!AA:AA,"ERROR",0,1),"OK","ERROR"),IF(B1256="FSE",IF(COUNTIFS(B:B,B1256,C:C,C1256)=XLOOKUP(C1256,FSE!A:A,FSE!AA:AA,"ERROR",0,1),"OK","ERROR")))</f>
        <v>OK</v>
      </c>
      <c r="H1256" s="199">
        <f t="shared" ref="H1256:O1256" si="6359">countif($D1256,"*"&amp;H$2&amp;"*")</f>
        <v>0</v>
      </c>
      <c r="I1256" s="200">
        <f t="shared" si="6359"/>
        <v>0</v>
      </c>
      <c r="J1256" s="200">
        <f t="shared" si="6359"/>
        <v>0</v>
      </c>
      <c r="K1256" s="200">
        <f t="shared" si="6359"/>
        <v>0</v>
      </c>
      <c r="L1256" s="200">
        <f t="shared" si="6359"/>
        <v>0</v>
      </c>
      <c r="M1256" s="200">
        <f t="shared" si="6359"/>
        <v>0</v>
      </c>
      <c r="N1256" s="200">
        <f t="shared" si="6359"/>
        <v>0</v>
      </c>
      <c r="O1256" s="200">
        <f t="shared" si="6359"/>
        <v>0</v>
      </c>
      <c r="P1256" s="200">
        <f t="shared" si="9"/>
        <v>0</v>
      </c>
      <c r="Q1256" s="200">
        <f t="shared" ref="Q1256:AC1256" si="6360">countif($D1256,"*"&amp;Q$2&amp;"*")</f>
        <v>0</v>
      </c>
      <c r="R1256" s="200">
        <f t="shared" si="6360"/>
        <v>1</v>
      </c>
      <c r="S1256" s="200">
        <f t="shared" si="6360"/>
        <v>0</v>
      </c>
      <c r="T1256" s="200">
        <f t="shared" si="6360"/>
        <v>0</v>
      </c>
      <c r="U1256" s="200">
        <f t="shared" si="6360"/>
        <v>0</v>
      </c>
      <c r="V1256" s="200">
        <f t="shared" si="6360"/>
        <v>0</v>
      </c>
      <c r="W1256" s="200">
        <f t="shared" si="6360"/>
        <v>0</v>
      </c>
      <c r="X1256" s="200">
        <f t="shared" si="6360"/>
        <v>0</v>
      </c>
      <c r="Y1256" s="200">
        <f t="shared" si="6360"/>
        <v>0</v>
      </c>
      <c r="Z1256" s="200">
        <f t="shared" si="6360"/>
        <v>0</v>
      </c>
      <c r="AA1256" s="200">
        <f t="shared" si="6360"/>
        <v>0</v>
      </c>
      <c r="AB1256" s="200">
        <f t="shared" si="6360"/>
        <v>0</v>
      </c>
      <c r="AC1256" s="200">
        <f t="shared" si="6360"/>
        <v>0</v>
      </c>
      <c r="AD1256" s="200">
        <f t="shared" si="11"/>
        <v>0</v>
      </c>
      <c r="AE1256" s="200">
        <f t="shared" ref="AE1256:AG1256" si="6361">countif($D1256,"*"&amp;AE$2&amp;"*")</f>
        <v>0</v>
      </c>
      <c r="AF1256" s="200">
        <f t="shared" si="6361"/>
        <v>0</v>
      </c>
      <c r="AG1256" s="200">
        <f t="shared" si="6361"/>
        <v>0</v>
      </c>
      <c r="AH1256" s="171">
        <f t="shared" si="13"/>
        <v>0</v>
      </c>
      <c r="AI1256" s="200">
        <f t="shared" si="14"/>
        <v>0</v>
      </c>
      <c r="AJ1256" s="200">
        <f t="shared" si="6100"/>
        <v>0</v>
      </c>
      <c r="AK1256" s="201">
        <f t="shared" ref="AK1256:AS1256" si="6362">countif($D1256,"*"&amp;AK$2&amp;"*")</f>
        <v>0</v>
      </c>
      <c r="AL1256" s="201">
        <f t="shared" si="6362"/>
        <v>0</v>
      </c>
      <c r="AM1256" s="201">
        <f t="shared" si="6362"/>
        <v>0</v>
      </c>
      <c r="AN1256" s="201">
        <f t="shared" si="6362"/>
        <v>0</v>
      </c>
      <c r="AO1256" s="201">
        <f t="shared" si="6362"/>
        <v>0</v>
      </c>
      <c r="AP1256" s="201">
        <f t="shared" si="6362"/>
        <v>0</v>
      </c>
      <c r="AQ1256" s="201">
        <f t="shared" si="6362"/>
        <v>0</v>
      </c>
      <c r="AR1256" s="200">
        <f t="shared" si="6362"/>
        <v>0</v>
      </c>
      <c r="AS1256" s="200">
        <f t="shared" si="6362"/>
        <v>0</v>
      </c>
      <c r="AT1256" s="173">
        <v>0.0</v>
      </c>
      <c r="AU1256" s="200">
        <f t="shared" si="6217"/>
        <v>0</v>
      </c>
      <c r="AV1256" s="200">
        <f t="shared" ref="AV1256:AX1256" si="6363">countif($D1256,"*"&amp;AV$2&amp;"*")</f>
        <v>0</v>
      </c>
      <c r="AW1256" s="200">
        <f t="shared" si="6363"/>
        <v>0</v>
      </c>
      <c r="AX1256" s="200">
        <f t="shared" si="6363"/>
        <v>0</v>
      </c>
      <c r="AY1256" s="202">
        <v>0.0</v>
      </c>
      <c r="AZ1256" s="200"/>
      <c r="BA1256" s="171" t="str">
        <f t="shared" si="18"/>
        <v/>
      </c>
      <c r="BB1256" s="171" t="str">
        <f t="shared" si="19"/>
        <v>Code</v>
      </c>
      <c r="BC1256" s="171" t="str">
        <f t="shared" si="20"/>
        <v/>
      </c>
      <c r="BD1256" s="171" t="str">
        <f t="shared" si="21"/>
        <v/>
      </c>
      <c r="BE1256" s="171" t="str">
        <f t="shared" si="22"/>
        <v/>
      </c>
      <c r="BF1256" s="171" t="str">
        <f t="shared" si="23"/>
        <v>Code</v>
      </c>
    </row>
    <row r="1257">
      <c r="A1257" s="171">
        <f t="array" ref="A1257">XLOOKUP(C1257,FSE!A:A,FSE!C:C,"XXXXX",0,1)</f>
        <v>2023</v>
      </c>
      <c r="B1257" s="213" t="s">
        <v>5676</v>
      </c>
      <c r="C1257" s="214">
        <v>22.0</v>
      </c>
      <c r="D1257" s="215" t="s">
        <v>5363</v>
      </c>
      <c r="E1257" s="197" t="str">
        <f t="array" ref="E1257">XLOOKUP(C1257,FSE!A:A,FSE!Z:Z,"XXXXX",0,1)</f>
        <v>Publicly Available (1)</v>
      </c>
      <c r="F1257" s="213" t="s">
        <v>3394</v>
      </c>
      <c r="G1257" s="163" t="str">
        <f t="array" ref="G1257">IF(B1257="ICSE",IF(COUNTIFS(B:B,B1257,C:C,C1257)=XLOOKUP(C1257,ICSE!A:A,ICSE!AA:AA,"ERROR",0,1),"OK","ERROR"),IF(B1257="FSE",IF(COUNTIFS(B:B,B1257,C:C,C1257)=XLOOKUP(C1257,FSE!A:A,FSE!AA:AA,"ERROR",0,1),"OK","ERROR")))</f>
        <v>OK</v>
      </c>
      <c r="H1257" s="199">
        <f t="shared" ref="H1257:O1257" si="6364">countif($D1257,"*"&amp;H$2&amp;"*")</f>
        <v>1</v>
      </c>
      <c r="I1257" s="200">
        <f t="shared" si="6364"/>
        <v>0</v>
      </c>
      <c r="J1257" s="200">
        <f t="shared" si="6364"/>
        <v>0</v>
      </c>
      <c r="K1257" s="200">
        <f t="shared" si="6364"/>
        <v>0</v>
      </c>
      <c r="L1257" s="200">
        <f t="shared" si="6364"/>
        <v>0</v>
      </c>
      <c r="M1257" s="200">
        <f t="shared" si="6364"/>
        <v>0</v>
      </c>
      <c r="N1257" s="200">
        <f t="shared" si="6364"/>
        <v>0</v>
      </c>
      <c r="O1257" s="200">
        <f t="shared" si="6364"/>
        <v>0</v>
      </c>
      <c r="P1257" s="200">
        <f t="shared" si="9"/>
        <v>0</v>
      </c>
      <c r="Q1257" s="200">
        <f t="shared" ref="Q1257:AC1257" si="6365">countif($D1257,"*"&amp;Q$2&amp;"*")</f>
        <v>0</v>
      </c>
      <c r="R1257" s="200">
        <f t="shared" si="6365"/>
        <v>0</v>
      </c>
      <c r="S1257" s="200">
        <f t="shared" si="6365"/>
        <v>0</v>
      </c>
      <c r="T1257" s="200">
        <f t="shared" si="6365"/>
        <v>0</v>
      </c>
      <c r="U1257" s="200">
        <f t="shared" si="6365"/>
        <v>0</v>
      </c>
      <c r="V1257" s="200">
        <f t="shared" si="6365"/>
        <v>0</v>
      </c>
      <c r="W1257" s="200">
        <f t="shared" si="6365"/>
        <v>0</v>
      </c>
      <c r="X1257" s="200">
        <f t="shared" si="6365"/>
        <v>0</v>
      </c>
      <c r="Y1257" s="200">
        <f t="shared" si="6365"/>
        <v>0</v>
      </c>
      <c r="Z1257" s="200">
        <f t="shared" si="6365"/>
        <v>0</v>
      </c>
      <c r="AA1257" s="200">
        <f t="shared" si="6365"/>
        <v>0</v>
      </c>
      <c r="AB1257" s="200">
        <f t="shared" si="6365"/>
        <v>0</v>
      </c>
      <c r="AC1257" s="200">
        <f t="shared" si="6365"/>
        <v>0</v>
      </c>
      <c r="AD1257" s="200">
        <f t="shared" si="11"/>
        <v>0</v>
      </c>
      <c r="AE1257" s="200">
        <f t="shared" ref="AE1257:AG1257" si="6366">countif($D1257,"*"&amp;AE$2&amp;"*")</f>
        <v>0</v>
      </c>
      <c r="AF1257" s="200">
        <f t="shared" si="6366"/>
        <v>0</v>
      </c>
      <c r="AG1257" s="200">
        <f t="shared" si="6366"/>
        <v>0</v>
      </c>
      <c r="AH1257" s="171">
        <f t="shared" si="13"/>
        <v>0</v>
      </c>
      <c r="AI1257" s="200">
        <f t="shared" si="14"/>
        <v>1</v>
      </c>
      <c r="AJ1257" s="200">
        <f t="shared" si="6100"/>
        <v>0</v>
      </c>
      <c r="AK1257" s="201">
        <f t="shared" ref="AK1257:AS1257" si="6367">countif($D1257,"*"&amp;AK$2&amp;"*")</f>
        <v>0</v>
      </c>
      <c r="AL1257" s="201">
        <f t="shared" si="6367"/>
        <v>0</v>
      </c>
      <c r="AM1257" s="201">
        <f t="shared" si="6367"/>
        <v>0</v>
      </c>
      <c r="AN1257" s="201">
        <f t="shared" si="6367"/>
        <v>0</v>
      </c>
      <c r="AO1257" s="201">
        <f t="shared" si="6367"/>
        <v>0</v>
      </c>
      <c r="AP1257" s="201">
        <f t="shared" si="6367"/>
        <v>0</v>
      </c>
      <c r="AQ1257" s="201">
        <f t="shared" si="6367"/>
        <v>0</v>
      </c>
      <c r="AR1257" s="200">
        <f t="shared" si="6367"/>
        <v>0</v>
      </c>
      <c r="AS1257" s="200">
        <f t="shared" si="6367"/>
        <v>0</v>
      </c>
      <c r="AT1257" s="173">
        <v>0.0</v>
      </c>
      <c r="AU1257" s="200">
        <f t="shared" si="6217"/>
        <v>0</v>
      </c>
      <c r="AV1257" s="200">
        <f t="shared" ref="AV1257:AX1257" si="6368">countif($D1257,"*"&amp;AV$2&amp;"*")</f>
        <v>0</v>
      </c>
      <c r="AW1257" s="200">
        <f t="shared" si="6368"/>
        <v>0</v>
      </c>
      <c r="AX1257" s="200">
        <f t="shared" si="6368"/>
        <v>1</v>
      </c>
      <c r="AY1257" s="202">
        <v>0.0</v>
      </c>
      <c r="AZ1257" s="200"/>
      <c r="BA1257" s="171" t="str">
        <f t="shared" si="18"/>
        <v>Archival</v>
      </c>
      <c r="BB1257" s="171" t="str">
        <f t="shared" si="19"/>
        <v/>
      </c>
      <c r="BC1257" s="171" t="str">
        <f t="shared" si="20"/>
        <v/>
      </c>
      <c r="BD1257" s="171" t="str">
        <f t="shared" si="21"/>
        <v/>
      </c>
      <c r="BE1257" s="171" t="str">
        <f t="shared" si="22"/>
        <v/>
      </c>
      <c r="BF1257" s="171" t="str">
        <f t="shared" si="23"/>
        <v>Archival</v>
      </c>
    </row>
    <row r="1258">
      <c r="A1258" s="171">
        <f t="array" ref="A1258">XLOOKUP(C1258,FSE!A:A,FSE!C:C,"XXXXX",0,1)</f>
        <v>2023</v>
      </c>
      <c r="B1258" s="213" t="s">
        <v>5676</v>
      </c>
      <c r="C1258" s="214">
        <v>23.0</v>
      </c>
      <c r="D1258" s="215" t="s">
        <v>5366</v>
      </c>
      <c r="E1258" s="197" t="str">
        <f t="array" ref="E1258">XLOOKUP(C1258,FSE!A:A,FSE!Z:Z,"XXXXX",0,1)</f>
        <v>Publicly Available (1)</v>
      </c>
      <c r="F1258" s="213" t="s">
        <v>3394</v>
      </c>
      <c r="G1258" s="163" t="str">
        <f t="array" ref="G1258">IF(B1258="ICSE",IF(COUNTIFS(B:B,B1258,C:C,C1258)=XLOOKUP(C1258,ICSE!A:A,ICSE!AA:AA,"ERROR",0,1),"OK","ERROR"),IF(B1258="FSE",IF(COUNTIFS(B:B,B1258,C:C,C1258)=XLOOKUP(C1258,FSE!A:A,FSE!AA:AA,"ERROR",0,1),"OK","ERROR")))</f>
        <v>OK</v>
      </c>
      <c r="H1258" s="199">
        <f t="shared" ref="H1258:O1258" si="6369">countif($D1258,"*"&amp;H$2&amp;"*")</f>
        <v>1</v>
      </c>
      <c r="I1258" s="200">
        <f t="shared" si="6369"/>
        <v>0</v>
      </c>
      <c r="J1258" s="200">
        <f t="shared" si="6369"/>
        <v>0</v>
      </c>
      <c r="K1258" s="200">
        <f t="shared" si="6369"/>
        <v>0</v>
      </c>
      <c r="L1258" s="200">
        <f t="shared" si="6369"/>
        <v>0</v>
      </c>
      <c r="M1258" s="200">
        <f t="shared" si="6369"/>
        <v>0</v>
      </c>
      <c r="N1258" s="200">
        <f t="shared" si="6369"/>
        <v>0</v>
      </c>
      <c r="O1258" s="200">
        <f t="shared" si="6369"/>
        <v>0</v>
      </c>
      <c r="P1258" s="200">
        <f t="shared" si="9"/>
        <v>0</v>
      </c>
      <c r="Q1258" s="200">
        <f t="shared" ref="Q1258:AC1258" si="6370">countif($D1258,"*"&amp;Q$2&amp;"*")</f>
        <v>0</v>
      </c>
      <c r="R1258" s="200">
        <f t="shared" si="6370"/>
        <v>0</v>
      </c>
      <c r="S1258" s="200">
        <f t="shared" si="6370"/>
        <v>0</v>
      </c>
      <c r="T1258" s="200">
        <f t="shared" si="6370"/>
        <v>0</v>
      </c>
      <c r="U1258" s="200">
        <f t="shared" si="6370"/>
        <v>0</v>
      </c>
      <c r="V1258" s="200">
        <f t="shared" si="6370"/>
        <v>0</v>
      </c>
      <c r="W1258" s="200">
        <f t="shared" si="6370"/>
        <v>0</v>
      </c>
      <c r="X1258" s="200">
        <f t="shared" si="6370"/>
        <v>0</v>
      </c>
      <c r="Y1258" s="200">
        <f t="shared" si="6370"/>
        <v>0</v>
      </c>
      <c r="Z1258" s="200">
        <f t="shared" si="6370"/>
        <v>0</v>
      </c>
      <c r="AA1258" s="200">
        <f t="shared" si="6370"/>
        <v>0</v>
      </c>
      <c r="AB1258" s="200">
        <f t="shared" si="6370"/>
        <v>0</v>
      </c>
      <c r="AC1258" s="200">
        <f t="shared" si="6370"/>
        <v>0</v>
      </c>
      <c r="AD1258" s="200">
        <f t="shared" si="11"/>
        <v>0</v>
      </c>
      <c r="AE1258" s="200">
        <f t="shared" ref="AE1258:AG1258" si="6371">countif($D1258,"*"&amp;AE$2&amp;"*")</f>
        <v>0</v>
      </c>
      <c r="AF1258" s="200">
        <f t="shared" si="6371"/>
        <v>0</v>
      </c>
      <c r="AG1258" s="200">
        <f t="shared" si="6371"/>
        <v>0</v>
      </c>
      <c r="AH1258" s="171">
        <f t="shared" si="13"/>
        <v>0</v>
      </c>
      <c r="AI1258" s="200">
        <f t="shared" si="14"/>
        <v>1</v>
      </c>
      <c r="AJ1258" s="200">
        <f t="shared" si="6100"/>
        <v>0</v>
      </c>
      <c r="AK1258" s="201">
        <f t="shared" ref="AK1258:AS1258" si="6372">countif($D1258,"*"&amp;AK$2&amp;"*")</f>
        <v>0</v>
      </c>
      <c r="AL1258" s="201">
        <f t="shared" si="6372"/>
        <v>0</v>
      </c>
      <c r="AM1258" s="201">
        <f t="shared" si="6372"/>
        <v>0</v>
      </c>
      <c r="AN1258" s="201">
        <f t="shared" si="6372"/>
        <v>0</v>
      </c>
      <c r="AO1258" s="201">
        <f t="shared" si="6372"/>
        <v>0</v>
      </c>
      <c r="AP1258" s="201">
        <f t="shared" si="6372"/>
        <v>0</v>
      </c>
      <c r="AQ1258" s="201">
        <f t="shared" si="6372"/>
        <v>0</v>
      </c>
      <c r="AR1258" s="200">
        <f t="shared" si="6372"/>
        <v>0</v>
      </c>
      <c r="AS1258" s="200">
        <f t="shared" si="6372"/>
        <v>0</v>
      </c>
      <c r="AT1258" s="173">
        <v>0.0</v>
      </c>
      <c r="AU1258" s="200">
        <f t="shared" si="6217"/>
        <v>0</v>
      </c>
      <c r="AV1258" s="200">
        <f t="shared" ref="AV1258:AX1258" si="6373">countif($D1258,"*"&amp;AV$2&amp;"*")</f>
        <v>0</v>
      </c>
      <c r="AW1258" s="200">
        <f t="shared" si="6373"/>
        <v>0</v>
      </c>
      <c r="AX1258" s="200">
        <f t="shared" si="6373"/>
        <v>1</v>
      </c>
      <c r="AY1258" s="202">
        <v>0.0</v>
      </c>
      <c r="AZ1258" s="200"/>
      <c r="BA1258" s="171" t="str">
        <f t="shared" si="18"/>
        <v>Archival</v>
      </c>
      <c r="BB1258" s="171" t="str">
        <f t="shared" si="19"/>
        <v/>
      </c>
      <c r="BC1258" s="171" t="str">
        <f t="shared" si="20"/>
        <v/>
      </c>
      <c r="BD1258" s="171" t="str">
        <f t="shared" si="21"/>
        <v/>
      </c>
      <c r="BE1258" s="171" t="str">
        <f t="shared" si="22"/>
        <v/>
      </c>
      <c r="BF1258" s="171" t="str">
        <f t="shared" si="23"/>
        <v>Archival</v>
      </c>
    </row>
    <row r="1259">
      <c r="A1259" s="171">
        <f t="array" ref="A1259">XLOOKUP(C1259,FSE!A:A,FSE!C:C,"XXXXX",0,1)</f>
        <v>2023</v>
      </c>
      <c r="B1259" s="213" t="s">
        <v>5676</v>
      </c>
      <c r="C1259" s="214">
        <v>24.0</v>
      </c>
      <c r="D1259" s="215" t="s">
        <v>5369</v>
      </c>
      <c r="E1259" s="197" t="str">
        <f t="array" ref="E1259">XLOOKUP(C1259,FSE!A:A,FSE!Z:Z,"XXXXX",0,1)</f>
        <v>Publicly Available (1)</v>
      </c>
      <c r="F1259" s="213" t="s">
        <v>3394</v>
      </c>
      <c r="G1259" s="163" t="str">
        <f t="array" ref="G1259">IF(B1259="ICSE",IF(COUNTIFS(B:B,B1259,C:C,C1259)=XLOOKUP(C1259,ICSE!A:A,ICSE!AA:AA,"ERROR",0,1),"OK","ERROR"),IF(B1259="FSE",IF(COUNTIFS(B:B,B1259,C:C,C1259)=XLOOKUP(C1259,FSE!A:A,FSE!AA:AA,"ERROR",0,1),"OK","ERROR")))</f>
        <v>OK</v>
      </c>
      <c r="H1259" s="199">
        <f t="shared" ref="H1259:O1259" si="6374">countif($D1259,"*"&amp;H$2&amp;"*")</f>
        <v>0</v>
      </c>
      <c r="I1259" s="200">
        <f t="shared" si="6374"/>
        <v>0</v>
      </c>
      <c r="J1259" s="200">
        <f t="shared" si="6374"/>
        <v>0</v>
      </c>
      <c r="K1259" s="200">
        <f t="shared" si="6374"/>
        <v>0</v>
      </c>
      <c r="L1259" s="200">
        <f t="shared" si="6374"/>
        <v>0</v>
      </c>
      <c r="M1259" s="200">
        <f t="shared" si="6374"/>
        <v>0</v>
      </c>
      <c r="N1259" s="200">
        <f t="shared" si="6374"/>
        <v>0</v>
      </c>
      <c r="O1259" s="200">
        <f t="shared" si="6374"/>
        <v>0</v>
      </c>
      <c r="P1259" s="200">
        <f t="shared" si="9"/>
        <v>1</v>
      </c>
      <c r="Q1259" s="200">
        <f t="shared" ref="Q1259:AC1259" si="6375">countif($D1259,"*"&amp;Q$2&amp;"*")</f>
        <v>0</v>
      </c>
      <c r="R1259" s="200">
        <f t="shared" si="6375"/>
        <v>0</v>
      </c>
      <c r="S1259" s="200">
        <f t="shared" si="6375"/>
        <v>0</v>
      </c>
      <c r="T1259" s="200">
        <f t="shared" si="6375"/>
        <v>0</v>
      </c>
      <c r="U1259" s="200">
        <f t="shared" si="6375"/>
        <v>0</v>
      </c>
      <c r="V1259" s="200">
        <f t="shared" si="6375"/>
        <v>0</v>
      </c>
      <c r="W1259" s="200">
        <f t="shared" si="6375"/>
        <v>0</v>
      </c>
      <c r="X1259" s="200">
        <f t="shared" si="6375"/>
        <v>0</v>
      </c>
      <c r="Y1259" s="200">
        <f t="shared" si="6375"/>
        <v>0</v>
      </c>
      <c r="Z1259" s="200">
        <f t="shared" si="6375"/>
        <v>0</v>
      </c>
      <c r="AA1259" s="200">
        <f t="shared" si="6375"/>
        <v>0</v>
      </c>
      <c r="AB1259" s="200">
        <f t="shared" si="6375"/>
        <v>0</v>
      </c>
      <c r="AC1259" s="200">
        <f t="shared" si="6375"/>
        <v>0</v>
      </c>
      <c r="AD1259" s="200">
        <f t="shared" si="11"/>
        <v>0</v>
      </c>
      <c r="AE1259" s="200">
        <f t="shared" ref="AE1259:AG1259" si="6376">countif($D1259,"*"&amp;AE$2&amp;"*")</f>
        <v>0</v>
      </c>
      <c r="AF1259" s="200">
        <f t="shared" si="6376"/>
        <v>0</v>
      </c>
      <c r="AG1259" s="200">
        <f t="shared" si="6376"/>
        <v>0</v>
      </c>
      <c r="AH1259" s="171">
        <f t="shared" si="13"/>
        <v>0</v>
      </c>
      <c r="AI1259" s="200">
        <f t="shared" si="14"/>
        <v>0</v>
      </c>
      <c r="AJ1259" s="200">
        <f t="shared" si="6100"/>
        <v>0</v>
      </c>
      <c r="AK1259" s="201">
        <f t="shared" ref="AK1259:AS1259" si="6377">countif($D1259,"*"&amp;AK$2&amp;"*")</f>
        <v>0</v>
      </c>
      <c r="AL1259" s="201">
        <f t="shared" si="6377"/>
        <v>0</v>
      </c>
      <c r="AM1259" s="201">
        <f t="shared" si="6377"/>
        <v>0</v>
      </c>
      <c r="AN1259" s="201">
        <f t="shared" si="6377"/>
        <v>0</v>
      </c>
      <c r="AO1259" s="201">
        <f t="shared" si="6377"/>
        <v>0</v>
      </c>
      <c r="AP1259" s="201">
        <f t="shared" si="6377"/>
        <v>0</v>
      </c>
      <c r="AQ1259" s="201">
        <f t="shared" si="6377"/>
        <v>0</v>
      </c>
      <c r="AR1259" s="200">
        <f t="shared" si="6377"/>
        <v>0</v>
      </c>
      <c r="AS1259" s="200">
        <f t="shared" si="6377"/>
        <v>0</v>
      </c>
      <c r="AT1259" s="173">
        <v>0.0</v>
      </c>
      <c r="AU1259" s="200">
        <f t="shared" si="6217"/>
        <v>0</v>
      </c>
      <c r="AV1259" s="200">
        <f t="shared" ref="AV1259:AX1259" si="6378">countif($D1259,"*"&amp;AV$2&amp;"*")</f>
        <v>1</v>
      </c>
      <c r="AW1259" s="200">
        <f t="shared" si="6378"/>
        <v>0</v>
      </c>
      <c r="AX1259" s="200">
        <f t="shared" si="6378"/>
        <v>0</v>
      </c>
      <c r="AY1259" s="202">
        <v>0.0</v>
      </c>
      <c r="AZ1259" s="200"/>
      <c r="BA1259" s="171" t="str">
        <f t="shared" si="18"/>
        <v/>
      </c>
      <c r="BB1259" s="171" t="str">
        <f t="shared" si="19"/>
        <v>Code</v>
      </c>
      <c r="BC1259" s="171" t="str">
        <f t="shared" si="20"/>
        <v/>
      </c>
      <c r="BD1259" s="171" t="str">
        <f t="shared" si="21"/>
        <v/>
      </c>
      <c r="BE1259" s="171" t="str">
        <f t="shared" si="22"/>
        <v/>
      </c>
      <c r="BF1259" s="171" t="str">
        <f t="shared" si="23"/>
        <v>Code</v>
      </c>
    </row>
    <row r="1260">
      <c r="A1260" s="171">
        <f t="array" ref="A1260">XLOOKUP(C1260,FSE!A:A,FSE!C:C,"XXXXX",0,1)</f>
        <v>2023</v>
      </c>
      <c r="B1260" s="213" t="s">
        <v>5676</v>
      </c>
      <c r="C1260" s="214">
        <v>25.0</v>
      </c>
      <c r="D1260" s="215" t="s">
        <v>6186</v>
      </c>
      <c r="E1260" s="197" t="str">
        <f t="array" ref="E1260">XLOOKUP(C1260,FSE!A:A,FSE!Z:Z,"XXXXX",0,1)</f>
        <v>Publicly Available (2)</v>
      </c>
      <c r="F1260" s="213" t="s">
        <v>3394</v>
      </c>
      <c r="G1260" s="163" t="str">
        <f t="array" ref="G1260">IF(B1260="ICSE",IF(COUNTIFS(B:B,B1260,C:C,C1260)=XLOOKUP(C1260,ICSE!A:A,ICSE!AA:AA,"ERROR",0,1),"OK","ERROR"),IF(B1260="FSE",IF(COUNTIFS(B:B,B1260,C:C,C1260)=XLOOKUP(C1260,FSE!A:A,FSE!AA:AA,"ERROR",0,1),"OK","ERROR")))</f>
        <v>OK</v>
      </c>
      <c r="H1260" s="199">
        <f t="shared" ref="H1260:O1260" si="6379">countif($D1260,"*"&amp;H$2&amp;"*")</f>
        <v>1</v>
      </c>
      <c r="I1260" s="200">
        <f t="shared" si="6379"/>
        <v>0</v>
      </c>
      <c r="J1260" s="200">
        <f t="shared" si="6379"/>
        <v>0</v>
      </c>
      <c r="K1260" s="200">
        <f t="shared" si="6379"/>
        <v>0</v>
      </c>
      <c r="L1260" s="200">
        <f t="shared" si="6379"/>
        <v>0</v>
      </c>
      <c r="M1260" s="200">
        <f t="shared" si="6379"/>
        <v>0</v>
      </c>
      <c r="N1260" s="200">
        <f t="shared" si="6379"/>
        <v>0</v>
      </c>
      <c r="O1260" s="200">
        <f t="shared" si="6379"/>
        <v>0</v>
      </c>
      <c r="P1260" s="200">
        <f t="shared" si="9"/>
        <v>0</v>
      </c>
      <c r="Q1260" s="200">
        <f t="shared" ref="Q1260:AC1260" si="6380">countif($D1260,"*"&amp;Q$2&amp;"*")</f>
        <v>0</v>
      </c>
      <c r="R1260" s="200">
        <f t="shared" si="6380"/>
        <v>0</v>
      </c>
      <c r="S1260" s="200">
        <f t="shared" si="6380"/>
        <v>0</v>
      </c>
      <c r="T1260" s="200">
        <f t="shared" si="6380"/>
        <v>0</v>
      </c>
      <c r="U1260" s="200">
        <f t="shared" si="6380"/>
        <v>0</v>
      </c>
      <c r="V1260" s="200">
        <f t="shared" si="6380"/>
        <v>0</v>
      </c>
      <c r="W1260" s="200">
        <f t="shared" si="6380"/>
        <v>0</v>
      </c>
      <c r="X1260" s="200">
        <f t="shared" si="6380"/>
        <v>0</v>
      </c>
      <c r="Y1260" s="200">
        <f t="shared" si="6380"/>
        <v>0</v>
      </c>
      <c r="Z1260" s="200">
        <f t="shared" si="6380"/>
        <v>0</v>
      </c>
      <c r="AA1260" s="200">
        <f t="shared" si="6380"/>
        <v>0</v>
      </c>
      <c r="AB1260" s="200">
        <f t="shared" si="6380"/>
        <v>0</v>
      </c>
      <c r="AC1260" s="200">
        <f t="shared" si="6380"/>
        <v>0</v>
      </c>
      <c r="AD1260" s="200">
        <f t="shared" si="11"/>
        <v>0</v>
      </c>
      <c r="AE1260" s="200">
        <f t="shared" ref="AE1260:AG1260" si="6381">countif($D1260,"*"&amp;AE$2&amp;"*")</f>
        <v>0</v>
      </c>
      <c r="AF1260" s="200">
        <f t="shared" si="6381"/>
        <v>0</v>
      </c>
      <c r="AG1260" s="200">
        <f t="shared" si="6381"/>
        <v>0</v>
      </c>
      <c r="AH1260" s="171">
        <f t="shared" si="13"/>
        <v>0</v>
      </c>
      <c r="AI1260" s="200">
        <f t="shared" si="14"/>
        <v>1</v>
      </c>
      <c r="AJ1260" s="200">
        <f t="shared" si="6100"/>
        <v>0</v>
      </c>
      <c r="AK1260" s="201">
        <f t="shared" ref="AK1260:AS1260" si="6382">countif($D1260,"*"&amp;AK$2&amp;"*")</f>
        <v>0</v>
      </c>
      <c r="AL1260" s="201">
        <f t="shared" si="6382"/>
        <v>0</v>
      </c>
      <c r="AM1260" s="201">
        <f t="shared" si="6382"/>
        <v>0</v>
      </c>
      <c r="AN1260" s="201">
        <f t="shared" si="6382"/>
        <v>0</v>
      </c>
      <c r="AO1260" s="201">
        <f t="shared" si="6382"/>
        <v>0</v>
      </c>
      <c r="AP1260" s="201">
        <f t="shared" si="6382"/>
        <v>0</v>
      </c>
      <c r="AQ1260" s="201">
        <f t="shared" si="6382"/>
        <v>0</v>
      </c>
      <c r="AR1260" s="200">
        <f t="shared" si="6382"/>
        <v>0</v>
      </c>
      <c r="AS1260" s="200">
        <f t="shared" si="6382"/>
        <v>0</v>
      </c>
      <c r="AT1260" s="173">
        <v>0.0</v>
      </c>
      <c r="AU1260" s="200">
        <f t="shared" si="6217"/>
        <v>0</v>
      </c>
      <c r="AV1260" s="200">
        <f t="shared" ref="AV1260:AX1260" si="6383">countif($D1260,"*"&amp;AV$2&amp;"*")</f>
        <v>0</v>
      </c>
      <c r="AW1260" s="200">
        <f t="shared" si="6383"/>
        <v>0</v>
      </c>
      <c r="AX1260" s="200">
        <f t="shared" si="6383"/>
        <v>1</v>
      </c>
      <c r="AY1260" s="202">
        <v>0.0</v>
      </c>
      <c r="AZ1260" s="200"/>
      <c r="BA1260" s="171" t="str">
        <f t="shared" si="18"/>
        <v>Archival</v>
      </c>
      <c r="BB1260" s="171" t="str">
        <f t="shared" si="19"/>
        <v/>
      </c>
      <c r="BC1260" s="171" t="str">
        <f t="shared" si="20"/>
        <v/>
      </c>
      <c r="BD1260" s="171" t="str">
        <f t="shared" si="21"/>
        <v/>
      </c>
      <c r="BE1260" s="171" t="str">
        <f t="shared" si="22"/>
        <v/>
      </c>
      <c r="BF1260" s="171" t="str">
        <f t="shared" si="23"/>
        <v>Archival</v>
      </c>
    </row>
    <row r="1261">
      <c r="A1261" s="171">
        <f t="array" ref="A1261">XLOOKUP(C1261,FSE!A:A,FSE!C:C,"XXXXX",0,1)</f>
        <v>2023</v>
      </c>
      <c r="B1261" s="171" t="s">
        <v>5676</v>
      </c>
      <c r="C1261" s="160">
        <v>25.0</v>
      </c>
      <c r="D1261" s="161" t="s">
        <v>6187</v>
      </c>
      <c r="E1261" s="197" t="str">
        <f t="array" ref="E1261">XLOOKUP(C1261,FSE!A:A,FSE!Z:Z,"XXXXX",0,1)</f>
        <v>Publicly Available (2)</v>
      </c>
      <c r="F1261" s="213" t="s">
        <v>3394</v>
      </c>
      <c r="G1261" s="163" t="str">
        <f t="array" ref="G1261">IF(B1261="ICSE",IF(COUNTIFS(B:B,B1261,C:C,C1261)=XLOOKUP(C1261,ICSE!A:A,ICSE!AA:AA,"ERROR",0,1),"OK","ERROR"),IF(B1261="FSE",IF(COUNTIFS(B:B,B1261,C:C,C1261)=XLOOKUP(C1261,FSE!A:A,FSE!AA:AA,"ERROR",0,1),"OK","ERROR")))</f>
        <v>OK</v>
      </c>
      <c r="H1261" s="199">
        <f t="shared" ref="H1261:O1261" si="6384">countif($D1261,"*"&amp;H$2&amp;"*")</f>
        <v>0</v>
      </c>
      <c r="I1261" s="200">
        <f t="shared" si="6384"/>
        <v>0</v>
      </c>
      <c r="J1261" s="200">
        <f t="shared" si="6384"/>
        <v>0</v>
      </c>
      <c r="K1261" s="200">
        <f t="shared" si="6384"/>
        <v>0</v>
      </c>
      <c r="L1261" s="200">
        <f t="shared" si="6384"/>
        <v>0</v>
      </c>
      <c r="M1261" s="200">
        <f t="shared" si="6384"/>
        <v>0</v>
      </c>
      <c r="N1261" s="200">
        <f t="shared" si="6384"/>
        <v>0</v>
      </c>
      <c r="O1261" s="200">
        <f t="shared" si="6384"/>
        <v>0</v>
      </c>
      <c r="P1261" s="200">
        <f t="shared" si="9"/>
        <v>1</v>
      </c>
      <c r="Q1261" s="200">
        <f t="shared" ref="Q1261:AC1261" si="6385">countif($D1261,"*"&amp;Q$2&amp;"*")</f>
        <v>0</v>
      </c>
      <c r="R1261" s="200">
        <f t="shared" si="6385"/>
        <v>0</v>
      </c>
      <c r="S1261" s="200">
        <f t="shared" si="6385"/>
        <v>0</v>
      </c>
      <c r="T1261" s="200">
        <f t="shared" si="6385"/>
        <v>0</v>
      </c>
      <c r="U1261" s="200">
        <f t="shared" si="6385"/>
        <v>0</v>
      </c>
      <c r="V1261" s="200">
        <f t="shared" si="6385"/>
        <v>0</v>
      </c>
      <c r="W1261" s="200">
        <f t="shared" si="6385"/>
        <v>0</v>
      </c>
      <c r="X1261" s="200">
        <f t="shared" si="6385"/>
        <v>0</v>
      </c>
      <c r="Y1261" s="200">
        <f t="shared" si="6385"/>
        <v>0</v>
      </c>
      <c r="Z1261" s="200">
        <f t="shared" si="6385"/>
        <v>0</v>
      </c>
      <c r="AA1261" s="200">
        <f t="shared" si="6385"/>
        <v>0</v>
      </c>
      <c r="AB1261" s="200">
        <f t="shared" si="6385"/>
        <v>0</v>
      </c>
      <c r="AC1261" s="200">
        <f t="shared" si="6385"/>
        <v>0</v>
      </c>
      <c r="AD1261" s="200">
        <f t="shared" si="11"/>
        <v>0</v>
      </c>
      <c r="AE1261" s="200">
        <f t="shared" ref="AE1261:AG1261" si="6386">countif($D1261,"*"&amp;AE$2&amp;"*")</f>
        <v>0</v>
      </c>
      <c r="AF1261" s="200">
        <f t="shared" si="6386"/>
        <v>0</v>
      </c>
      <c r="AG1261" s="200">
        <f t="shared" si="6386"/>
        <v>0</v>
      </c>
      <c r="AH1261" s="171">
        <f t="shared" si="13"/>
        <v>0</v>
      </c>
      <c r="AI1261" s="200">
        <f t="shared" si="14"/>
        <v>0</v>
      </c>
      <c r="AJ1261" s="200">
        <f t="shared" si="6100"/>
        <v>0</v>
      </c>
      <c r="AK1261" s="201">
        <f t="shared" ref="AK1261:AS1261" si="6387">countif($D1261,"*"&amp;AK$2&amp;"*")</f>
        <v>0</v>
      </c>
      <c r="AL1261" s="201">
        <f t="shared" si="6387"/>
        <v>0</v>
      </c>
      <c r="AM1261" s="201">
        <f t="shared" si="6387"/>
        <v>0</v>
      </c>
      <c r="AN1261" s="201">
        <f t="shared" si="6387"/>
        <v>0</v>
      </c>
      <c r="AO1261" s="201">
        <f t="shared" si="6387"/>
        <v>0</v>
      </c>
      <c r="AP1261" s="201">
        <f t="shared" si="6387"/>
        <v>0</v>
      </c>
      <c r="AQ1261" s="201">
        <f t="shared" si="6387"/>
        <v>0</v>
      </c>
      <c r="AR1261" s="200">
        <f t="shared" si="6387"/>
        <v>0</v>
      </c>
      <c r="AS1261" s="200">
        <f t="shared" si="6387"/>
        <v>0</v>
      </c>
      <c r="AT1261" s="173">
        <v>0.0</v>
      </c>
      <c r="AU1261" s="200">
        <f t="shared" si="6217"/>
        <v>0</v>
      </c>
      <c r="AV1261" s="200">
        <f t="shared" ref="AV1261:AX1261" si="6388">countif($D1261,"*"&amp;AV$2&amp;"*")</f>
        <v>1</v>
      </c>
      <c r="AW1261" s="200">
        <f t="shared" si="6388"/>
        <v>0</v>
      </c>
      <c r="AX1261" s="200">
        <f t="shared" si="6388"/>
        <v>0</v>
      </c>
      <c r="AY1261" s="202">
        <v>0.0</v>
      </c>
      <c r="AZ1261" s="200"/>
      <c r="BA1261" s="171" t="str">
        <f t="shared" si="18"/>
        <v/>
      </c>
      <c r="BB1261" s="171" t="str">
        <f t="shared" si="19"/>
        <v>Code</v>
      </c>
      <c r="BC1261" s="171" t="str">
        <f t="shared" si="20"/>
        <v/>
      </c>
      <c r="BD1261" s="171" t="str">
        <f t="shared" si="21"/>
        <v/>
      </c>
      <c r="BE1261" s="171" t="str">
        <f t="shared" si="22"/>
        <v/>
      </c>
      <c r="BF1261" s="171" t="str">
        <f t="shared" si="23"/>
        <v>Code</v>
      </c>
    </row>
    <row r="1262">
      <c r="A1262" s="171">
        <f t="array" ref="A1262">XLOOKUP(C1262,FSE!A:A,FSE!C:C,"XXXXX",0,1)</f>
        <v>2023</v>
      </c>
      <c r="B1262" s="213" t="s">
        <v>5676</v>
      </c>
      <c r="C1262" s="214">
        <v>26.0</v>
      </c>
      <c r="D1262" s="215" t="s">
        <v>5375</v>
      </c>
      <c r="E1262" s="197" t="str">
        <f t="array" ref="E1262">XLOOKUP(C1262,FSE!A:A,FSE!Z:Z,"XXXXX",0,1)</f>
        <v>Publicly Available (1)</v>
      </c>
      <c r="F1262" s="213" t="s">
        <v>3394</v>
      </c>
      <c r="G1262" s="163" t="str">
        <f t="array" ref="G1262">IF(B1262="ICSE",IF(COUNTIFS(B:B,B1262,C:C,C1262)=XLOOKUP(C1262,ICSE!A:A,ICSE!AA:AA,"ERROR",0,1),"OK","ERROR"),IF(B1262="FSE",IF(COUNTIFS(B:B,B1262,C:C,C1262)=XLOOKUP(C1262,FSE!A:A,FSE!AA:AA,"ERROR",0,1),"OK","ERROR")))</f>
        <v>OK</v>
      </c>
      <c r="H1262" s="199">
        <f t="shared" ref="H1262:O1262" si="6389">countif($D1262,"*"&amp;H$2&amp;"*")</f>
        <v>1</v>
      </c>
      <c r="I1262" s="200">
        <f t="shared" si="6389"/>
        <v>0</v>
      </c>
      <c r="J1262" s="200">
        <f t="shared" si="6389"/>
        <v>0</v>
      </c>
      <c r="K1262" s="200">
        <f t="shared" si="6389"/>
        <v>0</v>
      </c>
      <c r="L1262" s="200">
        <f t="shared" si="6389"/>
        <v>0</v>
      </c>
      <c r="M1262" s="200">
        <f t="shared" si="6389"/>
        <v>0</v>
      </c>
      <c r="N1262" s="200">
        <f t="shared" si="6389"/>
        <v>0</v>
      </c>
      <c r="O1262" s="200">
        <f t="shared" si="6389"/>
        <v>0</v>
      </c>
      <c r="P1262" s="200">
        <f t="shared" si="9"/>
        <v>0</v>
      </c>
      <c r="Q1262" s="200">
        <f t="shared" ref="Q1262:AC1262" si="6390">countif($D1262,"*"&amp;Q$2&amp;"*")</f>
        <v>0</v>
      </c>
      <c r="R1262" s="200">
        <f t="shared" si="6390"/>
        <v>0</v>
      </c>
      <c r="S1262" s="200">
        <f t="shared" si="6390"/>
        <v>0</v>
      </c>
      <c r="T1262" s="200">
        <f t="shared" si="6390"/>
        <v>0</v>
      </c>
      <c r="U1262" s="200">
        <f t="shared" si="6390"/>
        <v>0</v>
      </c>
      <c r="V1262" s="200">
        <f t="shared" si="6390"/>
        <v>0</v>
      </c>
      <c r="W1262" s="200">
        <f t="shared" si="6390"/>
        <v>0</v>
      </c>
      <c r="X1262" s="200">
        <f t="shared" si="6390"/>
        <v>0</v>
      </c>
      <c r="Y1262" s="200">
        <f t="shared" si="6390"/>
        <v>0</v>
      </c>
      <c r="Z1262" s="200">
        <f t="shared" si="6390"/>
        <v>0</v>
      </c>
      <c r="AA1262" s="200">
        <f t="shared" si="6390"/>
        <v>0</v>
      </c>
      <c r="AB1262" s="200">
        <f t="shared" si="6390"/>
        <v>0</v>
      </c>
      <c r="AC1262" s="200">
        <f t="shared" si="6390"/>
        <v>0</v>
      </c>
      <c r="AD1262" s="200">
        <f t="shared" si="11"/>
        <v>0</v>
      </c>
      <c r="AE1262" s="200">
        <f t="shared" ref="AE1262:AG1262" si="6391">countif($D1262,"*"&amp;AE$2&amp;"*")</f>
        <v>0</v>
      </c>
      <c r="AF1262" s="200">
        <f t="shared" si="6391"/>
        <v>0</v>
      </c>
      <c r="AG1262" s="200">
        <f t="shared" si="6391"/>
        <v>0</v>
      </c>
      <c r="AH1262" s="171">
        <f t="shared" si="13"/>
        <v>0</v>
      </c>
      <c r="AI1262" s="200">
        <f t="shared" si="14"/>
        <v>1</v>
      </c>
      <c r="AJ1262" s="200">
        <f t="shared" si="6100"/>
        <v>0</v>
      </c>
      <c r="AK1262" s="201">
        <f t="shared" ref="AK1262:AS1262" si="6392">countif($D1262,"*"&amp;AK$2&amp;"*")</f>
        <v>0</v>
      </c>
      <c r="AL1262" s="201">
        <f t="shared" si="6392"/>
        <v>0</v>
      </c>
      <c r="AM1262" s="201">
        <f t="shared" si="6392"/>
        <v>0</v>
      </c>
      <c r="AN1262" s="201">
        <f t="shared" si="6392"/>
        <v>0</v>
      </c>
      <c r="AO1262" s="201">
        <f t="shared" si="6392"/>
        <v>0</v>
      </c>
      <c r="AP1262" s="201">
        <f t="shared" si="6392"/>
        <v>0</v>
      </c>
      <c r="AQ1262" s="201">
        <f t="shared" si="6392"/>
        <v>0</v>
      </c>
      <c r="AR1262" s="200">
        <f t="shared" si="6392"/>
        <v>0</v>
      </c>
      <c r="AS1262" s="200">
        <f t="shared" si="6392"/>
        <v>0</v>
      </c>
      <c r="AT1262" s="173">
        <v>0.0</v>
      </c>
      <c r="AU1262" s="200">
        <f t="shared" si="6217"/>
        <v>0</v>
      </c>
      <c r="AV1262" s="200">
        <f t="shared" ref="AV1262:AX1262" si="6393">countif($D1262,"*"&amp;AV$2&amp;"*")</f>
        <v>0</v>
      </c>
      <c r="AW1262" s="200">
        <f t="shared" si="6393"/>
        <v>0</v>
      </c>
      <c r="AX1262" s="200">
        <f t="shared" si="6393"/>
        <v>0</v>
      </c>
      <c r="AY1262" s="204">
        <v>1.0</v>
      </c>
      <c r="AZ1262" s="200"/>
      <c r="BA1262" s="171" t="str">
        <f t="shared" si="18"/>
        <v>Archival</v>
      </c>
      <c r="BB1262" s="171" t="str">
        <f t="shared" si="19"/>
        <v/>
      </c>
      <c r="BC1262" s="171" t="str">
        <f t="shared" si="20"/>
        <v/>
      </c>
      <c r="BD1262" s="171" t="str">
        <f t="shared" si="21"/>
        <v/>
      </c>
      <c r="BE1262" s="171" t="str">
        <f t="shared" si="22"/>
        <v/>
      </c>
      <c r="BF1262" s="171" t="str">
        <f t="shared" si="23"/>
        <v>Archival</v>
      </c>
    </row>
    <row r="1263">
      <c r="A1263" s="171">
        <f t="array" ref="A1263">XLOOKUP(C1263,FSE!A:A,FSE!C:C,"XXXXX",0,1)</f>
        <v>2023</v>
      </c>
      <c r="B1263" s="213" t="s">
        <v>5676</v>
      </c>
      <c r="C1263" s="160">
        <v>27.0</v>
      </c>
      <c r="D1263" s="161" t="s">
        <v>5378</v>
      </c>
      <c r="E1263" s="197" t="str">
        <f t="array" ref="E1263">XLOOKUP(C1263,FSE!A:A,FSE!Z:Z,"XXXXX",0,1)</f>
        <v>Publicly Available (1)</v>
      </c>
      <c r="F1263" s="213" t="s">
        <v>3394</v>
      </c>
      <c r="G1263" s="163" t="str">
        <f t="array" ref="G1263">IF(B1263="ICSE",IF(COUNTIFS(B:B,B1263,C:C,C1263)=XLOOKUP(C1263,ICSE!A:A,ICSE!AA:AA,"ERROR",0,1),"OK","ERROR"),IF(B1263="FSE",IF(COUNTIFS(B:B,B1263,C:C,C1263)=XLOOKUP(C1263,FSE!A:A,FSE!AA:AA,"ERROR",0,1),"OK","ERROR")))</f>
        <v>OK</v>
      </c>
      <c r="H1263" s="199">
        <f t="shared" ref="H1263:O1263" si="6394">countif($D1263,"*"&amp;H$2&amp;"*")</f>
        <v>1</v>
      </c>
      <c r="I1263" s="200">
        <f t="shared" si="6394"/>
        <v>0</v>
      </c>
      <c r="J1263" s="200">
        <f t="shared" si="6394"/>
        <v>0</v>
      </c>
      <c r="K1263" s="200">
        <f t="shared" si="6394"/>
        <v>0</v>
      </c>
      <c r="L1263" s="200">
        <f t="shared" si="6394"/>
        <v>0</v>
      </c>
      <c r="M1263" s="200">
        <f t="shared" si="6394"/>
        <v>0</v>
      </c>
      <c r="N1263" s="200">
        <f t="shared" si="6394"/>
        <v>0</v>
      </c>
      <c r="O1263" s="200">
        <f t="shared" si="6394"/>
        <v>0</v>
      </c>
      <c r="P1263" s="200">
        <f t="shared" si="9"/>
        <v>0</v>
      </c>
      <c r="Q1263" s="200">
        <f t="shared" ref="Q1263:AC1263" si="6395">countif($D1263,"*"&amp;Q$2&amp;"*")</f>
        <v>0</v>
      </c>
      <c r="R1263" s="200">
        <f t="shared" si="6395"/>
        <v>0</v>
      </c>
      <c r="S1263" s="200">
        <f t="shared" si="6395"/>
        <v>0</v>
      </c>
      <c r="T1263" s="200">
        <f t="shared" si="6395"/>
        <v>0</v>
      </c>
      <c r="U1263" s="200">
        <f t="shared" si="6395"/>
        <v>0</v>
      </c>
      <c r="V1263" s="200">
        <f t="shared" si="6395"/>
        <v>0</v>
      </c>
      <c r="W1263" s="200">
        <f t="shared" si="6395"/>
        <v>0</v>
      </c>
      <c r="X1263" s="200">
        <f t="shared" si="6395"/>
        <v>0</v>
      </c>
      <c r="Y1263" s="200">
        <f t="shared" si="6395"/>
        <v>0</v>
      </c>
      <c r="Z1263" s="200">
        <f t="shared" si="6395"/>
        <v>0</v>
      </c>
      <c r="AA1263" s="200">
        <f t="shared" si="6395"/>
        <v>0</v>
      </c>
      <c r="AB1263" s="200">
        <f t="shared" si="6395"/>
        <v>0</v>
      </c>
      <c r="AC1263" s="200">
        <f t="shared" si="6395"/>
        <v>0</v>
      </c>
      <c r="AD1263" s="200">
        <f t="shared" si="11"/>
        <v>0</v>
      </c>
      <c r="AE1263" s="200">
        <f t="shared" ref="AE1263:AG1263" si="6396">countif($D1263,"*"&amp;AE$2&amp;"*")</f>
        <v>0</v>
      </c>
      <c r="AF1263" s="200">
        <f t="shared" si="6396"/>
        <v>0</v>
      </c>
      <c r="AG1263" s="200">
        <f t="shared" si="6396"/>
        <v>0</v>
      </c>
      <c r="AH1263" s="171">
        <f t="shared" si="13"/>
        <v>0</v>
      </c>
      <c r="AI1263" s="200">
        <f t="shared" si="14"/>
        <v>1</v>
      </c>
      <c r="AJ1263" s="200">
        <f t="shared" si="6100"/>
        <v>0</v>
      </c>
      <c r="AK1263" s="201">
        <f t="shared" ref="AK1263:AS1263" si="6397">countif($D1263,"*"&amp;AK$2&amp;"*")</f>
        <v>0</v>
      </c>
      <c r="AL1263" s="201">
        <f t="shared" si="6397"/>
        <v>0</v>
      </c>
      <c r="AM1263" s="201">
        <f t="shared" si="6397"/>
        <v>0</v>
      </c>
      <c r="AN1263" s="201">
        <f t="shared" si="6397"/>
        <v>0</v>
      </c>
      <c r="AO1263" s="201">
        <f t="shared" si="6397"/>
        <v>0</v>
      </c>
      <c r="AP1263" s="201">
        <f t="shared" si="6397"/>
        <v>0</v>
      </c>
      <c r="AQ1263" s="201">
        <f t="shared" si="6397"/>
        <v>0</v>
      </c>
      <c r="AR1263" s="200">
        <f t="shared" si="6397"/>
        <v>0</v>
      </c>
      <c r="AS1263" s="200">
        <f t="shared" si="6397"/>
        <v>0</v>
      </c>
      <c r="AT1263" s="173">
        <v>0.0</v>
      </c>
      <c r="AU1263" s="200">
        <f t="shared" si="6217"/>
        <v>0</v>
      </c>
      <c r="AV1263" s="200">
        <f t="shared" ref="AV1263:AX1263" si="6398">countif($D1263,"*"&amp;AV$2&amp;"*")</f>
        <v>0</v>
      </c>
      <c r="AW1263" s="200">
        <f t="shared" si="6398"/>
        <v>0</v>
      </c>
      <c r="AX1263" s="200">
        <f t="shared" si="6398"/>
        <v>1</v>
      </c>
      <c r="AY1263" s="202">
        <v>0.0</v>
      </c>
      <c r="AZ1263" s="200"/>
      <c r="BA1263" s="171" t="str">
        <f t="shared" si="18"/>
        <v>Archival</v>
      </c>
      <c r="BB1263" s="171" t="str">
        <f t="shared" si="19"/>
        <v/>
      </c>
      <c r="BC1263" s="171" t="str">
        <f t="shared" si="20"/>
        <v/>
      </c>
      <c r="BD1263" s="171" t="str">
        <f t="shared" si="21"/>
        <v/>
      </c>
      <c r="BE1263" s="171" t="str">
        <f t="shared" si="22"/>
        <v/>
      </c>
      <c r="BF1263" s="171" t="str">
        <f t="shared" si="23"/>
        <v>Archival</v>
      </c>
    </row>
    <row r="1264">
      <c r="A1264" s="171">
        <f t="array" ref="A1264">XLOOKUP(C1264,FSE!A:A,FSE!C:C,"XXXXX",0,1)</f>
        <v>2023</v>
      </c>
      <c r="B1264" s="213" t="s">
        <v>5676</v>
      </c>
      <c r="C1264" s="214">
        <v>28.0</v>
      </c>
      <c r="D1264" s="215" t="s">
        <v>5380</v>
      </c>
      <c r="E1264" s="197" t="str">
        <f t="array" ref="E1264">XLOOKUP(C1264,FSE!A:A,FSE!Z:Z,"XXXXX",0,1)</f>
        <v>Publicly Available (1)</v>
      </c>
      <c r="F1264" s="213" t="s">
        <v>3394</v>
      </c>
      <c r="G1264" s="163" t="str">
        <f t="array" ref="G1264">IF(B1264="ICSE",IF(COUNTIFS(B:B,B1264,C:C,C1264)=XLOOKUP(C1264,ICSE!A:A,ICSE!AA:AA,"ERROR",0,1),"OK","ERROR"),IF(B1264="FSE",IF(COUNTIFS(B:B,B1264,C:C,C1264)=XLOOKUP(C1264,FSE!A:A,FSE!AA:AA,"ERROR",0,1),"OK","ERROR")))</f>
        <v>OK</v>
      </c>
      <c r="H1264" s="199">
        <f t="shared" ref="H1264:O1264" si="6399">countif($D1264,"*"&amp;H$2&amp;"*")</f>
        <v>1</v>
      </c>
      <c r="I1264" s="200">
        <f t="shared" si="6399"/>
        <v>0</v>
      </c>
      <c r="J1264" s="200">
        <f t="shared" si="6399"/>
        <v>0</v>
      </c>
      <c r="K1264" s="200">
        <f t="shared" si="6399"/>
        <v>0</v>
      </c>
      <c r="L1264" s="200">
        <f t="shared" si="6399"/>
        <v>0</v>
      </c>
      <c r="M1264" s="200">
        <f t="shared" si="6399"/>
        <v>0</v>
      </c>
      <c r="N1264" s="200">
        <f t="shared" si="6399"/>
        <v>0</v>
      </c>
      <c r="O1264" s="200">
        <f t="shared" si="6399"/>
        <v>0</v>
      </c>
      <c r="P1264" s="200">
        <f t="shared" si="9"/>
        <v>0</v>
      </c>
      <c r="Q1264" s="200">
        <f t="shared" ref="Q1264:AC1264" si="6400">countif($D1264,"*"&amp;Q$2&amp;"*")</f>
        <v>0</v>
      </c>
      <c r="R1264" s="200">
        <f t="shared" si="6400"/>
        <v>0</v>
      </c>
      <c r="S1264" s="200">
        <f t="shared" si="6400"/>
        <v>0</v>
      </c>
      <c r="T1264" s="200">
        <f t="shared" si="6400"/>
        <v>0</v>
      </c>
      <c r="U1264" s="200">
        <f t="shared" si="6400"/>
        <v>0</v>
      </c>
      <c r="V1264" s="200">
        <f t="shared" si="6400"/>
        <v>0</v>
      </c>
      <c r="W1264" s="200">
        <f t="shared" si="6400"/>
        <v>0</v>
      </c>
      <c r="X1264" s="200">
        <f t="shared" si="6400"/>
        <v>0</v>
      </c>
      <c r="Y1264" s="200">
        <f t="shared" si="6400"/>
        <v>0</v>
      </c>
      <c r="Z1264" s="200">
        <f t="shared" si="6400"/>
        <v>0</v>
      </c>
      <c r="AA1264" s="200">
        <f t="shared" si="6400"/>
        <v>0</v>
      </c>
      <c r="AB1264" s="200">
        <f t="shared" si="6400"/>
        <v>0</v>
      </c>
      <c r="AC1264" s="200">
        <f t="shared" si="6400"/>
        <v>0</v>
      </c>
      <c r="AD1264" s="200">
        <f t="shared" si="11"/>
        <v>0</v>
      </c>
      <c r="AE1264" s="200">
        <f t="shared" ref="AE1264:AG1264" si="6401">countif($D1264,"*"&amp;AE$2&amp;"*")</f>
        <v>0</v>
      </c>
      <c r="AF1264" s="200">
        <f t="shared" si="6401"/>
        <v>0</v>
      </c>
      <c r="AG1264" s="200">
        <f t="shared" si="6401"/>
        <v>0</v>
      </c>
      <c r="AH1264" s="171">
        <f t="shared" si="13"/>
        <v>0</v>
      </c>
      <c r="AI1264" s="200">
        <f t="shared" si="14"/>
        <v>1</v>
      </c>
      <c r="AJ1264" s="200">
        <f t="shared" si="6100"/>
        <v>0</v>
      </c>
      <c r="AK1264" s="201">
        <f t="shared" ref="AK1264:AS1264" si="6402">countif($D1264,"*"&amp;AK$2&amp;"*")</f>
        <v>0</v>
      </c>
      <c r="AL1264" s="201">
        <f t="shared" si="6402"/>
        <v>0</v>
      </c>
      <c r="AM1264" s="201">
        <f t="shared" si="6402"/>
        <v>0</v>
      </c>
      <c r="AN1264" s="201">
        <f t="shared" si="6402"/>
        <v>0</v>
      </c>
      <c r="AO1264" s="201">
        <f t="shared" si="6402"/>
        <v>0</v>
      </c>
      <c r="AP1264" s="201">
        <f t="shared" si="6402"/>
        <v>0</v>
      </c>
      <c r="AQ1264" s="201">
        <f t="shared" si="6402"/>
        <v>0</v>
      </c>
      <c r="AR1264" s="200">
        <f t="shared" si="6402"/>
        <v>0</v>
      </c>
      <c r="AS1264" s="200">
        <f t="shared" si="6402"/>
        <v>0</v>
      </c>
      <c r="AT1264" s="173">
        <v>0.0</v>
      </c>
      <c r="AU1264" s="200">
        <f t="shared" si="6217"/>
        <v>0</v>
      </c>
      <c r="AV1264" s="200">
        <f t="shared" ref="AV1264:AX1264" si="6403">countif($D1264,"*"&amp;AV$2&amp;"*")</f>
        <v>0</v>
      </c>
      <c r="AW1264" s="200">
        <f t="shared" si="6403"/>
        <v>0</v>
      </c>
      <c r="AX1264" s="200">
        <f t="shared" si="6403"/>
        <v>0</v>
      </c>
      <c r="AY1264" s="204">
        <v>1.0</v>
      </c>
      <c r="AZ1264" s="200"/>
      <c r="BA1264" s="171" t="str">
        <f t="shared" si="18"/>
        <v>Archival</v>
      </c>
      <c r="BB1264" s="171" t="str">
        <f t="shared" si="19"/>
        <v/>
      </c>
      <c r="BC1264" s="171" t="str">
        <f t="shared" si="20"/>
        <v/>
      </c>
      <c r="BD1264" s="171" t="str">
        <f t="shared" si="21"/>
        <v/>
      </c>
      <c r="BE1264" s="171" t="str">
        <f t="shared" si="22"/>
        <v/>
      </c>
      <c r="BF1264" s="171" t="str">
        <f t="shared" si="23"/>
        <v>Archival</v>
      </c>
    </row>
    <row r="1265">
      <c r="A1265" s="171">
        <f t="array" ref="A1265">XLOOKUP(C1265,FSE!A:A,FSE!C:C,"XXXXX",0,1)</f>
        <v>2023</v>
      </c>
      <c r="B1265" s="213" t="s">
        <v>5676</v>
      </c>
      <c r="C1265" s="214">
        <v>29.0</v>
      </c>
      <c r="D1265" s="215" t="s">
        <v>5382</v>
      </c>
      <c r="E1265" s="197" t="str">
        <f t="array" ref="E1265">XLOOKUP(C1265,FSE!A:A,FSE!Z:Z,"XXXXX",0,1)</f>
        <v>Publicly Available (1)</v>
      </c>
      <c r="F1265" s="213" t="s">
        <v>3394</v>
      </c>
      <c r="G1265" s="163" t="str">
        <f t="array" ref="G1265">IF(B1265="ICSE",IF(COUNTIFS(B:B,B1265,C:C,C1265)=XLOOKUP(C1265,ICSE!A:A,ICSE!AA:AA,"ERROR",0,1),"OK","ERROR"),IF(B1265="FSE",IF(COUNTIFS(B:B,B1265,C:C,C1265)=XLOOKUP(C1265,FSE!A:A,FSE!AA:AA,"ERROR",0,1),"OK","ERROR")))</f>
        <v>OK</v>
      </c>
      <c r="H1265" s="199">
        <f t="shared" ref="H1265:O1265" si="6404">countif($D1265,"*"&amp;H$2&amp;"*")</f>
        <v>0</v>
      </c>
      <c r="I1265" s="200">
        <f t="shared" si="6404"/>
        <v>0</v>
      </c>
      <c r="J1265" s="200">
        <f t="shared" si="6404"/>
        <v>0</v>
      </c>
      <c r="K1265" s="200">
        <f t="shared" si="6404"/>
        <v>0</v>
      </c>
      <c r="L1265" s="200">
        <f t="shared" si="6404"/>
        <v>0</v>
      </c>
      <c r="M1265" s="200">
        <f t="shared" si="6404"/>
        <v>0</v>
      </c>
      <c r="N1265" s="200">
        <f t="shared" si="6404"/>
        <v>0</v>
      </c>
      <c r="O1265" s="200">
        <f t="shared" si="6404"/>
        <v>0</v>
      </c>
      <c r="P1265" s="200">
        <f t="shared" si="9"/>
        <v>1</v>
      </c>
      <c r="Q1265" s="200">
        <f t="shared" ref="Q1265:AC1265" si="6405">countif($D1265,"*"&amp;Q$2&amp;"*")</f>
        <v>0</v>
      </c>
      <c r="R1265" s="200">
        <f t="shared" si="6405"/>
        <v>0</v>
      </c>
      <c r="S1265" s="200">
        <f t="shared" si="6405"/>
        <v>0</v>
      </c>
      <c r="T1265" s="200">
        <f t="shared" si="6405"/>
        <v>0</v>
      </c>
      <c r="U1265" s="200">
        <f t="shared" si="6405"/>
        <v>0</v>
      </c>
      <c r="V1265" s="200">
        <f t="shared" si="6405"/>
        <v>0</v>
      </c>
      <c r="W1265" s="200">
        <f t="shared" si="6405"/>
        <v>0</v>
      </c>
      <c r="X1265" s="200">
        <f t="shared" si="6405"/>
        <v>0</v>
      </c>
      <c r="Y1265" s="200">
        <f t="shared" si="6405"/>
        <v>0</v>
      </c>
      <c r="Z1265" s="200">
        <f t="shared" si="6405"/>
        <v>0</v>
      </c>
      <c r="AA1265" s="200">
        <f t="shared" si="6405"/>
        <v>0</v>
      </c>
      <c r="AB1265" s="200">
        <f t="shared" si="6405"/>
        <v>0</v>
      </c>
      <c r="AC1265" s="200">
        <f t="shared" si="6405"/>
        <v>0</v>
      </c>
      <c r="AD1265" s="200">
        <f t="shared" si="11"/>
        <v>0</v>
      </c>
      <c r="AE1265" s="200">
        <f t="shared" ref="AE1265:AG1265" si="6406">countif($D1265,"*"&amp;AE$2&amp;"*")</f>
        <v>0</v>
      </c>
      <c r="AF1265" s="200">
        <f t="shared" si="6406"/>
        <v>0</v>
      </c>
      <c r="AG1265" s="200">
        <f t="shared" si="6406"/>
        <v>0</v>
      </c>
      <c r="AH1265" s="171">
        <f t="shared" si="13"/>
        <v>0</v>
      </c>
      <c r="AI1265" s="200">
        <f t="shared" si="14"/>
        <v>0</v>
      </c>
      <c r="AJ1265" s="200">
        <f t="shared" si="6100"/>
        <v>0</v>
      </c>
      <c r="AK1265" s="201">
        <f t="shared" ref="AK1265:AS1265" si="6407">countif($D1265,"*"&amp;AK$2&amp;"*")</f>
        <v>0</v>
      </c>
      <c r="AL1265" s="201">
        <f t="shared" si="6407"/>
        <v>0</v>
      </c>
      <c r="AM1265" s="201">
        <f t="shared" si="6407"/>
        <v>0</v>
      </c>
      <c r="AN1265" s="201">
        <f t="shared" si="6407"/>
        <v>0</v>
      </c>
      <c r="AO1265" s="201">
        <f t="shared" si="6407"/>
        <v>0</v>
      </c>
      <c r="AP1265" s="201">
        <f t="shared" si="6407"/>
        <v>0</v>
      </c>
      <c r="AQ1265" s="201">
        <f t="shared" si="6407"/>
        <v>0</v>
      </c>
      <c r="AR1265" s="200">
        <f t="shared" si="6407"/>
        <v>0</v>
      </c>
      <c r="AS1265" s="200">
        <f t="shared" si="6407"/>
        <v>0</v>
      </c>
      <c r="AT1265" s="173">
        <v>0.0</v>
      </c>
      <c r="AU1265" s="200">
        <f t="shared" si="6217"/>
        <v>0</v>
      </c>
      <c r="AV1265" s="200">
        <f t="shared" ref="AV1265:AX1265" si="6408">countif($D1265,"*"&amp;AV$2&amp;"*")</f>
        <v>1</v>
      </c>
      <c r="AW1265" s="200">
        <f t="shared" si="6408"/>
        <v>0</v>
      </c>
      <c r="AX1265" s="200">
        <f t="shared" si="6408"/>
        <v>0</v>
      </c>
      <c r="AY1265" s="202">
        <v>0.0</v>
      </c>
      <c r="AZ1265" s="200"/>
      <c r="BA1265" s="171" t="str">
        <f t="shared" si="18"/>
        <v/>
      </c>
      <c r="BB1265" s="171" t="str">
        <f t="shared" si="19"/>
        <v>Code</v>
      </c>
      <c r="BC1265" s="171" t="str">
        <f t="shared" si="20"/>
        <v/>
      </c>
      <c r="BD1265" s="171" t="str">
        <f t="shared" si="21"/>
        <v/>
      </c>
      <c r="BE1265" s="171" t="str">
        <f t="shared" si="22"/>
        <v/>
      </c>
      <c r="BF1265" s="171" t="str">
        <f t="shared" si="23"/>
        <v>Code</v>
      </c>
    </row>
    <row r="1266">
      <c r="A1266" s="171">
        <f t="array" ref="A1266">XLOOKUP(C1266,FSE!A:A,FSE!C:C,"XXXXX",0,1)</f>
        <v>2023</v>
      </c>
      <c r="B1266" s="213" t="s">
        <v>5676</v>
      </c>
      <c r="C1266" s="214">
        <v>30.0</v>
      </c>
      <c r="D1266" s="215" t="s">
        <v>5385</v>
      </c>
      <c r="E1266" s="197" t="str">
        <f t="array" ref="E1266">XLOOKUP(C1266,FSE!A:A,FSE!Z:Z,"XXXXX",0,1)</f>
        <v>Publicly Available (1)</v>
      </c>
      <c r="F1266" s="213" t="s">
        <v>3394</v>
      </c>
      <c r="G1266" s="163" t="str">
        <f t="array" ref="G1266">IF(B1266="ICSE",IF(COUNTIFS(B:B,B1266,C:C,C1266)=XLOOKUP(C1266,ICSE!A:A,ICSE!AA:AA,"ERROR",0,1),"OK","ERROR"),IF(B1266="FSE",IF(COUNTIFS(B:B,B1266,C:C,C1266)=XLOOKUP(C1266,FSE!A:A,FSE!AA:AA,"ERROR",0,1),"OK","ERROR")))</f>
        <v>OK</v>
      </c>
      <c r="H1266" s="199">
        <f t="shared" ref="H1266:O1266" si="6409">countif($D1266,"*"&amp;H$2&amp;"*")</f>
        <v>1</v>
      </c>
      <c r="I1266" s="200">
        <f t="shared" si="6409"/>
        <v>0</v>
      </c>
      <c r="J1266" s="200">
        <f t="shared" si="6409"/>
        <v>0</v>
      </c>
      <c r="K1266" s="200">
        <f t="shared" si="6409"/>
        <v>0</v>
      </c>
      <c r="L1266" s="200">
        <f t="shared" si="6409"/>
        <v>0</v>
      </c>
      <c r="M1266" s="200">
        <f t="shared" si="6409"/>
        <v>0</v>
      </c>
      <c r="N1266" s="200">
        <f t="shared" si="6409"/>
        <v>0</v>
      </c>
      <c r="O1266" s="200">
        <f t="shared" si="6409"/>
        <v>0</v>
      </c>
      <c r="P1266" s="200">
        <f t="shared" si="9"/>
        <v>0</v>
      </c>
      <c r="Q1266" s="200">
        <f t="shared" ref="Q1266:AC1266" si="6410">countif($D1266,"*"&amp;Q$2&amp;"*")</f>
        <v>0</v>
      </c>
      <c r="R1266" s="200">
        <f t="shared" si="6410"/>
        <v>0</v>
      </c>
      <c r="S1266" s="200">
        <f t="shared" si="6410"/>
        <v>0</v>
      </c>
      <c r="T1266" s="200">
        <f t="shared" si="6410"/>
        <v>0</v>
      </c>
      <c r="U1266" s="200">
        <f t="shared" si="6410"/>
        <v>0</v>
      </c>
      <c r="V1266" s="200">
        <f t="shared" si="6410"/>
        <v>0</v>
      </c>
      <c r="W1266" s="200">
        <f t="shared" si="6410"/>
        <v>0</v>
      </c>
      <c r="X1266" s="200">
        <f t="shared" si="6410"/>
        <v>0</v>
      </c>
      <c r="Y1266" s="200">
        <f t="shared" si="6410"/>
        <v>0</v>
      </c>
      <c r="Z1266" s="200">
        <f t="shared" si="6410"/>
        <v>0</v>
      </c>
      <c r="AA1266" s="200">
        <f t="shared" si="6410"/>
        <v>0</v>
      </c>
      <c r="AB1266" s="200">
        <f t="shared" si="6410"/>
        <v>0</v>
      </c>
      <c r="AC1266" s="200">
        <f t="shared" si="6410"/>
        <v>0</v>
      </c>
      <c r="AD1266" s="200">
        <f t="shared" si="11"/>
        <v>0</v>
      </c>
      <c r="AE1266" s="200">
        <f t="shared" ref="AE1266:AG1266" si="6411">countif($D1266,"*"&amp;AE$2&amp;"*")</f>
        <v>0</v>
      </c>
      <c r="AF1266" s="200">
        <f t="shared" si="6411"/>
        <v>0</v>
      </c>
      <c r="AG1266" s="200">
        <f t="shared" si="6411"/>
        <v>0</v>
      </c>
      <c r="AH1266" s="171">
        <f t="shared" si="13"/>
        <v>0</v>
      </c>
      <c r="AI1266" s="200">
        <f t="shared" si="14"/>
        <v>1</v>
      </c>
      <c r="AJ1266" s="200">
        <f t="shared" si="6100"/>
        <v>0</v>
      </c>
      <c r="AK1266" s="201">
        <f t="shared" ref="AK1266:AS1266" si="6412">countif($D1266,"*"&amp;AK$2&amp;"*")</f>
        <v>0</v>
      </c>
      <c r="AL1266" s="201">
        <f t="shared" si="6412"/>
        <v>0</v>
      </c>
      <c r="AM1266" s="201">
        <f t="shared" si="6412"/>
        <v>0</v>
      </c>
      <c r="AN1266" s="201">
        <f t="shared" si="6412"/>
        <v>0</v>
      </c>
      <c r="AO1266" s="201">
        <f t="shared" si="6412"/>
        <v>0</v>
      </c>
      <c r="AP1266" s="201">
        <f t="shared" si="6412"/>
        <v>0</v>
      </c>
      <c r="AQ1266" s="201">
        <f t="shared" si="6412"/>
        <v>0</v>
      </c>
      <c r="AR1266" s="200">
        <f t="shared" si="6412"/>
        <v>0</v>
      </c>
      <c r="AS1266" s="200">
        <f t="shared" si="6412"/>
        <v>0</v>
      </c>
      <c r="AT1266" s="173">
        <v>0.0</v>
      </c>
      <c r="AU1266" s="200">
        <f t="shared" si="6217"/>
        <v>0</v>
      </c>
      <c r="AV1266" s="200">
        <f t="shared" ref="AV1266:AX1266" si="6413">countif($D1266,"*"&amp;AV$2&amp;"*")</f>
        <v>0</v>
      </c>
      <c r="AW1266" s="200">
        <f t="shared" si="6413"/>
        <v>0</v>
      </c>
      <c r="AX1266" s="200">
        <f t="shared" si="6413"/>
        <v>1</v>
      </c>
      <c r="AY1266" s="202">
        <v>0.0</v>
      </c>
      <c r="AZ1266" s="200"/>
      <c r="BA1266" s="171" t="str">
        <f t="shared" si="18"/>
        <v>Archival</v>
      </c>
      <c r="BB1266" s="171" t="str">
        <f t="shared" si="19"/>
        <v/>
      </c>
      <c r="BC1266" s="171" t="str">
        <f t="shared" si="20"/>
        <v/>
      </c>
      <c r="BD1266" s="171" t="str">
        <f t="shared" si="21"/>
        <v/>
      </c>
      <c r="BE1266" s="171" t="str">
        <f t="shared" si="22"/>
        <v/>
      </c>
      <c r="BF1266" s="171" t="str">
        <f t="shared" si="23"/>
        <v>Archival</v>
      </c>
    </row>
    <row r="1267">
      <c r="A1267" s="171">
        <f t="array" ref="A1267">XLOOKUP(C1267,FSE!A:A,FSE!C:C,"XXXXX",0,1)</f>
        <v>2023</v>
      </c>
      <c r="B1267" s="213" t="s">
        <v>5676</v>
      </c>
      <c r="C1267" s="214">
        <v>31.0</v>
      </c>
      <c r="D1267" s="215" t="s">
        <v>5388</v>
      </c>
      <c r="E1267" s="197" t="str">
        <f t="array" ref="E1267">XLOOKUP(C1267,FSE!A:A,FSE!Z:Z,"XXXXX",0,1)</f>
        <v>Publicly Available (1)</v>
      </c>
      <c r="F1267" s="213" t="s">
        <v>3394</v>
      </c>
      <c r="G1267" s="163" t="str">
        <f t="array" ref="G1267">IF(B1267="ICSE",IF(COUNTIFS(B:B,B1267,C:C,C1267)=XLOOKUP(C1267,ICSE!A:A,ICSE!AA:AA,"ERROR",0,1),"OK","ERROR"),IF(B1267="FSE",IF(COUNTIFS(B:B,B1267,C:C,C1267)=XLOOKUP(C1267,FSE!A:A,FSE!AA:AA,"ERROR",0,1),"OK","ERROR")))</f>
        <v>OK</v>
      </c>
      <c r="H1267" s="199">
        <f t="shared" ref="H1267:O1267" si="6414">countif($D1267,"*"&amp;H$2&amp;"*")</f>
        <v>0</v>
      </c>
      <c r="I1267" s="200">
        <f t="shared" si="6414"/>
        <v>1</v>
      </c>
      <c r="J1267" s="200">
        <f t="shared" si="6414"/>
        <v>0</v>
      </c>
      <c r="K1267" s="200">
        <f t="shared" si="6414"/>
        <v>0</v>
      </c>
      <c r="L1267" s="200">
        <f t="shared" si="6414"/>
        <v>0</v>
      </c>
      <c r="M1267" s="200">
        <f t="shared" si="6414"/>
        <v>0</v>
      </c>
      <c r="N1267" s="200">
        <f t="shared" si="6414"/>
        <v>0</v>
      </c>
      <c r="O1267" s="200">
        <f t="shared" si="6414"/>
        <v>0</v>
      </c>
      <c r="P1267" s="200">
        <f t="shared" si="9"/>
        <v>0</v>
      </c>
      <c r="Q1267" s="200">
        <f t="shared" ref="Q1267:AC1267" si="6415">countif($D1267,"*"&amp;Q$2&amp;"*")</f>
        <v>0</v>
      </c>
      <c r="R1267" s="200">
        <f t="shared" si="6415"/>
        <v>0</v>
      </c>
      <c r="S1267" s="200">
        <f t="shared" si="6415"/>
        <v>0</v>
      </c>
      <c r="T1267" s="200">
        <f t="shared" si="6415"/>
        <v>0</v>
      </c>
      <c r="U1267" s="200">
        <f t="shared" si="6415"/>
        <v>0</v>
      </c>
      <c r="V1267" s="200">
        <f t="shared" si="6415"/>
        <v>0</v>
      </c>
      <c r="W1267" s="200">
        <f t="shared" si="6415"/>
        <v>0</v>
      </c>
      <c r="X1267" s="200">
        <f t="shared" si="6415"/>
        <v>0</v>
      </c>
      <c r="Y1267" s="200">
        <f t="shared" si="6415"/>
        <v>0</v>
      </c>
      <c r="Z1267" s="200">
        <f t="shared" si="6415"/>
        <v>0</v>
      </c>
      <c r="AA1267" s="200">
        <f t="shared" si="6415"/>
        <v>0</v>
      </c>
      <c r="AB1267" s="200">
        <f t="shared" si="6415"/>
        <v>0</v>
      </c>
      <c r="AC1267" s="200">
        <f t="shared" si="6415"/>
        <v>0</v>
      </c>
      <c r="AD1267" s="200">
        <f t="shared" si="11"/>
        <v>0</v>
      </c>
      <c r="AE1267" s="200">
        <f t="shared" ref="AE1267:AG1267" si="6416">countif($D1267,"*"&amp;AE$2&amp;"*")</f>
        <v>0</v>
      </c>
      <c r="AF1267" s="200">
        <f t="shared" si="6416"/>
        <v>0</v>
      </c>
      <c r="AG1267" s="200">
        <f t="shared" si="6416"/>
        <v>0</v>
      </c>
      <c r="AH1267" s="171">
        <f t="shared" si="13"/>
        <v>0</v>
      </c>
      <c r="AI1267" s="200">
        <f t="shared" si="14"/>
        <v>1</v>
      </c>
      <c r="AJ1267" s="200">
        <f t="shared" si="6100"/>
        <v>0</v>
      </c>
      <c r="AK1267" s="201">
        <f t="shared" ref="AK1267:AS1267" si="6417">countif($D1267,"*"&amp;AK$2&amp;"*")</f>
        <v>0</v>
      </c>
      <c r="AL1267" s="201">
        <f t="shared" si="6417"/>
        <v>0</v>
      </c>
      <c r="AM1267" s="201">
        <f t="shared" si="6417"/>
        <v>0</v>
      </c>
      <c r="AN1267" s="201">
        <f t="shared" si="6417"/>
        <v>0</v>
      </c>
      <c r="AO1267" s="201">
        <f t="shared" si="6417"/>
        <v>0</v>
      </c>
      <c r="AP1267" s="201">
        <f t="shared" si="6417"/>
        <v>0</v>
      </c>
      <c r="AQ1267" s="201">
        <f t="shared" si="6417"/>
        <v>0</v>
      </c>
      <c r="AR1267" s="200">
        <f t="shared" si="6417"/>
        <v>0</v>
      </c>
      <c r="AS1267" s="200">
        <f t="shared" si="6417"/>
        <v>0</v>
      </c>
      <c r="AT1267" s="173">
        <v>0.0</v>
      </c>
      <c r="AU1267" s="200">
        <f t="shared" si="6217"/>
        <v>0</v>
      </c>
      <c r="AV1267" s="200">
        <f t="shared" ref="AV1267:AX1267" si="6418">countif($D1267,"*"&amp;AV$2&amp;"*")</f>
        <v>0</v>
      </c>
      <c r="AW1267" s="200">
        <f t="shared" si="6418"/>
        <v>0</v>
      </c>
      <c r="AX1267" s="200">
        <f t="shared" si="6418"/>
        <v>0</v>
      </c>
      <c r="AY1267" s="204">
        <v>1.0</v>
      </c>
      <c r="AZ1267" s="200"/>
      <c r="BA1267" s="171" t="str">
        <f t="shared" si="18"/>
        <v>Archival</v>
      </c>
      <c r="BB1267" s="171" t="str">
        <f t="shared" si="19"/>
        <v/>
      </c>
      <c r="BC1267" s="171" t="str">
        <f t="shared" si="20"/>
        <v/>
      </c>
      <c r="BD1267" s="171" t="str">
        <f t="shared" si="21"/>
        <v/>
      </c>
      <c r="BE1267" s="171" t="str">
        <f t="shared" si="22"/>
        <v/>
      </c>
      <c r="BF1267" s="171" t="str">
        <f t="shared" si="23"/>
        <v>Archival</v>
      </c>
    </row>
    <row r="1268">
      <c r="A1268" s="171">
        <f t="array" ref="A1268">XLOOKUP(C1268,FSE!A:A,FSE!C:C,"XXXXX",0,1)</f>
        <v>2023</v>
      </c>
      <c r="B1268" s="213" t="s">
        <v>5676</v>
      </c>
      <c r="C1268" s="214">
        <v>32.0</v>
      </c>
      <c r="D1268" s="215" t="s">
        <v>5391</v>
      </c>
      <c r="E1268" s="197" t="str">
        <f t="array" ref="E1268">XLOOKUP(C1268,FSE!A:A,FSE!Z:Z,"XXXXX",0,1)</f>
        <v>Publicly Available (1)</v>
      </c>
      <c r="F1268" s="213" t="s">
        <v>3394</v>
      </c>
      <c r="G1268" s="163" t="str">
        <f t="array" ref="G1268">IF(B1268="ICSE",IF(COUNTIFS(B:B,B1268,C:C,C1268)=XLOOKUP(C1268,ICSE!A:A,ICSE!AA:AA,"ERROR",0,1),"OK","ERROR"),IF(B1268="FSE",IF(COUNTIFS(B:B,B1268,C:C,C1268)=XLOOKUP(C1268,FSE!A:A,FSE!AA:AA,"ERROR",0,1),"OK","ERROR")))</f>
        <v>OK</v>
      </c>
      <c r="H1268" s="199">
        <f t="shared" ref="H1268:O1268" si="6419">countif($D1268,"*"&amp;H$2&amp;"*")</f>
        <v>0</v>
      </c>
      <c r="I1268" s="200">
        <f t="shared" si="6419"/>
        <v>0</v>
      </c>
      <c r="J1268" s="200">
        <f t="shared" si="6419"/>
        <v>0</v>
      </c>
      <c r="K1268" s="200">
        <f t="shared" si="6419"/>
        <v>0</v>
      </c>
      <c r="L1268" s="200">
        <f t="shared" si="6419"/>
        <v>0</v>
      </c>
      <c r="M1268" s="200">
        <f t="shared" si="6419"/>
        <v>0</v>
      </c>
      <c r="N1268" s="200">
        <f t="shared" si="6419"/>
        <v>0</v>
      </c>
      <c r="O1268" s="200">
        <f t="shared" si="6419"/>
        <v>0</v>
      </c>
      <c r="P1268" s="200">
        <f t="shared" si="9"/>
        <v>1</v>
      </c>
      <c r="Q1268" s="200">
        <f t="shared" ref="Q1268:AC1268" si="6420">countif($D1268,"*"&amp;Q$2&amp;"*")</f>
        <v>0</v>
      </c>
      <c r="R1268" s="200">
        <f t="shared" si="6420"/>
        <v>0</v>
      </c>
      <c r="S1268" s="200">
        <f t="shared" si="6420"/>
        <v>0</v>
      </c>
      <c r="T1268" s="200">
        <f t="shared" si="6420"/>
        <v>0</v>
      </c>
      <c r="U1268" s="200">
        <f t="shared" si="6420"/>
        <v>0</v>
      </c>
      <c r="V1268" s="200">
        <f t="shared" si="6420"/>
        <v>0</v>
      </c>
      <c r="W1268" s="200">
        <f t="shared" si="6420"/>
        <v>0</v>
      </c>
      <c r="X1268" s="200">
        <f t="shared" si="6420"/>
        <v>0</v>
      </c>
      <c r="Y1268" s="200">
        <f t="shared" si="6420"/>
        <v>0</v>
      </c>
      <c r="Z1268" s="200">
        <f t="shared" si="6420"/>
        <v>0</v>
      </c>
      <c r="AA1268" s="200">
        <f t="shared" si="6420"/>
        <v>0</v>
      </c>
      <c r="AB1268" s="200">
        <f t="shared" si="6420"/>
        <v>0</v>
      </c>
      <c r="AC1268" s="200">
        <f t="shared" si="6420"/>
        <v>0</v>
      </c>
      <c r="AD1268" s="200">
        <f t="shared" si="11"/>
        <v>0</v>
      </c>
      <c r="AE1268" s="200">
        <f t="shared" ref="AE1268:AG1268" si="6421">countif($D1268,"*"&amp;AE$2&amp;"*")</f>
        <v>0</v>
      </c>
      <c r="AF1268" s="200">
        <f t="shared" si="6421"/>
        <v>0</v>
      </c>
      <c r="AG1268" s="200">
        <f t="shared" si="6421"/>
        <v>0</v>
      </c>
      <c r="AH1268" s="171">
        <f t="shared" si="13"/>
        <v>0</v>
      </c>
      <c r="AI1268" s="200">
        <f t="shared" si="14"/>
        <v>0</v>
      </c>
      <c r="AJ1268" s="200">
        <f t="shared" si="6100"/>
        <v>0</v>
      </c>
      <c r="AK1268" s="201">
        <f t="shared" ref="AK1268:AS1268" si="6422">countif($D1268,"*"&amp;AK$2&amp;"*")</f>
        <v>0</v>
      </c>
      <c r="AL1268" s="201">
        <f t="shared" si="6422"/>
        <v>0</v>
      </c>
      <c r="AM1268" s="201">
        <f t="shared" si="6422"/>
        <v>0</v>
      </c>
      <c r="AN1268" s="201">
        <f t="shared" si="6422"/>
        <v>0</v>
      </c>
      <c r="AO1268" s="201">
        <f t="shared" si="6422"/>
        <v>0</v>
      </c>
      <c r="AP1268" s="201">
        <f t="shared" si="6422"/>
        <v>0</v>
      </c>
      <c r="AQ1268" s="201">
        <f t="shared" si="6422"/>
        <v>0</v>
      </c>
      <c r="AR1268" s="200">
        <f t="shared" si="6422"/>
        <v>0</v>
      </c>
      <c r="AS1268" s="200">
        <f t="shared" si="6422"/>
        <v>0</v>
      </c>
      <c r="AT1268" s="173">
        <v>0.0</v>
      </c>
      <c r="AU1268" s="200">
        <f t="shared" si="6217"/>
        <v>0</v>
      </c>
      <c r="AV1268" s="200">
        <f t="shared" ref="AV1268:AX1268" si="6423">countif($D1268,"*"&amp;AV$2&amp;"*")</f>
        <v>1</v>
      </c>
      <c r="AW1268" s="200">
        <f t="shared" si="6423"/>
        <v>0</v>
      </c>
      <c r="AX1268" s="200">
        <f t="shared" si="6423"/>
        <v>0</v>
      </c>
      <c r="AY1268" s="202">
        <v>0.0</v>
      </c>
      <c r="AZ1268" s="200"/>
      <c r="BA1268" s="171" t="str">
        <f t="shared" si="18"/>
        <v/>
      </c>
      <c r="BB1268" s="171" t="str">
        <f t="shared" si="19"/>
        <v>Code</v>
      </c>
      <c r="BC1268" s="171" t="str">
        <f t="shared" si="20"/>
        <v/>
      </c>
      <c r="BD1268" s="171" t="str">
        <f t="shared" si="21"/>
        <v/>
      </c>
      <c r="BE1268" s="171" t="str">
        <f t="shared" si="22"/>
        <v/>
      </c>
      <c r="BF1268" s="171" t="str">
        <f t="shared" si="23"/>
        <v>Code</v>
      </c>
    </row>
    <row r="1269">
      <c r="A1269" s="171">
        <f t="array" ref="A1269">XLOOKUP(C1269,FSE!A:A,FSE!C:C,"XXXXX",0,1)</f>
        <v>2023</v>
      </c>
      <c r="B1269" s="213" t="s">
        <v>5676</v>
      </c>
      <c r="C1269" s="214">
        <v>33.0</v>
      </c>
      <c r="D1269" s="215" t="s">
        <v>5393</v>
      </c>
      <c r="E1269" s="197" t="str">
        <f t="array" ref="E1269">XLOOKUP(C1269,FSE!A:A,FSE!Z:Z,"XXXXX",0,1)</f>
        <v>Publicly Available (1)</v>
      </c>
      <c r="F1269" s="213" t="s">
        <v>3394</v>
      </c>
      <c r="G1269" s="163" t="str">
        <f t="array" ref="G1269">IF(B1269="ICSE",IF(COUNTIFS(B:B,B1269,C:C,C1269)=XLOOKUP(C1269,ICSE!A:A,ICSE!AA:AA,"ERROR",0,1),"OK","ERROR"),IF(B1269="FSE",IF(COUNTIFS(B:B,B1269,C:C,C1269)=XLOOKUP(C1269,FSE!A:A,FSE!AA:AA,"ERROR",0,1),"OK","ERROR")))</f>
        <v>OK</v>
      </c>
      <c r="H1269" s="199">
        <f t="shared" ref="H1269:O1269" si="6424">countif($D1269,"*"&amp;H$2&amp;"*")</f>
        <v>0</v>
      </c>
      <c r="I1269" s="200">
        <f t="shared" si="6424"/>
        <v>0</v>
      </c>
      <c r="J1269" s="200">
        <f t="shared" si="6424"/>
        <v>0</v>
      </c>
      <c r="K1269" s="200">
        <f t="shared" si="6424"/>
        <v>0</v>
      </c>
      <c r="L1269" s="200">
        <f t="shared" si="6424"/>
        <v>0</v>
      </c>
      <c r="M1269" s="200">
        <f t="shared" si="6424"/>
        <v>0</v>
      </c>
      <c r="N1269" s="200">
        <f t="shared" si="6424"/>
        <v>0</v>
      </c>
      <c r="O1269" s="200">
        <f t="shared" si="6424"/>
        <v>0</v>
      </c>
      <c r="P1269" s="200">
        <f t="shared" si="9"/>
        <v>1</v>
      </c>
      <c r="Q1269" s="200">
        <f t="shared" ref="Q1269:AC1269" si="6425">countif($D1269,"*"&amp;Q$2&amp;"*")</f>
        <v>0</v>
      </c>
      <c r="R1269" s="200">
        <f t="shared" si="6425"/>
        <v>0</v>
      </c>
      <c r="S1269" s="200">
        <f t="shared" si="6425"/>
        <v>0</v>
      </c>
      <c r="T1269" s="200">
        <f t="shared" si="6425"/>
        <v>0</v>
      </c>
      <c r="U1269" s="200">
        <f t="shared" si="6425"/>
        <v>0</v>
      </c>
      <c r="V1269" s="200">
        <f t="shared" si="6425"/>
        <v>0</v>
      </c>
      <c r="W1269" s="200">
        <f t="shared" si="6425"/>
        <v>0</v>
      </c>
      <c r="X1269" s="200">
        <f t="shared" si="6425"/>
        <v>0</v>
      </c>
      <c r="Y1269" s="200">
        <f t="shared" si="6425"/>
        <v>0</v>
      </c>
      <c r="Z1269" s="200">
        <f t="shared" si="6425"/>
        <v>0</v>
      </c>
      <c r="AA1269" s="200">
        <f t="shared" si="6425"/>
        <v>0</v>
      </c>
      <c r="AB1269" s="200">
        <f t="shared" si="6425"/>
        <v>0</v>
      </c>
      <c r="AC1269" s="200">
        <f t="shared" si="6425"/>
        <v>0</v>
      </c>
      <c r="AD1269" s="200">
        <f t="shared" si="11"/>
        <v>0</v>
      </c>
      <c r="AE1269" s="200">
        <f t="shared" ref="AE1269:AG1269" si="6426">countif($D1269,"*"&amp;AE$2&amp;"*")</f>
        <v>0</v>
      </c>
      <c r="AF1269" s="200">
        <f t="shared" si="6426"/>
        <v>0</v>
      </c>
      <c r="AG1269" s="200">
        <f t="shared" si="6426"/>
        <v>0</v>
      </c>
      <c r="AH1269" s="171">
        <f t="shared" si="13"/>
        <v>0</v>
      </c>
      <c r="AI1269" s="200">
        <f t="shared" si="14"/>
        <v>0</v>
      </c>
      <c r="AJ1269" s="200">
        <f t="shared" si="6100"/>
        <v>0</v>
      </c>
      <c r="AK1269" s="201">
        <f t="shared" ref="AK1269:AS1269" si="6427">countif($D1269,"*"&amp;AK$2&amp;"*")</f>
        <v>0</v>
      </c>
      <c r="AL1269" s="201">
        <f t="shared" si="6427"/>
        <v>0</v>
      </c>
      <c r="AM1269" s="201">
        <f t="shared" si="6427"/>
        <v>0</v>
      </c>
      <c r="AN1269" s="201">
        <f t="shared" si="6427"/>
        <v>0</v>
      </c>
      <c r="AO1269" s="201">
        <f t="shared" si="6427"/>
        <v>0</v>
      </c>
      <c r="AP1269" s="201">
        <f t="shared" si="6427"/>
        <v>0</v>
      </c>
      <c r="AQ1269" s="201">
        <f t="shared" si="6427"/>
        <v>0</v>
      </c>
      <c r="AR1269" s="200">
        <f t="shared" si="6427"/>
        <v>0</v>
      </c>
      <c r="AS1269" s="200">
        <f t="shared" si="6427"/>
        <v>0</v>
      </c>
      <c r="AT1269" s="173">
        <v>0.0</v>
      </c>
      <c r="AU1269" s="200">
        <f t="shared" si="6217"/>
        <v>0</v>
      </c>
      <c r="AV1269" s="200">
        <f t="shared" ref="AV1269:AX1269" si="6428">countif($D1269,"*"&amp;AV$2&amp;"*")</f>
        <v>1</v>
      </c>
      <c r="AW1269" s="200">
        <f t="shared" si="6428"/>
        <v>0</v>
      </c>
      <c r="AX1269" s="200">
        <f t="shared" si="6428"/>
        <v>0</v>
      </c>
      <c r="AY1269" s="202">
        <v>0.0</v>
      </c>
      <c r="AZ1269" s="200"/>
      <c r="BA1269" s="171" t="str">
        <f t="shared" si="18"/>
        <v/>
      </c>
      <c r="BB1269" s="171" t="str">
        <f t="shared" si="19"/>
        <v>Code</v>
      </c>
      <c r="BC1269" s="171" t="str">
        <f t="shared" si="20"/>
        <v/>
      </c>
      <c r="BD1269" s="171" t="str">
        <f t="shared" si="21"/>
        <v/>
      </c>
      <c r="BE1269" s="171" t="str">
        <f t="shared" si="22"/>
        <v/>
      </c>
      <c r="BF1269" s="171" t="str">
        <f t="shared" si="23"/>
        <v>Code</v>
      </c>
    </row>
    <row r="1270">
      <c r="A1270" s="171">
        <f t="array" ref="A1270">XLOOKUP(C1270,FSE!A:A,FSE!C:C,"XXXXX",0,1)</f>
        <v>2023</v>
      </c>
      <c r="B1270" s="213" t="s">
        <v>5676</v>
      </c>
      <c r="C1270" s="214">
        <v>34.0</v>
      </c>
      <c r="D1270" s="215" t="s">
        <v>5395</v>
      </c>
      <c r="E1270" s="197" t="str">
        <f t="array" ref="E1270">XLOOKUP(C1270,FSE!A:A,FSE!Z:Z,"XXXXX",0,1)</f>
        <v>Not Available (1)</v>
      </c>
      <c r="F1270" s="213" t="s">
        <v>3395</v>
      </c>
      <c r="G1270" s="163" t="str">
        <f t="array" ref="G1270">IF(B1270="ICSE",IF(COUNTIFS(B:B,B1270,C:C,C1270)=XLOOKUP(C1270,ICSE!A:A,ICSE!AA:AA,"ERROR",0,1),"OK","ERROR"),IF(B1270="FSE",IF(COUNTIFS(B:B,B1270,C:C,C1270)=XLOOKUP(C1270,FSE!A:A,FSE!AA:AA,"ERROR",0,1),"OK","ERROR")))</f>
        <v>OK</v>
      </c>
      <c r="H1270" s="199">
        <f t="shared" ref="H1270:O1270" si="6429">countif($D1270,"*"&amp;H$2&amp;"*")</f>
        <v>0</v>
      </c>
      <c r="I1270" s="200">
        <f t="shared" si="6429"/>
        <v>0</v>
      </c>
      <c r="J1270" s="200">
        <f t="shared" si="6429"/>
        <v>0</v>
      </c>
      <c r="K1270" s="200">
        <f t="shared" si="6429"/>
        <v>0</v>
      </c>
      <c r="L1270" s="200">
        <f t="shared" si="6429"/>
        <v>0</v>
      </c>
      <c r="M1270" s="200">
        <f t="shared" si="6429"/>
        <v>0</v>
      </c>
      <c r="N1270" s="200">
        <f t="shared" si="6429"/>
        <v>0</v>
      </c>
      <c r="O1270" s="200">
        <f t="shared" si="6429"/>
        <v>0</v>
      </c>
      <c r="P1270" s="200">
        <f t="shared" si="9"/>
        <v>1</v>
      </c>
      <c r="Q1270" s="200">
        <f t="shared" ref="Q1270:AC1270" si="6430">countif($D1270,"*"&amp;Q$2&amp;"*")</f>
        <v>0</v>
      </c>
      <c r="R1270" s="200">
        <f t="shared" si="6430"/>
        <v>0</v>
      </c>
      <c r="S1270" s="200">
        <f t="shared" si="6430"/>
        <v>0</v>
      </c>
      <c r="T1270" s="200">
        <f t="shared" si="6430"/>
        <v>0</v>
      </c>
      <c r="U1270" s="200">
        <f t="shared" si="6430"/>
        <v>0</v>
      </c>
      <c r="V1270" s="200">
        <f t="shared" si="6430"/>
        <v>0</v>
      </c>
      <c r="W1270" s="200">
        <f t="shared" si="6430"/>
        <v>0</v>
      </c>
      <c r="X1270" s="200">
        <f t="shared" si="6430"/>
        <v>0</v>
      </c>
      <c r="Y1270" s="200">
        <f t="shared" si="6430"/>
        <v>0</v>
      </c>
      <c r="Z1270" s="200">
        <f t="shared" si="6430"/>
        <v>0</v>
      </c>
      <c r="AA1270" s="200">
        <f t="shared" si="6430"/>
        <v>0</v>
      </c>
      <c r="AB1270" s="200">
        <f t="shared" si="6430"/>
        <v>0</v>
      </c>
      <c r="AC1270" s="200">
        <f t="shared" si="6430"/>
        <v>0</v>
      </c>
      <c r="AD1270" s="200">
        <f t="shared" si="11"/>
        <v>0</v>
      </c>
      <c r="AE1270" s="200">
        <f t="shared" ref="AE1270:AG1270" si="6431">countif($D1270,"*"&amp;AE$2&amp;"*")</f>
        <v>0</v>
      </c>
      <c r="AF1270" s="200">
        <f t="shared" si="6431"/>
        <v>0</v>
      </c>
      <c r="AG1270" s="200">
        <f t="shared" si="6431"/>
        <v>0</v>
      </c>
      <c r="AH1270" s="171">
        <f t="shared" si="13"/>
        <v>0</v>
      </c>
      <c r="AI1270" s="200">
        <f t="shared" si="14"/>
        <v>0</v>
      </c>
      <c r="AJ1270" s="200">
        <f t="shared" si="6100"/>
        <v>0</v>
      </c>
      <c r="AK1270" s="201">
        <f t="shared" ref="AK1270:AS1270" si="6432">countif($D1270,"*"&amp;AK$2&amp;"*")</f>
        <v>0</v>
      </c>
      <c r="AL1270" s="201">
        <f t="shared" si="6432"/>
        <v>0</v>
      </c>
      <c r="AM1270" s="201">
        <f t="shared" si="6432"/>
        <v>0</v>
      </c>
      <c r="AN1270" s="201">
        <f t="shared" si="6432"/>
        <v>0</v>
      </c>
      <c r="AO1270" s="201">
        <f t="shared" si="6432"/>
        <v>0</v>
      </c>
      <c r="AP1270" s="201">
        <f t="shared" si="6432"/>
        <v>0</v>
      </c>
      <c r="AQ1270" s="201">
        <f t="shared" si="6432"/>
        <v>0</v>
      </c>
      <c r="AR1270" s="200">
        <f t="shared" si="6432"/>
        <v>0</v>
      </c>
      <c r="AS1270" s="200">
        <f t="shared" si="6432"/>
        <v>0</v>
      </c>
      <c r="AT1270" s="173">
        <v>0.0</v>
      </c>
      <c r="AU1270" s="200">
        <f t="shared" si="6217"/>
        <v>0</v>
      </c>
      <c r="AV1270" s="200">
        <f t="shared" ref="AV1270:AX1270" si="6433">countif($D1270,"*"&amp;AV$2&amp;"*")</f>
        <v>1</v>
      </c>
      <c r="AW1270" s="200">
        <f t="shared" si="6433"/>
        <v>0</v>
      </c>
      <c r="AX1270" s="200">
        <f t="shared" si="6433"/>
        <v>0</v>
      </c>
      <c r="AY1270" s="202">
        <v>0.0</v>
      </c>
      <c r="AZ1270" s="200"/>
      <c r="BA1270" s="171" t="str">
        <f t="shared" si="18"/>
        <v/>
      </c>
      <c r="BB1270" s="171" t="str">
        <f t="shared" si="19"/>
        <v>Code</v>
      </c>
      <c r="BC1270" s="171" t="str">
        <f t="shared" si="20"/>
        <v/>
      </c>
      <c r="BD1270" s="171" t="str">
        <f t="shared" si="21"/>
        <v/>
      </c>
      <c r="BE1270" s="171" t="str">
        <f t="shared" si="22"/>
        <v/>
      </c>
      <c r="BF1270" s="171" t="str">
        <f t="shared" si="23"/>
        <v>Code</v>
      </c>
    </row>
    <row r="1271">
      <c r="A1271" s="171">
        <f t="array" ref="A1271">XLOOKUP(C1271,FSE!A:A,FSE!C:C,"XXXXX",0,1)</f>
        <v>2023</v>
      </c>
      <c r="B1271" s="213" t="s">
        <v>5676</v>
      </c>
      <c r="C1271" s="214">
        <v>35.0</v>
      </c>
      <c r="D1271" s="215" t="s">
        <v>6188</v>
      </c>
      <c r="E1271" s="197" t="str">
        <f t="array" ref="E1271">XLOOKUP(C1271,FSE!A:A,FSE!Z:Z,"XXXXX",0,1)</f>
        <v>Publicly Available (2)</v>
      </c>
      <c r="F1271" s="213" t="s">
        <v>3394</v>
      </c>
      <c r="G1271" s="163" t="str">
        <f t="array" ref="G1271">IF(B1271="ICSE",IF(COUNTIFS(B:B,B1271,C:C,C1271)=XLOOKUP(C1271,ICSE!A:A,ICSE!AA:AA,"ERROR",0,1),"OK","ERROR"),IF(B1271="FSE",IF(COUNTIFS(B:B,B1271,C:C,C1271)=XLOOKUP(C1271,FSE!A:A,FSE!AA:AA,"ERROR",0,1),"OK","ERROR")))</f>
        <v>OK</v>
      </c>
      <c r="H1271" s="199">
        <f t="shared" ref="H1271:O1271" si="6434">countif($D1271,"*"&amp;H$2&amp;"*")</f>
        <v>0</v>
      </c>
      <c r="I1271" s="200">
        <f t="shared" si="6434"/>
        <v>0</v>
      </c>
      <c r="J1271" s="200">
        <f t="shared" si="6434"/>
        <v>0</v>
      </c>
      <c r="K1271" s="200">
        <f t="shared" si="6434"/>
        <v>0</v>
      </c>
      <c r="L1271" s="200">
        <f t="shared" si="6434"/>
        <v>0</v>
      </c>
      <c r="M1271" s="200">
        <f t="shared" si="6434"/>
        <v>0</v>
      </c>
      <c r="N1271" s="200">
        <f t="shared" si="6434"/>
        <v>0</v>
      </c>
      <c r="O1271" s="200">
        <f t="shared" si="6434"/>
        <v>0</v>
      </c>
      <c r="P1271" s="200">
        <f t="shared" si="9"/>
        <v>1</v>
      </c>
      <c r="Q1271" s="200">
        <f t="shared" ref="Q1271:AC1271" si="6435">countif($D1271,"*"&amp;Q$2&amp;"*")</f>
        <v>0</v>
      </c>
      <c r="R1271" s="200">
        <f t="shared" si="6435"/>
        <v>0</v>
      </c>
      <c r="S1271" s="200">
        <f t="shared" si="6435"/>
        <v>0</v>
      </c>
      <c r="T1271" s="200">
        <f t="shared" si="6435"/>
        <v>0</v>
      </c>
      <c r="U1271" s="200">
        <f t="shared" si="6435"/>
        <v>0</v>
      </c>
      <c r="V1271" s="200">
        <f t="shared" si="6435"/>
        <v>0</v>
      </c>
      <c r="W1271" s="200">
        <f t="shared" si="6435"/>
        <v>0</v>
      </c>
      <c r="X1271" s="200">
        <f t="shared" si="6435"/>
        <v>0</v>
      </c>
      <c r="Y1271" s="200">
        <f t="shared" si="6435"/>
        <v>0</v>
      </c>
      <c r="Z1271" s="200">
        <f t="shared" si="6435"/>
        <v>0</v>
      </c>
      <c r="AA1271" s="200">
        <f t="shared" si="6435"/>
        <v>0</v>
      </c>
      <c r="AB1271" s="200">
        <f t="shared" si="6435"/>
        <v>0</v>
      </c>
      <c r="AC1271" s="200">
        <f t="shared" si="6435"/>
        <v>0</v>
      </c>
      <c r="AD1271" s="200">
        <f t="shared" si="11"/>
        <v>0</v>
      </c>
      <c r="AE1271" s="200">
        <f t="shared" ref="AE1271:AG1271" si="6436">countif($D1271,"*"&amp;AE$2&amp;"*")</f>
        <v>0</v>
      </c>
      <c r="AF1271" s="200">
        <f t="shared" si="6436"/>
        <v>0</v>
      </c>
      <c r="AG1271" s="200">
        <f t="shared" si="6436"/>
        <v>0</v>
      </c>
      <c r="AH1271" s="171">
        <f t="shared" si="13"/>
        <v>0</v>
      </c>
      <c r="AI1271" s="200">
        <f t="shared" si="14"/>
        <v>0</v>
      </c>
      <c r="AJ1271" s="200">
        <f t="shared" si="6100"/>
        <v>0</v>
      </c>
      <c r="AK1271" s="201">
        <f t="shared" ref="AK1271:AS1271" si="6437">countif($D1271,"*"&amp;AK$2&amp;"*")</f>
        <v>0</v>
      </c>
      <c r="AL1271" s="201">
        <f t="shared" si="6437"/>
        <v>0</v>
      </c>
      <c r="AM1271" s="201">
        <f t="shared" si="6437"/>
        <v>0</v>
      </c>
      <c r="AN1271" s="201">
        <f t="shared" si="6437"/>
        <v>0</v>
      </c>
      <c r="AO1271" s="201">
        <f t="shared" si="6437"/>
        <v>0</v>
      </c>
      <c r="AP1271" s="201">
        <f t="shared" si="6437"/>
        <v>0</v>
      </c>
      <c r="AQ1271" s="201">
        <f t="shared" si="6437"/>
        <v>0</v>
      </c>
      <c r="AR1271" s="200">
        <f t="shared" si="6437"/>
        <v>0</v>
      </c>
      <c r="AS1271" s="200">
        <f t="shared" si="6437"/>
        <v>0</v>
      </c>
      <c r="AT1271" s="173">
        <v>0.0</v>
      </c>
      <c r="AU1271" s="200">
        <f t="shared" si="6217"/>
        <v>0</v>
      </c>
      <c r="AV1271" s="200">
        <f t="shared" ref="AV1271:AX1271" si="6438">countif($D1271,"*"&amp;AV$2&amp;"*")</f>
        <v>1</v>
      </c>
      <c r="AW1271" s="200">
        <f t="shared" si="6438"/>
        <v>0</v>
      </c>
      <c r="AX1271" s="200">
        <f t="shared" si="6438"/>
        <v>0</v>
      </c>
      <c r="AY1271" s="202">
        <v>0.0</v>
      </c>
      <c r="AZ1271" s="200"/>
      <c r="BA1271" s="171" t="str">
        <f t="shared" si="18"/>
        <v/>
      </c>
      <c r="BB1271" s="171" t="str">
        <f t="shared" si="19"/>
        <v>Code</v>
      </c>
      <c r="BC1271" s="171" t="str">
        <f t="shared" si="20"/>
        <v/>
      </c>
      <c r="BD1271" s="171" t="str">
        <f t="shared" si="21"/>
        <v/>
      </c>
      <c r="BE1271" s="171" t="str">
        <f t="shared" si="22"/>
        <v/>
      </c>
      <c r="BF1271" s="171" t="str">
        <f t="shared" si="23"/>
        <v>Code</v>
      </c>
    </row>
    <row r="1272">
      <c r="A1272" s="171">
        <f t="array" ref="A1272">XLOOKUP(C1272,FSE!A:A,FSE!C:C,"XXXXX",0,1)</f>
        <v>2023</v>
      </c>
      <c r="B1272" s="171" t="s">
        <v>5676</v>
      </c>
      <c r="C1272" s="160">
        <v>35.0</v>
      </c>
      <c r="D1272" s="161" t="s">
        <v>6189</v>
      </c>
      <c r="E1272" s="197" t="str">
        <f t="array" ref="E1272">XLOOKUP(C1272,FSE!A:A,FSE!Z:Z,"XXXXX",0,1)</f>
        <v>Publicly Available (2)</v>
      </c>
      <c r="F1272" s="213" t="s">
        <v>3394</v>
      </c>
      <c r="G1272" s="163" t="str">
        <f t="array" ref="G1272">IF(B1272="ICSE",IF(COUNTIFS(B:B,B1272,C:C,C1272)=XLOOKUP(C1272,ICSE!A:A,ICSE!AA:AA,"ERROR",0,1),"OK","ERROR"),IF(B1272="FSE",IF(COUNTIFS(B:B,B1272,C:C,C1272)=XLOOKUP(C1272,FSE!A:A,FSE!AA:AA,"ERROR",0,1),"OK","ERROR")))</f>
        <v>OK</v>
      </c>
      <c r="H1272" s="199">
        <f t="shared" ref="H1272:O1272" si="6439">countif($D1272,"*"&amp;H$2&amp;"*")</f>
        <v>0</v>
      </c>
      <c r="I1272" s="200">
        <f t="shared" si="6439"/>
        <v>0</v>
      </c>
      <c r="J1272" s="200">
        <f t="shared" si="6439"/>
        <v>0</v>
      </c>
      <c r="K1272" s="200">
        <f t="shared" si="6439"/>
        <v>0</v>
      </c>
      <c r="L1272" s="200">
        <f t="shared" si="6439"/>
        <v>0</v>
      </c>
      <c r="M1272" s="200">
        <f t="shared" si="6439"/>
        <v>1</v>
      </c>
      <c r="N1272" s="200">
        <f t="shared" si="6439"/>
        <v>0</v>
      </c>
      <c r="O1272" s="200">
        <f t="shared" si="6439"/>
        <v>0</v>
      </c>
      <c r="P1272" s="200">
        <f t="shared" si="9"/>
        <v>0</v>
      </c>
      <c r="Q1272" s="200">
        <f t="shared" ref="Q1272:AC1272" si="6440">countif($D1272,"*"&amp;Q$2&amp;"*")</f>
        <v>0</v>
      </c>
      <c r="R1272" s="200">
        <f t="shared" si="6440"/>
        <v>0</v>
      </c>
      <c r="S1272" s="200">
        <f t="shared" si="6440"/>
        <v>0</v>
      </c>
      <c r="T1272" s="200">
        <f t="shared" si="6440"/>
        <v>0</v>
      </c>
      <c r="U1272" s="200">
        <f t="shared" si="6440"/>
        <v>0</v>
      </c>
      <c r="V1272" s="200">
        <f t="shared" si="6440"/>
        <v>0</v>
      </c>
      <c r="W1272" s="200">
        <f t="shared" si="6440"/>
        <v>0</v>
      </c>
      <c r="X1272" s="200">
        <f t="shared" si="6440"/>
        <v>0</v>
      </c>
      <c r="Y1272" s="200">
        <f t="shared" si="6440"/>
        <v>0</v>
      </c>
      <c r="Z1272" s="200">
        <f t="shared" si="6440"/>
        <v>0</v>
      </c>
      <c r="AA1272" s="200">
        <f t="shared" si="6440"/>
        <v>0</v>
      </c>
      <c r="AB1272" s="200">
        <f t="shared" si="6440"/>
        <v>0</v>
      </c>
      <c r="AC1272" s="200">
        <f t="shared" si="6440"/>
        <v>0</v>
      </c>
      <c r="AD1272" s="200">
        <f t="shared" si="11"/>
        <v>0</v>
      </c>
      <c r="AE1272" s="200">
        <f t="shared" ref="AE1272:AG1272" si="6441">countif($D1272,"*"&amp;AE$2&amp;"*")</f>
        <v>0</v>
      </c>
      <c r="AF1272" s="200">
        <f t="shared" si="6441"/>
        <v>0</v>
      </c>
      <c r="AG1272" s="200">
        <f t="shared" si="6441"/>
        <v>0</v>
      </c>
      <c r="AH1272" s="171">
        <f t="shared" si="13"/>
        <v>0</v>
      </c>
      <c r="AI1272" s="200">
        <f t="shared" si="14"/>
        <v>1</v>
      </c>
      <c r="AJ1272" s="200">
        <f t="shared" si="6100"/>
        <v>0</v>
      </c>
      <c r="AK1272" s="201">
        <f t="shared" ref="AK1272:AS1272" si="6442">countif($D1272,"*"&amp;AK$2&amp;"*")</f>
        <v>0</v>
      </c>
      <c r="AL1272" s="201">
        <f t="shared" si="6442"/>
        <v>0</v>
      </c>
      <c r="AM1272" s="201">
        <f t="shared" si="6442"/>
        <v>0</v>
      </c>
      <c r="AN1272" s="201">
        <f t="shared" si="6442"/>
        <v>0</v>
      </c>
      <c r="AO1272" s="201">
        <f t="shared" si="6442"/>
        <v>0</v>
      </c>
      <c r="AP1272" s="201">
        <f t="shared" si="6442"/>
        <v>0</v>
      </c>
      <c r="AQ1272" s="201">
        <f t="shared" si="6442"/>
        <v>0</v>
      </c>
      <c r="AR1272" s="200">
        <f t="shared" si="6442"/>
        <v>0</v>
      </c>
      <c r="AS1272" s="200">
        <f t="shared" si="6442"/>
        <v>1</v>
      </c>
      <c r="AT1272" s="173">
        <v>0.0</v>
      </c>
      <c r="AU1272" s="200">
        <f t="shared" si="6217"/>
        <v>0</v>
      </c>
      <c r="AV1272" s="200">
        <f t="shared" ref="AV1272:AX1272" si="6443">countif($D1272,"*"&amp;AV$2&amp;"*")</f>
        <v>0</v>
      </c>
      <c r="AW1272" s="200">
        <f t="shared" si="6443"/>
        <v>0</v>
      </c>
      <c r="AX1272" s="200">
        <f t="shared" si="6443"/>
        <v>1</v>
      </c>
      <c r="AY1272" s="202">
        <v>0.0</v>
      </c>
      <c r="AZ1272" s="200"/>
      <c r="BA1272" s="171" t="str">
        <f t="shared" si="18"/>
        <v>Archival</v>
      </c>
      <c r="BB1272" s="171" t="str">
        <f t="shared" si="19"/>
        <v/>
      </c>
      <c r="BC1272" s="171" t="str">
        <f t="shared" si="20"/>
        <v/>
      </c>
      <c r="BD1272" s="171" t="str">
        <f t="shared" si="21"/>
        <v/>
      </c>
      <c r="BE1272" s="171" t="str">
        <f t="shared" si="22"/>
        <v/>
      </c>
      <c r="BF1272" s="171" t="str">
        <f t="shared" si="23"/>
        <v>Archival</v>
      </c>
    </row>
    <row r="1273">
      <c r="A1273" s="171">
        <f t="array" ref="A1273">XLOOKUP(C1273,FSE!A:A,FSE!C:C,"XXXXX",0,1)</f>
        <v>2023</v>
      </c>
      <c r="B1273" s="213" t="s">
        <v>5676</v>
      </c>
      <c r="C1273" s="214">
        <v>36.0</v>
      </c>
      <c r="D1273" s="215" t="s">
        <v>5400</v>
      </c>
      <c r="E1273" s="197" t="str">
        <f t="array" ref="E1273">XLOOKUP(C1273,FSE!A:A,FSE!Z:Z,"XXXXX",0,1)</f>
        <v>Publicly Available (1)</v>
      </c>
      <c r="F1273" s="213" t="s">
        <v>3394</v>
      </c>
      <c r="G1273" s="163" t="str">
        <f t="array" ref="G1273">IF(B1273="ICSE",IF(COUNTIFS(B:B,B1273,C:C,C1273)=XLOOKUP(C1273,ICSE!A:A,ICSE!AA:AA,"ERROR",0,1),"OK","ERROR"),IF(B1273="FSE",IF(COUNTIFS(B:B,B1273,C:C,C1273)=XLOOKUP(C1273,FSE!A:A,FSE!AA:AA,"ERROR",0,1),"OK","ERROR")))</f>
        <v>OK</v>
      </c>
      <c r="H1273" s="199">
        <f t="shared" ref="H1273:O1273" si="6444">countif($D1273,"*"&amp;H$2&amp;"*")</f>
        <v>0</v>
      </c>
      <c r="I1273" s="200">
        <f t="shared" si="6444"/>
        <v>0</v>
      </c>
      <c r="J1273" s="200">
        <f t="shared" si="6444"/>
        <v>0</v>
      </c>
      <c r="K1273" s="200">
        <f t="shared" si="6444"/>
        <v>0</v>
      </c>
      <c r="L1273" s="200">
        <f t="shared" si="6444"/>
        <v>0</v>
      </c>
      <c r="M1273" s="200">
        <f t="shared" si="6444"/>
        <v>0</v>
      </c>
      <c r="N1273" s="200">
        <f t="shared" si="6444"/>
        <v>0</v>
      </c>
      <c r="O1273" s="200">
        <f t="shared" si="6444"/>
        <v>0</v>
      </c>
      <c r="P1273" s="200">
        <f t="shared" si="9"/>
        <v>1</v>
      </c>
      <c r="Q1273" s="200">
        <f t="shared" ref="Q1273:AC1273" si="6445">countif($D1273,"*"&amp;Q$2&amp;"*")</f>
        <v>0</v>
      </c>
      <c r="R1273" s="200">
        <f t="shared" si="6445"/>
        <v>0</v>
      </c>
      <c r="S1273" s="200">
        <f t="shared" si="6445"/>
        <v>0</v>
      </c>
      <c r="T1273" s="200">
        <f t="shared" si="6445"/>
        <v>0</v>
      </c>
      <c r="U1273" s="200">
        <f t="shared" si="6445"/>
        <v>0</v>
      </c>
      <c r="V1273" s="200">
        <f t="shared" si="6445"/>
        <v>0</v>
      </c>
      <c r="W1273" s="200">
        <f t="shared" si="6445"/>
        <v>0</v>
      </c>
      <c r="X1273" s="200">
        <f t="shared" si="6445"/>
        <v>0</v>
      </c>
      <c r="Y1273" s="200">
        <f t="shared" si="6445"/>
        <v>0</v>
      </c>
      <c r="Z1273" s="200">
        <f t="shared" si="6445"/>
        <v>0</v>
      </c>
      <c r="AA1273" s="200">
        <f t="shared" si="6445"/>
        <v>0</v>
      </c>
      <c r="AB1273" s="200">
        <f t="shared" si="6445"/>
        <v>0</v>
      </c>
      <c r="AC1273" s="200">
        <f t="shared" si="6445"/>
        <v>0</v>
      </c>
      <c r="AD1273" s="200">
        <f t="shared" si="11"/>
        <v>0</v>
      </c>
      <c r="AE1273" s="200">
        <f t="shared" ref="AE1273:AG1273" si="6446">countif($D1273,"*"&amp;AE$2&amp;"*")</f>
        <v>0</v>
      </c>
      <c r="AF1273" s="200">
        <f t="shared" si="6446"/>
        <v>0</v>
      </c>
      <c r="AG1273" s="200">
        <f t="shared" si="6446"/>
        <v>0</v>
      </c>
      <c r="AH1273" s="171">
        <f t="shared" si="13"/>
        <v>0</v>
      </c>
      <c r="AI1273" s="200">
        <f t="shared" si="14"/>
        <v>0</v>
      </c>
      <c r="AJ1273" s="200">
        <f t="shared" si="6100"/>
        <v>0</v>
      </c>
      <c r="AK1273" s="201">
        <f t="shared" ref="AK1273:AS1273" si="6447">countif($D1273,"*"&amp;AK$2&amp;"*")</f>
        <v>0</v>
      </c>
      <c r="AL1273" s="201">
        <f t="shared" si="6447"/>
        <v>0</v>
      </c>
      <c r="AM1273" s="201">
        <f t="shared" si="6447"/>
        <v>0</v>
      </c>
      <c r="AN1273" s="201">
        <f t="shared" si="6447"/>
        <v>0</v>
      </c>
      <c r="AO1273" s="201">
        <f t="shared" si="6447"/>
        <v>0</v>
      </c>
      <c r="AP1273" s="201">
        <f t="shared" si="6447"/>
        <v>0</v>
      </c>
      <c r="AQ1273" s="201">
        <f t="shared" si="6447"/>
        <v>0</v>
      </c>
      <c r="AR1273" s="200">
        <f t="shared" si="6447"/>
        <v>0</v>
      </c>
      <c r="AS1273" s="200">
        <f t="shared" si="6447"/>
        <v>0</v>
      </c>
      <c r="AT1273" s="173">
        <v>0.0</v>
      </c>
      <c r="AU1273" s="200">
        <f t="shared" si="6217"/>
        <v>0</v>
      </c>
      <c r="AV1273" s="200">
        <f t="shared" ref="AV1273:AX1273" si="6448">countif($D1273,"*"&amp;AV$2&amp;"*")</f>
        <v>1</v>
      </c>
      <c r="AW1273" s="200">
        <f t="shared" si="6448"/>
        <v>0</v>
      </c>
      <c r="AX1273" s="200">
        <f t="shared" si="6448"/>
        <v>0</v>
      </c>
      <c r="AY1273" s="202">
        <v>0.0</v>
      </c>
      <c r="AZ1273" s="200"/>
      <c r="BA1273" s="171" t="str">
        <f t="shared" si="18"/>
        <v/>
      </c>
      <c r="BB1273" s="171" t="str">
        <f t="shared" si="19"/>
        <v>Code</v>
      </c>
      <c r="BC1273" s="171" t="str">
        <f t="shared" si="20"/>
        <v/>
      </c>
      <c r="BD1273" s="171" t="str">
        <f t="shared" si="21"/>
        <v/>
      </c>
      <c r="BE1273" s="171" t="str">
        <f t="shared" si="22"/>
        <v/>
      </c>
      <c r="BF1273" s="171" t="str">
        <f t="shared" si="23"/>
        <v>Code</v>
      </c>
    </row>
    <row r="1274">
      <c r="A1274" s="171">
        <f t="array" ref="A1274">XLOOKUP(C1274,FSE!A:A,FSE!C:C,"XXXXX",0,1)</f>
        <v>2023</v>
      </c>
      <c r="B1274" s="213" t="s">
        <v>5676</v>
      </c>
      <c r="C1274" s="214">
        <v>37.0</v>
      </c>
      <c r="D1274" s="215" t="s">
        <v>5403</v>
      </c>
      <c r="E1274" s="197" t="str">
        <f t="array" ref="E1274">XLOOKUP(C1274,FSE!A:A,FSE!Z:Z,"XXXXX",0,1)</f>
        <v>Publicly Available (1)</v>
      </c>
      <c r="F1274" s="213" t="s">
        <v>3394</v>
      </c>
      <c r="G1274" s="163" t="str">
        <f t="array" ref="G1274">IF(B1274="ICSE",IF(COUNTIFS(B:B,B1274,C:C,C1274)=XLOOKUP(C1274,ICSE!A:A,ICSE!AA:AA,"ERROR",0,1),"OK","ERROR"),IF(B1274="FSE",IF(COUNTIFS(B:B,B1274,C:C,C1274)=XLOOKUP(C1274,FSE!A:A,FSE!AA:AA,"ERROR",0,1),"OK","ERROR")))</f>
        <v>OK</v>
      </c>
      <c r="H1274" s="199">
        <f t="shared" ref="H1274:O1274" si="6449">countif($D1274,"*"&amp;H$2&amp;"*")</f>
        <v>0</v>
      </c>
      <c r="I1274" s="200">
        <f t="shared" si="6449"/>
        <v>0</v>
      </c>
      <c r="J1274" s="200">
        <f t="shared" si="6449"/>
        <v>0</v>
      </c>
      <c r="K1274" s="200">
        <f t="shared" si="6449"/>
        <v>0</v>
      </c>
      <c r="L1274" s="200">
        <f t="shared" si="6449"/>
        <v>0</v>
      </c>
      <c r="M1274" s="200">
        <f t="shared" si="6449"/>
        <v>0</v>
      </c>
      <c r="N1274" s="200">
        <f t="shared" si="6449"/>
        <v>0</v>
      </c>
      <c r="O1274" s="200">
        <f t="shared" si="6449"/>
        <v>0</v>
      </c>
      <c r="P1274" s="200">
        <f t="shared" si="9"/>
        <v>1</v>
      </c>
      <c r="Q1274" s="200">
        <f t="shared" ref="Q1274:AC1274" si="6450">countif($D1274,"*"&amp;Q$2&amp;"*")</f>
        <v>0</v>
      </c>
      <c r="R1274" s="200">
        <f t="shared" si="6450"/>
        <v>0</v>
      </c>
      <c r="S1274" s="200">
        <f t="shared" si="6450"/>
        <v>0</v>
      </c>
      <c r="T1274" s="200">
        <f t="shared" si="6450"/>
        <v>0</v>
      </c>
      <c r="U1274" s="200">
        <f t="shared" si="6450"/>
        <v>0</v>
      </c>
      <c r="V1274" s="200">
        <f t="shared" si="6450"/>
        <v>0</v>
      </c>
      <c r="W1274" s="200">
        <f t="shared" si="6450"/>
        <v>0</v>
      </c>
      <c r="X1274" s="200">
        <f t="shared" si="6450"/>
        <v>0</v>
      </c>
      <c r="Y1274" s="200">
        <f t="shared" si="6450"/>
        <v>0</v>
      </c>
      <c r="Z1274" s="200">
        <f t="shared" si="6450"/>
        <v>0</v>
      </c>
      <c r="AA1274" s="200">
        <f t="shared" si="6450"/>
        <v>0</v>
      </c>
      <c r="AB1274" s="200">
        <f t="shared" si="6450"/>
        <v>0</v>
      </c>
      <c r="AC1274" s="200">
        <f t="shared" si="6450"/>
        <v>0</v>
      </c>
      <c r="AD1274" s="200">
        <f t="shared" si="11"/>
        <v>0</v>
      </c>
      <c r="AE1274" s="200">
        <f t="shared" ref="AE1274:AG1274" si="6451">countif($D1274,"*"&amp;AE$2&amp;"*")</f>
        <v>0</v>
      </c>
      <c r="AF1274" s="200">
        <f t="shared" si="6451"/>
        <v>0</v>
      </c>
      <c r="AG1274" s="200">
        <f t="shared" si="6451"/>
        <v>0</v>
      </c>
      <c r="AH1274" s="171">
        <f t="shared" si="13"/>
        <v>0</v>
      </c>
      <c r="AI1274" s="200">
        <f t="shared" si="14"/>
        <v>0</v>
      </c>
      <c r="AJ1274" s="200">
        <f t="shared" si="6100"/>
        <v>0</v>
      </c>
      <c r="AK1274" s="201">
        <f t="shared" ref="AK1274:AS1274" si="6452">countif($D1274,"*"&amp;AK$2&amp;"*")</f>
        <v>0</v>
      </c>
      <c r="AL1274" s="201">
        <f t="shared" si="6452"/>
        <v>0</v>
      </c>
      <c r="AM1274" s="201">
        <f t="shared" si="6452"/>
        <v>0</v>
      </c>
      <c r="AN1274" s="201">
        <f t="shared" si="6452"/>
        <v>0</v>
      </c>
      <c r="AO1274" s="201">
        <f t="shared" si="6452"/>
        <v>0</v>
      </c>
      <c r="AP1274" s="201">
        <f t="shared" si="6452"/>
        <v>0</v>
      </c>
      <c r="AQ1274" s="201">
        <f t="shared" si="6452"/>
        <v>0</v>
      </c>
      <c r="AR1274" s="200">
        <f t="shared" si="6452"/>
        <v>0</v>
      </c>
      <c r="AS1274" s="200">
        <f t="shared" si="6452"/>
        <v>0</v>
      </c>
      <c r="AT1274" s="173">
        <v>0.0</v>
      </c>
      <c r="AU1274" s="200">
        <f t="shared" si="6217"/>
        <v>0</v>
      </c>
      <c r="AV1274" s="200">
        <f t="shared" ref="AV1274:AX1274" si="6453">countif($D1274,"*"&amp;AV$2&amp;"*")</f>
        <v>1</v>
      </c>
      <c r="AW1274" s="200">
        <f t="shared" si="6453"/>
        <v>0</v>
      </c>
      <c r="AX1274" s="200">
        <f t="shared" si="6453"/>
        <v>0</v>
      </c>
      <c r="AY1274" s="202">
        <v>0.0</v>
      </c>
      <c r="AZ1274" s="200"/>
      <c r="BA1274" s="171" t="str">
        <f t="shared" si="18"/>
        <v/>
      </c>
      <c r="BB1274" s="171" t="str">
        <f t="shared" si="19"/>
        <v>Code</v>
      </c>
      <c r="BC1274" s="171" t="str">
        <f t="shared" si="20"/>
        <v/>
      </c>
      <c r="BD1274" s="171" t="str">
        <f t="shared" si="21"/>
        <v/>
      </c>
      <c r="BE1274" s="171" t="str">
        <f t="shared" si="22"/>
        <v/>
      </c>
      <c r="BF1274" s="171" t="str">
        <f t="shared" si="23"/>
        <v>Code</v>
      </c>
    </row>
    <row r="1275">
      <c r="A1275" s="171">
        <f t="array" ref="A1275">XLOOKUP(C1275,FSE!A:A,FSE!C:C,"XXXXX",0,1)</f>
        <v>2023</v>
      </c>
      <c r="B1275" s="213" t="s">
        <v>5676</v>
      </c>
      <c r="C1275" s="214">
        <v>38.0</v>
      </c>
      <c r="D1275" s="215" t="s">
        <v>5405</v>
      </c>
      <c r="E1275" s="197" t="str">
        <f t="array" ref="E1275">XLOOKUP(C1275,FSE!A:A,FSE!Z:Z,"XXXXX",0,1)</f>
        <v>Publicly Available (1)</v>
      </c>
      <c r="F1275" s="213" t="s">
        <v>3394</v>
      </c>
      <c r="G1275" s="163" t="str">
        <f t="array" ref="G1275">IF(B1275="ICSE",IF(COUNTIFS(B:B,B1275,C:C,C1275)=XLOOKUP(C1275,ICSE!A:A,ICSE!AA:AA,"ERROR",0,1),"OK","ERROR"),IF(B1275="FSE",IF(COUNTIFS(B:B,B1275,C:C,C1275)=XLOOKUP(C1275,FSE!A:A,FSE!AA:AA,"ERROR",0,1),"OK","ERROR")))</f>
        <v>OK</v>
      </c>
      <c r="H1275" s="199">
        <f t="shared" ref="H1275:O1275" si="6454">countif($D1275,"*"&amp;H$2&amp;"*")</f>
        <v>1</v>
      </c>
      <c r="I1275" s="200">
        <f t="shared" si="6454"/>
        <v>0</v>
      </c>
      <c r="J1275" s="200">
        <f t="shared" si="6454"/>
        <v>0</v>
      </c>
      <c r="K1275" s="200">
        <f t="shared" si="6454"/>
        <v>0</v>
      </c>
      <c r="L1275" s="200">
        <f t="shared" si="6454"/>
        <v>0</v>
      </c>
      <c r="M1275" s="200">
        <f t="shared" si="6454"/>
        <v>0</v>
      </c>
      <c r="N1275" s="200">
        <f t="shared" si="6454"/>
        <v>0</v>
      </c>
      <c r="O1275" s="200">
        <f t="shared" si="6454"/>
        <v>0</v>
      </c>
      <c r="P1275" s="200">
        <f t="shared" si="9"/>
        <v>0</v>
      </c>
      <c r="Q1275" s="200">
        <f t="shared" ref="Q1275:AC1275" si="6455">countif($D1275,"*"&amp;Q$2&amp;"*")</f>
        <v>0</v>
      </c>
      <c r="R1275" s="200">
        <f t="shared" si="6455"/>
        <v>0</v>
      </c>
      <c r="S1275" s="200">
        <f t="shared" si="6455"/>
        <v>0</v>
      </c>
      <c r="T1275" s="200">
        <f t="shared" si="6455"/>
        <v>0</v>
      </c>
      <c r="U1275" s="200">
        <f t="shared" si="6455"/>
        <v>0</v>
      </c>
      <c r="V1275" s="200">
        <f t="shared" si="6455"/>
        <v>0</v>
      </c>
      <c r="W1275" s="200">
        <f t="shared" si="6455"/>
        <v>0</v>
      </c>
      <c r="X1275" s="200">
        <f t="shared" si="6455"/>
        <v>0</v>
      </c>
      <c r="Y1275" s="200">
        <f t="shared" si="6455"/>
        <v>0</v>
      </c>
      <c r="Z1275" s="200">
        <f t="shared" si="6455"/>
        <v>0</v>
      </c>
      <c r="AA1275" s="200">
        <f t="shared" si="6455"/>
        <v>0</v>
      </c>
      <c r="AB1275" s="200">
        <f t="shared" si="6455"/>
        <v>0</v>
      </c>
      <c r="AC1275" s="200">
        <f t="shared" si="6455"/>
        <v>0</v>
      </c>
      <c r="AD1275" s="200">
        <f t="shared" si="11"/>
        <v>0</v>
      </c>
      <c r="AE1275" s="200">
        <f t="shared" ref="AE1275:AG1275" si="6456">countif($D1275,"*"&amp;AE$2&amp;"*")</f>
        <v>0</v>
      </c>
      <c r="AF1275" s="200">
        <f t="shared" si="6456"/>
        <v>0</v>
      </c>
      <c r="AG1275" s="200">
        <f t="shared" si="6456"/>
        <v>0</v>
      </c>
      <c r="AH1275" s="171">
        <f t="shared" si="13"/>
        <v>0</v>
      </c>
      <c r="AI1275" s="200">
        <f t="shared" si="14"/>
        <v>1</v>
      </c>
      <c r="AJ1275" s="200">
        <f t="shared" si="6100"/>
        <v>0</v>
      </c>
      <c r="AK1275" s="201">
        <f t="shared" ref="AK1275:AS1275" si="6457">countif($D1275,"*"&amp;AK$2&amp;"*")</f>
        <v>0</v>
      </c>
      <c r="AL1275" s="201">
        <f t="shared" si="6457"/>
        <v>0</v>
      </c>
      <c r="AM1275" s="201">
        <f t="shared" si="6457"/>
        <v>0</v>
      </c>
      <c r="AN1275" s="201">
        <f t="shared" si="6457"/>
        <v>0</v>
      </c>
      <c r="AO1275" s="201">
        <f t="shared" si="6457"/>
        <v>0</v>
      </c>
      <c r="AP1275" s="201">
        <f t="shared" si="6457"/>
        <v>0</v>
      </c>
      <c r="AQ1275" s="201">
        <f t="shared" si="6457"/>
        <v>0</v>
      </c>
      <c r="AR1275" s="200">
        <f t="shared" si="6457"/>
        <v>0</v>
      </c>
      <c r="AS1275" s="200">
        <f t="shared" si="6457"/>
        <v>0</v>
      </c>
      <c r="AT1275" s="173">
        <v>0.0</v>
      </c>
      <c r="AU1275" s="200">
        <f t="shared" si="6217"/>
        <v>0</v>
      </c>
      <c r="AV1275" s="200">
        <f t="shared" ref="AV1275:AX1275" si="6458">countif($D1275,"*"&amp;AV$2&amp;"*")</f>
        <v>0</v>
      </c>
      <c r="AW1275" s="200">
        <f t="shared" si="6458"/>
        <v>0</v>
      </c>
      <c r="AX1275" s="200">
        <f t="shared" si="6458"/>
        <v>1</v>
      </c>
      <c r="AY1275" s="202">
        <v>0.0</v>
      </c>
      <c r="AZ1275" s="200"/>
      <c r="BA1275" s="171" t="str">
        <f t="shared" si="18"/>
        <v>Archival</v>
      </c>
      <c r="BB1275" s="171" t="str">
        <f t="shared" si="19"/>
        <v/>
      </c>
      <c r="BC1275" s="171" t="str">
        <f t="shared" si="20"/>
        <v/>
      </c>
      <c r="BD1275" s="171" t="str">
        <f t="shared" si="21"/>
        <v/>
      </c>
      <c r="BE1275" s="171" t="str">
        <f t="shared" si="22"/>
        <v/>
      </c>
      <c r="BF1275" s="171" t="str">
        <f t="shared" si="23"/>
        <v>Archival</v>
      </c>
    </row>
    <row r="1276">
      <c r="A1276" s="171">
        <f t="array" ref="A1276">XLOOKUP(C1276,FSE!A:A,FSE!C:C,"XXXXX",0,1)</f>
        <v>2023</v>
      </c>
      <c r="B1276" s="213" t="s">
        <v>5676</v>
      </c>
      <c r="C1276" s="214">
        <v>39.0</v>
      </c>
      <c r="D1276" s="215" t="s">
        <v>5408</v>
      </c>
      <c r="E1276" s="197" t="str">
        <f t="array" ref="E1276">XLOOKUP(C1276,FSE!A:A,FSE!Z:Z,"XXXXX",0,1)</f>
        <v>Publicly Available (1)</v>
      </c>
      <c r="F1276" s="213" t="s">
        <v>3394</v>
      </c>
      <c r="G1276" s="163" t="str">
        <f t="array" ref="G1276">IF(B1276="ICSE",IF(COUNTIFS(B:B,B1276,C:C,C1276)=XLOOKUP(C1276,ICSE!A:A,ICSE!AA:AA,"ERROR",0,1),"OK","ERROR"),IF(B1276="FSE",IF(COUNTIFS(B:B,B1276,C:C,C1276)=XLOOKUP(C1276,FSE!A:A,FSE!AA:AA,"ERROR",0,1),"OK","ERROR")))</f>
        <v>OK</v>
      </c>
      <c r="H1276" s="199">
        <f t="shared" ref="H1276:O1276" si="6459">countif($D1276,"*"&amp;H$2&amp;"*")</f>
        <v>0</v>
      </c>
      <c r="I1276" s="200">
        <f t="shared" si="6459"/>
        <v>0</v>
      </c>
      <c r="J1276" s="200">
        <f t="shared" si="6459"/>
        <v>0</v>
      </c>
      <c r="K1276" s="200">
        <f t="shared" si="6459"/>
        <v>0</v>
      </c>
      <c r="L1276" s="200">
        <f t="shared" si="6459"/>
        <v>0</v>
      </c>
      <c r="M1276" s="200">
        <f t="shared" si="6459"/>
        <v>0</v>
      </c>
      <c r="N1276" s="200">
        <f t="shared" si="6459"/>
        <v>0</v>
      </c>
      <c r="O1276" s="200">
        <f t="shared" si="6459"/>
        <v>0</v>
      </c>
      <c r="P1276" s="200">
        <f t="shared" si="9"/>
        <v>1</v>
      </c>
      <c r="Q1276" s="200">
        <f t="shared" ref="Q1276:AC1276" si="6460">countif($D1276,"*"&amp;Q$2&amp;"*")</f>
        <v>0</v>
      </c>
      <c r="R1276" s="200">
        <f t="shared" si="6460"/>
        <v>0</v>
      </c>
      <c r="S1276" s="200">
        <f t="shared" si="6460"/>
        <v>0</v>
      </c>
      <c r="T1276" s="200">
        <f t="shared" si="6460"/>
        <v>0</v>
      </c>
      <c r="U1276" s="200">
        <f t="shared" si="6460"/>
        <v>0</v>
      </c>
      <c r="V1276" s="200">
        <f t="shared" si="6460"/>
        <v>0</v>
      </c>
      <c r="W1276" s="200">
        <f t="shared" si="6460"/>
        <v>0</v>
      </c>
      <c r="X1276" s="200">
        <f t="shared" si="6460"/>
        <v>0</v>
      </c>
      <c r="Y1276" s="200">
        <f t="shared" si="6460"/>
        <v>0</v>
      </c>
      <c r="Z1276" s="200">
        <f t="shared" si="6460"/>
        <v>0</v>
      </c>
      <c r="AA1276" s="200">
        <f t="shared" si="6460"/>
        <v>0</v>
      </c>
      <c r="AB1276" s="200">
        <f t="shared" si="6460"/>
        <v>0</v>
      </c>
      <c r="AC1276" s="200">
        <f t="shared" si="6460"/>
        <v>0</v>
      </c>
      <c r="AD1276" s="200">
        <f t="shared" si="11"/>
        <v>0</v>
      </c>
      <c r="AE1276" s="200">
        <f t="shared" ref="AE1276:AG1276" si="6461">countif($D1276,"*"&amp;AE$2&amp;"*")</f>
        <v>0</v>
      </c>
      <c r="AF1276" s="200">
        <f t="shared" si="6461"/>
        <v>0</v>
      </c>
      <c r="AG1276" s="200">
        <f t="shared" si="6461"/>
        <v>0</v>
      </c>
      <c r="AH1276" s="171">
        <f t="shared" si="13"/>
        <v>0</v>
      </c>
      <c r="AI1276" s="200">
        <f t="shared" si="14"/>
        <v>0</v>
      </c>
      <c r="AJ1276" s="200">
        <f t="shared" si="6100"/>
        <v>0</v>
      </c>
      <c r="AK1276" s="201">
        <f t="shared" ref="AK1276:AS1276" si="6462">countif($D1276,"*"&amp;AK$2&amp;"*")</f>
        <v>0</v>
      </c>
      <c r="AL1276" s="201">
        <f t="shared" si="6462"/>
        <v>0</v>
      </c>
      <c r="AM1276" s="201">
        <f t="shared" si="6462"/>
        <v>0</v>
      </c>
      <c r="AN1276" s="201">
        <f t="shared" si="6462"/>
        <v>0</v>
      </c>
      <c r="AO1276" s="201">
        <f t="shared" si="6462"/>
        <v>0</v>
      </c>
      <c r="AP1276" s="201">
        <f t="shared" si="6462"/>
        <v>0</v>
      </c>
      <c r="AQ1276" s="201">
        <f t="shared" si="6462"/>
        <v>0</v>
      </c>
      <c r="AR1276" s="200">
        <f t="shared" si="6462"/>
        <v>0</v>
      </c>
      <c r="AS1276" s="200">
        <f t="shared" si="6462"/>
        <v>0</v>
      </c>
      <c r="AT1276" s="173">
        <v>0.0</v>
      </c>
      <c r="AU1276" s="200">
        <f t="shared" si="6217"/>
        <v>0</v>
      </c>
      <c r="AV1276" s="200">
        <f t="shared" ref="AV1276:AX1276" si="6463">countif($D1276,"*"&amp;AV$2&amp;"*")</f>
        <v>1</v>
      </c>
      <c r="AW1276" s="200">
        <f t="shared" si="6463"/>
        <v>0</v>
      </c>
      <c r="AX1276" s="200">
        <f t="shared" si="6463"/>
        <v>0</v>
      </c>
      <c r="AY1276" s="202">
        <v>0.0</v>
      </c>
      <c r="AZ1276" s="200"/>
      <c r="BA1276" s="171" t="str">
        <f t="shared" si="18"/>
        <v/>
      </c>
      <c r="BB1276" s="171" t="str">
        <f t="shared" si="19"/>
        <v>Code</v>
      </c>
      <c r="BC1276" s="171" t="str">
        <f t="shared" si="20"/>
        <v/>
      </c>
      <c r="BD1276" s="171" t="str">
        <f t="shared" si="21"/>
        <v/>
      </c>
      <c r="BE1276" s="171" t="str">
        <f t="shared" si="22"/>
        <v/>
      </c>
      <c r="BF1276" s="171" t="str">
        <f t="shared" si="23"/>
        <v>Code</v>
      </c>
    </row>
    <row r="1277">
      <c r="A1277" s="171">
        <f t="array" ref="A1277">XLOOKUP(C1277,FSE!A:A,FSE!C:C,"XXXXX",0,1)</f>
        <v>2023</v>
      </c>
      <c r="B1277" s="213" t="s">
        <v>5676</v>
      </c>
      <c r="C1277" s="214">
        <v>40.0</v>
      </c>
      <c r="D1277" s="215" t="s">
        <v>5410</v>
      </c>
      <c r="E1277" s="197" t="str">
        <f t="array" ref="E1277">XLOOKUP(C1277,FSE!A:A,FSE!Z:Z,"XXXXX",0,1)</f>
        <v>Publicly Available (1)</v>
      </c>
      <c r="F1277" s="213" t="s">
        <v>3394</v>
      </c>
      <c r="G1277" s="163" t="str">
        <f t="array" ref="G1277">IF(B1277="ICSE",IF(COUNTIFS(B:B,B1277,C:C,C1277)=XLOOKUP(C1277,ICSE!A:A,ICSE!AA:AA,"ERROR",0,1),"OK","ERROR"),IF(B1277="FSE",IF(COUNTIFS(B:B,B1277,C:C,C1277)=XLOOKUP(C1277,FSE!A:A,FSE!AA:AA,"ERROR",0,1),"OK","ERROR")))</f>
        <v>OK</v>
      </c>
      <c r="H1277" s="199">
        <f t="shared" ref="H1277:O1277" si="6464">countif($D1277,"*"&amp;H$2&amp;"*")</f>
        <v>1</v>
      </c>
      <c r="I1277" s="200">
        <f t="shared" si="6464"/>
        <v>0</v>
      </c>
      <c r="J1277" s="200">
        <f t="shared" si="6464"/>
        <v>0</v>
      </c>
      <c r="K1277" s="200">
        <f t="shared" si="6464"/>
        <v>0</v>
      </c>
      <c r="L1277" s="200">
        <f t="shared" si="6464"/>
        <v>0</v>
      </c>
      <c r="M1277" s="200">
        <f t="shared" si="6464"/>
        <v>0</v>
      </c>
      <c r="N1277" s="200">
        <f t="shared" si="6464"/>
        <v>0</v>
      </c>
      <c r="O1277" s="200">
        <f t="shared" si="6464"/>
        <v>0</v>
      </c>
      <c r="P1277" s="200">
        <f t="shared" si="9"/>
        <v>0</v>
      </c>
      <c r="Q1277" s="200">
        <f t="shared" ref="Q1277:AC1277" si="6465">countif($D1277,"*"&amp;Q$2&amp;"*")</f>
        <v>0</v>
      </c>
      <c r="R1277" s="200">
        <f t="shared" si="6465"/>
        <v>0</v>
      </c>
      <c r="S1277" s="200">
        <f t="shared" si="6465"/>
        <v>0</v>
      </c>
      <c r="T1277" s="200">
        <f t="shared" si="6465"/>
        <v>0</v>
      </c>
      <c r="U1277" s="200">
        <f t="shared" si="6465"/>
        <v>0</v>
      </c>
      <c r="V1277" s="200">
        <f t="shared" si="6465"/>
        <v>0</v>
      </c>
      <c r="W1277" s="200">
        <f t="shared" si="6465"/>
        <v>0</v>
      </c>
      <c r="X1277" s="200">
        <f t="shared" si="6465"/>
        <v>0</v>
      </c>
      <c r="Y1277" s="200">
        <f t="shared" si="6465"/>
        <v>0</v>
      </c>
      <c r="Z1277" s="200">
        <f t="shared" si="6465"/>
        <v>0</v>
      </c>
      <c r="AA1277" s="200">
        <f t="shared" si="6465"/>
        <v>0</v>
      </c>
      <c r="AB1277" s="200">
        <f t="shared" si="6465"/>
        <v>0</v>
      </c>
      <c r="AC1277" s="200">
        <f t="shared" si="6465"/>
        <v>0</v>
      </c>
      <c r="AD1277" s="200">
        <f t="shared" si="11"/>
        <v>0</v>
      </c>
      <c r="AE1277" s="200">
        <f t="shared" ref="AE1277:AG1277" si="6466">countif($D1277,"*"&amp;AE$2&amp;"*")</f>
        <v>0</v>
      </c>
      <c r="AF1277" s="200">
        <f t="shared" si="6466"/>
        <v>0</v>
      </c>
      <c r="AG1277" s="200">
        <f t="shared" si="6466"/>
        <v>0</v>
      </c>
      <c r="AH1277" s="171">
        <f t="shared" si="13"/>
        <v>0</v>
      </c>
      <c r="AI1277" s="200">
        <f t="shared" si="14"/>
        <v>1</v>
      </c>
      <c r="AJ1277" s="200">
        <f t="shared" si="6100"/>
        <v>0</v>
      </c>
      <c r="AK1277" s="201">
        <f t="shared" ref="AK1277:AS1277" si="6467">countif($D1277,"*"&amp;AK$2&amp;"*")</f>
        <v>0</v>
      </c>
      <c r="AL1277" s="201">
        <f t="shared" si="6467"/>
        <v>0</v>
      </c>
      <c r="AM1277" s="201">
        <f t="shared" si="6467"/>
        <v>0</v>
      </c>
      <c r="AN1277" s="201">
        <f t="shared" si="6467"/>
        <v>0</v>
      </c>
      <c r="AO1277" s="201">
        <f t="shared" si="6467"/>
        <v>0</v>
      </c>
      <c r="AP1277" s="201">
        <f t="shared" si="6467"/>
        <v>0</v>
      </c>
      <c r="AQ1277" s="201">
        <f t="shared" si="6467"/>
        <v>0</v>
      </c>
      <c r="AR1277" s="200">
        <f t="shared" si="6467"/>
        <v>0</v>
      </c>
      <c r="AS1277" s="200">
        <f t="shared" si="6467"/>
        <v>0</v>
      </c>
      <c r="AT1277" s="173">
        <v>0.0</v>
      </c>
      <c r="AU1277" s="200">
        <f t="shared" si="6217"/>
        <v>0</v>
      </c>
      <c r="AV1277" s="200">
        <f t="shared" ref="AV1277:AX1277" si="6468">countif($D1277,"*"&amp;AV$2&amp;"*")</f>
        <v>0</v>
      </c>
      <c r="AW1277" s="200">
        <f t="shared" si="6468"/>
        <v>0</v>
      </c>
      <c r="AX1277" s="200">
        <f t="shared" si="6468"/>
        <v>1</v>
      </c>
      <c r="AY1277" s="202">
        <v>0.0</v>
      </c>
      <c r="AZ1277" s="200"/>
      <c r="BA1277" s="171" t="str">
        <f t="shared" si="18"/>
        <v>Archival</v>
      </c>
      <c r="BB1277" s="171" t="str">
        <f t="shared" si="19"/>
        <v/>
      </c>
      <c r="BC1277" s="171" t="str">
        <f t="shared" si="20"/>
        <v/>
      </c>
      <c r="BD1277" s="171" t="str">
        <f t="shared" si="21"/>
        <v/>
      </c>
      <c r="BE1277" s="171" t="str">
        <f t="shared" si="22"/>
        <v/>
      </c>
      <c r="BF1277" s="171" t="str">
        <f t="shared" si="23"/>
        <v>Archival</v>
      </c>
    </row>
    <row r="1278">
      <c r="A1278" s="171">
        <f t="array" ref="A1278">XLOOKUP(C1278,FSE!A:A,FSE!C:C,"XXXXX",0,1)</f>
        <v>2023</v>
      </c>
      <c r="B1278" s="213" t="s">
        <v>5676</v>
      </c>
      <c r="C1278" s="214">
        <v>41.0</v>
      </c>
      <c r="D1278" s="215" t="s">
        <v>5413</v>
      </c>
      <c r="E1278" s="197" t="str">
        <f t="array" ref="E1278">XLOOKUP(C1278,FSE!A:A,FSE!Z:Z,"XXXXX",0,1)</f>
        <v>Publicly Available (1)</v>
      </c>
      <c r="F1278" s="213" t="s">
        <v>3394</v>
      </c>
      <c r="G1278" s="163" t="str">
        <f t="array" ref="G1278">IF(B1278="ICSE",IF(COUNTIFS(B:B,B1278,C:C,C1278)=XLOOKUP(C1278,ICSE!A:A,ICSE!AA:AA,"ERROR",0,1),"OK","ERROR"),IF(B1278="FSE",IF(COUNTIFS(B:B,B1278,C:C,C1278)=XLOOKUP(C1278,FSE!A:A,FSE!AA:AA,"ERROR",0,1),"OK","ERROR")))</f>
        <v>OK</v>
      </c>
      <c r="H1278" s="199">
        <f t="shared" ref="H1278:O1278" si="6469">countif($D1278,"*"&amp;H$2&amp;"*")</f>
        <v>0</v>
      </c>
      <c r="I1278" s="200">
        <f t="shared" si="6469"/>
        <v>0</v>
      </c>
      <c r="J1278" s="200">
        <f t="shared" si="6469"/>
        <v>0</v>
      </c>
      <c r="K1278" s="200">
        <f t="shared" si="6469"/>
        <v>0</v>
      </c>
      <c r="L1278" s="200">
        <f t="shared" si="6469"/>
        <v>0</v>
      </c>
      <c r="M1278" s="200">
        <f t="shared" si="6469"/>
        <v>0</v>
      </c>
      <c r="N1278" s="200">
        <f t="shared" si="6469"/>
        <v>0</v>
      </c>
      <c r="O1278" s="200">
        <f t="shared" si="6469"/>
        <v>0</v>
      </c>
      <c r="P1278" s="200">
        <f t="shared" si="9"/>
        <v>1</v>
      </c>
      <c r="Q1278" s="200">
        <f t="shared" ref="Q1278:AC1278" si="6470">countif($D1278,"*"&amp;Q$2&amp;"*")</f>
        <v>0</v>
      </c>
      <c r="R1278" s="200">
        <f t="shared" si="6470"/>
        <v>0</v>
      </c>
      <c r="S1278" s="200">
        <f t="shared" si="6470"/>
        <v>0</v>
      </c>
      <c r="T1278" s="200">
        <f t="shared" si="6470"/>
        <v>0</v>
      </c>
      <c r="U1278" s="200">
        <f t="shared" si="6470"/>
        <v>0</v>
      </c>
      <c r="V1278" s="200">
        <f t="shared" si="6470"/>
        <v>0</v>
      </c>
      <c r="W1278" s="200">
        <f t="shared" si="6470"/>
        <v>0</v>
      </c>
      <c r="X1278" s="200">
        <f t="shared" si="6470"/>
        <v>0</v>
      </c>
      <c r="Y1278" s="200">
        <f t="shared" si="6470"/>
        <v>0</v>
      </c>
      <c r="Z1278" s="200">
        <f t="shared" si="6470"/>
        <v>0</v>
      </c>
      <c r="AA1278" s="200">
        <f t="shared" si="6470"/>
        <v>0</v>
      </c>
      <c r="AB1278" s="200">
        <f t="shared" si="6470"/>
        <v>0</v>
      </c>
      <c r="AC1278" s="200">
        <f t="shared" si="6470"/>
        <v>0</v>
      </c>
      <c r="AD1278" s="200">
        <f t="shared" si="11"/>
        <v>0</v>
      </c>
      <c r="AE1278" s="200">
        <f t="shared" ref="AE1278:AG1278" si="6471">countif($D1278,"*"&amp;AE$2&amp;"*")</f>
        <v>0</v>
      </c>
      <c r="AF1278" s="200">
        <f t="shared" si="6471"/>
        <v>0</v>
      </c>
      <c r="AG1278" s="200">
        <f t="shared" si="6471"/>
        <v>0</v>
      </c>
      <c r="AH1278" s="171">
        <f t="shared" si="13"/>
        <v>0</v>
      </c>
      <c r="AI1278" s="200">
        <f t="shared" si="14"/>
        <v>0</v>
      </c>
      <c r="AJ1278" s="200">
        <f t="shared" si="6100"/>
        <v>0</v>
      </c>
      <c r="AK1278" s="201">
        <f t="shared" ref="AK1278:AS1278" si="6472">countif($D1278,"*"&amp;AK$2&amp;"*")</f>
        <v>0</v>
      </c>
      <c r="AL1278" s="201">
        <f t="shared" si="6472"/>
        <v>0</v>
      </c>
      <c r="AM1278" s="201">
        <f t="shared" si="6472"/>
        <v>0</v>
      </c>
      <c r="AN1278" s="201">
        <f t="shared" si="6472"/>
        <v>0</v>
      </c>
      <c r="AO1278" s="201">
        <f t="shared" si="6472"/>
        <v>0</v>
      </c>
      <c r="AP1278" s="201">
        <f t="shared" si="6472"/>
        <v>0</v>
      </c>
      <c r="AQ1278" s="201">
        <f t="shared" si="6472"/>
        <v>0</v>
      </c>
      <c r="AR1278" s="200">
        <f t="shared" si="6472"/>
        <v>0</v>
      </c>
      <c r="AS1278" s="200">
        <f t="shared" si="6472"/>
        <v>0</v>
      </c>
      <c r="AT1278" s="173">
        <v>0.0</v>
      </c>
      <c r="AU1278" s="200">
        <f t="shared" si="6217"/>
        <v>0</v>
      </c>
      <c r="AV1278" s="200">
        <f t="shared" ref="AV1278:AX1278" si="6473">countif($D1278,"*"&amp;AV$2&amp;"*")</f>
        <v>1</v>
      </c>
      <c r="AW1278" s="200">
        <f t="shared" si="6473"/>
        <v>0</v>
      </c>
      <c r="AX1278" s="200">
        <f t="shared" si="6473"/>
        <v>0</v>
      </c>
      <c r="AY1278" s="202">
        <v>0.0</v>
      </c>
      <c r="AZ1278" s="200"/>
      <c r="BA1278" s="171" t="str">
        <f t="shared" si="18"/>
        <v/>
      </c>
      <c r="BB1278" s="171" t="str">
        <f t="shared" si="19"/>
        <v>Code</v>
      </c>
      <c r="BC1278" s="171" t="str">
        <f t="shared" si="20"/>
        <v/>
      </c>
      <c r="BD1278" s="171" t="str">
        <f t="shared" si="21"/>
        <v/>
      </c>
      <c r="BE1278" s="171" t="str">
        <f t="shared" si="22"/>
        <v/>
      </c>
      <c r="BF1278" s="171" t="str">
        <f t="shared" si="23"/>
        <v>Code</v>
      </c>
    </row>
    <row r="1279">
      <c r="A1279" s="171">
        <f t="array" ref="A1279">XLOOKUP(C1279,FSE!A:A,FSE!C:C,"XXXXX",0,1)</f>
        <v>2023</v>
      </c>
      <c r="B1279" s="213" t="s">
        <v>5676</v>
      </c>
      <c r="C1279" s="214">
        <v>42.0</v>
      </c>
      <c r="D1279" s="215" t="s">
        <v>6190</v>
      </c>
      <c r="E1279" s="197" t="str">
        <f t="array" ref="E1279">XLOOKUP(C1279,FSE!A:A,FSE!Z:Z,"XXXXX",0,1)</f>
        <v>Publicly Available (2)</v>
      </c>
      <c r="F1279" s="213" t="s">
        <v>3394</v>
      </c>
      <c r="G1279" s="163" t="str">
        <f t="array" ref="G1279">IF(B1279="ICSE",IF(COUNTIFS(B:B,B1279,C:C,C1279)=XLOOKUP(C1279,ICSE!A:A,ICSE!AA:AA,"ERROR",0,1),"OK","ERROR"),IF(B1279="FSE",IF(COUNTIFS(B:B,B1279,C:C,C1279)=XLOOKUP(C1279,FSE!A:A,FSE!AA:AA,"ERROR",0,1),"OK","ERROR")))</f>
        <v>OK</v>
      </c>
      <c r="H1279" s="199">
        <f t="shared" ref="H1279:O1279" si="6474">countif($D1279,"*"&amp;H$2&amp;"*")</f>
        <v>0</v>
      </c>
      <c r="I1279" s="200">
        <f t="shared" si="6474"/>
        <v>0</v>
      </c>
      <c r="J1279" s="200">
        <f t="shared" si="6474"/>
        <v>0</v>
      </c>
      <c r="K1279" s="200">
        <f t="shared" si="6474"/>
        <v>0</v>
      </c>
      <c r="L1279" s="200">
        <f t="shared" si="6474"/>
        <v>0</v>
      </c>
      <c r="M1279" s="200">
        <f t="shared" si="6474"/>
        <v>0</v>
      </c>
      <c r="N1279" s="200">
        <f t="shared" si="6474"/>
        <v>0</v>
      </c>
      <c r="O1279" s="200">
        <f t="shared" si="6474"/>
        <v>0</v>
      </c>
      <c r="P1279" s="200">
        <f t="shared" si="9"/>
        <v>1</v>
      </c>
      <c r="Q1279" s="200">
        <f t="shared" ref="Q1279:AC1279" si="6475">countif($D1279,"*"&amp;Q$2&amp;"*")</f>
        <v>0</v>
      </c>
      <c r="R1279" s="200">
        <f t="shared" si="6475"/>
        <v>0</v>
      </c>
      <c r="S1279" s="200">
        <f t="shared" si="6475"/>
        <v>0</v>
      </c>
      <c r="T1279" s="200">
        <f t="shared" si="6475"/>
        <v>0</v>
      </c>
      <c r="U1279" s="200">
        <f t="shared" si="6475"/>
        <v>0</v>
      </c>
      <c r="V1279" s="200">
        <f t="shared" si="6475"/>
        <v>0</v>
      </c>
      <c r="W1279" s="200">
        <f t="shared" si="6475"/>
        <v>0</v>
      </c>
      <c r="X1279" s="200">
        <f t="shared" si="6475"/>
        <v>0</v>
      </c>
      <c r="Y1279" s="200">
        <f t="shared" si="6475"/>
        <v>0</v>
      </c>
      <c r="Z1279" s="200">
        <f t="shared" si="6475"/>
        <v>0</v>
      </c>
      <c r="AA1279" s="200">
        <f t="shared" si="6475"/>
        <v>0</v>
      </c>
      <c r="AB1279" s="200">
        <f t="shared" si="6475"/>
        <v>0</v>
      </c>
      <c r="AC1279" s="200">
        <f t="shared" si="6475"/>
        <v>0</v>
      </c>
      <c r="AD1279" s="200">
        <f t="shared" si="11"/>
        <v>0</v>
      </c>
      <c r="AE1279" s="200">
        <f t="shared" ref="AE1279:AG1279" si="6476">countif($D1279,"*"&amp;AE$2&amp;"*")</f>
        <v>0</v>
      </c>
      <c r="AF1279" s="200">
        <f t="shared" si="6476"/>
        <v>0</v>
      </c>
      <c r="AG1279" s="200">
        <f t="shared" si="6476"/>
        <v>0</v>
      </c>
      <c r="AH1279" s="171">
        <f t="shared" si="13"/>
        <v>0</v>
      </c>
      <c r="AI1279" s="200">
        <f t="shared" si="14"/>
        <v>0</v>
      </c>
      <c r="AJ1279" s="200">
        <f t="shared" si="6100"/>
        <v>0</v>
      </c>
      <c r="AK1279" s="201">
        <f t="shared" ref="AK1279:AS1279" si="6477">countif($D1279,"*"&amp;AK$2&amp;"*")</f>
        <v>0</v>
      </c>
      <c r="AL1279" s="201">
        <f t="shared" si="6477"/>
        <v>0</v>
      </c>
      <c r="AM1279" s="201">
        <f t="shared" si="6477"/>
        <v>0</v>
      </c>
      <c r="AN1279" s="201">
        <f t="shared" si="6477"/>
        <v>0</v>
      </c>
      <c r="AO1279" s="201">
        <f t="shared" si="6477"/>
        <v>0</v>
      </c>
      <c r="AP1279" s="201">
        <f t="shared" si="6477"/>
        <v>0</v>
      </c>
      <c r="AQ1279" s="201">
        <f t="shared" si="6477"/>
        <v>0</v>
      </c>
      <c r="AR1279" s="200">
        <f t="shared" si="6477"/>
        <v>0</v>
      </c>
      <c r="AS1279" s="200">
        <f t="shared" si="6477"/>
        <v>0</v>
      </c>
      <c r="AT1279" s="173">
        <v>0.0</v>
      </c>
      <c r="AU1279" s="200">
        <f t="shared" si="6217"/>
        <v>0</v>
      </c>
      <c r="AV1279" s="200">
        <f t="shared" ref="AV1279:AX1279" si="6478">countif($D1279,"*"&amp;AV$2&amp;"*")</f>
        <v>1</v>
      </c>
      <c r="AW1279" s="200">
        <f t="shared" si="6478"/>
        <v>0</v>
      </c>
      <c r="AX1279" s="200">
        <f t="shared" si="6478"/>
        <v>0</v>
      </c>
      <c r="AY1279" s="202">
        <v>0.0</v>
      </c>
      <c r="AZ1279" s="200"/>
      <c r="BA1279" s="171" t="str">
        <f t="shared" si="18"/>
        <v/>
      </c>
      <c r="BB1279" s="171" t="str">
        <f t="shared" si="19"/>
        <v>Code</v>
      </c>
      <c r="BC1279" s="171" t="str">
        <f t="shared" si="20"/>
        <v/>
      </c>
      <c r="BD1279" s="171" t="str">
        <f t="shared" si="21"/>
        <v/>
      </c>
      <c r="BE1279" s="171" t="str">
        <f t="shared" si="22"/>
        <v/>
      </c>
      <c r="BF1279" s="171" t="str">
        <f t="shared" si="23"/>
        <v>Code</v>
      </c>
    </row>
    <row r="1280">
      <c r="A1280" s="171">
        <f t="array" ref="A1280">XLOOKUP(C1280,FSE!A:A,FSE!C:C,"XXXXX",0,1)</f>
        <v>2023</v>
      </c>
      <c r="B1280" s="171" t="s">
        <v>5676</v>
      </c>
      <c r="C1280" s="160">
        <v>42.0</v>
      </c>
      <c r="D1280" s="206" t="s">
        <v>6191</v>
      </c>
      <c r="E1280" s="197" t="str">
        <f t="array" ref="E1280">XLOOKUP(C1280,FSE!A:A,FSE!Z:Z,"XXXXX",0,1)</f>
        <v>Publicly Available (2)</v>
      </c>
      <c r="F1280" s="213" t="s">
        <v>3394</v>
      </c>
      <c r="G1280" s="163" t="str">
        <f t="array" ref="G1280">IF(B1280="ICSE",IF(COUNTIFS(B:B,B1280,C:C,C1280)=XLOOKUP(C1280,ICSE!A:A,ICSE!AA:AA,"ERROR",0,1),"OK","ERROR"),IF(B1280="FSE",IF(COUNTIFS(B:B,B1280,C:C,C1280)=XLOOKUP(C1280,FSE!A:A,FSE!AA:AA,"ERROR",0,1),"OK","ERROR")))</f>
        <v>OK</v>
      </c>
      <c r="H1280" s="199">
        <f t="shared" ref="H1280:O1280" si="6479">countif($D1280,"*"&amp;H$2&amp;"*")</f>
        <v>1</v>
      </c>
      <c r="I1280" s="200">
        <f t="shared" si="6479"/>
        <v>0</v>
      </c>
      <c r="J1280" s="200">
        <f t="shared" si="6479"/>
        <v>0</v>
      </c>
      <c r="K1280" s="200">
        <f t="shared" si="6479"/>
        <v>0</v>
      </c>
      <c r="L1280" s="200">
        <f t="shared" si="6479"/>
        <v>0</v>
      </c>
      <c r="M1280" s="200">
        <f t="shared" si="6479"/>
        <v>0</v>
      </c>
      <c r="N1280" s="200">
        <f t="shared" si="6479"/>
        <v>0</v>
      </c>
      <c r="O1280" s="200">
        <f t="shared" si="6479"/>
        <v>0</v>
      </c>
      <c r="P1280" s="200">
        <f t="shared" si="9"/>
        <v>0</v>
      </c>
      <c r="Q1280" s="200">
        <f t="shared" ref="Q1280:AC1280" si="6480">countif($D1280,"*"&amp;Q$2&amp;"*")</f>
        <v>0</v>
      </c>
      <c r="R1280" s="200">
        <f t="shared" si="6480"/>
        <v>0</v>
      </c>
      <c r="S1280" s="200">
        <f t="shared" si="6480"/>
        <v>0</v>
      </c>
      <c r="T1280" s="200">
        <f t="shared" si="6480"/>
        <v>0</v>
      </c>
      <c r="U1280" s="200">
        <f t="shared" si="6480"/>
        <v>0</v>
      </c>
      <c r="V1280" s="200">
        <f t="shared" si="6480"/>
        <v>0</v>
      </c>
      <c r="W1280" s="200">
        <f t="shared" si="6480"/>
        <v>0</v>
      </c>
      <c r="X1280" s="200">
        <f t="shared" si="6480"/>
        <v>0</v>
      </c>
      <c r="Y1280" s="200">
        <f t="shared" si="6480"/>
        <v>0</v>
      </c>
      <c r="Z1280" s="200">
        <f t="shared" si="6480"/>
        <v>0</v>
      </c>
      <c r="AA1280" s="200">
        <f t="shared" si="6480"/>
        <v>0</v>
      </c>
      <c r="AB1280" s="200">
        <f t="shared" si="6480"/>
        <v>0</v>
      </c>
      <c r="AC1280" s="200">
        <f t="shared" si="6480"/>
        <v>0</v>
      </c>
      <c r="AD1280" s="200">
        <f t="shared" si="11"/>
        <v>0</v>
      </c>
      <c r="AE1280" s="200">
        <f t="shared" ref="AE1280:AG1280" si="6481">countif($D1280,"*"&amp;AE$2&amp;"*")</f>
        <v>0</v>
      </c>
      <c r="AF1280" s="200">
        <f t="shared" si="6481"/>
        <v>0</v>
      </c>
      <c r="AG1280" s="200">
        <f t="shared" si="6481"/>
        <v>0</v>
      </c>
      <c r="AH1280" s="171">
        <f t="shared" si="13"/>
        <v>0</v>
      </c>
      <c r="AI1280" s="200">
        <f t="shared" si="14"/>
        <v>1</v>
      </c>
      <c r="AJ1280" s="200">
        <f t="shared" si="6100"/>
        <v>0</v>
      </c>
      <c r="AK1280" s="201">
        <f t="shared" ref="AK1280:AS1280" si="6482">countif($D1280,"*"&amp;AK$2&amp;"*")</f>
        <v>0</v>
      </c>
      <c r="AL1280" s="201">
        <f t="shared" si="6482"/>
        <v>0</v>
      </c>
      <c r="AM1280" s="201">
        <f t="shared" si="6482"/>
        <v>0</v>
      </c>
      <c r="AN1280" s="201">
        <f t="shared" si="6482"/>
        <v>0</v>
      </c>
      <c r="AO1280" s="201">
        <f t="shared" si="6482"/>
        <v>0</v>
      </c>
      <c r="AP1280" s="201">
        <f t="shared" si="6482"/>
        <v>0</v>
      </c>
      <c r="AQ1280" s="201">
        <f t="shared" si="6482"/>
        <v>0</v>
      </c>
      <c r="AR1280" s="200">
        <f t="shared" si="6482"/>
        <v>0</v>
      </c>
      <c r="AS1280" s="200">
        <f t="shared" si="6482"/>
        <v>1</v>
      </c>
      <c r="AT1280" s="173">
        <v>0.0</v>
      </c>
      <c r="AU1280" s="200">
        <f t="shared" si="6217"/>
        <v>0</v>
      </c>
      <c r="AV1280" s="200">
        <f t="shared" ref="AV1280:AX1280" si="6483">countif($D1280,"*"&amp;AV$2&amp;"*")</f>
        <v>0</v>
      </c>
      <c r="AW1280" s="200">
        <f t="shared" si="6483"/>
        <v>0</v>
      </c>
      <c r="AX1280" s="200">
        <f t="shared" si="6483"/>
        <v>1</v>
      </c>
      <c r="AY1280" s="202">
        <v>0.0</v>
      </c>
      <c r="AZ1280" s="200"/>
      <c r="BA1280" s="171" t="str">
        <f t="shared" si="18"/>
        <v>Archival</v>
      </c>
      <c r="BB1280" s="171" t="str">
        <f t="shared" si="19"/>
        <v/>
      </c>
      <c r="BC1280" s="171" t="str">
        <f t="shared" si="20"/>
        <v/>
      </c>
      <c r="BD1280" s="171" t="str">
        <f t="shared" si="21"/>
        <v/>
      </c>
      <c r="BE1280" s="171" t="str">
        <f t="shared" si="22"/>
        <v/>
      </c>
      <c r="BF1280" s="171" t="str">
        <f t="shared" si="23"/>
        <v>Archival</v>
      </c>
    </row>
    <row r="1281">
      <c r="A1281" s="171">
        <f t="array" ref="A1281">XLOOKUP(C1281,FSE!A:A,FSE!C:C,"XXXXX",0,1)</f>
        <v>2023</v>
      </c>
      <c r="B1281" s="213" t="s">
        <v>5676</v>
      </c>
      <c r="C1281" s="214">
        <v>43.0</v>
      </c>
      <c r="D1281" s="215" t="s">
        <v>5419</v>
      </c>
      <c r="E1281" s="197" t="str">
        <f t="array" ref="E1281">XLOOKUP(C1281,FSE!A:A,FSE!Z:Z,"XXXXX",0,1)</f>
        <v>Publicly Available (1)</v>
      </c>
      <c r="F1281" s="213" t="s">
        <v>3394</v>
      </c>
      <c r="G1281" s="163" t="str">
        <f t="array" ref="G1281">IF(B1281="ICSE",IF(COUNTIFS(B:B,B1281,C:C,C1281)=XLOOKUP(C1281,ICSE!A:A,ICSE!AA:AA,"ERROR",0,1),"OK","ERROR"),IF(B1281="FSE",IF(COUNTIFS(B:B,B1281,C:C,C1281)=XLOOKUP(C1281,FSE!A:A,FSE!AA:AA,"ERROR",0,1),"OK","ERROR")))</f>
        <v>OK</v>
      </c>
      <c r="H1281" s="199">
        <f t="shared" ref="H1281:O1281" si="6484">countif($D1281,"*"&amp;H$2&amp;"*")</f>
        <v>0</v>
      </c>
      <c r="I1281" s="200">
        <f t="shared" si="6484"/>
        <v>0</v>
      </c>
      <c r="J1281" s="200">
        <f t="shared" si="6484"/>
        <v>0</v>
      </c>
      <c r="K1281" s="200">
        <f t="shared" si="6484"/>
        <v>0</v>
      </c>
      <c r="L1281" s="200">
        <f t="shared" si="6484"/>
        <v>0</v>
      </c>
      <c r="M1281" s="200">
        <f t="shared" si="6484"/>
        <v>0</v>
      </c>
      <c r="N1281" s="200">
        <f t="shared" si="6484"/>
        <v>0</v>
      </c>
      <c r="O1281" s="200">
        <f t="shared" si="6484"/>
        <v>0</v>
      </c>
      <c r="P1281" s="200">
        <f t="shared" si="9"/>
        <v>0</v>
      </c>
      <c r="Q1281" s="200">
        <f t="shared" ref="Q1281:AC1281" si="6485">countif($D1281,"*"&amp;Q$2&amp;"*")</f>
        <v>0</v>
      </c>
      <c r="R1281" s="200">
        <f t="shared" si="6485"/>
        <v>0</v>
      </c>
      <c r="S1281" s="200">
        <f t="shared" si="6485"/>
        <v>0</v>
      </c>
      <c r="T1281" s="200">
        <f t="shared" si="6485"/>
        <v>0</v>
      </c>
      <c r="U1281" s="200">
        <f t="shared" si="6485"/>
        <v>0</v>
      </c>
      <c r="V1281" s="200">
        <f t="shared" si="6485"/>
        <v>0</v>
      </c>
      <c r="W1281" s="200">
        <f t="shared" si="6485"/>
        <v>0</v>
      </c>
      <c r="X1281" s="200">
        <f t="shared" si="6485"/>
        <v>0</v>
      </c>
      <c r="Y1281" s="200">
        <f t="shared" si="6485"/>
        <v>0</v>
      </c>
      <c r="Z1281" s="200">
        <f t="shared" si="6485"/>
        <v>0</v>
      </c>
      <c r="AA1281" s="200">
        <f t="shared" si="6485"/>
        <v>0</v>
      </c>
      <c r="AB1281" s="200">
        <f t="shared" si="6485"/>
        <v>0</v>
      </c>
      <c r="AC1281" s="200">
        <f t="shared" si="6485"/>
        <v>0</v>
      </c>
      <c r="AD1281" s="200">
        <f t="shared" si="11"/>
        <v>0</v>
      </c>
      <c r="AE1281" s="200">
        <f t="shared" ref="AE1281:AG1281" si="6486">countif($D1281,"*"&amp;AE$2&amp;"*")</f>
        <v>0</v>
      </c>
      <c r="AF1281" s="200">
        <f t="shared" si="6486"/>
        <v>0</v>
      </c>
      <c r="AG1281" s="200">
        <f t="shared" si="6486"/>
        <v>0</v>
      </c>
      <c r="AH1281" s="171">
        <f t="shared" si="13"/>
        <v>1</v>
      </c>
      <c r="AI1281" s="200">
        <f t="shared" si="14"/>
        <v>0</v>
      </c>
      <c r="AJ1281" s="200">
        <f t="shared" si="6100"/>
        <v>0</v>
      </c>
      <c r="AK1281" s="201">
        <f t="shared" ref="AK1281:AS1281" si="6487">countif($D1281,"*"&amp;AK$2&amp;"*")</f>
        <v>0</v>
      </c>
      <c r="AL1281" s="201">
        <f t="shared" si="6487"/>
        <v>0</v>
      </c>
      <c r="AM1281" s="201">
        <f t="shared" si="6487"/>
        <v>0</v>
      </c>
      <c r="AN1281" s="201">
        <f t="shared" si="6487"/>
        <v>0</v>
      </c>
      <c r="AO1281" s="201">
        <f t="shared" si="6487"/>
        <v>0</v>
      </c>
      <c r="AP1281" s="201">
        <f t="shared" si="6487"/>
        <v>0</v>
      </c>
      <c r="AQ1281" s="201">
        <f t="shared" si="6487"/>
        <v>0</v>
      </c>
      <c r="AR1281" s="200">
        <f t="shared" si="6487"/>
        <v>0</v>
      </c>
      <c r="AS1281" s="200">
        <f t="shared" si="6487"/>
        <v>0</v>
      </c>
      <c r="AT1281" s="173">
        <v>0.0</v>
      </c>
      <c r="AU1281" s="200">
        <f t="shared" si="6217"/>
        <v>0</v>
      </c>
      <c r="AV1281" s="200">
        <f t="shared" ref="AV1281:AX1281" si="6488">countif($D1281,"*"&amp;AV$2&amp;"*")</f>
        <v>0</v>
      </c>
      <c r="AW1281" s="200">
        <f t="shared" si="6488"/>
        <v>0</v>
      </c>
      <c r="AX1281" s="200">
        <f t="shared" si="6488"/>
        <v>0</v>
      </c>
      <c r="AY1281" s="202">
        <v>0.0</v>
      </c>
      <c r="AZ1281" s="200"/>
      <c r="BA1281" s="171" t="str">
        <f t="shared" si="18"/>
        <v/>
      </c>
      <c r="BB1281" s="171" t="str">
        <f t="shared" si="19"/>
        <v/>
      </c>
      <c r="BC1281" s="171" t="str">
        <f t="shared" si="20"/>
        <v/>
      </c>
      <c r="BD1281" s="171" t="str">
        <f t="shared" si="21"/>
        <v/>
      </c>
      <c r="BE1281" s="171" t="str">
        <f t="shared" si="22"/>
        <v>Others</v>
      </c>
      <c r="BF1281" s="171" t="str">
        <f t="shared" si="23"/>
        <v>Others</v>
      </c>
    </row>
    <row r="1282">
      <c r="A1282" s="171">
        <f t="array" ref="A1282">XLOOKUP(C1282,FSE!A:A,FSE!C:C,"XXXXX",0,1)</f>
        <v>2023</v>
      </c>
      <c r="B1282" s="213" t="s">
        <v>5676</v>
      </c>
      <c r="C1282" s="214">
        <v>44.0</v>
      </c>
      <c r="D1282" s="215" t="s">
        <v>6192</v>
      </c>
      <c r="E1282" s="197" t="str">
        <f t="array" ref="E1282">XLOOKUP(C1282,FSE!A:A,FSE!Z:Z,"XXXXX",0,1)</f>
        <v>Publicly Available (4)</v>
      </c>
      <c r="F1282" s="213" t="s">
        <v>3394</v>
      </c>
      <c r="G1282" s="163" t="str">
        <f t="array" ref="G1282">IF(B1282="ICSE",IF(COUNTIFS(B:B,B1282,C:C,C1282)=XLOOKUP(C1282,ICSE!A:A,ICSE!AA:AA,"ERROR",0,1),"OK","ERROR"),IF(B1282="FSE",IF(COUNTIFS(B:B,B1282,C:C,C1282)=XLOOKUP(C1282,FSE!A:A,FSE!AA:AA,"ERROR",0,1),"OK","ERROR")))</f>
        <v>OK</v>
      </c>
      <c r="H1282" s="199">
        <f t="shared" ref="H1282:O1282" si="6489">countif($D1282,"*"&amp;H$2&amp;"*")</f>
        <v>0</v>
      </c>
      <c r="I1282" s="200">
        <f t="shared" si="6489"/>
        <v>0</v>
      </c>
      <c r="J1282" s="200">
        <f t="shared" si="6489"/>
        <v>0</v>
      </c>
      <c r="K1282" s="200">
        <f t="shared" si="6489"/>
        <v>0</v>
      </c>
      <c r="L1282" s="200">
        <f t="shared" si="6489"/>
        <v>0</v>
      </c>
      <c r="M1282" s="200">
        <f t="shared" si="6489"/>
        <v>0</v>
      </c>
      <c r="N1282" s="200">
        <f t="shared" si="6489"/>
        <v>0</v>
      </c>
      <c r="O1282" s="200">
        <f t="shared" si="6489"/>
        <v>0</v>
      </c>
      <c r="P1282" s="200">
        <f t="shared" si="9"/>
        <v>1</v>
      </c>
      <c r="Q1282" s="200">
        <f t="shared" ref="Q1282:AC1282" si="6490">countif($D1282,"*"&amp;Q$2&amp;"*")</f>
        <v>0</v>
      </c>
      <c r="R1282" s="200">
        <f t="shared" si="6490"/>
        <v>0</v>
      </c>
      <c r="S1282" s="200">
        <f t="shared" si="6490"/>
        <v>0</v>
      </c>
      <c r="T1282" s="200">
        <f t="shared" si="6490"/>
        <v>0</v>
      </c>
      <c r="U1282" s="200">
        <f t="shared" si="6490"/>
        <v>0</v>
      </c>
      <c r="V1282" s="200">
        <f t="shared" si="6490"/>
        <v>0</v>
      </c>
      <c r="W1282" s="200">
        <f t="shared" si="6490"/>
        <v>0</v>
      </c>
      <c r="X1282" s="200">
        <f t="shared" si="6490"/>
        <v>0</v>
      </c>
      <c r="Y1282" s="200">
        <f t="shared" si="6490"/>
        <v>0</v>
      </c>
      <c r="Z1282" s="200">
        <f t="shared" si="6490"/>
        <v>0</v>
      </c>
      <c r="AA1282" s="200">
        <f t="shared" si="6490"/>
        <v>0</v>
      </c>
      <c r="AB1282" s="200">
        <f t="shared" si="6490"/>
        <v>0</v>
      </c>
      <c r="AC1282" s="200">
        <f t="shared" si="6490"/>
        <v>0</v>
      </c>
      <c r="AD1282" s="200">
        <f t="shared" si="11"/>
        <v>0</v>
      </c>
      <c r="AE1282" s="200">
        <f t="shared" ref="AE1282:AG1282" si="6491">countif($D1282,"*"&amp;AE$2&amp;"*")</f>
        <v>0</v>
      </c>
      <c r="AF1282" s="200">
        <f t="shared" si="6491"/>
        <v>0</v>
      </c>
      <c r="AG1282" s="200">
        <f t="shared" si="6491"/>
        <v>0</v>
      </c>
      <c r="AH1282" s="171">
        <f t="shared" si="13"/>
        <v>0</v>
      </c>
      <c r="AI1282" s="200">
        <f t="shared" si="14"/>
        <v>0</v>
      </c>
      <c r="AJ1282" s="200">
        <f t="shared" si="6100"/>
        <v>0</v>
      </c>
      <c r="AK1282" s="201">
        <f t="shared" ref="AK1282:AS1282" si="6492">countif($D1282,"*"&amp;AK$2&amp;"*")</f>
        <v>0</v>
      </c>
      <c r="AL1282" s="201">
        <f t="shared" si="6492"/>
        <v>0</v>
      </c>
      <c r="AM1282" s="201">
        <f t="shared" si="6492"/>
        <v>0</v>
      </c>
      <c r="AN1282" s="201">
        <f t="shared" si="6492"/>
        <v>0</v>
      </c>
      <c r="AO1282" s="201">
        <f t="shared" si="6492"/>
        <v>0</v>
      </c>
      <c r="AP1282" s="201">
        <f t="shared" si="6492"/>
        <v>0</v>
      </c>
      <c r="AQ1282" s="201">
        <f t="shared" si="6492"/>
        <v>0</v>
      </c>
      <c r="AR1282" s="200">
        <f t="shared" si="6492"/>
        <v>0</v>
      </c>
      <c r="AS1282" s="200">
        <f t="shared" si="6492"/>
        <v>0</v>
      </c>
      <c r="AT1282" s="173">
        <v>0.0</v>
      </c>
      <c r="AU1282" s="200">
        <f t="shared" si="6217"/>
        <v>0</v>
      </c>
      <c r="AV1282" s="200">
        <f t="shared" ref="AV1282:AX1282" si="6493">countif($D1282,"*"&amp;AV$2&amp;"*")</f>
        <v>1</v>
      </c>
      <c r="AW1282" s="200">
        <f t="shared" si="6493"/>
        <v>0</v>
      </c>
      <c r="AX1282" s="200">
        <f t="shared" si="6493"/>
        <v>0</v>
      </c>
      <c r="AY1282" s="202">
        <v>0.0</v>
      </c>
      <c r="AZ1282" s="200"/>
      <c r="BA1282" s="171" t="str">
        <f t="shared" si="18"/>
        <v/>
      </c>
      <c r="BB1282" s="171" t="str">
        <f t="shared" si="19"/>
        <v>Code</v>
      </c>
      <c r="BC1282" s="171" t="str">
        <f t="shared" si="20"/>
        <v/>
      </c>
      <c r="BD1282" s="171" t="str">
        <f t="shared" si="21"/>
        <v/>
      </c>
      <c r="BE1282" s="171" t="str">
        <f t="shared" si="22"/>
        <v/>
      </c>
      <c r="BF1282" s="171" t="str">
        <f t="shared" si="23"/>
        <v>Code</v>
      </c>
    </row>
    <row r="1283">
      <c r="A1283" s="171">
        <f t="array" ref="A1283">XLOOKUP(C1283,FSE!A:A,FSE!C:C,"XXXXX",0,1)</f>
        <v>2023</v>
      </c>
      <c r="B1283" s="213" t="s">
        <v>5676</v>
      </c>
      <c r="C1283" s="214">
        <v>44.0</v>
      </c>
      <c r="D1283" s="215" t="s">
        <v>6193</v>
      </c>
      <c r="E1283" s="197" t="str">
        <f t="array" ref="E1283">XLOOKUP(C1283,FSE!A:A,FSE!Z:Z,"XXXXX",0,1)</f>
        <v>Publicly Available (4)</v>
      </c>
      <c r="F1283" s="213" t="s">
        <v>3394</v>
      </c>
      <c r="G1283" s="163" t="str">
        <f t="array" ref="G1283">IF(B1283="ICSE",IF(COUNTIFS(B:B,B1283,C:C,C1283)=XLOOKUP(C1283,ICSE!A:A,ICSE!AA:AA,"ERROR",0,1),"OK","ERROR"),IF(B1283="FSE",IF(COUNTIFS(B:B,B1283,C:C,C1283)=XLOOKUP(C1283,FSE!A:A,FSE!AA:AA,"ERROR",0,1),"OK","ERROR")))</f>
        <v>OK</v>
      </c>
      <c r="H1283" s="199">
        <f t="shared" ref="H1283:O1283" si="6494">countif($D1283,"*"&amp;H$2&amp;"*")</f>
        <v>0</v>
      </c>
      <c r="I1283" s="200">
        <f t="shared" si="6494"/>
        <v>0</v>
      </c>
      <c r="J1283" s="200">
        <f t="shared" si="6494"/>
        <v>0</v>
      </c>
      <c r="K1283" s="200">
        <f t="shared" si="6494"/>
        <v>0</v>
      </c>
      <c r="L1283" s="200">
        <f t="shared" si="6494"/>
        <v>0</v>
      </c>
      <c r="M1283" s="200">
        <f t="shared" si="6494"/>
        <v>0</v>
      </c>
      <c r="N1283" s="200">
        <f t="shared" si="6494"/>
        <v>0</v>
      </c>
      <c r="O1283" s="200">
        <f t="shared" si="6494"/>
        <v>0</v>
      </c>
      <c r="P1283" s="200">
        <f t="shared" si="9"/>
        <v>1</v>
      </c>
      <c r="Q1283" s="200">
        <f t="shared" ref="Q1283:AC1283" si="6495">countif($D1283,"*"&amp;Q$2&amp;"*")</f>
        <v>0</v>
      </c>
      <c r="R1283" s="200">
        <f t="shared" si="6495"/>
        <v>0</v>
      </c>
      <c r="S1283" s="200">
        <f t="shared" si="6495"/>
        <v>0</v>
      </c>
      <c r="T1283" s="200">
        <f t="shared" si="6495"/>
        <v>0</v>
      </c>
      <c r="U1283" s="200">
        <f t="shared" si="6495"/>
        <v>0</v>
      </c>
      <c r="V1283" s="200">
        <f t="shared" si="6495"/>
        <v>0</v>
      </c>
      <c r="W1283" s="200">
        <f t="shared" si="6495"/>
        <v>0</v>
      </c>
      <c r="X1283" s="200">
        <f t="shared" si="6495"/>
        <v>0</v>
      </c>
      <c r="Y1283" s="200">
        <f t="shared" si="6495"/>
        <v>0</v>
      </c>
      <c r="Z1283" s="200">
        <f t="shared" si="6495"/>
        <v>0</v>
      </c>
      <c r="AA1283" s="200">
        <f t="shared" si="6495"/>
        <v>0</v>
      </c>
      <c r="AB1283" s="200">
        <f t="shared" si="6495"/>
        <v>0</v>
      </c>
      <c r="AC1283" s="200">
        <f t="shared" si="6495"/>
        <v>0</v>
      </c>
      <c r="AD1283" s="200">
        <f t="shared" si="11"/>
        <v>0</v>
      </c>
      <c r="AE1283" s="200">
        <f t="shared" ref="AE1283:AG1283" si="6496">countif($D1283,"*"&amp;AE$2&amp;"*")</f>
        <v>0</v>
      </c>
      <c r="AF1283" s="200">
        <f t="shared" si="6496"/>
        <v>0</v>
      </c>
      <c r="AG1283" s="200">
        <f t="shared" si="6496"/>
        <v>0</v>
      </c>
      <c r="AH1283" s="171">
        <f t="shared" si="13"/>
        <v>0</v>
      </c>
      <c r="AI1283" s="200">
        <f t="shared" si="14"/>
        <v>0</v>
      </c>
      <c r="AJ1283" s="200">
        <f t="shared" si="6100"/>
        <v>0</v>
      </c>
      <c r="AK1283" s="201">
        <f t="shared" ref="AK1283:AS1283" si="6497">countif($D1283,"*"&amp;AK$2&amp;"*")</f>
        <v>0</v>
      </c>
      <c r="AL1283" s="201">
        <f t="shared" si="6497"/>
        <v>0</v>
      </c>
      <c r="AM1283" s="201">
        <f t="shared" si="6497"/>
        <v>0</v>
      </c>
      <c r="AN1283" s="201">
        <f t="shared" si="6497"/>
        <v>0</v>
      </c>
      <c r="AO1283" s="201">
        <f t="shared" si="6497"/>
        <v>0</v>
      </c>
      <c r="AP1283" s="201">
        <f t="shared" si="6497"/>
        <v>0</v>
      </c>
      <c r="AQ1283" s="201">
        <f t="shared" si="6497"/>
        <v>0</v>
      </c>
      <c r="AR1283" s="200">
        <f t="shared" si="6497"/>
        <v>0</v>
      </c>
      <c r="AS1283" s="200">
        <f t="shared" si="6497"/>
        <v>0</v>
      </c>
      <c r="AT1283" s="173">
        <v>0.0</v>
      </c>
      <c r="AU1283" s="200">
        <f t="shared" si="6217"/>
        <v>0</v>
      </c>
      <c r="AV1283" s="200">
        <f t="shared" ref="AV1283:AX1283" si="6498">countif($D1283,"*"&amp;AV$2&amp;"*")</f>
        <v>1</v>
      </c>
      <c r="AW1283" s="200">
        <f t="shared" si="6498"/>
        <v>0</v>
      </c>
      <c r="AX1283" s="200">
        <f t="shared" si="6498"/>
        <v>0</v>
      </c>
      <c r="AY1283" s="202">
        <v>0.0</v>
      </c>
      <c r="AZ1283" s="200"/>
      <c r="BA1283" s="171" t="str">
        <f t="shared" si="18"/>
        <v/>
      </c>
      <c r="BB1283" s="171" t="str">
        <f t="shared" si="19"/>
        <v>Code</v>
      </c>
      <c r="BC1283" s="171" t="str">
        <f t="shared" si="20"/>
        <v/>
      </c>
      <c r="BD1283" s="171" t="str">
        <f t="shared" si="21"/>
        <v/>
      </c>
      <c r="BE1283" s="171" t="str">
        <f t="shared" si="22"/>
        <v/>
      </c>
      <c r="BF1283" s="171" t="str">
        <f t="shared" si="23"/>
        <v>Code</v>
      </c>
    </row>
    <row r="1284">
      <c r="A1284" s="171">
        <f t="array" ref="A1284">XLOOKUP(C1284,FSE!A:A,FSE!C:C,"XXXXX",0,1)</f>
        <v>2023</v>
      </c>
      <c r="B1284" s="213" t="s">
        <v>5676</v>
      </c>
      <c r="C1284" s="214">
        <v>44.0</v>
      </c>
      <c r="D1284" s="215" t="s">
        <v>6194</v>
      </c>
      <c r="E1284" s="197" t="str">
        <f t="array" ref="E1284">XLOOKUP(C1284,FSE!A:A,FSE!Z:Z,"XXXXX",0,1)</f>
        <v>Publicly Available (4)</v>
      </c>
      <c r="F1284" s="213" t="s">
        <v>3394</v>
      </c>
      <c r="G1284" s="163" t="str">
        <f t="array" ref="G1284">IF(B1284="ICSE",IF(COUNTIFS(B:B,B1284,C:C,C1284)=XLOOKUP(C1284,ICSE!A:A,ICSE!AA:AA,"ERROR",0,1),"OK","ERROR"),IF(B1284="FSE",IF(COUNTIFS(B:B,B1284,C:C,C1284)=XLOOKUP(C1284,FSE!A:A,FSE!AA:AA,"ERROR",0,1),"OK","ERROR")))</f>
        <v>OK</v>
      </c>
      <c r="H1284" s="199">
        <f t="shared" ref="H1284:O1284" si="6499">countif($D1284,"*"&amp;H$2&amp;"*")</f>
        <v>1</v>
      </c>
      <c r="I1284" s="200">
        <f t="shared" si="6499"/>
        <v>0</v>
      </c>
      <c r="J1284" s="200">
        <f t="shared" si="6499"/>
        <v>0</v>
      </c>
      <c r="K1284" s="200">
        <f t="shared" si="6499"/>
        <v>0</v>
      </c>
      <c r="L1284" s="200">
        <f t="shared" si="6499"/>
        <v>0</v>
      </c>
      <c r="M1284" s="200">
        <f t="shared" si="6499"/>
        <v>0</v>
      </c>
      <c r="N1284" s="200">
        <f t="shared" si="6499"/>
        <v>0</v>
      </c>
      <c r="O1284" s="200">
        <f t="shared" si="6499"/>
        <v>0</v>
      </c>
      <c r="P1284" s="200">
        <f t="shared" si="9"/>
        <v>0</v>
      </c>
      <c r="Q1284" s="200">
        <f t="shared" ref="Q1284:AC1284" si="6500">countif($D1284,"*"&amp;Q$2&amp;"*")</f>
        <v>0</v>
      </c>
      <c r="R1284" s="200">
        <f t="shared" si="6500"/>
        <v>0</v>
      </c>
      <c r="S1284" s="200">
        <f t="shared" si="6500"/>
        <v>0</v>
      </c>
      <c r="T1284" s="200">
        <f t="shared" si="6500"/>
        <v>0</v>
      </c>
      <c r="U1284" s="200">
        <f t="shared" si="6500"/>
        <v>0</v>
      </c>
      <c r="V1284" s="200">
        <f t="shared" si="6500"/>
        <v>0</v>
      </c>
      <c r="W1284" s="200">
        <f t="shared" si="6500"/>
        <v>0</v>
      </c>
      <c r="X1284" s="200">
        <f t="shared" si="6500"/>
        <v>0</v>
      </c>
      <c r="Y1284" s="200">
        <f t="shared" si="6500"/>
        <v>0</v>
      </c>
      <c r="Z1284" s="200">
        <f t="shared" si="6500"/>
        <v>0</v>
      </c>
      <c r="AA1284" s="200">
        <f t="shared" si="6500"/>
        <v>0</v>
      </c>
      <c r="AB1284" s="200">
        <f t="shared" si="6500"/>
        <v>0</v>
      </c>
      <c r="AC1284" s="200">
        <f t="shared" si="6500"/>
        <v>0</v>
      </c>
      <c r="AD1284" s="200">
        <f t="shared" si="11"/>
        <v>0</v>
      </c>
      <c r="AE1284" s="200">
        <f t="shared" ref="AE1284:AG1284" si="6501">countif($D1284,"*"&amp;AE$2&amp;"*")</f>
        <v>0</v>
      </c>
      <c r="AF1284" s="200">
        <f t="shared" si="6501"/>
        <v>0</v>
      </c>
      <c r="AG1284" s="200">
        <f t="shared" si="6501"/>
        <v>0</v>
      </c>
      <c r="AH1284" s="171">
        <f t="shared" si="13"/>
        <v>0</v>
      </c>
      <c r="AI1284" s="200">
        <f t="shared" si="14"/>
        <v>1</v>
      </c>
      <c r="AJ1284" s="200">
        <f t="shared" si="6100"/>
        <v>0</v>
      </c>
      <c r="AK1284" s="201">
        <f t="shared" ref="AK1284:AS1284" si="6502">countif($D1284,"*"&amp;AK$2&amp;"*")</f>
        <v>0</v>
      </c>
      <c r="AL1284" s="201">
        <f t="shared" si="6502"/>
        <v>0</v>
      </c>
      <c r="AM1284" s="201">
        <f t="shared" si="6502"/>
        <v>0</v>
      </c>
      <c r="AN1284" s="201">
        <f t="shared" si="6502"/>
        <v>0</v>
      </c>
      <c r="AO1284" s="201">
        <f t="shared" si="6502"/>
        <v>0</v>
      </c>
      <c r="AP1284" s="201">
        <f t="shared" si="6502"/>
        <v>0</v>
      </c>
      <c r="AQ1284" s="201">
        <f t="shared" si="6502"/>
        <v>0</v>
      </c>
      <c r="AR1284" s="200">
        <f t="shared" si="6502"/>
        <v>0</v>
      </c>
      <c r="AS1284" s="200">
        <f t="shared" si="6502"/>
        <v>0</v>
      </c>
      <c r="AT1284" s="173">
        <v>0.0</v>
      </c>
      <c r="AU1284" s="200">
        <f t="shared" si="6217"/>
        <v>0</v>
      </c>
      <c r="AV1284" s="200">
        <f t="shared" ref="AV1284:AX1284" si="6503">countif($D1284,"*"&amp;AV$2&amp;"*")</f>
        <v>0</v>
      </c>
      <c r="AW1284" s="200">
        <f t="shared" si="6503"/>
        <v>0</v>
      </c>
      <c r="AX1284" s="200">
        <f t="shared" si="6503"/>
        <v>1</v>
      </c>
      <c r="AY1284" s="202">
        <v>0.0</v>
      </c>
      <c r="AZ1284" s="200"/>
      <c r="BA1284" s="171" t="str">
        <f t="shared" si="18"/>
        <v>Archival</v>
      </c>
      <c r="BB1284" s="171" t="str">
        <f t="shared" si="19"/>
        <v/>
      </c>
      <c r="BC1284" s="171" t="str">
        <f t="shared" si="20"/>
        <v/>
      </c>
      <c r="BD1284" s="171" t="str">
        <f t="shared" si="21"/>
        <v/>
      </c>
      <c r="BE1284" s="171" t="str">
        <f t="shared" si="22"/>
        <v/>
      </c>
      <c r="BF1284" s="171" t="str">
        <f t="shared" si="23"/>
        <v>Archival</v>
      </c>
    </row>
    <row r="1285">
      <c r="A1285" s="171">
        <f t="array" ref="A1285">XLOOKUP(C1285,FSE!A:A,FSE!C:C,"XXXXX",0,1)</f>
        <v>2023</v>
      </c>
      <c r="B1285" s="171" t="s">
        <v>5676</v>
      </c>
      <c r="C1285" s="160">
        <v>44.0</v>
      </c>
      <c r="D1285" s="161" t="s">
        <v>6195</v>
      </c>
      <c r="E1285" s="197" t="str">
        <f t="array" ref="E1285">XLOOKUP(C1285,FSE!A:A,FSE!Z:Z,"XXXXX",0,1)</f>
        <v>Publicly Available (4)</v>
      </c>
      <c r="F1285" s="213" t="s">
        <v>3394</v>
      </c>
      <c r="G1285" s="163" t="str">
        <f t="array" ref="G1285">IF(B1285="ICSE",IF(COUNTIFS(B:B,B1285,C:C,C1285)=XLOOKUP(C1285,ICSE!A:A,ICSE!AA:AA,"ERROR",0,1),"OK","ERROR"),IF(B1285="FSE",IF(COUNTIFS(B:B,B1285,C:C,C1285)=XLOOKUP(C1285,FSE!A:A,FSE!AA:AA,"ERROR",0,1),"OK","ERROR")))</f>
        <v>OK</v>
      </c>
      <c r="H1285" s="199">
        <f t="shared" ref="H1285:O1285" si="6504">countif($D1285,"*"&amp;H$2&amp;"*")</f>
        <v>0</v>
      </c>
      <c r="I1285" s="200">
        <f t="shared" si="6504"/>
        <v>0</v>
      </c>
      <c r="J1285" s="200">
        <f t="shared" si="6504"/>
        <v>0</v>
      </c>
      <c r="K1285" s="200">
        <f t="shared" si="6504"/>
        <v>0</v>
      </c>
      <c r="L1285" s="200">
        <f t="shared" si="6504"/>
        <v>0</v>
      </c>
      <c r="M1285" s="200">
        <f t="shared" si="6504"/>
        <v>0</v>
      </c>
      <c r="N1285" s="200">
        <f t="shared" si="6504"/>
        <v>0</v>
      </c>
      <c r="O1285" s="200">
        <f t="shared" si="6504"/>
        <v>0</v>
      </c>
      <c r="P1285" s="200">
        <f t="shared" si="9"/>
        <v>1</v>
      </c>
      <c r="Q1285" s="200">
        <f t="shared" ref="Q1285:AC1285" si="6505">countif($D1285,"*"&amp;Q$2&amp;"*")</f>
        <v>0</v>
      </c>
      <c r="R1285" s="200">
        <f t="shared" si="6505"/>
        <v>0</v>
      </c>
      <c r="S1285" s="200">
        <f t="shared" si="6505"/>
        <v>0</v>
      </c>
      <c r="T1285" s="200">
        <f t="shared" si="6505"/>
        <v>0</v>
      </c>
      <c r="U1285" s="200">
        <f t="shared" si="6505"/>
        <v>0</v>
      </c>
      <c r="V1285" s="200">
        <f t="shared" si="6505"/>
        <v>0</v>
      </c>
      <c r="W1285" s="200">
        <f t="shared" si="6505"/>
        <v>0</v>
      </c>
      <c r="X1285" s="200">
        <f t="shared" si="6505"/>
        <v>0</v>
      </c>
      <c r="Y1285" s="200">
        <f t="shared" si="6505"/>
        <v>0</v>
      </c>
      <c r="Z1285" s="200">
        <f t="shared" si="6505"/>
        <v>0</v>
      </c>
      <c r="AA1285" s="200">
        <f t="shared" si="6505"/>
        <v>0</v>
      </c>
      <c r="AB1285" s="200">
        <f t="shared" si="6505"/>
        <v>0</v>
      </c>
      <c r="AC1285" s="200">
        <f t="shared" si="6505"/>
        <v>0</v>
      </c>
      <c r="AD1285" s="200">
        <f t="shared" si="11"/>
        <v>0</v>
      </c>
      <c r="AE1285" s="200">
        <f t="shared" ref="AE1285:AG1285" si="6506">countif($D1285,"*"&amp;AE$2&amp;"*")</f>
        <v>0</v>
      </c>
      <c r="AF1285" s="200">
        <f t="shared" si="6506"/>
        <v>0</v>
      </c>
      <c r="AG1285" s="200">
        <f t="shared" si="6506"/>
        <v>0</v>
      </c>
      <c r="AH1285" s="171">
        <f t="shared" si="13"/>
        <v>0</v>
      </c>
      <c r="AI1285" s="200">
        <f t="shared" si="14"/>
        <v>0</v>
      </c>
      <c r="AJ1285" s="200">
        <f t="shared" si="6100"/>
        <v>0</v>
      </c>
      <c r="AK1285" s="201">
        <f t="shared" ref="AK1285:AS1285" si="6507">countif($D1285,"*"&amp;AK$2&amp;"*")</f>
        <v>0</v>
      </c>
      <c r="AL1285" s="201">
        <f t="shared" si="6507"/>
        <v>0</v>
      </c>
      <c r="AM1285" s="201">
        <f t="shared" si="6507"/>
        <v>0</v>
      </c>
      <c r="AN1285" s="201">
        <f t="shared" si="6507"/>
        <v>0</v>
      </c>
      <c r="AO1285" s="201">
        <f t="shared" si="6507"/>
        <v>0</v>
      </c>
      <c r="AP1285" s="201">
        <f t="shared" si="6507"/>
        <v>0</v>
      </c>
      <c r="AQ1285" s="201">
        <f t="shared" si="6507"/>
        <v>0</v>
      </c>
      <c r="AR1285" s="200">
        <f t="shared" si="6507"/>
        <v>0</v>
      </c>
      <c r="AS1285" s="200">
        <f t="shared" si="6507"/>
        <v>0</v>
      </c>
      <c r="AT1285" s="173">
        <v>0.0</v>
      </c>
      <c r="AU1285" s="200">
        <f t="shared" si="6217"/>
        <v>0</v>
      </c>
      <c r="AV1285" s="200">
        <f t="shared" ref="AV1285:AX1285" si="6508">countif($D1285,"*"&amp;AV$2&amp;"*")</f>
        <v>1</v>
      </c>
      <c r="AW1285" s="200">
        <f t="shared" si="6508"/>
        <v>0</v>
      </c>
      <c r="AX1285" s="200">
        <f t="shared" si="6508"/>
        <v>0</v>
      </c>
      <c r="AY1285" s="202">
        <v>0.0</v>
      </c>
      <c r="AZ1285" s="200"/>
      <c r="BA1285" s="171" t="str">
        <f t="shared" si="18"/>
        <v/>
      </c>
      <c r="BB1285" s="171" t="str">
        <f t="shared" si="19"/>
        <v>Code</v>
      </c>
      <c r="BC1285" s="171" t="str">
        <f t="shared" si="20"/>
        <v/>
      </c>
      <c r="BD1285" s="171" t="str">
        <f t="shared" si="21"/>
        <v/>
      </c>
      <c r="BE1285" s="171" t="str">
        <f t="shared" si="22"/>
        <v/>
      </c>
      <c r="BF1285" s="171" t="str">
        <f t="shared" si="23"/>
        <v>Code</v>
      </c>
    </row>
    <row r="1286">
      <c r="A1286" s="171">
        <f t="array" ref="A1286">XLOOKUP(C1286,FSE!A:A,FSE!C:C,"XXXXX",0,1)</f>
        <v>2023</v>
      </c>
      <c r="B1286" s="213" t="s">
        <v>5676</v>
      </c>
      <c r="C1286" s="214">
        <v>45.0</v>
      </c>
      <c r="D1286" s="215" t="s">
        <v>5424</v>
      </c>
      <c r="E1286" s="197" t="str">
        <f t="array" ref="E1286">XLOOKUP(C1286,FSE!A:A,FSE!Z:Z,"XXXXX",0,1)</f>
        <v>Publicly Available (1)</v>
      </c>
      <c r="F1286" s="213" t="s">
        <v>3394</v>
      </c>
      <c r="G1286" s="163" t="str">
        <f t="array" ref="G1286">IF(B1286="ICSE",IF(COUNTIFS(B:B,B1286,C:C,C1286)=XLOOKUP(C1286,ICSE!A:A,ICSE!AA:AA,"ERROR",0,1),"OK","ERROR"),IF(B1286="FSE",IF(COUNTIFS(B:B,B1286,C:C,C1286)=XLOOKUP(C1286,FSE!A:A,FSE!AA:AA,"ERROR",0,1),"OK","ERROR")))</f>
        <v>OK</v>
      </c>
      <c r="H1286" s="199">
        <f t="shared" ref="H1286:O1286" si="6509">countif($D1286,"*"&amp;H$2&amp;"*")</f>
        <v>1</v>
      </c>
      <c r="I1286" s="200">
        <f t="shared" si="6509"/>
        <v>0</v>
      </c>
      <c r="J1286" s="200">
        <f t="shared" si="6509"/>
        <v>0</v>
      </c>
      <c r="K1286" s="200">
        <f t="shared" si="6509"/>
        <v>0</v>
      </c>
      <c r="L1286" s="200">
        <f t="shared" si="6509"/>
        <v>0</v>
      </c>
      <c r="M1286" s="200">
        <f t="shared" si="6509"/>
        <v>0</v>
      </c>
      <c r="N1286" s="200">
        <f t="shared" si="6509"/>
        <v>0</v>
      </c>
      <c r="O1286" s="200">
        <f t="shared" si="6509"/>
        <v>0</v>
      </c>
      <c r="P1286" s="200">
        <f t="shared" si="9"/>
        <v>0</v>
      </c>
      <c r="Q1286" s="200">
        <f t="shared" ref="Q1286:AC1286" si="6510">countif($D1286,"*"&amp;Q$2&amp;"*")</f>
        <v>0</v>
      </c>
      <c r="R1286" s="200">
        <f t="shared" si="6510"/>
        <v>0</v>
      </c>
      <c r="S1286" s="200">
        <f t="shared" si="6510"/>
        <v>0</v>
      </c>
      <c r="T1286" s="200">
        <f t="shared" si="6510"/>
        <v>0</v>
      </c>
      <c r="U1286" s="200">
        <f t="shared" si="6510"/>
        <v>0</v>
      </c>
      <c r="V1286" s="200">
        <f t="shared" si="6510"/>
        <v>0</v>
      </c>
      <c r="W1286" s="200">
        <f t="shared" si="6510"/>
        <v>0</v>
      </c>
      <c r="X1286" s="200">
        <f t="shared" si="6510"/>
        <v>0</v>
      </c>
      <c r="Y1286" s="200">
        <f t="shared" si="6510"/>
        <v>0</v>
      </c>
      <c r="Z1286" s="200">
        <f t="shared" si="6510"/>
        <v>0</v>
      </c>
      <c r="AA1286" s="200">
        <f t="shared" si="6510"/>
        <v>0</v>
      </c>
      <c r="AB1286" s="200">
        <f t="shared" si="6510"/>
        <v>0</v>
      </c>
      <c r="AC1286" s="200">
        <f t="shared" si="6510"/>
        <v>0</v>
      </c>
      <c r="AD1286" s="200">
        <f t="shared" si="11"/>
        <v>0</v>
      </c>
      <c r="AE1286" s="200">
        <f t="shared" ref="AE1286:AG1286" si="6511">countif($D1286,"*"&amp;AE$2&amp;"*")</f>
        <v>0</v>
      </c>
      <c r="AF1286" s="200">
        <f t="shared" si="6511"/>
        <v>0</v>
      </c>
      <c r="AG1286" s="200">
        <f t="shared" si="6511"/>
        <v>0</v>
      </c>
      <c r="AH1286" s="171">
        <f t="shared" si="13"/>
        <v>0</v>
      </c>
      <c r="AI1286" s="200">
        <f t="shared" si="14"/>
        <v>1</v>
      </c>
      <c r="AJ1286" s="200">
        <f t="shared" si="6100"/>
        <v>0</v>
      </c>
      <c r="AK1286" s="201">
        <f t="shared" ref="AK1286:AS1286" si="6512">countif($D1286,"*"&amp;AK$2&amp;"*")</f>
        <v>0</v>
      </c>
      <c r="AL1286" s="201">
        <f t="shared" si="6512"/>
        <v>0</v>
      </c>
      <c r="AM1286" s="201">
        <f t="shared" si="6512"/>
        <v>0</v>
      </c>
      <c r="AN1286" s="201">
        <f t="shared" si="6512"/>
        <v>0</v>
      </c>
      <c r="AO1286" s="201">
        <f t="shared" si="6512"/>
        <v>0</v>
      </c>
      <c r="AP1286" s="201">
        <f t="shared" si="6512"/>
        <v>0</v>
      </c>
      <c r="AQ1286" s="201">
        <f t="shared" si="6512"/>
        <v>0</v>
      </c>
      <c r="AR1286" s="200">
        <f t="shared" si="6512"/>
        <v>0</v>
      </c>
      <c r="AS1286" s="200">
        <f t="shared" si="6512"/>
        <v>0</v>
      </c>
      <c r="AT1286" s="173">
        <v>0.0</v>
      </c>
      <c r="AU1286" s="200">
        <f t="shared" si="6217"/>
        <v>0</v>
      </c>
      <c r="AV1286" s="200">
        <f t="shared" ref="AV1286:AX1286" si="6513">countif($D1286,"*"&amp;AV$2&amp;"*")</f>
        <v>0</v>
      </c>
      <c r="AW1286" s="200">
        <f t="shared" si="6513"/>
        <v>0</v>
      </c>
      <c r="AX1286" s="200">
        <f t="shared" si="6513"/>
        <v>1</v>
      </c>
      <c r="AY1286" s="202">
        <v>0.0</v>
      </c>
      <c r="AZ1286" s="200"/>
      <c r="BA1286" s="171" t="str">
        <f t="shared" si="18"/>
        <v>Archival</v>
      </c>
      <c r="BB1286" s="171" t="str">
        <f t="shared" si="19"/>
        <v/>
      </c>
      <c r="BC1286" s="171" t="str">
        <f t="shared" si="20"/>
        <v/>
      </c>
      <c r="BD1286" s="171" t="str">
        <f t="shared" si="21"/>
        <v/>
      </c>
      <c r="BE1286" s="171" t="str">
        <f t="shared" si="22"/>
        <v/>
      </c>
      <c r="BF1286" s="171" t="str">
        <f t="shared" si="23"/>
        <v>Archival</v>
      </c>
    </row>
    <row r="1287">
      <c r="A1287" s="171">
        <f t="array" ref="A1287">XLOOKUP(C1287,FSE!A:A,FSE!C:C,"XXXXX",0,1)</f>
        <v>2023</v>
      </c>
      <c r="B1287" s="213" t="s">
        <v>5676</v>
      </c>
      <c r="C1287" s="214">
        <v>46.0</v>
      </c>
      <c r="D1287" s="215" t="s">
        <v>5426</v>
      </c>
      <c r="E1287" s="197" t="str">
        <f t="array" ref="E1287">XLOOKUP(C1287,FSE!A:A,FSE!Z:Z,"XXXXX",0,1)</f>
        <v>Publicly Available (1)</v>
      </c>
      <c r="F1287" s="213" t="s">
        <v>3394</v>
      </c>
      <c r="G1287" s="163" t="str">
        <f t="array" ref="G1287">IF(B1287="ICSE",IF(COUNTIFS(B:B,B1287,C:C,C1287)=XLOOKUP(C1287,ICSE!A:A,ICSE!AA:AA,"ERROR",0,1),"OK","ERROR"),IF(B1287="FSE",IF(COUNTIFS(B:B,B1287,C:C,C1287)=XLOOKUP(C1287,FSE!A:A,FSE!AA:AA,"ERROR",0,1),"OK","ERROR")))</f>
        <v>OK</v>
      </c>
      <c r="H1287" s="199">
        <f t="shared" ref="H1287:O1287" si="6514">countif($D1287,"*"&amp;H$2&amp;"*")</f>
        <v>0</v>
      </c>
      <c r="I1287" s="200">
        <f t="shared" si="6514"/>
        <v>0</v>
      </c>
      <c r="J1287" s="200">
        <f t="shared" si="6514"/>
        <v>0</v>
      </c>
      <c r="K1287" s="200">
        <f t="shared" si="6514"/>
        <v>0</v>
      </c>
      <c r="L1287" s="200">
        <f t="shared" si="6514"/>
        <v>0</v>
      </c>
      <c r="M1287" s="200">
        <f t="shared" si="6514"/>
        <v>0</v>
      </c>
      <c r="N1287" s="200">
        <f t="shared" si="6514"/>
        <v>0</v>
      </c>
      <c r="O1287" s="200">
        <f t="shared" si="6514"/>
        <v>0</v>
      </c>
      <c r="P1287" s="200">
        <f t="shared" si="9"/>
        <v>1</v>
      </c>
      <c r="Q1287" s="200">
        <f t="shared" ref="Q1287:AC1287" si="6515">countif($D1287,"*"&amp;Q$2&amp;"*")</f>
        <v>0</v>
      </c>
      <c r="R1287" s="200">
        <f t="shared" si="6515"/>
        <v>0</v>
      </c>
      <c r="S1287" s="200">
        <f t="shared" si="6515"/>
        <v>0</v>
      </c>
      <c r="T1287" s="200">
        <f t="shared" si="6515"/>
        <v>0</v>
      </c>
      <c r="U1287" s="200">
        <f t="shared" si="6515"/>
        <v>0</v>
      </c>
      <c r="V1287" s="200">
        <f t="shared" si="6515"/>
        <v>0</v>
      </c>
      <c r="W1287" s="200">
        <f t="shared" si="6515"/>
        <v>0</v>
      </c>
      <c r="X1287" s="200">
        <f t="shared" si="6515"/>
        <v>0</v>
      </c>
      <c r="Y1287" s="200">
        <f t="shared" si="6515"/>
        <v>0</v>
      </c>
      <c r="Z1287" s="200">
        <f t="shared" si="6515"/>
        <v>0</v>
      </c>
      <c r="AA1287" s="200">
        <f t="shared" si="6515"/>
        <v>0</v>
      </c>
      <c r="AB1287" s="200">
        <f t="shared" si="6515"/>
        <v>0</v>
      </c>
      <c r="AC1287" s="200">
        <f t="shared" si="6515"/>
        <v>0</v>
      </c>
      <c r="AD1287" s="200">
        <f t="shared" si="11"/>
        <v>0</v>
      </c>
      <c r="AE1287" s="200">
        <f t="shared" ref="AE1287:AG1287" si="6516">countif($D1287,"*"&amp;AE$2&amp;"*")</f>
        <v>0</v>
      </c>
      <c r="AF1287" s="200">
        <f t="shared" si="6516"/>
        <v>0</v>
      </c>
      <c r="AG1287" s="200">
        <f t="shared" si="6516"/>
        <v>0</v>
      </c>
      <c r="AH1287" s="171">
        <f t="shared" si="13"/>
        <v>0</v>
      </c>
      <c r="AI1287" s="200">
        <f t="shared" si="14"/>
        <v>0</v>
      </c>
      <c r="AJ1287" s="200">
        <f t="shared" si="6100"/>
        <v>0</v>
      </c>
      <c r="AK1287" s="201">
        <f t="shared" ref="AK1287:AS1287" si="6517">countif($D1287,"*"&amp;AK$2&amp;"*")</f>
        <v>0</v>
      </c>
      <c r="AL1287" s="201">
        <f t="shared" si="6517"/>
        <v>0</v>
      </c>
      <c r="AM1287" s="201">
        <f t="shared" si="6517"/>
        <v>0</v>
      </c>
      <c r="AN1287" s="201">
        <f t="shared" si="6517"/>
        <v>0</v>
      </c>
      <c r="AO1287" s="201">
        <f t="shared" si="6517"/>
        <v>0</v>
      </c>
      <c r="AP1287" s="201">
        <f t="shared" si="6517"/>
        <v>0</v>
      </c>
      <c r="AQ1287" s="201">
        <f t="shared" si="6517"/>
        <v>0</v>
      </c>
      <c r="AR1287" s="200">
        <f t="shared" si="6517"/>
        <v>0</v>
      </c>
      <c r="AS1287" s="200">
        <f t="shared" si="6517"/>
        <v>0</v>
      </c>
      <c r="AT1287" s="173">
        <v>0.0</v>
      </c>
      <c r="AU1287" s="200">
        <f t="shared" si="6217"/>
        <v>0</v>
      </c>
      <c r="AV1287" s="200">
        <f t="shared" ref="AV1287:AX1287" si="6518">countif($D1287,"*"&amp;AV$2&amp;"*")</f>
        <v>1</v>
      </c>
      <c r="AW1287" s="200">
        <f t="shared" si="6518"/>
        <v>0</v>
      </c>
      <c r="AX1287" s="200">
        <f t="shared" si="6518"/>
        <v>0</v>
      </c>
      <c r="AY1287" s="202">
        <v>0.0</v>
      </c>
      <c r="AZ1287" s="200"/>
      <c r="BA1287" s="171" t="str">
        <f t="shared" si="18"/>
        <v/>
      </c>
      <c r="BB1287" s="171" t="str">
        <f t="shared" si="19"/>
        <v>Code</v>
      </c>
      <c r="BC1287" s="171" t="str">
        <f t="shared" si="20"/>
        <v/>
      </c>
      <c r="BD1287" s="171" t="str">
        <f t="shared" si="21"/>
        <v/>
      </c>
      <c r="BE1287" s="171" t="str">
        <f t="shared" si="22"/>
        <v/>
      </c>
      <c r="BF1287" s="171" t="str">
        <f t="shared" si="23"/>
        <v>Code</v>
      </c>
    </row>
    <row r="1288">
      <c r="A1288" s="171">
        <f t="array" ref="A1288">XLOOKUP(C1288,FSE!A:A,FSE!C:C,"XXXXX",0,1)</f>
        <v>2023</v>
      </c>
      <c r="B1288" s="213" t="s">
        <v>5676</v>
      </c>
      <c r="C1288" s="214">
        <v>47.0</v>
      </c>
      <c r="D1288" s="215" t="s">
        <v>5430</v>
      </c>
      <c r="E1288" s="197" t="str">
        <f t="array" ref="E1288">XLOOKUP(C1288,FSE!A:A,FSE!Z:Z,"XXXXX",0,1)</f>
        <v>Publicly Available (1)</v>
      </c>
      <c r="F1288" s="213" t="s">
        <v>3394</v>
      </c>
      <c r="G1288" s="163" t="str">
        <f t="array" ref="G1288">IF(B1288="ICSE",IF(COUNTIFS(B:B,B1288,C:C,C1288)=XLOOKUP(C1288,ICSE!A:A,ICSE!AA:AA,"ERROR",0,1),"OK","ERROR"),IF(B1288="FSE",IF(COUNTIFS(B:B,B1288,C:C,C1288)=XLOOKUP(C1288,FSE!A:A,FSE!AA:AA,"ERROR",0,1),"OK","ERROR")))</f>
        <v>OK</v>
      </c>
      <c r="H1288" s="199">
        <f t="shared" ref="H1288:O1288" si="6519">countif($D1288,"*"&amp;H$2&amp;"*")</f>
        <v>0</v>
      </c>
      <c r="I1288" s="200">
        <f t="shared" si="6519"/>
        <v>0</v>
      </c>
      <c r="J1288" s="200">
        <f t="shared" si="6519"/>
        <v>0</v>
      </c>
      <c r="K1288" s="200">
        <f t="shared" si="6519"/>
        <v>0</v>
      </c>
      <c r="L1288" s="200">
        <f t="shared" si="6519"/>
        <v>0</v>
      </c>
      <c r="M1288" s="200">
        <f t="shared" si="6519"/>
        <v>0</v>
      </c>
      <c r="N1288" s="200">
        <f t="shared" si="6519"/>
        <v>0</v>
      </c>
      <c r="O1288" s="200">
        <f t="shared" si="6519"/>
        <v>0</v>
      </c>
      <c r="P1288" s="200">
        <f t="shared" si="9"/>
        <v>1</v>
      </c>
      <c r="Q1288" s="200">
        <f t="shared" ref="Q1288:AC1288" si="6520">countif($D1288,"*"&amp;Q$2&amp;"*")</f>
        <v>0</v>
      </c>
      <c r="R1288" s="200">
        <f t="shared" si="6520"/>
        <v>0</v>
      </c>
      <c r="S1288" s="200">
        <f t="shared" si="6520"/>
        <v>0</v>
      </c>
      <c r="T1288" s="200">
        <f t="shared" si="6520"/>
        <v>0</v>
      </c>
      <c r="U1288" s="200">
        <f t="shared" si="6520"/>
        <v>0</v>
      </c>
      <c r="V1288" s="200">
        <f t="shared" si="6520"/>
        <v>0</v>
      </c>
      <c r="W1288" s="200">
        <f t="shared" si="6520"/>
        <v>0</v>
      </c>
      <c r="X1288" s="200">
        <f t="shared" si="6520"/>
        <v>0</v>
      </c>
      <c r="Y1288" s="200">
        <f t="shared" si="6520"/>
        <v>0</v>
      </c>
      <c r="Z1288" s="200">
        <f t="shared" si="6520"/>
        <v>0</v>
      </c>
      <c r="AA1288" s="200">
        <f t="shared" si="6520"/>
        <v>0</v>
      </c>
      <c r="AB1288" s="200">
        <f t="shared" si="6520"/>
        <v>0</v>
      </c>
      <c r="AC1288" s="200">
        <f t="shared" si="6520"/>
        <v>0</v>
      </c>
      <c r="AD1288" s="200">
        <f t="shared" si="11"/>
        <v>0</v>
      </c>
      <c r="AE1288" s="200">
        <f t="shared" ref="AE1288:AG1288" si="6521">countif($D1288,"*"&amp;AE$2&amp;"*")</f>
        <v>0</v>
      </c>
      <c r="AF1288" s="200">
        <f t="shared" si="6521"/>
        <v>0</v>
      </c>
      <c r="AG1288" s="200">
        <f t="shared" si="6521"/>
        <v>0</v>
      </c>
      <c r="AH1288" s="171">
        <f t="shared" si="13"/>
        <v>0</v>
      </c>
      <c r="AI1288" s="200">
        <f t="shared" si="14"/>
        <v>0</v>
      </c>
      <c r="AJ1288" s="200">
        <f t="shared" si="6100"/>
        <v>0</v>
      </c>
      <c r="AK1288" s="201">
        <f t="shared" ref="AK1288:AS1288" si="6522">countif($D1288,"*"&amp;AK$2&amp;"*")</f>
        <v>0</v>
      </c>
      <c r="AL1288" s="201">
        <f t="shared" si="6522"/>
        <v>0</v>
      </c>
      <c r="AM1288" s="201">
        <f t="shared" si="6522"/>
        <v>0</v>
      </c>
      <c r="AN1288" s="201">
        <f t="shared" si="6522"/>
        <v>0</v>
      </c>
      <c r="AO1288" s="201">
        <f t="shared" si="6522"/>
        <v>0</v>
      </c>
      <c r="AP1288" s="201">
        <f t="shared" si="6522"/>
        <v>0</v>
      </c>
      <c r="AQ1288" s="201">
        <f t="shared" si="6522"/>
        <v>0</v>
      </c>
      <c r="AR1288" s="200">
        <f t="shared" si="6522"/>
        <v>0</v>
      </c>
      <c r="AS1288" s="200">
        <f t="shared" si="6522"/>
        <v>0</v>
      </c>
      <c r="AT1288" s="173">
        <v>0.0</v>
      </c>
      <c r="AU1288" s="200">
        <f t="shared" si="6217"/>
        <v>0</v>
      </c>
      <c r="AV1288" s="200">
        <f t="shared" ref="AV1288:AX1288" si="6523">countif($D1288,"*"&amp;AV$2&amp;"*")</f>
        <v>1</v>
      </c>
      <c r="AW1288" s="200">
        <f t="shared" si="6523"/>
        <v>0</v>
      </c>
      <c r="AX1288" s="200">
        <f t="shared" si="6523"/>
        <v>0</v>
      </c>
      <c r="AY1288" s="202">
        <v>0.0</v>
      </c>
      <c r="AZ1288" s="200"/>
      <c r="BA1288" s="171" t="str">
        <f t="shared" si="18"/>
        <v/>
      </c>
      <c r="BB1288" s="171" t="str">
        <f t="shared" si="19"/>
        <v>Code</v>
      </c>
      <c r="BC1288" s="171" t="str">
        <f t="shared" si="20"/>
        <v/>
      </c>
      <c r="BD1288" s="171" t="str">
        <f t="shared" si="21"/>
        <v/>
      </c>
      <c r="BE1288" s="171" t="str">
        <f t="shared" si="22"/>
        <v/>
      </c>
      <c r="BF1288" s="171" t="str">
        <f t="shared" si="23"/>
        <v>Code</v>
      </c>
    </row>
    <row r="1289">
      <c r="A1289" s="171">
        <f t="array" ref="A1289">XLOOKUP(C1289,FSE!A:A,FSE!C:C,"XXXXX",0,1)</f>
        <v>2023</v>
      </c>
      <c r="B1289" s="213" t="s">
        <v>5676</v>
      </c>
      <c r="C1289" s="214">
        <v>48.0</v>
      </c>
      <c r="D1289" s="215" t="s">
        <v>5432</v>
      </c>
      <c r="E1289" s="197" t="str">
        <f t="array" ref="E1289">XLOOKUP(C1289,FSE!A:A,FSE!Z:Z,"XXXXX",0,1)</f>
        <v>Publicly Available (1)</v>
      </c>
      <c r="F1289" s="213" t="s">
        <v>3394</v>
      </c>
      <c r="G1289" s="163" t="str">
        <f t="array" ref="G1289">IF(B1289="ICSE",IF(COUNTIFS(B:B,B1289,C:C,C1289)=XLOOKUP(C1289,ICSE!A:A,ICSE!AA:AA,"ERROR",0,1),"OK","ERROR"),IF(B1289="FSE",IF(COUNTIFS(B:B,B1289,C:C,C1289)=XLOOKUP(C1289,FSE!A:A,FSE!AA:AA,"ERROR",0,1),"OK","ERROR")))</f>
        <v>OK</v>
      </c>
      <c r="H1289" s="199">
        <f t="shared" ref="H1289:O1289" si="6524">countif($D1289,"*"&amp;H$2&amp;"*")</f>
        <v>1</v>
      </c>
      <c r="I1289" s="200">
        <f t="shared" si="6524"/>
        <v>0</v>
      </c>
      <c r="J1289" s="200">
        <f t="shared" si="6524"/>
        <v>0</v>
      </c>
      <c r="K1289" s="200">
        <f t="shared" si="6524"/>
        <v>0</v>
      </c>
      <c r="L1289" s="200">
        <f t="shared" si="6524"/>
        <v>0</v>
      </c>
      <c r="M1289" s="200">
        <f t="shared" si="6524"/>
        <v>0</v>
      </c>
      <c r="N1289" s="200">
        <f t="shared" si="6524"/>
        <v>0</v>
      </c>
      <c r="O1289" s="200">
        <f t="shared" si="6524"/>
        <v>0</v>
      </c>
      <c r="P1289" s="200">
        <f t="shared" si="9"/>
        <v>0</v>
      </c>
      <c r="Q1289" s="200">
        <f t="shared" ref="Q1289:AC1289" si="6525">countif($D1289,"*"&amp;Q$2&amp;"*")</f>
        <v>0</v>
      </c>
      <c r="R1289" s="200">
        <f t="shared" si="6525"/>
        <v>0</v>
      </c>
      <c r="S1289" s="200">
        <f t="shared" si="6525"/>
        <v>0</v>
      </c>
      <c r="T1289" s="200">
        <f t="shared" si="6525"/>
        <v>0</v>
      </c>
      <c r="U1289" s="200">
        <f t="shared" si="6525"/>
        <v>0</v>
      </c>
      <c r="V1289" s="200">
        <f t="shared" si="6525"/>
        <v>0</v>
      </c>
      <c r="W1289" s="200">
        <f t="shared" si="6525"/>
        <v>0</v>
      </c>
      <c r="X1289" s="200">
        <f t="shared" si="6525"/>
        <v>0</v>
      </c>
      <c r="Y1289" s="200">
        <f t="shared" si="6525"/>
        <v>0</v>
      </c>
      <c r="Z1289" s="200">
        <f t="shared" si="6525"/>
        <v>0</v>
      </c>
      <c r="AA1289" s="200">
        <f t="shared" si="6525"/>
        <v>0</v>
      </c>
      <c r="AB1289" s="200">
        <f t="shared" si="6525"/>
        <v>0</v>
      </c>
      <c r="AC1289" s="200">
        <f t="shared" si="6525"/>
        <v>0</v>
      </c>
      <c r="AD1289" s="200">
        <f t="shared" si="11"/>
        <v>0</v>
      </c>
      <c r="AE1289" s="200">
        <f t="shared" ref="AE1289:AG1289" si="6526">countif($D1289,"*"&amp;AE$2&amp;"*")</f>
        <v>0</v>
      </c>
      <c r="AF1289" s="200">
        <f t="shared" si="6526"/>
        <v>0</v>
      </c>
      <c r="AG1289" s="200">
        <f t="shared" si="6526"/>
        <v>0</v>
      </c>
      <c r="AH1289" s="171">
        <f t="shared" si="13"/>
        <v>0</v>
      </c>
      <c r="AI1289" s="200">
        <f t="shared" si="14"/>
        <v>1</v>
      </c>
      <c r="AJ1289" s="200">
        <f t="shared" si="6100"/>
        <v>0</v>
      </c>
      <c r="AK1289" s="201">
        <f t="shared" ref="AK1289:AS1289" si="6527">countif($D1289,"*"&amp;AK$2&amp;"*")</f>
        <v>0</v>
      </c>
      <c r="AL1289" s="201">
        <f t="shared" si="6527"/>
        <v>0</v>
      </c>
      <c r="AM1289" s="201">
        <f t="shared" si="6527"/>
        <v>0</v>
      </c>
      <c r="AN1289" s="201">
        <f t="shared" si="6527"/>
        <v>0</v>
      </c>
      <c r="AO1289" s="201">
        <f t="shared" si="6527"/>
        <v>0</v>
      </c>
      <c r="AP1289" s="201">
        <f t="shared" si="6527"/>
        <v>0</v>
      </c>
      <c r="AQ1289" s="201">
        <f t="shared" si="6527"/>
        <v>0</v>
      </c>
      <c r="AR1289" s="200">
        <f t="shared" si="6527"/>
        <v>0</v>
      </c>
      <c r="AS1289" s="200">
        <f t="shared" si="6527"/>
        <v>0</v>
      </c>
      <c r="AT1289" s="173">
        <v>0.0</v>
      </c>
      <c r="AU1289" s="200">
        <f t="shared" si="6217"/>
        <v>0</v>
      </c>
      <c r="AV1289" s="200">
        <f t="shared" ref="AV1289:AX1289" si="6528">countif($D1289,"*"&amp;AV$2&amp;"*")</f>
        <v>0</v>
      </c>
      <c r="AW1289" s="200">
        <f t="shared" si="6528"/>
        <v>0</v>
      </c>
      <c r="AX1289" s="200">
        <f t="shared" si="6528"/>
        <v>1</v>
      </c>
      <c r="AY1289" s="202">
        <v>0.0</v>
      </c>
      <c r="AZ1289" s="200"/>
      <c r="BA1289" s="171" t="str">
        <f t="shared" si="18"/>
        <v>Archival</v>
      </c>
      <c r="BB1289" s="171" t="str">
        <f t="shared" si="19"/>
        <v/>
      </c>
      <c r="BC1289" s="171" t="str">
        <f t="shared" si="20"/>
        <v/>
      </c>
      <c r="BD1289" s="171" t="str">
        <f t="shared" si="21"/>
        <v/>
      </c>
      <c r="BE1289" s="171" t="str">
        <f t="shared" si="22"/>
        <v/>
      </c>
      <c r="BF1289" s="171" t="str">
        <f t="shared" si="23"/>
        <v>Archival</v>
      </c>
    </row>
    <row r="1290">
      <c r="A1290" s="171">
        <f t="array" ref="A1290">XLOOKUP(C1290,FSE!A:A,FSE!C:C,"XXXXX",0,1)</f>
        <v>2023</v>
      </c>
      <c r="B1290" s="171" t="s">
        <v>5676</v>
      </c>
      <c r="C1290" s="160">
        <v>49.0</v>
      </c>
      <c r="D1290" s="161" t="s">
        <v>5435</v>
      </c>
      <c r="E1290" s="197" t="str">
        <f t="array" ref="E1290">XLOOKUP(C1290,FSE!A:A,FSE!Z:Z,"XXXXX",0,1)</f>
        <v>Publicly Available (1)</v>
      </c>
      <c r="F1290" s="213" t="s">
        <v>3394</v>
      </c>
      <c r="G1290" s="163" t="str">
        <f t="array" ref="G1290">IF(B1290="ICSE",IF(COUNTIFS(B:B,B1290,C:C,C1290)=XLOOKUP(C1290,ICSE!A:A,ICSE!AA:AA,"ERROR",0,1),"OK","ERROR"),IF(B1290="FSE",IF(COUNTIFS(B:B,B1290,C:C,C1290)=XLOOKUP(C1290,FSE!A:A,FSE!AA:AA,"ERROR",0,1),"OK","ERROR")))</f>
        <v>OK</v>
      </c>
      <c r="H1290" s="199">
        <f t="shared" ref="H1290:O1290" si="6529">countif($D1290,"*"&amp;H$2&amp;"*")</f>
        <v>0</v>
      </c>
      <c r="I1290" s="200">
        <f t="shared" si="6529"/>
        <v>0</v>
      </c>
      <c r="J1290" s="200">
        <f t="shared" si="6529"/>
        <v>0</v>
      </c>
      <c r="K1290" s="200">
        <f t="shared" si="6529"/>
        <v>0</v>
      </c>
      <c r="L1290" s="200">
        <f t="shared" si="6529"/>
        <v>0</v>
      </c>
      <c r="M1290" s="200">
        <f t="shared" si="6529"/>
        <v>0</v>
      </c>
      <c r="N1290" s="200">
        <f t="shared" si="6529"/>
        <v>0</v>
      </c>
      <c r="O1290" s="200">
        <f t="shared" si="6529"/>
        <v>0</v>
      </c>
      <c r="P1290" s="200">
        <f t="shared" si="9"/>
        <v>0</v>
      </c>
      <c r="Q1290" s="200">
        <f t="shared" ref="Q1290:AC1290" si="6530">countif($D1290,"*"&amp;Q$2&amp;"*")</f>
        <v>0</v>
      </c>
      <c r="R1290" s="200">
        <f t="shared" si="6530"/>
        <v>0</v>
      </c>
      <c r="S1290" s="200">
        <f t="shared" si="6530"/>
        <v>0</v>
      </c>
      <c r="T1290" s="200">
        <f t="shared" si="6530"/>
        <v>0</v>
      </c>
      <c r="U1290" s="200">
        <f t="shared" si="6530"/>
        <v>0</v>
      </c>
      <c r="V1290" s="200">
        <f t="shared" si="6530"/>
        <v>0</v>
      </c>
      <c r="W1290" s="200">
        <f t="shared" si="6530"/>
        <v>0</v>
      </c>
      <c r="X1290" s="200">
        <f t="shared" si="6530"/>
        <v>0</v>
      </c>
      <c r="Y1290" s="200">
        <f t="shared" si="6530"/>
        <v>0</v>
      </c>
      <c r="Z1290" s="200">
        <f t="shared" si="6530"/>
        <v>0</v>
      </c>
      <c r="AA1290" s="200">
        <f t="shared" si="6530"/>
        <v>0</v>
      </c>
      <c r="AB1290" s="200">
        <f t="shared" si="6530"/>
        <v>0</v>
      </c>
      <c r="AC1290" s="200">
        <f t="shared" si="6530"/>
        <v>0</v>
      </c>
      <c r="AD1290" s="200">
        <f t="shared" si="11"/>
        <v>0</v>
      </c>
      <c r="AE1290" s="200">
        <f t="shared" ref="AE1290:AG1290" si="6531">countif($D1290,"*"&amp;AE$2&amp;"*")</f>
        <v>0</v>
      </c>
      <c r="AF1290" s="200">
        <f t="shared" si="6531"/>
        <v>0</v>
      </c>
      <c r="AG1290" s="200">
        <f t="shared" si="6531"/>
        <v>0</v>
      </c>
      <c r="AH1290" s="171">
        <f t="shared" si="13"/>
        <v>1</v>
      </c>
      <c r="AI1290" s="200">
        <f t="shared" si="14"/>
        <v>0</v>
      </c>
      <c r="AJ1290" s="200">
        <f t="shared" si="6100"/>
        <v>0</v>
      </c>
      <c r="AK1290" s="201">
        <f t="shared" ref="AK1290:AS1290" si="6532">countif($D1290,"*"&amp;AK$2&amp;"*")</f>
        <v>0</v>
      </c>
      <c r="AL1290" s="201">
        <f t="shared" si="6532"/>
        <v>0</v>
      </c>
      <c r="AM1290" s="201">
        <f t="shared" si="6532"/>
        <v>0</v>
      </c>
      <c r="AN1290" s="201">
        <f t="shared" si="6532"/>
        <v>0</v>
      </c>
      <c r="AO1290" s="201">
        <f t="shared" si="6532"/>
        <v>0</v>
      </c>
      <c r="AP1290" s="201">
        <f t="shared" si="6532"/>
        <v>0</v>
      </c>
      <c r="AQ1290" s="201">
        <f t="shared" si="6532"/>
        <v>0</v>
      </c>
      <c r="AR1290" s="200">
        <f t="shared" si="6532"/>
        <v>0</v>
      </c>
      <c r="AS1290" s="200">
        <f t="shared" si="6532"/>
        <v>0</v>
      </c>
      <c r="AT1290" s="173">
        <v>0.0</v>
      </c>
      <c r="AU1290" s="200">
        <f t="shared" si="6217"/>
        <v>0</v>
      </c>
      <c r="AV1290" s="200">
        <f t="shared" ref="AV1290:AX1290" si="6533">countif($D1290,"*"&amp;AV$2&amp;"*")</f>
        <v>0</v>
      </c>
      <c r="AW1290" s="200">
        <f t="shared" si="6533"/>
        <v>0</v>
      </c>
      <c r="AX1290" s="200">
        <f t="shared" si="6533"/>
        <v>0</v>
      </c>
      <c r="AY1290" s="202">
        <v>0.0</v>
      </c>
      <c r="AZ1290" s="200"/>
      <c r="BA1290" s="171" t="str">
        <f t="shared" si="18"/>
        <v/>
      </c>
      <c r="BB1290" s="171" t="str">
        <f t="shared" si="19"/>
        <v/>
      </c>
      <c r="BC1290" s="171" t="str">
        <f t="shared" si="20"/>
        <v/>
      </c>
      <c r="BD1290" s="171" t="str">
        <f t="shared" si="21"/>
        <v/>
      </c>
      <c r="BE1290" s="171" t="str">
        <f t="shared" si="22"/>
        <v>Others</v>
      </c>
      <c r="BF1290" s="171" t="str">
        <f t="shared" si="23"/>
        <v>Others</v>
      </c>
    </row>
    <row r="1291">
      <c r="A1291" s="171">
        <f t="array" ref="A1291">XLOOKUP(C1291,FSE!A:A,FSE!C:C,"XXXXX",0,1)</f>
        <v>2023</v>
      </c>
      <c r="B1291" s="213" t="s">
        <v>5676</v>
      </c>
      <c r="C1291" s="214">
        <v>51.0</v>
      </c>
      <c r="D1291" s="215" t="s">
        <v>5440</v>
      </c>
      <c r="E1291" s="197" t="str">
        <f t="array" ref="E1291">XLOOKUP(C1291,FSE!A:A,FSE!Z:Z,"XXXXX",0,1)</f>
        <v>Publicly Available (1)</v>
      </c>
      <c r="F1291" s="213" t="s">
        <v>3394</v>
      </c>
      <c r="G1291" s="163" t="str">
        <f t="array" ref="G1291">IF(B1291="ICSE",IF(COUNTIFS(B:B,B1291,C:C,C1291)=XLOOKUP(C1291,ICSE!A:A,ICSE!AA:AA,"ERROR",0,1),"OK","ERROR"),IF(B1291="FSE",IF(COUNTIFS(B:B,B1291,C:C,C1291)=XLOOKUP(C1291,FSE!A:A,FSE!AA:AA,"ERROR",0,1),"OK","ERROR")))</f>
        <v>OK</v>
      </c>
      <c r="H1291" s="199">
        <f t="shared" ref="H1291:O1291" si="6534">countif($D1291,"*"&amp;H$2&amp;"*")</f>
        <v>0</v>
      </c>
      <c r="I1291" s="200">
        <f t="shared" si="6534"/>
        <v>0</v>
      </c>
      <c r="J1291" s="200">
        <f t="shared" si="6534"/>
        <v>0</v>
      </c>
      <c r="K1291" s="200">
        <f t="shared" si="6534"/>
        <v>0</v>
      </c>
      <c r="L1291" s="200">
        <f t="shared" si="6534"/>
        <v>0</v>
      </c>
      <c r="M1291" s="200">
        <f t="shared" si="6534"/>
        <v>0</v>
      </c>
      <c r="N1291" s="200">
        <f t="shared" si="6534"/>
        <v>0</v>
      </c>
      <c r="O1291" s="200">
        <f t="shared" si="6534"/>
        <v>0</v>
      </c>
      <c r="P1291" s="200">
        <f t="shared" si="9"/>
        <v>1</v>
      </c>
      <c r="Q1291" s="200">
        <f t="shared" ref="Q1291:AC1291" si="6535">countif($D1291,"*"&amp;Q$2&amp;"*")</f>
        <v>0</v>
      </c>
      <c r="R1291" s="200">
        <f t="shared" si="6535"/>
        <v>0</v>
      </c>
      <c r="S1291" s="200">
        <f t="shared" si="6535"/>
        <v>0</v>
      </c>
      <c r="T1291" s="200">
        <f t="shared" si="6535"/>
        <v>0</v>
      </c>
      <c r="U1291" s="200">
        <f t="shared" si="6535"/>
        <v>0</v>
      </c>
      <c r="V1291" s="200">
        <f t="shared" si="6535"/>
        <v>0</v>
      </c>
      <c r="W1291" s="200">
        <f t="shared" si="6535"/>
        <v>0</v>
      </c>
      <c r="X1291" s="200">
        <f t="shared" si="6535"/>
        <v>0</v>
      </c>
      <c r="Y1291" s="200">
        <f t="shared" si="6535"/>
        <v>0</v>
      </c>
      <c r="Z1291" s="200">
        <f t="shared" si="6535"/>
        <v>0</v>
      </c>
      <c r="AA1291" s="200">
        <f t="shared" si="6535"/>
        <v>0</v>
      </c>
      <c r="AB1291" s="200">
        <f t="shared" si="6535"/>
        <v>0</v>
      </c>
      <c r="AC1291" s="200">
        <f t="shared" si="6535"/>
        <v>0</v>
      </c>
      <c r="AD1291" s="200">
        <f t="shared" si="11"/>
        <v>0</v>
      </c>
      <c r="AE1291" s="200">
        <f t="shared" ref="AE1291:AG1291" si="6536">countif($D1291,"*"&amp;AE$2&amp;"*")</f>
        <v>0</v>
      </c>
      <c r="AF1291" s="200">
        <f t="shared" si="6536"/>
        <v>0</v>
      </c>
      <c r="AG1291" s="200">
        <f t="shared" si="6536"/>
        <v>0</v>
      </c>
      <c r="AH1291" s="171">
        <f t="shared" si="13"/>
        <v>0</v>
      </c>
      <c r="AI1291" s="200">
        <f t="shared" si="14"/>
        <v>0</v>
      </c>
      <c r="AJ1291" s="200">
        <f t="shared" si="6100"/>
        <v>0</v>
      </c>
      <c r="AK1291" s="201">
        <f t="shared" ref="AK1291:AS1291" si="6537">countif($D1291,"*"&amp;AK$2&amp;"*")</f>
        <v>0</v>
      </c>
      <c r="AL1291" s="201">
        <f t="shared" si="6537"/>
        <v>0</v>
      </c>
      <c r="AM1291" s="201">
        <f t="shared" si="6537"/>
        <v>0</v>
      </c>
      <c r="AN1291" s="201">
        <f t="shared" si="6537"/>
        <v>0</v>
      </c>
      <c r="AO1291" s="201">
        <f t="shared" si="6537"/>
        <v>0</v>
      </c>
      <c r="AP1291" s="201">
        <f t="shared" si="6537"/>
        <v>0</v>
      </c>
      <c r="AQ1291" s="201">
        <f t="shared" si="6537"/>
        <v>0</v>
      </c>
      <c r="AR1291" s="200">
        <f t="shared" si="6537"/>
        <v>0</v>
      </c>
      <c r="AS1291" s="200">
        <f t="shared" si="6537"/>
        <v>0</v>
      </c>
      <c r="AT1291" s="173">
        <v>0.0</v>
      </c>
      <c r="AU1291" s="200">
        <f t="shared" si="6217"/>
        <v>0</v>
      </c>
      <c r="AV1291" s="200">
        <f t="shared" ref="AV1291:AX1291" si="6538">countif($D1291,"*"&amp;AV$2&amp;"*")</f>
        <v>1</v>
      </c>
      <c r="AW1291" s="200">
        <f t="shared" si="6538"/>
        <v>0</v>
      </c>
      <c r="AX1291" s="200">
        <f t="shared" si="6538"/>
        <v>0</v>
      </c>
      <c r="AY1291" s="202">
        <v>0.0</v>
      </c>
      <c r="AZ1291" s="200"/>
      <c r="BA1291" s="171" t="str">
        <f t="shared" si="18"/>
        <v/>
      </c>
      <c r="BB1291" s="171" t="str">
        <f t="shared" si="19"/>
        <v>Code</v>
      </c>
      <c r="BC1291" s="171" t="str">
        <f t="shared" si="20"/>
        <v/>
      </c>
      <c r="BD1291" s="171" t="str">
        <f t="shared" si="21"/>
        <v/>
      </c>
      <c r="BE1291" s="171" t="str">
        <f t="shared" si="22"/>
        <v/>
      </c>
      <c r="BF1291" s="171" t="str">
        <f t="shared" si="23"/>
        <v>Code</v>
      </c>
    </row>
    <row r="1292">
      <c r="A1292" s="171">
        <f t="array" ref="A1292">XLOOKUP(C1292,FSE!A:A,FSE!C:C,"XXXXX",0,1)</f>
        <v>2023</v>
      </c>
      <c r="B1292" s="213" t="s">
        <v>5676</v>
      </c>
      <c r="C1292" s="214">
        <v>52.0</v>
      </c>
      <c r="D1292" s="215" t="s">
        <v>6196</v>
      </c>
      <c r="E1292" s="197" t="str">
        <f t="array" ref="E1292">XLOOKUP(C1292,FSE!A:A,FSE!Z:Z,"XXXXX",0,1)</f>
        <v>Publicly Available (2)</v>
      </c>
      <c r="F1292" s="213" t="s">
        <v>3394</v>
      </c>
      <c r="G1292" s="163" t="str">
        <f t="array" ref="G1292">IF(B1292="ICSE",IF(COUNTIFS(B:B,B1292,C:C,C1292)=XLOOKUP(C1292,ICSE!A:A,ICSE!AA:AA,"ERROR",0,1),"OK","ERROR"),IF(B1292="FSE",IF(COUNTIFS(B:B,B1292,C:C,C1292)=XLOOKUP(C1292,FSE!A:A,FSE!AA:AA,"ERROR",0,1),"OK","ERROR")))</f>
        <v>OK</v>
      </c>
      <c r="H1292" s="199">
        <f t="shared" ref="H1292:O1292" si="6539">countif($D1292,"*"&amp;H$2&amp;"*")</f>
        <v>0</v>
      </c>
      <c r="I1292" s="200">
        <f t="shared" si="6539"/>
        <v>0</v>
      </c>
      <c r="J1292" s="200">
        <f t="shared" si="6539"/>
        <v>0</v>
      </c>
      <c r="K1292" s="200">
        <f t="shared" si="6539"/>
        <v>0</v>
      </c>
      <c r="L1292" s="200">
        <f t="shared" si="6539"/>
        <v>0</v>
      </c>
      <c r="M1292" s="200">
        <f t="shared" si="6539"/>
        <v>0</v>
      </c>
      <c r="N1292" s="200">
        <f t="shared" si="6539"/>
        <v>0</v>
      </c>
      <c r="O1292" s="200">
        <f t="shared" si="6539"/>
        <v>0</v>
      </c>
      <c r="P1292" s="200">
        <f t="shared" si="9"/>
        <v>1</v>
      </c>
      <c r="Q1292" s="200">
        <f t="shared" ref="Q1292:AC1292" si="6540">countif($D1292,"*"&amp;Q$2&amp;"*")</f>
        <v>0</v>
      </c>
      <c r="R1292" s="200">
        <f t="shared" si="6540"/>
        <v>0</v>
      </c>
      <c r="S1292" s="200">
        <f t="shared" si="6540"/>
        <v>0</v>
      </c>
      <c r="T1292" s="200">
        <f t="shared" si="6540"/>
        <v>0</v>
      </c>
      <c r="U1292" s="200">
        <f t="shared" si="6540"/>
        <v>0</v>
      </c>
      <c r="V1292" s="200">
        <f t="shared" si="6540"/>
        <v>0</v>
      </c>
      <c r="W1292" s="200">
        <f t="shared" si="6540"/>
        <v>0</v>
      </c>
      <c r="X1292" s="200">
        <f t="shared" si="6540"/>
        <v>0</v>
      </c>
      <c r="Y1292" s="200">
        <f t="shared" si="6540"/>
        <v>0</v>
      </c>
      <c r="Z1292" s="200">
        <f t="shared" si="6540"/>
        <v>0</v>
      </c>
      <c r="AA1292" s="200">
        <f t="shared" si="6540"/>
        <v>0</v>
      </c>
      <c r="AB1292" s="200">
        <f t="shared" si="6540"/>
        <v>0</v>
      </c>
      <c r="AC1292" s="200">
        <f t="shared" si="6540"/>
        <v>0</v>
      </c>
      <c r="AD1292" s="200">
        <f t="shared" si="11"/>
        <v>0</v>
      </c>
      <c r="AE1292" s="200">
        <f t="shared" ref="AE1292:AG1292" si="6541">countif($D1292,"*"&amp;AE$2&amp;"*")</f>
        <v>0</v>
      </c>
      <c r="AF1292" s="200">
        <f t="shared" si="6541"/>
        <v>0</v>
      </c>
      <c r="AG1292" s="200">
        <f t="shared" si="6541"/>
        <v>0</v>
      </c>
      <c r="AH1292" s="171">
        <f t="shared" si="13"/>
        <v>0</v>
      </c>
      <c r="AI1292" s="200">
        <f t="shared" si="14"/>
        <v>0</v>
      </c>
      <c r="AJ1292" s="200">
        <f t="shared" si="6100"/>
        <v>0</v>
      </c>
      <c r="AK1292" s="201">
        <f t="shared" ref="AK1292:AS1292" si="6542">countif($D1292,"*"&amp;AK$2&amp;"*")</f>
        <v>0</v>
      </c>
      <c r="AL1292" s="201">
        <f t="shared" si="6542"/>
        <v>0</v>
      </c>
      <c r="AM1292" s="201">
        <f t="shared" si="6542"/>
        <v>0</v>
      </c>
      <c r="AN1292" s="201">
        <f t="shared" si="6542"/>
        <v>0</v>
      </c>
      <c r="AO1292" s="201">
        <f t="shared" si="6542"/>
        <v>0</v>
      </c>
      <c r="AP1292" s="201">
        <f t="shared" si="6542"/>
        <v>0</v>
      </c>
      <c r="AQ1292" s="201">
        <f t="shared" si="6542"/>
        <v>0</v>
      </c>
      <c r="AR1292" s="200">
        <f t="shared" si="6542"/>
        <v>0</v>
      </c>
      <c r="AS1292" s="200">
        <f t="shared" si="6542"/>
        <v>0</v>
      </c>
      <c r="AT1292" s="173">
        <v>0.0</v>
      </c>
      <c r="AU1292" s="200">
        <f t="shared" si="6217"/>
        <v>0</v>
      </c>
      <c r="AV1292" s="200">
        <f t="shared" ref="AV1292:AX1292" si="6543">countif($D1292,"*"&amp;AV$2&amp;"*")</f>
        <v>1</v>
      </c>
      <c r="AW1292" s="200">
        <f t="shared" si="6543"/>
        <v>0</v>
      </c>
      <c r="AX1292" s="200">
        <f t="shared" si="6543"/>
        <v>0</v>
      </c>
      <c r="AY1292" s="202">
        <v>0.0</v>
      </c>
      <c r="AZ1292" s="200"/>
      <c r="BA1292" s="171" t="str">
        <f t="shared" si="18"/>
        <v/>
      </c>
      <c r="BB1292" s="171" t="str">
        <f t="shared" si="19"/>
        <v>Code</v>
      </c>
      <c r="BC1292" s="171" t="str">
        <f t="shared" si="20"/>
        <v/>
      </c>
      <c r="BD1292" s="171" t="str">
        <f t="shared" si="21"/>
        <v/>
      </c>
      <c r="BE1292" s="171" t="str">
        <f t="shared" si="22"/>
        <v/>
      </c>
      <c r="BF1292" s="171" t="str">
        <f t="shared" si="23"/>
        <v>Code</v>
      </c>
    </row>
    <row r="1293">
      <c r="A1293" s="171">
        <f t="array" ref="A1293">XLOOKUP(C1293,FSE!A:A,FSE!C:C,"XXXXX",0,1)</f>
        <v>2023</v>
      </c>
      <c r="B1293" s="213" t="s">
        <v>5676</v>
      </c>
      <c r="C1293" s="214">
        <v>52.0</v>
      </c>
      <c r="D1293" s="215" t="s">
        <v>6197</v>
      </c>
      <c r="E1293" s="197" t="str">
        <f t="array" ref="E1293">XLOOKUP(C1293,FSE!A:A,FSE!Z:Z,"XXXXX",0,1)</f>
        <v>Publicly Available (2)</v>
      </c>
      <c r="F1293" s="213" t="s">
        <v>3394</v>
      </c>
      <c r="G1293" s="163" t="str">
        <f t="array" ref="G1293">IF(B1293="ICSE",IF(COUNTIFS(B:B,B1293,C:C,C1293)=XLOOKUP(C1293,ICSE!A:A,ICSE!AA:AA,"ERROR",0,1),"OK","ERROR"),IF(B1293="FSE",IF(COUNTIFS(B:B,B1293,C:C,C1293)=XLOOKUP(C1293,FSE!A:A,FSE!AA:AA,"ERROR",0,1),"OK","ERROR")))</f>
        <v>OK</v>
      </c>
      <c r="H1293" s="199">
        <f t="shared" ref="H1293:O1293" si="6544">countif($D1293,"*"&amp;H$2&amp;"*")</f>
        <v>1</v>
      </c>
      <c r="I1293" s="200">
        <f t="shared" si="6544"/>
        <v>0</v>
      </c>
      <c r="J1293" s="200">
        <f t="shared" si="6544"/>
        <v>0</v>
      </c>
      <c r="K1293" s="200">
        <f t="shared" si="6544"/>
        <v>0</v>
      </c>
      <c r="L1293" s="200">
        <f t="shared" si="6544"/>
        <v>0</v>
      </c>
      <c r="M1293" s="200">
        <f t="shared" si="6544"/>
        <v>0</v>
      </c>
      <c r="N1293" s="200">
        <f t="shared" si="6544"/>
        <v>0</v>
      </c>
      <c r="O1293" s="200">
        <f t="shared" si="6544"/>
        <v>0</v>
      </c>
      <c r="P1293" s="200">
        <f t="shared" si="9"/>
        <v>0</v>
      </c>
      <c r="Q1293" s="200">
        <f t="shared" ref="Q1293:AC1293" si="6545">countif($D1293,"*"&amp;Q$2&amp;"*")</f>
        <v>0</v>
      </c>
      <c r="R1293" s="200">
        <f t="shared" si="6545"/>
        <v>0</v>
      </c>
      <c r="S1293" s="200">
        <f t="shared" si="6545"/>
        <v>0</v>
      </c>
      <c r="T1293" s="200">
        <f t="shared" si="6545"/>
        <v>0</v>
      </c>
      <c r="U1293" s="200">
        <f t="shared" si="6545"/>
        <v>0</v>
      </c>
      <c r="V1293" s="200">
        <f t="shared" si="6545"/>
        <v>0</v>
      </c>
      <c r="W1293" s="200">
        <f t="shared" si="6545"/>
        <v>0</v>
      </c>
      <c r="X1293" s="200">
        <f t="shared" si="6545"/>
        <v>0</v>
      </c>
      <c r="Y1293" s="200">
        <f t="shared" si="6545"/>
        <v>0</v>
      </c>
      <c r="Z1293" s="200">
        <f t="shared" si="6545"/>
        <v>0</v>
      </c>
      <c r="AA1293" s="200">
        <f t="shared" si="6545"/>
        <v>0</v>
      </c>
      <c r="AB1293" s="200">
        <f t="shared" si="6545"/>
        <v>0</v>
      </c>
      <c r="AC1293" s="200">
        <f t="shared" si="6545"/>
        <v>0</v>
      </c>
      <c r="AD1293" s="200">
        <f t="shared" si="11"/>
        <v>0</v>
      </c>
      <c r="AE1293" s="200">
        <f t="shared" ref="AE1293:AG1293" si="6546">countif($D1293,"*"&amp;AE$2&amp;"*")</f>
        <v>0</v>
      </c>
      <c r="AF1293" s="200">
        <f t="shared" si="6546"/>
        <v>0</v>
      </c>
      <c r="AG1293" s="200">
        <f t="shared" si="6546"/>
        <v>0</v>
      </c>
      <c r="AH1293" s="171">
        <f t="shared" si="13"/>
        <v>0</v>
      </c>
      <c r="AI1293" s="200">
        <f t="shared" si="14"/>
        <v>1</v>
      </c>
      <c r="AJ1293" s="200">
        <f t="shared" si="6100"/>
        <v>0</v>
      </c>
      <c r="AK1293" s="201">
        <f t="shared" ref="AK1293:AS1293" si="6547">countif($D1293,"*"&amp;AK$2&amp;"*")</f>
        <v>0</v>
      </c>
      <c r="AL1293" s="201">
        <f t="shared" si="6547"/>
        <v>0</v>
      </c>
      <c r="AM1293" s="201">
        <f t="shared" si="6547"/>
        <v>0</v>
      </c>
      <c r="AN1293" s="201">
        <f t="shared" si="6547"/>
        <v>0</v>
      </c>
      <c r="AO1293" s="201">
        <f t="shared" si="6547"/>
        <v>0</v>
      </c>
      <c r="AP1293" s="201">
        <f t="shared" si="6547"/>
        <v>0</v>
      </c>
      <c r="AQ1293" s="201">
        <f t="shared" si="6547"/>
        <v>0</v>
      </c>
      <c r="AR1293" s="200">
        <f t="shared" si="6547"/>
        <v>0</v>
      </c>
      <c r="AS1293" s="200">
        <f t="shared" si="6547"/>
        <v>0</v>
      </c>
      <c r="AT1293" s="173">
        <v>0.0</v>
      </c>
      <c r="AU1293" s="200">
        <f t="shared" si="6217"/>
        <v>0</v>
      </c>
      <c r="AV1293" s="200">
        <f t="shared" ref="AV1293:AX1293" si="6548">countif($D1293,"*"&amp;AV$2&amp;"*")</f>
        <v>0</v>
      </c>
      <c r="AW1293" s="200">
        <f t="shared" si="6548"/>
        <v>0</v>
      </c>
      <c r="AX1293" s="200">
        <f t="shared" si="6548"/>
        <v>1</v>
      </c>
      <c r="AY1293" s="202">
        <v>0.0</v>
      </c>
      <c r="AZ1293" s="200"/>
      <c r="BA1293" s="171" t="str">
        <f t="shared" si="18"/>
        <v>Archival</v>
      </c>
      <c r="BB1293" s="171" t="str">
        <f t="shared" si="19"/>
        <v/>
      </c>
      <c r="BC1293" s="171" t="str">
        <f t="shared" si="20"/>
        <v/>
      </c>
      <c r="BD1293" s="171" t="str">
        <f t="shared" si="21"/>
        <v/>
      </c>
      <c r="BE1293" s="171" t="str">
        <f t="shared" si="22"/>
        <v/>
      </c>
      <c r="BF1293" s="171" t="str">
        <f t="shared" si="23"/>
        <v>Archival</v>
      </c>
    </row>
    <row r="1294">
      <c r="A1294" s="171">
        <f t="array" ref="A1294">XLOOKUP(C1294,FSE!A:A,FSE!C:C,"XXXXX",0,1)</f>
        <v>2023</v>
      </c>
      <c r="B1294" s="213" t="s">
        <v>5676</v>
      </c>
      <c r="C1294" s="214">
        <v>53.0</v>
      </c>
      <c r="D1294" s="215" t="s">
        <v>5446</v>
      </c>
      <c r="E1294" s="197" t="str">
        <f t="array" ref="E1294">XLOOKUP(C1294,FSE!A:A,FSE!Z:Z,"XXXXX",0,1)</f>
        <v>Publicly Available (1)</v>
      </c>
      <c r="F1294" s="213" t="s">
        <v>3394</v>
      </c>
      <c r="G1294" s="163" t="str">
        <f t="array" ref="G1294">IF(B1294="ICSE",IF(COUNTIFS(B:B,B1294,C:C,C1294)=XLOOKUP(C1294,ICSE!A:A,ICSE!AA:AA,"ERROR",0,1),"OK","ERROR"),IF(B1294="FSE",IF(COUNTIFS(B:B,B1294,C:C,C1294)=XLOOKUP(C1294,FSE!A:A,FSE!AA:AA,"ERROR",0,1),"OK","ERROR")))</f>
        <v>OK</v>
      </c>
      <c r="H1294" s="199">
        <f t="shared" ref="H1294:O1294" si="6549">countif($D1294,"*"&amp;H$2&amp;"*")</f>
        <v>1</v>
      </c>
      <c r="I1294" s="200">
        <f t="shared" si="6549"/>
        <v>0</v>
      </c>
      <c r="J1294" s="200">
        <f t="shared" si="6549"/>
        <v>0</v>
      </c>
      <c r="K1294" s="200">
        <f t="shared" si="6549"/>
        <v>0</v>
      </c>
      <c r="L1294" s="200">
        <f t="shared" si="6549"/>
        <v>0</v>
      </c>
      <c r="M1294" s="200">
        <f t="shared" si="6549"/>
        <v>0</v>
      </c>
      <c r="N1294" s="200">
        <f t="shared" si="6549"/>
        <v>0</v>
      </c>
      <c r="O1294" s="200">
        <f t="shared" si="6549"/>
        <v>0</v>
      </c>
      <c r="P1294" s="200">
        <f t="shared" si="9"/>
        <v>0</v>
      </c>
      <c r="Q1294" s="200">
        <f t="shared" ref="Q1294:AC1294" si="6550">countif($D1294,"*"&amp;Q$2&amp;"*")</f>
        <v>0</v>
      </c>
      <c r="R1294" s="200">
        <f t="shared" si="6550"/>
        <v>0</v>
      </c>
      <c r="S1294" s="200">
        <f t="shared" si="6550"/>
        <v>0</v>
      </c>
      <c r="T1294" s="200">
        <f t="shared" si="6550"/>
        <v>0</v>
      </c>
      <c r="U1294" s="200">
        <f t="shared" si="6550"/>
        <v>0</v>
      </c>
      <c r="V1294" s="200">
        <f t="shared" si="6550"/>
        <v>0</v>
      </c>
      <c r="W1294" s="200">
        <f t="shared" si="6550"/>
        <v>0</v>
      </c>
      <c r="X1294" s="200">
        <f t="shared" si="6550"/>
        <v>0</v>
      </c>
      <c r="Y1294" s="200">
        <f t="shared" si="6550"/>
        <v>0</v>
      </c>
      <c r="Z1294" s="200">
        <f t="shared" si="6550"/>
        <v>0</v>
      </c>
      <c r="AA1294" s="200">
        <f t="shared" si="6550"/>
        <v>0</v>
      </c>
      <c r="AB1294" s="200">
        <f t="shared" si="6550"/>
        <v>0</v>
      </c>
      <c r="AC1294" s="200">
        <f t="shared" si="6550"/>
        <v>0</v>
      </c>
      <c r="AD1294" s="200">
        <f t="shared" si="11"/>
        <v>0</v>
      </c>
      <c r="AE1294" s="200">
        <f t="shared" ref="AE1294:AG1294" si="6551">countif($D1294,"*"&amp;AE$2&amp;"*")</f>
        <v>0</v>
      </c>
      <c r="AF1294" s="200">
        <f t="shared" si="6551"/>
        <v>0</v>
      </c>
      <c r="AG1294" s="200">
        <f t="shared" si="6551"/>
        <v>0</v>
      </c>
      <c r="AH1294" s="171">
        <f t="shared" si="13"/>
        <v>0</v>
      </c>
      <c r="AI1294" s="200">
        <f t="shared" si="14"/>
        <v>1</v>
      </c>
      <c r="AJ1294" s="200">
        <f t="shared" si="6100"/>
        <v>0</v>
      </c>
      <c r="AK1294" s="201">
        <f t="shared" ref="AK1294:AS1294" si="6552">countif($D1294,"*"&amp;AK$2&amp;"*")</f>
        <v>0</v>
      </c>
      <c r="AL1294" s="201">
        <f t="shared" si="6552"/>
        <v>0</v>
      </c>
      <c r="AM1294" s="201">
        <f t="shared" si="6552"/>
        <v>0</v>
      </c>
      <c r="AN1294" s="201">
        <f t="shared" si="6552"/>
        <v>0</v>
      </c>
      <c r="AO1294" s="201">
        <f t="shared" si="6552"/>
        <v>0</v>
      </c>
      <c r="AP1294" s="201">
        <f t="shared" si="6552"/>
        <v>0</v>
      </c>
      <c r="AQ1294" s="201">
        <f t="shared" si="6552"/>
        <v>0</v>
      </c>
      <c r="AR1294" s="200">
        <f t="shared" si="6552"/>
        <v>0</v>
      </c>
      <c r="AS1294" s="200">
        <f t="shared" si="6552"/>
        <v>0</v>
      </c>
      <c r="AT1294" s="173">
        <v>0.0</v>
      </c>
      <c r="AU1294" s="200">
        <f t="shared" si="6217"/>
        <v>0</v>
      </c>
      <c r="AV1294" s="200">
        <f t="shared" ref="AV1294:AX1294" si="6553">countif($D1294,"*"&amp;AV$2&amp;"*")</f>
        <v>0</v>
      </c>
      <c r="AW1294" s="200">
        <f t="shared" si="6553"/>
        <v>0</v>
      </c>
      <c r="AX1294" s="200">
        <f t="shared" si="6553"/>
        <v>1</v>
      </c>
      <c r="AY1294" s="202">
        <v>0.0</v>
      </c>
      <c r="AZ1294" s="200"/>
      <c r="BA1294" s="171" t="str">
        <f t="shared" si="18"/>
        <v>Archival</v>
      </c>
      <c r="BB1294" s="171" t="str">
        <f t="shared" si="19"/>
        <v/>
      </c>
      <c r="BC1294" s="171" t="str">
        <f t="shared" si="20"/>
        <v/>
      </c>
      <c r="BD1294" s="171" t="str">
        <f t="shared" si="21"/>
        <v/>
      </c>
      <c r="BE1294" s="171" t="str">
        <f t="shared" si="22"/>
        <v/>
      </c>
      <c r="BF1294" s="171" t="str">
        <f t="shared" si="23"/>
        <v>Archival</v>
      </c>
    </row>
    <row r="1295">
      <c r="A1295" s="171">
        <f t="array" ref="A1295">XLOOKUP(C1295,FSE!A:A,FSE!C:C,"XXXXX",0,1)</f>
        <v>2023</v>
      </c>
      <c r="B1295" s="213" t="s">
        <v>5676</v>
      </c>
      <c r="C1295" s="214">
        <v>54.0</v>
      </c>
      <c r="D1295" s="215" t="s">
        <v>5448</v>
      </c>
      <c r="E1295" s="197" t="str">
        <f t="array" ref="E1295">XLOOKUP(C1295,FSE!A:A,FSE!Z:Z,"XXXXX",0,1)</f>
        <v>Publicly Available (1)</v>
      </c>
      <c r="F1295" s="213" t="s">
        <v>3394</v>
      </c>
      <c r="G1295" s="163" t="str">
        <f t="array" ref="G1295">IF(B1295="ICSE",IF(COUNTIFS(B:B,B1295,C:C,C1295)=XLOOKUP(C1295,ICSE!A:A,ICSE!AA:AA,"ERROR",0,1),"OK","ERROR"),IF(B1295="FSE",IF(COUNTIFS(B:B,B1295,C:C,C1295)=XLOOKUP(C1295,FSE!A:A,FSE!AA:AA,"ERROR",0,1),"OK","ERROR")))</f>
        <v>OK</v>
      </c>
      <c r="H1295" s="199">
        <f t="shared" ref="H1295:O1295" si="6554">countif($D1295,"*"&amp;H$2&amp;"*")</f>
        <v>0</v>
      </c>
      <c r="I1295" s="200">
        <f t="shared" si="6554"/>
        <v>0</v>
      </c>
      <c r="J1295" s="200">
        <f t="shared" si="6554"/>
        <v>0</v>
      </c>
      <c r="K1295" s="200">
        <f t="shared" si="6554"/>
        <v>0</v>
      </c>
      <c r="L1295" s="200">
        <f t="shared" si="6554"/>
        <v>0</v>
      </c>
      <c r="M1295" s="200">
        <f t="shared" si="6554"/>
        <v>0</v>
      </c>
      <c r="N1295" s="200">
        <f t="shared" si="6554"/>
        <v>0</v>
      </c>
      <c r="O1295" s="200">
        <f t="shared" si="6554"/>
        <v>0</v>
      </c>
      <c r="P1295" s="200">
        <f t="shared" si="9"/>
        <v>1</v>
      </c>
      <c r="Q1295" s="200">
        <f t="shared" ref="Q1295:AC1295" si="6555">countif($D1295,"*"&amp;Q$2&amp;"*")</f>
        <v>0</v>
      </c>
      <c r="R1295" s="200">
        <f t="shared" si="6555"/>
        <v>0</v>
      </c>
      <c r="S1295" s="200">
        <f t="shared" si="6555"/>
        <v>0</v>
      </c>
      <c r="T1295" s="200">
        <f t="shared" si="6555"/>
        <v>0</v>
      </c>
      <c r="U1295" s="200">
        <f t="shared" si="6555"/>
        <v>0</v>
      </c>
      <c r="V1295" s="200">
        <f t="shared" si="6555"/>
        <v>0</v>
      </c>
      <c r="W1295" s="200">
        <f t="shared" si="6555"/>
        <v>0</v>
      </c>
      <c r="X1295" s="200">
        <f t="shared" si="6555"/>
        <v>0</v>
      </c>
      <c r="Y1295" s="200">
        <f t="shared" si="6555"/>
        <v>0</v>
      </c>
      <c r="Z1295" s="200">
        <f t="shared" si="6555"/>
        <v>0</v>
      </c>
      <c r="AA1295" s="200">
        <f t="shared" si="6555"/>
        <v>0</v>
      </c>
      <c r="AB1295" s="200">
        <f t="shared" si="6555"/>
        <v>0</v>
      </c>
      <c r="AC1295" s="200">
        <f t="shared" si="6555"/>
        <v>0</v>
      </c>
      <c r="AD1295" s="200">
        <f t="shared" si="11"/>
        <v>0</v>
      </c>
      <c r="AE1295" s="200">
        <f t="shared" ref="AE1295:AG1295" si="6556">countif($D1295,"*"&amp;AE$2&amp;"*")</f>
        <v>0</v>
      </c>
      <c r="AF1295" s="200">
        <f t="shared" si="6556"/>
        <v>0</v>
      </c>
      <c r="AG1295" s="200">
        <f t="shared" si="6556"/>
        <v>0</v>
      </c>
      <c r="AH1295" s="171">
        <f t="shared" si="13"/>
        <v>0</v>
      </c>
      <c r="AI1295" s="200">
        <f t="shared" si="14"/>
        <v>0</v>
      </c>
      <c r="AJ1295" s="200">
        <f t="shared" si="6100"/>
        <v>0</v>
      </c>
      <c r="AK1295" s="201">
        <f t="shared" ref="AK1295:AS1295" si="6557">countif($D1295,"*"&amp;AK$2&amp;"*")</f>
        <v>0</v>
      </c>
      <c r="AL1295" s="201">
        <f t="shared" si="6557"/>
        <v>0</v>
      </c>
      <c r="AM1295" s="201">
        <f t="shared" si="6557"/>
        <v>0</v>
      </c>
      <c r="AN1295" s="201">
        <f t="shared" si="6557"/>
        <v>0</v>
      </c>
      <c r="AO1295" s="201">
        <f t="shared" si="6557"/>
        <v>0</v>
      </c>
      <c r="AP1295" s="201">
        <f t="shared" si="6557"/>
        <v>0</v>
      </c>
      <c r="AQ1295" s="201">
        <f t="shared" si="6557"/>
        <v>0</v>
      </c>
      <c r="AR1295" s="200">
        <f t="shared" si="6557"/>
        <v>0</v>
      </c>
      <c r="AS1295" s="200">
        <f t="shared" si="6557"/>
        <v>0</v>
      </c>
      <c r="AT1295" s="173">
        <v>0.0</v>
      </c>
      <c r="AU1295" s="200">
        <f t="shared" si="6217"/>
        <v>0</v>
      </c>
      <c r="AV1295" s="200">
        <f t="shared" ref="AV1295:AX1295" si="6558">countif($D1295,"*"&amp;AV$2&amp;"*")</f>
        <v>1</v>
      </c>
      <c r="AW1295" s="200">
        <f t="shared" si="6558"/>
        <v>0</v>
      </c>
      <c r="AX1295" s="200">
        <f t="shared" si="6558"/>
        <v>0</v>
      </c>
      <c r="AY1295" s="202">
        <v>0.0</v>
      </c>
      <c r="AZ1295" s="200"/>
      <c r="BA1295" s="171" t="str">
        <f t="shared" si="18"/>
        <v/>
      </c>
      <c r="BB1295" s="171" t="str">
        <f t="shared" si="19"/>
        <v>Code</v>
      </c>
      <c r="BC1295" s="171" t="str">
        <f t="shared" si="20"/>
        <v/>
      </c>
      <c r="BD1295" s="171" t="str">
        <f t="shared" si="21"/>
        <v/>
      </c>
      <c r="BE1295" s="171" t="str">
        <f t="shared" si="22"/>
        <v/>
      </c>
      <c r="BF1295" s="171" t="str">
        <f t="shared" si="23"/>
        <v>Code</v>
      </c>
    </row>
    <row r="1296">
      <c r="A1296" s="171">
        <f t="array" ref="A1296">XLOOKUP(C1296,FSE!A:A,FSE!C:C,"XXXXX",0,1)</f>
        <v>2023</v>
      </c>
      <c r="B1296" s="213" t="s">
        <v>5676</v>
      </c>
      <c r="C1296" s="214">
        <v>55.0</v>
      </c>
      <c r="D1296" s="215" t="s">
        <v>5451</v>
      </c>
      <c r="E1296" s="197" t="str">
        <f t="array" ref="E1296">XLOOKUP(C1296,FSE!A:A,FSE!Z:Z,"XXXXX",0,1)</f>
        <v>Publicly Available (1)</v>
      </c>
      <c r="F1296" s="213" t="s">
        <v>3394</v>
      </c>
      <c r="G1296" s="163" t="str">
        <f t="array" ref="G1296">IF(B1296="ICSE",IF(COUNTIFS(B:B,B1296,C:C,C1296)=XLOOKUP(C1296,ICSE!A:A,ICSE!AA:AA,"ERROR",0,1),"OK","ERROR"),IF(B1296="FSE",IF(COUNTIFS(B:B,B1296,C:C,C1296)=XLOOKUP(C1296,FSE!A:A,FSE!AA:AA,"ERROR",0,1),"OK","ERROR")))</f>
        <v>OK</v>
      </c>
      <c r="H1296" s="199">
        <f t="shared" ref="H1296:O1296" si="6559">countif($D1296,"*"&amp;H$2&amp;"*")</f>
        <v>0</v>
      </c>
      <c r="I1296" s="200">
        <f t="shared" si="6559"/>
        <v>0</v>
      </c>
      <c r="J1296" s="200">
        <f t="shared" si="6559"/>
        <v>0</v>
      </c>
      <c r="K1296" s="200">
        <f t="shared" si="6559"/>
        <v>0</v>
      </c>
      <c r="L1296" s="200">
        <f t="shared" si="6559"/>
        <v>0</v>
      </c>
      <c r="M1296" s="200">
        <f t="shared" si="6559"/>
        <v>0</v>
      </c>
      <c r="N1296" s="200">
        <f t="shared" si="6559"/>
        <v>0</v>
      </c>
      <c r="O1296" s="200">
        <f t="shared" si="6559"/>
        <v>0</v>
      </c>
      <c r="P1296" s="200">
        <f t="shared" si="9"/>
        <v>1</v>
      </c>
      <c r="Q1296" s="200">
        <f t="shared" ref="Q1296:AC1296" si="6560">countif($D1296,"*"&amp;Q$2&amp;"*")</f>
        <v>0</v>
      </c>
      <c r="R1296" s="200">
        <f t="shared" si="6560"/>
        <v>0</v>
      </c>
      <c r="S1296" s="200">
        <f t="shared" si="6560"/>
        <v>0</v>
      </c>
      <c r="T1296" s="200">
        <f t="shared" si="6560"/>
        <v>0</v>
      </c>
      <c r="U1296" s="200">
        <f t="shared" si="6560"/>
        <v>0</v>
      </c>
      <c r="V1296" s="200">
        <f t="shared" si="6560"/>
        <v>0</v>
      </c>
      <c r="W1296" s="200">
        <f t="shared" si="6560"/>
        <v>0</v>
      </c>
      <c r="X1296" s="200">
        <f t="shared" si="6560"/>
        <v>0</v>
      </c>
      <c r="Y1296" s="200">
        <f t="shared" si="6560"/>
        <v>0</v>
      </c>
      <c r="Z1296" s="200">
        <f t="shared" si="6560"/>
        <v>0</v>
      </c>
      <c r="AA1296" s="200">
        <f t="shared" si="6560"/>
        <v>0</v>
      </c>
      <c r="AB1296" s="200">
        <f t="shared" si="6560"/>
        <v>0</v>
      </c>
      <c r="AC1296" s="200">
        <f t="shared" si="6560"/>
        <v>0</v>
      </c>
      <c r="AD1296" s="200">
        <f t="shared" si="11"/>
        <v>0</v>
      </c>
      <c r="AE1296" s="200">
        <f t="shared" ref="AE1296:AG1296" si="6561">countif($D1296,"*"&amp;AE$2&amp;"*")</f>
        <v>0</v>
      </c>
      <c r="AF1296" s="200">
        <f t="shared" si="6561"/>
        <v>0</v>
      </c>
      <c r="AG1296" s="200">
        <f t="shared" si="6561"/>
        <v>0</v>
      </c>
      <c r="AH1296" s="171">
        <f t="shared" si="13"/>
        <v>0</v>
      </c>
      <c r="AI1296" s="200">
        <f t="shared" si="14"/>
        <v>0</v>
      </c>
      <c r="AJ1296" s="200">
        <f t="shared" si="6100"/>
        <v>0</v>
      </c>
      <c r="AK1296" s="201">
        <f t="shared" ref="AK1296:AS1296" si="6562">countif($D1296,"*"&amp;AK$2&amp;"*")</f>
        <v>0</v>
      </c>
      <c r="AL1296" s="201">
        <f t="shared" si="6562"/>
        <v>0</v>
      </c>
      <c r="AM1296" s="201">
        <f t="shared" si="6562"/>
        <v>0</v>
      </c>
      <c r="AN1296" s="201">
        <f t="shared" si="6562"/>
        <v>0</v>
      </c>
      <c r="AO1296" s="201">
        <f t="shared" si="6562"/>
        <v>0</v>
      </c>
      <c r="AP1296" s="201">
        <f t="shared" si="6562"/>
        <v>0</v>
      </c>
      <c r="AQ1296" s="201">
        <f t="shared" si="6562"/>
        <v>0</v>
      </c>
      <c r="AR1296" s="200">
        <f t="shared" si="6562"/>
        <v>0</v>
      </c>
      <c r="AS1296" s="200">
        <f t="shared" si="6562"/>
        <v>0</v>
      </c>
      <c r="AT1296" s="173">
        <v>0.0</v>
      </c>
      <c r="AU1296" s="200">
        <f t="shared" si="6217"/>
        <v>0</v>
      </c>
      <c r="AV1296" s="200">
        <f t="shared" ref="AV1296:AX1296" si="6563">countif($D1296,"*"&amp;AV$2&amp;"*")</f>
        <v>1</v>
      </c>
      <c r="AW1296" s="200">
        <f t="shared" si="6563"/>
        <v>0</v>
      </c>
      <c r="AX1296" s="200">
        <f t="shared" si="6563"/>
        <v>0</v>
      </c>
      <c r="AY1296" s="202">
        <v>0.0</v>
      </c>
      <c r="AZ1296" s="200"/>
      <c r="BA1296" s="171" t="str">
        <f t="shared" si="18"/>
        <v/>
      </c>
      <c r="BB1296" s="171" t="str">
        <f t="shared" si="19"/>
        <v>Code</v>
      </c>
      <c r="BC1296" s="171" t="str">
        <f t="shared" si="20"/>
        <v/>
      </c>
      <c r="BD1296" s="171" t="str">
        <f t="shared" si="21"/>
        <v/>
      </c>
      <c r="BE1296" s="171" t="str">
        <f t="shared" si="22"/>
        <v/>
      </c>
      <c r="BF1296" s="171" t="str">
        <f t="shared" si="23"/>
        <v>Code</v>
      </c>
    </row>
    <row r="1297">
      <c r="A1297" s="171">
        <f t="array" ref="A1297">XLOOKUP(C1297,FSE!A:A,FSE!C:C,"XXXXX",0,1)</f>
        <v>2023</v>
      </c>
      <c r="B1297" s="213" t="s">
        <v>5676</v>
      </c>
      <c r="C1297" s="214">
        <v>56.0</v>
      </c>
      <c r="D1297" s="215" t="s">
        <v>5455</v>
      </c>
      <c r="E1297" s="197" t="str">
        <f t="array" ref="E1297">XLOOKUP(C1297,FSE!A:A,FSE!Z:Z,"XXXXX",0,1)</f>
        <v>Publicly Available (1)</v>
      </c>
      <c r="F1297" s="213" t="s">
        <v>3394</v>
      </c>
      <c r="G1297" s="163" t="str">
        <f t="array" ref="G1297">IF(B1297="ICSE",IF(COUNTIFS(B:B,B1297,C:C,C1297)=XLOOKUP(C1297,ICSE!A:A,ICSE!AA:AA,"ERROR",0,1),"OK","ERROR"),IF(B1297="FSE",IF(COUNTIFS(B:B,B1297,C:C,C1297)=XLOOKUP(C1297,FSE!A:A,FSE!AA:AA,"ERROR",0,1),"OK","ERROR")))</f>
        <v>OK</v>
      </c>
      <c r="H1297" s="199">
        <f t="shared" ref="H1297:O1297" si="6564">countif($D1297,"*"&amp;H$2&amp;"*")</f>
        <v>0</v>
      </c>
      <c r="I1297" s="200">
        <f t="shared" si="6564"/>
        <v>0</v>
      </c>
      <c r="J1297" s="200">
        <f t="shared" si="6564"/>
        <v>0</v>
      </c>
      <c r="K1297" s="200">
        <f t="shared" si="6564"/>
        <v>0</v>
      </c>
      <c r="L1297" s="200">
        <f t="shared" si="6564"/>
        <v>0</v>
      </c>
      <c r="M1297" s="200">
        <f t="shared" si="6564"/>
        <v>0</v>
      </c>
      <c r="N1297" s="200">
        <f t="shared" si="6564"/>
        <v>0</v>
      </c>
      <c r="O1297" s="200">
        <f t="shared" si="6564"/>
        <v>0</v>
      </c>
      <c r="P1297" s="200">
        <f t="shared" si="9"/>
        <v>1</v>
      </c>
      <c r="Q1297" s="200">
        <f t="shared" ref="Q1297:AC1297" si="6565">countif($D1297,"*"&amp;Q$2&amp;"*")</f>
        <v>0</v>
      </c>
      <c r="R1297" s="200">
        <f t="shared" si="6565"/>
        <v>0</v>
      </c>
      <c r="S1297" s="200">
        <f t="shared" si="6565"/>
        <v>0</v>
      </c>
      <c r="T1297" s="200">
        <f t="shared" si="6565"/>
        <v>0</v>
      </c>
      <c r="U1297" s="200">
        <f t="shared" si="6565"/>
        <v>0</v>
      </c>
      <c r="V1297" s="200">
        <f t="shared" si="6565"/>
        <v>0</v>
      </c>
      <c r="W1297" s="200">
        <f t="shared" si="6565"/>
        <v>0</v>
      </c>
      <c r="X1297" s="200">
        <f t="shared" si="6565"/>
        <v>0</v>
      </c>
      <c r="Y1297" s="200">
        <f t="shared" si="6565"/>
        <v>0</v>
      </c>
      <c r="Z1297" s="200">
        <f t="shared" si="6565"/>
        <v>0</v>
      </c>
      <c r="AA1297" s="200">
        <f t="shared" si="6565"/>
        <v>0</v>
      </c>
      <c r="AB1297" s="200">
        <f t="shared" si="6565"/>
        <v>0</v>
      </c>
      <c r="AC1297" s="200">
        <f t="shared" si="6565"/>
        <v>0</v>
      </c>
      <c r="AD1297" s="200">
        <f t="shared" si="11"/>
        <v>0</v>
      </c>
      <c r="AE1297" s="200">
        <f t="shared" ref="AE1297:AG1297" si="6566">countif($D1297,"*"&amp;AE$2&amp;"*")</f>
        <v>0</v>
      </c>
      <c r="AF1297" s="200">
        <f t="shared" si="6566"/>
        <v>0</v>
      </c>
      <c r="AG1297" s="200">
        <f t="shared" si="6566"/>
        <v>0</v>
      </c>
      <c r="AH1297" s="171">
        <f t="shared" si="13"/>
        <v>0</v>
      </c>
      <c r="AI1297" s="200">
        <f t="shared" si="14"/>
        <v>0</v>
      </c>
      <c r="AJ1297" s="200">
        <f t="shared" si="6100"/>
        <v>0</v>
      </c>
      <c r="AK1297" s="201">
        <f t="shared" ref="AK1297:AS1297" si="6567">countif($D1297,"*"&amp;AK$2&amp;"*")</f>
        <v>0</v>
      </c>
      <c r="AL1297" s="201">
        <f t="shared" si="6567"/>
        <v>0</v>
      </c>
      <c r="AM1297" s="201">
        <f t="shared" si="6567"/>
        <v>0</v>
      </c>
      <c r="AN1297" s="201">
        <f t="shared" si="6567"/>
        <v>0</v>
      </c>
      <c r="AO1297" s="201">
        <f t="shared" si="6567"/>
        <v>0</v>
      </c>
      <c r="AP1297" s="201">
        <f t="shared" si="6567"/>
        <v>0</v>
      </c>
      <c r="AQ1297" s="201">
        <f t="shared" si="6567"/>
        <v>0</v>
      </c>
      <c r="AR1297" s="200">
        <f t="shared" si="6567"/>
        <v>0</v>
      </c>
      <c r="AS1297" s="200">
        <f t="shared" si="6567"/>
        <v>0</v>
      </c>
      <c r="AT1297" s="173">
        <v>0.0</v>
      </c>
      <c r="AU1297" s="200">
        <f t="shared" si="6217"/>
        <v>0</v>
      </c>
      <c r="AV1297" s="200">
        <f t="shared" ref="AV1297:AX1297" si="6568">countif($D1297,"*"&amp;AV$2&amp;"*")</f>
        <v>1</v>
      </c>
      <c r="AW1297" s="200">
        <f t="shared" si="6568"/>
        <v>0</v>
      </c>
      <c r="AX1297" s="200">
        <f t="shared" si="6568"/>
        <v>0</v>
      </c>
      <c r="AY1297" s="202">
        <v>0.0</v>
      </c>
      <c r="AZ1297" s="200"/>
      <c r="BA1297" s="171" t="str">
        <f t="shared" si="18"/>
        <v/>
      </c>
      <c r="BB1297" s="171" t="str">
        <f t="shared" si="19"/>
        <v>Code</v>
      </c>
      <c r="BC1297" s="171" t="str">
        <f t="shared" si="20"/>
        <v/>
      </c>
      <c r="BD1297" s="171" t="str">
        <f t="shared" si="21"/>
        <v/>
      </c>
      <c r="BE1297" s="171" t="str">
        <f t="shared" si="22"/>
        <v/>
      </c>
      <c r="BF1297" s="171" t="str">
        <f t="shared" si="23"/>
        <v>Code</v>
      </c>
    </row>
    <row r="1298">
      <c r="A1298" s="171">
        <f t="array" ref="A1298">XLOOKUP(C1298,FSE!A:A,FSE!C:C,"XXXXX",0,1)</f>
        <v>2023</v>
      </c>
      <c r="B1298" s="213" t="s">
        <v>5676</v>
      </c>
      <c r="C1298" s="214">
        <v>57.0</v>
      </c>
      <c r="D1298" s="215" t="s">
        <v>6198</v>
      </c>
      <c r="E1298" s="197" t="str">
        <f t="array" ref="E1298">XLOOKUP(C1298,FSE!A:A,FSE!Z:Z,"XXXXX",0,1)</f>
        <v>Publicly Available (2)</v>
      </c>
      <c r="F1298" s="213" t="s">
        <v>3394</v>
      </c>
      <c r="G1298" s="163" t="str">
        <f t="array" ref="G1298">IF(B1298="ICSE",IF(COUNTIFS(B:B,B1298,C:C,C1298)=XLOOKUP(C1298,ICSE!A:A,ICSE!AA:AA,"ERROR",0,1),"OK","ERROR"),IF(B1298="FSE",IF(COUNTIFS(B:B,B1298,C:C,C1298)=XLOOKUP(C1298,FSE!A:A,FSE!AA:AA,"ERROR",0,1),"OK","ERROR")))</f>
        <v>OK</v>
      </c>
      <c r="H1298" s="199">
        <f t="shared" ref="H1298:O1298" si="6569">countif($D1298,"*"&amp;H$2&amp;"*")</f>
        <v>0</v>
      </c>
      <c r="I1298" s="200">
        <f t="shared" si="6569"/>
        <v>0</v>
      </c>
      <c r="J1298" s="200">
        <f t="shared" si="6569"/>
        <v>0</v>
      </c>
      <c r="K1298" s="200">
        <f t="shared" si="6569"/>
        <v>0</v>
      </c>
      <c r="L1298" s="200">
        <f t="shared" si="6569"/>
        <v>0</v>
      </c>
      <c r="M1298" s="200">
        <f t="shared" si="6569"/>
        <v>0</v>
      </c>
      <c r="N1298" s="200">
        <f t="shared" si="6569"/>
        <v>0</v>
      </c>
      <c r="O1298" s="200">
        <f t="shared" si="6569"/>
        <v>0</v>
      </c>
      <c r="P1298" s="200">
        <f t="shared" si="9"/>
        <v>1</v>
      </c>
      <c r="Q1298" s="200">
        <f t="shared" ref="Q1298:AC1298" si="6570">countif($D1298,"*"&amp;Q$2&amp;"*")</f>
        <v>0</v>
      </c>
      <c r="R1298" s="200">
        <f t="shared" si="6570"/>
        <v>0</v>
      </c>
      <c r="S1298" s="200">
        <f t="shared" si="6570"/>
        <v>0</v>
      </c>
      <c r="T1298" s="200">
        <f t="shared" si="6570"/>
        <v>0</v>
      </c>
      <c r="U1298" s="200">
        <f t="shared" si="6570"/>
        <v>0</v>
      </c>
      <c r="V1298" s="200">
        <f t="shared" si="6570"/>
        <v>0</v>
      </c>
      <c r="W1298" s="200">
        <f t="shared" si="6570"/>
        <v>0</v>
      </c>
      <c r="X1298" s="200">
        <f t="shared" si="6570"/>
        <v>0</v>
      </c>
      <c r="Y1298" s="200">
        <f t="shared" si="6570"/>
        <v>0</v>
      </c>
      <c r="Z1298" s="200">
        <f t="shared" si="6570"/>
        <v>0</v>
      </c>
      <c r="AA1298" s="200">
        <f t="shared" si="6570"/>
        <v>0</v>
      </c>
      <c r="AB1298" s="200">
        <f t="shared" si="6570"/>
        <v>0</v>
      </c>
      <c r="AC1298" s="200">
        <f t="shared" si="6570"/>
        <v>0</v>
      </c>
      <c r="AD1298" s="200">
        <f t="shared" si="11"/>
        <v>0</v>
      </c>
      <c r="AE1298" s="200">
        <f t="shared" ref="AE1298:AG1298" si="6571">countif($D1298,"*"&amp;AE$2&amp;"*")</f>
        <v>0</v>
      </c>
      <c r="AF1298" s="200">
        <f t="shared" si="6571"/>
        <v>0</v>
      </c>
      <c r="AG1298" s="200">
        <f t="shared" si="6571"/>
        <v>0</v>
      </c>
      <c r="AH1298" s="171">
        <f t="shared" si="13"/>
        <v>0</v>
      </c>
      <c r="AI1298" s="200">
        <f t="shared" si="14"/>
        <v>0</v>
      </c>
      <c r="AJ1298" s="200">
        <f t="shared" si="6100"/>
        <v>0</v>
      </c>
      <c r="AK1298" s="201">
        <f t="shared" ref="AK1298:AS1298" si="6572">countif($D1298,"*"&amp;AK$2&amp;"*")</f>
        <v>0</v>
      </c>
      <c r="AL1298" s="201">
        <f t="shared" si="6572"/>
        <v>0</v>
      </c>
      <c r="AM1298" s="201">
        <f t="shared" si="6572"/>
        <v>0</v>
      </c>
      <c r="AN1298" s="201">
        <f t="shared" si="6572"/>
        <v>0</v>
      </c>
      <c r="AO1298" s="201">
        <f t="shared" si="6572"/>
        <v>0</v>
      </c>
      <c r="AP1298" s="201">
        <f t="shared" si="6572"/>
        <v>0</v>
      </c>
      <c r="AQ1298" s="201">
        <f t="shared" si="6572"/>
        <v>0</v>
      </c>
      <c r="AR1298" s="200">
        <f t="shared" si="6572"/>
        <v>0</v>
      </c>
      <c r="AS1298" s="200">
        <f t="shared" si="6572"/>
        <v>0</v>
      </c>
      <c r="AT1298" s="173">
        <v>0.0</v>
      </c>
      <c r="AU1298" s="200">
        <f t="shared" si="6217"/>
        <v>0</v>
      </c>
      <c r="AV1298" s="200">
        <f t="shared" ref="AV1298:AX1298" si="6573">countif($D1298,"*"&amp;AV$2&amp;"*")</f>
        <v>1</v>
      </c>
      <c r="AW1298" s="200">
        <f t="shared" si="6573"/>
        <v>0</v>
      </c>
      <c r="AX1298" s="200">
        <f t="shared" si="6573"/>
        <v>0</v>
      </c>
      <c r="AY1298" s="202">
        <v>0.0</v>
      </c>
      <c r="AZ1298" s="200"/>
      <c r="BA1298" s="171" t="str">
        <f t="shared" si="18"/>
        <v/>
      </c>
      <c r="BB1298" s="171" t="str">
        <f t="shared" si="19"/>
        <v>Code</v>
      </c>
      <c r="BC1298" s="171" t="str">
        <f t="shared" si="20"/>
        <v/>
      </c>
      <c r="BD1298" s="171" t="str">
        <f t="shared" si="21"/>
        <v/>
      </c>
      <c r="BE1298" s="171" t="str">
        <f t="shared" si="22"/>
        <v/>
      </c>
      <c r="BF1298" s="171" t="str">
        <f t="shared" si="23"/>
        <v>Code</v>
      </c>
    </row>
    <row r="1299">
      <c r="A1299" s="171">
        <f t="array" ref="A1299">XLOOKUP(C1299,FSE!A:A,FSE!C:C,"XXXXX",0,1)</f>
        <v>2023</v>
      </c>
      <c r="B1299" s="213" t="s">
        <v>5676</v>
      </c>
      <c r="C1299" s="214">
        <v>57.0</v>
      </c>
      <c r="D1299" s="215" t="s">
        <v>6199</v>
      </c>
      <c r="E1299" s="197" t="str">
        <f t="array" ref="E1299">XLOOKUP(C1299,FSE!A:A,FSE!Z:Z,"XXXXX",0,1)</f>
        <v>Publicly Available (2)</v>
      </c>
      <c r="F1299" s="213" t="s">
        <v>3394</v>
      </c>
      <c r="G1299" s="163" t="str">
        <f t="array" ref="G1299">IF(B1299="ICSE",IF(COUNTIFS(B:B,B1299,C:C,C1299)=XLOOKUP(C1299,ICSE!A:A,ICSE!AA:AA,"ERROR",0,1),"OK","ERROR"),IF(B1299="FSE",IF(COUNTIFS(B:B,B1299,C:C,C1299)=XLOOKUP(C1299,FSE!A:A,FSE!AA:AA,"ERROR",0,1),"OK","ERROR")))</f>
        <v>OK</v>
      </c>
      <c r="H1299" s="199">
        <f t="shared" ref="H1299:O1299" si="6574">countif($D1299,"*"&amp;H$2&amp;"*")</f>
        <v>1</v>
      </c>
      <c r="I1299" s="200">
        <f t="shared" si="6574"/>
        <v>0</v>
      </c>
      <c r="J1299" s="200">
        <f t="shared" si="6574"/>
        <v>0</v>
      </c>
      <c r="K1299" s="200">
        <f t="shared" si="6574"/>
        <v>0</v>
      </c>
      <c r="L1299" s="200">
        <f t="shared" si="6574"/>
        <v>0</v>
      </c>
      <c r="M1299" s="200">
        <f t="shared" si="6574"/>
        <v>0</v>
      </c>
      <c r="N1299" s="200">
        <f t="shared" si="6574"/>
        <v>0</v>
      </c>
      <c r="O1299" s="200">
        <f t="shared" si="6574"/>
        <v>0</v>
      </c>
      <c r="P1299" s="200">
        <f t="shared" si="9"/>
        <v>0</v>
      </c>
      <c r="Q1299" s="200">
        <f t="shared" ref="Q1299:AC1299" si="6575">countif($D1299,"*"&amp;Q$2&amp;"*")</f>
        <v>0</v>
      </c>
      <c r="R1299" s="200">
        <f t="shared" si="6575"/>
        <v>0</v>
      </c>
      <c r="S1299" s="200">
        <f t="shared" si="6575"/>
        <v>0</v>
      </c>
      <c r="T1299" s="200">
        <f t="shared" si="6575"/>
        <v>0</v>
      </c>
      <c r="U1299" s="200">
        <f t="shared" si="6575"/>
        <v>0</v>
      </c>
      <c r="V1299" s="200">
        <f t="shared" si="6575"/>
        <v>0</v>
      </c>
      <c r="W1299" s="200">
        <f t="shared" si="6575"/>
        <v>0</v>
      </c>
      <c r="X1299" s="200">
        <f t="shared" si="6575"/>
        <v>0</v>
      </c>
      <c r="Y1299" s="200">
        <f t="shared" si="6575"/>
        <v>0</v>
      </c>
      <c r="Z1299" s="200">
        <f t="shared" si="6575"/>
        <v>0</v>
      </c>
      <c r="AA1299" s="200">
        <f t="shared" si="6575"/>
        <v>0</v>
      </c>
      <c r="AB1299" s="200">
        <f t="shared" si="6575"/>
        <v>0</v>
      </c>
      <c r="AC1299" s="200">
        <f t="shared" si="6575"/>
        <v>0</v>
      </c>
      <c r="AD1299" s="200">
        <f t="shared" si="11"/>
        <v>0</v>
      </c>
      <c r="AE1299" s="200">
        <f t="shared" ref="AE1299:AG1299" si="6576">countif($D1299,"*"&amp;AE$2&amp;"*")</f>
        <v>0</v>
      </c>
      <c r="AF1299" s="200">
        <f t="shared" si="6576"/>
        <v>0</v>
      </c>
      <c r="AG1299" s="200">
        <f t="shared" si="6576"/>
        <v>0</v>
      </c>
      <c r="AH1299" s="171">
        <f t="shared" si="13"/>
        <v>0</v>
      </c>
      <c r="AI1299" s="200">
        <f t="shared" si="14"/>
        <v>1</v>
      </c>
      <c r="AJ1299" s="200">
        <f t="shared" si="6100"/>
        <v>0</v>
      </c>
      <c r="AK1299" s="201">
        <f t="shared" ref="AK1299:AS1299" si="6577">countif($D1299,"*"&amp;AK$2&amp;"*")</f>
        <v>0</v>
      </c>
      <c r="AL1299" s="201">
        <f t="shared" si="6577"/>
        <v>0</v>
      </c>
      <c r="AM1299" s="201">
        <f t="shared" si="6577"/>
        <v>0</v>
      </c>
      <c r="AN1299" s="201">
        <f t="shared" si="6577"/>
        <v>0</v>
      </c>
      <c r="AO1299" s="201">
        <f t="shared" si="6577"/>
        <v>0</v>
      </c>
      <c r="AP1299" s="201">
        <f t="shared" si="6577"/>
        <v>0</v>
      </c>
      <c r="AQ1299" s="201">
        <f t="shared" si="6577"/>
        <v>0</v>
      </c>
      <c r="AR1299" s="200">
        <f t="shared" si="6577"/>
        <v>0</v>
      </c>
      <c r="AS1299" s="200">
        <f t="shared" si="6577"/>
        <v>0</v>
      </c>
      <c r="AT1299" s="173">
        <v>0.0</v>
      </c>
      <c r="AU1299" s="200">
        <f t="shared" si="6217"/>
        <v>0</v>
      </c>
      <c r="AV1299" s="200">
        <f t="shared" ref="AV1299:AX1299" si="6578">countif($D1299,"*"&amp;AV$2&amp;"*")</f>
        <v>0</v>
      </c>
      <c r="AW1299" s="200">
        <f t="shared" si="6578"/>
        <v>0</v>
      </c>
      <c r="AX1299" s="200">
        <f t="shared" si="6578"/>
        <v>1</v>
      </c>
      <c r="AY1299" s="202">
        <v>0.0</v>
      </c>
      <c r="AZ1299" s="200"/>
      <c r="BA1299" s="171" t="str">
        <f t="shared" si="18"/>
        <v>Archival</v>
      </c>
      <c r="BB1299" s="171" t="str">
        <f t="shared" si="19"/>
        <v/>
      </c>
      <c r="BC1299" s="171" t="str">
        <f t="shared" si="20"/>
        <v/>
      </c>
      <c r="BD1299" s="171" t="str">
        <f t="shared" si="21"/>
        <v/>
      </c>
      <c r="BE1299" s="171" t="str">
        <f t="shared" si="22"/>
        <v/>
      </c>
      <c r="BF1299" s="171" t="str">
        <f t="shared" si="23"/>
        <v>Archival</v>
      </c>
    </row>
    <row r="1300">
      <c r="A1300" s="171">
        <f t="array" ref="A1300">XLOOKUP(C1300,FSE!A:A,FSE!C:C,"XXXXX",0,1)</f>
        <v>2023</v>
      </c>
      <c r="B1300" s="213" t="s">
        <v>5676</v>
      </c>
      <c r="C1300" s="214">
        <v>58.0</v>
      </c>
      <c r="D1300" s="215" t="s">
        <v>5459</v>
      </c>
      <c r="E1300" s="197" t="str">
        <f t="array" ref="E1300">XLOOKUP(C1300,FSE!A:A,FSE!Z:Z,"XXXXX",0,1)</f>
        <v>Publicly Available (1)</v>
      </c>
      <c r="F1300" s="213" t="s">
        <v>3394</v>
      </c>
      <c r="G1300" s="163" t="str">
        <f t="array" ref="G1300">IF(B1300="ICSE",IF(COUNTIFS(B:B,B1300,C:C,C1300)=XLOOKUP(C1300,ICSE!A:A,ICSE!AA:AA,"ERROR",0,1),"OK","ERROR"),IF(B1300="FSE",IF(COUNTIFS(B:B,B1300,C:C,C1300)=XLOOKUP(C1300,FSE!A:A,FSE!AA:AA,"ERROR",0,1),"OK","ERROR")))</f>
        <v>OK</v>
      </c>
      <c r="H1300" s="199">
        <f t="shared" ref="H1300:O1300" si="6579">countif($D1300,"*"&amp;H$2&amp;"*")</f>
        <v>0</v>
      </c>
      <c r="I1300" s="200">
        <f t="shared" si="6579"/>
        <v>0</v>
      </c>
      <c r="J1300" s="200">
        <f t="shared" si="6579"/>
        <v>0</v>
      </c>
      <c r="K1300" s="200">
        <f t="shared" si="6579"/>
        <v>0</v>
      </c>
      <c r="L1300" s="200">
        <f t="shared" si="6579"/>
        <v>0</v>
      </c>
      <c r="M1300" s="200">
        <f t="shared" si="6579"/>
        <v>0</v>
      </c>
      <c r="N1300" s="200">
        <f t="shared" si="6579"/>
        <v>0</v>
      </c>
      <c r="O1300" s="200">
        <f t="shared" si="6579"/>
        <v>0</v>
      </c>
      <c r="P1300" s="200">
        <f t="shared" si="9"/>
        <v>1</v>
      </c>
      <c r="Q1300" s="200">
        <f t="shared" ref="Q1300:AC1300" si="6580">countif($D1300,"*"&amp;Q$2&amp;"*")</f>
        <v>0</v>
      </c>
      <c r="R1300" s="200">
        <f t="shared" si="6580"/>
        <v>0</v>
      </c>
      <c r="S1300" s="200">
        <f t="shared" si="6580"/>
        <v>0</v>
      </c>
      <c r="T1300" s="200">
        <f t="shared" si="6580"/>
        <v>0</v>
      </c>
      <c r="U1300" s="200">
        <f t="shared" si="6580"/>
        <v>0</v>
      </c>
      <c r="V1300" s="200">
        <f t="shared" si="6580"/>
        <v>0</v>
      </c>
      <c r="W1300" s="200">
        <f t="shared" si="6580"/>
        <v>0</v>
      </c>
      <c r="X1300" s="200">
        <f t="shared" si="6580"/>
        <v>0</v>
      </c>
      <c r="Y1300" s="200">
        <f t="shared" si="6580"/>
        <v>0</v>
      </c>
      <c r="Z1300" s="200">
        <f t="shared" si="6580"/>
        <v>0</v>
      </c>
      <c r="AA1300" s="200">
        <f t="shared" si="6580"/>
        <v>0</v>
      </c>
      <c r="AB1300" s="200">
        <f t="shared" si="6580"/>
        <v>0</v>
      </c>
      <c r="AC1300" s="200">
        <f t="shared" si="6580"/>
        <v>0</v>
      </c>
      <c r="AD1300" s="200">
        <f t="shared" si="11"/>
        <v>0</v>
      </c>
      <c r="AE1300" s="200">
        <f t="shared" ref="AE1300:AG1300" si="6581">countif($D1300,"*"&amp;AE$2&amp;"*")</f>
        <v>0</v>
      </c>
      <c r="AF1300" s="200">
        <f t="shared" si="6581"/>
        <v>0</v>
      </c>
      <c r="AG1300" s="200">
        <f t="shared" si="6581"/>
        <v>0</v>
      </c>
      <c r="AH1300" s="171">
        <f t="shared" si="13"/>
        <v>0</v>
      </c>
      <c r="AI1300" s="200">
        <f t="shared" si="14"/>
        <v>0</v>
      </c>
      <c r="AJ1300" s="200">
        <f t="shared" si="6100"/>
        <v>0</v>
      </c>
      <c r="AK1300" s="201">
        <f t="shared" ref="AK1300:AS1300" si="6582">countif($D1300,"*"&amp;AK$2&amp;"*")</f>
        <v>0</v>
      </c>
      <c r="AL1300" s="201">
        <f t="shared" si="6582"/>
        <v>0</v>
      </c>
      <c r="AM1300" s="201">
        <f t="shared" si="6582"/>
        <v>0</v>
      </c>
      <c r="AN1300" s="201">
        <f t="shared" si="6582"/>
        <v>0</v>
      </c>
      <c r="AO1300" s="201">
        <f t="shared" si="6582"/>
        <v>0</v>
      </c>
      <c r="AP1300" s="201">
        <f t="shared" si="6582"/>
        <v>0</v>
      </c>
      <c r="AQ1300" s="201">
        <f t="shared" si="6582"/>
        <v>0</v>
      </c>
      <c r="AR1300" s="200">
        <f t="shared" si="6582"/>
        <v>0</v>
      </c>
      <c r="AS1300" s="200">
        <f t="shared" si="6582"/>
        <v>0</v>
      </c>
      <c r="AT1300" s="173">
        <v>0.0</v>
      </c>
      <c r="AU1300" s="200">
        <f t="shared" si="6217"/>
        <v>0</v>
      </c>
      <c r="AV1300" s="200">
        <f t="shared" ref="AV1300:AX1300" si="6583">countif($D1300,"*"&amp;AV$2&amp;"*")</f>
        <v>1</v>
      </c>
      <c r="AW1300" s="200">
        <f t="shared" si="6583"/>
        <v>0</v>
      </c>
      <c r="AX1300" s="200">
        <f t="shared" si="6583"/>
        <v>0</v>
      </c>
      <c r="AY1300" s="202">
        <v>0.0</v>
      </c>
      <c r="AZ1300" s="200"/>
      <c r="BA1300" s="171" t="str">
        <f t="shared" si="18"/>
        <v/>
      </c>
      <c r="BB1300" s="171" t="str">
        <f t="shared" si="19"/>
        <v>Code</v>
      </c>
      <c r="BC1300" s="171" t="str">
        <f t="shared" si="20"/>
        <v/>
      </c>
      <c r="BD1300" s="171" t="str">
        <f t="shared" si="21"/>
        <v/>
      </c>
      <c r="BE1300" s="171" t="str">
        <f t="shared" si="22"/>
        <v/>
      </c>
      <c r="BF1300" s="171" t="str">
        <f t="shared" si="23"/>
        <v>Code</v>
      </c>
    </row>
    <row r="1301">
      <c r="A1301" s="171">
        <f t="array" ref="A1301">XLOOKUP(C1301,FSE!A:A,FSE!C:C,"XXXXX",0,1)</f>
        <v>2023</v>
      </c>
      <c r="B1301" s="213" t="s">
        <v>5676</v>
      </c>
      <c r="C1301" s="214">
        <v>59.0</v>
      </c>
      <c r="D1301" s="215" t="s">
        <v>6200</v>
      </c>
      <c r="E1301" s="197" t="str">
        <f t="array" ref="E1301">XLOOKUP(C1301,FSE!A:A,FSE!Z:Z,"XXXXX",0,1)</f>
        <v>Publicly Available (2)</v>
      </c>
      <c r="F1301" s="213" t="s">
        <v>3394</v>
      </c>
      <c r="G1301" s="163" t="str">
        <f t="array" ref="G1301">IF(B1301="ICSE",IF(COUNTIFS(B:B,B1301,C:C,C1301)=XLOOKUP(C1301,ICSE!A:A,ICSE!AA:AA,"ERROR",0,1),"OK","ERROR"),IF(B1301="FSE",IF(COUNTIFS(B:B,B1301,C:C,C1301)=XLOOKUP(C1301,FSE!A:A,FSE!AA:AA,"ERROR",0,1),"OK","ERROR")))</f>
        <v>OK</v>
      </c>
      <c r="H1301" s="199">
        <f t="shared" ref="H1301:O1301" si="6584">countif($D1301,"*"&amp;H$2&amp;"*")</f>
        <v>0</v>
      </c>
      <c r="I1301" s="200">
        <f t="shared" si="6584"/>
        <v>0</v>
      </c>
      <c r="J1301" s="200">
        <f t="shared" si="6584"/>
        <v>0</v>
      </c>
      <c r="K1301" s="200">
        <f t="shared" si="6584"/>
        <v>0</v>
      </c>
      <c r="L1301" s="200">
        <f t="shared" si="6584"/>
        <v>0</v>
      </c>
      <c r="M1301" s="200">
        <f t="shared" si="6584"/>
        <v>0</v>
      </c>
      <c r="N1301" s="200">
        <f t="shared" si="6584"/>
        <v>0</v>
      </c>
      <c r="O1301" s="200">
        <f t="shared" si="6584"/>
        <v>0</v>
      </c>
      <c r="P1301" s="200">
        <f t="shared" si="9"/>
        <v>1</v>
      </c>
      <c r="Q1301" s="200">
        <f t="shared" ref="Q1301:AC1301" si="6585">countif($D1301,"*"&amp;Q$2&amp;"*")</f>
        <v>0</v>
      </c>
      <c r="R1301" s="200">
        <f t="shared" si="6585"/>
        <v>0</v>
      </c>
      <c r="S1301" s="200">
        <f t="shared" si="6585"/>
        <v>0</v>
      </c>
      <c r="T1301" s="200">
        <f t="shared" si="6585"/>
        <v>0</v>
      </c>
      <c r="U1301" s="200">
        <f t="shared" si="6585"/>
        <v>0</v>
      </c>
      <c r="V1301" s="200">
        <f t="shared" si="6585"/>
        <v>0</v>
      </c>
      <c r="W1301" s="200">
        <f t="shared" si="6585"/>
        <v>0</v>
      </c>
      <c r="X1301" s="200">
        <f t="shared" si="6585"/>
        <v>0</v>
      </c>
      <c r="Y1301" s="200">
        <f t="shared" si="6585"/>
        <v>0</v>
      </c>
      <c r="Z1301" s="200">
        <f t="shared" si="6585"/>
        <v>0</v>
      </c>
      <c r="AA1301" s="200">
        <f t="shared" si="6585"/>
        <v>0</v>
      </c>
      <c r="AB1301" s="200">
        <f t="shared" si="6585"/>
        <v>0</v>
      </c>
      <c r="AC1301" s="200">
        <f t="shared" si="6585"/>
        <v>0</v>
      </c>
      <c r="AD1301" s="200">
        <f t="shared" si="11"/>
        <v>0</v>
      </c>
      <c r="AE1301" s="200">
        <f t="shared" ref="AE1301:AG1301" si="6586">countif($D1301,"*"&amp;AE$2&amp;"*")</f>
        <v>0</v>
      </c>
      <c r="AF1301" s="200">
        <f t="shared" si="6586"/>
        <v>0</v>
      </c>
      <c r="AG1301" s="200">
        <f t="shared" si="6586"/>
        <v>0</v>
      </c>
      <c r="AH1301" s="171">
        <f t="shared" si="13"/>
        <v>0</v>
      </c>
      <c r="AI1301" s="200">
        <f t="shared" si="14"/>
        <v>0</v>
      </c>
      <c r="AJ1301" s="200">
        <f t="shared" si="6100"/>
        <v>0</v>
      </c>
      <c r="AK1301" s="201">
        <f t="shared" ref="AK1301:AS1301" si="6587">countif($D1301,"*"&amp;AK$2&amp;"*")</f>
        <v>0</v>
      </c>
      <c r="AL1301" s="201">
        <f t="shared" si="6587"/>
        <v>0</v>
      </c>
      <c r="AM1301" s="201">
        <f t="shared" si="6587"/>
        <v>0</v>
      </c>
      <c r="AN1301" s="201">
        <f t="shared" si="6587"/>
        <v>0</v>
      </c>
      <c r="AO1301" s="201">
        <f t="shared" si="6587"/>
        <v>0</v>
      </c>
      <c r="AP1301" s="201">
        <f t="shared" si="6587"/>
        <v>0</v>
      </c>
      <c r="AQ1301" s="201">
        <f t="shared" si="6587"/>
        <v>0</v>
      </c>
      <c r="AR1301" s="200">
        <f t="shared" si="6587"/>
        <v>0</v>
      </c>
      <c r="AS1301" s="200">
        <f t="shared" si="6587"/>
        <v>0</v>
      </c>
      <c r="AT1301" s="173">
        <v>0.0</v>
      </c>
      <c r="AU1301" s="200">
        <f t="shared" si="6217"/>
        <v>0</v>
      </c>
      <c r="AV1301" s="200">
        <f t="shared" ref="AV1301:AX1301" si="6588">countif($D1301,"*"&amp;AV$2&amp;"*")</f>
        <v>1</v>
      </c>
      <c r="AW1301" s="200">
        <f t="shared" si="6588"/>
        <v>0</v>
      </c>
      <c r="AX1301" s="200">
        <f t="shared" si="6588"/>
        <v>0</v>
      </c>
      <c r="AY1301" s="202">
        <v>0.0</v>
      </c>
      <c r="AZ1301" s="200"/>
      <c r="BA1301" s="171" t="str">
        <f t="shared" si="18"/>
        <v/>
      </c>
      <c r="BB1301" s="171" t="str">
        <f t="shared" si="19"/>
        <v>Code</v>
      </c>
      <c r="BC1301" s="171" t="str">
        <f t="shared" si="20"/>
        <v/>
      </c>
      <c r="BD1301" s="171" t="str">
        <f t="shared" si="21"/>
        <v/>
      </c>
      <c r="BE1301" s="171" t="str">
        <f t="shared" si="22"/>
        <v/>
      </c>
      <c r="BF1301" s="171" t="str">
        <f t="shared" si="23"/>
        <v>Code</v>
      </c>
    </row>
    <row r="1302">
      <c r="A1302" s="171">
        <f t="array" ref="A1302">XLOOKUP(C1302,FSE!A:A,FSE!C:C,"XXXXX",0,1)</f>
        <v>2023</v>
      </c>
      <c r="B1302" s="171" t="s">
        <v>5676</v>
      </c>
      <c r="C1302" s="160">
        <v>59.0</v>
      </c>
      <c r="D1302" s="161" t="s">
        <v>6201</v>
      </c>
      <c r="E1302" s="197" t="str">
        <f t="array" ref="E1302">XLOOKUP(C1302,FSE!A:A,FSE!Z:Z,"XXXXX",0,1)</f>
        <v>Publicly Available (2)</v>
      </c>
      <c r="F1302" s="213" t="s">
        <v>3394</v>
      </c>
      <c r="G1302" s="163" t="str">
        <f t="array" ref="G1302">IF(B1302="ICSE",IF(COUNTIFS(B:B,B1302,C:C,C1302)=XLOOKUP(C1302,ICSE!A:A,ICSE!AA:AA,"ERROR",0,1),"OK","ERROR"),IF(B1302="FSE",IF(COUNTIFS(B:B,B1302,C:C,C1302)=XLOOKUP(C1302,FSE!A:A,FSE!AA:AA,"ERROR",0,1),"OK","ERROR")))</f>
        <v>OK</v>
      </c>
      <c r="H1302" s="199">
        <f t="shared" ref="H1302:O1302" si="6589">countif($D1302,"*"&amp;H$2&amp;"*")</f>
        <v>0</v>
      </c>
      <c r="I1302" s="200">
        <f t="shared" si="6589"/>
        <v>1</v>
      </c>
      <c r="J1302" s="200">
        <f t="shared" si="6589"/>
        <v>0</v>
      </c>
      <c r="K1302" s="200">
        <f t="shared" si="6589"/>
        <v>0</v>
      </c>
      <c r="L1302" s="200">
        <f t="shared" si="6589"/>
        <v>0</v>
      </c>
      <c r="M1302" s="200">
        <f t="shared" si="6589"/>
        <v>0</v>
      </c>
      <c r="N1302" s="200">
        <f t="shared" si="6589"/>
        <v>0</v>
      </c>
      <c r="O1302" s="200">
        <f t="shared" si="6589"/>
        <v>0</v>
      </c>
      <c r="P1302" s="200">
        <f t="shared" si="9"/>
        <v>0</v>
      </c>
      <c r="Q1302" s="200">
        <f t="shared" ref="Q1302:AC1302" si="6590">countif($D1302,"*"&amp;Q$2&amp;"*")</f>
        <v>0</v>
      </c>
      <c r="R1302" s="200">
        <f t="shared" si="6590"/>
        <v>0</v>
      </c>
      <c r="S1302" s="200">
        <f t="shared" si="6590"/>
        <v>0</v>
      </c>
      <c r="T1302" s="200">
        <f t="shared" si="6590"/>
        <v>0</v>
      </c>
      <c r="U1302" s="200">
        <f t="shared" si="6590"/>
        <v>0</v>
      </c>
      <c r="V1302" s="200">
        <f t="shared" si="6590"/>
        <v>0</v>
      </c>
      <c r="W1302" s="200">
        <f t="shared" si="6590"/>
        <v>0</v>
      </c>
      <c r="X1302" s="200">
        <f t="shared" si="6590"/>
        <v>0</v>
      </c>
      <c r="Y1302" s="200">
        <f t="shared" si="6590"/>
        <v>0</v>
      </c>
      <c r="Z1302" s="200">
        <f t="shared" si="6590"/>
        <v>0</v>
      </c>
      <c r="AA1302" s="200">
        <f t="shared" si="6590"/>
        <v>0</v>
      </c>
      <c r="AB1302" s="200">
        <f t="shared" si="6590"/>
        <v>0</v>
      </c>
      <c r="AC1302" s="200">
        <f t="shared" si="6590"/>
        <v>0</v>
      </c>
      <c r="AD1302" s="200">
        <f t="shared" si="11"/>
        <v>0</v>
      </c>
      <c r="AE1302" s="200">
        <f t="shared" ref="AE1302:AG1302" si="6591">countif($D1302,"*"&amp;AE$2&amp;"*")</f>
        <v>0</v>
      </c>
      <c r="AF1302" s="200">
        <f t="shared" si="6591"/>
        <v>0</v>
      </c>
      <c r="AG1302" s="200">
        <f t="shared" si="6591"/>
        <v>0</v>
      </c>
      <c r="AH1302" s="171">
        <f t="shared" si="13"/>
        <v>0</v>
      </c>
      <c r="AI1302" s="200">
        <f t="shared" si="14"/>
        <v>1</v>
      </c>
      <c r="AJ1302" s="200">
        <f t="shared" si="6100"/>
        <v>0</v>
      </c>
      <c r="AK1302" s="201">
        <f t="shared" ref="AK1302:AS1302" si="6592">countif($D1302,"*"&amp;AK$2&amp;"*")</f>
        <v>0</v>
      </c>
      <c r="AL1302" s="201">
        <f t="shared" si="6592"/>
        <v>0</v>
      </c>
      <c r="AM1302" s="201">
        <f t="shared" si="6592"/>
        <v>0</v>
      </c>
      <c r="AN1302" s="201">
        <f t="shared" si="6592"/>
        <v>0</v>
      </c>
      <c r="AO1302" s="201">
        <f t="shared" si="6592"/>
        <v>0</v>
      </c>
      <c r="AP1302" s="201">
        <f t="shared" si="6592"/>
        <v>0</v>
      </c>
      <c r="AQ1302" s="201">
        <f t="shared" si="6592"/>
        <v>0</v>
      </c>
      <c r="AR1302" s="200">
        <f t="shared" si="6592"/>
        <v>0</v>
      </c>
      <c r="AS1302" s="200">
        <f t="shared" si="6592"/>
        <v>0</v>
      </c>
      <c r="AT1302" s="173">
        <v>0.0</v>
      </c>
      <c r="AU1302" s="200">
        <f t="shared" si="6217"/>
        <v>0</v>
      </c>
      <c r="AV1302" s="200">
        <f t="shared" ref="AV1302:AX1302" si="6593">countif($D1302,"*"&amp;AV$2&amp;"*")</f>
        <v>0</v>
      </c>
      <c r="AW1302" s="200">
        <f t="shared" si="6593"/>
        <v>0</v>
      </c>
      <c r="AX1302" s="200">
        <f t="shared" si="6593"/>
        <v>1</v>
      </c>
      <c r="AY1302" s="202">
        <v>0.0</v>
      </c>
      <c r="AZ1302" s="200"/>
      <c r="BA1302" s="171" t="str">
        <f t="shared" si="18"/>
        <v>Archival</v>
      </c>
      <c r="BB1302" s="171" t="str">
        <f t="shared" si="19"/>
        <v/>
      </c>
      <c r="BC1302" s="171" t="str">
        <f t="shared" si="20"/>
        <v/>
      </c>
      <c r="BD1302" s="171" t="str">
        <f t="shared" si="21"/>
        <v/>
      </c>
      <c r="BE1302" s="171" t="str">
        <f t="shared" si="22"/>
        <v/>
      </c>
      <c r="BF1302" s="171" t="str">
        <f t="shared" si="23"/>
        <v>Archival</v>
      </c>
    </row>
    <row r="1303">
      <c r="A1303" s="171">
        <f t="array" ref="A1303">XLOOKUP(C1303,FSE!A:A,FSE!C:C,"XXXXX",0,1)</f>
        <v>2023</v>
      </c>
      <c r="B1303" s="213" t="s">
        <v>5676</v>
      </c>
      <c r="C1303" s="214">
        <v>60.0</v>
      </c>
      <c r="D1303" s="215" t="s">
        <v>5463</v>
      </c>
      <c r="E1303" s="197" t="str">
        <f t="array" ref="E1303">XLOOKUP(C1303,FSE!A:A,FSE!Z:Z,"XXXXX",0,1)</f>
        <v>Publicly Available (1)</v>
      </c>
      <c r="F1303" s="213" t="s">
        <v>3394</v>
      </c>
      <c r="G1303" s="163" t="str">
        <f t="array" ref="G1303">IF(B1303="ICSE",IF(COUNTIFS(B:B,B1303,C:C,C1303)=XLOOKUP(C1303,ICSE!A:A,ICSE!AA:AA,"ERROR",0,1),"OK","ERROR"),IF(B1303="FSE",IF(COUNTIFS(B:B,B1303,C:C,C1303)=XLOOKUP(C1303,FSE!A:A,FSE!AA:AA,"ERROR",0,1),"OK","ERROR")))</f>
        <v>OK</v>
      </c>
      <c r="H1303" s="199">
        <f t="shared" ref="H1303:O1303" si="6594">countif($D1303,"*"&amp;H$2&amp;"*")</f>
        <v>0</v>
      </c>
      <c r="I1303" s="200">
        <f t="shared" si="6594"/>
        <v>0</v>
      </c>
      <c r="J1303" s="200">
        <f t="shared" si="6594"/>
        <v>0</v>
      </c>
      <c r="K1303" s="200">
        <f t="shared" si="6594"/>
        <v>0</v>
      </c>
      <c r="L1303" s="200">
        <f t="shared" si="6594"/>
        <v>0</v>
      </c>
      <c r="M1303" s="200">
        <f t="shared" si="6594"/>
        <v>0</v>
      </c>
      <c r="N1303" s="200">
        <f t="shared" si="6594"/>
        <v>0</v>
      </c>
      <c r="O1303" s="200">
        <f t="shared" si="6594"/>
        <v>0</v>
      </c>
      <c r="P1303" s="200">
        <f t="shared" si="9"/>
        <v>1</v>
      </c>
      <c r="Q1303" s="200">
        <f t="shared" ref="Q1303:AC1303" si="6595">countif($D1303,"*"&amp;Q$2&amp;"*")</f>
        <v>0</v>
      </c>
      <c r="R1303" s="200">
        <f t="shared" si="6595"/>
        <v>0</v>
      </c>
      <c r="S1303" s="200">
        <f t="shared" si="6595"/>
        <v>0</v>
      </c>
      <c r="T1303" s="200">
        <f t="shared" si="6595"/>
        <v>0</v>
      </c>
      <c r="U1303" s="200">
        <f t="shared" si="6595"/>
        <v>0</v>
      </c>
      <c r="V1303" s="200">
        <f t="shared" si="6595"/>
        <v>0</v>
      </c>
      <c r="W1303" s="200">
        <f t="shared" si="6595"/>
        <v>0</v>
      </c>
      <c r="X1303" s="200">
        <f t="shared" si="6595"/>
        <v>0</v>
      </c>
      <c r="Y1303" s="200">
        <f t="shared" si="6595"/>
        <v>0</v>
      </c>
      <c r="Z1303" s="200">
        <f t="shared" si="6595"/>
        <v>0</v>
      </c>
      <c r="AA1303" s="200">
        <f t="shared" si="6595"/>
        <v>0</v>
      </c>
      <c r="AB1303" s="200">
        <f t="shared" si="6595"/>
        <v>0</v>
      </c>
      <c r="AC1303" s="200">
        <f t="shared" si="6595"/>
        <v>0</v>
      </c>
      <c r="AD1303" s="200">
        <f t="shared" si="11"/>
        <v>0</v>
      </c>
      <c r="AE1303" s="200">
        <f t="shared" ref="AE1303:AG1303" si="6596">countif($D1303,"*"&amp;AE$2&amp;"*")</f>
        <v>0</v>
      </c>
      <c r="AF1303" s="200">
        <f t="shared" si="6596"/>
        <v>0</v>
      </c>
      <c r="AG1303" s="200">
        <f t="shared" si="6596"/>
        <v>0</v>
      </c>
      <c r="AH1303" s="171">
        <f t="shared" si="13"/>
        <v>0</v>
      </c>
      <c r="AI1303" s="200">
        <f t="shared" si="14"/>
        <v>0</v>
      </c>
      <c r="AJ1303" s="200">
        <f t="shared" si="6100"/>
        <v>0</v>
      </c>
      <c r="AK1303" s="201">
        <f t="shared" ref="AK1303:AS1303" si="6597">countif($D1303,"*"&amp;AK$2&amp;"*")</f>
        <v>0</v>
      </c>
      <c r="AL1303" s="201">
        <f t="shared" si="6597"/>
        <v>0</v>
      </c>
      <c r="AM1303" s="201">
        <f t="shared" si="6597"/>
        <v>0</v>
      </c>
      <c r="AN1303" s="201">
        <f t="shared" si="6597"/>
        <v>0</v>
      </c>
      <c r="AO1303" s="201">
        <f t="shared" si="6597"/>
        <v>0</v>
      </c>
      <c r="AP1303" s="201">
        <f t="shared" si="6597"/>
        <v>0</v>
      </c>
      <c r="AQ1303" s="201">
        <f t="shared" si="6597"/>
        <v>0</v>
      </c>
      <c r="AR1303" s="200">
        <f t="shared" si="6597"/>
        <v>0</v>
      </c>
      <c r="AS1303" s="200">
        <f t="shared" si="6597"/>
        <v>0</v>
      </c>
      <c r="AT1303" s="173">
        <v>0.0</v>
      </c>
      <c r="AU1303" s="200">
        <f t="shared" si="6217"/>
        <v>0</v>
      </c>
      <c r="AV1303" s="200">
        <f t="shared" ref="AV1303:AX1303" si="6598">countif($D1303,"*"&amp;AV$2&amp;"*")</f>
        <v>1</v>
      </c>
      <c r="AW1303" s="200">
        <f t="shared" si="6598"/>
        <v>0</v>
      </c>
      <c r="AX1303" s="200">
        <f t="shared" si="6598"/>
        <v>0</v>
      </c>
      <c r="AY1303" s="202">
        <v>0.0</v>
      </c>
      <c r="AZ1303" s="200"/>
      <c r="BA1303" s="171" t="str">
        <f t="shared" si="18"/>
        <v/>
      </c>
      <c r="BB1303" s="171" t="str">
        <f t="shared" si="19"/>
        <v>Code</v>
      </c>
      <c r="BC1303" s="171" t="str">
        <f t="shared" si="20"/>
        <v/>
      </c>
      <c r="BD1303" s="171" t="str">
        <f t="shared" si="21"/>
        <v/>
      </c>
      <c r="BE1303" s="171" t="str">
        <f t="shared" si="22"/>
        <v/>
      </c>
      <c r="BF1303" s="171" t="str">
        <f t="shared" si="23"/>
        <v>Code</v>
      </c>
    </row>
    <row r="1304">
      <c r="A1304" s="171">
        <f t="array" ref="A1304">XLOOKUP(C1304,FSE!A:A,FSE!C:C,"XXXXX",0,1)</f>
        <v>2023</v>
      </c>
      <c r="B1304" s="171" t="s">
        <v>5676</v>
      </c>
      <c r="C1304" s="160">
        <v>61.0</v>
      </c>
      <c r="D1304" s="161" t="s">
        <v>5466</v>
      </c>
      <c r="E1304" s="197" t="str">
        <f t="array" ref="E1304">XLOOKUP(C1304,FSE!A:A,FSE!Z:Z,"XXXXX",0,1)</f>
        <v>Publicly Available (1)</v>
      </c>
      <c r="F1304" s="213" t="s">
        <v>3394</v>
      </c>
      <c r="G1304" s="163" t="str">
        <f t="array" ref="G1304">IF(B1304="ICSE",IF(COUNTIFS(B:B,B1304,C:C,C1304)=XLOOKUP(C1304,ICSE!A:A,ICSE!AA:AA,"ERROR",0,1),"OK","ERROR"),IF(B1304="FSE",IF(COUNTIFS(B:B,B1304,C:C,C1304)=XLOOKUP(C1304,FSE!A:A,FSE!AA:AA,"ERROR",0,1),"OK","ERROR")))</f>
        <v>OK</v>
      </c>
      <c r="H1304" s="199">
        <f t="shared" ref="H1304:O1304" si="6599">countif($D1304,"*"&amp;H$2&amp;"*")</f>
        <v>0</v>
      </c>
      <c r="I1304" s="200">
        <f t="shared" si="6599"/>
        <v>0</v>
      </c>
      <c r="J1304" s="200">
        <f t="shared" si="6599"/>
        <v>0</v>
      </c>
      <c r="K1304" s="200">
        <f t="shared" si="6599"/>
        <v>0</v>
      </c>
      <c r="L1304" s="200">
        <f t="shared" si="6599"/>
        <v>0</v>
      </c>
      <c r="M1304" s="200">
        <f t="shared" si="6599"/>
        <v>0</v>
      </c>
      <c r="N1304" s="200">
        <f t="shared" si="6599"/>
        <v>0</v>
      </c>
      <c r="O1304" s="200">
        <f t="shared" si="6599"/>
        <v>0</v>
      </c>
      <c r="P1304" s="200">
        <f t="shared" si="9"/>
        <v>1</v>
      </c>
      <c r="Q1304" s="200">
        <f t="shared" ref="Q1304:AC1304" si="6600">countif($D1304,"*"&amp;Q$2&amp;"*")</f>
        <v>0</v>
      </c>
      <c r="R1304" s="200">
        <f t="shared" si="6600"/>
        <v>0</v>
      </c>
      <c r="S1304" s="200">
        <f t="shared" si="6600"/>
        <v>0</v>
      </c>
      <c r="T1304" s="200">
        <f t="shared" si="6600"/>
        <v>0</v>
      </c>
      <c r="U1304" s="200">
        <f t="shared" si="6600"/>
        <v>0</v>
      </c>
      <c r="V1304" s="200">
        <f t="shared" si="6600"/>
        <v>0</v>
      </c>
      <c r="W1304" s="200">
        <f t="shared" si="6600"/>
        <v>0</v>
      </c>
      <c r="X1304" s="200">
        <f t="shared" si="6600"/>
        <v>0</v>
      </c>
      <c r="Y1304" s="200">
        <f t="shared" si="6600"/>
        <v>0</v>
      </c>
      <c r="Z1304" s="200">
        <f t="shared" si="6600"/>
        <v>0</v>
      </c>
      <c r="AA1304" s="200">
        <f t="shared" si="6600"/>
        <v>0</v>
      </c>
      <c r="AB1304" s="200">
        <f t="shared" si="6600"/>
        <v>0</v>
      </c>
      <c r="AC1304" s="200">
        <f t="shared" si="6600"/>
        <v>0</v>
      </c>
      <c r="AD1304" s="200">
        <f t="shared" si="11"/>
        <v>0</v>
      </c>
      <c r="AE1304" s="200">
        <f t="shared" ref="AE1304:AG1304" si="6601">countif($D1304,"*"&amp;AE$2&amp;"*")</f>
        <v>0</v>
      </c>
      <c r="AF1304" s="200">
        <f t="shared" si="6601"/>
        <v>0</v>
      </c>
      <c r="AG1304" s="200">
        <f t="shared" si="6601"/>
        <v>0</v>
      </c>
      <c r="AH1304" s="171">
        <f t="shared" si="13"/>
        <v>0</v>
      </c>
      <c r="AI1304" s="200">
        <f t="shared" si="14"/>
        <v>0</v>
      </c>
      <c r="AJ1304" s="200">
        <f t="shared" si="6100"/>
        <v>0</v>
      </c>
      <c r="AK1304" s="201">
        <f t="shared" ref="AK1304:AS1304" si="6602">countif($D1304,"*"&amp;AK$2&amp;"*")</f>
        <v>0</v>
      </c>
      <c r="AL1304" s="201">
        <f t="shared" si="6602"/>
        <v>0</v>
      </c>
      <c r="AM1304" s="201">
        <f t="shared" si="6602"/>
        <v>0</v>
      </c>
      <c r="AN1304" s="201">
        <f t="shared" si="6602"/>
        <v>0</v>
      </c>
      <c r="AO1304" s="201">
        <f t="shared" si="6602"/>
        <v>0</v>
      </c>
      <c r="AP1304" s="201">
        <f t="shared" si="6602"/>
        <v>0</v>
      </c>
      <c r="AQ1304" s="201">
        <f t="shared" si="6602"/>
        <v>0</v>
      </c>
      <c r="AR1304" s="200">
        <f t="shared" si="6602"/>
        <v>0</v>
      </c>
      <c r="AS1304" s="200">
        <f t="shared" si="6602"/>
        <v>0</v>
      </c>
      <c r="AT1304" s="173">
        <v>0.0</v>
      </c>
      <c r="AU1304" s="200">
        <f t="shared" si="6217"/>
        <v>0</v>
      </c>
      <c r="AV1304" s="200">
        <f t="shared" ref="AV1304:AX1304" si="6603">countif($D1304,"*"&amp;AV$2&amp;"*")</f>
        <v>1</v>
      </c>
      <c r="AW1304" s="200">
        <f t="shared" si="6603"/>
        <v>0</v>
      </c>
      <c r="AX1304" s="200">
        <f t="shared" si="6603"/>
        <v>0</v>
      </c>
      <c r="AY1304" s="202">
        <v>0.0</v>
      </c>
      <c r="AZ1304" s="200"/>
      <c r="BA1304" s="171" t="str">
        <f t="shared" si="18"/>
        <v/>
      </c>
      <c r="BB1304" s="171" t="str">
        <f t="shared" si="19"/>
        <v>Code</v>
      </c>
      <c r="BC1304" s="171" t="str">
        <f t="shared" si="20"/>
        <v/>
      </c>
      <c r="BD1304" s="171" t="str">
        <f t="shared" si="21"/>
        <v/>
      </c>
      <c r="BE1304" s="171" t="str">
        <f t="shared" si="22"/>
        <v/>
      </c>
      <c r="BF1304" s="171" t="str">
        <f t="shared" si="23"/>
        <v>Code</v>
      </c>
    </row>
    <row r="1305">
      <c r="A1305" s="171">
        <f t="array" ref="A1305">XLOOKUP(C1305,FSE!A:A,FSE!C:C,"XXXXX",0,1)</f>
        <v>2023</v>
      </c>
      <c r="B1305" s="213" t="s">
        <v>5676</v>
      </c>
      <c r="C1305" s="214">
        <v>62.0</v>
      </c>
      <c r="D1305" s="215" t="s">
        <v>5468</v>
      </c>
      <c r="E1305" s="197" t="str">
        <f t="array" ref="E1305">XLOOKUP(C1305,FSE!A:A,FSE!Z:Z,"XXXXX",0,1)</f>
        <v>Publicly Available (1)</v>
      </c>
      <c r="F1305" s="213" t="s">
        <v>3394</v>
      </c>
      <c r="G1305" s="163" t="str">
        <f t="array" ref="G1305">IF(B1305="ICSE",IF(COUNTIFS(B:B,B1305,C:C,C1305)=XLOOKUP(C1305,ICSE!A:A,ICSE!AA:AA,"ERROR",0,1),"OK","ERROR"),IF(B1305="FSE",IF(COUNTIFS(B:B,B1305,C:C,C1305)=XLOOKUP(C1305,FSE!A:A,FSE!AA:AA,"ERROR",0,1),"OK","ERROR")))</f>
        <v>OK</v>
      </c>
      <c r="H1305" s="199">
        <f t="shared" ref="H1305:O1305" si="6604">countif($D1305,"*"&amp;H$2&amp;"*")</f>
        <v>0</v>
      </c>
      <c r="I1305" s="200">
        <f t="shared" si="6604"/>
        <v>0</v>
      </c>
      <c r="J1305" s="200">
        <f t="shared" si="6604"/>
        <v>0</v>
      </c>
      <c r="K1305" s="200">
        <f t="shared" si="6604"/>
        <v>0</v>
      </c>
      <c r="L1305" s="200">
        <f t="shared" si="6604"/>
        <v>0</v>
      </c>
      <c r="M1305" s="200">
        <f t="shared" si="6604"/>
        <v>0</v>
      </c>
      <c r="N1305" s="200">
        <f t="shared" si="6604"/>
        <v>0</v>
      </c>
      <c r="O1305" s="200">
        <f t="shared" si="6604"/>
        <v>0</v>
      </c>
      <c r="P1305" s="200">
        <f t="shared" si="9"/>
        <v>1</v>
      </c>
      <c r="Q1305" s="200">
        <f t="shared" ref="Q1305:AC1305" si="6605">countif($D1305,"*"&amp;Q$2&amp;"*")</f>
        <v>0</v>
      </c>
      <c r="R1305" s="200">
        <f t="shared" si="6605"/>
        <v>0</v>
      </c>
      <c r="S1305" s="200">
        <f t="shared" si="6605"/>
        <v>0</v>
      </c>
      <c r="T1305" s="200">
        <f t="shared" si="6605"/>
        <v>0</v>
      </c>
      <c r="U1305" s="200">
        <f t="shared" si="6605"/>
        <v>0</v>
      </c>
      <c r="V1305" s="200">
        <f t="shared" si="6605"/>
        <v>0</v>
      </c>
      <c r="W1305" s="200">
        <f t="shared" si="6605"/>
        <v>0</v>
      </c>
      <c r="X1305" s="200">
        <f t="shared" si="6605"/>
        <v>0</v>
      </c>
      <c r="Y1305" s="200">
        <f t="shared" si="6605"/>
        <v>0</v>
      </c>
      <c r="Z1305" s="200">
        <f t="shared" si="6605"/>
        <v>0</v>
      </c>
      <c r="AA1305" s="200">
        <f t="shared" si="6605"/>
        <v>0</v>
      </c>
      <c r="AB1305" s="200">
        <f t="shared" si="6605"/>
        <v>0</v>
      </c>
      <c r="AC1305" s="200">
        <f t="shared" si="6605"/>
        <v>0</v>
      </c>
      <c r="AD1305" s="200">
        <f t="shared" si="11"/>
        <v>0</v>
      </c>
      <c r="AE1305" s="200">
        <f t="shared" ref="AE1305:AG1305" si="6606">countif($D1305,"*"&amp;AE$2&amp;"*")</f>
        <v>0</v>
      </c>
      <c r="AF1305" s="200">
        <f t="shared" si="6606"/>
        <v>0</v>
      </c>
      <c r="AG1305" s="200">
        <f t="shared" si="6606"/>
        <v>0</v>
      </c>
      <c r="AH1305" s="171">
        <f t="shared" si="13"/>
        <v>0</v>
      </c>
      <c r="AI1305" s="200">
        <f t="shared" si="14"/>
        <v>0</v>
      </c>
      <c r="AJ1305" s="200">
        <f t="shared" si="6100"/>
        <v>0</v>
      </c>
      <c r="AK1305" s="201">
        <f t="shared" ref="AK1305:AS1305" si="6607">countif($D1305,"*"&amp;AK$2&amp;"*")</f>
        <v>0</v>
      </c>
      <c r="AL1305" s="201">
        <f t="shared" si="6607"/>
        <v>0</v>
      </c>
      <c r="AM1305" s="201">
        <f t="shared" si="6607"/>
        <v>0</v>
      </c>
      <c r="AN1305" s="201">
        <f t="shared" si="6607"/>
        <v>0</v>
      </c>
      <c r="AO1305" s="201">
        <f t="shared" si="6607"/>
        <v>0</v>
      </c>
      <c r="AP1305" s="201">
        <f t="shared" si="6607"/>
        <v>0</v>
      </c>
      <c r="AQ1305" s="201">
        <f t="shared" si="6607"/>
        <v>0</v>
      </c>
      <c r="AR1305" s="200">
        <f t="shared" si="6607"/>
        <v>0</v>
      </c>
      <c r="AS1305" s="200">
        <f t="shared" si="6607"/>
        <v>0</v>
      </c>
      <c r="AT1305" s="173">
        <v>0.0</v>
      </c>
      <c r="AU1305" s="200">
        <f t="shared" si="6217"/>
        <v>0</v>
      </c>
      <c r="AV1305" s="200">
        <f t="shared" ref="AV1305:AX1305" si="6608">countif($D1305,"*"&amp;AV$2&amp;"*")</f>
        <v>1</v>
      </c>
      <c r="AW1305" s="200">
        <f t="shared" si="6608"/>
        <v>0</v>
      </c>
      <c r="AX1305" s="200">
        <f t="shared" si="6608"/>
        <v>0</v>
      </c>
      <c r="AY1305" s="202">
        <v>0.0</v>
      </c>
      <c r="AZ1305" s="200"/>
      <c r="BA1305" s="171" t="str">
        <f t="shared" si="18"/>
        <v/>
      </c>
      <c r="BB1305" s="171" t="str">
        <f t="shared" si="19"/>
        <v>Code</v>
      </c>
      <c r="BC1305" s="171" t="str">
        <f t="shared" si="20"/>
        <v/>
      </c>
      <c r="BD1305" s="171" t="str">
        <f t="shared" si="21"/>
        <v/>
      </c>
      <c r="BE1305" s="171" t="str">
        <f t="shared" si="22"/>
        <v/>
      </c>
      <c r="BF1305" s="171" t="str">
        <f t="shared" si="23"/>
        <v>Code</v>
      </c>
    </row>
    <row r="1306">
      <c r="A1306" s="171">
        <f t="array" ref="A1306">XLOOKUP(C1306,FSE!A:A,FSE!C:C,"XXXXX",0,1)</f>
        <v>2023</v>
      </c>
      <c r="B1306" s="213" t="s">
        <v>5676</v>
      </c>
      <c r="C1306" s="214">
        <v>63.0</v>
      </c>
      <c r="D1306" s="215" t="s">
        <v>5471</v>
      </c>
      <c r="E1306" s="197" t="str">
        <f t="array" ref="E1306">XLOOKUP(C1306,FSE!A:A,FSE!Z:Z,"XXXXX",0,1)</f>
        <v>Publicly Available (1)</v>
      </c>
      <c r="F1306" s="213" t="s">
        <v>3394</v>
      </c>
      <c r="G1306" s="163" t="str">
        <f t="array" ref="G1306">IF(B1306="ICSE",IF(COUNTIFS(B:B,B1306,C:C,C1306)=XLOOKUP(C1306,ICSE!A:A,ICSE!AA:AA,"ERROR",0,1),"OK","ERROR"),IF(B1306="FSE",IF(COUNTIFS(B:B,B1306,C:C,C1306)=XLOOKUP(C1306,FSE!A:A,FSE!AA:AA,"ERROR",0,1),"OK","ERROR")))</f>
        <v>OK</v>
      </c>
      <c r="H1306" s="199">
        <f t="shared" ref="H1306:O1306" si="6609">countif($D1306,"*"&amp;H$2&amp;"*")</f>
        <v>0</v>
      </c>
      <c r="I1306" s="200">
        <f t="shared" si="6609"/>
        <v>0</v>
      </c>
      <c r="J1306" s="200">
        <f t="shared" si="6609"/>
        <v>0</v>
      </c>
      <c r="K1306" s="200">
        <f t="shared" si="6609"/>
        <v>0</v>
      </c>
      <c r="L1306" s="200">
        <f t="shared" si="6609"/>
        <v>0</v>
      </c>
      <c r="M1306" s="200">
        <f t="shared" si="6609"/>
        <v>0</v>
      </c>
      <c r="N1306" s="200">
        <f t="shared" si="6609"/>
        <v>0</v>
      </c>
      <c r="O1306" s="200">
        <f t="shared" si="6609"/>
        <v>0</v>
      </c>
      <c r="P1306" s="200">
        <f t="shared" si="9"/>
        <v>0</v>
      </c>
      <c r="Q1306" s="200">
        <f t="shared" ref="Q1306:AC1306" si="6610">countif($D1306,"*"&amp;Q$2&amp;"*")</f>
        <v>0</v>
      </c>
      <c r="R1306" s="200">
        <f t="shared" si="6610"/>
        <v>0</v>
      </c>
      <c r="S1306" s="200">
        <f t="shared" si="6610"/>
        <v>0</v>
      </c>
      <c r="T1306" s="200">
        <f t="shared" si="6610"/>
        <v>0</v>
      </c>
      <c r="U1306" s="200">
        <f t="shared" si="6610"/>
        <v>0</v>
      </c>
      <c r="V1306" s="200">
        <f t="shared" si="6610"/>
        <v>0</v>
      </c>
      <c r="W1306" s="200">
        <f t="shared" si="6610"/>
        <v>0</v>
      </c>
      <c r="X1306" s="200">
        <f t="shared" si="6610"/>
        <v>0</v>
      </c>
      <c r="Y1306" s="200">
        <f t="shared" si="6610"/>
        <v>0</v>
      </c>
      <c r="Z1306" s="200">
        <f t="shared" si="6610"/>
        <v>0</v>
      </c>
      <c r="AA1306" s="200">
        <f t="shared" si="6610"/>
        <v>1</v>
      </c>
      <c r="AB1306" s="200">
        <f t="shared" si="6610"/>
        <v>0</v>
      </c>
      <c r="AC1306" s="200">
        <f t="shared" si="6610"/>
        <v>0</v>
      </c>
      <c r="AD1306" s="200">
        <f t="shared" si="11"/>
        <v>0</v>
      </c>
      <c r="AE1306" s="200">
        <f t="shared" ref="AE1306:AG1306" si="6611">countif($D1306,"*"&amp;AE$2&amp;"*")</f>
        <v>0</v>
      </c>
      <c r="AF1306" s="200">
        <f t="shared" si="6611"/>
        <v>0</v>
      </c>
      <c r="AG1306" s="200">
        <f t="shared" si="6611"/>
        <v>0</v>
      </c>
      <c r="AH1306" s="171">
        <f t="shared" si="13"/>
        <v>0</v>
      </c>
      <c r="AI1306" s="200">
        <f t="shared" si="14"/>
        <v>0</v>
      </c>
      <c r="AJ1306" s="200">
        <f t="shared" si="6100"/>
        <v>0</v>
      </c>
      <c r="AK1306" s="201">
        <f t="shared" ref="AK1306:AS1306" si="6612">countif($D1306,"*"&amp;AK$2&amp;"*")</f>
        <v>0</v>
      </c>
      <c r="AL1306" s="201">
        <f t="shared" si="6612"/>
        <v>0</v>
      </c>
      <c r="AM1306" s="201">
        <f t="shared" si="6612"/>
        <v>0</v>
      </c>
      <c r="AN1306" s="201">
        <f t="shared" si="6612"/>
        <v>0</v>
      </c>
      <c r="AO1306" s="201">
        <f t="shared" si="6612"/>
        <v>0</v>
      </c>
      <c r="AP1306" s="201">
        <f t="shared" si="6612"/>
        <v>0</v>
      </c>
      <c r="AQ1306" s="201">
        <f t="shared" si="6612"/>
        <v>0</v>
      </c>
      <c r="AR1306" s="200">
        <f t="shared" si="6612"/>
        <v>0</v>
      </c>
      <c r="AS1306" s="200">
        <f t="shared" si="6612"/>
        <v>0</v>
      </c>
      <c r="AT1306" s="173">
        <v>0.0</v>
      </c>
      <c r="AU1306" s="200">
        <f t="shared" si="6217"/>
        <v>0</v>
      </c>
      <c r="AV1306" s="200">
        <f t="shared" ref="AV1306:AX1306" si="6613">countif($D1306,"*"&amp;AV$2&amp;"*")</f>
        <v>0</v>
      </c>
      <c r="AW1306" s="200">
        <f t="shared" si="6613"/>
        <v>0</v>
      </c>
      <c r="AX1306" s="200">
        <f t="shared" si="6613"/>
        <v>0</v>
      </c>
      <c r="AY1306" s="202">
        <v>0.0</v>
      </c>
      <c r="AZ1306" s="200"/>
      <c r="BA1306" s="171" t="str">
        <f t="shared" si="18"/>
        <v/>
      </c>
      <c r="BB1306" s="171" t="str">
        <f t="shared" si="19"/>
        <v/>
      </c>
      <c r="BC1306" s="171" t="str">
        <f t="shared" si="20"/>
        <v>General-purpose</v>
      </c>
      <c r="BD1306" s="171" t="str">
        <f t="shared" si="21"/>
        <v/>
      </c>
      <c r="BE1306" s="171" t="str">
        <f t="shared" si="22"/>
        <v/>
      </c>
      <c r="BF1306" s="171" t="str">
        <f t="shared" si="23"/>
        <v>General-purpose</v>
      </c>
    </row>
    <row r="1307">
      <c r="A1307" s="171">
        <f t="array" ref="A1307">XLOOKUP(C1307,FSE!A:A,FSE!C:C,"XXXXX",0,1)</f>
        <v>2023</v>
      </c>
      <c r="B1307" s="213" t="s">
        <v>5676</v>
      </c>
      <c r="C1307" s="214">
        <v>64.0</v>
      </c>
      <c r="D1307" s="217" t="s">
        <v>5473</v>
      </c>
      <c r="E1307" s="197" t="str">
        <f t="array" ref="E1307">XLOOKUP(C1307,FSE!A:A,FSE!Z:Z,"XXXXX",0,1)</f>
        <v>Publicly Available (1)</v>
      </c>
      <c r="F1307" s="213" t="s">
        <v>3394</v>
      </c>
      <c r="G1307" s="163" t="str">
        <f t="array" ref="G1307">IF(B1307="ICSE",IF(COUNTIFS(B:B,B1307,C:C,C1307)=XLOOKUP(C1307,ICSE!A:A,ICSE!AA:AA,"ERROR",0,1),"OK","ERROR"),IF(B1307="FSE",IF(COUNTIFS(B:B,B1307,C:C,C1307)=XLOOKUP(C1307,FSE!A:A,FSE!AA:AA,"ERROR",0,1),"OK","ERROR")))</f>
        <v>OK</v>
      </c>
      <c r="H1307" s="199">
        <f t="shared" ref="H1307:O1307" si="6614">countif($D1307,"*"&amp;H$2&amp;"*")</f>
        <v>1</v>
      </c>
      <c r="I1307" s="200">
        <f t="shared" si="6614"/>
        <v>0</v>
      </c>
      <c r="J1307" s="200">
        <f t="shared" si="6614"/>
        <v>0</v>
      </c>
      <c r="K1307" s="200">
        <f t="shared" si="6614"/>
        <v>0</v>
      </c>
      <c r="L1307" s="200">
        <f t="shared" si="6614"/>
        <v>0</v>
      </c>
      <c r="M1307" s="200">
        <f t="shared" si="6614"/>
        <v>0</v>
      </c>
      <c r="N1307" s="200">
        <f t="shared" si="6614"/>
        <v>0</v>
      </c>
      <c r="O1307" s="200">
        <f t="shared" si="6614"/>
        <v>0</v>
      </c>
      <c r="P1307" s="200">
        <f t="shared" si="9"/>
        <v>0</v>
      </c>
      <c r="Q1307" s="200">
        <f t="shared" ref="Q1307:AC1307" si="6615">countif($D1307,"*"&amp;Q$2&amp;"*")</f>
        <v>0</v>
      </c>
      <c r="R1307" s="200">
        <f t="shared" si="6615"/>
        <v>0</v>
      </c>
      <c r="S1307" s="200">
        <f t="shared" si="6615"/>
        <v>0</v>
      </c>
      <c r="T1307" s="200">
        <f t="shared" si="6615"/>
        <v>0</v>
      </c>
      <c r="U1307" s="200">
        <f t="shared" si="6615"/>
        <v>0</v>
      </c>
      <c r="V1307" s="200">
        <f t="shared" si="6615"/>
        <v>0</v>
      </c>
      <c r="W1307" s="200">
        <f t="shared" si="6615"/>
        <v>0</v>
      </c>
      <c r="X1307" s="200">
        <f t="shared" si="6615"/>
        <v>0</v>
      </c>
      <c r="Y1307" s="200">
        <f t="shared" si="6615"/>
        <v>0</v>
      </c>
      <c r="Z1307" s="200">
        <f t="shared" si="6615"/>
        <v>0</v>
      </c>
      <c r="AA1307" s="200">
        <f t="shared" si="6615"/>
        <v>0</v>
      </c>
      <c r="AB1307" s="200">
        <f t="shared" si="6615"/>
        <v>0</v>
      </c>
      <c r="AC1307" s="200">
        <f t="shared" si="6615"/>
        <v>0</v>
      </c>
      <c r="AD1307" s="200">
        <f t="shared" si="11"/>
        <v>0</v>
      </c>
      <c r="AE1307" s="200">
        <f t="shared" ref="AE1307:AG1307" si="6616">countif($D1307,"*"&amp;AE$2&amp;"*")</f>
        <v>0</v>
      </c>
      <c r="AF1307" s="200">
        <f t="shared" si="6616"/>
        <v>0</v>
      </c>
      <c r="AG1307" s="200">
        <f t="shared" si="6616"/>
        <v>0</v>
      </c>
      <c r="AH1307" s="171">
        <f t="shared" si="13"/>
        <v>0</v>
      </c>
      <c r="AI1307" s="200">
        <f t="shared" si="14"/>
        <v>1</v>
      </c>
      <c r="AJ1307" s="200">
        <f t="shared" si="6100"/>
        <v>0</v>
      </c>
      <c r="AK1307" s="201">
        <f t="shared" ref="AK1307:AS1307" si="6617">countif($D1307,"*"&amp;AK$2&amp;"*")</f>
        <v>0</v>
      </c>
      <c r="AL1307" s="201">
        <f t="shared" si="6617"/>
        <v>0</v>
      </c>
      <c r="AM1307" s="201">
        <f t="shared" si="6617"/>
        <v>0</v>
      </c>
      <c r="AN1307" s="201">
        <f t="shared" si="6617"/>
        <v>0</v>
      </c>
      <c r="AO1307" s="201">
        <f t="shared" si="6617"/>
        <v>0</v>
      </c>
      <c r="AP1307" s="201">
        <f t="shared" si="6617"/>
        <v>0</v>
      </c>
      <c r="AQ1307" s="201">
        <f t="shared" si="6617"/>
        <v>0</v>
      </c>
      <c r="AR1307" s="200">
        <f t="shared" si="6617"/>
        <v>0</v>
      </c>
      <c r="AS1307" s="200">
        <f t="shared" si="6617"/>
        <v>0</v>
      </c>
      <c r="AT1307" s="173">
        <v>0.0</v>
      </c>
      <c r="AU1307" s="200">
        <f t="shared" si="6217"/>
        <v>0</v>
      </c>
      <c r="AV1307" s="200">
        <f t="shared" ref="AV1307:AX1307" si="6618">countif($D1307,"*"&amp;AV$2&amp;"*")</f>
        <v>0</v>
      </c>
      <c r="AW1307" s="200">
        <f t="shared" si="6618"/>
        <v>0</v>
      </c>
      <c r="AX1307" s="200">
        <f t="shared" si="6618"/>
        <v>1</v>
      </c>
      <c r="AY1307" s="202">
        <v>0.0</v>
      </c>
      <c r="AZ1307" s="200"/>
      <c r="BA1307" s="171" t="str">
        <f t="shared" si="18"/>
        <v>Archival</v>
      </c>
      <c r="BB1307" s="171" t="str">
        <f t="shared" si="19"/>
        <v/>
      </c>
      <c r="BC1307" s="171" t="str">
        <f t="shared" si="20"/>
        <v/>
      </c>
      <c r="BD1307" s="171" t="str">
        <f t="shared" si="21"/>
        <v/>
      </c>
      <c r="BE1307" s="171" t="str">
        <f t="shared" si="22"/>
        <v/>
      </c>
      <c r="BF1307" s="171" t="str">
        <f t="shared" si="23"/>
        <v>Archival</v>
      </c>
    </row>
    <row r="1308">
      <c r="A1308" s="171">
        <f t="array" ref="A1308">XLOOKUP(C1308,FSE!A:A,FSE!C:C,"XXXXX",0,1)</f>
        <v>2023</v>
      </c>
      <c r="B1308" s="213" t="s">
        <v>5676</v>
      </c>
      <c r="C1308" s="214">
        <v>65.0</v>
      </c>
      <c r="D1308" s="215" t="s">
        <v>5477</v>
      </c>
      <c r="E1308" s="197" t="str">
        <f t="array" ref="E1308">XLOOKUP(C1308,FSE!A:A,FSE!Z:Z,"XXXXX",0,1)</f>
        <v>Publicly Available (1)</v>
      </c>
      <c r="F1308" s="213" t="s">
        <v>3394</v>
      </c>
      <c r="G1308" s="163" t="str">
        <f t="array" ref="G1308">IF(B1308="ICSE",IF(COUNTIFS(B:B,B1308,C:C,C1308)=XLOOKUP(C1308,ICSE!A:A,ICSE!AA:AA,"ERROR",0,1),"OK","ERROR"),IF(B1308="FSE",IF(COUNTIFS(B:B,B1308,C:C,C1308)=XLOOKUP(C1308,FSE!A:A,FSE!AA:AA,"ERROR",0,1),"OK","ERROR")))</f>
        <v>OK</v>
      </c>
      <c r="H1308" s="199">
        <f t="shared" ref="H1308:O1308" si="6619">countif($D1308,"*"&amp;H$2&amp;"*")</f>
        <v>0</v>
      </c>
      <c r="I1308" s="200">
        <f t="shared" si="6619"/>
        <v>0</v>
      </c>
      <c r="J1308" s="200">
        <f t="shared" si="6619"/>
        <v>0</v>
      </c>
      <c r="K1308" s="200">
        <f t="shared" si="6619"/>
        <v>0</v>
      </c>
      <c r="L1308" s="200">
        <f t="shared" si="6619"/>
        <v>0</v>
      </c>
      <c r="M1308" s="200">
        <f t="shared" si="6619"/>
        <v>0</v>
      </c>
      <c r="N1308" s="200">
        <f t="shared" si="6619"/>
        <v>0</v>
      </c>
      <c r="O1308" s="200">
        <f t="shared" si="6619"/>
        <v>0</v>
      </c>
      <c r="P1308" s="200">
        <f t="shared" si="9"/>
        <v>1</v>
      </c>
      <c r="Q1308" s="200">
        <f t="shared" ref="Q1308:AC1308" si="6620">countif($D1308,"*"&amp;Q$2&amp;"*")</f>
        <v>0</v>
      </c>
      <c r="R1308" s="200">
        <f t="shared" si="6620"/>
        <v>0</v>
      </c>
      <c r="S1308" s="200">
        <f t="shared" si="6620"/>
        <v>0</v>
      </c>
      <c r="T1308" s="200">
        <f t="shared" si="6620"/>
        <v>0</v>
      </c>
      <c r="U1308" s="200">
        <f t="shared" si="6620"/>
        <v>0</v>
      </c>
      <c r="V1308" s="200">
        <f t="shared" si="6620"/>
        <v>0</v>
      </c>
      <c r="W1308" s="200">
        <f t="shared" si="6620"/>
        <v>0</v>
      </c>
      <c r="X1308" s="200">
        <f t="shared" si="6620"/>
        <v>0</v>
      </c>
      <c r="Y1308" s="200">
        <f t="shared" si="6620"/>
        <v>0</v>
      </c>
      <c r="Z1308" s="200">
        <f t="shared" si="6620"/>
        <v>0</v>
      </c>
      <c r="AA1308" s="200">
        <f t="shared" si="6620"/>
        <v>0</v>
      </c>
      <c r="AB1308" s="200">
        <f t="shared" si="6620"/>
        <v>0</v>
      </c>
      <c r="AC1308" s="200">
        <f t="shared" si="6620"/>
        <v>0</v>
      </c>
      <c r="AD1308" s="200">
        <f t="shared" si="11"/>
        <v>0</v>
      </c>
      <c r="AE1308" s="200">
        <f t="shared" ref="AE1308:AG1308" si="6621">countif($D1308,"*"&amp;AE$2&amp;"*")</f>
        <v>0</v>
      </c>
      <c r="AF1308" s="200">
        <f t="shared" si="6621"/>
        <v>0</v>
      </c>
      <c r="AG1308" s="200">
        <f t="shared" si="6621"/>
        <v>0</v>
      </c>
      <c r="AH1308" s="171">
        <f t="shared" si="13"/>
        <v>0</v>
      </c>
      <c r="AI1308" s="200">
        <f t="shared" si="14"/>
        <v>0</v>
      </c>
      <c r="AJ1308" s="200">
        <f t="shared" si="6100"/>
        <v>0</v>
      </c>
      <c r="AK1308" s="201">
        <f t="shared" ref="AK1308:AS1308" si="6622">countif($D1308,"*"&amp;AK$2&amp;"*")</f>
        <v>0</v>
      </c>
      <c r="AL1308" s="201">
        <f t="shared" si="6622"/>
        <v>0</v>
      </c>
      <c r="AM1308" s="201">
        <f t="shared" si="6622"/>
        <v>0</v>
      </c>
      <c r="AN1308" s="201">
        <f t="shared" si="6622"/>
        <v>0</v>
      </c>
      <c r="AO1308" s="201">
        <f t="shared" si="6622"/>
        <v>0</v>
      </c>
      <c r="AP1308" s="201">
        <f t="shared" si="6622"/>
        <v>0</v>
      </c>
      <c r="AQ1308" s="201">
        <f t="shared" si="6622"/>
        <v>0</v>
      </c>
      <c r="AR1308" s="200">
        <f t="shared" si="6622"/>
        <v>0</v>
      </c>
      <c r="AS1308" s="200">
        <f t="shared" si="6622"/>
        <v>0</v>
      </c>
      <c r="AT1308" s="173">
        <v>0.0</v>
      </c>
      <c r="AU1308" s="200">
        <f t="shared" si="6217"/>
        <v>0</v>
      </c>
      <c r="AV1308" s="200">
        <f t="shared" ref="AV1308:AX1308" si="6623">countif($D1308,"*"&amp;AV$2&amp;"*")</f>
        <v>1</v>
      </c>
      <c r="AW1308" s="200">
        <f t="shared" si="6623"/>
        <v>0</v>
      </c>
      <c r="AX1308" s="200">
        <f t="shared" si="6623"/>
        <v>0</v>
      </c>
      <c r="AY1308" s="202">
        <v>0.0</v>
      </c>
      <c r="AZ1308" s="200"/>
      <c r="BA1308" s="171" t="str">
        <f t="shared" si="18"/>
        <v/>
      </c>
      <c r="BB1308" s="171" t="str">
        <f t="shared" si="19"/>
        <v>Code</v>
      </c>
      <c r="BC1308" s="171" t="str">
        <f t="shared" si="20"/>
        <v/>
      </c>
      <c r="BD1308" s="171" t="str">
        <f t="shared" si="21"/>
        <v/>
      </c>
      <c r="BE1308" s="171" t="str">
        <f t="shared" si="22"/>
        <v/>
      </c>
      <c r="BF1308" s="171" t="str">
        <f t="shared" si="23"/>
        <v>Code</v>
      </c>
    </row>
    <row r="1309">
      <c r="A1309" s="171">
        <f t="array" ref="A1309">XLOOKUP(C1309,FSE!A:A,FSE!C:C,"XXXXX",0,1)</f>
        <v>2023</v>
      </c>
      <c r="B1309" s="213" t="s">
        <v>5676</v>
      </c>
      <c r="C1309" s="214">
        <v>66.0</v>
      </c>
      <c r="D1309" s="215" t="s">
        <v>5479</v>
      </c>
      <c r="E1309" s="197" t="str">
        <f t="array" ref="E1309">XLOOKUP(C1309,FSE!A:A,FSE!Z:Z,"XXXXX",0,1)</f>
        <v>Publicly Available (1)</v>
      </c>
      <c r="F1309" s="213" t="s">
        <v>3394</v>
      </c>
      <c r="G1309" s="163" t="str">
        <f t="array" ref="G1309">IF(B1309="ICSE",IF(COUNTIFS(B:B,B1309,C:C,C1309)=XLOOKUP(C1309,ICSE!A:A,ICSE!AA:AA,"ERROR",0,1),"OK","ERROR"),IF(B1309="FSE",IF(COUNTIFS(B:B,B1309,C:C,C1309)=XLOOKUP(C1309,FSE!A:A,FSE!AA:AA,"ERROR",0,1),"OK","ERROR")))</f>
        <v>OK</v>
      </c>
      <c r="H1309" s="199">
        <f t="shared" ref="H1309:O1309" si="6624">countif($D1309,"*"&amp;H$2&amp;"*")</f>
        <v>0</v>
      </c>
      <c r="I1309" s="200">
        <f t="shared" si="6624"/>
        <v>0</v>
      </c>
      <c r="J1309" s="200">
        <f t="shared" si="6624"/>
        <v>0</v>
      </c>
      <c r="K1309" s="200">
        <f t="shared" si="6624"/>
        <v>0</v>
      </c>
      <c r="L1309" s="200">
        <f t="shared" si="6624"/>
        <v>0</v>
      </c>
      <c r="M1309" s="200">
        <f t="shared" si="6624"/>
        <v>0</v>
      </c>
      <c r="N1309" s="200">
        <f t="shared" si="6624"/>
        <v>0</v>
      </c>
      <c r="O1309" s="200">
        <f t="shared" si="6624"/>
        <v>0</v>
      </c>
      <c r="P1309" s="200">
        <f t="shared" si="9"/>
        <v>1</v>
      </c>
      <c r="Q1309" s="200">
        <f t="shared" ref="Q1309:AC1309" si="6625">countif($D1309,"*"&amp;Q$2&amp;"*")</f>
        <v>0</v>
      </c>
      <c r="R1309" s="200">
        <f t="shared" si="6625"/>
        <v>0</v>
      </c>
      <c r="S1309" s="200">
        <f t="shared" si="6625"/>
        <v>0</v>
      </c>
      <c r="T1309" s="200">
        <f t="shared" si="6625"/>
        <v>0</v>
      </c>
      <c r="U1309" s="200">
        <f t="shared" si="6625"/>
        <v>0</v>
      </c>
      <c r="V1309" s="200">
        <f t="shared" si="6625"/>
        <v>0</v>
      </c>
      <c r="W1309" s="200">
        <f t="shared" si="6625"/>
        <v>0</v>
      </c>
      <c r="X1309" s="200">
        <f t="shared" si="6625"/>
        <v>0</v>
      </c>
      <c r="Y1309" s="200">
        <f t="shared" si="6625"/>
        <v>0</v>
      </c>
      <c r="Z1309" s="200">
        <f t="shared" si="6625"/>
        <v>0</v>
      </c>
      <c r="AA1309" s="200">
        <f t="shared" si="6625"/>
        <v>0</v>
      </c>
      <c r="AB1309" s="200">
        <f t="shared" si="6625"/>
        <v>0</v>
      </c>
      <c r="AC1309" s="200">
        <f t="shared" si="6625"/>
        <v>0</v>
      </c>
      <c r="AD1309" s="200">
        <f t="shared" si="11"/>
        <v>0</v>
      </c>
      <c r="AE1309" s="200">
        <f t="shared" ref="AE1309:AG1309" si="6626">countif($D1309,"*"&amp;AE$2&amp;"*")</f>
        <v>0</v>
      </c>
      <c r="AF1309" s="200">
        <f t="shared" si="6626"/>
        <v>0</v>
      </c>
      <c r="AG1309" s="200">
        <f t="shared" si="6626"/>
        <v>0</v>
      </c>
      <c r="AH1309" s="171">
        <f t="shared" si="13"/>
        <v>0</v>
      </c>
      <c r="AI1309" s="200">
        <f t="shared" si="14"/>
        <v>0</v>
      </c>
      <c r="AJ1309" s="200">
        <f t="shared" si="6100"/>
        <v>0</v>
      </c>
      <c r="AK1309" s="201">
        <f t="shared" ref="AK1309:AS1309" si="6627">countif($D1309,"*"&amp;AK$2&amp;"*")</f>
        <v>0</v>
      </c>
      <c r="AL1309" s="201">
        <f t="shared" si="6627"/>
        <v>0</v>
      </c>
      <c r="AM1309" s="201">
        <f t="shared" si="6627"/>
        <v>0</v>
      </c>
      <c r="AN1309" s="201">
        <f t="shared" si="6627"/>
        <v>0</v>
      </c>
      <c r="AO1309" s="201">
        <f t="shared" si="6627"/>
        <v>0</v>
      </c>
      <c r="AP1309" s="201">
        <f t="shared" si="6627"/>
        <v>0</v>
      </c>
      <c r="AQ1309" s="201">
        <f t="shared" si="6627"/>
        <v>0</v>
      </c>
      <c r="AR1309" s="200">
        <f t="shared" si="6627"/>
        <v>0</v>
      </c>
      <c r="AS1309" s="200">
        <f t="shared" si="6627"/>
        <v>0</v>
      </c>
      <c r="AT1309" s="173">
        <v>0.0</v>
      </c>
      <c r="AU1309" s="200">
        <f t="shared" si="6217"/>
        <v>0</v>
      </c>
      <c r="AV1309" s="200">
        <f t="shared" ref="AV1309:AX1309" si="6628">countif($D1309,"*"&amp;AV$2&amp;"*")</f>
        <v>1</v>
      </c>
      <c r="AW1309" s="200">
        <f t="shared" si="6628"/>
        <v>0</v>
      </c>
      <c r="AX1309" s="200">
        <f t="shared" si="6628"/>
        <v>0</v>
      </c>
      <c r="AY1309" s="202">
        <v>0.0</v>
      </c>
      <c r="AZ1309" s="200"/>
      <c r="BA1309" s="171" t="str">
        <f t="shared" si="18"/>
        <v/>
      </c>
      <c r="BB1309" s="171" t="str">
        <f t="shared" si="19"/>
        <v>Code</v>
      </c>
      <c r="BC1309" s="171" t="str">
        <f t="shared" si="20"/>
        <v/>
      </c>
      <c r="BD1309" s="171" t="str">
        <f t="shared" si="21"/>
        <v/>
      </c>
      <c r="BE1309" s="171" t="str">
        <f t="shared" si="22"/>
        <v/>
      </c>
      <c r="BF1309" s="171" t="str">
        <f t="shared" si="23"/>
        <v>Code</v>
      </c>
    </row>
    <row r="1310">
      <c r="A1310" s="171">
        <f t="array" ref="A1310">XLOOKUP(C1310,FSE!A:A,FSE!C:C,"XXXXX",0,1)</f>
        <v>2023</v>
      </c>
      <c r="B1310" s="213" t="s">
        <v>5676</v>
      </c>
      <c r="C1310" s="214">
        <v>67.0</v>
      </c>
      <c r="D1310" s="215" t="s">
        <v>5481</v>
      </c>
      <c r="E1310" s="197" t="str">
        <f t="array" ref="E1310">XLOOKUP(C1310,FSE!A:A,FSE!Z:Z,"XXXXX",0,1)</f>
        <v>Publicly Available (1)</v>
      </c>
      <c r="F1310" s="213" t="s">
        <v>3394</v>
      </c>
      <c r="G1310" s="163" t="str">
        <f t="array" ref="G1310">IF(B1310="ICSE",IF(COUNTIFS(B:B,B1310,C:C,C1310)=XLOOKUP(C1310,ICSE!A:A,ICSE!AA:AA,"ERROR",0,1),"OK","ERROR"),IF(B1310="FSE",IF(COUNTIFS(B:B,B1310,C:C,C1310)=XLOOKUP(C1310,FSE!A:A,FSE!AA:AA,"ERROR",0,1),"OK","ERROR")))</f>
        <v>OK</v>
      </c>
      <c r="H1310" s="199">
        <f t="shared" ref="H1310:O1310" si="6629">countif($D1310,"*"&amp;H$2&amp;"*")</f>
        <v>0</v>
      </c>
      <c r="I1310" s="200">
        <f t="shared" si="6629"/>
        <v>0</v>
      </c>
      <c r="J1310" s="200">
        <f t="shared" si="6629"/>
        <v>0</v>
      </c>
      <c r="K1310" s="200">
        <f t="shared" si="6629"/>
        <v>0</v>
      </c>
      <c r="L1310" s="200">
        <f t="shared" si="6629"/>
        <v>0</v>
      </c>
      <c r="M1310" s="200">
        <f t="shared" si="6629"/>
        <v>0</v>
      </c>
      <c r="N1310" s="200">
        <f t="shared" si="6629"/>
        <v>0</v>
      </c>
      <c r="O1310" s="200">
        <f t="shared" si="6629"/>
        <v>0</v>
      </c>
      <c r="P1310" s="200">
        <f t="shared" si="9"/>
        <v>1</v>
      </c>
      <c r="Q1310" s="200">
        <f t="shared" ref="Q1310:AC1310" si="6630">countif($D1310,"*"&amp;Q$2&amp;"*")</f>
        <v>0</v>
      </c>
      <c r="R1310" s="200">
        <f t="shared" si="6630"/>
        <v>0</v>
      </c>
      <c r="S1310" s="200">
        <f t="shared" si="6630"/>
        <v>0</v>
      </c>
      <c r="T1310" s="200">
        <f t="shared" si="6630"/>
        <v>0</v>
      </c>
      <c r="U1310" s="200">
        <f t="shared" si="6630"/>
        <v>0</v>
      </c>
      <c r="V1310" s="200">
        <f t="shared" si="6630"/>
        <v>0</v>
      </c>
      <c r="W1310" s="200">
        <f t="shared" si="6630"/>
        <v>0</v>
      </c>
      <c r="X1310" s="200">
        <f t="shared" si="6630"/>
        <v>0</v>
      </c>
      <c r="Y1310" s="200">
        <f t="shared" si="6630"/>
        <v>0</v>
      </c>
      <c r="Z1310" s="200">
        <f t="shared" si="6630"/>
        <v>0</v>
      </c>
      <c r="AA1310" s="200">
        <f t="shared" si="6630"/>
        <v>0</v>
      </c>
      <c r="AB1310" s="200">
        <f t="shared" si="6630"/>
        <v>0</v>
      </c>
      <c r="AC1310" s="200">
        <f t="shared" si="6630"/>
        <v>0</v>
      </c>
      <c r="AD1310" s="200">
        <f t="shared" si="11"/>
        <v>0</v>
      </c>
      <c r="AE1310" s="200">
        <f t="shared" ref="AE1310:AG1310" si="6631">countif($D1310,"*"&amp;AE$2&amp;"*")</f>
        <v>0</v>
      </c>
      <c r="AF1310" s="200">
        <f t="shared" si="6631"/>
        <v>0</v>
      </c>
      <c r="AG1310" s="200">
        <f t="shared" si="6631"/>
        <v>0</v>
      </c>
      <c r="AH1310" s="171">
        <f t="shared" si="13"/>
        <v>0</v>
      </c>
      <c r="AI1310" s="200">
        <f t="shared" si="14"/>
        <v>0</v>
      </c>
      <c r="AJ1310" s="200">
        <f t="shared" si="6100"/>
        <v>0</v>
      </c>
      <c r="AK1310" s="201">
        <f t="shared" ref="AK1310:AS1310" si="6632">countif($D1310,"*"&amp;AK$2&amp;"*")</f>
        <v>0</v>
      </c>
      <c r="AL1310" s="201">
        <f t="shared" si="6632"/>
        <v>0</v>
      </c>
      <c r="AM1310" s="201">
        <f t="shared" si="6632"/>
        <v>0</v>
      </c>
      <c r="AN1310" s="201">
        <f t="shared" si="6632"/>
        <v>0</v>
      </c>
      <c r="AO1310" s="201">
        <f t="shared" si="6632"/>
        <v>0</v>
      </c>
      <c r="AP1310" s="201">
        <f t="shared" si="6632"/>
        <v>0</v>
      </c>
      <c r="AQ1310" s="201">
        <f t="shared" si="6632"/>
        <v>0</v>
      </c>
      <c r="AR1310" s="200">
        <f t="shared" si="6632"/>
        <v>0</v>
      </c>
      <c r="AS1310" s="200">
        <f t="shared" si="6632"/>
        <v>0</v>
      </c>
      <c r="AT1310" s="173">
        <v>0.0</v>
      </c>
      <c r="AU1310" s="200">
        <f t="shared" si="6217"/>
        <v>0</v>
      </c>
      <c r="AV1310" s="200">
        <f t="shared" ref="AV1310:AX1310" si="6633">countif($D1310,"*"&amp;AV$2&amp;"*")</f>
        <v>1</v>
      </c>
      <c r="AW1310" s="200">
        <f t="shared" si="6633"/>
        <v>0</v>
      </c>
      <c r="AX1310" s="200">
        <f t="shared" si="6633"/>
        <v>0</v>
      </c>
      <c r="AY1310" s="202">
        <v>0.0</v>
      </c>
      <c r="AZ1310" s="200"/>
      <c r="BA1310" s="171" t="str">
        <f t="shared" si="18"/>
        <v/>
      </c>
      <c r="BB1310" s="171" t="str">
        <f t="shared" si="19"/>
        <v>Code</v>
      </c>
      <c r="BC1310" s="171" t="str">
        <f t="shared" si="20"/>
        <v/>
      </c>
      <c r="BD1310" s="171" t="str">
        <f t="shared" si="21"/>
        <v/>
      </c>
      <c r="BE1310" s="171" t="str">
        <f t="shared" si="22"/>
        <v/>
      </c>
      <c r="BF1310" s="171" t="str">
        <f t="shared" si="23"/>
        <v>Code</v>
      </c>
    </row>
    <row r="1311">
      <c r="A1311" s="171">
        <f t="array" ref="A1311">XLOOKUP(C1311,FSE!A:A,FSE!C:C,"XXXXX",0,1)</f>
        <v>2023</v>
      </c>
      <c r="B1311" s="213" t="s">
        <v>5676</v>
      </c>
      <c r="C1311" s="214">
        <v>68.0</v>
      </c>
      <c r="D1311" s="215" t="s">
        <v>5485</v>
      </c>
      <c r="E1311" s="197" t="str">
        <f t="array" ref="E1311">XLOOKUP(C1311,FSE!A:A,FSE!Z:Z,"XXXXX",0,1)</f>
        <v>Publicly Available (1)</v>
      </c>
      <c r="F1311" s="213" t="s">
        <v>3394</v>
      </c>
      <c r="G1311" s="163" t="str">
        <f t="array" ref="G1311">IF(B1311="ICSE",IF(COUNTIFS(B:B,B1311,C:C,C1311)=XLOOKUP(C1311,ICSE!A:A,ICSE!AA:AA,"ERROR",0,1),"OK","ERROR"),IF(B1311="FSE",IF(COUNTIFS(B:B,B1311,C:C,C1311)=XLOOKUP(C1311,FSE!A:A,FSE!AA:AA,"ERROR",0,1),"OK","ERROR")))</f>
        <v>OK</v>
      </c>
      <c r="H1311" s="199">
        <f t="shared" ref="H1311:O1311" si="6634">countif($D1311,"*"&amp;H$2&amp;"*")</f>
        <v>0</v>
      </c>
      <c r="I1311" s="200">
        <f t="shared" si="6634"/>
        <v>0</v>
      </c>
      <c r="J1311" s="200">
        <f t="shared" si="6634"/>
        <v>0</v>
      </c>
      <c r="K1311" s="200">
        <f t="shared" si="6634"/>
        <v>0</v>
      </c>
      <c r="L1311" s="200">
        <f t="shared" si="6634"/>
        <v>0</v>
      </c>
      <c r="M1311" s="200">
        <f t="shared" si="6634"/>
        <v>0</v>
      </c>
      <c r="N1311" s="200">
        <f t="shared" si="6634"/>
        <v>0</v>
      </c>
      <c r="O1311" s="200">
        <f t="shared" si="6634"/>
        <v>0</v>
      </c>
      <c r="P1311" s="200">
        <f t="shared" si="9"/>
        <v>1</v>
      </c>
      <c r="Q1311" s="200">
        <f t="shared" ref="Q1311:AC1311" si="6635">countif($D1311,"*"&amp;Q$2&amp;"*")</f>
        <v>0</v>
      </c>
      <c r="R1311" s="200">
        <f t="shared" si="6635"/>
        <v>0</v>
      </c>
      <c r="S1311" s="200">
        <f t="shared" si="6635"/>
        <v>0</v>
      </c>
      <c r="T1311" s="200">
        <f t="shared" si="6635"/>
        <v>0</v>
      </c>
      <c r="U1311" s="200">
        <f t="shared" si="6635"/>
        <v>0</v>
      </c>
      <c r="V1311" s="200">
        <f t="shared" si="6635"/>
        <v>0</v>
      </c>
      <c r="W1311" s="200">
        <f t="shared" si="6635"/>
        <v>0</v>
      </c>
      <c r="X1311" s="200">
        <f t="shared" si="6635"/>
        <v>0</v>
      </c>
      <c r="Y1311" s="200">
        <f t="shared" si="6635"/>
        <v>0</v>
      </c>
      <c r="Z1311" s="200">
        <f t="shared" si="6635"/>
        <v>0</v>
      </c>
      <c r="AA1311" s="200">
        <f t="shared" si="6635"/>
        <v>0</v>
      </c>
      <c r="AB1311" s="200">
        <f t="shared" si="6635"/>
        <v>0</v>
      </c>
      <c r="AC1311" s="200">
        <f t="shared" si="6635"/>
        <v>0</v>
      </c>
      <c r="AD1311" s="200">
        <f t="shared" si="11"/>
        <v>0</v>
      </c>
      <c r="AE1311" s="200">
        <f t="shared" ref="AE1311:AG1311" si="6636">countif($D1311,"*"&amp;AE$2&amp;"*")</f>
        <v>0</v>
      </c>
      <c r="AF1311" s="200">
        <f t="shared" si="6636"/>
        <v>0</v>
      </c>
      <c r="AG1311" s="200">
        <f t="shared" si="6636"/>
        <v>0</v>
      </c>
      <c r="AH1311" s="171">
        <f t="shared" si="13"/>
        <v>0</v>
      </c>
      <c r="AI1311" s="200">
        <f t="shared" si="14"/>
        <v>0</v>
      </c>
      <c r="AJ1311" s="200">
        <f t="shared" si="6100"/>
        <v>0</v>
      </c>
      <c r="AK1311" s="201">
        <f t="shared" ref="AK1311:AS1311" si="6637">countif($D1311,"*"&amp;AK$2&amp;"*")</f>
        <v>0</v>
      </c>
      <c r="AL1311" s="201">
        <f t="shared" si="6637"/>
        <v>0</v>
      </c>
      <c r="AM1311" s="201">
        <f t="shared" si="6637"/>
        <v>0</v>
      </c>
      <c r="AN1311" s="201">
        <f t="shared" si="6637"/>
        <v>0</v>
      </c>
      <c r="AO1311" s="201">
        <f t="shared" si="6637"/>
        <v>0</v>
      </c>
      <c r="AP1311" s="201">
        <f t="shared" si="6637"/>
        <v>0</v>
      </c>
      <c r="AQ1311" s="201">
        <f t="shared" si="6637"/>
        <v>0</v>
      </c>
      <c r="AR1311" s="200">
        <f t="shared" si="6637"/>
        <v>0</v>
      </c>
      <c r="AS1311" s="200">
        <f t="shared" si="6637"/>
        <v>0</v>
      </c>
      <c r="AT1311" s="173">
        <v>0.0</v>
      </c>
      <c r="AU1311" s="200">
        <f t="shared" si="6217"/>
        <v>0</v>
      </c>
      <c r="AV1311" s="200">
        <f t="shared" ref="AV1311:AX1311" si="6638">countif($D1311,"*"&amp;AV$2&amp;"*")</f>
        <v>1</v>
      </c>
      <c r="AW1311" s="200">
        <f t="shared" si="6638"/>
        <v>0</v>
      </c>
      <c r="AX1311" s="200">
        <f t="shared" si="6638"/>
        <v>0</v>
      </c>
      <c r="AY1311" s="202">
        <v>0.0</v>
      </c>
      <c r="AZ1311" s="200"/>
      <c r="BA1311" s="171" t="str">
        <f t="shared" si="18"/>
        <v/>
      </c>
      <c r="BB1311" s="171" t="str">
        <f t="shared" si="19"/>
        <v>Code</v>
      </c>
      <c r="BC1311" s="171" t="str">
        <f t="shared" si="20"/>
        <v/>
      </c>
      <c r="BD1311" s="171" t="str">
        <f t="shared" si="21"/>
        <v/>
      </c>
      <c r="BE1311" s="171" t="str">
        <f t="shared" si="22"/>
        <v/>
      </c>
      <c r="BF1311" s="171" t="str">
        <f t="shared" si="23"/>
        <v>Code</v>
      </c>
    </row>
    <row r="1312">
      <c r="A1312" s="171">
        <f t="array" ref="A1312">XLOOKUP(C1312,FSE!A:A,FSE!C:C,"XXXXX",0,1)</f>
        <v>2023</v>
      </c>
      <c r="B1312" s="213" t="s">
        <v>5676</v>
      </c>
      <c r="C1312" s="214">
        <v>69.0</v>
      </c>
      <c r="D1312" s="215" t="s">
        <v>5488</v>
      </c>
      <c r="E1312" s="197" t="str">
        <f t="array" ref="E1312">XLOOKUP(C1312,FSE!A:A,FSE!Z:Z,"XXXXX",0,1)</f>
        <v>Publicly Available (1)</v>
      </c>
      <c r="F1312" s="213" t="s">
        <v>3394</v>
      </c>
      <c r="G1312" s="163" t="str">
        <f t="array" ref="G1312">IF(B1312="ICSE",IF(COUNTIFS(B:B,B1312,C:C,C1312)=XLOOKUP(C1312,ICSE!A:A,ICSE!AA:AA,"ERROR",0,1),"OK","ERROR"),IF(B1312="FSE",IF(COUNTIFS(B:B,B1312,C:C,C1312)=XLOOKUP(C1312,FSE!A:A,FSE!AA:AA,"ERROR",0,1),"OK","ERROR")))</f>
        <v>OK</v>
      </c>
      <c r="H1312" s="199">
        <f t="shared" ref="H1312:O1312" si="6639">countif($D1312,"*"&amp;H$2&amp;"*")</f>
        <v>0</v>
      </c>
      <c r="I1312" s="200">
        <f t="shared" si="6639"/>
        <v>0</v>
      </c>
      <c r="J1312" s="200">
        <f t="shared" si="6639"/>
        <v>0</v>
      </c>
      <c r="K1312" s="200">
        <f t="shared" si="6639"/>
        <v>0</v>
      </c>
      <c r="L1312" s="200">
        <f t="shared" si="6639"/>
        <v>0</v>
      </c>
      <c r="M1312" s="200">
        <f t="shared" si="6639"/>
        <v>0</v>
      </c>
      <c r="N1312" s="200">
        <f t="shared" si="6639"/>
        <v>0</v>
      </c>
      <c r="O1312" s="200">
        <f t="shared" si="6639"/>
        <v>0</v>
      </c>
      <c r="P1312" s="200">
        <f t="shared" si="9"/>
        <v>0</v>
      </c>
      <c r="Q1312" s="200">
        <f t="shared" ref="Q1312:AC1312" si="6640">countif($D1312,"*"&amp;Q$2&amp;"*")</f>
        <v>0</v>
      </c>
      <c r="R1312" s="200">
        <f t="shared" si="6640"/>
        <v>0</v>
      </c>
      <c r="S1312" s="200">
        <f t="shared" si="6640"/>
        <v>0</v>
      </c>
      <c r="T1312" s="200">
        <f t="shared" si="6640"/>
        <v>0</v>
      </c>
      <c r="U1312" s="200">
        <f t="shared" si="6640"/>
        <v>0</v>
      </c>
      <c r="V1312" s="200">
        <f t="shared" si="6640"/>
        <v>0</v>
      </c>
      <c r="W1312" s="200">
        <f t="shared" si="6640"/>
        <v>0</v>
      </c>
      <c r="X1312" s="200">
        <f t="shared" si="6640"/>
        <v>0</v>
      </c>
      <c r="Y1312" s="200">
        <f t="shared" si="6640"/>
        <v>0</v>
      </c>
      <c r="Z1312" s="200">
        <f t="shared" si="6640"/>
        <v>0</v>
      </c>
      <c r="AA1312" s="200">
        <f t="shared" si="6640"/>
        <v>1</v>
      </c>
      <c r="AB1312" s="200">
        <f t="shared" si="6640"/>
        <v>0</v>
      </c>
      <c r="AC1312" s="200">
        <f t="shared" si="6640"/>
        <v>0</v>
      </c>
      <c r="AD1312" s="200">
        <f t="shared" si="11"/>
        <v>0</v>
      </c>
      <c r="AE1312" s="200">
        <f t="shared" ref="AE1312:AG1312" si="6641">countif($D1312,"*"&amp;AE$2&amp;"*")</f>
        <v>0</v>
      </c>
      <c r="AF1312" s="200">
        <f t="shared" si="6641"/>
        <v>0</v>
      </c>
      <c r="AG1312" s="200">
        <f t="shared" si="6641"/>
        <v>0</v>
      </c>
      <c r="AH1312" s="171">
        <f t="shared" si="13"/>
        <v>0</v>
      </c>
      <c r="AI1312" s="200">
        <f t="shared" si="14"/>
        <v>0</v>
      </c>
      <c r="AJ1312" s="200">
        <f t="shared" si="6100"/>
        <v>0</v>
      </c>
      <c r="AK1312" s="201">
        <f t="shared" ref="AK1312:AS1312" si="6642">countif($D1312,"*"&amp;AK$2&amp;"*")</f>
        <v>0</v>
      </c>
      <c r="AL1312" s="201">
        <f t="shared" si="6642"/>
        <v>0</v>
      </c>
      <c r="AM1312" s="201">
        <f t="shared" si="6642"/>
        <v>0</v>
      </c>
      <c r="AN1312" s="201">
        <f t="shared" si="6642"/>
        <v>0</v>
      </c>
      <c r="AO1312" s="201">
        <f t="shared" si="6642"/>
        <v>0</v>
      </c>
      <c r="AP1312" s="201">
        <f t="shared" si="6642"/>
        <v>0</v>
      </c>
      <c r="AQ1312" s="201">
        <f t="shared" si="6642"/>
        <v>0</v>
      </c>
      <c r="AR1312" s="200">
        <f t="shared" si="6642"/>
        <v>0</v>
      </c>
      <c r="AS1312" s="200">
        <f t="shared" si="6642"/>
        <v>0</v>
      </c>
      <c r="AT1312" s="173">
        <v>0.0</v>
      </c>
      <c r="AU1312" s="200">
        <f t="shared" si="6217"/>
        <v>0</v>
      </c>
      <c r="AV1312" s="200">
        <f t="shared" ref="AV1312:AX1312" si="6643">countif($D1312,"*"&amp;AV$2&amp;"*")</f>
        <v>0</v>
      </c>
      <c r="AW1312" s="200">
        <f t="shared" si="6643"/>
        <v>0</v>
      </c>
      <c r="AX1312" s="200">
        <f t="shared" si="6643"/>
        <v>0</v>
      </c>
      <c r="AY1312" s="202">
        <v>0.0</v>
      </c>
      <c r="AZ1312" s="200"/>
      <c r="BA1312" s="171" t="str">
        <f t="shared" si="18"/>
        <v/>
      </c>
      <c r="BB1312" s="171" t="str">
        <f t="shared" si="19"/>
        <v/>
      </c>
      <c r="BC1312" s="171" t="str">
        <f t="shared" si="20"/>
        <v>General-purpose</v>
      </c>
      <c r="BD1312" s="171" t="str">
        <f t="shared" si="21"/>
        <v/>
      </c>
      <c r="BE1312" s="171" t="str">
        <f t="shared" si="22"/>
        <v/>
      </c>
      <c r="BF1312" s="171" t="str">
        <f t="shared" si="23"/>
        <v>General-purpose</v>
      </c>
    </row>
    <row r="1313">
      <c r="A1313" s="171">
        <f t="array" ref="A1313">XLOOKUP(C1313,FSE!A:A,FSE!C:C,"XXXXX",0,1)</f>
        <v>2023</v>
      </c>
      <c r="B1313" s="213" t="s">
        <v>5676</v>
      </c>
      <c r="C1313" s="214">
        <v>70.0</v>
      </c>
      <c r="D1313" s="215" t="s">
        <v>5490</v>
      </c>
      <c r="E1313" s="197" t="str">
        <f t="array" ref="E1313">XLOOKUP(C1313,FSE!A:A,FSE!Z:Z,"XXXXX",0,1)</f>
        <v>Publicly Available (1)</v>
      </c>
      <c r="F1313" s="213" t="s">
        <v>3394</v>
      </c>
      <c r="G1313" s="163" t="str">
        <f t="array" ref="G1313">IF(B1313="ICSE",IF(COUNTIFS(B:B,B1313,C:C,C1313)=XLOOKUP(C1313,ICSE!A:A,ICSE!AA:AA,"ERROR",0,1),"OK","ERROR"),IF(B1313="FSE",IF(COUNTIFS(B:B,B1313,C:C,C1313)=XLOOKUP(C1313,FSE!A:A,FSE!AA:AA,"ERROR",0,1),"OK","ERROR")))</f>
        <v>OK</v>
      </c>
      <c r="H1313" s="199">
        <f t="shared" ref="H1313:O1313" si="6644">countif($D1313,"*"&amp;H$2&amp;"*")</f>
        <v>0</v>
      </c>
      <c r="I1313" s="200">
        <f t="shared" si="6644"/>
        <v>0</v>
      </c>
      <c r="J1313" s="200">
        <f t="shared" si="6644"/>
        <v>0</v>
      </c>
      <c r="K1313" s="200">
        <f t="shared" si="6644"/>
        <v>0</v>
      </c>
      <c r="L1313" s="200">
        <f t="shared" si="6644"/>
        <v>0</v>
      </c>
      <c r="M1313" s="200">
        <f t="shared" si="6644"/>
        <v>0</v>
      </c>
      <c r="N1313" s="200">
        <f t="shared" si="6644"/>
        <v>0</v>
      </c>
      <c r="O1313" s="200">
        <f t="shared" si="6644"/>
        <v>0</v>
      </c>
      <c r="P1313" s="200">
        <f t="shared" si="9"/>
        <v>1</v>
      </c>
      <c r="Q1313" s="200">
        <f t="shared" ref="Q1313:AC1313" si="6645">countif($D1313,"*"&amp;Q$2&amp;"*")</f>
        <v>0</v>
      </c>
      <c r="R1313" s="200">
        <f t="shared" si="6645"/>
        <v>0</v>
      </c>
      <c r="S1313" s="200">
        <f t="shared" si="6645"/>
        <v>0</v>
      </c>
      <c r="T1313" s="200">
        <f t="shared" si="6645"/>
        <v>0</v>
      </c>
      <c r="U1313" s="200">
        <f t="shared" si="6645"/>
        <v>0</v>
      </c>
      <c r="V1313" s="200">
        <f t="shared" si="6645"/>
        <v>0</v>
      </c>
      <c r="W1313" s="200">
        <f t="shared" si="6645"/>
        <v>0</v>
      </c>
      <c r="X1313" s="200">
        <f t="shared" si="6645"/>
        <v>0</v>
      </c>
      <c r="Y1313" s="200">
        <f t="shared" si="6645"/>
        <v>0</v>
      </c>
      <c r="Z1313" s="200">
        <f t="shared" si="6645"/>
        <v>0</v>
      </c>
      <c r="AA1313" s="200">
        <f t="shared" si="6645"/>
        <v>0</v>
      </c>
      <c r="AB1313" s="200">
        <f t="shared" si="6645"/>
        <v>0</v>
      </c>
      <c r="AC1313" s="200">
        <f t="shared" si="6645"/>
        <v>0</v>
      </c>
      <c r="AD1313" s="200">
        <f t="shared" si="11"/>
        <v>0</v>
      </c>
      <c r="AE1313" s="200">
        <f t="shared" ref="AE1313:AG1313" si="6646">countif($D1313,"*"&amp;AE$2&amp;"*")</f>
        <v>0</v>
      </c>
      <c r="AF1313" s="200">
        <f t="shared" si="6646"/>
        <v>0</v>
      </c>
      <c r="AG1313" s="200">
        <f t="shared" si="6646"/>
        <v>0</v>
      </c>
      <c r="AH1313" s="171">
        <f t="shared" si="13"/>
        <v>0</v>
      </c>
      <c r="AI1313" s="200">
        <f t="shared" si="14"/>
        <v>0</v>
      </c>
      <c r="AJ1313" s="200">
        <f t="shared" si="6100"/>
        <v>0</v>
      </c>
      <c r="AK1313" s="201">
        <f t="shared" ref="AK1313:AS1313" si="6647">countif($D1313,"*"&amp;AK$2&amp;"*")</f>
        <v>0</v>
      </c>
      <c r="AL1313" s="201">
        <f t="shared" si="6647"/>
        <v>0</v>
      </c>
      <c r="AM1313" s="201">
        <f t="shared" si="6647"/>
        <v>0</v>
      </c>
      <c r="AN1313" s="201">
        <f t="shared" si="6647"/>
        <v>0</v>
      </c>
      <c r="AO1313" s="201">
        <f t="shared" si="6647"/>
        <v>0</v>
      </c>
      <c r="AP1313" s="201">
        <f t="shared" si="6647"/>
        <v>0</v>
      </c>
      <c r="AQ1313" s="201">
        <f t="shared" si="6647"/>
        <v>0</v>
      </c>
      <c r="AR1313" s="200">
        <f t="shared" si="6647"/>
        <v>0</v>
      </c>
      <c r="AS1313" s="200">
        <f t="shared" si="6647"/>
        <v>0</v>
      </c>
      <c r="AT1313" s="173">
        <v>0.0</v>
      </c>
      <c r="AU1313" s="200">
        <f t="shared" si="6217"/>
        <v>0</v>
      </c>
      <c r="AV1313" s="200">
        <f t="shared" ref="AV1313:AX1313" si="6648">countif($D1313,"*"&amp;AV$2&amp;"*")</f>
        <v>1</v>
      </c>
      <c r="AW1313" s="200">
        <f t="shared" si="6648"/>
        <v>0</v>
      </c>
      <c r="AX1313" s="200">
        <f t="shared" si="6648"/>
        <v>0</v>
      </c>
      <c r="AY1313" s="202">
        <v>0.0</v>
      </c>
      <c r="AZ1313" s="200"/>
      <c r="BA1313" s="171" t="str">
        <f t="shared" si="18"/>
        <v/>
      </c>
      <c r="BB1313" s="171" t="str">
        <f t="shared" si="19"/>
        <v>Code</v>
      </c>
      <c r="BC1313" s="171" t="str">
        <f t="shared" si="20"/>
        <v/>
      </c>
      <c r="BD1313" s="171" t="str">
        <f t="shared" si="21"/>
        <v/>
      </c>
      <c r="BE1313" s="171" t="str">
        <f t="shared" si="22"/>
        <v/>
      </c>
      <c r="BF1313" s="171" t="str">
        <f t="shared" si="23"/>
        <v>Code</v>
      </c>
    </row>
    <row r="1314">
      <c r="A1314" s="171">
        <f t="array" ref="A1314">XLOOKUP(C1314,FSE!A:A,FSE!C:C,"XXXXX",0,1)</f>
        <v>2023</v>
      </c>
      <c r="B1314" s="213" t="s">
        <v>5676</v>
      </c>
      <c r="C1314" s="214">
        <v>71.0</v>
      </c>
      <c r="D1314" s="215" t="s">
        <v>5492</v>
      </c>
      <c r="E1314" s="197" t="str">
        <f t="array" ref="E1314">XLOOKUP(C1314,FSE!A:A,FSE!Z:Z,"XXXXX",0,1)</f>
        <v>Publicly Available (1)</v>
      </c>
      <c r="F1314" s="213" t="s">
        <v>3394</v>
      </c>
      <c r="G1314" s="163" t="str">
        <f t="array" ref="G1314">IF(B1314="ICSE",IF(COUNTIFS(B:B,B1314,C:C,C1314)=XLOOKUP(C1314,ICSE!A:A,ICSE!AA:AA,"ERROR",0,1),"OK","ERROR"),IF(B1314="FSE",IF(COUNTIFS(B:B,B1314,C:C,C1314)=XLOOKUP(C1314,FSE!A:A,FSE!AA:AA,"ERROR",0,1),"OK","ERROR")))</f>
        <v>OK</v>
      </c>
      <c r="H1314" s="199">
        <f t="shared" ref="H1314:O1314" si="6649">countif($D1314,"*"&amp;H$2&amp;"*")</f>
        <v>1</v>
      </c>
      <c r="I1314" s="200">
        <f t="shared" si="6649"/>
        <v>0</v>
      </c>
      <c r="J1314" s="200">
        <f t="shared" si="6649"/>
        <v>0</v>
      </c>
      <c r="K1314" s="200">
        <f t="shared" si="6649"/>
        <v>0</v>
      </c>
      <c r="L1314" s="200">
        <f t="shared" si="6649"/>
        <v>0</v>
      </c>
      <c r="M1314" s="200">
        <f t="shared" si="6649"/>
        <v>0</v>
      </c>
      <c r="N1314" s="200">
        <f t="shared" si="6649"/>
        <v>0</v>
      </c>
      <c r="O1314" s="200">
        <f t="shared" si="6649"/>
        <v>0</v>
      </c>
      <c r="P1314" s="200">
        <f t="shared" si="9"/>
        <v>0</v>
      </c>
      <c r="Q1314" s="200">
        <f t="shared" ref="Q1314:AC1314" si="6650">countif($D1314,"*"&amp;Q$2&amp;"*")</f>
        <v>0</v>
      </c>
      <c r="R1314" s="200">
        <f t="shared" si="6650"/>
        <v>0</v>
      </c>
      <c r="S1314" s="200">
        <f t="shared" si="6650"/>
        <v>0</v>
      </c>
      <c r="T1314" s="200">
        <f t="shared" si="6650"/>
        <v>0</v>
      </c>
      <c r="U1314" s="200">
        <f t="shared" si="6650"/>
        <v>0</v>
      </c>
      <c r="V1314" s="200">
        <f t="shared" si="6650"/>
        <v>0</v>
      </c>
      <c r="W1314" s="200">
        <f t="shared" si="6650"/>
        <v>0</v>
      </c>
      <c r="X1314" s="200">
        <f t="shared" si="6650"/>
        <v>0</v>
      </c>
      <c r="Y1314" s="200">
        <f t="shared" si="6650"/>
        <v>0</v>
      </c>
      <c r="Z1314" s="200">
        <f t="shared" si="6650"/>
        <v>0</v>
      </c>
      <c r="AA1314" s="200">
        <f t="shared" si="6650"/>
        <v>0</v>
      </c>
      <c r="AB1314" s="200">
        <f t="shared" si="6650"/>
        <v>0</v>
      </c>
      <c r="AC1314" s="200">
        <f t="shared" si="6650"/>
        <v>0</v>
      </c>
      <c r="AD1314" s="200">
        <f t="shared" si="11"/>
        <v>0</v>
      </c>
      <c r="AE1314" s="200">
        <f t="shared" ref="AE1314:AG1314" si="6651">countif($D1314,"*"&amp;AE$2&amp;"*")</f>
        <v>0</v>
      </c>
      <c r="AF1314" s="200">
        <f t="shared" si="6651"/>
        <v>0</v>
      </c>
      <c r="AG1314" s="200">
        <f t="shared" si="6651"/>
        <v>0</v>
      </c>
      <c r="AH1314" s="171">
        <f t="shared" si="13"/>
        <v>0</v>
      </c>
      <c r="AI1314" s="200">
        <f t="shared" si="14"/>
        <v>1</v>
      </c>
      <c r="AJ1314" s="200">
        <f t="shared" si="6100"/>
        <v>0</v>
      </c>
      <c r="AK1314" s="201">
        <f t="shared" ref="AK1314:AS1314" si="6652">countif($D1314,"*"&amp;AK$2&amp;"*")</f>
        <v>0</v>
      </c>
      <c r="AL1314" s="201">
        <f t="shared" si="6652"/>
        <v>0</v>
      </c>
      <c r="AM1314" s="201">
        <f t="shared" si="6652"/>
        <v>0</v>
      </c>
      <c r="AN1314" s="201">
        <f t="shared" si="6652"/>
        <v>0</v>
      </c>
      <c r="AO1314" s="201">
        <f t="shared" si="6652"/>
        <v>0</v>
      </c>
      <c r="AP1314" s="201">
        <f t="shared" si="6652"/>
        <v>0</v>
      </c>
      <c r="AQ1314" s="201">
        <f t="shared" si="6652"/>
        <v>0</v>
      </c>
      <c r="AR1314" s="200">
        <f t="shared" si="6652"/>
        <v>0</v>
      </c>
      <c r="AS1314" s="200">
        <f t="shared" si="6652"/>
        <v>0</v>
      </c>
      <c r="AT1314" s="173">
        <v>0.0</v>
      </c>
      <c r="AU1314" s="200">
        <f t="shared" si="6217"/>
        <v>0</v>
      </c>
      <c r="AV1314" s="200">
        <f t="shared" ref="AV1314:AX1314" si="6653">countif($D1314,"*"&amp;AV$2&amp;"*")</f>
        <v>0</v>
      </c>
      <c r="AW1314" s="200">
        <f t="shared" si="6653"/>
        <v>0</v>
      </c>
      <c r="AX1314" s="200">
        <f t="shared" si="6653"/>
        <v>1</v>
      </c>
      <c r="AY1314" s="202">
        <v>0.0</v>
      </c>
      <c r="AZ1314" s="200"/>
      <c r="BA1314" s="171" t="str">
        <f t="shared" si="18"/>
        <v>Archival</v>
      </c>
      <c r="BB1314" s="171" t="str">
        <f t="shared" si="19"/>
        <v/>
      </c>
      <c r="BC1314" s="171" t="str">
        <f t="shared" si="20"/>
        <v/>
      </c>
      <c r="BD1314" s="171" t="str">
        <f t="shared" si="21"/>
        <v/>
      </c>
      <c r="BE1314" s="171" t="str">
        <f t="shared" si="22"/>
        <v/>
      </c>
      <c r="BF1314" s="171" t="str">
        <f t="shared" si="23"/>
        <v>Archival</v>
      </c>
    </row>
    <row r="1315">
      <c r="A1315" s="171">
        <f t="array" ref="A1315">XLOOKUP(C1315,FSE!A:A,FSE!C:C,"XXXXX",0,1)</f>
        <v>2023</v>
      </c>
      <c r="B1315" s="213" t="s">
        <v>5676</v>
      </c>
      <c r="C1315" s="214">
        <v>72.0</v>
      </c>
      <c r="D1315" s="215" t="s">
        <v>6202</v>
      </c>
      <c r="E1315" s="197" t="str">
        <f t="array" ref="E1315">XLOOKUP(C1315,FSE!A:A,FSE!Z:Z,"XXXXX",0,1)</f>
        <v>Publicly Available (2)</v>
      </c>
      <c r="F1315" s="213" t="s">
        <v>3394</v>
      </c>
      <c r="G1315" s="163" t="str">
        <f t="array" ref="G1315">IF(B1315="ICSE",IF(COUNTIFS(B:B,B1315,C:C,C1315)=XLOOKUP(C1315,ICSE!A:A,ICSE!AA:AA,"ERROR",0,1),"OK","ERROR"),IF(B1315="FSE",IF(COUNTIFS(B:B,B1315,C:C,C1315)=XLOOKUP(C1315,FSE!A:A,FSE!AA:AA,"ERROR",0,1),"OK","ERROR")))</f>
        <v>OK</v>
      </c>
      <c r="H1315" s="199">
        <f t="shared" ref="H1315:O1315" si="6654">countif($D1315,"*"&amp;H$2&amp;"*")</f>
        <v>0</v>
      </c>
      <c r="I1315" s="200">
        <f t="shared" si="6654"/>
        <v>0</v>
      </c>
      <c r="J1315" s="200">
        <f t="shared" si="6654"/>
        <v>0</v>
      </c>
      <c r="K1315" s="200">
        <f t="shared" si="6654"/>
        <v>0</v>
      </c>
      <c r="L1315" s="200">
        <f t="shared" si="6654"/>
        <v>0</v>
      </c>
      <c r="M1315" s="200">
        <f t="shared" si="6654"/>
        <v>0</v>
      </c>
      <c r="N1315" s="200">
        <f t="shared" si="6654"/>
        <v>0</v>
      </c>
      <c r="O1315" s="200">
        <f t="shared" si="6654"/>
        <v>0</v>
      </c>
      <c r="P1315" s="200">
        <f t="shared" si="9"/>
        <v>1</v>
      </c>
      <c r="Q1315" s="200">
        <f t="shared" ref="Q1315:AC1315" si="6655">countif($D1315,"*"&amp;Q$2&amp;"*")</f>
        <v>0</v>
      </c>
      <c r="R1315" s="200">
        <f t="shared" si="6655"/>
        <v>0</v>
      </c>
      <c r="S1315" s="200">
        <f t="shared" si="6655"/>
        <v>0</v>
      </c>
      <c r="T1315" s="200">
        <f t="shared" si="6655"/>
        <v>0</v>
      </c>
      <c r="U1315" s="200">
        <f t="shared" si="6655"/>
        <v>0</v>
      </c>
      <c r="V1315" s="200">
        <f t="shared" si="6655"/>
        <v>0</v>
      </c>
      <c r="W1315" s="200">
        <f t="shared" si="6655"/>
        <v>0</v>
      </c>
      <c r="X1315" s="200">
        <f t="shared" si="6655"/>
        <v>0</v>
      </c>
      <c r="Y1315" s="200">
        <f t="shared" si="6655"/>
        <v>0</v>
      </c>
      <c r="Z1315" s="200">
        <f t="shared" si="6655"/>
        <v>0</v>
      </c>
      <c r="AA1315" s="200">
        <f t="shared" si="6655"/>
        <v>0</v>
      </c>
      <c r="AB1315" s="200">
        <f t="shared" si="6655"/>
        <v>0</v>
      </c>
      <c r="AC1315" s="200">
        <f t="shared" si="6655"/>
        <v>0</v>
      </c>
      <c r="AD1315" s="200">
        <f t="shared" si="11"/>
        <v>0</v>
      </c>
      <c r="AE1315" s="200">
        <f t="shared" ref="AE1315:AG1315" si="6656">countif($D1315,"*"&amp;AE$2&amp;"*")</f>
        <v>0</v>
      </c>
      <c r="AF1315" s="200">
        <f t="shared" si="6656"/>
        <v>0</v>
      </c>
      <c r="AG1315" s="200">
        <f t="shared" si="6656"/>
        <v>0</v>
      </c>
      <c r="AH1315" s="171">
        <f t="shared" si="13"/>
        <v>0</v>
      </c>
      <c r="AI1315" s="200">
        <f t="shared" si="14"/>
        <v>0</v>
      </c>
      <c r="AJ1315" s="200">
        <f t="shared" si="6100"/>
        <v>0</v>
      </c>
      <c r="AK1315" s="201">
        <f t="shared" ref="AK1315:AS1315" si="6657">countif($D1315,"*"&amp;AK$2&amp;"*")</f>
        <v>0</v>
      </c>
      <c r="AL1315" s="201">
        <f t="shared" si="6657"/>
        <v>0</v>
      </c>
      <c r="AM1315" s="201">
        <f t="shared" si="6657"/>
        <v>0</v>
      </c>
      <c r="AN1315" s="201">
        <f t="shared" si="6657"/>
        <v>0</v>
      </c>
      <c r="AO1315" s="201">
        <f t="shared" si="6657"/>
        <v>0</v>
      </c>
      <c r="AP1315" s="201">
        <f t="shared" si="6657"/>
        <v>0</v>
      </c>
      <c r="AQ1315" s="201">
        <f t="shared" si="6657"/>
        <v>0</v>
      </c>
      <c r="AR1315" s="200">
        <f t="shared" si="6657"/>
        <v>0</v>
      </c>
      <c r="AS1315" s="200">
        <f t="shared" si="6657"/>
        <v>0</v>
      </c>
      <c r="AT1315" s="173">
        <v>0.0</v>
      </c>
      <c r="AU1315" s="200">
        <f t="shared" si="6217"/>
        <v>0</v>
      </c>
      <c r="AV1315" s="200">
        <f t="shared" ref="AV1315:AX1315" si="6658">countif($D1315,"*"&amp;AV$2&amp;"*")</f>
        <v>1</v>
      </c>
      <c r="AW1315" s="200">
        <f t="shared" si="6658"/>
        <v>0</v>
      </c>
      <c r="AX1315" s="200">
        <f t="shared" si="6658"/>
        <v>0</v>
      </c>
      <c r="AY1315" s="202">
        <v>0.0</v>
      </c>
      <c r="AZ1315" s="200"/>
      <c r="BA1315" s="171" t="str">
        <f t="shared" si="18"/>
        <v/>
      </c>
      <c r="BB1315" s="171" t="str">
        <f t="shared" si="19"/>
        <v>Code</v>
      </c>
      <c r="BC1315" s="171" t="str">
        <f t="shared" si="20"/>
        <v/>
      </c>
      <c r="BD1315" s="171" t="str">
        <f t="shared" si="21"/>
        <v/>
      </c>
      <c r="BE1315" s="171" t="str">
        <f t="shared" si="22"/>
        <v/>
      </c>
      <c r="BF1315" s="171" t="str">
        <f t="shared" si="23"/>
        <v>Code</v>
      </c>
    </row>
    <row r="1316">
      <c r="A1316" s="171">
        <f t="array" ref="A1316">XLOOKUP(C1316,FSE!A:A,FSE!C:C,"XXXXX",0,1)</f>
        <v>2023</v>
      </c>
      <c r="B1316" s="213" t="s">
        <v>5676</v>
      </c>
      <c r="C1316" s="214">
        <v>72.0</v>
      </c>
      <c r="D1316" s="215" t="s">
        <v>6203</v>
      </c>
      <c r="E1316" s="197" t="str">
        <f t="array" ref="E1316">XLOOKUP(C1316,FSE!A:A,FSE!Z:Z,"XXXXX",0,1)</f>
        <v>Publicly Available (2)</v>
      </c>
      <c r="F1316" s="213" t="s">
        <v>3394</v>
      </c>
      <c r="G1316" s="163" t="str">
        <f t="array" ref="G1316">IF(B1316="ICSE",IF(COUNTIFS(B:B,B1316,C:C,C1316)=XLOOKUP(C1316,ICSE!A:A,ICSE!AA:AA,"ERROR",0,1),"OK","ERROR"),IF(B1316="FSE",IF(COUNTIFS(B:B,B1316,C:C,C1316)=XLOOKUP(C1316,FSE!A:A,FSE!AA:AA,"ERROR",0,1),"OK","ERROR")))</f>
        <v>OK</v>
      </c>
      <c r="H1316" s="199">
        <f t="shared" ref="H1316:O1316" si="6659">countif($D1316,"*"&amp;H$2&amp;"*")</f>
        <v>1</v>
      </c>
      <c r="I1316" s="200">
        <f t="shared" si="6659"/>
        <v>0</v>
      </c>
      <c r="J1316" s="200">
        <f t="shared" si="6659"/>
        <v>0</v>
      </c>
      <c r="K1316" s="200">
        <f t="shared" si="6659"/>
        <v>0</v>
      </c>
      <c r="L1316" s="200">
        <f t="shared" si="6659"/>
        <v>0</v>
      </c>
      <c r="M1316" s="200">
        <f t="shared" si="6659"/>
        <v>0</v>
      </c>
      <c r="N1316" s="200">
        <f t="shared" si="6659"/>
        <v>0</v>
      </c>
      <c r="O1316" s="200">
        <f t="shared" si="6659"/>
        <v>0</v>
      </c>
      <c r="P1316" s="200">
        <f t="shared" si="9"/>
        <v>0</v>
      </c>
      <c r="Q1316" s="200">
        <f t="shared" ref="Q1316:AC1316" si="6660">countif($D1316,"*"&amp;Q$2&amp;"*")</f>
        <v>0</v>
      </c>
      <c r="R1316" s="200">
        <f t="shared" si="6660"/>
        <v>0</v>
      </c>
      <c r="S1316" s="200">
        <f t="shared" si="6660"/>
        <v>0</v>
      </c>
      <c r="T1316" s="200">
        <f t="shared" si="6660"/>
        <v>0</v>
      </c>
      <c r="U1316" s="200">
        <f t="shared" si="6660"/>
        <v>0</v>
      </c>
      <c r="V1316" s="200">
        <f t="shared" si="6660"/>
        <v>0</v>
      </c>
      <c r="W1316" s="200">
        <f t="shared" si="6660"/>
        <v>0</v>
      </c>
      <c r="X1316" s="200">
        <f t="shared" si="6660"/>
        <v>0</v>
      </c>
      <c r="Y1316" s="200">
        <f t="shared" si="6660"/>
        <v>0</v>
      </c>
      <c r="Z1316" s="200">
        <f t="shared" si="6660"/>
        <v>0</v>
      </c>
      <c r="AA1316" s="200">
        <f t="shared" si="6660"/>
        <v>0</v>
      </c>
      <c r="AB1316" s="200">
        <f t="shared" si="6660"/>
        <v>0</v>
      </c>
      <c r="AC1316" s="200">
        <f t="shared" si="6660"/>
        <v>0</v>
      </c>
      <c r="AD1316" s="200">
        <f t="shared" si="11"/>
        <v>0</v>
      </c>
      <c r="AE1316" s="200">
        <f t="shared" ref="AE1316:AG1316" si="6661">countif($D1316,"*"&amp;AE$2&amp;"*")</f>
        <v>0</v>
      </c>
      <c r="AF1316" s="200">
        <f t="shared" si="6661"/>
        <v>0</v>
      </c>
      <c r="AG1316" s="200">
        <f t="shared" si="6661"/>
        <v>0</v>
      </c>
      <c r="AH1316" s="171">
        <f t="shared" si="13"/>
        <v>0</v>
      </c>
      <c r="AI1316" s="200">
        <f t="shared" si="14"/>
        <v>1</v>
      </c>
      <c r="AJ1316" s="200">
        <f t="shared" si="6100"/>
        <v>0</v>
      </c>
      <c r="AK1316" s="201">
        <f t="shared" ref="AK1316:AS1316" si="6662">countif($D1316,"*"&amp;AK$2&amp;"*")</f>
        <v>0</v>
      </c>
      <c r="AL1316" s="201">
        <f t="shared" si="6662"/>
        <v>0</v>
      </c>
      <c r="AM1316" s="201">
        <f t="shared" si="6662"/>
        <v>0</v>
      </c>
      <c r="AN1316" s="201">
        <f t="shared" si="6662"/>
        <v>0</v>
      </c>
      <c r="AO1316" s="201">
        <f t="shared" si="6662"/>
        <v>0</v>
      </c>
      <c r="AP1316" s="201">
        <f t="shared" si="6662"/>
        <v>0</v>
      </c>
      <c r="AQ1316" s="201">
        <f t="shared" si="6662"/>
        <v>0</v>
      </c>
      <c r="AR1316" s="200">
        <f t="shared" si="6662"/>
        <v>0</v>
      </c>
      <c r="AS1316" s="200">
        <f t="shared" si="6662"/>
        <v>0</v>
      </c>
      <c r="AT1316" s="173">
        <v>0.0</v>
      </c>
      <c r="AU1316" s="200">
        <f t="shared" si="6217"/>
        <v>0</v>
      </c>
      <c r="AV1316" s="200">
        <f t="shared" ref="AV1316:AX1316" si="6663">countif($D1316,"*"&amp;AV$2&amp;"*")</f>
        <v>0</v>
      </c>
      <c r="AW1316" s="200">
        <f t="shared" si="6663"/>
        <v>0</v>
      </c>
      <c r="AX1316" s="200">
        <f t="shared" si="6663"/>
        <v>1</v>
      </c>
      <c r="AY1316" s="202">
        <v>0.0</v>
      </c>
      <c r="AZ1316" s="200"/>
      <c r="BA1316" s="171" t="str">
        <f t="shared" si="18"/>
        <v>Archival</v>
      </c>
      <c r="BB1316" s="171" t="str">
        <f t="shared" si="19"/>
        <v/>
      </c>
      <c r="BC1316" s="171" t="str">
        <f t="shared" si="20"/>
        <v/>
      </c>
      <c r="BD1316" s="171" t="str">
        <f t="shared" si="21"/>
        <v/>
      </c>
      <c r="BE1316" s="171" t="str">
        <f t="shared" si="22"/>
        <v/>
      </c>
      <c r="BF1316" s="171" t="str">
        <f t="shared" si="23"/>
        <v>Archival</v>
      </c>
    </row>
    <row r="1317">
      <c r="A1317" s="171">
        <f t="array" ref="A1317">XLOOKUP(C1317,FSE!A:A,FSE!C:C,"XXXXX",0,1)</f>
        <v>2023</v>
      </c>
      <c r="B1317" s="213" t="s">
        <v>5676</v>
      </c>
      <c r="C1317" s="214">
        <v>73.0</v>
      </c>
      <c r="D1317" s="215" t="s">
        <v>5499</v>
      </c>
      <c r="E1317" s="197" t="str">
        <f t="array" ref="E1317">XLOOKUP(C1317,FSE!A:A,FSE!Z:Z,"XXXXX",0,1)</f>
        <v>Publicly Available (1)</v>
      </c>
      <c r="F1317" s="213" t="s">
        <v>3394</v>
      </c>
      <c r="G1317" s="163" t="str">
        <f t="array" ref="G1317">IF(B1317="ICSE",IF(COUNTIFS(B:B,B1317,C:C,C1317)=XLOOKUP(C1317,ICSE!A:A,ICSE!AA:AA,"ERROR",0,1),"OK","ERROR"),IF(B1317="FSE",IF(COUNTIFS(B:B,B1317,C:C,C1317)=XLOOKUP(C1317,FSE!A:A,FSE!AA:AA,"ERROR",0,1),"OK","ERROR")))</f>
        <v>OK</v>
      </c>
      <c r="H1317" s="199">
        <f t="shared" ref="H1317:O1317" si="6664">countif($D1317,"*"&amp;H$2&amp;"*")</f>
        <v>0</v>
      </c>
      <c r="I1317" s="200">
        <f t="shared" si="6664"/>
        <v>0</v>
      </c>
      <c r="J1317" s="200">
        <f t="shared" si="6664"/>
        <v>0</v>
      </c>
      <c r="K1317" s="200">
        <f t="shared" si="6664"/>
        <v>0</v>
      </c>
      <c r="L1317" s="200">
        <f t="shared" si="6664"/>
        <v>0</v>
      </c>
      <c r="M1317" s="200">
        <f t="shared" si="6664"/>
        <v>0</v>
      </c>
      <c r="N1317" s="200">
        <f t="shared" si="6664"/>
        <v>0</v>
      </c>
      <c r="O1317" s="200">
        <f t="shared" si="6664"/>
        <v>0</v>
      </c>
      <c r="P1317" s="200">
        <f t="shared" si="9"/>
        <v>0</v>
      </c>
      <c r="Q1317" s="200">
        <f t="shared" ref="Q1317:AC1317" si="6665">countif($D1317,"*"&amp;Q$2&amp;"*")</f>
        <v>0</v>
      </c>
      <c r="R1317" s="200">
        <f t="shared" si="6665"/>
        <v>0</v>
      </c>
      <c r="S1317" s="200">
        <f t="shared" si="6665"/>
        <v>0</v>
      </c>
      <c r="T1317" s="200">
        <f t="shared" si="6665"/>
        <v>0</v>
      </c>
      <c r="U1317" s="200">
        <f t="shared" si="6665"/>
        <v>0</v>
      </c>
      <c r="V1317" s="200">
        <f t="shared" si="6665"/>
        <v>0</v>
      </c>
      <c r="W1317" s="200">
        <f t="shared" si="6665"/>
        <v>0</v>
      </c>
      <c r="X1317" s="200">
        <f t="shared" si="6665"/>
        <v>0</v>
      </c>
      <c r="Y1317" s="200">
        <f t="shared" si="6665"/>
        <v>0</v>
      </c>
      <c r="Z1317" s="200">
        <f t="shared" si="6665"/>
        <v>0</v>
      </c>
      <c r="AA1317" s="200">
        <f t="shared" si="6665"/>
        <v>1</v>
      </c>
      <c r="AB1317" s="200">
        <f t="shared" si="6665"/>
        <v>0</v>
      </c>
      <c r="AC1317" s="200">
        <f t="shared" si="6665"/>
        <v>0</v>
      </c>
      <c r="AD1317" s="200">
        <f t="shared" si="11"/>
        <v>0</v>
      </c>
      <c r="AE1317" s="200">
        <f t="shared" ref="AE1317:AG1317" si="6666">countif($D1317,"*"&amp;AE$2&amp;"*")</f>
        <v>0</v>
      </c>
      <c r="AF1317" s="200">
        <f t="shared" si="6666"/>
        <v>0</v>
      </c>
      <c r="AG1317" s="200">
        <f t="shared" si="6666"/>
        <v>0</v>
      </c>
      <c r="AH1317" s="171">
        <f t="shared" si="13"/>
        <v>0</v>
      </c>
      <c r="AI1317" s="200">
        <f t="shared" si="14"/>
        <v>0</v>
      </c>
      <c r="AJ1317" s="200">
        <f t="shared" si="6100"/>
        <v>0</v>
      </c>
      <c r="AK1317" s="201">
        <f t="shared" ref="AK1317:AS1317" si="6667">countif($D1317,"*"&amp;AK$2&amp;"*")</f>
        <v>0</v>
      </c>
      <c r="AL1317" s="201">
        <f t="shared" si="6667"/>
        <v>0</v>
      </c>
      <c r="AM1317" s="201">
        <f t="shared" si="6667"/>
        <v>0</v>
      </c>
      <c r="AN1317" s="201">
        <f t="shared" si="6667"/>
        <v>0</v>
      </c>
      <c r="AO1317" s="201">
        <f t="shared" si="6667"/>
        <v>0</v>
      </c>
      <c r="AP1317" s="201">
        <f t="shared" si="6667"/>
        <v>0</v>
      </c>
      <c r="AQ1317" s="201">
        <f t="shared" si="6667"/>
        <v>0</v>
      </c>
      <c r="AR1317" s="200">
        <f t="shared" si="6667"/>
        <v>0</v>
      </c>
      <c r="AS1317" s="200">
        <f t="shared" si="6667"/>
        <v>0</v>
      </c>
      <c r="AT1317" s="173">
        <v>0.0</v>
      </c>
      <c r="AU1317" s="200">
        <f t="shared" si="6217"/>
        <v>0</v>
      </c>
      <c r="AV1317" s="200">
        <f t="shared" ref="AV1317:AX1317" si="6668">countif($D1317,"*"&amp;AV$2&amp;"*")</f>
        <v>0</v>
      </c>
      <c r="AW1317" s="200">
        <f t="shared" si="6668"/>
        <v>0</v>
      </c>
      <c r="AX1317" s="200">
        <f t="shared" si="6668"/>
        <v>0</v>
      </c>
      <c r="AY1317" s="202">
        <v>0.0</v>
      </c>
      <c r="AZ1317" s="200"/>
      <c r="BA1317" s="171" t="str">
        <f t="shared" si="18"/>
        <v/>
      </c>
      <c r="BB1317" s="171" t="str">
        <f t="shared" si="19"/>
        <v/>
      </c>
      <c r="BC1317" s="171" t="str">
        <f t="shared" si="20"/>
        <v>General-purpose</v>
      </c>
      <c r="BD1317" s="171" t="str">
        <f t="shared" si="21"/>
        <v/>
      </c>
      <c r="BE1317" s="171" t="str">
        <f t="shared" si="22"/>
        <v/>
      </c>
      <c r="BF1317" s="171" t="str">
        <f t="shared" si="23"/>
        <v>General-purpose</v>
      </c>
    </row>
    <row r="1318">
      <c r="A1318" s="171">
        <f t="array" ref="A1318">XLOOKUP(C1318,FSE!A:A,FSE!C:C,"XXXXX",0,1)</f>
        <v>2023</v>
      </c>
      <c r="B1318" s="213" t="s">
        <v>5676</v>
      </c>
      <c r="C1318" s="214">
        <v>74.0</v>
      </c>
      <c r="D1318" s="215" t="s">
        <v>5501</v>
      </c>
      <c r="E1318" s="197" t="str">
        <f t="array" ref="E1318">XLOOKUP(C1318,FSE!A:A,FSE!Z:Z,"XXXXX",0,1)</f>
        <v>Publicly Available (1)</v>
      </c>
      <c r="F1318" s="213" t="s">
        <v>3394</v>
      </c>
      <c r="G1318" s="163" t="str">
        <f t="array" ref="G1318">IF(B1318="ICSE",IF(COUNTIFS(B:B,B1318,C:C,C1318)=XLOOKUP(C1318,ICSE!A:A,ICSE!AA:AA,"ERROR",0,1),"OK","ERROR"),IF(B1318="FSE",IF(COUNTIFS(B:B,B1318,C:C,C1318)=XLOOKUP(C1318,FSE!A:A,FSE!AA:AA,"ERROR",0,1),"OK","ERROR")))</f>
        <v>OK</v>
      </c>
      <c r="H1318" s="199">
        <f t="shared" ref="H1318:O1318" si="6669">countif($D1318,"*"&amp;H$2&amp;"*")</f>
        <v>0</v>
      </c>
      <c r="I1318" s="200">
        <f t="shared" si="6669"/>
        <v>0</v>
      </c>
      <c r="J1318" s="200">
        <f t="shared" si="6669"/>
        <v>0</v>
      </c>
      <c r="K1318" s="200">
        <f t="shared" si="6669"/>
        <v>0</v>
      </c>
      <c r="L1318" s="200">
        <f t="shared" si="6669"/>
        <v>0</v>
      </c>
      <c r="M1318" s="200">
        <f t="shared" si="6669"/>
        <v>0</v>
      </c>
      <c r="N1318" s="200">
        <f t="shared" si="6669"/>
        <v>0</v>
      </c>
      <c r="O1318" s="200">
        <f t="shared" si="6669"/>
        <v>0</v>
      </c>
      <c r="P1318" s="200">
        <f t="shared" si="9"/>
        <v>1</v>
      </c>
      <c r="Q1318" s="200">
        <f t="shared" ref="Q1318:AC1318" si="6670">countif($D1318,"*"&amp;Q$2&amp;"*")</f>
        <v>0</v>
      </c>
      <c r="R1318" s="200">
        <f t="shared" si="6670"/>
        <v>0</v>
      </c>
      <c r="S1318" s="200">
        <f t="shared" si="6670"/>
        <v>0</v>
      </c>
      <c r="T1318" s="200">
        <f t="shared" si="6670"/>
        <v>0</v>
      </c>
      <c r="U1318" s="200">
        <f t="shared" si="6670"/>
        <v>0</v>
      </c>
      <c r="V1318" s="200">
        <f t="shared" si="6670"/>
        <v>0</v>
      </c>
      <c r="W1318" s="200">
        <f t="shared" si="6670"/>
        <v>0</v>
      </c>
      <c r="X1318" s="200">
        <f t="shared" si="6670"/>
        <v>0</v>
      </c>
      <c r="Y1318" s="200">
        <f t="shared" si="6670"/>
        <v>0</v>
      </c>
      <c r="Z1318" s="200">
        <f t="shared" si="6670"/>
        <v>0</v>
      </c>
      <c r="AA1318" s="200">
        <f t="shared" si="6670"/>
        <v>0</v>
      </c>
      <c r="AB1318" s="200">
        <f t="shared" si="6670"/>
        <v>0</v>
      </c>
      <c r="AC1318" s="200">
        <f t="shared" si="6670"/>
        <v>0</v>
      </c>
      <c r="AD1318" s="200">
        <f t="shared" si="11"/>
        <v>0</v>
      </c>
      <c r="AE1318" s="200">
        <f t="shared" ref="AE1318:AG1318" si="6671">countif($D1318,"*"&amp;AE$2&amp;"*")</f>
        <v>0</v>
      </c>
      <c r="AF1318" s="200">
        <f t="shared" si="6671"/>
        <v>0</v>
      </c>
      <c r="AG1318" s="200">
        <f t="shared" si="6671"/>
        <v>0</v>
      </c>
      <c r="AH1318" s="171">
        <f t="shared" si="13"/>
        <v>0</v>
      </c>
      <c r="AI1318" s="200">
        <f t="shared" si="14"/>
        <v>0</v>
      </c>
      <c r="AJ1318" s="200">
        <f t="shared" si="6100"/>
        <v>0</v>
      </c>
      <c r="AK1318" s="201">
        <f t="shared" ref="AK1318:AS1318" si="6672">countif($D1318,"*"&amp;AK$2&amp;"*")</f>
        <v>0</v>
      </c>
      <c r="AL1318" s="201">
        <f t="shared" si="6672"/>
        <v>0</v>
      </c>
      <c r="AM1318" s="201">
        <f t="shared" si="6672"/>
        <v>0</v>
      </c>
      <c r="AN1318" s="201">
        <f t="shared" si="6672"/>
        <v>0</v>
      </c>
      <c r="AO1318" s="201">
        <f t="shared" si="6672"/>
        <v>0</v>
      </c>
      <c r="AP1318" s="201">
        <f t="shared" si="6672"/>
        <v>0</v>
      </c>
      <c r="AQ1318" s="201">
        <f t="shared" si="6672"/>
        <v>0</v>
      </c>
      <c r="AR1318" s="200">
        <f t="shared" si="6672"/>
        <v>0</v>
      </c>
      <c r="AS1318" s="200">
        <f t="shared" si="6672"/>
        <v>0</v>
      </c>
      <c r="AT1318" s="173">
        <v>0.0</v>
      </c>
      <c r="AU1318" s="200">
        <f t="shared" si="6217"/>
        <v>0</v>
      </c>
      <c r="AV1318" s="200">
        <f t="shared" ref="AV1318:AX1318" si="6673">countif($D1318,"*"&amp;AV$2&amp;"*")</f>
        <v>1</v>
      </c>
      <c r="AW1318" s="200">
        <f t="shared" si="6673"/>
        <v>0</v>
      </c>
      <c r="AX1318" s="200">
        <f t="shared" si="6673"/>
        <v>0</v>
      </c>
      <c r="AY1318" s="202">
        <v>0.0</v>
      </c>
      <c r="AZ1318" s="200"/>
      <c r="BA1318" s="171" t="str">
        <f t="shared" si="18"/>
        <v/>
      </c>
      <c r="BB1318" s="171" t="str">
        <f t="shared" si="19"/>
        <v>Code</v>
      </c>
      <c r="BC1318" s="171" t="str">
        <f t="shared" si="20"/>
        <v/>
      </c>
      <c r="BD1318" s="171" t="str">
        <f t="shared" si="21"/>
        <v/>
      </c>
      <c r="BE1318" s="171" t="str">
        <f t="shared" si="22"/>
        <v/>
      </c>
      <c r="BF1318" s="171" t="str">
        <f t="shared" si="23"/>
        <v>Code</v>
      </c>
    </row>
    <row r="1319">
      <c r="A1319" s="171">
        <f t="array" ref="A1319">XLOOKUP(C1319,FSE!A:A,FSE!C:C,"XXXXX",0,1)</f>
        <v>2023</v>
      </c>
      <c r="B1319" s="213" t="s">
        <v>5676</v>
      </c>
      <c r="C1319" s="214">
        <v>75.0</v>
      </c>
      <c r="D1319" s="215" t="s">
        <v>6204</v>
      </c>
      <c r="E1319" s="197" t="str">
        <f t="array" ref="E1319">XLOOKUP(C1319,FSE!A:A,FSE!Z:Z,"XXXXX",0,1)</f>
        <v>Publicly Available (2)</v>
      </c>
      <c r="F1319" s="213" t="s">
        <v>3394</v>
      </c>
      <c r="G1319" s="163" t="str">
        <f t="array" ref="G1319">IF(B1319="ICSE",IF(COUNTIFS(B:B,B1319,C:C,C1319)=XLOOKUP(C1319,ICSE!A:A,ICSE!AA:AA,"ERROR",0,1),"OK","ERROR"),IF(B1319="FSE",IF(COUNTIFS(B:B,B1319,C:C,C1319)=XLOOKUP(C1319,FSE!A:A,FSE!AA:AA,"ERROR",0,1),"OK","ERROR")))</f>
        <v>OK</v>
      </c>
      <c r="H1319" s="199">
        <f t="shared" ref="H1319:O1319" si="6674">countif($D1319,"*"&amp;H$2&amp;"*")</f>
        <v>1</v>
      </c>
      <c r="I1319" s="200">
        <f t="shared" si="6674"/>
        <v>0</v>
      </c>
      <c r="J1319" s="200">
        <f t="shared" si="6674"/>
        <v>0</v>
      </c>
      <c r="K1319" s="200">
        <f t="shared" si="6674"/>
        <v>0</v>
      </c>
      <c r="L1319" s="200">
        <f t="shared" si="6674"/>
        <v>0</v>
      </c>
      <c r="M1319" s="200">
        <f t="shared" si="6674"/>
        <v>0</v>
      </c>
      <c r="N1319" s="200">
        <f t="shared" si="6674"/>
        <v>0</v>
      </c>
      <c r="O1319" s="200">
        <f t="shared" si="6674"/>
        <v>0</v>
      </c>
      <c r="P1319" s="200">
        <f t="shared" si="9"/>
        <v>0</v>
      </c>
      <c r="Q1319" s="200">
        <f t="shared" ref="Q1319:AC1319" si="6675">countif($D1319,"*"&amp;Q$2&amp;"*")</f>
        <v>0</v>
      </c>
      <c r="R1319" s="200">
        <f t="shared" si="6675"/>
        <v>0</v>
      </c>
      <c r="S1319" s="200">
        <f t="shared" si="6675"/>
        <v>0</v>
      </c>
      <c r="T1319" s="200">
        <f t="shared" si="6675"/>
        <v>0</v>
      </c>
      <c r="U1319" s="200">
        <f t="shared" si="6675"/>
        <v>0</v>
      </c>
      <c r="V1319" s="200">
        <f t="shared" si="6675"/>
        <v>0</v>
      </c>
      <c r="W1319" s="200">
        <f t="shared" si="6675"/>
        <v>0</v>
      </c>
      <c r="X1319" s="200">
        <f t="shared" si="6675"/>
        <v>0</v>
      </c>
      <c r="Y1319" s="200">
        <f t="shared" si="6675"/>
        <v>0</v>
      </c>
      <c r="Z1319" s="200">
        <f t="shared" si="6675"/>
        <v>0</v>
      </c>
      <c r="AA1319" s="200">
        <f t="shared" si="6675"/>
        <v>0</v>
      </c>
      <c r="AB1319" s="200">
        <f t="shared" si="6675"/>
        <v>0</v>
      </c>
      <c r="AC1319" s="200">
        <f t="shared" si="6675"/>
        <v>0</v>
      </c>
      <c r="AD1319" s="200">
        <f t="shared" si="11"/>
        <v>0</v>
      </c>
      <c r="AE1319" s="200">
        <f t="shared" ref="AE1319:AG1319" si="6676">countif($D1319,"*"&amp;AE$2&amp;"*")</f>
        <v>0</v>
      </c>
      <c r="AF1319" s="200">
        <f t="shared" si="6676"/>
        <v>0</v>
      </c>
      <c r="AG1319" s="200">
        <f t="shared" si="6676"/>
        <v>0</v>
      </c>
      <c r="AH1319" s="171">
        <f t="shared" si="13"/>
        <v>0</v>
      </c>
      <c r="AI1319" s="200">
        <f t="shared" si="14"/>
        <v>1</v>
      </c>
      <c r="AJ1319" s="200">
        <f t="shared" si="6100"/>
        <v>0</v>
      </c>
      <c r="AK1319" s="201">
        <f t="shared" ref="AK1319:AS1319" si="6677">countif($D1319,"*"&amp;AK$2&amp;"*")</f>
        <v>0</v>
      </c>
      <c r="AL1319" s="201">
        <f t="shared" si="6677"/>
        <v>0</v>
      </c>
      <c r="AM1319" s="201">
        <f t="shared" si="6677"/>
        <v>0</v>
      </c>
      <c r="AN1319" s="201">
        <f t="shared" si="6677"/>
        <v>0</v>
      </c>
      <c r="AO1319" s="201">
        <f t="shared" si="6677"/>
        <v>0</v>
      </c>
      <c r="AP1319" s="201">
        <f t="shared" si="6677"/>
        <v>0</v>
      </c>
      <c r="AQ1319" s="201">
        <f t="shared" si="6677"/>
        <v>0</v>
      </c>
      <c r="AR1319" s="200">
        <f t="shared" si="6677"/>
        <v>0</v>
      </c>
      <c r="AS1319" s="200">
        <f t="shared" si="6677"/>
        <v>0</v>
      </c>
      <c r="AT1319" s="173">
        <v>0.0</v>
      </c>
      <c r="AU1319" s="200">
        <f t="shared" si="6217"/>
        <v>0</v>
      </c>
      <c r="AV1319" s="200">
        <f t="shared" ref="AV1319:AX1319" si="6678">countif($D1319,"*"&amp;AV$2&amp;"*")</f>
        <v>0</v>
      </c>
      <c r="AW1319" s="200">
        <f t="shared" si="6678"/>
        <v>0</v>
      </c>
      <c r="AX1319" s="200">
        <f t="shared" si="6678"/>
        <v>1</v>
      </c>
      <c r="AY1319" s="202">
        <v>0.0</v>
      </c>
      <c r="AZ1319" s="200"/>
      <c r="BA1319" s="171" t="str">
        <f t="shared" si="18"/>
        <v>Archival</v>
      </c>
      <c r="BB1319" s="171" t="str">
        <f t="shared" si="19"/>
        <v/>
      </c>
      <c r="BC1319" s="171" t="str">
        <f t="shared" si="20"/>
        <v/>
      </c>
      <c r="BD1319" s="171" t="str">
        <f t="shared" si="21"/>
        <v/>
      </c>
      <c r="BE1319" s="171" t="str">
        <f t="shared" si="22"/>
        <v/>
      </c>
      <c r="BF1319" s="171" t="str">
        <f t="shared" si="23"/>
        <v>Archival</v>
      </c>
    </row>
    <row r="1320">
      <c r="A1320" s="171">
        <f t="array" ref="A1320">XLOOKUP(C1320,FSE!A:A,FSE!C:C,"XXXXX",0,1)</f>
        <v>2023</v>
      </c>
      <c r="B1320" s="171" t="s">
        <v>5676</v>
      </c>
      <c r="C1320" s="160">
        <v>75.0</v>
      </c>
      <c r="D1320" s="161" t="s">
        <v>6205</v>
      </c>
      <c r="E1320" s="197" t="str">
        <f t="array" ref="E1320">XLOOKUP(C1320,FSE!A:A,FSE!Z:Z,"XXXXX",0,1)</f>
        <v>Publicly Available (2)</v>
      </c>
      <c r="F1320" s="213" t="s">
        <v>3394</v>
      </c>
      <c r="G1320" s="163" t="str">
        <f t="array" ref="G1320">IF(B1320="ICSE",IF(COUNTIFS(B:B,B1320,C:C,C1320)=XLOOKUP(C1320,ICSE!A:A,ICSE!AA:AA,"ERROR",0,1),"OK","ERROR"),IF(B1320="FSE",IF(COUNTIFS(B:B,B1320,C:C,C1320)=XLOOKUP(C1320,FSE!A:A,FSE!AA:AA,"ERROR",0,1),"OK","ERROR")))</f>
        <v>OK</v>
      </c>
      <c r="H1320" s="199">
        <f t="shared" ref="H1320:O1320" si="6679">countif($D1320,"*"&amp;H$2&amp;"*")</f>
        <v>0</v>
      </c>
      <c r="I1320" s="200">
        <f t="shared" si="6679"/>
        <v>0</v>
      </c>
      <c r="J1320" s="200">
        <f t="shared" si="6679"/>
        <v>0</v>
      </c>
      <c r="K1320" s="200">
        <f t="shared" si="6679"/>
        <v>0</v>
      </c>
      <c r="L1320" s="200">
        <f t="shared" si="6679"/>
        <v>0</v>
      </c>
      <c r="M1320" s="200">
        <f t="shared" si="6679"/>
        <v>0</v>
      </c>
      <c r="N1320" s="200">
        <f t="shared" si="6679"/>
        <v>0</v>
      </c>
      <c r="O1320" s="200">
        <f t="shared" si="6679"/>
        <v>0</v>
      </c>
      <c r="P1320" s="200">
        <f t="shared" si="9"/>
        <v>1</v>
      </c>
      <c r="Q1320" s="200">
        <f t="shared" ref="Q1320:AC1320" si="6680">countif($D1320,"*"&amp;Q$2&amp;"*")</f>
        <v>0</v>
      </c>
      <c r="R1320" s="200">
        <f t="shared" si="6680"/>
        <v>0</v>
      </c>
      <c r="S1320" s="200">
        <f t="shared" si="6680"/>
        <v>0</v>
      </c>
      <c r="T1320" s="200">
        <f t="shared" si="6680"/>
        <v>0</v>
      </c>
      <c r="U1320" s="200">
        <f t="shared" si="6680"/>
        <v>0</v>
      </c>
      <c r="V1320" s="200">
        <f t="shared" si="6680"/>
        <v>0</v>
      </c>
      <c r="W1320" s="200">
        <f t="shared" si="6680"/>
        <v>0</v>
      </c>
      <c r="X1320" s="200">
        <f t="shared" si="6680"/>
        <v>0</v>
      </c>
      <c r="Y1320" s="200">
        <f t="shared" si="6680"/>
        <v>0</v>
      </c>
      <c r="Z1320" s="200">
        <f t="shared" si="6680"/>
        <v>0</v>
      </c>
      <c r="AA1320" s="200">
        <f t="shared" si="6680"/>
        <v>0</v>
      </c>
      <c r="AB1320" s="200">
        <f t="shared" si="6680"/>
        <v>0</v>
      </c>
      <c r="AC1320" s="200">
        <f t="shared" si="6680"/>
        <v>0</v>
      </c>
      <c r="AD1320" s="200">
        <f t="shared" si="11"/>
        <v>0</v>
      </c>
      <c r="AE1320" s="200">
        <f t="shared" ref="AE1320:AG1320" si="6681">countif($D1320,"*"&amp;AE$2&amp;"*")</f>
        <v>0</v>
      </c>
      <c r="AF1320" s="200">
        <f t="shared" si="6681"/>
        <v>0</v>
      </c>
      <c r="AG1320" s="200">
        <f t="shared" si="6681"/>
        <v>0</v>
      </c>
      <c r="AH1320" s="171">
        <f t="shared" si="13"/>
        <v>0</v>
      </c>
      <c r="AI1320" s="200">
        <f t="shared" si="14"/>
        <v>0</v>
      </c>
      <c r="AJ1320" s="200">
        <f t="shared" si="6100"/>
        <v>0</v>
      </c>
      <c r="AK1320" s="201">
        <f t="shared" ref="AK1320:AS1320" si="6682">countif($D1320,"*"&amp;AK$2&amp;"*")</f>
        <v>0</v>
      </c>
      <c r="AL1320" s="201">
        <f t="shared" si="6682"/>
        <v>0</v>
      </c>
      <c r="AM1320" s="201">
        <f t="shared" si="6682"/>
        <v>0</v>
      </c>
      <c r="AN1320" s="201">
        <f t="shared" si="6682"/>
        <v>0</v>
      </c>
      <c r="AO1320" s="201">
        <f t="shared" si="6682"/>
        <v>0</v>
      </c>
      <c r="AP1320" s="201">
        <f t="shared" si="6682"/>
        <v>0</v>
      </c>
      <c r="AQ1320" s="201">
        <f t="shared" si="6682"/>
        <v>0</v>
      </c>
      <c r="AR1320" s="200">
        <f t="shared" si="6682"/>
        <v>0</v>
      </c>
      <c r="AS1320" s="200">
        <f t="shared" si="6682"/>
        <v>0</v>
      </c>
      <c r="AT1320" s="173">
        <v>0.0</v>
      </c>
      <c r="AU1320" s="200">
        <f t="shared" si="6217"/>
        <v>0</v>
      </c>
      <c r="AV1320" s="200">
        <f t="shared" ref="AV1320:AX1320" si="6683">countif($D1320,"*"&amp;AV$2&amp;"*")</f>
        <v>1</v>
      </c>
      <c r="AW1320" s="200">
        <f t="shared" si="6683"/>
        <v>0</v>
      </c>
      <c r="AX1320" s="200">
        <f t="shared" si="6683"/>
        <v>0</v>
      </c>
      <c r="AY1320" s="202">
        <v>0.0</v>
      </c>
      <c r="AZ1320" s="200"/>
      <c r="BA1320" s="171" t="str">
        <f t="shared" si="18"/>
        <v/>
      </c>
      <c r="BB1320" s="171" t="str">
        <f t="shared" si="19"/>
        <v>Code</v>
      </c>
      <c r="BC1320" s="171" t="str">
        <f t="shared" si="20"/>
        <v/>
      </c>
      <c r="BD1320" s="171" t="str">
        <f t="shared" si="21"/>
        <v/>
      </c>
      <c r="BE1320" s="171" t="str">
        <f t="shared" si="22"/>
        <v/>
      </c>
      <c r="BF1320" s="171" t="str">
        <f t="shared" si="23"/>
        <v>Code</v>
      </c>
    </row>
    <row r="1321">
      <c r="A1321" s="171">
        <f t="array" ref="A1321">XLOOKUP(C1321,FSE!A:A,FSE!C:C,"XXXXX",0,1)</f>
        <v>2023</v>
      </c>
      <c r="B1321" s="213" t="s">
        <v>5676</v>
      </c>
      <c r="C1321" s="214">
        <v>76.0</v>
      </c>
      <c r="D1321" s="215" t="s">
        <v>5507</v>
      </c>
      <c r="E1321" s="197" t="str">
        <f t="array" ref="E1321">XLOOKUP(C1321,FSE!A:A,FSE!Z:Z,"XXXXX",0,1)</f>
        <v>Publicly Available (1)</v>
      </c>
      <c r="F1321" s="213" t="s">
        <v>3394</v>
      </c>
      <c r="G1321" s="163" t="str">
        <f t="array" ref="G1321">IF(B1321="ICSE",IF(COUNTIFS(B:B,B1321,C:C,C1321)=XLOOKUP(C1321,ICSE!A:A,ICSE!AA:AA,"ERROR",0,1),"OK","ERROR"),IF(B1321="FSE",IF(COUNTIFS(B:B,B1321,C:C,C1321)=XLOOKUP(C1321,FSE!A:A,FSE!AA:AA,"ERROR",0,1),"OK","ERROR")))</f>
        <v>OK</v>
      </c>
      <c r="H1321" s="199">
        <f t="shared" ref="H1321:O1321" si="6684">countif($D1321,"*"&amp;H$2&amp;"*")</f>
        <v>0</v>
      </c>
      <c r="I1321" s="200">
        <f t="shared" si="6684"/>
        <v>0</v>
      </c>
      <c r="J1321" s="200">
        <f t="shared" si="6684"/>
        <v>0</v>
      </c>
      <c r="K1321" s="200">
        <f t="shared" si="6684"/>
        <v>0</v>
      </c>
      <c r="L1321" s="200">
        <f t="shared" si="6684"/>
        <v>0</v>
      </c>
      <c r="M1321" s="200">
        <f t="shared" si="6684"/>
        <v>0</v>
      </c>
      <c r="N1321" s="200">
        <f t="shared" si="6684"/>
        <v>0</v>
      </c>
      <c r="O1321" s="200">
        <f t="shared" si="6684"/>
        <v>0</v>
      </c>
      <c r="P1321" s="200">
        <f t="shared" si="9"/>
        <v>0</v>
      </c>
      <c r="Q1321" s="200">
        <f t="shared" ref="Q1321:AC1321" si="6685">countif($D1321,"*"&amp;Q$2&amp;"*")</f>
        <v>0</v>
      </c>
      <c r="R1321" s="200">
        <f t="shared" si="6685"/>
        <v>0</v>
      </c>
      <c r="S1321" s="200">
        <f t="shared" si="6685"/>
        <v>0</v>
      </c>
      <c r="T1321" s="200">
        <f t="shared" si="6685"/>
        <v>0</v>
      </c>
      <c r="U1321" s="200">
        <f t="shared" si="6685"/>
        <v>0</v>
      </c>
      <c r="V1321" s="200">
        <f t="shared" si="6685"/>
        <v>0</v>
      </c>
      <c r="W1321" s="200">
        <f t="shared" si="6685"/>
        <v>0</v>
      </c>
      <c r="X1321" s="200">
        <f t="shared" si="6685"/>
        <v>0</v>
      </c>
      <c r="Y1321" s="200">
        <f t="shared" si="6685"/>
        <v>0</v>
      </c>
      <c r="Z1321" s="200">
        <f t="shared" si="6685"/>
        <v>0</v>
      </c>
      <c r="AA1321" s="200">
        <f t="shared" si="6685"/>
        <v>1</v>
      </c>
      <c r="AB1321" s="200">
        <f t="shared" si="6685"/>
        <v>0</v>
      </c>
      <c r="AC1321" s="200">
        <f t="shared" si="6685"/>
        <v>0</v>
      </c>
      <c r="AD1321" s="200">
        <f t="shared" si="11"/>
        <v>0</v>
      </c>
      <c r="AE1321" s="200">
        <f t="shared" ref="AE1321:AG1321" si="6686">countif($D1321,"*"&amp;AE$2&amp;"*")</f>
        <v>0</v>
      </c>
      <c r="AF1321" s="200">
        <f t="shared" si="6686"/>
        <v>0</v>
      </c>
      <c r="AG1321" s="200">
        <f t="shared" si="6686"/>
        <v>0</v>
      </c>
      <c r="AH1321" s="171">
        <f t="shared" si="13"/>
        <v>0</v>
      </c>
      <c r="AI1321" s="200">
        <f t="shared" si="14"/>
        <v>0</v>
      </c>
      <c r="AJ1321" s="200">
        <f t="shared" si="6100"/>
        <v>0</v>
      </c>
      <c r="AK1321" s="201">
        <f t="shared" ref="AK1321:AS1321" si="6687">countif($D1321,"*"&amp;AK$2&amp;"*")</f>
        <v>0</v>
      </c>
      <c r="AL1321" s="201">
        <f t="shared" si="6687"/>
        <v>0</v>
      </c>
      <c r="AM1321" s="201">
        <f t="shared" si="6687"/>
        <v>0</v>
      </c>
      <c r="AN1321" s="201">
        <f t="shared" si="6687"/>
        <v>0</v>
      </c>
      <c r="AO1321" s="201">
        <f t="shared" si="6687"/>
        <v>0</v>
      </c>
      <c r="AP1321" s="201">
        <f t="shared" si="6687"/>
        <v>0</v>
      </c>
      <c r="AQ1321" s="201">
        <f t="shared" si="6687"/>
        <v>0</v>
      </c>
      <c r="AR1321" s="200">
        <f t="shared" si="6687"/>
        <v>0</v>
      </c>
      <c r="AS1321" s="200">
        <f t="shared" si="6687"/>
        <v>0</v>
      </c>
      <c r="AT1321" s="173">
        <v>0.0</v>
      </c>
      <c r="AU1321" s="200">
        <f t="shared" si="6217"/>
        <v>0</v>
      </c>
      <c r="AV1321" s="200">
        <f t="shared" ref="AV1321:AX1321" si="6688">countif($D1321,"*"&amp;AV$2&amp;"*")</f>
        <v>0</v>
      </c>
      <c r="AW1321" s="200">
        <f t="shared" si="6688"/>
        <v>0</v>
      </c>
      <c r="AX1321" s="200">
        <f t="shared" si="6688"/>
        <v>0</v>
      </c>
      <c r="AY1321" s="202">
        <v>0.0</v>
      </c>
      <c r="AZ1321" s="200"/>
      <c r="BA1321" s="171" t="str">
        <f t="shared" si="18"/>
        <v/>
      </c>
      <c r="BB1321" s="171" t="str">
        <f t="shared" si="19"/>
        <v/>
      </c>
      <c r="BC1321" s="171" t="str">
        <f t="shared" si="20"/>
        <v>General-purpose</v>
      </c>
      <c r="BD1321" s="171" t="str">
        <f t="shared" si="21"/>
        <v/>
      </c>
      <c r="BE1321" s="171" t="str">
        <f t="shared" si="22"/>
        <v/>
      </c>
      <c r="BF1321" s="171" t="str">
        <f t="shared" si="23"/>
        <v>General-purpose</v>
      </c>
    </row>
    <row r="1322">
      <c r="A1322" s="171">
        <f t="array" ref="A1322">XLOOKUP(C1322,FSE!A:A,FSE!C:C,"XXXXX",0,1)</f>
        <v>2023</v>
      </c>
      <c r="B1322" s="213" t="s">
        <v>5676</v>
      </c>
      <c r="C1322" s="214">
        <v>77.0</v>
      </c>
      <c r="D1322" s="215" t="s">
        <v>6206</v>
      </c>
      <c r="E1322" s="197" t="str">
        <f t="array" ref="E1322">XLOOKUP(C1322,FSE!A:A,FSE!Z:Z,"XXXXX",0,1)</f>
        <v>Publicly Available (2)</v>
      </c>
      <c r="F1322" s="213" t="s">
        <v>3394</v>
      </c>
      <c r="G1322" s="163" t="str">
        <f t="array" ref="G1322">IF(B1322="ICSE",IF(COUNTIFS(B:B,B1322,C:C,C1322)=XLOOKUP(C1322,ICSE!A:A,ICSE!AA:AA,"ERROR",0,1),"OK","ERROR"),IF(B1322="FSE",IF(COUNTIFS(B:B,B1322,C:C,C1322)=XLOOKUP(C1322,FSE!A:A,FSE!AA:AA,"ERROR",0,1),"OK","ERROR")))</f>
        <v>OK</v>
      </c>
      <c r="H1322" s="199">
        <f t="shared" ref="H1322:O1322" si="6689">countif($D1322,"*"&amp;H$2&amp;"*")</f>
        <v>0</v>
      </c>
      <c r="I1322" s="200">
        <f t="shared" si="6689"/>
        <v>0</v>
      </c>
      <c r="J1322" s="200">
        <f t="shared" si="6689"/>
        <v>0</v>
      </c>
      <c r="K1322" s="200">
        <f t="shared" si="6689"/>
        <v>0</v>
      </c>
      <c r="L1322" s="200">
        <f t="shared" si="6689"/>
        <v>0</v>
      </c>
      <c r="M1322" s="200">
        <f t="shared" si="6689"/>
        <v>0</v>
      </c>
      <c r="N1322" s="200">
        <f t="shared" si="6689"/>
        <v>0</v>
      </c>
      <c r="O1322" s="200">
        <f t="shared" si="6689"/>
        <v>0</v>
      </c>
      <c r="P1322" s="200">
        <f t="shared" si="9"/>
        <v>1</v>
      </c>
      <c r="Q1322" s="200">
        <f t="shared" ref="Q1322:AC1322" si="6690">countif($D1322,"*"&amp;Q$2&amp;"*")</f>
        <v>0</v>
      </c>
      <c r="R1322" s="200">
        <f t="shared" si="6690"/>
        <v>0</v>
      </c>
      <c r="S1322" s="200">
        <f t="shared" si="6690"/>
        <v>0</v>
      </c>
      <c r="T1322" s="200">
        <f t="shared" si="6690"/>
        <v>0</v>
      </c>
      <c r="U1322" s="200">
        <f t="shared" si="6690"/>
        <v>0</v>
      </c>
      <c r="V1322" s="200">
        <f t="shared" si="6690"/>
        <v>0</v>
      </c>
      <c r="W1322" s="200">
        <f t="shared" si="6690"/>
        <v>0</v>
      </c>
      <c r="X1322" s="200">
        <f t="shared" si="6690"/>
        <v>0</v>
      </c>
      <c r="Y1322" s="200">
        <f t="shared" si="6690"/>
        <v>0</v>
      </c>
      <c r="Z1322" s="200">
        <f t="shared" si="6690"/>
        <v>0</v>
      </c>
      <c r="AA1322" s="200">
        <f t="shared" si="6690"/>
        <v>0</v>
      </c>
      <c r="AB1322" s="200">
        <f t="shared" si="6690"/>
        <v>0</v>
      </c>
      <c r="AC1322" s="200">
        <f t="shared" si="6690"/>
        <v>0</v>
      </c>
      <c r="AD1322" s="200">
        <f t="shared" si="11"/>
        <v>0</v>
      </c>
      <c r="AE1322" s="200">
        <f t="shared" ref="AE1322:AG1322" si="6691">countif($D1322,"*"&amp;AE$2&amp;"*")</f>
        <v>0</v>
      </c>
      <c r="AF1322" s="200">
        <f t="shared" si="6691"/>
        <v>0</v>
      </c>
      <c r="AG1322" s="200">
        <f t="shared" si="6691"/>
        <v>0</v>
      </c>
      <c r="AH1322" s="171">
        <f t="shared" si="13"/>
        <v>0</v>
      </c>
      <c r="AI1322" s="200">
        <f t="shared" si="14"/>
        <v>0</v>
      </c>
      <c r="AJ1322" s="200">
        <f t="shared" si="6100"/>
        <v>0</v>
      </c>
      <c r="AK1322" s="201">
        <f t="shared" ref="AK1322:AS1322" si="6692">countif($D1322,"*"&amp;AK$2&amp;"*")</f>
        <v>0</v>
      </c>
      <c r="AL1322" s="201">
        <f t="shared" si="6692"/>
        <v>0</v>
      </c>
      <c r="AM1322" s="201">
        <f t="shared" si="6692"/>
        <v>0</v>
      </c>
      <c r="AN1322" s="201">
        <f t="shared" si="6692"/>
        <v>0</v>
      </c>
      <c r="AO1322" s="201">
        <f t="shared" si="6692"/>
        <v>0</v>
      </c>
      <c r="AP1322" s="201">
        <f t="shared" si="6692"/>
        <v>0</v>
      </c>
      <c r="AQ1322" s="201">
        <f t="shared" si="6692"/>
        <v>0</v>
      </c>
      <c r="AR1322" s="200">
        <f t="shared" si="6692"/>
        <v>0</v>
      </c>
      <c r="AS1322" s="200">
        <f t="shared" si="6692"/>
        <v>0</v>
      </c>
      <c r="AT1322" s="173">
        <v>0.0</v>
      </c>
      <c r="AU1322" s="200">
        <f t="shared" si="6217"/>
        <v>0</v>
      </c>
      <c r="AV1322" s="200">
        <f t="shared" ref="AV1322:AX1322" si="6693">countif($D1322,"*"&amp;AV$2&amp;"*")</f>
        <v>1</v>
      </c>
      <c r="AW1322" s="200">
        <f t="shared" si="6693"/>
        <v>0</v>
      </c>
      <c r="AX1322" s="200">
        <f t="shared" si="6693"/>
        <v>0</v>
      </c>
      <c r="AY1322" s="202">
        <v>0.0</v>
      </c>
      <c r="AZ1322" s="200"/>
      <c r="BA1322" s="171" t="str">
        <f t="shared" si="18"/>
        <v/>
      </c>
      <c r="BB1322" s="171" t="str">
        <f t="shared" si="19"/>
        <v>Code</v>
      </c>
      <c r="BC1322" s="171" t="str">
        <f t="shared" si="20"/>
        <v/>
      </c>
      <c r="BD1322" s="171" t="str">
        <f t="shared" si="21"/>
        <v/>
      </c>
      <c r="BE1322" s="171" t="str">
        <f t="shared" si="22"/>
        <v/>
      </c>
      <c r="BF1322" s="171" t="str">
        <f t="shared" si="23"/>
        <v>Code</v>
      </c>
    </row>
    <row r="1323">
      <c r="A1323" s="171">
        <f t="array" ref="A1323">XLOOKUP(C1323,FSE!A:A,FSE!C:C,"XXXXX",0,1)</f>
        <v>2023</v>
      </c>
      <c r="B1323" s="213" t="s">
        <v>5676</v>
      </c>
      <c r="C1323" s="214">
        <v>77.0</v>
      </c>
      <c r="D1323" s="215" t="s">
        <v>6207</v>
      </c>
      <c r="E1323" s="197" t="str">
        <f t="array" ref="E1323">XLOOKUP(C1323,FSE!A:A,FSE!Z:Z,"XXXXX",0,1)</f>
        <v>Publicly Available (2)</v>
      </c>
      <c r="F1323" s="213" t="s">
        <v>3394</v>
      </c>
      <c r="G1323" s="163" t="str">
        <f t="array" ref="G1323">IF(B1323="ICSE",IF(COUNTIFS(B:B,B1323,C:C,C1323)=XLOOKUP(C1323,ICSE!A:A,ICSE!AA:AA,"ERROR",0,1),"OK","ERROR"),IF(B1323="FSE",IF(COUNTIFS(B:B,B1323,C:C,C1323)=XLOOKUP(C1323,FSE!A:A,FSE!AA:AA,"ERROR",0,1),"OK","ERROR")))</f>
        <v>OK</v>
      </c>
      <c r="H1323" s="199">
        <f t="shared" ref="H1323:O1323" si="6694">countif($D1323,"*"&amp;H$2&amp;"*")</f>
        <v>0</v>
      </c>
      <c r="I1323" s="200">
        <f t="shared" si="6694"/>
        <v>0</v>
      </c>
      <c r="J1323" s="200">
        <f t="shared" si="6694"/>
        <v>0</v>
      </c>
      <c r="K1323" s="200">
        <f t="shared" si="6694"/>
        <v>0</v>
      </c>
      <c r="L1323" s="200">
        <f t="shared" si="6694"/>
        <v>0</v>
      </c>
      <c r="M1323" s="200">
        <f t="shared" si="6694"/>
        <v>0</v>
      </c>
      <c r="N1323" s="200">
        <f t="shared" si="6694"/>
        <v>0</v>
      </c>
      <c r="O1323" s="200">
        <f t="shared" si="6694"/>
        <v>0</v>
      </c>
      <c r="P1323" s="200">
        <f t="shared" si="9"/>
        <v>0</v>
      </c>
      <c r="Q1323" s="200">
        <f t="shared" ref="Q1323:AC1323" si="6695">countif($D1323,"*"&amp;Q$2&amp;"*")</f>
        <v>0</v>
      </c>
      <c r="R1323" s="200">
        <f t="shared" si="6695"/>
        <v>0</v>
      </c>
      <c r="S1323" s="200">
        <f t="shared" si="6695"/>
        <v>0</v>
      </c>
      <c r="T1323" s="200">
        <f t="shared" si="6695"/>
        <v>0</v>
      </c>
      <c r="U1323" s="200">
        <f t="shared" si="6695"/>
        <v>0</v>
      </c>
      <c r="V1323" s="200">
        <f t="shared" si="6695"/>
        <v>0</v>
      </c>
      <c r="W1323" s="200">
        <f t="shared" si="6695"/>
        <v>0</v>
      </c>
      <c r="X1323" s="200">
        <f t="shared" si="6695"/>
        <v>0</v>
      </c>
      <c r="Y1323" s="200">
        <f t="shared" si="6695"/>
        <v>0</v>
      </c>
      <c r="Z1323" s="200">
        <f t="shared" si="6695"/>
        <v>0</v>
      </c>
      <c r="AA1323" s="200">
        <f t="shared" si="6695"/>
        <v>1</v>
      </c>
      <c r="AB1323" s="200">
        <f t="shared" si="6695"/>
        <v>0</v>
      </c>
      <c r="AC1323" s="200">
        <f t="shared" si="6695"/>
        <v>0</v>
      </c>
      <c r="AD1323" s="200">
        <f t="shared" si="11"/>
        <v>0</v>
      </c>
      <c r="AE1323" s="200">
        <f t="shared" ref="AE1323:AG1323" si="6696">countif($D1323,"*"&amp;AE$2&amp;"*")</f>
        <v>0</v>
      </c>
      <c r="AF1323" s="200">
        <f t="shared" si="6696"/>
        <v>0</v>
      </c>
      <c r="AG1323" s="200">
        <f t="shared" si="6696"/>
        <v>0</v>
      </c>
      <c r="AH1323" s="171">
        <f t="shared" si="13"/>
        <v>0</v>
      </c>
      <c r="AI1323" s="200">
        <f t="shared" si="14"/>
        <v>0</v>
      </c>
      <c r="AJ1323" s="200">
        <f t="shared" si="6100"/>
        <v>0</v>
      </c>
      <c r="AK1323" s="201">
        <f t="shared" ref="AK1323:AS1323" si="6697">countif($D1323,"*"&amp;AK$2&amp;"*")</f>
        <v>0</v>
      </c>
      <c r="AL1323" s="201">
        <f t="shared" si="6697"/>
        <v>0</v>
      </c>
      <c r="AM1323" s="201">
        <f t="shared" si="6697"/>
        <v>0</v>
      </c>
      <c r="AN1323" s="201">
        <f t="shared" si="6697"/>
        <v>0</v>
      </c>
      <c r="AO1323" s="201">
        <f t="shared" si="6697"/>
        <v>0</v>
      </c>
      <c r="AP1323" s="201">
        <f t="shared" si="6697"/>
        <v>0</v>
      </c>
      <c r="AQ1323" s="201">
        <f t="shared" si="6697"/>
        <v>0</v>
      </c>
      <c r="AR1323" s="200">
        <f t="shared" si="6697"/>
        <v>0</v>
      </c>
      <c r="AS1323" s="200">
        <f t="shared" si="6697"/>
        <v>0</v>
      </c>
      <c r="AT1323" s="173">
        <v>0.0</v>
      </c>
      <c r="AU1323" s="200">
        <f t="shared" si="6217"/>
        <v>0</v>
      </c>
      <c r="AV1323" s="200">
        <f t="shared" ref="AV1323:AX1323" si="6698">countif($D1323,"*"&amp;AV$2&amp;"*")</f>
        <v>0</v>
      </c>
      <c r="AW1323" s="200">
        <f t="shared" si="6698"/>
        <v>0</v>
      </c>
      <c r="AX1323" s="200">
        <f t="shared" si="6698"/>
        <v>0</v>
      </c>
      <c r="AY1323" s="202">
        <v>0.0</v>
      </c>
      <c r="AZ1323" s="200"/>
      <c r="BA1323" s="171" t="str">
        <f t="shared" si="18"/>
        <v/>
      </c>
      <c r="BB1323" s="171" t="str">
        <f t="shared" si="19"/>
        <v/>
      </c>
      <c r="BC1323" s="171" t="str">
        <f t="shared" si="20"/>
        <v>General-purpose</v>
      </c>
      <c r="BD1323" s="171" t="str">
        <f t="shared" si="21"/>
        <v/>
      </c>
      <c r="BE1323" s="171" t="str">
        <f t="shared" si="22"/>
        <v/>
      </c>
      <c r="BF1323" s="171" t="str">
        <f t="shared" si="23"/>
        <v>General-purpose</v>
      </c>
    </row>
    <row r="1324">
      <c r="A1324" s="171">
        <f t="array" ref="A1324">XLOOKUP(C1324,FSE!A:A,FSE!C:C,"XXXXX",0,1)</f>
        <v>2023</v>
      </c>
      <c r="B1324" s="213" t="s">
        <v>5676</v>
      </c>
      <c r="C1324" s="214">
        <v>78.0</v>
      </c>
      <c r="D1324" s="215" t="s">
        <v>5513</v>
      </c>
      <c r="E1324" s="197" t="str">
        <f t="array" ref="E1324">XLOOKUP(C1324,FSE!A:A,FSE!Z:Z,"XXXXX",0,1)</f>
        <v>Publicly Available (1)</v>
      </c>
      <c r="F1324" s="213" t="s">
        <v>3394</v>
      </c>
      <c r="G1324" s="163" t="str">
        <f t="array" ref="G1324">IF(B1324="ICSE",IF(COUNTIFS(B:B,B1324,C:C,C1324)=XLOOKUP(C1324,ICSE!A:A,ICSE!AA:AA,"ERROR",0,1),"OK","ERROR"),IF(B1324="FSE",IF(COUNTIFS(B:B,B1324,C:C,C1324)=XLOOKUP(C1324,FSE!A:A,FSE!AA:AA,"ERROR",0,1),"OK","ERROR")))</f>
        <v>OK</v>
      </c>
      <c r="H1324" s="199">
        <f t="shared" ref="H1324:O1324" si="6699">countif($D1324,"*"&amp;H$2&amp;"*")</f>
        <v>0</v>
      </c>
      <c r="I1324" s="200">
        <f t="shared" si="6699"/>
        <v>0</v>
      </c>
      <c r="J1324" s="200">
        <f t="shared" si="6699"/>
        <v>0</v>
      </c>
      <c r="K1324" s="200">
        <f t="shared" si="6699"/>
        <v>0</v>
      </c>
      <c r="L1324" s="200">
        <f t="shared" si="6699"/>
        <v>0</v>
      </c>
      <c r="M1324" s="200">
        <f t="shared" si="6699"/>
        <v>0</v>
      </c>
      <c r="N1324" s="200">
        <f t="shared" si="6699"/>
        <v>0</v>
      </c>
      <c r="O1324" s="200">
        <f t="shared" si="6699"/>
        <v>0</v>
      </c>
      <c r="P1324" s="200">
        <f t="shared" si="9"/>
        <v>1</v>
      </c>
      <c r="Q1324" s="200">
        <f t="shared" ref="Q1324:AC1324" si="6700">countif($D1324,"*"&amp;Q$2&amp;"*")</f>
        <v>0</v>
      </c>
      <c r="R1324" s="200">
        <f t="shared" si="6700"/>
        <v>0</v>
      </c>
      <c r="S1324" s="200">
        <f t="shared" si="6700"/>
        <v>0</v>
      </c>
      <c r="T1324" s="200">
        <f t="shared" si="6700"/>
        <v>0</v>
      </c>
      <c r="U1324" s="200">
        <f t="shared" si="6700"/>
        <v>0</v>
      </c>
      <c r="V1324" s="200">
        <f t="shared" si="6700"/>
        <v>0</v>
      </c>
      <c r="W1324" s="200">
        <f t="shared" si="6700"/>
        <v>0</v>
      </c>
      <c r="X1324" s="200">
        <f t="shared" si="6700"/>
        <v>0</v>
      </c>
      <c r="Y1324" s="200">
        <f t="shared" si="6700"/>
        <v>0</v>
      </c>
      <c r="Z1324" s="200">
        <f t="shared" si="6700"/>
        <v>0</v>
      </c>
      <c r="AA1324" s="200">
        <f t="shared" si="6700"/>
        <v>0</v>
      </c>
      <c r="AB1324" s="200">
        <f t="shared" si="6700"/>
        <v>0</v>
      </c>
      <c r="AC1324" s="200">
        <f t="shared" si="6700"/>
        <v>0</v>
      </c>
      <c r="AD1324" s="200">
        <f t="shared" si="11"/>
        <v>0</v>
      </c>
      <c r="AE1324" s="200">
        <f t="shared" ref="AE1324:AG1324" si="6701">countif($D1324,"*"&amp;AE$2&amp;"*")</f>
        <v>0</v>
      </c>
      <c r="AF1324" s="200">
        <f t="shared" si="6701"/>
        <v>0</v>
      </c>
      <c r="AG1324" s="200">
        <f t="shared" si="6701"/>
        <v>0</v>
      </c>
      <c r="AH1324" s="171">
        <f t="shared" si="13"/>
        <v>0</v>
      </c>
      <c r="AI1324" s="200">
        <f t="shared" si="14"/>
        <v>0</v>
      </c>
      <c r="AJ1324" s="200">
        <f t="shared" si="6100"/>
        <v>0</v>
      </c>
      <c r="AK1324" s="201">
        <f t="shared" ref="AK1324:AS1324" si="6702">countif($D1324,"*"&amp;AK$2&amp;"*")</f>
        <v>0</v>
      </c>
      <c r="AL1324" s="201">
        <f t="shared" si="6702"/>
        <v>0</v>
      </c>
      <c r="AM1324" s="201">
        <f t="shared" si="6702"/>
        <v>0</v>
      </c>
      <c r="AN1324" s="201">
        <f t="shared" si="6702"/>
        <v>0</v>
      </c>
      <c r="AO1324" s="201">
        <f t="shared" si="6702"/>
        <v>0</v>
      </c>
      <c r="AP1324" s="201">
        <f t="shared" si="6702"/>
        <v>0</v>
      </c>
      <c r="AQ1324" s="201">
        <f t="shared" si="6702"/>
        <v>0</v>
      </c>
      <c r="AR1324" s="200">
        <f t="shared" si="6702"/>
        <v>0</v>
      </c>
      <c r="AS1324" s="200">
        <f t="shared" si="6702"/>
        <v>0</v>
      </c>
      <c r="AT1324" s="173">
        <v>0.0</v>
      </c>
      <c r="AU1324" s="200">
        <f t="shared" si="6217"/>
        <v>0</v>
      </c>
      <c r="AV1324" s="200">
        <f t="shared" ref="AV1324:AX1324" si="6703">countif($D1324,"*"&amp;AV$2&amp;"*")</f>
        <v>1</v>
      </c>
      <c r="AW1324" s="200">
        <f t="shared" si="6703"/>
        <v>0</v>
      </c>
      <c r="AX1324" s="200">
        <f t="shared" si="6703"/>
        <v>0</v>
      </c>
      <c r="AY1324" s="202">
        <v>0.0</v>
      </c>
      <c r="AZ1324" s="200"/>
      <c r="BA1324" s="171" t="str">
        <f t="shared" si="18"/>
        <v/>
      </c>
      <c r="BB1324" s="171" t="str">
        <f t="shared" si="19"/>
        <v>Code</v>
      </c>
      <c r="BC1324" s="171" t="str">
        <f t="shared" si="20"/>
        <v/>
      </c>
      <c r="BD1324" s="171" t="str">
        <f t="shared" si="21"/>
        <v/>
      </c>
      <c r="BE1324" s="171" t="str">
        <f t="shared" si="22"/>
        <v/>
      </c>
      <c r="BF1324" s="171" t="str">
        <f t="shared" si="23"/>
        <v>Code</v>
      </c>
    </row>
    <row r="1325">
      <c r="A1325" s="171">
        <f t="array" ref="A1325">XLOOKUP(C1325,FSE!A:A,FSE!C:C,"XXXXX",0,1)</f>
        <v>2023</v>
      </c>
      <c r="B1325" s="213" t="s">
        <v>5676</v>
      </c>
      <c r="C1325" s="214">
        <v>79.0</v>
      </c>
      <c r="D1325" s="215" t="s">
        <v>6208</v>
      </c>
      <c r="E1325" s="197" t="str">
        <f t="array" ref="E1325">XLOOKUP(C1325,FSE!A:A,FSE!Z:Z,"XXXXX",0,1)</f>
        <v>Publicly Available (2)</v>
      </c>
      <c r="F1325" s="213" t="s">
        <v>3394</v>
      </c>
      <c r="G1325" s="163" t="str">
        <f t="array" ref="G1325">IF(B1325="ICSE",IF(COUNTIFS(B:B,B1325,C:C,C1325)=XLOOKUP(C1325,ICSE!A:A,ICSE!AA:AA,"ERROR",0,1),"OK","ERROR"),IF(B1325="FSE",IF(COUNTIFS(B:B,B1325,C:C,C1325)=XLOOKUP(C1325,FSE!A:A,FSE!AA:AA,"ERROR",0,1),"OK","ERROR")))</f>
        <v>OK</v>
      </c>
      <c r="H1325" s="199">
        <f t="shared" ref="H1325:O1325" si="6704">countif($D1325,"*"&amp;H$2&amp;"*")</f>
        <v>0</v>
      </c>
      <c r="I1325" s="200">
        <f t="shared" si="6704"/>
        <v>0</v>
      </c>
      <c r="J1325" s="200">
        <f t="shared" si="6704"/>
        <v>0</v>
      </c>
      <c r="K1325" s="200">
        <f t="shared" si="6704"/>
        <v>0</v>
      </c>
      <c r="L1325" s="200">
        <f t="shared" si="6704"/>
        <v>0</v>
      </c>
      <c r="M1325" s="200">
        <f t="shared" si="6704"/>
        <v>0</v>
      </c>
      <c r="N1325" s="200">
        <f t="shared" si="6704"/>
        <v>0</v>
      </c>
      <c r="O1325" s="200">
        <f t="shared" si="6704"/>
        <v>0</v>
      </c>
      <c r="P1325" s="200">
        <f t="shared" si="9"/>
        <v>1</v>
      </c>
      <c r="Q1325" s="200">
        <f t="shared" ref="Q1325:AC1325" si="6705">countif($D1325,"*"&amp;Q$2&amp;"*")</f>
        <v>0</v>
      </c>
      <c r="R1325" s="200">
        <f t="shared" si="6705"/>
        <v>0</v>
      </c>
      <c r="S1325" s="200">
        <f t="shared" si="6705"/>
        <v>0</v>
      </c>
      <c r="T1325" s="200">
        <f t="shared" si="6705"/>
        <v>0</v>
      </c>
      <c r="U1325" s="200">
        <f t="shared" si="6705"/>
        <v>0</v>
      </c>
      <c r="V1325" s="200">
        <f t="shared" si="6705"/>
        <v>0</v>
      </c>
      <c r="W1325" s="200">
        <f t="shared" si="6705"/>
        <v>0</v>
      </c>
      <c r="X1325" s="200">
        <f t="shared" si="6705"/>
        <v>0</v>
      </c>
      <c r="Y1325" s="200">
        <f t="shared" si="6705"/>
        <v>0</v>
      </c>
      <c r="Z1325" s="200">
        <f t="shared" si="6705"/>
        <v>0</v>
      </c>
      <c r="AA1325" s="200">
        <f t="shared" si="6705"/>
        <v>0</v>
      </c>
      <c r="AB1325" s="200">
        <f t="shared" si="6705"/>
        <v>0</v>
      </c>
      <c r="AC1325" s="200">
        <f t="shared" si="6705"/>
        <v>0</v>
      </c>
      <c r="AD1325" s="200">
        <f t="shared" si="11"/>
        <v>0</v>
      </c>
      <c r="AE1325" s="200">
        <f t="shared" ref="AE1325:AG1325" si="6706">countif($D1325,"*"&amp;AE$2&amp;"*")</f>
        <v>0</v>
      </c>
      <c r="AF1325" s="200">
        <f t="shared" si="6706"/>
        <v>0</v>
      </c>
      <c r="AG1325" s="200">
        <f t="shared" si="6706"/>
        <v>0</v>
      </c>
      <c r="AH1325" s="171">
        <f t="shared" si="13"/>
        <v>0</v>
      </c>
      <c r="AI1325" s="200">
        <f t="shared" si="14"/>
        <v>0</v>
      </c>
      <c r="AJ1325" s="200">
        <f t="shared" si="6100"/>
        <v>0</v>
      </c>
      <c r="AK1325" s="201">
        <f t="shared" ref="AK1325:AS1325" si="6707">countif($D1325,"*"&amp;AK$2&amp;"*")</f>
        <v>0</v>
      </c>
      <c r="AL1325" s="201">
        <f t="shared" si="6707"/>
        <v>0</v>
      </c>
      <c r="AM1325" s="201">
        <f t="shared" si="6707"/>
        <v>0</v>
      </c>
      <c r="AN1325" s="201">
        <f t="shared" si="6707"/>
        <v>0</v>
      </c>
      <c r="AO1325" s="201">
        <f t="shared" si="6707"/>
        <v>0</v>
      </c>
      <c r="AP1325" s="201">
        <f t="shared" si="6707"/>
        <v>0</v>
      </c>
      <c r="AQ1325" s="201">
        <f t="shared" si="6707"/>
        <v>0</v>
      </c>
      <c r="AR1325" s="200">
        <f t="shared" si="6707"/>
        <v>0</v>
      </c>
      <c r="AS1325" s="200">
        <f t="shared" si="6707"/>
        <v>0</v>
      </c>
      <c r="AT1325" s="173">
        <v>0.0</v>
      </c>
      <c r="AU1325" s="200">
        <f t="shared" si="6217"/>
        <v>0</v>
      </c>
      <c r="AV1325" s="200">
        <f t="shared" ref="AV1325:AX1325" si="6708">countif($D1325,"*"&amp;AV$2&amp;"*")</f>
        <v>1</v>
      </c>
      <c r="AW1325" s="200">
        <f t="shared" si="6708"/>
        <v>0</v>
      </c>
      <c r="AX1325" s="200">
        <f t="shared" si="6708"/>
        <v>0</v>
      </c>
      <c r="AY1325" s="202">
        <v>0.0</v>
      </c>
      <c r="AZ1325" s="200"/>
      <c r="BA1325" s="171" t="str">
        <f t="shared" si="18"/>
        <v/>
      </c>
      <c r="BB1325" s="171" t="str">
        <f t="shared" si="19"/>
        <v>Code</v>
      </c>
      <c r="BC1325" s="171" t="str">
        <f t="shared" si="20"/>
        <v/>
      </c>
      <c r="BD1325" s="171" t="str">
        <f t="shared" si="21"/>
        <v/>
      </c>
      <c r="BE1325" s="171" t="str">
        <f t="shared" si="22"/>
        <v/>
      </c>
      <c r="BF1325" s="171" t="str">
        <f t="shared" si="23"/>
        <v>Code</v>
      </c>
    </row>
    <row r="1326">
      <c r="A1326" s="171">
        <f t="array" ref="A1326">XLOOKUP(C1326,FSE!A:A,FSE!C:C,"XXXXX",0,1)</f>
        <v>2023</v>
      </c>
      <c r="B1326" s="213" t="s">
        <v>5676</v>
      </c>
      <c r="C1326" s="214">
        <v>79.0</v>
      </c>
      <c r="D1326" s="215" t="s">
        <v>6209</v>
      </c>
      <c r="E1326" s="197" t="str">
        <f t="array" ref="E1326">XLOOKUP(C1326,FSE!A:A,FSE!Z:Z,"XXXXX",0,1)</f>
        <v>Publicly Available (2)</v>
      </c>
      <c r="F1326" s="213" t="s">
        <v>3394</v>
      </c>
      <c r="G1326" s="163" t="str">
        <f t="array" ref="G1326">IF(B1326="ICSE",IF(COUNTIFS(B:B,B1326,C:C,C1326)=XLOOKUP(C1326,ICSE!A:A,ICSE!AA:AA,"ERROR",0,1),"OK","ERROR"),IF(B1326="FSE",IF(COUNTIFS(B:B,B1326,C:C,C1326)=XLOOKUP(C1326,FSE!A:A,FSE!AA:AA,"ERROR",0,1),"OK","ERROR")))</f>
        <v>OK</v>
      </c>
      <c r="H1326" s="199">
        <f t="shared" ref="H1326:O1326" si="6709">countif($D1326,"*"&amp;H$2&amp;"*")</f>
        <v>1</v>
      </c>
      <c r="I1326" s="200">
        <f t="shared" si="6709"/>
        <v>0</v>
      </c>
      <c r="J1326" s="200">
        <f t="shared" si="6709"/>
        <v>0</v>
      </c>
      <c r="K1326" s="200">
        <f t="shared" si="6709"/>
        <v>0</v>
      </c>
      <c r="L1326" s="200">
        <f t="shared" si="6709"/>
        <v>0</v>
      </c>
      <c r="M1326" s="200">
        <f t="shared" si="6709"/>
        <v>0</v>
      </c>
      <c r="N1326" s="200">
        <f t="shared" si="6709"/>
        <v>0</v>
      </c>
      <c r="O1326" s="200">
        <f t="shared" si="6709"/>
        <v>0</v>
      </c>
      <c r="P1326" s="200">
        <f t="shared" si="9"/>
        <v>0</v>
      </c>
      <c r="Q1326" s="200">
        <f t="shared" ref="Q1326:AC1326" si="6710">countif($D1326,"*"&amp;Q$2&amp;"*")</f>
        <v>0</v>
      </c>
      <c r="R1326" s="200">
        <f t="shared" si="6710"/>
        <v>0</v>
      </c>
      <c r="S1326" s="200">
        <f t="shared" si="6710"/>
        <v>0</v>
      </c>
      <c r="T1326" s="200">
        <f t="shared" si="6710"/>
        <v>0</v>
      </c>
      <c r="U1326" s="200">
        <f t="shared" si="6710"/>
        <v>0</v>
      </c>
      <c r="V1326" s="200">
        <f t="shared" si="6710"/>
        <v>0</v>
      </c>
      <c r="W1326" s="200">
        <f t="shared" si="6710"/>
        <v>0</v>
      </c>
      <c r="X1326" s="200">
        <f t="shared" si="6710"/>
        <v>0</v>
      </c>
      <c r="Y1326" s="200">
        <f t="shared" si="6710"/>
        <v>0</v>
      </c>
      <c r="Z1326" s="200">
        <f t="shared" si="6710"/>
        <v>0</v>
      </c>
      <c r="AA1326" s="200">
        <f t="shared" si="6710"/>
        <v>0</v>
      </c>
      <c r="AB1326" s="200">
        <f t="shared" si="6710"/>
        <v>0</v>
      </c>
      <c r="AC1326" s="200">
        <f t="shared" si="6710"/>
        <v>0</v>
      </c>
      <c r="AD1326" s="200">
        <f t="shared" si="11"/>
        <v>0</v>
      </c>
      <c r="AE1326" s="200">
        <f t="shared" ref="AE1326:AG1326" si="6711">countif($D1326,"*"&amp;AE$2&amp;"*")</f>
        <v>0</v>
      </c>
      <c r="AF1326" s="200">
        <f t="shared" si="6711"/>
        <v>0</v>
      </c>
      <c r="AG1326" s="200">
        <f t="shared" si="6711"/>
        <v>0</v>
      </c>
      <c r="AH1326" s="171">
        <f t="shared" si="13"/>
        <v>0</v>
      </c>
      <c r="AI1326" s="200">
        <f t="shared" si="14"/>
        <v>1</v>
      </c>
      <c r="AJ1326" s="200">
        <f t="shared" si="6100"/>
        <v>0</v>
      </c>
      <c r="AK1326" s="201">
        <f t="shared" ref="AK1326:AS1326" si="6712">countif($D1326,"*"&amp;AK$2&amp;"*")</f>
        <v>0</v>
      </c>
      <c r="AL1326" s="201">
        <f t="shared" si="6712"/>
        <v>0</v>
      </c>
      <c r="AM1326" s="201">
        <f t="shared" si="6712"/>
        <v>0</v>
      </c>
      <c r="AN1326" s="201">
        <f t="shared" si="6712"/>
        <v>0</v>
      </c>
      <c r="AO1326" s="201">
        <f t="shared" si="6712"/>
        <v>0</v>
      </c>
      <c r="AP1326" s="201">
        <f t="shared" si="6712"/>
        <v>0</v>
      </c>
      <c r="AQ1326" s="201">
        <f t="shared" si="6712"/>
        <v>0</v>
      </c>
      <c r="AR1326" s="200">
        <f t="shared" si="6712"/>
        <v>0</v>
      </c>
      <c r="AS1326" s="200">
        <f t="shared" si="6712"/>
        <v>0</v>
      </c>
      <c r="AT1326" s="173">
        <v>0.0</v>
      </c>
      <c r="AU1326" s="200">
        <f t="shared" si="6217"/>
        <v>0</v>
      </c>
      <c r="AV1326" s="200">
        <f t="shared" ref="AV1326:AX1326" si="6713">countif($D1326,"*"&amp;AV$2&amp;"*")</f>
        <v>0</v>
      </c>
      <c r="AW1326" s="200">
        <f t="shared" si="6713"/>
        <v>0</v>
      </c>
      <c r="AX1326" s="200">
        <f t="shared" si="6713"/>
        <v>1</v>
      </c>
      <c r="AY1326" s="202">
        <v>0.0</v>
      </c>
      <c r="AZ1326" s="200"/>
      <c r="BA1326" s="171" t="str">
        <f t="shared" si="18"/>
        <v>Archival</v>
      </c>
      <c r="BB1326" s="171" t="str">
        <f t="shared" si="19"/>
        <v/>
      </c>
      <c r="BC1326" s="171" t="str">
        <f t="shared" si="20"/>
        <v/>
      </c>
      <c r="BD1326" s="171" t="str">
        <f t="shared" si="21"/>
        <v/>
      </c>
      <c r="BE1326" s="171" t="str">
        <f t="shared" si="22"/>
        <v/>
      </c>
      <c r="BF1326" s="171" t="str">
        <f t="shared" si="23"/>
        <v>Archival</v>
      </c>
    </row>
    <row r="1327">
      <c r="A1327" s="171">
        <f t="array" ref="A1327">XLOOKUP(C1327,FSE!A:A,FSE!C:C,"XXXXX",0,1)</f>
        <v>2023</v>
      </c>
      <c r="B1327" s="213" t="s">
        <v>5676</v>
      </c>
      <c r="C1327" s="214">
        <v>80.0</v>
      </c>
      <c r="D1327" s="217" t="s">
        <v>5519</v>
      </c>
      <c r="E1327" s="197" t="str">
        <f t="array" ref="E1327">XLOOKUP(C1327,FSE!A:A,FSE!Z:Z,"XXXXX",0,1)</f>
        <v>Publicly Available (1)</v>
      </c>
      <c r="F1327" s="218" t="s">
        <v>3394</v>
      </c>
      <c r="G1327" s="163" t="str">
        <f t="array" ref="G1327">IF(B1327="ICSE",IF(COUNTIFS(B:B,B1327,C:C,C1327)=XLOOKUP(C1327,ICSE!A:A,ICSE!AA:AA,"ERROR",0,1),"OK","ERROR"),IF(B1327="FSE",IF(COUNTIFS(B:B,B1327,C:C,C1327)=XLOOKUP(C1327,FSE!A:A,FSE!AA:AA,"ERROR",0,1),"OK","ERROR")))</f>
        <v>OK</v>
      </c>
      <c r="H1327" s="199">
        <f t="shared" ref="H1327:O1327" si="6714">countif($D1327,"*"&amp;H$2&amp;"*")</f>
        <v>0</v>
      </c>
      <c r="I1327" s="200">
        <f t="shared" si="6714"/>
        <v>1</v>
      </c>
      <c r="J1327" s="200">
        <f t="shared" si="6714"/>
        <v>0</v>
      </c>
      <c r="K1327" s="200">
        <f t="shared" si="6714"/>
        <v>0</v>
      </c>
      <c r="L1327" s="200">
        <f t="shared" si="6714"/>
        <v>0</v>
      </c>
      <c r="M1327" s="200">
        <f t="shared" si="6714"/>
        <v>0</v>
      </c>
      <c r="N1327" s="200">
        <f t="shared" si="6714"/>
        <v>0</v>
      </c>
      <c r="O1327" s="200">
        <f t="shared" si="6714"/>
        <v>0</v>
      </c>
      <c r="P1327" s="200">
        <f t="shared" si="9"/>
        <v>0</v>
      </c>
      <c r="Q1327" s="200">
        <f t="shared" ref="Q1327:AC1327" si="6715">countif($D1327,"*"&amp;Q$2&amp;"*")</f>
        <v>0</v>
      </c>
      <c r="R1327" s="200">
        <f t="shared" si="6715"/>
        <v>0</v>
      </c>
      <c r="S1327" s="200">
        <f t="shared" si="6715"/>
        <v>0</v>
      </c>
      <c r="T1327" s="200">
        <f t="shared" si="6715"/>
        <v>0</v>
      </c>
      <c r="U1327" s="200">
        <f t="shared" si="6715"/>
        <v>0</v>
      </c>
      <c r="V1327" s="200">
        <f t="shared" si="6715"/>
        <v>0</v>
      </c>
      <c r="W1327" s="200">
        <f t="shared" si="6715"/>
        <v>0</v>
      </c>
      <c r="X1327" s="200">
        <f t="shared" si="6715"/>
        <v>0</v>
      </c>
      <c r="Y1327" s="200">
        <f t="shared" si="6715"/>
        <v>0</v>
      </c>
      <c r="Z1327" s="200">
        <f t="shared" si="6715"/>
        <v>0</v>
      </c>
      <c r="AA1327" s="200">
        <f t="shared" si="6715"/>
        <v>0</v>
      </c>
      <c r="AB1327" s="200">
        <f t="shared" si="6715"/>
        <v>0</v>
      </c>
      <c r="AC1327" s="200">
        <f t="shared" si="6715"/>
        <v>0</v>
      </c>
      <c r="AD1327" s="200">
        <f t="shared" si="11"/>
        <v>0</v>
      </c>
      <c r="AE1327" s="200">
        <f t="shared" ref="AE1327:AG1327" si="6716">countif($D1327,"*"&amp;AE$2&amp;"*")</f>
        <v>0</v>
      </c>
      <c r="AF1327" s="200">
        <f t="shared" si="6716"/>
        <v>0</v>
      </c>
      <c r="AG1327" s="200">
        <f t="shared" si="6716"/>
        <v>0</v>
      </c>
      <c r="AH1327" s="171">
        <f t="shared" si="13"/>
        <v>0</v>
      </c>
      <c r="AI1327" s="200">
        <f t="shared" si="14"/>
        <v>1</v>
      </c>
      <c r="AJ1327" s="200">
        <f t="shared" si="6100"/>
        <v>0</v>
      </c>
      <c r="AK1327" s="201">
        <f t="shared" ref="AK1327:AS1327" si="6717">countif($D1327,"*"&amp;AK$2&amp;"*")</f>
        <v>0</v>
      </c>
      <c r="AL1327" s="201">
        <f t="shared" si="6717"/>
        <v>0</v>
      </c>
      <c r="AM1327" s="201">
        <f t="shared" si="6717"/>
        <v>0</v>
      </c>
      <c r="AN1327" s="201">
        <f t="shared" si="6717"/>
        <v>0</v>
      </c>
      <c r="AO1327" s="201">
        <f t="shared" si="6717"/>
        <v>0</v>
      </c>
      <c r="AP1327" s="201">
        <f t="shared" si="6717"/>
        <v>0</v>
      </c>
      <c r="AQ1327" s="201">
        <f t="shared" si="6717"/>
        <v>0</v>
      </c>
      <c r="AR1327" s="200">
        <f t="shared" si="6717"/>
        <v>0</v>
      </c>
      <c r="AS1327" s="200">
        <f t="shared" si="6717"/>
        <v>0</v>
      </c>
      <c r="AT1327" s="173">
        <v>0.0</v>
      </c>
      <c r="AU1327" s="200">
        <f t="shared" si="6217"/>
        <v>0</v>
      </c>
      <c r="AV1327" s="200">
        <f t="shared" ref="AV1327:AX1327" si="6718">countif($D1327,"*"&amp;AV$2&amp;"*")</f>
        <v>0</v>
      </c>
      <c r="AW1327" s="200">
        <f t="shared" si="6718"/>
        <v>0</v>
      </c>
      <c r="AX1327" s="200">
        <f t="shared" si="6718"/>
        <v>0</v>
      </c>
      <c r="AY1327" s="204">
        <v>1.0</v>
      </c>
      <c r="AZ1327" s="200"/>
      <c r="BA1327" s="171" t="str">
        <f t="shared" si="18"/>
        <v>Archival</v>
      </c>
      <c r="BB1327" s="171" t="str">
        <f t="shared" si="19"/>
        <v/>
      </c>
      <c r="BC1327" s="171" t="str">
        <f t="shared" si="20"/>
        <v/>
      </c>
      <c r="BD1327" s="171" t="str">
        <f t="shared" si="21"/>
        <v/>
      </c>
      <c r="BE1327" s="171" t="str">
        <f t="shared" si="22"/>
        <v/>
      </c>
      <c r="BF1327" s="171" t="str">
        <f t="shared" si="23"/>
        <v>Archival</v>
      </c>
    </row>
    <row r="1328">
      <c r="A1328" s="171">
        <f t="array" ref="A1328">XLOOKUP(C1328,FSE!A:A,FSE!C:C,"XXXXX",0,1)</f>
        <v>2023</v>
      </c>
      <c r="B1328" s="213" t="s">
        <v>5676</v>
      </c>
      <c r="C1328" s="214">
        <v>81.0</v>
      </c>
      <c r="D1328" s="215" t="s">
        <v>5523</v>
      </c>
      <c r="E1328" s="197" t="str">
        <f t="array" ref="E1328">XLOOKUP(C1328,FSE!A:A,FSE!Z:Z,"XXXXX",0,1)</f>
        <v>Publicly Available (1)</v>
      </c>
      <c r="F1328" s="213" t="s">
        <v>3394</v>
      </c>
      <c r="G1328" s="163" t="str">
        <f t="array" ref="G1328">IF(B1328="ICSE",IF(COUNTIFS(B:B,B1328,C:C,C1328)=XLOOKUP(C1328,ICSE!A:A,ICSE!AA:AA,"ERROR",0,1),"OK","ERROR"),IF(B1328="FSE",IF(COUNTIFS(B:B,B1328,C:C,C1328)=XLOOKUP(C1328,FSE!A:A,FSE!AA:AA,"ERROR",0,1),"OK","ERROR")))</f>
        <v>OK</v>
      </c>
      <c r="H1328" s="199">
        <f t="shared" ref="H1328:O1328" si="6719">countif($D1328,"*"&amp;H$2&amp;"*")</f>
        <v>0</v>
      </c>
      <c r="I1328" s="200">
        <f t="shared" si="6719"/>
        <v>0</v>
      </c>
      <c r="J1328" s="200">
        <f t="shared" si="6719"/>
        <v>0</v>
      </c>
      <c r="K1328" s="200">
        <f t="shared" si="6719"/>
        <v>0</v>
      </c>
      <c r="L1328" s="200">
        <f t="shared" si="6719"/>
        <v>0</v>
      </c>
      <c r="M1328" s="200">
        <f t="shared" si="6719"/>
        <v>0</v>
      </c>
      <c r="N1328" s="200">
        <f t="shared" si="6719"/>
        <v>0</v>
      </c>
      <c r="O1328" s="200">
        <f t="shared" si="6719"/>
        <v>0</v>
      </c>
      <c r="P1328" s="200">
        <f t="shared" si="9"/>
        <v>1</v>
      </c>
      <c r="Q1328" s="200">
        <f t="shared" ref="Q1328:AC1328" si="6720">countif($D1328,"*"&amp;Q$2&amp;"*")</f>
        <v>0</v>
      </c>
      <c r="R1328" s="200">
        <f t="shared" si="6720"/>
        <v>0</v>
      </c>
      <c r="S1328" s="200">
        <f t="shared" si="6720"/>
        <v>0</v>
      </c>
      <c r="T1328" s="200">
        <f t="shared" si="6720"/>
        <v>0</v>
      </c>
      <c r="U1328" s="200">
        <f t="shared" si="6720"/>
        <v>0</v>
      </c>
      <c r="V1328" s="200">
        <f t="shared" si="6720"/>
        <v>0</v>
      </c>
      <c r="W1328" s="200">
        <f t="shared" si="6720"/>
        <v>0</v>
      </c>
      <c r="X1328" s="200">
        <f t="shared" si="6720"/>
        <v>0</v>
      </c>
      <c r="Y1328" s="200">
        <f t="shared" si="6720"/>
        <v>0</v>
      </c>
      <c r="Z1328" s="200">
        <f t="shared" si="6720"/>
        <v>0</v>
      </c>
      <c r="AA1328" s="200">
        <f t="shared" si="6720"/>
        <v>0</v>
      </c>
      <c r="AB1328" s="200">
        <f t="shared" si="6720"/>
        <v>0</v>
      </c>
      <c r="AC1328" s="200">
        <f t="shared" si="6720"/>
        <v>0</v>
      </c>
      <c r="AD1328" s="200">
        <f t="shared" si="11"/>
        <v>0</v>
      </c>
      <c r="AE1328" s="200">
        <f t="shared" ref="AE1328:AG1328" si="6721">countif($D1328,"*"&amp;AE$2&amp;"*")</f>
        <v>0</v>
      </c>
      <c r="AF1328" s="200">
        <f t="shared" si="6721"/>
        <v>0</v>
      </c>
      <c r="AG1328" s="200">
        <f t="shared" si="6721"/>
        <v>0</v>
      </c>
      <c r="AH1328" s="171">
        <f t="shared" si="13"/>
        <v>0</v>
      </c>
      <c r="AI1328" s="200">
        <f t="shared" si="14"/>
        <v>0</v>
      </c>
      <c r="AJ1328" s="200">
        <f t="shared" si="6100"/>
        <v>0</v>
      </c>
      <c r="AK1328" s="201">
        <f t="shared" ref="AK1328:AS1328" si="6722">countif($D1328,"*"&amp;AK$2&amp;"*")</f>
        <v>0</v>
      </c>
      <c r="AL1328" s="201">
        <f t="shared" si="6722"/>
        <v>0</v>
      </c>
      <c r="AM1328" s="201">
        <f t="shared" si="6722"/>
        <v>0</v>
      </c>
      <c r="AN1328" s="201">
        <f t="shared" si="6722"/>
        <v>0</v>
      </c>
      <c r="AO1328" s="201">
        <f t="shared" si="6722"/>
        <v>0</v>
      </c>
      <c r="AP1328" s="201">
        <f t="shared" si="6722"/>
        <v>0</v>
      </c>
      <c r="AQ1328" s="201">
        <f t="shared" si="6722"/>
        <v>0</v>
      </c>
      <c r="AR1328" s="200">
        <f t="shared" si="6722"/>
        <v>0</v>
      </c>
      <c r="AS1328" s="200">
        <f t="shared" si="6722"/>
        <v>0</v>
      </c>
      <c r="AT1328" s="173">
        <v>0.0</v>
      </c>
      <c r="AU1328" s="200">
        <f t="shared" si="6217"/>
        <v>0</v>
      </c>
      <c r="AV1328" s="200">
        <f t="shared" ref="AV1328:AX1328" si="6723">countif($D1328,"*"&amp;AV$2&amp;"*")</f>
        <v>1</v>
      </c>
      <c r="AW1328" s="200">
        <f t="shared" si="6723"/>
        <v>0</v>
      </c>
      <c r="AX1328" s="200">
        <f t="shared" si="6723"/>
        <v>0</v>
      </c>
      <c r="AY1328" s="202">
        <v>0.0</v>
      </c>
      <c r="AZ1328" s="200"/>
      <c r="BA1328" s="171" t="str">
        <f t="shared" si="18"/>
        <v/>
      </c>
      <c r="BB1328" s="171" t="str">
        <f t="shared" si="19"/>
        <v>Code</v>
      </c>
      <c r="BC1328" s="171" t="str">
        <f t="shared" si="20"/>
        <v/>
      </c>
      <c r="BD1328" s="171" t="str">
        <f t="shared" si="21"/>
        <v/>
      </c>
      <c r="BE1328" s="171" t="str">
        <f t="shared" si="22"/>
        <v/>
      </c>
      <c r="BF1328" s="171" t="str">
        <f t="shared" si="23"/>
        <v>Code</v>
      </c>
    </row>
    <row r="1329">
      <c r="A1329" s="171">
        <f t="array" ref="A1329">XLOOKUP(C1329,FSE!A:A,FSE!C:C,"XXXXX",0,1)</f>
        <v>2023</v>
      </c>
      <c r="B1329" s="213" t="s">
        <v>5676</v>
      </c>
      <c r="C1329" s="214">
        <v>82.0</v>
      </c>
      <c r="D1329" s="215" t="s">
        <v>6210</v>
      </c>
      <c r="E1329" s="197" t="str">
        <f t="array" ref="E1329">XLOOKUP(C1329,FSE!A:A,FSE!Z:Z,"XXXXX",0,1)</f>
        <v>Publicly Available (2)</v>
      </c>
      <c r="F1329" s="213" t="s">
        <v>3394</v>
      </c>
      <c r="G1329" s="163" t="str">
        <f t="array" ref="G1329">IF(B1329="ICSE",IF(COUNTIFS(B:B,B1329,C:C,C1329)=XLOOKUP(C1329,ICSE!A:A,ICSE!AA:AA,"ERROR",0,1),"OK","ERROR"),IF(B1329="FSE",IF(COUNTIFS(B:B,B1329,C:C,C1329)=XLOOKUP(C1329,FSE!A:A,FSE!AA:AA,"ERROR",0,1),"OK","ERROR")))</f>
        <v>OK</v>
      </c>
      <c r="H1329" s="199">
        <f t="shared" ref="H1329:O1329" si="6724">countif($D1329,"*"&amp;H$2&amp;"*")</f>
        <v>0</v>
      </c>
      <c r="I1329" s="200">
        <f t="shared" si="6724"/>
        <v>0</v>
      </c>
      <c r="J1329" s="200">
        <f t="shared" si="6724"/>
        <v>0</v>
      </c>
      <c r="K1329" s="200">
        <f t="shared" si="6724"/>
        <v>0</v>
      </c>
      <c r="L1329" s="200">
        <f t="shared" si="6724"/>
        <v>0</v>
      </c>
      <c r="M1329" s="200">
        <f t="shared" si="6724"/>
        <v>0</v>
      </c>
      <c r="N1329" s="200">
        <f t="shared" si="6724"/>
        <v>0</v>
      </c>
      <c r="O1329" s="200">
        <f t="shared" si="6724"/>
        <v>0</v>
      </c>
      <c r="P1329" s="200">
        <f t="shared" si="9"/>
        <v>1</v>
      </c>
      <c r="Q1329" s="200">
        <f t="shared" ref="Q1329:AC1329" si="6725">countif($D1329,"*"&amp;Q$2&amp;"*")</f>
        <v>0</v>
      </c>
      <c r="R1329" s="200">
        <f t="shared" si="6725"/>
        <v>0</v>
      </c>
      <c r="S1329" s="200">
        <f t="shared" si="6725"/>
        <v>0</v>
      </c>
      <c r="T1329" s="200">
        <f t="shared" si="6725"/>
        <v>0</v>
      </c>
      <c r="U1329" s="200">
        <f t="shared" si="6725"/>
        <v>0</v>
      </c>
      <c r="V1329" s="200">
        <f t="shared" si="6725"/>
        <v>0</v>
      </c>
      <c r="W1329" s="200">
        <f t="shared" si="6725"/>
        <v>0</v>
      </c>
      <c r="X1329" s="200">
        <f t="shared" si="6725"/>
        <v>0</v>
      </c>
      <c r="Y1329" s="200">
        <f t="shared" si="6725"/>
        <v>0</v>
      </c>
      <c r="Z1329" s="200">
        <f t="shared" si="6725"/>
        <v>0</v>
      </c>
      <c r="AA1329" s="200">
        <f t="shared" si="6725"/>
        <v>0</v>
      </c>
      <c r="AB1329" s="200">
        <f t="shared" si="6725"/>
        <v>0</v>
      </c>
      <c r="AC1329" s="200">
        <f t="shared" si="6725"/>
        <v>0</v>
      </c>
      <c r="AD1329" s="200">
        <f t="shared" si="11"/>
        <v>0</v>
      </c>
      <c r="AE1329" s="200">
        <f t="shared" ref="AE1329:AG1329" si="6726">countif($D1329,"*"&amp;AE$2&amp;"*")</f>
        <v>0</v>
      </c>
      <c r="AF1329" s="200">
        <f t="shared" si="6726"/>
        <v>0</v>
      </c>
      <c r="AG1329" s="200">
        <f t="shared" si="6726"/>
        <v>0</v>
      </c>
      <c r="AH1329" s="171">
        <f t="shared" si="13"/>
        <v>0</v>
      </c>
      <c r="AI1329" s="200">
        <f t="shared" si="14"/>
        <v>0</v>
      </c>
      <c r="AJ1329" s="200">
        <f t="shared" si="6100"/>
        <v>0</v>
      </c>
      <c r="AK1329" s="201">
        <f t="shared" ref="AK1329:AS1329" si="6727">countif($D1329,"*"&amp;AK$2&amp;"*")</f>
        <v>0</v>
      </c>
      <c r="AL1329" s="201">
        <f t="shared" si="6727"/>
        <v>0</v>
      </c>
      <c r="AM1329" s="201">
        <f t="shared" si="6727"/>
        <v>0</v>
      </c>
      <c r="AN1329" s="201">
        <f t="shared" si="6727"/>
        <v>0</v>
      </c>
      <c r="AO1329" s="201">
        <f t="shared" si="6727"/>
        <v>0</v>
      </c>
      <c r="AP1329" s="201">
        <f t="shared" si="6727"/>
        <v>0</v>
      </c>
      <c r="AQ1329" s="201">
        <f t="shared" si="6727"/>
        <v>0</v>
      </c>
      <c r="AR1329" s="200">
        <f t="shared" si="6727"/>
        <v>0</v>
      </c>
      <c r="AS1329" s="200">
        <f t="shared" si="6727"/>
        <v>0</v>
      </c>
      <c r="AT1329" s="173">
        <v>0.0</v>
      </c>
      <c r="AU1329" s="200">
        <f t="shared" si="6217"/>
        <v>0</v>
      </c>
      <c r="AV1329" s="200">
        <f t="shared" ref="AV1329:AX1329" si="6728">countif($D1329,"*"&amp;AV$2&amp;"*")</f>
        <v>1</v>
      </c>
      <c r="AW1329" s="200">
        <f t="shared" si="6728"/>
        <v>0</v>
      </c>
      <c r="AX1329" s="200">
        <f t="shared" si="6728"/>
        <v>0</v>
      </c>
      <c r="AY1329" s="202">
        <v>0.0</v>
      </c>
      <c r="AZ1329" s="200"/>
      <c r="BA1329" s="171" t="str">
        <f t="shared" si="18"/>
        <v/>
      </c>
      <c r="BB1329" s="171" t="str">
        <f t="shared" si="19"/>
        <v>Code</v>
      </c>
      <c r="BC1329" s="171" t="str">
        <f t="shared" si="20"/>
        <v/>
      </c>
      <c r="BD1329" s="171" t="str">
        <f t="shared" si="21"/>
        <v/>
      </c>
      <c r="BE1329" s="171" t="str">
        <f t="shared" si="22"/>
        <v/>
      </c>
      <c r="BF1329" s="171" t="str">
        <f t="shared" si="23"/>
        <v>Code</v>
      </c>
    </row>
    <row r="1330">
      <c r="A1330" s="171">
        <f t="array" ref="A1330">XLOOKUP(C1330,FSE!A:A,FSE!C:C,"XXXXX",0,1)</f>
        <v>2023</v>
      </c>
      <c r="B1330" s="213" t="s">
        <v>5676</v>
      </c>
      <c r="C1330" s="214">
        <v>82.0</v>
      </c>
      <c r="D1330" s="217" t="s">
        <v>6211</v>
      </c>
      <c r="E1330" s="197" t="str">
        <f t="array" ref="E1330">XLOOKUP(C1330,FSE!A:A,FSE!Z:Z,"XXXXX",0,1)</f>
        <v>Publicly Available (2)</v>
      </c>
      <c r="F1330" s="213" t="s">
        <v>3394</v>
      </c>
      <c r="G1330" s="163" t="str">
        <f t="array" ref="G1330">IF(B1330="ICSE",IF(COUNTIFS(B:B,B1330,C:C,C1330)=XLOOKUP(C1330,ICSE!A:A,ICSE!AA:AA,"ERROR",0,1),"OK","ERROR"),IF(B1330="FSE",IF(COUNTIFS(B:B,B1330,C:C,C1330)=XLOOKUP(C1330,FSE!A:A,FSE!AA:AA,"ERROR",0,1),"OK","ERROR")))</f>
        <v>OK</v>
      </c>
      <c r="H1330" s="199">
        <f t="shared" ref="H1330:O1330" si="6729">countif($D1330,"*"&amp;H$2&amp;"*")</f>
        <v>0</v>
      </c>
      <c r="I1330" s="200">
        <f t="shared" si="6729"/>
        <v>0</v>
      </c>
      <c r="J1330" s="200">
        <f t="shared" si="6729"/>
        <v>0</v>
      </c>
      <c r="K1330" s="200">
        <f t="shared" si="6729"/>
        <v>0</v>
      </c>
      <c r="L1330" s="200">
        <f t="shared" si="6729"/>
        <v>0</v>
      </c>
      <c r="M1330" s="200">
        <f t="shared" si="6729"/>
        <v>0</v>
      </c>
      <c r="N1330" s="200">
        <f t="shared" si="6729"/>
        <v>0</v>
      </c>
      <c r="O1330" s="200">
        <f t="shared" si="6729"/>
        <v>0</v>
      </c>
      <c r="P1330" s="200">
        <f t="shared" si="9"/>
        <v>1</v>
      </c>
      <c r="Q1330" s="200">
        <f t="shared" ref="Q1330:AC1330" si="6730">countif($D1330,"*"&amp;Q$2&amp;"*")</f>
        <v>0</v>
      </c>
      <c r="R1330" s="200">
        <f t="shared" si="6730"/>
        <v>0</v>
      </c>
      <c r="S1330" s="200">
        <f t="shared" si="6730"/>
        <v>0</v>
      </c>
      <c r="T1330" s="200">
        <f t="shared" si="6730"/>
        <v>0</v>
      </c>
      <c r="U1330" s="200">
        <f t="shared" si="6730"/>
        <v>0</v>
      </c>
      <c r="V1330" s="200">
        <f t="shared" si="6730"/>
        <v>0</v>
      </c>
      <c r="W1330" s="200">
        <f t="shared" si="6730"/>
        <v>0</v>
      </c>
      <c r="X1330" s="200">
        <f t="shared" si="6730"/>
        <v>0</v>
      </c>
      <c r="Y1330" s="200">
        <f t="shared" si="6730"/>
        <v>0</v>
      </c>
      <c r="Z1330" s="200">
        <f t="shared" si="6730"/>
        <v>0</v>
      </c>
      <c r="AA1330" s="200">
        <f t="shared" si="6730"/>
        <v>0</v>
      </c>
      <c r="AB1330" s="200">
        <f t="shared" si="6730"/>
        <v>0</v>
      </c>
      <c r="AC1330" s="200">
        <f t="shared" si="6730"/>
        <v>0</v>
      </c>
      <c r="AD1330" s="200">
        <f t="shared" si="11"/>
        <v>0</v>
      </c>
      <c r="AE1330" s="200">
        <f t="shared" ref="AE1330:AG1330" si="6731">countif($D1330,"*"&amp;AE$2&amp;"*")</f>
        <v>0</v>
      </c>
      <c r="AF1330" s="200">
        <f t="shared" si="6731"/>
        <v>0</v>
      </c>
      <c r="AG1330" s="200">
        <f t="shared" si="6731"/>
        <v>0</v>
      </c>
      <c r="AH1330" s="171">
        <f t="shared" si="13"/>
        <v>0</v>
      </c>
      <c r="AI1330" s="200">
        <f t="shared" si="14"/>
        <v>0</v>
      </c>
      <c r="AJ1330" s="200">
        <f t="shared" si="6100"/>
        <v>0</v>
      </c>
      <c r="AK1330" s="201">
        <f t="shared" ref="AK1330:AS1330" si="6732">countif($D1330,"*"&amp;AK$2&amp;"*")</f>
        <v>0</v>
      </c>
      <c r="AL1330" s="201">
        <f t="shared" si="6732"/>
        <v>0</v>
      </c>
      <c r="AM1330" s="201">
        <f t="shared" si="6732"/>
        <v>0</v>
      </c>
      <c r="AN1330" s="201">
        <f t="shared" si="6732"/>
        <v>0</v>
      </c>
      <c r="AO1330" s="201">
        <f t="shared" si="6732"/>
        <v>0</v>
      </c>
      <c r="AP1330" s="201">
        <f t="shared" si="6732"/>
        <v>0</v>
      </c>
      <c r="AQ1330" s="201">
        <f t="shared" si="6732"/>
        <v>0</v>
      </c>
      <c r="AR1330" s="200">
        <f t="shared" si="6732"/>
        <v>0</v>
      </c>
      <c r="AS1330" s="200">
        <f t="shared" si="6732"/>
        <v>0</v>
      </c>
      <c r="AT1330" s="173">
        <v>0.0</v>
      </c>
      <c r="AU1330" s="200">
        <f t="shared" si="6217"/>
        <v>0</v>
      </c>
      <c r="AV1330" s="200">
        <f t="shared" ref="AV1330:AX1330" si="6733">countif($D1330,"*"&amp;AV$2&amp;"*")</f>
        <v>1</v>
      </c>
      <c r="AW1330" s="200">
        <f t="shared" si="6733"/>
        <v>0</v>
      </c>
      <c r="AX1330" s="200">
        <f t="shared" si="6733"/>
        <v>0</v>
      </c>
      <c r="AY1330" s="202">
        <v>0.0</v>
      </c>
      <c r="AZ1330" s="200"/>
      <c r="BA1330" s="171" t="str">
        <f t="shared" si="18"/>
        <v/>
      </c>
      <c r="BB1330" s="171" t="str">
        <f t="shared" si="19"/>
        <v>Code</v>
      </c>
      <c r="BC1330" s="171" t="str">
        <f t="shared" si="20"/>
        <v/>
      </c>
      <c r="BD1330" s="171" t="str">
        <f t="shared" si="21"/>
        <v/>
      </c>
      <c r="BE1330" s="171" t="str">
        <f t="shared" si="22"/>
        <v/>
      </c>
      <c r="BF1330" s="171" t="str">
        <f t="shared" si="23"/>
        <v>Code</v>
      </c>
    </row>
    <row r="1331">
      <c r="A1331" s="171">
        <f t="array" ref="A1331">XLOOKUP(C1331,FSE!A:A,FSE!C:C,"XXXXX",0,1)</f>
        <v>2023</v>
      </c>
      <c r="B1331" s="213" t="s">
        <v>5676</v>
      </c>
      <c r="C1331" s="214">
        <v>83.0</v>
      </c>
      <c r="D1331" s="215" t="s">
        <v>6212</v>
      </c>
      <c r="E1331" s="197" t="str">
        <f t="array" ref="E1331">XLOOKUP(C1331,FSE!A:A,FSE!Z:Z,"XXXXX",0,1)</f>
        <v>Publicly Available (2)</v>
      </c>
      <c r="F1331" s="213" t="s">
        <v>3394</v>
      </c>
      <c r="G1331" s="163" t="str">
        <f t="array" ref="G1331">IF(B1331="ICSE",IF(COUNTIFS(B:B,B1331,C:C,C1331)=XLOOKUP(C1331,ICSE!A:A,ICSE!AA:AA,"ERROR",0,1),"OK","ERROR"),IF(B1331="FSE",IF(COUNTIFS(B:B,B1331,C:C,C1331)=XLOOKUP(C1331,FSE!A:A,FSE!AA:AA,"ERROR",0,1),"OK","ERROR")))</f>
        <v>OK</v>
      </c>
      <c r="H1331" s="199">
        <f t="shared" ref="H1331:O1331" si="6734">countif($D1331,"*"&amp;H$2&amp;"*")</f>
        <v>0</v>
      </c>
      <c r="I1331" s="200">
        <f t="shared" si="6734"/>
        <v>0</v>
      </c>
      <c r="J1331" s="200">
        <f t="shared" si="6734"/>
        <v>0</v>
      </c>
      <c r="K1331" s="200">
        <f t="shared" si="6734"/>
        <v>0</v>
      </c>
      <c r="L1331" s="200">
        <f t="shared" si="6734"/>
        <v>0</v>
      </c>
      <c r="M1331" s="200">
        <f t="shared" si="6734"/>
        <v>0</v>
      </c>
      <c r="N1331" s="200">
        <f t="shared" si="6734"/>
        <v>0</v>
      </c>
      <c r="O1331" s="200">
        <f t="shared" si="6734"/>
        <v>0</v>
      </c>
      <c r="P1331" s="200">
        <f t="shared" si="9"/>
        <v>1</v>
      </c>
      <c r="Q1331" s="200">
        <f t="shared" ref="Q1331:AC1331" si="6735">countif($D1331,"*"&amp;Q$2&amp;"*")</f>
        <v>0</v>
      </c>
      <c r="R1331" s="200">
        <f t="shared" si="6735"/>
        <v>0</v>
      </c>
      <c r="S1331" s="200">
        <f t="shared" si="6735"/>
        <v>0</v>
      </c>
      <c r="T1331" s="200">
        <f t="shared" si="6735"/>
        <v>0</v>
      </c>
      <c r="U1331" s="200">
        <f t="shared" si="6735"/>
        <v>0</v>
      </c>
      <c r="V1331" s="200">
        <f t="shared" si="6735"/>
        <v>0</v>
      </c>
      <c r="W1331" s="200">
        <f t="shared" si="6735"/>
        <v>0</v>
      </c>
      <c r="X1331" s="200">
        <f t="shared" si="6735"/>
        <v>0</v>
      </c>
      <c r="Y1331" s="200">
        <f t="shared" si="6735"/>
        <v>0</v>
      </c>
      <c r="Z1331" s="200">
        <f t="shared" si="6735"/>
        <v>0</v>
      </c>
      <c r="AA1331" s="200">
        <f t="shared" si="6735"/>
        <v>0</v>
      </c>
      <c r="AB1331" s="200">
        <f t="shared" si="6735"/>
        <v>0</v>
      </c>
      <c r="AC1331" s="200">
        <f t="shared" si="6735"/>
        <v>0</v>
      </c>
      <c r="AD1331" s="200">
        <f t="shared" si="11"/>
        <v>0</v>
      </c>
      <c r="AE1331" s="200">
        <f t="shared" ref="AE1331:AG1331" si="6736">countif($D1331,"*"&amp;AE$2&amp;"*")</f>
        <v>0</v>
      </c>
      <c r="AF1331" s="200">
        <f t="shared" si="6736"/>
        <v>0</v>
      </c>
      <c r="AG1331" s="200">
        <f t="shared" si="6736"/>
        <v>0</v>
      </c>
      <c r="AH1331" s="171">
        <f t="shared" si="13"/>
        <v>0</v>
      </c>
      <c r="AI1331" s="200">
        <f t="shared" si="14"/>
        <v>0</v>
      </c>
      <c r="AJ1331" s="200">
        <f t="shared" si="6100"/>
        <v>0</v>
      </c>
      <c r="AK1331" s="201">
        <f t="shared" ref="AK1331:AS1331" si="6737">countif($D1331,"*"&amp;AK$2&amp;"*")</f>
        <v>0</v>
      </c>
      <c r="AL1331" s="201">
        <f t="shared" si="6737"/>
        <v>0</v>
      </c>
      <c r="AM1331" s="201">
        <f t="shared" si="6737"/>
        <v>0</v>
      </c>
      <c r="AN1331" s="201">
        <f t="shared" si="6737"/>
        <v>0</v>
      </c>
      <c r="AO1331" s="201">
        <f t="shared" si="6737"/>
        <v>0</v>
      </c>
      <c r="AP1331" s="201">
        <f t="shared" si="6737"/>
        <v>0</v>
      </c>
      <c r="AQ1331" s="201">
        <f t="shared" si="6737"/>
        <v>0</v>
      </c>
      <c r="AR1331" s="200">
        <f t="shared" si="6737"/>
        <v>0</v>
      </c>
      <c r="AS1331" s="200">
        <f t="shared" si="6737"/>
        <v>0</v>
      </c>
      <c r="AT1331" s="173">
        <v>0.0</v>
      </c>
      <c r="AU1331" s="200">
        <f t="shared" si="6217"/>
        <v>0</v>
      </c>
      <c r="AV1331" s="200">
        <f t="shared" ref="AV1331:AX1331" si="6738">countif($D1331,"*"&amp;AV$2&amp;"*")</f>
        <v>1</v>
      </c>
      <c r="AW1331" s="200">
        <f t="shared" si="6738"/>
        <v>0</v>
      </c>
      <c r="AX1331" s="200">
        <f t="shared" si="6738"/>
        <v>0</v>
      </c>
      <c r="AY1331" s="202">
        <v>0.0</v>
      </c>
      <c r="AZ1331" s="200"/>
      <c r="BA1331" s="171" t="str">
        <f t="shared" si="18"/>
        <v/>
      </c>
      <c r="BB1331" s="171" t="str">
        <f t="shared" si="19"/>
        <v>Code</v>
      </c>
      <c r="BC1331" s="171" t="str">
        <f t="shared" si="20"/>
        <v/>
      </c>
      <c r="BD1331" s="171" t="str">
        <f t="shared" si="21"/>
        <v/>
      </c>
      <c r="BE1331" s="171" t="str">
        <f t="shared" si="22"/>
        <v/>
      </c>
      <c r="BF1331" s="171" t="str">
        <f t="shared" si="23"/>
        <v>Code</v>
      </c>
    </row>
    <row r="1332">
      <c r="A1332" s="171">
        <f t="array" ref="A1332">XLOOKUP(C1332,FSE!A:A,FSE!C:C,"XXXXX",0,1)</f>
        <v>2023</v>
      </c>
      <c r="B1332" s="171" t="s">
        <v>5676</v>
      </c>
      <c r="C1332" s="160">
        <v>83.0</v>
      </c>
      <c r="D1332" s="161" t="s">
        <v>6213</v>
      </c>
      <c r="E1332" s="197" t="str">
        <f t="array" ref="E1332">XLOOKUP(C1332,FSE!A:A,FSE!Z:Z,"XXXXX",0,1)</f>
        <v>Publicly Available (2)</v>
      </c>
      <c r="F1332" s="213" t="s">
        <v>3394</v>
      </c>
      <c r="G1332" s="163" t="str">
        <f t="array" ref="G1332">IF(B1332="ICSE",IF(COUNTIFS(B:B,B1332,C:C,C1332)=XLOOKUP(C1332,ICSE!A:A,ICSE!AA:AA,"ERROR",0,1),"OK","ERROR"),IF(B1332="FSE",IF(COUNTIFS(B:B,B1332,C:C,C1332)=XLOOKUP(C1332,FSE!A:A,FSE!AA:AA,"ERROR",0,1),"OK","ERROR")))</f>
        <v>OK</v>
      </c>
      <c r="H1332" s="199">
        <f t="shared" ref="H1332:O1332" si="6739">countif($D1332,"*"&amp;H$2&amp;"*")</f>
        <v>0</v>
      </c>
      <c r="I1332" s="200">
        <f t="shared" si="6739"/>
        <v>0</v>
      </c>
      <c r="J1332" s="200">
        <f t="shared" si="6739"/>
        <v>0</v>
      </c>
      <c r="K1332" s="200">
        <f t="shared" si="6739"/>
        <v>0</v>
      </c>
      <c r="L1332" s="200">
        <f t="shared" si="6739"/>
        <v>0</v>
      </c>
      <c r="M1332" s="200">
        <f t="shared" si="6739"/>
        <v>1</v>
      </c>
      <c r="N1332" s="200">
        <f t="shared" si="6739"/>
        <v>0</v>
      </c>
      <c r="O1332" s="200">
        <f t="shared" si="6739"/>
        <v>0</v>
      </c>
      <c r="P1332" s="200">
        <f t="shared" si="9"/>
        <v>0</v>
      </c>
      <c r="Q1332" s="200">
        <f t="shared" ref="Q1332:AC1332" si="6740">countif($D1332,"*"&amp;Q$2&amp;"*")</f>
        <v>0</v>
      </c>
      <c r="R1332" s="200">
        <f t="shared" si="6740"/>
        <v>0</v>
      </c>
      <c r="S1332" s="200">
        <f t="shared" si="6740"/>
        <v>0</v>
      </c>
      <c r="T1332" s="200">
        <f t="shared" si="6740"/>
        <v>0</v>
      </c>
      <c r="U1332" s="200">
        <f t="shared" si="6740"/>
        <v>0</v>
      </c>
      <c r="V1332" s="200">
        <f t="shared" si="6740"/>
        <v>0</v>
      </c>
      <c r="W1332" s="200">
        <f t="shared" si="6740"/>
        <v>0</v>
      </c>
      <c r="X1332" s="200">
        <f t="shared" si="6740"/>
        <v>0</v>
      </c>
      <c r="Y1332" s="200">
        <f t="shared" si="6740"/>
        <v>0</v>
      </c>
      <c r="Z1332" s="200">
        <f t="shared" si="6740"/>
        <v>0</v>
      </c>
      <c r="AA1332" s="200">
        <f t="shared" si="6740"/>
        <v>0</v>
      </c>
      <c r="AB1332" s="200">
        <f t="shared" si="6740"/>
        <v>0</v>
      </c>
      <c r="AC1332" s="200">
        <f t="shared" si="6740"/>
        <v>0</v>
      </c>
      <c r="AD1332" s="200">
        <f t="shared" si="11"/>
        <v>0</v>
      </c>
      <c r="AE1332" s="200">
        <f t="shared" ref="AE1332:AG1332" si="6741">countif($D1332,"*"&amp;AE$2&amp;"*")</f>
        <v>0</v>
      </c>
      <c r="AF1332" s="200">
        <f t="shared" si="6741"/>
        <v>0</v>
      </c>
      <c r="AG1332" s="200">
        <f t="shared" si="6741"/>
        <v>0</v>
      </c>
      <c r="AH1332" s="171">
        <f t="shared" si="13"/>
        <v>0</v>
      </c>
      <c r="AI1332" s="200">
        <f t="shared" si="14"/>
        <v>1</v>
      </c>
      <c r="AJ1332" s="200">
        <f t="shared" si="6100"/>
        <v>0</v>
      </c>
      <c r="AK1332" s="201">
        <f t="shared" ref="AK1332:AS1332" si="6742">countif($D1332,"*"&amp;AK$2&amp;"*")</f>
        <v>0</v>
      </c>
      <c r="AL1332" s="201">
        <f t="shared" si="6742"/>
        <v>0</v>
      </c>
      <c r="AM1332" s="201">
        <f t="shared" si="6742"/>
        <v>0</v>
      </c>
      <c r="AN1332" s="201">
        <f t="shared" si="6742"/>
        <v>0</v>
      </c>
      <c r="AO1332" s="201">
        <f t="shared" si="6742"/>
        <v>0</v>
      </c>
      <c r="AP1332" s="201">
        <f t="shared" si="6742"/>
        <v>0</v>
      </c>
      <c r="AQ1332" s="201">
        <f t="shared" si="6742"/>
        <v>0</v>
      </c>
      <c r="AR1332" s="200">
        <f t="shared" si="6742"/>
        <v>0</v>
      </c>
      <c r="AS1332" s="200">
        <f t="shared" si="6742"/>
        <v>1</v>
      </c>
      <c r="AT1332" s="173">
        <v>0.0</v>
      </c>
      <c r="AU1332" s="200">
        <f t="shared" si="6217"/>
        <v>0</v>
      </c>
      <c r="AV1332" s="200">
        <f t="shared" ref="AV1332:AX1332" si="6743">countif($D1332,"*"&amp;AV$2&amp;"*")</f>
        <v>0</v>
      </c>
      <c r="AW1332" s="200">
        <f t="shared" si="6743"/>
        <v>0</v>
      </c>
      <c r="AX1332" s="200">
        <f t="shared" si="6743"/>
        <v>1</v>
      </c>
      <c r="AY1332" s="202">
        <v>0.0</v>
      </c>
      <c r="AZ1332" s="200"/>
      <c r="BA1332" s="171" t="str">
        <f t="shared" si="18"/>
        <v>Archival</v>
      </c>
      <c r="BB1332" s="171" t="str">
        <f t="shared" si="19"/>
        <v/>
      </c>
      <c r="BC1332" s="171" t="str">
        <f t="shared" si="20"/>
        <v/>
      </c>
      <c r="BD1332" s="171" t="str">
        <f t="shared" si="21"/>
        <v/>
      </c>
      <c r="BE1332" s="171" t="str">
        <f t="shared" si="22"/>
        <v/>
      </c>
      <c r="BF1332" s="171" t="str">
        <f t="shared" si="23"/>
        <v>Archival</v>
      </c>
    </row>
    <row r="1333">
      <c r="A1333" s="171">
        <f t="array" ref="A1333">XLOOKUP(C1333,FSE!A:A,FSE!C:C,"XXXXX",0,1)</f>
        <v>2023</v>
      </c>
      <c r="B1333" s="213" t="s">
        <v>5676</v>
      </c>
      <c r="C1333" s="214">
        <v>84.0</v>
      </c>
      <c r="D1333" s="215" t="s">
        <v>5534</v>
      </c>
      <c r="E1333" s="197" t="str">
        <f t="array" ref="E1333">XLOOKUP(C1333,FSE!A:A,FSE!Z:Z,"XXXXX",0,1)</f>
        <v>Publicly Available (1)</v>
      </c>
      <c r="F1333" s="213" t="s">
        <v>3394</v>
      </c>
      <c r="G1333" s="163" t="str">
        <f t="array" ref="G1333">IF(B1333="ICSE",IF(COUNTIFS(B:B,B1333,C:C,C1333)=XLOOKUP(C1333,ICSE!A:A,ICSE!AA:AA,"ERROR",0,1),"OK","ERROR"),IF(B1333="FSE",IF(COUNTIFS(B:B,B1333,C:C,C1333)=XLOOKUP(C1333,FSE!A:A,FSE!AA:AA,"ERROR",0,1),"OK","ERROR")))</f>
        <v>OK</v>
      </c>
      <c r="H1333" s="199">
        <f t="shared" ref="H1333:O1333" si="6744">countif($D1333,"*"&amp;H$2&amp;"*")</f>
        <v>0</v>
      </c>
      <c r="I1333" s="200">
        <f t="shared" si="6744"/>
        <v>0</v>
      </c>
      <c r="J1333" s="200">
        <f t="shared" si="6744"/>
        <v>0</v>
      </c>
      <c r="K1333" s="200">
        <f t="shared" si="6744"/>
        <v>0</v>
      </c>
      <c r="L1333" s="200">
        <f t="shared" si="6744"/>
        <v>0</v>
      </c>
      <c r="M1333" s="200">
        <f t="shared" si="6744"/>
        <v>0</v>
      </c>
      <c r="N1333" s="200">
        <f t="shared" si="6744"/>
        <v>0</v>
      </c>
      <c r="O1333" s="200">
        <f t="shared" si="6744"/>
        <v>0</v>
      </c>
      <c r="P1333" s="200">
        <f t="shared" si="9"/>
        <v>1</v>
      </c>
      <c r="Q1333" s="200">
        <f t="shared" ref="Q1333:AC1333" si="6745">countif($D1333,"*"&amp;Q$2&amp;"*")</f>
        <v>0</v>
      </c>
      <c r="R1333" s="200">
        <f t="shared" si="6745"/>
        <v>0</v>
      </c>
      <c r="S1333" s="200">
        <f t="shared" si="6745"/>
        <v>0</v>
      </c>
      <c r="T1333" s="200">
        <f t="shared" si="6745"/>
        <v>0</v>
      </c>
      <c r="U1333" s="200">
        <f t="shared" si="6745"/>
        <v>0</v>
      </c>
      <c r="V1333" s="200">
        <f t="shared" si="6745"/>
        <v>0</v>
      </c>
      <c r="W1333" s="200">
        <f t="shared" si="6745"/>
        <v>0</v>
      </c>
      <c r="X1333" s="200">
        <f t="shared" si="6745"/>
        <v>0</v>
      </c>
      <c r="Y1333" s="200">
        <f t="shared" si="6745"/>
        <v>0</v>
      </c>
      <c r="Z1333" s="200">
        <f t="shared" si="6745"/>
        <v>0</v>
      </c>
      <c r="AA1333" s="200">
        <f t="shared" si="6745"/>
        <v>0</v>
      </c>
      <c r="AB1333" s="200">
        <f t="shared" si="6745"/>
        <v>0</v>
      </c>
      <c r="AC1333" s="200">
        <f t="shared" si="6745"/>
        <v>0</v>
      </c>
      <c r="AD1333" s="200">
        <f t="shared" si="11"/>
        <v>0</v>
      </c>
      <c r="AE1333" s="200">
        <f t="shared" ref="AE1333:AG1333" si="6746">countif($D1333,"*"&amp;AE$2&amp;"*")</f>
        <v>0</v>
      </c>
      <c r="AF1333" s="200">
        <f t="shared" si="6746"/>
        <v>0</v>
      </c>
      <c r="AG1333" s="200">
        <f t="shared" si="6746"/>
        <v>0</v>
      </c>
      <c r="AH1333" s="171">
        <f t="shared" si="13"/>
        <v>0</v>
      </c>
      <c r="AI1333" s="200">
        <f t="shared" si="14"/>
        <v>0</v>
      </c>
      <c r="AJ1333" s="200">
        <f t="shared" si="6100"/>
        <v>0</v>
      </c>
      <c r="AK1333" s="201">
        <f t="shared" ref="AK1333:AS1333" si="6747">countif($D1333,"*"&amp;AK$2&amp;"*")</f>
        <v>0</v>
      </c>
      <c r="AL1333" s="201">
        <f t="shared" si="6747"/>
        <v>0</v>
      </c>
      <c r="AM1333" s="201">
        <f t="shared" si="6747"/>
        <v>0</v>
      </c>
      <c r="AN1333" s="201">
        <f t="shared" si="6747"/>
        <v>0</v>
      </c>
      <c r="AO1333" s="201">
        <f t="shared" si="6747"/>
        <v>0</v>
      </c>
      <c r="AP1333" s="201">
        <f t="shared" si="6747"/>
        <v>0</v>
      </c>
      <c r="AQ1333" s="201">
        <f t="shared" si="6747"/>
        <v>0</v>
      </c>
      <c r="AR1333" s="200">
        <f t="shared" si="6747"/>
        <v>0</v>
      </c>
      <c r="AS1333" s="200">
        <f t="shared" si="6747"/>
        <v>0</v>
      </c>
      <c r="AT1333" s="173">
        <v>0.0</v>
      </c>
      <c r="AU1333" s="200">
        <f t="shared" si="6217"/>
        <v>0</v>
      </c>
      <c r="AV1333" s="200">
        <f t="shared" ref="AV1333:AX1333" si="6748">countif($D1333,"*"&amp;AV$2&amp;"*")</f>
        <v>1</v>
      </c>
      <c r="AW1333" s="200">
        <f t="shared" si="6748"/>
        <v>0</v>
      </c>
      <c r="AX1333" s="200">
        <f t="shared" si="6748"/>
        <v>0</v>
      </c>
      <c r="AY1333" s="202">
        <v>0.0</v>
      </c>
      <c r="AZ1333" s="200"/>
      <c r="BA1333" s="171" t="str">
        <f t="shared" si="18"/>
        <v/>
      </c>
      <c r="BB1333" s="171" t="str">
        <f t="shared" si="19"/>
        <v>Code</v>
      </c>
      <c r="BC1333" s="171" t="str">
        <f t="shared" si="20"/>
        <v/>
      </c>
      <c r="BD1333" s="171" t="str">
        <f t="shared" si="21"/>
        <v/>
      </c>
      <c r="BE1333" s="171" t="str">
        <f t="shared" si="22"/>
        <v/>
      </c>
      <c r="BF1333" s="171" t="str">
        <f t="shared" si="23"/>
        <v>Code</v>
      </c>
    </row>
    <row r="1334">
      <c r="A1334" s="171">
        <f t="array" ref="A1334">XLOOKUP(C1334,FSE!A:A,FSE!C:C,"XXXXX",0,1)</f>
        <v>2023</v>
      </c>
      <c r="B1334" s="213" t="s">
        <v>5676</v>
      </c>
      <c r="C1334" s="214">
        <v>85.0</v>
      </c>
      <c r="D1334" s="217" t="s">
        <v>5536</v>
      </c>
      <c r="E1334" s="197" t="str">
        <f t="array" ref="E1334">XLOOKUP(C1334,FSE!A:A,FSE!Z:Z,"XXXXX",0,1)</f>
        <v>Publicly Available (1)</v>
      </c>
      <c r="F1334" s="218" t="s">
        <v>3394</v>
      </c>
      <c r="G1334" s="163" t="str">
        <f t="array" ref="G1334">IF(B1334="ICSE",IF(COUNTIFS(B:B,B1334,C:C,C1334)=XLOOKUP(C1334,ICSE!A:A,ICSE!AA:AA,"ERROR",0,1),"OK","ERROR"),IF(B1334="FSE",IF(COUNTIFS(B:B,B1334,C:C,C1334)=XLOOKUP(C1334,FSE!A:A,FSE!AA:AA,"ERROR",0,1),"OK","ERROR")))</f>
        <v>OK</v>
      </c>
      <c r="H1334" s="199">
        <f t="shared" ref="H1334:O1334" si="6749">countif($D1334,"*"&amp;H$2&amp;"*")</f>
        <v>0</v>
      </c>
      <c r="I1334" s="200">
        <f t="shared" si="6749"/>
        <v>1</v>
      </c>
      <c r="J1334" s="200">
        <f t="shared" si="6749"/>
        <v>0</v>
      </c>
      <c r="K1334" s="200">
        <f t="shared" si="6749"/>
        <v>0</v>
      </c>
      <c r="L1334" s="200">
        <f t="shared" si="6749"/>
        <v>0</v>
      </c>
      <c r="M1334" s="200">
        <f t="shared" si="6749"/>
        <v>0</v>
      </c>
      <c r="N1334" s="200">
        <f t="shared" si="6749"/>
        <v>0</v>
      </c>
      <c r="O1334" s="200">
        <f t="shared" si="6749"/>
        <v>0</v>
      </c>
      <c r="P1334" s="200">
        <f t="shared" si="9"/>
        <v>0</v>
      </c>
      <c r="Q1334" s="200">
        <f t="shared" ref="Q1334:AC1334" si="6750">countif($D1334,"*"&amp;Q$2&amp;"*")</f>
        <v>0</v>
      </c>
      <c r="R1334" s="200">
        <f t="shared" si="6750"/>
        <v>0</v>
      </c>
      <c r="S1334" s="200">
        <f t="shared" si="6750"/>
        <v>0</v>
      </c>
      <c r="T1334" s="200">
        <f t="shared" si="6750"/>
        <v>0</v>
      </c>
      <c r="U1334" s="200">
        <f t="shared" si="6750"/>
        <v>0</v>
      </c>
      <c r="V1334" s="200">
        <f t="shared" si="6750"/>
        <v>0</v>
      </c>
      <c r="W1334" s="200">
        <f t="shared" si="6750"/>
        <v>0</v>
      </c>
      <c r="X1334" s="200">
        <f t="shared" si="6750"/>
        <v>0</v>
      </c>
      <c r="Y1334" s="200">
        <f t="shared" si="6750"/>
        <v>0</v>
      </c>
      <c r="Z1334" s="200">
        <f t="shared" si="6750"/>
        <v>0</v>
      </c>
      <c r="AA1334" s="200">
        <f t="shared" si="6750"/>
        <v>0</v>
      </c>
      <c r="AB1334" s="200">
        <f t="shared" si="6750"/>
        <v>0</v>
      </c>
      <c r="AC1334" s="200">
        <f t="shared" si="6750"/>
        <v>0</v>
      </c>
      <c r="AD1334" s="200">
        <f t="shared" si="11"/>
        <v>0</v>
      </c>
      <c r="AE1334" s="200">
        <f t="shared" ref="AE1334:AG1334" si="6751">countif($D1334,"*"&amp;AE$2&amp;"*")</f>
        <v>0</v>
      </c>
      <c r="AF1334" s="200">
        <f t="shared" si="6751"/>
        <v>0</v>
      </c>
      <c r="AG1334" s="200">
        <f t="shared" si="6751"/>
        <v>0</v>
      </c>
      <c r="AH1334" s="171">
        <f t="shared" si="13"/>
        <v>0</v>
      </c>
      <c r="AI1334" s="200">
        <f t="shared" si="14"/>
        <v>1</v>
      </c>
      <c r="AJ1334" s="200">
        <f t="shared" si="6100"/>
        <v>0</v>
      </c>
      <c r="AK1334" s="201">
        <f t="shared" ref="AK1334:AS1334" si="6752">countif($D1334,"*"&amp;AK$2&amp;"*")</f>
        <v>0</v>
      </c>
      <c r="AL1334" s="201">
        <f t="shared" si="6752"/>
        <v>0</v>
      </c>
      <c r="AM1334" s="201">
        <f t="shared" si="6752"/>
        <v>0</v>
      </c>
      <c r="AN1334" s="201">
        <f t="shared" si="6752"/>
        <v>0</v>
      </c>
      <c r="AO1334" s="201">
        <f t="shared" si="6752"/>
        <v>0</v>
      </c>
      <c r="AP1334" s="201">
        <f t="shared" si="6752"/>
        <v>0</v>
      </c>
      <c r="AQ1334" s="201">
        <f t="shared" si="6752"/>
        <v>0</v>
      </c>
      <c r="AR1334" s="200">
        <f t="shared" si="6752"/>
        <v>0</v>
      </c>
      <c r="AS1334" s="200">
        <f t="shared" si="6752"/>
        <v>0</v>
      </c>
      <c r="AT1334" s="173">
        <v>0.0</v>
      </c>
      <c r="AU1334" s="200">
        <f t="shared" si="6217"/>
        <v>0</v>
      </c>
      <c r="AV1334" s="200">
        <f t="shared" ref="AV1334:AX1334" si="6753">countif($D1334,"*"&amp;AV$2&amp;"*")</f>
        <v>0</v>
      </c>
      <c r="AW1334" s="200">
        <f t="shared" si="6753"/>
        <v>0</v>
      </c>
      <c r="AX1334" s="200">
        <f t="shared" si="6753"/>
        <v>0</v>
      </c>
      <c r="AY1334" s="204">
        <v>1.0</v>
      </c>
      <c r="AZ1334" s="200"/>
      <c r="BA1334" s="171" t="str">
        <f t="shared" si="18"/>
        <v>Archival</v>
      </c>
      <c r="BB1334" s="171" t="str">
        <f t="shared" si="19"/>
        <v/>
      </c>
      <c r="BC1334" s="171" t="str">
        <f t="shared" si="20"/>
        <v/>
      </c>
      <c r="BD1334" s="171" t="str">
        <f t="shared" si="21"/>
        <v/>
      </c>
      <c r="BE1334" s="171" t="str">
        <f t="shared" si="22"/>
        <v/>
      </c>
      <c r="BF1334" s="171" t="str">
        <f t="shared" si="23"/>
        <v>Archival</v>
      </c>
    </row>
    <row r="1335">
      <c r="A1335" s="171">
        <f t="array" ref="A1335">XLOOKUP(C1335,FSE!A:A,FSE!C:C,"XXXXX",0,1)</f>
        <v>2023</v>
      </c>
      <c r="B1335" s="213" t="s">
        <v>5676</v>
      </c>
      <c r="C1335" s="214">
        <v>86.0</v>
      </c>
      <c r="D1335" s="215" t="s">
        <v>5539</v>
      </c>
      <c r="E1335" s="197" t="str">
        <f t="array" ref="E1335">XLOOKUP(C1335,FSE!A:A,FSE!Z:Z,"XXXXX",0,1)</f>
        <v>Publicly Available (1)</v>
      </c>
      <c r="F1335" s="213" t="s">
        <v>3394</v>
      </c>
      <c r="G1335" s="163" t="str">
        <f t="array" ref="G1335">IF(B1335="ICSE",IF(COUNTIFS(B:B,B1335,C:C,C1335)=XLOOKUP(C1335,ICSE!A:A,ICSE!AA:AA,"ERROR",0,1),"OK","ERROR"),IF(B1335="FSE",IF(COUNTIFS(B:B,B1335,C:C,C1335)=XLOOKUP(C1335,FSE!A:A,FSE!AA:AA,"ERROR",0,1),"OK","ERROR")))</f>
        <v>OK</v>
      </c>
      <c r="H1335" s="199">
        <f t="shared" ref="H1335:O1335" si="6754">countif($D1335,"*"&amp;H$2&amp;"*")</f>
        <v>0</v>
      </c>
      <c r="I1335" s="200">
        <f t="shared" si="6754"/>
        <v>0</v>
      </c>
      <c r="J1335" s="200">
        <f t="shared" si="6754"/>
        <v>0</v>
      </c>
      <c r="K1335" s="200">
        <f t="shared" si="6754"/>
        <v>0</v>
      </c>
      <c r="L1335" s="200">
        <f t="shared" si="6754"/>
        <v>0</v>
      </c>
      <c r="M1335" s="200">
        <f t="shared" si="6754"/>
        <v>0</v>
      </c>
      <c r="N1335" s="200">
        <f t="shared" si="6754"/>
        <v>0</v>
      </c>
      <c r="O1335" s="200">
        <f t="shared" si="6754"/>
        <v>0</v>
      </c>
      <c r="P1335" s="200">
        <f t="shared" si="9"/>
        <v>1</v>
      </c>
      <c r="Q1335" s="200">
        <f t="shared" ref="Q1335:AC1335" si="6755">countif($D1335,"*"&amp;Q$2&amp;"*")</f>
        <v>0</v>
      </c>
      <c r="R1335" s="200">
        <f t="shared" si="6755"/>
        <v>0</v>
      </c>
      <c r="S1335" s="200">
        <f t="shared" si="6755"/>
        <v>0</v>
      </c>
      <c r="T1335" s="200">
        <f t="shared" si="6755"/>
        <v>0</v>
      </c>
      <c r="U1335" s="200">
        <f t="shared" si="6755"/>
        <v>0</v>
      </c>
      <c r="V1335" s="200">
        <f t="shared" si="6755"/>
        <v>0</v>
      </c>
      <c r="W1335" s="200">
        <f t="shared" si="6755"/>
        <v>0</v>
      </c>
      <c r="X1335" s="200">
        <f t="shared" si="6755"/>
        <v>0</v>
      </c>
      <c r="Y1335" s="200">
        <f t="shared" si="6755"/>
        <v>0</v>
      </c>
      <c r="Z1335" s="200">
        <f t="shared" si="6755"/>
        <v>0</v>
      </c>
      <c r="AA1335" s="200">
        <f t="shared" si="6755"/>
        <v>0</v>
      </c>
      <c r="AB1335" s="200">
        <f t="shared" si="6755"/>
        <v>0</v>
      </c>
      <c r="AC1335" s="200">
        <f t="shared" si="6755"/>
        <v>0</v>
      </c>
      <c r="AD1335" s="200">
        <f t="shared" si="11"/>
        <v>0</v>
      </c>
      <c r="AE1335" s="200">
        <f t="shared" ref="AE1335:AG1335" si="6756">countif($D1335,"*"&amp;AE$2&amp;"*")</f>
        <v>0</v>
      </c>
      <c r="AF1335" s="200">
        <f t="shared" si="6756"/>
        <v>0</v>
      </c>
      <c r="AG1335" s="200">
        <f t="shared" si="6756"/>
        <v>0</v>
      </c>
      <c r="AH1335" s="171">
        <f t="shared" si="13"/>
        <v>0</v>
      </c>
      <c r="AI1335" s="200">
        <f t="shared" si="14"/>
        <v>0</v>
      </c>
      <c r="AJ1335" s="200">
        <f t="shared" si="6100"/>
        <v>0</v>
      </c>
      <c r="AK1335" s="201">
        <f t="shared" ref="AK1335:AS1335" si="6757">countif($D1335,"*"&amp;AK$2&amp;"*")</f>
        <v>0</v>
      </c>
      <c r="AL1335" s="201">
        <f t="shared" si="6757"/>
        <v>0</v>
      </c>
      <c r="AM1335" s="201">
        <f t="shared" si="6757"/>
        <v>0</v>
      </c>
      <c r="AN1335" s="201">
        <f t="shared" si="6757"/>
        <v>0</v>
      </c>
      <c r="AO1335" s="201">
        <f t="shared" si="6757"/>
        <v>0</v>
      </c>
      <c r="AP1335" s="201">
        <f t="shared" si="6757"/>
        <v>0</v>
      </c>
      <c r="AQ1335" s="201">
        <f t="shared" si="6757"/>
        <v>0</v>
      </c>
      <c r="AR1335" s="200">
        <f t="shared" si="6757"/>
        <v>0</v>
      </c>
      <c r="AS1335" s="200">
        <f t="shared" si="6757"/>
        <v>0</v>
      </c>
      <c r="AT1335" s="173">
        <v>0.0</v>
      </c>
      <c r="AU1335" s="200">
        <f t="shared" si="6217"/>
        <v>0</v>
      </c>
      <c r="AV1335" s="200">
        <f t="shared" ref="AV1335:AX1335" si="6758">countif($D1335,"*"&amp;AV$2&amp;"*")</f>
        <v>1</v>
      </c>
      <c r="AW1335" s="200">
        <f t="shared" si="6758"/>
        <v>0</v>
      </c>
      <c r="AX1335" s="200">
        <f t="shared" si="6758"/>
        <v>0</v>
      </c>
      <c r="AY1335" s="202">
        <v>0.0</v>
      </c>
      <c r="AZ1335" s="200"/>
      <c r="BA1335" s="171" t="str">
        <f t="shared" si="18"/>
        <v/>
      </c>
      <c r="BB1335" s="171" t="str">
        <f t="shared" si="19"/>
        <v>Code</v>
      </c>
      <c r="BC1335" s="171" t="str">
        <f t="shared" si="20"/>
        <v/>
      </c>
      <c r="BD1335" s="171" t="str">
        <f t="shared" si="21"/>
        <v/>
      </c>
      <c r="BE1335" s="171" t="str">
        <f t="shared" si="22"/>
        <v/>
      </c>
      <c r="BF1335" s="171" t="str">
        <f t="shared" si="23"/>
        <v>Code</v>
      </c>
    </row>
    <row r="1336">
      <c r="A1336" s="171">
        <f t="array" ref="A1336">XLOOKUP(C1336,FSE!A:A,FSE!C:C,"XXXXX",0,1)</f>
        <v>2023</v>
      </c>
      <c r="B1336" s="213" t="s">
        <v>5676</v>
      </c>
      <c r="C1336" s="214">
        <v>87.0</v>
      </c>
      <c r="D1336" s="215" t="s">
        <v>5542</v>
      </c>
      <c r="E1336" s="197" t="str">
        <f t="array" ref="E1336">XLOOKUP(C1336,FSE!A:A,FSE!Z:Z,"XXXXX",0,1)</f>
        <v>Publicly Available (1)</v>
      </c>
      <c r="F1336" s="213" t="s">
        <v>3394</v>
      </c>
      <c r="G1336" s="163" t="str">
        <f t="array" ref="G1336">IF(B1336="ICSE",IF(COUNTIFS(B:B,B1336,C:C,C1336)=XLOOKUP(C1336,ICSE!A:A,ICSE!AA:AA,"ERROR",0,1),"OK","ERROR"),IF(B1336="FSE",IF(COUNTIFS(B:B,B1336,C:C,C1336)=XLOOKUP(C1336,FSE!A:A,FSE!AA:AA,"ERROR",0,1),"OK","ERROR")))</f>
        <v>OK</v>
      </c>
      <c r="H1336" s="199">
        <f t="shared" ref="H1336:O1336" si="6759">countif($D1336,"*"&amp;H$2&amp;"*")</f>
        <v>0</v>
      </c>
      <c r="I1336" s="200">
        <f t="shared" si="6759"/>
        <v>0</v>
      </c>
      <c r="J1336" s="200">
        <f t="shared" si="6759"/>
        <v>0</v>
      </c>
      <c r="K1336" s="200">
        <f t="shared" si="6759"/>
        <v>0</v>
      </c>
      <c r="L1336" s="200">
        <f t="shared" si="6759"/>
        <v>0</v>
      </c>
      <c r="M1336" s="200">
        <f t="shared" si="6759"/>
        <v>0</v>
      </c>
      <c r="N1336" s="200">
        <f t="shared" si="6759"/>
        <v>0</v>
      </c>
      <c r="O1336" s="200">
        <f t="shared" si="6759"/>
        <v>0</v>
      </c>
      <c r="P1336" s="200">
        <f t="shared" si="9"/>
        <v>1</v>
      </c>
      <c r="Q1336" s="200">
        <f t="shared" ref="Q1336:AC1336" si="6760">countif($D1336,"*"&amp;Q$2&amp;"*")</f>
        <v>0</v>
      </c>
      <c r="R1336" s="200">
        <f t="shared" si="6760"/>
        <v>0</v>
      </c>
      <c r="S1336" s="200">
        <f t="shared" si="6760"/>
        <v>0</v>
      </c>
      <c r="T1336" s="200">
        <f t="shared" si="6760"/>
        <v>0</v>
      </c>
      <c r="U1336" s="200">
        <f t="shared" si="6760"/>
        <v>0</v>
      </c>
      <c r="V1336" s="200">
        <f t="shared" si="6760"/>
        <v>0</v>
      </c>
      <c r="W1336" s="200">
        <f t="shared" si="6760"/>
        <v>0</v>
      </c>
      <c r="X1336" s="200">
        <f t="shared" si="6760"/>
        <v>0</v>
      </c>
      <c r="Y1336" s="200">
        <f t="shared" si="6760"/>
        <v>0</v>
      </c>
      <c r="Z1336" s="200">
        <f t="shared" si="6760"/>
        <v>0</v>
      </c>
      <c r="AA1336" s="200">
        <f t="shared" si="6760"/>
        <v>0</v>
      </c>
      <c r="AB1336" s="200">
        <f t="shared" si="6760"/>
        <v>0</v>
      </c>
      <c r="AC1336" s="200">
        <f t="shared" si="6760"/>
        <v>0</v>
      </c>
      <c r="AD1336" s="200">
        <f t="shared" si="11"/>
        <v>0</v>
      </c>
      <c r="AE1336" s="200">
        <f t="shared" ref="AE1336:AG1336" si="6761">countif($D1336,"*"&amp;AE$2&amp;"*")</f>
        <v>0</v>
      </c>
      <c r="AF1336" s="200">
        <f t="shared" si="6761"/>
        <v>0</v>
      </c>
      <c r="AG1336" s="200">
        <f t="shared" si="6761"/>
        <v>0</v>
      </c>
      <c r="AH1336" s="171">
        <f t="shared" si="13"/>
        <v>0</v>
      </c>
      <c r="AI1336" s="200">
        <f t="shared" si="14"/>
        <v>0</v>
      </c>
      <c r="AJ1336" s="200">
        <f t="shared" si="6100"/>
        <v>0</v>
      </c>
      <c r="AK1336" s="201">
        <f t="shared" ref="AK1336:AS1336" si="6762">countif($D1336,"*"&amp;AK$2&amp;"*")</f>
        <v>0</v>
      </c>
      <c r="AL1336" s="201">
        <f t="shared" si="6762"/>
        <v>0</v>
      </c>
      <c r="AM1336" s="201">
        <f t="shared" si="6762"/>
        <v>0</v>
      </c>
      <c r="AN1336" s="201">
        <f t="shared" si="6762"/>
        <v>0</v>
      </c>
      <c r="AO1336" s="201">
        <f t="shared" si="6762"/>
        <v>0</v>
      </c>
      <c r="AP1336" s="201">
        <f t="shared" si="6762"/>
        <v>0</v>
      </c>
      <c r="AQ1336" s="201">
        <f t="shared" si="6762"/>
        <v>0</v>
      </c>
      <c r="AR1336" s="200">
        <f t="shared" si="6762"/>
        <v>0</v>
      </c>
      <c r="AS1336" s="200">
        <f t="shared" si="6762"/>
        <v>0</v>
      </c>
      <c r="AT1336" s="173">
        <v>0.0</v>
      </c>
      <c r="AU1336" s="200">
        <f t="shared" si="6217"/>
        <v>0</v>
      </c>
      <c r="AV1336" s="200">
        <f t="shared" ref="AV1336:AX1336" si="6763">countif($D1336,"*"&amp;AV$2&amp;"*")</f>
        <v>1</v>
      </c>
      <c r="AW1336" s="200">
        <f t="shared" si="6763"/>
        <v>0</v>
      </c>
      <c r="AX1336" s="200">
        <f t="shared" si="6763"/>
        <v>0</v>
      </c>
      <c r="AY1336" s="202">
        <v>0.0</v>
      </c>
      <c r="AZ1336" s="200"/>
      <c r="BA1336" s="171" t="str">
        <f t="shared" si="18"/>
        <v/>
      </c>
      <c r="BB1336" s="171" t="str">
        <f t="shared" si="19"/>
        <v>Code</v>
      </c>
      <c r="BC1336" s="171" t="str">
        <f t="shared" si="20"/>
        <v/>
      </c>
      <c r="BD1336" s="171" t="str">
        <f t="shared" si="21"/>
        <v/>
      </c>
      <c r="BE1336" s="171" t="str">
        <f t="shared" si="22"/>
        <v/>
      </c>
      <c r="BF1336" s="171" t="str">
        <f t="shared" si="23"/>
        <v>Code</v>
      </c>
    </row>
    <row r="1337">
      <c r="A1337" s="171">
        <f t="array" ref="A1337">XLOOKUP(C1337,FSE!A:A,FSE!C:C,"XXXXX",0,1)</f>
        <v>2023</v>
      </c>
      <c r="B1337" s="213" t="s">
        <v>5676</v>
      </c>
      <c r="C1337" s="214">
        <v>88.0</v>
      </c>
      <c r="D1337" s="215" t="s">
        <v>6214</v>
      </c>
      <c r="E1337" s="197" t="str">
        <f t="array" ref="E1337">XLOOKUP(C1337,FSE!A:A,FSE!Z:Z,"XXXXX",0,1)</f>
        <v>Not Available (1)
Publicly Available (3)</v>
      </c>
      <c r="F1337" s="213" t="s">
        <v>3395</v>
      </c>
      <c r="G1337" s="163" t="str">
        <f t="array" ref="G1337">IF(B1337="ICSE",IF(COUNTIFS(B:B,B1337,C:C,C1337)=XLOOKUP(C1337,ICSE!A:A,ICSE!AA:AA,"ERROR",0,1),"OK","ERROR"),IF(B1337="FSE",IF(COUNTIFS(B:B,B1337,C:C,C1337)=XLOOKUP(C1337,FSE!A:A,FSE!AA:AA,"ERROR",0,1),"OK","ERROR")))</f>
        <v>OK</v>
      </c>
      <c r="H1337" s="199">
        <f t="shared" ref="H1337:O1337" si="6764">countif($D1337,"*"&amp;H$2&amp;"*")</f>
        <v>0</v>
      </c>
      <c r="I1337" s="200">
        <f t="shared" si="6764"/>
        <v>0</v>
      </c>
      <c r="J1337" s="200">
        <f t="shared" si="6764"/>
        <v>0</v>
      </c>
      <c r="K1337" s="200">
        <f t="shared" si="6764"/>
        <v>0</v>
      </c>
      <c r="L1337" s="200">
        <f t="shared" si="6764"/>
        <v>0</v>
      </c>
      <c r="M1337" s="200">
        <f t="shared" si="6764"/>
        <v>0</v>
      </c>
      <c r="N1337" s="200">
        <f t="shared" si="6764"/>
        <v>0</v>
      </c>
      <c r="O1337" s="200">
        <f t="shared" si="6764"/>
        <v>0</v>
      </c>
      <c r="P1337" s="200">
        <f t="shared" si="9"/>
        <v>0</v>
      </c>
      <c r="Q1337" s="200">
        <f t="shared" ref="Q1337:AC1337" si="6765">countif($D1337,"*"&amp;Q$2&amp;"*")</f>
        <v>0</v>
      </c>
      <c r="R1337" s="200">
        <f t="shared" si="6765"/>
        <v>0</v>
      </c>
      <c r="S1337" s="200">
        <f t="shared" si="6765"/>
        <v>0</v>
      </c>
      <c r="T1337" s="200">
        <f t="shared" si="6765"/>
        <v>0</v>
      </c>
      <c r="U1337" s="200">
        <f t="shared" si="6765"/>
        <v>0</v>
      </c>
      <c r="V1337" s="200">
        <f t="shared" si="6765"/>
        <v>0</v>
      </c>
      <c r="W1337" s="200">
        <f t="shared" si="6765"/>
        <v>0</v>
      </c>
      <c r="X1337" s="200">
        <f t="shared" si="6765"/>
        <v>0</v>
      </c>
      <c r="Y1337" s="200">
        <f t="shared" si="6765"/>
        <v>0</v>
      </c>
      <c r="Z1337" s="200">
        <f t="shared" si="6765"/>
        <v>0</v>
      </c>
      <c r="AA1337" s="200">
        <f t="shared" si="6765"/>
        <v>0</v>
      </c>
      <c r="AB1337" s="200">
        <f t="shared" si="6765"/>
        <v>0</v>
      </c>
      <c r="AC1337" s="200">
        <f t="shared" si="6765"/>
        <v>0</v>
      </c>
      <c r="AD1337" s="200">
        <f t="shared" si="11"/>
        <v>0</v>
      </c>
      <c r="AE1337" s="200">
        <f t="shared" ref="AE1337:AG1337" si="6766">countif($D1337,"*"&amp;AE$2&amp;"*")</f>
        <v>0</v>
      </c>
      <c r="AF1337" s="200">
        <f t="shared" si="6766"/>
        <v>0</v>
      </c>
      <c r="AG1337" s="200">
        <f t="shared" si="6766"/>
        <v>0</v>
      </c>
      <c r="AH1337" s="171">
        <f t="shared" si="13"/>
        <v>1</v>
      </c>
      <c r="AI1337" s="200">
        <f t="shared" si="14"/>
        <v>0</v>
      </c>
      <c r="AJ1337" s="200">
        <f t="shared" si="6100"/>
        <v>0</v>
      </c>
      <c r="AK1337" s="201">
        <f t="shared" ref="AK1337:AS1337" si="6767">countif($D1337,"*"&amp;AK$2&amp;"*")</f>
        <v>0</v>
      </c>
      <c r="AL1337" s="201">
        <f t="shared" si="6767"/>
        <v>0</v>
      </c>
      <c r="AM1337" s="201">
        <f t="shared" si="6767"/>
        <v>0</v>
      </c>
      <c r="AN1337" s="201">
        <f t="shared" si="6767"/>
        <v>0</v>
      </c>
      <c r="AO1337" s="201">
        <f t="shared" si="6767"/>
        <v>0</v>
      </c>
      <c r="AP1337" s="201">
        <f t="shared" si="6767"/>
        <v>0</v>
      </c>
      <c r="AQ1337" s="201">
        <f t="shared" si="6767"/>
        <v>0</v>
      </c>
      <c r="AR1337" s="200">
        <f t="shared" si="6767"/>
        <v>0</v>
      </c>
      <c r="AS1337" s="200">
        <f t="shared" si="6767"/>
        <v>0</v>
      </c>
      <c r="AT1337" s="173">
        <v>0.0</v>
      </c>
      <c r="AU1337" s="200">
        <f t="shared" si="6217"/>
        <v>0</v>
      </c>
      <c r="AV1337" s="200">
        <f t="shared" ref="AV1337:AX1337" si="6768">countif($D1337,"*"&amp;AV$2&amp;"*")</f>
        <v>0</v>
      </c>
      <c r="AW1337" s="200">
        <f t="shared" si="6768"/>
        <v>0</v>
      </c>
      <c r="AX1337" s="200">
        <f t="shared" si="6768"/>
        <v>0</v>
      </c>
      <c r="AY1337" s="202">
        <v>0.0</v>
      </c>
      <c r="AZ1337" s="200"/>
      <c r="BA1337" s="171" t="str">
        <f t="shared" si="18"/>
        <v/>
      </c>
      <c r="BB1337" s="171" t="str">
        <f t="shared" si="19"/>
        <v/>
      </c>
      <c r="BC1337" s="171" t="str">
        <f t="shared" si="20"/>
        <v/>
      </c>
      <c r="BD1337" s="171" t="str">
        <f t="shared" si="21"/>
        <v/>
      </c>
      <c r="BE1337" s="171" t="str">
        <f t="shared" si="22"/>
        <v>Others</v>
      </c>
      <c r="BF1337" s="171" t="str">
        <f t="shared" si="23"/>
        <v>Others</v>
      </c>
    </row>
    <row r="1338">
      <c r="A1338" s="171">
        <f t="array" ref="A1338">XLOOKUP(C1338,FSE!A:A,FSE!C:C,"XXXXX",0,1)</f>
        <v>2023</v>
      </c>
      <c r="B1338" s="213" t="s">
        <v>5676</v>
      </c>
      <c r="C1338" s="214">
        <v>88.0</v>
      </c>
      <c r="D1338" s="215" t="s">
        <v>6215</v>
      </c>
      <c r="E1338" s="197" t="str">
        <f t="array" ref="E1338">XLOOKUP(C1338,FSE!A:A,FSE!Z:Z,"XXXXX",0,1)</f>
        <v>Not Available (1)
Publicly Available (3)</v>
      </c>
      <c r="F1338" s="213" t="s">
        <v>3394</v>
      </c>
      <c r="G1338" s="163" t="str">
        <f t="array" ref="G1338">IF(B1338="ICSE",IF(COUNTIFS(B:B,B1338,C:C,C1338)=XLOOKUP(C1338,ICSE!A:A,ICSE!AA:AA,"ERROR",0,1),"OK","ERROR"),IF(B1338="FSE",IF(COUNTIFS(B:B,B1338,C:C,C1338)=XLOOKUP(C1338,FSE!A:A,FSE!AA:AA,"ERROR",0,1),"OK","ERROR")))</f>
        <v>OK</v>
      </c>
      <c r="H1338" s="199">
        <f t="shared" ref="H1338:O1338" si="6769">countif($D1338,"*"&amp;H$2&amp;"*")</f>
        <v>0</v>
      </c>
      <c r="I1338" s="200">
        <f t="shared" si="6769"/>
        <v>0</v>
      </c>
      <c r="J1338" s="200">
        <f t="shared" si="6769"/>
        <v>0</v>
      </c>
      <c r="K1338" s="200">
        <f t="shared" si="6769"/>
        <v>0</v>
      </c>
      <c r="L1338" s="200">
        <f t="shared" si="6769"/>
        <v>0</v>
      </c>
      <c r="M1338" s="200">
        <f t="shared" si="6769"/>
        <v>0</v>
      </c>
      <c r="N1338" s="200">
        <f t="shared" si="6769"/>
        <v>0</v>
      </c>
      <c r="O1338" s="200">
        <f t="shared" si="6769"/>
        <v>0</v>
      </c>
      <c r="P1338" s="200">
        <f t="shared" si="9"/>
        <v>1</v>
      </c>
      <c r="Q1338" s="200">
        <f t="shared" ref="Q1338:AC1338" si="6770">countif($D1338,"*"&amp;Q$2&amp;"*")</f>
        <v>0</v>
      </c>
      <c r="R1338" s="200">
        <f t="shared" si="6770"/>
        <v>0</v>
      </c>
      <c r="S1338" s="200">
        <f t="shared" si="6770"/>
        <v>0</v>
      </c>
      <c r="T1338" s="200">
        <f t="shared" si="6770"/>
        <v>0</v>
      </c>
      <c r="U1338" s="200">
        <f t="shared" si="6770"/>
        <v>0</v>
      </c>
      <c r="V1338" s="200">
        <f t="shared" si="6770"/>
        <v>0</v>
      </c>
      <c r="W1338" s="200">
        <f t="shared" si="6770"/>
        <v>0</v>
      </c>
      <c r="X1338" s="200">
        <f t="shared" si="6770"/>
        <v>0</v>
      </c>
      <c r="Y1338" s="200">
        <f t="shared" si="6770"/>
        <v>0</v>
      </c>
      <c r="Z1338" s="200">
        <f t="shared" si="6770"/>
        <v>0</v>
      </c>
      <c r="AA1338" s="200">
        <f t="shared" si="6770"/>
        <v>0</v>
      </c>
      <c r="AB1338" s="200">
        <f t="shared" si="6770"/>
        <v>0</v>
      </c>
      <c r="AC1338" s="200">
        <f t="shared" si="6770"/>
        <v>0</v>
      </c>
      <c r="AD1338" s="200">
        <f t="shared" si="11"/>
        <v>0</v>
      </c>
      <c r="AE1338" s="200">
        <f t="shared" ref="AE1338:AG1338" si="6771">countif($D1338,"*"&amp;AE$2&amp;"*")</f>
        <v>0</v>
      </c>
      <c r="AF1338" s="200">
        <f t="shared" si="6771"/>
        <v>0</v>
      </c>
      <c r="AG1338" s="200">
        <f t="shared" si="6771"/>
        <v>0</v>
      </c>
      <c r="AH1338" s="171">
        <f t="shared" si="13"/>
        <v>0</v>
      </c>
      <c r="AI1338" s="200">
        <f t="shared" si="14"/>
        <v>0</v>
      </c>
      <c r="AJ1338" s="200">
        <f t="shared" si="6100"/>
        <v>0</v>
      </c>
      <c r="AK1338" s="201">
        <f t="shared" ref="AK1338:AS1338" si="6772">countif($D1338,"*"&amp;AK$2&amp;"*")</f>
        <v>0</v>
      </c>
      <c r="AL1338" s="201">
        <f t="shared" si="6772"/>
        <v>0</v>
      </c>
      <c r="AM1338" s="201">
        <f t="shared" si="6772"/>
        <v>0</v>
      </c>
      <c r="AN1338" s="201">
        <f t="shared" si="6772"/>
        <v>0</v>
      </c>
      <c r="AO1338" s="201">
        <f t="shared" si="6772"/>
        <v>0</v>
      </c>
      <c r="AP1338" s="201">
        <f t="shared" si="6772"/>
        <v>0</v>
      </c>
      <c r="AQ1338" s="201">
        <f t="shared" si="6772"/>
        <v>0</v>
      </c>
      <c r="AR1338" s="200">
        <f t="shared" si="6772"/>
        <v>0</v>
      </c>
      <c r="AS1338" s="200">
        <f t="shared" si="6772"/>
        <v>0</v>
      </c>
      <c r="AT1338" s="173">
        <v>0.0</v>
      </c>
      <c r="AU1338" s="200">
        <f t="shared" si="6217"/>
        <v>0</v>
      </c>
      <c r="AV1338" s="200">
        <f t="shared" ref="AV1338:AX1338" si="6773">countif($D1338,"*"&amp;AV$2&amp;"*")</f>
        <v>1</v>
      </c>
      <c r="AW1338" s="200">
        <f t="shared" si="6773"/>
        <v>0</v>
      </c>
      <c r="AX1338" s="200">
        <f t="shared" si="6773"/>
        <v>0</v>
      </c>
      <c r="AY1338" s="202">
        <v>0.0</v>
      </c>
      <c r="AZ1338" s="200"/>
      <c r="BA1338" s="171" t="str">
        <f t="shared" si="18"/>
        <v/>
      </c>
      <c r="BB1338" s="171" t="str">
        <f t="shared" si="19"/>
        <v>Code</v>
      </c>
      <c r="BC1338" s="171" t="str">
        <f t="shared" si="20"/>
        <v/>
      </c>
      <c r="BD1338" s="171" t="str">
        <f t="shared" si="21"/>
        <v/>
      </c>
      <c r="BE1338" s="171" t="str">
        <f t="shared" si="22"/>
        <v/>
      </c>
      <c r="BF1338" s="171" t="str">
        <f t="shared" si="23"/>
        <v>Code</v>
      </c>
    </row>
    <row r="1339">
      <c r="A1339" s="171">
        <f t="array" ref="A1339">XLOOKUP(C1339,FSE!A:A,FSE!C:C,"XXXXX",0,1)</f>
        <v>2023</v>
      </c>
      <c r="B1339" s="213" t="s">
        <v>5676</v>
      </c>
      <c r="C1339" s="214">
        <v>88.0</v>
      </c>
      <c r="D1339" s="215" t="s">
        <v>6216</v>
      </c>
      <c r="E1339" s="197" t="str">
        <f t="array" ref="E1339">XLOOKUP(C1339,FSE!A:A,FSE!Z:Z,"XXXXX",0,1)</f>
        <v>Not Available (1)
Publicly Available (3)</v>
      </c>
      <c r="F1339" s="213" t="s">
        <v>3394</v>
      </c>
      <c r="G1339" s="163" t="str">
        <f t="array" ref="G1339">IF(B1339="ICSE",IF(COUNTIFS(B:B,B1339,C:C,C1339)=XLOOKUP(C1339,ICSE!A:A,ICSE!AA:AA,"ERROR",0,1),"OK","ERROR"),IF(B1339="FSE",IF(COUNTIFS(B:B,B1339,C:C,C1339)=XLOOKUP(C1339,FSE!A:A,FSE!AA:AA,"ERROR",0,1),"OK","ERROR")))</f>
        <v>OK</v>
      </c>
      <c r="H1339" s="199">
        <f t="shared" ref="H1339:O1339" si="6774">countif($D1339,"*"&amp;H$2&amp;"*")</f>
        <v>0</v>
      </c>
      <c r="I1339" s="200">
        <f t="shared" si="6774"/>
        <v>0</v>
      </c>
      <c r="J1339" s="200">
        <f t="shared" si="6774"/>
        <v>0</v>
      </c>
      <c r="K1339" s="200">
        <f t="shared" si="6774"/>
        <v>0</v>
      </c>
      <c r="L1339" s="200">
        <f t="shared" si="6774"/>
        <v>0</v>
      </c>
      <c r="M1339" s="200">
        <f t="shared" si="6774"/>
        <v>0</v>
      </c>
      <c r="N1339" s="200">
        <f t="shared" si="6774"/>
        <v>0</v>
      </c>
      <c r="O1339" s="200">
        <f t="shared" si="6774"/>
        <v>0</v>
      </c>
      <c r="P1339" s="200">
        <f t="shared" si="9"/>
        <v>1</v>
      </c>
      <c r="Q1339" s="200">
        <f t="shared" ref="Q1339:AC1339" si="6775">countif($D1339,"*"&amp;Q$2&amp;"*")</f>
        <v>0</v>
      </c>
      <c r="R1339" s="200">
        <f t="shared" si="6775"/>
        <v>0</v>
      </c>
      <c r="S1339" s="200">
        <f t="shared" si="6775"/>
        <v>0</v>
      </c>
      <c r="T1339" s="200">
        <f t="shared" si="6775"/>
        <v>0</v>
      </c>
      <c r="U1339" s="200">
        <f t="shared" si="6775"/>
        <v>0</v>
      </c>
      <c r="V1339" s="200">
        <f t="shared" si="6775"/>
        <v>0</v>
      </c>
      <c r="W1339" s="200">
        <f t="shared" si="6775"/>
        <v>0</v>
      </c>
      <c r="X1339" s="200">
        <f t="shared" si="6775"/>
        <v>0</v>
      </c>
      <c r="Y1339" s="200">
        <f t="shared" si="6775"/>
        <v>0</v>
      </c>
      <c r="Z1339" s="200">
        <f t="shared" si="6775"/>
        <v>0</v>
      </c>
      <c r="AA1339" s="200">
        <f t="shared" si="6775"/>
        <v>0</v>
      </c>
      <c r="AB1339" s="200">
        <f t="shared" si="6775"/>
        <v>0</v>
      </c>
      <c r="AC1339" s="200">
        <f t="shared" si="6775"/>
        <v>0</v>
      </c>
      <c r="AD1339" s="200">
        <f t="shared" si="11"/>
        <v>0</v>
      </c>
      <c r="AE1339" s="200">
        <f t="shared" ref="AE1339:AG1339" si="6776">countif($D1339,"*"&amp;AE$2&amp;"*")</f>
        <v>0</v>
      </c>
      <c r="AF1339" s="200">
        <f t="shared" si="6776"/>
        <v>0</v>
      </c>
      <c r="AG1339" s="200">
        <f t="shared" si="6776"/>
        <v>0</v>
      </c>
      <c r="AH1339" s="171">
        <f t="shared" si="13"/>
        <v>0</v>
      </c>
      <c r="AI1339" s="200">
        <f t="shared" si="14"/>
        <v>0</v>
      </c>
      <c r="AJ1339" s="200">
        <f t="shared" si="6100"/>
        <v>0</v>
      </c>
      <c r="AK1339" s="201">
        <f t="shared" ref="AK1339:AS1339" si="6777">countif($D1339,"*"&amp;AK$2&amp;"*")</f>
        <v>0</v>
      </c>
      <c r="AL1339" s="201">
        <f t="shared" si="6777"/>
        <v>0</v>
      </c>
      <c r="AM1339" s="201">
        <f t="shared" si="6777"/>
        <v>0</v>
      </c>
      <c r="AN1339" s="201">
        <f t="shared" si="6777"/>
        <v>0</v>
      </c>
      <c r="AO1339" s="201">
        <f t="shared" si="6777"/>
        <v>0</v>
      </c>
      <c r="AP1339" s="201">
        <f t="shared" si="6777"/>
        <v>0</v>
      </c>
      <c r="AQ1339" s="201">
        <f t="shared" si="6777"/>
        <v>0</v>
      </c>
      <c r="AR1339" s="200">
        <f t="shared" si="6777"/>
        <v>0</v>
      </c>
      <c r="AS1339" s="200">
        <f t="shared" si="6777"/>
        <v>0</v>
      </c>
      <c r="AT1339" s="173">
        <v>0.0</v>
      </c>
      <c r="AU1339" s="200">
        <f t="shared" si="6217"/>
        <v>0</v>
      </c>
      <c r="AV1339" s="200">
        <f t="shared" ref="AV1339:AX1339" si="6778">countif($D1339,"*"&amp;AV$2&amp;"*")</f>
        <v>1</v>
      </c>
      <c r="AW1339" s="200">
        <f t="shared" si="6778"/>
        <v>0</v>
      </c>
      <c r="AX1339" s="200">
        <f t="shared" si="6778"/>
        <v>0</v>
      </c>
      <c r="AY1339" s="202">
        <v>0.0</v>
      </c>
      <c r="AZ1339" s="200"/>
      <c r="BA1339" s="171" t="str">
        <f t="shared" si="18"/>
        <v/>
      </c>
      <c r="BB1339" s="171" t="str">
        <f t="shared" si="19"/>
        <v>Code</v>
      </c>
      <c r="BC1339" s="171" t="str">
        <f t="shared" si="20"/>
        <v/>
      </c>
      <c r="BD1339" s="171" t="str">
        <f t="shared" si="21"/>
        <v/>
      </c>
      <c r="BE1339" s="171" t="str">
        <f t="shared" si="22"/>
        <v/>
      </c>
      <c r="BF1339" s="171" t="str">
        <f t="shared" si="23"/>
        <v>Code</v>
      </c>
    </row>
    <row r="1340">
      <c r="A1340" s="171">
        <f t="array" ref="A1340">XLOOKUP(C1340,FSE!A:A,FSE!C:C,"XXXXX",0,1)</f>
        <v>2023</v>
      </c>
      <c r="B1340" s="213" t="s">
        <v>5676</v>
      </c>
      <c r="C1340" s="214">
        <v>88.0</v>
      </c>
      <c r="D1340" s="217" t="s">
        <v>6217</v>
      </c>
      <c r="E1340" s="197" t="str">
        <f t="array" ref="E1340">XLOOKUP(C1340,FSE!A:A,FSE!Z:Z,"XXXXX",0,1)</f>
        <v>Not Available (1)
Publicly Available (3)</v>
      </c>
      <c r="F1340" s="213" t="s">
        <v>3394</v>
      </c>
      <c r="G1340" s="163" t="str">
        <f t="array" ref="G1340">IF(B1340="ICSE",IF(COUNTIFS(B:B,B1340,C:C,C1340)=XLOOKUP(C1340,ICSE!A:A,ICSE!AA:AA,"ERROR",0,1),"OK","ERROR"),IF(B1340="FSE",IF(COUNTIFS(B:B,B1340,C:C,C1340)=XLOOKUP(C1340,FSE!A:A,FSE!AA:AA,"ERROR",0,1),"OK","ERROR")))</f>
        <v>OK</v>
      </c>
      <c r="H1340" s="199">
        <f t="shared" ref="H1340:O1340" si="6779">countif($D1340,"*"&amp;H$2&amp;"*")</f>
        <v>0</v>
      </c>
      <c r="I1340" s="200">
        <f t="shared" si="6779"/>
        <v>0</v>
      </c>
      <c r="J1340" s="200">
        <f t="shared" si="6779"/>
        <v>0</v>
      </c>
      <c r="K1340" s="200">
        <f t="shared" si="6779"/>
        <v>0</v>
      </c>
      <c r="L1340" s="200">
        <f t="shared" si="6779"/>
        <v>0</v>
      </c>
      <c r="M1340" s="200">
        <f t="shared" si="6779"/>
        <v>1</v>
      </c>
      <c r="N1340" s="200">
        <f t="shared" si="6779"/>
        <v>0</v>
      </c>
      <c r="O1340" s="200">
        <f t="shared" si="6779"/>
        <v>0</v>
      </c>
      <c r="P1340" s="200">
        <f t="shared" si="9"/>
        <v>0</v>
      </c>
      <c r="Q1340" s="200">
        <f t="shared" ref="Q1340:AC1340" si="6780">countif($D1340,"*"&amp;Q$2&amp;"*")</f>
        <v>0</v>
      </c>
      <c r="R1340" s="200">
        <f t="shared" si="6780"/>
        <v>0</v>
      </c>
      <c r="S1340" s="200">
        <f t="shared" si="6780"/>
        <v>0</v>
      </c>
      <c r="T1340" s="200">
        <f t="shared" si="6780"/>
        <v>0</v>
      </c>
      <c r="U1340" s="200">
        <f t="shared" si="6780"/>
        <v>0</v>
      </c>
      <c r="V1340" s="200">
        <f t="shared" si="6780"/>
        <v>0</v>
      </c>
      <c r="W1340" s="200">
        <f t="shared" si="6780"/>
        <v>0</v>
      </c>
      <c r="X1340" s="200">
        <f t="shared" si="6780"/>
        <v>0</v>
      </c>
      <c r="Y1340" s="200">
        <f t="shared" si="6780"/>
        <v>0</v>
      </c>
      <c r="Z1340" s="200">
        <f t="shared" si="6780"/>
        <v>0</v>
      </c>
      <c r="AA1340" s="200">
        <f t="shared" si="6780"/>
        <v>0</v>
      </c>
      <c r="AB1340" s="200">
        <f t="shared" si="6780"/>
        <v>0</v>
      </c>
      <c r="AC1340" s="200">
        <f t="shared" si="6780"/>
        <v>0</v>
      </c>
      <c r="AD1340" s="200">
        <f t="shared" si="11"/>
        <v>0</v>
      </c>
      <c r="AE1340" s="200">
        <f t="shared" ref="AE1340:AG1340" si="6781">countif($D1340,"*"&amp;AE$2&amp;"*")</f>
        <v>0</v>
      </c>
      <c r="AF1340" s="200">
        <f t="shared" si="6781"/>
        <v>0</v>
      </c>
      <c r="AG1340" s="200">
        <f t="shared" si="6781"/>
        <v>0</v>
      </c>
      <c r="AH1340" s="171">
        <f t="shared" si="13"/>
        <v>0</v>
      </c>
      <c r="AI1340" s="200">
        <f t="shared" si="14"/>
        <v>1</v>
      </c>
      <c r="AJ1340" s="200">
        <f t="shared" si="6100"/>
        <v>0</v>
      </c>
      <c r="AK1340" s="201">
        <f t="shared" ref="AK1340:AS1340" si="6782">countif($D1340,"*"&amp;AK$2&amp;"*")</f>
        <v>0</v>
      </c>
      <c r="AL1340" s="201">
        <f t="shared" si="6782"/>
        <v>0</v>
      </c>
      <c r="AM1340" s="201">
        <f t="shared" si="6782"/>
        <v>0</v>
      </c>
      <c r="AN1340" s="201">
        <f t="shared" si="6782"/>
        <v>0</v>
      </c>
      <c r="AO1340" s="201">
        <f t="shared" si="6782"/>
        <v>0</v>
      </c>
      <c r="AP1340" s="201">
        <f t="shared" si="6782"/>
        <v>0</v>
      </c>
      <c r="AQ1340" s="201">
        <f t="shared" si="6782"/>
        <v>0</v>
      </c>
      <c r="AR1340" s="200">
        <f t="shared" si="6782"/>
        <v>0</v>
      </c>
      <c r="AS1340" s="200">
        <f t="shared" si="6782"/>
        <v>1</v>
      </c>
      <c r="AT1340" s="173">
        <v>0.0</v>
      </c>
      <c r="AU1340" s="200">
        <f t="shared" si="6217"/>
        <v>0</v>
      </c>
      <c r="AV1340" s="200">
        <f t="shared" ref="AV1340:AX1340" si="6783">countif($D1340,"*"&amp;AV$2&amp;"*")</f>
        <v>0</v>
      </c>
      <c r="AW1340" s="200">
        <f t="shared" si="6783"/>
        <v>0</v>
      </c>
      <c r="AX1340" s="200">
        <f t="shared" si="6783"/>
        <v>1</v>
      </c>
      <c r="AY1340" s="202">
        <v>0.0</v>
      </c>
      <c r="AZ1340" s="200"/>
      <c r="BA1340" s="171" t="str">
        <f t="shared" si="18"/>
        <v>Archival</v>
      </c>
      <c r="BB1340" s="171" t="str">
        <f t="shared" si="19"/>
        <v/>
      </c>
      <c r="BC1340" s="171" t="str">
        <f t="shared" si="20"/>
        <v/>
      </c>
      <c r="BD1340" s="171" t="str">
        <f t="shared" si="21"/>
        <v/>
      </c>
      <c r="BE1340" s="171" t="str">
        <f t="shared" si="22"/>
        <v/>
      </c>
      <c r="BF1340" s="171" t="str">
        <f t="shared" si="23"/>
        <v>Archival</v>
      </c>
    </row>
    <row r="1341">
      <c r="A1341" s="171">
        <f t="array" ref="A1341">XLOOKUP(C1341,FSE!A:A,FSE!C:C,"XXXXX",0,1)</f>
        <v>2023</v>
      </c>
      <c r="B1341" s="213" t="s">
        <v>5676</v>
      </c>
      <c r="C1341" s="214">
        <v>89.0</v>
      </c>
      <c r="D1341" s="215" t="s">
        <v>5551</v>
      </c>
      <c r="E1341" s="197" t="str">
        <f t="array" ref="E1341">XLOOKUP(C1341,FSE!A:A,FSE!Z:Z,"XXXXX",0,1)</f>
        <v>Publicly Available (1)</v>
      </c>
      <c r="F1341" s="213" t="s">
        <v>3394</v>
      </c>
      <c r="G1341" s="163" t="str">
        <f t="array" ref="G1341">IF(B1341="ICSE",IF(COUNTIFS(B:B,B1341,C:C,C1341)=XLOOKUP(C1341,ICSE!A:A,ICSE!AA:AA,"ERROR",0,1),"OK","ERROR"),IF(B1341="FSE",IF(COUNTIFS(B:B,B1341,C:C,C1341)=XLOOKUP(C1341,FSE!A:A,FSE!AA:AA,"ERROR",0,1),"OK","ERROR")))</f>
        <v>OK</v>
      </c>
      <c r="H1341" s="199">
        <f t="shared" ref="H1341:O1341" si="6784">countif($D1341,"*"&amp;H$2&amp;"*")</f>
        <v>0</v>
      </c>
      <c r="I1341" s="200">
        <f t="shared" si="6784"/>
        <v>0</v>
      </c>
      <c r="J1341" s="200">
        <f t="shared" si="6784"/>
        <v>0</v>
      </c>
      <c r="K1341" s="200">
        <f t="shared" si="6784"/>
        <v>0</v>
      </c>
      <c r="L1341" s="200">
        <f t="shared" si="6784"/>
        <v>0</v>
      </c>
      <c r="M1341" s="200">
        <f t="shared" si="6784"/>
        <v>0</v>
      </c>
      <c r="N1341" s="200">
        <f t="shared" si="6784"/>
        <v>0</v>
      </c>
      <c r="O1341" s="200">
        <f t="shared" si="6784"/>
        <v>0</v>
      </c>
      <c r="P1341" s="200">
        <f t="shared" si="9"/>
        <v>1</v>
      </c>
      <c r="Q1341" s="200">
        <f t="shared" ref="Q1341:AC1341" si="6785">countif($D1341,"*"&amp;Q$2&amp;"*")</f>
        <v>0</v>
      </c>
      <c r="R1341" s="200">
        <f t="shared" si="6785"/>
        <v>0</v>
      </c>
      <c r="S1341" s="200">
        <f t="shared" si="6785"/>
        <v>0</v>
      </c>
      <c r="T1341" s="200">
        <f t="shared" si="6785"/>
        <v>0</v>
      </c>
      <c r="U1341" s="200">
        <f t="shared" si="6785"/>
        <v>0</v>
      </c>
      <c r="V1341" s="200">
        <f t="shared" si="6785"/>
        <v>0</v>
      </c>
      <c r="W1341" s="200">
        <f t="shared" si="6785"/>
        <v>0</v>
      </c>
      <c r="X1341" s="200">
        <f t="shared" si="6785"/>
        <v>0</v>
      </c>
      <c r="Y1341" s="200">
        <f t="shared" si="6785"/>
        <v>0</v>
      </c>
      <c r="Z1341" s="200">
        <f t="shared" si="6785"/>
        <v>0</v>
      </c>
      <c r="AA1341" s="200">
        <f t="shared" si="6785"/>
        <v>0</v>
      </c>
      <c r="AB1341" s="200">
        <f t="shared" si="6785"/>
        <v>0</v>
      </c>
      <c r="AC1341" s="200">
        <f t="shared" si="6785"/>
        <v>0</v>
      </c>
      <c r="AD1341" s="200">
        <f t="shared" si="11"/>
        <v>0</v>
      </c>
      <c r="AE1341" s="200">
        <f t="shared" ref="AE1341:AG1341" si="6786">countif($D1341,"*"&amp;AE$2&amp;"*")</f>
        <v>0</v>
      </c>
      <c r="AF1341" s="200">
        <f t="shared" si="6786"/>
        <v>0</v>
      </c>
      <c r="AG1341" s="200">
        <f t="shared" si="6786"/>
        <v>0</v>
      </c>
      <c r="AH1341" s="171">
        <f t="shared" si="13"/>
        <v>0</v>
      </c>
      <c r="AI1341" s="200">
        <f t="shared" si="14"/>
        <v>0</v>
      </c>
      <c r="AJ1341" s="200">
        <f t="shared" si="6100"/>
        <v>0</v>
      </c>
      <c r="AK1341" s="201">
        <f t="shared" ref="AK1341:AS1341" si="6787">countif($D1341,"*"&amp;AK$2&amp;"*")</f>
        <v>0</v>
      </c>
      <c r="AL1341" s="201">
        <f t="shared" si="6787"/>
        <v>0</v>
      </c>
      <c r="AM1341" s="201">
        <f t="shared" si="6787"/>
        <v>0</v>
      </c>
      <c r="AN1341" s="201">
        <f t="shared" si="6787"/>
        <v>0</v>
      </c>
      <c r="AO1341" s="201">
        <f t="shared" si="6787"/>
        <v>0</v>
      </c>
      <c r="AP1341" s="201">
        <f t="shared" si="6787"/>
        <v>0</v>
      </c>
      <c r="AQ1341" s="201">
        <f t="shared" si="6787"/>
        <v>0</v>
      </c>
      <c r="AR1341" s="200">
        <f t="shared" si="6787"/>
        <v>0</v>
      </c>
      <c r="AS1341" s="200">
        <f t="shared" si="6787"/>
        <v>0</v>
      </c>
      <c r="AT1341" s="173">
        <v>0.0</v>
      </c>
      <c r="AU1341" s="200">
        <f t="shared" si="6217"/>
        <v>0</v>
      </c>
      <c r="AV1341" s="200">
        <f t="shared" ref="AV1341:AX1341" si="6788">countif($D1341,"*"&amp;AV$2&amp;"*")</f>
        <v>1</v>
      </c>
      <c r="AW1341" s="200">
        <f t="shared" si="6788"/>
        <v>0</v>
      </c>
      <c r="AX1341" s="200">
        <f t="shared" si="6788"/>
        <v>0</v>
      </c>
      <c r="AY1341" s="202">
        <v>0.0</v>
      </c>
      <c r="AZ1341" s="200"/>
      <c r="BA1341" s="171" t="str">
        <f t="shared" si="18"/>
        <v/>
      </c>
      <c r="BB1341" s="171" t="str">
        <f t="shared" si="19"/>
        <v>Code</v>
      </c>
      <c r="BC1341" s="171" t="str">
        <f t="shared" si="20"/>
        <v/>
      </c>
      <c r="BD1341" s="171" t="str">
        <f t="shared" si="21"/>
        <v/>
      </c>
      <c r="BE1341" s="171" t="str">
        <f t="shared" si="22"/>
        <v/>
      </c>
      <c r="BF1341" s="171" t="str">
        <f t="shared" si="23"/>
        <v>Code</v>
      </c>
    </row>
    <row r="1342">
      <c r="A1342" s="171">
        <f t="array" ref="A1342">XLOOKUP(C1342,FSE!A:A,FSE!C:C,"XXXXX",0,1)</f>
        <v>2023</v>
      </c>
      <c r="B1342" s="213" t="s">
        <v>5676</v>
      </c>
      <c r="C1342" s="214">
        <v>90.0</v>
      </c>
      <c r="D1342" s="215" t="s">
        <v>6218</v>
      </c>
      <c r="E1342" s="197" t="str">
        <f t="array" ref="E1342">XLOOKUP(C1342,FSE!A:A,FSE!Z:Z,"XXXXX",0,1)</f>
        <v>Publicly Available (2)</v>
      </c>
      <c r="F1342" s="213" t="s">
        <v>3394</v>
      </c>
      <c r="G1342" s="163" t="str">
        <f t="array" ref="G1342">IF(B1342="ICSE",IF(COUNTIFS(B:B,B1342,C:C,C1342)=XLOOKUP(C1342,ICSE!A:A,ICSE!AA:AA,"ERROR",0,1),"OK","ERROR"),IF(B1342="FSE",IF(COUNTIFS(B:B,B1342,C:C,C1342)=XLOOKUP(C1342,FSE!A:A,FSE!AA:AA,"ERROR",0,1),"OK","ERROR")))</f>
        <v>OK</v>
      </c>
      <c r="H1342" s="199">
        <f t="shared" ref="H1342:O1342" si="6789">countif($D1342,"*"&amp;H$2&amp;"*")</f>
        <v>0</v>
      </c>
      <c r="I1342" s="200">
        <f t="shared" si="6789"/>
        <v>1</v>
      </c>
      <c r="J1342" s="200">
        <f t="shared" si="6789"/>
        <v>0</v>
      </c>
      <c r="K1342" s="200">
        <f t="shared" si="6789"/>
        <v>0</v>
      </c>
      <c r="L1342" s="200">
        <f t="shared" si="6789"/>
        <v>0</v>
      </c>
      <c r="M1342" s="200">
        <f t="shared" si="6789"/>
        <v>0</v>
      </c>
      <c r="N1342" s="200">
        <f t="shared" si="6789"/>
        <v>0</v>
      </c>
      <c r="O1342" s="200">
        <f t="shared" si="6789"/>
        <v>0</v>
      </c>
      <c r="P1342" s="200">
        <f t="shared" si="9"/>
        <v>0</v>
      </c>
      <c r="Q1342" s="200">
        <f t="shared" ref="Q1342:AC1342" si="6790">countif($D1342,"*"&amp;Q$2&amp;"*")</f>
        <v>0</v>
      </c>
      <c r="R1342" s="200">
        <f t="shared" si="6790"/>
        <v>0</v>
      </c>
      <c r="S1342" s="200">
        <f t="shared" si="6790"/>
        <v>0</v>
      </c>
      <c r="T1342" s="200">
        <f t="shared" si="6790"/>
        <v>0</v>
      </c>
      <c r="U1342" s="200">
        <f t="shared" si="6790"/>
        <v>0</v>
      </c>
      <c r="V1342" s="200">
        <f t="shared" si="6790"/>
        <v>0</v>
      </c>
      <c r="W1342" s="200">
        <f t="shared" si="6790"/>
        <v>0</v>
      </c>
      <c r="X1342" s="200">
        <f t="shared" si="6790"/>
        <v>0</v>
      </c>
      <c r="Y1342" s="200">
        <f t="shared" si="6790"/>
        <v>0</v>
      </c>
      <c r="Z1342" s="200">
        <f t="shared" si="6790"/>
        <v>0</v>
      </c>
      <c r="AA1342" s="200">
        <f t="shared" si="6790"/>
        <v>0</v>
      </c>
      <c r="AB1342" s="200">
        <f t="shared" si="6790"/>
        <v>0</v>
      </c>
      <c r="AC1342" s="200">
        <f t="shared" si="6790"/>
        <v>0</v>
      </c>
      <c r="AD1342" s="200">
        <f t="shared" si="11"/>
        <v>0</v>
      </c>
      <c r="AE1342" s="200">
        <f t="shared" ref="AE1342:AG1342" si="6791">countif($D1342,"*"&amp;AE$2&amp;"*")</f>
        <v>0</v>
      </c>
      <c r="AF1342" s="200">
        <f t="shared" si="6791"/>
        <v>0</v>
      </c>
      <c r="AG1342" s="200">
        <f t="shared" si="6791"/>
        <v>0</v>
      </c>
      <c r="AH1342" s="171">
        <f t="shared" si="13"/>
        <v>0</v>
      </c>
      <c r="AI1342" s="200">
        <f t="shared" si="14"/>
        <v>1</v>
      </c>
      <c r="AJ1342" s="200">
        <f t="shared" si="6100"/>
        <v>0</v>
      </c>
      <c r="AK1342" s="201">
        <f t="shared" ref="AK1342:AS1342" si="6792">countif($D1342,"*"&amp;AK$2&amp;"*")</f>
        <v>0</v>
      </c>
      <c r="AL1342" s="201">
        <f t="shared" si="6792"/>
        <v>0</v>
      </c>
      <c r="AM1342" s="201">
        <f t="shared" si="6792"/>
        <v>0</v>
      </c>
      <c r="AN1342" s="201">
        <f t="shared" si="6792"/>
        <v>0</v>
      </c>
      <c r="AO1342" s="201">
        <f t="shared" si="6792"/>
        <v>0</v>
      </c>
      <c r="AP1342" s="201">
        <f t="shared" si="6792"/>
        <v>0</v>
      </c>
      <c r="AQ1342" s="201">
        <f t="shared" si="6792"/>
        <v>0</v>
      </c>
      <c r="AR1342" s="200">
        <f t="shared" si="6792"/>
        <v>0</v>
      </c>
      <c r="AS1342" s="200">
        <f t="shared" si="6792"/>
        <v>0</v>
      </c>
      <c r="AT1342" s="173">
        <v>0.0</v>
      </c>
      <c r="AU1342" s="200">
        <f t="shared" si="6217"/>
        <v>0</v>
      </c>
      <c r="AV1342" s="200">
        <f t="shared" ref="AV1342:AX1342" si="6793">countif($D1342,"*"&amp;AV$2&amp;"*")</f>
        <v>0</v>
      </c>
      <c r="AW1342" s="200">
        <f t="shared" si="6793"/>
        <v>0</v>
      </c>
      <c r="AX1342" s="200">
        <f t="shared" si="6793"/>
        <v>1</v>
      </c>
      <c r="AY1342" s="202">
        <v>0.0</v>
      </c>
      <c r="AZ1342" s="200"/>
      <c r="BA1342" s="171" t="str">
        <f t="shared" si="18"/>
        <v>Archival</v>
      </c>
      <c r="BB1342" s="171" t="str">
        <f t="shared" si="19"/>
        <v/>
      </c>
      <c r="BC1342" s="171" t="str">
        <f t="shared" si="20"/>
        <v/>
      </c>
      <c r="BD1342" s="171" t="str">
        <f t="shared" si="21"/>
        <v/>
      </c>
      <c r="BE1342" s="171" t="str">
        <f t="shared" si="22"/>
        <v/>
      </c>
      <c r="BF1342" s="171" t="str">
        <f t="shared" si="23"/>
        <v>Archival</v>
      </c>
    </row>
    <row r="1343">
      <c r="A1343" s="171">
        <f t="array" ref="A1343">XLOOKUP(C1343,FSE!A:A,FSE!C:C,"XXXXX",0,1)</f>
        <v>2023</v>
      </c>
      <c r="B1343" s="171" t="s">
        <v>5676</v>
      </c>
      <c r="C1343" s="160">
        <v>90.0</v>
      </c>
      <c r="D1343" s="161" t="s">
        <v>6219</v>
      </c>
      <c r="E1343" s="197" t="str">
        <f t="array" ref="E1343">XLOOKUP(C1343,FSE!A:A,FSE!Z:Z,"XXXXX",0,1)</f>
        <v>Publicly Available (2)</v>
      </c>
      <c r="F1343" s="213" t="s">
        <v>3394</v>
      </c>
      <c r="G1343" s="163" t="str">
        <f t="array" ref="G1343">IF(B1343="ICSE",IF(COUNTIFS(B:B,B1343,C:C,C1343)=XLOOKUP(C1343,ICSE!A:A,ICSE!AA:AA,"ERROR",0,1),"OK","ERROR"),IF(B1343="FSE",IF(COUNTIFS(B:B,B1343,C:C,C1343)=XLOOKUP(C1343,FSE!A:A,FSE!AA:AA,"ERROR",0,1),"OK","ERROR")))</f>
        <v>OK</v>
      </c>
      <c r="H1343" s="199">
        <f t="shared" ref="H1343:O1343" si="6794">countif($D1343,"*"&amp;H$2&amp;"*")</f>
        <v>0</v>
      </c>
      <c r="I1343" s="200">
        <f t="shared" si="6794"/>
        <v>0</v>
      </c>
      <c r="J1343" s="200">
        <f t="shared" si="6794"/>
        <v>0</v>
      </c>
      <c r="K1343" s="200">
        <f t="shared" si="6794"/>
        <v>0</v>
      </c>
      <c r="L1343" s="200">
        <f t="shared" si="6794"/>
        <v>0</v>
      </c>
      <c r="M1343" s="200">
        <f t="shared" si="6794"/>
        <v>0</v>
      </c>
      <c r="N1343" s="200">
        <f t="shared" si="6794"/>
        <v>0</v>
      </c>
      <c r="O1343" s="200">
        <f t="shared" si="6794"/>
        <v>0</v>
      </c>
      <c r="P1343" s="200">
        <f t="shared" si="9"/>
        <v>1</v>
      </c>
      <c r="Q1343" s="200">
        <f t="shared" ref="Q1343:AC1343" si="6795">countif($D1343,"*"&amp;Q$2&amp;"*")</f>
        <v>0</v>
      </c>
      <c r="R1343" s="200">
        <f t="shared" si="6795"/>
        <v>0</v>
      </c>
      <c r="S1343" s="200">
        <f t="shared" si="6795"/>
        <v>0</v>
      </c>
      <c r="T1343" s="200">
        <f t="shared" si="6795"/>
        <v>0</v>
      </c>
      <c r="U1343" s="200">
        <f t="shared" si="6795"/>
        <v>0</v>
      </c>
      <c r="V1343" s="200">
        <f t="shared" si="6795"/>
        <v>0</v>
      </c>
      <c r="W1343" s="200">
        <f t="shared" si="6795"/>
        <v>0</v>
      </c>
      <c r="X1343" s="200">
        <f t="shared" si="6795"/>
        <v>0</v>
      </c>
      <c r="Y1343" s="200">
        <f t="shared" si="6795"/>
        <v>0</v>
      </c>
      <c r="Z1343" s="200">
        <f t="shared" si="6795"/>
        <v>0</v>
      </c>
      <c r="AA1343" s="200">
        <f t="shared" si="6795"/>
        <v>0</v>
      </c>
      <c r="AB1343" s="200">
        <f t="shared" si="6795"/>
        <v>0</v>
      </c>
      <c r="AC1343" s="200">
        <f t="shared" si="6795"/>
        <v>0</v>
      </c>
      <c r="AD1343" s="200">
        <f t="shared" si="11"/>
        <v>0</v>
      </c>
      <c r="AE1343" s="200">
        <f t="shared" ref="AE1343:AG1343" si="6796">countif($D1343,"*"&amp;AE$2&amp;"*")</f>
        <v>0</v>
      </c>
      <c r="AF1343" s="200">
        <f t="shared" si="6796"/>
        <v>0</v>
      </c>
      <c r="AG1343" s="200">
        <f t="shared" si="6796"/>
        <v>0</v>
      </c>
      <c r="AH1343" s="171">
        <f t="shared" si="13"/>
        <v>0</v>
      </c>
      <c r="AI1343" s="200">
        <f t="shared" si="14"/>
        <v>0</v>
      </c>
      <c r="AJ1343" s="200">
        <f t="shared" si="6100"/>
        <v>0</v>
      </c>
      <c r="AK1343" s="201">
        <f t="shared" ref="AK1343:AS1343" si="6797">countif($D1343,"*"&amp;AK$2&amp;"*")</f>
        <v>0</v>
      </c>
      <c r="AL1343" s="201">
        <f t="shared" si="6797"/>
        <v>0</v>
      </c>
      <c r="AM1343" s="201">
        <f t="shared" si="6797"/>
        <v>0</v>
      </c>
      <c r="AN1343" s="201">
        <f t="shared" si="6797"/>
        <v>0</v>
      </c>
      <c r="AO1343" s="201">
        <f t="shared" si="6797"/>
        <v>0</v>
      </c>
      <c r="AP1343" s="201">
        <f t="shared" si="6797"/>
        <v>0</v>
      </c>
      <c r="AQ1343" s="201">
        <f t="shared" si="6797"/>
        <v>0</v>
      </c>
      <c r="AR1343" s="200">
        <f t="shared" si="6797"/>
        <v>0</v>
      </c>
      <c r="AS1343" s="200">
        <f t="shared" si="6797"/>
        <v>0</v>
      </c>
      <c r="AT1343" s="173">
        <v>0.0</v>
      </c>
      <c r="AU1343" s="200">
        <f t="shared" si="6217"/>
        <v>0</v>
      </c>
      <c r="AV1343" s="200">
        <f t="shared" ref="AV1343:AX1343" si="6798">countif($D1343,"*"&amp;AV$2&amp;"*")</f>
        <v>1</v>
      </c>
      <c r="AW1343" s="200">
        <f t="shared" si="6798"/>
        <v>0</v>
      </c>
      <c r="AX1343" s="200">
        <f t="shared" si="6798"/>
        <v>0</v>
      </c>
      <c r="AY1343" s="202">
        <v>0.0</v>
      </c>
      <c r="AZ1343" s="200"/>
      <c r="BA1343" s="171" t="str">
        <f t="shared" si="18"/>
        <v/>
      </c>
      <c r="BB1343" s="171" t="str">
        <f t="shared" si="19"/>
        <v>Code</v>
      </c>
      <c r="BC1343" s="171" t="str">
        <f t="shared" si="20"/>
        <v/>
      </c>
      <c r="BD1343" s="171" t="str">
        <f t="shared" si="21"/>
        <v/>
      </c>
      <c r="BE1343" s="171" t="str">
        <f t="shared" si="22"/>
        <v/>
      </c>
      <c r="BF1343" s="171" t="str">
        <f t="shared" si="23"/>
        <v>Code</v>
      </c>
    </row>
    <row r="1344">
      <c r="A1344" s="171">
        <f t="array" ref="A1344">XLOOKUP(C1344,FSE!A:A,FSE!C:C,"XXXXX",0,1)</f>
        <v>2023</v>
      </c>
      <c r="B1344" s="213" t="s">
        <v>5676</v>
      </c>
      <c r="C1344" s="214">
        <v>91.0</v>
      </c>
      <c r="D1344" s="215" t="s">
        <v>5558</v>
      </c>
      <c r="E1344" s="197" t="str">
        <f t="array" ref="E1344">XLOOKUP(C1344,FSE!A:A,FSE!Z:Z,"XXXXX",0,1)</f>
        <v>Publicly Available (1)</v>
      </c>
      <c r="F1344" s="213" t="s">
        <v>3394</v>
      </c>
      <c r="G1344" s="163" t="str">
        <f t="array" ref="G1344">IF(B1344="ICSE",IF(COUNTIFS(B:B,B1344,C:C,C1344)=XLOOKUP(C1344,ICSE!A:A,ICSE!AA:AA,"ERROR",0,1),"OK","ERROR"),IF(B1344="FSE",IF(COUNTIFS(B:B,B1344,C:C,C1344)=XLOOKUP(C1344,FSE!A:A,FSE!AA:AA,"ERROR",0,1),"OK","ERROR")))</f>
        <v>OK</v>
      </c>
      <c r="H1344" s="199">
        <f t="shared" ref="H1344:O1344" si="6799">countif($D1344,"*"&amp;H$2&amp;"*")</f>
        <v>0</v>
      </c>
      <c r="I1344" s="200">
        <f t="shared" si="6799"/>
        <v>0</v>
      </c>
      <c r="J1344" s="200">
        <f t="shared" si="6799"/>
        <v>0</v>
      </c>
      <c r="K1344" s="200">
        <f t="shared" si="6799"/>
        <v>0</v>
      </c>
      <c r="L1344" s="200">
        <f t="shared" si="6799"/>
        <v>0</v>
      </c>
      <c r="M1344" s="200">
        <f t="shared" si="6799"/>
        <v>0</v>
      </c>
      <c r="N1344" s="200">
        <f t="shared" si="6799"/>
        <v>0</v>
      </c>
      <c r="O1344" s="200">
        <f t="shared" si="6799"/>
        <v>0</v>
      </c>
      <c r="P1344" s="200">
        <f t="shared" si="9"/>
        <v>1</v>
      </c>
      <c r="Q1344" s="200">
        <f t="shared" ref="Q1344:AC1344" si="6800">countif($D1344,"*"&amp;Q$2&amp;"*")</f>
        <v>0</v>
      </c>
      <c r="R1344" s="200">
        <f t="shared" si="6800"/>
        <v>0</v>
      </c>
      <c r="S1344" s="200">
        <f t="shared" si="6800"/>
        <v>0</v>
      </c>
      <c r="T1344" s="200">
        <f t="shared" si="6800"/>
        <v>0</v>
      </c>
      <c r="U1344" s="200">
        <f t="shared" si="6800"/>
        <v>0</v>
      </c>
      <c r="V1344" s="200">
        <f t="shared" si="6800"/>
        <v>0</v>
      </c>
      <c r="W1344" s="200">
        <f t="shared" si="6800"/>
        <v>0</v>
      </c>
      <c r="X1344" s="200">
        <f t="shared" si="6800"/>
        <v>0</v>
      </c>
      <c r="Y1344" s="200">
        <f t="shared" si="6800"/>
        <v>0</v>
      </c>
      <c r="Z1344" s="200">
        <f t="shared" si="6800"/>
        <v>0</v>
      </c>
      <c r="AA1344" s="200">
        <f t="shared" si="6800"/>
        <v>0</v>
      </c>
      <c r="AB1344" s="200">
        <f t="shared" si="6800"/>
        <v>0</v>
      </c>
      <c r="AC1344" s="200">
        <f t="shared" si="6800"/>
        <v>0</v>
      </c>
      <c r="AD1344" s="200">
        <f t="shared" si="11"/>
        <v>0</v>
      </c>
      <c r="AE1344" s="200">
        <f t="shared" ref="AE1344:AG1344" si="6801">countif($D1344,"*"&amp;AE$2&amp;"*")</f>
        <v>0</v>
      </c>
      <c r="AF1344" s="200">
        <f t="shared" si="6801"/>
        <v>0</v>
      </c>
      <c r="AG1344" s="200">
        <f t="shared" si="6801"/>
        <v>0</v>
      </c>
      <c r="AH1344" s="171">
        <f t="shared" si="13"/>
        <v>0</v>
      </c>
      <c r="AI1344" s="200">
        <f t="shared" si="14"/>
        <v>0</v>
      </c>
      <c r="AJ1344" s="200">
        <f t="shared" si="6100"/>
        <v>0</v>
      </c>
      <c r="AK1344" s="201">
        <f t="shared" ref="AK1344:AS1344" si="6802">countif($D1344,"*"&amp;AK$2&amp;"*")</f>
        <v>0</v>
      </c>
      <c r="AL1344" s="201">
        <f t="shared" si="6802"/>
        <v>0</v>
      </c>
      <c r="AM1344" s="201">
        <f t="shared" si="6802"/>
        <v>0</v>
      </c>
      <c r="AN1344" s="201">
        <f t="shared" si="6802"/>
        <v>0</v>
      </c>
      <c r="AO1344" s="201">
        <f t="shared" si="6802"/>
        <v>0</v>
      </c>
      <c r="AP1344" s="201">
        <f t="shared" si="6802"/>
        <v>0</v>
      </c>
      <c r="AQ1344" s="201">
        <f t="shared" si="6802"/>
        <v>0</v>
      </c>
      <c r="AR1344" s="200">
        <f t="shared" si="6802"/>
        <v>0</v>
      </c>
      <c r="AS1344" s="200">
        <f t="shared" si="6802"/>
        <v>0</v>
      </c>
      <c r="AT1344" s="173">
        <v>0.0</v>
      </c>
      <c r="AU1344" s="200">
        <f t="shared" si="6217"/>
        <v>0</v>
      </c>
      <c r="AV1344" s="200">
        <f t="shared" ref="AV1344:AX1344" si="6803">countif($D1344,"*"&amp;AV$2&amp;"*")</f>
        <v>1</v>
      </c>
      <c r="AW1344" s="200">
        <f t="shared" si="6803"/>
        <v>0</v>
      </c>
      <c r="AX1344" s="200">
        <f t="shared" si="6803"/>
        <v>0</v>
      </c>
      <c r="AY1344" s="202">
        <v>0.0</v>
      </c>
      <c r="AZ1344" s="200"/>
      <c r="BA1344" s="171" t="str">
        <f t="shared" si="18"/>
        <v/>
      </c>
      <c r="BB1344" s="171" t="str">
        <f t="shared" si="19"/>
        <v>Code</v>
      </c>
      <c r="BC1344" s="171" t="str">
        <f t="shared" si="20"/>
        <v/>
      </c>
      <c r="BD1344" s="171" t="str">
        <f t="shared" si="21"/>
        <v/>
      </c>
      <c r="BE1344" s="171" t="str">
        <f t="shared" si="22"/>
        <v/>
      </c>
      <c r="BF1344" s="171" t="str">
        <f t="shared" si="23"/>
        <v>Code</v>
      </c>
    </row>
    <row r="1345">
      <c r="A1345" s="171">
        <f t="array" ref="A1345">XLOOKUP(C1345,FSE!A:A,FSE!C:C,"XXXXX",0,1)</f>
        <v>2023</v>
      </c>
      <c r="B1345" s="213" t="s">
        <v>5676</v>
      </c>
      <c r="C1345" s="214">
        <v>92.0</v>
      </c>
      <c r="D1345" s="215" t="s">
        <v>6220</v>
      </c>
      <c r="E1345" s="197" t="str">
        <f t="array" ref="E1345">XLOOKUP(C1345,FSE!A:A,FSE!Z:Z,"XXXXX",0,1)</f>
        <v>Publicly Available (3)</v>
      </c>
      <c r="F1345" s="213" t="s">
        <v>3394</v>
      </c>
      <c r="G1345" s="163" t="str">
        <f t="array" ref="G1345">IF(B1345="ICSE",IF(COUNTIFS(B:B,B1345,C:C,C1345)=XLOOKUP(C1345,ICSE!A:A,ICSE!AA:AA,"ERROR",0,1),"OK","ERROR"),IF(B1345="FSE",IF(COUNTIFS(B:B,B1345,C:C,C1345)=XLOOKUP(C1345,FSE!A:A,FSE!AA:AA,"ERROR",0,1),"OK","ERROR")))</f>
        <v>OK</v>
      </c>
      <c r="H1345" s="199">
        <f t="shared" ref="H1345:O1345" si="6804">countif($D1345,"*"&amp;H$2&amp;"*")</f>
        <v>0</v>
      </c>
      <c r="I1345" s="200">
        <f t="shared" si="6804"/>
        <v>0</v>
      </c>
      <c r="J1345" s="200">
        <f t="shared" si="6804"/>
        <v>0</v>
      </c>
      <c r="K1345" s="200">
        <f t="shared" si="6804"/>
        <v>0</v>
      </c>
      <c r="L1345" s="200">
        <f t="shared" si="6804"/>
        <v>0</v>
      </c>
      <c r="M1345" s="200">
        <f t="shared" si="6804"/>
        <v>0</v>
      </c>
      <c r="N1345" s="200">
        <f t="shared" si="6804"/>
        <v>0</v>
      </c>
      <c r="O1345" s="200">
        <f t="shared" si="6804"/>
        <v>0</v>
      </c>
      <c r="P1345" s="200">
        <f t="shared" si="9"/>
        <v>1</v>
      </c>
      <c r="Q1345" s="200">
        <f t="shared" ref="Q1345:AC1345" si="6805">countif($D1345,"*"&amp;Q$2&amp;"*")</f>
        <v>0</v>
      </c>
      <c r="R1345" s="200">
        <f t="shared" si="6805"/>
        <v>0</v>
      </c>
      <c r="S1345" s="200">
        <f t="shared" si="6805"/>
        <v>0</v>
      </c>
      <c r="T1345" s="200">
        <f t="shared" si="6805"/>
        <v>0</v>
      </c>
      <c r="U1345" s="200">
        <f t="shared" si="6805"/>
        <v>0</v>
      </c>
      <c r="V1345" s="200">
        <f t="shared" si="6805"/>
        <v>0</v>
      </c>
      <c r="W1345" s="200">
        <f t="shared" si="6805"/>
        <v>0</v>
      </c>
      <c r="X1345" s="200">
        <f t="shared" si="6805"/>
        <v>0</v>
      </c>
      <c r="Y1345" s="200">
        <f t="shared" si="6805"/>
        <v>0</v>
      </c>
      <c r="Z1345" s="200">
        <f t="shared" si="6805"/>
        <v>0</v>
      </c>
      <c r="AA1345" s="200">
        <f t="shared" si="6805"/>
        <v>0</v>
      </c>
      <c r="AB1345" s="200">
        <f t="shared" si="6805"/>
        <v>0</v>
      </c>
      <c r="AC1345" s="200">
        <f t="shared" si="6805"/>
        <v>0</v>
      </c>
      <c r="AD1345" s="200">
        <f t="shared" si="11"/>
        <v>0</v>
      </c>
      <c r="AE1345" s="200">
        <f t="shared" ref="AE1345:AG1345" si="6806">countif($D1345,"*"&amp;AE$2&amp;"*")</f>
        <v>0</v>
      </c>
      <c r="AF1345" s="200">
        <f t="shared" si="6806"/>
        <v>0</v>
      </c>
      <c r="AG1345" s="200">
        <f t="shared" si="6806"/>
        <v>0</v>
      </c>
      <c r="AH1345" s="171">
        <f t="shared" si="13"/>
        <v>0</v>
      </c>
      <c r="AI1345" s="200">
        <f t="shared" si="14"/>
        <v>0</v>
      </c>
      <c r="AJ1345" s="200">
        <f t="shared" si="6100"/>
        <v>0</v>
      </c>
      <c r="AK1345" s="201">
        <f t="shared" ref="AK1345:AS1345" si="6807">countif($D1345,"*"&amp;AK$2&amp;"*")</f>
        <v>0</v>
      </c>
      <c r="AL1345" s="201">
        <f t="shared" si="6807"/>
        <v>0</v>
      </c>
      <c r="AM1345" s="201">
        <f t="shared" si="6807"/>
        <v>0</v>
      </c>
      <c r="AN1345" s="201">
        <f t="shared" si="6807"/>
        <v>0</v>
      </c>
      <c r="AO1345" s="201">
        <f t="shared" si="6807"/>
        <v>0</v>
      </c>
      <c r="AP1345" s="201">
        <f t="shared" si="6807"/>
        <v>0</v>
      </c>
      <c r="AQ1345" s="201">
        <f t="shared" si="6807"/>
        <v>0</v>
      </c>
      <c r="AR1345" s="200">
        <f t="shared" si="6807"/>
        <v>0</v>
      </c>
      <c r="AS1345" s="200">
        <f t="shared" si="6807"/>
        <v>0</v>
      </c>
      <c r="AT1345" s="173">
        <v>0.0</v>
      </c>
      <c r="AU1345" s="200">
        <f t="shared" si="6217"/>
        <v>0</v>
      </c>
      <c r="AV1345" s="200">
        <f t="shared" ref="AV1345:AX1345" si="6808">countif($D1345,"*"&amp;AV$2&amp;"*")</f>
        <v>1</v>
      </c>
      <c r="AW1345" s="200">
        <f t="shared" si="6808"/>
        <v>0</v>
      </c>
      <c r="AX1345" s="200">
        <f t="shared" si="6808"/>
        <v>0</v>
      </c>
      <c r="AY1345" s="202">
        <v>0.0</v>
      </c>
      <c r="AZ1345" s="200"/>
      <c r="BA1345" s="171" t="str">
        <f t="shared" si="18"/>
        <v/>
      </c>
      <c r="BB1345" s="171" t="str">
        <f t="shared" si="19"/>
        <v>Code</v>
      </c>
      <c r="BC1345" s="171" t="str">
        <f t="shared" si="20"/>
        <v/>
      </c>
      <c r="BD1345" s="171" t="str">
        <f t="shared" si="21"/>
        <v/>
      </c>
      <c r="BE1345" s="171" t="str">
        <f t="shared" si="22"/>
        <v/>
      </c>
      <c r="BF1345" s="171" t="str">
        <f t="shared" si="23"/>
        <v>Code</v>
      </c>
    </row>
    <row r="1346">
      <c r="A1346" s="171">
        <f t="array" ref="A1346">XLOOKUP(C1346,FSE!A:A,FSE!C:C,"XXXXX",0,1)</f>
        <v>2023</v>
      </c>
      <c r="B1346" s="213" t="s">
        <v>5676</v>
      </c>
      <c r="C1346" s="214">
        <v>92.0</v>
      </c>
      <c r="D1346" s="215" t="s">
        <v>6221</v>
      </c>
      <c r="E1346" s="197" t="str">
        <f t="array" ref="E1346">XLOOKUP(C1346,FSE!A:A,FSE!Z:Z,"XXXXX",0,1)</f>
        <v>Publicly Available (3)</v>
      </c>
      <c r="F1346" s="213" t="s">
        <v>3394</v>
      </c>
      <c r="G1346" s="163" t="str">
        <f t="array" ref="G1346">IF(B1346="ICSE",IF(COUNTIFS(B:B,B1346,C:C,C1346)=XLOOKUP(C1346,ICSE!A:A,ICSE!AA:AA,"ERROR",0,1),"OK","ERROR"),IF(B1346="FSE",IF(COUNTIFS(B:B,B1346,C:C,C1346)=XLOOKUP(C1346,FSE!A:A,FSE!AA:AA,"ERROR",0,1),"OK","ERROR")))</f>
        <v>OK</v>
      </c>
      <c r="H1346" s="199">
        <f t="shared" ref="H1346:O1346" si="6809">countif($D1346,"*"&amp;H$2&amp;"*")</f>
        <v>0</v>
      </c>
      <c r="I1346" s="200">
        <f t="shared" si="6809"/>
        <v>0</v>
      </c>
      <c r="J1346" s="200">
        <f t="shared" si="6809"/>
        <v>0</v>
      </c>
      <c r="K1346" s="200">
        <f t="shared" si="6809"/>
        <v>0</v>
      </c>
      <c r="L1346" s="200">
        <f t="shared" si="6809"/>
        <v>0</v>
      </c>
      <c r="M1346" s="200">
        <f t="shared" si="6809"/>
        <v>0</v>
      </c>
      <c r="N1346" s="200">
        <f t="shared" si="6809"/>
        <v>0</v>
      </c>
      <c r="O1346" s="200">
        <f t="shared" si="6809"/>
        <v>0</v>
      </c>
      <c r="P1346" s="200">
        <f t="shared" si="9"/>
        <v>1</v>
      </c>
      <c r="Q1346" s="200">
        <f t="shared" ref="Q1346:AC1346" si="6810">countif($D1346,"*"&amp;Q$2&amp;"*")</f>
        <v>0</v>
      </c>
      <c r="R1346" s="200">
        <f t="shared" si="6810"/>
        <v>0</v>
      </c>
      <c r="S1346" s="200">
        <f t="shared" si="6810"/>
        <v>0</v>
      </c>
      <c r="T1346" s="200">
        <f t="shared" si="6810"/>
        <v>0</v>
      </c>
      <c r="U1346" s="200">
        <f t="shared" si="6810"/>
        <v>0</v>
      </c>
      <c r="V1346" s="200">
        <f t="shared" si="6810"/>
        <v>0</v>
      </c>
      <c r="W1346" s="200">
        <f t="shared" si="6810"/>
        <v>0</v>
      </c>
      <c r="X1346" s="200">
        <f t="shared" si="6810"/>
        <v>0</v>
      </c>
      <c r="Y1346" s="200">
        <f t="shared" si="6810"/>
        <v>0</v>
      </c>
      <c r="Z1346" s="200">
        <f t="shared" si="6810"/>
        <v>0</v>
      </c>
      <c r="AA1346" s="200">
        <f t="shared" si="6810"/>
        <v>0</v>
      </c>
      <c r="AB1346" s="200">
        <f t="shared" si="6810"/>
        <v>0</v>
      </c>
      <c r="AC1346" s="200">
        <f t="shared" si="6810"/>
        <v>0</v>
      </c>
      <c r="AD1346" s="200">
        <f t="shared" si="11"/>
        <v>0</v>
      </c>
      <c r="AE1346" s="200">
        <f t="shared" ref="AE1346:AG1346" si="6811">countif($D1346,"*"&amp;AE$2&amp;"*")</f>
        <v>0</v>
      </c>
      <c r="AF1346" s="200">
        <f t="shared" si="6811"/>
        <v>0</v>
      </c>
      <c r="AG1346" s="200">
        <f t="shared" si="6811"/>
        <v>0</v>
      </c>
      <c r="AH1346" s="171">
        <f t="shared" si="13"/>
        <v>0</v>
      </c>
      <c r="AI1346" s="200">
        <f t="shared" si="14"/>
        <v>0</v>
      </c>
      <c r="AJ1346" s="200">
        <f t="shared" si="6100"/>
        <v>0</v>
      </c>
      <c r="AK1346" s="201">
        <f t="shared" ref="AK1346:AS1346" si="6812">countif($D1346,"*"&amp;AK$2&amp;"*")</f>
        <v>0</v>
      </c>
      <c r="AL1346" s="201">
        <f t="shared" si="6812"/>
        <v>0</v>
      </c>
      <c r="AM1346" s="201">
        <f t="shared" si="6812"/>
        <v>0</v>
      </c>
      <c r="AN1346" s="201">
        <f t="shared" si="6812"/>
        <v>0</v>
      </c>
      <c r="AO1346" s="201">
        <f t="shared" si="6812"/>
        <v>0</v>
      </c>
      <c r="AP1346" s="201">
        <f t="shared" si="6812"/>
        <v>0</v>
      </c>
      <c r="AQ1346" s="201">
        <f t="shared" si="6812"/>
        <v>0</v>
      </c>
      <c r="AR1346" s="200">
        <f t="shared" si="6812"/>
        <v>0</v>
      </c>
      <c r="AS1346" s="200">
        <f t="shared" si="6812"/>
        <v>0</v>
      </c>
      <c r="AT1346" s="173">
        <v>0.0</v>
      </c>
      <c r="AU1346" s="200">
        <f t="shared" si="6217"/>
        <v>0</v>
      </c>
      <c r="AV1346" s="200">
        <f t="shared" ref="AV1346:AX1346" si="6813">countif($D1346,"*"&amp;AV$2&amp;"*")</f>
        <v>1</v>
      </c>
      <c r="AW1346" s="200">
        <f t="shared" si="6813"/>
        <v>0</v>
      </c>
      <c r="AX1346" s="200">
        <f t="shared" si="6813"/>
        <v>0</v>
      </c>
      <c r="AY1346" s="202">
        <v>0.0</v>
      </c>
      <c r="AZ1346" s="200"/>
      <c r="BA1346" s="171" t="str">
        <f t="shared" si="18"/>
        <v/>
      </c>
      <c r="BB1346" s="171" t="str">
        <f t="shared" si="19"/>
        <v>Code</v>
      </c>
      <c r="BC1346" s="171" t="str">
        <f t="shared" si="20"/>
        <v/>
      </c>
      <c r="BD1346" s="171" t="str">
        <f t="shared" si="21"/>
        <v/>
      </c>
      <c r="BE1346" s="171" t="str">
        <f t="shared" si="22"/>
        <v/>
      </c>
      <c r="BF1346" s="171" t="str">
        <f t="shared" si="23"/>
        <v>Code</v>
      </c>
    </row>
    <row r="1347">
      <c r="A1347" s="171">
        <f t="array" ref="A1347">XLOOKUP(C1347,FSE!A:A,FSE!C:C,"XXXXX",0,1)</f>
        <v>2023</v>
      </c>
      <c r="B1347" s="213" t="s">
        <v>5676</v>
      </c>
      <c r="C1347" s="214">
        <v>92.0</v>
      </c>
      <c r="D1347" s="215" t="s">
        <v>6222</v>
      </c>
      <c r="E1347" s="197" t="str">
        <f t="array" ref="E1347">XLOOKUP(C1347,FSE!A:A,FSE!Z:Z,"XXXXX",0,1)</f>
        <v>Publicly Available (3)</v>
      </c>
      <c r="F1347" s="213" t="s">
        <v>3394</v>
      </c>
      <c r="G1347" s="163" t="str">
        <f t="array" ref="G1347">IF(B1347="ICSE",IF(COUNTIFS(B:B,B1347,C:C,C1347)=XLOOKUP(C1347,ICSE!A:A,ICSE!AA:AA,"ERROR",0,1),"OK","ERROR"),IF(B1347="FSE",IF(COUNTIFS(B:B,B1347,C:C,C1347)=XLOOKUP(C1347,FSE!A:A,FSE!AA:AA,"ERROR",0,1),"OK","ERROR")))</f>
        <v>OK</v>
      </c>
      <c r="H1347" s="199">
        <f t="shared" ref="H1347:O1347" si="6814">countif($D1347,"*"&amp;H$2&amp;"*")</f>
        <v>1</v>
      </c>
      <c r="I1347" s="200">
        <f t="shared" si="6814"/>
        <v>0</v>
      </c>
      <c r="J1347" s="200">
        <f t="shared" si="6814"/>
        <v>0</v>
      </c>
      <c r="K1347" s="200">
        <f t="shared" si="6814"/>
        <v>0</v>
      </c>
      <c r="L1347" s="200">
        <f t="shared" si="6814"/>
        <v>0</v>
      </c>
      <c r="M1347" s="200">
        <f t="shared" si="6814"/>
        <v>0</v>
      </c>
      <c r="N1347" s="200">
        <f t="shared" si="6814"/>
        <v>0</v>
      </c>
      <c r="O1347" s="200">
        <f t="shared" si="6814"/>
        <v>0</v>
      </c>
      <c r="P1347" s="200">
        <f t="shared" si="9"/>
        <v>0</v>
      </c>
      <c r="Q1347" s="200">
        <f t="shared" ref="Q1347:AC1347" si="6815">countif($D1347,"*"&amp;Q$2&amp;"*")</f>
        <v>0</v>
      </c>
      <c r="R1347" s="200">
        <f t="shared" si="6815"/>
        <v>0</v>
      </c>
      <c r="S1347" s="200">
        <f t="shared" si="6815"/>
        <v>0</v>
      </c>
      <c r="T1347" s="200">
        <f t="shared" si="6815"/>
        <v>0</v>
      </c>
      <c r="U1347" s="200">
        <f t="shared" si="6815"/>
        <v>0</v>
      </c>
      <c r="V1347" s="200">
        <f t="shared" si="6815"/>
        <v>0</v>
      </c>
      <c r="W1347" s="200">
        <f t="shared" si="6815"/>
        <v>0</v>
      </c>
      <c r="X1347" s="200">
        <f t="shared" si="6815"/>
        <v>0</v>
      </c>
      <c r="Y1347" s="200">
        <f t="shared" si="6815"/>
        <v>0</v>
      </c>
      <c r="Z1347" s="200">
        <f t="shared" si="6815"/>
        <v>0</v>
      </c>
      <c r="AA1347" s="200">
        <f t="shared" si="6815"/>
        <v>0</v>
      </c>
      <c r="AB1347" s="200">
        <f t="shared" si="6815"/>
        <v>0</v>
      </c>
      <c r="AC1347" s="200">
        <f t="shared" si="6815"/>
        <v>0</v>
      </c>
      <c r="AD1347" s="200">
        <f t="shared" si="11"/>
        <v>0</v>
      </c>
      <c r="AE1347" s="200">
        <f t="shared" ref="AE1347:AG1347" si="6816">countif($D1347,"*"&amp;AE$2&amp;"*")</f>
        <v>0</v>
      </c>
      <c r="AF1347" s="200">
        <f t="shared" si="6816"/>
        <v>0</v>
      </c>
      <c r="AG1347" s="200">
        <f t="shared" si="6816"/>
        <v>0</v>
      </c>
      <c r="AH1347" s="171">
        <f t="shared" si="13"/>
        <v>0</v>
      </c>
      <c r="AI1347" s="200">
        <f t="shared" si="14"/>
        <v>1</v>
      </c>
      <c r="AJ1347" s="200">
        <f t="shared" si="6100"/>
        <v>0</v>
      </c>
      <c r="AK1347" s="201">
        <f t="shared" ref="AK1347:AS1347" si="6817">countif($D1347,"*"&amp;AK$2&amp;"*")</f>
        <v>0</v>
      </c>
      <c r="AL1347" s="201">
        <f t="shared" si="6817"/>
        <v>0</v>
      </c>
      <c r="AM1347" s="201">
        <f t="shared" si="6817"/>
        <v>0</v>
      </c>
      <c r="AN1347" s="201">
        <f t="shared" si="6817"/>
        <v>0</v>
      </c>
      <c r="AO1347" s="201">
        <f t="shared" si="6817"/>
        <v>0</v>
      </c>
      <c r="AP1347" s="201">
        <f t="shared" si="6817"/>
        <v>0</v>
      </c>
      <c r="AQ1347" s="201">
        <f t="shared" si="6817"/>
        <v>0</v>
      </c>
      <c r="AR1347" s="200">
        <f t="shared" si="6817"/>
        <v>0</v>
      </c>
      <c r="AS1347" s="200">
        <f t="shared" si="6817"/>
        <v>0</v>
      </c>
      <c r="AT1347" s="173">
        <v>0.0</v>
      </c>
      <c r="AU1347" s="200">
        <f t="shared" si="6217"/>
        <v>0</v>
      </c>
      <c r="AV1347" s="200">
        <f t="shared" ref="AV1347:AX1347" si="6818">countif($D1347,"*"&amp;AV$2&amp;"*")</f>
        <v>0</v>
      </c>
      <c r="AW1347" s="200">
        <f t="shared" si="6818"/>
        <v>0</v>
      </c>
      <c r="AX1347" s="200">
        <f t="shared" si="6818"/>
        <v>1</v>
      </c>
      <c r="AY1347" s="202">
        <v>0.0</v>
      </c>
      <c r="AZ1347" s="200"/>
      <c r="BA1347" s="171" t="str">
        <f t="shared" si="18"/>
        <v>Archival</v>
      </c>
      <c r="BB1347" s="171" t="str">
        <f t="shared" si="19"/>
        <v/>
      </c>
      <c r="BC1347" s="171" t="str">
        <f t="shared" si="20"/>
        <v/>
      </c>
      <c r="BD1347" s="171" t="str">
        <f t="shared" si="21"/>
        <v/>
      </c>
      <c r="BE1347" s="171" t="str">
        <f t="shared" si="22"/>
        <v/>
      </c>
      <c r="BF1347" s="171" t="str">
        <f t="shared" si="23"/>
        <v>Archival</v>
      </c>
    </row>
    <row r="1348">
      <c r="A1348" s="171">
        <f t="array" ref="A1348">XLOOKUP(C1348,FSE!A:A,FSE!C:C,"XXXXX",0,1)</f>
        <v>2023</v>
      </c>
      <c r="B1348" s="213" t="s">
        <v>5676</v>
      </c>
      <c r="C1348" s="214">
        <v>93.0</v>
      </c>
      <c r="D1348" s="215" t="s">
        <v>5564</v>
      </c>
      <c r="E1348" s="197" t="str">
        <f t="array" ref="E1348">XLOOKUP(C1348,FSE!A:A,FSE!Z:Z,"XXXXX",0,1)</f>
        <v>Publicly Available (1)</v>
      </c>
      <c r="F1348" s="213" t="s">
        <v>3394</v>
      </c>
      <c r="G1348" s="163" t="str">
        <f t="array" ref="G1348">IF(B1348="ICSE",IF(COUNTIFS(B:B,B1348,C:C,C1348)=XLOOKUP(C1348,ICSE!A:A,ICSE!AA:AA,"ERROR",0,1),"OK","ERROR"),IF(B1348="FSE",IF(COUNTIFS(B:B,B1348,C:C,C1348)=XLOOKUP(C1348,FSE!A:A,FSE!AA:AA,"ERROR",0,1),"OK","ERROR")))</f>
        <v>OK</v>
      </c>
      <c r="H1348" s="199">
        <f t="shared" ref="H1348:O1348" si="6819">countif($D1348,"*"&amp;H$2&amp;"*")</f>
        <v>0</v>
      </c>
      <c r="I1348" s="200">
        <f t="shared" si="6819"/>
        <v>0</v>
      </c>
      <c r="J1348" s="200">
        <f t="shared" si="6819"/>
        <v>0</v>
      </c>
      <c r="K1348" s="200">
        <f t="shared" si="6819"/>
        <v>0</v>
      </c>
      <c r="L1348" s="200">
        <f t="shared" si="6819"/>
        <v>0</v>
      </c>
      <c r="M1348" s="200">
        <f t="shared" si="6819"/>
        <v>0</v>
      </c>
      <c r="N1348" s="200">
        <f t="shared" si="6819"/>
        <v>0</v>
      </c>
      <c r="O1348" s="200">
        <f t="shared" si="6819"/>
        <v>0</v>
      </c>
      <c r="P1348" s="200">
        <f t="shared" si="9"/>
        <v>1</v>
      </c>
      <c r="Q1348" s="200">
        <f t="shared" ref="Q1348:AC1348" si="6820">countif($D1348,"*"&amp;Q$2&amp;"*")</f>
        <v>0</v>
      </c>
      <c r="R1348" s="200">
        <f t="shared" si="6820"/>
        <v>0</v>
      </c>
      <c r="S1348" s="200">
        <f t="shared" si="6820"/>
        <v>0</v>
      </c>
      <c r="T1348" s="200">
        <f t="shared" si="6820"/>
        <v>0</v>
      </c>
      <c r="U1348" s="200">
        <f t="shared" si="6820"/>
        <v>0</v>
      </c>
      <c r="V1348" s="200">
        <f t="shared" si="6820"/>
        <v>0</v>
      </c>
      <c r="W1348" s="200">
        <f t="shared" si="6820"/>
        <v>0</v>
      </c>
      <c r="X1348" s="200">
        <f t="shared" si="6820"/>
        <v>0</v>
      </c>
      <c r="Y1348" s="200">
        <f t="shared" si="6820"/>
        <v>0</v>
      </c>
      <c r="Z1348" s="200">
        <f t="shared" si="6820"/>
        <v>0</v>
      </c>
      <c r="AA1348" s="200">
        <f t="shared" si="6820"/>
        <v>0</v>
      </c>
      <c r="AB1348" s="200">
        <f t="shared" si="6820"/>
        <v>0</v>
      </c>
      <c r="AC1348" s="200">
        <f t="shared" si="6820"/>
        <v>0</v>
      </c>
      <c r="AD1348" s="200">
        <f t="shared" si="11"/>
        <v>0</v>
      </c>
      <c r="AE1348" s="200">
        <f t="shared" ref="AE1348:AG1348" si="6821">countif($D1348,"*"&amp;AE$2&amp;"*")</f>
        <v>0</v>
      </c>
      <c r="AF1348" s="200">
        <f t="shared" si="6821"/>
        <v>0</v>
      </c>
      <c r="AG1348" s="200">
        <f t="shared" si="6821"/>
        <v>0</v>
      </c>
      <c r="AH1348" s="171">
        <f t="shared" si="13"/>
        <v>0</v>
      </c>
      <c r="AI1348" s="200">
        <f t="shared" si="14"/>
        <v>0</v>
      </c>
      <c r="AJ1348" s="200">
        <f t="shared" si="6100"/>
        <v>0</v>
      </c>
      <c r="AK1348" s="201">
        <f t="shared" ref="AK1348:AS1348" si="6822">countif($D1348,"*"&amp;AK$2&amp;"*")</f>
        <v>0</v>
      </c>
      <c r="AL1348" s="201">
        <f t="shared" si="6822"/>
        <v>0</v>
      </c>
      <c r="AM1348" s="201">
        <f t="shared" si="6822"/>
        <v>0</v>
      </c>
      <c r="AN1348" s="201">
        <f t="shared" si="6822"/>
        <v>0</v>
      </c>
      <c r="AO1348" s="201">
        <f t="shared" si="6822"/>
        <v>0</v>
      </c>
      <c r="AP1348" s="201">
        <f t="shared" si="6822"/>
        <v>0</v>
      </c>
      <c r="AQ1348" s="201">
        <f t="shared" si="6822"/>
        <v>0</v>
      </c>
      <c r="AR1348" s="200">
        <f t="shared" si="6822"/>
        <v>0</v>
      </c>
      <c r="AS1348" s="200">
        <f t="shared" si="6822"/>
        <v>0</v>
      </c>
      <c r="AT1348" s="173">
        <v>0.0</v>
      </c>
      <c r="AU1348" s="200">
        <f t="shared" si="6217"/>
        <v>0</v>
      </c>
      <c r="AV1348" s="200">
        <f t="shared" ref="AV1348:AX1348" si="6823">countif($D1348,"*"&amp;AV$2&amp;"*")</f>
        <v>1</v>
      </c>
      <c r="AW1348" s="200">
        <f t="shared" si="6823"/>
        <v>0</v>
      </c>
      <c r="AX1348" s="200">
        <f t="shared" si="6823"/>
        <v>0</v>
      </c>
      <c r="AY1348" s="202">
        <v>0.0</v>
      </c>
      <c r="AZ1348" s="200"/>
      <c r="BA1348" s="171" t="str">
        <f t="shared" si="18"/>
        <v/>
      </c>
      <c r="BB1348" s="171" t="str">
        <f t="shared" si="19"/>
        <v>Code</v>
      </c>
      <c r="BC1348" s="171" t="str">
        <f t="shared" si="20"/>
        <v/>
      </c>
      <c r="BD1348" s="171" t="str">
        <f t="shared" si="21"/>
        <v/>
      </c>
      <c r="BE1348" s="171" t="str">
        <f t="shared" si="22"/>
        <v/>
      </c>
      <c r="BF1348" s="171" t="str">
        <f t="shared" si="23"/>
        <v>Code</v>
      </c>
    </row>
    <row r="1349">
      <c r="A1349" s="171">
        <f t="array" ref="A1349">XLOOKUP(C1349,FSE!A:A,FSE!C:C,"XXXXX",0,1)</f>
        <v>2023</v>
      </c>
      <c r="B1349" s="213" t="s">
        <v>5676</v>
      </c>
      <c r="C1349" s="214">
        <v>94.0</v>
      </c>
      <c r="D1349" s="215" t="s">
        <v>5567</v>
      </c>
      <c r="E1349" s="197" t="str">
        <f t="array" ref="E1349">XLOOKUP(C1349,FSE!A:A,FSE!Z:Z,"XXXXX",0,1)</f>
        <v>Publicly Available (1)</v>
      </c>
      <c r="F1349" s="213" t="s">
        <v>3394</v>
      </c>
      <c r="G1349" s="163" t="str">
        <f t="array" ref="G1349">IF(B1349="ICSE",IF(COUNTIFS(B:B,B1349,C:C,C1349)=XLOOKUP(C1349,ICSE!A:A,ICSE!AA:AA,"ERROR",0,1),"OK","ERROR"),IF(B1349="FSE",IF(COUNTIFS(B:B,B1349,C:C,C1349)=XLOOKUP(C1349,FSE!A:A,FSE!AA:AA,"ERROR",0,1),"OK","ERROR")))</f>
        <v>OK</v>
      </c>
      <c r="H1349" s="199">
        <f t="shared" ref="H1349:O1349" si="6824">countif($D1349,"*"&amp;H$2&amp;"*")</f>
        <v>0</v>
      </c>
      <c r="I1349" s="200">
        <f t="shared" si="6824"/>
        <v>0</v>
      </c>
      <c r="J1349" s="200">
        <f t="shared" si="6824"/>
        <v>0</v>
      </c>
      <c r="K1349" s="200">
        <f t="shared" si="6824"/>
        <v>0</v>
      </c>
      <c r="L1349" s="200">
        <f t="shared" si="6824"/>
        <v>0</v>
      </c>
      <c r="M1349" s="200">
        <f t="shared" si="6824"/>
        <v>0</v>
      </c>
      <c r="N1349" s="200">
        <f t="shared" si="6824"/>
        <v>0</v>
      </c>
      <c r="O1349" s="200">
        <f t="shared" si="6824"/>
        <v>0</v>
      </c>
      <c r="P1349" s="200">
        <f t="shared" si="9"/>
        <v>1</v>
      </c>
      <c r="Q1349" s="200">
        <f t="shared" ref="Q1349:AC1349" si="6825">countif($D1349,"*"&amp;Q$2&amp;"*")</f>
        <v>0</v>
      </c>
      <c r="R1349" s="200">
        <f t="shared" si="6825"/>
        <v>0</v>
      </c>
      <c r="S1349" s="200">
        <f t="shared" si="6825"/>
        <v>0</v>
      </c>
      <c r="T1349" s="200">
        <f t="shared" si="6825"/>
        <v>0</v>
      </c>
      <c r="U1349" s="200">
        <f t="shared" si="6825"/>
        <v>0</v>
      </c>
      <c r="V1349" s="200">
        <f t="shared" si="6825"/>
        <v>0</v>
      </c>
      <c r="W1349" s="200">
        <f t="shared" si="6825"/>
        <v>0</v>
      </c>
      <c r="X1349" s="200">
        <f t="shared" si="6825"/>
        <v>0</v>
      </c>
      <c r="Y1349" s="200">
        <f t="shared" si="6825"/>
        <v>0</v>
      </c>
      <c r="Z1349" s="200">
        <f t="shared" si="6825"/>
        <v>0</v>
      </c>
      <c r="AA1349" s="200">
        <f t="shared" si="6825"/>
        <v>0</v>
      </c>
      <c r="AB1349" s="200">
        <f t="shared" si="6825"/>
        <v>0</v>
      </c>
      <c r="AC1349" s="200">
        <f t="shared" si="6825"/>
        <v>0</v>
      </c>
      <c r="AD1349" s="200">
        <f t="shared" si="11"/>
        <v>0</v>
      </c>
      <c r="AE1349" s="200">
        <f t="shared" ref="AE1349:AG1349" si="6826">countif($D1349,"*"&amp;AE$2&amp;"*")</f>
        <v>0</v>
      </c>
      <c r="AF1349" s="200">
        <f t="shared" si="6826"/>
        <v>0</v>
      </c>
      <c r="AG1349" s="200">
        <f t="shared" si="6826"/>
        <v>0</v>
      </c>
      <c r="AH1349" s="171">
        <f t="shared" si="13"/>
        <v>0</v>
      </c>
      <c r="AI1349" s="200">
        <f t="shared" si="14"/>
        <v>0</v>
      </c>
      <c r="AJ1349" s="200">
        <f t="shared" si="6100"/>
        <v>0</v>
      </c>
      <c r="AK1349" s="201">
        <f t="shared" ref="AK1349:AS1349" si="6827">countif($D1349,"*"&amp;AK$2&amp;"*")</f>
        <v>0</v>
      </c>
      <c r="AL1349" s="201">
        <f t="shared" si="6827"/>
        <v>0</v>
      </c>
      <c r="AM1349" s="201">
        <f t="shared" si="6827"/>
        <v>0</v>
      </c>
      <c r="AN1349" s="201">
        <f t="shared" si="6827"/>
        <v>0</v>
      </c>
      <c r="AO1349" s="201">
        <f t="shared" si="6827"/>
        <v>0</v>
      </c>
      <c r="AP1349" s="201">
        <f t="shared" si="6827"/>
        <v>0</v>
      </c>
      <c r="AQ1349" s="201">
        <f t="shared" si="6827"/>
        <v>0</v>
      </c>
      <c r="AR1349" s="200">
        <f t="shared" si="6827"/>
        <v>0</v>
      </c>
      <c r="AS1349" s="200">
        <f t="shared" si="6827"/>
        <v>0</v>
      </c>
      <c r="AT1349" s="173">
        <v>0.0</v>
      </c>
      <c r="AU1349" s="200">
        <f t="shared" si="6217"/>
        <v>0</v>
      </c>
      <c r="AV1349" s="200">
        <f t="shared" ref="AV1349:AX1349" si="6828">countif($D1349,"*"&amp;AV$2&amp;"*")</f>
        <v>1</v>
      </c>
      <c r="AW1349" s="200">
        <f t="shared" si="6828"/>
        <v>0</v>
      </c>
      <c r="AX1349" s="200">
        <f t="shared" si="6828"/>
        <v>0</v>
      </c>
      <c r="AY1349" s="202">
        <v>0.0</v>
      </c>
      <c r="AZ1349" s="200"/>
      <c r="BA1349" s="171" t="str">
        <f t="shared" si="18"/>
        <v/>
      </c>
      <c r="BB1349" s="171" t="str">
        <f t="shared" si="19"/>
        <v>Code</v>
      </c>
      <c r="BC1349" s="171" t="str">
        <f t="shared" si="20"/>
        <v/>
      </c>
      <c r="BD1349" s="171" t="str">
        <f t="shared" si="21"/>
        <v/>
      </c>
      <c r="BE1349" s="171" t="str">
        <f t="shared" si="22"/>
        <v/>
      </c>
      <c r="BF1349" s="171" t="str">
        <f t="shared" si="23"/>
        <v>Code</v>
      </c>
    </row>
    <row r="1350">
      <c r="A1350" s="171">
        <f t="array" ref="A1350">XLOOKUP(C1350,FSE!A:A,FSE!C:C,"XXXXX",0,1)</f>
        <v>2023</v>
      </c>
      <c r="B1350" s="213" t="s">
        <v>5676</v>
      </c>
      <c r="C1350" s="219">
        <v>95.0</v>
      </c>
      <c r="D1350" s="217" t="s">
        <v>6223</v>
      </c>
      <c r="E1350" s="197" t="str">
        <f t="array" ref="E1350">XLOOKUP(C1350,FSE!A:A,FSE!Z:Z,"XXXXX",0,1)</f>
        <v>Publicly Available (2)</v>
      </c>
      <c r="F1350" s="213" t="s">
        <v>3394</v>
      </c>
      <c r="G1350" s="163" t="str">
        <f t="array" ref="G1350">IF(B1350="ICSE",IF(COUNTIFS(B:B,B1350,C:C,C1350)=XLOOKUP(C1350,ICSE!A:A,ICSE!AA:AA,"ERROR",0,1),"OK","ERROR"),IF(B1350="FSE",IF(COUNTIFS(B:B,B1350,C:C,C1350)=XLOOKUP(C1350,FSE!A:A,FSE!AA:AA,"ERROR",0,1),"OK","ERROR")))</f>
        <v>OK</v>
      </c>
      <c r="H1350" s="199">
        <f t="shared" ref="H1350:O1350" si="6829">countif($D1350,"*"&amp;H$2&amp;"*")</f>
        <v>1</v>
      </c>
      <c r="I1350" s="200">
        <f t="shared" si="6829"/>
        <v>0</v>
      </c>
      <c r="J1350" s="200">
        <f t="shared" si="6829"/>
        <v>0</v>
      </c>
      <c r="K1350" s="200">
        <f t="shared" si="6829"/>
        <v>0</v>
      </c>
      <c r="L1350" s="200">
        <f t="shared" si="6829"/>
        <v>0</v>
      </c>
      <c r="M1350" s="200">
        <f t="shared" si="6829"/>
        <v>0</v>
      </c>
      <c r="N1350" s="200">
        <f t="shared" si="6829"/>
        <v>0</v>
      </c>
      <c r="O1350" s="200">
        <f t="shared" si="6829"/>
        <v>0</v>
      </c>
      <c r="P1350" s="200">
        <f t="shared" si="9"/>
        <v>0</v>
      </c>
      <c r="Q1350" s="200">
        <f t="shared" ref="Q1350:AC1350" si="6830">countif($D1350,"*"&amp;Q$2&amp;"*")</f>
        <v>0</v>
      </c>
      <c r="R1350" s="200">
        <f t="shared" si="6830"/>
        <v>0</v>
      </c>
      <c r="S1350" s="200">
        <f t="shared" si="6830"/>
        <v>0</v>
      </c>
      <c r="T1350" s="200">
        <f t="shared" si="6830"/>
        <v>0</v>
      </c>
      <c r="U1350" s="200">
        <f t="shared" si="6830"/>
        <v>0</v>
      </c>
      <c r="V1350" s="200">
        <f t="shared" si="6830"/>
        <v>0</v>
      </c>
      <c r="W1350" s="200">
        <f t="shared" si="6830"/>
        <v>0</v>
      </c>
      <c r="X1350" s="200">
        <f t="shared" si="6830"/>
        <v>0</v>
      </c>
      <c r="Y1350" s="200">
        <f t="shared" si="6830"/>
        <v>0</v>
      </c>
      <c r="Z1350" s="200">
        <f t="shared" si="6830"/>
        <v>0</v>
      </c>
      <c r="AA1350" s="200">
        <f t="shared" si="6830"/>
        <v>0</v>
      </c>
      <c r="AB1350" s="200">
        <f t="shared" si="6830"/>
        <v>0</v>
      </c>
      <c r="AC1350" s="200">
        <f t="shared" si="6830"/>
        <v>0</v>
      </c>
      <c r="AD1350" s="200">
        <f t="shared" si="11"/>
        <v>0</v>
      </c>
      <c r="AE1350" s="200">
        <f t="shared" ref="AE1350:AG1350" si="6831">countif($D1350,"*"&amp;AE$2&amp;"*")</f>
        <v>0</v>
      </c>
      <c r="AF1350" s="200">
        <f t="shared" si="6831"/>
        <v>0</v>
      </c>
      <c r="AG1350" s="200">
        <f t="shared" si="6831"/>
        <v>0</v>
      </c>
      <c r="AH1350" s="171">
        <f t="shared" si="13"/>
        <v>0</v>
      </c>
      <c r="AI1350" s="200">
        <f t="shared" si="14"/>
        <v>1</v>
      </c>
      <c r="AJ1350" s="200">
        <f t="shared" si="6100"/>
        <v>0</v>
      </c>
      <c r="AK1350" s="201">
        <f t="shared" ref="AK1350:AS1350" si="6832">countif($D1350,"*"&amp;AK$2&amp;"*")</f>
        <v>0</v>
      </c>
      <c r="AL1350" s="201">
        <f t="shared" si="6832"/>
        <v>0</v>
      </c>
      <c r="AM1350" s="201">
        <f t="shared" si="6832"/>
        <v>0</v>
      </c>
      <c r="AN1350" s="201">
        <f t="shared" si="6832"/>
        <v>0</v>
      </c>
      <c r="AO1350" s="201">
        <f t="shared" si="6832"/>
        <v>0</v>
      </c>
      <c r="AP1350" s="201">
        <f t="shared" si="6832"/>
        <v>0</v>
      </c>
      <c r="AQ1350" s="201">
        <f t="shared" si="6832"/>
        <v>0</v>
      </c>
      <c r="AR1350" s="200">
        <f t="shared" si="6832"/>
        <v>0</v>
      </c>
      <c r="AS1350" s="200">
        <f t="shared" si="6832"/>
        <v>0</v>
      </c>
      <c r="AT1350" s="173">
        <v>0.0</v>
      </c>
      <c r="AU1350" s="200">
        <f t="shared" si="6217"/>
        <v>0</v>
      </c>
      <c r="AV1350" s="200">
        <f t="shared" ref="AV1350:AX1350" si="6833">countif($D1350,"*"&amp;AV$2&amp;"*")</f>
        <v>0</v>
      </c>
      <c r="AW1350" s="200">
        <f t="shared" si="6833"/>
        <v>0</v>
      </c>
      <c r="AX1350" s="200">
        <f t="shared" si="6833"/>
        <v>1</v>
      </c>
      <c r="AY1350" s="202">
        <v>0.0</v>
      </c>
      <c r="AZ1350" s="200"/>
      <c r="BA1350" s="171" t="str">
        <f t="shared" si="18"/>
        <v>Archival</v>
      </c>
      <c r="BB1350" s="171" t="str">
        <f t="shared" si="19"/>
        <v/>
      </c>
      <c r="BC1350" s="171" t="str">
        <f t="shared" si="20"/>
        <v/>
      </c>
      <c r="BD1350" s="171" t="str">
        <f t="shared" si="21"/>
        <v/>
      </c>
      <c r="BE1350" s="171" t="str">
        <f t="shared" si="22"/>
        <v/>
      </c>
      <c r="BF1350" s="171" t="str">
        <f t="shared" si="23"/>
        <v>Archival</v>
      </c>
    </row>
    <row r="1351">
      <c r="A1351" s="171">
        <f t="array" ref="A1351">XLOOKUP(C1351,FSE!A:A,FSE!C:C,"XXXXX",0,1)</f>
        <v>2023</v>
      </c>
      <c r="B1351" s="213" t="s">
        <v>5676</v>
      </c>
      <c r="C1351" s="214">
        <v>95.0</v>
      </c>
      <c r="D1351" s="215" t="s">
        <v>6224</v>
      </c>
      <c r="E1351" s="197" t="str">
        <f t="array" ref="E1351">XLOOKUP(C1351,FSE!A:A,FSE!Z:Z,"XXXXX",0,1)</f>
        <v>Publicly Available (2)</v>
      </c>
      <c r="F1351" s="213" t="s">
        <v>3394</v>
      </c>
      <c r="G1351" s="163" t="str">
        <f t="array" ref="G1351">IF(B1351="ICSE",IF(COUNTIFS(B:B,B1351,C:C,C1351)=XLOOKUP(C1351,ICSE!A:A,ICSE!AA:AA,"ERROR",0,1),"OK","ERROR"),IF(B1351="FSE",IF(COUNTIFS(B:B,B1351,C:C,C1351)=XLOOKUP(C1351,FSE!A:A,FSE!AA:AA,"ERROR",0,1),"OK","ERROR")))</f>
        <v>OK</v>
      </c>
      <c r="H1351" s="199">
        <f t="shared" ref="H1351:O1351" si="6834">countif($D1351,"*"&amp;H$2&amp;"*")</f>
        <v>0</v>
      </c>
      <c r="I1351" s="200">
        <f t="shared" si="6834"/>
        <v>0</v>
      </c>
      <c r="J1351" s="200">
        <f t="shared" si="6834"/>
        <v>0</v>
      </c>
      <c r="K1351" s="200">
        <f t="shared" si="6834"/>
        <v>0</v>
      </c>
      <c r="L1351" s="200">
        <f t="shared" si="6834"/>
        <v>0</v>
      </c>
      <c r="M1351" s="200">
        <f t="shared" si="6834"/>
        <v>0</v>
      </c>
      <c r="N1351" s="200">
        <f t="shared" si="6834"/>
        <v>0</v>
      </c>
      <c r="O1351" s="200">
        <f t="shared" si="6834"/>
        <v>0</v>
      </c>
      <c r="P1351" s="200">
        <f t="shared" si="9"/>
        <v>1</v>
      </c>
      <c r="Q1351" s="200">
        <f t="shared" ref="Q1351:AC1351" si="6835">countif($D1351,"*"&amp;Q$2&amp;"*")</f>
        <v>0</v>
      </c>
      <c r="R1351" s="200">
        <f t="shared" si="6835"/>
        <v>0</v>
      </c>
      <c r="S1351" s="200">
        <f t="shared" si="6835"/>
        <v>0</v>
      </c>
      <c r="T1351" s="200">
        <f t="shared" si="6835"/>
        <v>0</v>
      </c>
      <c r="U1351" s="200">
        <f t="shared" si="6835"/>
        <v>0</v>
      </c>
      <c r="V1351" s="200">
        <f t="shared" si="6835"/>
        <v>0</v>
      </c>
      <c r="W1351" s="200">
        <f t="shared" si="6835"/>
        <v>0</v>
      </c>
      <c r="X1351" s="200">
        <f t="shared" si="6835"/>
        <v>0</v>
      </c>
      <c r="Y1351" s="200">
        <f t="shared" si="6835"/>
        <v>0</v>
      </c>
      <c r="Z1351" s="200">
        <f t="shared" si="6835"/>
        <v>0</v>
      </c>
      <c r="AA1351" s="200">
        <f t="shared" si="6835"/>
        <v>0</v>
      </c>
      <c r="AB1351" s="200">
        <f t="shared" si="6835"/>
        <v>0</v>
      </c>
      <c r="AC1351" s="200">
        <f t="shared" si="6835"/>
        <v>0</v>
      </c>
      <c r="AD1351" s="200">
        <f t="shared" si="11"/>
        <v>0</v>
      </c>
      <c r="AE1351" s="200">
        <f t="shared" ref="AE1351:AG1351" si="6836">countif($D1351,"*"&amp;AE$2&amp;"*")</f>
        <v>0</v>
      </c>
      <c r="AF1351" s="200">
        <f t="shared" si="6836"/>
        <v>0</v>
      </c>
      <c r="AG1351" s="200">
        <f t="shared" si="6836"/>
        <v>0</v>
      </c>
      <c r="AH1351" s="171">
        <f t="shared" si="13"/>
        <v>0</v>
      </c>
      <c r="AI1351" s="200">
        <f t="shared" si="14"/>
        <v>0</v>
      </c>
      <c r="AJ1351" s="200">
        <f t="shared" si="6100"/>
        <v>0</v>
      </c>
      <c r="AK1351" s="201">
        <f t="shared" ref="AK1351:AS1351" si="6837">countif($D1351,"*"&amp;AK$2&amp;"*")</f>
        <v>0</v>
      </c>
      <c r="AL1351" s="201">
        <f t="shared" si="6837"/>
        <v>0</v>
      </c>
      <c r="AM1351" s="201">
        <f t="shared" si="6837"/>
        <v>0</v>
      </c>
      <c r="AN1351" s="201">
        <f t="shared" si="6837"/>
        <v>0</v>
      </c>
      <c r="AO1351" s="201">
        <f t="shared" si="6837"/>
        <v>0</v>
      </c>
      <c r="AP1351" s="201">
        <f t="shared" si="6837"/>
        <v>0</v>
      </c>
      <c r="AQ1351" s="201">
        <f t="shared" si="6837"/>
        <v>0</v>
      </c>
      <c r="AR1351" s="200">
        <f t="shared" si="6837"/>
        <v>0</v>
      </c>
      <c r="AS1351" s="200">
        <f t="shared" si="6837"/>
        <v>0</v>
      </c>
      <c r="AT1351" s="173">
        <v>0.0</v>
      </c>
      <c r="AU1351" s="200">
        <f t="shared" si="6217"/>
        <v>0</v>
      </c>
      <c r="AV1351" s="200">
        <f t="shared" ref="AV1351:AX1351" si="6838">countif($D1351,"*"&amp;AV$2&amp;"*")</f>
        <v>1</v>
      </c>
      <c r="AW1351" s="200">
        <f t="shared" si="6838"/>
        <v>0</v>
      </c>
      <c r="AX1351" s="200">
        <f t="shared" si="6838"/>
        <v>0</v>
      </c>
      <c r="AY1351" s="202">
        <v>0.0</v>
      </c>
      <c r="AZ1351" s="200"/>
      <c r="BA1351" s="171" t="str">
        <f t="shared" si="18"/>
        <v/>
      </c>
      <c r="BB1351" s="171" t="str">
        <f t="shared" si="19"/>
        <v>Code</v>
      </c>
      <c r="BC1351" s="171" t="str">
        <f t="shared" si="20"/>
        <v/>
      </c>
      <c r="BD1351" s="171" t="str">
        <f t="shared" si="21"/>
        <v/>
      </c>
      <c r="BE1351" s="171" t="str">
        <f t="shared" si="22"/>
        <v/>
      </c>
      <c r="BF1351" s="171" t="str">
        <f t="shared" si="23"/>
        <v>Code</v>
      </c>
    </row>
    <row r="1352">
      <c r="A1352" s="171">
        <f t="array" ref="A1352">XLOOKUP(C1352,FSE!A:A,FSE!C:C,"XXXXX",0,1)</f>
        <v>2023</v>
      </c>
      <c r="B1352" s="213" t="s">
        <v>5676</v>
      </c>
      <c r="C1352" s="214">
        <v>96.0</v>
      </c>
      <c r="D1352" s="215" t="s">
        <v>5573</v>
      </c>
      <c r="E1352" s="197" t="str">
        <f t="array" ref="E1352">XLOOKUP(C1352,FSE!A:A,FSE!Z:Z,"XXXXX",0,1)</f>
        <v>Publicly Available (1)</v>
      </c>
      <c r="F1352" s="213" t="s">
        <v>3394</v>
      </c>
      <c r="G1352" s="163" t="str">
        <f t="array" ref="G1352">IF(B1352="ICSE",IF(COUNTIFS(B:B,B1352,C:C,C1352)=XLOOKUP(C1352,ICSE!A:A,ICSE!AA:AA,"ERROR",0,1),"OK","ERROR"),IF(B1352="FSE",IF(COUNTIFS(B:B,B1352,C:C,C1352)=XLOOKUP(C1352,FSE!A:A,FSE!AA:AA,"ERROR",0,1),"OK","ERROR")))</f>
        <v>OK</v>
      </c>
      <c r="H1352" s="199">
        <f t="shared" ref="H1352:O1352" si="6839">countif($D1352,"*"&amp;H$2&amp;"*")</f>
        <v>0</v>
      </c>
      <c r="I1352" s="200">
        <f t="shared" si="6839"/>
        <v>0</v>
      </c>
      <c r="J1352" s="200">
        <f t="shared" si="6839"/>
        <v>0</v>
      </c>
      <c r="K1352" s="200">
        <f t="shared" si="6839"/>
        <v>0</v>
      </c>
      <c r="L1352" s="200">
        <f t="shared" si="6839"/>
        <v>0</v>
      </c>
      <c r="M1352" s="200">
        <f t="shared" si="6839"/>
        <v>0</v>
      </c>
      <c r="N1352" s="200">
        <f t="shared" si="6839"/>
        <v>0</v>
      </c>
      <c r="O1352" s="200">
        <f t="shared" si="6839"/>
        <v>0</v>
      </c>
      <c r="P1352" s="200">
        <f t="shared" si="9"/>
        <v>1</v>
      </c>
      <c r="Q1352" s="200">
        <f t="shared" ref="Q1352:AC1352" si="6840">countif($D1352,"*"&amp;Q$2&amp;"*")</f>
        <v>0</v>
      </c>
      <c r="R1352" s="200">
        <f t="shared" si="6840"/>
        <v>0</v>
      </c>
      <c r="S1352" s="200">
        <f t="shared" si="6840"/>
        <v>0</v>
      </c>
      <c r="T1352" s="200">
        <f t="shared" si="6840"/>
        <v>0</v>
      </c>
      <c r="U1352" s="200">
        <f t="shared" si="6840"/>
        <v>0</v>
      </c>
      <c r="V1352" s="200">
        <f t="shared" si="6840"/>
        <v>0</v>
      </c>
      <c r="W1352" s="200">
        <f t="shared" si="6840"/>
        <v>0</v>
      </c>
      <c r="X1352" s="200">
        <f t="shared" si="6840"/>
        <v>0</v>
      </c>
      <c r="Y1352" s="200">
        <f t="shared" si="6840"/>
        <v>0</v>
      </c>
      <c r="Z1352" s="200">
        <f t="shared" si="6840"/>
        <v>0</v>
      </c>
      <c r="AA1352" s="200">
        <f t="shared" si="6840"/>
        <v>0</v>
      </c>
      <c r="AB1352" s="200">
        <f t="shared" si="6840"/>
        <v>0</v>
      </c>
      <c r="AC1352" s="200">
        <f t="shared" si="6840"/>
        <v>0</v>
      </c>
      <c r="AD1352" s="200">
        <f t="shared" si="11"/>
        <v>0</v>
      </c>
      <c r="AE1352" s="200">
        <f t="shared" ref="AE1352:AG1352" si="6841">countif($D1352,"*"&amp;AE$2&amp;"*")</f>
        <v>0</v>
      </c>
      <c r="AF1352" s="200">
        <f t="shared" si="6841"/>
        <v>0</v>
      </c>
      <c r="AG1352" s="200">
        <f t="shared" si="6841"/>
        <v>0</v>
      </c>
      <c r="AH1352" s="171">
        <f t="shared" si="13"/>
        <v>0</v>
      </c>
      <c r="AI1352" s="200">
        <f t="shared" si="14"/>
        <v>0</v>
      </c>
      <c r="AJ1352" s="200">
        <f t="shared" si="6100"/>
        <v>0</v>
      </c>
      <c r="AK1352" s="201">
        <f t="shared" ref="AK1352:AS1352" si="6842">countif($D1352,"*"&amp;AK$2&amp;"*")</f>
        <v>0</v>
      </c>
      <c r="AL1352" s="201">
        <f t="shared" si="6842"/>
        <v>0</v>
      </c>
      <c r="AM1352" s="201">
        <f t="shared" si="6842"/>
        <v>0</v>
      </c>
      <c r="AN1352" s="201">
        <f t="shared" si="6842"/>
        <v>0</v>
      </c>
      <c r="AO1352" s="201">
        <f t="shared" si="6842"/>
        <v>0</v>
      </c>
      <c r="AP1352" s="201">
        <f t="shared" si="6842"/>
        <v>0</v>
      </c>
      <c r="AQ1352" s="201">
        <f t="shared" si="6842"/>
        <v>0</v>
      </c>
      <c r="AR1352" s="200">
        <f t="shared" si="6842"/>
        <v>0</v>
      </c>
      <c r="AS1352" s="200">
        <f t="shared" si="6842"/>
        <v>0</v>
      </c>
      <c r="AT1352" s="173">
        <v>0.0</v>
      </c>
      <c r="AU1352" s="200">
        <f t="shared" si="6217"/>
        <v>0</v>
      </c>
      <c r="AV1352" s="200">
        <f t="shared" ref="AV1352:AX1352" si="6843">countif($D1352,"*"&amp;AV$2&amp;"*")</f>
        <v>1</v>
      </c>
      <c r="AW1352" s="200">
        <f t="shared" si="6843"/>
        <v>0</v>
      </c>
      <c r="AX1352" s="200">
        <f t="shared" si="6843"/>
        <v>0</v>
      </c>
      <c r="AY1352" s="202">
        <v>0.0</v>
      </c>
      <c r="AZ1352" s="200"/>
      <c r="BA1352" s="171" t="str">
        <f t="shared" si="18"/>
        <v/>
      </c>
      <c r="BB1352" s="171" t="str">
        <f t="shared" si="19"/>
        <v>Code</v>
      </c>
      <c r="BC1352" s="171" t="str">
        <f t="shared" si="20"/>
        <v/>
      </c>
      <c r="BD1352" s="171" t="str">
        <f t="shared" si="21"/>
        <v/>
      </c>
      <c r="BE1352" s="171" t="str">
        <f t="shared" si="22"/>
        <v/>
      </c>
      <c r="BF1352" s="171" t="str">
        <f t="shared" si="23"/>
        <v>Code</v>
      </c>
    </row>
    <row r="1353">
      <c r="A1353" s="171">
        <f t="array" ref="A1353">XLOOKUP(C1353,FSE!A:A,FSE!C:C,"XXXXX",0,1)</f>
        <v>2023</v>
      </c>
      <c r="B1353" s="213" t="s">
        <v>5676</v>
      </c>
      <c r="C1353" s="214">
        <v>97.0</v>
      </c>
      <c r="D1353" s="215" t="s">
        <v>5575</v>
      </c>
      <c r="E1353" s="197" t="str">
        <f t="array" ref="E1353">XLOOKUP(C1353,FSE!A:A,FSE!Z:Z,"XXXXX",0,1)</f>
        <v>Publicly Available (1)</v>
      </c>
      <c r="F1353" s="213" t="s">
        <v>3394</v>
      </c>
      <c r="G1353" s="163" t="str">
        <f t="array" ref="G1353">IF(B1353="ICSE",IF(COUNTIFS(B:B,B1353,C:C,C1353)=XLOOKUP(C1353,ICSE!A:A,ICSE!AA:AA,"ERROR",0,1),"OK","ERROR"),IF(B1353="FSE",IF(COUNTIFS(B:B,B1353,C:C,C1353)=XLOOKUP(C1353,FSE!A:A,FSE!AA:AA,"ERROR",0,1),"OK","ERROR")))</f>
        <v>OK</v>
      </c>
      <c r="H1353" s="199">
        <f t="shared" ref="H1353:O1353" si="6844">countif($D1353,"*"&amp;H$2&amp;"*")</f>
        <v>0</v>
      </c>
      <c r="I1353" s="200">
        <f t="shared" si="6844"/>
        <v>0</v>
      </c>
      <c r="J1353" s="200">
        <f t="shared" si="6844"/>
        <v>0</v>
      </c>
      <c r="K1353" s="200">
        <f t="shared" si="6844"/>
        <v>0</v>
      </c>
      <c r="L1353" s="200">
        <f t="shared" si="6844"/>
        <v>0</v>
      </c>
      <c r="M1353" s="200">
        <f t="shared" si="6844"/>
        <v>0</v>
      </c>
      <c r="N1353" s="200">
        <f t="shared" si="6844"/>
        <v>0</v>
      </c>
      <c r="O1353" s="200">
        <f t="shared" si="6844"/>
        <v>0</v>
      </c>
      <c r="P1353" s="200">
        <f t="shared" si="9"/>
        <v>1</v>
      </c>
      <c r="Q1353" s="200">
        <f t="shared" ref="Q1353:AC1353" si="6845">countif($D1353,"*"&amp;Q$2&amp;"*")</f>
        <v>0</v>
      </c>
      <c r="R1353" s="200">
        <f t="shared" si="6845"/>
        <v>0</v>
      </c>
      <c r="S1353" s="200">
        <f t="shared" si="6845"/>
        <v>0</v>
      </c>
      <c r="T1353" s="200">
        <f t="shared" si="6845"/>
        <v>0</v>
      </c>
      <c r="U1353" s="200">
        <f t="shared" si="6845"/>
        <v>0</v>
      </c>
      <c r="V1353" s="200">
        <f t="shared" si="6845"/>
        <v>0</v>
      </c>
      <c r="W1353" s="200">
        <f t="shared" si="6845"/>
        <v>0</v>
      </c>
      <c r="X1353" s="200">
        <f t="shared" si="6845"/>
        <v>0</v>
      </c>
      <c r="Y1353" s="200">
        <f t="shared" si="6845"/>
        <v>0</v>
      </c>
      <c r="Z1353" s="200">
        <f t="shared" si="6845"/>
        <v>0</v>
      </c>
      <c r="AA1353" s="200">
        <f t="shared" si="6845"/>
        <v>0</v>
      </c>
      <c r="AB1353" s="200">
        <f t="shared" si="6845"/>
        <v>0</v>
      </c>
      <c r="AC1353" s="200">
        <f t="shared" si="6845"/>
        <v>0</v>
      </c>
      <c r="AD1353" s="200">
        <f t="shared" si="11"/>
        <v>0</v>
      </c>
      <c r="AE1353" s="200">
        <f t="shared" ref="AE1353:AG1353" si="6846">countif($D1353,"*"&amp;AE$2&amp;"*")</f>
        <v>0</v>
      </c>
      <c r="AF1353" s="200">
        <f t="shared" si="6846"/>
        <v>0</v>
      </c>
      <c r="AG1353" s="200">
        <f t="shared" si="6846"/>
        <v>0</v>
      </c>
      <c r="AH1353" s="171">
        <f t="shared" si="13"/>
        <v>0</v>
      </c>
      <c r="AI1353" s="200">
        <f t="shared" si="14"/>
        <v>0</v>
      </c>
      <c r="AJ1353" s="200">
        <f t="shared" si="6100"/>
        <v>0</v>
      </c>
      <c r="AK1353" s="201">
        <f t="shared" ref="AK1353:AS1353" si="6847">countif($D1353,"*"&amp;AK$2&amp;"*")</f>
        <v>0</v>
      </c>
      <c r="AL1353" s="201">
        <f t="shared" si="6847"/>
        <v>0</v>
      </c>
      <c r="AM1353" s="201">
        <f t="shared" si="6847"/>
        <v>0</v>
      </c>
      <c r="AN1353" s="201">
        <f t="shared" si="6847"/>
        <v>0</v>
      </c>
      <c r="AO1353" s="201">
        <f t="shared" si="6847"/>
        <v>0</v>
      </c>
      <c r="AP1353" s="201">
        <f t="shared" si="6847"/>
        <v>0</v>
      </c>
      <c r="AQ1353" s="201">
        <f t="shared" si="6847"/>
        <v>0</v>
      </c>
      <c r="AR1353" s="200">
        <f t="shared" si="6847"/>
        <v>0</v>
      </c>
      <c r="AS1353" s="200">
        <f t="shared" si="6847"/>
        <v>0</v>
      </c>
      <c r="AT1353" s="173">
        <v>0.0</v>
      </c>
      <c r="AU1353" s="200">
        <f t="shared" si="6217"/>
        <v>0</v>
      </c>
      <c r="AV1353" s="200">
        <f t="shared" ref="AV1353:AX1353" si="6848">countif($D1353,"*"&amp;AV$2&amp;"*")</f>
        <v>1</v>
      </c>
      <c r="AW1353" s="200">
        <f t="shared" si="6848"/>
        <v>0</v>
      </c>
      <c r="AX1353" s="200">
        <f t="shared" si="6848"/>
        <v>0</v>
      </c>
      <c r="AY1353" s="202">
        <v>0.0</v>
      </c>
      <c r="AZ1353" s="200"/>
      <c r="BA1353" s="171" t="str">
        <f t="shared" si="18"/>
        <v/>
      </c>
      <c r="BB1353" s="171" t="str">
        <f t="shared" si="19"/>
        <v>Code</v>
      </c>
      <c r="BC1353" s="171" t="str">
        <f t="shared" si="20"/>
        <v/>
      </c>
      <c r="BD1353" s="171" t="str">
        <f t="shared" si="21"/>
        <v/>
      </c>
      <c r="BE1353" s="171" t="str">
        <f t="shared" si="22"/>
        <v/>
      </c>
      <c r="BF1353" s="171" t="str">
        <f t="shared" si="23"/>
        <v>Code</v>
      </c>
    </row>
    <row r="1354">
      <c r="A1354" s="171">
        <f t="array" ref="A1354">XLOOKUP(C1354,FSE!A:A,FSE!C:C,"XXXXX",0,1)</f>
        <v>2023</v>
      </c>
      <c r="B1354" s="213" t="s">
        <v>5676</v>
      </c>
      <c r="C1354" s="214">
        <v>98.0</v>
      </c>
      <c r="D1354" s="215" t="s">
        <v>5578</v>
      </c>
      <c r="E1354" s="197" t="str">
        <f t="array" ref="E1354">XLOOKUP(C1354,FSE!A:A,FSE!Z:Z,"XXXXX",0,1)</f>
        <v>Publicly Available (1)</v>
      </c>
      <c r="F1354" s="213" t="s">
        <v>3394</v>
      </c>
      <c r="G1354" s="163" t="str">
        <f t="array" ref="G1354">IF(B1354="ICSE",IF(COUNTIFS(B:B,B1354,C:C,C1354)=XLOOKUP(C1354,ICSE!A:A,ICSE!AA:AA,"ERROR",0,1),"OK","ERROR"),IF(B1354="FSE",IF(COUNTIFS(B:B,B1354,C:C,C1354)=XLOOKUP(C1354,FSE!A:A,FSE!AA:AA,"ERROR",0,1),"OK","ERROR")))</f>
        <v>OK</v>
      </c>
      <c r="H1354" s="199">
        <f t="shared" ref="H1354:O1354" si="6849">countif($D1354,"*"&amp;H$2&amp;"*")</f>
        <v>0</v>
      </c>
      <c r="I1354" s="200">
        <f t="shared" si="6849"/>
        <v>0</v>
      </c>
      <c r="J1354" s="200">
        <f t="shared" si="6849"/>
        <v>0</v>
      </c>
      <c r="K1354" s="200">
        <f t="shared" si="6849"/>
        <v>0</v>
      </c>
      <c r="L1354" s="200">
        <f t="shared" si="6849"/>
        <v>0</v>
      </c>
      <c r="M1354" s="200">
        <f t="shared" si="6849"/>
        <v>0</v>
      </c>
      <c r="N1354" s="200">
        <f t="shared" si="6849"/>
        <v>0</v>
      </c>
      <c r="O1354" s="200">
        <f t="shared" si="6849"/>
        <v>0</v>
      </c>
      <c r="P1354" s="200">
        <f t="shared" si="9"/>
        <v>1</v>
      </c>
      <c r="Q1354" s="200">
        <f t="shared" ref="Q1354:AC1354" si="6850">countif($D1354,"*"&amp;Q$2&amp;"*")</f>
        <v>0</v>
      </c>
      <c r="R1354" s="200">
        <f t="shared" si="6850"/>
        <v>0</v>
      </c>
      <c r="S1354" s="200">
        <f t="shared" si="6850"/>
        <v>0</v>
      </c>
      <c r="T1354" s="200">
        <f t="shared" si="6850"/>
        <v>0</v>
      </c>
      <c r="U1354" s="200">
        <f t="shared" si="6850"/>
        <v>0</v>
      </c>
      <c r="V1354" s="200">
        <f t="shared" si="6850"/>
        <v>0</v>
      </c>
      <c r="W1354" s="200">
        <f t="shared" si="6850"/>
        <v>0</v>
      </c>
      <c r="X1354" s="200">
        <f t="shared" si="6850"/>
        <v>0</v>
      </c>
      <c r="Y1354" s="200">
        <f t="shared" si="6850"/>
        <v>0</v>
      </c>
      <c r="Z1354" s="200">
        <f t="shared" si="6850"/>
        <v>0</v>
      </c>
      <c r="AA1354" s="200">
        <f t="shared" si="6850"/>
        <v>0</v>
      </c>
      <c r="AB1354" s="200">
        <f t="shared" si="6850"/>
        <v>0</v>
      </c>
      <c r="AC1354" s="200">
        <f t="shared" si="6850"/>
        <v>0</v>
      </c>
      <c r="AD1354" s="200">
        <f t="shared" si="11"/>
        <v>0</v>
      </c>
      <c r="AE1354" s="200">
        <f t="shared" ref="AE1354:AG1354" si="6851">countif($D1354,"*"&amp;AE$2&amp;"*")</f>
        <v>0</v>
      </c>
      <c r="AF1354" s="200">
        <f t="shared" si="6851"/>
        <v>0</v>
      </c>
      <c r="AG1354" s="200">
        <f t="shared" si="6851"/>
        <v>0</v>
      </c>
      <c r="AH1354" s="171">
        <f t="shared" si="13"/>
        <v>0</v>
      </c>
      <c r="AI1354" s="200">
        <f t="shared" si="14"/>
        <v>0</v>
      </c>
      <c r="AJ1354" s="200">
        <f t="shared" si="6100"/>
        <v>0</v>
      </c>
      <c r="AK1354" s="201">
        <f t="shared" ref="AK1354:AS1354" si="6852">countif($D1354,"*"&amp;AK$2&amp;"*")</f>
        <v>0</v>
      </c>
      <c r="AL1354" s="201">
        <f t="shared" si="6852"/>
        <v>0</v>
      </c>
      <c r="AM1354" s="201">
        <f t="shared" si="6852"/>
        <v>0</v>
      </c>
      <c r="AN1354" s="201">
        <f t="shared" si="6852"/>
        <v>0</v>
      </c>
      <c r="AO1354" s="201">
        <f t="shared" si="6852"/>
        <v>0</v>
      </c>
      <c r="AP1354" s="201">
        <f t="shared" si="6852"/>
        <v>0</v>
      </c>
      <c r="AQ1354" s="201">
        <f t="shared" si="6852"/>
        <v>0</v>
      </c>
      <c r="AR1354" s="200">
        <f t="shared" si="6852"/>
        <v>0</v>
      </c>
      <c r="AS1354" s="200">
        <f t="shared" si="6852"/>
        <v>0</v>
      </c>
      <c r="AT1354" s="173">
        <v>0.0</v>
      </c>
      <c r="AU1354" s="200">
        <f t="shared" si="6217"/>
        <v>0</v>
      </c>
      <c r="AV1354" s="200">
        <f t="shared" ref="AV1354:AX1354" si="6853">countif($D1354,"*"&amp;AV$2&amp;"*")</f>
        <v>1</v>
      </c>
      <c r="AW1354" s="200">
        <f t="shared" si="6853"/>
        <v>0</v>
      </c>
      <c r="AX1354" s="200">
        <f t="shared" si="6853"/>
        <v>0</v>
      </c>
      <c r="AY1354" s="202">
        <v>0.0</v>
      </c>
      <c r="AZ1354" s="200"/>
      <c r="BA1354" s="171" t="str">
        <f t="shared" si="18"/>
        <v/>
      </c>
      <c r="BB1354" s="171" t="str">
        <f t="shared" si="19"/>
        <v>Code</v>
      </c>
      <c r="BC1354" s="171" t="str">
        <f t="shared" si="20"/>
        <v/>
      </c>
      <c r="BD1354" s="171" t="str">
        <f t="shared" si="21"/>
        <v/>
      </c>
      <c r="BE1354" s="171" t="str">
        <f t="shared" si="22"/>
        <v/>
      </c>
      <c r="BF1354" s="171" t="str">
        <f t="shared" si="23"/>
        <v>Code</v>
      </c>
    </row>
    <row r="1355">
      <c r="A1355" s="171">
        <f t="array" ref="A1355">XLOOKUP(C1355,FSE!A:A,FSE!C:C,"XXXXX",0,1)</f>
        <v>2023</v>
      </c>
      <c r="B1355" s="213" t="s">
        <v>5676</v>
      </c>
      <c r="C1355" s="214">
        <v>99.0</v>
      </c>
      <c r="D1355" s="215" t="s">
        <v>6225</v>
      </c>
      <c r="E1355" s="197" t="str">
        <f t="array" ref="E1355">XLOOKUP(C1355,FSE!A:A,FSE!Z:Z,"XXXXX",0,1)</f>
        <v>Publicly Available (3)</v>
      </c>
      <c r="F1355" s="213" t="s">
        <v>3394</v>
      </c>
      <c r="G1355" s="163" t="str">
        <f t="array" ref="G1355">IF(B1355="ICSE",IF(COUNTIFS(B:B,B1355,C:C,C1355)=XLOOKUP(C1355,ICSE!A:A,ICSE!AA:AA,"ERROR",0,1),"OK","ERROR"),IF(B1355="FSE",IF(COUNTIFS(B:B,B1355,C:C,C1355)=XLOOKUP(C1355,FSE!A:A,FSE!AA:AA,"ERROR",0,1),"OK","ERROR")))</f>
        <v>OK</v>
      </c>
      <c r="H1355" s="199">
        <f t="shared" ref="H1355:O1355" si="6854">countif($D1355,"*"&amp;H$2&amp;"*")</f>
        <v>0</v>
      </c>
      <c r="I1355" s="200">
        <f t="shared" si="6854"/>
        <v>0</v>
      </c>
      <c r="J1355" s="200">
        <f t="shared" si="6854"/>
        <v>0</v>
      </c>
      <c r="K1355" s="200">
        <f t="shared" si="6854"/>
        <v>0</v>
      </c>
      <c r="L1355" s="200">
        <f t="shared" si="6854"/>
        <v>0</v>
      </c>
      <c r="M1355" s="200">
        <f t="shared" si="6854"/>
        <v>0</v>
      </c>
      <c r="N1355" s="200">
        <f t="shared" si="6854"/>
        <v>0</v>
      </c>
      <c r="O1355" s="200">
        <f t="shared" si="6854"/>
        <v>0</v>
      </c>
      <c r="P1355" s="200">
        <f t="shared" si="9"/>
        <v>1</v>
      </c>
      <c r="Q1355" s="200">
        <f t="shared" ref="Q1355:AC1355" si="6855">countif($D1355,"*"&amp;Q$2&amp;"*")</f>
        <v>0</v>
      </c>
      <c r="R1355" s="200">
        <f t="shared" si="6855"/>
        <v>0</v>
      </c>
      <c r="S1355" s="200">
        <f t="shared" si="6855"/>
        <v>0</v>
      </c>
      <c r="T1355" s="200">
        <f t="shared" si="6855"/>
        <v>0</v>
      </c>
      <c r="U1355" s="200">
        <f t="shared" si="6855"/>
        <v>0</v>
      </c>
      <c r="V1355" s="200">
        <f t="shared" si="6855"/>
        <v>0</v>
      </c>
      <c r="W1355" s="200">
        <f t="shared" si="6855"/>
        <v>0</v>
      </c>
      <c r="X1355" s="200">
        <f t="shared" si="6855"/>
        <v>0</v>
      </c>
      <c r="Y1355" s="200">
        <f t="shared" si="6855"/>
        <v>0</v>
      </c>
      <c r="Z1355" s="200">
        <f t="shared" si="6855"/>
        <v>0</v>
      </c>
      <c r="AA1355" s="200">
        <f t="shared" si="6855"/>
        <v>0</v>
      </c>
      <c r="AB1355" s="200">
        <f t="shared" si="6855"/>
        <v>0</v>
      </c>
      <c r="AC1355" s="200">
        <f t="shared" si="6855"/>
        <v>0</v>
      </c>
      <c r="AD1355" s="200">
        <f t="shared" si="11"/>
        <v>0</v>
      </c>
      <c r="AE1355" s="200">
        <f t="shared" ref="AE1355:AG1355" si="6856">countif($D1355,"*"&amp;AE$2&amp;"*")</f>
        <v>0</v>
      </c>
      <c r="AF1355" s="200">
        <f t="shared" si="6856"/>
        <v>0</v>
      </c>
      <c r="AG1355" s="200">
        <f t="shared" si="6856"/>
        <v>0</v>
      </c>
      <c r="AH1355" s="171">
        <f t="shared" si="13"/>
        <v>0</v>
      </c>
      <c r="AI1355" s="200">
        <f t="shared" si="14"/>
        <v>0</v>
      </c>
      <c r="AJ1355" s="200">
        <f t="shared" si="6100"/>
        <v>0</v>
      </c>
      <c r="AK1355" s="201">
        <f t="shared" ref="AK1355:AS1355" si="6857">countif($D1355,"*"&amp;AK$2&amp;"*")</f>
        <v>0</v>
      </c>
      <c r="AL1355" s="201">
        <f t="shared" si="6857"/>
        <v>0</v>
      </c>
      <c r="AM1355" s="201">
        <f t="shared" si="6857"/>
        <v>0</v>
      </c>
      <c r="AN1355" s="201">
        <f t="shared" si="6857"/>
        <v>0</v>
      </c>
      <c r="AO1355" s="201">
        <f t="shared" si="6857"/>
        <v>0</v>
      </c>
      <c r="AP1355" s="201">
        <f t="shared" si="6857"/>
        <v>0</v>
      </c>
      <c r="AQ1355" s="201">
        <f t="shared" si="6857"/>
        <v>0</v>
      </c>
      <c r="AR1355" s="200">
        <f t="shared" si="6857"/>
        <v>0</v>
      </c>
      <c r="AS1355" s="200">
        <f t="shared" si="6857"/>
        <v>0</v>
      </c>
      <c r="AT1355" s="173">
        <v>0.0</v>
      </c>
      <c r="AU1355" s="200">
        <f t="shared" si="6217"/>
        <v>0</v>
      </c>
      <c r="AV1355" s="200">
        <f t="shared" ref="AV1355:AX1355" si="6858">countif($D1355,"*"&amp;AV$2&amp;"*")</f>
        <v>1</v>
      </c>
      <c r="AW1355" s="200">
        <f t="shared" si="6858"/>
        <v>0</v>
      </c>
      <c r="AX1355" s="200">
        <f t="shared" si="6858"/>
        <v>0</v>
      </c>
      <c r="AY1355" s="202">
        <v>0.0</v>
      </c>
      <c r="AZ1355" s="200"/>
      <c r="BA1355" s="171" t="str">
        <f t="shared" si="18"/>
        <v/>
      </c>
      <c r="BB1355" s="171" t="str">
        <f t="shared" si="19"/>
        <v>Code</v>
      </c>
      <c r="BC1355" s="171" t="str">
        <f t="shared" si="20"/>
        <v/>
      </c>
      <c r="BD1355" s="171" t="str">
        <f t="shared" si="21"/>
        <v/>
      </c>
      <c r="BE1355" s="171" t="str">
        <f t="shared" si="22"/>
        <v/>
      </c>
      <c r="BF1355" s="171" t="str">
        <f t="shared" si="23"/>
        <v>Code</v>
      </c>
    </row>
    <row r="1356">
      <c r="A1356" s="171">
        <f t="array" ref="A1356">XLOOKUP(C1356,FSE!A:A,FSE!C:C,"XXXXX",0,1)</f>
        <v>2023</v>
      </c>
      <c r="B1356" s="213" t="s">
        <v>5676</v>
      </c>
      <c r="C1356" s="214">
        <v>99.0</v>
      </c>
      <c r="D1356" s="215" t="s">
        <v>6226</v>
      </c>
      <c r="E1356" s="197" t="str">
        <f t="array" ref="E1356">XLOOKUP(C1356,FSE!A:A,FSE!Z:Z,"XXXXX",0,1)</f>
        <v>Publicly Available (3)</v>
      </c>
      <c r="F1356" s="213" t="s">
        <v>3394</v>
      </c>
      <c r="G1356" s="163" t="str">
        <f t="array" ref="G1356">IF(B1356="ICSE",IF(COUNTIFS(B:B,B1356,C:C,C1356)=XLOOKUP(C1356,ICSE!A:A,ICSE!AA:AA,"ERROR",0,1),"OK","ERROR"),IF(B1356="FSE",IF(COUNTIFS(B:B,B1356,C:C,C1356)=XLOOKUP(C1356,FSE!A:A,FSE!AA:AA,"ERROR",0,1),"OK","ERROR")))</f>
        <v>OK</v>
      </c>
      <c r="H1356" s="199">
        <f t="shared" ref="H1356:O1356" si="6859">countif($D1356,"*"&amp;H$2&amp;"*")</f>
        <v>0</v>
      </c>
      <c r="I1356" s="200">
        <f t="shared" si="6859"/>
        <v>0</v>
      </c>
      <c r="J1356" s="200">
        <f t="shared" si="6859"/>
        <v>0</v>
      </c>
      <c r="K1356" s="200">
        <f t="shared" si="6859"/>
        <v>0</v>
      </c>
      <c r="L1356" s="200">
        <f t="shared" si="6859"/>
        <v>0</v>
      </c>
      <c r="M1356" s="200">
        <f t="shared" si="6859"/>
        <v>0</v>
      </c>
      <c r="N1356" s="200">
        <f t="shared" si="6859"/>
        <v>0</v>
      </c>
      <c r="O1356" s="200">
        <f t="shared" si="6859"/>
        <v>0</v>
      </c>
      <c r="P1356" s="200">
        <f t="shared" si="9"/>
        <v>0</v>
      </c>
      <c r="Q1356" s="200">
        <f t="shared" ref="Q1356:AC1356" si="6860">countif($D1356,"*"&amp;Q$2&amp;"*")</f>
        <v>0</v>
      </c>
      <c r="R1356" s="200">
        <f t="shared" si="6860"/>
        <v>0</v>
      </c>
      <c r="S1356" s="200">
        <f t="shared" si="6860"/>
        <v>0</v>
      </c>
      <c r="T1356" s="200">
        <f t="shared" si="6860"/>
        <v>0</v>
      </c>
      <c r="U1356" s="200">
        <f t="shared" si="6860"/>
        <v>0</v>
      </c>
      <c r="V1356" s="200">
        <f t="shared" si="6860"/>
        <v>1</v>
      </c>
      <c r="W1356" s="200">
        <f t="shared" si="6860"/>
        <v>0</v>
      </c>
      <c r="X1356" s="200">
        <f t="shared" si="6860"/>
        <v>0</v>
      </c>
      <c r="Y1356" s="200">
        <f t="shared" si="6860"/>
        <v>0</v>
      </c>
      <c r="Z1356" s="200">
        <f t="shared" si="6860"/>
        <v>0</v>
      </c>
      <c r="AA1356" s="200">
        <f t="shared" si="6860"/>
        <v>0</v>
      </c>
      <c r="AB1356" s="200">
        <f t="shared" si="6860"/>
        <v>0</v>
      </c>
      <c r="AC1356" s="200">
        <f t="shared" si="6860"/>
        <v>0</v>
      </c>
      <c r="AD1356" s="200">
        <f t="shared" si="11"/>
        <v>0</v>
      </c>
      <c r="AE1356" s="200">
        <f t="shared" ref="AE1356:AG1356" si="6861">countif($D1356,"*"&amp;AE$2&amp;"*")</f>
        <v>0</v>
      </c>
      <c r="AF1356" s="200">
        <f t="shared" si="6861"/>
        <v>0</v>
      </c>
      <c r="AG1356" s="200">
        <f t="shared" si="6861"/>
        <v>0</v>
      </c>
      <c r="AH1356" s="171">
        <f t="shared" si="13"/>
        <v>0</v>
      </c>
      <c r="AI1356" s="200">
        <f t="shared" si="14"/>
        <v>0</v>
      </c>
      <c r="AJ1356" s="200">
        <f t="shared" si="6100"/>
        <v>0</v>
      </c>
      <c r="AK1356" s="201">
        <f t="shared" ref="AK1356:AS1356" si="6862">countif($D1356,"*"&amp;AK$2&amp;"*")</f>
        <v>0</v>
      </c>
      <c r="AL1356" s="201">
        <f t="shared" si="6862"/>
        <v>0</v>
      </c>
      <c r="AM1356" s="201">
        <f t="shared" si="6862"/>
        <v>0</v>
      </c>
      <c r="AN1356" s="201">
        <f t="shared" si="6862"/>
        <v>0</v>
      </c>
      <c r="AO1356" s="201">
        <f t="shared" si="6862"/>
        <v>0</v>
      </c>
      <c r="AP1356" s="201">
        <f t="shared" si="6862"/>
        <v>0</v>
      </c>
      <c r="AQ1356" s="201">
        <f t="shared" si="6862"/>
        <v>0</v>
      </c>
      <c r="AR1356" s="200">
        <f t="shared" si="6862"/>
        <v>0</v>
      </c>
      <c r="AS1356" s="200">
        <f t="shared" si="6862"/>
        <v>0</v>
      </c>
      <c r="AT1356" s="173">
        <v>0.0</v>
      </c>
      <c r="AU1356" s="200">
        <f t="shared" si="6217"/>
        <v>0</v>
      </c>
      <c r="AV1356" s="200">
        <f t="shared" ref="AV1356:AX1356" si="6863">countif($D1356,"*"&amp;AV$2&amp;"*")</f>
        <v>0</v>
      </c>
      <c r="AW1356" s="200">
        <f t="shared" si="6863"/>
        <v>0</v>
      </c>
      <c r="AX1356" s="200">
        <f t="shared" si="6863"/>
        <v>0</v>
      </c>
      <c r="AY1356" s="202">
        <v>0.0</v>
      </c>
      <c r="AZ1356" s="200"/>
      <c r="BA1356" s="171" t="str">
        <f t="shared" si="18"/>
        <v/>
      </c>
      <c r="BB1356" s="171" t="str">
        <f t="shared" si="19"/>
        <v/>
      </c>
      <c r="BC1356" s="171" t="str">
        <f t="shared" si="20"/>
        <v>General-purpose</v>
      </c>
      <c r="BD1356" s="171" t="str">
        <f t="shared" si="21"/>
        <v/>
      </c>
      <c r="BE1356" s="171" t="str">
        <f t="shared" si="22"/>
        <v/>
      </c>
      <c r="BF1356" s="171" t="str">
        <f t="shared" si="23"/>
        <v>General-purpose</v>
      </c>
    </row>
    <row r="1357">
      <c r="A1357" s="171">
        <f t="array" ref="A1357">XLOOKUP(C1357,FSE!A:A,FSE!C:C,"XXXXX",0,1)</f>
        <v>2023</v>
      </c>
      <c r="B1357" s="213" t="s">
        <v>5676</v>
      </c>
      <c r="C1357" s="214">
        <v>99.0</v>
      </c>
      <c r="D1357" s="215" t="s">
        <v>6227</v>
      </c>
      <c r="E1357" s="197" t="str">
        <f t="array" ref="E1357">XLOOKUP(C1357,FSE!A:A,FSE!Z:Z,"XXXXX",0,1)</f>
        <v>Publicly Available (3)</v>
      </c>
      <c r="F1357" s="213" t="s">
        <v>3394</v>
      </c>
      <c r="G1357" s="163" t="str">
        <f t="array" ref="G1357">IF(B1357="ICSE",IF(COUNTIFS(B:B,B1357,C:C,C1357)=XLOOKUP(C1357,ICSE!A:A,ICSE!AA:AA,"ERROR",0,1),"OK","ERROR"),IF(B1357="FSE",IF(COUNTIFS(B:B,B1357,C:C,C1357)=XLOOKUP(C1357,FSE!A:A,FSE!AA:AA,"ERROR",0,1),"OK","ERROR")))</f>
        <v>OK</v>
      </c>
      <c r="H1357" s="199">
        <f t="shared" ref="H1357:O1357" si="6864">countif($D1357,"*"&amp;H$2&amp;"*")</f>
        <v>0</v>
      </c>
      <c r="I1357" s="200">
        <f t="shared" si="6864"/>
        <v>0</v>
      </c>
      <c r="J1357" s="200">
        <f t="shared" si="6864"/>
        <v>0</v>
      </c>
      <c r="K1357" s="200">
        <f t="shared" si="6864"/>
        <v>0</v>
      </c>
      <c r="L1357" s="200">
        <f t="shared" si="6864"/>
        <v>0</v>
      </c>
      <c r="M1357" s="200">
        <f t="shared" si="6864"/>
        <v>0</v>
      </c>
      <c r="N1357" s="200">
        <f t="shared" si="6864"/>
        <v>0</v>
      </c>
      <c r="O1357" s="200">
        <f t="shared" si="6864"/>
        <v>0</v>
      </c>
      <c r="P1357" s="200">
        <f t="shared" si="9"/>
        <v>0</v>
      </c>
      <c r="Q1357" s="200">
        <f t="shared" ref="Q1357:AC1357" si="6865">countif($D1357,"*"&amp;Q$2&amp;"*")</f>
        <v>0</v>
      </c>
      <c r="R1357" s="200">
        <f t="shared" si="6865"/>
        <v>0</v>
      </c>
      <c r="S1357" s="200">
        <f t="shared" si="6865"/>
        <v>0</v>
      </c>
      <c r="T1357" s="200">
        <f t="shared" si="6865"/>
        <v>0</v>
      </c>
      <c r="U1357" s="200">
        <f t="shared" si="6865"/>
        <v>0</v>
      </c>
      <c r="V1357" s="200">
        <f t="shared" si="6865"/>
        <v>0</v>
      </c>
      <c r="W1357" s="200">
        <f t="shared" si="6865"/>
        <v>0</v>
      </c>
      <c r="X1357" s="200">
        <f t="shared" si="6865"/>
        <v>0</v>
      </c>
      <c r="Y1357" s="200">
        <f t="shared" si="6865"/>
        <v>0</v>
      </c>
      <c r="Z1357" s="200">
        <f t="shared" si="6865"/>
        <v>0</v>
      </c>
      <c r="AA1357" s="200">
        <f t="shared" si="6865"/>
        <v>1</v>
      </c>
      <c r="AB1357" s="200">
        <f t="shared" si="6865"/>
        <v>0</v>
      </c>
      <c r="AC1357" s="200">
        <f t="shared" si="6865"/>
        <v>0</v>
      </c>
      <c r="AD1357" s="200">
        <f t="shared" si="11"/>
        <v>0</v>
      </c>
      <c r="AE1357" s="200">
        <f t="shared" ref="AE1357:AG1357" si="6866">countif($D1357,"*"&amp;AE$2&amp;"*")</f>
        <v>0</v>
      </c>
      <c r="AF1357" s="200">
        <f t="shared" si="6866"/>
        <v>0</v>
      </c>
      <c r="AG1357" s="200">
        <f t="shared" si="6866"/>
        <v>0</v>
      </c>
      <c r="AH1357" s="171">
        <f t="shared" si="13"/>
        <v>0</v>
      </c>
      <c r="AI1357" s="200">
        <f t="shared" si="14"/>
        <v>0</v>
      </c>
      <c r="AJ1357" s="200">
        <f t="shared" si="6100"/>
        <v>0</v>
      </c>
      <c r="AK1357" s="201">
        <f t="shared" ref="AK1357:AS1357" si="6867">countif($D1357,"*"&amp;AK$2&amp;"*")</f>
        <v>0</v>
      </c>
      <c r="AL1357" s="201">
        <f t="shared" si="6867"/>
        <v>0</v>
      </c>
      <c r="AM1357" s="201">
        <f t="shared" si="6867"/>
        <v>0</v>
      </c>
      <c r="AN1357" s="201">
        <f t="shared" si="6867"/>
        <v>0</v>
      </c>
      <c r="AO1357" s="201">
        <f t="shared" si="6867"/>
        <v>0</v>
      </c>
      <c r="AP1357" s="201">
        <f t="shared" si="6867"/>
        <v>0</v>
      </c>
      <c r="AQ1357" s="201">
        <f t="shared" si="6867"/>
        <v>0</v>
      </c>
      <c r="AR1357" s="200">
        <f t="shared" si="6867"/>
        <v>0</v>
      </c>
      <c r="AS1357" s="200">
        <f t="shared" si="6867"/>
        <v>0</v>
      </c>
      <c r="AT1357" s="173">
        <v>0.0</v>
      </c>
      <c r="AU1357" s="200">
        <f t="shared" si="6217"/>
        <v>0</v>
      </c>
      <c r="AV1357" s="200">
        <f t="shared" ref="AV1357:AX1357" si="6868">countif($D1357,"*"&amp;AV$2&amp;"*")</f>
        <v>0</v>
      </c>
      <c r="AW1357" s="200">
        <f t="shared" si="6868"/>
        <v>0</v>
      </c>
      <c r="AX1357" s="200">
        <f t="shared" si="6868"/>
        <v>0</v>
      </c>
      <c r="AY1357" s="202">
        <v>0.0</v>
      </c>
      <c r="AZ1357" s="200"/>
      <c r="BA1357" s="171" t="str">
        <f t="shared" si="18"/>
        <v/>
      </c>
      <c r="BB1357" s="171" t="str">
        <f t="shared" si="19"/>
        <v/>
      </c>
      <c r="BC1357" s="171" t="str">
        <f t="shared" si="20"/>
        <v>General-purpose</v>
      </c>
      <c r="BD1357" s="171" t="str">
        <f t="shared" si="21"/>
        <v/>
      </c>
      <c r="BE1357" s="171" t="str">
        <f t="shared" si="22"/>
        <v/>
      </c>
      <c r="BF1357" s="171" t="str">
        <f t="shared" si="23"/>
        <v>General-purpose</v>
      </c>
    </row>
    <row r="1358">
      <c r="A1358" s="171">
        <f t="array" ref="A1358">XLOOKUP(C1358,FSE!A:A,FSE!C:C,"XXXXX",0,1)</f>
        <v>2023</v>
      </c>
      <c r="B1358" s="213" t="s">
        <v>5676</v>
      </c>
      <c r="C1358" s="214">
        <v>100.0</v>
      </c>
      <c r="D1358" s="215" t="s">
        <v>5585</v>
      </c>
      <c r="E1358" s="197" t="str">
        <f t="array" ref="E1358">XLOOKUP(C1358,FSE!A:A,FSE!Z:Z,"XXXXX",0,1)</f>
        <v>Publicly Available (1)</v>
      </c>
      <c r="F1358" s="213" t="s">
        <v>3394</v>
      </c>
      <c r="G1358" s="163" t="str">
        <f t="array" ref="G1358">IF(B1358="ICSE",IF(COUNTIFS(B:B,B1358,C:C,C1358)=XLOOKUP(C1358,ICSE!A:A,ICSE!AA:AA,"ERROR",0,1),"OK","ERROR"),IF(B1358="FSE",IF(COUNTIFS(B:B,B1358,C:C,C1358)=XLOOKUP(C1358,FSE!A:A,FSE!AA:AA,"ERROR",0,1),"OK","ERROR")))</f>
        <v>OK</v>
      </c>
      <c r="H1358" s="199">
        <f t="shared" ref="H1358:O1358" si="6869">countif($D1358,"*"&amp;H$2&amp;"*")</f>
        <v>0</v>
      </c>
      <c r="I1358" s="200">
        <f t="shared" si="6869"/>
        <v>1</v>
      </c>
      <c r="J1358" s="200">
        <f t="shared" si="6869"/>
        <v>0</v>
      </c>
      <c r="K1358" s="200">
        <f t="shared" si="6869"/>
        <v>0</v>
      </c>
      <c r="L1358" s="200">
        <f t="shared" si="6869"/>
        <v>0</v>
      </c>
      <c r="M1358" s="200">
        <f t="shared" si="6869"/>
        <v>0</v>
      </c>
      <c r="N1358" s="200">
        <f t="shared" si="6869"/>
        <v>0</v>
      </c>
      <c r="O1358" s="200">
        <f t="shared" si="6869"/>
        <v>0</v>
      </c>
      <c r="P1358" s="200">
        <f t="shared" si="9"/>
        <v>0</v>
      </c>
      <c r="Q1358" s="200">
        <f t="shared" ref="Q1358:AC1358" si="6870">countif($D1358,"*"&amp;Q$2&amp;"*")</f>
        <v>0</v>
      </c>
      <c r="R1358" s="200">
        <f t="shared" si="6870"/>
        <v>0</v>
      </c>
      <c r="S1358" s="200">
        <f t="shared" si="6870"/>
        <v>0</v>
      </c>
      <c r="T1358" s="200">
        <f t="shared" si="6870"/>
        <v>0</v>
      </c>
      <c r="U1358" s="200">
        <f t="shared" si="6870"/>
        <v>0</v>
      </c>
      <c r="V1358" s="200">
        <f t="shared" si="6870"/>
        <v>0</v>
      </c>
      <c r="W1358" s="200">
        <f t="shared" si="6870"/>
        <v>0</v>
      </c>
      <c r="X1358" s="200">
        <f t="shared" si="6870"/>
        <v>0</v>
      </c>
      <c r="Y1358" s="200">
        <f t="shared" si="6870"/>
        <v>0</v>
      </c>
      <c r="Z1358" s="200">
        <f t="shared" si="6870"/>
        <v>0</v>
      </c>
      <c r="AA1358" s="200">
        <f t="shared" si="6870"/>
        <v>0</v>
      </c>
      <c r="AB1358" s="200">
        <f t="shared" si="6870"/>
        <v>0</v>
      </c>
      <c r="AC1358" s="200">
        <f t="shared" si="6870"/>
        <v>0</v>
      </c>
      <c r="AD1358" s="200">
        <f t="shared" si="11"/>
        <v>0</v>
      </c>
      <c r="AE1358" s="200">
        <f t="shared" ref="AE1358:AG1358" si="6871">countif($D1358,"*"&amp;AE$2&amp;"*")</f>
        <v>0</v>
      </c>
      <c r="AF1358" s="200">
        <f t="shared" si="6871"/>
        <v>0</v>
      </c>
      <c r="AG1358" s="200">
        <f t="shared" si="6871"/>
        <v>0</v>
      </c>
      <c r="AH1358" s="171">
        <f t="shared" si="13"/>
        <v>0</v>
      </c>
      <c r="AI1358" s="200">
        <f t="shared" si="14"/>
        <v>1</v>
      </c>
      <c r="AJ1358" s="200">
        <f t="shared" si="6100"/>
        <v>0</v>
      </c>
      <c r="AK1358" s="201">
        <f t="shared" ref="AK1358:AS1358" si="6872">countif($D1358,"*"&amp;AK$2&amp;"*")</f>
        <v>0</v>
      </c>
      <c r="AL1358" s="201">
        <f t="shared" si="6872"/>
        <v>0</v>
      </c>
      <c r="AM1358" s="201">
        <f t="shared" si="6872"/>
        <v>0</v>
      </c>
      <c r="AN1358" s="201">
        <f t="shared" si="6872"/>
        <v>0</v>
      </c>
      <c r="AO1358" s="201">
        <f t="shared" si="6872"/>
        <v>0</v>
      </c>
      <c r="AP1358" s="201">
        <f t="shared" si="6872"/>
        <v>0</v>
      </c>
      <c r="AQ1358" s="201">
        <f t="shared" si="6872"/>
        <v>0</v>
      </c>
      <c r="AR1358" s="200">
        <f t="shared" si="6872"/>
        <v>0</v>
      </c>
      <c r="AS1358" s="200">
        <f t="shared" si="6872"/>
        <v>0</v>
      </c>
      <c r="AT1358" s="173">
        <v>0.0</v>
      </c>
      <c r="AU1358" s="200">
        <f t="shared" si="6217"/>
        <v>0</v>
      </c>
      <c r="AV1358" s="200">
        <f t="shared" ref="AV1358:AX1358" si="6873">countif($D1358,"*"&amp;AV$2&amp;"*")</f>
        <v>0</v>
      </c>
      <c r="AW1358" s="200">
        <f t="shared" si="6873"/>
        <v>0</v>
      </c>
      <c r="AX1358" s="200">
        <f t="shared" si="6873"/>
        <v>1</v>
      </c>
      <c r="AY1358" s="202">
        <v>0.0</v>
      </c>
      <c r="AZ1358" s="200"/>
      <c r="BA1358" s="171" t="str">
        <f t="shared" si="18"/>
        <v>Archival</v>
      </c>
      <c r="BB1358" s="171" t="str">
        <f t="shared" si="19"/>
        <v/>
      </c>
      <c r="BC1358" s="171" t="str">
        <f t="shared" si="20"/>
        <v/>
      </c>
      <c r="BD1358" s="171" t="str">
        <f t="shared" si="21"/>
        <v/>
      </c>
      <c r="BE1358" s="171" t="str">
        <f t="shared" si="22"/>
        <v/>
      </c>
      <c r="BF1358" s="171" t="str">
        <f t="shared" si="23"/>
        <v>Archival</v>
      </c>
    </row>
    <row r="1359">
      <c r="A1359" s="171">
        <f t="array" ref="A1359">XLOOKUP(C1359,FSE!A:A,FSE!C:C,"XXXXX",0,1)</f>
        <v>2023</v>
      </c>
      <c r="B1359" s="213" t="s">
        <v>5676</v>
      </c>
      <c r="C1359" s="214">
        <v>101.0</v>
      </c>
      <c r="D1359" s="215" t="s">
        <v>5588</v>
      </c>
      <c r="E1359" s="197" t="str">
        <f t="array" ref="E1359">XLOOKUP(C1359,FSE!A:A,FSE!Z:Z,"XXXXX",0,1)</f>
        <v>Publicly Available (1)</v>
      </c>
      <c r="F1359" s="213" t="s">
        <v>3394</v>
      </c>
      <c r="G1359" s="163" t="str">
        <f t="array" ref="G1359">IF(B1359="ICSE",IF(COUNTIFS(B:B,B1359,C:C,C1359)=XLOOKUP(C1359,ICSE!A:A,ICSE!AA:AA,"ERROR",0,1),"OK","ERROR"),IF(B1359="FSE",IF(COUNTIFS(B:B,B1359,C:C,C1359)=XLOOKUP(C1359,FSE!A:A,FSE!AA:AA,"ERROR",0,1),"OK","ERROR")))</f>
        <v>OK</v>
      </c>
      <c r="H1359" s="199">
        <f t="shared" ref="H1359:O1359" si="6874">countif($D1359,"*"&amp;H$2&amp;"*")</f>
        <v>1</v>
      </c>
      <c r="I1359" s="200">
        <f t="shared" si="6874"/>
        <v>0</v>
      </c>
      <c r="J1359" s="200">
        <f t="shared" si="6874"/>
        <v>0</v>
      </c>
      <c r="K1359" s="200">
        <f t="shared" si="6874"/>
        <v>0</v>
      </c>
      <c r="L1359" s="200">
        <f t="shared" si="6874"/>
        <v>0</v>
      </c>
      <c r="M1359" s="200">
        <f t="shared" si="6874"/>
        <v>0</v>
      </c>
      <c r="N1359" s="200">
        <f t="shared" si="6874"/>
        <v>0</v>
      </c>
      <c r="O1359" s="200">
        <f t="shared" si="6874"/>
        <v>0</v>
      </c>
      <c r="P1359" s="200">
        <f t="shared" si="9"/>
        <v>0</v>
      </c>
      <c r="Q1359" s="200">
        <f t="shared" ref="Q1359:AC1359" si="6875">countif($D1359,"*"&amp;Q$2&amp;"*")</f>
        <v>0</v>
      </c>
      <c r="R1359" s="200">
        <f t="shared" si="6875"/>
        <v>0</v>
      </c>
      <c r="S1359" s="200">
        <f t="shared" si="6875"/>
        <v>0</v>
      </c>
      <c r="T1359" s="200">
        <f t="shared" si="6875"/>
        <v>0</v>
      </c>
      <c r="U1359" s="200">
        <f t="shared" si="6875"/>
        <v>0</v>
      </c>
      <c r="V1359" s="200">
        <f t="shared" si="6875"/>
        <v>0</v>
      </c>
      <c r="W1359" s="200">
        <f t="shared" si="6875"/>
        <v>0</v>
      </c>
      <c r="X1359" s="200">
        <f t="shared" si="6875"/>
        <v>0</v>
      </c>
      <c r="Y1359" s="200">
        <f t="shared" si="6875"/>
        <v>0</v>
      </c>
      <c r="Z1359" s="200">
        <f t="shared" si="6875"/>
        <v>0</v>
      </c>
      <c r="AA1359" s="200">
        <f t="shared" si="6875"/>
        <v>0</v>
      </c>
      <c r="AB1359" s="200">
        <f t="shared" si="6875"/>
        <v>0</v>
      </c>
      <c r="AC1359" s="200">
        <f t="shared" si="6875"/>
        <v>0</v>
      </c>
      <c r="AD1359" s="200">
        <f t="shared" si="11"/>
        <v>0</v>
      </c>
      <c r="AE1359" s="200">
        <f t="shared" ref="AE1359:AG1359" si="6876">countif($D1359,"*"&amp;AE$2&amp;"*")</f>
        <v>0</v>
      </c>
      <c r="AF1359" s="200">
        <f t="shared" si="6876"/>
        <v>0</v>
      </c>
      <c r="AG1359" s="200">
        <f t="shared" si="6876"/>
        <v>0</v>
      </c>
      <c r="AH1359" s="171">
        <f t="shared" si="13"/>
        <v>0</v>
      </c>
      <c r="AI1359" s="200">
        <f t="shared" si="14"/>
        <v>1</v>
      </c>
      <c r="AJ1359" s="200">
        <f t="shared" si="6100"/>
        <v>0</v>
      </c>
      <c r="AK1359" s="201">
        <f t="shared" ref="AK1359:AS1359" si="6877">countif($D1359,"*"&amp;AK$2&amp;"*")</f>
        <v>0</v>
      </c>
      <c r="AL1359" s="201">
        <f t="shared" si="6877"/>
        <v>0</v>
      </c>
      <c r="AM1359" s="201">
        <f t="shared" si="6877"/>
        <v>0</v>
      </c>
      <c r="AN1359" s="201">
        <f t="shared" si="6877"/>
        <v>0</v>
      </c>
      <c r="AO1359" s="201">
        <f t="shared" si="6877"/>
        <v>0</v>
      </c>
      <c r="AP1359" s="201">
        <f t="shared" si="6877"/>
        <v>0</v>
      </c>
      <c r="AQ1359" s="201">
        <f t="shared" si="6877"/>
        <v>0</v>
      </c>
      <c r="AR1359" s="200">
        <f t="shared" si="6877"/>
        <v>0</v>
      </c>
      <c r="AS1359" s="200">
        <f t="shared" si="6877"/>
        <v>0</v>
      </c>
      <c r="AT1359" s="173">
        <v>0.0</v>
      </c>
      <c r="AU1359" s="200">
        <f t="shared" si="6217"/>
        <v>0</v>
      </c>
      <c r="AV1359" s="200">
        <f t="shared" ref="AV1359:AX1359" si="6878">countif($D1359,"*"&amp;AV$2&amp;"*")</f>
        <v>0</v>
      </c>
      <c r="AW1359" s="200">
        <f t="shared" si="6878"/>
        <v>0</v>
      </c>
      <c r="AX1359" s="200">
        <f t="shared" si="6878"/>
        <v>1</v>
      </c>
      <c r="AY1359" s="202">
        <v>0.0</v>
      </c>
      <c r="AZ1359" s="200"/>
      <c r="BA1359" s="171" t="str">
        <f t="shared" si="18"/>
        <v>Archival</v>
      </c>
      <c r="BB1359" s="171" t="str">
        <f t="shared" si="19"/>
        <v/>
      </c>
      <c r="BC1359" s="171" t="str">
        <f t="shared" si="20"/>
        <v/>
      </c>
      <c r="BD1359" s="171" t="str">
        <f t="shared" si="21"/>
        <v/>
      </c>
      <c r="BE1359" s="171" t="str">
        <f t="shared" si="22"/>
        <v/>
      </c>
      <c r="BF1359" s="171" t="str">
        <f t="shared" si="23"/>
        <v>Archival</v>
      </c>
    </row>
    <row r="1360">
      <c r="A1360" s="171">
        <f t="array" ref="A1360">XLOOKUP(C1360,FSE!A:A,FSE!C:C,"XXXXX",0,1)</f>
        <v>2023</v>
      </c>
      <c r="B1360" s="213" t="s">
        <v>5676</v>
      </c>
      <c r="C1360" s="214">
        <v>103.0</v>
      </c>
      <c r="D1360" s="215" t="s">
        <v>5592</v>
      </c>
      <c r="E1360" s="197" t="str">
        <f t="array" ref="E1360">XLOOKUP(C1360,FSE!A:A,FSE!Z:Z,"XXXXX",0,1)</f>
        <v>Publicly Available (1)</v>
      </c>
      <c r="F1360" s="213" t="s">
        <v>3394</v>
      </c>
      <c r="G1360" s="163" t="str">
        <f t="array" ref="G1360">IF(B1360="ICSE",IF(COUNTIFS(B:B,B1360,C:C,C1360)=XLOOKUP(C1360,ICSE!A:A,ICSE!AA:AA,"ERROR",0,1),"OK","ERROR"),IF(B1360="FSE",IF(COUNTIFS(B:B,B1360,C:C,C1360)=XLOOKUP(C1360,FSE!A:A,FSE!AA:AA,"ERROR",0,1),"OK","ERROR")))</f>
        <v>OK</v>
      </c>
      <c r="H1360" s="199">
        <f t="shared" ref="H1360:O1360" si="6879">countif($D1360,"*"&amp;H$2&amp;"*")</f>
        <v>1</v>
      </c>
      <c r="I1360" s="200">
        <f t="shared" si="6879"/>
        <v>0</v>
      </c>
      <c r="J1360" s="200">
        <f t="shared" si="6879"/>
        <v>0</v>
      </c>
      <c r="K1360" s="200">
        <f t="shared" si="6879"/>
        <v>0</v>
      </c>
      <c r="L1360" s="200">
        <f t="shared" si="6879"/>
        <v>0</v>
      </c>
      <c r="M1360" s="200">
        <f t="shared" si="6879"/>
        <v>0</v>
      </c>
      <c r="N1360" s="200">
        <f t="shared" si="6879"/>
        <v>0</v>
      </c>
      <c r="O1360" s="200">
        <f t="shared" si="6879"/>
        <v>0</v>
      </c>
      <c r="P1360" s="200">
        <f t="shared" si="9"/>
        <v>0</v>
      </c>
      <c r="Q1360" s="200">
        <f t="shared" ref="Q1360:AC1360" si="6880">countif($D1360,"*"&amp;Q$2&amp;"*")</f>
        <v>0</v>
      </c>
      <c r="R1360" s="200">
        <f t="shared" si="6880"/>
        <v>0</v>
      </c>
      <c r="S1360" s="200">
        <f t="shared" si="6880"/>
        <v>0</v>
      </c>
      <c r="T1360" s="200">
        <f t="shared" si="6880"/>
        <v>0</v>
      </c>
      <c r="U1360" s="200">
        <f t="shared" si="6880"/>
        <v>0</v>
      </c>
      <c r="V1360" s="200">
        <f t="shared" si="6880"/>
        <v>0</v>
      </c>
      <c r="W1360" s="200">
        <f t="shared" si="6880"/>
        <v>0</v>
      </c>
      <c r="X1360" s="200">
        <f t="shared" si="6880"/>
        <v>0</v>
      </c>
      <c r="Y1360" s="200">
        <f t="shared" si="6880"/>
        <v>0</v>
      </c>
      <c r="Z1360" s="200">
        <f t="shared" si="6880"/>
        <v>0</v>
      </c>
      <c r="AA1360" s="200">
        <f t="shared" si="6880"/>
        <v>0</v>
      </c>
      <c r="AB1360" s="200">
        <f t="shared" si="6880"/>
        <v>0</v>
      </c>
      <c r="AC1360" s="200">
        <f t="shared" si="6880"/>
        <v>0</v>
      </c>
      <c r="AD1360" s="200">
        <f t="shared" si="11"/>
        <v>0</v>
      </c>
      <c r="AE1360" s="200">
        <f t="shared" ref="AE1360:AG1360" si="6881">countif($D1360,"*"&amp;AE$2&amp;"*")</f>
        <v>0</v>
      </c>
      <c r="AF1360" s="200">
        <f t="shared" si="6881"/>
        <v>0</v>
      </c>
      <c r="AG1360" s="200">
        <f t="shared" si="6881"/>
        <v>0</v>
      </c>
      <c r="AH1360" s="171">
        <f t="shared" si="13"/>
        <v>0</v>
      </c>
      <c r="AI1360" s="200">
        <f t="shared" si="14"/>
        <v>1</v>
      </c>
      <c r="AJ1360" s="200">
        <f t="shared" si="6100"/>
        <v>0</v>
      </c>
      <c r="AK1360" s="201">
        <f t="shared" ref="AK1360:AS1360" si="6882">countif($D1360,"*"&amp;AK$2&amp;"*")</f>
        <v>0</v>
      </c>
      <c r="AL1360" s="201">
        <f t="shared" si="6882"/>
        <v>0</v>
      </c>
      <c r="AM1360" s="201">
        <f t="shared" si="6882"/>
        <v>0</v>
      </c>
      <c r="AN1360" s="201">
        <f t="shared" si="6882"/>
        <v>0</v>
      </c>
      <c r="AO1360" s="201">
        <f t="shared" si="6882"/>
        <v>0</v>
      </c>
      <c r="AP1360" s="201">
        <f t="shared" si="6882"/>
        <v>0</v>
      </c>
      <c r="AQ1360" s="201">
        <f t="shared" si="6882"/>
        <v>0</v>
      </c>
      <c r="AR1360" s="200">
        <f t="shared" si="6882"/>
        <v>0</v>
      </c>
      <c r="AS1360" s="200">
        <f t="shared" si="6882"/>
        <v>0</v>
      </c>
      <c r="AT1360" s="173">
        <v>0.0</v>
      </c>
      <c r="AU1360" s="200">
        <f t="shared" si="6217"/>
        <v>0</v>
      </c>
      <c r="AV1360" s="200">
        <f t="shared" ref="AV1360:AX1360" si="6883">countif($D1360,"*"&amp;AV$2&amp;"*")</f>
        <v>0</v>
      </c>
      <c r="AW1360" s="200">
        <f t="shared" si="6883"/>
        <v>0</v>
      </c>
      <c r="AX1360" s="200">
        <f t="shared" si="6883"/>
        <v>1</v>
      </c>
      <c r="AY1360" s="202">
        <v>0.0</v>
      </c>
      <c r="AZ1360" s="200"/>
      <c r="BA1360" s="171" t="str">
        <f t="shared" si="18"/>
        <v>Archival</v>
      </c>
      <c r="BB1360" s="171" t="str">
        <f t="shared" si="19"/>
        <v/>
      </c>
      <c r="BC1360" s="171" t="str">
        <f t="shared" si="20"/>
        <v/>
      </c>
      <c r="BD1360" s="171" t="str">
        <f t="shared" si="21"/>
        <v/>
      </c>
      <c r="BE1360" s="171" t="str">
        <f t="shared" si="22"/>
        <v/>
      </c>
      <c r="BF1360" s="171" t="str">
        <f t="shared" si="23"/>
        <v>Archival</v>
      </c>
    </row>
    <row r="1361">
      <c r="A1361" s="171">
        <f t="array" ref="A1361">XLOOKUP(C1361,FSE!A:A,FSE!C:C,"XXXXX",0,1)</f>
        <v>2023</v>
      </c>
      <c r="B1361" s="213" t="s">
        <v>5676</v>
      </c>
      <c r="C1361" s="214">
        <v>104.0</v>
      </c>
      <c r="D1361" s="215" t="s">
        <v>5595</v>
      </c>
      <c r="E1361" s="197" t="str">
        <f t="array" ref="E1361">XLOOKUP(C1361,FSE!A:A,FSE!Z:Z,"XXXXX",0,1)</f>
        <v>Not Available (1)</v>
      </c>
      <c r="F1361" s="213" t="s">
        <v>3395</v>
      </c>
      <c r="G1361" s="163" t="str">
        <f t="array" ref="G1361">IF(B1361="ICSE",IF(COUNTIFS(B:B,B1361,C:C,C1361)=XLOOKUP(C1361,ICSE!A:A,ICSE!AA:AA,"ERROR",0,1),"OK","ERROR"),IF(B1361="FSE",IF(COUNTIFS(B:B,B1361,C:C,C1361)=XLOOKUP(C1361,FSE!A:A,FSE!AA:AA,"ERROR",0,1),"OK","ERROR")))</f>
        <v>OK</v>
      </c>
      <c r="H1361" s="199">
        <f t="shared" ref="H1361:O1361" si="6884">countif($D1361,"*"&amp;H$2&amp;"*")</f>
        <v>0</v>
      </c>
      <c r="I1361" s="200">
        <f t="shared" si="6884"/>
        <v>0</v>
      </c>
      <c r="J1361" s="200">
        <f t="shared" si="6884"/>
        <v>0</v>
      </c>
      <c r="K1361" s="200">
        <f t="shared" si="6884"/>
        <v>0</v>
      </c>
      <c r="L1361" s="200">
        <f t="shared" si="6884"/>
        <v>0</v>
      </c>
      <c r="M1361" s="200">
        <f t="shared" si="6884"/>
        <v>0</v>
      </c>
      <c r="N1361" s="200">
        <f t="shared" si="6884"/>
        <v>0</v>
      </c>
      <c r="O1361" s="200">
        <f t="shared" si="6884"/>
        <v>0</v>
      </c>
      <c r="P1361" s="200">
        <f t="shared" si="9"/>
        <v>1</v>
      </c>
      <c r="Q1361" s="200">
        <f t="shared" ref="Q1361:AC1361" si="6885">countif($D1361,"*"&amp;Q$2&amp;"*")</f>
        <v>0</v>
      </c>
      <c r="R1361" s="200">
        <f t="shared" si="6885"/>
        <v>0</v>
      </c>
      <c r="S1361" s="200">
        <f t="shared" si="6885"/>
        <v>0</v>
      </c>
      <c r="T1361" s="200">
        <f t="shared" si="6885"/>
        <v>0</v>
      </c>
      <c r="U1361" s="200">
        <f t="shared" si="6885"/>
        <v>0</v>
      </c>
      <c r="V1361" s="200">
        <f t="shared" si="6885"/>
        <v>0</v>
      </c>
      <c r="W1361" s="200">
        <f t="shared" si="6885"/>
        <v>0</v>
      </c>
      <c r="X1361" s="200">
        <f t="shared" si="6885"/>
        <v>0</v>
      </c>
      <c r="Y1361" s="200">
        <f t="shared" si="6885"/>
        <v>0</v>
      </c>
      <c r="Z1361" s="200">
        <f t="shared" si="6885"/>
        <v>0</v>
      </c>
      <c r="AA1361" s="200">
        <f t="shared" si="6885"/>
        <v>0</v>
      </c>
      <c r="AB1361" s="200">
        <f t="shared" si="6885"/>
        <v>0</v>
      </c>
      <c r="AC1361" s="200">
        <f t="shared" si="6885"/>
        <v>0</v>
      </c>
      <c r="AD1361" s="200">
        <f t="shared" si="11"/>
        <v>0</v>
      </c>
      <c r="AE1361" s="200">
        <f t="shared" ref="AE1361:AG1361" si="6886">countif($D1361,"*"&amp;AE$2&amp;"*")</f>
        <v>0</v>
      </c>
      <c r="AF1361" s="200">
        <f t="shared" si="6886"/>
        <v>0</v>
      </c>
      <c r="AG1361" s="200">
        <f t="shared" si="6886"/>
        <v>0</v>
      </c>
      <c r="AH1361" s="171">
        <f t="shared" si="13"/>
        <v>0</v>
      </c>
      <c r="AI1361" s="200">
        <f t="shared" si="14"/>
        <v>0</v>
      </c>
      <c r="AJ1361" s="200">
        <f t="shared" si="6100"/>
        <v>0</v>
      </c>
      <c r="AK1361" s="201">
        <f t="shared" ref="AK1361:AS1361" si="6887">countif($D1361,"*"&amp;AK$2&amp;"*")</f>
        <v>0</v>
      </c>
      <c r="AL1361" s="201">
        <f t="shared" si="6887"/>
        <v>0</v>
      </c>
      <c r="AM1361" s="201">
        <f t="shared" si="6887"/>
        <v>0</v>
      </c>
      <c r="AN1361" s="201">
        <f t="shared" si="6887"/>
        <v>0</v>
      </c>
      <c r="AO1361" s="201">
        <f t="shared" si="6887"/>
        <v>0</v>
      </c>
      <c r="AP1361" s="201">
        <f t="shared" si="6887"/>
        <v>0</v>
      </c>
      <c r="AQ1361" s="201">
        <f t="shared" si="6887"/>
        <v>0</v>
      </c>
      <c r="AR1361" s="200">
        <f t="shared" si="6887"/>
        <v>0</v>
      </c>
      <c r="AS1361" s="200">
        <f t="shared" si="6887"/>
        <v>0</v>
      </c>
      <c r="AT1361" s="173">
        <v>0.0</v>
      </c>
      <c r="AU1361" s="200">
        <f t="shared" si="6217"/>
        <v>0</v>
      </c>
      <c r="AV1361" s="200">
        <f t="shared" ref="AV1361:AX1361" si="6888">countif($D1361,"*"&amp;AV$2&amp;"*")</f>
        <v>1</v>
      </c>
      <c r="AW1361" s="200">
        <f t="shared" si="6888"/>
        <v>0</v>
      </c>
      <c r="AX1361" s="200">
        <f t="shared" si="6888"/>
        <v>0</v>
      </c>
      <c r="AY1361" s="202">
        <v>0.0</v>
      </c>
      <c r="AZ1361" s="200"/>
      <c r="BA1361" s="171" t="str">
        <f t="shared" si="18"/>
        <v/>
      </c>
      <c r="BB1361" s="171" t="str">
        <f t="shared" si="19"/>
        <v>Code</v>
      </c>
      <c r="BC1361" s="171" t="str">
        <f t="shared" si="20"/>
        <v/>
      </c>
      <c r="BD1361" s="171" t="str">
        <f t="shared" si="21"/>
        <v/>
      </c>
      <c r="BE1361" s="171" t="str">
        <f t="shared" si="22"/>
        <v/>
      </c>
      <c r="BF1361" s="171" t="str">
        <f t="shared" si="23"/>
        <v>Code</v>
      </c>
    </row>
    <row r="1362">
      <c r="A1362" s="171">
        <f t="array" ref="A1362">XLOOKUP(C1362,FSE!A:A,FSE!C:C,"XXXXX",0,1)</f>
        <v>2023</v>
      </c>
      <c r="B1362" s="213" t="s">
        <v>5676</v>
      </c>
      <c r="C1362" s="219">
        <v>105.0</v>
      </c>
      <c r="D1362" s="217" t="s">
        <v>6228</v>
      </c>
      <c r="E1362" s="197" t="str">
        <f t="array" ref="E1362">XLOOKUP(C1362,FSE!A:A,FSE!Z:Z,"XXXXX",0,1)</f>
        <v>Publicly Available (3)</v>
      </c>
      <c r="F1362" s="213" t="s">
        <v>3394</v>
      </c>
      <c r="G1362" s="163" t="str">
        <f t="array" ref="G1362">IF(B1362="ICSE",IF(COUNTIFS(B:B,B1362,C:C,C1362)=XLOOKUP(C1362,ICSE!A:A,ICSE!AA:AA,"ERROR",0,1),"OK","ERROR"),IF(B1362="FSE",IF(COUNTIFS(B:B,B1362,C:C,C1362)=XLOOKUP(C1362,FSE!A:A,FSE!AA:AA,"ERROR",0,1),"OK","ERROR")))</f>
        <v>OK</v>
      </c>
      <c r="H1362" s="199">
        <f t="shared" ref="H1362:O1362" si="6889">countif($D1362,"*"&amp;H$2&amp;"*")</f>
        <v>0</v>
      </c>
      <c r="I1362" s="200">
        <f t="shared" si="6889"/>
        <v>0</v>
      </c>
      <c r="J1362" s="200">
        <f t="shared" si="6889"/>
        <v>0</v>
      </c>
      <c r="K1362" s="200">
        <f t="shared" si="6889"/>
        <v>0</v>
      </c>
      <c r="L1362" s="200">
        <f t="shared" si="6889"/>
        <v>0</v>
      </c>
      <c r="M1362" s="200">
        <f t="shared" si="6889"/>
        <v>0</v>
      </c>
      <c r="N1362" s="200">
        <f t="shared" si="6889"/>
        <v>0</v>
      </c>
      <c r="O1362" s="200">
        <f t="shared" si="6889"/>
        <v>0</v>
      </c>
      <c r="P1362" s="200">
        <f t="shared" si="9"/>
        <v>1</v>
      </c>
      <c r="Q1362" s="200">
        <f t="shared" ref="Q1362:AC1362" si="6890">countif($D1362,"*"&amp;Q$2&amp;"*")</f>
        <v>0</v>
      </c>
      <c r="R1362" s="200">
        <f t="shared" si="6890"/>
        <v>0</v>
      </c>
      <c r="S1362" s="200">
        <f t="shared" si="6890"/>
        <v>0</v>
      </c>
      <c r="T1362" s="200">
        <f t="shared" si="6890"/>
        <v>0</v>
      </c>
      <c r="U1362" s="200">
        <f t="shared" si="6890"/>
        <v>0</v>
      </c>
      <c r="V1362" s="200">
        <f t="shared" si="6890"/>
        <v>0</v>
      </c>
      <c r="W1362" s="200">
        <f t="shared" si="6890"/>
        <v>0</v>
      </c>
      <c r="X1362" s="200">
        <f t="shared" si="6890"/>
        <v>0</v>
      </c>
      <c r="Y1362" s="200">
        <f t="shared" si="6890"/>
        <v>0</v>
      </c>
      <c r="Z1362" s="200">
        <f t="shared" si="6890"/>
        <v>0</v>
      </c>
      <c r="AA1362" s="200">
        <f t="shared" si="6890"/>
        <v>0</v>
      </c>
      <c r="AB1362" s="200">
        <f t="shared" si="6890"/>
        <v>0</v>
      </c>
      <c r="AC1362" s="200">
        <f t="shared" si="6890"/>
        <v>0</v>
      </c>
      <c r="AD1362" s="200">
        <f t="shared" si="11"/>
        <v>0</v>
      </c>
      <c r="AE1362" s="200">
        <f t="shared" ref="AE1362:AG1362" si="6891">countif($D1362,"*"&amp;AE$2&amp;"*")</f>
        <v>0</v>
      </c>
      <c r="AF1362" s="200">
        <f t="shared" si="6891"/>
        <v>0</v>
      </c>
      <c r="AG1362" s="200">
        <f t="shared" si="6891"/>
        <v>0</v>
      </c>
      <c r="AH1362" s="171">
        <f t="shared" si="13"/>
        <v>0</v>
      </c>
      <c r="AI1362" s="200">
        <f t="shared" si="14"/>
        <v>0</v>
      </c>
      <c r="AJ1362" s="200">
        <f t="shared" si="6100"/>
        <v>0</v>
      </c>
      <c r="AK1362" s="201">
        <f t="shared" ref="AK1362:AS1362" si="6892">countif($D1362,"*"&amp;AK$2&amp;"*")</f>
        <v>0</v>
      </c>
      <c r="AL1362" s="201">
        <f t="shared" si="6892"/>
        <v>0</v>
      </c>
      <c r="AM1362" s="201">
        <f t="shared" si="6892"/>
        <v>0</v>
      </c>
      <c r="AN1362" s="201">
        <f t="shared" si="6892"/>
        <v>0</v>
      </c>
      <c r="AO1362" s="201">
        <f t="shared" si="6892"/>
        <v>0</v>
      </c>
      <c r="AP1362" s="201">
        <f t="shared" si="6892"/>
        <v>0</v>
      </c>
      <c r="AQ1362" s="201">
        <f t="shared" si="6892"/>
        <v>0</v>
      </c>
      <c r="AR1362" s="200">
        <f t="shared" si="6892"/>
        <v>0</v>
      </c>
      <c r="AS1362" s="200">
        <f t="shared" si="6892"/>
        <v>0</v>
      </c>
      <c r="AT1362" s="173">
        <v>0.0</v>
      </c>
      <c r="AU1362" s="200">
        <f t="shared" si="6217"/>
        <v>0</v>
      </c>
      <c r="AV1362" s="200">
        <f t="shared" ref="AV1362:AX1362" si="6893">countif($D1362,"*"&amp;AV$2&amp;"*")</f>
        <v>1</v>
      </c>
      <c r="AW1362" s="200">
        <f t="shared" si="6893"/>
        <v>0</v>
      </c>
      <c r="AX1362" s="200">
        <f t="shared" si="6893"/>
        <v>0</v>
      </c>
      <c r="AY1362" s="202">
        <v>0.0</v>
      </c>
      <c r="AZ1362" s="200"/>
      <c r="BA1362" s="171" t="str">
        <f t="shared" si="18"/>
        <v/>
      </c>
      <c r="BB1362" s="171" t="str">
        <f t="shared" si="19"/>
        <v>Code</v>
      </c>
      <c r="BC1362" s="171" t="str">
        <f t="shared" si="20"/>
        <v/>
      </c>
      <c r="BD1362" s="171" t="str">
        <f t="shared" si="21"/>
        <v/>
      </c>
      <c r="BE1362" s="171" t="str">
        <f t="shared" si="22"/>
        <v/>
      </c>
      <c r="BF1362" s="171" t="str">
        <f t="shared" si="23"/>
        <v>Code</v>
      </c>
    </row>
    <row r="1363">
      <c r="A1363" s="171">
        <f t="array" ref="A1363">XLOOKUP(C1363,FSE!A:A,FSE!C:C,"XXXXX",0,1)</f>
        <v>2023</v>
      </c>
      <c r="B1363" s="213" t="s">
        <v>5676</v>
      </c>
      <c r="C1363" s="214">
        <v>105.0</v>
      </c>
      <c r="D1363" s="215" t="s">
        <v>6229</v>
      </c>
      <c r="E1363" s="197" t="str">
        <f t="array" ref="E1363">XLOOKUP(C1363,FSE!A:A,FSE!Z:Z,"XXXXX",0,1)</f>
        <v>Publicly Available (3)</v>
      </c>
      <c r="F1363" s="213" t="s">
        <v>3394</v>
      </c>
      <c r="G1363" s="163" t="str">
        <f t="array" ref="G1363">IF(B1363="ICSE",IF(COUNTIFS(B:B,B1363,C:C,C1363)=XLOOKUP(C1363,ICSE!A:A,ICSE!AA:AA,"ERROR",0,1),"OK","ERROR"),IF(B1363="FSE",IF(COUNTIFS(B:B,B1363,C:C,C1363)=XLOOKUP(C1363,FSE!A:A,FSE!AA:AA,"ERROR",0,1),"OK","ERROR")))</f>
        <v>OK</v>
      </c>
      <c r="H1363" s="199">
        <f t="shared" ref="H1363:O1363" si="6894">countif($D1363,"*"&amp;H$2&amp;"*")</f>
        <v>0</v>
      </c>
      <c r="I1363" s="200">
        <f t="shared" si="6894"/>
        <v>1</v>
      </c>
      <c r="J1363" s="200">
        <f t="shared" si="6894"/>
        <v>0</v>
      </c>
      <c r="K1363" s="200">
        <f t="shared" si="6894"/>
        <v>0</v>
      </c>
      <c r="L1363" s="200">
        <f t="shared" si="6894"/>
        <v>0</v>
      </c>
      <c r="M1363" s="200">
        <f t="shared" si="6894"/>
        <v>0</v>
      </c>
      <c r="N1363" s="200">
        <f t="shared" si="6894"/>
        <v>0</v>
      </c>
      <c r="O1363" s="200">
        <f t="shared" si="6894"/>
        <v>0</v>
      </c>
      <c r="P1363" s="200">
        <f t="shared" si="9"/>
        <v>0</v>
      </c>
      <c r="Q1363" s="200">
        <f t="shared" ref="Q1363:AC1363" si="6895">countif($D1363,"*"&amp;Q$2&amp;"*")</f>
        <v>0</v>
      </c>
      <c r="R1363" s="200">
        <f t="shared" si="6895"/>
        <v>0</v>
      </c>
      <c r="S1363" s="200">
        <f t="shared" si="6895"/>
        <v>0</v>
      </c>
      <c r="T1363" s="200">
        <f t="shared" si="6895"/>
        <v>0</v>
      </c>
      <c r="U1363" s="200">
        <f t="shared" si="6895"/>
        <v>0</v>
      </c>
      <c r="V1363" s="200">
        <f t="shared" si="6895"/>
        <v>0</v>
      </c>
      <c r="W1363" s="200">
        <f t="shared" si="6895"/>
        <v>0</v>
      </c>
      <c r="X1363" s="200">
        <f t="shared" si="6895"/>
        <v>0</v>
      </c>
      <c r="Y1363" s="200">
        <f t="shared" si="6895"/>
        <v>0</v>
      </c>
      <c r="Z1363" s="200">
        <f t="shared" si="6895"/>
        <v>0</v>
      </c>
      <c r="AA1363" s="200">
        <f t="shared" si="6895"/>
        <v>0</v>
      </c>
      <c r="AB1363" s="200">
        <f t="shared" si="6895"/>
        <v>0</v>
      </c>
      <c r="AC1363" s="200">
        <f t="shared" si="6895"/>
        <v>0</v>
      </c>
      <c r="AD1363" s="200">
        <f t="shared" si="11"/>
        <v>0</v>
      </c>
      <c r="AE1363" s="200">
        <f t="shared" ref="AE1363:AG1363" si="6896">countif($D1363,"*"&amp;AE$2&amp;"*")</f>
        <v>0</v>
      </c>
      <c r="AF1363" s="200">
        <f t="shared" si="6896"/>
        <v>0</v>
      </c>
      <c r="AG1363" s="200">
        <f t="shared" si="6896"/>
        <v>0</v>
      </c>
      <c r="AH1363" s="171">
        <f t="shared" si="13"/>
        <v>0</v>
      </c>
      <c r="AI1363" s="200">
        <f t="shared" si="14"/>
        <v>1</v>
      </c>
      <c r="AJ1363" s="200">
        <f t="shared" si="6100"/>
        <v>0</v>
      </c>
      <c r="AK1363" s="201">
        <f t="shared" ref="AK1363:AS1363" si="6897">countif($D1363,"*"&amp;AK$2&amp;"*")</f>
        <v>0</v>
      </c>
      <c r="AL1363" s="201">
        <f t="shared" si="6897"/>
        <v>0</v>
      </c>
      <c r="AM1363" s="201">
        <f t="shared" si="6897"/>
        <v>0</v>
      </c>
      <c r="AN1363" s="201">
        <f t="shared" si="6897"/>
        <v>0</v>
      </c>
      <c r="AO1363" s="201">
        <f t="shared" si="6897"/>
        <v>0</v>
      </c>
      <c r="AP1363" s="201">
        <f t="shared" si="6897"/>
        <v>0</v>
      </c>
      <c r="AQ1363" s="201">
        <f t="shared" si="6897"/>
        <v>0</v>
      </c>
      <c r="AR1363" s="200">
        <f t="shared" si="6897"/>
        <v>0</v>
      </c>
      <c r="AS1363" s="200">
        <f t="shared" si="6897"/>
        <v>0</v>
      </c>
      <c r="AT1363" s="173">
        <v>0.0</v>
      </c>
      <c r="AU1363" s="200">
        <f t="shared" si="6217"/>
        <v>0</v>
      </c>
      <c r="AV1363" s="200">
        <f t="shared" ref="AV1363:AX1363" si="6898">countif($D1363,"*"&amp;AV$2&amp;"*")</f>
        <v>0</v>
      </c>
      <c r="AW1363" s="200">
        <f t="shared" si="6898"/>
        <v>0</v>
      </c>
      <c r="AX1363" s="200">
        <f t="shared" si="6898"/>
        <v>1</v>
      </c>
      <c r="AY1363" s="202">
        <v>0.0</v>
      </c>
      <c r="AZ1363" s="200"/>
      <c r="BA1363" s="171" t="str">
        <f t="shared" si="18"/>
        <v>Archival</v>
      </c>
      <c r="BB1363" s="171" t="str">
        <f t="shared" si="19"/>
        <v/>
      </c>
      <c r="BC1363" s="171" t="str">
        <f t="shared" si="20"/>
        <v/>
      </c>
      <c r="BD1363" s="171" t="str">
        <f t="shared" si="21"/>
        <v/>
      </c>
      <c r="BE1363" s="171" t="str">
        <f t="shared" si="22"/>
        <v/>
      </c>
      <c r="BF1363" s="171" t="str">
        <f t="shared" si="23"/>
        <v>Archival</v>
      </c>
    </row>
    <row r="1364">
      <c r="A1364" s="171">
        <f t="array" ref="A1364">XLOOKUP(C1364,FSE!A:A,FSE!C:C,"XXXXX",0,1)</f>
        <v>2023</v>
      </c>
      <c r="B1364" s="213" t="s">
        <v>5676</v>
      </c>
      <c r="C1364" s="214">
        <v>105.0</v>
      </c>
      <c r="D1364" s="215" t="s">
        <v>6230</v>
      </c>
      <c r="E1364" s="197" t="str">
        <f t="array" ref="E1364">XLOOKUP(C1364,FSE!A:A,FSE!Z:Z,"XXXXX",0,1)</f>
        <v>Publicly Available (3)</v>
      </c>
      <c r="F1364" s="213" t="s">
        <v>3394</v>
      </c>
      <c r="G1364" s="163" t="str">
        <f t="array" ref="G1364">IF(B1364="ICSE",IF(COUNTIFS(B:B,B1364,C:C,C1364)=XLOOKUP(C1364,ICSE!A:A,ICSE!AA:AA,"ERROR",0,1),"OK","ERROR"),IF(B1364="FSE",IF(COUNTIFS(B:B,B1364,C:C,C1364)=XLOOKUP(C1364,FSE!A:A,FSE!AA:AA,"ERROR",0,1),"OK","ERROR")))</f>
        <v>OK</v>
      </c>
      <c r="H1364" s="199">
        <f t="shared" ref="H1364:O1364" si="6899">countif($D1364,"*"&amp;H$2&amp;"*")</f>
        <v>0</v>
      </c>
      <c r="I1364" s="200">
        <f t="shared" si="6899"/>
        <v>1</v>
      </c>
      <c r="J1364" s="200">
        <f t="shared" si="6899"/>
        <v>0</v>
      </c>
      <c r="K1364" s="200">
        <f t="shared" si="6899"/>
        <v>0</v>
      </c>
      <c r="L1364" s="200">
        <f t="shared" si="6899"/>
        <v>0</v>
      </c>
      <c r="M1364" s="200">
        <f t="shared" si="6899"/>
        <v>0</v>
      </c>
      <c r="N1364" s="200">
        <f t="shared" si="6899"/>
        <v>0</v>
      </c>
      <c r="O1364" s="200">
        <f t="shared" si="6899"/>
        <v>0</v>
      </c>
      <c r="P1364" s="200">
        <f t="shared" si="9"/>
        <v>0</v>
      </c>
      <c r="Q1364" s="200">
        <f t="shared" ref="Q1364:AC1364" si="6900">countif($D1364,"*"&amp;Q$2&amp;"*")</f>
        <v>0</v>
      </c>
      <c r="R1364" s="200">
        <f t="shared" si="6900"/>
        <v>0</v>
      </c>
      <c r="S1364" s="200">
        <f t="shared" si="6900"/>
        <v>0</v>
      </c>
      <c r="T1364" s="200">
        <f t="shared" si="6900"/>
        <v>0</v>
      </c>
      <c r="U1364" s="200">
        <f t="shared" si="6900"/>
        <v>0</v>
      </c>
      <c r="V1364" s="200">
        <f t="shared" si="6900"/>
        <v>0</v>
      </c>
      <c r="W1364" s="200">
        <f t="shared" si="6900"/>
        <v>0</v>
      </c>
      <c r="X1364" s="200">
        <f t="shared" si="6900"/>
        <v>0</v>
      </c>
      <c r="Y1364" s="200">
        <f t="shared" si="6900"/>
        <v>0</v>
      </c>
      <c r="Z1364" s="200">
        <f t="shared" si="6900"/>
        <v>0</v>
      </c>
      <c r="AA1364" s="200">
        <f t="shared" si="6900"/>
        <v>0</v>
      </c>
      <c r="AB1364" s="200">
        <f t="shared" si="6900"/>
        <v>0</v>
      </c>
      <c r="AC1364" s="200">
        <f t="shared" si="6900"/>
        <v>0</v>
      </c>
      <c r="AD1364" s="200">
        <f t="shared" si="11"/>
        <v>0</v>
      </c>
      <c r="AE1364" s="200">
        <f t="shared" ref="AE1364:AG1364" si="6901">countif($D1364,"*"&amp;AE$2&amp;"*")</f>
        <v>0</v>
      </c>
      <c r="AF1364" s="200">
        <f t="shared" si="6901"/>
        <v>0</v>
      </c>
      <c r="AG1364" s="200">
        <f t="shared" si="6901"/>
        <v>0</v>
      </c>
      <c r="AH1364" s="171">
        <f t="shared" si="13"/>
        <v>0</v>
      </c>
      <c r="AI1364" s="200">
        <f t="shared" si="14"/>
        <v>1</v>
      </c>
      <c r="AJ1364" s="200">
        <f t="shared" si="6100"/>
        <v>0</v>
      </c>
      <c r="AK1364" s="201">
        <f t="shared" ref="AK1364:AS1364" si="6902">countif($D1364,"*"&amp;AK$2&amp;"*")</f>
        <v>0</v>
      </c>
      <c r="AL1364" s="201">
        <f t="shared" si="6902"/>
        <v>0</v>
      </c>
      <c r="AM1364" s="201">
        <f t="shared" si="6902"/>
        <v>0</v>
      </c>
      <c r="AN1364" s="201">
        <f t="shared" si="6902"/>
        <v>0</v>
      </c>
      <c r="AO1364" s="201">
        <f t="shared" si="6902"/>
        <v>0</v>
      </c>
      <c r="AP1364" s="201">
        <f t="shared" si="6902"/>
        <v>0</v>
      </c>
      <c r="AQ1364" s="201">
        <f t="shared" si="6902"/>
        <v>0</v>
      </c>
      <c r="AR1364" s="200">
        <f t="shared" si="6902"/>
        <v>0</v>
      </c>
      <c r="AS1364" s="200">
        <f t="shared" si="6902"/>
        <v>0</v>
      </c>
      <c r="AT1364" s="173">
        <v>0.0</v>
      </c>
      <c r="AU1364" s="200">
        <f t="shared" si="6217"/>
        <v>0</v>
      </c>
      <c r="AV1364" s="200">
        <f t="shared" ref="AV1364:AX1364" si="6903">countif($D1364,"*"&amp;AV$2&amp;"*")</f>
        <v>0</v>
      </c>
      <c r="AW1364" s="200">
        <f t="shared" si="6903"/>
        <v>0</v>
      </c>
      <c r="AX1364" s="200">
        <f t="shared" si="6903"/>
        <v>1</v>
      </c>
      <c r="AY1364" s="202">
        <v>0.0</v>
      </c>
      <c r="AZ1364" s="200"/>
      <c r="BA1364" s="171" t="str">
        <f t="shared" si="18"/>
        <v>Archival</v>
      </c>
      <c r="BB1364" s="171" t="str">
        <f t="shared" si="19"/>
        <v/>
      </c>
      <c r="BC1364" s="171" t="str">
        <f t="shared" si="20"/>
        <v/>
      </c>
      <c r="BD1364" s="171" t="str">
        <f t="shared" si="21"/>
        <v/>
      </c>
      <c r="BE1364" s="171" t="str">
        <f t="shared" si="22"/>
        <v/>
      </c>
      <c r="BF1364" s="171" t="str">
        <f t="shared" si="23"/>
        <v>Archival</v>
      </c>
    </row>
    <row r="1365">
      <c r="A1365" s="171">
        <f t="array" ref="A1365">XLOOKUP(C1365,FSE!A:A,FSE!C:C,"XXXXX",0,1)</f>
        <v>2023</v>
      </c>
      <c r="B1365" s="213" t="s">
        <v>5676</v>
      </c>
      <c r="C1365" s="214">
        <v>106.0</v>
      </c>
      <c r="D1365" s="215" t="s">
        <v>6231</v>
      </c>
      <c r="E1365" s="197" t="str">
        <f t="array" ref="E1365">XLOOKUP(C1365,FSE!A:A,FSE!Z:Z,"XXXXX",0,1)</f>
        <v>Publicly Available (2)</v>
      </c>
      <c r="F1365" s="213" t="s">
        <v>3394</v>
      </c>
      <c r="G1365" s="163" t="str">
        <f t="array" ref="G1365">IF(B1365="ICSE",IF(COUNTIFS(B:B,B1365,C:C,C1365)=XLOOKUP(C1365,ICSE!A:A,ICSE!AA:AA,"ERROR",0,1),"OK","ERROR"),IF(B1365="FSE",IF(COUNTIFS(B:B,B1365,C:C,C1365)=XLOOKUP(C1365,FSE!A:A,FSE!AA:AA,"ERROR",0,1),"OK","ERROR")))</f>
        <v>OK</v>
      </c>
      <c r="H1365" s="199">
        <f t="shared" ref="H1365:O1365" si="6904">countif($D1365,"*"&amp;H$2&amp;"*")</f>
        <v>1</v>
      </c>
      <c r="I1365" s="200">
        <f t="shared" si="6904"/>
        <v>0</v>
      </c>
      <c r="J1365" s="200">
        <f t="shared" si="6904"/>
        <v>0</v>
      </c>
      <c r="K1365" s="200">
        <f t="shared" si="6904"/>
        <v>0</v>
      </c>
      <c r="L1365" s="200">
        <f t="shared" si="6904"/>
        <v>0</v>
      </c>
      <c r="M1365" s="200">
        <f t="shared" si="6904"/>
        <v>0</v>
      </c>
      <c r="N1365" s="200">
        <f t="shared" si="6904"/>
        <v>0</v>
      </c>
      <c r="O1365" s="200">
        <f t="shared" si="6904"/>
        <v>0</v>
      </c>
      <c r="P1365" s="200">
        <f t="shared" si="9"/>
        <v>0</v>
      </c>
      <c r="Q1365" s="200">
        <f t="shared" ref="Q1365:AC1365" si="6905">countif($D1365,"*"&amp;Q$2&amp;"*")</f>
        <v>0</v>
      </c>
      <c r="R1365" s="200">
        <f t="shared" si="6905"/>
        <v>0</v>
      </c>
      <c r="S1365" s="200">
        <f t="shared" si="6905"/>
        <v>0</v>
      </c>
      <c r="T1365" s="200">
        <f t="shared" si="6905"/>
        <v>0</v>
      </c>
      <c r="U1365" s="200">
        <f t="shared" si="6905"/>
        <v>0</v>
      </c>
      <c r="V1365" s="200">
        <f t="shared" si="6905"/>
        <v>0</v>
      </c>
      <c r="W1365" s="200">
        <f t="shared" si="6905"/>
        <v>0</v>
      </c>
      <c r="X1365" s="200">
        <f t="shared" si="6905"/>
        <v>0</v>
      </c>
      <c r="Y1365" s="200">
        <f t="shared" si="6905"/>
        <v>0</v>
      </c>
      <c r="Z1365" s="200">
        <f t="shared" si="6905"/>
        <v>0</v>
      </c>
      <c r="AA1365" s="200">
        <f t="shared" si="6905"/>
        <v>0</v>
      </c>
      <c r="AB1365" s="200">
        <f t="shared" si="6905"/>
        <v>0</v>
      </c>
      <c r="AC1365" s="200">
        <f t="shared" si="6905"/>
        <v>0</v>
      </c>
      <c r="AD1365" s="200">
        <f t="shared" si="11"/>
        <v>0</v>
      </c>
      <c r="AE1365" s="200">
        <f t="shared" ref="AE1365:AG1365" si="6906">countif($D1365,"*"&amp;AE$2&amp;"*")</f>
        <v>0</v>
      </c>
      <c r="AF1365" s="200">
        <f t="shared" si="6906"/>
        <v>0</v>
      </c>
      <c r="AG1365" s="200">
        <f t="shared" si="6906"/>
        <v>0</v>
      </c>
      <c r="AH1365" s="171">
        <f t="shared" si="13"/>
        <v>0</v>
      </c>
      <c r="AI1365" s="200">
        <f t="shared" si="14"/>
        <v>1</v>
      </c>
      <c r="AJ1365" s="200">
        <f t="shared" si="6100"/>
        <v>0</v>
      </c>
      <c r="AK1365" s="201">
        <f t="shared" ref="AK1365:AS1365" si="6907">countif($D1365,"*"&amp;AK$2&amp;"*")</f>
        <v>0</v>
      </c>
      <c r="AL1365" s="201">
        <f t="shared" si="6907"/>
        <v>0</v>
      </c>
      <c r="AM1365" s="201">
        <f t="shared" si="6907"/>
        <v>0</v>
      </c>
      <c r="AN1365" s="201">
        <f t="shared" si="6907"/>
        <v>0</v>
      </c>
      <c r="AO1365" s="201">
        <f t="shared" si="6907"/>
        <v>0</v>
      </c>
      <c r="AP1365" s="201">
        <f t="shared" si="6907"/>
        <v>0</v>
      </c>
      <c r="AQ1365" s="201">
        <f t="shared" si="6907"/>
        <v>0</v>
      </c>
      <c r="AR1365" s="200">
        <f t="shared" si="6907"/>
        <v>0</v>
      </c>
      <c r="AS1365" s="200">
        <f t="shared" si="6907"/>
        <v>0</v>
      </c>
      <c r="AT1365" s="173">
        <v>0.0</v>
      </c>
      <c r="AU1365" s="200">
        <f t="shared" si="6217"/>
        <v>0</v>
      </c>
      <c r="AV1365" s="200">
        <f t="shared" ref="AV1365:AX1365" si="6908">countif($D1365,"*"&amp;AV$2&amp;"*")</f>
        <v>0</v>
      </c>
      <c r="AW1365" s="200">
        <f t="shared" si="6908"/>
        <v>0</v>
      </c>
      <c r="AX1365" s="200">
        <f t="shared" si="6908"/>
        <v>1</v>
      </c>
      <c r="AY1365" s="202">
        <v>0.0</v>
      </c>
      <c r="AZ1365" s="200"/>
      <c r="BA1365" s="171" t="str">
        <f t="shared" si="18"/>
        <v>Archival</v>
      </c>
      <c r="BB1365" s="171" t="str">
        <f t="shared" si="19"/>
        <v/>
      </c>
      <c r="BC1365" s="171" t="str">
        <f t="shared" si="20"/>
        <v/>
      </c>
      <c r="BD1365" s="171" t="str">
        <f t="shared" si="21"/>
        <v/>
      </c>
      <c r="BE1365" s="171" t="str">
        <f t="shared" si="22"/>
        <v/>
      </c>
      <c r="BF1365" s="171" t="str">
        <f t="shared" si="23"/>
        <v>Archival</v>
      </c>
    </row>
    <row r="1366">
      <c r="A1366" s="171">
        <f t="array" ref="A1366">XLOOKUP(C1366,FSE!A:A,FSE!C:C,"XXXXX",0,1)</f>
        <v>2023</v>
      </c>
      <c r="B1366" s="213" t="s">
        <v>5676</v>
      </c>
      <c r="C1366" s="214">
        <v>106.0</v>
      </c>
      <c r="D1366" s="215" t="s">
        <v>6232</v>
      </c>
      <c r="E1366" s="197" t="str">
        <f t="array" ref="E1366">XLOOKUP(C1366,FSE!A:A,FSE!Z:Z,"XXXXX",0,1)</f>
        <v>Publicly Available (2)</v>
      </c>
      <c r="F1366" s="213" t="s">
        <v>3394</v>
      </c>
      <c r="G1366" s="163" t="str">
        <f t="array" ref="G1366">IF(B1366="ICSE",IF(COUNTIFS(B:B,B1366,C:C,C1366)=XLOOKUP(C1366,ICSE!A:A,ICSE!AA:AA,"ERROR",0,1),"OK","ERROR"),IF(B1366="FSE",IF(COUNTIFS(B:B,B1366,C:C,C1366)=XLOOKUP(C1366,FSE!A:A,FSE!AA:AA,"ERROR",0,1),"OK","ERROR")))</f>
        <v>OK</v>
      </c>
      <c r="H1366" s="199">
        <f t="shared" ref="H1366:O1366" si="6909">countif($D1366,"*"&amp;H$2&amp;"*")</f>
        <v>0</v>
      </c>
      <c r="I1366" s="200">
        <f t="shared" si="6909"/>
        <v>0</v>
      </c>
      <c r="J1366" s="200">
        <f t="shared" si="6909"/>
        <v>0</v>
      </c>
      <c r="K1366" s="200">
        <f t="shared" si="6909"/>
        <v>0</v>
      </c>
      <c r="L1366" s="200">
        <f t="shared" si="6909"/>
        <v>0</v>
      </c>
      <c r="M1366" s="200">
        <f t="shared" si="6909"/>
        <v>0</v>
      </c>
      <c r="N1366" s="200">
        <f t="shared" si="6909"/>
        <v>0</v>
      </c>
      <c r="O1366" s="200">
        <f t="shared" si="6909"/>
        <v>0</v>
      </c>
      <c r="P1366" s="200">
        <f t="shared" si="9"/>
        <v>0</v>
      </c>
      <c r="Q1366" s="200">
        <f t="shared" ref="Q1366:AC1366" si="6910">countif($D1366,"*"&amp;Q$2&amp;"*")</f>
        <v>0</v>
      </c>
      <c r="R1366" s="200">
        <f t="shared" si="6910"/>
        <v>0</v>
      </c>
      <c r="S1366" s="200">
        <f t="shared" si="6910"/>
        <v>0</v>
      </c>
      <c r="T1366" s="200">
        <f t="shared" si="6910"/>
        <v>0</v>
      </c>
      <c r="U1366" s="200">
        <f t="shared" si="6910"/>
        <v>0</v>
      </c>
      <c r="V1366" s="200">
        <f t="shared" si="6910"/>
        <v>0</v>
      </c>
      <c r="W1366" s="200">
        <f t="shared" si="6910"/>
        <v>0</v>
      </c>
      <c r="X1366" s="200">
        <f t="shared" si="6910"/>
        <v>0</v>
      </c>
      <c r="Y1366" s="200">
        <f t="shared" si="6910"/>
        <v>0</v>
      </c>
      <c r="Z1366" s="200">
        <f t="shared" si="6910"/>
        <v>0</v>
      </c>
      <c r="AA1366" s="200">
        <f t="shared" si="6910"/>
        <v>1</v>
      </c>
      <c r="AB1366" s="200">
        <f t="shared" si="6910"/>
        <v>0</v>
      </c>
      <c r="AC1366" s="200">
        <f t="shared" si="6910"/>
        <v>0</v>
      </c>
      <c r="AD1366" s="200">
        <f t="shared" si="11"/>
        <v>0</v>
      </c>
      <c r="AE1366" s="200">
        <f t="shared" ref="AE1366:AG1366" si="6911">countif($D1366,"*"&amp;AE$2&amp;"*")</f>
        <v>0</v>
      </c>
      <c r="AF1366" s="200">
        <f t="shared" si="6911"/>
        <v>0</v>
      </c>
      <c r="AG1366" s="200">
        <f t="shared" si="6911"/>
        <v>0</v>
      </c>
      <c r="AH1366" s="171">
        <f t="shared" si="13"/>
        <v>0</v>
      </c>
      <c r="AI1366" s="200">
        <f t="shared" si="14"/>
        <v>0</v>
      </c>
      <c r="AJ1366" s="200">
        <f t="shared" si="6100"/>
        <v>0</v>
      </c>
      <c r="AK1366" s="201">
        <f t="shared" ref="AK1366:AS1366" si="6912">countif($D1366,"*"&amp;AK$2&amp;"*")</f>
        <v>0</v>
      </c>
      <c r="AL1366" s="201">
        <f t="shared" si="6912"/>
        <v>0</v>
      </c>
      <c r="AM1366" s="201">
        <f t="shared" si="6912"/>
        <v>0</v>
      </c>
      <c r="AN1366" s="201">
        <f t="shared" si="6912"/>
        <v>0</v>
      </c>
      <c r="AO1366" s="201">
        <f t="shared" si="6912"/>
        <v>0</v>
      </c>
      <c r="AP1366" s="201">
        <f t="shared" si="6912"/>
        <v>0</v>
      </c>
      <c r="AQ1366" s="201">
        <f t="shared" si="6912"/>
        <v>0</v>
      </c>
      <c r="AR1366" s="200">
        <f t="shared" si="6912"/>
        <v>0</v>
      </c>
      <c r="AS1366" s="200">
        <f t="shared" si="6912"/>
        <v>0</v>
      </c>
      <c r="AT1366" s="173">
        <v>0.0</v>
      </c>
      <c r="AU1366" s="200">
        <f t="shared" si="6217"/>
        <v>0</v>
      </c>
      <c r="AV1366" s="200">
        <f t="shared" ref="AV1366:AX1366" si="6913">countif($D1366,"*"&amp;AV$2&amp;"*")</f>
        <v>0</v>
      </c>
      <c r="AW1366" s="200">
        <f t="shared" si="6913"/>
        <v>0</v>
      </c>
      <c r="AX1366" s="200">
        <f t="shared" si="6913"/>
        <v>0</v>
      </c>
      <c r="AY1366" s="202">
        <v>0.0</v>
      </c>
      <c r="AZ1366" s="200"/>
      <c r="BA1366" s="171" t="str">
        <f t="shared" si="18"/>
        <v/>
      </c>
      <c r="BB1366" s="171" t="str">
        <f t="shared" si="19"/>
        <v/>
      </c>
      <c r="BC1366" s="171" t="str">
        <f t="shared" si="20"/>
        <v>General-purpose</v>
      </c>
      <c r="BD1366" s="171" t="str">
        <f t="shared" si="21"/>
        <v/>
      </c>
      <c r="BE1366" s="171" t="str">
        <f t="shared" si="22"/>
        <v/>
      </c>
      <c r="BF1366" s="171" t="str">
        <f t="shared" si="23"/>
        <v>General-purpose</v>
      </c>
    </row>
    <row r="1367">
      <c r="A1367" s="171">
        <f t="array" ref="A1367">XLOOKUP(C1367,FSE!A:A,FSE!C:C,"XXXXX",0,1)</f>
        <v>2023</v>
      </c>
      <c r="B1367" s="213" t="s">
        <v>5676</v>
      </c>
      <c r="C1367" s="214">
        <v>107.0</v>
      </c>
      <c r="D1367" s="215" t="s">
        <v>5605</v>
      </c>
      <c r="E1367" s="197" t="str">
        <f t="array" ref="E1367">XLOOKUP(C1367,FSE!A:A,FSE!Z:Z,"XXXXX",0,1)</f>
        <v>Publicly Available (1)</v>
      </c>
      <c r="F1367" s="213" t="s">
        <v>3394</v>
      </c>
      <c r="G1367" s="163" t="str">
        <f t="array" ref="G1367">IF(B1367="ICSE",IF(COUNTIFS(B:B,B1367,C:C,C1367)=XLOOKUP(C1367,ICSE!A:A,ICSE!AA:AA,"ERROR",0,1),"OK","ERROR"),IF(B1367="FSE",IF(COUNTIFS(B:B,B1367,C:C,C1367)=XLOOKUP(C1367,FSE!A:A,FSE!AA:AA,"ERROR",0,1),"OK","ERROR")))</f>
        <v>OK</v>
      </c>
      <c r="H1367" s="199">
        <f t="shared" ref="H1367:O1367" si="6914">countif($D1367,"*"&amp;H$2&amp;"*")</f>
        <v>0</v>
      </c>
      <c r="I1367" s="200">
        <f t="shared" si="6914"/>
        <v>0</v>
      </c>
      <c r="J1367" s="200">
        <f t="shared" si="6914"/>
        <v>0</v>
      </c>
      <c r="K1367" s="200">
        <f t="shared" si="6914"/>
        <v>0</v>
      </c>
      <c r="L1367" s="200">
        <f t="shared" si="6914"/>
        <v>0</v>
      </c>
      <c r="M1367" s="200">
        <f t="shared" si="6914"/>
        <v>0</v>
      </c>
      <c r="N1367" s="200">
        <f t="shared" si="6914"/>
        <v>0</v>
      </c>
      <c r="O1367" s="200">
        <f t="shared" si="6914"/>
        <v>0</v>
      </c>
      <c r="P1367" s="200">
        <f t="shared" si="9"/>
        <v>1</v>
      </c>
      <c r="Q1367" s="200">
        <f t="shared" ref="Q1367:AC1367" si="6915">countif($D1367,"*"&amp;Q$2&amp;"*")</f>
        <v>0</v>
      </c>
      <c r="R1367" s="200">
        <f t="shared" si="6915"/>
        <v>0</v>
      </c>
      <c r="S1367" s="200">
        <f t="shared" si="6915"/>
        <v>0</v>
      </c>
      <c r="T1367" s="200">
        <f t="shared" si="6915"/>
        <v>0</v>
      </c>
      <c r="U1367" s="200">
        <f t="shared" si="6915"/>
        <v>0</v>
      </c>
      <c r="V1367" s="200">
        <f t="shared" si="6915"/>
        <v>0</v>
      </c>
      <c r="W1367" s="200">
        <f t="shared" si="6915"/>
        <v>0</v>
      </c>
      <c r="X1367" s="200">
        <f t="shared" si="6915"/>
        <v>0</v>
      </c>
      <c r="Y1367" s="200">
        <f t="shared" si="6915"/>
        <v>0</v>
      </c>
      <c r="Z1367" s="200">
        <f t="shared" si="6915"/>
        <v>0</v>
      </c>
      <c r="AA1367" s="200">
        <f t="shared" si="6915"/>
        <v>0</v>
      </c>
      <c r="AB1367" s="200">
        <f t="shared" si="6915"/>
        <v>0</v>
      </c>
      <c r="AC1367" s="200">
        <f t="shared" si="6915"/>
        <v>0</v>
      </c>
      <c r="AD1367" s="200">
        <f t="shared" si="11"/>
        <v>0</v>
      </c>
      <c r="AE1367" s="200">
        <f t="shared" ref="AE1367:AG1367" si="6916">countif($D1367,"*"&amp;AE$2&amp;"*")</f>
        <v>0</v>
      </c>
      <c r="AF1367" s="200">
        <f t="shared" si="6916"/>
        <v>0</v>
      </c>
      <c r="AG1367" s="200">
        <f t="shared" si="6916"/>
        <v>0</v>
      </c>
      <c r="AH1367" s="171">
        <f t="shared" si="13"/>
        <v>0</v>
      </c>
      <c r="AI1367" s="200">
        <f t="shared" si="14"/>
        <v>0</v>
      </c>
      <c r="AJ1367" s="200">
        <f t="shared" si="6100"/>
        <v>0</v>
      </c>
      <c r="AK1367" s="201">
        <f t="shared" ref="AK1367:AS1367" si="6917">countif($D1367,"*"&amp;AK$2&amp;"*")</f>
        <v>0</v>
      </c>
      <c r="AL1367" s="201">
        <f t="shared" si="6917"/>
        <v>0</v>
      </c>
      <c r="AM1367" s="201">
        <f t="shared" si="6917"/>
        <v>0</v>
      </c>
      <c r="AN1367" s="201">
        <f t="shared" si="6917"/>
        <v>0</v>
      </c>
      <c r="AO1367" s="201">
        <f t="shared" si="6917"/>
        <v>0</v>
      </c>
      <c r="AP1367" s="201">
        <f t="shared" si="6917"/>
        <v>0</v>
      </c>
      <c r="AQ1367" s="201">
        <f t="shared" si="6917"/>
        <v>0</v>
      </c>
      <c r="AR1367" s="200">
        <f t="shared" si="6917"/>
        <v>0</v>
      </c>
      <c r="AS1367" s="200">
        <f t="shared" si="6917"/>
        <v>0</v>
      </c>
      <c r="AT1367" s="173">
        <v>0.0</v>
      </c>
      <c r="AU1367" s="200">
        <f t="shared" si="6217"/>
        <v>0</v>
      </c>
      <c r="AV1367" s="200">
        <f t="shared" ref="AV1367:AX1367" si="6918">countif($D1367,"*"&amp;AV$2&amp;"*")</f>
        <v>1</v>
      </c>
      <c r="AW1367" s="200">
        <f t="shared" si="6918"/>
        <v>0</v>
      </c>
      <c r="AX1367" s="200">
        <f t="shared" si="6918"/>
        <v>0</v>
      </c>
      <c r="AY1367" s="202">
        <v>0.0</v>
      </c>
      <c r="AZ1367" s="200"/>
      <c r="BA1367" s="171" t="str">
        <f t="shared" si="18"/>
        <v/>
      </c>
      <c r="BB1367" s="171" t="str">
        <f t="shared" si="19"/>
        <v>Code</v>
      </c>
      <c r="BC1367" s="171" t="str">
        <f t="shared" si="20"/>
        <v/>
      </c>
      <c r="BD1367" s="171" t="str">
        <f t="shared" si="21"/>
        <v/>
      </c>
      <c r="BE1367" s="171" t="str">
        <f t="shared" si="22"/>
        <v/>
      </c>
      <c r="BF1367" s="171" t="str">
        <f t="shared" si="23"/>
        <v>Code</v>
      </c>
    </row>
    <row r="1368">
      <c r="A1368" s="171">
        <f t="array" ref="A1368">XLOOKUP(C1368,FSE!A:A,FSE!C:C,"XXXXX",0,1)</f>
        <v>2023</v>
      </c>
      <c r="B1368" s="213" t="s">
        <v>5676</v>
      </c>
      <c r="C1368" s="214">
        <v>108.0</v>
      </c>
      <c r="D1368" s="215" t="s">
        <v>5608</v>
      </c>
      <c r="E1368" s="197" t="str">
        <f t="array" ref="E1368">XLOOKUP(C1368,FSE!A:A,FSE!Z:Z,"XXXXX",0,1)</f>
        <v>Publicly Available (1)</v>
      </c>
      <c r="F1368" s="213" t="s">
        <v>3394</v>
      </c>
      <c r="G1368" s="163" t="str">
        <f t="array" ref="G1368">IF(B1368="ICSE",IF(COUNTIFS(B:B,B1368,C:C,C1368)=XLOOKUP(C1368,ICSE!A:A,ICSE!AA:AA,"ERROR",0,1),"OK","ERROR"),IF(B1368="FSE",IF(COUNTIFS(B:B,B1368,C:C,C1368)=XLOOKUP(C1368,FSE!A:A,FSE!AA:AA,"ERROR",0,1),"OK","ERROR")))</f>
        <v>OK</v>
      </c>
      <c r="H1368" s="199">
        <f t="shared" ref="H1368:O1368" si="6919">countif($D1368,"*"&amp;H$2&amp;"*")</f>
        <v>0</v>
      </c>
      <c r="I1368" s="200">
        <f t="shared" si="6919"/>
        <v>0</v>
      </c>
      <c r="J1368" s="200">
        <f t="shared" si="6919"/>
        <v>0</v>
      </c>
      <c r="K1368" s="200">
        <f t="shared" si="6919"/>
        <v>0</v>
      </c>
      <c r="L1368" s="200">
        <f t="shared" si="6919"/>
        <v>0</v>
      </c>
      <c r="M1368" s="200">
        <f t="shared" si="6919"/>
        <v>0</v>
      </c>
      <c r="N1368" s="200">
        <f t="shared" si="6919"/>
        <v>0</v>
      </c>
      <c r="O1368" s="200">
        <f t="shared" si="6919"/>
        <v>0</v>
      </c>
      <c r="P1368" s="200">
        <f t="shared" si="9"/>
        <v>0</v>
      </c>
      <c r="Q1368" s="200">
        <f t="shared" ref="Q1368:AC1368" si="6920">countif($D1368,"*"&amp;Q$2&amp;"*")</f>
        <v>0</v>
      </c>
      <c r="R1368" s="200">
        <f t="shared" si="6920"/>
        <v>0</v>
      </c>
      <c r="S1368" s="200">
        <f t="shared" si="6920"/>
        <v>0</v>
      </c>
      <c r="T1368" s="200">
        <f t="shared" si="6920"/>
        <v>0</v>
      </c>
      <c r="U1368" s="200">
        <f t="shared" si="6920"/>
        <v>0</v>
      </c>
      <c r="V1368" s="200">
        <f t="shared" si="6920"/>
        <v>0</v>
      </c>
      <c r="W1368" s="200">
        <f t="shared" si="6920"/>
        <v>0</v>
      </c>
      <c r="X1368" s="200">
        <f t="shared" si="6920"/>
        <v>0</v>
      </c>
      <c r="Y1368" s="200">
        <f t="shared" si="6920"/>
        <v>0</v>
      </c>
      <c r="Z1368" s="200">
        <f t="shared" si="6920"/>
        <v>0</v>
      </c>
      <c r="AA1368" s="200">
        <f t="shared" si="6920"/>
        <v>1</v>
      </c>
      <c r="AB1368" s="200">
        <f t="shared" si="6920"/>
        <v>0</v>
      </c>
      <c r="AC1368" s="200">
        <f t="shared" si="6920"/>
        <v>0</v>
      </c>
      <c r="AD1368" s="200">
        <f t="shared" si="11"/>
        <v>0</v>
      </c>
      <c r="AE1368" s="200">
        <f t="shared" ref="AE1368:AG1368" si="6921">countif($D1368,"*"&amp;AE$2&amp;"*")</f>
        <v>0</v>
      </c>
      <c r="AF1368" s="200">
        <f t="shared" si="6921"/>
        <v>0</v>
      </c>
      <c r="AG1368" s="200">
        <f t="shared" si="6921"/>
        <v>0</v>
      </c>
      <c r="AH1368" s="171">
        <f t="shared" si="13"/>
        <v>0</v>
      </c>
      <c r="AI1368" s="200">
        <f t="shared" si="14"/>
        <v>0</v>
      </c>
      <c r="AJ1368" s="200">
        <f t="shared" si="6100"/>
        <v>0</v>
      </c>
      <c r="AK1368" s="201">
        <f t="shared" ref="AK1368:AS1368" si="6922">countif($D1368,"*"&amp;AK$2&amp;"*")</f>
        <v>0</v>
      </c>
      <c r="AL1368" s="201">
        <f t="shared" si="6922"/>
        <v>0</v>
      </c>
      <c r="AM1368" s="201">
        <f t="shared" si="6922"/>
        <v>0</v>
      </c>
      <c r="AN1368" s="201">
        <f t="shared" si="6922"/>
        <v>0</v>
      </c>
      <c r="AO1368" s="201">
        <f t="shared" si="6922"/>
        <v>0</v>
      </c>
      <c r="AP1368" s="201">
        <f t="shared" si="6922"/>
        <v>0</v>
      </c>
      <c r="AQ1368" s="201">
        <f t="shared" si="6922"/>
        <v>0</v>
      </c>
      <c r="AR1368" s="200">
        <f t="shared" si="6922"/>
        <v>0</v>
      </c>
      <c r="AS1368" s="200">
        <f t="shared" si="6922"/>
        <v>0</v>
      </c>
      <c r="AT1368" s="173">
        <v>0.0</v>
      </c>
      <c r="AU1368" s="200">
        <f t="shared" si="6217"/>
        <v>0</v>
      </c>
      <c r="AV1368" s="200">
        <f t="shared" ref="AV1368:AX1368" si="6923">countif($D1368,"*"&amp;AV$2&amp;"*")</f>
        <v>0</v>
      </c>
      <c r="AW1368" s="200">
        <f t="shared" si="6923"/>
        <v>0</v>
      </c>
      <c r="AX1368" s="200">
        <f t="shared" si="6923"/>
        <v>0</v>
      </c>
      <c r="AY1368" s="202">
        <v>0.0</v>
      </c>
      <c r="AZ1368" s="200"/>
      <c r="BA1368" s="171" t="str">
        <f t="shared" si="18"/>
        <v/>
      </c>
      <c r="BB1368" s="171" t="str">
        <f t="shared" si="19"/>
        <v/>
      </c>
      <c r="BC1368" s="171" t="str">
        <f t="shared" si="20"/>
        <v>General-purpose</v>
      </c>
      <c r="BD1368" s="171" t="str">
        <f t="shared" si="21"/>
        <v/>
      </c>
      <c r="BE1368" s="171" t="str">
        <f t="shared" si="22"/>
        <v/>
      </c>
      <c r="BF1368" s="171" t="str">
        <f t="shared" si="23"/>
        <v>General-purpose</v>
      </c>
    </row>
    <row r="1369">
      <c r="A1369" s="171">
        <f t="array" ref="A1369">XLOOKUP(C1369,FSE!A:A,FSE!C:C,"XXXXX",0,1)</f>
        <v>2023</v>
      </c>
      <c r="B1369" s="213" t="s">
        <v>5676</v>
      </c>
      <c r="C1369" s="214">
        <v>109.0</v>
      </c>
      <c r="D1369" s="215" t="s">
        <v>5611</v>
      </c>
      <c r="E1369" s="197" t="str">
        <f t="array" ref="E1369">XLOOKUP(C1369,FSE!A:A,FSE!Z:Z,"XXXXX",0,1)</f>
        <v>Publicly Available (1)</v>
      </c>
      <c r="F1369" s="213" t="s">
        <v>3394</v>
      </c>
      <c r="G1369" s="163" t="str">
        <f t="array" ref="G1369">IF(B1369="ICSE",IF(COUNTIFS(B:B,B1369,C:C,C1369)=XLOOKUP(C1369,ICSE!A:A,ICSE!AA:AA,"ERROR",0,1),"OK","ERROR"),IF(B1369="FSE",IF(COUNTIFS(B:B,B1369,C:C,C1369)=XLOOKUP(C1369,FSE!A:A,FSE!AA:AA,"ERROR",0,1),"OK","ERROR")))</f>
        <v>OK</v>
      </c>
      <c r="H1369" s="199">
        <f t="shared" ref="H1369:O1369" si="6924">countif($D1369,"*"&amp;H$2&amp;"*")</f>
        <v>0</v>
      </c>
      <c r="I1369" s="200">
        <f t="shared" si="6924"/>
        <v>0</v>
      </c>
      <c r="J1369" s="200">
        <f t="shared" si="6924"/>
        <v>0</v>
      </c>
      <c r="K1369" s="200">
        <f t="shared" si="6924"/>
        <v>0</v>
      </c>
      <c r="L1369" s="200">
        <f t="shared" si="6924"/>
        <v>0</v>
      </c>
      <c r="M1369" s="200">
        <f t="shared" si="6924"/>
        <v>0</v>
      </c>
      <c r="N1369" s="200">
        <f t="shared" si="6924"/>
        <v>0</v>
      </c>
      <c r="O1369" s="200">
        <f t="shared" si="6924"/>
        <v>0</v>
      </c>
      <c r="P1369" s="200">
        <f t="shared" si="9"/>
        <v>1</v>
      </c>
      <c r="Q1369" s="200">
        <f t="shared" ref="Q1369:AC1369" si="6925">countif($D1369,"*"&amp;Q$2&amp;"*")</f>
        <v>0</v>
      </c>
      <c r="R1369" s="200">
        <f t="shared" si="6925"/>
        <v>0</v>
      </c>
      <c r="S1369" s="200">
        <f t="shared" si="6925"/>
        <v>0</v>
      </c>
      <c r="T1369" s="200">
        <f t="shared" si="6925"/>
        <v>0</v>
      </c>
      <c r="U1369" s="200">
        <f t="shared" si="6925"/>
        <v>0</v>
      </c>
      <c r="V1369" s="200">
        <f t="shared" si="6925"/>
        <v>0</v>
      </c>
      <c r="W1369" s="200">
        <f t="shared" si="6925"/>
        <v>0</v>
      </c>
      <c r="X1369" s="200">
        <f t="shared" si="6925"/>
        <v>0</v>
      </c>
      <c r="Y1369" s="200">
        <f t="shared" si="6925"/>
        <v>0</v>
      </c>
      <c r="Z1369" s="200">
        <f t="shared" si="6925"/>
        <v>0</v>
      </c>
      <c r="AA1369" s="200">
        <f t="shared" si="6925"/>
        <v>0</v>
      </c>
      <c r="AB1369" s="200">
        <f t="shared" si="6925"/>
        <v>0</v>
      </c>
      <c r="AC1369" s="200">
        <f t="shared" si="6925"/>
        <v>0</v>
      </c>
      <c r="AD1369" s="200">
        <f t="shared" si="11"/>
        <v>0</v>
      </c>
      <c r="AE1369" s="200">
        <f t="shared" ref="AE1369:AG1369" si="6926">countif($D1369,"*"&amp;AE$2&amp;"*")</f>
        <v>0</v>
      </c>
      <c r="AF1369" s="200">
        <f t="shared" si="6926"/>
        <v>0</v>
      </c>
      <c r="AG1369" s="200">
        <f t="shared" si="6926"/>
        <v>0</v>
      </c>
      <c r="AH1369" s="171">
        <f t="shared" si="13"/>
        <v>0</v>
      </c>
      <c r="AI1369" s="200">
        <f t="shared" si="14"/>
        <v>0</v>
      </c>
      <c r="AJ1369" s="200">
        <f t="shared" si="6100"/>
        <v>0</v>
      </c>
      <c r="AK1369" s="201">
        <f t="shared" ref="AK1369:AS1369" si="6927">countif($D1369,"*"&amp;AK$2&amp;"*")</f>
        <v>0</v>
      </c>
      <c r="AL1369" s="201">
        <f t="shared" si="6927"/>
        <v>0</v>
      </c>
      <c r="AM1369" s="201">
        <f t="shared" si="6927"/>
        <v>0</v>
      </c>
      <c r="AN1369" s="201">
        <f t="shared" si="6927"/>
        <v>0</v>
      </c>
      <c r="AO1369" s="201">
        <f t="shared" si="6927"/>
        <v>0</v>
      </c>
      <c r="AP1369" s="201">
        <f t="shared" si="6927"/>
        <v>0</v>
      </c>
      <c r="AQ1369" s="201">
        <f t="shared" si="6927"/>
        <v>0</v>
      </c>
      <c r="AR1369" s="200">
        <f t="shared" si="6927"/>
        <v>0</v>
      </c>
      <c r="AS1369" s="200">
        <f t="shared" si="6927"/>
        <v>0</v>
      </c>
      <c r="AT1369" s="173">
        <v>0.0</v>
      </c>
      <c r="AU1369" s="200">
        <f t="shared" si="6217"/>
        <v>0</v>
      </c>
      <c r="AV1369" s="200">
        <f t="shared" ref="AV1369:AX1369" si="6928">countif($D1369,"*"&amp;AV$2&amp;"*")</f>
        <v>1</v>
      </c>
      <c r="AW1369" s="200">
        <f t="shared" si="6928"/>
        <v>0</v>
      </c>
      <c r="AX1369" s="200">
        <f t="shared" si="6928"/>
        <v>0</v>
      </c>
      <c r="AY1369" s="202">
        <v>0.0</v>
      </c>
      <c r="AZ1369" s="200"/>
      <c r="BA1369" s="171" t="str">
        <f t="shared" si="18"/>
        <v/>
      </c>
      <c r="BB1369" s="171" t="str">
        <f t="shared" si="19"/>
        <v>Code</v>
      </c>
      <c r="BC1369" s="171" t="str">
        <f t="shared" si="20"/>
        <v/>
      </c>
      <c r="BD1369" s="171" t="str">
        <f t="shared" si="21"/>
        <v/>
      </c>
      <c r="BE1369" s="171" t="str">
        <f t="shared" si="22"/>
        <v/>
      </c>
      <c r="BF1369" s="171" t="str">
        <f t="shared" si="23"/>
        <v>Code</v>
      </c>
    </row>
    <row r="1370">
      <c r="A1370" s="171">
        <f t="array" ref="A1370">XLOOKUP(C1370,FSE!A:A,FSE!C:C,"XXXXX",0,1)</f>
        <v>2023</v>
      </c>
      <c r="B1370" s="213" t="s">
        <v>5676</v>
      </c>
      <c r="C1370" s="214">
        <v>110.0</v>
      </c>
      <c r="D1370" s="215" t="s">
        <v>6233</v>
      </c>
      <c r="E1370" s="197" t="str">
        <f t="array" ref="E1370">XLOOKUP(C1370,FSE!A:A,FSE!Z:Z,"XXXXX",0,1)</f>
        <v>Publicly Available (2)</v>
      </c>
      <c r="F1370" s="213" t="s">
        <v>3394</v>
      </c>
      <c r="G1370" s="163" t="str">
        <f t="array" ref="G1370">IF(B1370="ICSE",IF(COUNTIFS(B:B,B1370,C:C,C1370)=XLOOKUP(C1370,ICSE!A:A,ICSE!AA:AA,"ERROR",0,1),"OK","ERROR"),IF(B1370="FSE",IF(COUNTIFS(B:B,B1370,C:C,C1370)=XLOOKUP(C1370,FSE!A:A,FSE!AA:AA,"ERROR",0,1),"OK","ERROR")))</f>
        <v>OK</v>
      </c>
      <c r="H1370" s="199">
        <f t="shared" ref="H1370:O1370" si="6929">countif($D1370,"*"&amp;H$2&amp;"*")</f>
        <v>0</v>
      </c>
      <c r="I1370" s="200">
        <f t="shared" si="6929"/>
        <v>0</v>
      </c>
      <c r="J1370" s="200">
        <f t="shared" si="6929"/>
        <v>0</v>
      </c>
      <c r="K1370" s="200">
        <f t="shared" si="6929"/>
        <v>0</v>
      </c>
      <c r="L1370" s="200">
        <f t="shared" si="6929"/>
        <v>0</v>
      </c>
      <c r="M1370" s="200">
        <f t="shared" si="6929"/>
        <v>0</v>
      </c>
      <c r="N1370" s="200">
        <f t="shared" si="6929"/>
        <v>0</v>
      </c>
      <c r="O1370" s="200">
        <f t="shared" si="6929"/>
        <v>0</v>
      </c>
      <c r="P1370" s="200">
        <f t="shared" si="9"/>
        <v>1</v>
      </c>
      <c r="Q1370" s="200">
        <f t="shared" ref="Q1370:AC1370" si="6930">countif($D1370,"*"&amp;Q$2&amp;"*")</f>
        <v>0</v>
      </c>
      <c r="R1370" s="200">
        <f t="shared" si="6930"/>
        <v>0</v>
      </c>
      <c r="S1370" s="200">
        <f t="shared" si="6930"/>
        <v>0</v>
      </c>
      <c r="T1370" s="200">
        <f t="shared" si="6930"/>
        <v>0</v>
      </c>
      <c r="U1370" s="200">
        <f t="shared" si="6930"/>
        <v>0</v>
      </c>
      <c r="V1370" s="200">
        <f t="shared" si="6930"/>
        <v>0</v>
      </c>
      <c r="W1370" s="200">
        <f t="shared" si="6930"/>
        <v>0</v>
      </c>
      <c r="X1370" s="200">
        <f t="shared" si="6930"/>
        <v>0</v>
      </c>
      <c r="Y1370" s="200">
        <f t="shared" si="6930"/>
        <v>0</v>
      </c>
      <c r="Z1370" s="200">
        <f t="shared" si="6930"/>
        <v>0</v>
      </c>
      <c r="AA1370" s="200">
        <f t="shared" si="6930"/>
        <v>0</v>
      </c>
      <c r="AB1370" s="200">
        <f t="shared" si="6930"/>
        <v>0</v>
      </c>
      <c r="AC1370" s="200">
        <f t="shared" si="6930"/>
        <v>0</v>
      </c>
      <c r="AD1370" s="200">
        <f t="shared" si="11"/>
        <v>0</v>
      </c>
      <c r="AE1370" s="200">
        <f t="shared" ref="AE1370:AG1370" si="6931">countif($D1370,"*"&amp;AE$2&amp;"*")</f>
        <v>0</v>
      </c>
      <c r="AF1370" s="200">
        <f t="shared" si="6931"/>
        <v>0</v>
      </c>
      <c r="AG1370" s="200">
        <f t="shared" si="6931"/>
        <v>0</v>
      </c>
      <c r="AH1370" s="171">
        <f t="shared" si="13"/>
        <v>0</v>
      </c>
      <c r="AI1370" s="200">
        <f t="shared" si="14"/>
        <v>0</v>
      </c>
      <c r="AJ1370" s="200">
        <f t="shared" si="6100"/>
        <v>0</v>
      </c>
      <c r="AK1370" s="201">
        <f t="shared" ref="AK1370:AS1370" si="6932">countif($D1370,"*"&amp;AK$2&amp;"*")</f>
        <v>0</v>
      </c>
      <c r="AL1370" s="201">
        <f t="shared" si="6932"/>
        <v>0</v>
      </c>
      <c r="AM1370" s="201">
        <f t="shared" si="6932"/>
        <v>0</v>
      </c>
      <c r="AN1370" s="201">
        <f t="shared" si="6932"/>
        <v>0</v>
      </c>
      <c r="AO1370" s="201">
        <f t="shared" si="6932"/>
        <v>0</v>
      </c>
      <c r="AP1370" s="201">
        <f t="shared" si="6932"/>
        <v>0</v>
      </c>
      <c r="AQ1370" s="201">
        <f t="shared" si="6932"/>
        <v>0</v>
      </c>
      <c r="AR1370" s="200">
        <f t="shared" si="6932"/>
        <v>0</v>
      </c>
      <c r="AS1370" s="200">
        <f t="shared" si="6932"/>
        <v>0</v>
      </c>
      <c r="AT1370" s="173">
        <v>0.0</v>
      </c>
      <c r="AU1370" s="200">
        <f t="shared" si="6217"/>
        <v>0</v>
      </c>
      <c r="AV1370" s="200">
        <f t="shared" ref="AV1370:AX1370" si="6933">countif($D1370,"*"&amp;AV$2&amp;"*")</f>
        <v>1</v>
      </c>
      <c r="AW1370" s="200">
        <f t="shared" si="6933"/>
        <v>0</v>
      </c>
      <c r="AX1370" s="200">
        <f t="shared" si="6933"/>
        <v>0</v>
      </c>
      <c r="AY1370" s="202">
        <v>0.0</v>
      </c>
      <c r="AZ1370" s="200"/>
      <c r="BA1370" s="171" t="str">
        <f t="shared" si="18"/>
        <v/>
      </c>
      <c r="BB1370" s="171" t="str">
        <f t="shared" si="19"/>
        <v>Code</v>
      </c>
      <c r="BC1370" s="171" t="str">
        <f t="shared" si="20"/>
        <v/>
      </c>
      <c r="BD1370" s="171" t="str">
        <f t="shared" si="21"/>
        <v/>
      </c>
      <c r="BE1370" s="171" t="str">
        <f t="shared" si="22"/>
        <v/>
      </c>
      <c r="BF1370" s="171" t="str">
        <f t="shared" si="23"/>
        <v>Code</v>
      </c>
    </row>
    <row r="1371">
      <c r="A1371" s="171">
        <f t="array" ref="A1371">XLOOKUP(C1371,FSE!A:A,FSE!C:C,"XXXXX",0,1)</f>
        <v>2023</v>
      </c>
      <c r="B1371" s="213" t="s">
        <v>5676</v>
      </c>
      <c r="C1371" s="214">
        <v>110.0</v>
      </c>
      <c r="D1371" s="215" t="s">
        <v>6234</v>
      </c>
      <c r="E1371" s="197" t="str">
        <f t="array" ref="E1371">XLOOKUP(C1371,FSE!A:A,FSE!Z:Z,"XXXXX",0,1)</f>
        <v>Publicly Available (2)</v>
      </c>
      <c r="F1371" s="213" t="s">
        <v>3394</v>
      </c>
      <c r="G1371" s="163" t="str">
        <f t="array" ref="G1371">IF(B1371="ICSE",IF(COUNTIFS(B:B,B1371,C:C,C1371)=XLOOKUP(C1371,ICSE!A:A,ICSE!AA:AA,"ERROR",0,1),"OK","ERROR"),IF(B1371="FSE",IF(COUNTIFS(B:B,B1371,C:C,C1371)=XLOOKUP(C1371,FSE!A:A,FSE!AA:AA,"ERROR",0,1),"OK","ERROR")))</f>
        <v>OK</v>
      </c>
      <c r="H1371" s="199">
        <f t="shared" ref="H1371:O1371" si="6934">countif($D1371,"*"&amp;H$2&amp;"*")</f>
        <v>1</v>
      </c>
      <c r="I1371" s="200">
        <f t="shared" si="6934"/>
        <v>0</v>
      </c>
      <c r="J1371" s="200">
        <f t="shared" si="6934"/>
        <v>0</v>
      </c>
      <c r="K1371" s="200">
        <f t="shared" si="6934"/>
        <v>0</v>
      </c>
      <c r="L1371" s="200">
        <f t="shared" si="6934"/>
        <v>0</v>
      </c>
      <c r="M1371" s="200">
        <f t="shared" si="6934"/>
        <v>0</v>
      </c>
      <c r="N1371" s="200">
        <f t="shared" si="6934"/>
        <v>0</v>
      </c>
      <c r="O1371" s="200">
        <f t="shared" si="6934"/>
        <v>0</v>
      </c>
      <c r="P1371" s="200">
        <f t="shared" si="9"/>
        <v>0</v>
      </c>
      <c r="Q1371" s="200">
        <f t="shared" ref="Q1371:AC1371" si="6935">countif($D1371,"*"&amp;Q$2&amp;"*")</f>
        <v>0</v>
      </c>
      <c r="R1371" s="200">
        <f t="shared" si="6935"/>
        <v>0</v>
      </c>
      <c r="S1371" s="200">
        <f t="shared" si="6935"/>
        <v>0</v>
      </c>
      <c r="T1371" s="200">
        <f t="shared" si="6935"/>
        <v>0</v>
      </c>
      <c r="U1371" s="200">
        <f t="shared" si="6935"/>
        <v>0</v>
      </c>
      <c r="V1371" s="200">
        <f t="shared" si="6935"/>
        <v>0</v>
      </c>
      <c r="W1371" s="200">
        <f t="shared" si="6935"/>
        <v>0</v>
      </c>
      <c r="X1371" s="200">
        <f t="shared" si="6935"/>
        <v>0</v>
      </c>
      <c r="Y1371" s="200">
        <f t="shared" si="6935"/>
        <v>0</v>
      </c>
      <c r="Z1371" s="200">
        <f t="shared" si="6935"/>
        <v>0</v>
      </c>
      <c r="AA1371" s="200">
        <f t="shared" si="6935"/>
        <v>0</v>
      </c>
      <c r="AB1371" s="200">
        <f t="shared" si="6935"/>
        <v>0</v>
      </c>
      <c r="AC1371" s="200">
        <f t="shared" si="6935"/>
        <v>0</v>
      </c>
      <c r="AD1371" s="200">
        <f t="shared" si="11"/>
        <v>0</v>
      </c>
      <c r="AE1371" s="200">
        <f t="shared" ref="AE1371:AG1371" si="6936">countif($D1371,"*"&amp;AE$2&amp;"*")</f>
        <v>0</v>
      </c>
      <c r="AF1371" s="200">
        <f t="shared" si="6936"/>
        <v>0</v>
      </c>
      <c r="AG1371" s="200">
        <f t="shared" si="6936"/>
        <v>0</v>
      </c>
      <c r="AH1371" s="171">
        <f t="shared" si="13"/>
        <v>0</v>
      </c>
      <c r="AI1371" s="200">
        <f t="shared" si="14"/>
        <v>1</v>
      </c>
      <c r="AJ1371" s="200">
        <f t="shared" si="6100"/>
        <v>0</v>
      </c>
      <c r="AK1371" s="201">
        <f t="shared" ref="AK1371:AS1371" si="6937">countif($D1371,"*"&amp;AK$2&amp;"*")</f>
        <v>0</v>
      </c>
      <c r="AL1371" s="201">
        <f t="shared" si="6937"/>
        <v>0</v>
      </c>
      <c r="AM1371" s="201">
        <f t="shared" si="6937"/>
        <v>0</v>
      </c>
      <c r="AN1371" s="201">
        <f t="shared" si="6937"/>
        <v>0</v>
      </c>
      <c r="AO1371" s="201">
        <f t="shared" si="6937"/>
        <v>0</v>
      </c>
      <c r="AP1371" s="201">
        <f t="shared" si="6937"/>
        <v>0</v>
      </c>
      <c r="AQ1371" s="201">
        <f t="shared" si="6937"/>
        <v>0</v>
      </c>
      <c r="AR1371" s="200">
        <f t="shared" si="6937"/>
        <v>0</v>
      </c>
      <c r="AS1371" s="200">
        <f t="shared" si="6937"/>
        <v>0</v>
      </c>
      <c r="AT1371" s="173">
        <v>0.0</v>
      </c>
      <c r="AU1371" s="200">
        <f t="shared" si="6217"/>
        <v>0</v>
      </c>
      <c r="AV1371" s="200">
        <f t="shared" ref="AV1371:AX1371" si="6938">countif($D1371,"*"&amp;AV$2&amp;"*")</f>
        <v>0</v>
      </c>
      <c r="AW1371" s="200">
        <f t="shared" si="6938"/>
        <v>0</v>
      </c>
      <c r="AX1371" s="200">
        <f t="shared" si="6938"/>
        <v>0</v>
      </c>
      <c r="AY1371" s="204">
        <v>1.0</v>
      </c>
      <c r="AZ1371" s="200"/>
      <c r="BA1371" s="171" t="str">
        <f t="shared" si="18"/>
        <v>Archival</v>
      </c>
      <c r="BB1371" s="171" t="str">
        <f t="shared" si="19"/>
        <v/>
      </c>
      <c r="BC1371" s="171" t="str">
        <f t="shared" si="20"/>
        <v/>
      </c>
      <c r="BD1371" s="171" t="str">
        <f t="shared" si="21"/>
        <v/>
      </c>
      <c r="BE1371" s="171" t="str">
        <f t="shared" si="22"/>
        <v/>
      </c>
      <c r="BF1371" s="171" t="str">
        <f t="shared" si="23"/>
        <v>Archival</v>
      </c>
    </row>
    <row r="1372">
      <c r="A1372" s="171">
        <f t="array" ref="A1372">XLOOKUP(C1372,FSE!A:A,FSE!C:C,"XXXXX",0,1)</f>
        <v>2023</v>
      </c>
      <c r="B1372" s="213" t="s">
        <v>5676</v>
      </c>
      <c r="C1372" s="214">
        <v>111.0</v>
      </c>
      <c r="D1372" s="215" t="s">
        <v>6235</v>
      </c>
      <c r="E1372" s="197" t="str">
        <f t="array" ref="E1372">XLOOKUP(C1372,FSE!A:A,FSE!Z:Z,"XXXXX",0,1)</f>
        <v>Publicly Available (2)</v>
      </c>
      <c r="F1372" s="213" t="s">
        <v>3394</v>
      </c>
      <c r="G1372" s="163" t="str">
        <f t="array" ref="G1372">IF(B1372="ICSE",IF(COUNTIFS(B:B,B1372,C:C,C1372)=XLOOKUP(C1372,ICSE!A:A,ICSE!AA:AA,"ERROR",0,1),"OK","ERROR"),IF(B1372="FSE",IF(COUNTIFS(B:B,B1372,C:C,C1372)=XLOOKUP(C1372,FSE!A:A,FSE!AA:AA,"ERROR",0,1),"OK","ERROR")))</f>
        <v>OK</v>
      </c>
      <c r="H1372" s="199">
        <f t="shared" ref="H1372:O1372" si="6939">countif($D1372,"*"&amp;H$2&amp;"*")</f>
        <v>1</v>
      </c>
      <c r="I1372" s="200">
        <f t="shared" si="6939"/>
        <v>0</v>
      </c>
      <c r="J1372" s="200">
        <f t="shared" si="6939"/>
        <v>0</v>
      </c>
      <c r="K1372" s="200">
        <f t="shared" si="6939"/>
        <v>0</v>
      </c>
      <c r="L1372" s="200">
        <f t="shared" si="6939"/>
        <v>0</v>
      </c>
      <c r="M1372" s="200">
        <f t="shared" si="6939"/>
        <v>0</v>
      </c>
      <c r="N1372" s="200">
        <f t="shared" si="6939"/>
        <v>0</v>
      </c>
      <c r="O1372" s="200">
        <f t="shared" si="6939"/>
        <v>0</v>
      </c>
      <c r="P1372" s="200">
        <f t="shared" si="9"/>
        <v>0</v>
      </c>
      <c r="Q1372" s="200">
        <f t="shared" ref="Q1372:AC1372" si="6940">countif($D1372,"*"&amp;Q$2&amp;"*")</f>
        <v>0</v>
      </c>
      <c r="R1372" s="200">
        <f t="shared" si="6940"/>
        <v>0</v>
      </c>
      <c r="S1372" s="200">
        <f t="shared" si="6940"/>
        <v>0</v>
      </c>
      <c r="T1372" s="200">
        <f t="shared" si="6940"/>
        <v>0</v>
      </c>
      <c r="U1372" s="200">
        <f t="shared" si="6940"/>
        <v>0</v>
      </c>
      <c r="V1372" s="200">
        <f t="shared" si="6940"/>
        <v>0</v>
      </c>
      <c r="W1372" s="200">
        <f t="shared" si="6940"/>
        <v>0</v>
      </c>
      <c r="X1372" s="200">
        <f t="shared" si="6940"/>
        <v>0</v>
      </c>
      <c r="Y1372" s="200">
        <f t="shared" si="6940"/>
        <v>0</v>
      </c>
      <c r="Z1372" s="200">
        <f t="shared" si="6940"/>
        <v>0</v>
      </c>
      <c r="AA1372" s="200">
        <f t="shared" si="6940"/>
        <v>0</v>
      </c>
      <c r="AB1372" s="200">
        <f t="shared" si="6940"/>
        <v>0</v>
      </c>
      <c r="AC1372" s="200">
        <f t="shared" si="6940"/>
        <v>0</v>
      </c>
      <c r="AD1372" s="200">
        <f t="shared" si="11"/>
        <v>0</v>
      </c>
      <c r="AE1372" s="200">
        <f t="shared" ref="AE1372:AG1372" si="6941">countif($D1372,"*"&amp;AE$2&amp;"*")</f>
        <v>0</v>
      </c>
      <c r="AF1372" s="200">
        <f t="shared" si="6941"/>
        <v>0</v>
      </c>
      <c r="AG1372" s="200">
        <f t="shared" si="6941"/>
        <v>0</v>
      </c>
      <c r="AH1372" s="171">
        <f t="shared" si="13"/>
        <v>0</v>
      </c>
      <c r="AI1372" s="200">
        <f t="shared" si="14"/>
        <v>1</v>
      </c>
      <c r="AJ1372" s="200">
        <f t="shared" si="6100"/>
        <v>0</v>
      </c>
      <c r="AK1372" s="201">
        <f t="shared" ref="AK1372:AS1372" si="6942">countif($D1372,"*"&amp;AK$2&amp;"*")</f>
        <v>0</v>
      </c>
      <c r="AL1372" s="201">
        <f t="shared" si="6942"/>
        <v>0</v>
      </c>
      <c r="AM1372" s="201">
        <f t="shared" si="6942"/>
        <v>0</v>
      </c>
      <c r="AN1372" s="201">
        <f t="shared" si="6942"/>
        <v>0</v>
      </c>
      <c r="AO1372" s="201">
        <f t="shared" si="6942"/>
        <v>0</v>
      </c>
      <c r="AP1372" s="201">
        <f t="shared" si="6942"/>
        <v>0</v>
      </c>
      <c r="AQ1372" s="201">
        <f t="shared" si="6942"/>
        <v>0</v>
      </c>
      <c r="AR1372" s="200">
        <f t="shared" si="6942"/>
        <v>0</v>
      </c>
      <c r="AS1372" s="200">
        <f t="shared" si="6942"/>
        <v>0</v>
      </c>
      <c r="AT1372" s="173">
        <v>0.0</v>
      </c>
      <c r="AU1372" s="200">
        <f t="shared" si="6217"/>
        <v>0</v>
      </c>
      <c r="AV1372" s="200">
        <f t="shared" ref="AV1372:AX1372" si="6943">countif($D1372,"*"&amp;AV$2&amp;"*")</f>
        <v>0</v>
      </c>
      <c r="AW1372" s="200">
        <f t="shared" si="6943"/>
        <v>0</v>
      </c>
      <c r="AX1372" s="200">
        <f t="shared" si="6943"/>
        <v>1</v>
      </c>
      <c r="AY1372" s="202">
        <v>0.0</v>
      </c>
      <c r="AZ1372" s="200"/>
      <c r="BA1372" s="171" t="str">
        <f t="shared" si="18"/>
        <v>Archival</v>
      </c>
      <c r="BB1372" s="171" t="str">
        <f t="shared" si="19"/>
        <v/>
      </c>
      <c r="BC1372" s="171" t="str">
        <f t="shared" si="20"/>
        <v/>
      </c>
      <c r="BD1372" s="171" t="str">
        <f t="shared" si="21"/>
        <v/>
      </c>
      <c r="BE1372" s="171" t="str">
        <f t="shared" si="22"/>
        <v/>
      </c>
      <c r="BF1372" s="171" t="str">
        <f t="shared" si="23"/>
        <v>Archival</v>
      </c>
    </row>
    <row r="1373">
      <c r="A1373" s="171">
        <f t="array" ref="A1373">XLOOKUP(C1373,FSE!A:A,FSE!C:C,"XXXXX",0,1)</f>
        <v>2023</v>
      </c>
      <c r="B1373" s="213" t="s">
        <v>5676</v>
      </c>
      <c r="C1373" s="214">
        <v>111.0</v>
      </c>
      <c r="D1373" s="215" t="s">
        <v>6236</v>
      </c>
      <c r="E1373" s="197" t="str">
        <f t="array" ref="E1373">XLOOKUP(C1373,FSE!A:A,FSE!Z:Z,"XXXXX",0,1)</f>
        <v>Publicly Available (2)</v>
      </c>
      <c r="F1373" s="213" t="s">
        <v>3394</v>
      </c>
      <c r="G1373" s="163" t="str">
        <f t="array" ref="G1373">IF(B1373="ICSE",IF(COUNTIFS(B:B,B1373,C:C,C1373)=XLOOKUP(C1373,ICSE!A:A,ICSE!AA:AA,"ERROR",0,1),"OK","ERROR"),IF(B1373="FSE",IF(COUNTIFS(B:B,B1373,C:C,C1373)=XLOOKUP(C1373,FSE!A:A,FSE!AA:AA,"ERROR",0,1),"OK","ERROR")))</f>
        <v>OK</v>
      </c>
      <c r="H1373" s="199">
        <f t="shared" ref="H1373:O1373" si="6944">countif($D1373,"*"&amp;H$2&amp;"*")</f>
        <v>0</v>
      </c>
      <c r="I1373" s="200">
        <f t="shared" si="6944"/>
        <v>0</v>
      </c>
      <c r="J1373" s="200">
        <f t="shared" si="6944"/>
        <v>0</v>
      </c>
      <c r="K1373" s="200">
        <f t="shared" si="6944"/>
        <v>0</v>
      </c>
      <c r="L1373" s="200">
        <f t="shared" si="6944"/>
        <v>0</v>
      </c>
      <c r="M1373" s="200">
        <f t="shared" si="6944"/>
        <v>0</v>
      </c>
      <c r="N1373" s="200">
        <f t="shared" si="6944"/>
        <v>0</v>
      </c>
      <c r="O1373" s="200">
        <f t="shared" si="6944"/>
        <v>0</v>
      </c>
      <c r="P1373" s="200">
        <f t="shared" si="9"/>
        <v>0</v>
      </c>
      <c r="Q1373" s="200">
        <f t="shared" ref="Q1373:AC1373" si="6945">countif($D1373,"*"&amp;Q$2&amp;"*")</f>
        <v>0</v>
      </c>
      <c r="R1373" s="200">
        <f t="shared" si="6945"/>
        <v>0</v>
      </c>
      <c r="S1373" s="200">
        <f t="shared" si="6945"/>
        <v>0</v>
      </c>
      <c r="T1373" s="200">
        <f t="shared" si="6945"/>
        <v>0</v>
      </c>
      <c r="U1373" s="200">
        <f t="shared" si="6945"/>
        <v>0</v>
      </c>
      <c r="V1373" s="200">
        <f t="shared" si="6945"/>
        <v>0</v>
      </c>
      <c r="W1373" s="200">
        <f t="shared" si="6945"/>
        <v>0</v>
      </c>
      <c r="X1373" s="200">
        <f t="shared" si="6945"/>
        <v>0</v>
      </c>
      <c r="Y1373" s="200">
        <f t="shared" si="6945"/>
        <v>0</v>
      </c>
      <c r="Z1373" s="200">
        <f t="shared" si="6945"/>
        <v>0</v>
      </c>
      <c r="AA1373" s="200">
        <f t="shared" si="6945"/>
        <v>1</v>
      </c>
      <c r="AB1373" s="200">
        <f t="shared" si="6945"/>
        <v>0</v>
      </c>
      <c r="AC1373" s="200">
        <f t="shared" si="6945"/>
        <v>0</v>
      </c>
      <c r="AD1373" s="200">
        <f t="shared" si="11"/>
        <v>0</v>
      </c>
      <c r="AE1373" s="200">
        <f t="shared" ref="AE1373:AG1373" si="6946">countif($D1373,"*"&amp;AE$2&amp;"*")</f>
        <v>0</v>
      </c>
      <c r="AF1373" s="200">
        <f t="shared" si="6946"/>
        <v>0</v>
      </c>
      <c r="AG1373" s="200">
        <f t="shared" si="6946"/>
        <v>0</v>
      </c>
      <c r="AH1373" s="171">
        <f t="shared" si="13"/>
        <v>0</v>
      </c>
      <c r="AI1373" s="200">
        <f t="shared" si="14"/>
        <v>0</v>
      </c>
      <c r="AJ1373" s="200">
        <f t="shared" si="6100"/>
        <v>0</v>
      </c>
      <c r="AK1373" s="201">
        <f t="shared" ref="AK1373:AS1373" si="6947">countif($D1373,"*"&amp;AK$2&amp;"*")</f>
        <v>0</v>
      </c>
      <c r="AL1373" s="201">
        <f t="shared" si="6947"/>
        <v>0</v>
      </c>
      <c r="AM1373" s="201">
        <f t="shared" si="6947"/>
        <v>0</v>
      </c>
      <c r="AN1373" s="201">
        <f t="shared" si="6947"/>
        <v>0</v>
      </c>
      <c r="AO1373" s="201">
        <f t="shared" si="6947"/>
        <v>0</v>
      </c>
      <c r="AP1373" s="201">
        <f t="shared" si="6947"/>
        <v>0</v>
      </c>
      <c r="AQ1373" s="201">
        <f t="shared" si="6947"/>
        <v>0</v>
      </c>
      <c r="AR1373" s="200">
        <f t="shared" si="6947"/>
        <v>0</v>
      </c>
      <c r="AS1373" s="200">
        <f t="shared" si="6947"/>
        <v>0</v>
      </c>
      <c r="AT1373" s="173">
        <v>0.0</v>
      </c>
      <c r="AU1373" s="200">
        <f t="shared" si="6217"/>
        <v>0</v>
      </c>
      <c r="AV1373" s="200">
        <f t="shared" ref="AV1373:AX1373" si="6948">countif($D1373,"*"&amp;AV$2&amp;"*")</f>
        <v>0</v>
      </c>
      <c r="AW1373" s="200">
        <f t="shared" si="6948"/>
        <v>0</v>
      </c>
      <c r="AX1373" s="200">
        <f t="shared" si="6948"/>
        <v>0</v>
      </c>
      <c r="AY1373" s="202">
        <v>0.0</v>
      </c>
      <c r="AZ1373" s="200"/>
      <c r="BA1373" s="171" t="str">
        <f t="shared" si="18"/>
        <v/>
      </c>
      <c r="BB1373" s="171" t="str">
        <f t="shared" si="19"/>
        <v/>
      </c>
      <c r="BC1373" s="171" t="str">
        <f t="shared" si="20"/>
        <v>General-purpose</v>
      </c>
      <c r="BD1373" s="171" t="str">
        <f t="shared" si="21"/>
        <v/>
      </c>
      <c r="BE1373" s="171" t="str">
        <f t="shared" si="22"/>
        <v/>
      </c>
      <c r="BF1373" s="171" t="str">
        <f t="shared" si="23"/>
        <v>General-purpose</v>
      </c>
    </row>
    <row r="1374">
      <c r="A1374" s="171">
        <f t="array" ref="A1374">XLOOKUP(C1374,FSE!A:A,FSE!C:C,"XXXXX",0,1)</f>
        <v>2023</v>
      </c>
      <c r="B1374" s="213" t="s">
        <v>5676</v>
      </c>
      <c r="C1374" s="214">
        <v>112.0</v>
      </c>
      <c r="D1374" s="215" t="s">
        <v>5621</v>
      </c>
      <c r="E1374" s="197" t="str">
        <f t="array" ref="E1374">XLOOKUP(C1374,FSE!A:A,FSE!Z:Z,"XXXXX",0,1)</f>
        <v>Publicly Available (1)</v>
      </c>
      <c r="F1374" s="213" t="s">
        <v>3394</v>
      </c>
      <c r="G1374" s="163" t="str">
        <f t="array" ref="G1374">IF(B1374="ICSE",IF(COUNTIFS(B:B,B1374,C:C,C1374)=XLOOKUP(C1374,ICSE!A:A,ICSE!AA:AA,"ERROR",0,1),"OK","ERROR"),IF(B1374="FSE",IF(COUNTIFS(B:B,B1374,C:C,C1374)=XLOOKUP(C1374,FSE!A:A,FSE!AA:AA,"ERROR",0,1),"OK","ERROR")))</f>
        <v>OK</v>
      </c>
      <c r="H1374" s="199">
        <f t="shared" ref="H1374:O1374" si="6949">countif($D1374,"*"&amp;H$2&amp;"*")</f>
        <v>0</v>
      </c>
      <c r="I1374" s="200">
        <f t="shared" si="6949"/>
        <v>0</v>
      </c>
      <c r="J1374" s="200">
        <f t="shared" si="6949"/>
        <v>0</v>
      </c>
      <c r="K1374" s="200">
        <f t="shared" si="6949"/>
        <v>0</v>
      </c>
      <c r="L1374" s="200">
        <f t="shared" si="6949"/>
        <v>0</v>
      </c>
      <c r="M1374" s="200">
        <f t="shared" si="6949"/>
        <v>0</v>
      </c>
      <c r="N1374" s="200">
        <f t="shared" si="6949"/>
        <v>0</v>
      </c>
      <c r="O1374" s="200">
        <f t="shared" si="6949"/>
        <v>0</v>
      </c>
      <c r="P1374" s="200">
        <f t="shared" si="9"/>
        <v>1</v>
      </c>
      <c r="Q1374" s="200">
        <f t="shared" ref="Q1374:AC1374" si="6950">countif($D1374,"*"&amp;Q$2&amp;"*")</f>
        <v>0</v>
      </c>
      <c r="R1374" s="200">
        <f t="shared" si="6950"/>
        <v>0</v>
      </c>
      <c r="S1374" s="200">
        <f t="shared" si="6950"/>
        <v>0</v>
      </c>
      <c r="T1374" s="200">
        <f t="shared" si="6950"/>
        <v>0</v>
      </c>
      <c r="U1374" s="200">
        <f t="shared" si="6950"/>
        <v>0</v>
      </c>
      <c r="V1374" s="200">
        <f t="shared" si="6950"/>
        <v>0</v>
      </c>
      <c r="W1374" s="200">
        <f t="shared" si="6950"/>
        <v>0</v>
      </c>
      <c r="X1374" s="200">
        <f t="shared" si="6950"/>
        <v>0</v>
      </c>
      <c r="Y1374" s="200">
        <f t="shared" si="6950"/>
        <v>0</v>
      </c>
      <c r="Z1374" s="200">
        <f t="shared" si="6950"/>
        <v>0</v>
      </c>
      <c r="AA1374" s="200">
        <f t="shared" si="6950"/>
        <v>0</v>
      </c>
      <c r="AB1374" s="200">
        <f t="shared" si="6950"/>
        <v>0</v>
      </c>
      <c r="AC1374" s="200">
        <f t="shared" si="6950"/>
        <v>0</v>
      </c>
      <c r="AD1374" s="200">
        <f t="shared" si="11"/>
        <v>0</v>
      </c>
      <c r="AE1374" s="200">
        <f t="shared" ref="AE1374:AG1374" si="6951">countif($D1374,"*"&amp;AE$2&amp;"*")</f>
        <v>0</v>
      </c>
      <c r="AF1374" s="200">
        <f t="shared" si="6951"/>
        <v>0</v>
      </c>
      <c r="AG1374" s="200">
        <f t="shared" si="6951"/>
        <v>0</v>
      </c>
      <c r="AH1374" s="171">
        <f t="shared" si="13"/>
        <v>0</v>
      </c>
      <c r="AI1374" s="200">
        <f t="shared" si="14"/>
        <v>0</v>
      </c>
      <c r="AJ1374" s="200">
        <f t="shared" si="6100"/>
        <v>0</v>
      </c>
      <c r="AK1374" s="201">
        <f t="shared" ref="AK1374:AS1374" si="6952">countif($D1374,"*"&amp;AK$2&amp;"*")</f>
        <v>0</v>
      </c>
      <c r="AL1374" s="201">
        <f t="shared" si="6952"/>
        <v>0</v>
      </c>
      <c r="AM1374" s="201">
        <f t="shared" si="6952"/>
        <v>0</v>
      </c>
      <c r="AN1374" s="201">
        <f t="shared" si="6952"/>
        <v>0</v>
      </c>
      <c r="AO1374" s="201">
        <f t="shared" si="6952"/>
        <v>0</v>
      </c>
      <c r="AP1374" s="201">
        <f t="shared" si="6952"/>
        <v>0</v>
      </c>
      <c r="AQ1374" s="201">
        <f t="shared" si="6952"/>
        <v>0</v>
      </c>
      <c r="AR1374" s="200">
        <f t="shared" si="6952"/>
        <v>0</v>
      </c>
      <c r="AS1374" s="200">
        <f t="shared" si="6952"/>
        <v>0</v>
      </c>
      <c r="AT1374" s="173">
        <v>0.0</v>
      </c>
      <c r="AU1374" s="200">
        <f t="shared" si="6217"/>
        <v>0</v>
      </c>
      <c r="AV1374" s="200">
        <f t="shared" ref="AV1374:AX1374" si="6953">countif($D1374,"*"&amp;AV$2&amp;"*")</f>
        <v>1</v>
      </c>
      <c r="AW1374" s="200">
        <f t="shared" si="6953"/>
        <v>0</v>
      </c>
      <c r="AX1374" s="200">
        <f t="shared" si="6953"/>
        <v>0</v>
      </c>
      <c r="AY1374" s="202">
        <v>0.0</v>
      </c>
      <c r="AZ1374" s="200"/>
      <c r="BA1374" s="171" t="str">
        <f t="shared" si="18"/>
        <v/>
      </c>
      <c r="BB1374" s="171" t="str">
        <f t="shared" si="19"/>
        <v>Code</v>
      </c>
      <c r="BC1374" s="171" t="str">
        <f t="shared" si="20"/>
        <v/>
      </c>
      <c r="BD1374" s="171" t="str">
        <f t="shared" si="21"/>
        <v/>
      </c>
      <c r="BE1374" s="171" t="str">
        <f t="shared" si="22"/>
        <v/>
      </c>
      <c r="BF1374" s="171" t="str">
        <f t="shared" si="23"/>
        <v>Code</v>
      </c>
    </row>
    <row r="1375">
      <c r="A1375" s="171">
        <f t="array" ref="A1375">XLOOKUP(C1375,FSE!A:A,FSE!C:C,"XXXXX",0,1)</f>
        <v>2023</v>
      </c>
      <c r="B1375" s="213" t="s">
        <v>5676</v>
      </c>
      <c r="C1375" s="214">
        <v>113.0</v>
      </c>
      <c r="D1375" s="217" t="s">
        <v>6237</v>
      </c>
      <c r="E1375" s="197" t="str">
        <f t="array" ref="E1375">XLOOKUP(C1375,FSE!A:A,FSE!Z:Z,"XXXXX",0,1)</f>
        <v>Publicly Available (2)</v>
      </c>
      <c r="F1375" s="218" t="s">
        <v>3394</v>
      </c>
      <c r="G1375" s="163" t="str">
        <f t="array" ref="G1375">IF(B1375="ICSE",IF(COUNTIFS(B:B,B1375,C:C,C1375)=XLOOKUP(C1375,ICSE!A:A,ICSE!AA:AA,"ERROR",0,1),"OK","ERROR"),IF(B1375="FSE",IF(COUNTIFS(B:B,B1375,C:C,C1375)=XLOOKUP(C1375,FSE!A:A,FSE!AA:AA,"ERROR",0,1),"OK","ERROR")))</f>
        <v>OK</v>
      </c>
      <c r="H1375" s="199">
        <f t="shared" ref="H1375:O1375" si="6954">countif($D1375,"*"&amp;H$2&amp;"*")</f>
        <v>0</v>
      </c>
      <c r="I1375" s="200">
        <f t="shared" si="6954"/>
        <v>0</v>
      </c>
      <c r="J1375" s="200">
        <f t="shared" si="6954"/>
        <v>0</v>
      </c>
      <c r="K1375" s="200">
        <f t="shared" si="6954"/>
        <v>0</v>
      </c>
      <c r="L1375" s="200">
        <f t="shared" si="6954"/>
        <v>0</v>
      </c>
      <c r="M1375" s="200">
        <f t="shared" si="6954"/>
        <v>0</v>
      </c>
      <c r="N1375" s="200">
        <f t="shared" si="6954"/>
        <v>0</v>
      </c>
      <c r="O1375" s="200">
        <f t="shared" si="6954"/>
        <v>0</v>
      </c>
      <c r="P1375" s="200">
        <f t="shared" si="9"/>
        <v>1</v>
      </c>
      <c r="Q1375" s="200">
        <f t="shared" ref="Q1375:AC1375" si="6955">countif($D1375,"*"&amp;Q$2&amp;"*")</f>
        <v>0</v>
      </c>
      <c r="R1375" s="200">
        <f t="shared" si="6955"/>
        <v>0</v>
      </c>
      <c r="S1375" s="200">
        <f t="shared" si="6955"/>
        <v>0</v>
      </c>
      <c r="T1375" s="200">
        <f t="shared" si="6955"/>
        <v>0</v>
      </c>
      <c r="U1375" s="200">
        <f t="shared" si="6955"/>
        <v>0</v>
      </c>
      <c r="V1375" s="200">
        <f t="shared" si="6955"/>
        <v>0</v>
      </c>
      <c r="W1375" s="200">
        <f t="shared" si="6955"/>
        <v>0</v>
      </c>
      <c r="X1375" s="200">
        <f t="shared" si="6955"/>
        <v>0</v>
      </c>
      <c r="Y1375" s="200">
        <f t="shared" si="6955"/>
        <v>0</v>
      </c>
      <c r="Z1375" s="200">
        <f t="shared" si="6955"/>
        <v>0</v>
      </c>
      <c r="AA1375" s="200">
        <f t="shared" si="6955"/>
        <v>0</v>
      </c>
      <c r="AB1375" s="200">
        <f t="shared" si="6955"/>
        <v>0</v>
      </c>
      <c r="AC1375" s="200">
        <f t="shared" si="6955"/>
        <v>0</v>
      </c>
      <c r="AD1375" s="200">
        <f t="shared" si="11"/>
        <v>0</v>
      </c>
      <c r="AE1375" s="200">
        <f t="shared" ref="AE1375:AG1375" si="6956">countif($D1375,"*"&amp;AE$2&amp;"*")</f>
        <v>0</v>
      </c>
      <c r="AF1375" s="200">
        <f t="shared" si="6956"/>
        <v>0</v>
      </c>
      <c r="AG1375" s="200">
        <f t="shared" si="6956"/>
        <v>0</v>
      </c>
      <c r="AH1375" s="171">
        <f t="shared" si="13"/>
        <v>0</v>
      </c>
      <c r="AI1375" s="200">
        <f t="shared" si="14"/>
        <v>0</v>
      </c>
      <c r="AJ1375" s="200">
        <f t="shared" si="6100"/>
        <v>0</v>
      </c>
      <c r="AK1375" s="201">
        <f t="shared" ref="AK1375:AS1375" si="6957">countif($D1375,"*"&amp;AK$2&amp;"*")</f>
        <v>0</v>
      </c>
      <c r="AL1375" s="201">
        <f t="shared" si="6957"/>
        <v>0</v>
      </c>
      <c r="AM1375" s="201">
        <f t="shared" si="6957"/>
        <v>0</v>
      </c>
      <c r="AN1375" s="201">
        <f t="shared" si="6957"/>
        <v>0</v>
      </c>
      <c r="AO1375" s="201">
        <f t="shared" si="6957"/>
        <v>0</v>
      </c>
      <c r="AP1375" s="201">
        <f t="shared" si="6957"/>
        <v>0</v>
      </c>
      <c r="AQ1375" s="201">
        <f t="shared" si="6957"/>
        <v>0</v>
      </c>
      <c r="AR1375" s="200">
        <f t="shared" si="6957"/>
        <v>0</v>
      </c>
      <c r="AS1375" s="200">
        <f t="shared" si="6957"/>
        <v>0</v>
      </c>
      <c r="AT1375" s="173">
        <v>0.0</v>
      </c>
      <c r="AU1375" s="200">
        <f t="shared" si="6217"/>
        <v>0</v>
      </c>
      <c r="AV1375" s="200">
        <f t="shared" ref="AV1375:AX1375" si="6958">countif($D1375,"*"&amp;AV$2&amp;"*")</f>
        <v>1</v>
      </c>
      <c r="AW1375" s="200">
        <f t="shared" si="6958"/>
        <v>0</v>
      </c>
      <c r="AX1375" s="200">
        <f t="shared" si="6958"/>
        <v>0</v>
      </c>
      <c r="AY1375" s="202">
        <v>0.0</v>
      </c>
      <c r="AZ1375" s="200"/>
      <c r="BA1375" s="171" t="str">
        <f t="shared" si="18"/>
        <v/>
      </c>
      <c r="BB1375" s="171" t="str">
        <f t="shared" si="19"/>
        <v>Code</v>
      </c>
      <c r="BC1375" s="171" t="str">
        <f t="shared" si="20"/>
        <v/>
      </c>
      <c r="BD1375" s="171" t="str">
        <f t="shared" si="21"/>
        <v/>
      </c>
      <c r="BE1375" s="171" t="str">
        <f t="shared" si="22"/>
        <v/>
      </c>
      <c r="BF1375" s="171" t="str">
        <f t="shared" si="23"/>
        <v>Code</v>
      </c>
    </row>
    <row r="1376">
      <c r="A1376" s="171">
        <f t="array" ref="A1376">XLOOKUP(C1376,FSE!A:A,FSE!C:C,"XXXXX",0,1)</f>
        <v>2023</v>
      </c>
      <c r="B1376" s="213" t="s">
        <v>5676</v>
      </c>
      <c r="C1376" s="214">
        <v>113.0</v>
      </c>
      <c r="D1376" s="217" t="s">
        <v>6238</v>
      </c>
      <c r="E1376" s="197" t="str">
        <f t="array" ref="E1376">XLOOKUP(C1376,FSE!A:A,FSE!Z:Z,"XXXXX",0,1)</f>
        <v>Publicly Available (2)</v>
      </c>
      <c r="F1376" s="218" t="s">
        <v>3394</v>
      </c>
      <c r="G1376" s="163" t="str">
        <f t="array" ref="G1376">IF(B1376="ICSE",IF(COUNTIFS(B:B,B1376,C:C,C1376)=XLOOKUP(C1376,ICSE!A:A,ICSE!AA:AA,"ERROR",0,1),"OK","ERROR"),IF(B1376="FSE",IF(COUNTIFS(B:B,B1376,C:C,C1376)=XLOOKUP(C1376,FSE!A:A,FSE!AA:AA,"ERROR",0,1),"OK","ERROR")))</f>
        <v>OK</v>
      </c>
      <c r="H1376" s="199">
        <f t="shared" ref="H1376:O1376" si="6959">countif($D1376,"*"&amp;H$2&amp;"*")</f>
        <v>0</v>
      </c>
      <c r="I1376" s="200">
        <f t="shared" si="6959"/>
        <v>1</v>
      </c>
      <c r="J1376" s="200">
        <f t="shared" si="6959"/>
        <v>0</v>
      </c>
      <c r="K1376" s="200">
        <f t="shared" si="6959"/>
        <v>0</v>
      </c>
      <c r="L1376" s="200">
        <f t="shared" si="6959"/>
        <v>0</v>
      </c>
      <c r="M1376" s="200">
        <f t="shared" si="6959"/>
        <v>0</v>
      </c>
      <c r="N1376" s="200">
        <f t="shared" si="6959"/>
        <v>0</v>
      </c>
      <c r="O1376" s="200">
        <f t="shared" si="6959"/>
        <v>0</v>
      </c>
      <c r="P1376" s="200">
        <f t="shared" si="9"/>
        <v>0</v>
      </c>
      <c r="Q1376" s="200">
        <f t="shared" ref="Q1376:AC1376" si="6960">countif($D1376,"*"&amp;Q$2&amp;"*")</f>
        <v>0</v>
      </c>
      <c r="R1376" s="200">
        <f t="shared" si="6960"/>
        <v>0</v>
      </c>
      <c r="S1376" s="200">
        <f t="shared" si="6960"/>
        <v>0</v>
      </c>
      <c r="T1376" s="200">
        <f t="shared" si="6960"/>
        <v>0</v>
      </c>
      <c r="U1376" s="200">
        <f t="shared" si="6960"/>
        <v>0</v>
      </c>
      <c r="V1376" s="200">
        <f t="shared" si="6960"/>
        <v>0</v>
      </c>
      <c r="W1376" s="200">
        <f t="shared" si="6960"/>
        <v>0</v>
      </c>
      <c r="X1376" s="200">
        <f t="shared" si="6960"/>
        <v>0</v>
      </c>
      <c r="Y1376" s="200">
        <f t="shared" si="6960"/>
        <v>0</v>
      </c>
      <c r="Z1376" s="200">
        <f t="shared" si="6960"/>
        <v>0</v>
      </c>
      <c r="AA1376" s="200">
        <f t="shared" si="6960"/>
        <v>0</v>
      </c>
      <c r="AB1376" s="200">
        <f t="shared" si="6960"/>
        <v>0</v>
      </c>
      <c r="AC1376" s="200">
        <f t="shared" si="6960"/>
        <v>0</v>
      </c>
      <c r="AD1376" s="200">
        <f t="shared" si="11"/>
        <v>0</v>
      </c>
      <c r="AE1376" s="200">
        <f t="shared" ref="AE1376:AG1376" si="6961">countif($D1376,"*"&amp;AE$2&amp;"*")</f>
        <v>0</v>
      </c>
      <c r="AF1376" s="200">
        <f t="shared" si="6961"/>
        <v>0</v>
      </c>
      <c r="AG1376" s="200">
        <f t="shared" si="6961"/>
        <v>0</v>
      </c>
      <c r="AH1376" s="171">
        <f t="shared" si="13"/>
        <v>0</v>
      </c>
      <c r="AI1376" s="200">
        <f t="shared" si="14"/>
        <v>1</v>
      </c>
      <c r="AJ1376" s="200">
        <f t="shared" si="6100"/>
        <v>0</v>
      </c>
      <c r="AK1376" s="201">
        <f t="shared" ref="AK1376:AS1376" si="6962">countif($D1376,"*"&amp;AK$2&amp;"*")</f>
        <v>0</v>
      </c>
      <c r="AL1376" s="201">
        <f t="shared" si="6962"/>
        <v>0</v>
      </c>
      <c r="AM1376" s="201">
        <f t="shared" si="6962"/>
        <v>0</v>
      </c>
      <c r="AN1376" s="201">
        <f t="shared" si="6962"/>
        <v>0</v>
      </c>
      <c r="AO1376" s="201">
        <f t="shared" si="6962"/>
        <v>0</v>
      </c>
      <c r="AP1376" s="201">
        <f t="shared" si="6962"/>
        <v>0</v>
      </c>
      <c r="AQ1376" s="201">
        <f t="shared" si="6962"/>
        <v>0</v>
      </c>
      <c r="AR1376" s="200">
        <f t="shared" si="6962"/>
        <v>0</v>
      </c>
      <c r="AS1376" s="200">
        <f t="shared" si="6962"/>
        <v>0</v>
      </c>
      <c r="AT1376" s="173">
        <v>0.0</v>
      </c>
      <c r="AU1376" s="200">
        <f t="shared" si="6217"/>
        <v>0</v>
      </c>
      <c r="AV1376" s="200">
        <f t="shared" ref="AV1376:AX1376" si="6963">countif($D1376,"*"&amp;AV$2&amp;"*")</f>
        <v>0</v>
      </c>
      <c r="AW1376" s="200">
        <f t="shared" si="6963"/>
        <v>0</v>
      </c>
      <c r="AX1376" s="200">
        <f t="shared" si="6963"/>
        <v>0</v>
      </c>
      <c r="AY1376" s="204">
        <v>1.0</v>
      </c>
      <c r="AZ1376" s="200"/>
      <c r="BA1376" s="171" t="str">
        <f t="shared" si="18"/>
        <v>Archival</v>
      </c>
      <c r="BB1376" s="171" t="str">
        <f t="shared" si="19"/>
        <v/>
      </c>
      <c r="BC1376" s="171" t="str">
        <f t="shared" si="20"/>
        <v/>
      </c>
      <c r="BD1376" s="171" t="str">
        <f t="shared" si="21"/>
        <v/>
      </c>
      <c r="BE1376" s="171" t="str">
        <f t="shared" si="22"/>
        <v/>
      </c>
      <c r="BF1376" s="171" t="str">
        <f t="shared" si="23"/>
        <v>Archival</v>
      </c>
    </row>
    <row r="1377">
      <c r="A1377" s="171">
        <f t="array" ref="A1377">XLOOKUP(C1377,FSE!A:A,FSE!C:C,"XXXXX",0,1)</f>
        <v>2023</v>
      </c>
      <c r="B1377" s="213" t="s">
        <v>5676</v>
      </c>
      <c r="C1377" s="214">
        <v>114.0</v>
      </c>
      <c r="D1377" s="215" t="s">
        <v>5626</v>
      </c>
      <c r="E1377" s="197" t="str">
        <f t="array" ref="E1377">XLOOKUP(C1377,FSE!A:A,FSE!Z:Z,"XXXXX",0,1)</f>
        <v>Publicly Available (1)</v>
      </c>
      <c r="F1377" s="213" t="s">
        <v>3394</v>
      </c>
      <c r="G1377" s="163" t="str">
        <f t="array" ref="G1377">IF(B1377="ICSE",IF(COUNTIFS(B:B,B1377,C:C,C1377)=XLOOKUP(C1377,ICSE!A:A,ICSE!AA:AA,"ERROR",0,1),"OK","ERROR"),IF(B1377="FSE",IF(COUNTIFS(B:B,B1377,C:C,C1377)=XLOOKUP(C1377,FSE!A:A,FSE!AA:AA,"ERROR",0,1),"OK","ERROR")))</f>
        <v>OK</v>
      </c>
      <c r="H1377" s="199">
        <f t="shared" ref="H1377:O1377" si="6964">countif($D1377,"*"&amp;H$2&amp;"*")</f>
        <v>1</v>
      </c>
      <c r="I1377" s="200">
        <f t="shared" si="6964"/>
        <v>0</v>
      </c>
      <c r="J1377" s="200">
        <f t="shared" si="6964"/>
        <v>0</v>
      </c>
      <c r="K1377" s="200">
        <f t="shared" si="6964"/>
        <v>0</v>
      </c>
      <c r="L1377" s="200">
        <f t="shared" si="6964"/>
        <v>0</v>
      </c>
      <c r="M1377" s="200">
        <f t="shared" si="6964"/>
        <v>0</v>
      </c>
      <c r="N1377" s="200">
        <f t="shared" si="6964"/>
        <v>0</v>
      </c>
      <c r="O1377" s="200">
        <f t="shared" si="6964"/>
        <v>0</v>
      </c>
      <c r="P1377" s="200">
        <f t="shared" si="9"/>
        <v>0</v>
      </c>
      <c r="Q1377" s="200">
        <f t="shared" ref="Q1377:AC1377" si="6965">countif($D1377,"*"&amp;Q$2&amp;"*")</f>
        <v>0</v>
      </c>
      <c r="R1377" s="200">
        <f t="shared" si="6965"/>
        <v>0</v>
      </c>
      <c r="S1377" s="200">
        <f t="shared" si="6965"/>
        <v>0</v>
      </c>
      <c r="T1377" s="200">
        <f t="shared" si="6965"/>
        <v>0</v>
      </c>
      <c r="U1377" s="200">
        <f t="shared" si="6965"/>
        <v>0</v>
      </c>
      <c r="V1377" s="200">
        <f t="shared" si="6965"/>
        <v>0</v>
      </c>
      <c r="W1377" s="200">
        <f t="shared" si="6965"/>
        <v>0</v>
      </c>
      <c r="X1377" s="200">
        <f t="shared" si="6965"/>
        <v>0</v>
      </c>
      <c r="Y1377" s="200">
        <f t="shared" si="6965"/>
        <v>0</v>
      </c>
      <c r="Z1377" s="200">
        <f t="shared" si="6965"/>
        <v>0</v>
      </c>
      <c r="AA1377" s="200">
        <f t="shared" si="6965"/>
        <v>0</v>
      </c>
      <c r="AB1377" s="200">
        <f t="shared" si="6965"/>
        <v>0</v>
      </c>
      <c r="AC1377" s="200">
        <f t="shared" si="6965"/>
        <v>0</v>
      </c>
      <c r="AD1377" s="200">
        <f t="shared" si="11"/>
        <v>0</v>
      </c>
      <c r="AE1377" s="200">
        <f t="shared" ref="AE1377:AG1377" si="6966">countif($D1377,"*"&amp;AE$2&amp;"*")</f>
        <v>0</v>
      </c>
      <c r="AF1377" s="200">
        <f t="shared" si="6966"/>
        <v>0</v>
      </c>
      <c r="AG1377" s="200">
        <f t="shared" si="6966"/>
        <v>0</v>
      </c>
      <c r="AH1377" s="171">
        <f t="shared" si="13"/>
        <v>0</v>
      </c>
      <c r="AI1377" s="200">
        <f t="shared" si="14"/>
        <v>1</v>
      </c>
      <c r="AJ1377" s="200">
        <f t="shared" si="6100"/>
        <v>0</v>
      </c>
      <c r="AK1377" s="201">
        <f t="shared" ref="AK1377:AS1377" si="6967">countif($D1377,"*"&amp;AK$2&amp;"*")</f>
        <v>0</v>
      </c>
      <c r="AL1377" s="201">
        <f t="shared" si="6967"/>
        <v>0</v>
      </c>
      <c r="AM1377" s="201">
        <f t="shared" si="6967"/>
        <v>0</v>
      </c>
      <c r="AN1377" s="201">
        <f t="shared" si="6967"/>
        <v>0</v>
      </c>
      <c r="AO1377" s="201">
        <f t="shared" si="6967"/>
        <v>0</v>
      </c>
      <c r="AP1377" s="201">
        <f t="shared" si="6967"/>
        <v>0</v>
      </c>
      <c r="AQ1377" s="201">
        <f t="shared" si="6967"/>
        <v>0</v>
      </c>
      <c r="AR1377" s="200">
        <f t="shared" si="6967"/>
        <v>0</v>
      </c>
      <c r="AS1377" s="200">
        <f t="shared" si="6967"/>
        <v>0</v>
      </c>
      <c r="AT1377" s="173">
        <v>0.0</v>
      </c>
      <c r="AU1377" s="200">
        <f t="shared" si="6217"/>
        <v>0</v>
      </c>
      <c r="AV1377" s="200">
        <f t="shared" ref="AV1377:AX1377" si="6968">countif($D1377,"*"&amp;AV$2&amp;"*")</f>
        <v>0</v>
      </c>
      <c r="AW1377" s="200">
        <f t="shared" si="6968"/>
        <v>0</v>
      </c>
      <c r="AX1377" s="200">
        <f t="shared" si="6968"/>
        <v>1</v>
      </c>
      <c r="AY1377" s="202">
        <v>0.0</v>
      </c>
      <c r="AZ1377" s="200"/>
      <c r="BA1377" s="171" t="str">
        <f t="shared" si="18"/>
        <v>Archival</v>
      </c>
      <c r="BB1377" s="171" t="str">
        <f t="shared" si="19"/>
        <v/>
      </c>
      <c r="BC1377" s="171" t="str">
        <f t="shared" si="20"/>
        <v/>
      </c>
      <c r="BD1377" s="171" t="str">
        <f t="shared" si="21"/>
        <v/>
      </c>
      <c r="BE1377" s="171" t="str">
        <f t="shared" si="22"/>
        <v/>
      </c>
      <c r="BF1377" s="171" t="str">
        <f t="shared" si="23"/>
        <v>Archival</v>
      </c>
    </row>
    <row r="1378">
      <c r="A1378" s="171">
        <f t="array" ref="A1378">XLOOKUP(C1378,FSE!A:A,FSE!C:C,"XXXXX",0,1)</f>
        <v>2023</v>
      </c>
      <c r="B1378" s="171" t="s">
        <v>5676</v>
      </c>
      <c r="C1378" s="160">
        <v>115.0</v>
      </c>
      <c r="D1378" s="161" t="s">
        <v>6239</v>
      </c>
      <c r="E1378" s="197" t="str">
        <f t="array" ref="E1378">XLOOKUP(C1378,FSE!A:A,FSE!Z:Z,"XXXXX",0,1)</f>
        <v>Publicly Available (1)</v>
      </c>
      <c r="F1378" s="213" t="s">
        <v>3394</v>
      </c>
      <c r="G1378" s="163" t="str">
        <f t="array" ref="G1378">IF(B1378="ICSE",IF(COUNTIFS(B:B,B1378,C:C,C1378)=XLOOKUP(C1378,ICSE!A:A,ICSE!AA:AA,"ERROR",0,1),"OK","ERROR"),IF(B1378="FSE",IF(COUNTIFS(B:B,B1378,C:C,C1378)=XLOOKUP(C1378,FSE!A:A,FSE!AA:AA,"ERROR",0,1),"OK","ERROR")))</f>
        <v>OK</v>
      </c>
      <c r="H1378" s="199">
        <f t="shared" ref="H1378:O1378" si="6969">countif($D1378,"*"&amp;H$2&amp;"*")</f>
        <v>0</v>
      </c>
      <c r="I1378" s="200">
        <f t="shared" si="6969"/>
        <v>0</v>
      </c>
      <c r="J1378" s="200">
        <f t="shared" si="6969"/>
        <v>1</v>
      </c>
      <c r="K1378" s="200">
        <f t="shared" si="6969"/>
        <v>0</v>
      </c>
      <c r="L1378" s="200">
        <f t="shared" si="6969"/>
        <v>0</v>
      </c>
      <c r="M1378" s="200">
        <f t="shared" si="6969"/>
        <v>0</v>
      </c>
      <c r="N1378" s="200">
        <f t="shared" si="6969"/>
        <v>0</v>
      </c>
      <c r="O1378" s="200">
        <f t="shared" si="6969"/>
        <v>0</v>
      </c>
      <c r="P1378" s="200">
        <f t="shared" si="9"/>
        <v>0</v>
      </c>
      <c r="Q1378" s="200">
        <f t="shared" ref="Q1378:AC1378" si="6970">countif($D1378,"*"&amp;Q$2&amp;"*")</f>
        <v>0</v>
      </c>
      <c r="R1378" s="200">
        <f t="shared" si="6970"/>
        <v>0</v>
      </c>
      <c r="S1378" s="200">
        <f t="shared" si="6970"/>
        <v>0</v>
      </c>
      <c r="T1378" s="200">
        <f t="shared" si="6970"/>
        <v>0</v>
      </c>
      <c r="U1378" s="200">
        <f t="shared" si="6970"/>
        <v>0</v>
      </c>
      <c r="V1378" s="200">
        <f t="shared" si="6970"/>
        <v>0</v>
      </c>
      <c r="W1378" s="200">
        <f t="shared" si="6970"/>
        <v>0</v>
      </c>
      <c r="X1378" s="200">
        <f t="shared" si="6970"/>
        <v>0</v>
      </c>
      <c r="Y1378" s="200">
        <f t="shared" si="6970"/>
        <v>0</v>
      </c>
      <c r="Z1378" s="200">
        <f t="shared" si="6970"/>
        <v>0</v>
      </c>
      <c r="AA1378" s="200">
        <f t="shared" si="6970"/>
        <v>0</v>
      </c>
      <c r="AB1378" s="200">
        <f t="shared" si="6970"/>
        <v>0</v>
      </c>
      <c r="AC1378" s="200">
        <f t="shared" si="6970"/>
        <v>0</v>
      </c>
      <c r="AD1378" s="200">
        <f t="shared" si="11"/>
        <v>0</v>
      </c>
      <c r="AE1378" s="200">
        <f t="shared" ref="AE1378:AG1378" si="6971">countif($D1378,"*"&amp;AE$2&amp;"*")</f>
        <v>0</v>
      </c>
      <c r="AF1378" s="200">
        <f t="shared" si="6971"/>
        <v>0</v>
      </c>
      <c r="AG1378" s="200">
        <f t="shared" si="6971"/>
        <v>0</v>
      </c>
      <c r="AH1378" s="171">
        <f t="shared" si="13"/>
        <v>0</v>
      </c>
      <c r="AI1378" s="200">
        <f t="shared" si="14"/>
        <v>0</v>
      </c>
      <c r="AJ1378" s="200">
        <f t="shared" si="6100"/>
        <v>0</v>
      </c>
      <c r="AK1378" s="201">
        <f t="shared" ref="AK1378:AS1378" si="6972">countif($D1378,"*"&amp;AK$2&amp;"*")</f>
        <v>0</v>
      </c>
      <c r="AL1378" s="201">
        <f t="shared" si="6972"/>
        <v>0</v>
      </c>
      <c r="AM1378" s="201">
        <f t="shared" si="6972"/>
        <v>0</v>
      </c>
      <c r="AN1378" s="201">
        <f t="shared" si="6972"/>
        <v>0</v>
      </c>
      <c r="AO1378" s="201">
        <f t="shared" si="6972"/>
        <v>0</v>
      </c>
      <c r="AP1378" s="201">
        <f t="shared" si="6972"/>
        <v>0</v>
      </c>
      <c r="AQ1378" s="201">
        <f t="shared" si="6972"/>
        <v>0</v>
      </c>
      <c r="AR1378" s="200">
        <f t="shared" si="6972"/>
        <v>0</v>
      </c>
      <c r="AS1378" s="200">
        <f t="shared" si="6972"/>
        <v>1</v>
      </c>
      <c r="AT1378" s="173">
        <v>0.0</v>
      </c>
      <c r="AU1378" s="200">
        <f t="shared" si="6217"/>
        <v>0</v>
      </c>
      <c r="AV1378" s="200">
        <f t="shared" ref="AV1378:AX1378" si="6973">countif($D1378,"*"&amp;AV$2&amp;"*")</f>
        <v>0</v>
      </c>
      <c r="AW1378" s="200">
        <f t="shared" si="6973"/>
        <v>0</v>
      </c>
      <c r="AX1378" s="200">
        <f t="shared" si="6973"/>
        <v>0</v>
      </c>
      <c r="AY1378" s="202">
        <v>0.0</v>
      </c>
      <c r="AZ1378" s="200"/>
      <c r="BA1378" s="171" t="str">
        <f t="shared" si="18"/>
        <v>Archival</v>
      </c>
      <c r="BB1378" s="171" t="str">
        <f t="shared" si="19"/>
        <v/>
      </c>
      <c r="BC1378" s="171" t="str">
        <f t="shared" si="20"/>
        <v/>
      </c>
      <c r="BD1378" s="171" t="str">
        <f t="shared" si="21"/>
        <v/>
      </c>
      <c r="BE1378" s="171" t="str">
        <f t="shared" si="22"/>
        <v/>
      </c>
      <c r="BF1378" s="171" t="str">
        <f t="shared" si="23"/>
        <v>Archival</v>
      </c>
    </row>
    <row r="1379">
      <c r="A1379" s="171">
        <f t="array" ref="A1379">XLOOKUP(C1379,FSE!A:A,FSE!C:C,"XXXXX",0,1)</f>
        <v>2023</v>
      </c>
      <c r="B1379" s="213" t="s">
        <v>5676</v>
      </c>
      <c r="C1379" s="214">
        <v>116.0</v>
      </c>
      <c r="D1379" s="215" t="s">
        <v>6240</v>
      </c>
      <c r="E1379" s="197" t="str">
        <f t="array" ref="E1379">XLOOKUP(C1379,FSE!A:A,FSE!Z:Z,"XXXXX",0,1)</f>
        <v>Publicly Available (2)</v>
      </c>
      <c r="F1379" s="213" t="s">
        <v>3394</v>
      </c>
      <c r="G1379" s="163" t="str">
        <f t="array" ref="G1379">IF(B1379="ICSE",IF(COUNTIFS(B:B,B1379,C:C,C1379)=XLOOKUP(C1379,ICSE!A:A,ICSE!AA:AA,"ERROR",0,1),"OK","ERROR"),IF(B1379="FSE",IF(COUNTIFS(B:B,B1379,C:C,C1379)=XLOOKUP(C1379,FSE!A:A,FSE!AA:AA,"ERROR",0,1),"OK","ERROR")))</f>
        <v>OK</v>
      </c>
      <c r="H1379" s="199">
        <f t="shared" ref="H1379:O1379" si="6974">countif($D1379,"*"&amp;H$2&amp;"*")</f>
        <v>0</v>
      </c>
      <c r="I1379" s="200">
        <f t="shared" si="6974"/>
        <v>0</v>
      </c>
      <c r="J1379" s="200">
        <f t="shared" si="6974"/>
        <v>0</v>
      </c>
      <c r="K1379" s="200">
        <f t="shared" si="6974"/>
        <v>0</v>
      </c>
      <c r="L1379" s="200">
        <f t="shared" si="6974"/>
        <v>0</v>
      </c>
      <c r="M1379" s="200">
        <f t="shared" si="6974"/>
        <v>0</v>
      </c>
      <c r="N1379" s="200">
        <f t="shared" si="6974"/>
        <v>0</v>
      </c>
      <c r="O1379" s="200">
        <f t="shared" si="6974"/>
        <v>0</v>
      </c>
      <c r="P1379" s="200">
        <f t="shared" si="9"/>
        <v>1</v>
      </c>
      <c r="Q1379" s="200">
        <f t="shared" ref="Q1379:AC1379" si="6975">countif($D1379,"*"&amp;Q$2&amp;"*")</f>
        <v>0</v>
      </c>
      <c r="R1379" s="200">
        <f t="shared" si="6975"/>
        <v>0</v>
      </c>
      <c r="S1379" s="200">
        <f t="shared" si="6975"/>
        <v>0</v>
      </c>
      <c r="T1379" s="200">
        <f t="shared" si="6975"/>
        <v>0</v>
      </c>
      <c r="U1379" s="200">
        <f t="shared" si="6975"/>
        <v>0</v>
      </c>
      <c r="V1379" s="200">
        <f t="shared" si="6975"/>
        <v>0</v>
      </c>
      <c r="W1379" s="200">
        <f t="shared" si="6975"/>
        <v>0</v>
      </c>
      <c r="X1379" s="200">
        <f t="shared" si="6975"/>
        <v>0</v>
      </c>
      <c r="Y1379" s="200">
        <f t="shared" si="6975"/>
        <v>0</v>
      </c>
      <c r="Z1379" s="200">
        <f t="shared" si="6975"/>
        <v>0</v>
      </c>
      <c r="AA1379" s="200">
        <f t="shared" si="6975"/>
        <v>0</v>
      </c>
      <c r="AB1379" s="200">
        <f t="shared" si="6975"/>
        <v>0</v>
      </c>
      <c r="AC1379" s="200">
        <f t="shared" si="6975"/>
        <v>0</v>
      </c>
      <c r="AD1379" s="200">
        <f t="shared" si="11"/>
        <v>0</v>
      </c>
      <c r="AE1379" s="200">
        <f t="shared" ref="AE1379:AG1379" si="6976">countif($D1379,"*"&amp;AE$2&amp;"*")</f>
        <v>0</v>
      </c>
      <c r="AF1379" s="200">
        <f t="shared" si="6976"/>
        <v>0</v>
      </c>
      <c r="AG1379" s="200">
        <f t="shared" si="6976"/>
        <v>0</v>
      </c>
      <c r="AH1379" s="171">
        <f t="shared" si="13"/>
        <v>0</v>
      </c>
      <c r="AI1379" s="200">
        <f t="shared" si="14"/>
        <v>0</v>
      </c>
      <c r="AJ1379" s="200">
        <f t="shared" si="6100"/>
        <v>0</v>
      </c>
      <c r="AK1379" s="201">
        <f t="shared" ref="AK1379:AS1379" si="6977">countif($D1379,"*"&amp;AK$2&amp;"*")</f>
        <v>0</v>
      </c>
      <c r="AL1379" s="201">
        <f t="shared" si="6977"/>
        <v>0</v>
      </c>
      <c r="AM1379" s="201">
        <f t="shared" si="6977"/>
        <v>0</v>
      </c>
      <c r="AN1379" s="201">
        <f t="shared" si="6977"/>
        <v>0</v>
      </c>
      <c r="AO1379" s="201">
        <f t="shared" si="6977"/>
        <v>0</v>
      </c>
      <c r="AP1379" s="201">
        <f t="shared" si="6977"/>
        <v>0</v>
      </c>
      <c r="AQ1379" s="201">
        <f t="shared" si="6977"/>
        <v>0</v>
      </c>
      <c r="AR1379" s="200">
        <f t="shared" si="6977"/>
        <v>0</v>
      </c>
      <c r="AS1379" s="200">
        <f t="shared" si="6977"/>
        <v>0</v>
      </c>
      <c r="AT1379" s="173">
        <v>0.0</v>
      </c>
      <c r="AU1379" s="200">
        <f t="shared" si="6217"/>
        <v>0</v>
      </c>
      <c r="AV1379" s="200">
        <f t="shared" ref="AV1379:AX1379" si="6978">countif($D1379,"*"&amp;AV$2&amp;"*")</f>
        <v>1</v>
      </c>
      <c r="AW1379" s="200">
        <f t="shared" si="6978"/>
        <v>0</v>
      </c>
      <c r="AX1379" s="200">
        <f t="shared" si="6978"/>
        <v>0</v>
      </c>
      <c r="AY1379" s="202">
        <v>0.0</v>
      </c>
      <c r="AZ1379" s="200"/>
      <c r="BA1379" s="171" t="str">
        <f t="shared" si="18"/>
        <v/>
      </c>
      <c r="BB1379" s="171" t="str">
        <f t="shared" si="19"/>
        <v>Code</v>
      </c>
      <c r="BC1379" s="171" t="str">
        <f t="shared" si="20"/>
        <v/>
      </c>
      <c r="BD1379" s="171" t="str">
        <f t="shared" si="21"/>
        <v/>
      </c>
      <c r="BE1379" s="171" t="str">
        <f t="shared" si="22"/>
        <v/>
      </c>
      <c r="BF1379" s="171" t="str">
        <f t="shared" si="23"/>
        <v>Code</v>
      </c>
    </row>
    <row r="1380">
      <c r="A1380" s="171">
        <f t="array" ref="A1380">XLOOKUP(C1380,FSE!A:A,FSE!C:C,"XXXXX",0,1)</f>
        <v>2023</v>
      </c>
      <c r="B1380" s="171" t="s">
        <v>5676</v>
      </c>
      <c r="C1380" s="160">
        <v>116.0</v>
      </c>
      <c r="D1380" s="161" t="s">
        <v>6241</v>
      </c>
      <c r="E1380" s="197" t="str">
        <f t="array" ref="E1380">XLOOKUP(C1380,FSE!A:A,FSE!Z:Z,"XXXXX",0,1)</f>
        <v>Publicly Available (2)</v>
      </c>
      <c r="F1380" s="213" t="s">
        <v>3394</v>
      </c>
      <c r="G1380" s="163" t="str">
        <f t="array" ref="G1380">IF(B1380="ICSE",IF(COUNTIFS(B:B,B1380,C:C,C1380)=XLOOKUP(C1380,ICSE!A:A,ICSE!AA:AA,"ERROR",0,1),"OK","ERROR"),IF(B1380="FSE",IF(COUNTIFS(B:B,B1380,C:C,C1380)=XLOOKUP(C1380,FSE!A:A,FSE!AA:AA,"ERROR",0,1),"OK","ERROR")))</f>
        <v>OK</v>
      </c>
      <c r="H1380" s="199">
        <f t="shared" ref="H1380:O1380" si="6979">countif($D1380,"*"&amp;H$2&amp;"*")</f>
        <v>1</v>
      </c>
      <c r="I1380" s="200">
        <f t="shared" si="6979"/>
        <v>0</v>
      </c>
      <c r="J1380" s="200">
        <f t="shared" si="6979"/>
        <v>0</v>
      </c>
      <c r="K1380" s="200">
        <f t="shared" si="6979"/>
        <v>0</v>
      </c>
      <c r="L1380" s="200">
        <f t="shared" si="6979"/>
        <v>0</v>
      </c>
      <c r="M1380" s="200">
        <f t="shared" si="6979"/>
        <v>0</v>
      </c>
      <c r="N1380" s="200">
        <f t="shared" si="6979"/>
        <v>0</v>
      </c>
      <c r="O1380" s="200">
        <f t="shared" si="6979"/>
        <v>0</v>
      </c>
      <c r="P1380" s="200">
        <f t="shared" si="9"/>
        <v>0</v>
      </c>
      <c r="Q1380" s="200">
        <f t="shared" ref="Q1380:AC1380" si="6980">countif($D1380,"*"&amp;Q$2&amp;"*")</f>
        <v>0</v>
      </c>
      <c r="R1380" s="200">
        <f t="shared" si="6980"/>
        <v>0</v>
      </c>
      <c r="S1380" s="200">
        <f t="shared" si="6980"/>
        <v>0</v>
      </c>
      <c r="T1380" s="200">
        <f t="shared" si="6980"/>
        <v>0</v>
      </c>
      <c r="U1380" s="200">
        <f t="shared" si="6980"/>
        <v>0</v>
      </c>
      <c r="V1380" s="200">
        <f t="shared" si="6980"/>
        <v>0</v>
      </c>
      <c r="W1380" s="200">
        <f t="shared" si="6980"/>
        <v>0</v>
      </c>
      <c r="X1380" s="200">
        <f t="shared" si="6980"/>
        <v>0</v>
      </c>
      <c r="Y1380" s="200">
        <f t="shared" si="6980"/>
        <v>0</v>
      </c>
      <c r="Z1380" s="200">
        <f t="shared" si="6980"/>
        <v>0</v>
      </c>
      <c r="AA1380" s="200">
        <f t="shared" si="6980"/>
        <v>0</v>
      </c>
      <c r="AB1380" s="200">
        <f t="shared" si="6980"/>
        <v>0</v>
      </c>
      <c r="AC1380" s="200">
        <f t="shared" si="6980"/>
        <v>0</v>
      </c>
      <c r="AD1380" s="200">
        <f t="shared" si="11"/>
        <v>0</v>
      </c>
      <c r="AE1380" s="200">
        <f t="shared" ref="AE1380:AG1380" si="6981">countif($D1380,"*"&amp;AE$2&amp;"*")</f>
        <v>0</v>
      </c>
      <c r="AF1380" s="200">
        <f t="shared" si="6981"/>
        <v>0</v>
      </c>
      <c r="AG1380" s="200">
        <f t="shared" si="6981"/>
        <v>0</v>
      </c>
      <c r="AH1380" s="171">
        <f t="shared" si="13"/>
        <v>0</v>
      </c>
      <c r="AI1380" s="200">
        <f t="shared" si="14"/>
        <v>1</v>
      </c>
      <c r="AJ1380" s="200">
        <f t="shared" si="6100"/>
        <v>0</v>
      </c>
      <c r="AK1380" s="201">
        <f t="shared" ref="AK1380:AS1380" si="6982">countif($D1380,"*"&amp;AK$2&amp;"*")</f>
        <v>0</v>
      </c>
      <c r="AL1380" s="201">
        <f t="shared" si="6982"/>
        <v>0</v>
      </c>
      <c r="AM1380" s="201">
        <f t="shared" si="6982"/>
        <v>0</v>
      </c>
      <c r="AN1380" s="201">
        <f t="shared" si="6982"/>
        <v>0</v>
      </c>
      <c r="AO1380" s="201">
        <f t="shared" si="6982"/>
        <v>0</v>
      </c>
      <c r="AP1380" s="201">
        <f t="shared" si="6982"/>
        <v>0</v>
      </c>
      <c r="AQ1380" s="201">
        <f t="shared" si="6982"/>
        <v>0</v>
      </c>
      <c r="AR1380" s="200">
        <f t="shared" si="6982"/>
        <v>0</v>
      </c>
      <c r="AS1380" s="200">
        <f t="shared" si="6982"/>
        <v>0</v>
      </c>
      <c r="AT1380" s="173">
        <v>0.0</v>
      </c>
      <c r="AU1380" s="200">
        <f t="shared" si="6217"/>
        <v>0</v>
      </c>
      <c r="AV1380" s="200">
        <f t="shared" ref="AV1380:AX1380" si="6983">countif($D1380,"*"&amp;AV$2&amp;"*")</f>
        <v>0</v>
      </c>
      <c r="AW1380" s="200">
        <f t="shared" si="6983"/>
        <v>0</v>
      </c>
      <c r="AX1380" s="200">
        <f t="shared" si="6983"/>
        <v>1</v>
      </c>
      <c r="AY1380" s="202">
        <v>0.0</v>
      </c>
      <c r="AZ1380" s="200"/>
      <c r="BA1380" s="171" t="str">
        <f t="shared" si="18"/>
        <v>Archival</v>
      </c>
      <c r="BB1380" s="171" t="str">
        <f t="shared" si="19"/>
        <v/>
      </c>
      <c r="BC1380" s="171" t="str">
        <f t="shared" si="20"/>
        <v/>
      </c>
      <c r="BD1380" s="171" t="str">
        <f t="shared" si="21"/>
        <v/>
      </c>
      <c r="BE1380" s="171" t="str">
        <f t="shared" si="22"/>
        <v/>
      </c>
      <c r="BF1380" s="171" t="str">
        <f t="shared" si="23"/>
        <v>Archival</v>
      </c>
    </row>
    <row r="1381">
      <c r="A1381" s="171">
        <f t="array" ref="A1381">XLOOKUP(C1381,FSE!A:A,FSE!C:C,"XXXXX",0,1)</f>
        <v>2023</v>
      </c>
      <c r="B1381" s="213" t="s">
        <v>5676</v>
      </c>
      <c r="C1381" s="214">
        <v>117.0</v>
      </c>
      <c r="D1381" s="215" t="s">
        <v>6242</v>
      </c>
      <c r="E1381" s="197" t="str">
        <f t="array" ref="E1381">XLOOKUP(C1381,FSE!A:A,FSE!Z:Z,"XXXXX",0,1)</f>
        <v>Not Available (1)
Publicly Available (1)</v>
      </c>
      <c r="F1381" s="213" t="s">
        <v>3395</v>
      </c>
      <c r="G1381" s="163" t="str">
        <f t="array" ref="G1381">IF(B1381="ICSE",IF(COUNTIFS(B:B,B1381,C:C,C1381)=XLOOKUP(C1381,ICSE!A:A,ICSE!AA:AA,"ERROR",0,1),"OK","ERROR"),IF(B1381="FSE",IF(COUNTIFS(B:B,B1381,C:C,C1381)=XLOOKUP(C1381,FSE!A:A,FSE!AA:AA,"ERROR",0,1),"OK","ERROR")))</f>
        <v>OK</v>
      </c>
      <c r="H1381" s="199">
        <f t="shared" ref="H1381:O1381" si="6984">countif($D1381,"*"&amp;H$2&amp;"*")</f>
        <v>0</v>
      </c>
      <c r="I1381" s="200">
        <f t="shared" si="6984"/>
        <v>0</v>
      </c>
      <c r="J1381" s="200">
        <f t="shared" si="6984"/>
        <v>0</v>
      </c>
      <c r="K1381" s="200">
        <f t="shared" si="6984"/>
        <v>0</v>
      </c>
      <c r="L1381" s="200">
        <f t="shared" si="6984"/>
        <v>0</v>
      </c>
      <c r="M1381" s="200">
        <f t="shared" si="6984"/>
        <v>0</v>
      </c>
      <c r="N1381" s="200">
        <f t="shared" si="6984"/>
        <v>0</v>
      </c>
      <c r="O1381" s="200">
        <f t="shared" si="6984"/>
        <v>0</v>
      </c>
      <c r="P1381" s="200">
        <f t="shared" si="9"/>
        <v>0</v>
      </c>
      <c r="Q1381" s="200">
        <f t="shared" ref="Q1381:AC1381" si="6985">countif($D1381,"*"&amp;Q$2&amp;"*")</f>
        <v>0</v>
      </c>
      <c r="R1381" s="200">
        <f t="shared" si="6985"/>
        <v>0</v>
      </c>
      <c r="S1381" s="200">
        <f t="shared" si="6985"/>
        <v>0</v>
      </c>
      <c r="T1381" s="200">
        <f t="shared" si="6985"/>
        <v>0</v>
      </c>
      <c r="U1381" s="200">
        <f t="shared" si="6985"/>
        <v>0</v>
      </c>
      <c r="V1381" s="200">
        <f t="shared" si="6985"/>
        <v>0</v>
      </c>
      <c r="W1381" s="200">
        <f t="shared" si="6985"/>
        <v>0</v>
      </c>
      <c r="X1381" s="200">
        <f t="shared" si="6985"/>
        <v>0</v>
      </c>
      <c r="Y1381" s="200">
        <f t="shared" si="6985"/>
        <v>0</v>
      </c>
      <c r="Z1381" s="200">
        <f t="shared" si="6985"/>
        <v>0</v>
      </c>
      <c r="AA1381" s="200">
        <f t="shared" si="6985"/>
        <v>0</v>
      </c>
      <c r="AB1381" s="200">
        <f t="shared" si="6985"/>
        <v>0</v>
      </c>
      <c r="AC1381" s="200">
        <f t="shared" si="6985"/>
        <v>0</v>
      </c>
      <c r="AD1381" s="200">
        <f t="shared" si="11"/>
        <v>0</v>
      </c>
      <c r="AE1381" s="200">
        <f t="shared" ref="AE1381:AG1381" si="6986">countif($D1381,"*"&amp;AE$2&amp;"*")</f>
        <v>0</v>
      </c>
      <c r="AF1381" s="200">
        <f t="shared" si="6986"/>
        <v>0</v>
      </c>
      <c r="AG1381" s="200">
        <f t="shared" si="6986"/>
        <v>0</v>
      </c>
      <c r="AH1381" s="171">
        <f t="shared" si="13"/>
        <v>1</v>
      </c>
      <c r="AI1381" s="200">
        <f t="shared" si="14"/>
        <v>0</v>
      </c>
      <c r="AJ1381" s="200">
        <f t="shared" si="6100"/>
        <v>0</v>
      </c>
      <c r="AK1381" s="201">
        <f t="shared" ref="AK1381:AS1381" si="6987">countif($D1381,"*"&amp;AK$2&amp;"*")</f>
        <v>0</v>
      </c>
      <c r="AL1381" s="201">
        <f t="shared" si="6987"/>
        <v>0</v>
      </c>
      <c r="AM1381" s="201">
        <f t="shared" si="6987"/>
        <v>0</v>
      </c>
      <c r="AN1381" s="201">
        <f t="shared" si="6987"/>
        <v>0</v>
      </c>
      <c r="AO1381" s="201">
        <f t="shared" si="6987"/>
        <v>0</v>
      </c>
      <c r="AP1381" s="201">
        <f t="shared" si="6987"/>
        <v>0</v>
      </c>
      <c r="AQ1381" s="201">
        <f t="shared" si="6987"/>
        <v>0</v>
      </c>
      <c r="AR1381" s="200">
        <f t="shared" si="6987"/>
        <v>0</v>
      </c>
      <c r="AS1381" s="200">
        <f t="shared" si="6987"/>
        <v>0</v>
      </c>
      <c r="AT1381" s="173">
        <v>0.0</v>
      </c>
      <c r="AU1381" s="200">
        <f t="shared" si="6217"/>
        <v>0</v>
      </c>
      <c r="AV1381" s="200">
        <f t="shared" ref="AV1381:AX1381" si="6988">countif($D1381,"*"&amp;AV$2&amp;"*")</f>
        <v>0</v>
      </c>
      <c r="AW1381" s="200">
        <f t="shared" si="6988"/>
        <v>0</v>
      </c>
      <c r="AX1381" s="200">
        <f t="shared" si="6988"/>
        <v>0</v>
      </c>
      <c r="AY1381" s="202">
        <v>0.0</v>
      </c>
      <c r="AZ1381" s="200"/>
      <c r="BA1381" s="171" t="str">
        <f t="shared" si="18"/>
        <v/>
      </c>
      <c r="BB1381" s="171" t="str">
        <f t="shared" si="19"/>
        <v/>
      </c>
      <c r="BC1381" s="171" t="str">
        <f t="shared" si="20"/>
        <v/>
      </c>
      <c r="BD1381" s="171" t="str">
        <f t="shared" si="21"/>
        <v/>
      </c>
      <c r="BE1381" s="171" t="str">
        <f t="shared" si="22"/>
        <v>Others</v>
      </c>
      <c r="BF1381" s="171" t="str">
        <f t="shared" si="23"/>
        <v>Others</v>
      </c>
    </row>
    <row r="1382">
      <c r="A1382" s="171">
        <f t="array" ref="A1382">XLOOKUP(C1382,FSE!A:A,FSE!C:C,"XXXXX",0,1)</f>
        <v>2023</v>
      </c>
      <c r="B1382" s="171" t="s">
        <v>5676</v>
      </c>
      <c r="C1382" s="160">
        <v>117.0</v>
      </c>
      <c r="D1382" s="161" t="s">
        <v>6243</v>
      </c>
      <c r="E1382" s="197" t="str">
        <f t="array" ref="E1382">XLOOKUP(C1382,FSE!A:A,FSE!Z:Z,"XXXXX",0,1)</f>
        <v>Not Available (1)
Publicly Available (1)</v>
      </c>
      <c r="F1382" s="213" t="s">
        <v>3394</v>
      </c>
      <c r="G1382" s="163" t="str">
        <f t="array" ref="G1382">IF(B1382="ICSE",IF(COUNTIFS(B:B,B1382,C:C,C1382)=XLOOKUP(C1382,ICSE!A:A,ICSE!AA:AA,"ERROR",0,1),"OK","ERROR"),IF(B1382="FSE",IF(COUNTIFS(B:B,B1382,C:C,C1382)=XLOOKUP(C1382,FSE!A:A,FSE!AA:AA,"ERROR",0,1),"OK","ERROR")))</f>
        <v>OK</v>
      </c>
      <c r="H1382" s="199">
        <f t="shared" ref="H1382:O1382" si="6989">countif($D1382,"*"&amp;H$2&amp;"*")</f>
        <v>0</v>
      </c>
      <c r="I1382" s="200">
        <f t="shared" si="6989"/>
        <v>0</v>
      </c>
      <c r="J1382" s="200">
        <f t="shared" si="6989"/>
        <v>0</v>
      </c>
      <c r="K1382" s="200">
        <f t="shared" si="6989"/>
        <v>0</v>
      </c>
      <c r="L1382" s="200">
        <f t="shared" si="6989"/>
        <v>0</v>
      </c>
      <c r="M1382" s="200">
        <f t="shared" si="6989"/>
        <v>1</v>
      </c>
      <c r="N1382" s="200">
        <f t="shared" si="6989"/>
        <v>0</v>
      </c>
      <c r="O1382" s="200">
        <f t="shared" si="6989"/>
        <v>0</v>
      </c>
      <c r="P1382" s="200">
        <f t="shared" si="9"/>
        <v>0</v>
      </c>
      <c r="Q1382" s="200">
        <f t="shared" ref="Q1382:AC1382" si="6990">countif($D1382,"*"&amp;Q$2&amp;"*")</f>
        <v>0</v>
      </c>
      <c r="R1382" s="200">
        <f t="shared" si="6990"/>
        <v>0</v>
      </c>
      <c r="S1382" s="200">
        <f t="shared" si="6990"/>
        <v>0</v>
      </c>
      <c r="T1382" s="200">
        <f t="shared" si="6990"/>
        <v>0</v>
      </c>
      <c r="U1382" s="200">
        <f t="shared" si="6990"/>
        <v>0</v>
      </c>
      <c r="V1382" s="200">
        <f t="shared" si="6990"/>
        <v>0</v>
      </c>
      <c r="W1382" s="200">
        <f t="shared" si="6990"/>
        <v>0</v>
      </c>
      <c r="X1382" s="200">
        <f t="shared" si="6990"/>
        <v>0</v>
      </c>
      <c r="Y1382" s="200">
        <f t="shared" si="6990"/>
        <v>0</v>
      </c>
      <c r="Z1382" s="200">
        <f t="shared" si="6990"/>
        <v>0</v>
      </c>
      <c r="AA1382" s="200">
        <f t="shared" si="6990"/>
        <v>0</v>
      </c>
      <c r="AB1382" s="200">
        <f t="shared" si="6990"/>
        <v>0</v>
      </c>
      <c r="AC1382" s="200">
        <f t="shared" si="6990"/>
        <v>0</v>
      </c>
      <c r="AD1382" s="200">
        <f t="shared" si="11"/>
        <v>0</v>
      </c>
      <c r="AE1382" s="200">
        <f t="shared" ref="AE1382:AG1382" si="6991">countif($D1382,"*"&amp;AE$2&amp;"*")</f>
        <v>0</v>
      </c>
      <c r="AF1382" s="200">
        <f t="shared" si="6991"/>
        <v>0</v>
      </c>
      <c r="AG1382" s="200">
        <f t="shared" si="6991"/>
        <v>0</v>
      </c>
      <c r="AH1382" s="171">
        <f t="shared" si="13"/>
        <v>0</v>
      </c>
      <c r="AI1382" s="200">
        <f t="shared" si="14"/>
        <v>1</v>
      </c>
      <c r="AJ1382" s="200">
        <f t="shared" si="6100"/>
        <v>0</v>
      </c>
      <c r="AK1382" s="201">
        <f t="shared" ref="AK1382:AS1382" si="6992">countif($D1382,"*"&amp;AK$2&amp;"*")</f>
        <v>0</v>
      </c>
      <c r="AL1382" s="201">
        <f t="shared" si="6992"/>
        <v>0</v>
      </c>
      <c r="AM1382" s="201">
        <f t="shared" si="6992"/>
        <v>0</v>
      </c>
      <c r="AN1382" s="201">
        <f t="shared" si="6992"/>
        <v>0</v>
      </c>
      <c r="AO1382" s="201">
        <f t="shared" si="6992"/>
        <v>0</v>
      </c>
      <c r="AP1382" s="201">
        <f t="shared" si="6992"/>
        <v>0</v>
      </c>
      <c r="AQ1382" s="201">
        <f t="shared" si="6992"/>
        <v>0</v>
      </c>
      <c r="AR1382" s="200">
        <f t="shared" si="6992"/>
        <v>0</v>
      </c>
      <c r="AS1382" s="200">
        <f t="shared" si="6992"/>
        <v>1</v>
      </c>
      <c r="AT1382" s="173">
        <v>0.0</v>
      </c>
      <c r="AU1382" s="200">
        <f t="shared" si="6217"/>
        <v>0</v>
      </c>
      <c r="AV1382" s="200">
        <f t="shared" ref="AV1382:AX1382" si="6993">countif($D1382,"*"&amp;AV$2&amp;"*")</f>
        <v>0</v>
      </c>
      <c r="AW1382" s="200">
        <f t="shared" si="6993"/>
        <v>0</v>
      </c>
      <c r="AX1382" s="200">
        <f t="shared" si="6993"/>
        <v>1</v>
      </c>
      <c r="AY1382" s="202">
        <v>0.0</v>
      </c>
      <c r="AZ1382" s="200"/>
      <c r="BA1382" s="171" t="str">
        <f t="shared" si="18"/>
        <v>Archival</v>
      </c>
      <c r="BB1382" s="171" t="str">
        <f t="shared" si="19"/>
        <v/>
      </c>
      <c r="BC1382" s="171" t="str">
        <f t="shared" si="20"/>
        <v/>
      </c>
      <c r="BD1382" s="171" t="str">
        <f t="shared" si="21"/>
        <v/>
      </c>
      <c r="BE1382" s="171" t="str">
        <f t="shared" si="22"/>
        <v/>
      </c>
      <c r="BF1382" s="171" t="str">
        <f t="shared" si="23"/>
        <v>Archival</v>
      </c>
    </row>
    <row r="1383">
      <c r="A1383" s="171">
        <f t="array" ref="A1383">XLOOKUP(C1383,FSE!A:A,FSE!C:C,"XXXXX",0,1)</f>
        <v>2023</v>
      </c>
      <c r="B1383" s="213" t="s">
        <v>5676</v>
      </c>
      <c r="C1383" s="214">
        <v>118.0</v>
      </c>
      <c r="D1383" s="215" t="s">
        <v>5642</v>
      </c>
      <c r="E1383" s="197" t="str">
        <f t="array" ref="E1383">XLOOKUP(C1383,FSE!A:A,FSE!Z:Z,"XXXXX",0,1)</f>
        <v>Publicly Available (1)</v>
      </c>
      <c r="F1383" s="213" t="s">
        <v>3394</v>
      </c>
      <c r="G1383" s="163" t="str">
        <f t="array" ref="G1383">IF(B1383="ICSE",IF(COUNTIFS(B:B,B1383,C:C,C1383)=XLOOKUP(C1383,ICSE!A:A,ICSE!AA:AA,"ERROR",0,1),"OK","ERROR"),IF(B1383="FSE",IF(COUNTIFS(B:B,B1383,C:C,C1383)=XLOOKUP(C1383,FSE!A:A,FSE!AA:AA,"ERROR",0,1),"OK","ERROR")))</f>
        <v>OK</v>
      </c>
      <c r="H1383" s="199">
        <f t="shared" ref="H1383:O1383" si="6994">countif($D1383,"*"&amp;H$2&amp;"*")</f>
        <v>0</v>
      </c>
      <c r="I1383" s="200">
        <f t="shared" si="6994"/>
        <v>0</v>
      </c>
      <c r="J1383" s="200">
        <f t="shared" si="6994"/>
        <v>0</v>
      </c>
      <c r="K1383" s="200">
        <f t="shared" si="6994"/>
        <v>0</v>
      </c>
      <c r="L1383" s="200">
        <f t="shared" si="6994"/>
        <v>0</v>
      </c>
      <c r="M1383" s="200">
        <f t="shared" si="6994"/>
        <v>0</v>
      </c>
      <c r="N1383" s="200">
        <f t="shared" si="6994"/>
        <v>0</v>
      </c>
      <c r="O1383" s="200">
        <f t="shared" si="6994"/>
        <v>0</v>
      </c>
      <c r="P1383" s="200">
        <f t="shared" si="9"/>
        <v>1</v>
      </c>
      <c r="Q1383" s="200">
        <f t="shared" ref="Q1383:AC1383" si="6995">countif($D1383,"*"&amp;Q$2&amp;"*")</f>
        <v>0</v>
      </c>
      <c r="R1383" s="200">
        <f t="shared" si="6995"/>
        <v>0</v>
      </c>
      <c r="S1383" s="200">
        <f t="shared" si="6995"/>
        <v>0</v>
      </c>
      <c r="T1383" s="200">
        <f t="shared" si="6995"/>
        <v>0</v>
      </c>
      <c r="U1383" s="200">
        <f t="shared" si="6995"/>
        <v>0</v>
      </c>
      <c r="V1383" s="200">
        <f t="shared" si="6995"/>
        <v>0</v>
      </c>
      <c r="W1383" s="200">
        <f t="shared" si="6995"/>
        <v>0</v>
      </c>
      <c r="X1383" s="200">
        <f t="shared" si="6995"/>
        <v>0</v>
      </c>
      <c r="Y1383" s="200">
        <f t="shared" si="6995"/>
        <v>0</v>
      </c>
      <c r="Z1383" s="200">
        <f t="shared" si="6995"/>
        <v>0</v>
      </c>
      <c r="AA1383" s="200">
        <f t="shared" si="6995"/>
        <v>0</v>
      </c>
      <c r="AB1383" s="200">
        <f t="shared" si="6995"/>
        <v>0</v>
      </c>
      <c r="AC1383" s="200">
        <f t="shared" si="6995"/>
        <v>0</v>
      </c>
      <c r="AD1383" s="200">
        <f t="shared" si="11"/>
        <v>0</v>
      </c>
      <c r="AE1383" s="200">
        <f t="shared" ref="AE1383:AG1383" si="6996">countif($D1383,"*"&amp;AE$2&amp;"*")</f>
        <v>0</v>
      </c>
      <c r="AF1383" s="200">
        <f t="shared" si="6996"/>
        <v>0</v>
      </c>
      <c r="AG1383" s="200">
        <f t="shared" si="6996"/>
        <v>0</v>
      </c>
      <c r="AH1383" s="171">
        <f t="shared" si="13"/>
        <v>0</v>
      </c>
      <c r="AI1383" s="200">
        <f t="shared" si="14"/>
        <v>0</v>
      </c>
      <c r="AJ1383" s="200">
        <f t="shared" si="6100"/>
        <v>0</v>
      </c>
      <c r="AK1383" s="201">
        <f t="shared" ref="AK1383:AS1383" si="6997">countif($D1383,"*"&amp;AK$2&amp;"*")</f>
        <v>0</v>
      </c>
      <c r="AL1383" s="201">
        <f t="shared" si="6997"/>
        <v>0</v>
      </c>
      <c r="AM1383" s="201">
        <f t="shared" si="6997"/>
        <v>0</v>
      </c>
      <c r="AN1383" s="201">
        <f t="shared" si="6997"/>
        <v>0</v>
      </c>
      <c r="AO1383" s="201">
        <f t="shared" si="6997"/>
        <v>0</v>
      </c>
      <c r="AP1383" s="201">
        <f t="shared" si="6997"/>
        <v>0</v>
      </c>
      <c r="AQ1383" s="201">
        <f t="shared" si="6997"/>
        <v>0</v>
      </c>
      <c r="AR1383" s="200">
        <f t="shared" si="6997"/>
        <v>0</v>
      </c>
      <c r="AS1383" s="200">
        <f t="shared" si="6997"/>
        <v>0</v>
      </c>
      <c r="AT1383" s="173">
        <v>0.0</v>
      </c>
      <c r="AU1383" s="200">
        <f t="shared" si="6217"/>
        <v>0</v>
      </c>
      <c r="AV1383" s="200">
        <f t="shared" ref="AV1383:AX1383" si="6998">countif($D1383,"*"&amp;AV$2&amp;"*")</f>
        <v>1</v>
      </c>
      <c r="AW1383" s="200">
        <f t="shared" si="6998"/>
        <v>0</v>
      </c>
      <c r="AX1383" s="200">
        <f t="shared" si="6998"/>
        <v>0</v>
      </c>
      <c r="AY1383" s="202">
        <v>0.0</v>
      </c>
      <c r="AZ1383" s="200"/>
      <c r="BA1383" s="171" t="str">
        <f t="shared" si="18"/>
        <v/>
      </c>
      <c r="BB1383" s="171" t="str">
        <f t="shared" si="19"/>
        <v>Code</v>
      </c>
      <c r="BC1383" s="171" t="str">
        <f t="shared" si="20"/>
        <v/>
      </c>
      <c r="BD1383" s="171" t="str">
        <f t="shared" si="21"/>
        <v/>
      </c>
      <c r="BE1383" s="171" t="str">
        <f t="shared" si="22"/>
        <v/>
      </c>
      <c r="BF1383" s="171" t="str">
        <f t="shared" si="23"/>
        <v>Code</v>
      </c>
    </row>
    <row r="1384">
      <c r="A1384" s="171">
        <f t="array" ref="A1384">XLOOKUP(C1384,FSE!A:A,FSE!C:C,"XXXXX",0,1)</f>
        <v>2023</v>
      </c>
      <c r="B1384" s="213" t="s">
        <v>5676</v>
      </c>
      <c r="C1384" s="214">
        <v>119.0</v>
      </c>
      <c r="D1384" s="215" t="s">
        <v>5645</v>
      </c>
      <c r="E1384" s="197" t="str">
        <f t="array" ref="E1384">XLOOKUP(C1384,FSE!A:A,FSE!Z:Z,"XXXXX",0,1)</f>
        <v>Publicly Available (1)</v>
      </c>
      <c r="F1384" s="213" t="s">
        <v>3394</v>
      </c>
      <c r="G1384" s="163" t="str">
        <f t="array" ref="G1384">IF(B1384="ICSE",IF(COUNTIFS(B:B,B1384,C:C,C1384)=XLOOKUP(C1384,ICSE!A:A,ICSE!AA:AA,"ERROR",0,1),"OK","ERROR"),IF(B1384="FSE",IF(COUNTIFS(B:B,B1384,C:C,C1384)=XLOOKUP(C1384,FSE!A:A,FSE!AA:AA,"ERROR",0,1),"OK","ERROR")))</f>
        <v>OK</v>
      </c>
      <c r="H1384" s="199">
        <f t="shared" ref="H1384:O1384" si="6999">countif($D1384,"*"&amp;H$2&amp;"*")</f>
        <v>0</v>
      </c>
      <c r="I1384" s="200">
        <f t="shared" si="6999"/>
        <v>0</v>
      </c>
      <c r="J1384" s="200">
        <f t="shared" si="6999"/>
        <v>0</v>
      </c>
      <c r="K1384" s="200">
        <f t="shared" si="6999"/>
        <v>0</v>
      </c>
      <c r="L1384" s="200">
        <f t="shared" si="6999"/>
        <v>0</v>
      </c>
      <c r="M1384" s="200">
        <f t="shared" si="6999"/>
        <v>0</v>
      </c>
      <c r="N1384" s="200">
        <f t="shared" si="6999"/>
        <v>0</v>
      </c>
      <c r="O1384" s="200">
        <f t="shared" si="6999"/>
        <v>0</v>
      </c>
      <c r="P1384" s="200">
        <f t="shared" si="9"/>
        <v>1</v>
      </c>
      <c r="Q1384" s="200">
        <f t="shared" ref="Q1384:AC1384" si="7000">countif($D1384,"*"&amp;Q$2&amp;"*")</f>
        <v>0</v>
      </c>
      <c r="R1384" s="200">
        <f t="shared" si="7000"/>
        <v>0</v>
      </c>
      <c r="S1384" s="200">
        <f t="shared" si="7000"/>
        <v>0</v>
      </c>
      <c r="T1384" s="200">
        <f t="shared" si="7000"/>
        <v>0</v>
      </c>
      <c r="U1384" s="200">
        <f t="shared" si="7000"/>
        <v>0</v>
      </c>
      <c r="V1384" s="200">
        <f t="shared" si="7000"/>
        <v>0</v>
      </c>
      <c r="W1384" s="200">
        <f t="shared" si="7000"/>
        <v>0</v>
      </c>
      <c r="X1384" s="200">
        <f t="shared" si="7000"/>
        <v>0</v>
      </c>
      <c r="Y1384" s="200">
        <f t="shared" si="7000"/>
        <v>0</v>
      </c>
      <c r="Z1384" s="200">
        <f t="shared" si="7000"/>
        <v>0</v>
      </c>
      <c r="AA1384" s="200">
        <f t="shared" si="7000"/>
        <v>0</v>
      </c>
      <c r="AB1384" s="200">
        <f t="shared" si="7000"/>
        <v>0</v>
      </c>
      <c r="AC1384" s="200">
        <f t="shared" si="7000"/>
        <v>0</v>
      </c>
      <c r="AD1384" s="200">
        <f t="shared" si="11"/>
        <v>0</v>
      </c>
      <c r="AE1384" s="200">
        <f t="shared" ref="AE1384:AG1384" si="7001">countif($D1384,"*"&amp;AE$2&amp;"*")</f>
        <v>0</v>
      </c>
      <c r="AF1384" s="200">
        <f t="shared" si="7001"/>
        <v>0</v>
      </c>
      <c r="AG1384" s="200">
        <f t="shared" si="7001"/>
        <v>0</v>
      </c>
      <c r="AH1384" s="171">
        <f t="shared" si="13"/>
        <v>0</v>
      </c>
      <c r="AI1384" s="200">
        <f t="shared" si="14"/>
        <v>0</v>
      </c>
      <c r="AJ1384" s="200">
        <f t="shared" si="6100"/>
        <v>0</v>
      </c>
      <c r="AK1384" s="201">
        <f t="shared" ref="AK1384:AS1384" si="7002">countif($D1384,"*"&amp;AK$2&amp;"*")</f>
        <v>0</v>
      </c>
      <c r="AL1384" s="201">
        <f t="shared" si="7002"/>
        <v>0</v>
      </c>
      <c r="AM1384" s="201">
        <f t="shared" si="7002"/>
        <v>0</v>
      </c>
      <c r="AN1384" s="201">
        <f t="shared" si="7002"/>
        <v>0</v>
      </c>
      <c r="AO1384" s="201">
        <f t="shared" si="7002"/>
        <v>0</v>
      </c>
      <c r="AP1384" s="201">
        <f t="shared" si="7002"/>
        <v>0</v>
      </c>
      <c r="AQ1384" s="201">
        <f t="shared" si="7002"/>
        <v>0</v>
      </c>
      <c r="AR1384" s="200">
        <f t="shared" si="7002"/>
        <v>0</v>
      </c>
      <c r="AS1384" s="200">
        <f t="shared" si="7002"/>
        <v>0</v>
      </c>
      <c r="AT1384" s="173">
        <v>0.0</v>
      </c>
      <c r="AU1384" s="200">
        <f t="shared" si="6217"/>
        <v>0</v>
      </c>
      <c r="AV1384" s="200">
        <f t="shared" ref="AV1384:AX1384" si="7003">countif($D1384,"*"&amp;AV$2&amp;"*")</f>
        <v>1</v>
      </c>
      <c r="AW1384" s="200">
        <f t="shared" si="7003"/>
        <v>0</v>
      </c>
      <c r="AX1384" s="200">
        <f t="shared" si="7003"/>
        <v>0</v>
      </c>
      <c r="AY1384" s="202">
        <v>0.0</v>
      </c>
      <c r="AZ1384" s="200"/>
      <c r="BA1384" s="171" t="str">
        <f t="shared" si="18"/>
        <v/>
      </c>
      <c r="BB1384" s="171" t="str">
        <f t="shared" si="19"/>
        <v>Code</v>
      </c>
      <c r="BC1384" s="171" t="str">
        <f t="shared" si="20"/>
        <v/>
      </c>
      <c r="BD1384" s="171" t="str">
        <f t="shared" si="21"/>
        <v/>
      </c>
      <c r="BE1384" s="171" t="str">
        <f t="shared" si="22"/>
        <v/>
      </c>
      <c r="BF1384" s="171" t="str">
        <f t="shared" si="23"/>
        <v>Code</v>
      </c>
    </row>
    <row r="1385">
      <c r="A1385" s="171">
        <f t="array" ref="A1385">XLOOKUP(C1385,FSE!A:A,FSE!C:C,"XXXXX",0,1)</f>
        <v>2023</v>
      </c>
      <c r="B1385" s="213" t="s">
        <v>5676</v>
      </c>
      <c r="C1385" s="214">
        <v>120.0</v>
      </c>
      <c r="D1385" s="215" t="s">
        <v>6244</v>
      </c>
      <c r="E1385" s="197" t="str">
        <f t="array" ref="E1385">XLOOKUP(C1385,FSE!A:A,FSE!Z:Z,"XXXXX",0,1)</f>
        <v>Publicly Available (2)</v>
      </c>
      <c r="F1385" s="213" t="s">
        <v>3394</v>
      </c>
      <c r="G1385" s="163" t="str">
        <f t="array" ref="G1385">IF(B1385="ICSE",IF(COUNTIFS(B:B,B1385,C:C,C1385)=XLOOKUP(C1385,ICSE!A:A,ICSE!AA:AA,"ERROR",0,1),"OK","ERROR"),IF(B1385="FSE",IF(COUNTIFS(B:B,B1385,C:C,C1385)=XLOOKUP(C1385,FSE!A:A,FSE!AA:AA,"ERROR",0,1),"OK","ERROR")))</f>
        <v>OK</v>
      </c>
      <c r="H1385" s="199">
        <f t="shared" ref="H1385:O1385" si="7004">countif($D1385,"*"&amp;H$2&amp;"*")</f>
        <v>1</v>
      </c>
      <c r="I1385" s="200">
        <f t="shared" si="7004"/>
        <v>0</v>
      </c>
      <c r="J1385" s="200">
        <f t="shared" si="7004"/>
        <v>0</v>
      </c>
      <c r="K1385" s="200">
        <f t="shared" si="7004"/>
        <v>0</v>
      </c>
      <c r="L1385" s="200">
        <f t="shared" si="7004"/>
        <v>0</v>
      </c>
      <c r="M1385" s="200">
        <f t="shared" si="7004"/>
        <v>0</v>
      </c>
      <c r="N1385" s="200">
        <f t="shared" si="7004"/>
        <v>0</v>
      </c>
      <c r="O1385" s="200">
        <f t="shared" si="7004"/>
        <v>0</v>
      </c>
      <c r="P1385" s="200">
        <f t="shared" si="9"/>
        <v>0</v>
      </c>
      <c r="Q1385" s="200">
        <f t="shared" ref="Q1385:AC1385" si="7005">countif($D1385,"*"&amp;Q$2&amp;"*")</f>
        <v>0</v>
      </c>
      <c r="R1385" s="200">
        <f t="shared" si="7005"/>
        <v>0</v>
      </c>
      <c r="S1385" s="200">
        <f t="shared" si="7005"/>
        <v>0</v>
      </c>
      <c r="T1385" s="200">
        <f t="shared" si="7005"/>
        <v>0</v>
      </c>
      <c r="U1385" s="200">
        <f t="shared" si="7005"/>
        <v>0</v>
      </c>
      <c r="V1385" s="200">
        <f t="shared" si="7005"/>
        <v>0</v>
      </c>
      <c r="W1385" s="200">
        <f t="shared" si="7005"/>
        <v>0</v>
      </c>
      <c r="X1385" s="200">
        <f t="shared" si="7005"/>
        <v>0</v>
      </c>
      <c r="Y1385" s="200">
        <f t="shared" si="7005"/>
        <v>0</v>
      </c>
      <c r="Z1385" s="200">
        <f t="shared" si="7005"/>
        <v>0</v>
      </c>
      <c r="AA1385" s="200">
        <f t="shared" si="7005"/>
        <v>0</v>
      </c>
      <c r="AB1385" s="200">
        <f t="shared" si="7005"/>
        <v>0</v>
      </c>
      <c r="AC1385" s="200">
        <f t="shared" si="7005"/>
        <v>0</v>
      </c>
      <c r="AD1385" s="200">
        <f t="shared" si="11"/>
        <v>0</v>
      </c>
      <c r="AE1385" s="200">
        <f t="shared" ref="AE1385:AG1385" si="7006">countif($D1385,"*"&amp;AE$2&amp;"*")</f>
        <v>0</v>
      </c>
      <c r="AF1385" s="200">
        <f t="shared" si="7006"/>
        <v>0</v>
      </c>
      <c r="AG1385" s="200">
        <f t="shared" si="7006"/>
        <v>0</v>
      </c>
      <c r="AH1385" s="171">
        <f t="shared" si="13"/>
        <v>0</v>
      </c>
      <c r="AI1385" s="200">
        <f t="shared" si="14"/>
        <v>1</v>
      </c>
      <c r="AJ1385" s="200">
        <f t="shared" si="6100"/>
        <v>0</v>
      </c>
      <c r="AK1385" s="201">
        <f t="shared" ref="AK1385:AS1385" si="7007">countif($D1385,"*"&amp;AK$2&amp;"*")</f>
        <v>0</v>
      </c>
      <c r="AL1385" s="201">
        <f t="shared" si="7007"/>
        <v>0</v>
      </c>
      <c r="AM1385" s="201">
        <f t="shared" si="7007"/>
        <v>0</v>
      </c>
      <c r="AN1385" s="201">
        <f t="shared" si="7007"/>
        <v>0</v>
      </c>
      <c r="AO1385" s="201">
        <f t="shared" si="7007"/>
        <v>0</v>
      </c>
      <c r="AP1385" s="201">
        <f t="shared" si="7007"/>
        <v>0</v>
      </c>
      <c r="AQ1385" s="201">
        <f t="shared" si="7007"/>
        <v>0</v>
      </c>
      <c r="AR1385" s="200">
        <f t="shared" si="7007"/>
        <v>0</v>
      </c>
      <c r="AS1385" s="200">
        <f t="shared" si="7007"/>
        <v>0</v>
      </c>
      <c r="AT1385" s="173">
        <v>0.0</v>
      </c>
      <c r="AU1385" s="200">
        <f t="shared" si="6217"/>
        <v>0</v>
      </c>
      <c r="AV1385" s="200">
        <f t="shared" ref="AV1385:AX1385" si="7008">countif($D1385,"*"&amp;AV$2&amp;"*")</f>
        <v>0</v>
      </c>
      <c r="AW1385" s="200">
        <f t="shared" si="7008"/>
        <v>0</v>
      </c>
      <c r="AX1385" s="200">
        <f t="shared" si="7008"/>
        <v>0</v>
      </c>
      <c r="AY1385" s="204">
        <v>1.0</v>
      </c>
      <c r="AZ1385" s="200"/>
      <c r="BA1385" s="171" t="str">
        <f t="shared" si="18"/>
        <v>Archival</v>
      </c>
      <c r="BB1385" s="171" t="str">
        <f t="shared" si="19"/>
        <v/>
      </c>
      <c r="BC1385" s="171" t="str">
        <f t="shared" si="20"/>
        <v/>
      </c>
      <c r="BD1385" s="171" t="str">
        <f t="shared" si="21"/>
        <v/>
      </c>
      <c r="BE1385" s="171" t="str">
        <f t="shared" si="22"/>
        <v/>
      </c>
      <c r="BF1385" s="171" t="str">
        <f t="shared" si="23"/>
        <v>Archival</v>
      </c>
    </row>
    <row r="1386">
      <c r="A1386" s="171">
        <f t="array" ref="A1386">XLOOKUP(C1386,FSE!A:A,FSE!C:C,"XXXXX",0,1)</f>
        <v>2023</v>
      </c>
      <c r="B1386" s="171" t="s">
        <v>5676</v>
      </c>
      <c r="C1386" s="160">
        <v>120.0</v>
      </c>
      <c r="D1386" s="161" t="s">
        <v>6245</v>
      </c>
      <c r="E1386" s="197" t="str">
        <f t="array" ref="E1386">XLOOKUP(C1386,FSE!A:A,FSE!Z:Z,"XXXXX",0,1)</f>
        <v>Publicly Available (2)</v>
      </c>
      <c r="F1386" s="213" t="s">
        <v>3394</v>
      </c>
      <c r="G1386" s="163" t="str">
        <f t="array" ref="G1386">IF(B1386="ICSE",IF(COUNTIFS(B:B,B1386,C:C,C1386)=XLOOKUP(C1386,ICSE!A:A,ICSE!AA:AA,"ERROR",0,1),"OK","ERROR"),IF(B1386="FSE",IF(COUNTIFS(B:B,B1386,C:C,C1386)=XLOOKUP(C1386,FSE!A:A,FSE!AA:AA,"ERROR",0,1),"OK","ERROR")))</f>
        <v>OK</v>
      </c>
      <c r="H1386" s="199">
        <f t="shared" ref="H1386:O1386" si="7009">countif($D1386,"*"&amp;H$2&amp;"*")</f>
        <v>0</v>
      </c>
      <c r="I1386" s="200">
        <f t="shared" si="7009"/>
        <v>0</v>
      </c>
      <c r="J1386" s="200">
        <f t="shared" si="7009"/>
        <v>0</v>
      </c>
      <c r="K1386" s="200">
        <f t="shared" si="7009"/>
        <v>0</v>
      </c>
      <c r="L1386" s="200">
        <f t="shared" si="7009"/>
        <v>0</v>
      </c>
      <c r="M1386" s="200">
        <f t="shared" si="7009"/>
        <v>0</v>
      </c>
      <c r="N1386" s="200">
        <f t="shared" si="7009"/>
        <v>0</v>
      </c>
      <c r="O1386" s="200">
        <f t="shared" si="7009"/>
        <v>0</v>
      </c>
      <c r="P1386" s="200">
        <f t="shared" si="9"/>
        <v>1</v>
      </c>
      <c r="Q1386" s="200">
        <f t="shared" ref="Q1386:AC1386" si="7010">countif($D1386,"*"&amp;Q$2&amp;"*")</f>
        <v>0</v>
      </c>
      <c r="R1386" s="200">
        <f t="shared" si="7010"/>
        <v>0</v>
      </c>
      <c r="S1386" s="200">
        <f t="shared" si="7010"/>
        <v>0</v>
      </c>
      <c r="T1386" s="200">
        <f t="shared" si="7010"/>
        <v>0</v>
      </c>
      <c r="U1386" s="200">
        <f t="shared" si="7010"/>
        <v>0</v>
      </c>
      <c r="V1386" s="200">
        <f t="shared" si="7010"/>
        <v>0</v>
      </c>
      <c r="W1386" s="200">
        <f t="shared" si="7010"/>
        <v>0</v>
      </c>
      <c r="X1386" s="200">
        <f t="shared" si="7010"/>
        <v>0</v>
      </c>
      <c r="Y1386" s="200">
        <f t="shared" si="7010"/>
        <v>0</v>
      </c>
      <c r="Z1386" s="200">
        <f t="shared" si="7010"/>
        <v>0</v>
      </c>
      <c r="AA1386" s="200">
        <f t="shared" si="7010"/>
        <v>0</v>
      </c>
      <c r="AB1386" s="200">
        <f t="shared" si="7010"/>
        <v>0</v>
      </c>
      <c r="AC1386" s="200">
        <f t="shared" si="7010"/>
        <v>0</v>
      </c>
      <c r="AD1386" s="200">
        <f t="shared" si="11"/>
        <v>0</v>
      </c>
      <c r="AE1386" s="200">
        <f t="shared" ref="AE1386:AG1386" si="7011">countif($D1386,"*"&amp;AE$2&amp;"*")</f>
        <v>0</v>
      </c>
      <c r="AF1386" s="200">
        <f t="shared" si="7011"/>
        <v>0</v>
      </c>
      <c r="AG1386" s="200">
        <f t="shared" si="7011"/>
        <v>0</v>
      </c>
      <c r="AH1386" s="171">
        <f t="shared" si="13"/>
        <v>0</v>
      </c>
      <c r="AI1386" s="200">
        <f t="shared" si="14"/>
        <v>0</v>
      </c>
      <c r="AJ1386" s="200">
        <f t="shared" si="6100"/>
        <v>0</v>
      </c>
      <c r="AK1386" s="201">
        <f t="shared" ref="AK1386:AS1386" si="7012">countif($D1386,"*"&amp;AK$2&amp;"*")</f>
        <v>0</v>
      </c>
      <c r="AL1386" s="201">
        <f t="shared" si="7012"/>
        <v>0</v>
      </c>
      <c r="AM1386" s="201">
        <f t="shared" si="7012"/>
        <v>0</v>
      </c>
      <c r="AN1386" s="201">
        <f t="shared" si="7012"/>
        <v>0</v>
      </c>
      <c r="AO1386" s="201">
        <f t="shared" si="7012"/>
        <v>0</v>
      </c>
      <c r="AP1386" s="201">
        <f t="shared" si="7012"/>
        <v>0</v>
      </c>
      <c r="AQ1386" s="201">
        <f t="shared" si="7012"/>
        <v>0</v>
      </c>
      <c r="AR1386" s="200">
        <f t="shared" si="7012"/>
        <v>0</v>
      </c>
      <c r="AS1386" s="200">
        <f t="shared" si="7012"/>
        <v>0</v>
      </c>
      <c r="AT1386" s="173">
        <v>0.0</v>
      </c>
      <c r="AU1386" s="200">
        <f t="shared" si="6217"/>
        <v>0</v>
      </c>
      <c r="AV1386" s="200">
        <f t="shared" ref="AV1386:AX1386" si="7013">countif($D1386,"*"&amp;AV$2&amp;"*")</f>
        <v>1</v>
      </c>
      <c r="AW1386" s="200">
        <f t="shared" si="7013"/>
        <v>0</v>
      </c>
      <c r="AX1386" s="200">
        <f t="shared" si="7013"/>
        <v>0</v>
      </c>
      <c r="AY1386" s="202">
        <v>0.0</v>
      </c>
      <c r="AZ1386" s="200"/>
      <c r="BA1386" s="171" t="str">
        <f t="shared" si="18"/>
        <v/>
      </c>
      <c r="BB1386" s="171" t="str">
        <f t="shared" si="19"/>
        <v>Code</v>
      </c>
      <c r="BC1386" s="171" t="str">
        <f t="shared" si="20"/>
        <v/>
      </c>
      <c r="BD1386" s="171" t="str">
        <f t="shared" si="21"/>
        <v/>
      </c>
      <c r="BE1386" s="171" t="str">
        <f t="shared" si="22"/>
        <v/>
      </c>
      <c r="BF1386" s="171" t="str">
        <f t="shared" si="23"/>
        <v>Code</v>
      </c>
    </row>
    <row r="1387">
      <c r="A1387" s="171">
        <f t="array" ref="A1387">XLOOKUP(C1387,FSE!A:A,FSE!C:C,"XXXXX",0,1)</f>
        <v>2023</v>
      </c>
      <c r="B1387" s="213" t="s">
        <v>5676</v>
      </c>
      <c r="C1387" s="214">
        <v>121.0</v>
      </c>
      <c r="D1387" s="215" t="s">
        <v>5651</v>
      </c>
      <c r="E1387" s="197" t="str">
        <f t="array" ref="E1387">XLOOKUP(C1387,FSE!A:A,FSE!Z:Z,"XXXXX",0,1)</f>
        <v>Publicly Available (1)</v>
      </c>
      <c r="F1387" s="213" t="s">
        <v>3394</v>
      </c>
      <c r="G1387" s="163" t="str">
        <f t="array" ref="G1387">IF(B1387="ICSE",IF(COUNTIFS(B:B,B1387,C:C,C1387)=XLOOKUP(C1387,ICSE!A:A,ICSE!AA:AA,"ERROR",0,1),"OK","ERROR"),IF(B1387="FSE",IF(COUNTIFS(B:B,B1387,C:C,C1387)=XLOOKUP(C1387,FSE!A:A,FSE!AA:AA,"ERROR",0,1),"OK","ERROR")))</f>
        <v>OK</v>
      </c>
      <c r="H1387" s="199">
        <f t="shared" ref="H1387:O1387" si="7014">countif($D1387,"*"&amp;H$2&amp;"*")</f>
        <v>0</v>
      </c>
      <c r="I1387" s="200">
        <f t="shared" si="7014"/>
        <v>0</v>
      </c>
      <c r="J1387" s="200">
        <f t="shared" si="7014"/>
        <v>0</v>
      </c>
      <c r="K1387" s="200">
        <f t="shared" si="7014"/>
        <v>0</v>
      </c>
      <c r="L1387" s="200">
        <f t="shared" si="7014"/>
        <v>0</v>
      </c>
      <c r="M1387" s="200">
        <f t="shared" si="7014"/>
        <v>0</v>
      </c>
      <c r="N1387" s="200">
        <f t="shared" si="7014"/>
        <v>0</v>
      </c>
      <c r="O1387" s="200">
        <f t="shared" si="7014"/>
        <v>0</v>
      </c>
      <c r="P1387" s="200">
        <f t="shared" si="9"/>
        <v>1</v>
      </c>
      <c r="Q1387" s="200">
        <f t="shared" ref="Q1387:AC1387" si="7015">countif($D1387,"*"&amp;Q$2&amp;"*")</f>
        <v>0</v>
      </c>
      <c r="R1387" s="200">
        <f t="shared" si="7015"/>
        <v>0</v>
      </c>
      <c r="S1387" s="200">
        <f t="shared" si="7015"/>
        <v>0</v>
      </c>
      <c r="T1387" s="200">
        <f t="shared" si="7015"/>
        <v>0</v>
      </c>
      <c r="U1387" s="200">
        <f t="shared" si="7015"/>
        <v>0</v>
      </c>
      <c r="V1387" s="200">
        <f t="shared" si="7015"/>
        <v>0</v>
      </c>
      <c r="W1387" s="200">
        <f t="shared" si="7015"/>
        <v>0</v>
      </c>
      <c r="X1387" s="200">
        <f t="shared" si="7015"/>
        <v>0</v>
      </c>
      <c r="Y1387" s="200">
        <f t="shared" si="7015"/>
        <v>0</v>
      </c>
      <c r="Z1387" s="200">
        <f t="shared" si="7015"/>
        <v>0</v>
      </c>
      <c r="AA1387" s="200">
        <f t="shared" si="7015"/>
        <v>0</v>
      </c>
      <c r="AB1387" s="200">
        <f t="shared" si="7015"/>
        <v>0</v>
      </c>
      <c r="AC1387" s="200">
        <f t="shared" si="7015"/>
        <v>0</v>
      </c>
      <c r="AD1387" s="200">
        <f t="shared" si="11"/>
        <v>0</v>
      </c>
      <c r="AE1387" s="200">
        <f t="shared" ref="AE1387:AG1387" si="7016">countif($D1387,"*"&amp;AE$2&amp;"*")</f>
        <v>0</v>
      </c>
      <c r="AF1387" s="200">
        <f t="shared" si="7016"/>
        <v>0</v>
      </c>
      <c r="AG1387" s="200">
        <f t="shared" si="7016"/>
        <v>0</v>
      </c>
      <c r="AH1387" s="171">
        <f t="shared" si="13"/>
        <v>0</v>
      </c>
      <c r="AI1387" s="200">
        <f t="shared" si="14"/>
        <v>0</v>
      </c>
      <c r="AJ1387" s="200">
        <f t="shared" si="6100"/>
        <v>0</v>
      </c>
      <c r="AK1387" s="201">
        <f t="shared" ref="AK1387:AS1387" si="7017">countif($D1387,"*"&amp;AK$2&amp;"*")</f>
        <v>0</v>
      </c>
      <c r="AL1387" s="201">
        <f t="shared" si="7017"/>
        <v>0</v>
      </c>
      <c r="AM1387" s="201">
        <f t="shared" si="7017"/>
        <v>0</v>
      </c>
      <c r="AN1387" s="201">
        <f t="shared" si="7017"/>
        <v>0</v>
      </c>
      <c r="AO1387" s="201">
        <f t="shared" si="7017"/>
        <v>0</v>
      </c>
      <c r="AP1387" s="201">
        <f t="shared" si="7017"/>
        <v>0</v>
      </c>
      <c r="AQ1387" s="201">
        <f t="shared" si="7017"/>
        <v>0</v>
      </c>
      <c r="AR1387" s="200">
        <f t="shared" si="7017"/>
        <v>0</v>
      </c>
      <c r="AS1387" s="200">
        <f t="shared" si="7017"/>
        <v>0</v>
      </c>
      <c r="AT1387" s="173">
        <v>0.0</v>
      </c>
      <c r="AU1387" s="200">
        <f t="shared" si="6217"/>
        <v>0</v>
      </c>
      <c r="AV1387" s="200">
        <f t="shared" ref="AV1387:AX1387" si="7018">countif($D1387,"*"&amp;AV$2&amp;"*")</f>
        <v>1</v>
      </c>
      <c r="AW1387" s="200">
        <f t="shared" si="7018"/>
        <v>0</v>
      </c>
      <c r="AX1387" s="200">
        <f t="shared" si="7018"/>
        <v>0</v>
      </c>
      <c r="AY1387" s="202">
        <v>0.0</v>
      </c>
      <c r="AZ1387" s="200"/>
      <c r="BA1387" s="171" t="str">
        <f t="shared" si="18"/>
        <v/>
      </c>
      <c r="BB1387" s="171" t="str">
        <f t="shared" si="19"/>
        <v>Code</v>
      </c>
      <c r="BC1387" s="171" t="str">
        <f t="shared" si="20"/>
        <v/>
      </c>
      <c r="BD1387" s="171" t="str">
        <f t="shared" si="21"/>
        <v/>
      </c>
      <c r="BE1387" s="171" t="str">
        <f t="shared" si="22"/>
        <v/>
      </c>
      <c r="BF1387" s="171" t="str">
        <f t="shared" si="23"/>
        <v>Code</v>
      </c>
    </row>
    <row r="1388">
      <c r="A1388" s="171">
        <f t="array" ref="A1388">XLOOKUP(C1388,FSE!A:A,FSE!C:C,"XXXXX",0,1)</f>
        <v>2023</v>
      </c>
      <c r="B1388" s="213" t="s">
        <v>5676</v>
      </c>
      <c r="C1388" s="214">
        <v>122.0</v>
      </c>
      <c r="D1388" s="215" t="s">
        <v>5653</v>
      </c>
      <c r="E1388" s="197" t="str">
        <f t="array" ref="E1388">XLOOKUP(C1388,FSE!A:A,FSE!Z:Z,"XXXXX",0,1)</f>
        <v>Publicly Available (1)</v>
      </c>
      <c r="F1388" s="213" t="s">
        <v>3394</v>
      </c>
      <c r="G1388" s="163" t="str">
        <f t="array" ref="G1388">IF(B1388="ICSE",IF(COUNTIFS(B:B,B1388,C:C,C1388)=XLOOKUP(C1388,ICSE!A:A,ICSE!AA:AA,"ERROR",0,1),"OK","ERROR"),IF(B1388="FSE",IF(COUNTIFS(B:B,B1388,C:C,C1388)=XLOOKUP(C1388,FSE!A:A,FSE!AA:AA,"ERROR",0,1),"OK","ERROR")))</f>
        <v>OK</v>
      </c>
      <c r="H1388" s="199">
        <f t="shared" ref="H1388:O1388" si="7019">countif($D1388,"*"&amp;H$2&amp;"*")</f>
        <v>1</v>
      </c>
      <c r="I1388" s="200">
        <f t="shared" si="7019"/>
        <v>0</v>
      </c>
      <c r="J1388" s="200">
        <f t="shared" si="7019"/>
        <v>0</v>
      </c>
      <c r="K1388" s="200">
        <f t="shared" si="7019"/>
        <v>0</v>
      </c>
      <c r="L1388" s="200">
        <f t="shared" si="7019"/>
        <v>0</v>
      </c>
      <c r="M1388" s="200">
        <f t="shared" si="7019"/>
        <v>0</v>
      </c>
      <c r="N1388" s="200">
        <f t="shared" si="7019"/>
        <v>0</v>
      </c>
      <c r="O1388" s="200">
        <f t="shared" si="7019"/>
        <v>0</v>
      </c>
      <c r="P1388" s="200">
        <f t="shared" si="9"/>
        <v>0</v>
      </c>
      <c r="Q1388" s="200">
        <f t="shared" ref="Q1388:AC1388" si="7020">countif($D1388,"*"&amp;Q$2&amp;"*")</f>
        <v>0</v>
      </c>
      <c r="R1388" s="200">
        <f t="shared" si="7020"/>
        <v>0</v>
      </c>
      <c r="S1388" s="200">
        <f t="shared" si="7020"/>
        <v>0</v>
      </c>
      <c r="T1388" s="200">
        <f t="shared" si="7020"/>
        <v>0</v>
      </c>
      <c r="U1388" s="200">
        <f t="shared" si="7020"/>
        <v>0</v>
      </c>
      <c r="V1388" s="200">
        <f t="shared" si="7020"/>
        <v>0</v>
      </c>
      <c r="W1388" s="200">
        <f t="shared" si="7020"/>
        <v>0</v>
      </c>
      <c r="X1388" s="200">
        <f t="shared" si="7020"/>
        <v>0</v>
      </c>
      <c r="Y1388" s="200">
        <f t="shared" si="7020"/>
        <v>0</v>
      </c>
      <c r="Z1388" s="200">
        <f t="shared" si="7020"/>
        <v>0</v>
      </c>
      <c r="AA1388" s="200">
        <f t="shared" si="7020"/>
        <v>0</v>
      </c>
      <c r="AB1388" s="200">
        <f t="shared" si="7020"/>
        <v>0</v>
      </c>
      <c r="AC1388" s="200">
        <f t="shared" si="7020"/>
        <v>0</v>
      </c>
      <c r="AD1388" s="200">
        <f t="shared" si="11"/>
        <v>0</v>
      </c>
      <c r="AE1388" s="200">
        <f t="shared" ref="AE1388:AG1388" si="7021">countif($D1388,"*"&amp;AE$2&amp;"*")</f>
        <v>0</v>
      </c>
      <c r="AF1388" s="200">
        <f t="shared" si="7021"/>
        <v>0</v>
      </c>
      <c r="AG1388" s="200">
        <f t="shared" si="7021"/>
        <v>0</v>
      </c>
      <c r="AH1388" s="171">
        <f t="shared" si="13"/>
        <v>0</v>
      </c>
      <c r="AI1388" s="200">
        <f t="shared" si="14"/>
        <v>1</v>
      </c>
      <c r="AJ1388" s="200">
        <f t="shared" si="6100"/>
        <v>0</v>
      </c>
      <c r="AK1388" s="201">
        <f t="shared" ref="AK1388:AS1388" si="7022">countif($D1388,"*"&amp;AK$2&amp;"*")</f>
        <v>0</v>
      </c>
      <c r="AL1388" s="201">
        <f t="shared" si="7022"/>
        <v>0</v>
      </c>
      <c r="AM1388" s="201">
        <f t="shared" si="7022"/>
        <v>0</v>
      </c>
      <c r="AN1388" s="201">
        <f t="shared" si="7022"/>
        <v>0</v>
      </c>
      <c r="AO1388" s="201">
        <f t="shared" si="7022"/>
        <v>0</v>
      </c>
      <c r="AP1388" s="201">
        <f t="shared" si="7022"/>
        <v>0</v>
      </c>
      <c r="AQ1388" s="201">
        <f t="shared" si="7022"/>
        <v>0</v>
      </c>
      <c r="AR1388" s="200">
        <f t="shared" si="7022"/>
        <v>0</v>
      </c>
      <c r="AS1388" s="200">
        <f t="shared" si="7022"/>
        <v>0</v>
      </c>
      <c r="AT1388" s="173">
        <v>0.0</v>
      </c>
      <c r="AU1388" s="200">
        <f t="shared" si="6217"/>
        <v>0</v>
      </c>
      <c r="AV1388" s="200">
        <f t="shared" ref="AV1388:AX1388" si="7023">countif($D1388,"*"&amp;AV$2&amp;"*")</f>
        <v>0</v>
      </c>
      <c r="AW1388" s="200">
        <f t="shared" si="7023"/>
        <v>0</v>
      </c>
      <c r="AX1388" s="200">
        <f t="shared" si="7023"/>
        <v>0</v>
      </c>
      <c r="AY1388" s="204">
        <v>1.0</v>
      </c>
      <c r="AZ1388" s="200"/>
      <c r="BA1388" s="171" t="str">
        <f t="shared" si="18"/>
        <v>Archival</v>
      </c>
      <c r="BB1388" s="171" t="str">
        <f t="shared" si="19"/>
        <v/>
      </c>
      <c r="BC1388" s="171" t="str">
        <f t="shared" si="20"/>
        <v/>
      </c>
      <c r="BD1388" s="171" t="str">
        <f t="shared" si="21"/>
        <v/>
      </c>
      <c r="BE1388" s="171" t="str">
        <f t="shared" si="22"/>
        <v/>
      </c>
      <c r="BF1388" s="171" t="str">
        <f t="shared" si="23"/>
        <v>Archival</v>
      </c>
    </row>
    <row r="1389">
      <c r="A1389" s="171">
        <f t="array" ref="A1389">XLOOKUP(C1389,FSE!A:A,FSE!C:C,"XXXXX",0,1)</f>
        <v>2023</v>
      </c>
      <c r="B1389" s="213" t="s">
        <v>5676</v>
      </c>
      <c r="C1389" s="214">
        <v>123.0</v>
      </c>
      <c r="D1389" s="215" t="s">
        <v>5656</v>
      </c>
      <c r="E1389" s="197" t="str">
        <f t="array" ref="E1389">XLOOKUP(C1389,FSE!A:A,FSE!Z:Z,"XXXXX",0,1)</f>
        <v>Publicly Available (1)</v>
      </c>
      <c r="F1389" s="213" t="s">
        <v>3394</v>
      </c>
      <c r="G1389" s="163" t="str">
        <f t="array" ref="G1389">IF(B1389="ICSE",IF(COUNTIFS(B:B,B1389,C:C,C1389)=XLOOKUP(C1389,ICSE!A:A,ICSE!AA:AA,"ERROR",0,1),"OK","ERROR"),IF(B1389="FSE",IF(COUNTIFS(B:B,B1389,C:C,C1389)=XLOOKUP(C1389,FSE!A:A,FSE!AA:AA,"ERROR",0,1),"OK","ERROR")))</f>
        <v>OK</v>
      </c>
      <c r="H1389" s="199">
        <f t="shared" ref="H1389:O1389" si="7024">countif($D1389,"*"&amp;H$2&amp;"*")</f>
        <v>0</v>
      </c>
      <c r="I1389" s="200">
        <f t="shared" si="7024"/>
        <v>0</v>
      </c>
      <c r="J1389" s="200">
        <f t="shared" si="7024"/>
        <v>0</v>
      </c>
      <c r="K1389" s="200">
        <f t="shared" si="7024"/>
        <v>0</v>
      </c>
      <c r="L1389" s="200">
        <f t="shared" si="7024"/>
        <v>0</v>
      </c>
      <c r="M1389" s="200">
        <f t="shared" si="7024"/>
        <v>0</v>
      </c>
      <c r="N1389" s="200">
        <f t="shared" si="7024"/>
        <v>0</v>
      </c>
      <c r="O1389" s="200">
        <f t="shared" si="7024"/>
        <v>0</v>
      </c>
      <c r="P1389" s="200">
        <f t="shared" si="9"/>
        <v>0</v>
      </c>
      <c r="Q1389" s="200">
        <f t="shared" ref="Q1389:AC1389" si="7025">countif($D1389,"*"&amp;Q$2&amp;"*")</f>
        <v>0</v>
      </c>
      <c r="R1389" s="200">
        <f t="shared" si="7025"/>
        <v>0</v>
      </c>
      <c r="S1389" s="200">
        <f t="shared" si="7025"/>
        <v>0</v>
      </c>
      <c r="T1389" s="200">
        <f t="shared" si="7025"/>
        <v>0</v>
      </c>
      <c r="U1389" s="200">
        <f t="shared" si="7025"/>
        <v>0</v>
      </c>
      <c r="V1389" s="200">
        <f t="shared" si="7025"/>
        <v>0</v>
      </c>
      <c r="W1389" s="200">
        <f t="shared" si="7025"/>
        <v>0</v>
      </c>
      <c r="X1389" s="200">
        <f t="shared" si="7025"/>
        <v>0</v>
      </c>
      <c r="Y1389" s="200">
        <f t="shared" si="7025"/>
        <v>0</v>
      </c>
      <c r="Z1389" s="200">
        <f t="shared" si="7025"/>
        <v>0</v>
      </c>
      <c r="AA1389" s="200">
        <f t="shared" si="7025"/>
        <v>1</v>
      </c>
      <c r="AB1389" s="200">
        <f t="shared" si="7025"/>
        <v>0</v>
      </c>
      <c r="AC1389" s="200">
        <f t="shared" si="7025"/>
        <v>0</v>
      </c>
      <c r="AD1389" s="200">
        <f t="shared" si="11"/>
        <v>0</v>
      </c>
      <c r="AE1389" s="200">
        <f t="shared" ref="AE1389:AG1389" si="7026">countif($D1389,"*"&amp;AE$2&amp;"*")</f>
        <v>0</v>
      </c>
      <c r="AF1389" s="200">
        <f t="shared" si="7026"/>
        <v>0</v>
      </c>
      <c r="AG1389" s="200">
        <f t="shared" si="7026"/>
        <v>0</v>
      </c>
      <c r="AH1389" s="171">
        <f t="shared" si="13"/>
        <v>0</v>
      </c>
      <c r="AI1389" s="200">
        <f t="shared" si="14"/>
        <v>0</v>
      </c>
      <c r="AJ1389" s="200">
        <f t="shared" si="6100"/>
        <v>0</v>
      </c>
      <c r="AK1389" s="201">
        <f t="shared" ref="AK1389:AS1389" si="7027">countif($D1389,"*"&amp;AK$2&amp;"*")</f>
        <v>0</v>
      </c>
      <c r="AL1389" s="201">
        <f t="shared" si="7027"/>
        <v>0</v>
      </c>
      <c r="AM1389" s="201">
        <f t="shared" si="7027"/>
        <v>0</v>
      </c>
      <c r="AN1389" s="201">
        <f t="shared" si="7027"/>
        <v>0</v>
      </c>
      <c r="AO1389" s="201">
        <f t="shared" si="7027"/>
        <v>0</v>
      </c>
      <c r="AP1389" s="201">
        <f t="shared" si="7027"/>
        <v>0</v>
      </c>
      <c r="AQ1389" s="201">
        <f t="shared" si="7027"/>
        <v>0</v>
      </c>
      <c r="AR1389" s="200">
        <f t="shared" si="7027"/>
        <v>0</v>
      </c>
      <c r="AS1389" s="200">
        <f t="shared" si="7027"/>
        <v>0</v>
      </c>
      <c r="AT1389" s="173">
        <v>0.0</v>
      </c>
      <c r="AU1389" s="200">
        <f t="shared" si="6217"/>
        <v>0</v>
      </c>
      <c r="AV1389" s="200">
        <f t="shared" ref="AV1389:AX1389" si="7028">countif($D1389,"*"&amp;AV$2&amp;"*")</f>
        <v>0</v>
      </c>
      <c r="AW1389" s="200">
        <f t="shared" si="7028"/>
        <v>0</v>
      </c>
      <c r="AX1389" s="200">
        <f t="shared" si="7028"/>
        <v>0</v>
      </c>
      <c r="AY1389" s="202">
        <v>0.0</v>
      </c>
      <c r="AZ1389" s="200"/>
      <c r="BA1389" s="171" t="str">
        <f t="shared" si="18"/>
        <v/>
      </c>
      <c r="BB1389" s="171" t="str">
        <f t="shared" si="19"/>
        <v/>
      </c>
      <c r="BC1389" s="171" t="str">
        <f t="shared" si="20"/>
        <v>General-purpose</v>
      </c>
      <c r="BD1389" s="171" t="str">
        <f t="shared" si="21"/>
        <v/>
      </c>
      <c r="BE1389" s="171" t="str">
        <f t="shared" si="22"/>
        <v/>
      </c>
      <c r="BF1389" s="171" t="str">
        <f t="shared" si="23"/>
        <v>General-purpose</v>
      </c>
    </row>
    <row r="1390">
      <c r="A1390" s="171">
        <f t="array" ref="A1390">XLOOKUP(C1390,FSE!A:A,FSE!C:C,"XXXXX",0,1)</f>
        <v>2023</v>
      </c>
      <c r="B1390" s="213" t="s">
        <v>5676</v>
      </c>
      <c r="C1390" s="214">
        <v>124.0</v>
      </c>
      <c r="D1390" s="215" t="s">
        <v>5658</v>
      </c>
      <c r="E1390" s="197" t="str">
        <f t="array" ref="E1390">XLOOKUP(C1390,FSE!A:A,FSE!Z:Z,"XXXXX",0,1)</f>
        <v>Publicly Available (1)</v>
      </c>
      <c r="F1390" s="213" t="s">
        <v>3394</v>
      </c>
      <c r="G1390" s="163" t="str">
        <f t="array" ref="G1390">IF(B1390="ICSE",IF(COUNTIFS(B:B,B1390,C:C,C1390)=XLOOKUP(C1390,ICSE!A:A,ICSE!AA:AA,"ERROR",0,1),"OK","ERROR"),IF(B1390="FSE",IF(COUNTIFS(B:B,B1390,C:C,C1390)=XLOOKUP(C1390,FSE!A:A,FSE!AA:AA,"ERROR",0,1),"OK","ERROR")))</f>
        <v>OK</v>
      </c>
      <c r="H1390" s="199">
        <f t="shared" ref="H1390:O1390" si="7029">countif($D1390,"*"&amp;H$2&amp;"*")</f>
        <v>0</v>
      </c>
      <c r="I1390" s="200">
        <f t="shared" si="7029"/>
        <v>0</v>
      </c>
      <c r="J1390" s="200">
        <f t="shared" si="7029"/>
        <v>0</v>
      </c>
      <c r="K1390" s="200">
        <f t="shared" si="7029"/>
        <v>0</v>
      </c>
      <c r="L1390" s="200">
        <f t="shared" si="7029"/>
        <v>0</v>
      </c>
      <c r="M1390" s="200">
        <f t="shared" si="7029"/>
        <v>0</v>
      </c>
      <c r="N1390" s="200">
        <f t="shared" si="7029"/>
        <v>0</v>
      </c>
      <c r="O1390" s="200">
        <f t="shared" si="7029"/>
        <v>0</v>
      </c>
      <c r="P1390" s="200">
        <f t="shared" si="9"/>
        <v>1</v>
      </c>
      <c r="Q1390" s="200">
        <f t="shared" ref="Q1390:AC1390" si="7030">countif($D1390,"*"&amp;Q$2&amp;"*")</f>
        <v>0</v>
      </c>
      <c r="R1390" s="200">
        <f t="shared" si="7030"/>
        <v>0</v>
      </c>
      <c r="S1390" s="200">
        <f t="shared" si="7030"/>
        <v>0</v>
      </c>
      <c r="T1390" s="200">
        <f t="shared" si="7030"/>
        <v>0</v>
      </c>
      <c r="U1390" s="200">
        <f t="shared" si="7030"/>
        <v>0</v>
      </c>
      <c r="V1390" s="200">
        <f t="shared" si="7030"/>
        <v>0</v>
      </c>
      <c r="W1390" s="200">
        <f t="shared" si="7030"/>
        <v>0</v>
      </c>
      <c r="X1390" s="200">
        <f t="shared" si="7030"/>
        <v>0</v>
      </c>
      <c r="Y1390" s="200">
        <f t="shared" si="7030"/>
        <v>0</v>
      </c>
      <c r="Z1390" s="200">
        <f t="shared" si="7030"/>
        <v>0</v>
      </c>
      <c r="AA1390" s="200">
        <f t="shared" si="7030"/>
        <v>0</v>
      </c>
      <c r="AB1390" s="200">
        <f t="shared" si="7030"/>
        <v>0</v>
      </c>
      <c r="AC1390" s="200">
        <f t="shared" si="7030"/>
        <v>0</v>
      </c>
      <c r="AD1390" s="200">
        <f t="shared" si="11"/>
        <v>0</v>
      </c>
      <c r="AE1390" s="200">
        <f t="shared" ref="AE1390:AG1390" si="7031">countif($D1390,"*"&amp;AE$2&amp;"*")</f>
        <v>0</v>
      </c>
      <c r="AF1390" s="200">
        <f t="shared" si="7031"/>
        <v>0</v>
      </c>
      <c r="AG1390" s="200">
        <f t="shared" si="7031"/>
        <v>0</v>
      </c>
      <c r="AH1390" s="171">
        <f t="shared" si="13"/>
        <v>0</v>
      </c>
      <c r="AI1390" s="200">
        <f t="shared" si="14"/>
        <v>0</v>
      </c>
      <c r="AJ1390" s="200">
        <f t="shared" si="6100"/>
        <v>0</v>
      </c>
      <c r="AK1390" s="201">
        <f t="shared" ref="AK1390:AS1390" si="7032">countif($D1390,"*"&amp;AK$2&amp;"*")</f>
        <v>0</v>
      </c>
      <c r="AL1390" s="201">
        <f t="shared" si="7032"/>
        <v>0</v>
      </c>
      <c r="AM1390" s="201">
        <f t="shared" si="7032"/>
        <v>0</v>
      </c>
      <c r="AN1390" s="201">
        <f t="shared" si="7032"/>
        <v>0</v>
      </c>
      <c r="AO1390" s="201">
        <f t="shared" si="7032"/>
        <v>0</v>
      </c>
      <c r="AP1390" s="201">
        <f t="shared" si="7032"/>
        <v>0</v>
      </c>
      <c r="AQ1390" s="201">
        <f t="shared" si="7032"/>
        <v>0</v>
      </c>
      <c r="AR1390" s="200">
        <f t="shared" si="7032"/>
        <v>0</v>
      </c>
      <c r="AS1390" s="200">
        <f t="shared" si="7032"/>
        <v>0</v>
      </c>
      <c r="AT1390" s="173">
        <v>0.0</v>
      </c>
      <c r="AU1390" s="200">
        <f t="shared" si="6217"/>
        <v>0</v>
      </c>
      <c r="AV1390" s="200">
        <f t="shared" ref="AV1390:AX1390" si="7033">countif($D1390,"*"&amp;AV$2&amp;"*")</f>
        <v>1</v>
      </c>
      <c r="AW1390" s="200">
        <f t="shared" si="7033"/>
        <v>0</v>
      </c>
      <c r="AX1390" s="200">
        <f t="shared" si="7033"/>
        <v>0</v>
      </c>
      <c r="AY1390" s="202">
        <v>0.0</v>
      </c>
      <c r="AZ1390" s="200"/>
      <c r="BA1390" s="171" t="str">
        <f t="shared" si="18"/>
        <v/>
      </c>
      <c r="BB1390" s="171" t="str">
        <f t="shared" si="19"/>
        <v>Code</v>
      </c>
      <c r="BC1390" s="171" t="str">
        <f t="shared" si="20"/>
        <v/>
      </c>
      <c r="BD1390" s="171" t="str">
        <f t="shared" si="21"/>
        <v/>
      </c>
      <c r="BE1390" s="171" t="str">
        <f t="shared" si="22"/>
        <v/>
      </c>
      <c r="BF1390" s="171" t="str">
        <f t="shared" si="23"/>
        <v>Code</v>
      </c>
    </row>
    <row r="1391">
      <c r="A1391" s="171">
        <f t="array" ref="A1391">XLOOKUP(C1391,FSE!A:A,FSE!C:C,"XXXXX",0,1)</f>
        <v>2023</v>
      </c>
      <c r="B1391" s="213" t="s">
        <v>5676</v>
      </c>
      <c r="C1391" s="214">
        <v>125.0</v>
      </c>
      <c r="D1391" s="215" t="s">
        <v>5661</v>
      </c>
      <c r="E1391" s="197" t="str">
        <f t="array" ref="E1391">XLOOKUP(C1391,FSE!A:A,FSE!Z:Z,"XXXXX",0,1)</f>
        <v>Publicly Available (1)</v>
      </c>
      <c r="F1391" s="213" t="s">
        <v>3394</v>
      </c>
      <c r="G1391" s="163" t="str">
        <f t="array" ref="G1391">IF(B1391="ICSE",IF(COUNTIFS(B:B,B1391,C:C,C1391)=XLOOKUP(C1391,ICSE!A:A,ICSE!AA:AA,"ERROR",0,1),"OK","ERROR"),IF(B1391="FSE",IF(COUNTIFS(B:B,B1391,C:C,C1391)=XLOOKUP(C1391,FSE!A:A,FSE!AA:AA,"ERROR",0,1),"OK","ERROR")))</f>
        <v>OK</v>
      </c>
      <c r="H1391" s="199">
        <f t="shared" ref="H1391:O1391" si="7034">countif($D1391,"*"&amp;H$2&amp;"*")</f>
        <v>0</v>
      </c>
      <c r="I1391" s="200">
        <f t="shared" si="7034"/>
        <v>0</v>
      </c>
      <c r="J1391" s="200">
        <f t="shared" si="7034"/>
        <v>0</v>
      </c>
      <c r="K1391" s="200">
        <f t="shared" si="7034"/>
        <v>0</v>
      </c>
      <c r="L1391" s="200">
        <f t="shared" si="7034"/>
        <v>0</v>
      </c>
      <c r="M1391" s="200">
        <f t="shared" si="7034"/>
        <v>0</v>
      </c>
      <c r="N1391" s="200">
        <f t="shared" si="7034"/>
        <v>0</v>
      </c>
      <c r="O1391" s="200">
        <f t="shared" si="7034"/>
        <v>0</v>
      </c>
      <c r="P1391" s="200">
        <f t="shared" si="9"/>
        <v>1</v>
      </c>
      <c r="Q1391" s="200">
        <f t="shared" ref="Q1391:AC1391" si="7035">countif($D1391,"*"&amp;Q$2&amp;"*")</f>
        <v>0</v>
      </c>
      <c r="R1391" s="200">
        <f t="shared" si="7035"/>
        <v>0</v>
      </c>
      <c r="S1391" s="200">
        <f t="shared" si="7035"/>
        <v>0</v>
      </c>
      <c r="T1391" s="200">
        <f t="shared" si="7035"/>
        <v>0</v>
      </c>
      <c r="U1391" s="200">
        <f t="shared" si="7035"/>
        <v>0</v>
      </c>
      <c r="V1391" s="200">
        <f t="shared" si="7035"/>
        <v>0</v>
      </c>
      <c r="W1391" s="200">
        <f t="shared" si="7035"/>
        <v>0</v>
      </c>
      <c r="X1391" s="200">
        <f t="shared" si="7035"/>
        <v>0</v>
      </c>
      <c r="Y1391" s="200">
        <f t="shared" si="7035"/>
        <v>0</v>
      </c>
      <c r="Z1391" s="200">
        <f t="shared" si="7035"/>
        <v>0</v>
      </c>
      <c r="AA1391" s="200">
        <f t="shared" si="7035"/>
        <v>0</v>
      </c>
      <c r="AB1391" s="200">
        <f t="shared" si="7035"/>
        <v>0</v>
      </c>
      <c r="AC1391" s="200">
        <f t="shared" si="7035"/>
        <v>0</v>
      </c>
      <c r="AD1391" s="200">
        <f t="shared" si="11"/>
        <v>0</v>
      </c>
      <c r="AE1391" s="200">
        <f t="shared" ref="AE1391:AG1391" si="7036">countif($D1391,"*"&amp;AE$2&amp;"*")</f>
        <v>0</v>
      </c>
      <c r="AF1391" s="200">
        <f t="shared" si="7036"/>
        <v>0</v>
      </c>
      <c r="AG1391" s="200">
        <f t="shared" si="7036"/>
        <v>0</v>
      </c>
      <c r="AH1391" s="171">
        <f t="shared" si="13"/>
        <v>0</v>
      </c>
      <c r="AI1391" s="200">
        <f t="shared" si="14"/>
        <v>0</v>
      </c>
      <c r="AJ1391" s="200">
        <f t="shared" si="6100"/>
        <v>0</v>
      </c>
      <c r="AK1391" s="201">
        <f t="shared" ref="AK1391:AS1391" si="7037">countif($D1391,"*"&amp;AK$2&amp;"*")</f>
        <v>0</v>
      </c>
      <c r="AL1391" s="201">
        <f t="shared" si="7037"/>
        <v>0</v>
      </c>
      <c r="AM1391" s="201">
        <f t="shared" si="7037"/>
        <v>0</v>
      </c>
      <c r="AN1391" s="201">
        <f t="shared" si="7037"/>
        <v>0</v>
      </c>
      <c r="AO1391" s="201">
        <f t="shared" si="7037"/>
        <v>0</v>
      </c>
      <c r="AP1391" s="201">
        <f t="shared" si="7037"/>
        <v>0</v>
      </c>
      <c r="AQ1391" s="201">
        <f t="shared" si="7037"/>
        <v>0</v>
      </c>
      <c r="AR1391" s="200">
        <f t="shared" si="7037"/>
        <v>0</v>
      </c>
      <c r="AS1391" s="200">
        <f t="shared" si="7037"/>
        <v>0</v>
      </c>
      <c r="AT1391" s="173">
        <v>0.0</v>
      </c>
      <c r="AU1391" s="200">
        <f t="shared" si="6217"/>
        <v>0</v>
      </c>
      <c r="AV1391" s="200">
        <f t="shared" ref="AV1391:AX1391" si="7038">countif($D1391,"*"&amp;AV$2&amp;"*")</f>
        <v>1</v>
      </c>
      <c r="AW1391" s="200">
        <f t="shared" si="7038"/>
        <v>0</v>
      </c>
      <c r="AX1391" s="200">
        <f t="shared" si="7038"/>
        <v>0</v>
      </c>
      <c r="AY1391" s="202">
        <v>0.0</v>
      </c>
      <c r="AZ1391" s="200"/>
      <c r="BA1391" s="171" t="str">
        <f t="shared" si="18"/>
        <v/>
      </c>
      <c r="BB1391" s="171" t="str">
        <f t="shared" si="19"/>
        <v>Code</v>
      </c>
      <c r="BC1391" s="171" t="str">
        <f t="shared" si="20"/>
        <v/>
      </c>
      <c r="BD1391" s="171" t="str">
        <f t="shared" si="21"/>
        <v/>
      </c>
      <c r="BE1391" s="171" t="str">
        <f t="shared" si="22"/>
        <v/>
      </c>
      <c r="BF1391" s="171" t="str">
        <f t="shared" si="23"/>
        <v>Code</v>
      </c>
    </row>
    <row r="1392">
      <c r="A1392" s="171">
        <f t="array" ref="A1392">XLOOKUP(C1392,FSE!A:A,FSE!C:C,"XXXXX",0,1)</f>
        <v>2023</v>
      </c>
      <c r="B1392" s="213" t="s">
        <v>5676</v>
      </c>
      <c r="C1392" s="214">
        <v>126.0</v>
      </c>
      <c r="D1392" s="215" t="s">
        <v>5664</v>
      </c>
      <c r="E1392" s="197" t="str">
        <f t="array" ref="E1392">XLOOKUP(C1392,FSE!A:A,FSE!Z:Z,"XXXXX",0,1)</f>
        <v>Publicly Available (1)</v>
      </c>
      <c r="F1392" s="213" t="s">
        <v>3394</v>
      </c>
      <c r="G1392" s="163" t="str">
        <f t="array" ref="G1392">IF(B1392="ICSE",IF(COUNTIFS(B:B,B1392,C:C,C1392)=XLOOKUP(C1392,ICSE!A:A,ICSE!AA:AA,"ERROR",0,1),"OK","ERROR"),IF(B1392="FSE",IF(COUNTIFS(B:B,B1392,C:C,C1392)=XLOOKUP(C1392,FSE!A:A,FSE!AA:AA,"ERROR",0,1),"OK","ERROR")))</f>
        <v>OK</v>
      </c>
      <c r="H1392" s="199">
        <f t="shared" ref="H1392:O1392" si="7039">countif($D1392,"*"&amp;H$2&amp;"*")</f>
        <v>0</v>
      </c>
      <c r="I1392" s="200">
        <f t="shared" si="7039"/>
        <v>0</v>
      </c>
      <c r="J1392" s="200">
        <f t="shared" si="7039"/>
        <v>0</v>
      </c>
      <c r="K1392" s="200">
        <f t="shared" si="7039"/>
        <v>0</v>
      </c>
      <c r="L1392" s="200">
        <f t="shared" si="7039"/>
        <v>0</v>
      </c>
      <c r="M1392" s="200">
        <f t="shared" si="7039"/>
        <v>0</v>
      </c>
      <c r="N1392" s="200">
        <f t="shared" si="7039"/>
        <v>0</v>
      </c>
      <c r="O1392" s="200">
        <f t="shared" si="7039"/>
        <v>0</v>
      </c>
      <c r="P1392" s="200">
        <f t="shared" si="9"/>
        <v>1</v>
      </c>
      <c r="Q1392" s="200">
        <f t="shared" ref="Q1392:AC1392" si="7040">countif($D1392,"*"&amp;Q$2&amp;"*")</f>
        <v>0</v>
      </c>
      <c r="R1392" s="200">
        <f t="shared" si="7040"/>
        <v>0</v>
      </c>
      <c r="S1392" s="200">
        <f t="shared" si="7040"/>
        <v>0</v>
      </c>
      <c r="T1392" s="200">
        <f t="shared" si="7040"/>
        <v>0</v>
      </c>
      <c r="U1392" s="200">
        <f t="shared" si="7040"/>
        <v>0</v>
      </c>
      <c r="V1392" s="200">
        <f t="shared" si="7040"/>
        <v>0</v>
      </c>
      <c r="W1392" s="200">
        <f t="shared" si="7040"/>
        <v>0</v>
      </c>
      <c r="X1392" s="200">
        <f t="shared" si="7040"/>
        <v>0</v>
      </c>
      <c r="Y1392" s="200">
        <f t="shared" si="7040"/>
        <v>0</v>
      </c>
      <c r="Z1392" s="200">
        <f t="shared" si="7040"/>
        <v>0</v>
      </c>
      <c r="AA1392" s="200">
        <f t="shared" si="7040"/>
        <v>0</v>
      </c>
      <c r="AB1392" s="200">
        <f t="shared" si="7040"/>
        <v>0</v>
      </c>
      <c r="AC1392" s="200">
        <f t="shared" si="7040"/>
        <v>0</v>
      </c>
      <c r="AD1392" s="200">
        <f t="shared" si="11"/>
        <v>0</v>
      </c>
      <c r="AE1392" s="200">
        <f t="shared" ref="AE1392:AG1392" si="7041">countif($D1392,"*"&amp;AE$2&amp;"*")</f>
        <v>0</v>
      </c>
      <c r="AF1392" s="200">
        <f t="shared" si="7041"/>
        <v>0</v>
      </c>
      <c r="AG1392" s="200">
        <f t="shared" si="7041"/>
        <v>0</v>
      </c>
      <c r="AH1392" s="171">
        <f t="shared" si="13"/>
        <v>0</v>
      </c>
      <c r="AI1392" s="200">
        <f t="shared" si="14"/>
        <v>0</v>
      </c>
      <c r="AJ1392" s="200">
        <f t="shared" si="6100"/>
        <v>0</v>
      </c>
      <c r="AK1392" s="201">
        <f t="shared" ref="AK1392:AS1392" si="7042">countif($D1392,"*"&amp;AK$2&amp;"*")</f>
        <v>0</v>
      </c>
      <c r="AL1392" s="201">
        <f t="shared" si="7042"/>
        <v>0</v>
      </c>
      <c r="AM1392" s="201">
        <f t="shared" si="7042"/>
        <v>0</v>
      </c>
      <c r="AN1392" s="201">
        <f t="shared" si="7042"/>
        <v>0</v>
      </c>
      <c r="AO1392" s="201">
        <f t="shared" si="7042"/>
        <v>0</v>
      </c>
      <c r="AP1392" s="201">
        <f t="shared" si="7042"/>
        <v>0</v>
      </c>
      <c r="AQ1392" s="201">
        <f t="shared" si="7042"/>
        <v>0</v>
      </c>
      <c r="AR1392" s="200">
        <f t="shared" si="7042"/>
        <v>0</v>
      </c>
      <c r="AS1392" s="200">
        <f t="shared" si="7042"/>
        <v>0</v>
      </c>
      <c r="AT1392" s="173">
        <v>0.0</v>
      </c>
      <c r="AU1392" s="200">
        <f t="shared" si="6217"/>
        <v>0</v>
      </c>
      <c r="AV1392" s="200">
        <f t="shared" ref="AV1392:AX1392" si="7043">countif($D1392,"*"&amp;AV$2&amp;"*")</f>
        <v>1</v>
      </c>
      <c r="AW1392" s="200">
        <f t="shared" si="7043"/>
        <v>0</v>
      </c>
      <c r="AX1392" s="200">
        <f t="shared" si="7043"/>
        <v>0</v>
      </c>
      <c r="AY1392" s="202">
        <v>0.0</v>
      </c>
      <c r="AZ1392" s="200"/>
      <c r="BA1392" s="171" t="str">
        <f t="shared" si="18"/>
        <v/>
      </c>
      <c r="BB1392" s="171" t="str">
        <f t="shared" si="19"/>
        <v>Code</v>
      </c>
      <c r="BC1392" s="171" t="str">
        <f t="shared" si="20"/>
        <v/>
      </c>
      <c r="BD1392" s="171" t="str">
        <f t="shared" si="21"/>
        <v/>
      </c>
      <c r="BE1392" s="171" t="str">
        <f t="shared" si="22"/>
        <v/>
      </c>
      <c r="BF1392" s="171" t="str">
        <f t="shared" si="23"/>
        <v>Code</v>
      </c>
    </row>
    <row r="1393">
      <c r="A1393" s="171">
        <f t="array" ref="A1393">XLOOKUP(C1393,FSE!A:A,FSE!C:C,"XXXXX",0,1)</f>
        <v>2023</v>
      </c>
      <c r="B1393" s="213" t="s">
        <v>5676</v>
      </c>
      <c r="C1393" s="214">
        <v>127.0</v>
      </c>
      <c r="D1393" s="215" t="s">
        <v>5666</v>
      </c>
      <c r="E1393" s="197" t="str">
        <f t="array" ref="E1393">XLOOKUP(C1393,FSE!A:A,FSE!Z:Z,"XXXXX",0,1)</f>
        <v>Publicly Available (1)</v>
      </c>
      <c r="F1393" s="213" t="s">
        <v>3394</v>
      </c>
      <c r="G1393" s="163" t="str">
        <f t="array" ref="G1393">IF(B1393="ICSE",IF(COUNTIFS(B:B,B1393,C:C,C1393)=XLOOKUP(C1393,ICSE!A:A,ICSE!AA:AA,"ERROR",0,1),"OK","ERROR"),IF(B1393="FSE",IF(COUNTIFS(B:B,B1393,C:C,C1393)=XLOOKUP(C1393,FSE!A:A,FSE!AA:AA,"ERROR",0,1),"OK","ERROR")))</f>
        <v>OK</v>
      </c>
      <c r="H1393" s="199">
        <f t="shared" ref="H1393:O1393" si="7044">countif($D1393,"*"&amp;H$2&amp;"*")</f>
        <v>0</v>
      </c>
      <c r="I1393" s="200">
        <f t="shared" si="7044"/>
        <v>0</v>
      </c>
      <c r="J1393" s="200">
        <f t="shared" si="7044"/>
        <v>0</v>
      </c>
      <c r="K1393" s="200">
        <f t="shared" si="7044"/>
        <v>0</v>
      </c>
      <c r="L1393" s="200">
        <f t="shared" si="7044"/>
        <v>0</v>
      </c>
      <c r="M1393" s="200">
        <f t="shared" si="7044"/>
        <v>0</v>
      </c>
      <c r="N1393" s="200">
        <f t="shared" si="7044"/>
        <v>0</v>
      </c>
      <c r="O1393" s="200">
        <f t="shared" si="7044"/>
        <v>0</v>
      </c>
      <c r="P1393" s="200">
        <f t="shared" si="9"/>
        <v>1</v>
      </c>
      <c r="Q1393" s="200">
        <f t="shared" ref="Q1393:AC1393" si="7045">countif($D1393,"*"&amp;Q$2&amp;"*")</f>
        <v>0</v>
      </c>
      <c r="R1393" s="200">
        <f t="shared" si="7045"/>
        <v>0</v>
      </c>
      <c r="S1393" s="200">
        <f t="shared" si="7045"/>
        <v>0</v>
      </c>
      <c r="T1393" s="200">
        <f t="shared" si="7045"/>
        <v>0</v>
      </c>
      <c r="U1393" s="200">
        <f t="shared" si="7045"/>
        <v>0</v>
      </c>
      <c r="V1393" s="200">
        <f t="shared" si="7045"/>
        <v>0</v>
      </c>
      <c r="W1393" s="200">
        <f t="shared" si="7045"/>
        <v>0</v>
      </c>
      <c r="X1393" s="200">
        <f t="shared" si="7045"/>
        <v>0</v>
      </c>
      <c r="Y1393" s="200">
        <f t="shared" si="7045"/>
        <v>0</v>
      </c>
      <c r="Z1393" s="200">
        <f t="shared" si="7045"/>
        <v>0</v>
      </c>
      <c r="AA1393" s="200">
        <f t="shared" si="7045"/>
        <v>0</v>
      </c>
      <c r="AB1393" s="200">
        <f t="shared" si="7045"/>
        <v>0</v>
      </c>
      <c r="AC1393" s="200">
        <f t="shared" si="7045"/>
        <v>0</v>
      </c>
      <c r="AD1393" s="200">
        <f t="shared" si="11"/>
        <v>0</v>
      </c>
      <c r="AE1393" s="200">
        <f t="shared" ref="AE1393:AG1393" si="7046">countif($D1393,"*"&amp;AE$2&amp;"*")</f>
        <v>0</v>
      </c>
      <c r="AF1393" s="200">
        <f t="shared" si="7046"/>
        <v>0</v>
      </c>
      <c r="AG1393" s="200">
        <f t="shared" si="7046"/>
        <v>0</v>
      </c>
      <c r="AH1393" s="171">
        <f t="shared" si="13"/>
        <v>0</v>
      </c>
      <c r="AI1393" s="200">
        <f t="shared" si="14"/>
        <v>0</v>
      </c>
      <c r="AJ1393" s="200">
        <f t="shared" si="6100"/>
        <v>0</v>
      </c>
      <c r="AK1393" s="201">
        <f t="shared" ref="AK1393:AS1393" si="7047">countif($D1393,"*"&amp;AK$2&amp;"*")</f>
        <v>0</v>
      </c>
      <c r="AL1393" s="201">
        <f t="shared" si="7047"/>
        <v>0</v>
      </c>
      <c r="AM1393" s="201">
        <f t="shared" si="7047"/>
        <v>0</v>
      </c>
      <c r="AN1393" s="201">
        <f t="shared" si="7047"/>
        <v>0</v>
      </c>
      <c r="AO1393" s="201">
        <f t="shared" si="7047"/>
        <v>0</v>
      </c>
      <c r="AP1393" s="201">
        <f t="shared" si="7047"/>
        <v>0</v>
      </c>
      <c r="AQ1393" s="201">
        <f t="shared" si="7047"/>
        <v>0</v>
      </c>
      <c r="AR1393" s="200">
        <f t="shared" si="7047"/>
        <v>0</v>
      </c>
      <c r="AS1393" s="200">
        <f t="shared" si="7047"/>
        <v>0</v>
      </c>
      <c r="AT1393" s="173">
        <v>0.0</v>
      </c>
      <c r="AU1393" s="200">
        <f t="shared" si="6217"/>
        <v>0</v>
      </c>
      <c r="AV1393" s="200">
        <f t="shared" ref="AV1393:AX1393" si="7048">countif($D1393,"*"&amp;AV$2&amp;"*")</f>
        <v>1</v>
      </c>
      <c r="AW1393" s="200">
        <f t="shared" si="7048"/>
        <v>0</v>
      </c>
      <c r="AX1393" s="200">
        <f t="shared" si="7048"/>
        <v>0</v>
      </c>
      <c r="AY1393" s="202">
        <v>0.0</v>
      </c>
      <c r="AZ1393" s="200"/>
      <c r="BA1393" s="171" t="str">
        <f t="shared" si="18"/>
        <v/>
      </c>
      <c r="BB1393" s="171" t="str">
        <f t="shared" si="19"/>
        <v>Code</v>
      </c>
      <c r="BC1393" s="171" t="str">
        <f t="shared" si="20"/>
        <v/>
      </c>
      <c r="BD1393" s="171" t="str">
        <f t="shared" si="21"/>
        <v/>
      </c>
      <c r="BE1393" s="171" t="str">
        <f t="shared" si="22"/>
        <v/>
      </c>
      <c r="BF1393" s="171" t="str">
        <f t="shared" si="23"/>
        <v>Code</v>
      </c>
    </row>
    <row r="1394">
      <c r="A1394" s="171">
        <f t="array" ref="A1394">XLOOKUP(C1394,FSE!A:A,FSE!C:C,"XXXXX",0,1)</f>
        <v>2022</v>
      </c>
      <c r="B1394" s="213" t="s">
        <v>5676</v>
      </c>
      <c r="C1394" s="214">
        <v>129.0</v>
      </c>
      <c r="D1394" s="217" t="s">
        <v>6246</v>
      </c>
      <c r="E1394" s="197" t="str">
        <f t="array" ref="E1394">XLOOKUP(C1394,FSE!A:A,FSE!Z:Z,"XXXXX",0,1)</f>
        <v>Publicly Available (5)</v>
      </c>
      <c r="F1394" s="213" t="s">
        <v>3394</v>
      </c>
      <c r="G1394" s="163" t="str">
        <f t="array" ref="G1394">IF(B1394="ICSE",IF(COUNTIFS(B:B,B1394,C:C,C1394)=XLOOKUP(C1394,ICSE!A:A,ICSE!AA:AA,"ERROR",0,1),"OK","ERROR"),IF(B1394="FSE",IF(COUNTIFS(B:B,B1394,C:C,C1394)=XLOOKUP(C1394,FSE!A:A,FSE!AA:AA,"ERROR",0,1),"OK","ERROR")))</f>
        <v>OK</v>
      </c>
      <c r="H1394" s="199">
        <f t="shared" ref="H1394:O1394" si="7049">countif($D1394,"*"&amp;H$2&amp;"*")</f>
        <v>0</v>
      </c>
      <c r="I1394" s="200">
        <f t="shared" si="7049"/>
        <v>0</v>
      </c>
      <c r="J1394" s="200">
        <f t="shared" si="7049"/>
        <v>0</v>
      </c>
      <c r="K1394" s="200">
        <f t="shared" si="7049"/>
        <v>0</v>
      </c>
      <c r="L1394" s="200">
        <f t="shared" si="7049"/>
        <v>0</v>
      </c>
      <c r="M1394" s="200">
        <f t="shared" si="7049"/>
        <v>0</v>
      </c>
      <c r="N1394" s="200">
        <f t="shared" si="7049"/>
        <v>0</v>
      </c>
      <c r="O1394" s="200">
        <f t="shared" si="7049"/>
        <v>0</v>
      </c>
      <c r="P1394" s="200">
        <f t="shared" si="9"/>
        <v>1</v>
      </c>
      <c r="Q1394" s="200">
        <f t="shared" ref="Q1394:AC1394" si="7050">countif($D1394,"*"&amp;Q$2&amp;"*")</f>
        <v>0</v>
      </c>
      <c r="R1394" s="200">
        <f t="shared" si="7050"/>
        <v>0</v>
      </c>
      <c r="S1394" s="200">
        <f t="shared" si="7050"/>
        <v>0</v>
      </c>
      <c r="T1394" s="200">
        <f t="shared" si="7050"/>
        <v>0</v>
      </c>
      <c r="U1394" s="200">
        <f t="shared" si="7050"/>
        <v>0</v>
      </c>
      <c r="V1394" s="200">
        <f t="shared" si="7050"/>
        <v>0</v>
      </c>
      <c r="W1394" s="200">
        <f t="shared" si="7050"/>
        <v>0</v>
      </c>
      <c r="X1394" s="200">
        <f t="shared" si="7050"/>
        <v>0</v>
      </c>
      <c r="Y1394" s="200">
        <f t="shared" si="7050"/>
        <v>0</v>
      </c>
      <c r="Z1394" s="200">
        <f t="shared" si="7050"/>
        <v>0</v>
      </c>
      <c r="AA1394" s="200">
        <f t="shared" si="7050"/>
        <v>0</v>
      </c>
      <c r="AB1394" s="200">
        <f t="shared" si="7050"/>
        <v>0</v>
      </c>
      <c r="AC1394" s="200">
        <f t="shared" si="7050"/>
        <v>0</v>
      </c>
      <c r="AD1394" s="200">
        <f t="shared" si="11"/>
        <v>0</v>
      </c>
      <c r="AE1394" s="200">
        <f t="shared" ref="AE1394:AG1394" si="7051">countif($D1394,"*"&amp;AE$2&amp;"*")</f>
        <v>0</v>
      </c>
      <c r="AF1394" s="200">
        <f t="shared" si="7051"/>
        <v>0</v>
      </c>
      <c r="AG1394" s="200">
        <f t="shared" si="7051"/>
        <v>0</v>
      </c>
      <c r="AH1394" s="171">
        <f t="shared" si="13"/>
        <v>0</v>
      </c>
      <c r="AI1394" s="200">
        <f t="shared" si="14"/>
        <v>0</v>
      </c>
      <c r="AJ1394" s="200">
        <f t="shared" si="6100"/>
        <v>0</v>
      </c>
      <c r="AK1394" s="201">
        <f t="shared" ref="AK1394:AS1394" si="7052">countif($D1394,"*"&amp;AK$2&amp;"*")</f>
        <v>0</v>
      </c>
      <c r="AL1394" s="201">
        <f t="shared" si="7052"/>
        <v>0</v>
      </c>
      <c r="AM1394" s="201">
        <f t="shared" si="7052"/>
        <v>0</v>
      </c>
      <c r="AN1394" s="201">
        <f t="shared" si="7052"/>
        <v>0</v>
      </c>
      <c r="AO1394" s="201">
        <f t="shared" si="7052"/>
        <v>0</v>
      </c>
      <c r="AP1394" s="201">
        <f t="shared" si="7052"/>
        <v>0</v>
      </c>
      <c r="AQ1394" s="201">
        <f t="shared" si="7052"/>
        <v>0</v>
      </c>
      <c r="AR1394" s="200">
        <f t="shared" si="7052"/>
        <v>0</v>
      </c>
      <c r="AS1394" s="200">
        <f t="shared" si="7052"/>
        <v>0</v>
      </c>
      <c r="AT1394" s="173">
        <v>0.0</v>
      </c>
      <c r="AU1394" s="200">
        <f t="shared" si="6217"/>
        <v>0</v>
      </c>
      <c r="AV1394" s="200">
        <f t="shared" ref="AV1394:AX1394" si="7053">countif($D1394,"*"&amp;AV$2&amp;"*")</f>
        <v>1</v>
      </c>
      <c r="AW1394" s="200">
        <f t="shared" si="7053"/>
        <v>0</v>
      </c>
      <c r="AX1394" s="200">
        <f t="shared" si="7053"/>
        <v>0</v>
      </c>
      <c r="AY1394" s="202">
        <v>0.0</v>
      </c>
      <c r="AZ1394" s="200"/>
      <c r="BA1394" s="171" t="str">
        <f t="shared" si="18"/>
        <v/>
      </c>
      <c r="BB1394" s="171" t="str">
        <f t="shared" si="19"/>
        <v>Code</v>
      </c>
      <c r="BC1394" s="171" t="str">
        <f t="shared" si="20"/>
        <v/>
      </c>
      <c r="BD1394" s="171" t="str">
        <f t="shared" si="21"/>
        <v/>
      </c>
      <c r="BE1394" s="171" t="str">
        <f t="shared" si="22"/>
        <v/>
      </c>
      <c r="BF1394" s="171" t="str">
        <f t="shared" si="23"/>
        <v>Code</v>
      </c>
    </row>
    <row r="1395">
      <c r="A1395" s="171">
        <f t="array" ref="A1395">XLOOKUP(C1395,FSE!A:A,FSE!C:C,"XXXXX",0,1)</f>
        <v>2022</v>
      </c>
      <c r="B1395" s="213" t="s">
        <v>5676</v>
      </c>
      <c r="C1395" s="214">
        <v>129.0</v>
      </c>
      <c r="D1395" s="217" t="s">
        <v>6247</v>
      </c>
      <c r="E1395" s="197" t="str">
        <f t="array" ref="E1395">XLOOKUP(C1395,FSE!A:A,FSE!Z:Z,"XXXXX",0,1)</f>
        <v>Publicly Available (5)</v>
      </c>
      <c r="F1395" s="213" t="s">
        <v>3394</v>
      </c>
      <c r="G1395" s="163" t="str">
        <f t="array" ref="G1395">IF(B1395="ICSE",IF(COUNTIFS(B:B,B1395,C:C,C1395)=XLOOKUP(C1395,ICSE!A:A,ICSE!AA:AA,"ERROR",0,1),"OK","ERROR"),IF(B1395="FSE",IF(COUNTIFS(B:B,B1395,C:C,C1395)=XLOOKUP(C1395,FSE!A:A,FSE!AA:AA,"ERROR",0,1),"OK","ERROR")))</f>
        <v>OK</v>
      </c>
      <c r="H1395" s="199">
        <f t="shared" ref="H1395:O1395" si="7054">countif($D1395,"*"&amp;H$2&amp;"*")</f>
        <v>0</v>
      </c>
      <c r="I1395" s="200">
        <f t="shared" si="7054"/>
        <v>0</v>
      </c>
      <c r="J1395" s="200">
        <f t="shared" si="7054"/>
        <v>0</v>
      </c>
      <c r="K1395" s="200">
        <f t="shared" si="7054"/>
        <v>0</v>
      </c>
      <c r="L1395" s="200">
        <f t="shared" si="7054"/>
        <v>0</v>
      </c>
      <c r="M1395" s="200">
        <f t="shared" si="7054"/>
        <v>0</v>
      </c>
      <c r="N1395" s="200">
        <f t="shared" si="7054"/>
        <v>0</v>
      </c>
      <c r="O1395" s="200">
        <f t="shared" si="7054"/>
        <v>0</v>
      </c>
      <c r="P1395" s="200">
        <f t="shared" si="9"/>
        <v>0</v>
      </c>
      <c r="Q1395" s="200">
        <f t="shared" ref="Q1395:AC1395" si="7055">countif($D1395,"*"&amp;Q$2&amp;"*")</f>
        <v>0</v>
      </c>
      <c r="R1395" s="200">
        <f t="shared" si="7055"/>
        <v>0</v>
      </c>
      <c r="S1395" s="200">
        <f t="shared" si="7055"/>
        <v>0</v>
      </c>
      <c r="T1395" s="200">
        <f t="shared" si="7055"/>
        <v>0</v>
      </c>
      <c r="U1395" s="200">
        <f t="shared" si="7055"/>
        <v>0</v>
      </c>
      <c r="V1395" s="200">
        <f t="shared" si="7055"/>
        <v>1</v>
      </c>
      <c r="W1395" s="200">
        <f t="shared" si="7055"/>
        <v>0</v>
      </c>
      <c r="X1395" s="200">
        <f t="shared" si="7055"/>
        <v>0</v>
      </c>
      <c r="Y1395" s="200">
        <f t="shared" si="7055"/>
        <v>0</v>
      </c>
      <c r="Z1395" s="200">
        <f t="shared" si="7055"/>
        <v>0</v>
      </c>
      <c r="AA1395" s="200">
        <f t="shared" si="7055"/>
        <v>0</v>
      </c>
      <c r="AB1395" s="200">
        <f t="shared" si="7055"/>
        <v>0</v>
      </c>
      <c r="AC1395" s="200">
        <f t="shared" si="7055"/>
        <v>0</v>
      </c>
      <c r="AD1395" s="200">
        <f t="shared" si="11"/>
        <v>0</v>
      </c>
      <c r="AE1395" s="200">
        <f t="shared" ref="AE1395:AG1395" si="7056">countif($D1395,"*"&amp;AE$2&amp;"*")</f>
        <v>0</v>
      </c>
      <c r="AF1395" s="200">
        <f t="shared" si="7056"/>
        <v>0</v>
      </c>
      <c r="AG1395" s="200">
        <f t="shared" si="7056"/>
        <v>0</v>
      </c>
      <c r="AH1395" s="171">
        <f t="shared" si="13"/>
        <v>0</v>
      </c>
      <c r="AI1395" s="200">
        <f t="shared" si="14"/>
        <v>0</v>
      </c>
      <c r="AJ1395" s="200">
        <f t="shared" si="6100"/>
        <v>1</v>
      </c>
      <c r="AK1395" s="201">
        <f t="shared" ref="AK1395:AS1395" si="7057">countif($D1395,"*"&amp;AK$2&amp;"*")</f>
        <v>1</v>
      </c>
      <c r="AL1395" s="201">
        <f t="shared" si="7057"/>
        <v>0</v>
      </c>
      <c r="AM1395" s="201">
        <f t="shared" si="7057"/>
        <v>0</v>
      </c>
      <c r="AN1395" s="201">
        <f t="shared" si="7057"/>
        <v>0</v>
      </c>
      <c r="AO1395" s="201">
        <f t="shared" si="7057"/>
        <v>0</v>
      </c>
      <c r="AP1395" s="201">
        <f t="shared" si="7057"/>
        <v>0</v>
      </c>
      <c r="AQ1395" s="201">
        <f t="shared" si="7057"/>
        <v>0</v>
      </c>
      <c r="AR1395" s="200">
        <f t="shared" si="7057"/>
        <v>0</v>
      </c>
      <c r="AS1395" s="200">
        <f t="shared" si="7057"/>
        <v>1</v>
      </c>
      <c r="AT1395" s="173">
        <v>0.0</v>
      </c>
      <c r="AU1395" s="200">
        <f t="shared" si="6217"/>
        <v>0</v>
      </c>
      <c r="AV1395" s="200">
        <f t="shared" ref="AV1395:AX1395" si="7058">countif($D1395,"*"&amp;AV$2&amp;"*")</f>
        <v>0</v>
      </c>
      <c r="AW1395" s="200">
        <f t="shared" si="7058"/>
        <v>0</v>
      </c>
      <c r="AX1395" s="200">
        <f t="shared" si="7058"/>
        <v>0</v>
      </c>
      <c r="AY1395" s="202">
        <v>0.0</v>
      </c>
      <c r="AZ1395" s="200"/>
      <c r="BA1395" s="171" t="str">
        <f t="shared" si="18"/>
        <v/>
      </c>
      <c r="BB1395" s="171" t="str">
        <f t="shared" si="19"/>
        <v/>
      </c>
      <c r="BC1395" s="171" t="str">
        <f t="shared" si="20"/>
        <v>General-purpose</v>
      </c>
      <c r="BD1395" s="171" t="str">
        <f t="shared" si="21"/>
        <v/>
      </c>
      <c r="BE1395" s="171" t="str">
        <f t="shared" si="22"/>
        <v/>
      </c>
      <c r="BF1395" s="171" t="str">
        <f t="shared" si="23"/>
        <v>General-purpose</v>
      </c>
    </row>
    <row r="1396">
      <c r="A1396" s="171">
        <f t="array" ref="A1396">XLOOKUP(C1396,FSE!A:A,FSE!C:C,"XXXXX",0,1)</f>
        <v>2022</v>
      </c>
      <c r="B1396" s="213" t="s">
        <v>5676</v>
      </c>
      <c r="C1396" s="214">
        <v>129.0</v>
      </c>
      <c r="D1396" s="217" t="s">
        <v>6248</v>
      </c>
      <c r="E1396" s="197" t="str">
        <f t="array" ref="E1396">XLOOKUP(C1396,FSE!A:A,FSE!Z:Z,"XXXXX",0,1)</f>
        <v>Publicly Available (5)</v>
      </c>
      <c r="F1396" s="213" t="s">
        <v>3394</v>
      </c>
      <c r="G1396" s="163" t="str">
        <f t="array" ref="G1396">IF(B1396="ICSE",IF(COUNTIFS(B:B,B1396,C:C,C1396)=XLOOKUP(C1396,ICSE!A:A,ICSE!AA:AA,"ERROR",0,1),"OK","ERROR"),IF(B1396="FSE",IF(COUNTIFS(B:B,B1396,C:C,C1396)=XLOOKUP(C1396,FSE!A:A,FSE!AA:AA,"ERROR",0,1),"OK","ERROR")))</f>
        <v>OK</v>
      </c>
      <c r="H1396" s="199">
        <f t="shared" ref="H1396:O1396" si="7059">countif($D1396,"*"&amp;H$2&amp;"*")</f>
        <v>0</v>
      </c>
      <c r="I1396" s="200">
        <f t="shared" si="7059"/>
        <v>0</v>
      </c>
      <c r="J1396" s="200">
        <f t="shared" si="7059"/>
        <v>0</v>
      </c>
      <c r="K1396" s="200">
        <f t="shared" si="7059"/>
        <v>0</v>
      </c>
      <c r="L1396" s="200">
        <f t="shared" si="7059"/>
        <v>0</v>
      </c>
      <c r="M1396" s="200">
        <f t="shared" si="7059"/>
        <v>0</v>
      </c>
      <c r="N1396" s="200">
        <f t="shared" si="7059"/>
        <v>0</v>
      </c>
      <c r="O1396" s="200">
        <f t="shared" si="7059"/>
        <v>0</v>
      </c>
      <c r="P1396" s="200">
        <f t="shared" si="9"/>
        <v>0</v>
      </c>
      <c r="Q1396" s="200">
        <f t="shared" ref="Q1396:AC1396" si="7060">countif($D1396,"*"&amp;Q$2&amp;"*")</f>
        <v>0</v>
      </c>
      <c r="R1396" s="200">
        <f t="shared" si="7060"/>
        <v>0</v>
      </c>
      <c r="S1396" s="200">
        <f t="shared" si="7060"/>
        <v>0</v>
      </c>
      <c r="T1396" s="200">
        <f t="shared" si="7060"/>
        <v>0</v>
      </c>
      <c r="U1396" s="200">
        <f t="shared" si="7060"/>
        <v>0</v>
      </c>
      <c r="V1396" s="200">
        <f t="shared" si="7060"/>
        <v>1</v>
      </c>
      <c r="W1396" s="200">
        <f t="shared" si="7060"/>
        <v>0</v>
      </c>
      <c r="X1396" s="200">
        <f t="shared" si="7060"/>
        <v>0</v>
      </c>
      <c r="Y1396" s="200">
        <f t="shared" si="7060"/>
        <v>0</v>
      </c>
      <c r="Z1396" s="200">
        <f t="shared" si="7060"/>
        <v>0</v>
      </c>
      <c r="AA1396" s="200">
        <f t="shared" si="7060"/>
        <v>0</v>
      </c>
      <c r="AB1396" s="200">
        <f t="shared" si="7060"/>
        <v>0</v>
      </c>
      <c r="AC1396" s="200">
        <f t="shared" si="7060"/>
        <v>0</v>
      </c>
      <c r="AD1396" s="200">
        <f t="shared" si="11"/>
        <v>0</v>
      </c>
      <c r="AE1396" s="200">
        <f t="shared" ref="AE1396:AG1396" si="7061">countif($D1396,"*"&amp;AE$2&amp;"*")</f>
        <v>0</v>
      </c>
      <c r="AF1396" s="200">
        <f t="shared" si="7061"/>
        <v>0</v>
      </c>
      <c r="AG1396" s="200">
        <f t="shared" si="7061"/>
        <v>0</v>
      </c>
      <c r="AH1396" s="171">
        <f t="shared" si="13"/>
        <v>0</v>
      </c>
      <c r="AI1396" s="200">
        <f t="shared" si="14"/>
        <v>0</v>
      </c>
      <c r="AJ1396" s="200">
        <f t="shared" si="6100"/>
        <v>1</v>
      </c>
      <c r="AK1396" s="201">
        <f t="shared" ref="AK1396:AS1396" si="7062">countif($D1396,"*"&amp;AK$2&amp;"*")</f>
        <v>1</v>
      </c>
      <c r="AL1396" s="201">
        <f t="shared" si="7062"/>
        <v>0</v>
      </c>
      <c r="AM1396" s="201">
        <f t="shared" si="7062"/>
        <v>0</v>
      </c>
      <c r="AN1396" s="201">
        <f t="shared" si="7062"/>
        <v>0</v>
      </c>
      <c r="AO1396" s="201">
        <f t="shared" si="7062"/>
        <v>0</v>
      </c>
      <c r="AP1396" s="201">
        <f t="shared" si="7062"/>
        <v>0</v>
      </c>
      <c r="AQ1396" s="201">
        <f t="shared" si="7062"/>
        <v>0</v>
      </c>
      <c r="AR1396" s="200">
        <f t="shared" si="7062"/>
        <v>0</v>
      </c>
      <c r="AS1396" s="200">
        <f t="shared" si="7062"/>
        <v>1</v>
      </c>
      <c r="AT1396" s="173">
        <v>0.0</v>
      </c>
      <c r="AU1396" s="200">
        <f t="shared" si="6217"/>
        <v>0</v>
      </c>
      <c r="AV1396" s="200">
        <f t="shared" ref="AV1396:AX1396" si="7063">countif($D1396,"*"&amp;AV$2&amp;"*")</f>
        <v>0</v>
      </c>
      <c r="AW1396" s="200">
        <f t="shared" si="7063"/>
        <v>0</v>
      </c>
      <c r="AX1396" s="200">
        <f t="shared" si="7063"/>
        <v>0</v>
      </c>
      <c r="AY1396" s="202">
        <v>0.0</v>
      </c>
      <c r="AZ1396" s="200"/>
      <c r="BA1396" s="171" t="str">
        <f t="shared" si="18"/>
        <v/>
      </c>
      <c r="BB1396" s="171" t="str">
        <f t="shared" si="19"/>
        <v/>
      </c>
      <c r="BC1396" s="171" t="str">
        <f t="shared" si="20"/>
        <v>General-purpose</v>
      </c>
      <c r="BD1396" s="171" t="str">
        <f t="shared" si="21"/>
        <v/>
      </c>
      <c r="BE1396" s="171" t="str">
        <f t="shared" si="22"/>
        <v/>
      </c>
      <c r="BF1396" s="171" t="str">
        <f t="shared" si="23"/>
        <v>General-purpose</v>
      </c>
    </row>
    <row r="1397">
      <c r="A1397" s="171">
        <f t="array" ref="A1397">XLOOKUP(C1397,FSE!A:A,FSE!C:C,"XXXXX",0,1)</f>
        <v>2022</v>
      </c>
      <c r="B1397" s="213" t="s">
        <v>5676</v>
      </c>
      <c r="C1397" s="214">
        <v>129.0</v>
      </c>
      <c r="D1397" s="215" t="s">
        <v>6249</v>
      </c>
      <c r="E1397" s="197" t="str">
        <f t="array" ref="E1397">XLOOKUP(C1397,FSE!A:A,FSE!Z:Z,"XXXXX",0,1)</f>
        <v>Publicly Available (5)</v>
      </c>
      <c r="F1397" s="213" t="s">
        <v>3394</v>
      </c>
      <c r="G1397" s="163" t="str">
        <f t="array" ref="G1397">IF(B1397="ICSE",IF(COUNTIFS(B:B,B1397,C:C,C1397)=XLOOKUP(C1397,ICSE!A:A,ICSE!AA:AA,"ERROR",0,1),"OK","ERROR"),IF(B1397="FSE",IF(COUNTIFS(B:B,B1397,C:C,C1397)=XLOOKUP(C1397,FSE!A:A,FSE!AA:AA,"ERROR",0,1),"OK","ERROR")))</f>
        <v>OK</v>
      </c>
      <c r="H1397" s="199">
        <f t="shared" ref="H1397:O1397" si="7064">countif($D1397,"*"&amp;H$2&amp;"*")</f>
        <v>1</v>
      </c>
      <c r="I1397" s="200">
        <f t="shared" si="7064"/>
        <v>0</v>
      </c>
      <c r="J1397" s="200">
        <f t="shared" si="7064"/>
        <v>0</v>
      </c>
      <c r="K1397" s="200">
        <f t="shared" si="7064"/>
        <v>0</v>
      </c>
      <c r="L1397" s="200">
        <f t="shared" si="7064"/>
        <v>0</v>
      </c>
      <c r="M1397" s="200">
        <f t="shared" si="7064"/>
        <v>0</v>
      </c>
      <c r="N1397" s="200">
        <f t="shared" si="7064"/>
        <v>0</v>
      </c>
      <c r="O1397" s="200">
        <f t="shared" si="7064"/>
        <v>0</v>
      </c>
      <c r="P1397" s="200">
        <f t="shared" si="9"/>
        <v>0</v>
      </c>
      <c r="Q1397" s="200">
        <f t="shared" ref="Q1397:AC1397" si="7065">countif($D1397,"*"&amp;Q$2&amp;"*")</f>
        <v>0</v>
      </c>
      <c r="R1397" s="200">
        <f t="shared" si="7065"/>
        <v>0</v>
      </c>
      <c r="S1397" s="200">
        <f t="shared" si="7065"/>
        <v>0</v>
      </c>
      <c r="T1397" s="200">
        <f t="shared" si="7065"/>
        <v>0</v>
      </c>
      <c r="U1397" s="200">
        <f t="shared" si="7065"/>
        <v>0</v>
      </c>
      <c r="V1397" s="200">
        <f t="shared" si="7065"/>
        <v>0</v>
      </c>
      <c r="W1397" s="200">
        <f t="shared" si="7065"/>
        <v>0</v>
      </c>
      <c r="X1397" s="200">
        <f t="shared" si="7065"/>
        <v>0</v>
      </c>
      <c r="Y1397" s="200">
        <f t="shared" si="7065"/>
        <v>0</v>
      </c>
      <c r="Z1397" s="200">
        <f t="shared" si="7065"/>
        <v>0</v>
      </c>
      <c r="AA1397" s="200">
        <f t="shared" si="7065"/>
        <v>0</v>
      </c>
      <c r="AB1397" s="200">
        <f t="shared" si="7065"/>
        <v>0</v>
      </c>
      <c r="AC1397" s="200">
        <f t="shared" si="7065"/>
        <v>0</v>
      </c>
      <c r="AD1397" s="200">
        <f t="shared" si="11"/>
        <v>0</v>
      </c>
      <c r="AE1397" s="200">
        <f t="shared" ref="AE1397:AG1397" si="7066">countif($D1397,"*"&amp;AE$2&amp;"*")</f>
        <v>0</v>
      </c>
      <c r="AF1397" s="200">
        <f t="shared" si="7066"/>
        <v>0</v>
      </c>
      <c r="AG1397" s="200">
        <f t="shared" si="7066"/>
        <v>0</v>
      </c>
      <c r="AH1397" s="171">
        <f t="shared" si="13"/>
        <v>0</v>
      </c>
      <c r="AI1397" s="200">
        <f t="shared" si="14"/>
        <v>1</v>
      </c>
      <c r="AJ1397" s="200">
        <f t="shared" si="6100"/>
        <v>0</v>
      </c>
      <c r="AK1397" s="201">
        <f t="shared" ref="AK1397:AS1397" si="7067">countif($D1397,"*"&amp;AK$2&amp;"*")</f>
        <v>0</v>
      </c>
      <c r="AL1397" s="201">
        <f t="shared" si="7067"/>
        <v>0</v>
      </c>
      <c r="AM1397" s="201">
        <f t="shared" si="7067"/>
        <v>0</v>
      </c>
      <c r="AN1397" s="201">
        <f t="shared" si="7067"/>
        <v>0</v>
      </c>
      <c r="AO1397" s="201">
        <f t="shared" si="7067"/>
        <v>0</v>
      </c>
      <c r="AP1397" s="201">
        <f t="shared" si="7067"/>
        <v>0</v>
      </c>
      <c r="AQ1397" s="201">
        <f t="shared" si="7067"/>
        <v>0</v>
      </c>
      <c r="AR1397" s="200">
        <f t="shared" si="7067"/>
        <v>0</v>
      </c>
      <c r="AS1397" s="200">
        <f t="shared" si="7067"/>
        <v>0</v>
      </c>
      <c r="AT1397" s="173">
        <v>0.0</v>
      </c>
      <c r="AU1397" s="200">
        <f t="shared" si="6217"/>
        <v>0</v>
      </c>
      <c r="AV1397" s="200">
        <f t="shared" ref="AV1397:AX1397" si="7068">countif($D1397,"*"&amp;AV$2&amp;"*")</f>
        <v>0</v>
      </c>
      <c r="AW1397" s="200">
        <f t="shared" si="7068"/>
        <v>0</v>
      </c>
      <c r="AX1397" s="200">
        <f t="shared" si="7068"/>
        <v>1</v>
      </c>
      <c r="AY1397" s="202">
        <v>0.0</v>
      </c>
      <c r="AZ1397" s="200"/>
      <c r="BA1397" s="171" t="str">
        <f t="shared" si="18"/>
        <v>Archival</v>
      </c>
      <c r="BB1397" s="171" t="str">
        <f t="shared" si="19"/>
        <v/>
      </c>
      <c r="BC1397" s="171" t="str">
        <f t="shared" si="20"/>
        <v/>
      </c>
      <c r="BD1397" s="171" t="str">
        <f t="shared" si="21"/>
        <v/>
      </c>
      <c r="BE1397" s="171" t="str">
        <f t="shared" si="22"/>
        <v/>
      </c>
      <c r="BF1397" s="171" t="str">
        <f t="shared" si="23"/>
        <v>Archival</v>
      </c>
    </row>
    <row r="1398">
      <c r="A1398" s="171">
        <f t="array" ref="A1398">XLOOKUP(C1398,FSE!A:A,FSE!C:C,"XXXXX",0,1)</f>
        <v>2022</v>
      </c>
      <c r="B1398" s="213" t="s">
        <v>5676</v>
      </c>
      <c r="C1398" s="214">
        <v>129.0</v>
      </c>
      <c r="D1398" s="215" t="s">
        <v>6250</v>
      </c>
      <c r="E1398" s="197" t="str">
        <f t="array" ref="E1398">XLOOKUP(C1398,FSE!A:A,FSE!Z:Z,"XXXXX",0,1)</f>
        <v>Publicly Available (5)</v>
      </c>
      <c r="F1398" s="213" t="s">
        <v>3394</v>
      </c>
      <c r="G1398" s="163" t="str">
        <f t="array" ref="G1398">IF(B1398="ICSE",IF(COUNTIFS(B:B,B1398,C:C,C1398)=XLOOKUP(C1398,ICSE!A:A,ICSE!AA:AA,"ERROR",0,1),"OK","ERROR"),IF(B1398="FSE",IF(COUNTIFS(B:B,B1398,C:C,C1398)=XLOOKUP(C1398,FSE!A:A,FSE!AA:AA,"ERROR",0,1),"OK","ERROR")))</f>
        <v>OK</v>
      </c>
      <c r="H1398" s="199">
        <f t="shared" ref="H1398:O1398" si="7069">countif($D1398,"*"&amp;H$2&amp;"*")</f>
        <v>0</v>
      </c>
      <c r="I1398" s="200">
        <f t="shared" si="7069"/>
        <v>0</v>
      </c>
      <c r="J1398" s="200">
        <f t="shared" si="7069"/>
        <v>0</v>
      </c>
      <c r="K1398" s="200">
        <f t="shared" si="7069"/>
        <v>0</v>
      </c>
      <c r="L1398" s="200">
        <f t="shared" si="7069"/>
        <v>0</v>
      </c>
      <c r="M1398" s="200">
        <f t="shared" si="7069"/>
        <v>0</v>
      </c>
      <c r="N1398" s="200">
        <f t="shared" si="7069"/>
        <v>0</v>
      </c>
      <c r="O1398" s="200">
        <f t="shared" si="7069"/>
        <v>0</v>
      </c>
      <c r="P1398" s="200">
        <f t="shared" si="9"/>
        <v>0</v>
      </c>
      <c r="Q1398" s="200">
        <f t="shared" ref="Q1398:AC1398" si="7070">countif($D1398,"*"&amp;Q$2&amp;"*")</f>
        <v>0</v>
      </c>
      <c r="R1398" s="200">
        <f t="shared" si="7070"/>
        <v>0</v>
      </c>
      <c r="S1398" s="200">
        <f t="shared" si="7070"/>
        <v>0</v>
      </c>
      <c r="T1398" s="200">
        <f t="shared" si="7070"/>
        <v>0</v>
      </c>
      <c r="U1398" s="200">
        <f t="shared" si="7070"/>
        <v>0</v>
      </c>
      <c r="V1398" s="200">
        <f t="shared" si="7070"/>
        <v>0</v>
      </c>
      <c r="W1398" s="200">
        <f t="shared" si="7070"/>
        <v>0</v>
      </c>
      <c r="X1398" s="200">
        <f t="shared" si="7070"/>
        <v>0</v>
      </c>
      <c r="Y1398" s="200">
        <f t="shared" si="7070"/>
        <v>0</v>
      </c>
      <c r="Z1398" s="200">
        <f t="shared" si="7070"/>
        <v>0</v>
      </c>
      <c r="AA1398" s="200">
        <f t="shared" si="7070"/>
        <v>0</v>
      </c>
      <c r="AB1398" s="200">
        <f t="shared" si="7070"/>
        <v>0</v>
      </c>
      <c r="AC1398" s="200">
        <f t="shared" si="7070"/>
        <v>0</v>
      </c>
      <c r="AD1398" s="200">
        <f t="shared" si="11"/>
        <v>0</v>
      </c>
      <c r="AE1398" s="200">
        <f t="shared" ref="AE1398:AG1398" si="7071">countif($D1398,"*"&amp;AE$2&amp;"*")</f>
        <v>0</v>
      </c>
      <c r="AF1398" s="200">
        <f t="shared" si="7071"/>
        <v>0</v>
      </c>
      <c r="AG1398" s="200">
        <f t="shared" si="7071"/>
        <v>0</v>
      </c>
      <c r="AH1398" s="171">
        <f t="shared" si="13"/>
        <v>1</v>
      </c>
      <c r="AI1398" s="200">
        <f t="shared" si="14"/>
        <v>0</v>
      </c>
      <c r="AJ1398" s="200">
        <f t="shared" si="6100"/>
        <v>0</v>
      </c>
      <c r="AK1398" s="201">
        <f t="shared" ref="AK1398:AS1398" si="7072">countif($D1398,"*"&amp;AK$2&amp;"*")</f>
        <v>0</v>
      </c>
      <c r="AL1398" s="201">
        <f t="shared" si="7072"/>
        <v>0</v>
      </c>
      <c r="AM1398" s="201">
        <f t="shared" si="7072"/>
        <v>0</v>
      </c>
      <c r="AN1398" s="201">
        <f t="shared" si="7072"/>
        <v>0</v>
      </c>
      <c r="AO1398" s="201">
        <f t="shared" si="7072"/>
        <v>0</v>
      </c>
      <c r="AP1398" s="201">
        <f t="shared" si="7072"/>
        <v>0</v>
      </c>
      <c r="AQ1398" s="201">
        <f t="shared" si="7072"/>
        <v>0</v>
      </c>
      <c r="AR1398" s="200">
        <f t="shared" si="7072"/>
        <v>0</v>
      </c>
      <c r="AS1398" s="200">
        <f t="shared" si="7072"/>
        <v>0</v>
      </c>
      <c r="AT1398" s="173">
        <v>0.0</v>
      </c>
      <c r="AU1398" s="200">
        <f t="shared" si="6217"/>
        <v>0</v>
      </c>
      <c r="AV1398" s="200">
        <f t="shared" ref="AV1398:AX1398" si="7073">countif($D1398,"*"&amp;AV$2&amp;"*")</f>
        <v>0</v>
      </c>
      <c r="AW1398" s="200">
        <f t="shared" si="7073"/>
        <v>0</v>
      </c>
      <c r="AX1398" s="200">
        <f t="shared" si="7073"/>
        <v>0</v>
      </c>
      <c r="AY1398" s="202">
        <v>0.0</v>
      </c>
      <c r="AZ1398" s="200"/>
      <c r="BA1398" s="171" t="str">
        <f t="shared" si="18"/>
        <v/>
      </c>
      <c r="BB1398" s="171" t="str">
        <f t="shared" si="19"/>
        <v/>
      </c>
      <c r="BC1398" s="171" t="str">
        <f t="shared" si="20"/>
        <v/>
      </c>
      <c r="BD1398" s="171" t="str">
        <f t="shared" si="21"/>
        <v/>
      </c>
      <c r="BE1398" s="171" t="str">
        <f t="shared" si="22"/>
        <v>Others</v>
      </c>
      <c r="BF1398" s="171" t="str">
        <f t="shared" si="23"/>
        <v>Others</v>
      </c>
    </row>
    <row r="1399">
      <c r="A1399" s="171">
        <f t="array" ref="A1399">XLOOKUP(C1399,FSE!A:A,FSE!C:C,"XXXXX",0,1)</f>
        <v>2022</v>
      </c>
      <c r="B1399" s="213" t="s">
        <v>5676</v>
      </c>
      <c r="C1399" s="219">
        <v>130.0</v>
      </c>
      <c r="D1399" s="217" t="s">
        <v>6251</v>
      </c>
      <c r="E1399" s="197" t="str">
        <f t="array" ref="E1399">XLOOKUP(C1399,FSE!A:A,FSE!Z:Z,"XXXXX",0,1)</f>
        <v>Publicly Available (4)</v>
      </c>
      <c r="F1399" s="213" t="s">
        <v>3394</v>
      </c>
      <c r="G1399" s="163" t="str">
        <f t="array" ref="G1399">IF(B1399="ICSE",IF(COUNTIFS(B:B,B1399,C:C,C1399)=XLOOKUP(C1399,ICSE!A:A,ICSE!AA:AA,"ERROR",0,1),"OK","ERROR"),IF(B1399="FSE",IF(COUNTIFS(B:B,B1399,C:C,C1399)=XLOOKUP(C1399,FSE!A:A,FSE!AA:AA,"ERROR",0,1),"OK","ERROR")))</f>
        <v>OK</v>
      </c>
      <c r="H1399" s="199">
        <f t="shared" ref="H1399:O1399" si="7074">countif($D1399,"*"&amp;H$2&amp;"*")</f>
        <v>0</v>
      </c>
      <c r="I1399" s="200">
        <f t="shared" si="7074"/>
        <v>0</v>
      </c>
      <c r="J1399" s="200">
        <f t="shared" si="7074"/>
        <v>0</v>
      </c>
      <c r="K1399" s="200">
        <f t="shared" si="7074"/>
        <v>0</v>
      </c>
      <c r="L1399" s="200">
        <f t="shared" si="7074"/>
        <v>0</v>
      </c>
      <c r="M1399" s="200">
        <f t="shared" si="7074"/>
        <v>0</v>
      </c>
      <c r="N1399" s="200">
        <f t="shared" si="7074"/>
        <v>0</v>
      </c>
      <c r="O1399" s="200">
        <f t="shared" si="7074"/>
        <v>0</v>
      </c>
      <c r="P1399" s="200">
        <f t="shared" si="9"/>
        <v>0</v>
      </c>
      <c r="Q1399" s="200">
        <f t="shared" ref="Q1399:AC1399" si="7075">countif($D1399,"*"&amp;Q$2&amp;"*")</f>
        <v>0</v>
      </c>
      <c r="R1399" s="200">
        <f t="shared" si="7075"/>
        <v>0</v>
      </c>
      <c r="S1399" s="200">
        <f t="shared" si="7075"/>
        <v>0</v>
      </c>
      <c r="T1399" s="200">
        <f t="shared" si="7075"/>
        <v>0</v>
      </c>
      <c r="U1399" s="200">
        <f t="shared" si="7075"/>
        <v>0</v>
      </c>
      <c r="V1399" s="200">
        <f t="shared" si="7075"/>
        <v>0</v>
      </c>
      <c r="W1399" s="200">
        <f t="shared" si="7075"/>
        <v>0</v>
      </c>
      <c r="X1399" s="200">
        <f t="shared" si="7075"/>
        <v>0</v>
      </c>
      <c r="Y1399" s="200">
        <f t="shared" si="7075"/>
        <v>0</v>
      </c>
      <c r="Z1399" s="200">
        <f t="shared" si="7075"/>
        <v>1</v>
      </c>
      <c r="AA1399" s="200">
        <f t="shared" si="7075"/>
        <v>0</v>
      </c>
      <c r="AB1399" s="200">
        <f t="shared" si="7075"/>
        <v>0</v>
      </c>
      <c r="AC1399" s="200">
        <f t="shared" si="7075"/>
        <v>0</v>
      </c>
      <c r="AD1399" s="200">
        <f t="shared" si="11"/>
        <v>0</v>
      </c>
      <c r="AE1399" s="200">
        <f t="shared" ref="AE1399:AG1399" si="7076">countif($D1399,"*"&amp;AE$2&amp;"*")</f>
        <v>0</v>
      </c>
      <c r="AF1399" s="200">
        <f t="shared" si="7076"/>
        <v>0</v>
      </c>
      <c r="AG1399" s="200">
        <f t="shared" si="7076"/>
        <v>0</v>
      </c>
      <c r="AH1399" s="171">
        <f t="shared" si="13"/>
        <v>0</v>
      </c>
      <c r="AI1399" s="200">
        <f t="shared" si="14"/>
        <v>0</v>
      </c>
      <c r="AJ1399" s="200">
        <f t="shared" si="6100"/>
        <v>1</v>
      </c>
      <c r="AK1399" s="201">
        <f t="shared" ref="AK1399:AS1399" si="7077">countif($D1399,"*"&amp;AK$2&amp;"*")</f>
        <v>1</v>
      </c>
      <c r="AL1399" s="201">
        <f t="shared" si="7077"/>
        <v>0</v>
      </c>
      <c r="AM1399" s="201">
        <f t="shared" si="7077"/>
        <v>0</v>
      </c>
      <c r="AN1399" s="201">
        <f t="shared" si="7077"/>
        <v>0</v>
      </c>
      <c r="AO1399" s="201">
        <f t="shared" si="7077"/>
        <v>0</v>
      </c>
      <c r="AP1399" s="201">
        <f t="shared" si="7077"/>
        <v>0</v>
      </c>
      <c r="AQ1399" s="201">
        <f t="shared" si="7077"/>
        <v>0</v>
      </c>
      <c r="AR1399" s="200">
        <f t="shared" si="7077"/>
        <v>0</v>
      </c>
      <c r="AS1399" s="200">
        <f t="shared" si="7077"/>
        <v>1</v>
      </c>
      <c r="AT1399" s="173">
        <v>0.0</v>
      </c>
      <c r="AU1399" s="200">
        <f t="shared" si="6217"/>
        <v>0</v>
      </c>
      <c r="AV1399" s="200">
        <f t="shared" ref="AV1399:AX1399" si="7078">countif($D1399,"*"&amp;AV$2&amp;"*")</f>
        <v>0</v>
      </c>
      <c r="AW1399" s="200">
        <f t="shared" si="7078"/>
        <v>0</v>
      </c>
      <c r="AX1399" s="200">
        <f t="shared" si="7078"/>
        <v>0</v>
      </c>
      <c r="AY1399" s="202">
        <v>0.0</v>
      </c>
      <c r="AZ1399" s="200"/>
      <c r="BA1399" s="171" t="str">
        <f t="shared" si="18"/>
        <v/>
      </c>
      <c r="BB1399" s="171" t="str">
        <f t="shared" si="19"/>
        <v/>
      </c>
      <c r="BC1399" s="171" t="str">
        <f t="shared" si="20"/>
        <v>General-purpose</v>
      </c>
      <c r="BD1399" s="171" t="str">
        <f t="shared" si="21"/>
        <v/>
      </c>
      <c r="BE1399" s="171" t="str">
        <f t="shared" si="22"/>
        <v/>
      </c>
      <c r="BF1399" s="171" t="str">
        <f t="shared" si="23"/>
        <v>General-purpose</v>
      </c>
    </row>
    <row r="1400">
      <c r="A1400" s="171">
        <f t="array" ref="A1400">XLOOKUP(C1400,FSE!A:A,FSE!C:C,"XXXXX",0,1)</f>
        <v>2022</v>
      </c>
      <c r="B1400" s="213" t="s">
        <v>5676</v>
      </c>
      <c r="C1400" s="214">
        <v>130.0</v>
      </c>
      <c r="D1400" s="217" t="s">
        <v>6252</v>
      </c>
      <c r="E1400" s="197" t="str">
        <f t="array" ref="E1400">XLOOKUP(C1400,FSE!A:A,FSE!Z:Z,"XXXXX",0,1)</f>
        <v>Publicly Available (4)</v>
      </c>
      <c r="F1400" s="213" t="s">
        <v>3394</v>
      </c>
      <c r="G1400" s="163" t="str">
        <f t="array" ref="G1400">IF(B1400="ICSE",IF(COUNTIFS(B:B,B1400,C:C,C1400)=XLOOKUP(C1400,ICSE!A:A,ICSE!AA:AA,"ERROR",0,1),"OK","ERROR"),IF(B1400="FSE",IF(COUNTIFS(B:B,B1400,C:C,C1400)=XLOOKUP(C1400,FSE!A:A,FSE!AA:AA,"ERROR",0,1),"OK","ERROR")))</f>
        <v>OK</v>
      </c>
      <c r="H1400" s="199">
        <f t="shared" ref="H1400:O1400" si="7079">countif($D1400,"*"&amp;H$2&amp;"*")</f>
        <v>0</v>
      </c>
      <c r="I1400" s="200">
        <f t="shared" si="7079"/>
        <v>0</v>
      </c>
      <c r="J1400" s="200">
        <f t="shared" si="7079"/>
        <v>0</v>
      </c>
      <c r="K1400" s="200">
        <f t="shared" si="7079"/>
        <v>0</v>
      </c>
      <c r="L1400" s="200">
        <f t="shared" si="7079"/>
        <v>0</v>
      </c>
      <c r="M1400" s="200">
        <f t="shared" si="7079"/>
        <v>0</v>
      </c>
      <c r="N1400" s="200">
        <f t="shared" si="7079"/>
        <v>0</v>
      </c>
      <c r="O1400" s="200">
        <f t="shared" si="7079"/>
        <v>0</v>
      </c>
      <c r="P1400" s="200">
        <f t="shared" si="9"/>
        <v>0</v>
      </c>
      <c r="Q1400" s="200">
        <f t="shared" ref="Q1400:AC1400" si="7080">countif($D1400,"*"&amp;Q$2&amp;"*")</f>
        <v>0</v>
      </c>
      <c r="R1400" s="200">
        <f t="shared" si="7080"/>
        <v>0</v>
      </c>
      <c r="S1400" s="200">
        <f t="shared" si="7080"/>
        <v>0</v>
      </c>
      <c r="T1400" s="200">
        <f t="shared" si="7080"/>
        <v>0</v>
      </c>
      <c r="U1400" s="200">
        <f t="shared" si="7080"/>
        <v>0</v>
      </c>
      <c r="V1400" s="200">
        <f t="shared" si="7080"/>
        <v>1</v>
      </c>
      <c r="W1400" s="200">
        <f t="shared" si="7080"/>
        <v>0</v>
      </c>
      <c r="X1400" s="200">
        <f t="shared" si="7080"/>
        <v>0</v>
      </c>
      <c r="Y1400" s="200">
        <f t="shared" si="7080"/>
        <v>0</v>
      </c>
      <c r="Z1400" s="200">
        <f t="shared" si="7080"/>
        <v>0</v>
      </c>
      <c r="AA1400" s="200">
        <f t="shared" si="7080"/>
        <v>0</v>
      </c>
      <c r="AB1400" s="200">
        <f t="shared" si="7080"/>
        <v>0</v>
      </c>
      <c r="AC1400" s="200">
        <f t="shared" si="7080"/>
        <v>0</v>
      </c>
      <c r="AD1400" s="200">
        <f t="shared" si="11"/>
        <v>0</v>
      </c>
      <c r="AE1400" s="200">
        <f t="shared" ref="AE1400:AG1400" si="7081">countif($D1400,"*"&amp;AE$2&amp;"*")</f>
        <v>0</v>
      </c>
      <c r="AF1400" s="200">
        <f t="shared" si="7081"/>
        <v>0</v>
      </c>
      <c r="AG1400" s="200">
        <f t="shared" si="7081"/>
        <v>0</v>
      </c>
      <c r="AH1400" s="171">
        <f t="shared" si="13"/>
        <v>0</v>
      </c>
      <c r="AI1400" s="200">
        <f t="shared" si="14"/>
        <v>0</v>
      </c>
      <c r="AJ1400" s="200">
        <f t="shared" si="6100"/>
        <v>1</v>
      </c>
      <c r="AK1400" s="201">
        <f t="shared" ref="AK1400:AS1400" si="7082">countif($D1400,"*"&amp;AK$2&amp;"*")</f>
        <v>1</v>
      </c>
      <c r="AL1400" s="201">
        <f t="shared" si="7082"/>
        <v>0</v>
      </c>
      <c r="AM1400" s="201">
        <f t="shared" si="7082"/>
        <v>0</v>
      </c>
      <c r="AN1400" s="201">
        <f t="shared" si="7082"/>
        <v>0</v>
      </c>
      <c r="AO1400" s="201">
        <f t="shared" si="7082"/>
        <v>0</v>
      </c>
      <c r="AP1400" s="201">
        <f t="shared" si="7082"/>
        <v>0</v>
      </c>
      <c r="AQ1400" s="201">
        <f t="shared" si="7082"/>
        <v>0</v>
      </c>
      <c r="AR1400" s="200">
        <f t="shared" si="7082"/>
        <v>0</v>
      </c>
      <c r="AS1400" s="200">
        <f t="shared" si="7082"/>
        <v>1</v>
      </c>
      <c r="AT1400" s="173">
        <v>0.0</v>
      </c>
      <c r="AU1400" s="200">
        <f t="shared" si="6217"/>
        <v>0</v>
      </c>
      <c r="AV1400" s="200">
        <f t="shared" ref="AV1400:AX1400" si="7083">countif($D1400,"*"&amp;AV$2&amp;"*")</f>
        <v>0</v>
      </c>
      <c r="AW1400" s="200">
        <f t="shared" si="7083"/>
        <v>0</v>
      </c>
      <c r="AX1400" s="200">
        <f t="shared" si="7083"/>
        <v>0</v>
      </c>
      <c r="AY1400" s="202">
        <v>0.0</v>
      </c>
      <c r="AZ1400" s="200"/>
      <c r="BA1400" s="171" t="str">
        <f t="shared" si="18"/>
        <v/>
      </c>
      <c r="BB1400" s="171" t="str">
        <f t="shared" si="19"/>
        <v/>
      </c>
      <c r="BC1400" s="171" t="str">
        <f t="shared" si="20"/>
        <v>General-purpose</v>
      </c>
      <c r="BD1400" s="171" t="str">
        <f t="shared" si="21"/>
        <v/>
      </c>
      <c r="BE1400" s="171" t="str">
        <f t="shared" si="22"/>
        <v/>
      </c>
      <c r="BF1400" s="171" t="str">
        <f t="shared" si="23"/>
        <v>General-purpose</v>
      </c>
    </row>
    <row r="1401">
      <c r="A1401" s="171">
        <f t="array" ref="A1401">XLOOKUP(C1401,FSE!A:A,FSE!C:C,"XXXXX",0,1)</f>
        <v>2022</v>
      </c>
      <c r="B1401" s="171" t="s">
        <v>5676</v>
      </c>
      <c r="C1401" s="160">
        <v>130.0</v>
      </c>
      <c r="D1401" s="161" t="s">
        <v>6253</v>
      </c>
      <c r="E1401" s="197" t="str">
        <f t="array" ref="E1401">XLOOKUP(C1401,FSE!A:A,FSE!Z:Z,"XXXXX",0,1)</f>
        <v>Publicly Available (4)</v>
      </c>
      <c r="F1401" s="213" t="s">
        <v>3394</v>
      </c>
      <c r="G1401" s="163" t="str">
        <f t="array" ref="G1401">IF(B1401="ICSE",IF(COUNTIFS(B:B,B1401,C:C,C1401)=XLOOKUP(C1401,ICSE!A:A,ICSE!AA:AA,"ERROR",0,1),"OK","ERROR"),IF(B1401="FSE",IF(COUNTIFS(B:B,B1401,C:C,C1401)=XLOOKUP(C1401,FSE!A:A,FSE!AA:AA,"ERROR",0,1),"OK","ERROR")))</f>
        <v>OK</v>
      </c>
      <c r="H1401" s="199">
        <f t="shared" ref="H1401:O1401" si="7084">countif($D1401,"*"&amp;H$2&amp;"*")</f>
        <v>0</v>
      </c>
      <c r="I1401" s="200">
        <f t="shared" si="7084"/>
        <v>0</v>
      </c>
      <c r="J1401" s="200">
        <f t="shared" si="7084"/>
        <v>0</v>
      </c>
      <c r="K1401" s="200">
        <f t="shared" si="7084"/>
        <v>0</v>
      </c>
      <c r="L1401" s="200">
        <f t="shared" si="7084"/>
        <v>0</v>
      </c>
      <c r="M1401" s="200">
        <f t="shared" si="7084"/>
        <v>0</v>
      </c>
      <c r="N1401" s="200">
        <f t="shared" si="7084"/>
        <v>0</v>
      </c>
      <c r="O1401" s="200">
        <f t="shared" si="7084"/>
        <v>0</v>
      </c>
      <c r="P1401" s="200">
        <f t="shared" si="9"/>
        <v>0</v>
      </c>
      <c r="Q1401" s="200">
        <f t="shared" ref="Q1401:AC1401" si="7085">countif($D1401,"*"&amp;Q$2&amp;"*")</f>
        <v>0</v>
      </c>
      <c r="R1401" s="200">
        <f t="shared" si="7085"/>
        <v>0</v>
      </c>
      <c r="S1401" s="200">
        <f t="shared" si="7085"/>
        <v>0</v>
      </c>
      <c r="T1401" s="200">
        <f t="shared" si="7085"/>
        <v>0</v>
      </c>
      <c r="U1401" s="200">
        <f t="shared" si="7085"/>
        <v>0</v>
      </c>
      <c r="V1401" s="200">
        <f t="shared" si="7085"/>
        <v>1</v>
      </c>
      <c r="W1401" s="200">
        <f t="shared" si="7085"/>
        <v>0</v>
      </c>
      <c r="X1401" s="200">
        <f t="shared" si="7085"/>
        <v>0</v>
      </c>
      <c r="Y1401" s="200">
        <f t="shared" si="7085"/>
        <v>0</v>
      </c>
      <c r="Z1401" s="200">
        <f t="shared" si="7085"/>
        <v>0</v>
      </c>
      <c r="AA1401" s="200">
        <f t="shared" si="7085"/>
        <v>0</v>
      </c>
      <c r="AB1401" s="200">
        <f t="shared" si="7085"/>
        <v>0</v>
      </c>
      <c r="AC1401" s="200">
        <f t="shared" si="7085"/>
        <v>0</v>
      </c>
      <c r="AD1401" s="200">
        <f t="shared" si="11"/>
        <v>0</v>
      </c>
      <c r="AE1401" s="200">
        <f t="shared" ref="AE1401:AG1401" si="7086">countif($D1401,"*"&amp;AE$2&amp;"*")</f>
        <v>0</v>
      </c>
      <c r="AF1401" s="200">
        <f t="shared" si="7086"/>
        <v>0</v>
      </c>
      <c r="AG1401" s="200">
        <f t="shared" si="7086"/>
        <v>0</v>
      </c>
      <c r="AH1401" s="171">
        <f t="shared" si="13"/>
        <v>0</v>
      </c>
      <c r="AI1401" s="200">
        <f t="shared" si="14"/>
        <v>0</v>
      </c>
      <c r="AJ1401" s="200">
        <f t="shared" si="6100"/>
        <v>1</v>
      </c>
      <c r="AK1401" s="201">
        <f t="shared" ref="AK1401:AS1401" si="7087">countif($D1401,"*"&amp;AK$2&amp;"*")</f>
        <v>1</v>
      </c>
      <c r="AL1401" s="201">
        <f t="shared" si="7087"/>
        <v>0</v>
      </c>
      <c r="AM1401" s="201">
        <f t="shared" si="7087"/>
        <v>0</v>
      </c>
      <c r="AN1401" s="201">
        <f t="shared" si="7087"/>
        <v>0</v>
      </c>
      <c r="AO1401" s="201">
        <f t="shared" si="7087"/>
        <v>0</v>
      </c>
      <c r="AP1401" s="201">
        <f t="shared" si="7087"/>
        <v>0</v>
      </c>
      <c r="AQ1401" s="201">
        <f t="shared" si="7087"/>
        <v>0</v>
      </c>
      <c r="AR1401" s="200">
        <f t="shared" si="7087"/>
        <v>0</v>
      </c>
      <c r="AS1401" s="200">
        <f t="shared" si="7087"/>
        <v>1</v>
      </c>
      <c r="AT1401" s="173">
        <v>0.0</v>
      </c>
      <c r="AU1401" s="200">
        <f t="shared" si="6217"/>
        <v>0</v>
      </c>
      <c r="AV1401" s="200">
        <f t="shared" ref="AV1401:AX1401" si="7088">countif($D1401,"*"&amp;AV$2&amp;"*")</f>
        <v>0</v>
      </c>
      <c r="AW1401" s="200">
        <f t="shared" si="7088"/>
        <v>0</v>
      </c>
      <c r="AX1401" s="200">
        <f t="shared" si="7088"/>
        <v>0</v>
      </c>
      <c r="AY1401" s="202">
        <v>0.0</v>
      </c>
      <c r="AZ1401" s="200"/>
      <c r="BA1401" s="171" t="str">
        <f t="shared" si="18"/>
        <v/>
      </c>
      <c r="BB1401" s="171" t="str">
        <f t="shared" si="19"/>
        <v/>
      </c>
      <c r="BC1401" s="171" t="str">
        <f t="shared" si="20"/>
        <v>General-purpose</v>
      </c>
      <c r="BD1401" s="171" t="str">
        <f t="shared" si="21"/>
        <v/>
      </c>
      <c r="BE1401" s="171" t="str">
        <f t="shared" si="22"/>
        <v/>
      </c>
      <c r="BF1401" s="171" t="str">
        <f t="shared" si="23"/>
        <v>General-purpose</v>
      </c>
    </row>
    <row r="1402">
      <c r="A1402" s="171">
        <f t="array" ref="A1402">XLOOKUP(C1402,FSE!A:A,FSE!C:C,"XXXXX",0,1)</f>
        <v>2022</v>
      </c>
      <c r="B1402" s="171" t="s">
        <v>5676</v>
      </c>
      <c r="C1402" s="160">
        <v>130.0</v>
      </c>
      <c r="D1402" s="161" t="s">
        <v>6254</v>
      </c>
      <c r="E1402" s="197" t="str">
        <f t="array" ref="E1402">XLOOKUP(C1402,FSE!A:A,FSE!Z:Z,"XXXXX",0,1)</f>
        <v>Publicly Available (4)</v>
      </c>
      <c r="F1402" s="213" t="s">
        <v>3394</v>
      </c>
      <c r="G1402" s="163" t="str">
        <f t="array" ref="G1402">IF(B1402="ICSE",IF(COUNTIFS(B:B,B1402,C:C,C1402)=XLOOKUP(C1402,ICSE!A:A,ICSE!AA:AA,"ERROR",0,1),"OK","ERROR"),IF(B1402="FSE",IF(COUNTIFS(B:B,B1402,C:C,C1402)=XLOOKUP(C1402,FSE!A:A,FSE!AA:AA,"ERROR",0,1),"OK","ERROR")))</f>
        <v>OK</v>
      </c>
      <c r="H1402" s="199">
        <f t="shared" ref="H1402:O1402" si="7089">countif($D1402,"*"&amp;H$2&amp;"*")</f>
        <v>0</v>
      </c>
      <c r="I1402" s="200">
        <f t="shared" si="7089"/>
        <v>0</v>
      </c>
      <c r="J1402" s="200">
        <f t="shared" si="7089"/>
        <v>0</v>
      </c>
      <c r="K1402" s="200">
        <f t="shared" si="7089"/>
        <v>0</v>
      </c>
      <c r="L1402" s="200">
        <f t="shared" si="7089"/>
        <v>0</v>
      </c>
      <c r="M1402" s="200">
        <f t="shared" si="7089"/>
        <v>0</v>
      </c>
      <c r="N1402" s="200">
        <f t="shared" si="7089"/>
        <v>0</v>
      </c>
      <c r="O1402" s="200">
        <f t="shared" si="7089"/>
        <v>0</v>
      </c>
      <c r="P1402" s="200">
        <f t="shared" si="9"/>
        <v>0</v>
      </c>
      <c r="Q1402" s="200">
        <f t="shared" ref="Q1402:AC1402" si="7090">countif($D1402,"*"&amp;Q$2&amp;"*")</f>
        <v>0</v>
      </c>
      <c r="R1402" s="200">
        <f t="shared" si="7090"/>
        <v>0</v>
      </c>
      <c r="S1402" s="200">
        <f t="shared" si="7090"/>
        <v>0</v>
      </c>
      <c r="T1402" s="200">
        <f t="shared" si="7090"/>
        <v>0</v>
      </c>
      <c r="U1402" s="200">
        <f t="shared" si="7090"/>
        <v>0</v>
      </c>
      <c r="V1402" s="200">
        <f t="shared" si="7090"/>
        <v>0</v>
      </c>
      <c r="W1402" s="200">
        <f t="shared" si="7090"/>
        <v>0</v>
      </c>
      <c r="X1402" s="200">
        <f t="shared" si="7090"/>
        <v>0</v>
      </c>
      <c r="Y1402" s="200">
        <f t="shared" si="7090"/>
        <v>0</v>
      </c>
      <c r="Z1402" s="200">
        <f t="shared" si="7090"/>
        <v>1</v>
      </c>
      <c r="AA1402" s="200">
        <f t="shared" si="7090"/>
        <v>0</v>
      </c>
      <c r="AB1402" s="200">
        <f t="shared" si="7090"/>
        <v>0</v>
      </c>
      <c r="AC1402" s="200">
        <f t="shared" si="7090"/>
        <v>0</v>
      </c>
      <c r="AD1402" s="200">
        <f t="shared" si="11"/>
        <v>0</v>
      </c>
      <c r="AE1402" s="200">
        <f t="shared" ref="AE1402:AG1402" si="7091">countif($D1402,"*"&amp;AE$2&amp;"*")</f>
        <v>0</v>
      </c>
      <c r="AF1402" s="200">
        <f t="shared" si="7091"/>
        <v>0</v>
      </c>
      <c r="AG1402" s="200">
        <f t="shared" si="7091"/>
        <v>0</v>
      </c>
      <c r="AH1402" s="171">
        <f t="shared" si="13"/>
        <v>0</v>
      </c>
      <c r="AI1402" s="200">
        <f t="shared" si="14"/>
        <v>0</v>
      </c>
      <c r="AJ1402" s="200">
        <f t="shared" si="6100"/>
        <v>1</v>
      </c>
      <c r="AK1402" s="201">
        <f t="shared" ref="AK1402:AS1402" si="7092">countif($D1402,"*"&amp;AK$2&amp;"*")</f>
        <v>1</v>
      </c>
      <c r="AL1402" s="201">
        <f t="shared" si="7092"/>
        <v>0</v>
      </c>
      <c r="AM1402" s="201">
        <f t="shared" si="7092"/>
        <v>0</v>
      </c>
      <c r="AN1402" s="201">
        <f t="shared" si="7092"/>
        <v>0</v>
      </c>
      <c r="AO1402" s="201">
        <f t="shared" si="7092"/>
        <v>0</v>
      </c>
      <c r="AP1402" s="201">
        <f t="shared" si="7092"/>
        <v>0</v>
      </c>
      <c r="AQ1402" s="201">
        <f t="shared" si="7092"/>
        <v>0</v>
      </c>
      <c r="AR1402" s="200">
        <f t="shared" si="7092"/>
        <v>0</v>
      </c>
      <c r="AS1402" s="200">
        <f t="shared" si="7092"/>
        <v>1</v>
      </c>
      <c r="AT1402" s="173">
        <v>0.0</v>
      </c>
      <c r="AU1402" s="200">
        <f t="shared" si="6217"/>
        <v>0</v>
      </c>
      <c r="AV1402" s="200">
        <f t="shared" ref="AV1402:AX1402" si="7093">countif($D1402,"*"&amp;AV$2&amp;"*")</f>
        <v>0</v>
      </c>
      <c r="AW1402" s="200">
        <f t="shared" si="7093"/>
        <v>0</v>
      </c>
      <c r="AX1402" s="200">
        <f t="shared" si="7093"/>
        <v>0</v>
      </c>
      <c r="AY1402" s="202">
        <v>0.0</v>
      </c>
      <c r="AZ1402" s="200"/>
      <c r="BA1402" s="171" t="str">
        <f t="shared" si="18"/>
        <v/>
      </c>
      <c r="BB1402" s="171" t="str">
        <f t="shared" si="19"/>
        <v/>
      </c>
      <c r="BC1402" s="171" t="str">
        <f t="shared" si="20"/>
        <v>General-purpose</v>
      </c>
      <c r="BD1402" s="171" t="str">
        <f t="shared" si="21"/>
        <v/>
      </c>
      <c r="BE1402" s="171" t="str">
        <f t="shared" si="22"/>
        <v/>
      </c>
      <c r="BF1402" s="171" t="str">
        <f t="shared" si="23"/>
        <v>General-purpose</v>
      </c>
    </row>
    <row r="1403">
      <c r="A1403" s="171">
        <f t="array" ref="A1403">XLOOKUP(C1403,FSE!A:A,FSE!C:C,"XXXXX",0,1)</f>
        <v>2022</v>
      </c>
      <c r="B1403" s="213" t="s">
        <v>5676</v>
      </c>
      <c r="C1403" s="214">
        <v>131.0</v>
      </c>
      <c r="D1403" s="215" t="s">
        <v>5030</v>
      </c>
      <c r="E1403" s="197" t="str">
        <f t="array" ref="E1403">XLOOKUP(C1403,FSE!A:A,FSE!Z:Z,"XXXXX",0,1)</f>
        <v>Publicly Available (1)</v>
      </c>
      <c r="F1403" s="213" t="s">
        <v>3394</v>
      </c>
      <c r="G1403" s="163" t="str">
        <f t="array" ref="G1403">IF(B1403="ICSE",IF(COUNTIFS(B:B,B1403,C:C,C1403)=XLOOKUP(C1403,ICSE!A:A,ICSE!AA:AA,"ERROR",0,1),"OK","ERROR"),IF(B1403="FSE",IF(COUNTIFS(B:B,B1403,C:C,C1403)=XLOOKUP(C1403,FSE!A:A,FSE!AA:AA,"ERROR",0,1),"OK","ERROR")))</f>
        <v>OK</v>
      </c>
      <c r="H1403" s="199">
        <f t="shared" ref="H1403:O1403" si="7094">countif($D1403,"*"&amp;H$2&amp;"*")</f>
        <v>0</v>
      </c>
      <c r="I1403" s="200">
        <f t="shared" si="7094"/>
        <v>0</v>
      </c>
      <c r="J1403" s="200">
        <f t="shared" si="7094"/>
        <v>0</v>
      </c>
      <c r="K1403" s="200">
        <f t="shared" si="7094"/>
        <v>0</v>
      </c>
      <c r="L1403" s="200">
        <f t="shared" si="7094"/>
        <v>0</v>
      </c>
      <c r="M1403" s="200">
        <f t="shared" si="7094"/>
        <v>0</v>
      </c>
      <c r="N1403" s="200">
        <f t="shared" si="7094"/>
        <v>0</v>
      </c>
      <c r="O1403" s="200">
        <f t="shared" si="7094"/>
        <v>0</v>
      </c>
      <c r="P1403" s="200">
        <f t="shared" si="9"/>
        <v>1</v>
      </c>
      <c r="Q1403" s="200">
        <f t="shared" ref="Q1403:AC1403" si="7095">countif($D1403,"*"&amp;Q$2&amp;"*")</f>
        <v>0</v>
      </c>
      <c r="R1403" s="200">
        <f t="shared" si="7095"/>
        <v>0</v>
      </c>
      <c r="S1403" s="200">
        <f t="shared" si="7095"/>
        <v>0</v>
      </c>
      <c r="T1403" s="200">
        <f t="shared" si="7095"/>
        <v>0</v>
      </c>
      <c r="U1403" s="200">
        <f t="shared" si="7095"/>
        <v>0</v>
      </c>
      <c r="V1403" s="200">
        <f t="shared" si="7095"/>
        <v>0</v>
      </c>
      <c r="W1403" s="200">
        <f t="shared" si="7095"/>
        <v>0</v>
      </c>
      <c r="X1403" s="200">
        <f t="shared" si="7095"/>
        <v>0</v>
      </c>
      <c r="Y1403" s="200">
        <f t="shared" si="7095"/>
        <v>0</v>
      </c>
      <c r="Z1403" s="200">
        <f t="shared" si="7095"/>
        <v>0</v>
      </c>
      <c r="AA1403" s="200">
        <f t="shared" si="7095"/>
        <v>0</v>
      </c>
      <c r="AB1403" s="200">
        <f t="shared" si="7095"/>
        <v>0</v>
      </c>
      <c r="AC1403" s="200">
        <f t="shared" si="7095"/>
        <v>0</v>
      </c>
      <c r="AD1403" s="200">
        <f t="shared" si="11"/>
        <v>0</v>
      </c>
      <c r="AE1403" s="200">
        <f t="shared" ref="AE1403:AG1403" si="7096">countif($D1403,"*"&amp;AE$2&amp;"*")</f>
        <v>0</v>
      </c>
      <c r="AF1403" s="200">
        <f t="shared" si="7096"/>
        <v>0</v>
      </c>
      <c r="AG1403" s="200">
        <f t="shared" si="7096"/>
        <v>0</v>
      </c>
      <c r="AH1403" s="171">
        <f t="shared" si="13"/>
        <v>0</v>
      </c>
      <c r="AI1403" s="200">
        <f t="shared" si="14"/>
        <v>0</v>
      </c>
      <c r="AJ1403" s="200">
        <f t="shared" si="6100"/>
        <v>0</v>
      </c>
      <c r="AK1403" s="201">
        <f t="shared" ref="AK1403:AS1403" si="7097">countif($D1403,"*"&amp;AK$2&amp;"*")</f>
        <v>0</v>
      </c>
      <c r="AL1403" s="201">
        <f t="shared" si="7097"/>
        <v>0</v>
      </c>
      <c r="AM1403" s="201">
        <f t="shared" si="7097"/>
        <v>0</v>
      </c>
      <c r="AN1403" s="201">
        <f t="shared" si="7097"/>
        <v>0</v>
      </c>
      <c r="AO1403" s="201">
        <f t="shared" si="7097"/>
        <v>0</v>
      </c>
      <c r="AP1403" s="201">
        <f t="shared" si="7097"/>
        <v>0</v>
      </c>
      <c r="AQ1403" s="201">
        <f t="shared" si="7097"/>
        <v>0</v>
      </c>
      <c r="AR1403" s="200">
        <f t="shared" si="7097"/>
        <v>0</v>
      </c>
      <c r="AS1403" s="200">
        <f t="shared" si="7097"/>
        <v>0</v>
      </c>
      <c r="AT1403" s="173">
        <v>0.0</v>
      </c>
      <c r="AU1403" s="200">
        <f t="shared" si="6217"/>
        <v>0</v>
      </c>
      <c r="AV1403" s="200">
        <f t="shared" ref="AV1403:AX1403" si="7098">countif($D1403,"*"&amp;AV$2&amp;"*")</f>
        <v>1</v>
      </c>
      <c r="AW1403" s="200">
        <f t="shared" si="7098"/>
        <v>0</v>
      </c>
      <c r="AX1403" s="200">
        <f t="shared" si="7098"/>
        <v>0</v>
      </c>
      <c r="AY1403" s="202">
        <v>0.0</v>
      </c>
      <c r="AZ1403" s="200"/>
      <c r="BA1403" s="171" t="str">
        <f t="shared" si="18"/>
        <v/>
      </c>
      <c r="BB1403" s="171" t="str">
        <f t="shared" si="19"/>
        <v>Code</v>
      </c>
      <c r="BC1403" s="171" t="str">
        <f t="shared" si="20"/>
        <v/>
      </c>
      <c r="BD1403" s="171" t="str">
        <f t="shared" si="21"/>
        <v/>
      </c>
      <c r="BE1403" s="171" t="str">
        <f t="shared" si="22"/>
        <v/>
      </c>
      <c r="BF1403" s="171" t="str">
        <f t="shared" si="23"/>
        <v>Code</v>
      </c>
    </row>
    <row r="1404">
      <c r="A1404" s="171">
        <f t="array" ref="A1404">XLOOKUP(C1404,FSE!A:A,FSE!C:C,"XXXXX",0,1)</f>
        <v>2022</v>
      </c>
      <c r="B1404" s="171" t="s">
        <v>5676</v>
      </c>
      <c r="C1404" s="160">
        <v>132.0</v>
      </c>
      <c r="D1404" s="161" t="s">
        <v>5034</v>
      </c>
      <c r="E1404" s="197" t="str">
        <f t="array" ref="E1404">XLOOKUP(C1404,FSE!A:A,FSE!Z:Z,"XXXXX",0,1)</f>
        <v>Publicly Available (1)</v>
      </c>
      <c r="F1404" s="213" t="s">
        <v>3394</v>
      </c>
      <c r="G1404" s="163" t="str">
        <f t="array" ref="G1404">IF(B1404="ICSE",IF(COUNTIFS(B:B,B1404,C:C,C1404)=XLOOKUP(C1404,ICSE!A:A,ICSE!AA:AA,"ERROR",0,1),"OK","ERROR"),IF(B1404="FSE",IF(COUNTIFS(B:B,B1404,C:C,C1404)=XLOOKUP(C1404,FSE!A:A,FSE!AA:AA,"ERROR",0,1),"OK","ERROR")))</f>
        <v>OK</v>
      </c>
      <c r="H1404" s="199">
        <f t="shared" ref="H1404:O1404" si="7099">countif($D1404,"*"&amp;H$2&amp;"*")</f>
        <v>1</v>
      </c>
      <c r="I1404" s="200">
        <f t="shared" si="7099"/>
        <v>0</v>
      </c>
      <c r="J1404" s="200">
        <f t="shared" si="7099"/>
        <v>0</v>
      </c>
      <c r="K1404" s="200">
        <f t="shared" si="7099"/>
        <v>0</v>
      </c>
      <c r="L1404" s="200">
        <f t="shared" si="7099"/>
        <v>0</v>
      </c>
      <c r="M1404" s="200">
        <f t="shared" si="7099"/>
        <v>0</v>
      </c>
      <c r="N1404" s="200">
        <f t="shared" si="7099"/>
        <v>0</v>
      </c>
      <c r="O1404" s="200">
        <f t="shared" si="7099"/>
        <v>0</v>
      </c>
      <c r="P1404" s="200">
        <f t="shared" si="9"/>
        <v>0</v>
      </c>
      <c r="Q1404" s="200">
        <f t="shared" ref="Q1404:AC1404" si="7100">countif($D1404,"*"&amp;Q$2&amp;"*")</f>
        <v>0</v>
      </c>
      <c r="R1404" s="200">
        <f t="shared" si="7100"/>
        <v>0</v>
      </c>
      <c r="S1404" s="200">
        <f t="shared" si="7100"/>
        <v>0</v>
      </c>
      <c r="T1404" s="200">
        <f t="shared" si="7100"/>
        <v>0</v>
      </c>
      <c r="U1404" s="200">
        <f t="shared" si="7100"/>
        <v>0</v>
      </c>
      <c r="V1404" s="200">
        <f t="shared" si="7100"/>
        <v>0</v>
      </c>
      <c r="W1404" s="200">
        <f t="shared" si="7100"/>
        <v>0</v>
      </c>
      <c r="X1404" s="200">
        <f t="shared" si="7100"/>
        <v>0</v>
      </c>
      <c r="Y1404" s="200">
        <f t="shared" si="7100"/>
        <v>0</v>
      </c>
      <c r="Z1404" s="200">
        <f t="shared" si="7100"/>
        <v>0</v>
      </c>
      <c r="AA1404" s="200">
        <f t="shared" si="7100"/>
        <v>0</v>
      </c>
      <c r="AB1404" s="200">
        <f t="shared" si="7100"/>
        <v>0</v>
      </c>
      <c r="AC1404" s="200">
        <f t="shared" si="7100"/>
        <v>0</v>
      </c>
      <c r="AD1404" s="200">
        <f t="shared" si="11"/>
        <v>0</v>
      </c>
      <c r="AE1404" s="200">
        <f t="shared" ref="AE1404:AG1404" si="7101">countif($D1404,"*"&amp;AE$2&amp;"*")</f>
        <v>0</v>
      </c>
      <c r="AF1404" s="200">
        <f t="shared" si="7101"/>
        <v>0</v>
      </c>
      <c r="AG1404" s="200">
        <f t="shared" si="7101"/>
        <v>0</v>
      </c>
      <c r="AH1404" s="171">
        <f t="shared" si="13"/>
        <v>0</v>
      </c>
      <c r="AI1404" s="200">
        <f t="shared" si="14"/>
        <v>1</v>
      </c>
      <c r="AJ1404" s="200">
        <f t="shared" si="6100"/>
        <v>0</v>
      </c>
      <c r="AK1404" s="201">
        <f t="shared" ref="AK1404:AS1404" si="7102">countif($D1404,"*"&amp;AK$2&amp;"*")</f>
        <v>0</v>
      </c>
      <c r="AL1404" s="201">
        <f t="shared" si="7102"/>
        <v>0</v>
      </c>
      <c r="AM1404" s="201">
        <f t="shared" si="7102"/>
        <v>0</v>
      </c>
      <c r="AN1404" s="201">
        <f t="shared" si="7102"/>
        <v>0</v>
      </c>
      <c r="AO1404" s="201">
        <f t="shared" si="7102"/>
        <v>0</v>
      </c>
      <c r="AP1404" s="201">
        <f t="shared" si="7102"/>
        <v>0</v>
      </c>
      <c r="AQ1404" s="201">
        <f t="shared" si="7102"/>
        <v>0</v>
      </c>
      <c r="AR1404" s="200">
        <f t="shared" si="7102"/>
        <v>0</v>
      </c>
      <c r="AS1404" s="200">
        <f t="shared" si="7102"/>
        <v>0</v>
      </c>
      <c r="AT1404" s="173">
        <v>0.0</v>
      </c>
      <c r="AU1404" s="200">
        <f t="shared" si="6217"/>
        <v>0</v>
      </c>
      <c r="AV1404" s="200">
        <f t="shared" ref="AV1404:AX1404" si="7103">countif($D1404,"*"&amp;AV$2&amp;"*")</f>
        <v>0</v>
      </c>
      <c r="AW1404" s="200">
        <f t="shared" si="7103"/>
        <v>0</v>
      </c>
      <c r="AX1404" s="200">
        <f t="shared" si="7103"/>
        <v>1</v>
      </c>
      <c r="AY1404" s="202">
        <v>0.0</v>
      </c>
      <c r="AZ1404" s="200"/>
      <c r="BA1404" s="171" t="str">
        <f t="shared" si="18"/>
        <v>Archival</v>
      </c>
      <c r="BB1404" s="171" t="str">
        <f t="shared" si="19"/>
        <v/>
      </c>
      <c r="BC1404" s="171" t="str">
        <f t="shared" si="20"/>
        <v/>
      </c>
      <c r="BD1404" s="171" t="str">
        <f t="shared" si="21"/>
        <v/>
      </c>
      <c r="BE1404" s="171" t="str">
        <f t="shared" si="22"/>
        <v/>
      </c>
      <c r="BF1404" s="171" t="str">
        <f t="shared" si="23"/>
        <v>Archival</v>
      </c>
    </row>
    <row r="1405">
      <c r="A1405" s="171">
        <f t="array" ref="A1405">XLOOKUP(C1405,FSE!A:A,FSE!C:C,"XXXXX",0,1)</f>
        <v>2022</v>
      </c>
      <c r="B1405" s="213" t="s">
        <v>5676</v>
      </c>
      <c r="C1405" s="214">
        <v>133.0</v>
      </c>
      <c r="D1405" s="215" t="s">
        <v>5037</v>
      </c>
      <c r="E1405" s="197" t="str">
        <f t="array" ref="E1405">XLOOKUP(C1405,FSE!A:A,FSE!Z:Z,"XXXXX",0,1)</f>
        <v>Publicly Available (1)</v>
      </c>
      <c r="F1405" s="213" t="s">
        <v>3394</v>
      </c>
      <c r="G1405" s="163" t="str">
        <f t="array" ref="G1405">IF(B1405="ICSE",IF(COUNTIFS(B:B,B1405,C:C,C1405)=XLOOKUP(C1405,ICSE!A:A,ICSE!AA:AA,"ERROR",0,1),"OK","ERROR"),IF(B1405="FSE",IF(COUNTIFS(B:B,B1405,C:C,C1405)=XLOOKUP(C1405,FSE!A:A,FSE!AA:AA,"ERROR",0,1),"OK","ERROR")))</f>
        <v>OK</v>
      </c>
      <c r="H1405" s="199">
        <f t="shared" ref="H1405:O1405" si="7104">countif($D1405,"*"&amp;H$2&amp;"*")</f>
        <v>0</v>
      </c>
      <c r="I1405" s="200">
        <f t="shared" si="7104"/>
        <v>0</v>
      </c>
      <c r="J1405" s="200">
        <f t="shared" si="7104"/>
        <v>0</v>
      </c>
      <c r="K1405" s="200">
        <f t="shared" si="7104"/>
        <v>0</v>
      </c>
      <c r="L1405" s="200">
        <f t="shared" si="7104"/>
        <v>0</v>
      </c>
      <c r="M1405" s="200">
        <f t="shared" si="7104"/>
        <v>0</v>
      </c>
      <c r="N1405" s="200">
        <f t="shared" si="7104"/>
        <v>0</v>
      </c>
      <c r="O1405" s="200">
        <f t="shared" si="7104"/>
        <v>0</v>
      </c>
      <c r="P1405" s="200">
        <f t="shared" si="9"/>
        <v>1</v>
      </c>
      <c r="Q1405" s="200">
        <f t="shared" ref="Q1405:AC1405" si="7105">countif($D1405,"*"&amp;Q$2&amp;"*")</f>
        <v>0</v>
      </c>
      <c r="R1405" s="200">
        <f t="shared" si="7105"/>
        <v>0</v>
      </c>
      <c r="S1405" s="200">
        <f t="shared" si="7105"/>
        <v>0</v>
      </c>
      <c r="T1405" s="200">
        <f t="shared" si="7105"/>
        <v>0</v>
      </c>
      <c r="U1405" s="200">
        <f t="shared" si="7105"/>
        <v>0</v>
      </c>
      <c r="V1405" s="200">
        <f t="shared" si="7105"/>
        <v>0</v>
      </c>
      <c r="W1405" s="200">
        <f t="shared" si="7105"/>
        <v>0</v>
      </c>
      <c r="X1405" s="200">
        <f t="shared" si="7105"/>
        <v>0</v>
      </c>
      <c r="Y1405" s="200">
        <f t="shared" si="7105"/>
        <v>0</v>
      </c>
      <c r="Z1405" s="200">
        <f t="shared" si="7105"/>
        <v>0</v>
      </c>
      <c r="AA1405" s="200">
        <f t="shared" si="7105"/>
        <v>0</v>
      </c>
      <c r="AB1405" s="200">
        <f t="shared" si="7105"/>
        <v>0</v>
      </c>
      <c r="AC1405" s="200">
        <f t="shared" si="7105"/>
        <v>0</v>
      </c>
      <c r="AD1405" s="200">
        <f t="shared" si="11"/>
        <v>0</v>
      </c>
      <c r="AE1405" s="200">
        <f t="shared" ref="AE1405:AG1405" si="7106">countif($D1405,"*"&amp;AE$2&amp;"*")</f>
        <v>0</v>
      </c>
      <c r="AF1405" s="200">
        <f t="shared" si="7106"/>
        <v>0</v>
      </c>
      <c r="AG1405" s="200">
        <f t="shared" si="7106"/>
        <v>0</v>
      </c>
      <c r="AH1405" s="171">
        <f t="shared" si="13"/>
        <v>0</v>
      </c>
      <c r="AI1405" s="200">
        <f t="shared" si="14"/>
        <v>0</v>
      </c>
      <c r="AJ1405" s="200">
        <f t="shared" si="6100"/>
        <v>0</v>
      </c>
      <c r="AK1405" s="201">
        <f t="shared" ref="AK1405:AS1405" si="7107">countif($D1405,"*"&amp;AK$2&amp;"*")</f>
        <v>0</v>
      </c>
      <c r="AL1405" s="201">
        <f t="shared" si="7107"/>
        <v>0</v>
      </c>
      <c r="AM1405" s="201">
        <f t="shared" si="7107"/>
        <v>0</v>
      </c>
      <c r="AN1405" s="201">
        <f t="shared" si="7107"/>
        <v>0</v>
      </c>
      <c r="AO1405" s="201">
        <f t="shared" si="7107"/>
        <v>0</v>
      </c>
      <c r="AP1405" s="201">
        <f t="shared" si="7107"/>
        <v>0</v>
      </c>
      <c r="AQ1405" s="201">
        <f t="shared" si="7107"/>
        <v>0</v>
      </c>
      <c r="AR1405" s="200">
        <f t="shared" si="7107"/>
        <v>0</v>
      </c>
      <c r="AS1405" s="200">
        <f t="shared" si="7107"/>
        <v>0</v>
      </c>
      <c r="AT1405" s="173">
        <v>0.0</v>
      </c>
      <c r="AU1405" s="200">
        <f t="shared" si="6217"/>
        <v>0</v>
      </c>
      <c r="AV1405" s="200">
        <f t="shared" ref="AV1405:AX1405" si="7108">countif($D1405,"*"&amp;AV$2&amp;"*")</f>
        <v>1</v>
      </c>
      <c r="AW1405" s="200">
        <f t="shared" si="7108"/>
        <v>0</v>
      </c>
      <c r="AX1405" s="200">
        <f t="shared" si="7108"/>
        <v>0</v>
      </c>
      <c r="AY1405" s="202">
        <v>0.0</v>
      </c>
      <c r="AZ1405" s="200"/>
      <c r="BA1405" s="171" t="str">
        <f t="shared" si="18"/>
        <v/>
      </c>
      <c r="BB1405" s="171" t="str">
        <f t="shared" si="19"/>
        <v>Code</v>
      </c>
      <c r="BC1405" s="171" t="str">
        <f t="shared" si="20"/>
        <v/>
      </c>
      <c r="BD1405" s="171" t="str">
        <f t="shared" si="21"/>
        <v/>
      </c>
      <c r="BE1405" s="171" t="str">
        <f t="shared" si="22"/>
        <v/>
      </c>
      <c r="BF1405" s="171" t="str">
        <f t="shared" si="23"/>
        <v>Code</v>
      </c>
    </row>
    <row r="1406">
      <c r="A1406" s="171">
        <f t="array" ref="A1406">XLOOKUP(C1406,FSE!A:A,FSE!C:C,"XXXXX",0,1)</f>
        <v>2022</v>
      </c>
      <c r="B1406" s="213" t="s">
        <v>5676</v>
      </c>
      <c r="C1406" s="214">
        <v>134.0</v>
      </c>
      <c r="D1406" s="215" t="s">
        <v>5040</v>
      </c>
      <c r="E1406" s="197" t="str">
        <f t="array" ref="E1406">XLOOKUP(C1406,FSE!A:A,FSE!Z:Z,"XXXXX",0,1)</f>
        <v>Publicly Available (1)</v>
      </c>
      <c r="F1406" s="213" t="s">
        <v>3394</v>
      </c>
      <c r="G1406" s="163" t="str">
        <f t="array" ref="G1406">IF(B1406="ICSE",IF(COUNTIFS(B:B,B1406,C:C,C1406)=XLOOKUP(C1406,ICSE!A:A,ICSE!AA:AA,"ERROR",0,1),"OK","ERROR"),IF(B1406="FSE",IF(COUNTIFS(B:B,B1406,C:C,C1406)=XLOOKUP(C1406,FSE!A:A,FSE!AA:AA,"ERROR",0,1),"OK","ERROR")))</f>
        <v>OK</v>
      </c>
      <c r="H1406" s="199">
        <f t="shared" ref="H1406:O1406" si="7109">countif($D1406,"*"&amp;H$2&amp;"*")</f>
        <v>0</v>
      </c>
      <c r="I1406" s="200">
        <f t="shared" si="7109"/>
        <v>0</v>
      </c>
      <c r="J1406" s="200">
        <f t="shared" si="7109"/>
        <v>0</v>
      </c>
      <c r="K1406" s="200">
        <f t="shared" si="7109"/>
        <v>0</v>
      </c>
      <c r="L1406" s="200">
        <f t="shared" si="7109"/>
        <v>0</v>
      </c>
      <c r="M1406" s="200">
        <f t="shared" si="7109"/>
        <v>0</v>
      </c>
      <c r="N1406" s="200">
        <f t="shared" si="7109"/>
        <v>0</v>
      </c>
      <c r="O1406" s="200">
        <f t="shared" si="7109"/>
        <v>0</v>
      </c>
      <c r="P1406" s="200">
        <f t="shared" si="9"/>
        <v>1</v>
      </c>
      <c r="Q1406" s="200">
        <f t="shared" ref="Q1406:AC1406" si="7110">countif($D1406,"*"&amp;Q$2&amp;"*")</f>
        <v>0</v>
      </c>
      <c r="R1406" s="200">
        <f t="shared" si="7110"/>
        <v>0</v>
      </c>
      <c r="S1406" s="200">
        <f t="shared" si="7110"/>
        <v>0</v>
      </c>
      <c r="T1406" s="200">
        <f t="shared" si="7110"/>
        <v>0</v>
      </c>
      <c r="U1406" s="200">
        <f t="shared" si="7110"/>
        <v>0</v>
      </c>
      <c r="V1406" s="200">
        <f t="shared" si="7110"/>
        <v>0</v>
      </c>
      <c r="W1406" s="200">
        <f t="shared" si="7110"/>
        <v>0</v>
      </c>
      <c r="X1406" s="200">
        <f t="shared" si="7110"/>
        <v>0</v>
      </c>
      <c r="Y1406" s="200">
        <f t="shared" si="7110"/>
        <v>0</v>
      </c>
      <c r="Z1406" s="200">
        <f t="shared" si="7110"/>
        <v>0</v>
      </c>
      <c r="AA1406" s="200">
        <f t="shared" si="7110"/>
        <v>0</v>
      </c>
      <c r="AB1406" s="200">
        <f t="shared" si="7110"/>
        <v>0</v>
      </c>
      <c r="AC1406" s="200">
        <f t="shared" si="7110"/>
        <v>0</v>
      </c>
      <c r="AD1406" s="200">
        <f t="shared" si="11"/>
        <v>0</v>
      </c>
      <c r="AE1406" s="200">
        <f t="shared" ref="AE1406:AG1406" si="7111">countif($D1406,"*"&amp;AE$2&amp;"*")</f>
        <v>0</v>
      </c>
      <c r="AF1406" s="200">
        <f t="shared" si="7111"/>
        <v>0</v>
      </c>
      <c r="AG1406" s="200">
        <f t="shared" si="7111"/>
        <v>0</v>
      </c>
      <c r="AH1406" s="171">
        <f t="shared" si="13"/>
        <v>0</v>
      </c>
      <c r="AI1406" s="200">
        <f t="shared" si="14"/>
        <v>0</v>
      </c>
      <c r="AJ1406" s="200">
        <f t="shared" si="6100"/>
        <v>0</v>
      </c>
      <c r="AK1406" s="201">
        <f t="shared" ref="AK1406:AS1406" si="7112">countif($D1406,"*"&amp;AK$2&amp;"*")</f>
        <v>0</v>
      </c>
      <c r="AL1406" s="201">
        <f t="shared" si="7112"/>
        <v>0</v>
      </c>
      <c r="AM1406" s="201">
        <f t="shared" si="7112"/>
        <v>0</v>
      </c>
      <c r="AN1406" s="201">
        <f t="shared" si="7112"/>
        <v>0</v>
      </c>
      <c r="AO1406" s="201">
        <f t="shared" si="7112"/>
        <v>0</v>
      </c>
      <c r="AP1406" s="201">
        <f t="shared" si="7112"/>
        <v>0</v>
      </c>
      <c r="AQ1406" s="201">
        <f t="shared" si="7112"/>
        <v>0</v>
      </c>
      <c r="AR1406" s="200">
        <f t="shared" si="7112"/>
        <v>0</v>
      </c>
      <c r="AS1406" s="200">
        <f t="shared" si="7112"/>
        <v>0</v>
      </c>
      <c r="AT1406" s="173">
        <v>0.0</v>
      </c>
      <c r="AU1406" s="200">
        <f t="shared" si="6217"/>
        <v>0</v>
      </c>
      <c r="AV1406" s="200">
        <f t="shared" ref="AV1406:AX1406" si="7113">countif($D1406,"*"&amp;AV$2&amp;"*")</f>
        <v>1</v>
      </c>
      <c r="AW1406" s="200">
        <f t="shared" si="7113"/>
        <v>0</v>
      </c>
      <c r="AX1406" s="200">
        <f t="shared" si="7113"/>
        <v>0</v>
      </c>
      <c r="AY1406" s="202">
        <v>0.0</v>
      </c>
      <c r="AZ1406" s="200"/>
      <c r="BA1406" s="171" t="str">
        <f t="shared" si="18"/>
        <v/>
      </c>
      <c r="BB1406" s="171" t="str">
        <f t="shared" si="19"/>
        <v>Code</v>
      </c>
      <c r="BC1406" s="171" t="str">
        <f t="shared" si="20"/>
        <v/>
      </c>
      <c r="BD1406" s="171" t="str">
        <f t="shared" si="21"/>
        <v/>
      </c>
      <c r="BE1406" s="171" t="str">
        <f t="shared" si="22"/>
        <v/>
      </c>
      <c r="BF1406" s="171" t="str">
        <f t="shared" si="23"/>
        <v>Code</v>
      </c>
    </row>
    <row r="1407">
      <c r="A1407" s="171">
        <f t="array" ref="A1407">XLOOKUP(C1407,FSE!A:A,FSE!C:C,"XXXXX",0,1)</f>
        <v>2022</v>
      </c>
      <c r="B1407" s="213" t="s">
        <v>5676</v>
      </c>
      <c r="C1407" s="219">
        <v>136.0</v>
      </c>
      <c r="D1407" s="217" t="s">
        <v>6255</v>
      </c>
      <c r="E1407" s="197" t="str">
        <f t="array" ref="E1407">XLOOKUP(C1407,FSE!A:A,FSE!Z:Z,"XXXXX",0,1)</f>
        <v>Publicly Available (2)</v>
      </c>
      <c r="F1407" s="213" t="s">
        <v>3394</v>
      </c>
      <c r="G1407" s="163" t="str">
        <f t="array" ref="G1407">IF(B1407="ICSE",IF(COUNTIFS(B:B,B1407,C:C,C1407)=XLOOKUP(C1407,ICSE!A:A,ICSE!AA:AA,"ERROR",0,1),"OK","ERROR"),IF(B1407="FSE",IF(COUNTIFS(B:B,B1407,C:C,C1407)=XLOOKUP(C1407,FSE!A:A,FSE!AA:AA,"ERROR",0,1),"OK","ERROR")))</f>
        <v>OK</v>
      </c>
      <c r="H1407" s="199">
        <f t="shared" ref="H1407:O1407" si="7114">countif($D1407,"*"&amp;H$2&amp;"*")</f>
        <v>0</v>
      </c>
      <c r="I1407" s="200">
        <f t="shared" si="7114"/>
        <v>0</v>
      </c>
      <c r="J1407" s="200">
        <f t="shared" si="7114"/>
        <v>0</v>
      </c>
      <c r="K1407" s="200">
        <f t="shared" si="7114"/>
        <v>0</v>
      </c>
      <c r="L1407" s="200">
        <f t="shared" si="7114"/>
        <v>0</v>
      </c>
      <c r="M1407" s="200">
        <f t="shared" si="7114"/>
        <v>0</v>
      </c>
      <c r="N1407" s="200">
        <f t="shared" si="7114"/>
        <v>0</v>
      </c>
      <c r="O1407" s="200">
        <f t="shared" si="7114"/>
        <v>0</v>
      </c>
      <c r="P1407" s="200">
        <f t="shared" si="9"/>
        <v>0</v>
      </c>
      <c r="Q1407" s="200">
        <f t="shared" ref="Q1407:AC1407" si="7115">countif($D1407,"*"&amp;Q$2&amp;"*")</f>
        <v>0</v>
      </c>
      <c r="R1407" s="200">
        <f t="shared" si="7115"/>
        <v>0</v>
      </c>
      <c r="S1407" s="200">
        <f t="shared" si="7115"/>
        <v>0</v>
      </c>
      <c r="T1407" s="200">
        <f t="shared" si="7115"/>
        <v>1</v>
      </c>
      <c r="U1407" s="200">
        <f t="shared" si="7115"/>
        <v>0</v>
      </c>
      <c r="V1407" s="200">
        <f t="shared" si="7115"/>
        <v>0</v>
      </c>
      <c r="W1407" s="200">
        <f t="shared" si="7115"/>
        <v>0</v>
      </c>
      <c r="X1407" s="200">
        <f t="shared" si="7115"/>
        <v>0</v>
      </c>
      <c r="Y1407" s="200">
        <f t="shared" si="7115"/>
        <v>0</v>
      </c>
      <c r="Z1407" s="200">
        <f t="shared" si="7115"/>
        <v>0</v>
      </c>
      <c r="AA1407" s="200">
        <f t="shared" si="7115"/>
        <v>0</v>
      </c>
      <c r="AB1407" s="200">
        <f t="shared" si="7115"/>
        <v>0</v>
      </c>
      <c r="AC1407" s="200">
        <f t="shared" si="7115"/>
        <v>0</v>
      </c>
      <c r="AD1407" s="200">
        <f t="shared" si="11"/>
        <v>0</v>
      </c>
      <c r="AE1407" s="200">
        <f t="shared" ref="AE1407:AG1407" si="7116">countif($D1407,"*"&amp;AE$2&amp;"*")</f>
        <v>0</v>
      </c>
      <c r="AF1407" s="200">
        <f t="shared" si="7116"/>
        <v>0</v>
      </c>
      <c r="AG1407" s="200">
        <f t="shared" si="7116"/>
        <v>0</v>
      </c>
      <c r="AH1407" s="171">
        <f t="shared" si="13"/>
        <v>0</v>
      </c>
      <c r="AI1407" s="200">
        <f t="shared" si="14"/>
        <v>0</v>
      </c>
      <c r="AJ1407" s="200">
        <f t="shared" si="6100"/>
        <v>0</v>
      </c>
      <c r="AK1407" s="201">
        <f t="shared" ref="AK1407:AS1407" si="7117">countif($D1407,"*"&amp;AK$2&amp;"*")</f>
        <v>0</v>
      </c>
      <c r="AL1407" s="201">
        <f t="shared" si="7117"/>
        <v>0</v>
      </c>
      <c r="AM1407" s="201">
        <f t="shared" si="7117"/>
        <v>0</v>
      </c>
      <c r="AN1407" s="201">
        <f t="shared" si="7117"/>
        <v>0</v>
      </c>
      <c r="AO1407" s="201">
        <f t="shared" si="7117"/>
        <v>0</v>
      </c>
      <c r="AP1407" s="201">
        <f t="shared" si="7117"/>
        <v>0</v>
      </c>
      <c r="AQ1407" s="201">
        <f t="shared" si="7117"/>
        <v>0</v>
      </c>
      <c r="AR1407" s="200">
        <f t="shared" si="7117"/>
        <v>0</v>
      </c>
      <c r="AS1407" s="200">
        <f t="shared" si="7117"/>
        <v>0</v>
      </c>
      <c r="AT1407" s="173">
        <v>0.0</v>
      </c>
      <c r="AU1407" s="200">
        <f t="shared" si="6217"/>
        <v>0</v>
      </c>
      <c r="AV1407" s="200">
        <f t="shared" ref="AV1407:AX1407" si="7118">countif($D1407,"*"&amp;AV$2&amp;"*")</f>
        <v>0</v>
      </c>
      <c r="AW1407" s="200">
        <f t="shared" si="7118"/>
        <v>0</v>
      </c>
      <c r="AX1407" s="200">
        <f t="shared" si="7118"/>
        <v>0</v>
      </c>
      <c r="AY1407" s="202">
        <v>0.0</v>
      </c>
      <c r="AZ1407" s="200"/>
      <c r="BA1407" s="171" t="str">
        <f t="shared" si="18"/>
        <v/>
      </c>
      <c r="BB1407" s="171" t="str">
        <f t="shared" si="19"/>
        <v>Code</v>
      </c>
      <c r="BC1407" s="171" t="str">
        <f t="shared" si="20"/>
        <v/>
      </c>
      <c r="BD1407" s="171" t="str">
        <f t="shared" si="21"/>
        <v/>
      </c>
      <c r="BE1407" s="171" t="str">
        <f t="shared" si="22"/>
        <v/>
      </c>
      <c r="BF1407" s="171" t="str">
        <f t="shared" si="23"/>
        <v>Code</v>
      </c>
    </row>
    <row r="1408">
      <c r="A1408" s="171">
        <f t="array" ref="A1408">XLOOKUP(C1408,FSE!A:A,FSE!C:C,"XXXXX",0,1)</f>
        <v>2022</v>
      </c>
      <c r="B1408" s="213" t="s">
        <v>5676</v>
      </c>
      <c r="C1408" s="219">
        <v>136.0</v>
      </c>
      <c r="D1408" s="217" t="s">
        <v>6256</v>
      </c>
      <c r="E1408" s="197" t="str">
        <f t="array" ref="E1408">XLOOKUP(C1408,FSE!A:A,FSE!Z:Z,"XXXXX",0,1)</f>
        <v>Publicly Available (2)</v>
      </c>
      <c r="F1408" s="213" t="s">
        <v>3394</v>
      </c>
      <c r="G1408" s="163" t="str">
        <f t="array" ref="G1408">IF(B1408="ICSE",IF(COUNTIFS(B:B,B1408,C:C,C1408)=XLOOKUP(C1408,ICSE!A:A,ICSE!AA:AA,"ERROR",0,1),"OK","ERROR"),IF(B1408="FSE",IF(COUNTIFS(B:B,B1408,C:C,C1408)=XLOOKUP(C1408,FSE!A:A,FSE!AA:AA,"ERROR",0,1),"OK","ERROR")))</f>
        <v>OK</v>
      </c>
      <c r="H1408" s="199">
        <f t="shared" ref="H1408:O1408" si="7119">countif($D1408,"*"&amp;H$2&amp;"*")</f>
        <v>0</v>
      </c>
      <c r="I1408" s="200">
        <f t="shared" si="7119"/>
        <v>0</v>
      </c>
      <c r="J1408" s="200">
        <f t="shared" si="7119"/>
        <v>0</v>
      </c>
      <c r="K1408" s="200">
        <f t="shared" si="7119"/>
        <v>0</v>
      </c>
      <c r="L1408" s="200">
        <f t="shared" si="7119"/>
        <v>0</v>
      </c>
      <c r="M1408" s="200">
        <f t="shared" si="7119"/>
        <v>0</v>
      </c>
      <c r="N1408" s="200">
        <f t="shared" si="7119"/>
        <v>0</v>
      </c>
      <c r="O1408" s="200">
        <f t="shared" si="7119"/>
        <v>0</v>
      </c>
      <c r="P1408" s="200">
        <f t="shared" si="9"/>
        <v>1</v>
      </c>
      <c r="Q1408" s="200">
        <f t="shared" ref="Q1408:AC1408" si="7120">countif($D1408,"*"&amp;Q$2&amp;"*")</f>
        <v>0</v>
      </c>
      <c r="R1408" s="200">
        <f t="shared" si="7120"/>
        <v>0</v>
      </c>
      <c r="S1408" s="200">
        <f t="shared" si="7120"/>
        <v>0</v>
      </c>
      <c r="T1408" s="200">
        <f t="shared" si="7120"/>
        <v>0</v>
      </c>
      <c r="U1408" s="200">
        <f t="shared" si="7120"/>
        <v>0</v>
      </c>
      <c r="V1408" s="200">
        <f t="shared" si="7120"/>
        <v>0</v>
      </c>
      <c r="W1408" s="200">
        <f t="shared" si="7120"/>
        <v>0</v>
      </c>
      <c r="X1408" s="200">
        <f t="shared" si="7120"/>
        <v>0</v>
      </c>
      <c r="Y1408" s="200">
        <f t="shared" si="7120"/>
        <v>0</v>
      </c>
      <c r="Z1408" s="200">
        <f t="shared" si="7120"/>
        <v>0</v>
      </c>
      <c r="AA1408" s="200">
        <f t="shared" si="7120"/>
        <v>0</v>
      </c>
      <c r="AB1408" s="200">
        <f t="shared" si="7120"/>
        <v>0</v>
      </c>
      <c r="AC1408" s="200">
        <f t="shared" si="7120"/>
        <v>0</v>
      </c>
      <c r="AD1408" s="200">
        <f t="shared" si="11"/>
        <v>0</v>
      </c>
      <c r="AE1408" s="200">
        <f t="shared" ref="AE1408:AG1408" si="7121">countif($D1408,"*"&amp;AE$2&amp;"*")</f>
        <v>0</v>
      </c>
      <c r="AF1408" s="200">
        <f t="shared" si="7121"/>
        <v>0</v>
      </c>
      <c r="AG1408" s="200">
        <f t="shared" si="7121"/>
        <v>0</v>
      </c>
      <c r="AH1408" s="171">
        <f t="shared" si="13"/>
        <v>0</v>
      </c>
      <c r="AI1408" s="200">
        <f t="shared" si="14"/>
        <v>0</v>
      </c>
      <c r="AJ1408" s="200">
        <f t="shared" si="6100"/>
        <v>0</v>
      </c>
      <c r="AK1408" s="201">
        <f t="shared" ref="AK1408:AS1408" si="7122">countif($D1408,"*"&amp;AK$2&amp;"*")</f>
        <v>0</v>
      </c>
      <c r="AL1408" s="201">
        <f t="shared" si="7122"/>
        <v>0</v>
      </c>
      <c r="AM1408" s="201">
        <f t="shared" si="7122"/>
        <v>0</v>
      </c>
      <c r="AN1408" s="201">
        <f t="shared" si="7122"/>
        <v>0</v>
      </c>
      <c r="AO1408" s="201">
        <f t="shared" si="7122"/>
        <v>0</v>
      </c>
      <c r="AP1408" s="201">
        <f t="shared" si="7122"/>
        <v>0</v>
      </c>
      <c r="AQ1408" s="201">
        <f t="shared" si="7122"/>
        <v>0</v>
      </c>
      <c r="AR1408" s="200">
        <f t="shared" si="7122"/>
        <v>0</v>
      </c>
      <c r="AS1408" s="200">
        <f t="shared" si="7122"/>
        <v>0</v>
      </c>
      <c r="AT1408" s="173">
        <v>0.0</v>
      </c>
      <c r="AU1408" s="200">
        <f t="shared" si="6217"/>
        <v>0</v>
      </c>
      <c r="AV1408" s="200">
        <f t="shared" ref="AV1408:AX1408" si="7123">countif($D1408,"*"&amp;AV$2&amp;"*")</f>
        <v>1</v>
      </c>
      <c r="AW1408" s="200">
        <f t="shared" si="7123"/>
        <v>0</v>
      </c>
      <c r="AX1408" s="200">
        <f t="shared" si="7123"/>
        <v>0</v>
      </c>
      <c r="AY1408" s="202">
        <v>0.0</v>
      </c>
      <c r="AZ1408" s="200"/>
      <c r="BA1408" s="171" t="str">
        <f t="shared" si="18"/>
        <v/>
      </c>
      <c r="BB1408" s="171" t="str">
        <f t="shared" si="19"/>
        <v>Code</v>
      </c>
      <c r="BC1408" s="171" t="str">
        <f t="shared" si="20"/>
        <v/>
      </c>
      <c r="BD1408" s="171" t="str">
        <f t="shared" si="21"/>
        <v/>
      </c>
      <c r="BE1408" s="171" t="str">
        <f t="shared" si="22"/>
        <v/>
      </c>
      <c r="BF1408" s="171" t="str">
        <f t="shared" si="23"/>
        <v>Code</v>
      </c>
    </row>
    <row r="1409">
      <c r="A1409" s="171">
        <f t="array" ref="A1409">XLOOKUP(C1409,FSE!A:A,FSE!C:C,"XXXXX",0,1)</f>
        <v>2022</v>
      </c>
      <c r="B1409" s="213" t="s">
        <v>5676</v>
      </c>
      <c r="C1409" s="214">
        <v>137.0</v>
      </c>
      <c r="D1409" s="215" t="s">
        <v>5048</v>
      </c>
      <c r="E1409" s="197" t="str">
        <f t="array" ref="E1409">XLOOKUP(C1409,FSE!A:A,FSE!Z:Z,"XXXXX",0,1)</f>
        <v>Publicly Available (1)</v>
      </c>
      <c r="F1409" s="213" t="s">
        <v>3394</v>
      </c>
      <c r="G1409" s="163" t="str">
        <f t="array" ref="G1409">IF(B1409="ICSE",IF(COUNTIFS(B:B,B1409,C:C,C1409)=XLOOKUP(C1409,ICSE!A:A,ICSE!AA:AA,"ERROR",0,1),"OK","ERROR"),IF(B1409="FSE",IF(COUNTIFS(B:B,B1409,C:C,C1409)=XLOOKUP(C1409,FSE!A:A,FSE!AA:AA,"ERROR",0,1),"OK","ERROR")))</f>
        <v>OK</v>
      </c>
      <c r="H1409" s="199">
        <f t="shared" ref="H1409:O1409" si="7124">countif($D1409,"*"&amp;H$2&amp;"*")</f>
        <v>0</v>
      </c>
      <c r="I1409" s="200">
        <f t="shared" si="7124"/>
        <v>0</v>
      </c>
      <c r="J1409" s="200">
        <f t="shared" si="7124"/>
        <v>0</v>
      </c>
      <c r="K1409" s="200">
        <f t="shared" si="7124"/>
        <v>0</v>
      </c>
      <c r="L1409" s="200">
        <f t="shared" si="7124"/>
        <v>0</v>
      </c>
      <c r="M1409" s="200">
        <f t="shared" si="7124"/>
        <v>0</v>
      </c>
      <c r="N1409" s="200">
        <f t="shared" si="7124"/>
        <v>0</v>
      </c>
      <c r="O1409" s="200">
        <f t="shared" si="7124"/>
        <v>0</v>
      </c>
      <c r="P1409" s="200">
        <f t="shared" si="9"/>
        <v>1</v>
      </c>
      <c r="Q1409" s="200">
        <f t="shared" ref="Q1409:AC1409" si="7125">countif($D1409,"*"&amp;Q$2&amp;"*")</f>
        <v>0</v>
      </c>
      <c r="R1409" s="200">
        <f t="shared" si="7125"/>
        <v>0</v>
      </c>
      <c r="S1409" s="200">
        <f t="shared" si="7125"/>
        <v>0</v>
      </c>
      <c r="T1409" s="200">
        <f t="shared" si="7125"/>
        <v>0</v>
      </c>
      <c r="U1409" s="200">
        <f t="shared" si="7125"/>
        <v>0</v>
      </c>
      <c r="V1409" s="200">
        <f t="shared" si="7125"/>
        <v>0</v>
      </c>
      <c r="W1409" s="200">
        <f t="shared" si="7125"/>
        <v>0</v>
      </c>
      <c r="X1409" s="200">
        <f t="shared" si="7125"/>
        <v>0</v>
      </c>
      <c r="Y1409" s="200">
        <f t="shared" si="7125"/>
        <v>0</v>
      </c>
      <c r="Z1409" s="200">
        <f t="shared" si="7125"/>
        <v>0</v>
      </c>
      <c r="AA1409" s="200">
        <f t="shared" si="7125"/>
        <v>0</v>
      </c>
      <c r="AB1409" s="200">
        <f t="shared" si="7125"/>
        <v>0</v>
      </c>
      <c r="AC1409" s="200">
        <f t="shared" si="7125"/>
        <v>0</v>
      </c>
      <c r="AD1409" s="200">
        <f t="shared" si="11"/>
        <v>0</v>
      </c>
      <c r="AE1409" s="200">
        <f t="shared" ref="AE1409:AG1409" si="7126">countif($D1409,"*"&amp;AE$2&amp;"*")</f>
        <v>0</v>
      </c>
      <c r="AF1409" s="200">
        <f t="shared" si="7126"/>
        <v>0</v>
      </c>
      <c r="AG1409" s="200">
        <f t="shared" si="7126"/>
        <v>0</v>
      </c>
      <c r="AH1409" s="171">
        <f t="shared" si="13"/>
        <v>0</v>
      </c>
      <c r="AI1409" s="200">
        <f t="shared" si="14"/>
        <v>0</v>
      </c>
      <c r="AJ1409" s="200">
        <f t="shared" si="6100"/>
        <v>0</v>
      </c>
      <c r="AK1409" s="201">
        <f t="shared" ref="AK1409:AS1409" si="7127">countif($D1409,"*"&amp;AK$2&amp;"*")</f>
        <v>0</v>
      </c>
      <c r="AL1409" s="201">
        <f t="shared" si="7127"/>
        <v>0</v>
      </c>
      <c r="AM1409" s="201">
        <f t="shared" si="7127"/>
        <v>0</v>
      </c>
      <c r="AN1409" s="201">
        <f t="shared" si="7127"/>
        <v>0</v>
      </c>
      <c r="AO1409" s="201">
        <f t="shared" si="7127"/>
        <v>0</v>
      </c>
      <c r="AP1409" s="201">
        <f t="shared" si="7127"/>
        <v>0</v>
      </c>
      <c r="AQ1409" s="201">
        <f t="shared" si="7127"/>
        <v>0</v>
      </c>
      <c r="AR1409" s="200">
        <f t="shared" si="7127"/>
        <v>0</v>
      </c>
      <c r="AS1409" s="200">
        <f t="shared" si="7127"/>
        <v>0</v>
      </c>
      <c r="AT1409" s="173">
        <v>0.0</v>
      </c>
      <c r="AU1409" s="200">
        <f t="shared" si="6217"/>
        <v>0</v>
      </c>
      <c r="AV1409" s="200">
        <f t="shared" ref="AV1409:AX1409" si="7128">countif($D1409,"*"&amp;AV$2&amp;"*")</f>
        <v>1</v>
      </c>
      <c r="AW1409" s="200">
        <f t="shared" si="7128"/>
        <v>0</v>
      </c>
      <c r="AX1409" s="200">
        <f t="shared" si="7128"/>
        <v>0</v>
      </c>
      <c r="AY1409" s="202">
        <v>0.0</v>
      </c>
      <c r="AZ1409" s="200"/>
      <c r="BA1409" s="171" t="str">
        <f t="shared" si="18"/>
        <v/>
      </c>
      <c r="BB1409" s="171" t="str">
        <f t="shared" si="19"/>
        <v>Code</v>
      </c>
      <c r="BC1409" s="171" t="str">
        <f t="shared" si="20"/>
        <v/>
      </c>
      <c r="BD1409" s="171" t="str">
        <f t="shared" si="21"/>
        <v/>
      </c>
      <c r="BE1409" s="171" t="str">
        <f t="shared" si="22"/>
        <v/>
      </c>
      <c r="BF1409" s="171" t="str">
        <f t="shared" si="23"/>
        <v>Code</v>
      </c>
    </row>
    <row r="1410">
      <c r="A1410" s="171">
        <f t="array" ref="A1410">XLOOKUP(C1410,FSE!A:A,FSE!C:C,"XXXXX",0,1)</f>
        <v>2022</v>
      </c>
      <c r="B1410" s="213" t="s">
        <v>5676</v>
      </c>
      <c r="C1410" s="214">
        <v>138.0</v>
      </c>
      <c r="D1410" s="217" t="s">
        <v>5051</v>
      </c>
      <c r="E1410" s="197" t="str">
        <f t="array" ref="E1410">XLOOKUP(C1410,FSE!A:A,FSE!Z:Z,"XXXXX",0,1)</f>
        <v>Publicly Available (1)</v>
      </c>
      <c r="F1410" s="213" t="s">
        <v>3394</v>
      </c>
      <c r="G1410" s="163" t="str">
        <f t="array" ref="G1410">IF(B1410="ICSE",IF(COUNTIFS(B:B,B1410,C:C,C1410)=XLOOKUP(C1410,ICSE!A:A,ICSE!AA:AA,"ERROR",0,1),"OK","ERROR"),IF(B1410="FSE",IF(COUNTIFS(B:B,B1410,C:C,C1410)=XLOOKUP(C1410,FSE!A:A,FSE!AA:AA,"ERROR",0,1),"OK","ERROR")))</f>
        <v>OK</v>
      </c>
      <c r="H1410" s="199">
        <f t="shared" ref="H1410:O1410" si="7129">countif($D1410,"*"&amp;H$2&amp;"*")</f>
        <v>1</v>
      </c>
      <c r="I1410" s="200">
        <f t="shared" si="7129"/>
        <v>0</v>
      </c>
      <c r="J1410" s="200">
        <f t="shared" si="7129"/>
        <v>0</v>
      </c>
      <c r="K1410" s="200">
        <f t="shared" si="7129"/>
        <v>0</v>
      </c>
      <c r="L1410" s="200">
        <f t="shared" si="7129"/>
        <v>0</v>
      </c>
      <c r="M1410" s="200">
        <f t="shared" si="7129"/>
        <v>0</v>
      </c>
      <c r="N1410" s="200">
        <f t="shared" si="7129"/>
        <v>0</v>
      </c>
      <c r="O1410" s="200">
        <f t="shared" si="7129"/>
        <v>0</v>
      </c>
      <c r="P1410" s="200">
        <f t="shared" si="9"/>
        <v>0</v>
      </c>
      <c r="Q1410" s="200">
        <f t="shared" ref="Q1410:AC1410" si="7130">countif($D1410,"*"&amp;Q$2&amp;"*")</f>
        <v>0</v>
      </c>
      <c r="R1410" s="200">
        <f t="shared" si="7130"/>
        <v>0</v>
      </c>
      <c r="S1410" s="200">
        <f t="shared" si="7130"/>
        <v>0</v>
      </c>
      <c r="T1410" s="200">
        <f t="shared" si="7130"/>
        <v>0</v>
      </c>
      <c r="U1410" s="200">
        <f t="shared" si="7130"/>
        <v>0</v>
      </c>
      <c r="V1410" s="200">
        <f t="shared" si="7130"/>
        <v>0</v>
      </c>
      <c r="W1410" s="200">
        <f t="shared" si="7130"/>
        <v>0</v>
      </c>
      <c r="X1410" s="200">
        <f t="shared" si="7130"/>
        <v>0</v>
      </c>
      <c r="Y1410" s="200">
        <f t="shared" si="7130"/>
        <v>0</v>
      </c>
      <c r="Z1410" s="200">
        <f t="shared" si="7130"/>
        <v>0</v>
      </c>
      <c r="AA1410" s="200">
        <f t="shared" si="7130"/>
        <v>0</v>
      </c>
      <c r="AB1410" s="200">
        <f t="shared" si="7130"/>
        <v>0</v>
      </c>
      <c r="AC1410" s="200">
        <f t="shared" si="7130"/>
        <v>0</v>
      </c>
      <c r="AD1410" s="200">
        <f t="shared" si="11"/>
        <v>0</v>
      </c>
      <c r="AE1410" s="200">
        <f t="shared" ref="AE1410:AG1410" si="7131">countif($D1410,"*"&amp;AE$2&amp;"*")</f>
        <v>0</v>
      </c>
      <c r="AF1410" s="200">
        <f t="shared" si="7131"/>
        <v>0</v>
      </c>
      <c r="AG1410" s="200">
        <f t="shared" si="7131"/>
        <v>0</v>
      </c>
      <c r="AH1410" s="171">
        <f t="shared" si="13"/>
        <v>0</v>
      </c>
      <c r="AI1410" s="200">
        <f t="shared" si="14"/>
        <v>1</v>
      </c>
      <c r="AJ1410" s="200">
        <f t="shared" si="6100"/>
        <v>0</v>
      </c>
      <c r="AK1410" s="201">
        <f t="shared" ref="AK1410:AS1410" si="7132">countif($D1410,"*"&amp;AK$2&amp;"*")</f>
        <v>0</v>
      </c>
      <c r="AL1410" s="201">
        <f t="shared" si="7132"/>
        <v>0</v>
      </c>
      <c r="AM1410" s="201">
        <f t="shared" si="7132"/>
        <v>0</v>
      </c>
      <c r="AN1410" s="201">
        <f t="shared" si="7132"/>
        <v>0</v>
      </c>
      <c r="AO1410" s="201">
        <f t="shared" si="7132"/>
        <v>0</v>
      </c>
      <c r="AP1410" s="201">
        <f t="shared" si="7132"/>
        <v>0</v>
      </c>
      <c r="AQ1410" s="201">
        <f t="shared" si="7132"/>
        <v>0</v>
      </c>
      <c r="AR1410" s="200">
        <f t="shared" si="7132"/>
        <v>0</v>
      </c>
      <c r="AS1410" s="200">
        <f t="shared" si="7132"/>
        <v>0</v>
      </c>
      <c r="AT1410" s="173">
        <v>0.0</v>
      </c>
      <c r="AU1410" s="200">
        <f t="shared" si="6217"/>
        <v>0</v>
      </c>
      <c r="AV1410" s="200">
        <f t="shared" ref="AV1410:AX1410" si="7133">countif($D1410,"*"&amp;AV$2&amp;"*")</f>
        <v>0</v>
      </c>
      <c r="AW1410" s="200">
        <f t="shared" si="7133"/>
        <v>0</v>
      </c>
      <c r="AX1410" s="200">
        <f t="shared" si="7133"/>
        <v>1</v>
      </c>
      <c r="AY1410" s="202">
        <v>0.0</v>
      </c>
      <c r="AZ1410" s="200"/>
      <c r="BA1410" s="171" t="str">
        <f t="shared" si="18"/>
        <v>Archival</v>
      </c>
      <c r="BB1410" s="171" t="str">
        <f t="shared" si="19"/>
        <v/>
      </c>
      <c r="BC1410" s="171" t="str">
        <f t="shared" si="20"/>
        <v/>
      </c>
      <c r="BD1410" s="171" t="str">
        <f t="shared" si="21"/>
        <v/>
      </c>
      <c r="BE1410" s="171" t="str">
        <f t="shared" si="22"/>
        <v/>
      </c>
      <c r="BF1410" s="171" t="str">
        <f t="shared" si="23"/>
        <v>Archival</v>
      </c>
    </row>
    <row r="1411">
      <c r="A1411" s="171">
        <f t="array" ref="A1411">XLOOKUP(C1411,FSE!A:A,FSE!C:C,"XXXXX",0,1)</f>
        <v>2022</v>
      </c>
      <c r="B1411" s="213" t="s">
        <v>5676</v>
      </c>
      <c r="C1411" s="214">
        <v>139.0</v>
      </c>
      <c r="D1411" s="215" t="s">
        <v>5054</v>
      </c>
      <c r="E1411" s="197" t="str">
        <f t="array" ref="E1411">XLOOKUP(C1411,FSE!A:A,FSE!Z:Z,"XXXXX",0,1)</f>
        <v>Publicly Available (1)</v>
      </c>
      <c r="F1411" s="213" t="s">
        <v>3394</v>
      </c>
      <c r="G1411" s="163" t="str">
        <f t="array" ref="G1411">IF(B1411="ICSE",IF(COUNTIFS(B:B,B1411,C:C,C1411)=XLOOKUP(C1411,ICSE!A:A,ICSE!AA:AA,"ERROR",0,1),"OK","ERROR"),IF(B1411="FSE",IF(COUNTIFS(B:B,B1411,C:C,C1411)=XLOOKUP(C1411,FSE!A:A,FSE!AA:AA,"ERROR",0,1),"OK","ERROR")))</f>
        <v>OK</v>
      </c>
      <c r="H1411" s="199">
        <f t="shared" ref="H1411:O1411" si="7134">countif($D1411,"*"&amp;H$2&amp;"*")</f>
        <v>1</v>
      </c>
      <c r="I1411" s="200">
        <f t="shared" si="7134"/>
        <v>0</v>
      </c>
      <c r="J1411" s="200">
        <f t="shared" si="7134"/>
        <v>0</v>
      </c>
      <c r="K1411" s="200">
        <f t="shared" si="7134"/>
        <v>0</v>
      </c>
      <c r="L1411" s="200">
        <f t="shared" si="7134"/>
        <v>0</v>
      </c>
      <c r="M1411" s="200">
        <f t="shared" si="7134"/>
        <v>0</v>
      </c>
      <c r="N1411" s="200">
        <f t="shared" si="7134"/>
        <v>0</v>
      </c>
      <c r="O1411" s="200">
        <f t="shared" si="7134"/>
        <v>0</v>
      </c>
      <c r="P1411" s="200">
        <f t="shared" si="9"/>
        <v>0</v>
      </c>
      <c r="Q1411" s="200">
        <f t="shared" ref="Q1411:AC1411" si="7135">countif($D1411,"*"&amp;Q$2&amp;"*")</f>
        <v>0</v>
      </c>
      <c r="R1411" s="200">
        <f t="shared" si="7135"/>
        <v>0</v>
      </c>
      <c r="S1411" s="200">
        <f t="shared" si="7135"/>
        <v>0</v>
      </c>
      <c r="T1411" s="200">
        <f t="shared" si="7135"/>
        <v>0</v>
      </c>
      <c r="U1411" s="200">
        <f t="shared" si="7135"/>
        <v>0</v>
      </c>
      <c r="V1411" s="200">
        <f t="shared" si="7135"/>
        <v>0</v>
      </c>
      <c r="W1411" s="200">
        <f t="shared" si="7135"/>
        <v>0</v>
      </c>
      <c r="X1411" s="200">
        <f t="shared" si="7135"/>
        <v>0</v>
      </c>
      <c r="Y1411" s="200">
        <f t="shared" si="7135"/>
        <v>0</v>
      </c>
      <c r="Z1411" s="200">
        <f t="shared" si="7135"/>
        <v>0</v>
      </c>
      <c r="AA1411" s="200">
        <f t="shared" si="7135"/>
        <v>0</v>
      </c>
      <c r="AB1411" s="200">
        <f t="shared" si="7135"/>
        <v>0</v>
      </c>
      <c r="AC1411" s="200">
        <f t="shared" si="7135"/>
        <v>0</v>
      </c>
      <c r="AD1411" s="200">
        <f t="shared" si="11"/>
        <v>0</v>
      </c>
      <c r="AE1411" s="200">
        <f t="shared" ref="AE1411:AG1411" si="7136">countif($D1411,"*"&amp;AE$2&amp;"*")</f>
        <v>0</v>
      </c>
      <c r="AF1411" s="200">
        <f t="shared" si="7136"/>
        <v>0</v>
      </c>
      <c r="AG1411" s="200">
        <f t="shared" si="7136"/>
        <v>0</v>
      </c>
      <c r="AH1411" s="171">
        <f t="shared" si="13"/>
        <v>0</v>
      </c>
      <c r="AI1411" s="200">
        <f t="shared" si="14"/>
        <v>1</v>
      </c>
      <c r="AJ1411" s="200">
        <f t="shared" si="6100"/>
        <v>0</v>
      </c>
      <c r="AK1411" s="201">
        <f t="shared" ref="AK1411:AS1411" si="7137">countif($D1411,"*"&amp;AK$2&amp;"*")</f>
        <v>0</v>
      </c>
      <c r="AL1411" s="201">
        <f t="shared" si="7137"/>
        <v>0</v>
      </c>
      <c r="AM1411" s="201">
        <f t="shared" si="7137"/>
        <v>0</v>
      </c>
      <c r="AN1411" s="201">
        <f t="shared" si="7137"/>
        <v>0</v>
      </c>
      <c r="AO1411" s="201">
        <f t="shared" si="7137"/>
        <v>0</v>
      </c>
      <c r="AP1411" s="201">
        <f t="shared" si="7137"/>
        <v>0</v>
      </c>
      <c r="AQ1411" s="201">
        <f t="shared" si="7137"/>
        <v>0</v>
      </c>
      <c r="AR1411" s="200">
        <f t="shared" si="7137"/>
        <v>0</v>
      </c>
      <c r="AS1411" s="200">
        <f t="shared" si="7137"/>
        <v>0</v>
      </c>
      <c r="AT1411" s="173">
        <v>0.0</v>
      </c>
      <c r="AU1411" s="200">
        <f t="shared" si="6217"/>
        <v>0</v>
      </c>
      <c r="AV1411" s="200">
        <f t="shared" ref="AV1411:AX1411" si="7138">countif($D1411,"*"&amp;AV$2&amp;"*")</f>
        <v>0</v>
      </c>
      <c r="AW1411" s="200">
        <f t="shared" si="7138"/>
        <v>0</v>
      </c>
      <c r="AX1411" s="200">
        <f t="shared" si="7138"/>
        <v>1</v>
      </c>
      <c r="AY1411" s="202">
        <v>0.0</v>
      </c>
      <c r="AZ1411" s="200"/>
      <c r="BA1411" s="171" t="str">
        <f t="shared" si="18"/>
        <v>Archival</v>
      </c>
      <c r="BB1411" s="171" t="str">
        <f t="shared" si="19"/>
        <v/>
      </c>
      <c r="BC1411" s="171" t="str">
        <f t="shared" si="20"/>
        <v/>
      </c>
      <c r="BD1411" s="171" t="str">
        <f t="shared" si="21"/>
        <v/>
      </c>
      <c r="BE1411" s="171" t="str">
        <f t="shared" si="22"/>
        <v/>
      </c>
      <c r="BF1411" s="171" t="str">
        <f t="shared" si="23"/>
        <v>Archival</v>
      </c>
    </row>
    <row r="1412">
      <c r="A1412" s="171">
        <f t="array" ref="A1412">XLOOKUP(C1412,FSE!A:A,FSE!C:C,"XXXXX",0,1)</f>
        <v>2022</v>
      </c>
      <c r="B1412" s="213" t="s">
        <v>5676</v>
      </c>
      <c r="C1412" s="219">
        <v>140.0</v>
      </c>
      <c r="D1412" s="217" t="s">
        <v>5057</v>
      </c>
      <c r="E1412" s="197" t="str">
        <f t="array" ref="E1412">XLOOKUP(C1412,FSE!A:A,FSE!Z:Z,"XXXXX",0,1)</f>
        <v>Publicly Available (1)</v>
      </c>
      <c r="F1412" s="213" t="s">
        <v>3394</v>
      </c>
      <c r="G1412" s="163" t="str">
        <f t="array" ref="G1412">IF(B1412="ICSE",IF(COUNTIFS(B:B,B1412,C:C,C1412)=XLOOKUP(C1412,ICSE!A:A,ICSE!AA:AA,"ERROR",0,1),"OK","ERROR"),IF(B1412="FSE",IF(COUNTIFS(B:B,B1412,C:C,C1412)=XLOOKUP(C1412,FSE!A:A,FSE!AA:AA,"ERROR",0,1),"OK","ERROR")))</f>
        <v>OK</v>
      </c>
      <c r="H1412" s="199">
        <f t="shared" ref="H1412:O1412" si="7139">countif($D1412,"*"&amp;H$2&amp;"*")</f>
        <v>0</v>
      </c>
      <c r="I1412" s="200">
        <f t="shared" si="7139"/>
        <v>0</v>
      </c>
      <c r="J1412" s="200">
        <f t="shared" si="7139"/>
        <v>0</v>
      </c>
      <c r="K1412" s="200">
        <f t="shared" si="7139"/>
        <v>0</v>
      </c>
      <c r="L1412" s="200">
        <f t="shared" si="7139"/>
        <v>0</v>
      </c>
      <c r="M1412" s="200">
        <f t="shared" si="7139"/>
        <v>0</v>
      </c>
      <c r="N1412" s="200">
        <f t="shared" si="7139"/>
        <v>0</v>
      </c>
      <c r="O1412" s="200">
        <f t="shared" si="7139"/>
        <v>0</v>
      </c>
      <c r="P1412" s="200">
        <f t="shared" si="9"/>
        <v>1</v>
      </c>
      <c r="Q1412" s="200">
        <f t="shared" ref="Q1412:AC1412" si="7140">countif($D1412,"*"&amp;Q$2&amp;"*")</f>
        <v>0</v>
      </c>
      <c r="R1412" s="200">
        <f t="shared" si="7140"/>
        <v>0</v>
      </c>
      <c r="S1412" s="200">
        <f t="shared" si="7140"/>
        <v>0</v>
      </c>
      <c r="T1412" s="200">
        <f t="shared" si="7140"/>
        <v>0</v>
      </c>
      <c r="U1412" s="200">
        <f t="shared" si="7140"/>
        <v>0</v>
      </c>
      <c r="V1412" s="200">
        <f t="shared" si="7140"/>
        <v>0</v>
      </c>
      <c r="W1412" s="200">
        <f t="shared" si="7140"/>
        <v>0</v>
      </c>
      <c r="X1412" s="200">
        <f t="shared" si="7140"/>
        <v>0</v>
      </c>
      <c r="Y1412" s="200">
        <f t="shared" si="7140"/>
        <v>0</v>
      </c>
      <c r="Z1412" s="200">
        <f t="shared" si="7140"/>
        <v>0</v>
      </c>
      <c r="AA1412" s="200">
        <f t="shared" si="7140"/>
        <v>0</v>
      </c>
      <c r="AB1412" s="200">
        <f t="shared" si="7140"/>
        <v>0</v>
      </c>
      <c r="AC1412" s="200">
        <f t="shared" si="7140"/>
        <v>0</v>
      </c>
      <c r="AD1412" s="200">
        <f t="shared" si="11"/>
        <v>0</v>
      </c>
      <c r="AE1412" s="200">
        <f t="shared" ref="AE1412:AG1412" si="7141">countif($D1412,"*"&amp;AE$2&amp;"*")</f>
        <v>0</v>
      </c>
      <c r="AF1412" s="200">
        <f t="shared" si="7141"/>
        <v>0</v>
      </c>
      <c r="AG1412" s="200">
        <f t="shared" si="7141"/>
        <v>0</v>
      </c>
      <c r="AH1412" s="171">
        <f t="shared" si="13"/>
        <v>0</v>
      </c>
      <c r="AI1412" s="200">
        <f t="shared" si="14"/>
        <v>0</v>
      </c>
      <c r="AJ1412" s="200">
        <f t="shared" si="6100"/>
        <v>0</v>
      </c>
      <c r="AK1412" s="201">
        <f t="shared" ref="AK1412:AS1412" si="7142">countif($D1412,"*"&amp;AK$2&amp;"*")</f>
        <v>0</v>
      </c>
      <c r="AL1412" s="201">
        <f t="shared" si="7142"/>
        <v>0</v>
      </c>
      <c r="AM1412" s="201">
        <f t="shared" si="7142"/>
        <v>0</v>
      </c>
      <c r="AN1412" s="201">
        <f t="shared" si="7142"/>
        <v>0</v>
      </c>
      <c r="AO1412" s="201">
        <f t="shared" si="7142"/>
        <v>0</v>
      </c>
      <c r="AP1412" s="201">
        <f t="shared" si="7142"/>
        <v>0</v>
      </c>
      <c r="AQ1412" s="201">
        <f t="shared" si="7142"/>
        <v>0</v>
      </c>
      <c r="AR1412" s="200">
        <f t="shared" si="7142"/>
        <v>0</v>
      </c>
      <c r="AS1412" s="200">
        <f t="shared" si="7142"/>
        <v>0</v>
      </c>
      <c r="AT1412" s="173">
        <v>0.0</v>
      </c>
      <c r="AU1412" s="200">
        <f t="shared" si="6217"/>
        <v>0</v>
      </c>
      <c r="AV1412" s="200">
        <f t="shared" ref="AV1412:AX1412" si="7143">countif($D1412,"*"&amp;AV$2&amp;"*")</f>
        <v>1</v>
      </c>
      <c r="AW1412" s="200">
        <f t="shared" si="7143"/>
        <v>0</v>
      </c>
      <c r="AX1412" s="200">
        <f t="shared" si="7143"/>
        <v>0</v>
      </c>
      <c r="AY1412" s="202">
        <v>0.0</v>
      </c>
      <c r="AZ1412" s="200"/>
      <c r="BA1412" s="171" t="str">
        <f t="shared" si="18"/>
        <v/>
      </c>
      <c r="BB1412" s="171" t="str">
        <f t="shared" si="19"/>
        <v>Code</v>
      </c>
      <c r="BC1412" s="171" t="str">
        <f t="shared" si="20"/>
        <v/>
      </c>
      <c r="BD1412" s="171" t="str">
        <f t="shared" si="21"/>
        <v/>
      </c>
      <c r="BE1412" s="171" t="str">
        <f t="shared" si="22"/>
        <v/>
      </c>
      <c r="BF1412" s="171" t="str">
        <f t="shared" si="23"/>
        <v>Code</v>
      </c>
    </row>
    <row r="1413">
      <c r="A1413" s="171">
        <f t="array" ref="A1413">XLOOKUP(C1413,FSE!A:A,FSE!C:C,"XXXXX",0,1)</f>
        <v>2022</v>
      </c>
      <c r="B1413" s="213" t="s">
        <v>5676</v>
      </c>
      <c r="C1413" s="214">
        <v>141.0</v>
      </c>
      <c r="D1413" s="215" t="s">
        <v>5060</v>
      </c>
      <c r="E1413" s="197" t="str">
        <f t="array" ref="E1413">XLOOKUP(C1413,FSE!A:A,FSE!Z:Z,"XXXXX",0,1)</f>
        <v>Publicly Available (1)</v>
      </c>
      <c r="F1413" s="213" t="s">
        <v>3394</v>
      </c>
      <c r="G1413" s="163" t="str">
        <f t="array" ref="G1413">IF(B1413="ICSE",IF(COUNTIFS(B:B,B1413,C:C,C1413)=XLOOKUP(C1413,ICSE!A:A,ICSE!AA:AA,"ERROR",0,1),"OK","ERROR"),IF(B1413="FSE",IF(COUNTIFS(B:B,B1413,C:C,C1413)=XLOOKUP(C1413,FSE!A:A,FSE!AA:AA,"ERROR",0,1),"OK","ERROR")))</f>
        <v>OK</v>
      </c>
      <c r="H1413" s="199">
        <f t="shared" ref="H1413:O1413" si="7144">countif($D1413,"*"&amp;H$2&amp;"*")</f>
        <v>0</v>
      </c>
      <c r="I1413" s="200">
        <f t="shared" si="7144"/>
        <v>1</v>
      </c>
      <c r="J1413" s="200">
        <f t="shared" si="7144"/>
        <v>0</v>
      </c>
      <c r="K1413" s="200">
        <f t="shared" si="7144"/>
        <v>0</v>
      </c>
      <c r="L1413" s="200">
        <f t="shared" si="7144"/>
        <v>0</v>
      </c>
      <c r="M1413" s="200">
        <f t="shared" si="7144"/>
        <v>0</v>
      </c>
      <c r="N1413" s="200">
        <f t="shared" si="7144"/>
        <v>0</v>
      </c>
      <c r="O1413" s="200">
        <f t="shared" si="7144"/>
        <v>0</v>
      </c>
      <c r="P1413" s="200">
        <f t="shared" si="9"/>
        <v>0</v>
      </c>
      <c r="Q1413" s="200">
        <f t="shared" ref="Q1413:AC1413" si="7145">countif($D1413,"*"&amp;Q$2&amp;"*")</f>
        <v>0</v>
      </c>
      <c r="R1413" s="200">
        <f t="shared" si="7145"/>
        <v>0</v>
      </c>
      <c r="S1413" s="200">
        <f t="shared" si="7145"/>
        <v>0</v>
      </c>
      <c r="T1413" s="200">
        <f t="shared" si="7145"/>
        <v>0</v>
      </c>
      <c r="U1413" s="200">
        <f t="shared" si="7145"/>
        <v>0</v>
      </c>
      <c r="V1413" s="200">
        <f t="shared" si="7145"/>
        <v>0</v>
      </c>
      <c r="W1413" s="200">
        <f t="shared" si="7145"/>
        <v>0</v>
      </c>
      <c r="X1413" s="200">
        <f t="shared" si="7145"/>
        <v>0</v>
      </c>
      <c r="Y1413" s="200">
        <f t="shared" si="7145"/>
        <v>0</v>
      </c>
      <c r="Z1413" s="200">
        <f t="shared" si="7145"/>
        <v>0</v>
      </c>
      <c r="AA1413" s="200">
        <f t="shared" si="7145"/>
        <v>0</v>
      </c>
      <c r="AB1413" s="200">
        <f t="shared" si="7145"/>
        <v>0</v>
      </c>
      <c r="AC1413" s="200">
        <f t="shared" si="7145"/>
        <v>0</v>
      </c>
      <c r="AD1413" s="200">
        <f t="shared" si="11"/>
        <v>0</v>
      </c>
      <c r="AE1413" s="200">
        <f t="shared" ref="AE1413:AG1413" si="7146">countif($D1413,"*"&amp;AE$2&amp;"*")</f>
        <v>0</v>
      </c>
      <c r="AF1413" s="200">
        <f t="shared" si="7146"/>
        <v>0</v>
      </c>
      <c r="AG1413" s="200">
        <f t="shared" si="7146"/>
        <v>0</v>
      </c>
      <c r="AH1413" s="171">
        <f t="shared" si="13"/>
        <v>0</v>
      </c>
      <c r="AI1413" s="200">
        <f t="shared" si="14"/>
        <v>1</v>
      </c>
      <c r="AJ1413" s="200">
        <f t="shared" si="6100"/>
        <v>0</v>
      </c>
      <c r="AK1413" s="201">
        <f t="shared" ref="AK1413:AS1413" si="7147">countif($D1413,"*"&amp;AK$2&amp;"*")</f>
        <v>0</v>
      </c>
      <c r="AL1413" s="201">
        <f t="shared" si="7147"/>
        <v>0</v>
      </c>
      <c r="AM1413" s="201">
        <f t="shared" si="7147"/>
        <v>0</v>
      </c>
      <c r="AN1413" s="201">
        <f t="shared" si="7147"/>
        <v>0</v>
      </c>
      <c r="AO1413" s="201">
        <f t="shared" si="7147"/>
        <v>0</v>
      </c>
      <c r="AP1413" s="201">
        <f t="shared" si="7147"/>
        <v>0</v>
      </c>
      <c r="AQ1413" s="201">
        <f t="shared" si="7147"/>
        <v>0</v>
      </c>
      <c r="AR1413" s="200">
        <f t="shared" si="7147"/>
        <v>0</v>
      </c>
      <c r="AS1413" s="200">
        <f t="shared" si="7147"/>
        <v>0</v>
      </c>
      <c r="AT1413" s="173">
        <v>0.0</v>
      </c>
      <c r="AU1413" s="200">
        <f t="shared" si="6217"/>
        <v>0</v>
      </c>
      <c r="AV1413" s="200">
        <f t="shared" ref="AV1413:AX1413" si="7148">countif($D1413,"*"&amp;AV$2&amp;"*")</f>
        <v>0</v>
      </c>
      <c r="AW1413" s="200">
        <f t="shared" si="7148"/>
        <v>0</v>
      </c>
      <c r="AX1413" s="200">
        <f t="shared" si="7148"/>
        <v>1</v>
      </c>
      <c r="AY1413" s="202">
        <v>0.0</v>
      </c>
      <c r="AZ1413" s="200"/>
      <c r="BA1413" s="171" t="str">
        <f t="shared" si="18"/>
        <v>Archival</v>
      </c>
      <c r="BB1413" s="171" t="str">
        <f t="shared" si="19"/>
        <v/>
      </c>
      <c r="BC1413" s="171" t="str">
        <f t="shared" si="20"/>
        <v/>
      </c>
      <c r="BD1413" s="171" t="str">
        <f t="shared" si="21"/>
        <v/>
      </c>
      <c r="BE1413" s="171" t="str">
        <f t="shared" si="22"/>
        <v/>
      </c>
      <c r="BF1413" s="171" t="str">
        <f t="shared" si="23"/>
        <v>Archival</v>
      </c>
    </row>
    <row r="1414">
      <c r="A1414" s="171">
        <f t="array" ref="A1414">XLOOKUP(C1414,FSE!A:A,FSE!C:C,"XXXXX",0,1)</f>
        <v>2022</v>
      </c>
      <c r="B1414" s="213" t="s">
        <v>5676</v>
      </c>
      <c r="C1414" s="214">
        <v>142.0</v>
      </c>
      <c r="D1414" s="215" t="s">
        <v>6257</v>
      </c>
      <c r="E1414" s="197" t="str">
        <f t="array" ref="E1414">XLOOKUP(C1414,FSE!A:A,FSE!Z:Z,"XXXXX",0,1)</f>
        <v>Publicly Available (2)</v>
      </c>
      <c r="F1414" s="213" t="s">
        <v>3394</v>
      </c>
      <c r="G1414" s="163" t="str">
        <f t="array" ref="G1414">IF(B1414="ICSE",IF(COUNTIFS(B:B,B1414,C:C,C1414)=XLOOKUP(C1414,ICSE!A:A,ICSE!AA:AA,"ERROR",0,1),"OK","ERROR"),IF(B1414="FSE",IF(COUNTIFS(B:B,B1414,C:C,C1414)=XLOOKUP(C1414,FSE!A:A,FSE!AA:AA,"ERROR",0,1),"OK","ERROR")))</f>
        <v>OK</v>
      </c>
      <c r="H1414" s="199">
        <f t="shared" ref="H1414:O1414" si="7149">countif($D1414,"*"&amp;H$2&amp;"*")</f>
        <v>1</v>
      </c>
      <c r="I1414" s="200">
        <f t="shared" si="7149"/>
        <v>0</v>
      </c>
      <c r="J1414" s="200">
        <f t="shared" si="7149"/>
        <v>0</v>
      </c>
      <c r="K1414" s="200">
        <f t="shared" si="7149"/>
        <v>0</v>
      </c>
      <c r="L1414" s="200">
        <f t="shared" si="7149"/>
        <v>0</v>
      </c>
      <c r="M1414" s="200">
        <f t="shared" si="7149"/>
        <v>0</v>
      </c>
      <c r="N1414" s="200">
        <f t="shared" si="7149"/>
        <v>0</v>
      </c>
      <c r="O1414" s="200">
        <f t="shared" si="7149"/>
        <v>0</v>
      </c>
      <c r="P1414" s="200">
        <f t="shared" si="9"/>
        <v>0</v>
      </c>
      <c r="Q1414" s="200">
        <f t="shared" ref="Q1414:AC1414" si="7150">countif($D1414,"*"&amp;Q$2&amp;"*")</f>
        <v>0</v>
      </c>
      <c r="R1414" s="200">
        <f t="shared" si="7150"/>
        <v>0</v>
      </c>
      <c r="S1414" s="200">
        <f t="shared" si="7150"/>
        <v>0</v>
      </c>
      <c r="T1414" s="200">
        <f t="shared" si="7150"/>
        <v>0</v>
      </c>
      <c r="U1414" s="200">
        <f t="shared" si="7150"/>
        <v>0</v>
      </c>
      <c r="V1414" s="200">
        <f t="shared" si="7150"/>
        <v>0</v>
      </c>
      <c r="W1414" s="200">
        <f t="shared" si="7150"/>
        <v>0</v>
      </c>
      <c r="X1414" s="200">
        <f t="shared" si="7150"/>
        <v>0</v>
      </c>
      <c r="Y1414" s="200">
        <f t="shared" si="7150"/>
        <v>0</v>
      </c>
      <c r="Z1414" s="200">
        <f t="shared" si="7150"/>
        <v>0</v>
      </c>
      <c r="AA1414" s="200">
        <f t="shared" si="7150"/>
        <v>0</v>
      </c>
      <c r="AB1414" s="200">
        <f t="shared" si="7150"/>
        <v>0</v>
      </c>
      <c r="AC1414" s="200">
        <f t="shared" si="7150"/>
        <v>0</v>
      </c>
      <c r="AD1414" s="200">
        <f t="shared" si="11"/>
        <v>0</v>
      </c>
      <c r="AE1414" s="200">
        <f t="shared" ref="AE1414:AG1414" si="7151">countif($D1414,"*"&amp;AE$2&amp;"*")</f>
        <v>0</v>
      </c>
      <c r="AF1414" s="200">
        <f t="shared" si="7151"/>
        <v>0</v>
      </c>
      <c r="AG1414" s="200">
        <f t="shared" si="7151"/>
        <v>0</v>
      </c>
      <c r="AH1414" s="171">
        <f t="shared" si="13"/>
        <v>0</v>
      </c>
      <c r="AI1414" s="200">
        <f t="shared" si="14"/>
        <v>1</v>
      </c>
      <c r="AJ1414" s="200">
        <f t="shared" si="6100"/>
        <v>0</v>
      </c>
      <c r="AK1414" s="201">
        <f t="shared" ref="AK1414:AS1414" si="7152">countif($D1414,"*"&amp;AK$2&amp;"*")</f>
        <v>0</v>
      </c>
      <c r="AL1414" s="201">
        <f t="shared" si="7152"/>
        <v>0</v>
      </c>
      <c r="AM1414" s="201">
        <f t="shared" si="7152"/>
        <v>0</v>
      </c>
      <c r="AN1414" s="201">
        <f t="shared" si="7152"/>
        <v>0</v>
      </c>
      <c r="AO1414" s="201">
        <f t="shared" si="7152"/>
        <v>0</v>
      </c>
      <c r="AP1414" s="201">
        <f t="shared" si="7152"/>
        <v>0</v>
      </c>
      <c r="AQ1414" s="201">
        <f t="shared" si="7152"/>
        <v>0</v>
      </c>
      <c r="AR1414" s="200">
        <f t="shared" si="7152"/>
        <v>0</v>
      </c>
      <c r="AS1414" s="200">
        <f t="shared" si="7152"/>
        <v>0</v>
      </c>
      <c r="AT1414" s="173">
        <v>0.0</v>
      </c>
      <c r="AU1414" s="200">
        <f t="shared" si="6217"/>
        <v>0</v>
      </c>
      <c r="AV1414" s="200">
        <f t="shared" ref="AV1414:AX1414" si="7153">countif($D1414,"*"&amp;AV$2&amp;"*")</f>
        <v>0</v>
      </c>
      <c r="AW1414" s="200">
        <f t="shared" si="7153"/>
        <v>0</v>
      </c>
      <c r="AX1414" s="200">
        <f t="shared" si="7153"/>
        <v>1</v>
      </c>
      <c r="AY1414" s="202">
        <v>0.0</v>
      </c>
      <c r="AZ1414" s="200"/>
      <c r="BA1414" s="171" t="str">
        <f t="shared" si="18"/>
        <v>Archival</v>
      </c>
      <c r="BB1414" s="171" t="str">
        <f t="shared" si="19"/>
        <v/>
      </c>
      <c r="BC1414" s="171" t="str">
        <f t="shared" si="20"/>
        <v/>
      </c>
      <c r="BD1414" s="171" t="str">
        <f t="shared" si="21"/>
        <v/>
      </c>
      <c r="BE1414" s="171" t="str">
        <f t="shared" si="22"/>
        <v/>
      </c>
      <c r="BF1414" s="171" t="str">
        <f t="shared" si="23"/>
        <v>Archival</v>
      </c>
    </row>
    <row r="1415">
      <c r="A1415" s="171">
        <f t="array" ref="A1415">XLOOKUP(C1415,FSE!A:A,FSE!C:C,"XXXXX",0,1)</f>
        <v>2022</v>
      </c>
      <c r="B1415" s="213" t="s">
        <v>5676</v>
      </c>
      <c r="C1415" s="214">
        <v>142.0</v>
      </c>
      <c r="D1415" s="215" t="s">
        <v>6258</v>
      </c>
      <c r="E1415" s="197" t="str">
        <f t="array" ref="E1415">XLOOKUP(C1415,FSE!A:A,FSE!Z:Z,"XXXXX",0,1)</f>
        <v>Publicly Available (2)</v>
      </c>
      <c r="F1415" s="213" t="s">
        <v>3394</v>
      </c>
      <c r="G1415" s="163" t="str">
        <f t="array" ref="G1415">IF(B1415="ICSE",IF(COUNTIFS(B:B,B1415,C:C,C1415)=XLOOKUP(C1415,ICSE!A:A,ICSE!AA:AA,"ERROR",0,1),"OK","ERROR"),IF(B1415="FSE",IF(COUNTIFS(B:B,B1415,C:C,C1415)=XLOOKUP(C1415,FSE!A:A,FSE!AA:AA,"ERROR",0,1),"OK","ERROR")))</f>
        <v>OK</v>
      </c>
      <c r="H1415" s="199">
        <f t="shared" ref="H1415:O1415" si="7154">countif($D1415,"*"&amp;H$2&amp;"*")</f>
        <v>0</v>
      </c>
      <c r="I1415" s="200">
        <f t="shared" si="7154"/>
        <v>0</v>
      </c>
      <c r="J1415" s="200">
        <f t="shared" si="7154"/>
        <v>0</v>
      </c>
      <c r="K1415" s="200">
        <f t="shared" si="7154"/>
        <v>0</v>
      </c>
      <c r="L1415" s="200">
        <f t="shared" si="7154"/>
        <v>0</v>
      </c>
      <c r="M1415" s="200">
        <f t="shared" si="7154"/>
        <v>0</v>
      </c>
      <c r="N1415" s="200">
        <f t="shared" si="7154"/>
        <v>0</v>
      </c>
      <c r="O1415" s="200">
        <f t="shared" si="7154"/>
        <v>0</v>
      </c>
      <c r="P1415" s="200">
        <f t="shared" si="9"/>
        <v>1</v>
      </c>
      <c r="Q1415" s="200">
        <f t="shared" ref="Q1415:AC1415" si="7155">countif($D1415,"*"&amp;Q$2&amp;"*")</f>
        <v>0</v>
      </c>
      <c r="R1415" s="200">
        <f t="shared" si="7155"/>
        <v>0</v>
      </c>
      <c r="S1415" s="200">
        <f t="shared" si="7155"/>
        <v>0</v>
      </c>
      <c r="T1415" s="200">
        <f t="shared" si="7155"/>
        <v>0</v>
      </c>
      <c r="U1415" s="200">
        <f t="shared" si="7155"/>
        <v>0</v>
      </c>
      <c r="V1415" s="200">
        <f t="shared" si="7155"/>
        <v>0</v>
      </c>
      <c r="W1415" s="200">
        <f t="shared" si="7155"/>
        <v>0</v>
      </c>
      <c r="X1415" s="200">
        <f t="shared" si="7155"/>
        <v>0</v>
      </c>
      <c r="Y1415" s="200">
        <f t="shared" si="7155"/>
        <v>0</v>
      </c>
      <c r="Z1415" s="200">
        <f t="shared" si="7155"/>
        <v>0</v>
      </c>
      <c r="AA1415" s="200">
        <f t="shared" si="7155"/>
        <v>0</v>
      </c>
      <c r="AB1415" s="200">
        <f t="shared" si="7155"/>
        <v>0</v>
      </c>
      <c r="AC1415" s="200">
        <f t="shared" si="7155"/>
        <v>0</v>
      </c>
      <c r="AD1415" s="200">
        <f t="shared" si="11"/>
        <v>0</v>
      </c>
      <c r="AE1415" s="200">
        <f t="shared" ref="AE1415:AG1415" si="7156">countif($D1415,"*"&amp;AE$2&amp;"*")</f>
        <v>0</v>
      </c>
      <c r="AF1415" s="200">
        <f t="shared" si="7156"/>
        <v>0</v>
      </c>
      <c r="AG1415" s="200">
        <f t="shared" si="7156"/>
        <v>0</v>
      </c>
      <c r="AH1415" s="171">
        <f t="shared" si="13"/>
        <v>0</v>
      </c>
      <c r="AI1415" s="200">
        <f t="shared" si="14"/>
        <v>0</v>
      </c>
      <c r="AJ1415" s="200">
        <f t="shared" si="6100"/>
        <v>0</v>
      </c>
      <c r="AK1415" s="201">
        <f t="shared" ref="AK1415:AS1415" si="7157">countif($D1415,"*"&amp;AK$2&amp;"*")</f>
        <v>0</v>
      </c>
      <c r="AL1415" s="201">
        <f t="shared" si="7157"/>
        <v>0</v>
      </c>
      <c r="AM1415" s="201">
        <f t="shared" si="7157"/>
        <v>0</v>
      </c>
      <c r="AN1415" s="201">
        <f t="shared" si="7157"/>
        <v>0</v>
      </c>
      <c r="AO1415" s="201">
        <f t="shared" si="7157"/>
        <v>0</v>
      </c>
      <c r="AP1415" s="201">
        <f t="shared" si="7157"/>
        <v>0</v>
      </c>
      <c r="AQ1415" s="201">
        <f t="shared" si="7157"/>
        <v>0</v>
      </c>
      <c r="AR1415" s="200">
        <f t="shared" si="7157"/>
        <v>0</v>
      </c>
      <c r="AS1415" s="200">
        <f t="shared" si="7157"/>
        <v>0</v>
      </c>
      <c r="AT1415" s="173">
        <v>0.0</v>
      </c>
      <c r="AU1415" s="200">
        <f t="shared" si="6217"/>
        <v>0</v>
      </c>
      <c r="AV1415" s="200">
        <f t="shared" ref="AV1415:AX1415" si="7158">countif($D1415,"*"&amp;AV$2&amp;"*")</f>
        <v>1</v>
      </c>
      <c r="AW1415" s="200">
        <f t="shared" si="7158"/>
        <v>0</v>
      </c>
      <c r="AX1415" s="200">
        <f t="shared" si="7158"/>
        <v>0</v>
      </c>
      <c r="AY1415" s="202">
        <v>0.0</v>
      </c>
      <c r="AZ1415" s="200"/>
      <c r="BA1415" s="171" t="str">
        <f t="shared" si="18"/>
        <v/>
      </c>
      <c r="BB1415" s="171" t="str">
        <f t="shared" si="19"/>
        <v>Code</v>
      </c>
      <c r="BC1415" s="171" t="str">
        <f t="shared" si="20"/>
        <v/>
      </c>
      <c r="BD1415" s="171" t="str">
        <f t="shared" si="21"/>
        <v/>
      </c>
      <c r="BE1415" s="171" t="str">
        <f t="shared" si="22"/>
        <v/>
      </c>
      <c r="BF1415" s="171" t="str">
        <f t="shared" si="23"/>
        <v>Code</v>
      </c>
    </row>
    <row r="1416">
      <c r="A1416" s="171">
        <f t="array" ref="A1416">XLOOKUP(C1416,FSE!A:A,FSE!C:C,"XXXXX",0,1)</f>
        <v>2022</v>
      </c>
      <c r="B1416" s="213" t="s">
        <v>5676</v>
      </c>
      <c r="C1416" s="219">
        <v>143.0</v>
      </c>
      <c r="D1416" s="217" t="s">
        <v>6259</v>
      </c>
      <c r="E1416" s="197" t="str">
        <f t="array" ref="E1416">XLOOKUP(C1416,FSE!A:A,FSE!Z:Z,"XXXXX",0,1)</f>
        <v>Publicly Available (2)</v>
      </c>
      <c r="F1416" s="213" t="s">
        <v>3394</v>
      </c>
      <c r="G1416" s="163" t="str">
        <f t="array" ref="G1416">IF(B1416="ICSE",IF(COUNTIFS(B:B,B1416,C:C,C1416)=XLOOKUP(C1416,ICSE!A:A,ICSE!AA:AA,"ERROR",0,1),"OK","ERROR"),IF(B1416="FSE",IF(COUNTIFS(B:B,B1416,C:C,C1416)=XLOOKUP(C1416,FSE!A:A,FSE!AA:AA,"ERROR",0,1),"OK","ERROR")))</f>
        <v>OK</v>
      </c>
      <c r="H1416" s="199">
        <f t="shared" ref="H1416:O1416" si="7159">countif($D1416,"*"&amp;H$2&amp;"*")</f>
        <v>1</v>
      </c>
      <c r="I1416" s="200">
        <f t="shared" si="7159"/>
        <v>0</v>
      </c>
      <c r="J1416" s="200">
        <f t="shared" si="7159"/>
        <v>0</v>
      </c>
      <c r="K1416" s="200">
        <f t="shared" si="7159"/>
        <v>0</v>
      </c>
      <c r="L1416" s="200">
        <f t="shared" si="7159"/>
        <v>0</v>
      </c>
      <c r="M1416" s="200">
        <f t="shared" si="7159"/>
        <v>0</v>
      </c>
      <c r="N1416" s="200">
        <f t="shared" si="7159"/>
        <v>0</v>
      </c>
      <c r="O1416" s="200">
        <f t="shared" si="7159"/>
        <v>0</v>
      </c>
      <c r="P1416" s="200">
        <f t="shared" si="9"/>
        <v>0</v>
      </c>
      <c r="Q1416" s="200">
        <f t="shared" ref="Q1416:AC1416" si="7160">countif($D1416,"*"&amp;Q$2&amp;"*")</f>
        <v>0</v>
      </c>
      <c r="R1416" s="200">
        <f t="shared" si="7160"/>
        <v>0</v>
      </c>
      <c r="S1416" s="200">
        <f t="shared" si="7160"/>
        <v>0</v>
      </c>
      <c r="T1416" s="200">
        <f t="shared" si="7160"/>
        <v>0</v>
      </c>
      <c r="U1416" s="200">
        <f t="shared" si="7160"/>
        <v>0</v>
      </c>
      <c r="V1416" s="200">
        <f t="shared" si="7160"/>
        <v>0</v>
      </c>
      <c r="W1416" s="200">
        <f t="shared" si="7160"/>
        <v>0</v>
      </c>
      <c r="X1416" s="200">
        <f t="shared" si="7160"/>
        <v>0</v>
      </c>
      <c r="Y1416" s="200">
        <f t="shared" si="7160"/>
        <v>0</v>
      </c>
      <c r="Z1416" s="200">
        <f t="shared" si="7160"/>
        <v>0</v>
      </c>
      <c r="AA1416" s="200">
        <f t="shared" si="7160"/>
        <v>0</v>
      </c>
      <c r="AB1416" s="200">
        <f t="shared" si="7160"/>
        <v>0</v>
      </c>
      <c r="AC1416" s="200">
        <f t="shared" si="7160"/>
        <v>0</v>
      </c>
      <c r="AD1416" s="200">
        <f t="shared" si="11"/>
        <v>0</v>
      </c>
      <c r="AE1416" s="200">
        <f t="shared" ref="AE1416:AG1416" si="7161">countif($D1416,"*"&amp;AE$2&amp;"*")</f>
        <v>0</v>
      </c>
      <c r="AF1416" s="200">
        <f t="shared" si="7161"/>
        <v>0</v>
      </c>
      <c r="AG1416" s="200">
        <f t="shared" si="7161"/>
        <v>0</v>
      </c>
      <c r="AH1416" s="171">
        <f t="shared" si="13"/>
        <v>0</v>
      </c>
      <c r="AI1416" s="200">
        <f t="shared" si="14"/>
        <v>1</v>
      </c>
      <c r="AJ1416" s="200">
        <f t="shared" si="6100"/>
        <v>0</v>
      </c>
      <c r="AK1416" s="201">
        <f t="shared" ref="AK1416:AS1416" si="7162">countif($D1416,"*"&amp;AK$2&amp;"*")</f>
        <v>0</v>
      </c>
      <c r="AL1416" s="201">
        <f t="shared" si="7162"/>
        <v>0</v>
      </c>
      <c r="AM1416" s="201">
        <f t="shared" si="7162"/>
        <v>0</v>
      </c>
      <c r="AN1416" s="201">
        <f t="shared" si="7162"/>
        <v>0</v>
      </c>
      <c r="AO1416" s="201">
        <f t="shared" si="7162"/>
        <v>0</v>
      </c>
      <c r="AP1416" s="201">
        <f t="shared" si="7162"/>
        <v>0</v>
      </c>
      <c r="AQ1416" s="201">
        <f t="shared" si="7162"/>
        <v>0</v>
      </c>
      <c r="AR1416" s="200">
        <f t="shared" si="7162"/>
        <v>0</v>
      </c>
      <c r="AS1416" s="200">
        <f t="shared" si="7162"/>
        <v>0</v>
      </c>
      <c r="AT1416" s="173">
        <v>0.0</v>
      </c>
      <c r="AU1416" s="200">
        <f t="shared" si="6217"/>
        <v>0</v>
      </c>
      <c r="AV1416" s="200">
        <f t="shared" ref="AV1416:AX1416" si="7163">countif($D1416,"*"&amp;AV$2&amp;"*")</f>
        <v>0</v>
      </c>
      <c r="AW1416" s="200">
        <f t="shared" si="7163"/>
        <v>0</v>
      </c>
      <c r="AX1416" s="200">
        <f t="shared" si="7163"/>
        <v>1</v>
      </c>
      <c r="AY1416" s="202">
        <v>0.0</v>
      </c>
      <c r="AZ1416" s="200"/>
      <c r="BA1416" s="171" t="str">
        <f t="shared" si="18"/>
        <v>Archival</v>
      </c>
      <c r="BB1416" s="171" t="str">
        <f t="shared" si="19"/>
        <v/>
      </c>
      <c r="BC1416" s="171" t="str">
        <f t="shared" si="20"/>
        <v/>
      </c>
      <c r="BD1416" s="171" t="str">
        <f t="shared" si="21"/>
        <v/>
      </c>
      <c r="BE1416" s="171" t="str">
        <f t="shared" si="22"/>
        <v/>
      </c>
      <c r="BF1416" s="171" t="str">
        <f t="shared" si="23"/>
        <v>Archival</v>
      </c>
    </row>
    <row r="1417">
      <c r="A1417" s="171">
        <f t="array" ref="A1417">XLOOKUP(C1417,FSE!A:A,FSE!C:C,"XXXXX",0,1)</f>
        <v>2022</v>
      </c>
      <c r="B1417" s="213" t="s">
        <v>5676</v>
      </c>
      <c r="C1417" s="214">
        <v>143.0</v>
      </c>
      <c r="D1417" s="215" t="s">
        <v>6260</v>
      </c>
      <c r="E1417" s="197" t="str">
        <f t="array" ref="E1417">XLOOKUP(C1417,FSE!A:A,FSE!Z:Z,"XXXXX",0,1)</f>
        <v>Publicly Available (2)</v>
      </c>
      <c r="F1417" s="213" t="s">
        <v>3394</v>
      </c>
      <c r="G1417" s="163" t="str">
        <f t="array" ref="G1417">IF(B1417="ICSE",IF(COUNTIFS(B:B,B1417,C:C,C1417)=XLOOKUP(C1417,ICSE!A:A,ICSE!AA:AA,"ERROR",0,1),"OK","ERROR"),IF(B1417="FSE",IF(COUNTIFS(B:B,B1417,C:C,C1417)=XLOOKUP(C1417,FSE!A:A,FSE!AA:AA,"ERROR",0,1),"OK","ERROR")))</f>
        <v>OK</v>
      </c>
      <c r="H1417" s="199">
        <f t="shared" ref="H1417:O1417" si="7164">countif($D1417,"*"&amp;H$2&amp;"*")</f>
        <v>0</v>
      </c>
      <c r="I1417" s="200">
        <f t="shared" si="7164"/>
        <v>0</v>
      </c>
      <c r="J1417" s="200">
        <f t="shared" si="7164"/>
        <v>0</v>
      </c>
      <c r="K1417" s="200">
        <f t="shared" si="7164"/>
        <v>0</v>
      </c>
      <c r="L1417" s="200">
        <f t="shared" si="7164"/>
        <v>0</v>
      </c>
      <c r="M1417" s="200">
        <f t="shared" si="7164"/>
        <v>0</v>
      </c>
      <c r="N1417" s="200">
        <f t="shared" si="7164"/>
        <v>0</v>
      </c>
      <c r="O1417" s="200">
        <f t="shared" si="7164"/>
        <v>0</v>
      </c>
      <c r="P1417" s="200">
        <f t="shared" si="9"/>
        <v>1</v>
      </c>
      <c r="Q1417" s="200">
        <f t="shared" ref="Q1417:AC1417" si="7165">countif($D1417,"*"&amp;Q$2&amp;"*")</f>
        <v>0</v>
      </c>
      <c r="R1417" s="200">
        <f t="shared" si="7165"/>
        <v>0</v>
      </c>
      <c r="S1417" s="200">
        <f t="shared" si="7165"/>
        <v>0</v>
      </c>
      <c r="T1417" s="200">
        <f t="shared" si="7165"/>
        <v>0</v>
      </c>
      <c r="U1417" s="200">
        <f t="shared" si="7165"/>
        <v>0</v>
      </c>
      <c r="V1417" s="200">
        <f t="shared" si="7165"/>
        <v>0</v>
      </c>
      <c r="W1417" s="200">
        <f t="shared" si="7165"/>
        <v>0</v>
      </c>
      <c r="X1417" s="200">
        <f t="shared" si="7165"/>
        <v>0</v>
      </c>
      <c r="Y1417" s="200">
        <f t="shared" si="7165"/>
        <v>0</v>
      </c>
      <c r="Z1417" s="200">
        <f t="shared" si="7165"/>
        <v>0</v>
      </c>
      <c r="AA1417" s="200">
        <f t="shared" si="7165"/>
        <v>0</v>
      </c>
      <c r="AB1417" s="200">
        <f t="shared" si="7165"/>
        <v>0</v>
      </c>
      <c r="AC1417" s="200">
        <f t="shared" si="7165"/>
        <v>0</v>
      </c>
      <c r="AD1417" s="200">
        <f t="shared" si="11"/>
        <v>0</v>
      </c>
      <c r="AE1417" s="200">
        <f t="shared" ref="AE1417:AG1417" si="7166">countif($D1417,"*"&amp;AE$2&amp;"*")</f>
        <v>0</v>
      </c>
      <c r="AF1417" s="200">
        <f t="shared" si="7166"/>
        <v>0</v>
      </c>
      <c r="AG1417" s="200">
        <f t="shared" si="7166"/>
        <v>0</v>
      </c>
      <c r="AH1417" s="171">
        <f t="shared" si="13"/>
        <v>0</v>
      </c>
      <c r="AI1417" s="200">
        <f t="shared" si="14"/>
        <v>0</v>
      </c>
      <c r="AJ1417" s="200">
        <f t="shared" si="6100"/>
        <v>0</v>
      </c>
      <c r="AK1417" s="201">
        <f t="shared" ref="AK1417:AS1417" si="7167">countif($D1417,"*"&amp;AK$2&amp;"*")</f>
        <v>0</v>
      </c>
      <c r="AL1417" s="201">
        <f t="shared" si="7167"/>
        <v>0</v>
      </c>
      <c r="AM1417" s="201">
        <f t="shared" si="7167"/>
        <v>0</v>
      </c>
      <c r="AN1417" s="201">
        <f t="shared" si="7167"/>
        <v>0</v>
      </c>
      <c r="AO1417" s="201">
        <f t="shared" si="7167"/>
        <v>0</v>
      </c>
      <c r="AP1417" s="201">
        <f t="shared" si="7167"/>
        <v>0</v>
      </c>
      <c r="AQ1417" s="201">
        <f t="shared" si="7167"/>
        <v>0</v>
      </c>
      <c r="AR1417" s="200">
        <f t="shared" si="7167"/>
        <v>0</v>
      </c>
      <c r="AS1417" s="200">
        <f t="shared" si="7167"/>
        <v>0</v>
      </c>
      <c r="AT1417" s="173">
        <v>0.0</v>
      </c>
      <c r="AU1417" s="200">
        <f t="shared" si="6217"/>
        <v>0</v>
      </c>
      <c r="AV1417" s="200">
        <f t="shared" ref="AV1417:AX1417" si="7168">countif($D1417,"*"&amp;AV$2&amp;"*")</f>
        <v>1</v>
      </c>
      <c r="AW1417" s="200">
        <f t="shared" si="7168"/>
        <v>0</v>
      </c>
      <c r="AX1417" s="200">
        <f t="shared" si="7168"/>
        <v>0</v>
      </c>
      <c r="AY1417" s="202">
        <v>0.0</v>
      </c>
      <c r="AZ1417" s="200"/>
      <c r="BA1417" s="171" t="str">
        <f t="shared" si="18"/>
        <v/>
      </c>
      <c r="BB1417" s="171" t="str">
        <f t="shared" si="19"/>
        <v>Code</v>
      </c>
      <c r="BC1417" s="171" t="str">
        <f t="shared" si="20"/>
        <v/>
      </c>
      <c r="BD1417" s="171" t="str">
        <f t="shared" si="21"/>
        <v/>
      </c>
      <c r="BE1417" s="171" t="str">
        <f t="shared" si="22"/>
        <v/>
      </c>
      <c r="BF1417" s="171" t="str">
        <f t="shared" si="23"/>
        <v>Code</v>
      </c>
    </row>
    <row r="1418">
      <c r="A1418" s="171">
        <f t="array" ref="A1418">XLOOKUP(C1418,FSE!A:A,FSE!C:C,"XXXXX",0,1)</f>
        <v>2022</v>
      </c>
      <c r="B1418" s="213" t="s">
        <v>5676</v>
      </c>
      <c r="C1418" s="214">
        <v>144.0</v>
      </c>
      <c r="D1418" s="215" t="s">
        <v>5069</v>
      </c>
      <c r="E1418" s="197" t="str">
        <f t="array" ref="E1418">XLOOKUP(C1418,FSE!A:A,FSE!Z:Z,"XXXXX",0,1)</f>
        <v>Publicly Available (1)</v>
      </c>
      <c r="F1418" s="213" t="s">
        <v>3394</v>
      </c>
      <c r="G1418" s="163" t="str">
        <f t="array" ref="G1418">IF(B1418="ICSE",IF(COUNTIFS(B:B,B1418,C:C,C1418)=XLOOKUP(C1418,ICSE!A:A,ICSE!AA:AA,"ERROR",0,1),"OK","ERROR"),IF(B1418="FSE",IF(COUNTIFS(B:B,B1418,C:C,C1418)=XLOOKUP(C1418,FSE!A:A,FSE!AA:AA,"ERROR",0,1),"OK","ERROR")))</f>
        <v>OK</v>
      </c>
      <c r="H1418" s="199">
        <f t="shared" ref="H1418:O1418" si="7169">countif($D1418,"*"&amp;H$2&amp;"*")</f>
        <v>0</v>
      </c>
      <c r="I1418" s="200">
        <f t="shared" si="7169"/>
        <v>0</v>
      </c>
      <c r="J1418" s="200">
        <f t="shared" si="7169"/>
        <v>0</v>
      </c>
      <c r="K1418" s="200">
        <f t="shared" si="7169"/>
        <v>0</v>
      </c>
      <c r="L1418" s="200">
        <f t="shared" si="7169"/>
        <v>0</v>
      </c>
      <c r="M1418" s="200">
        <f t="shared" si="7169"/>
        <v>0</v>
      </c>
      <c r="N1418" s="200">
        <f t="shared" si="7169"/>
        <v>0</v>
      </c>
      <c r="O1418" s="200">
        <f t="shared" si="7169"/>
        <v>0</v>
      </c>
      <c r="P1418" s="200">
        <f t="shared" si="9"/>
        <v>1</v>
      </c>
      <c r="Q1418" s="200">
        <f t="shared" ref="Q1418:AC1418" si="7170">countif($D1418,"*"&amp;Q$2&amp;"*")</f>
        <v>0</v>
      </c>
      <c r="R1418" s="200">
        <f t="shared" si="7170"/>
        <v>0</v>
      </c>
      <c r="S1418" s="200">
        <f t="shared" si="7170"/>
        <v>0</v>
      </c>
      <c r="T1418" s="200">
        <f t="shared" si="7170"/>
        <v>0</v>
      </c>
      <c r="U1418" s="200">
        <f t="shared" si="7170"/>
        <v>0</v>
      </c>
      <c r="V1418" s="200">
        <f t="shared" si="7170"/>
        <v>0</v>
      </c>
      <c r="W1418" s="200">
        <f t="shared" si="7170"/>
        <v>0</v>
      </c>
      <c r="X1418" s="200">
        <f t="shared" si="7170"/>
        <v>0</v>
      </c>
      <c r="Y1418" s="200">
        <f t="shared" si="7170"/>
        <v>0</v>
      </c>
      <c r="Z1418" s="200">
        <f t="shared" si="7170"/>
        <v>0</v>
      </c>
      <c r="AA1418" s="200">
        <f t="shared" si="7170"/>
        <v>0</v>
      </c>
      <c r="AB1418" s="200">
        <f t="shared" si="7170"/>
        <v>0</v>
      </c>
      <c r="AC1418" s="200">
        <f t="shared" si="7170"/>
        <v>0</v>
      </c>
      <c r="AD1418" s="200">
        <f t="shared" si="11"/>
        <v>0</v>
      </c>
      <c r="AE1418" s="200">
        <f t="shared" ref="AE1418:AG1418" si="7171">countif($D1418,"*"&amp;AE$2&amp;"*")</f>
        <v>0</v>
      </c>
      <c r="AF1418" s="200">
        <f t="shared" si="7171"/>
        <v>0</v>
      </c>
      <c r="AG1418" s="200">
        <f t="shared" si="7171"/>
        <v>0</v>
      </c>
      <c r="AH1418" s="171">
        <f t="shared" si="13"/>
        <v>0</v>
      </c>
      <c r="AI1418" s="200">
        <f t="shared" si="14"/>
        <v>0</v>
      </c>
      <c r="AJ1418" s="200">
        <f t="shared" si="6100"/>
        <v>0</v>
      </c>
      <c r="AK1418" s="201">
        <f t="shared" ref="AK1418:AS1418" si="7172">countif($D1418,"*"&amp;AK$2&amp;"*")</f>
        <v>0</v>
      </c>
      <c r="AL1418" s="201">
        <f t="shared" si="7172"/>
        <v>0</v>
      </c>
      <c r="AM1418" s="201">
        <f t="shared" si="7172"/>
        <v>0</v>
      </c>
      <c r="AN1418" s="201">
        <f t="shared" si="7172"/>
        <v>0</v>
      </c>
      <c r="AO1418" s="201">
        <f t="shared" si="7172"/>
        <v>0</v>
      </c>
      <c r="AP1418" s="201">
        <f t="shared" si="7172"/>
        <v>0</v>
      </c>
      <c r="AQ1418" s="201">
        <f t="shared" si="7172"/>
        <v>0</v>
      </c>
      <c r="AR1418" s="200">
        <f t="shared" si="7172"/>
        <v>0</v>
      </c>
      <c r="AS1418" s="200">
        <f t="shared" si="7172"/>
        <v>0</v>
      </c>
      <c r="AT1418" s="173">
        <v>0.0</v>
      </c>
      <c r="AU1418" s="200">
        <f t="shared" si="6217"/>
        <v>0</v>
      </c>
      <c r="AV1418" s="200">
        <f t="shared" ref="AV1418:AX1418" si="7173">countif($D1418,"*"&amp;AV$2&amp;"*")</f>
        <v>1</v>
      </c>
      <c r="AW1418" s="200">
        <f t="shared" si="7173"/>
        <v>0</v>
      </c>
      <c r="AX1418" s="200">
        <f t="shared" si="7173"/>
        <v>0</v>
      </c>
      <c r="AY1418" s="202">
        <v>0.0</v>
      </c>
      <c r="AZ1418" s="200"/>
      <c r="BA1418" s="171" t="str">
        <f t="shared" si="18"/>
        <v/>
      </c>
      <c r="BB1418" s="171" t="str">
        <f t="shared" si="19"/>
        <v>Code</v>
      </c>
      <c r="BC1418" s="171" t="str">
        <f t="shared" si="20"/>
        <v/>
      </c>
      <c r="BD1418" s="171" t="str">
        <f t="shared" si="21"/>
        <v/>
      </c>
      <c r="BE1418" s="171" t="str">
        <f t="shared" si="22"/>
        <v/>
      </c>
      <c r="BF1418" s="171" t="str">
        <f t="shared" si="23"/>
        <v>Code</v>
      </c>
    </row>
    <row r="1419">
      <c r="A1419" s="171">
        <f t="array" ref="A1419">XLOOKUP(C1419,FSE!A:A,FSE!C:C,"XXXXX",0,1)</f>
        <v>2022</v>
      </c>
      <c r="B1419" s="213" t="s">
        <v>5676</v>
      </c>
      <c r="C1419" s="214">
        <v>145.0</v>
      </c>
      <c r="D1419" s="215" t="s">
        <v>5072</v>
      </c>
      <c r="E1419" s="197" t="str">
        <f t="array" ref="E1419">XLOOKUP(C1419,FSE!A:A,FSE!Z:Z,"XXXXX",0,1)</f>
        <v>Publicly Available (1)</v>
      </c>
      <c r="F1419" s="213" t="s">
        <v>3394</v>
      </c>
      <c r="G1419" s="163" t="str">
        <f t="array" ref="G1419">IF(B1419="ICSE",IF(COUNTIFS(B:B,B1419,C:C,C1419)=XLOOKUP(C1419,ICSE!A:A,ICSE!AA:AA,"ERROR",0,1),"OK","ERROR"),IF(B1419="FSE",IF(COUNTIFS(B:B,B1419,C:C,C1419)=XLOOKUP(C1419,FSE!A:A,FSE!AA:AA,"ERROR",0,1),"OK","ERROR")))</f>
        <v>OK</v>
      </c>
      <c r="H1419" s="199">
        <f t="shared" ref="H1419:O1419" si="7174">countif($D1419,"*"&amp;H$2&amp;"*")</f>
        <v>0</v>
      </c>
      <c r="I1419" s="200">
        <f t="shared" si="7174"/>
        <v>0</v>
      </c>
      <c r="J1419" s="200">
        <f t="shared" si="7174"/>
        <v>0</v>
      </c>
      <c r="K1419" s="200">
        <f t="shared" si="7174"/>
        <v>0</v>
      </c>
      <c r="L1419" s="200">
        <f t="shared" si="7174"/>
        <v>0</v>
      </c>
      <c r="M1419" s="200">
        <f t="shared" si="7174"/>
        <v>0</v>
      </c>
      <c r="N1419" s="200">
        <f t="shared" si="7174"/>
        <v>0</v>
      </c>
      <c r="O1419" s="200">
        <f t="shared" si="7174"/>
        <v>0</v>
      </c>
      <c r="P1419" s="200">
        <f t="shared" si="9"/>
        <v>1</v>
      </c>
      <c r="Q1419" s="200">
        <f t="shared" ref="Q1419:AC1419" si="7175">countif($D1419,"*"&amp;Q$2&amp;"*")</f>
        <v>0</v>
      </c>
      <c r="R1419" s="200">
        <f t="shared" si="7175"/>
        <v>0</v>
      </c>
      <c r="S1419" s="200">
        <f t="shared" si="7175"/>
        <v>0</v>
      </c>
      <c r="T1419" s="200">
        <f t="shared" si="7175"/>
        <v>0</v>
      </c>
      <c r="U1419" s="200">
        <f t="shared" si="7175"/>
        <v>0</v>
      </c>
      <c r="V1419" s="200">
        <f t="shared" si="7175"/>
        <v>0</v>
      </c>
      <c r="W1419" s="200">
        <f t="shared" si="7175"/>
        <v>0</v>
      </c>
      <c r="X1419" s="200">
        <f t="shared" si="7175"/>
        <v>0</v>
      </c>
      <c r="Y1419" s="200">
        <f t="shared" si="7175"/>
        <v>0</v>
      </c>
      <c r="Z1419" s="200">
        <f t="shared" si="7175"/>
        <v>0</v>
      </c>
      <c r="AA1419" s="200">
        <f t="shared" si="7175"/>
        <v>0</v>
      </c>
      <c r="AB1419" s="200">
        <f t="shared" si="7175"/>
        <v>0</v>
      </c>
      <c r="AC1419" s="200">
        <f t="shared" si="7175"/>
        <v>0</v>
      </c>
      <c r="AD1419" s="200">
        <f t="shared" si="11"/>
        <v>0</v>
      </c>
      <c r="AE1419" s="200">
        <f t="shared" ref="AE1419:AG1419" si="7176">countif($D1419,"*"&amp;AE$2&amp;"*")</f>
        <v>0</v>
      </c>
      <c r="AF1419" s="200">
        <f t="shared" si="7176"/>
        <v>0</v>
      </c>
      <c r="AG1419" s="200">
        <f t="shared" si="7176"/>
        <v>0</v>
      </c>
      <c r="AH1419" s="171">
        <f t="shared" si="13"/>
        <v>0</v>
      </c>
      <c r="AI1419" s="200">
        <f t="shared" si="14"/>
        <v>0</v>
      </c>
      <c r="AJ1419" s="200">
        <f t="shared" si="6100"/>
        <v>0</v>
      </c>
      <c r="AK1419" s="201">
        <f t="shared" ref="AK1419:AS1419" si="7177">countif($D1419,"*"&amp;AK$2&amp;"*")</f>
        <v>0</v>
      </c>
      <c r="AL1419" s="201">
        <f t="shared" si="7177"/>
        <v>0</v>
      </c>
      <c r="AM1419" s="201">
        <f t="shared" si="7177"/>
        <v>0</v>
      </c>
      <c r="AN1419" s="201">
        <f t="shared" si="7177"/>
        <v>0</v>
      </c>
      <c r="AO1419" s="201">
        <f t="shared" si="7177"/>
        <v>0</v>
      </c>
      <c r="AP1419" s="201">
        <f t="shared" si="7177"/>
        <v>0</v>
      </c>
      <c r="AQ1419" s="201">
        <f t="shared" si="7177"/>
        <v>0</v>
      </c>
      <c r="AR1419" s="200">
        <f t="shared" si="7177"/>
        <v>0</v>
      </c>
      <c r="AS1419" s="200">
        <f t="shared" si="7177"/>
        <v>0</v>
      </c>
      <c r="AT1419" s="173">
        <v>0.0</v>
      </c>
      <c r="AU1419" s="200">
        <f t="shared" si="6217"/>
        <v>0</v>
      </c>
      <c r="AV1419" s="200">
        <f t="shared" ref="AV1419:AX1419" si="7178">countif($D1419,"*"&amp;AV$2&amp;"*")</f>
        <v>1</v>
      </c>
      <c r="AW1419" s="200">
        <f t="shared" si="7178"/>
        <v>0</v>
      </c>
      <c r="AX1419" s="200">
        <f t="shared" si="7178"/>
        <v>0</v>
      </c>
      <c r="AY1419" s="202">
        <v>0.0</v>
      </c>
      <c r="AZ1419" s="200"/>
      <c r="BA1419" s="171" t="str">
        <f t="shared" si="18"/>
        <v/>
      </c>
      <c r="BB1419" s="171" t="str">
        <f t="shared" si="19"/>
        <v>Code</v>
      </c>
      <c r="BC1419" s="171" t="str">
        <f t="shared" si="20"/>
        <v/>
      </c>
      <c r="BD1419" s="171" t="str">
        <f t="shared" si="21"/>
        <v/>
      </c>
      <c r="BE1419" s="171" t="str">
        <f t="shared" si="22"/>
        <v/>
      </c>
      <c r="BF1419" s="171" t="str">
        <f t="shared" si="23"/>
        <v>Code</v>
      </c>
    </row>
    <row r="1420">
      <c r="A1420" s="171">
        <f t="array" ref="A1420">XLOOKUP(C1420,FSE!A:A,FSE!C:C,"XXXXX",0,1)</f>
        <v>2022</v>
      </c>
      <c r="B1420" s="213" t="s">
        <v>5676</v>
      </c>
      <c r="C1420" s="219">
        <v>146.0</v>
      </c>
      <c r="D1420" s="217" t="s">
        <v>6261</v>
      </c>
      <c r="E1420" s="197" t="str">
        <f t="array" ref="E1420">XLOOKUP(C1420,FSE!A:A,FSE!Z:Z,"XXXXX",0,1)</f>
        <v>Publicly Available (2)</v>
      </c>
      <c r="F1420" s="213" t="s">
        <v>3394</v>
      </c>
      <c r="G1420" s="163" t="str">
        <f t="array" ref="G1420">IF(B1420="ICSE",IF(COUNTIFS(B:B,B1420,C:C,C1420)=XLOOKUP(C1420,ICSE!A:A,ICSE!AA:AA,"ERROR",0,1),"OK","ERROR"),IF(B1420="FSE",IF(COUNTIFS(B:B,B1420,C:C,C1420)=XLOOKUP(C1420,FSE!A:A,FSE!AA:AA,"ERROR",0,1),"OK","ERROR")))</f>
        <v>OK</v>
      </c>
      <c r="H1420" s="199">
        <f t="shared" ref="H1420:O1420" si="7179">countif($D1420,"*"&amp;H$2&amp;"*")</f>
        <v>0</v>
      </c>
      <c r="I1420" s="200">
        <f t="shared" si="7179"/>
        <v>0</v>
      </c>
      <c r="J1420" s="200">
        <f t="shared" si="7179"/>
        <v>0</v>
      </c>
      <c r="K1420" s="200">
        <f t="shared" si="7179"/>
        <v>0</v>
      </c>
      <c r="L1420" s="200">
        <f t="shared" si="7179"/>
        <v>0</v>
      </c>
      <c r="M1420" s="200">
        <f t="shared" si="7179"/>
        <v>0</v>
      </c>
      <c r="N1420" s="200">
        <f t="shared" si="7179"/>
        <v>0</v>
      </c>
      <c r="O1420" s="200">
        <f t="shared" si="7179"/>
        <v>0</v>
      </c>
      <c r="P1420" s="200">
        <f t="shared" si="9"/>
        <v>0</v>
      </c>
      <c r="Q1420" s="200">
        <f t="shared" ref="Q1420:AC1420" si="7180">countif($D1420,"*"&amp;Q$2&amp;"*")</f>
        <v>0</v>
      </c>
      <c r="R1420" s="200">
        <f t="shared" si="7180"/>
        <v>0</v>
      </c>
      <c r="S1420" s="200">
        <f t="shared" si="7180"/>
        <v>0</v>
      </c>
      <c r="T1420" s="200">
        <f t="shared" si="7180"/>
        <v>0</v>
      </c>
      <c r="U1420" s="200">
        <f t="shared" si="7180"/>
        <v>0</v>
      </c>
      <c r="V1420" s="200">
        <f t="shared" si="7180"/>
        <v>0</v>
      </c>
      <c r="W1420" s="200">
        <f t="shared" si="7180"/>
        <v>0</v>
      </c>
      <c r="X1420" s="200">
        <f t="shared" si="7180"/>
        <v>0</v>
      </c>
      <c r="Y1420" s="200">
        <f t="shared" si="7180"/>
        <v>0</v>
      </c>
      <c r="Z1420" s="200">
        <f t="shared" si="7180"/>
        <v>0</v>
      </c>
      <c r="AA1420" s="200">
        <f t="shared" si="7180"/>
        <v>0</v>
      </c>
      <c r="AB1420" s="200">
        <f t="shared" si="7180"/>
        <v>0</v>
      </c>
      <c r="AC1420" s="200">
        <f t="shared" si="7180"/>
        <v>0</v>
      </c>
      <c r="AD1420" s="200">
        <f t="shared" si="11"/>
        <v>1</v>
      </c>
      <c r="AE1420" s="200">
        <f t="shared" ref="AE1420:AG1420" si="7181">countif($D1420,"*"&amp;AE$2&amp;"*")</f>
        <v>0</v>
      </c>
      <c r="AF1420" s="200">
        <f t="shared" si="7181"/>
        <v>0</v>
      </c>
      <c r="AG1420" s="200">
        <f t="shared" si="7181"/>
        <v>0</v>
      </c>
      <c r="AH1420" s="171">
        <f t="shared" si="13"/>
        <v>0</v>
      </c>
      <c r="AI1420" s="200">
        <f t="shared" si="14"/>
        <v>0</v>
      </c>
      <c r="AJ1420" s="200">
        <f t="shared" si="6100"/>
        <v>0</v>
      </c>
      <c r="AK1420" s="201">
        <f t="shared" ref="AK1420:AS1420" si="7182">countif($D1420,"*"&amp;AK$2&amp;"*")</f>
        <v>0</v>
      </c>
      <c r="AL1420" s="201">
        <f t="shared" si="7182"/>
        <v>0</v>
      </c>
      <c r="AM1420" s="201">
        <f t="shared" si="7182"/>
        <v>0</v>
      </c>
      <c r="AN1420" s="201">
        <f t="shared" si="7182"/>
        <v>0</v>
      </c>
      <c r="AO1420" s="201">
        <f t="shared" si="7182"/>
        <v>0</v>
      </c>
      <c r="AP1420" s="201">
        <f t="shared" si="7182"/>
        <v>0</v>
      </c>
      <c r="AQ1420" s="201">
        <f t="shared" si="7182"/>
        <v>0</v>
      </c>
      <c r="AR1420" s="200">
        <f t="shared" si="7182"/>
        <v>0</v>
      </c>
      <c r="AS1420" s="200">
        <f t="shared" si="7182"/>
        <v>0</v>
      </c>
      <c r="AT1420" s="173">
        <v>1.0</v>
      </c>
      <c r="AU1420" s="200">
        <f t="shared" si="6217"/>
        <v>0</v>
      </c>
      <c r="AV1420" s="200">
        <f t="shared" ref="AV1420:AX1420" si="7183">countif($D1420,"*"&amp;AV$2&amp;"*")</f>
        <v>0</v>
      </c>
      <c r="AW1420" s="200">
        <f t="shared" si="7183"/>
        <v>0</v>
      </c>
      <c r="AX1420" s="200">
        <f t="shared" si="7183"/>
        <v>0</v>
      </c>
      <c r="AY1420" s="202">
        <v>0.0</v>
      </c>
      <c r="AZ1420" s="200"/>
      <c r="BA1420" s="171" t="str">
        <f t="shared" si="18"/>
        <v/>
      </c>
      <c r="BB1420" s="171" t="str">
        <f t="shared" si="19"/>
        <v/>
      </c>
      <c r="BC1420" s="171" t="str">
        <f t="shared" si="20"/>
        <v/>
      </c>
      <c r="BD1420" s="171" t="str">
        <f t="shared" si="21"/>
        <v>Institutional</v>
      </c>
      <c r="BE1420" s="171" t="str">
        <f t="shared" si="22"/>
        <v/>
      </c>
      <c r="BF1420" s="171" t="str">
        <f t="shared" si="23"/>
        <v>Institutional</v>
      </c>
    </row>
    <row r="1421">
      <c r="A1421" s="171">
        <f t="array" ref="A1421">XLOOKUP(C1421,FSE!A:A,FSE!C:C,"XXXXX",0,1)</f>
        <v>2022</v>
      </c>
      <c r="B1421" s="213" t="s">
        <v>5676</v>
      </c>
      <c r="C1421" s="214">
        <v>146.0</v>
      </c>
      <c r="D1421" s="215" t="s">
        <v>6262</v>
      </c>
      <c r="E1421" s="197" t="str">
        <f t="array" ref="E1421">XLOOKUP(C1421,FSE!A:A,FSE!Z:Z,"XXXXX",0,1)</f>
        <v>Publicly Available (2)</v>
      </c>
      <c r="F1421" s="213" t="s">
        <v>3394</v>
      </c>
      <c r="G1421" s="163" t="str">
        <f t="array" ref="G1421">IF(B1421="ICSE",IF(COUNTIFS(B:B,B1421,C:C,C1421)=XLOOKUP(C1421,ICSE!A:A,ICSE!AA:AA,"ERROR",0,1),"OK","ERROR"),IF(B1421="FSE",IF(COUNTIFS(B:B,B1421,C:C,C1421)=XLOOKUP(C1421,FSE!A:A,FSE!AA:AA,"ERROR",0,1),"OK","ERROR")))</f>
        <v>OK</v>
      </c>
      <c r="H1421" s="199">
        <f t="shared" ref="H1421:O1421" si="7184">countif($D1421,"*"&amp;H$2&amp;"*")</f>
        <v>1</v>
      </c>
      <c r="I1421" s="200">
        <f t="shared" si="7184"/>
        <v>0</v>
      </c>
      <c r="J1421" s="200">
        <f t="shared" si="7184"/>
        <v>0</v>
      </c>
      <c r="K1421" s="200">
        <f t="shared" si="7184"/>
        <v>0</v>
      </c>
      <c r="L1421" s="200">
        <f t="shared" si="7184"/>
        <v>0</v>
      </c>
      <c r="M1421" s="200">
        <f t="shared" si="7184"/>
        <v>0</v>
      </c>
      <c r="N1421" s="200">
        <f t="shared" si="7184"/>
        <v>0</v>
      </c>
      <c r="O1421" s="200">
        <f t="shared" si="7184"/>
        <v>0</v>
      </c>
      <c r="P1421" s="200">
        <f t="shared" si="9"/>
        <v>0</v>
      </c>
      <c r="Q1421" s="200">
        <f t="shared" ref="Q1421:AC1421" si="7185">countif($D1421,"*"&amp;Q$2&amp;"*")</f>
        <v>0</v>
      </c>
      <c r="R1421" s="200">
        <f t="shared" si="7185"/>
        <v>0</v>
      </c>
      <c r="S1421" s="200">
        <f t="shared" si="7185"/>
        <v>0</v>
      </c>
      <c r="T1421" s="200">
        <f t="shared" si="7185"/>
        <v>0</v>
      </c>
      <c r="U1421" s="200">
        <f t="shared" si="7185"/>
        <v>0</v>
      </c>
      <c r="V1421" s="200">
        <f t="shared" si="7185"/>
        <v>0</v>
      </c>
      <c r="W1421" s="200">
        <f t="shared" si="7185"/>
        <v>0</v>
      </c>
      <c r="X1421" s="200">
        <f t="shared" si="7185"/>
        <v>0</v>
      </c>
      <c r="Y1421" s="200">
        <f t="shared" si="7185"/>
        <v>0</v>
      </c>
      <c r="Z1421" s="200">
        <f t="shared" si="7185"/>
        <v>0</v>
      </c>
      <c r="AA1421" s="200">
        <f t="shared" si="7185"/>
        <v>0</v>
      </c>
      <c r="AB1421" s="200">
        <f t="shared" si="7185"/>
        <v>0</v>
      </c>
      <c r="AC1421" s="200">
        <f t="shared" si="7185"/>
        <v>0</v>
      </c>
      <c r="AD1421" s="200">
        <f t="shared" si="11"/>
        <v>0</v>
      </c>
      <c r="AE1421" s="200">
        <f t="shared" ref="AE1421:AG1421" si="7186">countif($D1421,"*"&amp;AE$2&amp;"*")</f>
        <v>0</v>
      </c>
      <c r="AF1421" s="200">
        <f t="shared" si="7186"/>
        <v>0</v>
      </c>
      <c r="AG1421" s="200">
        <f t="shared" si="7186"/>
        <v>0</v>
      </c>
      <c r="AH1421" s="171">
        <f t="shared" si="13"/>
        <v>0</v>
      </c>
      <c r="AI1421" s="200">
        <f t="shared" si="14"/>
        <v>1</v>
      </c>
      <c r="AJ1421" s="200">
        <f t="shared" si="6100"/>
        <v>0</v>
      </c>
      <c r="AK1421" s="201">
        <f t="shared" ref="AK1421:AS1421" si="7187">countif($D1421,"*"&amp;AK$2&amp;"*")</f>
        <v>0</v>
      </c>
      <c r="AL1421" s="201">
        <f t="shared" si="7187"/>
        <v>0</v>
      </c>
      <c r="AM1421" s="201">
        <f t="shared" si="7187"/>
        <v>0</v>
      </c>
      <c r="AN1421" s="201">
        <f t="shared" si="7187"/>
        <v>0</v>
      </c>
      <c r="AO1421" s="201">
        <f t="shared" si="7187"/>
        <v>0</v>
      </c>
      <c r="AP1421" s="201">
        <f t="shared" si="7187"/>
        <v>0</v>
      </c>
      <c r="AQ1421" s="201">
        <f t="shared" si="7187"/>
        <v>0</v>
      </c>
      <c r="AR1421" s="200">
        <f t="shared" si="7187"/>
        <v>0</v>
      </c>
      <c r="AS1421" s="200">
        <f t="shared" si="7187"/>
        <v>0</v>
      </c>
      <c r="AT1421" s="173">
        <v>0.0</v>
      </c>
      <c r="AU1421" s="200">
        <f t="shared" si="6217"/>
        <v>0</v>
      </c>
      <c r="AV1421" s="200">
        <f t="shared" ref="AV1421:AX1421" si="7188">countif($D1421,"*"&amp;AV$2&amp;"*")</f>
        <v>0</v>
      </c>
      <c r="AW1421" s="200">
        <f t="shared" si="7188"/>
        <v>0</v>
      </c>
      <c r="AX1421" s="200">
        <f t="shared" si="7188"/>
        <v>1</v>
      </c>
      <c r="AY1421" s="202">
        <v>0.0</v>
      </c>
      <c r="AZ1421" s="200"/>
      <c r="BA1421" s="171" t="str">
        <f t="shared" si="18"/>
        <v>Archival</v>
      </c>
      <c r="BB1421" s="171" t="str">
        <f t="shared" si="19"/>
        <v/>
      </c>
      <c r="BC1421" s="171" t="str">
        <f t="shared" si="20"/>
        <v/>
      </c>
      <c r="BD1421" s="171" t="str">
        <f t="shared" si="21"/>
        <v/>
      </c>
      <c r="BE1421" s="171" t="str">
        <f t="shared" si="22"/>
        <v/>
      </c>
      <c r="BF1421" s="171" t="str">
        <f t="shared" si="23"/>
        <v>Archival</v>
      </c>
    </row>
    <row r="1422">
      <c r="A1422" s="171">
        <f t="array" ref="A1422">XLOOKUP(C1422,FSE!A:A,FSE!C:C,"XXXXX",0,1)</f>
        <v>2022</v>
      </c>
      <c r="B1422" s="213" t="s">
        <v>5676</v>
      </c>
      <c r="C1422" s="214">
        <v>147.0</v>
      </c>
      <c r="D1422" s="215" t="s">
        <v>5077</v>
      </c>
      <c r="E1422" s="197" t="str">
        <f t="array" ref="E1422">XLOOKUP(C1422,FSE!A:A,FSE!Z:Z,"XXXXX",0,1)</f>
        <v>Publicly Available (1)</v>
      </c>
      <c r="F1422" s="213" t="s">
        <v>3394</v>
      </c>
      <c r="G1422" s="163" t="str">
        <f t="array" ref="G1422">IF(B1422="ICSE",IF(COUNTIFS(B:B,B1422,C:C,C1422)=XLOOKUP(C1422,ICSE!A:A,ICSE!AA:AA,"ERROR",0,1),"OK","ERROR"),IF(B1422="FSE",IF(COUNTIFS(B:B,B1422,C:C,C1422)=XLOOKUP(C1422,FSE!A:A,FSE!AA:AA,"ERROR",0,1),"OK","ERROR")))</f>
        <v>OK</v>
      </c>
      <c r="H1422" s="199">
        <f t="shared" ref="H1422:O1422" si="7189">countif($D1422,"*"&amp;H$2&amp;"*")</f>
        <v>0</v>
      </c>
      <c r="I1422" s="200">
        <f t="shared" si="7189"/>
        <v>0</v>
      </c>
      <c r="J1422" s="200">
        <f t="shared" si="7189"/>
        <v>0</v>
      </c>
      <c r="K1422" s="200">
        <f t="shared" si="7189"/>
        <v>0</v>
      </c>
      <c r="L1422" s="200">
        <f t="shared" si="7189"/>
        <v>0</v>
      </c>
      <c r="M1422" s="200">
        <f t="shared" si="7189"/>
        <v>0</v>
      </c>
      <c r="N1422" s="200">
        <f t="shared" si="7189"/>
        <v>0</v>
      </c>
      <c r="O1422" s="200">
        <f t="shared" si="7189"/>
        <v>0</v>
      </c>
      <c r="P1422" s="200">
        <f t="shared" si="9"/>
        <v>1</v>
      </c>
      <c r="Q1422" s="200">
        <f t="shared" ref="Q1422:AC1422" si="7190">countif($D1422,"*"&amp;Q$2&amp;"*")</f>
        <v>0</v>
      </c>
      <c r="R1422" s="200">
        <f t="shared" si="7190"/>
        <v>0</v>
      </c>
      <c r="S1422" s="200">
        <f t="shared" si="7190"/>
        <v>0</v>
      </c>
      <c r="T1422" s="200">
        <f t="shared" si="7190"/>
        <v>0</v>
      </c>
      <c r="U1422" s="200">
        <f t="shared" si="7190"/>
        <v>0</v>
      </c>
      <c r="V1422" s="200">
        <f t="shared" si="7190"/>
        <v>0</v>
      </c>
      <c r="W1422" s="200">
        <f t="shared" si="7190"/>
        <v>0</v>
      </c>
      <c r="X1422" s="200">
        <f t="shared" si="7190"/>
        <v>0</v>
      </c>
      <c r="Y1422" s="200">
        <f t="shared" si="7190"/>
        <v>0</v>
      </c>
      <c r="Z1422" s="200">
        <f t="shared" si="7190"/>
        <v>0</v>
      </c>
      <c r="AA1422" s="200">
        <f t="shared" si="7190"/>
        <v>0</v>
      </c>
      <c r="AB1422" s="200">
        <f t="shared" si="7190"/>
        <v>0</v>
      </c>
      <c r="AC1422" s="200">
        <f t="shared" si="7190"/>
        <v>0</v>
      </c>
      <c r="AD1422" s="200">
        <f t="shared" si="11"/>
        <v>0</v>
      </c>
      <c r="AE1422" s="200">
        <f t="shared" ref="AE1422:AG1422" si="7191">countif($D1422,"*"&amp;AE$2&amp;"*")</f>
        <v>0</v>
      </c>
      <c r="AF1422" s="200">
        <f t="shared" si="7191"/>
        <v>0</v>
      </c>
      <c r="AG1422" s="200">
        <f t="shared" si="7191"/>
        <v>0</v>
      </c>
      <c r="AH1422" s="171">
        <f t="shared" si="13"/>
        <v>0</v>
      </c>
      <c r="AI1422" s="200">
        <f t="shared" si="14"/>
        <v>0</v>
      </c>
      <c r="AJ1422" s="200">
        <f t="shared" si="6100"/>
        <v>0</v>
      </c>
      <c r="AK1422" s="201">
        <f t="shared" ref="AK1422:AS1422" si="7192">countif($D1422,"*"&amp;AK$2&amp;"*")</f>
        <v>0</v>
      </c>
      <c r="AL1422" s="201">
        <f t="shared" si="7192"/>
        <v>0</v>
      </c>
      <c r="AM1422" s="201">
        <f t="shared" si="7192"/>
        <v>0</v>
      </c>
      <c r="AN1422" s="201">
        <f t="shared" si="7192"/>
        <v>0</v>
      </c>
      <c r="AO1422" s="201">
        <f t="shared" si="7192"/>
        <v>0</v>
      </c>
      <c r="AP1422" s="201">
        <f t="shared" si="7192"/>
        <v>0</v>
      </c>
      <c r="AQ1422" s="201">
        <f t="shared" si="7192"/>
        <v>0</v>
      </c>
      <c r="AR1422" s="200">
        <f t="shared" si="7192"/>
        <v>0</v>
      </c>
      <c r="AS1422" s="200">
        <f t="shared" si="7192"/>
        <v>0</v>
      </c>
      <c r="AT1422" s="173">
        <v>0.0</v>
      </c>
      <c r="AU1422" s="200">
        <f t="shared" si="6217"/>
        <v>0</v>
      </c>
      <c r="AV1422" s="200">
        <f t="shared" ref="AV1422:AX1422" si="7193">countif($D1422,"*"&amp;AV$2&amp;"*")</f>
        <v>1</v>
      </c>
      <c r="AW1422" s="200">
        <f t="shared" si="7193"/>
        <v>0</v>
      </c>
      <c r="AX1422" s="200">
        <f t="shared" si="7193"/>
        <v>0</v>
      </c>
      <c r="AY1422" s="202">
        <v>0.0</v>
      </c>
      <c r="AZ1422" s="200"/>
      <c r="BA1422" s="171" t="str">
        <f t="shared" si="18"/>
        <v/>
      </c>
      <c r="BB1422" s="171" t="str">
        <f t="shared" si="19"/>
        <v>Code</v>
      </c>
      <c r="BC1422" s="171" t="str">
        <f t="shared" si="20"/>
        <v/>
      </c>
      <c r="BD1422" s="171" t="str">
        <f t="shared" si="21"/>
        <v/>
      </c>
      <c r="BE1422" s="171" t="str">
        <f t="shared" si="22"/>
        <v/>
      </c>
      <c r="BF1422" s="171" t="str">
        <f t="shared" si="23"/>
        <v>Code</v>
      </c>
    </row>
    <row r="1423">
      <c r="A1423" s="171">
        <f t="array" ref="A1423">XLOOKUP(C1423,FSE!A:A,FSE!C:C,"XXXXX",0,1)</f>
        <v>2022</v>
      </c>
      <c r="B1423" s="213" t="s">
        <v>5676</v>
      </c>
      <c r="C1423" s="219">
        <v>148.0</v>
      </c>
      <c r="D1423" s="217" t="s">
        <v>6263</v>
      </c>
      <c r="E1423" s="197" t="str">
        <f t="array" ref="E1423">XLOOKUP(C1423,FSE!A:A,FSE!Z:Z,"XXXXX",0,1)</f>
        <v>Publicly Available (3)</v>
      </c>
      <c r="F1423" s="213" t="s">
        <v>3394</v>
      </c>
      <c r="G1423" s="163" t="str">
        <f t="array" ref="G1423">IF(B1423="ICSE",IF(COUNTIFS(B:B,B1423,C:C,C1423)=XLOOKUP(C1423,ICSE!A:A,ICSE!AA:AA,"ERROR",0,1),"OK","ERROR"),IF(B1423="FSE",IF(COUNTIFS(B:B,B1423,C:C,C1423)=XLOOKUP(C1423,FSE!A:A,FSE!AA:AA,"ERROR",0,1),"OK","ERROR")))</f>
        <v>OK</v>
      </c>
      <c r="H1423" s="199">
        <f t="shared" ref="H1423:O1423" si="7194">countif($D1423,"*"&amp;H$2&amp;"*")</f>
        <v>0</v>
      </c>
      <c r="I1423" s="200">
        <f t="shared" si="7194"/>
        <v>0</v>
      </c>
      <c r="J1423" s="200">
        <f t="shared" si="7194"/>
        <v>0</v>
      </c>
      <c r="K1423" s="200">
        <f t="shared" si="7194"/>
        <v>0</v>
      </c>
      <c r="L1423" s="200">
        <f t="shared" si="7194"/>
        <v>0</v>
      </c>
      <c r="M1423" s="200">
        <f t="shared" si="7194"/>
        <v>0</v>
      </c>
      <c r="N1423" s="200">
        <f t="shared" si="7194"/>
        <v>0</v>
      </c>
      <c r="O1423" s="200">
        <f t="shared" si="7194"/>
        <v>0</v>
      </c>
      <c r="P1423" s="200">
        <f t="shared" si="9"/>
        <v>0</v>
      </c>
      <c r="Q1423" s="200">
        <f t="shared" ref="Q1423:AC1423" si="7195">countif($D1423,"*"&amp;Q$2&amp;"*")</f>
        <v>0</v>
      </c>
      <c r="R1423" s="200">
        <f t="shared" si="7195"/>
        <v>0</v>
      </c>
      <c r="S1423" s="200">
        <f t="shared" si="7195"/>
        <v>0</v>
      </c>
      <c r="T1423" s="200">
        <f t="shared" si="7195"/>
        <v>0</v>
      </c>
      <c r="U1423" s="200">
        <f t="shared" si="7195"/>
        <v>0</v>
      </c>
      <c r="V1423" s="200">
        <f t="shared" si="7195"/>
        <v>0</v>
      </c>
      <c r="W1423" s="200">
        <f t="shared" si="7195"/>
        <v>0</v>
      </c>
      <c r="X1423" s="200">
        <f t="shared" si="7195"/>
        <v>0</v>
      </c>
      <c r="Y1423" s="200">
        <f t="shared" si="7195"/>
        <v>0</v>
      </c>
      <c r="Z1423" s="200">
        <f t="shared" si="7195"/>
        <v>0</v>
      </c>
      <c r="AA1423" s="200">
        <f t="shared" si="7195"/>
        <v>1</v>
      </c>
      <c r="AB1423" s="200">
        <f t="shared" si="7195"/>
        <v>0</v>
      </c>
      <c r="AC1423" s="200">
        <f t="shared" si="7195"/>
        <v>0</v>
      </c>
      <c r="AD1423" s="200">
        <f t="shared" si="11"/>
        <v>0</v>
      </c>
      <c r="AE1423" s="200">
        <f t="shared" ref="AE1423:AG1423" si="7196">countif($D1423,"*"&amp;AE$2&amp;"*")</f>
        <v>0</v>
      </c>
      <c r="AF1423" s="200">
        <f t="shared" si="7196"/>
        <v>0</v>
      </c>
      <c r="AG1423" s="200">
        <f t="shared" si="7196"/>
        <v>0</v>
      </c>
      <c r="AH1423" s="171">
        <f t="shared" si="13"/>
        <v>0</v>
      </c>
      <c r="AI1423" s="200">
        <f t="shared" si="14"/>
        <v>0</v>
      </c>
      <c r="AJ1423" s="200">
        <f t="shared" si="6100"/>
        <v>0</v>
      </c>
      <c r="AK1423" s="201">
        <f t="shared" ref="AK1423:AS1423" si="7197">countif($D1423,"*"&amp;AK$2&amp;"*")</f>
        <v>0</v>
      </c>
      <c r="AL1423" s="201">
        <f t="shared" si="7197"/>
        <v>0</v>
      </c>
      <c r="AM1423" s="201">
        <f t="shared" si="7197"/>
        <v>0</v>
      </c>
      <c r="AN1423" s="201">
        <f t="shared" si="7197"/>
        <v>0</v>
      </c>
      <c r="AO1423" s="201">
        <f t="shared" si="7197"/>
        <v>0</v>
      </c>
      <c r="AP1423" s="201">
        <f t="shared" si="7197"/>
        <v>0</v>
      </c>
      <c r="AQ1423" s="201">
        <f t="shared" si="7197"/>
        <v>0</v>
      </c>
      <c r="AR1423" s="200">
        <f t="shared" si="7197"/>
        <v>0</v>
      </c>
      <c r="AS1423" s="200">
        <f t="shared" si="7197"/>
        <v>0</v>
      </c>
      <c r="AT1423" s="173">
        <v>0.0</v>
      </c>
      <c r="AU1423" s="200">
        <f t="shared" si="6217"/>
        <v>0</v>
      </c>
      <c r="AV1423" s="200">
        <f t="shared" ref="AV1423:AX1423" si="7198">countif($D1423,"*"&amp;AV$2&amp;"*")</f>
        <v>0</v>
      </c>
      <c r="AW1423" s="200">
        <f t="shared" si="7198"/>
        <v>0</v>
      </c>
      <c r="AX1423" s="200">
        <f t="shared" si="7198"/>
        <v>0</v>
      </c>
      <c r="AY1423" s="202">
        <v>0.0</v>
      </c>
      <c r="AZ1423" s="200"/>
      <c r="BA1423" s="171" t="str">
        <f t="shared" si="18"/>
        <v/>
      </c>
      <c r="BB1423" s="171" t="str">
        <f t="shared" si="19"/>
        <v/>
      </c>
      <c r="BC1423" s="171" t="str">
        <f t="shared" si="20"/>
        <v>General-purpose</v>
      </c>
      <c r="BD1423" s="171" t="str">
        <f t="shared" si="21"/>
        <v/>
      </c>
      <c r="BE1423" s="171" t="str">
        <f t="shared" si="22"/>
        <v/>
      </c>
      <c r="BF1423" s="171" t="str">
        <f t="shared" si="23"/>
        <v>General-purpose</v>
      </c>
    </row>
    <row r="1424">
      <c r="A1424" s="171">
        <f t="array" ref="A1424">XLOOKUP(C1424,FSE!A:A,FSE!C:C,"XXXXX",0,1)</f>
        <v>2022</v>
      </c>
      <c r="B1424" s="213" t="s">
        <v>5676</v>
      </c>
      <c r="C1424" s="214">
        <v>148.0</v>
      </c>
      <c r="D1424" s="217" t="s">
        <v>6264</v>
      </c>
      <c r="E1424" s="197" t="str">
        <f t="array" ref="E1424">XLOOKUP(C1424,FSE!A:A,FSE!Z:Z,"XXXXX",0,1)</f>
        <v>Publicly Available (3)</v>
      </c>
      <c r="F1424" s="213" t="s">
        <v>3394</v>
      </c>
      <c r="G1424" s="163" t="str">
        <f t="array" ref="G1424">IF(B1424="ICSE",IF(COUNTIFS(B:B,B1424,C:C,C1424)=XLOOKUP(C1424,ICSE!A:A,ICSE!AA:AA,"ERROR",0,1),"OK","ERROR"),IF(B1424="FSE",IF(COUNTIFS(B:B,B1424,C:C,C1424)=XLOOKUP(C1424,FSE!A:A,FSE!AA:AA,"ERROR",0,1),"OK","ERROR")))</f>
        <v>OK</v>
      </c>
      <c r="H1424" s="199">
        <f t="shared" ref="H1424:O1424" si="7199">countif($D1424,"*"&amp;H$2&amp;"*")</f>
        <v>0</v>
      </c>
      <c r="I1424" s="200">
        <f t="shared" si="7199"/>
        <v>0</v>
      </c>
      <c r="J1424" s="200">
        <f t="shared" si="7199"/>
        <v>0</v>
      </c>
      <c r="K1424" s="200">
        <f t="shared" si="7199"/>
        <v>0</v>
      </c>
      <c r="L1424" s="200">
        <f t="shared" si="7199"/>
        <v>0</v>
      </c>
      <c r="M1424" s="200">
        <f t="shared" si="7199"/>
        <v>0</v>
      </c>
      <c r="N1424" s="200">
        <f t="shared" si="7199"/>
        <v>0</v>
      </c>
      <c r="O1424" s="200">
        <f t="shared" si="7199"/>
        <v>0</v>
      </c>
      <c r="P1424" s="200">
        <f t="shared" si="9"/>
        <v>0</v>
      </c>
      <c r="Q1424" s="200">
        <f t="shared" ref="Q1424:AC1424" si="7200">countif($D1424,"*"&amp;Q$2&amp;"*")</f>
        <v>0</v>
      </c>
      <c r="R1424" s="200">
        <f t="shared" si="7200"/>
        <v>0</v>
      </c>
      <c r="S1424" s="200">
        <f t="shared" si="7200"/>
        <v>0</v>
      </c>
      <c r="T1424" s="200">
        <f t="shared" si="7200"/>
        <v>0</v>
      </c>
      <c r="U1424" s="200">
        <f t="shared" si="7200"/>
        <v>0</v>
      </c>
      <c r="V1424" s="200">
        <f t="shared" si="7200"/>
        <v>0</v>
      </c>
      <c r="W1424" s="200">
        <f t="shared" si="7200"/>
        <v>0</v>
      </c>
      <c r="X1424" s="200">
        <f t="shared" si="7200"/>
        <v>0</v>
      </c>
      <c r="Y1424" s="200">
        <f t="shared" si="7200"/>
        <v>0</v>
      </c>
      <c r="Z1424" s="200">
        <f t="shared" si="7200"/>
        <v>0</v>
      </c>
      <c r="AA1424" s="200">
        <f t="shared" si="7200"/>
        <v>0</v>
      </c>
      <c r="AB1424" s="200">
        <f t="shared" si="7200"/>
        <v>0</v>
      </c>
      <c r="AC1424" s="200">
        <f t="shared" si="7200"/>
        <v>1</v>
      </c>
      <c r="AD1424" s="200">
        <f t="shared" si="11"/>
        <v>0</v>
      </c>
      <c r="AE1424" s="200">
        <f t="shared" ref="AE1424:AG1424" si="7201">countif($D1424,"*"&amp;AE$2&amp;"*")</f>
        <v>0</v>
      </c>
      <c r="AF1424" s="200">
        <f t="shared" si="7201"/>
        <v>0</v>
      </c>
      <c r="AG1424" s="200">
        <f t="shared" si="7201"/>
        <v>0</v>
      </c>
      <c r="AH1424" s="171">
        <f t="shared" si="13"/>
        <v>0</v>
      </c>
      <c r="AI1424" s="200">
        <f t="shared" si="14"/>
        <v>1</v>
      </c>
      <c r="AJ1424" s="200">
        <f t="shared" si="6100"/>
        <v>0</v>
      </c>
      <c r="AK1424" s="201">
        <f t="shared" ref="AK1424:AS1424" si="7202">countif($D1424,"*"&amp;AK$2&amp;"*")</f>
        <v>0</v>
      </c>
      <c r="AL1424" s="201">
        <f t="shared" si="7202"/>
        <v>0</v>
      </c>
      <c r="AM1424" s="201">
        <f t="shared" si="7202"/>
        <v>0</v>
      </c>
      <c r="AN1424" s="201">
        <f t="shared" si="7202"/>
        <v>0</v>
      </c>
      <c r="AO1424" s="201">
        <f t="shared" si="7202"/>
        <v>0</v>
      </c>
      <c r="AP1424" s="201">
        <f t="shared" si="7202"/>
        <v>0</v>
      </c>
      <c r="AQ1424" s="201">
        <f t="shared" si="7202"/>
        <v>0</v>
      </c>
      <c r="AR1424" s="200">
        <f t="shared" si="7202"/>
        <v>0</v>
      </c>
      <c r="AS1424" s="200">
        <f t="shared" si="7202"/>
        <v>1</v>
      </c>
      <c r="AT1424" s="173">
        <v>0.0</v>
      </c>
      <c r="AU1424" s="200">
        <f t="shared" si="6217"/>
        <v>0</v>
      </c>
      <c r="AV1424" s="200">
        <f t="shared" ref="AV1424:AX1424" si="7203">countif($D1424,"*"&amp;AV$2&amp;"*")</f>
        <v>0</v>
      </c>
      <c r="AW1424" s="200">
        <f t="shared" si="7203"/>
        <v>0</v>
      </c>
      <c r="AX1424" s="200">
        <f t="shared" si="7203"/>
        <v>1</v>
      </c>
      <c r="AY1424" s="202">
        <v>0.0</v>
      </c>
      <c r="AZ1424" s="200"/>
      <c r="BA1424" s="171" t="str">
        <f t="shared" si="18"/>
        <v/>
      </c>
      <c r="BB1424" s="171" t="str">
        <f t="shared" si="19"/>
        <v/>
      </c>
      <c r="BC1424" s="171" t="str">
        <f t="shared" si="20"/>
        <v>General-purpose</v>
      </c>
      <c r="BD1424" s="171" t="str">
        <f t="shared" si="21"/>
        <v/>
      </c>
      <c r="BE1424" s="171" t="str">
        <f t="shared" si="22"/>
        <v/>
      </c>
      <c r="BF1424" s="171" t="str">
        <f t="shared" si="23"/>
        <v>General-purpose</v>
      </c>
    </row>
    <row r="1425">
      <c r="A1425" s="171">
        <f t="array" ref="A1425">XLOOKUP(C1425,FSE!A:A,FSE!C:C,"XXXXX",0,1)</f>
        <v>2022</v>
      </c>
      <c r="B1425" s="213" t="s">
        <v>5676</v>
      </c>
      <c r="C1425" s="214">
        <v>148.0</v>
      </c>
      <c r="D1425" s="215" t="s">
        <v>6265</v>
      </c>
      <c r="E1425" s="197" t="str">
        <f t="array" ref="E1425">XLOOKUP(C1425,FSE!A:A,FSE!Z:Z,"XXXXX",0,1)</f>
        <v>Publicly Available (3)</v>
      </c>
      <c r="F1425" s="213" t="s">
        <v>3394</v>
      </c>
      <c r="G1425" s="163" t="str">
        <f t="array" ref="G1425">IF(B1425="ICSE",IF(COUNTIFS(B:B,B1425,C:C,C1425)=XLOOKUP(C1425,ICSE!A:A,ICSE!AA:AA,"ERROR",0,1),"OK","ERROR"),IF(B1425="FSE",IF(COUNTIFS(B:B,B1425,C:C,C1425)=XLOOKUP(C1425,FSE!A:A,FSE!AA:AA,"ERROR",0,1),"OK","ERROR")))</f>
        <v>OK</v>
      </c>
      <c r="H1425" s="199">
        <f t="shared" ref="H1425:O1425" si="7204">countif($D1425,"*"&amp;H$2&amp;"*")</f>
        <v>1</v>
      </c>
      <c r="I1425" s="200">
        <f t="shared" si="7204"/>
        <v>0</v>
      </c>
      <c r="J1425" s="200">
        <f t="shared" si="7204"/>
        <v>0</v>
      </c>
      <c r="K1425" s="200">
        <f t="shared" si="7204"/>
        <v>0</v>
      </c>
      <c r="L1425" s="200">
        <f t="shared" si="7204"/>
        <v>0</v>
      </c>
      <c r="M1425" s="200">
        <f t="shared" si="7204"/>
        <v>0</v>
      </c>
      <c r="N1425" s="200">
        <f t="shared" si="7204"/>
        <v>0</v>
      </c>
      <c r="O1425" s="200">
        <f t="shared" si="7204"/>
        <v>0</v>
      </c>
      <c r="P1425" s="200">
        <f t="shared" si="9"/>
        <v>0</v>
      </c>
      <c r="Q1425" s="200">
        <f t="shared" ref="Q1425:AC1425" si="7205">countif($D1425,"*"&amp;Q$2&amp;"*")</f>
        <v>0</v>
      </c>
      <c r="R1425" s="200">
        <f t="shared" si="7205"/>
        <v>0</v>
      </c>
      <c r="S1425" s="200">
        <f t="shared" si="7205"/>
        <v>0</v>
      </c>
      <c r="T1425" s="200">
        <f t="shared" si="7205"/>
        <v>0</v>
      </c>
      <c r="U1425" s="200">
        <f t="shared" si="7205"/>
        <v>0</v>
      </c>
      <c r="V1425" s="200">
        <f t="shared" si="7205"/>
        <v>0</v>
      </c>
      <c r="W1425" s="200">
        <f t="shared" si="7205"/>
        <v>0</v>
      </c>
      <c r="X1425" s="200">
        <f t="shared" si="7205"/>
        <v>0</v>
      </c>
      <c r="Y1425" s="200">
        <f t="shared" si="7205"/>
        <v>0</v>
      </c>
      <c r="Z1425" s="200">
        <f t="shared" si="7205"/>
        <v>0</v>
      </c>
      <c r="AA1425" s="200">
        <f t="shared" si="7205"/>
        <v>0</v>
      </c>
      <c r="AB1425" s="200">
        <f t="shared" si="7205"/>
        <v>0</v>
      </c>
      <c r="AC1425" s="200">
        <f t="shared" si="7205"/>
        <v>0</v>
      </c>
      <c r="AD1425" s="200">
        <f t="shared" si="11"/>
        <v>0</v>
      </c>
      <c r="AE1425" s="200">
        <f t="shared" ref="AE1425:AG1425" si="7206">countif($D1425,"*"&amp;AE$2&amp;"*")</f>
        <v>0</v>
      </c>
      <c r="AF1425" s="200">
        <f t="shared" si="7206"/>
        <v>0</v>
      </c>
      <c r="AG1425" s="200">
        <f t="shared" si="7206"/>
        <v>0</v>
      </c>
      <c r="AH1425" s="171">
        <f t="shared" si="13"/>
        <v>0</v>
      </c>
      <c r="AI1425" s="200">
        <f t="shared" si="14"/>
        <v>1</v>
      </c>
      <c r="AJ1425" s="200">
        <f t="shared" si="6100"/>
        <v>0</v>
      </c>
      <c r="AK1425" s="201">
        <f t="shared" ref="AK1425:AS1425" si="7207">countif($D1425,"*"&amp;AK$2&amp;"*")</f>
        <v>0</v>
      </c>
      <c r="AL1425" s="201">
        <f t="shared" si="7207"/>
        <v>0</v>
      </c>
      <c r="AM1425" s="201">
        <f t="shared" si="7207"/>
        <v>0</v>
      </c>
      <c r="AN1425" s="201">
        <f t="shared" si="7207"/>
        <v>0</v>
      </c>
      <c r="AO1425" s="201">
        <f t="shared" si="7207"/>
        <v>0</v>
      </c>
      <c r="AP1425" s="201">
        <f t="shared" si="7207"/>
        <v>0</v>
      </c>
      <c r="AQ1425" s="201">
        <f t="shared" si="7207"/>
        <v>0</v>
      </c>
      <c r="AR1425" s="200">
        <f t="shared" si="7207"/>
        <v>0</v>
      </c>
      <c r="AS1425" s="200">
        <f t="shared" si="7207"/>
        <v>0</v>
      </c>
      <c r="AT1425" s="173">
        <v>0.0</v>
      </c>
      <c r="AU1425" s="200">
        <f t="shared" si="6217"/>
        <v>0</v>
      </c>
      <c r="AV1425" s="200">
        <f t="shared" ref="AV1425:AX1425" si="7208">countif($D1425,"*"&amp;AV$2&amp;"*")</f>
        <v>0</v>
      </c>
      <c r="AW1425" s="200">
        <f t="shared" si="7208"/>
        <v>0</v>
      </c>
      <c r="AX1425" s="200">
        <f t="shared" si="7208"/>
        <v>0</v>
      </c>
      <c r="AY1425" s="204">
        <v>1.0</v>
      </c>
      <c r="AZ1425" s="200"/>
      <c r="BA1425" s="171" t="str">
        <f t="shared" si="18"/>
        <v>Archival</v>
      </c>
      <c r="BB1425" s="171" t="str">
        <f t="shared" si="19"/>
        <v/>
      </c>
      <c r="BC1425" s="171" t="str">
        <f t="shared" si="20"/>
        <v/>
      </c>
      <c r="BD1425" s="171" t="str">
        <f t="shared" si="21"/>
        <v/>
      </c>
      <c r="BE1425" s="171" t="str">
        <f t="shared" si="22"/>
        <v/>
      </c>
      <c r="BF1425" s="171" t="str">
        <f t="shared" si="23"/>
        <v>Archival</v>
      </c>
    </row>
    <row r="1426">
      <c r="A1426" s="171">
        <f t="array" ref="A1426">XLOOKUP(C1426,FSE!A:A,FSE!C:C,"XXXXX",0,1)</f>
        <v>2022</v>
      </c>
      <c r="B1426" s="213" t="s">
        <v>5676</v>
      </c>
      <c r="C1426" s="214">
        <v>149.0</v>
      </c>
      <c r="D1426" s="215" t="s">
        <v>6266</v>
      </c>
      <c r="E1426" s="197" t="str">
        <f t="array" ref="E1426">XLOOKUP(C1426,FSE!A:A,FSE!Z:Z,"XXXXX",0,1)</f>
        <v>Publicly Available (2)</v>
      </c>
      <c r="F1426" s="213" t="s">
        <v>3394</v>
      </c>
      <c r="G1426" s="163" t="str">
        <f t="array" ref="G1426">IF(B1426="ICSE",IF(COUNTIFS(B:B,B1426,C:C,C1426)=XLOOKUP(C1426,ICSE!A:A,ICSE!AA:AA,"ERROR",0,1),"OK","ERROR"),IF(B1426="FSE",IF(COUNTIFS(B:B,B1426,C:C,C1426)=XLOOKUP(C1426,FSE!A:A,FSE!AA:AA,"ERROR",0,1),"OK","ERROR")))</f>
        <v>OK</v>
      </c>
      <c r="H1426" s="199">
        <f t="shared" ref="H1426:O1426" si="7209">countif($D1426,"*"&amp;H$2&amp;"*")</f>
        <v>0</v>
      </c>
      <c r="I1426" s="200">
        <f t="shared" si="7209"/>
        <v>0</v>
      </c>
      <c r="J1426" s="200">
        <f t="shared" si="7209"/>
        <v>0</v>
      </c>
      <c r="K1426" s="200">
        <f t="shared" si="7209"/>
        <v>0</v>
      </c>
      <c r="L1426" s="200">
        <f t="shared" si="7209"/>
        <v>0</v>
      </c>
      <c r="M1426" s="200">
        <f t="shared" si="7209"/>
        <v>0</v>
      </c>
      <c r="N1426" s="200">
        <f t="shared" si="7209"/>
        <v>0</v>
      </c>
      <c r="O1426" s="200">
        <f t="shared" si="7209"/>
        <v>0</v>
      </c>
      <c r="P1426" s="200">
        <f t="shared" si="9"/>
        <v>0</v>
      </c>
      <c r="Q1426" s="200">
        <f t="shared" ref="Q1426:AC1426" si="7210">countif($D1426,"*"&amp;Q$2&amp;"*")</f>
        <v>0</v>
      </c>
      <c r="R1426" s="200">
        <f t="shared" si="7210"/>
        <v>0</v>
      </c>
      <c r="S1426" s="200">
        <f t="shared" si="7210"/>
        <v>0</v>
      </c>
      <c r="T1426" s="200">
        <f t="shared" si="7210"/>
        <v>0</v>
      </c>
      <c r="U1426" s="200">
        <f t="shared" si="7210"/>
        <v>0</v>
      </c>
      <c r="V1426" s="200">
        <f t="shared" si="7210"/>
        <v>0</v>
      </c>
      <c r="W1426" s="200">
        <f t="shared" si="7210"/>
        <v>0</v>
      </c>
      <c r="X1426" s="200">
        <f t="shared" si="7210"/>
        <v>0</v>
      </c>
      <c r="Y1426" s="200">
        <f t="shared" si="7210"/>
        <v>0</v>
      </c>
      <c r="Z1426" s="200">
        <f t="shared" si="7210"/>
        <v>0</v>
      </c>
      <c r="AA1426" s="200">
        <f t="shared" si="7210"/>
        <v>0</v>
      </c>
      <c r="AB1426" s="200">
        <f t="shared" si="7210"/>
        <v>0</v>
      </c>
      <c r="AC1426" s="200">
        <f t="shared" si="7210"/>
        <v>0</v>
      </c>
      <c r="AD1426" s="200">
        <f t="shared" si="11"/>
        <v>0</v>
      </c>
      <c r="AE1426" s="200">
        <f t="shared" ref="AE1426:AG1426" si="7211">countif($D1426,"*"&amp;AE$2&amp;"*")</f>
        <v>0</v>
      </c>
      <c r="AF1426" s="200">
        <f t="shared" si="7211"/>
        <v>0</v>
      </c>
      <c r="AG1426" s="200">
        <f t="shared" si="7211"/>
        <v>0</v>
      </c>
      <c r="AH1426" s="171">
        <f t="shared" si="13"/>
        <v>1</v>
      </c>
      <c r="AI1426" s="200">
        <f t="shared" si="14"/>
        <v>0</v>
      </c>
      <c r="AJ1426" s="200">
        <f t="shared" si="6100"/>
        <v>0</v>
      </c>
      <c r="AK1426" s="201">
        <f t="shared" ref="AK1426:AS1426" si="7212">countif($D1426,"*"&amp;AK$2&amp;"*")</f>
        <v>0</v>
      </c>
      <c r="AL1426" s="201">
        <f t="shared" si="7212"/>
        <v>0</v>
      </c>
      <c r="AM1426" s="201">
        <f t="shared" si="7212"/>
        <v>0</v>
      </c>
      <c r="AN1426" s="201">
        <f t="shared" si="7212"/>
        <v>0</v>
      </c>
      <c r="AO1426" s="201">
        <f t="shared" si="7212"/>
        <v>0</v>
      </c>
      <c r="AP1426" s="201">
        <f t="shared" si="7212"/>
        <v>0</v>
      </c>
      <c r="AQ1426" s="201">
        <f t="shared" si="7212"/>
        <v>0</v>
      </c>
      <c r="AR1426" s="200">
        <f t="shared" si="7212"/>
        <v>0</v>
      </c>
      <c r="AS1426" s="200">
        <f t="shared" si="7212"/>
        <v>0</v>
      </c>
      <c r="AT1426" s="173">
        <v>0.0</v>
      </c>
      <c r="AU1426" s="200">
        <f t="shared" si="6217"/>
        <v>0</v>
      </c>
      <c r="AV1426" s="200">
        <f t="shared" ref="AV1426:AX1426" si="7213">countif($D1426,"*"&amp;AV$2&amp;"*")</f>
        <v>0</v>
      </c>
      <c r="AW1426" s="200">
        <f t="shared" si="7213"/>
        <v>0</v>
      </c>
      <c r="AX1426" s="200">
        <f t="shared" si="7213"/>
        <v>0</v>
      </c>
      <c r="AY1426" s="202">
        <v>0.0</v>
      </c>
      <c r="AZ1426" s="200"/>
      <c r="BA1426" s="171" t="str">
        <f t="shared" si="18"/>
        <v/>
      </c>
      <c r="BB1426" s="171" t="str">
        <f t="shared" si="19"/>
        <v/>
      </c>
      <c r="BC1426" s="171" t="str">
        <f t="shared" si="20"/>
        <v/>
      </c>
      <c r="BD1426" s="171" t="str">
        <f t="shared" si="21"/>
        <v/>
      </c>
      <c r="BE1426" s="171" t="str">
        <f t="shared" si="22"/>
        <v>Others</v>
      </c>
      <c r="BF1426" s="171" t="str">
        <f t="shared" si="23"/>
        <v>Others</v>
      </c>
    </row>
    <row r="1427">
      <c r="A1427" s="171">
        <f t="array" ref="A1427">XLOOKUP(C1427,FSE!A:A,FSE!C:C,"XXXXX",0,1)</f>
        <v>2022</v>
      </c>
      <c r="B1427" s="213" t="s">
        <v>5676</v>
      </c>
      <c r="C1427" s="214">
        <v>149.0</v>
      </c>
      <c r="D1427" s="215" t="s">
        <v>6267</v>
      </c>
      <c r="E1427" s="197" t="str">
        <f t="array" ref="E1427">XLOOKUP(C1427,FSE!A:A,FSE!Z:Z,"XXXXX",0,1)</f>
        <v>Publicly Available (2)</v>
      </c>
      <c r="F1427" s="213" t="s">
        <v>3394</v>
      </c>
      <c r="G1427" s="163" t="str">
        <f t="array" ref="G1427">IF(B1427="ICSE",IF(COUNTIFS(B:B,B1427,C:C,C1427)=XLOOKUP(C1427,ICSE!A:A,ICSE!AA:AA,"ERROR",0,1),"OK","ERROR"),IF(B1427="FSE",IF(COUNTIFS(B:B,B1427,C:C,C1427)=XLOOKUP(C1427,FSE!A:A,FSE!AA:AA,"ERROR",0,1),"OK","ERROR")))</f>
        <v>OK</v>
      </c>
      <c r="H1427" s="199">
        <f t="shared" ref="H1427:O1427" si="7214">countif($D1427,"*"&amp;H$2&amp;"*")</f>
        <v>1</v>
      </c>
      <c r="I1427" s="200">
        <f t="shared" si="7214"/>
        <v>0</v>
      </c>
      <c r="J1427" s="200">
        <f t="shared" si="7214"/>
        <v>0</v>
      </c>
      <c r="K1427" s="200">
        <f t="shared" si="7214"/>
        <v>0</v>
      </c>
      <c r="L1427" s="200">
        <f t="shared" si="7214"/>
        <v>0</v>
      </c>
      <c r="M1427" s="200">
        <f t="shared" si="7214"/>
        <v>0</v>
      </c>
      <c r="N1427" s="200">
        <f t="shared" si="7214"/>
        <v>0</v>
      </c>
      <c r="O1427" s="200">
        <f t="shared" si="7214"/>
        <v>0</v>
      </c>
      <c r="P1427" s="200">
        <f t="shared" si="9"/>
        <v>0</v>
      </c>
      <c r="Q1427" s="200">
        <f t="shared" ref="Q1427:AC1427" si="7215">countif($D1427,"*"&amp;Q$2&amp;"*")</f>
        <v>0</v>
      </c>
      <c r="R1427" s="200">
        <f t="shared" si="7215"/>
        <v>0</v>
      </c>
      <c r="S1427" s="200">
        <f t="shared" si="7215"/>
        <v>0</v>
      </c>
      <c r="T1427" s="200">
        <f t="shared" si="7215"/>
        <v>0</v>
      </c>
      <c r="U1427" s="200">
        <f t="shared" si="7215"/>
        <v>0</v>
      </c>
      <c r="V1427" s="200">
        <f t="shared" si="7215"/>
        <v>0</v>
      </c>
      <c r="W1427" s="200">
        <f t="shared" si="7215"/>
        <v>0</v>
      </c>
      <c r="X1427" s="200">
        <f t="shared" si="7215"/>
        <v>0</v>
      </c>
      <c r="Y1427" s="200">
        <f t="shared" si="7215"/>
        <v>0</v>
      </c>
      <c r="Z1427" s="200">
        <f t="shared" si="7215"/>
        <v>0</v>
      </c>
      <c r="AA1427" s="200">
        <f t="shared" si="7215"/>
        <v>0</v>
      </c>
      <c r="AB1427" s="200">
        <f t="shared" si="7215"/>
        <v>0</v>
      </c>
      <c r="AC1427" s="200">
        <f t="shared" si="7215"/>
        <v>0</v>
      </c>
      <c r="AD1427" s="200">
        <f t="shared" si="11"/>
        <v>0</v>
      </c>
      <c r="AE1427" s="200">
        <f t="shared" ref="AE1427:AG1427" si="7216">countif($D1427,"*"&amp;AE$2&amp;"*")</f>
        <v>0</v>
      </c>
      <c r="AF1427" s="200">
        <f t="shared" si="7216"/>
        <v>0</v>
      </c>
      <c r="AG1427" s="200">
        <f t="shared" si="7216"/>
        <v>0</v>
      </c>
      <c r="AH1427" s="171">
        <f t="shared" si="13"/>
        <v>0</v>
      </c>
      <c r="AI1427" s="200">
        <f t="shared" si="14"/>
        <v>1</v>
      </c>
      <c r="AJ1427" s="200">
        <f t="shared" si="6100"/>
        <v>0</v>
      </c>
      <c r="AK1427" s="201">
        <f t="shared" ref="AK1427:AS1427" si="7217">countif($D1427,"*"&amp;AK$2&amp;"*")</f>
        <v>0</v>
      </c>
      <c r="AL1427" s="201">
        <f t="shared" si="7217"/>
        <v>0</v>
      </c>
      <c r="AM1427" s="201">
        <f t="shared" si="7217"/>
        <v>0</v>
      </c>
      <c r="AN1427" s="201">
        <f t="shared" si="7217"/>
        <v>0</v>
      </c>
      <c r="AO1427" s="201">
        <f t="shared" si="7217"/>
        <v>0</v>
      </c>
      <c r="AP1427" s="201">
        <f t="shared" si="7217"/>
        <v>0</v>
      </c>
      <c r="AQ1427" s="201">
        <f t="shared" si="7217"/>
        <v>0</v>
      </c>
      <c r="AR1427" s="200">
        <f t="shared" si="7217"/>
        <v>0</v>
      </c>
      <c r="AS1427" s="200">
        <f t="shared" si="7217"/>
        <v>0</v>
      </c>
      <c r="AT1427" s="173">
        <v>0.0</v>
      </c>
      <c r="AU1427" s="200">
        <f t="shared" si="6217"/>
        <v>0</v>
      </c>
      <c r="AV1427" s="200">
        <f t="shared" ref="AV1427:AX1427" si="7218">countif($D1427,"*"&amp;AV$2&amp;"*")</f>
        <v>0</v>
      </c>
      <c r="AW1427" s="200">
        <f t="shared" si="7218"/>
        <v>0</v>
      </c>
      <c r="AX1427" s="200">
        <f t="shared" si="7218"/>
        <v>1</v>
      </c>
      <c r="AY1427" s="202">
        <v>0.0</v>
      </c>
      <c r="AZ1427" s="200"/>
      <c r="BA1427" s="171" t="str">
        <f t="shared" si="18"/>
        <v>Archival</v>
      </c>
      <c r="BB1427" s="171" t="str">
        <f t="shared" si="19"/>
        <v/>
      </c>
      <c r="BC1427" s="171" t="str">
        <f t="shared" si="20"/>
        <v/>
      </c>
      <c r="BD1427" s="171" t="str">
        <f t="shared" si="21"/>
        <v/>
      </c>
      <c r="BE1427" s="171" t="str">
        <f t="shared" si="22"/>
        <v/>
      </c>
      <c r="BF1427" s="171" t="str">
        <f t="shared" si="23"/>
        <v>Archival</v>
      </c>
    </row>
    <row r="1428">
      <c r="A1428" s="171">
        <f t="array" ref="A1428">XLOOKUP(C1428,FSE!A:A,FSE!C:C,"XXXXX",0,1)</f>
        <v>2022</v>
      </c>
      <c r="B1428" s="213" t="s">
        <v>5676</v>
      </c>
      <c r="C1428" s="214">
        <v>150.0</v>
      </c>
      <c r="D1428" s="215" t="s">
        <v>6268</v>
      </c>
      <c r="E1428" s="197" t="str">
        <f t="array" ref="E1428">XLOOKUP(C1428,FSE!A:A,FSE!Z:Z,"XXXXX",0,1)</f>
        <v>Publicly Available (2)</v>
      </c>
      <c r="F1428" s="213" t="s">
        <v>3394</v>
      </c>
      <c r="G1428" s="163" t="str">
        <f t="array" ref="G1428">IF(B1428="ICSE",IF(COUNTIFS(B:B,B1428,C:C,C1428)=XLOOKUP(C1428,ICSE!A:A,ICSE!AA:AA,"ERROR",0,1),"OK","ERROR"),IF(B1428="FSE",IF(COUNTIFS(B:B,B1428,C:C,C1428)=XLOOKUP(C1428,FSE!A:A,FSE!AA:AA,"ERROR",0,1),"OK","ERROR")))</f>
        <v>OK</v>
      </c>
      <c r="H1428" s="199">
        <f t="shared" ref="H1428:O1428" si="7219">countif($D1428,"*"&amp;H$2&amp;"*")</f>
        <v>1</v>
      </c>
      <c r="I1428" s="200">
        <f t="shared" si="7219"/>
        <v>0</v>
      </c>
      <c r="J1428" s="200">
        <f t="shared" si="7219"/>
        <v>0</v>
      </c>
      <c r="K1428" s="200">
        <f t="shared" si="7219"/>
        <v>0</v>
      </c>
      <c r="L1428" s="200">
        <f t="shared" si="7219"/>
        <v>0</v>
      </c>
      <c r="M1428" s="200">
        <f t="shared" si="7219"/>
        <v>0</v>
      </c>
      <c r="N1428" s="200">
        <f t="shared" si="7219"/>
        <v>0</v>
      </c>
      <c r="O1428" s="200">
        <f t="shared" si="7219"/>
        <v>0</v>
      </c>
      <c r="P1428" s="200">
        <f t="shared" si="9"/>
        <v>0</v>
      </c>
      <c r="Q1428" s="200">
        <f t="shared" ref="Q1428:AC1428" si="7220">countif($D1428,"*"&amp;Q$2&amp;"*")</f>
        <v>0</v>
      </c>
      <c r="R1428" s="200">
        <f t="shared" si="7220"/>
        <v>0</v>
      </c>
      <c r="S1428" s="200">
        <f t="shared" si="7220"/>
        <v>0</v>
      </c>
      <c r="T1428" s="200">
        <f t="shared" si="7220"/>
        <v>0</v>
      </c>
      <c r="U1428" s="200">
        <f t="shared" si="7220"/>
        <v>0</v>
      </c>
      <c r="V1428" s="200">
        <f t="shared" si="7220"/>
        <v>0</v>
      </c>
      <c r="W1428" s="200">
        <f t="shared" si="7220"/>
        <v>0</v>
      </c>
      <c r="X1428" s="200">
        <f t="shared" si="7220"/>
        <v>0</v>
      </c>
      <c r="Y1428" s="200">
        <f t="shared" si="7220"/>
        <v>0</v>
      </c>
      <c r="Z1428" s="200">
        <f t="shared" si="7220"/>
        <v>0</v>
      </c>
      <c r="AA1428" s="200">
        <f t="shared" si="7220"/>
        <v>0</v>
      </c>
      <c r="AB1428" s="200">
        <f t="shared" si="7220"/>
        <v>0</v>
      </c>
      <c r="AC1428" s="200">
        <f t="shared" si="7220"/>
        <v>0</v>
      </c>
      <c r="AD1428" s="200">
        <f t="shared" si="11"/>
        <v>0</v>
      </c>
      <c r="AE1428" s="200">
        <f t="shared" ref="AE1428:AG1428" si="7221">countif($D1428,"*"&amp;AE$2&amp;"*")</f>
        <v>0</v>
      </c>
      <c r="AF1428" s="200">
        <f t="shared" si="7221"/>
        <v>0</v>
      </c>
      <c r="AG1428" s="200">
        <f t="shared" si="7221"/>
        <v>0</v>
      </c>
      <c r="AH1428" s="171">
        <f t="shared" si="13"/>
        <v>0</v>
      </c>
      <c r="AI1428" s="200">
        <f t="shared" si="14"/>
        <v>1</v>
      </c>
      <c r="AJ1428" s="200">
        <f t="shared" si="6100"/>
        <v>0</v>
      </c>
      <c r="AK1428" s="201">
        <f t="shared" ref="AK1428:AS1428" si="7222">countif($D1428,"*"&amp;AK$2&amp;"*")</f>
        <v>0</v>
      </c>
      <c r="AL1428" s="201">
        <f t="shared" si="7222"/>
        <v>0</v>
      </c>
      <c r="AM1428" s="201">
        <f t="shared" si="7222"/>
        <v>0</v>
      </c>
      <c r="AN1428" s="201">
        <f t="shared" si="7222"/>
        <v>0</v>
      </c>
      <c r="AO1428" s="201">
        <f t="shared" si="7222"/>
        <v>0</v>
      </c>
      <c r="AP1428" s="201">
        <f t="shared" si="7222"/>
        <v>0</v>
      </c>
      <c r="AQ1428" s="201">
        <f t="shared" si="7222"/>
        <v>0</v>
      </c>
      <c r="AR1428" s="200">
        <f t="shared" si="7222"/>
        <v>0</v>
      </c>
      <c r="AS1428" s="200">
        <f t="shared" si="7222"/>
        <v>0</v>
      </c>
      <c r="AT1428" s="173">
        <v>0.0</v>
      </c>
      <c r="AU1428" s="200">
        <f t="shared" si="6217"/>
        <v>0</v>
      </c>
      <c r="AV1428" s="200">
        <f t="shared" ref="AV1428:AX1428" si="7223">countif($D1428,"*"&amp;AV$2&amp;"*")</f>
        <v>0</v>
      </c>
      <c r="AW1428" s="200">
        <f t="shared" si="7223"/>
        <v>0</v>
      </c>
      <c r="AX1428" s="200">
        <f t="shared" si="7223"/>
        <v>1</v>
      </c>
      <c r="AY1428" s="202">
        <v>0.0</v>
      </c>
      <c r="AZ1428" s="200"/>
      <c r="BA1428" s="171" t="str">
        <f t="shared" si="18"/>
        <v>Archival</v>
      </c>
      <c r="BB1428" s="171" t="str">
        <f t="shared" si="19"/>
        <v/>
      </c>
      <c r="BC1428" s="171" t="str">
        <f t="shared" si="20"/>
        <v/>
      </c>
      <c r="BD1428" s="171" t="str">
        <f t="shared" si="21"/>
        <v/>
      </c>
      <c r="BE1428" s="171" t="str">
        <f t="shared" si="22"/>
        <v/>
      </c>
      <c r="BF1428" s="171" t="str">
        <f t="shared" si="23"/>
        <v>Archival</v>
      </c>
    </row>
    <row r="1429">
      <c r="A1429" s="171">
        <f t="array" ref="A1429">XLOOKUP(C1429,FSE!A:A,FSE!C:C,"XXXXX",0,1)</f>
        <v>2022</v>
      </c>
      <c r="B1429" s="171" t="s">
        <v>5676</v>
      </c>
      <c r="C1429" s="160">
        <v>150.0</v>
      </c>
      <c r="D1429" s="161" t="s">
        <v>6269</v>
      </c>
      <c r="E1429" s="197" t="str">
        <f t="array" ref="E1429">XLOOKUP(C1429,FSE!A:A,FSE!Z:Z,"XXXXX",0,1)</f>
        <v>Publicly Available (2)</v>
      </c>
      <c r="F1429" s="213" t="s">
        <v>3394</v>
      </c>
      <c r="G1429" s="163" t="str">
        <f t="array" ref="G1429">IF(B1429="ICSE",IF(COUNTIFS(B:B,B1429,C:C,C1429)=XLOOKUP(C1429,ICSE!A:A,ICSE!AA:AA,"ERROR",0,1),"OK","ERROR"),IF(B1429="FSE",IF(COUNTIFS(B:B,B1429,C:C,C1429)=XLOOKUP(C1429,FSE!A:A,FSE!AA:AA,"ERROR",0,1),"OK","ERROR")))</f>
        <v>OK</v>
      </c>
      <c r="H1429" s="199">
        <f t="shared" ref="H1429:O1429" si="7224">countif($D1429,"*"&amp;H$2&amp;"*")</f>
        <v>0</v>
      </c>
      <c r="I1429" s="200">
        <f t="shared" si="7224"/>
        <v>0</v>
      </c>
      <c r="J1429" s="200">
        <f t="shared" si="7224"/>
        <v>0</v>
      </c>
      <c r="K1429" s="200">
        <f t="shared" si="7224"/>
        <v>0</v>
      </c>
      <c r="L1429" s="200">
        <f t="shared" si="7224"/>
        <v>0</v>
      </c>
      <c r="M1429" s="200">
        <f t="shared" si="7224"/>
        <v>0</v>
      </c>
      <c r="N1429" s="200">
        <f t="shared" si="7224"/>
        <v>0</v>
      </c>
      <c r="O1429" s="200">
        <f t="shared" si="7224"/>
        <v>0</v>
      </c>
      <c r="P1429" s="200">
        <f t="shared" si="9"/>
        <v>1</v>
      </c>
      <c r="Q1429" s="200">
        <f t="shared" ref="Q1429:AC1429" si="7225">countif($D1429,"*"&amp;Q$2&amp;"*")</f>
        <v>0</v>
      </c>
      <c r="R1429" s="200">
        <f t="shared" si="7225"/>
        <v>0</v>
      </c>
      <c r="S1429" s="200">
        <f t="shared" si="7225"/>
        <v>0</v>
      </c>
      <c r="T1429" s="200">
        <f t="shared" si="7225"/>
        <v>0</v>
      </c>
      <c r="U1429" s="200">
        <f t="shared" si="7225"/>
        <v>0</v>
      </c>
      <c r="V1429" s="200">
        <f t="shared" si="7225"/>
        <v>0</v>
      </c>
      <c r="W1429" s="200">
        <f t="shared" si="7225"/>
        <v>0</v>
      </c>
      <c r="X1429" s="200">
        <f t="shared" si="7225"/>
        <v>0</v>
      </c>
      <c r="Y1429" s="200">
        <f t="shared" si="7225"/>
        <v>0</v>
      </c>
      <c r="Z1429" s="200">
        <f t="shared" si="7225"/>
        <v>0</v>
      </c>
      <c r="AA1429" s="200">
        <f t="shared" si="7225"/>
        <v>0</v>
      </c>
      <c r="AB1429" s="200">
        <f t="shared" si="7225"/>
        <v>0</v>
      </c>
      <c r="AC1429" s="200">
        <f t="shared" si="7225"/>
        <v>0</v>
      </c>
      <c r="AD1429" s="200">
        <f t="shared" si="11"/>
        <v>0</v>
      </c>
      <c r="AE1429" s="200">
        <f t="shared" ref="AE1429:AG1429" si="7226">countif($D1429,"*"&amp;AE$2&amp;"*")</f>
        <v>0</v>
      </c>
      <c r="AF1429" s="200">
        <f t="shared" si="7226"/>
        <v>0</v>
      </c>
      <c r="AG1429" s="200">
        <f t="shared" si="7226"/>
        <v>0</v>
      </c>
      <c r="AH1429" s="171">
        <f t="shared" si="13"/>
        <v>0</v>
      </c>
      <c r="AI1429" s="200">
        <f t="shared" si="14"/>
        <v>0</v>
      </c>
      <c r="AJ1429" s="200">
        <f t="shared" si="6100"/>
        <v>0</v>
      </c>
      <c r="AK1429" s="201">
        <f t="shared" ref="AK1429:AS1429" si="7227">countif($D1429,"*"&amp;AK$2&amp;"*")</f>
        <v>0</v>
      </c>
      <c r="AL1429" s="201">
        <f t="shared" si="7227"/>
        <v>0</v>
      </c>
      <c r="AM1429" s="201">
        <f t="shared" si="7227"/>
        <v>0</v>
      </c>
      <c r="AN1429" s="201">
        <f t="shared" si="7227"/>
        <v>0</v>
      </c>
      <c r="AO1429" s="201">
        <f t="shared" si="7227"/>
        <v>0</v>
      </c>
      <c r="AP1429" s="201">
        <f t="shared" si="7227"/>
        <v>0</v>
      </c>
      <c r="AQ1429" s="201">
        <f t="shared" si="7227"/>
        <v>0</v>
      </c>
      <c r="AR1429" s="200">
        <f t="shared" si="7227"/>
        <v>0</v>
      </c>
      <c r="AS1429" s="200">
        <f t="shared" si="7227"/>
        <v>0</v>
      </c>
      <c r="AT1429" s="173">
        <v>0.0</v>
      </c>
      <c r="AU1429" s="200">
        <f t="shared" si="6217"/>
        <v>0</v>
      </c>
      <c r="AV1429" s="200">
        <f t="shared" ref="AV1429:AX1429" si="7228">countif($D1429,"*"&amp;AV$2&amp;"*")</f>
        <v>1</v>
      </c>
      <c r="AW1429" s="200">
        <f t="shared" si="7228"/>
        <v>0</v>
      </c>
      <c r="AX1429" s="200">
        <f t="shared" si="7228"/>
        <v>0</v>
      </c>
      <c r="AY1429" s="202">
        <v>0.0</v>
      </c>
      <c r="AZ1429" s="200"/>
      <c r="BA1429" s="171" t="str">
        <f t="shared" si="18"/>
        <v/>
      </c>
      <c r="BB1429" s="171" t="str">
        <f t="shared" si="19"/>
        <v>Code</v>
      </c>
      <c r="BC1429" s="171" t="str">
        <f t="shared" si="20"/>
        <v/>
      </c>
      <c r="BD1429" s="171" t="str">
        <f t="shared" si="21"/>
        <v/>
      </c>
      <c r="BE1429" s="171" t="str">
        <f t="shared" si="22"/>
        <v/>
      </c>
      <c r="BF1429" s="171" t="str">
        <f t="shared" si="23"/>
        <v>Code</v>
      </c>
    </row>
    <row r="1430">
      <c r="A1430" s="171">
        <f t="array" ref="A1430">XLOOKUP(C1430,FSE!A:A,FSE!C:C,"XXXXX",0,1)</f>
        <v>2022</v>
      </c>
      <c r="B1430" s="171" t="s">
        <v>5676</v>
      </c>
      <c r="C1430" s="160">
        <v>151.0</v>
      </c>
      <c r="D1430" s="161" t="s">
        <v>6270</v>
      </c>
      <c r="E1430" s="197" t="str">
        <f t="array" ref="E1430">XLOOKUP(C1430,FSE!A:A,FSE!Z:Z,"XXXXX",0,1)</f>
        <v>Not Available (1)</v>
      </c>
      <c r="F1430" s="198" t="s">
        <v>3395</v>
      </c>
      <c r="G1430" s="163" t="str">
        <f t="array" ref="G1430">IF(B1430="ICSE",IF(COUNTIFS(B:B,B1430,C:C,C1430)=XLOOKUP(C1430,ICSE!A:A,ICSE!AA:AA,"ERROR",0,1),"OK","ERROR"),IF(B1430="FSE",IF(COUNTIFS(B:B,B1430,C:C,C1430)=XLOOKUP(C1430,FSE!A:A,FSE!AA:AA,"ERROR",0,1),"OK","ERROR")))</f>
        <v>OK</v>
      </c>
      <c r="H1430" s="199">
        <f t="shared" ref="H1430:O1430" si="7229">countif($D1430,"*"&amp;H$2&amp;"*")</f>
        <v>0</v>
      </c>
      <c r="I1430" s="200">
        <f t="shared" si="7229"/>
        <v>0</v>
      </c>
      <c r="J1430" s="200">
        <f t="shared" si="7229"/>
        <v>0</v>
      </c>
      <c r="K1430" s="200">
        <f t="shared" si="7229"/>
        <v>0</v>
      </c>
      <c r="L1430" s="200">
        <f t="shared" si="7229"/>
        <v>0</v>
      </c>
      <c r="M1430" s="200">
        <f t="shared" si="7229"/>
        <v>0</v>
      </c>
      <c r="N1430" s="200">
        <f t="shared" si="7229"/>
        <v>0</v>
      </c>
      <c r="O1430" s="200">
        <f t="shared" si="7229"/>
        <v>0</v>
      </c>
      <c r="P1430" s="200">
        <f t="shared" si="9"/>
        <v>0</v>
      </c>
      <c r="Q1430" s="200">
        <f t="shared" ref="Q1430:AC1430" si="7230">countif($D1430,"*"&amp;Q$2&amp;"*")</f>
        <v>0</v>
      </c>
      <c r="R1430" s="200">
        <f t="shared" si="7230"/>
        <v>0</v>
      </c>
      <c r="S1430" s="200">
        <f t="shared" si="7230"/>
        <v>0</v>
      </c>
      <c r="T1430" s="200">
        <f t="shared" si="7230"/>
        <v>0</v>
      </c>
      <c r="U1430" s="200">
        <f t="shared" si="7230"/>
        <v>0</v>
      </c>
      <c r="V1430" s="200">
        <f t="shared" si="7230"/>
        <v>1</v>
      </c>
      <c r="W1430" s="200">
        <f t="shared" si="7230"/>
        <v>0</v>
      </c>
      <c r="X1430" s="200">
        <f t="shared" si="7230"/>
        <v>0</v>
      </c>
      <c r="Y1430" s="200">
        <f t="shared" si="7230"/>
        <v>0</v>
      </c>
      <c r="Z1430" s="200">
        <f t="shared" si="7230"/>
        <v>0</v>
      </c>
      <c r="AA1430" s="200">
        <f t="shared" si="7230"/>
        <v>0</v>
      </c>
      <c r="AB1430" s="200">
        <f t="shared" si="7230"/>
        <v>0</v>
      </c>
      <c r="AC1430" s="200">
        <f t="shared" si="7230"/>
        <v>0</v>
      </c>
      <c r="AD1430" s="200">
        <f t="shared" si="11"/>
        <v>0</v>
      </c>
      <c r="AE1430" s="200">
        <f t="shared" ref="AE1430:AG1430" si="7231">countif($D1430,"*"&amp;AE$2&amp;"*")</f>
        <v>0</v>
      </c>
      <c r="AF1430" s="200">
        <f t="shared" si="7231"/>
        <v>0</v>
      </c>
      <c r="AG1430" s="200">
        <f t="shared" si="7231"/>
        <v>0</v>
      </c>
      <c r="AH1430" s="171">
        <f t="shared" si="13"/>
        <v>0</v>
      </c>
      <c r="AI1430" s="200">
        <f t="shared" si="14"/>
        <v>0</v>
      </c>
      <c r="AJ1430" s="200">
        <f t="shared" si="6100"/>
        <v>0</v>
      </c>
      <c r="AK1430" s="201">
        <f t="shared" ref="AK1430:AS1430" si="7232">countif($D1430,"*"&amp;AK$2&amp;"*")</f>
        <v>0</v>
      </c>
      <c r="AL1430" s="201">
        <f t="shared" si="7232"/>
        <v>0</v>
      </c>
      <c r="AM1430" s="201">
        <f t="shared" si="7232"/>
        <v>0</v>
      </c>
      <c r="AN1430" s="201">
        <f t="shared" si="7232"/>
        <v>0</v>
      </c>
      <c r="AO1430" s="201">
        <f t="shared" si="7232"/>
        <v>0</v>
      </c>
      <c r="AP1430" s="201">
        <f t="shared" si="7232"/>
        <v>0</v>
      </c>
      <c r="AQ1430" s="201">
        <f t="shared" si="7232"/>
        <v>0</v>
      </c>
      <c r="AR1430" s="200">
        <f t="shared" si="7232"/>
        <v>0</v>
      </c>
      <c r="AS1430" s="200">
        <f t="shared" si="7232"/>
        <v>1</v>
      </c>
      <c r="AT1430" s="173">
        <v>0.0</v>
      </c>
      <c r="AU1430" s="200">
        <f t="shared" si="6217"/>
        <v>0</v>
      </c>
      <c r="AV1430" s="200">
        <f t="shared" ref="AV1430:AX1430" si="7233">countif($D1430,"*"&amp;AV$2&amp;"*")</f>
        <v>0</v>
      </c>
      <c r="AW1430" s="200">
        <f t="shared" si="7233"/>
        <v>0</v>
      </c>
      <c r="AX1430" s="200">
        <f t="shared" si="7233"/>
        <v>0</v>
      </c>
      <c r="AY1430" s="202">
        <v>0.0</v>
      </c>
      <c r="AZ1430" s="200"/>
      <c r="BA1430" s="171" t="str">
        <f t="shared" si="18"/>
        <v/>
      </c>
      <c r="BB1430" s="171" t="str">
        <f t="shared" si="19"/>
        <v/>
      </c>
      <c r="BC1430" s="171" t="str">
        <f t="shared" si="20"/>
        <v>General-purpose</v>
      </c>
      <c r="BD1430" s="171" t="str">
        <f t="shared" si="21"/>
        <v/>
      </c>
      <c r="BE1430" s="171" t="str">
        <f t="shared" si="22"/>
        <v/>
      </c>
      <c r="BF1430" s="171" t="str">
        <f t="shared" si="23"/>
        <v>General-purpose</v>
      </c>
    </row>
    <row r="1431">
      <c r="A1431" s="171">
        <f t="array" ref="A1431">XLOOKUP(C1431,FSE!A:A,FSE!C:C,"XXXXX",0,1)</f>
        <v>2022</v>
      </c>
      <c r="B1431" s="213" t="s">
        <v>5676</v>
      </c>
      <c r="C1431" s="214">
        <v>152.0</v>
      </c>
      <c r="D1431" s="217" t="s">
        <v>5092</v>
      </c>
      <c r="E1431" s="197" t="str">
        <f t="array" ref="E1431">XLOOKUP(C1431,FSE!A:A,FSE!Z:Z,"XXXXX",0,1)</f>
        <v>Publicly Available (1)</v>
      </c>
      <c r="F1431" s="213" t="s">
        <v>3394</v>
      </c>
      <c r="G1431" s="163" t="str">
        <f t="array" ref="G1431">IF(B1431="ICSE",IF(COUNTIFS(B:B,B1431,C:C,C1431)=XLOOKUP(C1431,ICSE!A:A,ICSE!AA:AA,"ERROR",0,1),"OK","ERROR"),IF(B1431="FSE",IF(COUNTIFS(B:B,B1431,C:C,C1431)=XLOOKUP(C1431,FSE!A:A,FSE!AA:AA,"ERROR",0,1),"OK","ERROR")))</f>
        <v>OK</v>
      </c>
      <c r="H1431" s="199">
        <f t="shared" ref="H1431:O1431" si="7234">countif($D1431,"*"&amp;H$2&amp;"*")</f>
        <v>0</v>
      </c>
      <c r="I1431" s="200">
        <f t="shared" si="7234"/>
        <v>0</v>
      </c>
      <c r="J1431" s="200">
        <f t="shared" si="7234"/>
        <v>0</v>
      </c>
      <c r="K1431" s="200">
        <f t="shared" si="7234"/>
        <v>0</v>
      </c>
      <c r="L1431" s="200">
        <f t="shared" si="7234"/>
        <v>0</v>
      </c>
      <c r="M1431" s="200">
        <f t="shared" si="7234"/>
        <v>0</v>
      </c>
      <c r="N1431" s="200">
        <f t="shared" si="7234"/>
        <v>0</v>
      </c>
      <c r="O1431" s="200">
        <f t="shared" si="7234"/>
        <v>0</v>
      </c>
      <c r="P1431" s="200">
        <f t="shared" si="9"/>
        <v>1</v>
      </c>
      <c r="Q1431" s="200">
        <f t="shared" ref="Q1431:AC1431" si="7235">countif($D1431,"*"&amp;Q$2&amp;"*")</f>
        <v>0</v>
      </c>
      <c r="R1431" s="200">
        <f t="shared" si="7235"/>
        <v>0</v>
      </c>
      <c r="S1431" s="200">
        <f t="shared" si="7235"/>
        <v>0</v>
      </c>
      <c r="T1431" s="200">
        <f t="shared" si="7235"/>
        <v>0</v>
      </c>
      <c r="U1431" s="200">
        <f t="shared" si="7235"/>
        <v>0</v>
      </c>
      <c r="V1431" s="200">
        <f t="shared" si="7235"/>
        <v>0</v>
      </c>
      <c r="W1431" s="200">
        <f t="shared" si="7235"/>
        <v>0</v>
      </c>
      <c r="X1431" s="200">
        <f t="shared" si="7235"/>
        <v>0</v>
      </c>
      <c r="Y1431" s="200">
        <f t="shared" si="7235"/>
        <v>0</v>
      </c>
      <c r="Z1431" s="200">
        <f t="shared" si="7235"/>
        <v>0</v>
      </c>
      <c r="AA1431" s="200">
        <f t="shared" si="7235"/>
        <v>0</v>
      </c>
      <c r="AB1431" s="200">
        <f t="shared" si="7235"/>
        <v>0</v>
      </c>
      <c r="AC1431" s="200">
        <f t="shared" si="7235"/>
        <v>0</v>
      </c>
      <c r="AD1431" s="200">
        <f t="shared" si="11"/>
        <v>0</v>
      </c>
      <c r="AE1431" s="200">
        <f t="shared" ref="AE1431:AG1431" si="7236">countif($D1431,"*"&amp;AE$2&amp;"*")</f>
        <v>0</v>
      </c>
      <c r="AF1431" s="200">
        <f t="shared" si="7236"/>
        <v>0</v>
      </c>
      <c r="AG1431" s="200">
        <f t="shared" si="7236"/>
        <v>0</v>
      </c>
      <c r="AH1431" s="171">
        <f t="shared" si="13"/>
        <v>0</v>
      </c>
      <c r="AI1431" s="200">
        <f t="shared" si="14"/>
        <v>0</v>
      </c>
      <c r="AJ1431" s="200">
        <f t="shared" si="6100"/>
        <v>0</v>
      </c>
      <c r="AK1431" s="201">
        <f t="shared" ref="AK1431:AS1431" si="7237">countif($D1431,"*"&amp;AK$2&amp;"*")</f>
        <v>0</v>
      </c>
      <c r="AL1431" s="201">
        <f t="shared" si="7237"/>
        <v>0</v>
      </c>
      <c r="AM1431" s="201">
        <f t="shared" si="7237"/>
        <v>0</v>
      </c>
      <c r="AN1431" s="201">
        <f t="shared" si="7237"/>
        <v>0</v>
      </c>
      <c r="AO1431" s="201">
        <f t="shared" si="7237"/>
        <v>0</v>
      </c>
      <c r="AP1431" s="201">
        <f t="shared" si="7237"/>
        <v>0</v>
      </c>
      <c r="AQ1431" s="201">
        <f t="shared" si="7237"/>
        <v>0</v>
      </c>
      <c r="AR1431" s="200">
        <f t="shared" si="7237"/>
        <v>0</v>
      </c>
      <c r="AS1431" s="200">
        <f t="shared" si="7237"/>
        <v>0</v>
      </c>
      <c r="AT1431" s="173">
        <v>0.0</v>
      </c>
      <c r="AU1431" s="200">
        <f t="shared" si="6217"/>
        <v>0</v>
      </c>
      <c r="AV1431" s="200">
        <f t="shared" ref="AV1431:AX1431" si="7238">countif($D1431,"*"&amp;AV$2&amp;"*")</f>
        <v>1</v>
      </c>
      <c r="AW1431" s="200">
        <f t="shared" si="7238"/>
        <v>0</v>
      </c>
      <c r="AX1431" s="200">
        <f t="shared" si="7238"/>
        <v>0</v>
      </c>
      <c r="AY1431" s="202">
        <v>0.0</v>
      </c>
      <c r="AZ1431" s="200"/>
      <c r="BA1431" s="171" t="str">
        <f t="shared" si="18"/>
        <v/>
      </c>
      <c r="BB1431" s="171" t="str">
        <f t="shared" si="19"/>
        <v>Code</v>
      </c>
      <c r="BC1431" s="171" t="str">
        <f t="shared" si="20"/>
        <v/>
      </c>
      <c r="BD1431" s="171" t="str">
        <f t="shared" si="21"/>
        <v/>
      </c>
      <c r="BE1431" s="171" t="str">
        <f t="shared" si="22"/>
        <v/>
      </c>
      <c r="BF1431" s="171" t="str">
        <f t="shared" si="23"/>
        <v>Code</v>
      </c>
    </row>
    <row r="1432">
      <c r="A1432" s="171">
        <f t="array" ref="A1432">XLOOKUP(C1432,FSE!A:A,FSE!C:C,"XXXXX",0,1)</f>
        <v>2022</v>
      </c>
      <c r="B1432" s="213" t="s">
        <v>5676</v>
      </c>
      <c r="C1432" s="214">
        <v>153.0</v>
      </c>
      <c r="D1432" s="215" t="s">
        <v>5096</v>
      </c>
      <c r="E1432" s="197" t="str">
        <f t="array" ref="E1432">XLOOKUP(C1432,FSE!A:A,FSE!Z:Z,"XXXXX",0,1)</f>
        <v>Publicly Available (1)</v>
      </c>
      <c r="F1432" s="213" t="s">
        <v>3394</v>
      </c>
      <c r="G1432" s="163" t="str">
        <f t="array" ref="G1432">IF(B1432="ICSE",IF(COUNTIFS(B:B,B1432,C:C,C1432)=XLOOKUP(C1432,ICSE!A:A,ICSE!AA:AA,"ERROR",0,1),"OK","ERROR"),IF(B1432="FSE",IF(COUNTIFS(B:B,B1432,C:C,C1432)=XLOOKUP(C1432,FSE!A:A,FSE!AA:AA,"ERROR",0,1),"OK","ERROR")))</f>
        <v>OK</v>
      </c>
      <c r="H1432" s="199">
        <f t="shared" ref="H1432:O1432" si="7239">countif($D1432,"*"&amp;H$2&amp;"*")</f>
        <v>0</v>
      </c>
      <c r="I1432" s="200">
        <f t="shared" si="7239"/>
        <v>0</v>
      </c>
      <c r="J1432" s="200">
        <f t="shared" si="7239"/>
        <v>0</v>
      </c>
      <c r="K1432" s="200">
        <f t="shared" si="7239"/>
        <v>0</v>
      </c>
      <c r="L1432" s="200">
        <f t="shared" si="7239"/>
        <v>0</v>
      </c>
      <c r="M1432" s="200">
        <f t="shared" si="7239"/>
        <v>0</v>
      </c>
      <c r="N1432" s="200">
        <f t="shared" si="7239"/>
        <v>0</v>
      </c>
      <c r="O1432" s="200">
        <f t="shared" si="7239"/>
        <v>0</v>
      </c>
      <c r="P1432" s="200">
        <f t="shared" si="9"/>
        <v>0</v>
      </c>
      <c r="Q1432" s="200">
        <f t="shared" ref="Q1432:AC1432" si="7240">countif($D1432,"*"&amp;Q$2&amp;"*")</f>
        <v>0</v>
      </c>
      <c r="R1432" s="200">
        <f t="shared" si="7240"/>
        <v>0</v>
      </c>
      <c r="S1432" s="200">
        <f t="shared" si="7240"/>
        <v>0</v>
      </c>
      <c r="T1432" s="200">
        <f t="shared" si="7240"/>
        <v>0</v>
      </c>
      <c r="U1432" s="200">
        <f t="shared" si="7240"/>
        <v>0</v>
      </c>
      <c r="V1432" s="200">
        <f t="shared" si="7240"/>
        <v>1</v>
      </c>
      <c r="W1432" s="200">
        <f t="shared" si="7240"/>
        <v>0</v>
      </c>
      <c r="X1432" s="200">
        <f t="shared" si="7240"/>
        <v>0</v>
      </c>
      <c r="Y1432" s="200">
        <f t="shared" si="7240"/>
        <v>0</v>
      </c>
      <c r="Z1432" s="200">
        <f t="shared" si="7240"/>
        <v>0</v>
      </c>
      <c r="AA1432" s="200">
        <f t="shared" si="7240"/>
        <v>0</v>
      </c>
      <c r="AB1432" s="200">
        <f t="shared" si="7240"/>
        <v>0</v>
      </c>
      <c r="AC1432" s="200">
        <f t="shared" si="7240"/>
        <v>0</v>
      </c>
      <c r="AD1432" s="200">
        <f t="shared" si="11"/>
        <v>0</v>
      </c>
      <c r="AE1432" s="200">
        <f t="shared" ref="AE1432:AG1432" si="7241">countif($D1432,"*"&amp;AE$2&amp;"*")</f>
        <v>0</v>
      </c>
      <c r="AF1432" s="200">
        <f t="shared" si="7241"/>
        <v>0</v>
      </c>
      <c r="AG1432" s="200">
        <f t="shared" si="7241"/>
        <v>0</v>
      </c>
      <c r="AH1432" s="171">
        <f t="shared" si="13"/>
        <v>0</v>
      </c>
      <c r="AI1432" s="200">
        <f t="shared" si="14"/>
        <v>0</v>
      </c>
      <c r="AJ1432" s="200">
        <f t="shared" si="6100"/>
        <v>0</v>
      </c>
      <c r="AK1432" s="201">
        <f t="shared" ref="AK1432:AS1432" si="7242">countif($D1432,"*"&amp;AK$2&amp;"*")</f>
        <v>0</v>
      </c>
      <c r="AL1432" s="201">
        <f t="shared" si="7242"/>
        <v>0</v>
      </c>
      <c r="AM1432" s="201">
        <f t="shared" si="7242"/>
        <v>0</v>
      </c>
      <c r="AN1432" s="201">
        <f t="shared" si="7242"/>
        <v>0</v>
      </c>
      <c r="AO1432" s="201">
        <f t="shared" si="7242"/>
        <v>0</v>
      </c>
      <c r="AP1432" s="201">
        <f t="shared" si="7242"/>
        <v>0</v>
      </c>
      <c r="AQ1432" s="201">
        <f t="shared" si="7242"/>
        <v>0</v>
      </c>
      <c r="AR1432" s="200">
        <f t="shared" si="7242"/>
        <v>0</v>
      </c>
      <c r="AS1432" s="200">
        <f t="shared" si="7242"/>
        <v>0</v>
      </c>
      <c r="AT1432" s="173">
        <v>0.0</v>
      </c>
      <c r="AU1432" s="200">
        <f t="shared" si="6217"/>
        <v>0</v>
      </c>
      <c r="AV1432" s="200">
        <f t="shared" ref="AV1432:AX1432" si="7243">countif($D1432,"*"&amp;AV$2&amp;"*")</f>
        <v>0</v>
      </c>
      <c r="AW1432" s="200">
        <f t="shared" si="7243"/>
        <v>0</v>
      </c>
      <c r="AX1432" s="200">
        <f t="shared" si="7243"/>
        <v>0</v>
      </c>
      <c r="AY1432" s="202">
        <v>0.0</v>
      </c>
      <c r="AZ1432" s="200"/>
      <c r="BA1432" s="171" t="str">
        <f t="shared" si="18"/>
        <v/>
      </c>
      <c r="BB1432" s="171" t="str">
        <f t="shared" si="19"/>
        <v/>
      </c>
      <c r="BC1432" s="171" t="str">
        <f t="shared" si="20"/>
        <v>General-purpose</v>
      </c>
      <c r="BD1432" s="171" t="str">
        <f t="shared" si="21"/>
        <v/>
      </c>
      <c r="BE1432" s="171" t="str">
        <f t="shared" si="22"/>
        <v/>
      </c>
      <c r="BF1432" s="171" t="str">
        <f t="shared" si="23"/>
        <v>General-purpose</v>
      </c>
    </row>
    <row r="1433">
      <c r="A1433" s="171">
        <f t="array" ref="A1433">XLOOKUP(C1433,FSE!A:A,FSE!C:C,"XXXXX",0,1)</f>
        <v>2022</v>
      </c>
      <c r="B1433" s="213" t="s">
        <v>5676</v>
      </c>
      <c r="C1433" s="214">
        <v>154.0</v>
      </c>
      <c r="D1433" s="215" t="s">
        <v>5098</v>
      </c>
      <c r="E1433" s="197" t="str">
        <f t="array" ref="E1433">XLOOKUP(C1433,FSE!A:A,FSE!Z:Z,"XXXXX",0,1)</f>
        <v>Publicly Available (1)</v>
      </c>
      <c r="F1433" s="213" t="s">
        <v>3394</v>
      </c>
      <c r="G1433" s="163" t="str">
        <f t="array" ref="G1433">IF(B1433="ICSE",IF(COUNTIFS(B:B,B1433,C:C,C1433)=XLOOKUP(C1433,ICSE!A:A,ICSE!AA:AA,"ERROR",0,1),"OK","ERROR"),IF(B1433="FSE",IF(COUNTIFS(B:B,B1433,C:C,C1433)=XLOOKUP(C1433,FSE!A:A,FSE!AA:AA,"ERROR",0,1),"OK","ERROR")))</f>
        <v>OK</v>
      </c>
      <c r="H1433" s="199">
        <f t="shared" ref="H1433:O1433" si="7244">countif($D1433,"*"&amp;H$2&amp;"*")</f>
        <v>0</v>
      </c>
      <c r="I1433" s="200">
        <f t="shared" si="7244"/>
        <v>0</v>
      </c>
      <c r="J1433" s="200">
        <f t="shared" si="7244"/>
        <v>0</v>
      </c>
      <c r="K1433" s="200">
        <f t="shared" si="7244"/>
        <v>0</v>
      </c>
      <c r="L1433" s="200">
        <f t="shared" si="7244"/>
        <v>0</v>
      </c>
      <c r="M1433" s="200">
        <f t="shared" si="7244"/>
        <v>0</v>
      </c>
      <c r="N1433" s="200">
        <f t="shared" si="7244"/>
        <v>0</v>
      </c>
      <c r="O1433" s="200">
        <f t="shared" si="7244"/>
        <v>0</v>
      </c>
      <c r="P1433" s="200">
        <f t="shared" si="9"/>
        <v>1</v>
      </c>
      <c r="Q1433" s="200">
        <f t="shared" ref="Q1433:AC1433" si="7245">countif($D1433,"*"&amp;Q$2&amp;"*")</f>
        <v>0</v>
      </c>
      <c r="R1433" s="200">
        <f t="shared" si="7245"/>
        <v>0</v>
      </c>
      <c r="S1433" s="200">
        <f t="shared" si="7245"/>
        <v>0</v>
      </c>
      <c r="T1433" s="200">
        <f t="shared" si="7245"/>
        <v>0</v>
      </c>
      <c r="U1433" s="200">
        <f t="shared" si="7245"/>
        <v>0</v>
      </c>
      <c r="V1433" s="200">
        <f t="shared" si="7245"/>
        <v>0</v>
      </c>
      <c r="W1433" s="200">
        <f t="shared" si="7245"/>
        <v>0</v>
      </c>
      <c r="X1433" s="200">
        <f t="shared" si="7245"/>
        <v>0</v>
      </c>
      <c r="Y1433" s="200">
        <f t="shared" si="7245"/>
        <v>0</v>
      </c>
      <c r="Z1433" s="200">
        <f t="shared" si="7245"/>
        <v>0</v>
      </c>
      <c r="AA1433" s="200">
        <f t="shared" si="7245"/>
        <v>0</v>
      </c>
      <c r="AB1433" s="200">
        <f t="shared" si="7245"/>
        <v>0</v>
      </c>
      <c r="AC1433" s="200">
        <f t="shared" si="7245"/>
        <v>0</v>
      </c>
      <c r="AD1433" s="200">
        <f t="shared" si="11"/>
        <v>0</v>
      </c>
      <c r="AE1433" s="200">
        <f t="shared" ref="AE1433:AG1433" si="7246">countif($D1433,"*"&amp;AE$2&amp;"*")</f>
        <v>0</v>
      </c>
      <c r="AF1433" s="200">
        <f t="shared" si="7246"/>
        <v>0</v>
      </c>
      <c r="AG1433" s="200">
        <f t="shared" si="7246"/>
        <v>0</v>
      </c>
      <c r="AH1433" s="171">
        <f t="shared" si="13"/>
        <v>0</v>
      </c>
      <c r="AI1433" s="200">
        <f t="shared" si="14"/>
        <v>0</v>
      </c>
      <c r="AJ1433" s="200">
        <f t="shared" si="6100"/>
        <v>0</v>
      </c>
      <c r="AK1433" s="201">
        <f t="shared" ref="AK1433:AS1433" si="7247">countif($D1433,"*"&amp;AK$2&amp;"*")</f>
        <v>0</v>
      </c>
      <c r="AL1433" s="201">
        <f t="shared" si="7247"/>
        <v>0</v>
      </c>
      <c r="AM1433" s="201">
        <f t="shared" si="7247"/>
        <v>0</v>
      </c>
      <c r="AN1433" s="201">
        <f t="shared" si="7247"/>
        <v>0</v>
      </c>
      <c r="AO1433" s="201">
        <f t="shared" si="7247"/>
        <v>0</v>
      </c>
      <c r="AP1433" s="201">
        <f t="shared" si="7247"/>
        <v>0</v>
      </c>
      <c r="AQ1433" s="201">
        <f t="shared" si="7247"/>
        <v>0</v>
      </c>
      <c r="AR1433" s="200">
        <f t="shared" si="7247"/>
        <v>0</v>
      </c>
      <c r="AS1433" s="200">
        <f t="shared" si="7247"/>
        <v>0</v>
      </c>
      <c r="AT1433" s="173">
        <v>0.0</v>
      </c>
      <c r="AU1433" s="200">
        <f t="shared" si="6217"/>
        <v>0</v>
      </c>
      <c r="AV1433" s="200">
        <f t="shared" ref="AV1433:AX1433" si="7248">countif($D1433,"*"&amp;AV$2&amp;"*")</f>
        <v>1</v>
      </c>
      <c r="AW1433" s="200">
        <f t="shared" si="7248"/>
        <v>0</v>
      </c>
      <c r="AX1433" s="200">
        <f t="shared" si="7248"/>
        <v>0</v>
      </c>
      <c r="AY1433" s="202">
        <v>0.0</v>
      </c>
      <c r="AZ1433" s="200"/>
      <c r="BA1433" s="171" t="str">
        <f t="shared" si="18"/>
        <v/>
      </c>
      <c r="BB1433" s="171" t="str">
        <f t="shared" si="19"/>
        <v>Code</v>
      </c>
      <c r="BC1433" s="171" t="str">
        <f t="shared" si="20"/>
        <v/>
      </c>
      <c r="BD1433" s="171" t="str">
        <f t="shared" si="21"/>
        <v/>
      </c>
      <c r="BE1433" s="171" t="str">
        <f t="shared" si="22"/>
        <v/>
      </c>
      <c r="BF1433" s="171" t="str">
        <f t="shared" si="23"/>
        <v>Code</v>
      </c>
    </row>
    <row r="1434">
      <c r="A1434" s="171">
        <f t="array" ref="A1434">XLOOKUP(C1434,FSE!A:A,FSE!C:C,"XXXXX",0,1)</f>
        <v>2022</v>
      </c>
      <c r="B1434" s="213" t="s">
        <v>5676</v>
      </c>
      <c r="C1434" s="214">
        <v>155.0</v>
      </c>
      <c r="D1434" s="215" t="s">
        <v>5101</v>
      </c>
      <c r="E1434" s="197" t="str">
        <f t="array" ref="E1434">XLOOKUP(C1434,FSE!A:A,FSE!Z:Z,"XXXXX",0,1)</f>
        <v>Publicly Available (1)</v>
      </c>
      <c r="F1434" s="213" t="s">
        <v>3394</v>
      </c>
      <c r="G1434" s="163" t="str">
        <f t="array" ref="G1434">IF(B1434="ICSE",IF(COUNTIFS(B:B,B1434,C:C,C1434)=XLOOKUP(C1434,ICSE!A:A,ICSE!AA:AA,"ERROR",0,1),"OK","ERROR"),IF(B1434="FSE",IF(COUNTIFS(B:B,B1434,C:C,C1434)=XLOOKUP(C1434,FSE!A:A,FSE!AA:AA,"ERROR",0,1),"OK","ERROR")))</f>
        <v>OK</v>
      </c>
      <c r="H1434" s="199">
        <f t="shared" ref="H1434:O1434" si="7249">countif($D1434,"*"&amp;H$2&amp;"*")</f>
        <v>1</v>
      </c>
      <c r="I1434" s="200">
        <f t="shared" si="7249"/>
        <v>0</v>
      </c>
      <c r="J1434" s="200">
        <f t="shared" si="7249"/>
        <v>0</v>
      </c>
      <c r="K1434" s="200">
        <f t="shared" si="7249"/>
        <v>0</v>
      </c>
      <c r="L1434" s="200">
        <f t="shared" si="7249"/>
        <v>0</v>
      </c>
      <c r="M1434" s="200">
        <f t="shared" si="7249"/>
        <v>0</v>
      </c>
      <c r="N1434" s="200">
        <f t="shared" si="7249"/>
        <v>0</v>
      </c>
      <c r="O1434" s="200">
        <f t="shared" si="7249"/>
        <v>0</v>
      </c>
      <c r="P1434" s="200">
        <f t="shared" si="9"/>
        <v>0</v>
      </c>
      <c r="Q1434" s="200">
        <f t="shared" ref="Q1434:AC1434" si="7250">countif($D1434,"*"&amp;Q$2&amp;"*")</f>
        <v>0</v>
      </c>
      <c r="R1434" s="200">
        <f t="shared" si="7250"/>
        <v>0</v>
      </c>
      <c r="S1434" s="200">
        <f t="shared" si="7250"/>
        <v>0</v>
      </c>
      <c r="T1434" s="200">
        <f t="shared" si="7250"/>
        <v>0</v>
      </c>
      <c r="U1434" s="200">
        <f t="shared" si="7250"/>
        <v>0</v>
      </c>
      <c r="V1434" s="200">
        <f t="shared" si="7250"/>
        <v>0</v>
      </c>
      <c r="W1434" s="200">
        <f t="shared" si="7250"/>
        <v>0</v>
      </c>
      <c r="X1434" s="200">
        <f t="shared" si="7250"/>
        <v>0</v>
      </c>
      <c r="Y1434" s="200">
        <f t="shared" si="7250"/>
        <v>0</v>
      </c>
      <c r="Z1434" s="200">
        <f t="shared" si="7250"/>
        <v>0</v>
      </c>
      <c r="AA1434" s="200">
        <f t="shared" si="7250"/>
        <v>0</v>
      </c>
      <c r="AB1434" s="200">
        <f t="shared" si="7250"/>
        <v>0</v>
      </c>
      <c r="AC1434" s="200">
        <f t="shared" si="7250"/>
        <v>0</v>
      </c>
      <c r="AD1434" s="200">
        <f t="shared" si="11"/>
        <v>0</v>
      </c>
      <c r="AE1434" s="200">
        <f t="shared" ref="AE1434:AG1434" si="7251">countif($D1434,"*"&amp;AE$2&amp;"*")</f>
        <v>0</v>
      </c>
      <c r="AF1434" s="200">
        <f t="shared" si="7251"/>
        <v>0</v>
      </c>
      <c r="AG1434" s="200">
        <f t="shared" si="7251"/>
        <v>0</v>
      </c>
      <c r="AH1434" s="171">
        <f t="shared" si="13"/>
        <v>0</v>
      </c>
      <c r="AI1434" s="200">
        <f t="shared" si="14"/>
        <v>1</v>
      </c>
      <c r="AJ1434" s="200">
        <f t="shared" si="6100"/>
        <v>0</v>
      </c>
      <c r="AK1434" s="201">
        <f t="shared" ref="AK1434:AS1434" si="7252">countif($D1434,"*"&amp;AK$2&amp;"*")</f>
        <v>0</v>
      </c>
      <c r="AL1434" s="201">
        <f t="shared" si="7252"/>
        <v>0</v>
      </c>
      <c r="AM1434" s="201">
        <f t="shared" si="7252"/>
        <v>0</v>
      </c>
      <c r="AN1434" s="201">
        <f t="shared" si="7252"/>
        <v>0</v>
      </c>
      <c r="AO1434" s="201">
        <f t="shared" si="7252"/>
        <v>0</v>
      </c>
      <c r="AP1434" s="201">
        <f t="shared" si="7252"/>
        <v>0</v>
      </c>
      <c r="AQ1434" s="201">
        <f t="shared" si="7252"/>
        <v>0</v>
      </c>
      <c r="AR1434" s="200">
        <f t="shared" si="7252"/>
        <v>0</v>
      </c>
      <c r="AS1434" s="200">
        <f t="shared" si="7252"/>
        <v>0</v>
      </c>
      <c r="AT1434" s="173">
        <v>0.0</v>
      </c>
      <c r="AU1434" s="200">
        <f t="shared" si="6217"/>
        <v>0</v>
      </c>
      <c r="AV1434" s="200">
        <f t="shared" ref="AV1434:AX1434" si="7253">countif($D1434,"*"&amp;AV$2&amp;"*")</f>
        <v>0</v>
      </c>
      <c r="AW1434" s="200">
        <f t="shared" si="7253"/>
        <v>0</v>
      </c>
      <c r="AX1434" s="200">
        <f t="shared" si="7253"/>
        <v>1</v>
      </c>
      <c r="AY1434" s="202">
        <v>0.0</v>
      </c>
      <c r="AZ1434" s="200"/>
      <c r="BA1434" s="171" t="str">
        <f t="shared" si="18"/>
        <v>Archival</v>
      </c>
      <c r="BB1434" s="171" t="str">
        <f t="shared" si="19"/>
        <v/>
      </c>
      <c r="BC1434" s="171" t="str">
        <f t="shared" si="20"/>
        <v/>
      </c>
      <c r="BD1434" s="171" t="str">
        <f t="shared" si="21"/>
        <v/>
      </c>
      <c r="BE1434" s="171" t="str">
        <f t="shared" si="22"/>
        <v/>
      </c>
      <c r="BF1434" s="171" t="str">
        <f t="shared" si="23"/>
        <v>Archival</v>
      </c>
    </row>
    <row r="1435">
      <c r="A1435" s="171">
        <f t="array" ref="A1435">XLOOKUP(C1435,FSE!A:A,FSE!C:C,"XXXXX",0,1)</f>
        <v>2022</v>
      </c>
      <c r="B1435" s="213" t="s">
        <v>5676</v>
      </c>
      <c r="C1435" s="214">
        <v>156.0</v>
      </c>
      <c r="D1435" s="215" t="s">
        <v>5104</v>
      </c>
      <c r="E1435" s="197" t="str">
        <f t="array" ref="E1435">XLOOKUP(C1435,FSE!A:A,FSE!Z:Z,"XXXXX",0,1)</f>
        <v>Publicly Available (1)</v>
      </c>
      <c r="F1435" s="213" t="s">
        <v>3394</v>
      </c>
      <c r="G1435" s="163" t="str">
        <f t="array" ref="G1435">IF(B1435="ICSE",IF(COUNTIFS(B:B,B1435,C:C,C1435)=XLOOKUP(C1435,ICSE!A:A,ICSE!AA:AA,"ERROR",0,1),"OK","ERROR"),IF(B1435="FSE",IF(COUNTIFS(B:B,B1435,C:C,C1435)=XLOOKUP(C1435,FSE!A:A,FSE!AA:AA,"ERROR",0,1),"OK","ERROR")))</f>
        <v>OK</v>
      </c>
      <c r="H1435" s="199">
        <f t="shared" ref="H1435:O1435" si="7254">countif($D1435,"*"&amp;H$2&amp;"*")</f>
        <v>1</v>
      </c>
      <c r="I1435" s="200">
        <f t="shared" si="7254"/>
        <v>0</v>
      </c>
      <c r="J1435" s="200">
        <f t="shared" si="7254"/>
        <v>0</v>
      </c>
      <c r="K1435" s="200">
        <f t="shared" si="7254"/>
        <v>0</v>
      </c>
      <c r="L1435" s="200">
        <f t="shared" si="7254"/>
        <v>0</v>
      </c>
      <c r="M1435" s="200">
        <f t="shared" si="7254"/>
        <v>0</v>
      </c>
      <c r="N1435" s="200">
        <f t="shared" si="7254"/>
        <v>0</v>
      </c>
      <c r="O1435" s="200">
        <f t="shared" si="7254"/>
        <v>0</v>
      </c>
      <c r="P1435" s="200">
        <f t="shared" si="9"/>
        <v>0</v>
      </c>
      <c r="Q1435" s="200">
        <f t="shared" ref="Q1435:AC1435" si="7255">countif($D1435,"*"&amp;Q$2&amp;"*")</f>
        <v>0</v>
      </c>
      <c r="R1435" s="200">
        <f t="shared" si="7255"/>
        <v>0</v>
      </c>
      <c r="S1435" s="200">
        <f t="shared" si="7255"/>
        <v>0</v>
      </c>
      <c r="T1435" s="200">
        <f t="shared" si="7255"/>
        <v>0</v>
      </c>
      <c r="U1435" s="200">
        <f t="shared" si="7255"/>
        <v>0</v>
      </c>
      <c r="V1435" s="200">
        <f t="shared" si="7255"/>
        <v>0</v>
      </c>
      <c r="W1435" s="200">
        <f t="shared" si="7255"/>
        <v>0</v>
      </c>
      <c r="X1435" s="200">
        <f t="shared" si="7255"/>
        <v>0</v>
      </c>
      <c r="Y1435" s="200">
        <f t="shared" si="7255"/>
        <v>0</v>
      </c>
      <c r="Z1435" s="200">
        <f t="shared" si="7255"/>
        <v>0</v>
      </c>
      <c r="AA1435" s="200">
        <f t="shared" si="7255"/>
        <v>0</v>
      </c>
      <c r="AB1435" s="200">
        <f t="shared" si="7255"/>
        <v>0</v>
      </c>
      <c r="AC1435" s="200">
        <f t="shared" si="7255"/>
        <v>0</v>
      </c>
      <c r="AD1435" s="200">
        <f t="shared" si="11"/>
        <v>0</v>
      </c>
      <c r="AE1435" s="200">
        <f t="shared" ref="AE1435:AG1435" si="7256">countif($D1435,"*"&amp;AE$2&amp;"*")</f>
        <v>0</v>
      </c>
      <c r="AF1435" s="200">
        <f t="shared" si="7256"/>
        <v>0</v>
      </c>
      <c r="AG1435" s="200">
        <f t="shared" si="7256"/>
        <v>0</v>
      </c>
      <c r="AH1435" s="171">
        <f t="shared" si="13"/>
        <v>0</v>
      </c>
      <c r="AI1435" s="200">
        <f t="shared" si="14"/>
        <v>1</v>
      </c>
      <c r="AJ1435" s="200">
        <f t="shared" si="6100"/>
        <v>0</v>
      </c>
      <c r="AK1435" s="201">
        <f t="shared" ref="AK1435:AS1435" si="7257">countif($D1435,"*"&amp;AK$2&amp;"*")</f>
        <v>0</v>
      </c>
      <c r="AL1435" s="201">
        <f t="shared" si="7257"/>
        <v>0</v>
      </c>
      <c r="AM1435" s="201">
        <f t="shared" si="7257"/>
        <v>0</v>
      </c>
      <c r="AN1435" s="201">
        <f t="shared" si="7257"/>
        <v>0</v>
      </c>
      <c r="AO1435" s="201">
        <f t="shared" si="7257"/>
        <v>0</v>
      </c>
      <c r="AP1435" s="201">
        <f t="shared" si="7257"/>
        <v>0</v>
      </c>
      <c r="AQ1435" s="201">
        <f t="shared" si="7257"/>
        <v>0</v>
      </c>
      <c r="AR1435" s="200">
        <f t="shared" si="7257"/>
        <v>0</v>
      </c>
      <c r="AS1435" s="200">
        <f t="shared" si="7257"/>
        <v>0</v>
      </c>
      <c r="AT1435" s="173">
        <v>0.0</v>
      </c>
      <c r="AU1435" s="200">
        <f t="shared" si="6217"/>
        <v>0</v>
      </c>
      <c r="AV1435" s="200">
        <f t="shared" ref="AV1435:AX1435" si="7258">countif($D1435,"*"&amp;AV$2&amp;"*")</f>
        <v>0</v>
      </c>
      <c r="AW1435" s="200">
        <f t="shared" si="7258"/>
        <v>0</v>
      </c>
      <c r="AX1435" s="200">
        <f t="shared" si="7258"/>
        <v>1</v>
      </c>
      <c r="AY1435" s="202">
        <v>0.0</v>
      </c>
      <c r="AZ1435" s="200"/>
      <c r="BA1435" s="171" t="str">
        <f t="shared" si="18"/>
        <v>Archival</v>
      </c>
      <c r="BB1435" s="171" t="str">
        <f t="shared" si="19"/>
        <v/>
      </c>
      <c r="BC1435" s="171" t="str">
        <f t="shared" si="20"/>
        <v/>
      </c>
      <c r="BD1435" s="171" t="str">
        <f t="shared" si="21"/>
        <v/>
      </c>
      <c r="BE1435" s="171" t="str">
        <f t="shared" si="22"/>
        <v/>
      </c>
      <c r="BF1435" s="171" t="str">
        <f t="shared" si="23"/>
        <v>Archival</v>
      </c>
    </row>
    <row r="1436">
      <c r="A1436" s="171">
        <f t="array" ref="A1436">XLOOKUP(C1436,FSE!A:A,FSE!C:C,"XXXXX",0,1)</f>
        <v>2022</v>
      </c>
      <c r="B1436" s="171" t="s">
        <v>5676</v>
      </c>
      <c r="C1436" s="160">
        <v>157.0</v>
      </c>
      <c r="D1436" s="161" t="s">
        <v>5106</v>
      </c>
      <c r="E1436" s="197" t="str">
        <f t="array" ref="E1436">XLOOKUP(C1436,FSE!A:A,FSE!Z:Z,"XXXXX",0,1)</f>
        <v>Publicly Available (1)</v>
      </c>
      <c r="F1436" s="213" t="s">
        <v>3394</v>
      </c>
      <c r="G1436" s="163" t="str">
        <f t="array" ref="G1436">IF(B1436="ICSE",IF(COUNTIFS(B:B,B1436,C:C,C1436)=XLOOKUP(C1436,ICSE!A:A,ICSE!AA:AA,"ERROR",0,1),"OK","ERROR"),IF(B1436="FSE",IF(COUNTIFS(B:B,B1436,C:C,C1436)=XLOOKUP(C1436,FSE!A:A,FSE!AA:AA,"ERROR",0,1),"OK","ERROR")))</f>
        <v>OK</v>
      </c>
      <c r="H1436" s="199">
        <f t="shared" ref="H1436:O1436" si="7259">countif($D1436,"*"&amp;H$2&amp;"*")</f>
        <v>1</v>
      </c>
      <c r="I1436" s="200">
        <f t="shared" si="7259"/>
        <v>0</v>
      </c>
      <c r="J1436" s="200">
        <f t="shared" si="7259"/>
        <v>0</v>
      </c>
      <c r="K1436" s="200">
        <f t="shared" si="7259"/>
        <v>0</v>
      </c>
      <c r="L1436" s="200">
        <f t="shared" si="7259"/>
        <v>0</v>
      </c>
      <c r="M1436" s="200">
        <f t="shared" si="7259"/>
        <v>0</v>
      </c>
      <c r="N1436" s="200">
        <f t="shared" si="7259"/>
        <v>0</v>
      </c>
      <c r="O1436" s="200">
        <f t="shared" si="7259"/>
        <v>0</v>
      </c>
      <c r="P1436" s="200">
        <f t="shared" si="9"/>
        <v>0</v>
      </c>
      <c r="Q1436" s="200">
        <f t="shared" ref="Q1436:AC1436" si="7260">countif($D1436,"*"&amp;Q$2&amp;"*")</f>
        <v>0</v>
      </c>
      <c r="R1436" s="200">
        <f t="shared" si="7260"/>
        <v>0</v>
      </c>
      <c r="S1436" s="200">
        <f t="shared" si="7260"/>
        <v>0</v>
      </c>
      <c r="T1436" s="200">
        <f t="shared" si="7260"/>
        <v>0</v>
      </c>
      <c r="U1436" s="200">
        <f t="shared" si="7260"/>
        <v>0</v>
      </c>
      <c r="V1436" s="200">
        <f t="shared" si="7260"/>
        <v>0</v>
      </c>
      <c r="W1436" s="200">
        <f t="shared" si="7260"/>
        <v>0</v>
      </c>
      <c r="X1436" s="200">
        <f t="shared" si="7260"/>
        <v>0</v>
      </c>
      <c r="Y1436" s="200">
        <f t="shared" si="7260"/>
        <v>0</v>
      </c>
      <c r="Z1436" s="200">
        <f t="shared" si="7260"/>
        <v>0</v>
      </c>
      <c r="AA1436" s="200">
        <f t="shared" si="7260"/>
        <v>0</v>
      </c>
      <c r="AB1436" s="200">
        <f t="shared" si="7260"/>
        <v>0</v>
      </c>
      <c r="AC1436" s="200">
        <f t="shared" si="7260"/>
        <v>0</v>
      </c>
      <c r="AD1436" s="200">
        <f t="shared" si="11"/>
        <v>0</v>
      </c>
      <c r="AE1436" s="200">
        <f t="shared" ref="AE1436:AG1436" si="7261">countif($D1436,"*"&amp;AE$2&amp;"*")</f>
        <v>0</v>
      </c>
      <c r="AF1436" s="200">
        <f t="shared" si="7261"/>
        <v>0</v>
      </c>
      <c r="AG1436" s="200">
        <f t="shared" si="7261"/>
        <v>0</v>
      </c>
      <c r="AH1436" s="171">
        <f t="shared" si="13"/>
        <v>0</v>
      </c>
      <c r="AI1436" s="200">
        <f t="shared" si="14"/>
        <v>1</v>
      </c>
      <c r="AJ1436" s="200">
        <f t="shared" si="6100"/>
        <v>0</v>
      </c>
      <c r="AK1436" s="201">
        <f t="shared" ref="AK1436:AS1436" si="7262">countif($D1436,"*"&amp;AK$2&amp;"*")</f>
        <v>0</v>
      </c>
      <c r="AL1436" s="201">
        <f t="shared" si="7262"/>
        <v>0</v>
      </c>
      <c r="AM1436" s="201">
        <f t="shared" si="7262"/>
        <v>0</v>
      </c>
      <c r="AN1436" s="201">
        <f t="shared" si="7262"/>
        <v>0</v>
      </c>
      <c r="AO1436" s="201">
        <f t="shared" si="7262"/>
        <v>0</v>
      </c>
      <c r="AP1436" s="201">
        <f t="shared" si="7262"/>
        <v>0</v>
      </c>
      <c r="AQ1436" s="201">
        <f t="shared" si="7262"/>
        <v>0</v>
      </c>
      <c r="AR1436" s="200">
        <f t="shared" si="7262"/>
        <v>0</v>
      </c>
      <c r="AS1436" s="200">
        <f t="shared" si="7262"/>
        <v>0</v>
      </c>
      <c r="AT1436" s="173">
        <v>0.0</v>
      </c>
      <c r="AU1436" s="200">
        <f t="shared" si="6217"/>
        <v>0</v>
      </c>
      <c r="AV1436" s="200">
        <f t="shared" ref="AV1436:AX1436" si="7263">countif($D1436,"*"&amp;AV$2&amp;"*")</f>
        <v>0</v>
      </c>
      <c r="AW1436" s="200">
        <f t="shared" si="7263"/>
        <v>0</v>
      </c>
      <c r="AX1436" s="200">
        <f t="shared" si="7263"/>
        <v>1</v>
      </c>
      <c r="AY1436" s="202">
        <v>0.0</v>
      </c>
      <c r="AZ1436" s="200"/>
      <c r="BA1436" s="171" t="str">
        <f t="shared" si="18"/>
        <v>Archival</v>
      </c>
      <c r="BB1436" s="171" t="str">
        <f t="shared" si="19"/>
        <v/>
      </c>
      <c r="BC1436" s="171" t="str">
        <f t="shared" si="20"/>
        <v/>
      </c>
      <c r="BD1436" s="171" t="str">
        <f t="shared" si="21"/>
        <v/>
      </c>
      <c r="BE1436" s="171" t="str">
        <f t="shared" si="22"/>
        <v/>
      </c>
      <c r="BF1436" s="171" t="str">
        <f t="shared" si="23"/>
        <v>Archival</v>
      </c>
    </row>
    <row r="1437">
      <c r="A1437" s="171">
        <f t="array" ref="A1437">XLOOKUP(C1437,FSE!A:A,FSE!C:C,"XXXXX",0,1)</f>
        <v>2022</v>
      </c>
      <c r="B1437" s="213" t="s">
        <v>5676</v>
      </c>
      <c r="C1437" s="214">
        <v>158.0</v>
      </c>
      <c r="D1437" s="215" t="s">
        <v>5108</v>
      </c>
      <c r="E1437" s="197" t="str">
        <f t="array" ref="E1437">XLOOKUP(C1437,FSE!A:A,FSE!Z:Z,"XXXXX",0,1)</f>
        <v>Publicly Available (1)</v>
      </c>
      <c r="F1437" s="213" t="s">
        <v>3394</v>
      </c>
      <c r="G1437" s="163" t="str">
        <f t="array" ref="G1437">IF(B1437="ICSE",IF(COUNTIFS(B:B,B1437,C:C,C1437)=XLOOKUP(C1437,ICSE!A:A,ICSE!AA:AA,"ERROR",0,1),"OK","ERROR"),IF(B1437="FSE",IF(COUNTIFS(B:B,B1437,C:C,C1437)=XLOOKUP(C1437,FSE!A:A,FSE!AA:AA,"ERROR",0,1),"OK","ERROR")))</f>
        <v>OK</v>
      </c>
      <c r="H1437" s="199">
        <f t="shared" ref="H1437:O1437" si="7264">countif($D1437,"*"&amp;H$2&amp;"*")</f>
        <v>0</v>
      </c>
      <c r="I1437" s="200">
        <f t="shared" si="7264"/>
        <v>0</v>
      </c>
      <c r="J1437" s="200">
        <f t="shared" si="7264"/>
        <v>0</v>
      </c>
      <c r="K1437" s="200">
        <f t="shared" si="7264"/>
        <v>0</v>
      </c>
      <c r="L1437" s="200">
        <f t="shared" si="7264"/>
        <v>0</v>
      </c>
      <c r="M1437" s="200">
        <f t="shared" si="7264"/>
        <v>0</v>
      </c>
      <c r="N1437" s="200">
        <f t="shared" si="7264"/>
        <v>0</v>
      </c>
      <c r="O1437" s="200">
        <f t="shared" si="7264"/>
        <v>0</v>
      </c>
      <c r="P1437" s="200">
        <f t="shared" si="9"/>
        <v>1</v>
      </c>
      <c r="Q1437" s="200">
        <f t="shared" ref="Q1437:AC1437" si="7265">countif($D1437,"*"&amp;Q$2&amp;"*")</f>
        <v>0</v>
      </c>
      <c r="R1437" s="200">
        <f t="shared" si="7265"/>
        <v>0</v>
      </c>
      <c r="S1437" s="200">
        <f t="shared" si="7265"/>
        <v>0</v>
      </c>
      <c r="T1437" s="200">
        <f t="shared" si="7265"/>
        <v>0</v>
      </c>
      <c r="U1437" s="200">
        <f t="shared" si="7265"/>
        <v>0</v>
      </c>
      <c r="V1437" s="200">
        <f t="shared" si="7265"/>
        <v>0</v>
      </c>
      <c r="W1437" s="200">
        <f t="shared" si="7265"/>
        <v>0</v>
      </c>
      <c r="X1437" s="200">
        <f t="shared" si="7265"/>
        <v>0</v>
      </c>
      <c r="Y1437" s="200">
        <f t="shared" si="7265"/>
        <v>0</v>
      </c>
      <c r="Z1437" s="200">
        <f t="shared" si="7265"/>
        <v>0</v>
      </c>
      <c r="AA1437" s="200">
        <f t="shared" si="7265"/>
        <v>0</v>
      </c>
      <c r="AB1437" s="200">
        <f t="shared" si="7265"/>
        <v>0</v>
      </c>
      <c r="AC1437" s="200">
        <f t="shared" si="7265"/>
        <v>0</v>
      </c>
      <c r="AD1437" s="200">
        <f t="shared" si="11"/>
        <v>0</v>
      </c>
      <c r="AE1437" s="200">
        <f t="shared" ref="AE1437:AG1437" si="7266">countif($D1437,"*"&amp;AE$2&amp;"*")</f>
        <v>0</v>
      </c>
      <c r="AF1437" s="200">
        <f t="shared" si="7266"/>
        <v>0</v>
      </c>
      <c r="AG1437" s="200">
        <f t="shared" si="7266"/>
        <v>0</v>
      </c>
      <c r="AH1437" s="171">
        <f t="shared" si="13"/>
        <v>0</v>
      </c>
      <c r="AI1437" s="200">
        <f t="shared" si="14"/>
        <v>0</v>
      </c>
      <c r="AJ1437" s="200">
        <f t="shared" si="6100"/>
        <v>0</v>
      </c>
      <c r="AK1437" s="201">
        <f t="shared" ref="AK1437:AS1437" si="7267">countif($D1437,"*"&amp;AK$2&amp;"*")</f>
        <v>0</v>
      </c>
      <c r="AL1437" s="201">
        <f t="shared" si="7267"/>
        <v>0</v>
      </c>
      <c r="AM1437" s="201">
        <f t="shared" si="7267"/>
        <v>0</v>
      </c>
      <c r="AN1437" s="201">
        <f t="shared" si="7267"/>
        <v>0</v>
      </c>
      <c r="AO1437" s="201">
        <f t="shared" si="7267"/>
        <v>0</v>
      </c>
      <c r="AP1437" s="201">
        <f t="shared" si="7267"/>
        <v>0</v>
      </c>
      <c r="AQ1437" s="201">
        <f t="shared" si="7267"/>
        <v>0</v>
      </c>
      <c r="AR1437" s="200">
        <f t="shared" si="7267"/>
        <v>0</v>
      </c>
      <c r="AS1437" s="200">
        <f t="shared" si="7267"/>
        <v>0</v>
      </c>
      <c r="AT1437" s="173">
        <v>0.0</v>
      </c>
      <c r="AU1437" s="200">
        <f t="shared" si="6217"/>
        <v>0</v>
      </c>
      <c r="AV1437" s="200">
        <f t="shared" ref="AV1437:AX1437" si="7268">countif($D1437,"*"&amp;AV$2&amp;"*")</f>
        <v>1</v>
      </c>
      <c r="AW1437" s="200">
        <f t="shared" si="7268"/>
        <v>0</v>
      </c>
      <c r="AX1437" s="200">
        <f t="shared" si="7268"/>
        <v>0</v>
      </c>
      <c r="AY1437" s="202">
        <v>0.0</v>
      </c>
      <c r="AZ1437" s="200"/>
      <c r="BA1437" s="171" t="str">
        <f t="shared" si="18"/>
        <v/>
      </c>
      <c r="BB1437" s="171" t="str">
        <f t="shared" si="19"/>
        <v>Code</v>
      </c>
      <c r="BC1437" s="171" t="str">
        <f t="shared" si="20"/>
        <v/>
      </c>
      <c r="BD1437" s="171" t="str">
        <f t="shared" si="21"/>
        <v/>
      </c>
      <c r="BE1437" s="171" t="str">
        <f t="shared" si="22"/>
        <v/>
      </c>
      <c r="BF1437" s="171" t="str">
        <f t="shared" si="23"/>
        <v>Code</v>
      </c>
    </row>
    <row r="1438">
      <c r="A1438" s="171">
        <f t="array" ref="A1438">XLOOKUP(C1438,FSE!A:A,FSE!C:C,"XXXXX",0,1)</f>
        <v>2022</v>
      </c>
      <c r="B1438" s="171" t="s">
        <v>5676</v>
      </c>
      <c r="C1438" s="160">
        <v>159.0</v>
      </c>
      <c r="D1438" s="161" t="s">
        <v>5110</v>
      </c>
      <c r="E1438" s="197" t="str">
        <f t="array" ref="E1438">XLOOKUP(C1438,FSE!A:A,FSE!Z:Z,"XXXXX",0,1)</f>
        <v>Publicly Available (1)</v>
      </c>
      <c r="F1438" s="213" t="s">
        <v>3394</v>
      </c>
      <c r="G1438" s="163" t="str">
        <f t="array" ref="G1438">IF(B1438="ICSE",IF(COUNTIFS(B:B,B1438,C:C,C1438)=XLOOKUP(C1438,ICSE!A:A,ICSE!AA:AA,"ERROR",0,1),"OK","ERROR"),IF(B1438="FSE",IF(COUNTIFS(B:B,B1438,C:C,C1438)=XLOOKUP(C1438,FSE!A:A,FSE!AA:AA,"ERROR",0,1),"OK","ERROR")))</f>
        <v>OK</v>
      </c>
      <c r="H1438" s="199">
        <f t="shared" ref="H1438:O1438" si="7269">countif($D1438,"*"&amp;H$2&amp;"*")</f>
        <v>0</v>
      </c>
      <c r="I1438" s="200">
        <f t="shared" si="7269"/>
        <v>0</v>
      </c>
      <c r="J1438" s="200">
        <f t="shared" si="7269"/>
        <v>0</v>
      </c>
      <c r="K1438" s="200">
        <f t="shared" si="7269"/>
        <v>0</v>
      </c>
      <c r="L1438" s="200">
        <f t="shared" si="7269"/>
        <v>0</v>
      </c>
      <c r="M1438" s="200">
        <f t="shared" si="7269"/>
        <v>0</v>
      </c>
      <c r="N1438" s="200">
        <f t="shared" si="7269"/>
        <v>0</v>
      </c>
      <c r="O1438" s="200">
        <f t="shared" si="7269"/>
        <v>0</v>
      </c>
      <c r="P1438" s="200">
        <f t="shared" si="9"/>
        <v>0</v>
      </c>
      <c r="Q1438" s="200">
        <f t="shared" ref="Q1438:AC1438" si="7270">countif($D1438,"*"&amp;Q$2&amp;"*")</f>
        <v>0</v>
      </c>
      <c r="R1438" s="200">
        <f t="shared" si="7270"/>
        <v>0</v>
      </c>
      <c r="S1438" s="200">
        <f t="shared" si="7270"/>
        <v>0</v>
      </c>
      <c r="T1438" s="200">
        <f t="shared" si="7270"/>
        <v>0</v>
      </c>
      <c r="U1438" s="200">
        <f t="shared" si="7270"/>
        <v>0</v>
      </c>
      <c r="V1438" s="200">
        <f t="shared" si="7270"/>
        <v>0</v>
      </c>
      <c r="W1438" s="200">
        <f t="shared" si="7270"/>
        <v>0</v>
      </c>
      <c r="X1438" s="200">
        <f t="shared" si="7270"/>
        <v>0</v>
      </c>
      <c r="Y1438" s="200">
        <f t="shared" si="7270"/>
        <v>0</v>
      </c>
      <c r="Z1438" s="200">
        <f t="shared" si="7270"/>
        <v>0</v>
      </c>
      <c r="AA1438" s="200">
        <f t="shared" si="7270"/>
        <v>1</v>
      </c>
      <c r="AB1438" s="200">
        <f t="shared" si="7270"/>
        <v>0</v>
      </c>
      <c r="AC1438" s="200">
        <f t="shared" si="7270"/>
        <v>0</v>
      </c>
      <c r="AD1438" s="200">
        <f t="shared" si="11"/>
        <v>0</v>
      </c>
      <c r="AE1438" s="200">
        <f t="shared" ref="AE1438:AG1438" si="7271">countif($D1438,"*"&amp;AE$2&amp;"*")</f>
        <v>0</v>
      </c>
      <c r="AF1438" s="200">
        <f t="shared" si="7271"/>
        <v>0</v>
      </c>
      <c r="AG1438" s="200">
        <f t="shared" si="7271"/>
        <v>0</v>
      </c>
      <c r="AH1438" s="171">
        <f t="shared" si="13"/>
        <v>0</v>
      </c>
      <c r="AI1438" s="200">
        <f t="shared" si="14"/>
        <v>0</v>
      </c>
      <c r="AJ1438" s="200">
        <f t="shared" si="6100"/>
        <v>0</v>
      </c>
      <c r="AK1438" s="201">
        <f t="shared" ref="AK1438:AS1438" si="7272">countif($D1438,"*"&amp;AK$2&amp;"*")</f>
        <v>0</v>
      </c>
      <c r="AL1438" s="201">
        <f t="shared" si="7272"/>
        <v>0</v>
      </c>
      <c r="AM1438" s="201">
        <f t="shared" si="7272"/>
        <v>0</v>
      </c>
      <c r="AN1438" s="201">
        <f t="shared" si="7272"/>
        <v>0</v>
      </c>
      <c r="AO1438" s="201">
        <f t="shared" si="7272"/>
        <v>0</v>
      </c>
      <c r="AP1438" s="201">
        <f t="shared" si="7272"/>
        <v>0</v>
      </c>
      <c r="AQ1438" s="201">
        <f t="shared" si="7272"/>
        <v>0</v>
      </c>
      <c r="AR1438" s="200">
        <f t="shared" si="7272"/>
        <v>0</v>
      </c>
      <c r="AS1438" s="200">
        <f t="shared" si="7272"/>
        <v>0</v>
      </c>
      <c r="AT1438" s="173">
        <v>0.0</v>
      </c>
      <c r="AU1438" s="200">
        <f t="shared" si="6217"/>
        <v>0</v>
      </c>
      <c r="AV1438" s="200">
        <f t="shared" ref="AV1438:AX1438" si="7273">countif($D1438,"*"&amp;AV$2&amp;"*")</f>
        <v>0</v>
      </c>
      <c r="AW1438" s="200">
        <f t="shared" si="7273"/>
        <v>0</v>
      </c>
      <c r="AX1438" s="200">
        <f t="shared" si="7273"/>
        <v>0</v>
      </c>
      <c r="AY1438" s="202">
        <v>0.0</v>
      </c>
      <c r="AZ1438" s="200"/>
      <c r="BA1438" s="171" t="str">
        <f t="shared" si="18"/>
        <v/>
      </c>
      <c r="BB1438" s="171" t="str">
        <f t="shared" si="19"/>
        <v/>
      </c>
      <c r="BC1438" s="171" t="str">
        <f t="shared" si="20"/>
        <v>General-purpose</v>
      </c>
      <c r="BD1438" s="171" t="str">
        <f t="shared" si="21"/>
        <v/>
      </c>
      <c r="BE1438" s="171" t="str">
        <f t="shared" si="22"/>
        <v/>
      </c>
      <c r="BF1438" s="171" t="str">
        <f t="shared" si="23"/>
        <v>General-purpose</v>
      </c>
    </row>
    <row r="1439">
      <c r="A1439" s="171">
        <f t="array" ref="A1439">XLOOKUP(C1439,FSE!A:A,FSE!C:C,"XXXXX",0,1)</f>
        <v>2022</v>
      </c>
      <c r="B1439" s="213" t="s">
        <v>5676</v>
      </c>
      <c r="C1439" s="214">
        <v>160.0</v>
      </c>
      <c r="D1439" s="215" t="s">
        <v>5112</v>
      </c>
      <c r="E1439" s="197" t="str">
        <f t="array" ref="E1439">XLOOKUP(C1439,FSE!A:A,FSE!Z:Z,"XXXXX",0,1)</f>
        <v>Publicly Available (1)</v>
      </c>
      <c r="F1439" s="213" t="s">
        <v>3394</v>
      </c>
      <c r="G1439" s="163" t="str">
        <f t="array" ref="G1439">IF(B1439="ICSE",IF(COUNTIFS(B:B,B1439,C:C,C1439)=XLOOKUP(C1439,ICSE!A:A,ICSE!AA:AA,"ERROR",0,1),"OK","ERROR"),IF(B1439="FSE",IF(COUNTIFS(B:B,B1439,C:C,C1439)=XLOOKUP(C1439,FSE!A:A,FSE!AA:AA,"ERROR",0,1),"OK","ERROR")))</f>
        <v>OK</v>
      </c>
      <c r="H1439" s="199">
        <f t="shared" ref="H1439:O1439" si="7274">countif($D1439,"*"&amp;H$2&amp;"*")</f>
        <v>1</v>
      </c>
      <c r="I1439" s="200">
        <f t="shared" si="7274"/>
        <v>0</v>
      </c>
      <c r="J1439" s="200">
        <f t="shared" si="7274"/>
        <v>0</v>
      </c>
      <c r="K1439" s="200">
        <f t="shared" si="7274"/>
        <v>0</v>
      </c>
      <c r="L1439" s="200">
        <f t="shared" si="7274"/>
        <v>0</v>
      </c>
      <c r="M1439" s="200">
        <f t="shared" si="7274"/>
        <v>0</v>
      </c>
      <c r="N1439" s="200">
        <f t="shared" si="7274"/>
        <v>0</v>
      </c>
      <c r="O1439" s="200">
        <f t="shared" si="7274"/>
        <v>0</v>
      </c>
      <c r="P1439" s="200">
        <f t="shared" si="9"/>
        <v>0</v>
      </c>
      <c r="Q1439" s="200">
        <f t="shared" ref="Q1439:AC1439" si="7275">countif($D1439,"*"&amp;Q$2&amp;"*")</f>
        <v>0</v>
      </c>
      <c r="R1439" s="200">
        <f t="shared" si="7275"/>
        <v>0</v>
      </c>
      <c r="S1439" s="200">
        <f t="shared" si="7275"/>
        <v>0</v>
      </c>
      <c r="T1439" s="200">
        <f t="shared" si="7275"/>
        <v>0</v>
      </c>
      <c r="U1439" s="200">
        <f t="shared" si="7275"/>
        <v>0</v>
      </c>
      <c r="V1439" s="200">
        <f t="shared" si="7275"/>
        <v>0</v>
      </c>
      <c r="W1439" s="200">
        <f t="shared" si="7275"/>
        <v>0</v>
      </c>
      <c r="X1439" s="200">
        <f t="shared" si="7275"/>
        <v>0</v>
      </c>
      <c r="Y1439" s="200">
        <f t="shared" si="7275"/>
        <v>0</v>
      </c>
      <c r="Z1439" s="200">
        <f t="shared" si="7275"/>
        <v>0</v>
      </c>
      <c r="AA1439" s="200">
        <f t="shared" si="7275"/>
        <v>0</v>
      </c>
      <c r="AB1439" s="200">
        <f t="shared" si="7275"/>
        <v>0</v>
      </c>
      <c r="AC1439" s="200">
        <f t="shared" si="7275"/>
        <v>0</v>
      </c>
      <c r="AD1439" s="200">
        <f t="shared" si="11"/>
        <v>0</v>
      </c>
      <c r="AE1439" s="200">
        <f t="shared" ref="AE1439:AG1439" si="7276">countif($D1439,"*"&amp;AE$2&amp;"*")</f>
        <v>0</v>
      </c>
      <c r="AF1439" s="200">
        <f t="shared" si="7276"/>
        <v>0</v>
      </c>
      <c r="AG1439" s="200">
        <f t="shared" si="7276"/>
        <v>0</v>
      </c>
      <c r="AH1439" s="171">
        <f t="shared" si="13"/>
        <v>0</v>
      </c>
      <c r="AI1439" s="200">
        <f t="shared" si="14"/>
        <v>1</v>
      </c>
      <c r="AJ1439" s="200">
        <f t="shared" si="6100"/>
        <v>0</v>
      </c>
      <c r="AK1439" s="201">
        <f t="shared" ref="AK1439:AS1439" si="7277">countif($D1439,"*"&amp;AK$2&amp;"*")</f>
        <v>0</v>
      </c>
      <c r="AL1439" s="201">
        <f t="shared" si="7277"/>
        <v>0</v>
      </c>
      <c r="AM1439" s="201">
        <f t="shared" si="7277"/>
        <v>0</v>
      </c>
      <c r="AN1439" s="201">
        <f t="shared" si="7277"/>
        <v>0</v>
      </c>
      <c r="AO1439" s="201">
        <f t="shared" si="7277"/>
        <v>0</v>
      </c>
      <c r="AP1439" s="201">
        <f t="shared" si="7277"/>
        <v>0</v>
      </c>
      <c r="AQ1439" s="201">
        <f t="shared" si="7277"/>
        <v>0</v>
      </c>
      <c r="AR1439" s="200">
        <f t="shared" si="7277"/>
        <v>0</v>
      </c>
      <c r="AS1439" s="200">
        <f t="shared" si="7277"/>
        <v>0</v>
      </c>
      <c r="AT1439" s="173">
        <v>0.0</v>
      </c>
      <c r="AU1439" s="200">
        <f t="shared" si="6217"/>
        <v>0</v>
      </c>
      <c r="AV1439" s="200">
        <f t="shared" ref="AV1439:AX1439" si="7278">countif($D1439,"*"&amp;AV$2&amp;"*")</f>
        <v>0</v>
      </c>
      <c r="AW1439" s="200">
        <f t="shared" si="7278"/>
        <v>0</v>
      </c>
      <c r="AX1439" s="200">
        <f t="shared" si="7278"/>
        <v>1</v>
      </c>
      <c r="AY1439" s="202">
        <v>0.0</v>
      </c>
      <c r="AZ1439" s="200"/>
      <c r="BA1439" s="171" t="str">
        <f t="shared" si="18"/>
        <v>Archival</v>
      </c>
      <c r="BB1439" s="171" t="str">
        <f t="shared" si="19"/>
        <v/>
      </c>
      <c r="BC1439" s="171" t="str">
        <f t="shared" si="20"/>
        <v/>
      </c>
      <c r="BD1439" s="171" t="str">
        <f t="shared" si="21"/>
        <v/>
      </c>
      <c r="BE1439" s="171" t="str">
        <f t="shared" si="22"/>
        <v/>
      </c>
      <c r="BF1439" s="171" t="str">
        <f t="shared" si="23"/>
        <v>Archival</v>
      </c>
    </row>
    <row r="1440">
      <c r="A1440" s="171">
        <f t="array" ref="A1440">XLOOKUP(C1440,FSE!A:A,FSE!C:C,"XXXXX",0,1)</f>
        <v>2022</v>
      </c>
      <c r="B1440" s="213" t="s">
        <v>5676</v>
      </c>
      <c r="C1440" s="214">
        <v>161.0</v>
      </c>
      <c r="D1440" s="215" t="s">
        <v>5114</v>
      </c>
      <c r="E1440" s="197" t="str">
        <f t="array" ref="E1440">XLOOKUP(C1440,FSE!A:A,FSE!Z:Z,"XXXXX",0,1)</f>
        <v>Publicly Available (1)</v>
      </c>
      <c r="F1440" s="213" t="s">
        <v>3394</v>
      </c>
      <c r="G1440" s="163" t="str">
        <f t="array" ref="G1440">IF(B1440="ICSE",IF(COUNTIFS(B:B,B1440,C:C,C1440)=XLOOKUP(C1440,ICSE!A:A,ICSE!AA:AA,"ERROR",0,1),"OK","ERROR"),IF(B1440="FSE",IF(COUNTIFS(B:B,B1440,C:C,C1440)=XLOOKUP(C1440,FSE!A:A,FSE!AA:AA,"ERROR",0,1),"OK","ERROR")))</f>
        <v>OK</v>
      </c>
      <c r="H1440" s="199">
        <f t="shared" ref="H1440:O1440" si="7279">countif($D1440,"*"&amp;H$2&amp;"*")</f>
        <v>1</v>
      </c>
      <c r="I1440" s="200">
        <f t="shared" si="7279"/>
        <v>0</v>
      </c>
      <c r="J1440" s="200">
        <f t="shared" si="7279"/>
        <v>0</v>
      </c>
      <c r="K1440" s="200">
        <f t="shared" si="7279"/>
        <v>0</v>
      </c>
      <c r="L1440" s="200">
        <f t="shared" si="7279"/>
        <v>0</v>
      </c>
      <c r="M1440" s="200">
        <f t="shared" si="7279"/>
        <v>0</v>
      </c>
      <c r="N1440" s="200">
        <f t="shared" si="7279"/>
        <v>0</v>
      </c>
      <c r="O1440" s="200">
        <f t="shared" si="7279"/>
        <v>0</v>
      </c>
      <c r="P1440" s="200">
        <f t="shared" si="9"/>
        <v>0</v>
      </c>
      <c r="Q1440" s="200">
        <f t="shared" ref="Q1440:AC1440" si="7280">countif($D1440,"*"&amp;Q$2&amp;"*")</f>
        <v>0</v>
      </c>
      <c r="R1440" s="200">
        <f t="shared" si="7280"/>
        <v>0</v>
      </c>
      <c r="S1440" s="200">
        <f t="shared" si="7280"/>
        <v>0</v>
      </c>
      <c r="T1440" s="200">
        <f t="shared" si="7280"/>
        <v>0</v>
      </c>
      <c r="U1440" s="200">
        <f t="shared" si="7280"/>
        <v>0</v>
      </c>
      <c r="V1440" s="200">
        <f t="shared" si="7280"/>
        <v>0</v>
      </c>
      <c r="W1440" s="200">
        <f t="shared" si="7280"/>
        <v>0</v>
      </c>
      <c r="X1440" s="200">
        <f t="shared" si="7280"/>
        <v>0</v>
      </c>
      <c r="Y1440" s="200">
        <f t="shared" si="7280"/>
        <v>0</v>
      </c>
      <c r="Z1440" s="200">
        <f t="shared" si="7280"/>
        <v>0</v>
      </c>
      <c r="AA1440" s="200">
        <f t="shared" si="7280"/>
        <v>0</v>
      </c>
      <c r="AB1440" s="200">
        <f t="shared" si="7280"/>
        <v>0</v>
      </c>
      <c r="AC1440" s="200">
        <f t="shared" si="7280"/>
        <v>0</v>
      </c>
      <c r="AD1440" s="200">
        <f t="shared" si="11"/>
        <v>0</v>
      </c>
      <c r="AE1440" s="200">
        <f t="shared" ref="AE1440:AG1440" si="7281">countif($D1440,"*"&amp;AE$2&amp;"*")</f>
        <v>0</v>
      </c>
      <c r="AF1440" s="200">
        <f t="shared" si="7281"/>
        <v>0</v>
      </c>
      <c r="AG1440" s="200">
        <f t="shared" si="7281"/>
        <v>0</v>
      </c>
      <c r="AH1440" s="171">
        <f t="shared" si="13"/>
        <v>0</v>
      </c>
      <c r="AI1440" s="200">
        <f t="shared" si="14"/>
        <v>1</v>
      </c>
      <c r="AJ1440" s="200">
        <f t="shared" si="6100"/>
        <v>0</v>
      </c>
      <c r="AK1440" s="201">
        <f t="shared" ref="AK1440:AS1440" si="7282">countif($D1440,"*"&amp;AK$2&amp;"*")</f>
        <v>0</v>
      </c>
      <c r="AL1440" s="201">
        <f t="shared" si="7282"/>
        <v>0</v>
      </c>
      <c r="AM1440" s="201">
        <f t="shared" si="7282"/>
        <v>0</v>
      </c>
      <c r="AN1440" s="201">
        <f t="shared" si="7282"/>
        <v>0</v>
      </c>
      <c r="AO1440" s="201">
        <f t="shared" si="7282"/>
        <v>0</v>
      </c>
      <c r="AP1440" s="201">
        <f t="shared" si="7282"/>
        <v>0</v>
      </c>
      <c r="AQ1440" s="201">
        <f t="shared" si="7282"/>
        <v>0</v>
      </c>
      <c r="AR1440" s="200">
        <f t="shared" si="7282"/>
        <v>0</v>
      </c>
      <c r="AS1440" s="200">
        <f t="shared" si="7282"/>
        <v>0</v>
      </c>
      <c r="AT1440" s="173">
        <v>0.0</v>
      </c>
      <c r="AU1440" s="200">
        <f t="shared" si="6217"/>
        <v>0</v>
      </c>
      <c r="AV1440" s="200">
        <f t="shared" ref="AV1440:AX1440" si="7283">countif($D1440,"*"&amp;AV$2&amp;"*")</f>
        <v>0</v>
      </c>
      <c r="AW1440" s="200">
        <f t="shared" si="7283"/>
        <v>0</v>
      </c>
      <c r="AX1440" s="200">
        <f t="shared" si="7283"/>
        <v>1</v>
      </c>
      <c r="AY1440" s="202">
        <v>0.0</v>
      </c>
      <c r="AZ1440" s="200"/>
      <c r="BA1440" s="171" t="str">
        <f t="shared" si="18"/>
        <v>Archival</v>
      </c>
      <c r="BB1440" s="171" t="str">
        <f t="shared" si="19"/>
        <v/>
      </c>
      <c r="BC1440" s="171" t="str">
        <f t="shared" si="20"/>
        <v/>
      </c>
      <c r="BD1440" s="171" t="str">
        <f t="shared" si="21"/>
        <v/>
      </c>
      <c r="BE1440" s="171" t="str">
        <f t="shared" si="22"/>
        <v/>
      </c>
      <c r="BF1440" s="171" t="str">
        <f t="shared" si="23"/>
        <v>Archival</v>
      </c>
    </row>
    <row r="1441">
      <c r="A1441" s="171">
        <f t="array" ref="A1441">XLOOKUP(C1441,FSE!A:A,FSE!C:C,"XXXXX",0,1)</f>
        <v>2022</v>
      </c>
      <c r="B1441" s="213" t="s">
        <v>5676</v>
      </c>
      <c r="C1441" s="214">
        <v>162.0</v>
      </c>
      <c r="D1441" s="215" t="s">
        <v>5116</v>
      </c>
      <c r="E1441" s="197" t="str">
        <f t="array" ref="E1441">XLOOKUP(C1441,FSE!A:A,FSE!Z:Z,"XXXXX",0,1)</f>
        <v>Publicly Available (1)</v>
      </c>
      <c r="F1441" s="213" t="s">
        <v>3394</v>
      </c>
      <c r="G1441" s="163" t="str">
        <f t="array" ref="G1441">IF(B1441="ICSE",IF(COUNTIFS(B:B,B1441,C:C,C1441)=XLOOKUP(C1441,ICSE!A:A,ICSE!AA:AA,"ERROR",0,1),"OK","ERROR"),IF(B1441="FSE",IF(COUNTIFS(B:B,B1441,C:C,C1441)=XLOOKUP(C1441,FSE!A:A,FSE!AA:AA,"ERROR",0,1),"OK","ERROR")))</f>
        <v>OK</v>
      </c>
      <c r="H1441" s="199">
        <f t="shared" ref="H1441:O1441" si="7284">countif($D1441,"*"&amp;H$2&amp;"*")</f>
        <v>0</v>
      </c>
      <c r="I1441" s="200">
        <f t="shared" si="7284"/>
        <v>0</v>
      </c>
      <c r="J1441" s="200">
        <f t="shared" si="7284"/>
        <v>0</v>
      </c>
      <c r="K1441" s="200">
        <f t="shared" si="7284"/>
        <v>0</v>
      </c>
      <c r="L1441" s="200">
        <f t="shared" si="7284"/>
        <v>0</v>
      </c>
      <c r="M1441" s="200">
        <f t="shared" si="7284"/>
        <v>0</v>
      </c>
      <c r="N1441" s="200">
        <f t="shared" si="7284"/>
        <v>0</v>
      </c>
      <c r="O1441" s="200">
        <f t="shared" si="7284"/>
        <v>0</v>
      </c>
      <c r="P1441" s="200">
        <f t="shared" si="9"/>
        <v>1</v>
      </c>
      <c r="Q1441" s="200">
        <f t="shared" ref="Q1441:AC1441" si="7285">countif($D1441,"*"&amp;Q$2&amp;"*")</f>
        <v>0</v>
      </c>
      <c r="R1441" s="200">
        <f t="shared" si="7285"/>
        <v>0</v>
      </c>
      <c r="S1441" s="200">
        <f t="shared" si="7285"/>
        <v>0</v>
      </c>
      <c r="T1441" s="200">
        <f t="shared" si="7285"/>
        <v>0</v>
      </c>
      <c r="U1441" s="200">
        <f t="shared" si="7285"/>
        <v>0</v>
      </c>
      <c r="V1441" s="200">
        <f t="shared" si="7285"/>
        <v>0</v>
      </c>
      <c r="W1441" s="200">
        <f t="shared" si="7285"/>
        <v>0</v>
      </c>
      <c r="X1441" s="200">
        <f t="shared" si="7285"/>
        <v>0</v>
      </c>
      <c r="Y1441" s="200">
        <f t="shared" si="7285"/>
        <v>0</v>
      </c>
      <c r="Z1441" s="200">
        <f t="shared" si="7285"/>
        <v>0</v>
      </c>
      <c r="AA1441" s="200">
        <f t="shared" si="7285"/>
        <v>0</v>
      </c>
      <c r="AB1441" s="200">
        <f t="shared" si="7285"/>
        <v>0</v>
      </c>
      <c r="AC1441" s="200">
        <f t="shared" si="7285"/>
        <v>0</v>
      </c>
      <c r="AD1441" s="200">
        <f t="shared" si="11"/>
        <v>0</v>
      </c>
      <c r="AE1441" s="200">
        <f t="shared" ref="AE1441:AG1441" si="7286">countif($D1441,"*"&amp;AE$2&amp;"*")</f>
        <v>0</v>
      </c>
      <c r="AF1441" s="200">
        <f t="shared" si="7286"/>
        <v>0</v>
      </c>
      <c r="AG1441" s="200">
        <f t="shared" si="7286"/>
        <v>0</v>
      </c>
      <c r="AH1441" s="171">
        <f t="shared" si="13"/>
        <v>0</v>
      </c>
      <c r="AI1441" s="200">
        <f t="shared" si="14"/>
        <v>0</v>
      </c>
      <c r="AJ1441" s="200">
        <f t="shared" si="6100"/>
        <v>0</v>
      </c>
      <c r="AK1441" s="201">
        <f t="shared" ref="AK1441:AS1441" si="7287">countif($D1441,"*"&amp;AK$2&amp;"*")</f>
        <v>0</v>
      </c>
      <c r="AL1441" s="201">
        <f t="shared" si="7287"/>
        <v>0</v>
      </c>
      <c r="AM1441" s="201">
        <f t="shared" si="7287"/>
        <v>0</v>
      </c>
      <c r="AN1441" s="201">
        <f t="shared" si="7287"/>
        <v>0</v>
      </c>
      <c r="AO1441" s="201">
        <f t="shared" si="7287"/>
        <v>0</v>
      </c>
      <c r="AP1441" s="201">
        <f t="shared" si="7287"/>
        <v>0</v>
      </c>
      <c r="AQ1441" s="201">
        <f t="shared" si="7287"/>
        <v>0</v>
      </c>
      <c r="AR1441" s="200">
        <f t="shared" si="7287"/>
        <v>0</v>
      </c>
      <c r="AS1441" s="200">
        <f t="shared" si="7287"/>
        <v>0</v>
      </c>
      <c r="AT1441" s="173">
        <v>0.0</v>
      </c>
      <c r="AU1441" s="200">
        <f t="shared" si="6217"/>
        <v>0</v>
      </c>
      <c r="AV1441" s="200">
        <f t="shared" ref="AV1441:AX1441" si="7288">countif($D1441,"*"&amp;AV$2&amp;"*")</f>
        <v>1</v>
      </c>
      <c r="AW1441" s="200">
        <f t="shared" si="7288"/>
        <v>0</v>
      </c>
      <c r="AX1441" s="200">
        <f t="shared" si="7288"/>
        <v>0</v>
      </c>
      <c r="AY1441" s="202">
        <v>0.0</v>
      </c>
      <c r="AZ1441" s="200"/>
      <c r="BA1441" s="171" t="str">
        <f t="shared" si="18"/>
        <v/>
      </c>
      <c r="BB1441" s="171" t="str">
        <f t="shared" si="19"/>
        <v>Code</v>
      </c>
      <c r="BC1441" s="171" t="str">
        <f t="shared" si="20"/>
        <v/>
      </c>
      <c r="BD1441" s="171" t="str">
        <f t="shared" si="21"/>
        <v/>
      </c>
      <c r="BE1441" s="171" t="str">
        <f t="shared" si="22"/>
        <v/>
      </c>
      <c r="BF1441" s="171" t="str">
        <f t="shared" si="23"/>
        <v>Code</v>
      </c>
    </row>
    <row r="1442">
      <c r="A1442" s="171">
        <f t="array" ref="A1442">XLOOKUP(C1442,FSE!A:A,FSE!C:C,"XXXXX",0,1)</f>
        <v>2022</v>
      </c>
      <c r="B1442" s="213" t="s">
        <v>5676</v>
      </c>
      <c r="C1442" s="214">
        <v>163.0</v>
      </c>
      <c r="D1442" s="215" t="s">
        <v>5118</v>
      </c>
      <c r="E1442" s="197" t="str">
        <f t="array" ref="E1442">XLOOKUP(C1442,FSE!A:A,FSE!Z:Z,"XXXXX",0,1)</f>
        <v>Publicly Available (1)</v>
      </c>
      <c r="F1442" s="213" t="s">
        <v>3394</v>
      </c>
      <c r="G1442" s="163" t="str">
        <f t="array" ref="G1442">IF(B1442="ICSE",IF(COUNTIFS(B:B,B1442,C:C,C1442)=XLOOKUP(C1442,ICSE!A:A,ICSE!AA:AA,"ERROR",0,1),"OK","ERROR"),IF(B1442="FSE",IF(COUNTIFS(B:B,B1442,C:C,C1442)=XLOOKUP(C1442,FSE!A:A,FSE!AA:AA,"ERROR",0,1),"OK","ERROR")))</f>
        <v>OK</v>
      </c>
      <c r="H1442" s="199">
        <f t="shared" ref="H1442:O1442" si="7289">countif($D1442,"*"&amp;H$2&amp;"*")</f>
        <v>0</v>
      </c>
      <c r="I1442" s="200">
        <f t="shared" si="7289"/>
        <v>0</v>
      </c>
      <c r="J1442" s="200">
        <f t="shared" si="7289"/>
        <v>0</v>
      </c>
      <c r="K1442" s="200">
        <f t="shared" si="7289"/>
        <v>0</v>
      </c>
      <c r="L1442" s="200">
        <f t="shared" si="7289"/>
        <v>0</v>
      </c>
      <c r="M1442" s="200">
        <f t="shared" si="7289"/>
        <v>0</v>
      </c>
      <c r="N1442" s="200">
        <f t="shared" si="7289"/>
        <v>0</v>
      </c>
      <c r="O1442" s="200">
        <f t="shared" si="7289"/>
        <v>0</v>
      </c>
      <c r="P1442" s="200">
        <f t="shared" si="9"/>
        <v>1</v>
      </c>
      <c r="Q1442" s="200">
        <f t="shared" ref="Q1442:AC1442" si="7290">countif($D1442,"*"&amp;Q$2&amp;"*")</f>
        <v>0</v>
      </c>
      <c r="R1442" s="200">
        <f t="shared" si="7290"/>
        <v>0</v>
      </c>
      <c r="S1442" s="200">
        <f t="shared" si="7290"/>
        <v>0</v>
      </c>
      <c r="T1442" s="200">
        <f t="shared" si="7290"/>
        <v>0</v>
      </c>
      <c r="U1442" s="200">
        <f t="shared" si="7290"/>
        <v>0</v>
      </c>
      <c r="V1442" s="200">
        <f t="shared" si="7290"/>
        <v>0</v>
      </c>
      <c r="W1442" s="200">
        <f t="shared" si="7290"/>
        <v>0</v>
      </c>
      <c r="X1442" s="200">
        <f t="shared" si="7290"/>
        <v>0</v>
      </c>
      <c r="Y1442" s="200">
        <f t="shared" si="7290"/>
        <v>0</v>
      </c>
      <c r="Z1442" s="200">
        <f t="shared" si="7290"/>
        <v>0</v>
      </c>
      <c r="AA1442" s="200">
        <f t="shared" si="7290"/>
        <v>0</v>
      </c>
      <c r="AB1442" s="200">
        <f t="shared" si="7290"/>
        <v>0</v>
      </c>
      <c r="AC1442" s="200">
        <f t="shared" si="7290"/>
        <v>0</v>
      </c>
      <c r="AD1442" s="200">
        <f t="shared" si="11"/>
        <v>0</v>
      </c>
      <c r="AE1442" s="200">
        <f t="shared" ref="AE1442:AG1442" si="7291">countif($D1442,"*"&amp;AE$2&amp;"*")</f>
        <v>0</v>
      </c>
      <c r="AF1442" s="200">
        <f t="shared" si="7291"/>
        <v>0</v>
      </c>
      <c r="AG1442" s="200">
        <f t="shared" si="7291"/>
        <v>0</v>
      </c>
      <c r="AH1442" s="171">
        <f t="shared" si="13"/>
        <v>0</v>
      </c>
      <c r="AI1442" s="200">
        <f t="shared" si="14"/>
        <v>0</v>
      </c>
      <c r="AJ1442" s="200">
        <f t="shared" si="6100"/>
        <v>0</v>
      </c>
      <c r="AK1442" s="201">
        <f t="shared" ref="AK1442:AS1442" si="7292">countif($D1442,"*"&amp;AK$2&amp;"*")</f>
        <v>0</v>
      </c>
      <c r="AL1442" s="201">
        <f t="shared" si="7292"/>
        <v>0</v>
      </c>
      <c r="AM1442" s="201">
        <f t="shared" si="7292"/>
        <v>0</v>
      </c>
      <c r="AN1442" s="201">
        <f t="shared" si="7292"/>
        <v>0</v>
      </c>
      <c r="AO1442" s="201">
        <f t="shared" si="7292"/>
        <v>0</v>
      </c>
      <c r="AP1442" s="201">
        <f t="shared" si="7292"/>
        <v>0</v>
      </c>
      <c r="AQ1442" s="201">
        <f t="shared" si="7292"/>
        <v>0</v>
      </c>
      <c r="AR1442" s="200">
        <f t="shared" si="7292"/>
        <v>0</v>
      </c>
      <c r="AS1442" s="200">
        <f t="shared" si="7292"/>
        <v>0</v>
      </c>
      <c r="AT1442" s="173">
        <v>0.0</v>
      </c>
      <c r="AU1442" s="200">
        <f t="shared" si="6217"/>
        <v>0</v>
      </c>
      <c r="AV1442" s="200">
        <f t="shared" ref="AV1442:AX1442" si="7293">countif($D1442,"*"&amp;AV$2&amp;"*")</f>
        <v>1</v>
      </c>
      <c r="AW1442" s="200">
        <f t="shared" si="7293"/>
        <v>0</v>
      </c>
      <c r="AX1442" s="200">
        <f t="shared" si="7293"/>
        <v>0</v>
      </c>
      <c r="AY1442" s="202">
        <v>0.0</v>
      </c>
      <c r="AZ1442" s="200"/>
      <c r="BA1442" s="171" t="str">
        <f t="shared" si="18"/>
        <v/>
      </c>
      <c r="BB1442" s="171" t="str">
        <f t="shared" si="19"/>
        <v>Code</v>
      </c>
      <c r="BC1442" s="171" t="str">
        <f t="shared" si="20"/>
        <v/>
      </c>
      <c r="BD1442" s="171" t="str">
        <f t="shared" si="21"/>
        <v/>
      </c>
      <c r="BE1442" s="171" t="str">
        <f t="shared" si="22"/>
        <v/>
      </c>
      <c r="BF1442" s="171" t="str">
        <f t="shared" si="23"/>
        <v>Code</v>
      </c>
    </row>
    <row r="1443">
      <c r="A1443" s="171">
        <f t="array" ref="A1443">XLOOKUP(C1443,FSE!A:A,FSE!C:C,"XXXXX",0,1)</f>
        <v>2022</v>
      </c>
      <c r="B1443" s="213" t="s">
        <v>5676</v>
      </c>
      <c r="C1443" s="214">
        <v>166.0</v>
      </c>
      <c r="D1443" s="215" t="s">
        <v>6271</v>
      </c>
      <c r="E1443" s="197" t="str">
        <f t="array" ref="E1443">XLOOKUP(C1443,FSE!A:A,FSE!Z:Z,"XXXXX",0,1)</f>
        <v>Publicly Available (2)</v>
      </c>
      <c r="F1443" s="213" t="s">
        <v>3394</v>
      </c>
      <c r="G1443" s="163" t="str">
        <f t="array" ref="G1443">IF(B1443="ICSE",IF(COUNTIFS(B:B,B1443,C:C,C1443)=XLOOKUP(C1443,ICSE!A:A,ICSE!AA:AA,"ERROR",0,1),"OK","ERROR"),IF(B1443="FSE",IF(COUNTIFS(B:B,B1443,C:C,C1443)=XLOOKUP(C1443,FSE!A:A,FSE!AA:AA,"ERROR",0,1),"OK","ERROR")))</f>
        <v>OK</v>
      </c>
      <c r="H1443" s="199">
        <f t="shared" ref="H1443:O1443" si="7294">countif($D1443,"*"&amp;H$2&amp;"*")</f>
        <v>1</v>
      </c>
      <c r="I1443" s="200">
        <f t="shared" si="7294"/>
        <v>0</v>
      </c>
      <c r="J1443" s="200">
        <f t="shared" si="7294"/>
        <v>0</v>
      </c>
      <c r="K1443" s="200">
        <f t="shared" si="7294"/>
        <v>0</v>
      </c>
      <c r="L1443" s="200">
        <f t="shared" si="7294"/>
        <v>0</v>
      </c>
      <c r="M1443" s="200">
        <f t="shared" si="7294"/>
        <v>0</v>
      </c>
      <c r="N1443" s="200">
        <f t="shared" si="7294"/>
        <v>0</v>
      </c>
      <c r="O1443" s="200">
        <f t="shared" si="7294"/>
        <v>0</v>
      </c>
      <c r="P1443" s="200">
        <f t="shared" si="9"/>
        <v>0</v>
      </c>
      <c r="Q1443" s="200">
        <f t="shared" ref="Q1443:AC1443" si="7295">countif($D1443,"*"&amp;Q$2&amp;"*")</f>
        <v>0</v>
      </c>
      <c r="R1443" s="200">
        <f t="shared" si="7295"/>
        <v>0</v>
      </c>
      <c r="S1443" s="200">
        <f t="shared" si="7295"/>
        <v>0</v>
      </c>
      <c r="T1443" s="200">
        <f t="shared" si="7295"/>
        <v>0</v>
      </c>
      <c r="U1443" s="200">
        <f t="shared" si="7295"/>
        <v>0</v>
      </c>
      <c r="V1443" s="200">
        <f t="shared" si="7295"/>
        <v>0</v>
      </c>
      <c r="W1443" s="200">
        <f t="shared" si="7295"/>
        <v>0</v>
      </c>
      <c r="X1443" s="200">
        <f t="shared" si="7295"/>
        <v>0</v>
      </c>
      <c r="Y1443" s="200">
        <f t="shared" si="7295"/>
        <v>0</v>
      </c>
      <c r="Z1443" s="200">
        <f t="shared" si="7295"/>
        <v>0</v>
      </c>
      <c r="AA1443" s="200">
        <f t="shared" si="7295"/>
        <v>0</v>
      </c>
      <c r="AB1443" s="200">
        <f t="shared" si="7295"/>
        <v>0</v>
      </c>
      <c r="AC1443" s="200">
        <f t="shared" si="7295"/>
        <v>0</v>
      </c>
      <c r="AD1443" s="200">
        <f t="shared" si="11"/>
        <v>0</v>
      </c>
      <c r="AE1443" s="200">
        <f t="shared" ref="AE1443:AG1443" si="7296">countif($D1443,"*"&amp;AE$2&amp;"*")</f>
        <v>0</v>
      </c>
      <c r="AF1443" s="200">
        <f t="shared" si="7296"/>
        <v>0</v>
      </c>
      <c r="AG1443" s="200">
        <f t="shared" si="7296"/>
        <v>0</v>
      </c>
      <c r="AH1443" s="171">
        <f t="shared" si="13"/>
        <v>0</v>
      </c>
      <c r="AI1443" s="200">
        <f t="shared" si="14"/>
        <v>1</v>
      </c>
      <c r="AJ1443" s="200">
        <f t="shared" si="6100"/>
        <v>0</v>
      </c>
      <c r="AK1443" s="201">
        <f t="shared" ref="AK1443:AS1443" si="7297">countif($D1443,"*"&amp;AK$2&amp;"*")</f>
        <v>0</v>
      </c>
      <c r="AL1443" s="201">
        <f t="shared" si="7297"/>
        <v>0</v>
      </c>
      <c r="AM1443" s="201">
        <f t="shared" si="7297"/>
        <v>0</v>
      </c>
      <c r="AN1443" s="201">
        <f t="shared" si="7297"/>
        <v>0</v>
      </c>
      <c r="AO1443" s="201">
        <f t="shared" si="7297"/>
        <v>0</v>
      </c>
      <c r="AP1443" s="201">
        <f t="shared" si="7297"/>
        <v>0</v>
      </c>
      <c r="AQ1443" s="201">
        <f t="shared" si="7297"/>
        <v>0</v>
      </c>
      <c r="AR1443" s="200">
        <f t="shared" si="7297"/>
        <v>0</v>
      </c>
      <c r="AS1443" s="200">
        <f t="shared" si="7297"/>
        <v>0</v>
      </c>
      <c r="AT1443" s="173">
        <v>0.0</v>
      </c>
      <c r="AU1443" s="200">
        <f t="shared" si="6217"/>
        <v>0</v>
      </c>
      <c r="AV1443" s="200">
        <f t="shared" ref="AV1443:AX1443" si="7298">countif($D1443,"*"&amp;AV$2&amp;"*")</f>
        <v>0</v>
      </c>
      <c r="AW1443" s="200">
        <f t="shared" si="7298"/>
        <v>0</v>
      </c>
      <c r="AX1443" s="200">
        <f t="shared" si="7298"/>
        <v>1</v>
      </c>
      <c r="AY1443" s="202">
        <v>0.0</v>
      </c>
      <c r="AZ1443" s="200"/>
      <c r="BA1443" s="171" t="str">
        <f t="shared" si="18"/>
        <v>Archival</v>
      </c>
      <c r="BB1443" s="171" t="str">
        <f t="shared" si="19"/>
        <v/>
      </c>
      <c r="BC1443" s="171" t="str">
        <f t="shared" si="20"/>
        <v/>
      </c>
      <c r="BD1443" s="171" t="str">
        <f t="shared" si="21"/>
        <v/>
      </c>
      <c r="BE1443" s="171" t="str">
        <f t="shared" si="22"/>
        <v/>
      </c>
      <c r="BF1443" s="171" t="str">
        <f t="shared" si="23"/>
        <v>Archival</v>
      </c>
    </row>
    <row r="1444">
      <c r="A1444" s="171">
        <f t="array" ref="A1444">XLOOKUP(C1444,FSE!A:A,FSE!C:C,"XXXXX",0,1)</f>
        <v>2022</v>
      </c>
      <c r="B1444" s="213" t="s">
        <v>5676</v>
      </c>
      <c r="C1444" s="214">
        <v>166.0</v>
      </c>
      <c r="D1444" s="215" t="s">
        <v>6272</v>
      </c>
      <c r="E1444" s="197" t="str">
        <f t="array" ref="E1444">XLOOKUP(C1444,FSE!A:A,FSE!Z:Z,"XXXXX",0,1)</f>
        <v>Publicly Available (2)</v>
      </c>
      <c r="F1444" s="213" t="s">
        <v>3394</v>
      </c>
      <c r="G1444" s="163" t="str">
        <f t="array" ref="G1444">IF(B1444="ICSE",IF(COUNTIFS(B:B,B1444,C:C,C1444)=XLOOKUP(C1444,ICSE!A:A,ICSE!AA:AA,"ERROR",0,1),"OK","ERROR"),IF(B1444="FSE",IF(COUNTIFS(B:B,B1444,C:C,C1444)=XLOOKUP(C1444,FSE!A:A,FSE!AA:AA,"ERROR",0,1),"OK","ERROR")))</f>
        <v>OK</v>
      </c>
      <c r="H1444" s="199">
        <f t="shared" ref="H1444:O1444" si="7299">countif($D1444,"*"&amp;H$2&amp;"*")</f>
        <v>0</v>
      </c>
      <c r="I1444" s="200">
        <f t="shared" si="7299"/>
        <v>1</v>
      </c>
      <c r="J1444" s="200">
        <f t="shared" si="7299"/>
        <v>0</v>
      </c>
      <c r="K1444" s="200">
        <f t="shared" si="7299"/>
        <v>0</v>
      </c>
      <c r="L1444" s="200">
        <f t="shared" si="7299"/>
        <v>0</v>
      </c>
      <c r="M1444" s="200">
        <f t="shared" si="7299"/>
        <v>0</v>
      </c>
      <c r="N1444" s="200">
        <f t="shared" si="7299"/>
        <v>0</v>
      </c>
      <c r="O1444" s="200">
        <f t="shared" si="7299"/>
        <v>0</v>
      </c>
      <c r="P1444" s="200">
        <f t="shared" si="9"/>
        <v>0</v>
      </c>
      <c r="Q1444" s="200">
        <f t="shared" ref="Q1444:AC1444" si="7300">countif($D1444,"*"&amp;Q$2&amp;"*")</f>
        <v>0</v>
      </c>
      <c r="R1444" s="200">
        <f t="shared" si="7300"/>
        <v>0</v>
      </c>
      <c r="S1444" s="200">
        <f t="shared" si="7300"/>
        <v>0</v>
      </c>
      <c r="T1444" s="200">
        <f t="shared" si="7300"/>
        <v>0</v>
      </c>
      <c r="U1444" s="200">
        <f t="shared" si="7300"/>
        <v>0</v>
      </c>
      <c r="V1444" s="200">
        <f t="shared" si="7300"/>
        <v>0</v>
      </c>
      <c r="W1444" s="200">
        <f t="shared" si="7300"/>
        <v>0</v>
      </c>
      <c r="X1444" s="200">
        <f t="shared" si="7300"/>
        <v>0</v>
      </c>
      <c r="Y1444" s="200">
        <f t="shared" si="7300"/>
        <v>0</v>
      </c>
      <c r="Z1444" s="200">
        <f t="shared" si="7300"/>
        <v>0</v>
      </c>
      <c r="AA1444" s="200">
        <f t="shared" si="7300"/>
        <v>0</v>
      </c>
      <c r="AB1444" s="200">
        <f t="shared" si="7300"/>
        <v>0</v>
      </c>
      <c r="AC1444" s="200">
        <f t="shared" si="7300"/>
        <v>0</v>
      </c>
      <c r="AD1444" s="200">
        <f t="shared" si="11"/>
        <v>0</v>
      </c>
      <c r="AE1444" s="200">
        <f t="shared" ref="AE1444:AG1444" si="7301">countif($D1444,"*"&amp;AE$2&amp;"*")</f>
        <v>0</v>
      </c>
      <c r="AF1444" s="200">
        <f t="shared" si="7301"/>
        <v>0</v>
      </c>
      <c r="AG1444" s="200">
        <f t="shared" si="7301"/>
        <v>0</v>
      </c>
      <c r="AH1444" s="171">
        <f t="shared" si="13"/>
        <v>0</v>
      </c>
      <c r="AI1444" s="200">
        <f t="shared" si="14"/>
        <v>1</v>
      </c>
      <c r="AJ1444" s="200">
        <f t="shared" si="6100"/>
        <v>0</v>
      </c>
      <c r="AK1444" s="201">
        <f t="shared" ref="AK1444:AS1444" si="7302">countif($D1444,"*"&amp;AK$2&amp;"*")</f>
        <v>0</v>
      </c>
      <c r="AL1444" s="201">
        <f t="shared" si="7302"/>
        <v>0</v>
      </c>
      <c r="AM1444" s="201">
        <f t="shared" si="7302"/>
        <v>0</v>
      </c>
      <c r="AN1444" s="201">
        <f t="shared" si="7302"/>
        <v>0</v>
      </c>
      <c r="AO1444" s="201">
        <f t="shared" si="7302"/>
        <v>0</v>
      </c>
      <c r="AP1444" s="201">
        <f t="shared" si="7302"/>
        <v>0</v>
      </c>
      <c r="AQ1444" s="201">
        <f t="shared" si="7302"/>
        <v>0</v>
      </c>
      <c r="AR1444" s="200">
        <f t="shared" si="7302"/>
        <v>0</v>
      </c>
      <c r="AS1444" s="200">
        <f t="shared" si="7302"/>
        <v>0</v>
      </c>
      <c r="AT1444" s="173">
        <v>0.0</v>
      </c>
      <c r="AU1444" s="200">
        <f t="shared" si="6217"/>
        <v>0</v>
      </c>
      <c r="AV1444" s="200">
        <f t="shared" ref="AV1444:AX1444" si="7303">countif($D1444,"*"&amp;AV$2&amp;"*")</f>
        <v>0</v>
      </c>
      <c r="AW1444" s="200">
        <f t="shared" si="7303"/>
        <v>0</v>
      </c>
      <c r="AX1444" s="200">
        <f t="shared" si="7303"/>
        <v>1</v>
      </c>
      <c r="AY1444" s="202">
        <v>0.0</v>
      </c>
      <c r="AZ1444" s="200"/>
      <c r="BA1444" s="171" t="str">
        <f t="shared" si="18"/>
        <v>Archival</v>
      </c>
      <c r="BB1444" s="171" t="str">
        <f t="shared" si="19"/>
        <v/>
      </c>
      <c r="BC1444" s="171" t="str">
        <f t="shared" si="20"/>
        <v/>
      </c>
      <c r="BD1444" s="171" t="str">
        <f t="shared" si="21"/>
        <v/>
      </c>
      <c r="BE1444" s="171" t="str">
        <f t="shared" si="22"/>
        <v/>
      </c>
      <c r="BF1444" s="171" t="str">
        <f t="shared" si="23"/>
        <v>Archival</v>
      </c>
    </row>
    <row r="1445">
      <c r="A1445" s="171">
        <f t="array" ref="A1445">XLOOKUP(C1445,FSE!A:A,FSE!C:C,"XXXXX",0,1)</f>
        <v>2022</v>
      </c>
      <c r="B1445" s="213" t="s">
        <v>5676</v>
      </c>
      <c r="C1445" s="214">
        <v>167.0</v>
      </c>
      <c r="D1445" s="215" t="s">
        <v>5125</v>
      </c>
      <c r="E1445" s="197" t="str">
        <f t="array" ref="E1445">XLOOKUP(C1445,FSE!A:A,FSE!Z:Z,"XXXXX",0,1)</f>
        <v>Publicly Available (1)</v>
      </c>
      <c r="F1445" s="213" t="s">
        <v>3394</v>
      </c>
      <c r="G1445" s="163" t="str">
        <f t="array" ref="G1445">IF(B1445="ICSE",IF(COUNTIFS(B:B,B1445,C:C,C1445)=XLOOKUP(C1445,ICSE!A:A,ICSE!AA:AA,"ERROR",0,1),"OK","ERROR"),IF(B1445="FSE",IF(COUNTIFS(B:B,B1445,C:C,C1445)=XLOOKUP(C1445,FSE!A:A,FSE!AA:AA,"ERROR",0,1),"OK","ERROR")))</f>
        <v>OK</v>
      </c>
      <c r="H1445" s="199">
        <f t="shared" ref="H1445:O1445" si="7304">countif($D1445,"*"&amp;H$2&amp;"*")</f>
        <v>1</v>
      </c>
      <c r="I1445" s="200">
        <f t="shared" si="7304"/>
        <v>0</v>
      </c>
      <c r="J1445" s="200">
        <f t="shared" si="7304"/>
        <v>0</v>
      </c>
      <c r="K1445" s="200">
        <f t="shared" si="7304"/>
        <v>0</v>
      </c>
      <c r="L1445" s="200">
        <f t="shared" si="7304"/>
        <v>0</v>
      </c>
      <c r="M1445" s="200">
        <f t="shared" si="7304"/>
        <v>0</v>
      </c>
      <c r="N1445" s="200">
        <f t="shared" si="7304"/>
        <v>0</v>
      </c>
      <c r="O1445" s="200">
        <f t="shared" si="7304"/>
        <v>0</v>
      </c>
      <c r="P1445" s="200">
        <f t="shared" si="9"/>
        <v>0</v>
      </c>
      <c r="Q1445" s="200">
        <f t="shared" ref="Q1445:AC1445" si="7305">countif($D1445,"*"&amp;Q$2&amp;"*")</f>
        <v>0</v>
      </c>
      <c r="R1445" s="200">
        <f t="shared" si="7305"/>
        <v>0</v>
      </c>
      <c r="S1445" s="200">
        <f t="shared" si="7305"/>
        <v>0</v>
      </c>
      <c r="T1445" s="200">
        <f t="shared" si="7305"/>
        <v>0</v>
      </c>
      <c r="U1445" s="200">
        <f t="shared" si="7305"/>
        <v>0</v>
      </c>
      <c r="V1445" s="200">
        <f t="shared" si="7305"/>
        <v>0</v>
      </c>
      <c r="W1445" s="200">
        <f t="shared" si="7305"/>
        <v>0</v>
      </c>
      <c r="X1445" s="200">
        <f t="shared" si="7305"/>
        <v>0</v>
      </c>
      <c r="Y1445" s="200">
        <f t="shared" si="7305"/>
        <v>0</v>
      </c>
      <c r="Z1445" s="200">
        <f t="shared" si="7305"/>
        <v>0</v>
      </c>
      <c r="AA1445" s="200">
        <f t="shared" si="7305"/>
        <v>0</v>
      </c>
      <c r="AB1445" s="200">
        <f t="shared" si="7305"/>
        <v>0</v>
      </c>
      <c r="AC1445" s="200">
        <f t="shared" si="7305"/>
        <v>0</v>
      </c>
      <c r="AD1445" s="200">
        <f t="shared" si="11"/>
        <v>0</v>
      </c>
      <c r="AE1445" s="200">
        <f t="shared" ref="AE1445:AG1445" si="7306">countif($D1445,"*"&amp;AE$2&amp;"*")</f>
        <v>0</v>
      </c>
      <c r="AF1445" s="200">
        <f t="shared" si="7306"/>
        <v>0</v>
      </c>
      <c r="AG1445" s="200">
        <f t="shared" si="7306"/>
        <v>0</v>
      </c>
      <c r="AH1445" s="171">
        <f t="shared" si="13"/>
        <v>0</v>
      </c>
      <c r="AI1445" s="200">
        <f t="shared" si="14"/>
        <v>1</v>
      </c>
      <c r="AJ1445" s="200">
        <f t="shared" si="6100"/>
        <v>0</v>
      </c>
      <c r="AK1445" s="201">
        <f t="shared" ref="AK1445:AS1445" si="7307">countif($D1445,"*"&amp;AK$2&amp;"*")</f>
        <v>0</v>
      </c>
      <c r="AL1445" s="201">
        <f t="shared" si="7307"/>
        <v>0</v>
      </c>
      <c r="AM1445" s="201">
        <f t="shared" si="7307"/>
        <v>0</v>
      </c>
      <c r="AN1445" s="201">
        <f t="shared" si="7307"/>
        <v>0</v>
      </c>
      <c r="AO1445" s="201">
        <f t="shared" si="7307"/>
        <v>0</v>
      </c>
      <c r="AP1445" s="201">
        <f t="shared" si="7307"/>
        <v>0</v>
      </c>
      <c r="AQ1445" s="201">
        <f t="shared" si="7307"/>
        <v>0</v>
      </c>
      <c r="AR1445" s="200">
        <f t="shared" si="7307"/>
        <v>0</v>
      </c>
      <c r="AS1445" s="200">
        <f t="shared" si="7307"/>
        <v>0</v>
      </c>
      <c r="AT1445" s="173">
        <v>0.0</v>
      </c>
      <c r="AU1445" s="200">
        <f t="shared" si="6217"/>
        <v>0</v>
      </c>
      <c r="AV1445" s="200">
        <f t="shared" ref="AV1445:AX1445" si="7308">countif($D1445,"*"&amp;AV$2&amp;"*")</f>
        <v>0</v>
      </c>
      <c r="AW1445" s="200">
        <f t="shared" si="7308"/>
        <v>0</v>
      </c>
      <c r="AX1445" s="200">
        <f t="shared" si="7308"/>
        <v>0</v>
      </c>
      <c r="AY1445" s="204">
        <v>1.0</v>
      </c>
      <c r="AZ1445" s="200"/>
      <c r="BA1445" s="171" t="str">
        <f t="shared" si="18"/>
        <v>Archival</v>
      </c>
      <c r="BB1445" s="171" t="str">
        <f t="shared" si="19"/>
        <v/>
      </c>
      <c r="BC1445" s="171" t="str">
        <f t="shared" si="20"/>
        <v/>
      </c>
      <c r="BD1445" s="171" t="str">
        <f t="shared" si="21"/>
        <v/>
      </c>
      <c r="BE1445" s="171" t="str">
        <f t="shared" si="22"/>
        <v/>
      </c>
      <c r="BF1445" s="171" t="str">
        <f t="shared" si="23"/>
        <v>Archival</v>
      </c>
    </row>
    <row r="1446">
      <c r="A1446" s="171">
        <f t="array" ref="A1446">XLOOKUP(C1446,FSE!A:A,FSE!C:C,"XXXXX",0,1)</f>
        <v>2022</v>
      </c>
      <c r="B1446" s="213" t="s">
        <v>5676</v>
      </c>
      <c r="C1446" s="214">
        <v>168.0</v>
      </c>
      <c r="D1446" s="215" t="s">
        <v>5128</v>
      </c>
      <c r="E1446" s="197" t="str">
        <f t="array" ref="E1446">XLOOKUP(C1446,FSE!A:A,FSE!Z:Z,"XXXXX",0,1)</f>
        <v>Publicly Available (1)</v>
      </c>
      <c r="F1446" s="213" t="s">
        <v>3394</v>
      </c>
      <c r="G1446" s="163" t="str">
        <f t="array" ref="G1446">IF(B1446="ICSE",IF(COUNTIFS(B:B,B1446,C:C,C1446)=XLOOKUP(C1446,ICSE!A:A,ICSE!AA:AA,"ERROR",0,1),"OK","ERROR"),IF(B1446="FSE",IF(COUNTIFS(B:B,B1446,C:C,C1446)=XLOOKUP(C1446,FSE!A:A,FSE!AA:AA,"ERROR",0,1),"OK","ERROR")))</f>
        <v>OK</v>
      </c>
      <c r="H1446" s="199">
        <f t="shared" ref="H1446:O1446" si="7309">countif($D1446,"*"&amp;H$2&amp;"*")</f>
        <v>0</v>
      </c>
      <c r="I1446" s="200">
        <f t="shared" si="7309"/>
        <v>0</v>
      </c>
      <c r="J1446" s="200">
        <f t="shared" si="7309"/>
        <v>0</v>
      </c>
      <c r="K1446" s="200">
        <f t="shared" si="7309"/>
        <v>0</v>
      </c>
      <c r="L1446" s="200">
        <f t="shared" si="7309"/>
        <v>0</v>
      </c>
      <c r="M1446" s="200">
        <f t="shared" si="7309"/>
        <v>0</v>
      </c>
      <c r="N1446" s="200">
        <f t="shared" si="7309"/>
        <v>0</v>
      </c>
      <c r="O1446" s="200">
        <f t="shared" si="7309"/>
        <v>0</v>
      </c>
      <c r="P1446" s="200">
        <f t="shared" si="9"/>
        <v>1</v>
      </c>
      <c r="Q1446" s="200">
        <f t="shared" ref="Q1446:AC1446" si="7310">countif($D1446,"*"&amp;Q$2&amp;"*")</f>
        <v>0</v>
      </c>
      <c r="R1446" s="200">
        <f t="shared" si="7310"/>
        <v>0</v>
      </c>
      <c r="S1446" s="200">
        <f t="shared" si="7310"/>
        <v>0</v>
      </c>
      <c r="T1446" s="200">
        <f t="shared" si="7310"/>
        <v>0</v>
      </c>
      <c r="U1446" s="200">
        <f t="shared" si="7310"/>
        <v>0</v>
      </c>
      <c r="V1446" s="200">
        <f t="shared" si="7310"/>
        <v>0</v>
      </c>
      <c r="W1446" s="200">
        <f t="shared" si="7310"/>
        <v>0</v>
      </c>
      <c r="X1446" s="200">
        <f t="shared" si="7310"/>
        <v>0</v>
      </c>
      <c r="Y1446" s="200">
        <f t="shared" si="7310"/>
        <v>0</v>
      </c>
      <c r="Z1446" s="200">
        <f t="shared" si="7310"/>
        <v>0</v>
      </c>
      <c r="AA1446" s="200">
        <f t="shared" si="7310"/>
        <v>0</v>
      </c>
      <c r="AB1446" s="200">
        <f t="shared" si="7310"/>
        <v>0</v>
      </c>
      <c r="AC1446" s="200">
        <f t="shared" si="7310"/>
        <v>0</v>
      </c>
      <c r="AD1446" s="200">
        <f t="shared" si="11"/>
        <v>0</v>
      </c>
      <c r="AE1446" s="200">
        <f t="shared" ref="AE1446:AG1446" si="7311">countif($D1446,"*"&amp;AE$2&amp;"*")</f>
        <v>0</v>
      </c>
      <c r="AF1446" s="200">
        <f t="shared" si="7311"/>
        <v>0</v>
      </c>
      <c r="AG1446" s="200">
        <f t="shared" si="7311"/>
        <v>0</v>
      </c>
      <c r="AH1446" s="171">
        <f t="shared" si="13"/>
        <v>0</v>
      </c>
      <c r="AI1446" s="200">
        <f t="shared" si="14"/>
        <v>0</v>
      </c>
      <c r="AJ1446" s="200">
        <f t="shared" si="6100"/>
        <v>0</v>
      </c>
      <c r="AK1446" s="201">
        <f t="shared" ref="AK1446:AS1446" si="7312">countif($D1446,"*"&amp;AK$2&amp;"*")</f>
        <v>0</v>
      </c>
      <c r="AL1446" s="201">
        <f t="shared" si="7312"/>
        <v>0</v>
      </c>
      <c r="AM1446" s="201">
        <f t="shared" si="7312"/>
        <v>0</v>
      </c>
      <c r="AN1446" s="201">
        <f t="shared" si="7312"/>
        <v>0</v>
      </c>
      <c r="AO1446" s="201">
        <f t="shared" si="7312"/>
        <v>0</v>
      </c>
      <c r="AP1446" s="201">
        <f t="shared" si="7312"/>
        <v>0</v>
      </c>
      <c r="AQ1446" s="201">
        <f t="shared" si="7312"/>
        <v>0</v>
      </c>
      <c r="AR1446" s="200">
        <f t="shared" si="7312"/>
        <v>0</v>
      </c>
      <c r="AS1446" s="200">
        <f t="shared" si="7312"/>
        <v>0</v>
      </c>
      <c r="AT1446" s="173">
        <v>0.0</v>
      </c>
      <c r="AU1446" s="200">
        <f t="shared" si="6217"/>
        <v>0</v>
      </c>
      <c r="AV1446" s="200">
        <f t="shared" ref="AV1446:AX1446" si="7313">countif($D1446,"*"&amp;AV$2&amp;"*")</f>
        <v>1</v>
      </c>
      <c r="AW1446" s="200">
        <f t="shared" si="7313"/>
        <v>0</v>
      </c>
      <c r="AX1446" s="200">
        <f t="shared" si="7313"/>
        <v>0</v>
      </c>
      <c r="AY1446" s="202">
        <v>0.0</v>
      </c>
      <c r="AZ1446" s="200"/>
      <c r="BA1446" s="171" t="str">
        <f t="shared" si="18"/>
        <v/>
      </c>
      <c r="BB1446" s="171" t="str">
        <f t="shared" si="19"/>
        <v>Code</v>
      </c>
      <c r="BC1446" s="171" t="str">
        <f t="shared" si="20"/>
        <v/>
      </c>
      <c r="BD1446" s="171" t="str">
        <f t="shared" si="21"/>
        <v/>
      </c>
      <c r="BE1446" s="171" t="str">
        <f t="shared" si="22"/>
        <v/>
      </c>
      <c r="BF1446" s="171" t="str">
        <f t="shared" si="23"/>
        <v>Code</v>
      </c>
    </row>
    <row r="1447">
      <c r="A1447" s="171">
        <f t="array" ref="A1447">XLOOKUP(C1447,FSE!A:A,FSE!C:C,"XXXXX",0,1)</f>
        <v>2022</v>
      </c>
      <c r="B1447" s="213" t="s">
        <v>5676</v>
      </c>
      <c r="C1447" s="214">
        <v>169.0</v>
      </c>
      <c r="D1447" s="215" t="s">
        <v>6273</v>
      </c>
      <c r="E1447" s="197" t="str">
        <f t="array" ref="E1447">XLOOKUP(C1447,FSE!A:A,FSE!Z:Z,"XXXXX",0,1)</f>
        <v>Publicly Available (2)</v>
      </c>
      <c r="F1447" s="213" t="s">
        <v>3394</v>
      </c>
      <c r="G1447" s="163" t="str">
        <f t="array" ref="G1447">IF(B1447="ICSE",IF(COUNTIFS(B:B,B1447,C:C,C1447)=XLOOKUP(C1447,ICSE!A:A,ICSE!AA:AA,"ERROR",0,1),"OK","ERROR"),IF(B1447="FSE",IF(COUNTIFS(B:B,B1447,C:C,C1447)=XLOOKUP(C1447,FSE!A:A,FSE!AA:AA,"ERROR",0,1),"OK","ERROR")))</f>
        <v>OK</v>
      </c>
      <c r="H1447" s="199">
        <f t="shared" ref="H1447:O1447" si="7314">countif($D1447,"*"&amp;H$2&amp;"*")</f>
        <v>1</v>
      </c>
      <c r="I1447" s="200">
        <f t="shared" si="7314"/>
        <v>0</v>
      </c>
      <c r="J1447" s="200">
        <f t="shared" si="7314"/>
        <v>0</v>
      </c>
      <c r="K1447" s="200">
        <f t="shared" si="7314"/>
        <v>0</v>
      </c>
      <c r="L1447" s="200">
        <f t="shared" si="7314"/>
        <v>0</v>
      </c>
      <c r="M1447" s="200">
        <f t="shared" si="7314"/>
        <v>0</v>
      </c>
      <c r="N1447" s="200">
        <f t="shared" si="7314"/>
        <v>0</v>
      </c>
      <c r="O1447" s="200">
        <f t="shared" si="7314"/>
        <v>0</v>
      </c>
      <c r="P1447" s="200">
        <f t="shared" si="9"/>
        <v>0</v>
      </c>
      <c r="Q1447" s="200">
        <f t="shared" ref="Q1447:AC1447" si="7315">countif($D1447,"*"&amp;Q$2&amp;"*")</f>
        <v>0</v>
      </c>
      <c r="R1447" s="200">
        <f t="shared" si="7315"/>
        <v>0</v>
      </c>
      <c r="S1447" s="200">
        <f t="shared" si="7315"/>
        <v>0</v>
      </c>
      <c r="T1447" s="200">
        <f t="shared" si="7315"/>
        <v>0</v>
      </c>
      <c r="U1447" s="200">
        <f t="shared" si="7315"/>
        <v>0</v>
      </c>
      <c r="V1447" s="200">
        <f t="shared" si="7315"/>
        <v>0</v>
      </c>
      <c r="W1447" s="200">
        <f t="shared" si="7315"/>
        <v>0</v>
      </c>
      <c r="X1447" s="200">
        <f t="shared" si="7315"/>
        <v>0</v>
      </c>
      <c r="Y1447" s="200">
        <f t="shared" si="7315"/>
        <v>0</v>
      </c>
      <c r="Z1447" s="200">
        <f t="shared" si="7315"/>
        <v>0</v>
      </c>
      <c r="AA1447" s="200">
        <f t="shared" si="7315"/>
        <v>0</v>
      </c>
      <c r="AB1447" s="200">
        <f t="shared" si="7315"/>
        <v>0</v>
      </c>
      <c r="AC1447" s="200">
        <f t="shared" si="7315"/>
        <v>0</v>
      </c>
      <c r="AD1447" s="200">
        <f t="shared" si="11"/>
        <v>0</v>
      </c>
      <c r="AE1447" s="200">
        <f t="shared" ref="AE1447:AG1447" si="7316">countif($D1447,"*"&amp;AE$2&amp;"*")</f>
        <v>0</v>
      </c>
      <c r="AF1447" s="200">
        <f t="shared" si="7316"/>
        <v>0</v>
      </c>
      <c r="AG1447" s="200">
        <f t="shared" si="7316"/>
        <v>0</v>
      </c>
      <c r="AH1447" s="171">
        <f t="shared" si="13"/>
        <v>0</v>
      </c>
      <c r="AI1447" s="200">
        <f t="shared" si="14"/>
        <v>1</v>
      </c>
      <c r="AJ1447" s="200">
        <f t="shared" si="6100"/>
        <v>0</v>
      </c>
      <c r="AK1447" s="201">
        <f t="shared" ref="AK1447:AS1447" si="7317">countif($D1447,"*"&amp;AK$2&amp;"*")</f>
        <v>0</v>
      </c>
      <c r="AL1447" s="201">
        <f t="shared" si="7317"/>
        <v>0</v>
      </c>
      <c r="AM1447" s="201">
        <f t="shared" si="7317"/>
        <v>0</v>
      </c>
      <c r="AN1447" s="201">
        <f t="shared" si="7317"/>
        <v>0</v>
      </c>
      <c r="AO1447" s="201">
        <f t="shared" si="7317"/>
        <v>0</v>
      </c>
      <c r="AP1447" s="201">
        <f t="shared" si="7317"/>
        <v>0</v>
      </c>
      <c r="AQ1447" s="201">
        <f t="shared" si="7317"/>
        <v>0</v>
      </c>
      <c r="AR1447" s="200">
        <f t="shared" si="7317"/>
        <v>0</v>
      </c>
      <c r="AS1447" s="200">
        <f t="shared" si="7317"/>
        <v>0</v>
      </c>
      <c r="AT1447" s="173">
        <v>0.0</v>
      </c>
      <c r="AU1447" s="200">
        <f t="shared" si="6217"/>
        <v>0</v>
      </c>
      <c r="AV1447" s="200">
        <f t="shared" ref="AV1447:AX1447" si="7318">countif($D1447,"*"&amp;AV$2&amp;"*")</f>
        <v>0</v>
      </c>
      <c r="AW1447" s="200">
        <f t="shared" si="7318"/>
        <v>0</v>
      </c>
      <c r="AX1447" s="200">
        <f t="shared" si="7318"/>
        <v>0</v>
      </c>
      <c r="AY1447" s="204">
        <v>1.0</v>
      </c>
      <c r="AZ1447" s="200"/>
      <c r="BA1447" s="171" t="str">
        <f t="shared" si="18"/>
        <v>Archival</v>
      </c>
      <c r="BB1447" s="171" t="str">
        <f t="shared" si="19"/>
        <v/>
      </c>
      <c r="BC1447" s="171" t="str">
        <f t="shared" si="20"/>
        <v/>
      </c>
      <c r="BD1447" s="171" t="str">
        <f t="shared" si="21"/>
        <v/>
      </c>
      <c r="BE1447" s="171" t="str">
        <f t="shared" si="22"/>
        <v/>
      </c>
      <c r="BF1447" s="171" t="str">
        <f t="shared" si="23"/>
        <v>Archival</v>
      </c>
    </row>
    <row r="1448">
      <c r="A1448" s="171">
        <f t="array" ref="A1448">XLOOKUP(C1448,FSE!A:A,FSE!C:C,"XXXXX",0,1)</f>
        <v>2022</v>
      </c>
      <c r="B1448" s="213" t="s">
        <v>5676</v>
      </c>
      <c r="C1448" s="214">
        <v>169.0</v>
      </c>
      <c r="D1448" s="217" t="s">
        <v>6274</v>
      </c>
      <c r="E1448" s="197" t="str">
        <f t="array" ref="E1448">XLOOKUP(C1448,FSE!A:A,FSE!Z:Z,"XXXXX",0,1)</f>
        <v>Publicly Available (2)</v>
      </c>
      <c r="F1448" s="213" t="s">
        <v>3394</v>
      </c>
      <c r="G1448" s="163" t="str">
        <f t="array" ref="G1448">IF(B1448="ICSE",IF(COUNTIFS(B:B,B1448,C:C,C1448)=XLOOKUP(C1448,ICSE!A:A,ICSE!AA:AA,"ERROR",0,1),"OK","ERROR"),IF(B1448="FSE",IF(COUNTIFS(B:B,B1448,C:C,C1448)=XLOOKUP(C1448,FSE!A:A,FSE!AA:AA,"ERROR",0,1),"OK","ERROR")))</f>
        <v>OK</v>
      </c>
      <c r="H1448" s="199">
        <f t="shared" ref="H1448:O1448" si="7319">countif($D1448,"*"&amp;H$2&amp;"*")</f>
        <v>0</v>
      </c>
      <c r="I1448" s="200">
        <f t="shared" si="7319"/>
        <v>0</v>
      </c>
      <c r="J1448" s="200">
        <f t="shared" si="7319"/>
        <v>0</v>
      </c>
      <c r="K1448" s="200">
        <f t="shared" si="7319"/>
        <v>0</v>
      </c>
      <c r="L1448" s="200">
        <f t="shared" si="7319"/>
        <v>0</v>
      </c>
      <c r="M1448" s="200">
        <f t="shared" si="7319"/>
        <v>0</v>
      </c>
      <c r="N1448" s="200">
        <f t="shared" si="7319"/>
        <v>0</v>
      </c>
      <c r="O1448" s="200">
        <f t="shared" si="7319"/>
        <v>0</v>
      </c>
      <c r="P1448" s="200">
        <f t="shared" si="9"/>
        <v>1</v>
      </c>
      <c r="Q1448" s="200">
        <f t="shared" ref="Q1448:AC1448" si="7320">countif($D1448,"*"&amp;Q$2&amp;"*")</f>
        <v>0</v>
      </c>
      <c r="R1448" s="200">
        <f t="shared" si="7320"/>
        <v>0</v>
      </c>
      <c r="S1448" s="200">
        <f t="shared" si="7320"/>
        <v>0</v>
      </c>
      <c r="T1448" s="200">
        <f t="shared" si="7320"/>
        <v>0</v>
      </c>
      <c r="U1448" s="200">
        <f t="shared" si="7320"/>
        <v>0</v>
      </c>
      <c r="V1448" s="200">
        <f t="shared" si="7320"/>
        <v>0</v>
      </c>
      <c r="W1448" s="200">
        <f t="shared" si="7320"/>
        <v>0</v>
      </c>
      <c r="X1448" s="200">
        <f t="shared" si="7320"/>
        <v>0</v>
      </c>
      <c r="Y1448" s="200">
        <f t="shared" si="7320"/>
        <v>0</v>
      </c>
      <c r="Z1448" s="200">
        <f t="shared" si="7320"/>
        <v>0</v>
      </c>
      <c r="AA1448" s="200">
        <f t="shared" si="7320"/>
        <v>0</v>
      </c>
      <c r="AB1448" s="200">
        <f t="shared" si="7320"/>
        <v>0</v>
      </c>
      <c r="AC1448" s="200">
        <f t="shared" si="7320"/>
        <v>0</v>
      </c>
      <c r="AD1448" s="200">
        <f t="shared" si="11"/>
        <v>0</v>
      </c>
      <c r="AE1448" s="200">
        <f t="shared" ref="AE1448:AG1448" si="7321">countif($D1448,"*"&amp;AE$2&amp;"*")</f>
        <v>0</v>
      </c>
      <c r="AF1448" s="200">
        <f t="shared" si="7321"/>
        <v>0</v>
      </c>
      <c r="AG1448" s="200">
        <f t="shared" si="7321"/>
        <v>0</v>
      </c>
      <c r="AH1448" s="171">
        <f t="shared" si="13"/>
        <v>0</v>
      </c>
      <c r="AI1448" s="200">
        <f t="shared" si="14"/>
        <v>0</v>
      </c>
      <c r="AJ1448" s="200">
        <f t="shared" si="6100"/>
        <v>0</v>
      </c>
      <c r="AK1448" s="201">
        <f t="shared" ref="AK1448:AS1448" si="7322">countif($D1448,"*"&amp;AK$2&amp;"*")</f>
        <v>0</v>
      </c>
      <c r="AL1448" s="201">
        <f t="shared" si="7322"/>
        <v>0</v>
      </c>
      <c r="AM1448" s="201">
        <f t="shared" si="7322"/>
        <v>0</v>
      </c>
      <c r="AN1448" s="201">
        <f t="shared" si="7322"/>
        <v>0</v>
      </c>
      <c r="AO1448" s="201">
        <f t="shared" si="7322"/>
        <v>0</v>
      </c>
      <c r="AP1448" s="201">
        <f t="shared" si="7322"/>
        <v>0</v>
      </c>
      <c r="AQ1448" s="201">
        <f t="shared" si="7322"/>
        <v>0</v>
      </c>
      <c r="AR1448" s="200">
        <f t="shared" si="7322"/>
        <v>0</v>
      </c>
      <c r="AS1448" s="200">
        <f t="shared" si="7322"/>
        <v>0</v>
      </c>
      <c r="AT1448" s="173">
        <v>0.0</v>
      </c>
      <c r="AU1448" s="200">
        <f t="shared" si="6217"/>
        <v>0</v>
      </c>
      <c r="AV1448" s="200">
        <f t="shared" ref="AV1448:AX1448" si="7323">countif($D1448,"*"&amp;AV$2&amp;"*")</f>
        <v>1</v>
      </c>
      <c r="AW1448" s="200">
        <f t="shared" si="7323"/>
        <v>0</v>
      </c>
      <c r="AX1448" s="200">
        <f t="shared" si="7323"/>
        <v>0</v>
      </c>
      <c r="AY1448" s="202">
        <v>0.0</v>
      </c>
      <c r="AZ1448" s="200"/>
      <c r="BA1448" s="171" t="str">
        <f t="shared" si="18"/>
        <v/>
      </c>
      <c r="BB1448" s="171" t="str">
        <f t="shared" si="19"/>
        <v>Code</v>
      </c>
      <c r="BC1448" s="171" t="str">
        <f t="shared" si="20"/>
        <v/>
      </c>
      <c r="BD1448" s="171" t="str">
        <f t="shared" si="21"/>
        <v/>
      </c>
      <c r="BE1448" s="171" t="str">
        <f t="shared" si="22"/>
        <v/>
      </c>
      <c r="BF1448" s="171" t="str">
        <f t="shared" si="23"/>
        <v>Code</v>
      </c>
    </row>
    <row r="1449">
      <c r="A1449" s="171">
        <f t="array" ref="A1449">XLOOKUP(C1449,FSE!A:A,FSE!C:C,"XXXXX",0,1)</f>
        <v>2022</v>
      </c>
      <c r="B1449" s="213" t="s">
        <v>5676</v>
      </c>
      <c r="C1449" s="214">
        <v>170.0</v>
      </c>
      <c r="D1449" s="215" t="s">
        <v>5135</v>
      </c>
      <c r="E1449" s="197" t="str">
        <f t="array" ref="E1449">XLOOKUP(C1449,FSE!A:A,FSE!Z:Z,"XXXXX",0,1)</f>
        <v>Publicly Available (1)</v>
      </c>
      <c r="F1449" s="213" t="s">
        <v>3394</v>
      </c>
      <c r="G1449" s="163" t="str">
        <f t="array" ref="G1449">IF(B1449="ICSE",IF(COUNTIFS(B:B,B1449,C:C,C1449)=XLOOKUP(C1449,ICSE!A:A,ICSE!AA:AA,"ERROR",0,1),"OK","ERROR"),IF(B1449="FSE",IF(COUNTIFS(B:B,B1449,C:C,C1449)=XLOOKUP(C1449,FSE!A:A,FSE!AA:AA,"ERROR",0,1),"OK","ERROR")))</f>
        <v>OK</v>
      </c>
      <c r="H1449" s="199">
        <f t="shared" ref="H1449:O1449" si="7324">countif($D1449,"*"&amp;H$2&amp;"*")</f>
        <v>0</v>
      </c>
      <c r="I1449" s="200">
        <f t="shared" si="7324"/>
        <v>0</v>
      </c>
      <c r="J1449" s="200">
        <f t="shared" si="7324"/>
        <v>0</v>
      </c>
      <c r="K1449" s="200">
        <f t="shared" si="7324"/>
        <v>0</v>
      </c>
      <c r="L1449" s="200">
        <f t="shared" si="7324"/>
        <v>0</v>
      </c>
      <c r="M1449" s="200">
        <f t="shared" si="7324"/>
        <v>0</v>
      </c>
      <c r="N1449" s="200">
        <f t="shared" si="7324"/>
        <v>0</v>
      </c>
      <c r="O1449" s="200">
        <f t="shared" si="7324"/>
        <v>0</v>
      </c>
      <c r="P1449" s="200">
        <f t="shared" si="9"/>
        <v>1</v>
      </c>
      <c r="Q1449" s="200">
        <f t="shared" ref="Q1449:AC1449" si="7325">countif($D1449,"*"&amp;Q$2&amp;"*")</f>
        <v>0</v>
      </c>
      <c r="R1449" s="200">
        <f t="shared" si="7325"/>
        <v>0</v>
      </c>
      <c r="S1449" s="200">
        <f t="shared" si="7325"/>
        <v>0</v>
      </c>
      <c r="T1449" s="200">
        <f t="shared" si="7325"/>
        <v>0</v>
      </c>
      <c r="U1449" s="200">
        <f t="shared" si="7325"/>
        <v>0</v>
      </c>
      <c r="V1449" s="200">
        <f t="shared" si="7325"/>
        <v>0</v>
      </c>
      <c r="W1449" s="200">
        <f t="shared" si="7325"/>
        <v>0</v>
      </c>
      <c r="X1449" s="200">
        <f t="shared" si="7325"/>
        <v>0</v>
      </c>
      <c r="Y1449" s="200">
        <f t="shared" si="7325"/>
        <v>0</v>
      </c>
      <c r="Z1449" s="200">
        <f t="shared" si="7325"/>
        <v>0</v>
      </c>
      <c r="AA1449" s="200">
        <f t="shared" si="7325"/>
        <v>0</v>
      </c>
      <c r="AB1449" s="200">
        <f t="shared" si="7325"/>
        <v>0</v>
      </c>
      <c r="AC1449" s="200">
        <f t="shared" si="7325"/>
        <v>0</v>
      </c>
      <c r="AD1449" s="200">
        <f t="shared" si="11"/>
        <v>0</v>
      </c>
      <c r="AE1449" s="200">
        <f t="shared" ref="AE1449:AG1449" si="7326">countif($D1449,"*"&amp;AE$2&amp;"*")</f>
        <v>0</v>
      </c>
      <c r="AF1449" s="200">
        <f t="shared" si="7326"/>
        <v>0</v>
      </c>
      <c r="AG1449" s="200">
        <f t="shared" si="7326"/>
        <v>0</v>
      </c>
      <c r="AH1449" s="171">
        <f t="shared" si="13"/>
        <v>0</v>
      </c>
      <c r="AI1449" s="200">
        <f t="shared" si="14"/>
        <v>0</v>
      </c>
      <c r="AJ1449" s="200">
        <f t="shared" si="6100"/>
        <v>0</v>
      </c>
      <c r="AK1449" s="201">
        <f t="shared" ref="AK1449:AS1449" si="7327">countif($D1449,"*"&amp;AK$2&amp;"*")</f>
        <v>0</v>
      </c>
      <c r="AL1449" s="201">
        <f t="shared" si="7327"/>
        <v>0</v>
      </c>
      <c r="AM1449" s="201">
        <f t="shared" si="7327"/>
        <v>0</v>
      </c>
      <c r="AN1449" s="201">
        <f t="shared" si="7327"/>
        <v>0</v>
      </c>
      <c r="AO1449" s="201">
        <f t="shared" si="7327"/>
        <v>0</v>
      </c>
      <c r="AP1449" s="201">
        <f t="shared" si="7327"/>
        <v>0</v>
      </c>
      <c r="AQ1449" s="201">
        <f t="shared" si="7327"/>
        <v>0</v>
      </c>
      <c r="AR1449" s="200">
        <f t="shared" si="7327"/>
        <v>0</v>
      </c>
      <c r="AS1449" s="200">
        <f t="shared" si="7327"/>
        <v>0</v>
      </c>
      <c r="AT1449" s="173">
        <v>0.0</v>
      </c>
      <c r="AU1449" s="200">
        <f t="shared" si="6217"/>
        <v>0</v>
      </c>
      <c r="AV1449" s="200">
        <f t="shared" ref="AV1449:AX1449" si="7328">countif($D1449,"*"&amp;AV$2&amp;"*")</f>
        <v>1</v>
      </c>
      <c r="AW1449" s="200">
        <f t="shared" si="7328"/>
        <v>0</v>
      </c>
      <c r="AX1449" s="200">
        <f t="shared" si="7328"/>
        <v>0</v>
      </c>
      <c r="AY1449" s="202">
        <v>0.0</v>
      </c>
      <c r="AZ1449" s="200"/>
      <c r="BA1449" s="171" t="str">
        <f t="shared" si="18"/>
        <v/>
      </c>
      <c r="BB1449" s="171" t="str">
        <f t="shared" si="19"/>
        <v>Code</v>
      </c>
      <c r="BC1449" s="171" t="str">
        <f t="shared" si="20"/>
        <v/>
      </c>
      <c r="BD1449" s="171" t="str">
        <f t="shared" si="21"/>
        <v/>
      </c>
      <c r="BE1449" s="171" t="str">
        <f t="shared" si="22"/>
        <v/>
      </c>
      <c r="BF1449" s="171" t="str">
        <f t="shared" si="23"/>
        <v>Code</v>
      </c>
    </row>
    <row r="1450">
      <c r="A1450" s="171">
        <f t="array" ref="A1450">XLOOKUP(C1450,FSE!A:A,FSE!C:C,"XXXXX",0,1)</f>
        <v>2022</v>
      </c>
      <c r="B1450" s="213" t="s">
        <v>5676</v>
      </c>
      <c r="C1450" s="214">
        <v>171.0</v>
      </c>
      <c r="D1450" s="215" t="s">
        <v>5138</v>
      </c>
      <c r="E1450" s="197" t="str">
        <f t="array" ref="E1450">XLOOKUP(C1450,FSE!A:A,FSE!Z:Z,"XXXXX",0,1)</f>
        <v>Publicly Available (1)</v>
      </c>
      <c r="F1450" s="213" t="s">
        <v>3394</v>
      </c>
      <c r="G1450" s="163" t="str">
        <f t="array" ref="G1450">IF(B1450="ICSE",IF(COUNTIFS(B:B,B1450,C:C,C1450)=XLOOKUP(C1450,ICSE!A:A,ICSE!AA:AA,"ERROR",0,1),"OK","ERROR"),IF(B1450="FSE",IF(COUNTIFS(B:B,B1450,C:C,C1450)=XLOOKUP(C1450,FSE!A:A,FSE!AA:AA,"ERROR",0,1),"OK","ERROR")))</f>
        <v>OK</v>
      </c>
      <c r="H1450" s="199">
        <f t="shared" ref="H1450:O1450" si="7329">countif($D1450,"*"&amp;H$2&amp;"*")</f>
        <v>0</v>
      </c>
      <c r="I1450" s="200">
        <f t="shared" si="7329"/>
        <v>1</v>
      </c>
      <c r="J1450" s="200">
        <f t="shared" si="7329"/>
        <v>0</v>
      </c>
      <c r="K1450" s="200">
        <f t="shared" si="7329"/>
        <v>0</v>
      </c>
      <c r="L1450" s="200">
        <f t="shared" si="7329"/>
        <v>0</v>
      </c>
      <c r="M1450" s="200">
        <f t="shared" si="7329"/>
        <v>0</v>
      </c>
      <c r="N1450" s="200">
        <f t="shared" si="7329"/>
        <v>0</v>
      </c>
      <c r="O1450" s="200">
        <f t="shared" si="7329"/>
        <v>0</v>
      </c>
      <c r="P1450" s="200">
        <f t="shared" si="9"/>
        <v>0</v>
      </c>
      <c r="Q1450" s="200">
        <f t="shared" ref="Q1450:AC1450" si="7330">countif($D1450,"*"&amp;Q$2&amp;"*")</f>
        <v>0</v>
      </c>
      <c r="R1450" s="200">
        <f t="shared" si="7330"/>
        <v>0</v>
      </c>
      <c r="S1450" s="200">
        <f t="shared" si="7330"/>
        <v>0</v>
      </c>
      <c r="T1450" s="200">
        <f t="shared" si="7330"/>
        <v>0</v>
      </c>
      <c r="U1450" s="200">
        <f t="shared" si="7330"/>
        <v>0</v>
      </c>
      <c r="V1450" s="200">
        <f t="shared" si="7330"/>
        <v>0</v>
      </c>
      <c r="W1450" s="200">
        <f t="shared" si="7330"/>
        <v>0</v>
      </c>
      <c r="X1450" s="200">
        <f t="shared" si="7330"/>
        <v>0</v>
      </c>
      <c r="Y1450" s="200">
        <f t="shared" si="7330"/>
        <v>0</v>
      </c>
      <c r="Z1450" s="200">
        <f t="shared" si="7330"/>
        <v>0</v>
      </c>
      <c r="AA1450" s="200">
        <f t="shared" si="7330"/>
        <v>0</v>
      </c>
      <c r="AB1450" s="200">
        <f t="shared" si="7330"/>
        <v>0</v>
      </c>
      <c r="AC1450" s="200">
        <f t="shared" si="7330"/>
        <v>0</v>
      </c>
      <c r="AD1450" s="200">
        <f t="shared" si="11"/>
        <v>0</v>
      </c>
      <c r="AE1450" s="200">
        <f t="shared" ref="AE1450:AG1450" si="7331">countif($D1450,"*"&amp;AE$2&amp;"*")</f>
        <v>0</v>
      </c>
      <c r="AF1450" s="200">
        <f t="shared" si="7331"/>
        <v>0</v>
      </c>
      <c r="AG1450" s="200">
        <f t="shared" si="7331"/>
        <v>0</v>
      </c>
      <c r="AH1450" s="171">
        <f t="shared" si="13"/>
        <v>0</v>
      </c>
      <c r="AI1450" s="200">
        <f t="shared" si="14"/>
        <v>1</v>
      </c>
      <c r="AJ1450" s="200">
        <f t="shared" si="6100"/>
        <v>0</v>
      </c>
      <c r="AK1450" s="201">
        <f t="shared" ref="AK1450:AS1450" si="7332">countif($D1450,"*"&amp;AK$2&amp;"*")</f>
        <v>0</v>
      </c>
      <c r="AL1450" s="201">
        <f t="shared" si="7332"/>
        <v>0</v>
      </c>
      <c r="AM1450" s="201">
        <f t="shared" si="7332"/>
        <v>0</v>
      </c>
      <c r="AN1450" s="201">
        <f t="shared" si="7332"/>
        <v>0</v>
      </c>
      <c r="AO1450" s="201">
        <f t="shared" si="7332"/>
        <v>0</v>
      </c>
      <c r="AP1450" s="201">
        <f t="shared" si="7332"/>
        <v>0</v>
      </c>
      <c r="AQ1450" s="201">
        <f t="shared" si="7332"/>
        <v>0</v>
      </c>
      <c r="AR1450" s="200">
        <f t="shared" si="7332"/>
        <v>0</v>
      </c>
      <c r="AS1450" s="200">
        <f t="shared" si="7332"/>
        <v>0</v>
      </c>
      <c r="AT1450" s="173">
        <v>0.0</v>
      </c>
      <c r="AU1450" s="200">
        <f t="shared" si="6217"/>
        <v>0</v>
      </c>
      <c r="AV1450" s="200">
        <f t="shared" ref="AV1450:AX1450" si="7333">countif($D1450,"*"&amp;AV$2&amp;"*")</f>
        <v>0</v>
      </c>
      <c r="AW1450" s="200">
        <f t="shared" si="7333"/>
        <v>0</v>
      </c>
      <c r="AX1450" s="200">
        <f t="shared" si="7333"/>
        <v>1</v>
      </c>
      <c r="AY1450" s="202">
        <v>0.0</v>
      </c>
      <c r="AZ1450" s="200"/>
      <c r="BA1450" s="171" t="str">
        <f t="shared" si="18"/>
        <v>Archival</v>
      </c>
      <c r="BB1450" s="171" t="str">
        <f t="shared" si="19"/>
        <v/>
      </c>
      <c r="BC1450" s="171" t="str">
        <f t="shared" si="20"/>
        <v/>
      </c>
      <c r="BD1450" s="171" t="str">
        <f t="shared" si="21"/>
        <v/>
      </c>
      <c r="BE1450" s="171" t="str">
        <f t="shared" si="22"/>
        <v/>
      </c>
      <c r="BF1450" s="171" t="str">
        <f t="shared" si="23"/>
        <v>Archival</v>
      </c>
    </row>
    <row r="1451">
      <c r="A1451" s="171">
        <f t="array" ref="A1451">XLOOKUP(C1451,FSE!A:A,FSE!C:C,"XXXXX",0,1)</f>
        <v>2022</v>
      </c>
      <c r="B1451" s="213" t="s">
        <v>5676</v>
      </c>
      <c r="C1451" s="214">
        <v>172.0</v>
      </c>
      <c r="D1451" s="217" t="s">
        <v>6275</v>
      </c>
      <c r="E1451" s="197" t="str">
        <f t="array" ref="E1451">XLOOKUP(C1451,FSE!A:A,FSE!Z:Z,"XXXXX",0,1)</f>
        <v>Publicly Available (1)</v>
      </c>
      <c r="F1451" s="213" t="s">
        <v>3394</v>
      </c>
      <c r="G1451" s="163" t="str">
        <f t="array" ref="G1451">IF(B1451="ICSE",IF(COUNTIFS(B:B,B1451,C:C,C1451)=XLOOKUP(C1451,ICSE!A:A,ICSE!AA:AA,"ERROR",0,1),"OK","ERROR"),IF(B1451="FSE",IF(COUNTIFS(B:B,B1451,C:C,C1451)=XLOOKUP(C1451,FSE!A:A,FSE!AA:AA,"ERROR",0,1),"OK","ERROR")))</f>
        <v>OK</v>
      </c>
      <c r="H1451" s="199">
        <f t="shared" ref="H1451:O1451" si="7334">countif($D1451,"*"&amp;H$2&amp;"*")</f>
        <v>0</v>
      </c>
      <c r="I1451" s="200">
        <f t="shared" si="7334"/>
        <v>0</v>
      </c>
      <c r="J1451" s="200">
        <f t="shared" si="7334"/>
        <v>0</v>
      </c>
      <c r="K1451" s="200">
        <f t="shared" si="7334"/>
        <v>0</v>
      </c>
      <c r="L1451" s="200">
        <f t="shared" si="7334"/>
        <v>0</v>
      </c>
      <c r="M1451" s="200">
        <f t="shared" si="7334"/>
        <v>0</v>
      </c>
      <c r="N1451" s="200">
        <f t="shared" si="7334"/>
        <v>0</v>
      </c>
      <c r="O1451" s="200">
        <f t="shared" si="7334"/>
        <v>0</v>
      </c>
      <c r="P1451" s="200">
        <f t="shared" si="9"/>
        <v>0</v>
      </c>
      <c r="Q1451" s="200">
        <f t="shared" ref="Q1451:AC1451" si="7335">countif($D1451,"*"&amp;Q$2&amp;"*")</f>
        <v>0</v>
      </c>
      <c r="R1451" s="200">
        <f t="shared" si="7335"/>
        <v>0</v>
      </c>
      <c r="S1451" s="200">
        <f t="shared" si="7335"/>
        <v>0</v>
      </c>
      <c r="T1451" s="200">
        <f t="shared" si="7335"/>
        <v>0</v>
      </c>
      <c r="U1451" s="200">
        <f t="shared" si="7335"/>
        <v>0</v>
      </c>
      <c r="V1451" s="200">
        <f t="shared" si="7335"/>
        <v>1</v>
      </c>
      <c r="W1451" s="200">
        <f t="shared" si="7335"/>
        <v>0</v>
      </c>
      <c r="X1451" s="200">
        <f t="shared" si="7335"/>
        <v>0</v>
      </c>
      <c r="Y1451" s="200">
        <f t="shared" si="7335"/>
        <v>0</v>
      </c>
      <c r="Z1451" s="200">
        <f t="shared" si="7335"/>
        <v>0</v>
      </c>
      <c r="AA1451" s="200">
        <f t="shared" si="7335"/>
        <v>0</v>
      </c>
      <c r="AB1451" s="200">
        <f t="shared" si="7335"/>
        <v>0</v>
      </c>
      <c r="AC1451" s="200">
        <f t="shared" si="7335"/>
        <v>0</v>
      </c>
      <c r="AD1451" s="200">
        <f t="shared" si="11"/>
        <v>0</v>
      </c>
      <c r="AE1451" s="200">
        <f t="shared" ref="AE1451:AG1451" si="7336">countif($D1451,"*"&amp;AE$2&amp;"*")</f>
        <v>0</v>
      </c>
      <c r="AF1451" s="200">
        <f t="shared" si="7336"/>
        <v>0</v>
      </c>
      <c r="AG1451" s="200">
        <f t="shared" si="7336"/>
        <v>0</v>
      </c>
      <c r="AH1451" s="171">
        <f t="shared" si="13"/>
        <v>0</v>
      </c>
      <c r="AI1451" s="200">
        <f t="shared" si="14"/>
        <v>0</v>
      </c>
      <c r="AJ1451" s="200">
        <f t="shared" si="6100"/>
        <v>1</v>
      </c>
      <c r="AK1451" s="201">
        <f t="shared" ref="AK1451:AS1451" si="7337">countif($D1451,"*"&amp;AK$2&amp;"*")</f>
        <v>0</v>
      </c>
      <c r="AL1451" s="201">
        <f t="shared" si="7337"/>
        <v>0</v>
      </c>
      <c r="AM1451" s="201">
        <f t="shared" si="7337"/>
        <v>1</v>
      </c>
      <c r="AN1451" s="201">
        <f t="shared" si="7337"/>
        <v>0</v>
      </c>
      <c r="AO1451" s="201">
        <f t="shared" si="7337"/>
        <v>0</v>
      </c>
      <c r="AP1451" s="201">
        <f t="shared" si="7337"/>
        <v>0</v>
      </c>
      <c r="AQ1451" s="201">
        <f t="shared" si="7337"/>
        <v>0</v>
      </c>
      <c r="AR1451" s="200">
        <f t="shared" si="7337"/>
        <v>0</v>
      </c>
      <c r="AS1451" s="200">
        <f t="shared" si="7337"/>
        <v>1</v>
      </c>
      <c r="AT1451" s="173">
        <v>0.0</v>
      </c>
      <c r="AU1451" s="200">
        <f t="shared" si="6217"/>
        <v>0</v>
      </c>
      <c r="AV1451" s="200">
        <f t="shared" ref="AV1451:AX1451" si="7338">countif($D1451,"*"&amp;AV$2&amp;"*")</f>
        <v>0</v>
      </c>
      <c r="AW1451" s="200">
        <f t="shared" si="7338"/>
        <v>0</v>
      </c>
      <c r="AX1451" s="200">
        <f t="shared" si="7338"/>
        <v>0</v>
      </c>
      <c r="AY1451" s="202">
        <v>0.0</v>
      </c>
      <c r="AZ1451" s="200"/>
      <c r="BA1451" s="171" t="str">
        <f t="shared" si="18"/>
        <v/>
      </c>
      <c r="BB1451" s="171" t="str">
        <f t="shared" si="19"/>
        <v/>
      </c>
      <c r="BC1451" s="171" t="str">
        <f t="shared" si="20"/>
        <v>General-purpose</v>
      </c>
      <c r="BD1451" s="171" t="str">
        <f t="shared" si="21"/>
        <v/>
      </c>
      <c r="BE1451" s="171" t="str">
        <f t="shared" si="22"/>
        <v/>
      </c>
      <c r="BF1451" s="171" t="str">
        <f t="shared" si="23"/>
        <v>General-purpose</v>
      </c>
    </row>
    <row r="1452">
      <c r="A1452" s="171">
        <f t="array" ref="A1452">XLOOKUP(C1452,FSE!A:A,FSE!C:C,"XXXXX",0,1)</f>
        <v>2022</v>
      </c>
      <c r="B1452" s="213" t="s">
        <v>5676</v>
      </c>
      <c r="C1452" s="214">
        <v>173.0</v>
      </c>
      <c r="D1452" s="215" t="s">
        <v>5145</v>
      </c>
      <c r="E1452" s="197" t="str">
        <f t="array" ref="E1452">XLOOKUP(C1452,FSE!A:A,FSE!Z:Z,"XXXXX",0,1)</f>
        <v>Publicly Available (1)</v>
      </c>
      <c r="F1452" s="213" t="s">
        <v>3394</v>
      </c>
      <c r="G1452" s="163" t="str">
        <f t="array" ref="G1452">IF(B1452="ICSE",IF(COUNTIFS(B:B,B1452,C:C,C1452)=XLOOKUP(C1452,ICSE!A:A,ICSE!AA:AA,"ERROR",0,1),"OK","ERROR"),IF(B1452="FSE",IF(COUNTIFS(B:B,B1452,C:C,C1452)=XLOOKUP(C1452,FSE!A:A,FSE!AA:AA,"ERROR",0,1),"OK","ERROR")))</f>
        <v>OK</v>
      </c>
      <c r="H1452" s="199">
        <f t="shared" ref="H1452:O1452" si="7339">countif($D1452,"*"&amp;H$2&amp;"*")</f>
        <v>1</v>
      </c>
      <c r="I1452" s="200">
        <f t="shared" si="7339"/>
        <v>0</v>
      </c>
      <c r="J1452" s="200">
        <f t="shared" si="7339"/>
        <v>0</v>
      </c>
      <c r="K1452" s="200">
        <f t="shared" si="7339"/>
        <v>0</v>
      </c>
      <c r="L1452" s="200">
        <f t="shared" si="7339"/>
        <v>0</v>
      </c>
      <c r="M1452" s="200">
        <f t="shared" si="7339"/>
        <v>0</v>
      </c>
      <c r="N1452" s="200">
        <f t="shared" si="7339"/>
        <v>0</v>
      </c>
      <c r="O1452" s="200">
        <f t="shared" si="7339"/>
        <v>0</v>
      </c>
      <c r="P1452" s="200">
        <f t="shared" si="9"/>
        <v>0</v>
      </c>
      <c r="Q1452" s="200">
        <f t="shared" ref="Q1452:AC1452" si="7340">countif($D1452,"*"&amp;Q$2&amp;"*")</f>
        <v>0</v>
      </c>
      <c r="R1452" s="200">
        <f t="shared" si="7340"/>
        <v>0</v>
      </c>
      <c r="S1452" s="200">
        <f t="shared" si="7340"/>
        <v>0</v>
      </c>
      <c r="T1452" s="200">
        <f t="shared" si="7340"/>
        <v>0</v>
      </c>
      <c r="U1452" s="200">
        <f t="shared" si="7340"/>
        <v>0</v>
      </c>
      <c r="V1452" s="200">
        <f t="shared" si="7340"/>
        <v>0</v>
      </c>
      <c r="W1452" s="200">
        <f t="shared" si="7340"/>
        <v>0</v>
      </c>
      <c r="X1452" s="200">
        <f t="shared" si="7340"/>
        <v>0</v>
      </c>
      <c r="Y1452" s="200">
        <f t="shared" si="7340"/>
        <v>0</v>
      </c>
      <c r="Z1452" s="200">
        <f t="shared" si="7340"/>
        <v>0</v>
      </c>
      <c r="AA1452" s="200">
        <f t="shared" si="7340"/>
        <v>0</v>
      </c>
      <c r="AB1452" s="200">
        <f t="shared" si="7340"/>
        <v>0</v>
      </c>
      <c r="AC1452" s="200">
        <f t="shared" si="7340"/>
        <v>0</v>
      </c>
      <c r="AD1452" s="200">
        <f t="shared" si="11"/>
        <v>0</v>
      </c>
      <c r="AE1452" s="200">
        <f t="shared" ref="AE1452:AG1452" si="7341">countif($D1452,"*"&amp;AE$2&amp;"*")</f>
        <v>0</v>
      </c>
      <c r="AF1452" s="200">
        <f t="shared" si="7341"/>
        <v>0</v>
      </c>
      <c r="AG1452" s="200">
        <f t="shared" si="7341"/>
        <v>0</v>
      </c>
      <c r="AH1452" s="171">
        <f t="shared" si="13"/>
        <v>0</v>
      </c>
      <c r="AI1452" s="200">
        <f t="shared" si="14"/>
        <v>1</v>
      </c>
      <c r="AJ1452" s="200">
        <f t="shared" si="6100"/>
        <v>0</v>
      </c>
      <c r="AK1452" s="201">
        <f t="shared" ref="AK1452:AS1452" si="7342">countif($D1452,"*"&amp;AK$2&amp;"*")</f>
        <v>0</v>
      </c>
      <c r="AL1452" s="201">
        <f t="shared" si="7342"/>
        <v>0</v>
      </c>
      <c r="AM1452" s="201">
        <f t="shared" si="7342"/>
        <v>0</v>
      </c>
      <c r="AN1452" s="201">
        <f t="shared" si="7342"/>
        <v>0</v>
      </c>
      <c r="AO1452" s="201">
        <f t="shared" si="7342"/>
        <v>0</v>
      </c>
      <c r="AP1452" s="201">
        <f t="shared" si="7342"/>
        <v>0</v>
      </c>
      <c r="AQ1452" s="201">
        <f t="shared" si="7342"/>
        <v>0</v>
      </c>
      <c r="AR1452" s="200">
        <f t="shared" si="7342"/>
        <v>0</v>
      </c>
      <c r="AS1452" s="200">
        <f t="shared" si="7342"/>
        <v>0</v>
      </c>
      <c r="AT1452" s="173">
        <v>0.0</v>
      </c>
      <c r="AU1452" s="200">
        <f t="shared" si="6217"/>
        <v>0</v>
      </c>
      <c r="AV1452" s="200">
        <f t="shared" ref="AV1452:AX1452" si="7343">countif($D1452,"*"&amp;AV$2&amp;"*")</f>
        <v>0</v>
      </c>
      <c r="AW1452" s="200">
        <f t="shared" si="7343"/>
        <v>0</v>
      </c>
      <c r="AX1452" s="200">
        <f t="shared" si="7343"/>
        <v>1</v>
      </c>
      <c r="AY1452" s="202">
        <v>0.0</v>
      </c>
      <c r="AZ1452" s="200"/>
      <c r="BA1452" s="171" t="str">
        <f t="shared" si="18"/>
        <v>Archival</v>
      </c>
      <c r="BB1452" s="171" t="str">
        <f t="shared" si="19"/>
        <v/>
      </c>
      <c r="BC1452" s="171" t="str">
        <f t="shared" si="20"/>
        <v/>
      </c>
      <c r="BD1452" s="171" t="str">
        <f t="shared" si="21"/>
        <v/>
      </c>
      <c r="BE1452" s="171" t="str">
        <f t="shared" si="22"/>
        <v/>
      </c>
      <c r="BF1452" s="171" t="str">
        <f t="shared" si="23"/>
        <v>Archival</v>
      </c>
    </row>
    <row r="1453">
      <c r="A1453" s="171">
        <f t="array" ref="A1453">XLOOKUP(C1453,FSE!A:A,FSE!C:C,"XXXXX",0,1)</f>
        <v>2022</v>
      </c>
      <c r="B1453" s="213" t="s">
        <v>5676</v>
      </c>
      <c r="C1453" s="219">
        <v>174.0</v>
      </c>
      <c r="D1453" s="217" t="s">
        <v>6276</v>
      </c>
      <c r="E1453" s="197" t="str">
        <f t="array" ref="E1453">XLOOKUP(C1453,FSE!A:A,FSE!Z:Z,"XXXXX",0,1)</f>
        <v>Publicly Available (6)</v>
      </c>
      <c r="F1453" s="213" t="s">
        <v>3394</v>
      </c>
      <c r="G1453" s="163" t="str">
        <f t="array" ref="G1453">IF(B1453="ICSE",IF(COUNTIFS(B:B,B1453,C:C,C1453)=XLOOKUP(C1453,ICSE!A:A,ICSE!AA:AA,"ERROR",0,1),"OK","ERROR"),IF(B1453="FSE",IF(COUNTIFS(B:B,B1453,C:C,C1453)=XLOOKUP(C1453,FSE!A:A,FSE!AA:AA,"ERROR",0,1),"OK","ERROR")))</f>
        <v>OK</v>
      </c>
      <c r="H1453" s="199">
        <f t="shared" ref="H1453:O1453" si="7344">countif($D1453,"*"&amp;H$2&amp;"*")</f>
        <v>0</v>
      </c>
      <c r="I1453" s="200">
        <f t="shared" si="7344"/>
        <v>0</v>
      </c>
      <c r="J1453" s="200">
        <f t="shared" si="7344"/>
        <v>0</v>
      </c>
      <c r="K1453" s="200">
        <f t="shared" si="7344"/>
        <v>0</v>
      </c>
      <c r="L1453" s="200">
        <f t="shared" si="7344"/>
        <v>0</v>
      </c>
      <c r="M1453" s="200">
        <f t="shared" si="7344"/>
        <v>0</v>
      </c>
      <c r="N1453" s="200">
        <f t="shared" si="7344"/>
        <v>0</v>
      </c>
      <c r="O1453" s="200">
        <f t="shared" si="7344"/>
        <v>0</v>
      </c>
      <c r="P1453" s="200">
        <f t="shared" si="9"/>
        <v>1</v>
      </c>
      <c r="Q1453" s="200">
        <f t="shared" ref="Q1453:AC1453" si="7345">countif($D1453,"*"&amp;Q$2&amp;"*")</f>
        <v>0</v>
      </c>
      <c r="R1453" s="200">
        <f t="shared" si="7345"/>
        <v>0</v>
      </c>
      <c r="S1453" s="200">
        <f t="shared" si="7345"/>
        <v>0</v>
      </c>
      <c r="T1453" s="200">
        <f t="shared" si="7345"/>
        <v>0</v>
      </c>
      <c r="U1453" s="200">
        <f t="shared" si="7345"/>
        <v>0</v>
      </c>
      <c r="V1453" s="200">
        <f t="shared" si="7345"/>
        <v>0</v>
      </c>
      <c r="W1453" s="200">
        <f t="shared" si="7345"/>
        <v>0</v>
      </c>
      <c r="X1453" s="200">
        <f t="shared" si="7345"/>
        <v>0</v>
      </c>
      <c r="Y1453" s="200">
        <f t="shared" si="7345"/>
        <v>0</v>
      </c>
      <c r="Z1453" s="200">
        <f t="shared" si="7345"/>
        <v>0</v>
      </c>
      <c r="AA1453" s="200">
        <f t="shared" si="7345"/>
        <v>0</v>
      </c>
      <c r="AB1453" s="200">
        <f t="shared" si="7345"/>
        <v>0</v>
      </c>
      <c r="AC1453" s="200">
        <f t="shared" si="7345"/>
        <v>0</v>
      </c>
      <c r="AD1453" s="200">
        <f t="shared" si="11"/>
        <v>0</v>
      </c>
      <c r="AE1453" s="200">
        <f t="shared" ref="AE1453:AG1453" si="7346">countif($D1453,"*"&amp;AE$2&amp;"*")</f>
        <v>0</v>
      </c>
      <c r="AF1453" s="200">
        <f t="shared" si="7346"/>
        <v>0</v>
      </c>
      <c r="AG1453" s="200">
        <f t="shared" si="7346"/>
        <v>0</v>
      </c>
      <c r="AH1453" s="171">
        <f t="shared" si="13"/>
        <v>0</v>
      </c>
      <c r="AI1453" s="200">
        <f t="shared" si="14"/>
        <v>0</v>
      </c>
      <c r="AJ1453" s="200">
        <f t="shared" si="6100"/>
        <v>0</v>
      </c>
      <c r="AK1453" s="201">
        <f t="shared" ref="AK1453:AS1453" si="7347">countif($D1453,"*"&amp;AK$2&amp;"*")</f>
        <v>0</v>
      </c>
      <c r="AL1453" s="201">
        <f t="shared" si="7347"/>
        <v>0</v>
      </c>
      <c r="AM1453" s="201">
        <f t="shared" si="7347"/>
        <v>0</v>
      </c>
      <c r="AN1453" s="201">
        <f t="shared" si="7347"/>
        <v>0</v>
      </c>
      <c r="AO1453" s="201">
        <f t="shared" si="7347"/>
        <v>0</v>
      </c>
      <c r="AP1453" s="201">
        <f t="shared" si="7347"/>
        <v>0</v>
      </c>
      <c r="AQ1453" s="201">
        <f t="shared" si="7347"/>
        <v>0</v>
      </c>
      <c r="AR1453" s="200">
        <f t="shared" si="7347"/>
        <v>0</v>
      </c>
      <c r="AS1453" s="200">
        <f t="shared" si="7347"/>
        <v>0</v>
      </c>
      <c r="AT1453" s="173">
        <v>0.0</v>
      </c>
      <c r="AU1453" s="200">
        <f t="shared" si="6217"/>
        <v>0</v>
      </c>
      <c r="AV1453" s="200">
        <f t="shared" ref="AV1453:AX1453" si="7348">countif($D1453,"*"&amp;AV$2&amp;"*")</f>
        <v>1</v>
      </c>
      <c r="AW1453" s="200">
        <f t="shared" si="7348"/>
        <v>0</v>
      </c>
      <c r="AX1453" s="200">
        <f t="shared" si="7348"/>
        <v>0</v>
      </c>
      <c r="AY1453" s="202">
        <v>0.0</v>
      </c>
      <c r="AZ1453" s="200"/>
      <c r="BA1453" s="171" t="str">
        <f t="shared" si="18"/>
        <v/>
      </c>
      <c r="BB1453" s="171" t="str">
        <f t="shared" si="19"/>
        <v>Code</v>
      </c>
      <c r="BC1453" s="171" t="str">
        <f t="shared" si="20"/>
        <v/>
      </c>
      <c r="BD1453" s="171" t="str">
        <f t="shared" si="21"/>
        <v/>
      </c>
      <c r="BE1453" s="171" t="str">
        <f t="shared" si="22"/>
        <v/>
      </c>
      <c r="BF1453" s="171" t="str">
        <f t="shared" si="23"/>
        <v>Code</v>
      </c>
    </row>
    <row r="1454">
      <c r="A1454" s="171">
        <f t="array" ref="A1454">XLOOKUP(C1454,FSE!A:A,FSE!C:C,"XXXXX",0,1)</f>
        <v>2022</v>
      </c>
      <c r="B1454" s="213" t="s">
        <v>5676</v>
      </c>
      <c r="C1454" s="214">
        <v>174.0</v>
      </c>
      <c r="D1454" s="215" t="s">
        <v>6277</v>
      </c>
      <c r="E1454" s="197" t="str">
        <f t="array" ref="E1454">XLOOKUP(C1454,FSE!A:A,FSE!Z:Z,"XXXXX",0,1)</f>
        <v>Publicly Available (6)</v>
      </c>
      <c r="F1454" s="213" t="s">
        <v>3394</v>
      </c>
      <c r="G1454" s="163" t="str">
        <f t="array" ref="G1454">IF(B1454="ICSE",IF(COUNTIFS(B:B,B1454,C:C,C1454)=XLOOKUP(C1454,ICSE!A:A,ICSE!AA:AA,"ERROR",0,1),"OK","ERROR"),IF(B1454="FSE",IF(COUNTIFS(B:B,B1454,C:C,C1454)=XLOOKUP(C1454,FSE!A:A,FSE!AA:AA,"ERROR",0,1),"OK","ERROR")))</f>
        <v>OK</v>
      </c>
      <c r="H1454" s="199">
        <f t="shared" ref="H1454:O1454" si="7349">countif($D1454,"*"&amp;H$2&amp;"*")</f>
        <v>0</v>
      </c>
      <c r="I1454" s="200">
        <f t="shared" si="7349"/>
        <v>0</v>
      </c>
      <c r="J1454" s="200">
        <f t="shared" si="7349"/>
        <v>0</v>
      </c>
      <c r="K1454" s="200">
        <f t="shared" si="7349"/>
        <v>0</v>
      </c>
      <c r="L1454" s="200">
        <f t="shared" si="7349"/>
        <v>0</v>
      </c>
      <c r="M1454" s="200">
        <f t="shared" si="7349"/>
        <v>0</v>
      </c>
      <c r="N1454" s="200">
        <f t="shared" si="7349"/>
        <v>0</v>
      </c>
      <c r="O1454" s="200">
        <f t="shared" si="7349"/>
        <v>0</v>
      </c>
      <c r="P1454" s="200">
        <f t="shared" si="9"/>
        <v>1</v>
      </c>
      <c r="Q1454" s="200">
        <f t="shared" ref="Q1454:AC1454" si="7350">countif($D1454,"*"&amp;Q$2&amp;"*")</f>
        <v>0</v>
      </c>
      <c r="R1454" s="200">
        <f t="shared" si="7350"/>
        <v>0</v>
      </c>
      <c r="S1454" s="200">
        <f t="shared" si="7350"/>
        <v>0</v>
      </c>
      <c r="T1454" s="200">
        <f t="shared" si="7350"/>
        <v>0</v>
      </c>
      <c r="U1454" s="200">
        <f t="shared" si="7350"/>
        <v>0</v>
      </c>
      <c r="V1454" s="200">
        <f t="shared" si="7350"/>
        <v>0</v>
      </c>
      <c r="W1454" s="200">
        <f t="shared" si="7350"/>
        <v>0</v>
      </c>
      <c r="X1454" s="200">
        <f t="shared" si="7350"/>
        <v>0</v>
      </c>
      <c r="Y1454" s="200">
        <f t="shared" si="7350"/>
        <v>0</v>
      </c>
      <c r="Z1454" s="200">
        <f t="shared" si="7350"/>
        <v>0</v>
      </c>
      <c r="AA1454" s="200">
        <f t="shared" si="7350"/>
        <v>0</v>
      </c>
      <c r="AB1454" s="200">
        <f t="shared" si="7350"/>
        <v>0</v>
      </c>
      <c r="AC1454" s="200">
        <f t="shared" si="7350"/>
        <v>0</v>
      </c>
      <c r="AD1454" s="200">
        <f t="shared" si="11"/>
        <v>0</v>
      </c>
      <c r="AE1454" s="200">
        <f t="shared" ref="AE1454:AG1454" si="7351">countif($D1454,"*"&amp;AE$2&amp;"*")</f>
        <v>0</v>
      </c>
      <c r="AF1454" s="200">
        <f t="shared" si="7351"/>
        <v>0</v>
      </c>
      <c r="AG1454" s="200">
        <f t="shared" si="7351"/>
        <v>0</v>
      </c>
      <c r="AH1454" s="171">
        <f t="shared" si="13"/>
        <v>0</v>
      </c>
      <c r="AI1454" s="200">
        <f t="shared" si="14"/>
        <v>0</v>
      </c>
      <c r="AJ1454" s="200">
        <f t="shared" si="6100"/>
        <v>0</v>
      </c>
      <c r="AK1454" s="201">
        <f t="shared" ref="AK1454:AS1454" si="7352">countif($D1454,"*"&amp;AK$2&amp;"*")</f>
        <v>0</v>
      </c>
      <c r="AL1454" s="201">
        <f t="shared" si="7352"/>
        <v>0</v>
      </c>
      <c r="AM1454" s="201">
        <f t="shared" si="7352"/>
        <v>0</v>
      </c>
      <c r="AN1454" s="201">
        <f t="shared" si="7352"/>
        <v>0</v>
      </c>
      <c r="AO1454" s="201">
        <f t="shared" si="7352"/>
        <v>0</v>
      </c>
      <c r="AP1454" s="201">
        <f t="shared" si="7352"/>
        <v>0</v>
      </c>
      <c r="AQ1454" s="201">
        <f t="shared" si="7352"/>
        <v>0</v>
      </c>
      <c r="AR1454" s="200">
        <f t="shared" si="7352"/>
        <v>0</v>
      </c>
      <c r="AS1454" s="200">
        <f t="shared" si="7352"/>
        <v>0</v>
      </c>
      <c r="AT1454" s="173">
        <v>0.0</v>
      </c>
      <c r="AU1454" s="200">
        <f t="shared" si="6217"/>
        <v>0</v>
      </c>
      <c r="AV1454" s="200">
        <f t="shared" ref="AV1454:AX1454" si="7353">countif($D1454,"*"&amp;AV$2&amp;"*")</f>
        <v>1</v>
      </c>
      <c r="AW1454" s="200">
        <f t="shared" si="7353"/>
        <v>0</v>
      </c>
      <c r="AX1454" s="200">
        <f t="shared" si="7353"/>
        <v>0</v>
      </c>
      <c r="AY1454" s="202">
        <v>0.0</v>
      </c>
      <c r="AZ1454" s="200"/>
      <c r="BA1454" s="171" t="str">
        <f t="shared" si="18"/>
        <v/>
      </c>
      <c r="BB1454" s="171" t="str">
        <f t="shared" si="19"/>
        <v>Code</v>
      </c>
      <c r="BC1454" s="171" t="str">
        <f t="shared" si="20"/>
        <v/>
      </c>
      <c r="BD1454" s="171" t="str">
        <f t="shared" si="21"/>
        <v/>
      </c>
      <c r="BE1454" s="171" t="str">
        <f t="shared" si="22"/>
        <v/>
      </c>
      <c r="BF1454" s="171" t="str">
        <f t="shared" si="23"/>
        <v>Code</v>
      </c>
    </row>
    <row r="1455">
      <c r="A1455" s="171">
        <f t="array" ref="A1455">XLOOKUP(C1455,FSE!A:A,FSE!C:C,"XXXXX",0,1)</f>
        <v>2022</v>
      </c>
      <c r="B1455" s="213" t="s">
        <v>5676</v>
      </c>
      <c r="C1455" s="214">
        <v>174.0</v>
      </c>
      <c r="D1455" s="215" t="s">
        <v>6278</v>
      </c>
      <c r="E1455" s="197" t="str">
        <f t="array" ref="E1455">XLOOKUP(C1455,FSE!A:A,FSE!Z:Z,"XXXXX",0,1)</f>
        <v>Publicly Available (6)</v>
      </c>
      <c r="F1455" s="213" t="s">
        <v>3394</v>
      </c>
      <c r="G1455" s="163" t="str">
        <f t="array" ref="G1455">IF(B1455="ICSE",IF(COUNTIFS(B:B,B1455,C:C,C1455)=XLOOKUP(C1455,ICSE!A:A,ICSE!AA:AA,"ERROR",0,1),"OK","ERROR"),IF(B1455="FSE",IF(COUNTIFS(B:B,B1455,C:C,C1455)=XLOOKUP(C1455,FSE!A:A,FSE!AA:AA,"ERROR",0,1),"OK","ERROR")))</f>
        <v>OK</v>
      </c>
      <c r="H1455" s="199">
        <f t="shared" ref="H1455:O1455" si="7354">countif($D1455,"*"&amp;H$2&amp;"*")</f>
        <v>0</v>
      </c>
      <c r="I1455" s="200">
        <f t="shared" si="7354"/>
        <v>0</v>
      </c>
      <c r="J1455" s="200">
        <f t="shared" si="7354"/>
        <v>0</v>
      </c>
      <c r="K1455" s="200">
        <f t="shared" si="7354"/>
        <v>0</v>
      </c>
      <c r="L1455" s="200">
        <f t="shared" si="7354"/>
        <v>0</v>
      </c>
      <c r="M1455" s="200">
        <f t="shared" si="7354"/>
        <v>0</v>
      </c>
      <c r="N1455" s="200">
        <f t="shared" si="7354"/>
        <v>0</v>
      </c>
      <c r="O1455" s="200">
        <f t="shared" si="7354"/>
        <v>0</v>
      </c>
      <c r="P1455" s="200">
        <f t="shared" si="9"/>
        <v>1</v>
      </c>
      <c r="Q1455" s="200">
        <f t="shared" ref="Q1455:AC1455" si="7355">countif($D1455,"*"&amp;Q$2&amp;"*")</f>
        <v>0</v>
      </c>
      <c r="R1455" s="200">
        <f t="shared" si="7355"/>
        <v>0</v>
      </c>
      <c r="S1455" s="200">
        <f t="shared" si="7355"/>
        <v>0</v>
      </c>
      <c r="T1455" s="200">
        <f t="shared" si="7355"/>
        <v>0</v>
      </c>
      <c r="U1455" s="200">
        <f t="shared" si="7355"/>
        <v>0</v>
      </c>
      <c r="V1455" s="200">
        <f t="shared" si="7355"/>
        <v>0</v>
      </c>
      <c r="W1455" s="200">
        <f t="shared" si="7355"/>
        <v>0</v>
      </c>
      <c r="X1455" s="200">
        <f t="shared" si="7355"/>
        <v>0</v>
      </c>
      <c r="Y1455" s="200">
        <f t="shared" si="7355"/>
        <v>0</v>
      </c>
      <c r="Z1455" s="200">
        <f t="shared" si="7355"/>
        <v>0</v>
      </c>
      <c r="AA1455" s="200">
        <f t="shared" si="7355"/>
        <v>0</v>
      </c>
      <c r="AB1455" s="200">
        <f t="shared" si="7355"/>
        <v>0</v>
      </c>
      <c r="AC1455" s="200">
        <f t="shared" si="7355"/>
        <v>0</v>
      </c>
      <c r="AD1455" s="200">
        <f t="shared" si="11"/>
        <v>0</v>
      </c>
      <c r="AE1455" s="200">
        <f t="shared" ref="AE1455:AG1455" si="7356">countif($D1455,"*"&amp;AE$2&amp;"*")</f>
        <v>0</v>
      </c>
      <c r="AF1455" s="200">
        <f t="shared" si="7356"/>
        <v>0</v>
      </c>
      <c r="AG1455" s="200">
        <f t="shared" si="7356"/>
        <v>0</v>
      </c>
      <c r="AH1455" s="171">
        <f t="shared" si="13"/>
        <v>0</v>
      </c>
      <c r="AI1455" s="200">
        <f t="shared" si="14"/>
        <v>0</v>
      </c>
      <c r="AJ1455" s="200">
        <f t="shared" si="6100"/>
        <v>0</v>
      </c>
      <c r="AK1455" s="201">
        <f t="shared" ref="AK1455:AS1455" si="7357">countif($D1455,"*"&amp;AK$2&amp;"*")</f>
        <v>0</v>
      </c>
      <c r="AL1455" s="201">
        <f t="shared" si="7357"/>
        <v>0</v>
      </c>
      <c r="AM1455" s="201">
        <f t="shared" si="7357"/>
        <v>0</v>
      </c>
      <c r="AN1455" s="201">
        <f t="shared" si="7357"/>
        <v>0</v>
      </c>
      <c r="AO1455" s="201">
        <f t="shared" si="7357"/>
        <v>0</v>
      </c>
      <c r="AP1455" s="201">
        <f t="shared" si="7357"/>
        <v>0</v>
      </c>
      <c r="AQ1455" s="201">
        <f t="shared" si="7357"/>
        <v>0</v>
      </c>
      <c r="AR1455" s="200">
        <f t="shared" si="7357"/>
        <v>0</v>
      </c>
      <c r="AS1455" s="200">
        <f t="shared" si="7357"/>
        <v>0</v>
      </c>
      <c r="AT1455" s="173">
        <v>0.0</v>
      </c>
      <c r="AU1455" s="200">
        <f t="shared" si="6217"/>
        <v>0</v>
      </c>
      <c r="AV1455" s="200">
        <f t="shared" ref="AV1455:AX1455" si="7358">countif($D1455,"*"&amp;AV$2&amp;"*")</f>
        <v>1</v>
      </c>
      <c r="AW1455" s="200">
        <f t="shared" si="7358"/>
        <v>0</v>
      </c>
      <c r="AX1455" s="200">
        <f t="shared" si="7358"/>
        <v>0</v>
      </c>
      <c r="AY1455" s="202">
        <v>0.0</v>
      </c>
      <c r="AZ1455" s="200"/>
      <c r="BA1455" s="171" t="str">
        <f t="shared" si="18"/>
        <v/>
      </c>
      <c r="BB1455" s="171" t="str">
        <f t="shared" si="19"/>
        <v>Code</v>
      </c>
      <c r="BC1455" s="171" t="str">
        <f t="shared" si="20"/>
        <v/>
      </c>
      <c r="BD1455" s="171" t="str">
        <f t="shared" si="21"/>
        <v/>
      </c>
      <c r="BE1455" s="171" t="str">
        <f t="shared" si="22"/>
        <v/>
      </c>
      <c r="BF1455" s="171" t="str">
        <f t="shared" si="23"/>
        <v>Code</v>
      </c>
    </row>
    <row r="1456">
      <c r="A1456" s="171">
        <f t="array" ref="A1456">XLOOKUP(C1456,FSE!A:A,FSE!C:C,"XXXXX",0,1)</f>
        <v>2022</v>
      </c>
      <c r="B1456" s="213" t="s">
        <v>5676</v>
      </c>
      <c r="C1456" s="214">
        <v>174.0</v>
      </c>
      <c r="D1456" s="217" t="s">
        <v>6279</v>
      </c>
      <c r="E1456" s="197" t="str">
        <f t="array" ref="E1456">XLOOKUP(C1456,FSE!A:A,FSE!Z:Z,"XXXXX",0,1)</f>
        <v>Publicly Available (6)</v>
      </c>
      <c r="F1456" s="213" t="s">
        <v>3394</v>
      </c>
      <c r="G1456" s="163" t="str">
        <f t="array" ref="G1456">IF(B1456="ICSE",IF(COUNTIFS(B:B,B1456,C:C,C1456)=XLOOKUP(C1456,ICSE!A:A,ICSE!AA:AA,"ERROR",0,1),"OK","ERROR"),IF(B1456="FSE",IF(COUNTIFS(B:B,B1456,C:C,C1456)=XLOOKUP(C1456,FSE!A:A,FSE!AA:AA,"ERROR",0,1),"OK","ERROR")))</f>
        <v>OK</v>
      </c>
      <c r="H1456" s="199">
        <f t="shared" ref="H1456:O1456" si="7359">countif($D1456,"*"&amp;H$2&amp;"*")</f>
        <v>0</v>
      </c>
      <c r="I1456" s="200">
        <f t="shared" si="7359"/>
        <v>0</v>
      </c>
      <c r="J1456" s="200">
        <f t="shared" si="7359"/>
        <v>0</v>
      </c>
      <c r="K1456" s="200">
        <f t="shared" si="7359"/>
        <v>0</v>
      </c>
      <c r="L1456" s="200">
        <f t="shared" si="7359"/>
        <v>0</v>
      </c>
      <c r="M1456" s="200">
        <f t="shared" si="7359"/>
        <v>1</v>
      </c>
      <c r="N1456" s="200">
        <f t="shared" si="7359"/>
        <v>0</v>
      </c>
      <c r="O1456" s="200">
        <f t="shared" si="7359"/>
        <v>0</v>
      </c>
      <c r="P1456" s="200">
        <f t="shared" si="9"/>
        <v>0</v>
      </c>
      <c r="Q1456" s="200">
        <f t="shared" ref="Q1456:AC1456" si="7360">countif($D1456,"*"&amp;Q$2&amp;"*")</f>
        <v>0</v>
      </c>
      <c r="R1456" s="200">
        <f t="shared" si="7360"/>
        <v>0</v>
      </c>
      <c r="S1456" s="200">
        <f t="shared" si="7360"/>
        <v>0</v>
      </c>
      <c r="T1456" s="200">
        <f t="shared" si="7360"/>
        <v>0</v>
      </c>
      <c r="U1456" s="200">
        <f t="shared" si="7360"/>
        <v>0</v>
      </c>
      <c r="V1456" s="200">
        <f t="shared" si="7360"/>
        <v>0</v>
      </c>
      <c r="W1456" s="200">
        <f t="shared" si="7360"/>
        <v>0</v>
      </c>
      <c r="X1456" s="200">
        <f t="shared" si="7360"/>
        <v>0</v>
      </c>
      <c r="Y1456" s="200">
        <f t="shared" si="7360"/>
        <v>0</v>
      </c>
      <c r="Z1456" s="200">
        <f t="shared" si="7360"/>
        <v>0</v>
      </c>
      <c r="AA1456" s="200">
        <f t="shared" si="7360"/>
        <v>0</v>
      </c>
      <c r="AB1456" s="200">
        <f t="shared" si="7360"/>
        <v>0</v>
      </c>
      <c r="AC1456" s="200">
        <f t="shared" si="7360"/>
        <v>0</v>
      </c>
      <c r="AD1456" s="200">
        <f t="shared" si="11"/>
        <v>0</v>
      </c>
      <c r="AE1456" s="200">
        <f t="shared" ref="AE1456:AG1456" si="7361">countif($D1456,"*"&amp;AE$2&amp;"*")</f>
        <v>0</v>
      </c>
      <c r="AF1456" s="200">
        <f t="shared" si="7361"/>
        <v>0</v>
      </c>
      <c r="AG1456" s="200">
        <f t="shared" si="7361"/>
        <v>0</v>
      </c>
      <c r="AH1456" s="171">
        <f t="shared" si="13"/>
        <v>0</v>
      </c>
      <c r="AI1456" s="200">
        <f t="shared" si="14"/>
        <v>1</v>
      </c>
      <c r="AJ1456" s="200">
        <f t="shared" si="6100"/>
        <v>0</v>
      </c>
      <c r="AK1456" s="201">
        <f t="shared" ref="AK1456:AS1456" si="7362">countif($D1456,"*"&amp;AK$2&amp;"*")</f>
        <v>0</v>
      </c>
      <c r="AL1456" s="201">
        <f t="shared" si="7362"/>
        <v>0</v>
      </c>
      <c r="AM1456" s="201">
        <f t="shared" si="7362"/>
        <v>0</v>
      </c>
      <c r="AN1456" s="201">
        <f t="shared" si="7362"/>
        <v>0</v>
      </c>
      <c r="AO1456" s="201">
        <f t="shared" si="7362"/>
        <v>0</v>
      </c>
      <c r="AP1456" s="201">
        <f t="shared" si="7362"/>
        <v>0</v>
      </c>
      <c r="AQ1456" s="201">
        <f t="shared" si="7362"/>
        <v>0</v>
      </c>
      <c r="AR1456" s="200">
        <f t="shared" si="7362"/>
        <v>0</v>
      </c>
      <c r="AS1456" s="200">
        <f t="shared" si="7362"/>
        <v>1</v>
      </c>
      <c r="AT1456" s="173">
        <v>0.0</v>
      </c>
      <c r="AU1456" s="200">
        <f t="shared" si="6217"/>
        <v>0</v>
      </c>
      <c r="AV1456" s="200">
        <f t="shared" ref="AV1456:AX1456" si="7363">countif($D1456,"*"&amp;AV$2&amp;"*")</f>
        <v>0</v>
      </c>
      <c r="AW1456" s="200">
        <f t="shared" si="7363"/>
        <v>0</v>
      </c>
      <c r="AX1456" s="200">
        <f t="shared" si="7363"/>
        <v>1</v>
      </c>
      <c r="AY1456" s="202">
        <v>0.0</v>
      </c>
      <c r="AZ1456" s="200"/>
      <c r="BA1456" s="171" t="str">
        <f t="shared" si="18"/>
        <v>Archival</v>
      </c>
      <c r="BB1456" s="171" t="str">
        <f t="shared" si="19"/>
        <v/>
      </c>
      <c r="BC1456" s="171" t="str">
        <f t="shared" si="20"/>
        <v/>
      </c>
      <c r="BD1456" s="171" t="str">
        <f t="shared" si="21"/>
        <v/>
      </c>
      <c r="BE1456" s="171" t="str">
        <f t="shared" si="22"/>
        <v/>
      </c>
      <c r="BF1456" s="171" t="str">
        <f t="shared" si="23"/>
        <v>Archival</v>
      </c>
    </row>
    <row r="1457">
      <c r="A1457" s="171">
        <f t="array" ref="A1457">XLOOKUP(C1457,FSE!A:A,FSE!C:C,"XXXXX",0,1)</f>
        <v>2022</v>
      </c>
      <c r="B1457" s="171" t="s">
        <v>5676</v>
      </c>
      <c r="C1457" s="160">
        <v>174.0</v>
      </c>
      <c r="D1457" s="161" t="s">
        <v>6280</v>
      </c>
      <c r="E1457" s="197" t="str">
        <f t="array" ref="E1457">XLOOKUP(C1457,FSE!A:A,FSE!Z:Z,"XXXXX",0,1)</f>
        <v>Publicly Available (6)</v>
      </c>
      <c r="F1457" s="213" t="s">
        <v>3394</v>
      </c>
      <c r="G1457" s="163" t="str">
        <f t="array" ref="G1457">IF(B1457="ICSE",IF(COUNTIFS(B:B,B1457,C:C,C1457)=XLOOKUP(C1457,ICSE!A:A,ICSE!AA:AA,"ERROR",0,1),"OK","ERROR"),IF(B1457="FSE",IF(COUNTIFS(B:B,B1457,C:C,C1457)=XLOOKUP(C1457,FSE!A:A,FSE!AA:AA,"ERROR",0,1),"OK","ERROR")))</f>
        <v>OK</v>
      </c>
      <c r="H1457" s="199">
        <f t="shared" ref="H1457:O1457" si="7364">countif($D1457,"*"&amp;H$2&amp;"*")</f>
        <v>0</v>
      </c>
      <c r="I1457" s="200">
        <f t="shared" si="7364"/>
        <v>0</v>
      </c>
      <c r="J1457" s="200">
        <f t="shared" si="7364"/>
        <v>0</v>
      </c>
      <c r="K1457" s="200">
        <f t="shared" si="7364"/>
        <v>0</v>
      </c>
      <c r="L1457" s="200">
        <f t="shared" si="7364"/>
        <v>0</v>
      </c>
      <c r="M1457" s="200">
        <f t="shared" si="7364"/>
        <v>0</v>
      </c>
      <c r="N1457" s="200">
        <f t="shared" si="7364"/>
        <v>0</v>
      </c>
      <c r="O1457" s="200">
        <f t="shared" si="7364"/>
        <v>0</v>
      </c>
      <c r="P1457" s="200">
        <f t="shared" si="9"/>
        <v>0</v>
      </c>
      <c r="Q1457" s="200">
        <f t="shared" ref="Q1457:AC1457" si="7365">countif($D1457,"*"&amp;Q$2&amp;"*")</f>
        <v>0</v>
      </c>
      <c r="R1457" s="200">
        <f t="shared" si="7365"/>
        <v>0</v>
      </c>
      <c r="S1457" s="200">
        <f t="shared" si="7365"/>
        <v>0</v>
      </c>
      <c r="T1457" s="200">
        <f t="shared" si="7365"/>
        <v>1</v>
      </c>
      <c r="U1457" s="200">
        <f t="shared" si="7365"/>
        <v>0</v>
      </c>
      <c r="V1457" s="200">
        <f t="shared" si="7365"/>
        <v>0</v>
      </c>
      <c r="W1457" s="200">
        <f t="shared" si="7365"/>
        <v>0</v>
      </c>
      <c r="X1457" s="200">
        <f t="shared" si="7365"/>
        <v>0</v>
      </c>
      <c r="Y1457" s="200">
        <f t="shared" si="7365"/>
        <v>0</v>
      </c>
      <c r="Z1457" s="200">
        <f t="shared" si="7365"/>
        <v>0</v>
      </c>
      <c r="AA1457" s="200">
        <f t="shared" si="7365"/>
        <v>0</v>
      </c>
      <c r="AB1457" s="200">
        <f t="shared" si="7365"/>
        <v>0</v>
      </c>
      <c r="AC1457" s="200">
        <f t="shared" si="7365"/>
        <v>0</v>
      </c>
      <c r="AD1457" s="200">
        <f t="shared" si="11"/>
        <v>0</v>
      </c>
      <c r="AE1457" s="200">
        <f t="shared" ref="AE1457:AG1457" si="7366">countif($D1457,"*"&amp;AE$2&amp;"*")</f>
        <v>0</v>
      </c>
      <c r="AF1457" s="200">
        <f t="shared" si="7366"/>
        <v>0</v>
      </c>
      <c r="AG1457" s="200">
        <f t="shared" si="7366"/>
        <v>0</v>
      </c>
      <c r="AH1457" s="171">
        <f t="shared" si="13"/>
        <v>0</v>
      </c>
      <c r="AI1457" s="200">
        <f t="shared" si="14"/>
        <v>0</v>
      </c>
      <c r="AJ1457" s="200">
        <f t="shared" si="6100"/>
        <v>0</v>
      </c>
      <c r="AK1457" s="201">
        <f t="shared" ref="AK1457:AS1457" si="7367">countif($D1457,"*"&amp;AK$2&amp;"*")</f>
        <v>0</v>
      </c>
      <c r="AL1457" s="201">
        <f t="shared" si="7367"/>
        <v>0</v>
      </c>
      <c r="AM1457" s="201">
        <f t="shared" si="7367"/>
        <v>0</v>
      </c>
      <c r="AN1457" s="201">
        <f t="shared" si="7367"/>
        <v>0</v>
      </c>
      <c r="AO1457" s="201">
        <f t="shared" si="7367"/>
        <v>0</v>
      </c>
      <c r="AP1457" s="201">
        <f t="shared" si="7367"/>
        <v>0</v>
      </c>
      <c r="AQ1457" s="201">
        <f t="shared" si="7367"/>
        <v>0</v>
      </c>
      <c r="AR1457" s="200">
        <f t="shared" si="7367"/>
        <v>0</v>
      </c>
      <c r="AS1457" s="200">
        <f t="shared" si="7367"/>
        <v>0</v>
      </c>
      <c r="AT1457" s="173">
        <v>0.0</v>
      </c>
      <c r="AU1457" s="200">
        <f t="shared" si="6217"/>
        <v>0</v>
      </c>
      <c r="AV1457" s="200">
        <f t="shared" ref="AV1457:AX1457" si="7368">countif($D1457,"*"&amp;AV$2&amp;"*")</f>
        <v>0</v>
      </c>
      <c r="AW1457" s="200">
        <f t="shared" si="7368"/>
        <v>0</v>
      </c>
      <c r="AX1457" s="200">
        <f t="shared" si="7368"/>
        <v>0</v>
      </c>
      <c r="AY1457" s="202">
        <v>0.0</v>
      </c>
      <c r="AZ1457" s="200"/>
      <c r="BA1457" s="171" t="str">
        <f t="shared" si="18"/>
        <v/>
      </c>
      <c r="BB1457" s="171" t="str">
        <f t="shared" si="19"/>
        <v>Code</v>
      </c>
      <c r="BC1457" s="171" t="str">
        <f t="shared" si="20"/>
        <v/>
      </c>
      <c r="BD1457" s="171" t="str">
        <f t="shared" si="21"/>
        <v/>
      </c>
      <c r="BE1457" s="171" t="str">
        <f t="shared" si="22"/>
        <v/>
      </c>
      <c r="BF1457" s="171" t="str">
        <f t="shared" si="23"/>
        <v>Code</v>
      </c>
    </row>
    <row r="1458">
      <c r="A1458" s="171">
        <f t="array" ref="A1458">XLOOKUP(C1458,FSE!A:A,FSE!C:C,"XXXXX",0,1)</f>
        <v>2022</v>
      </c>
      <c r="B1458" s="171" t="s">
        <v>5676</v>
      </c>
      <c r="C1458" s="160">
        <v>174.0</v>
      </c>
      <c r="D1458" s="161" t="s">
        <v>6281</v>
      </c>
      <c r="E1458" s="197" t="str">
        <f t="array" ref="E1458">XLOOKUP(C1458,FSE!A:A,FSE!Z:Z,"XXXXX",0,1)</f>
        <v>Publicly Available (6)</v>
      </c>
      <c r="F1458" s="213" t="s">
        <v>3394</v>
      </c>
      <c r="G1458" s="163" t="str">
        <f t="array" ref="G1458">IF(B1458="ICSE",IF(COUNTIFS(B:B,B1458,C:C,C1458)=XLOOKUP(C1458,ICSE!A:A,ICSE!AA:AA,"ERROR",0,1),"OK","ERROR"),IF(B1458="FSE",IF(COUNTIFS(B:B,B1458,C:C,C1458)=XLOOKUP(C1458,FSE!A:A,FSE!AA:AA,"ERROR",0,1),"OK","ERROR")))</f>
        <v>OK</v>
      </c>
      <c r="H1458" s="199">
        <f t="shared" ref="H1458:O1458" si="7369">countif($D1458,"*"&amp;H$2&amp;"*")</f>
        <v>0</v>
      </c>
      <c r="I1458" s="200">
        <f t="shared" si="7369"/>
        <v>0</v>
      </c>
      <c r="J1458" s="200">
        <f t="shared" si="7369"/>
        <v>0</v>
      </c>
      <c r="K1458" s="200">
        <f t="shared" si="7369"/>
        <v>0</v>
      </c>
      <c r="L1458" s="200">
        <f t="shared" si="7369"/>
        <v>0</v>
      </c>
      <c r="M1458" s="200">
        <f t="shared" si="7369"/>
        <v>0</v>
      </c>
      <c r="N1458" s="200">
        <f t="shared" si="7369"/>
        <v>0</v>
      </c>
      <c r="O1458" s="200">
        <f t="shared" si="7369"/>
        <v>0</v>
      </c>
      <c r="P1458" s="200">
        <f t="shared" si="9"/>
        <v>0</v>
      </c>
      <c r="Q1458" s="200">
        <f t="shared" ref="Q1458:AC1458" si="7370">countif($D1458,"*"&amp;Q$2&amp;"*")</f>
        <v>0</v>
      </c>
      <c r="R1458" s="200">
        <f t="shared" si="7370"/>
        <v>0</v>
      </c>
      <c r="S1458" s="200">
        <f t="shared" si="7370"/>
        <v>0</v>
      </c>
      <c r="T1458" s="200">
        <f t="shared" si="7370"/>
        <v>1</v>
      </c>
      <c r="U1458" s="200">
        <f t="shared" si="7370"/>
        <v>0</v>
      </c>
      <c r="V1458" s="200">
        <f t="shared" si="7370"/>
        <v>0</v>
      </c>
      <c r="W1458" s="200">
        <f t="shared" si="7370"/>
        <v>0</v>
      </c>
      <c r="X1458" s="200">
        <f t="shared" si="7370"/>
        <v>0</v>
      </c>
      <c r="Y1458" s="200">
        <f t="shared" si="7370"/>
        <v>0</v>
      </c>
      <c r="Z1458" s="200">
        <f t="shared" si="7370"/>
        <v>0</v>
      </c>
      <c r="AA1458" s="200">
        <f t="shared" si="7370"/>
        <v>0</v>
      </c>
      <c r="AB1458" s="200">
        <f t="shared" si="7370"/>
        <v>0</v>
      </c>
      <c r="AC1458" s="200">
        <f t="shared" si="7370"/>
        <v>0</v>
      </c>
      <c r="AD1458" s="200">
        <f t="shared" si="11"/>
        <v>0</v>
      </c>
      <c r="AE1458" s="200">
        <f t="shared" ref="AE1458:AG1458" si="7371">countif($D1458,"*"&amp;AE$2&amp;"*")</f>
        <v>0</v>
      </c>
      <c r="AF1458" s="200">
        <f t="shared" si="7371"/>
        <v>0</v>
      </c>
      <c r="AG1458" s="200">
        <f t="shared" si="7371"/>
        <v>0</v>
      </c>
      <c r="AH1458" s="171">
        <f t="shared" si="13"/>
        <v>0</v>
      </c>
      <c r="AI1458" s="200">
        <f t="shared" si="14"/>
        <v>0</v>
      </c>
      <c r="AJ1458" s="200">
        <f t="shared" si="6100"/>
        <v>0</v>
      </c>
      <c r="AK1458" s="201">
        <f t="shared" ref="AK1458:AS1458" si="7372">countif($D1458,"*"&amp;AK$2&amp;"*")</f>
        <v>0</v>
      </c>
      <c r="AL1458" s="201">
        <f t="shared" si="7372"/>
        <v>0</v>
      </c>
      <c r="AM1458" s="201">
        <f t="shared" si="7372"/>
        <v>0</v>
      </c>
      <c r="AN1458" s="201">
        <f t="shared" si="7372"/>
        <v>0</v>
      </c>
      <c r="AO1458" s="201">
        <f t="shared" si="7372"/>
        <v>0</v>
      </c>
      <c r="AP1458" s="201">
        <f t="shared" si="7372"/>
        <v>0</v>
      </c>
      <c r="AQ1458" s="201">
        <f t="shared" si="7372"/>
        <v>0</v>
      </c>
      <c r="AR1458" s="200">
        <f t="shared" si="7372"/>
        <v>0</v>
      </c>
      <c r="AS1458" s="200">
        <f t="shared" si="7372"/>
        <v>0</v>
      </c>
      <c r="AT1458" s="173">
        <v>0.0</v>
      </c>
      <c r="AU1458" s="200">
        <f t="shared" si="6217"/>
        <v>0</v>
      </c>
      <c r="AV1458" s="200">
        <f t="shared" ref="AV1458:AX1458" si="7373">countif($D1458,"*"&amp;AV$2&amp;"*")</f>
        <v>0</v>
      </c>
      <c r="AW1458" s="200">
        <f t="shared" si="7373"/>
        <v>0</v>
      </c>
      <c r="AX1458" s="200">
        <f t="shared" si="7373"/>
        <v>0</v>
      </c>
      <c r="AY1458" s="202">
        <v>0.0</v>
      </c>
      <c r="AZ1458" s="200"/>
      <c r="BA1458" s="171" t="str">
        <f t="shared" si="18"/>
        <v/>
      </c>
      <c r="BB1458" s="171" t="str">
        <f t="shared" si="19"/>
        <v>Code</v>
      </c>
      <c r="BC1458" s="171" t="str">
        <f t="shared" si="20"/>
        <v/>
      </c>
      <c r="BD1458" s="171" t="str">
        <f t="shared" si="21"/>
        <v/>
      </c>
      <c r="BE1458" s="171" t="str">
        <f t="shared" si="22"/>
        <v/>
      </c>
      <c r="BF1458" s="171" t="str">
        <f t="shared" si="23"/>
        <v>Code</v>
      </c>
    </row>
    <row r="1459">
      <c r="A1459" s="171">
        <f t="array" ref="A1459">XLOOKUP(C1459,FSE!A:A,FSE!C:C,"XXXXX",0,1)</f>
        <v>2022</v>
      </c>
      <c r="B1459" s="213" t="s">
        <v>5676</v>
      </c>
      <c r="C1459" s="214">
        <v>175.0</v>
      </c>
      <c r="D1459" s="215" t="s">
        <v>6282</v>
      </c>
      <c r="E1459" s="197" t="str">
        <f t="array" ref="E1459">XLOOKUP(C1459,FSE!A:A,FSE!Z:Z,"XXXXX",0,1)</f>
        <v>Publicly Available (2)</v>
      </c>
      <c r="F1459" s="213" t="s">
        <v>3394</v>
      </c>
      <c r="G1459" s="163" t="str">
        <f t="array" ref="G1459">IF(B1459="ICSE",IF(COUNTIFS(B:B,B1459,C:C,C1459)=XLOOKUP(C1459,ICSE!A:A,ICSE!AA:AA,"ERROR",0,1),"OK","ERROR"),IF(B1459="FSE",IF(COUNTIFS(B:B,B1459,C:C,C1459)=XLOOKUP(C1459,FSE!A:A,FSE!AA:AA,"ERROR",0,1),"OK","ERROR")))</f>
        <v>OK</v>
      </c>
      <c r="H1459" s="199">
        <f t="shared" ref="H1459:O1459" si="7374">countif($D1459,"*"&amp;H$2&amp;"*")</f>
        <v>1</v>
      </c>
      <c r="I1459" s="200">
        <f t="shared" si="7374"/>
        <v>0</v>
      </c>
      <c r="J1459" s="200">
        <f t="shared" si="7374"/>
        <v>0</v>
      </c>
      <c r="K1459" s="200">
        <f t="shared" si="7374"/>
        <v>0</v>
      </c>
      <c r="L1459" s="200">
        <f t="shared" si="7374"/>
        <v>0</v>
      </c>
      <c r="M1459" s="200">
        <f t="shared" si="7374"/>
        <v>0</v>
      </c>
      <c r="N1459" s="200">
        <f t="shared" si="7374"/>
        <v>0</v>
      </c>
      <c r="O1459" s="200">
        <f t="shared" si="7374"/>
        <v>0</v>
      </c>
      <c r="P1459" s="200">
        <f t="shared" si="9"/>
        <v>0</v>
      </c>
      <c r="Q1459" s="200">
        <f t="shared" ref="Q1459:AC1459" si="7375">countif($D1459,"*"&amp;Q$2&amp;"*")</f>
        <v>0</v>
      </c>
      <c r="R1459" s="200">
        <f t="shared" si="7375"/>
        <v>0</v>
      </c>
      <c r="S1459" s="200">
        <f t="shared" si="7375"/>
        <v>0</v>
      </c>
      <c r="T1459" s="200">
        <f t="shared" si="7375"/>
        <v>0</v>
      </c>
      <c r="U1459" s="200">
        <f t="shared" si="7375"/>
        <v>0</v>
      </c>
      <c r="V1459" s="200">
        <f t="shared" si="7375"/>
        <v>0</v>
      </c>
      <c r="W1459" s="200">
        <f t="shared" si="7375"/>
        <v>0</v>
      </c>
      <c r="X1459" s="200">
        <f t="shared" si="7375"/>
        <v>0</v>
      </c>
      <c r="Y1459" s="200">
        <f t="shared" si="7375"/>
        <v>0</v>
      </c>
      <c r="Z1459" s="200">
        <f t="shared" si="7375"/>
        <v>0</v>
      </c>
      <c r="AA1459" s="200">
        <f t="shared" si="7375"/>
        <v>0</v>
      </c>
      <c r="AB1459" s="200">
        <f t="shared" si="7375"/>
        <v>0</v>
      </c>
      <c r="AC1459" s="200">
        <f t="shared" si="7375"/>
        <v>0</v>
      </c>
      <c r="AD1459" s="200">
        <f t="shared" si="11"/>
        <v>0</v>
      </c>
      <c r="AE1459" s="200">
        <f t="shared" ref="AE1459:AG1459" si="7376">countif($D1459,"*"&amp;AE$2&amp;"*")</f>
        <v>0</v>
      </c>
      <c r="AF1459" s="200">
        <f t="shared" si="7376"/>
        <v>0</v>
      </c>
      <c r="AG1459" s="200">
        <f t="shared" si="7376"/>
        <v>0</v>
      </c>
      <c r="AH1459" s="171">
        <f t="shared" si="13"/>
        <v>0</v>
      </c>
      <c r="AI1459" s="200">
        <f t="shared" si="14"/>
        <v>1</v>
      </c>
      <c r="AJ1459" s="200">
        <f t="shared" si="6100"/>
        <v>0</v>
      </c>
      <c r="AK1459" s="201">
        <f t="shared" ref="AK1459:AS1459" si="7377">countif($D1459,"*"&amp;AK$2&amp;"*")</f>
        <v>0</v>
      </c>
      <c r="AL1459" s="201">
        <f t="shared" si="7377"/>
        <v>0</v>
      </c>
      <c r="AM1459" s="201">
        <f t="shared" si="7377"/>
        <v>0</v>
      </c>
      <c r="AN1459" s="201">
        <f t="shared" si="7377"/>
        <v>0</v>
      </c>
      <c r="AO1459" s="201">
        <f t="shared" si="7377"/>
        <v>0</v>
      </c>
      <c r="AP1459" s="201">
        <f t="shared" si="7377"/>
        <v>0</v>
      </c>
      <c r="AQ1459" s="201">
        <f t="shared" si="7377"/>
        <v>0</v>
      </c>
      <c r="AR1459" s="200">
        <f t="shared" si="7377"/>
        <v>0</v>
      </c>
      <c r="AS1459" s="200">
        <f t="shared" si="7377"/>
        <v>0</v>
      </c>
      <c r="AT1459" s="173">
        <v>0.0</v>
      </c>
      <c r="AU1459" s="200">
        <f t="shared" si="6217"/>
        <v>0</v>
      </c>
      <c r="AV1459" s="200">
        <f t="shared" ref="AV1459:AX1459" si="7378">countif($D1459,"*"&amp;AV$2&amp;"*")</f>
        <v>0</v>
      </c>
      <c r="AW1459" s="200">
        <f t="shared" si="7378"/>
        <v>0</v>
      </c>
      <c r="AX1459" s="200">
        <f t="shared" si="7378"/>
        <v>0</v>
      </c>
      <c r="AY1459" s="204">
        <v>1.0</v>
      </c>
      <c r="AZ1459" s="200"/>
      <c r="BA1459" s="171" t="str">
        <f t="shared" si="18"/>
        <v>Archival</v>
      </c>
      <c r="BB1459" s="171" t="str">
        <f t="shared" si="19"/>
        <v/>
      </c>
      <c r="BC1459" s="171" t="str">
        <f t="shared" si="20"/>
        <v/>
      </c>
      <c r="BD1459" s="171" t="str">
        <f t="shared" si="21"/>
        <v/>
      </c>
      <c r="BE1459" s="171" t="str">
        <f t="shared" si="22"/>
        <v/>
      </c>
      <c r="BF1459" s="171" t="str">
        <f t="shared" si="23"/>
        <v>Archival</v>
      </c>
    </row>
    <row r="1460">
      <c r="A1460" s="171">
        <f t="array" ref="A1460">XLOOKUP(C1460,FSE!A:A,FSE!C:C,"XXXXX",0,1)</f>
        <v>2022</v>
      </c>
      <c r="B1460" s="171" t="s">
        <v>5676</v>
      </c>
      <c r="C1460" s="160">
        <v>175.0</v>
      </c>
      <c r="D1460" s="161" t="s">
        <v>6283</v>
      </c>
      <c r="E1460" s="197" t="str">
        <f t="array" ref="E1460">XLOOKUP(C1460,FSE!A:A,FSE!Z:Z,"XXXXX",0,1)</f>
        <v>Publicly Available (2)</v>
      </c>
      <c r="F1460" s="213" t="s">
        <v>3394</v>
      </c>
      <c r="G1460" s="163" t="str">
        <f t="array" ref="G1460">IF(B1460="ICSE",IF(COUNTIFS(B:B,B1460,C:C,C1460)=XLOOKUP(C1460,ICSE!A:A,ICSE!AA:AA,"ERROR",0,1),"OK","ERROR"),IF(B1460="FSE",IF(COUNTIFS(B:B,B1460,C:C,C1460)=XLOOKUP(C1460,FSE!A:A,FSE!AA:AA,"ERROR",0,1),"OK","ERROR")))</f>
        <v>OK</v>
      </c>
      <c r="H1460" s="199">
        <f t="shared" ref="H1460:O1460" si="7379">countif($D1460,"*"&amp;H$2&amp;"*")</f>
        <v>0</v>
      </c>
      <c r="I1460" s="200">
        <f t="shared" si="7379"/>
        <v>0</v>
      </c>
      <c r="J1460" s="200">
        <f t="shared" si="7379"/>
        <v>0</v>
      </c>
      <c r="K1460" s="200">
        <f t="shared" si="7379"/>
        <v>0</v>
      </c>
      <c r="L1460" s="200">
        <f t="shared" si="7379"/>
        <v>0</v>
      </c>
      <c r="M1460" s="200">
        <f t="shared" si="7379"/>
        <v>0</v>
      </c>
      <c r="N1460" s="200">
        <f t="shared" si="7379"/>
        <v>0</v>
      </c>
      <c r="O1460" s="200">
        <f t="shared" si="7379"/>
        <v>0</v>
      </c>
      <c r="P1460" s="200">
        <f t="shared" si="9"/>
        <v>0</v>
      </c>
      <c r="Q1460" s="200">
        <f t="shared" ref="Q1460:AC1460" si="7380">countif($D1460,"*"&amp;Q$2&amp;"*")</f>
        <v>0</v>
      </c>
      <c r="R1460" s="200">
        <f t="shared" si="7380"/>
        <v>0</v>
      </c>
      <c r="S1460" s="200">
        <f t="shared" si="7380"/>
        <v>0</v>
      </c>
      <c r="T1460" s="200">
        <f t="shared" si="7380"/>
        <v>0</v>
      </c>
      <c r="U1460" s="200">
        <f t="shared" si="7380"/>
        <v>0</v>
      </c>
      <c r="V1460" s="200">
        <f t="shared" si="7380"/>
        <v>0</v>
      </c>
      <c r="W1460" s="200">
        <f t="shared" si="7380"/>
        <v>0</v>
      </c>
      <c r="X1460" s="200">
        <f t="shared" si="7380"/>
        <v>0</v>
      </c>
      <c r="Y1460" s="200">
        <f t="shared" si="7380"/>
        <v>0</v>
      </c>
      <c r="Z1460" s="200">
        <f t="shared" si="7380"/>
        <v>0</v>
      </c>
      <c r="AA1460" s="200">
        <f t="shared" si="7380"/>
        <v>0</v>
      </c>
      <c r="AB1460" s="200">
        <f t="shared" si="7380"/>
        <v>0</v>
      </c>
      <c r="AC1460" s="200">
        <f t="shared" si="7380"/>
        <v>0</v>
      </c>
      <c r="AD1460" s="200">
        <f t="shared" si="11"/>
        <v>0</v>
      </c>
      <c r="AE1460" s="200">
        <f t="shared" ref="AE1460:AG1460" si="7381">countif($D1460,"*"&amp;AE$2&amp;"*")</f>
        <v>0</v>
      </c>
      <c r="AF1460" s="200">
        <f t="shared" si="7381"/>
        <v>0</v>
      </c>
      <c r="AG1460" s="200">
        <f t="shared" si="7381"/>
        <v>0</v>
      </c>
      <c r="AH1460" s="171">
        <f t="shared" si="13"/>
        <v>1</v>
      </c>
      <c r="AI1460" s="200">
        <f t="shared" si="14"/>
        <v>0</v>
      </c>
      <c r="AJ1460" s="200">
        <f t="shared" si="6100"/>
        <v>0</v>
      </c>
      <c r="AK1460" s="201">
        <f t="shared" ref="AK1460:AS1460" si="7382">countif($D1460,"*"&amp;AK$2&amp;"*")</f>
        <v>0</v>
      </c>
      <c r="AL1460" s="201">
        <f t="shared" si="7382"/>
        <v>0</v>
      </c>
      <c r="AM1460" s="201">
        <f t="shared" si="7382"/>
        <v>0</v>
      </c>
      <c r="AN1460" s="201">
        <f t="shared" si="7382"/>
        <v>0</v>
      </c>
      <c r="AO1460" s="201">
        <f t="shared" si="7382"/>
        <v>0</v>
      </c>
      <c r="AP1460" s="201">
        <f t="shared" si="7382"/>
        <v>0</v>
      </c>
      <c r="AQ1460" s="201">
        <f t="shared" si="7382"/>
        <v>0</v>
      </c>
      <c r="AR1460" s="200">
        <f t="shared" si="7382"/>
        <v>0</v>
      </c>
      <c r="AS1460" s="200">
        <f t="shared" si="7382"/>
        <v>0</v>
      </c>
      <c r="AT1460" s="173">
        <v>0.0</v>
      </c>
      <c r="AU1460" s="200">
        <f t="shared" si="6217"/>
        <v>0</v>
      </c>
      <c r="AV1460" s="200">
        <f t="shared" ref="AV1460:AX1460" si="7383">countif($D1460,"*"&amp;AV$2&amp;"*")</f>
        <v>0</v>
      </c>
      <c r="AW1460" s="200">
        <f t="shared" si="7383"/>
        <v>0</v>
      </c>
      <c r="AX1460" s="200">
        <f t="shared" si="7383"/>
        <v>0</v>
      </c>
      <c r="AY1460" s="202">
        <v>0.0</v>
      </c>
      <c r="AZ1460" s="200"/>
      <c r="BA1460" s="171" t="str">
        <f t="shared" si="18"/>
        <v/>
      </c>
      <c r="BB1460" s="171" t="str">
        <f t="shared" si="19"/>
        <v/>
      </c>
      <c r="BC1460" s="171" t="str">
        <f t="shared" si="20"/>
        <v/>
      </c>
      <c r="BD1460" s="171" t="str">
        <f t="shared" si="21"/>
        <v/>
      </c>
      <c r="BE1460" s="171" t="str">
        <f t="shared" si="22"/>
        <v>Others</v>
      </c>
      <c r="BF1460" s="171" t="str">
        <f t="shared" si="23"/>
        <v>Others</v>
      </c>
    </row>
    <row r="1461">
      <c r="A1461" s="171">
        <f t="array" ref="A1461">XLOOKUP(C1461,FSE!A:A,FSE!C:C,"XXXXX",0,1)</f>
        <v>2022</v>
      </c>
      <c r="B1461" s="213" t="s">
        <v>5676</v>
      </c>
      <c r="C1461" s="214">
        <v>176.0</v>
      </c>
      <c r="D1461" s="215" t="s">
        <v>5155</v>
      </c>
      <c r="E1461" s="197" t="str">
        <f t="array" ref="E1461">XLOOKUP(C1461,FSE!A:A,FSE!Z:Z,"XXXXX",0,1)</f>
        <v>Publicly Available (1)</v>
      </c>
      <c r="F1461" s="213" t="s">
        <v>3394</v>
      </c>
      <c r="G1461" s="163" t="str">
        <f t="array" ref="G1461">IF(B1461="ICSE",IF(COUNTIFS(B:B,B1461,C:C,C1461)=XLOOKUP(C1461,ICSE!A:A,ICSE!AA:AA,"ERROR",0,1),"OK","ERROR"),IF(B1461="FSE",IF(COUNTIFS(B:B,B1461,C:C,C1461)=XLOOKUP(C1461,FSE!A:A,FSE!AA:AA,"ERROR",0,1),"OK","ERROR")))</f>
        <v>OK</v>
      </c>
      <c r="H1461" s="199">
        <f t="shared" ref="H1461:O1461" si="7384">countif($D1461,"*"&amp;H$2&amp;"*")</f>
        <v>1</v>
      </c>
      <c r="I1461" s="200">
        <f t="shared" si="7384"/>
        <v>0</v>
      </c>
      <c r="J1461" s="200">
        <f t="shared" si="7384"/>
        <v>0</v>
      </c>
      <c r="K1461" s="200">
        <f t="shared" si="7384"/>
        <v>0</v>
      </c>
      <c r="L1461" s="200">
        <f t="shared" si="7384"/>
        <v>0</v>
      </c>
      <c r="M1461" s="200">
        <f t="shared" si="7384"/>
        <v>0</v>
      </c>
      <c r="N1461" s="200">
        <f t="shared" si="7384"/>
        <v>0</v>
      </c>
      <c r="O1461" s="200">
        <f t="shared" si="7384"/>
        <v>0</v>
      </c>
      <c r="P1461" s="200">
        <f t="shared" si="9"/>
        <v>0</v>
      </c>
      <c r="Q1461" s="200">
        <f t="shared" ref="Q1461:AC1461" si="7385">countif($D1461,"*"&amp;Q$2&amp;"*")</f>
        <v>0</v>
      </c>
      <c r="R1461" s="200">
        <f t="shared" si="7385"/>
        <v>0</v>
      </c>
      <c r="S1461" s="200">
        <f t="shared" si="7385"/>
        <v>0</v>
      </c>
      <c r="T1461" s="200">
        <f t="shared" si="7385"/>
        <v>0</v>
      </c>
      <c r="U1461" s="200">
        <f t="shared" si="7385"/>
        <v>0</v>
      </c>
      <c r="V1461" s="200">
        <f t="shared" si="7385"/>
        <v>0</v>
      </c>
      <c r="W1461" s="200">
        <f t="shared" si="7385"/>
        <v>0</v>
      </c>
      <c r="X1461" s="200">
        <f t="shared" si="7385"/>
        <v>0</v>
      </c>
      <c r="Y1461" s="200">
        <f t="shared" si="7385"/>
        <v>0</v>
      </c>
      <c r="Z1461" s="200">
        <f t="shared" si="7385"/>
        <v>0</v>
      </c>
      <c r="AA1461" s="200">
        <f t="shared" si="7385"/>
        <v>0</v>
      </c>
      <c r="AB1461" s="200">
        <f t="shared" si="7385"/>
        <v>0</v>
      </c>
      <c r="AC1461" s="200">
        <f t="shared" si="7385"/>
        <v>0</v>
      </c>
      <c r="AD1461" s="200">
        <f t="shared" si="11"/>
        <v>0</v>
      </c>
      <c r="AE1461" s="200">
        <f t="shared" ref="AE1461:AG1461" si="7386">countif($D1461,"*"&amp;AE$2&amp;"*")</f>
        <v>0</v>
      </c>
      <c r="AF1461" s="200">
        <f t="shared" si="7386"/>
        <v>0</v>
      </c>
      <c r="AG1461" s="200">
        <f t="shared" si="7386"/>
        <v>0</v>
      </c>
      <c r="AH1461" s="171">
        <f t="shared" si="13"/>
        <v>0</v>
      </c>
      <c r="AI1461" s="200">
        <f t="shared" si="14"/>
        <v>1</v>
      </c>
      <c r="AJ1461" s="200">
        <f t="shared" si="6100"/>
        <v>0</v>
      </c>
      <c r="AK1461" s="201">
        <f t="shared" ref="AK1461:AS1461" si="7387">countif($D1461,"*"&amp;AK$2&amp;"*")</f>
        <v>0</v>
      </c>
      <c r="AL1461" s="201">
        <f t="shared" si="7387"/>
        <v>0</v>
      </c>
      <c r="AM1461" s="201">
        <f t="shared" si="7387"/>
        <v>0</v>
      </c>
      <c r="AN1461" s="201">
        <f t="shared" si="7387"/>
        <v>0</v>
      </c>
      <c r="AO1461" s="201">
        <f t="shared" si="7387"/>
        <v>0</v>
      </c>
      <c r="AP1461" s="201">
        <f t="shared" si="7387"/>
        <v>0</v>
      </c>
      <c r="AQ1461" s="201">
        <f t="shared" si="7387"/>
        <v>0</v>
      </c>
      <c r="AR1461" s="200">
        <f t="shared" si="7387"/>
        <v>0</v>
      </c>
      <c r="AS1461" s="200">
        <f t="shared" si="7387"/>
        <v>0</v>
      </c>
      <c r="AT1461" s="173">
        <v>0.0</v>
      </c>
      <c r="AU1461" s="200">
        <f t="shared" si="6217"/>
        <v>0</v>
      </c>
      <c r="AV1461" s="200">
        <f t="shared" ref="AV1461:AX1461" si="7388">countif($D1461,"*"&amp;AV$2&amp;"*")</f>
        <v>0</v>
      </c>
      <c r="AW1461" s="200">
        <f t="shared" si="7388"/>
        <v>0</v>
      </c>
      <c r="AX1461" s="200">
        <f t="shared" si="7388"/>
        <v>1</v>
      </c>
      <c r="AY1461" s="202">
        <v>0.0</v>
      </c>
      <c r="AZ1461" s="200"/>
      <c r="BA1461" s="171" t="str">
        <f t="shared" si="18"/>
        <v>Archival</v>
      </c>
      <c r="BB1461" s="171" t="str">
        <f t="shared" si="19"/>
        <v/>
      </c>
      <c r="BC1461" s="171" t="str">
        <f t="shared" si="20"/>
        <v/>
      </c>
      <c r="BD1461" s="171" t="str">
        <f t="shared" si="21"/>
        <v/>
      </c>
      <c r="BE1461" s="171" t="str">
        <f t="shared" si="22"/>
        <v/>
      </c>
      <c r="BF1461" s="171" t="str">
        <f t="shared" si="23"/>
        <v>Archival</v>
      </c>
    </row>
    <row r="1462">
      <c r="A1462" s="171">
        <f t="array" ref="A1462">XLOOKUP(C1462,FSE!A:A,FSE!C:C,"XXXXX",0,1)</f>
        <v>2022</v>
      </c>
      <c r="B1462" s="213" t="s">
        <v>5676</v>
      </c>
      <c r="C1462" s="214">
        <v>177.0</v>
      </c>
      <c r="D1462" s="215" t="s">
        <v>5158</v>
      </c>
      <c r="E1462" s="197" t="str">
        <f t="array" ref="E1462">XLOOKUP(C1462,FSE!A:A,FSE!Z:Z,"XXXXX",0,1)</f>
        <v>Publicly Available (1)</v>
      </c>
      <c r="F1462" s="213" t="s">
        <v>3394</v>
      </c>
      <c r="G1462" s="163" t="str">
        <f t="array" ref="G1462">IF(B1462="ICSE",IF(COUNTIFS(B:B,B1462,C:C,C1462)=XLOOKUP(C1462,ICSE!A:A,ICSE!AA:AA,"ERROR",0,1),"OK","ERROR"),IF(B1462="FSE",IF(COUNTIFS(B:B,B1462,C:C,C1462)=XLOOKUP(C1462,FSE!A:A,FSE!AA:AA,"ERROR",0,1),"OK","ERROR")))</f>
        <v>OK</v>
      </c>
      <c r="H1462" s="199">
        <f t="shared" ref="H1462:O1462" si="7389">countif($D1462,"*"&amp;H$2&amp;"*")</f>
        <v>0</v>
      </c>
      <c r="I1462" s="200">
        <f t="shared" si="7389"/>
        <v>0</v>
      </c>
      <c r="J1462" s="200">
        <f t="shared" si="7389"/>
        <v>0</v>
      </c>
      <c r="K1462" s="200">
        <f t="shared" si="7389"/>
        <v>0</v>
      </c>
      <c r="L1462" s="200">
        <f t="shared" si="7389"/>
        <v>0</v>
      </c>
      <c r="M1462" s="200">
        <f t="shared" si="7389"/>
        <v>0</v>
      </c>
      <c r="N1462" s="200">
        <f t="shared" si="7389"/>
        <v>0</v>
      </c>
      <c r="O1462" s="200">
        <f t="shared" si="7389"/>
        <v>0</v>
      </c>
      <c r="P1462" s="200">
        <f t="shared" si="9"/>
        <v>0</v>
      </c>
      <c r="Q1462" s="200">
        <f t="shared" ref="Q1462:AC1462" si="7390">countif($D1462,"*"&amp;Q$2&amp;"*")</f>
        <v>0</v>
      </c>
      <c r="R1462" s="200">
        <f t="shared" si="7390"/>
        <v>0</v>
      </c>
      <c r="S1462" s="200">
        <f t="shared" si="7390"/>
        <v>0</v>
      </c>
      <c r="T1462" s="200">
        <f t="shared" si="7390"/>
        <v>0</v>
      </c>
      <c r="U1462" s="200">
        <f t="shared" si="7390"/>
        <v>0</v>
      </c>
      <c r="V1462" s="200">
        <f t="shared" si="7390"/>
        <v>0</v>
      </c>
      <c r="W1462" s="200">
        <f t="shared" si="7390"/>
        <v>0</v>
      </c>
      <c r="X1462" s="200">
        <f t="shared" si="7390"/>
        <v>0</v>
      </c>
      <c r="Y1462" s="200">
        <f t="shared" si="7390"/>
        <v>0</v>
      </c>
      <c r="Z1462" s="200">
        <f t="shared" si="7390"/>
        <v>0</v>
      </c>
      <c r="AA1462" s="200">
        <f t="shared" si="7390"/>
        <v>1</v>
      </c>
      <c r="AB1462" s="200">
        <f t="shared" si="7390"/>
        <v>0</v>
      </c>
      <c r="AC1462" s="200">
        <f t="shared" si="7390"/>
        <v>0</v>
      </c>
      <c r="AD1462" s="200">
        <f t="shared" si="11"/>
        <v>0</v>
      </c>
      <c r="AE1462" s="200">
        <f t="shared" ref="AE1462:AG1462" si="7391">countif($D1462,"*"&amp;AE$2&amp;"*")</f>
        <v>0</v>
      </c>
      <c r="AF1462" s="200">
        <f t="shared" si="7391"/>
        <v>0</v>
      </c>
      <c r="AG1462" s="200">
        <f t="shared" si="7391"/>
        <v>0</v>
      </c>
      <c r="AH1462" s="171">
        <f t="shared" si="13"/>
        <v>0</v>
      </c>
      <c r="AI1462" s="200">
        <f t="shared" si="14"/>
        <v>0</v>
      </c>
      <c r="AJ1462" s="200">
        <f t="shared" si="6100"/>
        <v>0</v>
      </c>
      <c r="AK1462" s="201">
        <f t="shared" ref="AK1462:AS1462" si="7392">countif($D1462,"*"&amp;AK$2&amp;"*")</f>
        <v>0</v>
      </c>
      <c r="AL1462" s="201">
        <f t="shared" si="7392"/>
        <v>0</v>
      </c>
      <c r="AM1462" s="201">
        <f t="shared" si="7392"/>
        <v>0</v>
      </c>
      <c r="AN1462" s="201">
        <f t="shared" si="7392"/>
        <v>0</v>
      </c>
      <c r="AO1462" s="201">
        <f t="shared" si="7392"/>
        <v>0</v>
      </c>
      <c r="AP1462" s="201">
        <f t="shared" si="7392"/>
        <v>0</v>
      </c>
      <c r="AQ1462" s="201">
        <f t="shared" si="7392"/>
        <v>0</v>
      </c>
      <c r="AR1462" s="200">
        <f t="shared" si="7392"/>
        <v>0</v>
      </c>
      <c r="AS1462" s="200">
        <f t="shared" si="7392"/>
        <v>0</v>
      </c>
      <c r="AT1462" s="173">
        <v>0.0</v>
      </c>
      <c r="AU1462" s="200">
        <f t="shared" si="6217"/>
        <v>0</v>
      </c>
      <c r="AV1462" s="200">
        <f t="shared" ref="AV1462:AX1462" si="7393">countif($D1462,"*"&amp;AV$2&amp;"*")</f>
        <v>0</v>
      </c>
      <c r="AW1462" s="200">
        <f t="shared" si="7393"/>
        <v>0</v>
      </c>
      <c r="AX1462" s="200">
        <f t="shared" si="7393"/>
        <v>0</v>
      </c>
      <c r="AY1462" s="202">
        <v>0.0</v>
      </c>
      <c r="AZ1462" s="200"/>
      <c r="BA1462" s="171" t="str">
        <f t="shared" si="18"/>
        <v/>
      </c>
      <c r="BB1462" s="171" t="str">
        <f t="shared" si="19"/>
        <v/>
      </c>
      <c r="BC1462" s="171" t="str">
        <f t="shared" si="20"/>
        <v>General-purpose</v>
      </c>
      <c r="BD1462" s="171" t="str">
        <f t="shared" si="21"/>
        <v/>
      </c>
      <c r="BE1462" s="171" t="str">
        <f t="shared" si="22"/>
        <v/>
      </c>
      <c r="BF1462" s="171" t="str">
        <f t="shared" si="23"/>
        <v>General-purpose</v>
      </c>
    </row>
    <row r="1463">
      <c r="A1463" s="171">
        <f t="array" ref="A1463">XLOOKUP(C1463,FSE!A:A,FSE!C:C,"XXXXX",0,1)</f>
        <v>2022</v>
      </c>
      <c r="B1463" s="213" t="s">
        <v>5676</v>
      </c>
      <c r="C1463" s="214">
        <v>178.0</v>
      </c>
      <c r="D1463" s="217" t="s">
        <v>6284</v>
      </c>
      <c r="E1463" s="197" t="str">
        <f t="array" ref="E1463">XLOOKUP(C1463,FSE!A:A,FSE!Z:Z,"XXXXX",0,1)</f>
        <v>Publicly Available (1)</v>
      </c>
      <c r="F1463" s="213" t="s">
        <v>3394</v>
      </c>
      <c r="G1463" s="163" t="str">
        <f t="array" ref="G1463">IF(B1463="ICSE",IF(COUNTIFS(B:B,B1463,C:C,C1463)=XLOOKUP(C1463,ICSE!A:A,ICSE!AA:AA,"ERROR",0,1),"OK","ERROR"),IF(B1463="FSE",IF(COUNTIFS(B:B,B1463,C:C,C1463)=XLOOKUP(C1463,FSE!A:A,FSE!AA:AA,"ERROR",0,1),"OK","ERROR")))</f>
        <v>OK</v>
      </c>
      <c r="H1463" s="199">
        <f t="shared" ref="H1463:O1463" si="7394">countif($D1463,"*"&amp;H$2&amp;"*")</f>
        <v>0</v>
      </c>
      <c r="I1463" s="200">
        <f t="shared" si="7394"/>
        <v>0</v>
      </c>
      <c r="J1463" s="200">
        <f t="shared" si="7394"/>
        <v>0</v>
      </c>
      <c r="K1463" s="200">
        <f t="shared" si="7394"/>
        <v>0</v>
      </c>
      <c r="L1463" s="200">
        <f t="shared" si="7394"/>
        <v>0</v>
      </c>
      <c r="M1463" s="200">
        <f t="shared" si="7394"/>
        <v>1</v>
      </c>
      <c r="N1463" s="200">
        <f t="shared" si="7394"/>
        <v>0</v>
      </c>
      <c r="O1463" s="200">
        <f t="shared" si="7394"/>
        <v>0</v>
      </c>
      <c r="P1463" s="200">
        <f t="shared" si="9"/>
        <v>0</v>
      </c>
      <c r="Q1463" s="200">
        <f t="shared" ref="Q1463:AC1463" si="7395">countif($D1463,"*"&amp;Q$2&amp;"*")</f>
        <v>0</v>
      </c>
      <c r="R1463" s="200">
        <f t="shared" si="7395"/>
        <v>0</v>
      </c>
      <c r="S1463" s="200">
        <f t="shared" si="7395"/>
        <v>0</v>
      </c>
      <c r="T1463" s="200">
        <f t="shared" si="7395"/>
        <v>0</v>
      </c>
      <c r="U1463" s="200">
        <f t="shared" si="7395"/>
        <v>0</v>
      </c>
      <c r="V1463" s="200">
        <f t="shared" si="7395"/>
        <v>0</v>
      </c>
      <c r="W1463" s="200">
        <f t="shared" si="7395"/>
        <v>0</v>
      </c>
      <c r="X1463" s="200">
        <f t="shared" si="7395"/>
        <v>0</v>
      </c>
      <c r="Y1463" s="200">
        <f t="shared" si="7395"/>
        <v>0</v>
      </c>
      <c r="Z1463" s="200">
        <f t="shared" si="7395"/>
        <v>0</v>
      </c>
      <c r="AA1463" s="200">
        <f t="shared" si="7395"/>
        <v>0</v>
      </c>
      <c r="AB1463" s="200">
        <f t="shared" si="7395"/>
        <v>0</v>
      </c>
      <c r="AC1463" s="200">
        <f t="shared" si="7395"/>
        <v>0</v>
      </c>
      <c r="AD1463" s="200">
        <f t="shared" si="11"/>
        <v>0</v>
      </c>
      <c r="AE1463" s="200">
        <f t="shared" ref="AE1463:AG1463" si="7396">countif($D1463,"*"&amp;AE$2&amp;"*")</f>
        <v>0</v>
      </c>
      <c r="AF1463" s="200">
        <f t="shared" si="7396"/>
        <v>0</v>
      </c>
      <c r="AG1463" s="200">
        <f t="shared" si="7396"/>
        <v>0</v>
      </c>
      <c r="AH1463" s="171">
        <f t="shared" si="13"/>
        <v>0</v>
      </c>
      <c r="AI1463" s="200">
        <f t="shared" si="14"/>
        <v>1</v>
      </c>
      <c r="AJ1463" s="200">
        <f t="shared" si="6100"/>
        <v>0</v>
      </c>
      <c r="AK1463" s="201">
        <f t="shared" ref="AK1463:AS1463" si="7397">countif($D1463,"*"&amp;AK$2&amp;"*")</f>
        <v>0</v>
      </c>
      <c r="AL1463" s="201">
        <f t="shared" si="7397"/>
        <v>0</v>
      </c>
      <c r="AM1463" s="201">
        <f t="shared" si="7397"/>
        <v>0</v>
      </c>
      <c r="AN1463" s="201">
        <f t="shared" si="7397"/>
        <v>0</v>
      </c>
      <c r="AO1463" s="201">
        <f t="shared" si="7397"/>
        <v>0</v>
      </c>
      <c r="AP1463" s="201">
        <f t="shared" si="7397"/>
        <v>0</v>
      </c>
      <c r="AQ1463" s="201">
        <f t="shared" si="7397"/>
        <v>0</v>
      </c>
      <c r="AR1463" s="200">
        <f t="shared" si="7397"/>
        <v>0</v>
      </c>
      <c r="AS1463" s="200">
        <f t="shared" si="7397"/>
        <v>1</v>
      </c>
      <c r="AT1463" s="173">
        <v>0.0</v>
      </c>
      <c r="AU1463" s="200">
        <f t="shared" si="6217"/>
        <v>0</v>
      </c>
      <c r="AV1463" s="200">
        <f t="shared" ref="AV1463:AX1463" si="7398">countif($D1463,"*"&amp;AV$2&amp;"*")</f>
        <v>0</v>
      </c>
      <c r="AW1463" s="200">
        <f t="shared" si="7398"/>
        <v>0</v>
      </c>
      <c r="AX1463" s="200">
        <f t="shared" si="7398"/>
        <v>1</v>
      </c>
      <c r="AY1463" s="202">
        <v>0.0</v>
      </c>
      <c r="AZ1463" s="200"/>
      <c r="BA1463" s="171" t="str">
        <f t="shared" si="18"/>
        <v>Archival</v>
      </c>
      <c r="BB1463" s="171" t="str">
        <f t="shared" si="19"/>
        <v/>
      </c>
      <c r="BC1463" s="171" t="str">
        <f t="shared" si="20"/>
        <v/>
      </c>
      <c r="BD1463" s="171" t="str">
        <f t="shared" si="21"/>
        <v/>
      </c>
      <c r="BE1463" s="171" t="str">
        <f t="shared" si="22"/>
        <v/>
      </c>
      <c r="BF1463" s="171" t="str">
        <f t="shared" si="23"/>
        <v>Archival</v>
      </c>
    </row>
    <row r="1464">
      <c r="A1464" s="171">
        <f t="array" ref="A1464">XLOOKUP(C1464,FSE!A:A,FSE!C:C,"XXXXX",0,1)</f>
        <v>2022</v>
      </c>
      <c r="B1464" s="213" t="s">
        <v>5676</v>
      </c>
      <c r="C1464" s="214">
        <v>179.0</v>
      </c>
      <c r="D1464" s="215" t="s">
        <v>6285</v>
      </c>
      <c r="E1464" s="197" t="str">
        <f t="array" ref="E1464">XLOOKUP(C1464,FSE!A:A,FSE!Z:Z,"XXXXX",0,1)</f>
        <v>Publicly Available (2)</v>
      </c>
      <c r="F1464" s="213" t="s">
        <v>3394</v>
      </c>
      <c r="G1464" s="163" t="str">
        <f t="array" ref="G1464">IF(B1464="ICSE",IF(COUNTIFS(B:B,B1464,C:C,C1464)=XLOOKUP(C1464,ICSE!A:A,ICSE!AA:AA,"ERROR",0,1),"OK","ERROR"),IF(B1464="FSE",IF(COUNTIFS(B:B,B1464,C:C,C1464)=XLOOKUP(C1464,FSE!A:A,FSE!AA:AA,"ERROR",0,1),"OK","ERROR")))</f>
        <v>OK</v>
      </c>
      <c r="H1464" s="199">
        <f t="shared" ref="H1464:O1464" si="7399">countif($D1464,"*"&amp;H$2&amp;"*")</f>
        <v>0</v>
      </c>
      <c r="I1464" s="200">
        <f t="shared" si="7399"/>
        <v>0</v>
      </c>
      <c r="J1464" s="200">
        <f t="shared" si="7399"/>
        <v>0</v>
      </c>
      <c r="K1464" s="200">
        <f t="shared" si="7399"/>
        <v>0</v>
      </c>
      <c r="L1464" s="200">
        <f t="shared" si="7399"/>
        <v>0</v>
      </c>
      <c r="M1464" s="200">
        <f t="shared" si="7399"/>
        <v>0</v>
      </c>
      <c r="N1464" s="200">
        <f t="shared" si="7399"/>
        <v>0</v>
      </c>
      <c r="O1464" s="200">
        <f t="shared" si="7399"/>
        <v>0</v>
      </c>
      <c r="P1464" s="200">
        <f t="shared" si="9"/>
        <v>1</v>
      </c>
      <c r="Q1464" s="200">
        <f t="shared" ref="Q1464:AC1464" si="7400">countif($D1464,"*"&amp;Q$2&amp;"*")</f>
        <v>0</v>
      </c>
      <c r="R1464" s="200">
        <f t="shared" si="7400"/>
        <v>0</v>
      </c>
      <c r="S1464" s="200">
        <f t="shared" si="7400"/>
        <v>0</v>
      </c>
      <c r="T1464" s="200">
        <f t="shared" si="7400"/>
        <v>0</v>
      </c>
      <c r="U1464" s="200">
        <f t="shared" si="7400"/>
        <v>0</v>
      </c>
      <c r="V1464" s="200">
        <f t="shared" si="7400"/>
        <v>0</v>
      </c>
      <c r="W1464" s="200">
        <f t="shared" si="7400"/>
        <v>0</v>
      </c>
      <c r="X1464" s="200">
        <f t="shared" si="7400"/>
        <v>0</v>
      </c>
      <c r="Y1464" s="200">
        <f t="shared" si="7400"/>
        <v>0</v>
      </c>
      <c r="Z1464" s="200">
        <f t="shared" si="7400"/>
        <v>0</v>
      </c>
      <c r="AA1464" s="200">
        <f t="shared" si="7400"/>
        <v>0</v>
      </c>
      <c r="AB1464" s="200">
        <f t="shared" si="7400"/>
        <v>0</v>
      </c>
      <c r="AC1464" s="200">
        <f t="shared" si="7400"/>
        <v>0</v>
      </c>
      <c r="AD1464" s="200">
        <f t="shared" si="11"/>
        <v>0</v>
      </c>
      <c r="AE1464" s="200">
        <f t="shared" ref="AE1464:AG1464" si="7401">countif($D1464,"*"&amp;AE$2&amp;"*")</f>
        <v>0</v>
      </c>
      <c r="AF1464" s="200">
        <f t="shared" si="7401"/>
        <v>0</v>
      </c>
      <c r="AG1464" s="200">
        <f t="shared" si="7401"/>
        <v>0</v>
      </c>
      <c r="AH1464" s="171">
        <f t="shared" si="13"/>
        <v>0</v>
      </c>
      <c r="AI1464" s="200">
        <f t="shared" si="14"/>
        <v>0</v>
      </c>
      <c r="AJ1464" s="200">
        <f t="shared" si="6100"/>
        <v>0</v>
      </c>
      <c r="AK1464" s="201">
        <f t="shared" ref="AK1464:AS1464" si="7402">countif($D1464,"*"&amp;AK$2&amp;"*")</f>
        <v>0</v>
      </c>
      <c r="AL1464" s="201">
        <f t="shared" si="7402"/>
        <v>0</v>
      </c>
      <c r="AM1464" s="201">
        <f t="shared" si="7402"/>
        <v>0</v>
      </c>
      <c r="AN1464" s="201">
        <f t="shared" si="7402"/>
        <v>0</v>
      </c>
      <c r="AO1464" s="201">
        <f t="shared" si="7402"/>
        <v>0</v>
      </c>
      <c r="AP1464" s="201">
        <f t="shared" si="7402"/>
        <v>0</v>
      </c>
      <c r="AQ1464" s="201">
        <f t="shared" si="7402"/>
        <v>0</v>
      </c>
      <c r="AR1464" s="200">
        <f t="shared" si="7402"/>
        <v>0</v>
      </c>
      <c r="AS1464" s="200">
        <f t="shared" si="7402"/>
        <v>0</v>
      </c>
      <c r="AT1464" s="173">
        <v>0.0</v>
      </c>
      <c r="AU1464" s="200">
        <f t="shared" si="6217"/>
        <v>0</v>
      </c>
      <c r="AV1464" s="200">
        <f t="shared" ref="AV1464:AX1464" si="7403">countif($D1464,"*"&amp;AV$2&amp;"*")</f>
        <v>1</v>
      </c>
      <c r="AW1464" s="200">
        <f t="shared" si="7403"/>
        <v>0</v>
      </c>
      <c r="AX1464" s="200">
        <f t="shared" si="7403"/>
        <v>0</v>
      </c>
      <c r="AY1464" s="202">
        <v>0.0</v>
      </c>
      <c r="AZ1464" s="200"/>
      <c r="BA1464" s="171" t="str">
        <f t="shared" si="18"/>
        <v/>
      </c>
      <c r="BB1464" s="171" t="str">
        <f t="shared" si="19"/>
        <v>Code</v>
      </c>
      <c r="BC1464" s="171" t="str">
        <f t="shared" si="20"/>
        <v/>
      </c>
      <c r="BD1464" s="171" t="str">
        <f t="shared" si="21"/>
        <v/>
      </c>
      <c r="BE1464" s="171" t="str">
        <f t="shared" si="22"/>
        <v/>
      </c>
      <c r="BF1464" s="171" t="str">
        <f t="shared" si="23"/>
        <v>Code</v>
      </c>
    </row>
    <row r="1465">
      <c r="A1465" s="171">
        <f t="array" ref="A1465">XLOOKUP(C1465,FSE!A:A,FSE!C:C,"XXXXX",0,1)</f>
        <v>2022</v>
      </c>
      <c r="B1465" s="171" t="s">
        <v>5676</v>
      </c>
      <c r="C1465" s="160">
        <v>179.0</v>
      </c>
      <c r="D1465" s="161" t="s">
        <v>6286</v>
      </c>
      <c r="E1465" s="197" t="str">
        <f t="array" ref="E1465">XLOOKUP(C1465,FSE!A:A,FSE!Z:Z,"XXXXX",0,1)</f>
        <v>Publicly Available (2)</v>
      </c>
      <c r="F1465" s="213" t="s">
        <v>3394</v>
      </c>
      <c r="G1465" s="163" t="str">
        <f t="array" ref="G1465">IF(B1465="ICSE",IF(COUNTIFS(B:B,B1465,C:C,C1465)=XLOOKUP(C1465,ICSE!A:A,ICSE!AA:AA,"ERROR",0,1),"OK","ERROR"),IF(B1465="FSE",IF(COUNTIFS(B:B,B1465,C:C,C1465)=XLOOKUP(C1465,FSE!A:A,FSE!AA:AA,"ERROR",0,1),"OK","ERROR")))</f>
        <v>OK</v>
      </c>
      <c r="H1465" s="199">
        <f t="shared" ref="H1465:O1465" si="7404">countif($D1465,"*"&amp;H$2&amp;"*")</f>
        <v>0</v>
      </c>
      <c r="I1465" s="200">
        <f t="shared" si="7404"/>
        <v>1</v>
      </c>
      <c r="J1465" s="200">
        <f t="shared" si="7404"/>
        <v>0</v>
      </c>
      <c r="K1465" s="200">
        <f t="shared" si="7404"/>
        <v>0</v>
      </c>
      <c r="L1465" s="200">
        <f t="shared" si="7404"/>
        <v>0</v>
      </c>
      <c r="M1465" s="200">
        <f t="shared" si="7404"/>
        <v>0</v>
      </c>
      <c r="N1465" s="200">
        <f t="shared" si="7404"/>
        <v>0</v>
      </c>
      <c r="O1465" s="200">
        <f t="shared" si="7404"/>
        <v>0</v>
      </c>
      <c r="P1465" s="200">
        <f t="shared" si="9"/>
        <v>0</v>
      </c>
      <c r="Q1465" s="200">
        <f t="shared" ref="Q1465:AC1465" si="7405">countif($D1465,"*"&amp;Q$2&amp;"*")</f>
        <v>0</v>
      </c>
      <c r="R1465" s="200">
        <f t="shared" si="7405"/>
        <v>0</v>
      </c>
      <c r="S1465" s="200">
        <f t="shared" si="7405"/>
        <v>0</v>
      </c>
      <c r="T1465" s="200">
        <f t="shared" si="7405"/>
        <v>0</v>
      </c>
      <c r="U1465" s="200">
        <f t="shared" si="7405"/>
        <v>0</v>
      </c>
      <c r="V1465" s="200">
        <f t="shared" si="7405"/>
        <v>0</v>
      </c>
      <c r="W1465" s="200">
        <f t="shared" si="7405"/>
        <v>0</v>
      </c>
      <c r="X1465" s="200">
        <f t="shared" si="7405"/>
        <v>0</v>
      </c>
      <c r="Y1465" s="200">
        <f t="shared" si="7405"/>
        <v>0</v>
      </c>
      <c r="Z1465" s="200">
        <f t="shared" si="7405"/>
        <v>0</v>
      </c>
      <c r="AA1465" s="200">
        <f t="shared" si="7405"/>
        <v>0</v>
      </c>
      <c r="AB1465" s="200">
        <f t="shared" si="7405"/>
        <v>0</v>
      </c>
      <c r="AC1465" s="200">
        <f t="shared" si="7405"/>
        <v>0</v>
      </c>
      <c r="AD1465" s="200">
        <f t="shared" si="11"/>
        <v>0</v>
      </c>
      <c r="AE1465" s="200">
        <f t="shared" ref="AE1465:AG1465" si="7406">countif($D1465,"*"&amp;AE$2&amp;"*")</f>
        <v>0</v>
      </c>
      <c r="AF1465" s="200">
        <f t="shared" si="7406"/>
        <v>0</v>
      </c>
      <c r="AG1465" s="200">
        <f t="shared" si="7406"/>
        <v>0</v>
      </c>
      <c r="AH1465" s="171">
        <f t="shared" si="13"/>
        <v>0</v>
      </c>
      <c r="AI1465" s="200">
        <f t="shared" si="14"/>
        <v>0</v>
      </c>
      <c r="AJ1465" s="200">
        <f t="shared" si="6100"/>
        <v>0</v>
      </c>
      <c r="AK1465" s="201">
        <f t="shared" ref="AK1465:AS1465" si="7407">countif($D1465,"*"&amp;AK$2&amp;"*")</f>
        <v>0</v>
      </c>
      <c r="AL1465" s="201">
        <f t="shared" si="7407"/>
        <v>0</v>
      </c>
      <c r="AM1465" s="201">
        <f t="shared" si="7407"/>
        <v>0</v>
      </c>
      <c r="AN1465" s="201">
        <f t="shared" si="7407"/>
        <v>0</v>
      </c>
      <c r="AO1465" s="201">
        <f t="shared" si="7407"/>
        <v>0</v>
      </c>
      <c r="AP1465" s="201">
        <f t="shared" si="7407"/>
        <v>0</v>
      </c>
      <c r="AQ1465" s="201">
        <f t="shared" si="7407"/>
        <v>0</v>
      </c>
      <c r="AR1465" s="200">
        <f t="shared" si="7407"/>
        <v>0</v>
      </c>
      <c r="AS1465" s="200">
        <f t="shared" si="7407"/>
        <v>0</v>
      </c>
      <c r="AT1465" s="173">
        <v>0.0</v>
      </c>
      <c r="AU1465" s="200">
        <f t="shared" si="6217"/>
        <v>0</v>
      </c>
      <c r="AV1465" s="200">
        <f t="shared" ref="AV1465:AX1465" si="7408">countif($D1465,"*"&amp;AV$2&amp;"*")</f>
        <v>0</v>
      </c>
      <c r="AW1465" s="200">
        <f t="shared" si="7408"/>
        <v>0</v>
      </c>
      <c r="AX1465" s="200">
        <f t="shared" si="7408"/>
        <v>0</v>
      </c>
      <c r="AY1465" s="202">
        <v>0.0</v>
      </c>
      <c r="AZ1465" s="200"/>
      <c r="BA1465" s="171" t="str">
        <f t="shared" si="18"/>
        <v>Archival</v>
      </c>
      <c r="BB1465" s="171" t="str">
        <f t="shared" si="19"/>
        <v/>
      </c>
      <c r="BC1465" s="171" t="str">
        <f t="shared" si="20"/>
        <v/>
      </c>
      <c r="BD1465" s="171" t="str">
        <f t="shared" si="21"/>
        <v/>
      </c>
      <c r="BE1465" s="171" t="str">
        <f t="shared" si="22"/>
        <v/>
      </c>
      <c r="BF1465" s="171" t="str">
        <f t="shared" si="23"/>
        <v>Archival</v>
      </c>
    </row>
    <row r="1466">
      <c r="A1466" s="171">
        <f t="array" ref="A1466">XLOOKUP(C1466,FSE!A:A,FSE!C:C,"XXXXX",0,1)</f>
        <v>2022</v>
      </c>
      <c r="B1466" s="213" t="s">
        <v>5676</v>
      </c>
      <c r="C1466" s="214">
        <v>180.0</v>
      </c>
      <c r="D1466" s="215" t="s">
        <v>5167</v>
      </c>
      <c r="E1466" s="197" t="str">
        <f t="array" ref="E1466">XLOOKUP(C1466,FSE!A:A,FSE!Z:Z,"XXXXX",0,1)</f>
        <v>Publicly Available (1)</v>
      </c>
      <c r="F1466" s="213" t="s">
        <v>3394</v>
      </c>
      <c r="G1466" s="163" t="str">
        <f t="array" ref="G1466">IF(B1466="ICSE",IF(COUNTIFS(B:B,B1466,C:C,C1466)=XLOOKUP(C1466,ICSE!A:A,ICSE!AA:AA,"ERROR",0,1),"OK","ERROR"),IF(B1466="FSE",IF(COUNTIFS(B:B,B1466,C:C,C1466)=XLOOKUP(C1466,FSE!A:A,FSE!AA:AA,"ERROR",0,1),"OK","ERROR")))</f>
        <v>OK</v>
      </c>
      <c r="H1466" s="199">
        <f t="shared" ref="H1466:O1466" si="7409">countif($D1466,"*"&amp;H$2&amp;"*")</f>
        <v>0</v>
      </c>
      <c r="I1466" s="200">
        <f t="shared" si="7409"/>
        <v>0</v>
      </c>
      <c r="J1466" s="200">
        <f t="shared" si="7409"/>
        <v>0</v>
      </c>
      <c r="K1466" s="200">
        <f t="shared" si="7409"/>
        <v>0</v>
      </c>
      <c r="L1466" s="200">
        <f t="shared" si="7409"/>
        <v>0</v>
      </c>
      <c r="M1466" s="200">
        <f t="shared" si="7409"/>
        <v>0</v>
      </c>
      <c r="N1466" s="200">
        <f t="shared" si="7409"/>
        <v>0</v>
      </c>
      <c r="O1466" s="200">
        <f t="shared" si="7409"/>
        <v>0</v>
      </c>
      <c r="P1466" s="200">
        <f t="shared" si="9"/>
        <v>1</v>
      </c>
      <c r="Q1466" s="200">
        <f t="shared" ref="Q1466:AC1466" si="7410">countif($D1466,"*"&amp;Q$2&amp;"*")</f>
        <v>0</v>
      </c>
      <c r="R1466" s="200">
        <f t="shared" si="7410"/>
        <v>0</v>
      </c>
      <c r="S1466" s="200">
        <f t="shared" si="7410"/>
        <v>0</v>
      </c>
      <c r="T1466" s="200">
        <f t="shared" si="7410"/>
        <v>0</v>
      </c>
      <c r="U1466" s="200">
        <f t="shared" si="7410"/>
        <v>0</v>
      </c>
      <c r="V1466" s="200">
        <f t="shared" si="7410"/>
        <v>0</v>
      </c>
      <c r="W1466" s="200">
        <f t="shared" si="7410"/>
        <v>0</v>
      </c>
      <c r="X1466" s="200">
        <f t="shared" si="7410"/>
        <v>0</v>
      </c>
      <c r="Y1466" s="200">
        <f t="shared" si="7410"/>
        <v>0</v>
      </c>
      <c r="Z1466" s="200">
        <f t="shared" si="7410"/>
        <v>0</v>
      </c>
      <c r="AA1466" s="200">
        <f t="shared" si="7410"/>
        <v>0</v>
      </c>
      <c r="AB1466" s="200">
        <f t="shared" si="7410"/>
        <v>0</v>
      </c>
      <c r="AC1466" s="200">
        <f t="shared" si="7410"/>
        <v>0</v>
      </c>
      <c r="AD1466" s="200">
        <f t="shared" si="11"/>
        <v>0</v>
      </c>
      <c r="AE1466" s="200">
        <f t="shared" ref="AE1466:AG1466" si="7411">countif($D1466,"*"&amp;AE$2&amp;"*")</f>
        <v>0</v>
      </c>
      <c r="AF1466" s="200">
        <f t="shared" si="7411"/>
        <v>0</v>
      </c>
      <c r="AG1466" s="200">
        <f t="shared" si="7411"/>
        <v>0</v>
      </c>
      <c r="AH1466" s="171">
        <f t="shared" si="13"/>
        <v>0</v>
      </c>
      <c r="AI1466" s="200">
        <f t="shared" si="14"/>
        <v>0</v>
      </c>
      <c r="AJ1466" s="200">
        <f t="shared" si="6100"/>
        <v>0</v>
      </c>
      <c r="AK1466" s="201">
        <f t="shared" ref="AK1466:AS1466" si="7412">countif($D1466,"*"&amp;AK$2&amp;"*")</f>
        <v>0</v>
      </c>
      <c r="AL1466" s="201">
        <f t="shared" si="7412"/>
        <v>0</v>
      </c>
      <c r="AM1466" s="201">
        <f t="shared" si="7412"/>
        <v>0</v>
      </c>
      <c r="AN1466" s="201">
        <f t="shared" si="7412"/>
        <v>0</v>
      </c>
      <c r="AO1466" s="201">
        <f t="shared" si="7412"/>
        <v>0</v>
      </c>
      <c r="AP1466" s="201">
        <f t="shared" si="7412"/>
        <v>0</v>
      </c>
      <c r="AQ1466" s="201">
        <f t="shared" si="7412"/>
        <v>0</v>
      </c>
      <c r="AR1466" s="200">
        <f t="shared" si="7412"/>
        <v>0</v>
      </c>
      <c r="AS1466" s="200">
        <f t="shared" si="7412"/>
        <v>0</v>
      </c>
      <c r="AT1466" s="173">
        <v>0.0</v>
      </c>
      <c r="AU1466" s="200">
        <f t="shared" si="6217"/>
        <v>0</v>
      </c>
      <c r="AV1466" s="200">
        <f t="shared" ref="AV1466:AX1466" si="7413">countif($D1466,"*"&amp;AV$2&amp;"*")</f>
        <v>1</v>
      </c>
      <c r="AW1466" s="200">
        <f t="shared" si="7413"/>
        <v>0</v>
      </c>
      <c r="AX1466" s="200">
        <f t="shared" si="7413"/>
        <v>0</v>
      </c>
      <c r="AY1466" s="202">
        <v>0.0</v>
      </c>
      <c r="AZ1466" s="200"/>
      <c r="BA1466" s="171" t="str">
        <f t="shared" si="18"/>
        <v/>
      </c>
      <c r="BB1466" s="171" t="str">
        <f t="shared" si="19"/>
        <v>Code</v>
      </c>
      <c r="BC1466" s="171" t="str">
        <f t="shared" si="20"/>
        <v/>
      </c>
      <c r="BD1466" s="171" t="str">
        <f t="shared" si="21"/>
        <v/>
      </c>
      <c r="BE1466" s="171" t="str">
        <f t="shared" si="22"/>
        <v/>
      </c>
      <c r="BF1466" s="171" t="str">
        <f t="shared" si="23"/>
        <v>Code</v>
      </c>
    </row>
    <row r="1467">
      <c r="A1467" s="171">
        <f t="array" ref="A1467">XLOOKUP(C1467,FSE!A:A,FSE!C:C,"XXXXX",0,1)</f>
        <v>2022</v>
      </c>
      <c r="B1467" s="213" t="s">
        <v>5676</v>
      </c>
      <c r="C1467" s="214">
        <v>181.0</v>
      </c>
      <c r="D1467" s="215" t="s">
        <v>5169</v>
      </c>
      <c r="E1467" s="197" t="str">
        <f t="array" ref="E1467">XLOOKUP(C1467,FSE!A:A,FSE!Z:Z,"XXXXX",0,1)</f>
        <v>Publicly Available (1)</v>
      </c>
      <c r="F1467" s="213" t="s">
        <v>3394</v>
      </c>
      <c r="G1467" s="163" t="str">
        <f t="array" ref="G1467">IF(B1467="ICSE",IF(COUNTIFS(B:B,B1467,C:C,C1467)=XLOOKUP(C1467,ICSE!A:A,ICSE!AA:AA,"ERROR",0,1),"OK","ERROR"),IF(B1467="FSE",IF(COUNTIFS(B:B,B1467,C:C,C1467)=XLOOKUP(C1467,FSE!A:A,FSE!AA:AA,"ERROR",0,1),"OK","ERROR")))</f>
        <v>OK</v>
      </c>
      <c r="H1467" s="199">
        <f t="shared" ref="H1467:O1467" si="7414">countif($D1467,"*"&amp;H$2&amp;"*")</f>
        <v>0</v>
      </c>
      <c r="I1467" s="200">
        <f t="shared" si="7414"/>
        <v>0</v>
      </c>
      <c r="J1467" s="200">
        <f t="shared" si="7414"/>
        <v>0</v>
      </c>
      <c r="K1467" s="200">
        <f t="shared" si="7414"/>
        <v>0</v>
      </c>
      <c r="L1467" s="200">
        <f t="shared" si="7414"/>
        <v>0</v>
      </c>
      <c r="M1467" s="200">
        <f t="shared" si="7414"/>
        <v>0</v>
      </c>
      <c r="N1467" s="200">
        <f t="shared" si="7414"/>
        <v>0</v>
      </c>
      <c r="O1467" s="200">
        <f t="shared" si="7414"/>
        <v>0</v>
      </c>
      <c r="P1467" s="200">
        <f t="shared" si="9"/>
        <v>1</v>
      </c>
      <c r="Q1467" s="200">
        <f t="shared" ref="Q1467:AC1467" si="7415">countif($D1467,"*"&amp;Q$2&amp;"*")</f>
        <v>0</v>
      </c>
      <c r="R1467" s="200">
        <f t="shared" si="7415"/>
        <v>0</v>
      </c>
      <c r="S1467" s="200">
        <f t="shared" si="7415"/>
        <v>0</v>
      </c>
      <c r="T1467" s="200">
        <f t="shared" si="7415"/>
        <v>0</v>
      </c>
      <c r="U1467" s="200">
        <f t="shared" si="7415"/>
        <v>0</v>
      </c>
      <c r="V1467" s="200">
        <f t="shared" si="7415"/>
        <v>0</v>
      </c>
      <c r="W1467" s="200">
        <f t="shared" si="7415"/>
        <v>0</v>
      </c>
      <c r="X1467" s="200">
        <f t="shared" si="7415"/>
        <v>0</v>
      </c>
      <c r="Y1467" s="200">
        <f t="shared" si="7415"/>
        <v>0</v>
      </c>
      <c r="Z1467" s="200">
        <f t="shared" si="7415"/>
        <v>0</v>
      </c>
      <c r="AA1467" s="200">
        <f t="shared" si="7415"/>
        <v>0</v>
      </c>
      <c r="AB1467" s="200">
        <f t="shared" si="7415"/>
        <v>0</v>
      </c>
      <c r="AC1467" s="200">
        <f t="shared" si="7415"/>
        <v>0</v>
      </c>
      <c r="AD1467" s="200">
        <f t="shared" si="11"/>
        <v>0</v>
      </c>
      <c r="AE1467" s="200">
        <f t="shared" ref="AE1467:AG1467" si="7416">countif($D1467,"*"&amp;AE$2&amp;"*")</f>
        <v>0</v>
      </c>
      <c r="AF1467" s="200">
        <f t="shared" si="7416"/>
        <v>0</v>
      </c>
      <c r="AG1467" s="200">
        <f t="shared" si="7416"/>
        <v>0</v>
      </c>
      <c r="AH1467" s="171">
        <f t="shared" si="13"/>
        <v>0</v>
      </c>
      <c r="AI1467" s="200">
        <f t="shared" si="14"/>
        <v>0</v>
      </c>
      <c r="AJ1467" s="200">
        <f t="shared" si="6100"/>
        <v>0</v>
      </c>
      <c r="AK1467" s="201">
        <f t="shared" ref="AK1467:AS1467" si="7417">countif($D1467,"*"&amp;AK$2&amp;"*")</f>
        <v>0</v>
      </c>
      <c r="AL1467" s="201">
        <f t="shared" si="7417"/>
        <v>0</v>
      </c>
      <c r="AM1467" s="201">
        <f t="shared" si="7417"/>
        <v>0</v>
      </c>
      <c r="AN1467" s="201">
        <f t="shared" si="7417"/>
        <v>0</v>
      </c>
      <c r="AO1467" s="201">
        <f t="shared" si="7417"/>
        <v>0</v>
      </c>
      <c r="AP1467" s="201">
        <f t="shared" si="7417"/>
        <v>0</v>
      </c>
      <c r="AQ1467" s="201">
        <f t="shared" si="7417"/>
        <v>0</v>
      </c>
      <c r="AR1467" s="200">
        <f t="shared" si="7417"/>
        <v>0</v>
      </c>
      <c r="AS1467" s="200">
        <f t="shared" si="7417"/>
        <v>0</v>
      </c>
      <c r="AT1467" s="173">
        <v>0.0</v>
      </c>
      <c r="AU1467" s="200">
        <f t="shared" si="6217"/>
        <v>0</v>
      </c>
      <c r="AV1467" s="200">
        <f t="shared" ref="AV1467:AX1467" si="7418">countif($D1467,"*"&amp;AV$2&amp;"*")</f>
        <v>1</v>
      </c>
      <c r="AW1467" s="200">
        <f t="shared" si="7418"/>
        <v>0</v>
      </c>
      <c r="AX1467" s="200">
        <f t="shared" si="7418"/>
        <v>0</v>
      </c>
      <c r="AY1467" s="202">
        <v>0.0</v>
      </c>
      <c r="AZ1467" s="200"/>
      <c r="BA1467" s="171" t="str">
        <f t="shared" si="18"/>
        <v/>
      </c>
      <c r="BB1467" s="171" t="str">
        <f t="shared" si="19"/>
        <v>Code</v>
      </c>
      <c r="BC1467" s="171" t="str">
        <f t="shared" si="20"/>
        <v/>
      </c>
      <c r="BD1467" s="171" t="str">
        <f t="shared" si="21"/>
        <v/>
      </c>
      <c r="BE1467" s="171" t="str">
        <f t="shared" si="22"/>
        <v/>
      </c>
      <c r="BF1467" s="171" t="str">
        <f t="shared" si="23"/>
        <v>Code</v>
      </c>
    </row>
    <row r="1468">
      <c r="A1468" s="171">
        <f t="array" ref="A1468">XLOOKUP(C1468,FSE!A:A,FSE!C:C,"XXXXX",0,1)</f>
        <v>2022</v>
      </c>
      <c r="B1468" s="213" t="s">
        <v>5676</v>
      </c>
      <c r="C1468" s="214">
        <v>182.0</v>
      </c>
      <c r="D1468" s="215" t="s">
        <v>5171</v>
      </c>
      <c r="E1468" s="197" t="str">
        <f t="array" ref="E1468">XLOOKUP(C1468,FSE!A:A,FSE!Z:Z,"XXXXX",0,1)</f>
        <v>Publicly Available (1)</v>
      </c>
      <c r="F1468" s="213" t="s">
        <v>3394</v>
      </c>
      <c r="G1468" s="163" t="str">
        <f t="array" ref="G1468">IF(B1468="ICSE",IF(COUNTIFS(B:B,B1468,C:C,C1468)=XLOOKUP(C1468,ICSE!A:A,ICSE!AA:AA,"ERROR",0,1),"OK","ERROR"),IF(B1468="FSE",IF(COUNTIFS(B:B,B1468,C:C,C1468)=XLOOKUP(C1468,FSE!A:A,FSE!AA:AA,"ERROR",0,1),"OK","ERROR")))</f>
        <v>OK</v>
      </c>
      <c r="H1468" s="199">
        <f t="shared" ref="H1468:O1468" si="7419">countif($D1468,"*"&amp;H$2&amp;"*")</f>
        <v>1</v>
      </c>
      <c r="I1468" s="200">
        <f t="shared" si="7419"/>
        <v>0</v>
      </c>
      <c r="J1468" s="200">
        <f t="shared" si="7419"/>
        <v>0</v>
      </c>
      <c r="K1468" s="200">
        <f t="shared" si="7419"/>
        <v>0</v>
      </c>
      <c r="L1468" s="200">
        <f t="shared" si="7419"/>
        <v>0</v>
      </c>
      <c r="M1468" s="200">
        <f t="shared" si="7419"/>
        <v>0</v>
      </c>
      <c r="N1468" s="200">
        <f t="shared" si="7419"/>
        <v>0</v>
      </c>
      <c r="O1468" s="200">
        <f t="shared" si="7419"/>
        <v>0</v>
      </c>
      <c r="P1468" s="200">
        <f t="shared" si="9"/>
        <v>0</v>
      </c>
      <c r="Q1468" s="200">
        <f t="shared" ref="Q1468:AC1468" si="7420">countif($D1468,"*"&amp;Q$2&amp;"*")</f>
        <v>0</v>
      </c>
      <c r="R1468" s="200">
        <f t="shared" si="7420"/>
        <v>0</v>
      </c>
      <c r="S1468" s="200">
        <f t="shared" si="7420"/>
        <v>0</v>
      </c>
      <c r="T1468" s="200">
        <f t="shared" si="7420"/>
        <v>0</v>
      </c>
      <c r="U1468" s="200">
        <f t="shared" si="7420"/>
        <v>0</v>
      </c>
      <c r="V1468" s="200">
        <f t="shared" si="7420"/>
        <v>0</v>
      </c>
      <c r="W1468" s="200">
        <f t="shared" si="7420"/>
        <v>0</v>
      </c>
      <c r="X1468" s="200">
        <f t="shared" si="7420"/>
        <v>0</v>
      </c>
      <c r="Y1468" s="200">
        <f t="shared" si="7420"/>
        <v>0</v>
      </c>
      <c r="Z1468" s="200">
        <f t="shared" si="7420"/>
        <v>0</v>
      </c>
      <c r="AA1468" s="200">
        <f t="shared" si="7420"/>
        <v>0</v>
      </c>
      <c r="AB1468" s="200">
        <f t="shared" si="7420"/>
        <v>0</v>
      </c>
      <c r="AC1468" s="200">
        <f t="shared" si="7420"/>
        <v>0</v>
      </c>
      <c r="AD1468" s="200">
        <f t="shared" si="11"/>
        <v>0</v>
      </c>
      <c r="AE1468" s="200">
        <f t="shared" ref="AE1468:AG1468" si="7421">countif($D1468,"*"&amp;AE$2&amp;"*")</f>
        <v>0</v>
      </c>
      <c r="AF1468" s="200">
        <f t="shared" si="7421"/>
        <v>0</v>
      </c>
      <c r="AG1468" s="200">
        <f t="shared" si="7421"/>
        <v>0</v>
      </c>
      <c r="AH1468" s="171">
        <f t="shared" si="13"/>
        <v>0</v>
      </c>
      <c r="AI1468" s="200">
        <f t="shared" si="14"/>
        <v>1</v>
      </c>
      <c r="AJ1468" s="200">
        <f t="shared" si="6100"/>
        <v>0</v>
      </c>
      <c r="AK1468" s="201">
        <f t="shared" ref="AK1468:AS1468" si="7422">countif($D1468,"*"&amp;AK$2&amp;"*")</f>
        <v>0</v>
      </c>
      <c r="AL1468" s="201">
        <f t="shared" si="7422"/>
        <v>0</v>
      </c>
      <c r="AM1468" s="201">
        <f t="shared" si="7422"/>
        <v>0</v>
      </c>
      <c r="AN1468" s="201">
        <f t="shared" si="7422"/>
        <v>0</v>
      </c>
      <c r="AO1468" s="201">
        <f t="shared" si="7422"/>
        <v>0</v>
      </c>
      <c r="AP1468" s="201">
        <f t="shared" si="7422"/>
        <v>0</v>
      </c>
      <c r="AQ1468" s="201">
        <f t="shared" si="7422"/>
        <v>0</v>
      </c>
      <c r="AR1468" s="200">
        <f t="shared" si="7422"/>
        <v>0</v>
      </c>
      <c r="AS1468" s="200">
        <f t="shared" si="7422"/>
        <v>0</v>
      </c>
      <c r="AT1468" s="173">
        <v>0.0</v>
      </c>
      <c r="AU1468" s="200">
        <f t="shared" si="6217"/>
        <v>0</v>
      </c>
      <c r="AV1468" s="200">
        <f t="shared" ref="AV1468:AX1468" si="7423">countif($D1468,"*"&amp;AV$2&amp;"*")</f>
        <v>0</v>
      </c>
      <c r="AW1468" s="200">
        <f t="shared" si="7423"/>
        <v>0</v>
      </c>
      <c r="AX1468" s="200">
        <f t="shared" si="7423"/>
        <v>1</v>
      </c>
      <c r="AY1468" s="202">
        <v>0.0</v>
      </c>
      <c r="AZ1468" s="200"/>
      <c r="BA1468" s="171" t="str">
        <f t="shared" si="18"/>
        <v>Archival</v>
      </c>
      <c r="BB1468" s="171" t="str">
        <f t="shared" si="19"/>
        <v/>
      </c>
      <c r="BC1468" s="171" t="str">
        <f t="shared" si="20"/>
        <v/>
      </c>
      <c r="BD1468" s="171" t="str">
        <f t="shared" si="21"/>
        <v/>
      </c>
      <c r="BE1468" s="171" t="str">
        <f t="shared" si="22"/>
        <v/>
      </c>
      <c r="BF1468" s="171" t="str">
        <f t="shared" si="23"/>
        <v>Archival</v>
      </c>
    </row>
    <row r="1469">
      <c r="A1469" s="171">
        <f t="array" ref="A1469">XLOOKUP(C1469,FSE!A:A,FSE!C:C,"XXXXX",0,1)</f>
        <v>2022</v>
      </c>
      <c r="B1469" s="213" t="s">
        <v>5676</v>
      </c>
      <c r="C1469" s="214">
        <v>183.0</v>
      </c>
      <c r="D1469" s="215" t="s">
        <v>5174</v>
      </c>
      <c r="E1469" s="197" t="str">
        <f t="array" ref="E1469">XLOOKUP(C1469,FSE!A:A,FSE!Z:Z,"XXXXX",0,1)</f>
        <v>Publicly Available (1)</v>
      </c>
      <c r="F1469" s="213" t="s">
        <v>3394</v>
      </c>
      <c r="G1469" s="163" t="str">
        <f t="array" ref="G1469">IF(B1469="ICSE",IF(COUNTIFS(B:B,B1469,C:C,C1469)=XLOOKUP(C1469,ICSE!A:A,ICSE!AA:AA,"ERROR",0,1),"OK","ERROR"),IF(B1469="FSE",IF(COUNTIFS(B:B,B1469,C:C,C1469)=XLOOKUP(C1469,FSE!A:A,FSE!AA:AA,"ERROR",0,1),"OK","ERROR")))</f>
        <v>OK</v>
      </c>
      <c r="H1469" s="199">
        <f t="shared" ref="H1469:O1469" si="7424">countif($D1469,"*"&amp;H$2&amp;"*")</f>
        <v>0</v>
      </c>
      <c r="I1469" s="200">
        <f t="shared" si="7424"/>
        <v>0</v>
      </c>
      <c r="J1469" s="200">
        <f t="shared" si="7424"/>
        <v>0</v>
      </c>
      <c r="K1469" s="200">
        <f t="shared" si="7424"/>
        <v>0</v>
      </c>
      <c r="L1469" s="200">
        <f t="shared" si="7424"/>
        <v>0</v>
      </c>
      <c r="M1469" s="200">
        <f t="shared" si="7424"/>
        <v>0</v>
      </c>
      <c r="N1469" s="200">
        <f t="shared" si="7424"/>
        <v>0</v>
      </c>
      <c r="O1469" s="200">
        <f t="shared" si="7424"/>
        <v>0</v>
      </c>
      <c r="P1469" s="200">
        <f t="shared" si="9"/>
        <v>1</v>
      </c>
      <c r="Q1469" s="200">
        <f t="shared" ref="Q1469:AC1469" si="7425">countif($D1469,"*"&amp;Q$2&amp;"*")</f>
        <v>0</v>
      </c>
      <c r="R1469" s="200">
        <f t="shared" si="7425"/>
        <v>0</v>
      </c>
      <c r="S1469" s="200">
        <f t="shared" si="7425"/>
        <v>0</v>
      </c>
      <c r="T1469" s="200">
        <f t="shared" si="7425"/>
        <v>0</v>
      </c>
      <c r="U1469" s="200">
        <f t="shared" si="7425"/>
        <v>0</v>
      </c>
      <c r="V1469" s="200">
        <f t="shared" si="7425"/>
        <v>0</v>
      </c>
      <c r="W1469" s="200">
        <f t="shared" si="7425"/>
        <v>0</v>
      </c>
      <c r="X1469" s="200">
        <f t="shared" si="7425"/>
        <v>0</v>
      </c>
      <c r="Y1469" s="200">
        <f t="shared" si="7425"/>
        <v>0</v>
      </c>
      <c r="Z1469" s="200">
        <f t="shared" si="7425"/>
        <v>0</v>
      </c>
      <c r="AA1469" s="200">
        <f t="shared" si="7425"/>
        <v>0</v>
      </c>
      <c r="AB1469" s="200">
        <f t="shared" si="7425"/>
        <v>0</v>
      </c>
      <c r="AC1469" s="200">
        <f t="shared" si="7425"/>
        <v>0</v>
      </c>
      <c r="AD1469" s="200">
        <f t="shared" si="11"/>
        <v>0</v>
      </c>
      <c r="AE1469" s="200">
        <f t="shared" ref="AE1469:AG1469" si="7426">countif($D1469,"*"&amp;AE$2&amp;"*")</f>
        <v>0</v>
      </c>
      <c r="AF1469" s="200">
        <f t="shared" si="7426"/>
        <v>0</v>
      </c>
      <c r="AG1469" s="200">
        <f t="shared" si="7426"/>
        <v>0</v>
      </c>
      <c r="AH1469" s="171">
        <f t="shared" si="13"/>
        <v>0</v>
      </c>
      <c r="AI1469" s="200">
        <f t="shared" si="14"/>
        <v>0</v>
      </c>
      <c r="AJ1469" s="200">
        <f t="shared" si="6100"/>
        <v>0</v>
      </c>
      <c r="AK1469" s="201">
        <f t="shared" ref="AK1469:AS1469" si="7427">countif($D1469,"*"&amp;AK$2&amp;"*")</f>
        <v>0</v>
      </c>
      <c r="AL1469" s="201">
        <f t="shared" si="7427"/>
        <v>0</v>
      </c>
      <c r="AM1469" s="201">
        <f t="shared" si="7427"/>
        <v>0</v>
      </c>
      <c r="AN1469" s="201">
        <f t="shared" si="7427"/>
        <v>0</v>
      </c>
      <c r="AO1469" s="201">
        <f t="shared" si="7427"/>
        <v>0</v>
      </c>
      <c r="AP1469" s="201">
        <f t="shared" si="7427"/>
        <v>0</v>
      </c>
      <c r="AQ1469" s="201">
        <f t="shared" si="7427"/>
        <v>0</v>
      </c>
      <c r="AR1469" s="200">
        <f t="shared" si="7427"/>
        <v>0</v>
      </c>
      <c r="AS1469" s="200">
        <f t="shared" si="7427"/>
        <v>0</v>
      </c>
      <c r="AT1469" s="173">
        <v>0.0</v>
      </c>
      <c r="AU1469" s="200">
        <f t="shared" si="6217"/>
        <v>0</v>
      </c>
      <c r="AV1469" s="200">
        <f t="shared" ref="AV1469:AX1469" si="7428">countif($D1469,"*"&amp;AV$2&amp;"*")</f>
        <v>1</v>
      </c>
      <c r="AW1469" s="200">
        <f t="shared" si="7428"/>
        <v>0</v>
      </c>
      <c r="AX1469" s="200">
        <f t="shared" si="7428"/>
        <v>0</v>
      </c>
      <c r="AY1469" s="202">
        <v>0.0</v>
      </c>
      <c r="AZ1469" s="200"/>
      <c r="BA1469" s="171" t="str">
        <f t="shared" si="18"/>
        <v/>
      </c>
      <c r="BB1469" s="171" t="str">
        <f t="shared" si="19"/>
        <v>Code</v>
      </c>
      <c r="BC1469" s="171" t="str">
        <f t="shared" si="20"/>
        <v/>
      </c>
      <c r="BD1469" s="171" t="str">
        <f t="shared" si="21"/>
        <v/>
      </c>
      <c r="BE1469" s="171" t="str">
        <f t="shared" si="22"/>
        <v/>
      </c>
      <c r="BF1469" s="171" t="str">
        <f t="shared" si="23"/>
        <v>Code</v>
      </c>
    </row>
    <row r="1470">
      <c r="A1470" s="171">
        <f t="array" ref="A1470">XLOOKUP(C1470,FSE!A:A,FSE!C:C,"XXXXX",0,1)</f>
        <v>2022</v>
      </c>
      <c r="B1470" s="213" t="s">
        <v>5676</v>
      </c>
      <c r="C1470" s="214">
        <v>184.0</v>
      </c>
      <c r="D1470" s="215" t="s">
        <v>6287</v>
      </c>
      <c r="E1470" s="197" t="str">
        <f t="array" ref="E1470">XLOOKUP(C1470,FSE!A:A,FSE!Z:Z,"XXXXX",0,1)</f>
        <v>Publicly Available (2)</v>
      </c>
      <c r="F1470" s="213" t="s">
        <v>3394</v>
      </c>
      <c r="G1470" s="163" t="str">
        <f t="array" ref="G1470">IF(B1470="ICSE",IF(COUNTIFS(B:B,B1470,C:C,C1470)=XLOOKUP(C1470,ICSE!A:A,ICSE!AA:AA,"ERROR",0,1),"OK","ERROR"),IF(B1470="FSE",IF(COUNTIFS(B:B,B1470,C:C,C1470)=XLOOKUP(C1470,FSE!A:A,FSE!AA:AA,"ERROR",0,1),"OK","ERROR")))</f>
        <v>OK</v>
      </c>
      <c r="H1470" s="199">
        <f t="shared" ref="H1470:O1470" si="7429">countif($D1470,"*"&amp;H$2&amp;"*")</f>
        <v>0</v>
      </c>
      <c r="I1470" s="200">
        <f t="shared" si="7429"/>
        <v>0</v>
      </c>
      <c r="J1470" s="200">
        <f t="shared" si="7429"/>
        <v>0</v>
      </c>
      <c r="K1470" s="200">
        <f t="shared" si="7429"/>
        <v>0</v>
      </c>
      <c r="L1470" s="200">
        <f t="shared" si="7429"/>
        <v>0</v>
      </c>
      <c r="M1470" s="200">
        <f t="shared" si="7429"/>
        <v>0</v>
      </c>
      <c r="N1470" s="200">
        <f t="shared" si="7429"/>
        <v>0</v>
      </c>
      <c r="O1470" s="200">
        <f t="shared" si="7429"/>
        <v>0</v>
      </c>
      <c r="P1470" s="200">
        <f t="shared" si="9"/>
        <v>1</v>
      </c>
      <c r="Q1470" s="200">
        <f t="shared" ref="Q1470:AC1470" si="7430">countif($D1470,"*"&amp;Q$2&amp;"*")</f>
        <v>0</v>
      </c>
      <c r="R1470" s="200">
        <f t="shared" si="7430"/>
        <v>0</v>
      </c>
      <c r="S1470" s="200">
        <f t="shared" si="7430"/>
        <v>0</v>
      </c>
      <c r="T1470" s="200">
        <f t="shared" si="7430"/>
        <v>0</v>
      </c>
      <c r="U1470" s="200">
        <f t="shared" si="7430"/>
        <v>0</v>
      </c>
      <c r="V1470" s="200">
        <f t="shared" si="7430"/>
        <v>0</v>
      </c>
      <c r="W1470" s="200">
        <f t="shared" si="7430"/>
        <v>0</v>
      </c>
      <c r="X1470" s="200">
        <f t="shared" si="7430"/>
        <v>0</v>
      </c>
      <c r="Y1470" s="200">
        <f t="shared" si="7430"/>
        <v>0</v>
      </c>
      <c r="Z1470" s="200">
        <f t="shared" si="7430"/>
        <v>0</v>
      </c>
      <c r="AA1470" s="200">
        <f t="shared" si="7430"/>
        <v>0</v>
      </c>
      <c r="AB1470" s="200">
        <f t="shared" si="7430"/>
        <v>0</v>
      </c>
      <c r="AC1470" s="200">
        <f t="shared" si="7430"/>
        <v>0</v>
      </c>
      <c r="AD1470" s="200">
        <f t="shared" si="11"/>
        <v>0</v>
      </c>
      <c r="AE1470" s="200">
        <f t="shared" ref="AE1470:AG1470" si="7431">countif($D1470,"*"&amp;AE$2&amp;"*")</f>
        <v>0</v>
      </c>
      <c r="AF1470" s="200">
        <f t="shared" si="7431"/>
        <v>0</v>
      </c>
      <c r="AG1470" s="200">
        <f t="shared" si="7431"/>
        <v>0</v>
      </c>
      <c r="AH1470" s="171">
        <f t="shared" si="13"/>
        <v>0</v>
      </c>
      <c r="AI1470" s="200">
        <f t="shared" si="14"/>
        <v>0</v>
      </c>
      <c r="AJ1470" s="200">
        <f t="shared" si="6100"/>
        <v>0</v>
      </c>
      <c r="AK1470" s="201">
        <f t="shared" ref="AK1470:AS1470" si="7432">countif($D1470,"*"&amp;AK$2&amp;"*")</f>
        <v>0</v>
      </c>
      <c r="AL1470" s="201">
        <f t="shared" si="7432"/>
        <v>0</v>
      </c>
      <c r="AM1470" s="201">
        <f t="shared" si="7432"/>
        <v>0</v>
      </c>
      <c r="AN1470" s="201">
        <f t="shared" si="7432"/>
        <v>0</v>
      </c>
      <c r="AO1470" s="201">
        <f t="shared" si="7432"/>
        <v>0</v>
      </c>
      <c r="AP1470" s="201">
        <f t="shared" si="7432"/>
        <v>0</v>
      </c>
      <c r="AQ1470" s="201">
        <f t="shared" si="7432"/>
        <v>0</v>
      </c>
      <c r="AR1470" s="200">
        <f t="shared" si="7432"/>
        <v>0</v>
      </c>
      <c r="AS1470" s="200">
        <f t="shared" si="7432"/>
        <v>0</v>
      </c>
      <c r="AT1470" s="173">
        <v>0.0</v>
      </c>
      <c r="AU1470" s="200">
        <f t="shared" si="6217"/>
        <v>0</v>
      </c>
      <c r="AV1470" s="200">
        <f t="shared" ref="AV1470:AX1470" si="7433">countif($D1470,"*"&amp;AV$2&amp;"*")</f>
        <v>1</v>
      </c>
      <c r="AW1470" s="200">
        <f t="shared" si="7433"/>
        <v>0</v>
      </c>
      <c r="AX1470" s="200">
        <f t="shared" si="7433"/>
        <v>0</v>
      </c>
      <c r="AY1470" s="202">
        <v>0.0</v>
      </c>
      <c r="AZ1470" s="200"/>
      <c r="BA1470" s="171" t="str">
        <f t="shared" si="18"/>
        <v/>
      </c>
      <c r="BB1470" s="171" t="str">
        <f t="shared" si="19"/>
        <v>Code</v>
      </c>
      <c r="BC1470" s="171" t="str">
        <f t="shared" si="20"/>
        <v/>
      </c>
      <c r="BD1470" s="171" t="str">
        <f t="shared" si="21"/>
        <v/>
      </c>
      <c r="BE1470" s="171" t="str">
        <f t="shared" si="22"/>
        <v/>
      </c>
      <c r="BF1470" s="171" t="str">
        <f t="shared" si="23"/>
        <v>Code</v>
      </c>
    </row>
    <row r="1471">
      <c r="A1471" s="171">
        <f t="array" ref="A1471">XLOOKUP(C1471,FSE!A:A,FSE!C:C,"XXXXX",0,1)</f>
        <v>2022</v>
      </c>
      <c r="B1471" s="171" t="s">
        <v>5676</v>
      </c>
      <c r="C1471" s="160">
        <v>184.0</v>
      </c>
      <c r="D1471" s="161" t="s">
        <v>6288</v>
      </c>
      <c r="E1471" s="197" t="str">
        <f t="array" ref="E1471">XLOOKUP(C1471,FSE!A:A,FSE!Z:Z,"XXXXX",0,1)</f>
        <v>Publicly Available (2)</v>
      </c>
      <c r="F1471" s="213" t="s">
        <v>3394</v>
      </c>
      <c r="G1471" s="163" t="str">
        <f t="array" ref="G1471">IF(B1471="ICSE",IF(COUNTIFS(B:B,B1471,C:C,C1471)=XLOOKUP(C1471,ICSE!A:A,ICSE!AA:AA,"ERROR",0,1),"OK","ERROR"),IF(B1471="FSE",IF(COUNTIFS(B:B,B1471,C:C,C1471)=XLOOKUP(C1471,FSE!A:A,FSE!AA:AA,"ERROR",0,1),"OK","ERROR")))</f>
        <v>OK</v>
      </c>
      <c r="H1471" s="199">
        <f t="shared" ref="H1471:O1471" si="7434">countif($D1471,"*"&amp;H$2&amp;"*")</f>
        <v>0</v>
      </c>
      <c r="I1471" s="200">
        <f t="shared" si="7434"/>
        <v>0</v>
      </c>
      <c r="J1471" s="200">
        <f t="shared" si="7434"/>
        <v>0</v>
      </c>
      <c r="K1471" s="200">
        <f t="shared" si="7434"/>
        <v>0</v>
      </c>
      <c r="L1471" s="200">
        <f t="shared" si="7434"/>
        <v>0</v>
      </c>
      <c r="M1471" s="200">
        <f t="shared" si="7434"/>
        <v>0</v>
      </c>
      <c r="N1471" s="200">
        <f t="shared" si="7434"/>
        <v>0</v>
      </c>
      <c r="O1471" s="200">
        <f t="shared" si="7434"/>
        <v>0</v>
      </c>
      <c r="P1471" s="200">
        <f t="shared" si="9"/>
        <v>0</v>
      </c>
      <c r="Q1471" s="200">
        <f t="shared" ref="Q1471:AC1471" si="7435">countif($D1471,"*"&amp;Q$2&amp;"*")</f>
        <v>0</v>
      </c>
      <c r="R1471" s="200">
        <f t="shared" si="7435"/>
        <v>0</v>
      </c>
      <c r="S1471" s="200">
        <f t="shared" si="7435"/>
        <v>0</v>
      </c>
      <c r="T1471" s="200">
        <f t="shared" si="7435"/>
        <v>0</v>
      </c>
      <c r="U1471" s="200">
        <f t="shared" si="7435"/>
        <v>0</v>
      </c>
      <c r="V1471" s="200">
        <f t="shared" si="7435"/>
        <v>0</v>
      </c>
      <c r="W1471" s="200">
        <f t="shared" si="7435"/>
        <v>0</v>
      </c>
      <c r="X1471" s="200">
        <f t="shared" si="7435"/>
        <v>0</v>
      </c>
      <c r="Y1471" s="200">
        <f t="shared" si="7435"/>
        <v>0</v>
      </c>
      <c r="Z1471" s="200">
        <f t="shared" si="7435"/>
        <v>1</v>
      </c>
      <c r="AA1471" s="200">
        <f t="shared" si="7435"/>
        <v>0</v>
      </c>
      <c r="AB1471" s="200">
        <f t="shared" si="7435"/>
        <v>0</v>
      </c>
      <c r="AC1471" s="200">
        <f t="shared" si="7435"/>
        <v>0</v>
      </c>
      <c r="AD1471" s="200">
        <f t="shared" si="11"/>
        <v>0</v>
      </c>
      <c r="AE1471" s="200">
        <f t="shared" ref="AE1471:AG1471" si="7436">countif($D1471,"*"&amp;AE$2&amp;"*")</f>
        <v>0</v>
      </c>
      <c r="AF1471" s="200">
        <f t="shared" si="7436"/>
        <v>0</v>
      </c>
      <c r="AG1471" s="200">
        <f t="shared" si="7436"/>
        <v>0</v>
      </c>
      <c r="AH1471" s="171">
        <f t="shared" si="13"/>
        <v>0</v>
      </c>
      <c r="AI1471" s="200">
        <f t="shared" si="14"/>
        <v>0</v>
      </c>
      <c r="AJ1471" s="200">
        <f t="shared" si="6100"/>
        <v>1</v>
      </c>
      <c r="AK1471" s="201">
        <f t="shared" ref="AK1471:AS1471" si="7437">countif($D1471,"*"&amp;AK$2&amp;"*")</f>
        <v>0</v>
      </c>
      <c r="AL1471" s="201">
        <f t="shared" si="7437"/>
        <v>0</v>
      </c>
      <c r="AM1471" s="201">
        <f t="shared" si="7437"/>
        <v>1</v>
      </c>
      <c r="AN1471" s="201">
        <f t="shared" si="7437"/>
        <v>0</v>
      </c>
      <c r="AO1471" s="201">
        <f t="shared" si="7437"/>
        <v>0</v>
      </c>
      <c r="AP1471" s="201">
        <f t="shared" si="7437"/>
        <v>0</v>
      </c>
      <c r="AQ1471" s="201">
        <f t="shared" si="7437"/>
        <v>0</v>
      </c>
      <c r="AR1471" s="200">
        <f t="shared" si="7437"/>
        <v>0</v>
      </c>
      <c r="AS1471" s="200">
        <f t="shared" si="7437"/>
        <v>1</v>
      </c>
      <c r="AT1471" s="173">
        <v>0.0</v>
      </c>
      <c r="AU1471" s="200">
        <f t="shared" si="6217"/>
        <v>0</v>
      </c>
      <c r="AV1471" s="200">
        <f t="shared" ref="AV1471:AX1471" si="7438">countif($D1471,"*"&amp;AV$2&amp;"*")</f>
        <v>0</v>
      </c>
      <c r="AW1471" s="200">
        <f t="shared" si="7438"/>
        <v>0</v>
      </c>
      <c r="AX1471" s="200">
        <f t="shared" si="7438"/>
        <v>0</v>
      </c>
      <c r="AY1471" s="202">
        <v>0.0</v>
      </c>
      <c r="AZ1471" s="200"/>
      <c r="BA1471" s="171" t="str">
        <f t="shared" si="18"/>
        <v/>
      </c>
      <c r="BB1471" s="171" t="str">
        <f t="shared" si="19"/>
        <v/>
      </c>
      <c r="BC1471" s="171" t="str">
        <f t="shared" si="20"/>
        <v>General-purpose</v>
      </c>
      <c r="BD1471" s="171" t="str">
        <f t="shared" si="21"/>
        <v/>
      </c>
      <c r="BE1471" s="171" t="str">
        <f t="shared" si="22"/>
        <v/>
      </c>
      <c r="BF1471" s="171" t="str">
        <f t="shared" si="23"/>
        <v>General-purpose</v>
      </c>
    </row>
    <row r="1472">
      <c r="A1472" s="171">
        <f t="array" ref="A1472">XLOOKUP(C1472,FSE!A:A,FSE!C:C,"XXXXX",0,1)</f>
        <v>2022</v>
      </c>
      <c r="B1472" s="213" t="s">
        <v>5676</v>
      </c>
      <c r="C1472" s="214">
        <v>185.0</v>
      </c>
      <c r="D1472" s="215" t="s">
        <v>5181</v>
      </c>
      <c r="E1472" s="197" t="str">
        <f t="array" ref="E1472">XLOOKUP(C1472,FSE!A:A,FSE!Z:Z,"XXXXX",0,1)</f>
        <v>Publicly Available (1)</v>
      </c>
      <c r="F1472" s="213" t="s">
        <v>3394</v>
      </c>
      <c r="G1472" s="163" t="str">
        <f t="array" ref="G1472">IF(B1472="ICSE",IF(COUNTIFS(B:B,B1472,C:C,C1472)=XLOOKUP(C1472,ICSE!A:A,ICSE!AA:AA,"ERROR",0,1),"OK","ERROR"),IF(B1472="FSE",IF(COUNTIFS(B:B,B1472,C:C,C1472)=XLOOKUP(C1472,FSE!A:A,FSE!AA:AA,"ERROR",0,1),"OK","ERROR")))</f>
        <v>OK</v>
      </c>
      <c r="H1472" s="199">
        <f t="shared" ref="H1472:O1472" si="7439">countif($D1472,"*"&amp;H$2&amp;"*")</f>
        <v>0</v>
      </c>
      <c r="I1472" s="200">
        <f t="shared" si="7439"/>
        <v>0</v>
      </c>
      <c r="J1472" s="200">
        <f t="shared" si="7439"/>
        <v>0</v>
      </c>
      <c r="K1472" s="200">
        <f t="shared" si="7439"/>
        <v>0</v>
      </c>
      <c r="L1472" s="200">
        <f t="shared" si="7439"/>
        <v>0</v>
      </c>
      <c r="M1472" s="200">
        <f t="shared" si="7439"/>
        <v>0</v>
      </c>
      <c r="N1472" s="200">
        <f t="shared" si="7439"/>
        <v>0</v>
      </c>
      <c r="O1472" s="200">
        <f t="shared" si="7439"/>
        <v>0</v>
      </c>
      <c r="P1472" s="200">
        <f t="shared" si="9"/>
        <v>1</v>
      </c>
      <c r="Q1472" s="200">
        <f t="shared" ref="Q1472:AC1472" si="7440">countif($D1472,"*"&amp;Q$2&amp;"*")</f>
        <v>0</v>
      </c>
      <c r="R1472" s="200">
        <f t="shared" si="7440"/>
        <v>0</v>
      </c>
      <c r="S1472" s="200">
        <f t="shared" si="7440"/>
        <v>0</v>
      </c>
      <c r="T1472" s="200">
        <f t="shared" si="7440"/>
        <v>0</v>
      </c>
      <c r="U1472" s="200">
        <f t="shared" si="7440"/>
        <v>0</v>
      </c>
      <c r="V1472" s="200">
        <f t="shared" si="7440"/>
        <v>0</v>
      </c>
      <c r="W1472" s="200">
        <f t="shared" si="7440"/>
        <v>0</v>
      </c>
      <c r="X1472" s="200">
        <f t="shared" si="7440"/>
        <v>0</v>
      </c>
      <c r="Y1472" s="200">
        <f t="shared" si="7440"/>
        <v>0</v>
      </c>
      <c r="Z1472" s="200">
        <f t="shared" si="7440"/>
        <v>0</v>
      </c>
      <c r="AA1472" s="200">
        <f t="shared" si="7440"/>
        <v>0</v>
      </c>
      <c r="AB1472" s="200">
        <f t="shared" si="7440"/>
        <v>0</v>
      </c>
      <c r="AC1472" s="200">
        <f t="shared" si="7440"/>
        <v>0</v>
      </c>
      <c r="AD1472" s="200">
        <f t="shared" si="11"/>
        <v>0</v>
      </c>
      <c r="AE1472" s="200">
        <f t="shared" ref="AE1472:AG1472" si="7441">countif($D1472,"*"&amp;AE$2&amp;"*")</f>
        <v>0</v>
      </c>
      <c r="AF1472" s="200">
        <f t="shared" si="7441"/>
        <v>0</v>
      </c>
      <c r="AG1472" s="200">
        <f t="shared" si="7441"/>
        <v>0</v>
      </c>
      <c r="AH1472" s="171">
        <f t="shared" si="13"/>
        <v>0</v>
      </c>
      <c r="AI1472" s="200">
        <f t="shared" si="14"/>
        <v>0</v>
      </c>
      <c r="AJ1472" s="200">
        <f t="shared" si="6100"/>
        <v>0</v>
      </c>
      <c r="AK1472" s="201">
        <f t="shared" ref="AK1472:AS1472" si="7442">countif($D1472,"*"&amp;AK$2&amp;"*")</f>
        <v>0</v>
      </c>
      <c r="AL1472" s="201">
        <f t="shared" si="7442"/>
        <v>0</v>
      </c>
      <c r="AM1472" s="201">
        <f t="shared" si="7442"/>
        <v>0</v>
      </c>
      <c r="AN1472" s="201">
        <f t="shared" si="7442"/>
        <v>0</v>
      </c>
      <c r="AO1472" s="201">
        <f t="shared" si="7442"/>
        <v>0</v>
      </c>
      <c r="AP1472" s="201">
        <f t="shared" si="7442"/>
        <v>0</v>
      </c>
      <c r="AQ1472" s="201">
        <f t="shared" si="7442"/>
        <v>0</v>
      </c>
      <c r="AR1472" s="200">
        <f t="shared" si="7442"/>
        <v>0</v>
      </c>
      <c r="AS1472" s="200">
        <f t="shared" si="7442"/>
        <v>0</v>
      </c>
      <c r="AT1472" s="173">
        <v>0.0</v>
      </c>
      <c r="AU1472" s="200">
        <f t="shared" si="6217"/>
        <v>0</v>
      </c>
      <c r="AV1472" s="200">
        <f t="shared" ref="AV1472:AX1472" si="7443">countif($D1472,"*"&amp;AV$2&amp;"*")</f>
        <v>1</v>
      </c>
      <c r="AW1472" s="200">
        <f t="shared" si="7443"/>
        <v>0</v>
      </c>
      <c r="AX1472" s="200">
        <f t="shared" si="7443"/>
        <v>0</v>
      </c>
      <c r="AY1472" s="202">
        <v>0.0</v>
      </c>
      <c r="AZ1472" s="200"/>
      <c r="BA1472" s="171" t="str">
        <f t="shared" si="18"/>
        <v/>
      </c>
      <c r="BB1472" s="171" t="str">
        <f t="shared" si="19"/>
        <v>Code</v>
      </c>
      <c r="BC1472" s="171" t="str">
        <f t="shared" si="20"/>
        <v/>
      </c>
      <c r="BD1472" s="171" t="str">
        <f t="shared" si="21"/>
        <v/>
      </c>
      <c r="BE1472" s="171" t="str">
        <f t="shared" si="22"/>
        <v/>
      </c>
      <c r="BF1472" s="171" t="str">
        <f t="shared" si="23"/>
        <v>Code</v>
      </c>
    </row>
    <row r="1473">
      <c r="A1473" s="171">
        <f t="array" ref="A1473">XLOOKUP(C1473,FSE!A:A,FSE!C:C,"XXXXX",0,1)</f>
        <v>2022</v>
      </c>
      <c r="B1473" s="213" t="s">
        <v>5676</v>
      </c>
      <c r="C1473" s="214">
        <v>186.0</v>
      </c>
      <c r="D1473" s="215" t="s">
        <v>5184</v>
      </c>
      <c r="E1473" s="197" t="str">
        <f t="array" ref="E1473">XLOOKUP(C1473,FSE!A:A,FSE!Z:Z,"XXXXX",0,1)</f>
        <v>Publicly Available (1)</v>
      </c>
      <c r="F1473" s="213" t="s">
        <v>3394</v>
      </c>
      <c r="G1473" s="163" t="str">
        <f t="array" ref="G1473">IF(B1473="ICSE",IF(COUNTIFS(B:B,B1473,C:C,C1473)=XLOOKUP(C1473,ICSE!A:A,ICSE!AA:AA,"ERROR",0,1),"OK","ERROR"),IF(B1473="FSE",IF(COUNTIFS(B:B,B1473,C:C,C1473)=XLOOKUP(C1473,FSE!A:A,FSE!AA:AA,"ERROR",0,1),"OK","ERROR")))</f>
        <v>OK</v>
      </c>
      <c r="H1473" s="199">
        <f t="shared" ref="H1473:O1473" si="7444">countif($D1473,"*"&amp;H$2&amp;"*")</f>
        <v>0</v>
      </c>
      <c r="I1473" s="200">
        <f t="shared" si="7444"/>
        <v>0</v>
      </c>
      <c r="J1473" s="200">
        <f t="shared" si="7444"/>
        <v>0</v>
      </c>
      <c r="K1473" s="200">
        <f t="shared" si="7444"/>
        <v>0</v>
      </c>
      <c r="L1473" s="200">
        <f t="shared" si="7444"/>
        <v>0</v>
      </c>
      <c r="M1473" s="200">
        <f t="shared" si="7444"/>
        <v>0</v>
      </c>
      <c r="N1473" s="200">
        <f t="shared" si="7444"/>
        <v>0</v>
      </c>
      <c r="O1473" s="200">
        <f t="shared" si="7444"/>
        <v>0</v>
      </c>
      <c r="P1473" s="200">
        <f t="shared" si="9"/>
        <v>1</v>
      </c>
      <c r="Q1473" s="200">
        <f t="shared" ref="Q1473:AC1473" si="7445">countif($D1473,"*"&amp;Q$2&amp;"*")</f>
        <v>0</v>
      </c>
      <c r="R1473" s="200">
        <f t="shared" si="7445"/>
        <v>0</v>
      </c>
      <c r="S1473" s="200">
        <f t="shared" si="7445"/>
        <v>0</v>
      </c>
      <c r="T1473" s="200">
        <f t="shared" si="7445"/>
        <v>0</v>
      </c>
      <c r="U1473" s="200">
        <f t="shared" si="7445"/>
        <v>0</v>
      </c>
      <c r="V1473" s="200">
        <f t="shared" si="7445"/>
        <v>0</v>
      </c>
      <c r="W1473" s="200">
        <f t="shared" si="7445"/>
        <v>0</v>
      </c>
      <c r="X1473" s="200">
        <f t="shared" si="7445"/>
        <v>0</v>
      </c>
      <c r="Y1473" s="200">
        <f t="shared" si="7445"/>
        <v>0</v>
      </c>
      <c r="Z1473" s="200">
        <f t="shared" si="7445"/>
        <v>0</v>
      </c>
      <c r="AA1473" s="200">
        <f t="shared" si="7445"/>
        <v>0</v>
      </c>
      <c r="AB1473" s="200">
        <f t="shared" si="7445"/>
        <v>0</v>
      </c>
      <c r="AC1473" s="200">
        <f t="shared" si="7445"/>
        <v>0</v>
      </c>
      <c r="AD1473" s="200">
        <f t="shared" si="11"/>
        <v>0</v>
      </c>
      <c r="AE1473" s="200">
        <f t="shared" ref="AE1473:AG1473" si="7446">countif($D1473,"*"&amp;AE$2&amp;"*")</f>
        <v>0</v>
      </c>
      <c r="AF1473" s="200">
        <f t="shared" si="7446"/>
        <v>0</v>
      </c>
      <c r="AG1473" s="200">
        <f t="shared" si="7446"/>
        <v>0</v>
      </c>
      <c r="AH1473" s="171">
        <f t="shared" si="13"/>
        <v>0</v>
      </c>
      <c r="AI1473" s="200">
        <f t="shared" si="14"/>
        <v>0</v>
      </c>
      <c r="AJ1473" s="200">
        <f t="shared" si="6100"/>
        <v>0</v>
      </c>
      <c r="AK1473" s="201">
        <f t="shared" ref="AK1473:AS1473" si="7447">countif($D1473,"*"&amp;AK$2&amp;"*")</f>
        <v>0</v>
      </c>
      <c r="AL1473" s="201">
        <f t="shared" si="7447"/>
        <v>0</v>
      </c>
      <c r="AM1473" s="201">
        <f t="shared" si="7447"/>
        <v>0</v>
      </c>
      <c r="AN1473" s="201">
        <f t="shared" si="7447"/>
        <v>0</v>
      </c>
      <c r="AO1473" s="201">
        <f t="shared" si="7447"/>
        <v>0</v>
      </c>
      <c r="AP1473" s="201">
        <f t="shared" si="7447"/>
        <v>0</v>
      </c>
      <c r="AQ1473" s="201">
        <f t="shared" si="7447"/>
        <v>0</v>
      </c>
      <c r="AR1473" s="200">
        <f t="shared" si="7447"/>
        <v>0</v>
      </c>
      <c r="AS1473" s="200">
        <f t="shared" si="7447"/>
        <v>0</v>
      </c>
      <c r="AT1473" s="173">
        <v>0.0</v>
      </c>
      <c r="AU1473" s="200">
        <f t="shared" si="6217"/>
        <v>0</v>
      </c>
      <c r="AV1473" s="200">
        <f t="shared" ref="AV1473:AX1473" si="7448">countif($D1473,"*"&amp;AV$2&amp;"*")</f>
        <v>1</v>
      </c>
      <c r="AW1473" s="200">
        <f t="shared" si="7448"/>
        <v>0</v>
      </c>
      <c r="AX1473" s="200">
        <f t="shared" si="7448"/>
        <v>0</v>
      </c>
      <c r="AY1473" s="202">
        <v>0.0</v>
      </c>
      <c r="AZ1473" s="200"/>
      <c r="BA1473" s="171" t="str">
        <f t="shared" si="18"/>
        <v/>
      </c>
      <c r="BB1473" s="171" t="str">
        <f t="shared" si="19"/>
        <v>Code</v>
      </c>
      <c r="BC1473" s="171" t="str">
        <f t="shared" si="20"/>
        <v/>
      </c>
      <c r="BD1473" s="171" t="str">
        <f t="shared" si="21"/>
        <v/>
      </c>
      <c r="BE1473" s="171" t="str">
        <f t="shared" si="22"/>
        <v/>
      </c>
      <c r="BF1473" s="171" t="str">
        <f t="shared" si="23"/>
        <v>Code</v>
      </c>
    </row>
    <row r="1474">
      <c r="A1474" s="171">
        <f t="array" ref="A1474">XLOOKUP(C1474,FSE!A:A,FSE!C:C,"XXXXX",0,1)</f>
        <v>2022</v>
      </c>
      <c r="B1474" s="213" t="s">
        <v>5676</v>
      </c>
      <c r="C1474" s="214">
        <v>188.0</v>
      </c>
      <c r="D1474" s="215" t="s">
        <v>6289</v>
      </c>
      <c r="E1474" s="197" t="str">
        <f t="array" ref="E1474">XLOOKUP(C1474,FSE!A:A,FSE!Z:Z,"XXXXX",0,1)</f>
        <v>Publicly Available (3)</v>
      </c>
      <c r="F1474" s="213" t="s">
        <v>3394</v>
      </c>
      <c r="G1474" s="163" t="str">
        <f t="array" ref="G1474">IF(B1474="ICSE",IF(COUNTIFS(B:B,B1474,C:C,C1474)=XLOOKUP(C1474,ICSE!A:A,ICSE!AA:AA,"ERROR",0,1),"OK","ERROR"),IF(B1474="FSE",IF(COUNTIFS(B:B,B1474,C:C,C1474)=XLOOKUP(C1474,FSE!A:A,FSE!AA:AA,"ERROR",0,1),"OK","ERROR")))</f>
        <v>OK</v>
      </c>
      <c r="H1474" s="199">
        <f t="shared" ref="H1474:O1474" si="7449">countif($D1474,"*"&amp;H$2&amp;"*")</f>
        <v>0</v>
      </c>
      <c r="I1474" s="200">
        <f t="shared" si="7449"/>
        <v>0</v>
      </c>
      <c r="J1474" s="200">
        <f t="shared" si="7449"/>
        <v>0</v>
      </c>
      <c r="K1474" s="200">
        <f t="shared" si="7449"/>
        <v>0</v>
      </c>
      <c r="L1474" s="200">
        <f t="shared" si="7449"/>
        <v>0</v>
      </c>
      <c r="M1474" s="200">
        <f t="shared" si="7449"/>
        <v>0</v>
      </c>
      <c r="N1474" s="200">
        <f t="shared" si="7449"/>
        <v>0</v>
      </c>
      <c r="O1474" s="200">
        <f t="shared" si="7449"/>
        <v>0</v>
      </c>
      <c r="P1474" s="200">
        <f t="shared" si="9"/>
        <v>1</v>
      </c>
      <c r="Q1474" s="200">
        <f t="shared" ref="Q1474:AC1474" si="7450">countif($D1474,"*"&amp;Q$2&amp;"*")</f>
        <v>0</v>
      </c>
      <c r="R1474" s="200">
        <f t="shared" si="7450"/>
        <v>0</v>
      </c>
      <c r="S1474" s="200">
        <f t="shared" si="7450"/>
        <v>0</v>
      </c>
      <c r="T1474" s="200">
        <f t="shared" si="7450"/>
        <v>0</v>
      </c>
      <c r="U1474" s="200">
        <f t="shared" si="7450"/>
        <v>0</v>
      </c>
      <c r="V1474" s="200">
        <f t="shared" si="7450"/>
        <v>0</v>
      </c>
      <c r="W1474" s="200">
        <f t="shared" si="7450"/>
        <v>0</v>
      </c>
      <c r="X1474" s="200">
        <f t="shared" si="7450"/>
        <v>0</v>
      </c>
      <c r="Y1474" s="200">
        <f t="shared" si="7450"/>
        <v>0</v>
      </c>
      <c r="Z1474" s="200">
        <f t="shared" si="7450"/>
        <v>0</v>
      </c>
      <c r="AA1474" s="200">
        <f t="shared" si="7450"/>
        <v>0</v>
      </c>
      <c r="AB1474" s="200">
        <f t="shared" si="7450"/>
        <v>0</v>
      </c>
      <c r="AC1474" s="200">
        <f t="shared" si="7450"/>
        <v>0</v>
      </c>
      <c r="AD1474" s="200">
        <f t="shared" si="11"/>
        <v>0</v>
      </c>
      <c r="AE1474" s="200">
        <f t="shared" ref="AE1474:AG1474" si="7451">countif($D1474,"*"&amp;AE$2&amp;"*")</f>
        <v>0</v>
      </c>
      <c r="AF1474" s="200">
        <f t="shared" si="7451"/>
        <v>0</v>
      </c>
      <c r="AG1474" s="200">
        <f t="shared" si="7451"/>
        <v>0</v>
      </c>
      <c r="AH1474" s="171">
        <f t="shared" si="13"/>
        <v>0</v>
      </c>
      <c r="AI1474" s="200">
        <f t="shared" si="14"/>
        <v>0</v>
      </c>
      <c r="AJ1474" s="200">
        <f t="shared" si="6100"/>
        <v>0</v>
      </c>
      <c r="AK1474" s="201">
        <f t="shared" ref="AK1474:AS1474" si="7452">countif($D1474,"*"&amp;AK$2&amp;"*")</f>
        <v>0</v>
      </c>
      <c r="AL1474" s="201">
        <f t="shared" si="7452"/>
        <v>0</v>
      </c>
      <c r="AM1474" s="201">
        <f t="shared" si="7452"/>
        <v>0</v>
      </c>
      <c r="AN1474" s="201">
        <f t="shared" si="7452"/>
        <v>0</v>
      </c>
      <c r="AO1474" s="201">
        <f t="shared" si="7452"/>
        <v>0</v>
      </c>
      <c r="AP1474" s="201">
        <f t="shared" si="7452"/>
        <v>0</v>
      </c>
      <c r="AQ1474" s="201">
        <f t="shared" si="7452"/>
        <v>0</v>
      </c>
      <c r="AR1474" s="200">
        <f t="shared" si="7452"/>
        <v>0</v>
      </c>
      <c r="AS1474" s="200">
        <f t="shared" si="7452"/>
        <v>0</v>
      </c>
      <c r="AT1474" s="173">
        <v>0.0</v>
      </c>
      <c r="AU1474" s="200">
        <f t="shared" si="6217"/>
        <v>0</v>
      </c>
      <c r="AV1474" s="200">
        <f t="shared" ref="AV1474:AX1474" si="7453">countif($D1474,"*"&amp;AV$2&amp;"*")</f>
        <v>1</v>
      </c>
      <c r="AW1474" s="200">
        <f t="shared" si="7453"/>
        <v>0</v>
      </c>
      <c r="AX1474" s="200">
        <f t="shared" si="7453"/>
        <v>0</v>
      </c>
      <c r="AY1474" s="202">
        <v>0.0</v>
      </c>
      <c r="AZ1474" s="200"/>
      <c r="BA1474" s="171" t="str">
        <f t="shared" si="18"/>
        <v/>
      </c>
      <c r="BB1474" s="171" t="str">
        <f t="shared" si="19"/>
        <v>Code</v>
      </c>
      <c r="BC1474" s="171" t="str">
        <f t="shared" si="20"/>
        <v/>
      </c>
      <c r="BD1474" s="171" t="str">
        <f t="shared" si="21"/>
        <v/>
      </c>
      <c r="BE1474" s="171" t="str">
        <f t="shared" si="22"/>
        <v/>
      </c>
      <c r="BF1474" s="171" t="str">
        <f t="shared" si="23"/>
        <v>Code</v>
      </c>
    </row>
    <row r="1475">
      <c r="A1475" s="171">
        <f t="array" ref="A1475">XLOOKUP(C1475,FSE!A:A,FSE!C:C,"XXXXX",0,1)</f>
        <v>2022</v>
      </c>
      <c r="B1475" s="171" t="s">
        <v>5676</v>
      </c>
      <c r="C1475" s="160">
        <v>188.0</v>
      </c>
      <c r="D1475" s="161" t="s">
        <v>6290</v>
      </c>
      <c r="E1475" s="197" t="str">
        <f t="array" ref="E1475">XLOOKUP(C1475,FSE!A:A,FSE!Z:Z,"XXXXX",0,1)</f>
        <v>Publicly Available (3)</v>
      </c>
      <c r="F1475" s="213" t="s">
        <v>3394</v>
      </c>
      <c r="G1475" s="163" t="str">
        <f t="array" ref="G1475">IF(B1475="ICSE",IF(COUNTIFS(B:B,B1475,C:C,C1475)=XLOOKUP(C1475,ICSE!A:A,ICSE!AA:AA,"ERROR",0,1),"OK","ERROR"),IF(B1475="FSE",IF(COUNTIFS(B:B,B1475,C:C,C1475)=XLOOKUP(C1475,FSE!A:A,FSE!AA:AA,"ERROR",0,1),"OK","ERROR")))</f>
        <v>OK</v>
      </c>
      <c r="H1475" s="199">
        <f t="shared" ref="H1475:O1475" si="7454">countif($D1475,"*"&amp;H$2&amp;"*")</f>
        <v>0</v>
      </c>
      <c r="I1475" s="200">
        <f t="shared" si="7454"/>
        <v>0</v>
      </c>
      <c r="J1475" s="200">
        <f t="shared" si="7454"/>
        <v>0</v>
      </c>
      <c r="K1475" s="200">
        <f t="shared" si="7454"/>
        <v>0</v>
      </c>
      <c r="L1475" s="200">
        <f t="shared" si="7454"/>
        <v>0</v>
      </c>
      <c r="M1475" s="200">
        <f t="shared" si="7454"/>
        <v>0</v>
      </c>
      <c r="N1475" s="200">
        <f t="shared" si="7454"/>
        <v>0</v>
      </c>
      <c r="O1475" s="200">
        <f t="shared" si="7454"/>
        <v>0</v>
      </c>
      <c r="P1475" s="200">
        <f t="shared" si="9"/>
        <v>0</v>
      </c>
      <c r="Q1475" s="200">
        <f t="shared" ref="Q1475:AC1475" si="7455">countif($D1475,"*"&amp;Q$2&amp;"*")</f>
        <v>0</v>
      </c>
      <c r="R1475" s="200">
        <f t="shared" si="7455"/>
        <v>0</v>
      </c>
      <c r="S1475" s="200">
        <f t="shared" si="7455"/>
        <v>0</v>
      </c>
      <c r="T1475" s="200">
        <f t="shared" si="7455"/>
        <v>1</v>
      </c>
      <c r="U1475" s="200">
        <f t="shared" si="7455"/>
        <v>0</v>
      </c>
      <c r="V1475" s="200">
        <f t="shared" si="7455"/>
        <v>0</v>
      </c>
      <c r="W1475" s="200">
        <f t="shared" si="7455"/>
        <v>0</v>
      </c>
      <c r="X1475" s="200">
        <f t="shared" si="7455"/>
        <v>0</v>
      </c>
      <c r="Y1475" s="200">
        <f t="shared" si="7455"/>
        <v>0</v>
      </c>
      <c r="Z1475" s="200">
        <f t="shared" si="7455"/>
        <v>0</v>
      </c>
      <c r="AA1475" s="200">
        <f t="shared" si="7455"/>
        <v>0</v>
      </c>
      <c r="AB1475" s="200">
        <f t="shared" si="7455"/>
        <v>0</v>
      </c>
      <c r="AC1475" s="200">
        <f t="shared" si="7455"/>
        <v>0</v>
      </c>
      <c r="AD1475" s="200">
        <f t="shared" si="11"/>
        <v>0</v>
      </c>
      <c r="AE1475" s="200">
        <f t="shared" ref="AE1475:AG1475" si="7456">countif($D1475,"*"&amp;AE$2&amp;"*")</f>
        <v>0</v>
      </c>
      <c r="AF1475" s="200">
        <f t="shared" si="7456"/>
        <v>0</v>
      </c>
      <c r="AG1475" s="200">
        <f t="shared" si="7456"/>
        <v>0</v>
      </c>
      <c r="AH1475" s="171">
        <f t="shared" si="13"/>
        <v>0</v>
      </c>
      <c r="AI1475" s="200">
        <f t="shared" si="14"/>
        <v>0</v>
      </c>
      <c r="AJ1475" s="200">
        <f t="shared" si="6100"/>
        <v>0</v>
      </c>
      <c r="AK1475" s="201">
        <f t="shared" ref="AK1475:AS1475" si="7457">countif($D1475,"*"&amp;AK$2&amp;"*")</f>
        <v>0</v>
      </c>
      <c r="AL1475" s="201">
        <f t="shared" si="7457"/>
        <v>0</v>
      </c>
      <c r="AM1475" s="201">
        <f t="shared" si="7457"/>
        <v>0</v>
      </c>
      <c r="AN1475" s="201">
        <f t="shared" si="7457"/>
        <v>0</v>
      </c>
      <c r="AO1475" s="201">
        <f t="shared" si="7457"/>
        <v>0</v>
      </c>
      <c r="AP1475" s="201">
        <f t="shared" si="7457"/>
        <v>0</v>
      </c>
      <c r="AQ1475" s="201">
        <f t="shared" si="7457"/>
        <v>0</v>
      </c>
      <c r="AR1475" s="200">
        <f t="shared" si="7457"/>
        <v>0</v>
      </c>
      <c r="AS1475" s="200">
        <f t="shared" si="7457"/>
        <v>0</v>
      </c>
      <c r="AT1475" s="173">
        <v>0.0</v>
      </c>
      <c r="AU1475" s="200">
        <f t="shared" si="6217"/>
        <v>0</v>
      </c>
      <c r="AV1475" s="200">
        <f t="shared" ref="AV1475:AX1475" si="7458">countif($D1475,"*"&amp;AV$2&amp;"*")</f>
        <v>0</v>
      </c>
      <c r="AW1475" s="200">
        <f t="shared" si="7458"/>
        <v>0</v>
      </c>
      <c r="AX1475" s="200">
        <f t="shared" si="7458"/>
        <v>0</v>
      </c>
      <c r="AY1475" s="202">
        <v>0.0</v>
      </c>
      <c r="AZ1475" s="200"/>
      <c r="BA1475" s="171" t="str">
        <f t="shared" si="18"/>
        <v/>
      </c>
      <c r="BB1475" s="171" t="str">
        <f t="shared" si="19"/>
        <v>Code</v>
      </c>
      <c r="BC1475" s="171" t="str">
        <f t="shared" si="20"/>
        <v/>
      </c>
      <c r="BD1475" s="171" t="str">
        <f t="shared" si="21"/>
        <v/>
      </c>
      <c r="BE1475" s="171" t="str">
        <f t="shared" si="22"/>
        <v/>
      </c>
      <c r="BF1475" s="171" t="str">
        <f t="shared" si="23"/>
        <v>Code</v>
      </c>
    </row>
    <row r="1476">
      <c r="A1476" s="171">
        <f t="array" ref="A1476">XLOOKUP(C1476,FSE!A:A,FSE!C:C,"XXXXX",0,1)</f>
        <v>2022</v>
      </c>
      <c r="B1476" s="171" t="s">
        <v>5676</v>
      </c>
      <c r="C1476" s="160">
        <v>188.0</v>
      </c>
      <c r="D1476" s="161" t="s">
        <v>6291</v>
      </c>
      <c r="E1476" s="197" t="str">
        <f t="array" ref="E1476">XLOOKUP(C1476,FSE!A:A,FSE!Z:Z,"XXXXX",0,1)</f>
        <v>Publicly Available (3)</v>
      </c>
      <c r="F1476" s="213" t="s">
        <v>3394</v>
      </c>
      <c r="G1476" s="163" t="str">
        <f t="array" ref="G1476">IF(B1476="ICSE",IF(COUNTIFS(B:B,B1476,C:C,C1476)=XLOOKUP(C1476,ICSE!A:A,ICSE!AA:AA,"ERROR",0,1),"OK","ERROR"),IF(B1476="FSE",IF(COUNTIFS(B:B,B1476,C:C,C1476)=XLOOKUP(C1476,FSE!A:A,FSE!AA:AA,"ERROR",0,1),"OK","ERROR")))</f>
        <v>OK</v>
      </c>
      <c r="H1476" s="199">
        <f t="shared" ref="H1476:O1476" si="7459">countif($D1476,"*"&amp;H$2&amp;"*")</f>
        <v>1</v>
      </c>
      <c r="I1476" s="200">
        <f t="shared" si="7459"/>
        <v>0</v>
      </c>
      <c r="J1476" s="200">
        <f t="shared" si="7459"/>
        <v>0</v>
      </c>
      <c r="K1476" s="200">
        <f t="shared" si="7459"/>
        <v>0</v>
      </c>
      <c r="L1476" s="200">
        <f t="shared" si="7459"/>
        <v>0</v>
      </c>
      <c r="M1476" s="200">
        <f t="shared" si="7459"/>
        <v>0</v>
      </c>
      <c r="N1476" s="200">
        <f t="shared" si="7459"/>
        <v>0</v>
      </c>
      <c r="O1476" s="200">
        <f t="shared" si="7459"/>
        <v>0</v>
      </c>
      <c r="P1476" s="200">
        <f t="shared" si="9"/>
        <v>0</v>
      </c>
      <c r="Q1476" s="200">
        <f t="shared" ref="Q1476:AC1476" si="7460">countif($D1476,"*"&amp;Q$2&amp;"*")</f>
        <v>0</v>
      </c>
      <c r="R1476" s="200">
        <f t="shared" si="7460"/>
        <v>0</v>
      </c>
      <c r="S1476" s="200">
        <f t="shared" si="7460"/>
        <v>0</v>
      </c>
      <c r="T1476" s="200">
        <f t="shared" si="7460"/>
        <v>0</v>
      </c>
      <c r="U1476" s="200">
        <f t="shared" si="7460"/>
        <v>0</v>
      </c>
      <c r="V1476" s="200">
        <f t="shared" si="7460"/>
        <v>0</v>
      </c>
      <c r="W1476" s="200">
        <f t="shared" si="7460"/>
        <v>0</v>
      </c>
      <c r="X1476" s="200">
        <f t="shared" si="7460"/>
        <v>0</v>
      </c>
      <c r="Y1476" s="200">
        <f t="shared" si="7460"/>
        <v>0</v>
      </c>
      <c r="Z1476" s="200">
        <f t="shared" si="7460"/>
        <v>0</v>
      </c>
      <c r="AA1476" s="200">
        <f t="shared" si="7460"/>
        <v>0</v>
      </c>
      <c r="AB1476" s="200">
        <f t="shared" si="7460"/>
        <v>0</v>
      </c>
      <c r="AC1476" s="200">
        <f t="shared" si="7460"/>
        <v>0</v>
      </c>
      <c r="AD1476" s="200">
        <f t="shared" si="11"/>
        <v>0</v>
      </c>
      <c r="AE1476" s="200">
        <f t="shared" ref="AE1476:AG1476" si="7461">countif($D1476,"*"&amp;AE$2&amp;"*")</f>
        <v>0</v>
      </c>
      <c r="AF1476" s="200">
        <f t="shared" si="7461"/>
        <v>0</v>
      </c>
      <c r="AG1476" s="200">
        <f t="shared" si="7461"/>
        <v>0</v>
      </c>
      <c r="AH1476" s="171">
        <f t="shared" si="13"/>
        <v>0</v>
      </c>
      <c r="AI1476" s="200">
        <f t="shared" si="14"/>
        <v>1</v>
      </c>
      <c r="AJ1476" s="200">
        <f t="shared" si="6100"/>
        <v>0</v>
      </c>
      <c r="AK1476" s="201">
        <f t="shared" ref="AK1476:AS1476" si="7462">countif($D1476,"*"&amp;AK$2&amp;"*")</f>
        <v>0</v>
      </c>
      <c r="AL1476" s="201">
        <f t="shared" si="7462"/>
        <v>0</v>
      </c>
      <c r="AM1476" s="201">
        <f t="shared" si="7462"/>
        <v>0</v>
      </c>
      <c r="AN1476" s="201">
        <f t="shared" si="7462"/>
        <v>0</v>
      </c>
      <c r="AO1476" s="201">
        <f t="shared" si="7462"/>
        <v>0</v>
      </c>
      <c r="AP1476" s="201">
        <f t="shared" si="7462"/>
        <v>0</v>
      </c>
      <c r="AQ1476" s="201">
        <f t="shared" si="7462"/>
        <v>0</v>
      </c>
      <c r="AR1476" s="200">
        <f t="shared" si="7462"/>
        <v>0</v>
      </c>
      <c r="AS1476" s="200">
        <f t="shared" si="7462"/>
        <v>0</v>
      </c>
      <c r="AT1476" s="173">
        <v>0.0</v>
      </c>
      <c r="AU1476" s="200">
        <f t="shared" si="6217"/>
        <v>0</v>
      </c>
      <c r="AV1476" s="200">
        <f t="shared" ref="AV1476:AX1476" si="7463">countif($D1476,"*"&amp;AV$2&amp;"*")</f>
        <v>0</v>
      </c>
      <c r="AW1476" s="200">
        <f t="shared" si="7463"/>
        <v>0</v>
      </c>
      <c r="AX1476" s="200">
        <f t="shared" si="7463"/>
        <v>1</v>
      </c>
      <c r="AY1476" s="202">
        <v>0.0</v>
      </c>
      <c r="AZ1476" s="200"/>
      <c r="BA1476" s="171" t="str">
        <f t="shared" si="18"/>
        <v>Archival</v>
      </c>
      <c r="BB1476" s="171" t="str">
        <f t="shared" si="19"/>
        <v/>
      </c>
      <c r="BC1476" s="171" t="str">
        <f t="shared" si="20"/>
        <v/>
      </c>
      <c r="BD1476" s="171" t="str">
        <f t="shared" si="21"/>
        <v/>
      </c>
      <c r="BE1476" s="171" t="str">
        <f t="shared" si="22"/>
        <v/>
      </c>
      <c r="BF1476" s="171" t="str">
        <f t="shared" si="23"/>
        <v>Archival</v>
      </c>
    </row>
    <row r="1477">
      <c r="A1477" s="171">
        <f t="array" ref="A1477">XLOOKUP(C1477,FSE!A:A,FSE!C:C,"XXXXX",0,1)</f>
        <v>2022</v>
      </c>
      <c r="B1477" s="213" t="s">
        <v>5676</v>
      </c>
      <c r="C1477" s="214">
        <v>189.0</v>
      </c>
      <c r="D1477" s="215" t="s">
        <v>5192</v>
      </c>
      <c r="E1477" s="197" t="str">
        <f t="array" ref="E1477">XLOOKUP(C1477,FSE!A:A,FSE!Z:Z,"XXXXX",0,1)</f>
        <v>Publicly Available (1)</v>
      </c>
      <c r="F1477" s="213" t="s">
        <v>3394</v>
      </c>
      <c r="G1477" s="163" t="str">
        <f t="array" ref="G1477">IF(B1477="ICSE",IF(COUNTIFS(B:B,B1477,C:C,C1477)=XLOOKUP(C1477,ICSE!A:A,ICSE!AA:AA,"ERROR",0,1),"OK","ERROR"),IF(B1477="FSE",IF(COUNTIFS(B:B,B1477,C:C,C1477)=XLOOKUP(C1477,FSE!A:A,FSE!AA:AA,"ERROR",0,1),"OK","ERROR")))</f>
        <v>OK</v>
      </c>
      <c r="H1477" s="199">
        <f t="shared" ref="H1477:O1477" si="7464">countif($D1477,"*"&amp;H$2&amp;"*")</f>
        <v>0</v>
      </c>
      <c r="I1477" s="200">
        <f t="shared" si="7464"/>
        <v>0</v>
      </c>
      <c r="J1477" s="200">
        <f t="shared" si="7464"/>
        <v>0</v>
      </c>
      <c r="K1477" s="200">
        <f t="shared" si="7464"/>
        <v>0</v>
      </c>
      <c r="L1477" s="200">
        <f t="shared" si="7464"/>
        <v>0</v>
      </c>
      <c r="M1477" s="200">
        <f t="shared" si="7464"/>
        <v>0</v>
      </c>
      <c r="N1477" s="200">
        <f t="shared" si="7464"/>
        <v>0</v>
      </c>
      <c r="O1477" s="200">
        <f t="shared" si="7464"/>
        <v>0</v>
      </c>
      <c r="P1477" s="200">
        <f t="shared" si="9"/>
        <v>1</v>
      </c>
      <c r="Q1477" s="200">
        <f t="shared" ref="Q1477:AC1477" si="7465">countif($D1477,"*"&amp;Q$2&amp;"*")</f>
        <v>0</v>
      </c>
      <c r="R1477" s="200">
        <f t="shared" si="7465"/>
        <v>0</v>
      </c>
      <c r="S1477" s="200">
        <f t="shared" si="7465"/>
        <v>0</v>
      </c>
      <c r="T1477" s="200">
        <f t="shared" si="7465"/>
        <v>0</v>
      </c>
      <c r="U1477" s="200">
        <f t="shared" si="7465"/>
        <v>0</v>
      </c>
      <c r="V1477" s="200">
        <f t="shared" si="7465"/>
        <v>0</v>
      </c>
      <c r="W1477" s="200">
        <f t="shared" si="7465"/>
        <v>0</v>
      </c>
      <c r="X1477" s="200">
        <f t="shared" si="7465"/>
        <v>0</v>
      </c>
      <c r="Y1477" s="200">
        <f t="shared" si="7465"/>
        <v>0</v>
      </c>
      <c r="Z1477" s="200">
        <f t="shared" si="7465"/>
        <v>0</v>
      </c>
      <c r="AA1477" s="200">
        <f t="shared" si="7465"/>
        <v>0</v>
      </c>
      <c r="AB1477" s="200">
        <f t="shared" si="7465"/>
        <v>0</v>
      </c>
      <c r="AC1477" s="200">
        <f t="shared" si="7465"/>
        <v>0</v>
      </c>
      <c r="AD1477" s="200">
        <f t="shared" si="11"/>
        <v>0</v>
      </c>
      <c r="AE1477" s="200">
        <f t="shared" ref="AE1477:AG1477" si="7466">countif($D1477,"*"&amp;AE$2&amp;"*")</f>
        <v>0</v>
      </c>
      <c r="AF1477" s="200">
        <f t="shared" si="7466"/>
        <v>0</v>
      </c>
      <c r="AG1477" s="200">
        <f t="shared" si="7466"/>
        <v>0</v>
      </c>
      <c r="AH1477" s="171">
        <f t="shared" si="13"/>
        <v>0</v>
      </c>
      <c r="AI1477" s="200">
        <f t="shared" si="14"/>
        <v>0</v>
      </c>
      <c r="AJ1477" s="200">
        <f t="shared" si="6100"/>
        <v>0</v>
      </c>
      <c r="AK1477" s="201">
        <f t="shared" ref="AK1477:AS1477" si="7467">countif($D1477,"*"&amp;AK$2&amp;"*")</f>
        <v>0</v>
      </c>
      <c r="AL1477" s="201">
        <f t="shared" si="7467"/>
        <v>0</v>
      </c>
      <c r="AM1477" s="201">
        <f t="shared" si="7467"/>
        <v>0</v>
      </c>
      <c r="AN1477" s="201">
        <f t="shared" si="7467"/>
        <v>0</v>
      </c>
      <c r="AO1477" s="201">
        <f t="shared" si="7467"/>
        <v>0</v>
      </c>
      <c r="AP1477" s="201">
        <f t="shared" si="7467"/>
        <v>0</v>
      </c>
      <c r="AQ1477" s="201">
        <f t="shared" si="7467"/>
        <v>0</v>
      </c>
      <c r="AR1477" s="200">
        <f t="shared" si="7467"/>
        <v>0</v>
      </c>
      <c r="AS1477" s="200">
        <f t="shared" si="7467"/>
        <v>0</v>
      </c>
      <c r="AT1477" s="173">
        <v>0.0</v>
      </c>
      <c r="AU1477" s="200">
        <f t="shared" si="6217"/>
        <v>0</v>
      </c>
      <c r="AV1477" s="200">
        <f t="shared" ref="AV1477:AX1477" si="7468">countif($D1477,"*"&amp;AV$2&amp;"*")</f>
        <v>1</v>
      </c>
      <c r="AW1477" s="200">
        <f t="shared" si="7468"/>
        <v>0</v>
      </c>
      <c r="AX1477" s="200">
        <f t="shared" si="7468"/>
        <v>0</v>
      </c>
      <c r="AY1477" s="202">
        <v>0.0</v>
      </c>
      <c r="AZ1477" s="200"/>
      <c r="BA1477" s="171" t="str">
        <f t="shared" si="18"/>
        <v/>
      </c>
      <c r="BB1477" s="171" t="str">
        <f t="shared" si="19"/>
        <v>Code</v>
      </c>
      <c r="BC1477" s="171" t="str">
        <f t="shared" si="20"/>
        <v/>
      </c>
      <c r="BD1477" s="171" t="str">
        <f t="shared" si="21"/>
        <v/>
      </c>
      <c r="BE1477" s="171" t="str">
        <f t="shared" si="22"/>
        <v/>
      </c>
      <c r="BF1477" s="171" t="str">
        <f t="shared" si="23"/>
        <v>Code</v>
      </c>
    </row>
    <row r="1478">
      <c r="A1478" s="171">
        <f t="array" ref="A1478">XLOOKUP(C1478,FSE!A:A,FSE!C:C,"XXXXX",0,1)</f>
        <v>2022</v>
      </c>
      <c r="B1478" s="213" t="s">
        <v>5676</v>
      </c>
      <c r="C1478" s="214">
        <v>191.0</v>
      </c>
      <c r="D1478" s="215" t="s">
        <v>5196</v>
      </c>
      <c r="E1478" s="197" t="str">
        <f t="array" ref="E1478">XLOOKUP(C1478,FSE!A:A,FSE!Z:Z,"XXXXX",0,1)</f>
        <v>Publicly Available (1)</v>
      </c>
      <c r="F1478" s="213" t="s">
        <v>3394</v>
      </c>
      <c r="G1478" s="163" t="str">
        <f t="array" ref="G1478">IF(B1478="ICSE",IF(COUNTIFS(B:B,B1478,C:C,C1478)=XLOOKUP(C1478,ICSE!A:A,ICSE!AA:AA,"ERROR",0,1),"OK","ERROR"),IF(B1478="FSE",IF(COUNTIFS(B:B,B1478,C:C,C1478)=XLOOKUP(C1478,FSE!A:A,FSE!AA:AA,"ERROR",0,1),"OK","ERROR")))</f>
        <v>OK</v>
      </c>
      <c r="H1478" s="199">
        <f t="shared" ref="H1478:O1478" si="7469">countif($D1478,"*"&amp;H$2&amp;"*")</f>
        <v>1</v>
      </c>
      <c r="I1478" s="200">
        <f t="shared" si="7469"/>
        <v>0</v>
      </c>
      <c r="J1478" s="200">
        <f t="shared" si="7469"/>
        <v>0</v>
      </c>
      <c r="K1478" s="200">
        <f t="shared" si="7469"/>
        <v>0</v>
      </c>
      <c r="L1478" s="200">
        <f t="shared" si="7469"/>
        <v>0</v>
      </c>
      <c r="M1478" s="200">
        <f t="shared" si="7469"/>
        <v>0</v>
      </c>
      <c r="N1478" s="200">
        <f t="shared" si="7469"/>
        <v>0</v>
      </c>
      <c r="O1478" s="200">
        <f t="shared" si="7469"/>
        <v>0</v>
      </c>
      <c r="P1478" s="200">
        <f t="shared" si="9"/>
        <v>0</v>
      </c>
      <c r="Q1478" s="200">
        <f t="shared" ref="Q1478:AC1478" si="7470">countif($D1478,"*"&amp;Q$2&amp;"*")</f>
        <v>0</v>
      </c>
      <c r="R1478" s="200">
        <f t="shared" si="7470"/>
        <v>0</v>
      </c>
      <c r="S1478" s="200">
        <f t="shared" si="7470"/>
        <v>0</v>
      </c>
      <c r="T1478" s="200">
        <f t="shared" si="7470"/>
        <v>0</v>
      </c>
      <c r="U1478" s="200">
        <f t="shared" si="7470"/>
        <v>0</v>
      </c>
      <c r="V1478" s="200">
        <f t="shared" si="7470"/>
        <v>0</v>
      </c>
      <c r="W1478" s="200">
        <f t="shared" si="7470"/>
        <v>0</v>
      </c>
      <c r="X1478" s="200">
        <f t="shared" si="7470"/>
        <v>0</v>
      </c>
      <c r="Y1478" s="200">
        <f t="shared" si="7470"/>
        <v>0</v>
      </c>
      <c r="Z1478" s="200">
        <f t="shared" si="7470"/>
        <v>0</v>
      </c>
      <c r="AA1478" s="200">
        <f t="shared" si="7470"/>
        <v>0</v>
      </c>
      <c r="AB1478" s="200">
        <f t="shared" si="7470"/>
        <v>0</v>
      </c>
      <c r="AC1478" s="200">
        <f t="shared" si="7470"/>
        <v>0</v>
      </c>
      <c r="AD1478" s="200">
        <f t="shared" si="11"/>
        <v>0</v>
      </c>
      <c r="AE1478" s="200">
        <f t="shared" ref="AE1478:AG1478" si="7471">countif($D1478,"*"&amp;AE$2&amp;"*")</f>
        <v>0</v>
      </c>
      <c r="AF1478" s="200">
        <f t="shared" si="7471"/>
        <v>0</v>
      </c>
      <c r="AG1478" s="200">
        <f t="shared" si="7471"/>
        <v>0</v>
      </c>
      <c r="AH1478" s="171">
        <f t="shared" si="13"/>
        <v>0</v>
      </c>
      <c r="AI1478" s="200">
        <f t="shared" si="14"/>
        <v>1</v>
      </c>
      <c r="AJ1478" s="200">
        <f t="shared" si="6100"/>
        <v>0</v>
      </c>
      <c r="AK1478" s="201">
        <f t="shared" ref="AK1478:AS1478" si="7472">countif($D1478,"*"&amp;AK$2&amp;"*")</f>
        <v>0</v>
      </c>
      <c r="AL1478" s="201">
        <f t="shared" si="7472"/>
        <v>0</v>
      </c>
      <c r="AM1478" s="201">
        <f t="shared" si="7472"/>
        <v>0</v>
      </c>
      <c r="AN1478" s="201">
        <f t="shared" si="7472"/>
        <v>0</v>
      </c>
      <c r="AO1478" s="201">
        <f t="shared" si="7472"/>
        <v>0</v>
      </c>
      <c r="AP1478" s="201">
        <f t="shared" si="7472"/>
        <v>0</v>
      </c>
      <c r="AQ1478" s="201">
        <f t="shared" si="7472"/>
        <v>0</v>
      </c>
      <c r="AR1478" s="200">
        <f t="shared" si="7472"/>
        <v>0</v>
      </c>
      <c r="AS1478" s="200">
        <f t="shared" si="7472"/>
        <v>0</v>
      </c>
      <c r="AT1478" s="173">
        <v>0.0</v>
      </c>
      <c r="AU1478" s="200">
        <f t="shared" si="6217"/>
        <v>0</v>
      </c>
      <c r="AV1478" s="200">
        <f t="shared" ref="AV1478:AX1478" si="7473">countif($D1478,"*"&amp;AV$2&amp;"*")</f>
        <v>0</v>
      </c>
      <c r="AW1478" s="200">
        <f t="shared" si="7473"/>
        <v>0</v>
      </c>
      <c r="AX1478" s="200">
        <f t="shared" si="7473"/>
        <v>1</v>
      </c>
      <c r="AY1478" s="202">
        <v>0.0</v>
      </c>
      <c r="AZ1478" s="200"/>
      <c r="BA1478" s="171" t="str">
        <f t="shared" si="18"/>
        <v>Archival</v>
      </c>
      <c r="BB1478" s="171" t="str">
        <f t="shared" si="19"/>
        <v/>
      </c>
      <c r="BC1478" s="171" t="str">
        <f t="shared" si="20"/>
        <v/>
      </c>
      <c r="BD1478" s="171" t="str">
        <f t="shared" si="21"/>
        <v/>
      </c>
      <c r="BE1478" s="171" t="str">
        <f t="shared" si="22"/>
        <v/>
      </c>
      <c r="BF1478" s="171" t="str">
        <f t="shared" si="23"/>
        <v>Archival</v>
      </c>
    </row>
    <row r="1479">
      <c r="A1479" s="171">
        <f t="array" ref="A1479">XLOOKUP(C1479,FSE!A:A,FSE!C:C,"XXXXX",0,1)</f>
        <v>2022</v>
      </c>
      <c r="B1479" s="213" t="s">
        <v>5676</v>
      </c>
      <c r="C1479" s="214">
        <v>192.0</v>
      </c>
      <c r="D1479" s="215" t="s">
        <v>5199</v>
      </c>
      <c r="E1479" s="197" t="str">
        <f t="array" ref="E1479">XLOOKUP(C1479,FSE!A:A,FSE!Z:Z,"XXXXX",0,1)</f>
        <v>Publicly Available (1)</v>
      </c>
      <c r="F1479" s="213" t="s">
        <v>3394</v>
      </c>
      <c r="G1479" s="163" t="str">
        <f t="array" ref="G1479">IF(B1479="ICSE",IF(COUNTIFS(B:B,B1479,C:C,C1479)=XLOOKUP(C1479,ICSE!A:A,ICSE!AA:AA,"ERROR",0,1),"OK","ERROR"),IF(B1479="FSE",IF(COUNTIFS(B:B,B1479,C:C,C1479)=XLOOKUP(C1479,FSE!A:A,FSE!AA:AA,"ERROR",0,1),"OK","ERROR")))</f>
        <v>OK</v>
      </c>
      <c r="H1479" s="199">
        <f t="shared" ref="H1479:O1479" si="7474">countif($D1479,"*"&amp;H$2&amp;"*")</f>
        <v>1</v>
      </c>
      <c r="I1479" s="200">
        <f t="shared" si="7474"/>
        <v>0</v>
      </c>
      <c r="J1479" s="200">
        <f t="shared" si="7474"/>
        <v>0</v>
      </c>
      <c r="K1479" s="200">
        <f t="shared" si="7474"/>
        <v>0</v>
      </c>
      <c r="L1479" s="200">
        <f t="shared" si="7474"/>
        <v>0</v>
      </c>
      <c r="M1479" s="200">
        <f t="shared" si="7474"/>
        <v>0</v>
      </c>
      <c r="N1479" s="200">
        <f t="shared" si="7474"/>
        <v>0</v>
      </c>
      <c r="O1479" s="200">
        <f t="shared" si="7474"/>
        <v>0</v>
      </c>
      <c r="P1479" s="200">
        <f t="shared" si="9"/>
        <v>0</v>
      </c>
      <c r="Q1479" s="200">
        <f t="shared" ref="Q1479:AC1479" si="7475">countif($D1479,"*"&amp;Q$2&amp;"*")</f>
        <v>0</v>
      </c>
      <c r="R1479" s="200">
        <f t="shared" si="7475"/>
        <v>0</v>
      </c>
      <c r="S1479" s="200">
        <f t="shared" si="7475"/>
        <v>0</v>
      </c>
      <c r="T1479" s="200">
        <f t="shared" si="7475"/>
        <v>0</v>
      </c>
      <c r="U1479" s="200">
        <f t="shared" si="7475"/>
        <v>0</v>
      </c>
      <c r="V1479" s="200">
        <f t="shared" si="7475"/>
        <v>0</v>
      </c>
      <c r="W1479" s="200">
        <f t="shared" si="7475"/>
        <v>0</v>
      </c>
      <c r="X1479" s="200">
        <f t="shared" si="7475"/>
        <v>0</v>
      </c>
      <c r="Y1479" s="200">
        <f t="shared" si="7475"/>
        <v>0</v>
      </c>
      <c r="Z1479" s="200">
        <f t="shared" si="7475"/>
        <v>0</v>
      </c>
      <c r="AA1479" s="200">
        <f t="shared" si="7475"/>
        <v>0</v>
      </c>
      <c r="AB1479" s="200">
        <f t="shared" si="7475"/>
        <v>0</v>
      </c>
      <c r="AC1479" s="200">
        <f t="shared" si="7475"/>
        <v>0</v>
      </c>
      <c r="AD1479" s="200">
        <f t="shared" si="11"/>
        <v>0</v>
      </c>
      <c r="AE1479" s="200">
        <f t="shared" ref="AE1479:AG1479" si="7476">countif($D1479,"*"&amp;AE$2&amp;"*")</f>
        <v>0</v>
      </c>
      <c r="AF1479" s="200">
        <f t="shared" si="7476"/>
        <v>0</v>
      </c>
      <c r="AG1479" s="200">
        <f t="shared" si="7476"/>
        <v>0</v>
      </c>
      <c r="AH1479" s="171">
        <f t="shared" si="13"/>
        <v>0</v>
      </c>
      <c r="AI1479" s="200">
        <f t="shared" si="14"/>
        <v>1</v>
      </c>
      <c r="AJ1479" s="200">
        <f t="shared" si="6100"/>
        <v>0</v>
      </c>
      <c r="AK1479" s="201">
        <f t="shared" ref="AK1479:AS1479" si="7477">countif($D1479,"*"&amp;AK$2&amp;"*")</f>
        <v>0</v>
      </c>
      <c r="AL1479" s="201">
        <f t="shared" si="7477"/>
        <v>0</v>
      </c>
      <c r="AM1479" s="201">
        <f t="shared" si="7477"/>
        <v>0</v>
      </c>
      <c r="AN1479" s="201">
        <f t="shared" si="7477"/>
        <v>0</v>
      </c>
      <c r="AO1479" s="201">
        <f t="shared" si="7477"/>
        <v>0</v>
      </c>
      <c r="AP1479" s="201">
        <f t="shared" si="7477"/>
        <v>0</v>
      </c>
      <c r="AQ1479" s="201">
        <f t="shared" si="7477"/>
        <v>0</v>
      </c>
      <c r="AR1479" s="200">
        <f t="shared" si="7477"/>
        <v>0</v>
      </c>
      <c r="AS1479" s="200">
        <f t="shared" si="7477"/>
        <v>0</v>
      </c>
      <c r="AT1479" s="173">
        <v>0.0</v>
      </c>
      <c r="AU1479" s="200">
        <f t="shared" si="6217"/>
        <v>0</v>
      </c>
      <c r="AV1479" s="200">
        <f t="shared" ref="AV1479:AX1479" si="7478">countif($D1479,"*"&amp;AV$2&amp;"*")</f>
        <v>0</v>
      </c>
      <c r="AW1479" s="200">
        <f t="shared" si="7478"/>
        <v>0</v>
      </c>
      <c r="AX1479" s="200">
        <f t="shared" si="7478"/>
        <v>1</v>
      </c>
      <c r="AY1479" s="202">
        <v>0.0</v>
      </c>
      <c r="AZ1479" s="200"/>
      <c r="BA1479" s="171" t="str">
        <f t="shared" si="18"/>
        <v>Archival</v>
      </c>
      <c r="BB1479" s="171" t="str">
        <f t="shared" si="19"/>
        <v/>
      </c>
      <c r="BC1479" s="171" t="str">
        <f t="shared" si="20"/>
        <v/>
      </c>
      <c r="BD1479" s="171" t="str">
        <f t="shared" si="21"/>
        <v/>
      </c>
      <c r="BE1479" s="171" t="str">
        <f t="shared" si="22"/>
        <v/>
      </c>
      <c r="BF1479" s="171" t="str">
        <f t="shared" si="23"/>
        <v>Archival</v>
      </c>
    </row>
    <row r="1480">
      <c r="A1480" s="171">
        <f t="array" ref="A1480">XLOOKUP(C1480,FSE!A:A,FSE!C:C,"XXXXX",0,1)</f>
        <v>2022</v>
      </c>
      <c r="B1480" s="213" t="s">
        <v>5676</v>
      </c>
      <c r="C1480" s="214">
        <v>193.0</v>
      </c>
      <c r="D1480" s="215" t="s">
        <v>6292</v>
      </c>
      <c r="E1480" s="197" t="str">
        <f t="array" ref="E1480">XLOOKUP(C1480,FSE!A:A,FSE!Z:Z,"XXXXX",0,1)</f>
        <v>Publicly Available (2)</v>
      </c>
      <c r="F1480" s="213" t="s">
        <v>3394</v>
      </c>
      <c r="G1480" s="163" t="str">
        <f t="array" ref="G1480">IF(B1480="ICSE",IF(COUNTIFS(B:B,B1480,C:C,C1480)=XLOOKUP(C1480,ICSE!A:A,ICSE!AA:AA,"ERROR",0,1),"OK","ERROR"),IF(B1480="FSE",IF(COUNTIFS(B:B,B1480,C:C,C1480)=XLOOKUP(C1480,FSE!A:A,FSE!AA:AA,"ERROR",0,1),"OK","ERROR")))</f>
        <v>OK</v>
      </c>
      <c r="H1480" s="199">
        <f t="shared" ref="H1480:O1480" si="7479">countif($D1480,"*"&amp;H$2&amp;"*")</f>
        <v>1</v>
      </c>
      <c r="I1480" s="200">
        <f t="shared" si="7479"/>
        <v>0</v>
      </c>
      <c r="J1480" s="200">
        <f t="shared" si="7479"/>
        <v>0</v>
      </c>
      <c r="K1480" s="200">
        <f t="shared" si="7479"/>
        <v>0</v>
      </c>
      <c r="L1480" s="200">
        <f t="shared" si="7479"/>
        <v>0</v>
      </c>
      <c r="M1480" s="200">
        <f t="shared" si="7479"/>
        <v>0</v>
      </c>
      <c r="N1480" s="200">
        <f t="shared" si="7479"/>
        <v>0</v>
      </c>
      <c r="O1480" s="200">
        <f t="shared" si="7479"/>
        <v>0</v>
      </c>
      <c r="P1480" s="200">
        <f t="shared" si="9"/>
        <v>0</v>
      </c>
      <c r="Q1480" s="200">
        <f t="shared" ref="Q1480:AC1480" si="7480">countif($D1480,"*"&amp;Q$2&amp;"*")</f>
        <v>0</v>
      </c>
      <c r="R1480" s="200">
        <f t="shared" si="7480"/>
        <v>0</v>
      </c>
      <c r="S1480" s="200">
        <f t="shared" si="7480"/>
        <v>0</v>
      </c>
      <c r="T1480" s="200">
        <f t="shared" si="7480"/>
        <v>0</v>
      </c>
      <c r="U1480" s="200">
        <f t="shared" si="7480"/>
        <v>0</v>
      </c>
      <c r="V1480" s="200">
        <f t="shared" si="7480"/>
        <v>0</v>
      </c>
      <c r="W1480" s="200">
        <f t="shared" si="7480"/>
        <v>0</v>
      </c>
      <c r="X1480" s="200">
        <f t="shared" si="7480"/>
        <v>0</v>
      </c>
      <c r="Y1480" s="200">
        <f t="shared" si="7480"/>
        <v>0</v>
      </c>
      <c r="Z1480" s="200">
        <f t="shared" si="7480"/>
        <v>0</v>
      </c>
      <c r="AA1480" s="200">
        <f t="shared" si="7480"/>
        <v>0</v>
      </c>
      <c r="AB1480" s="200">
        <f t="shared" si="7480"/>
        <v>0</v>
      </c>
      <c r="AC1480" s="200">
        <f t="shared" si="7480"/>
        <v>0</v>
      </c>
      <c r="AD1480" s="200">
        <f t="shared" si="11"/>
        <v>0</v>
      </c>
      <c r="AE1480" s="200">
        <f t="shared" ref="AE1480:AG1480" si="7481">countif($D1480,"*"&amp;AE$2&amp;"*")</f>
        <v>0</v>
      </c>
      <c r="AF1480" s="200">
        <f t="shared" si="7481"/>
        <v>0</v>
      </c>
      <c r="AG1480" s="200">
        <f t="shared" si="7481"/>
        <v>0</v>
      </c>
      <c r="AH1480" s="171">
        <f t="shared" si="13"/>
        <v>0</v>
      </c>
      <c r="AI1480" s="200">
        <f t="shared" si="14"/>
        <v>1</v>
      </c>
      <c r="AJ1480" s="200">
        <f t="shared" si="6100"/>
        <v>0</v>
      </c>
      <c r="AK1480" s="201">
        <f t="shared" ref="AK1480:AS1480" si="7482">countif($D1480,"*"&amp;AK$2&amp;"*")</f>
        <v>0</v>
      </c>
      <c r="AL1480" s="201">
        <f t="shared" si="7482"/>
        <v>0</v>
      </c>
      <c r="AM1480" s="201">
        <f t="shared" si="7482"/>
        <v>0</v>
      </c>
      <c r="AN1480" s="201">
        <f t="shared" si="7482"/>
        <v>0</v>
      </c>
      <c r="AO1480" s="201">
        <f t="shared" si="7482"/>
        <v>0</v>
      </c>
      <c r="AP1480" s="201">
        <f t="shared" si="7482"/>
        <v>0</v>
      </c>
      <c r="AQ1480" s="201">
        <f t="shared" si="7482"/>
        <v>0</v>
      </c>
      <c r="AR1480" s="200">
        <f t="shared" si="7482"/>
        <v>0</v>
      </c>
      <c r="AS1480" s="200">
        <f t="shared" si="7482"/>
        <v>0</v>
      </c>
      <c r="AT1480" s="173">
        <v>0.0</v>
      </c>
      <c r="AU1480" s="200">
        <f t="shared" si="6217"/>
        <v>0</v>
      </c>
      <c r="AV1480" s="200">
        <f t="shared" ref="AV1480:AX1480" si="7483">countif($D1480,"*"&amp;AV$2&amp;"*")</f>
        <v>0</v>
      </c>
      <c r="AW1480" s="200">
        <f t="shared" si="7483"/>
        <v>0</v>
      </c>
      <c r="AX1480" s="200">
        <f t="shared" si="7483"/>
        <v>1</v>
      </c>
      <c r="AY1480" s="202">
        <v>0.0</v>
      </c>
      <c r="AZ1480" s="200"/>
      <c r="BA1480" s="171" t="str">
        <f t="shared" si="18"/>
        <v>Archival</v>
      </c>
      <c r="BB1480" s="171" t="str">
        <f t="shared" si="19"/>
        <v/>
      </c>
      <c r="BC1480" s="171" t="str">
        <f t="shared" si="20"/>
        <v/>
      </c>
      <c r="BD1480" s="171" t="str">
        <f t="shared" si="21"/>
        <v/>
      </c>
      <c r="BE1480" s="171" t="str">
        <f t="shared" si="22"/>
        <v/>
      </c>
      <c r="BF1480" s="171" t="str">
        <f t="shared" si="23"/>
        <v>Archival</v>
      </c>
    </row>
    <row r="1481">
      <c r="A1481" s="171">
        <f t="array" ref="A1481">XLOOKUP(C1481,FSE!A:A,FSE!C:C,"XXXXX",0,1)</f>
        <v>2022</v>
      </c>
      <c r="B1481" s="171" t="s">
        <v>5676</v>
      </c>
      <c r="C1481" s="160">
        <v>193.0</v>
      </c>
      <c r="D1481" s="161" t="s">
        <v>6293</v>
      </c>
      <c r="E1481" s="197" t="str">
        <f t="array" ref="E1481">XLOOKUP(C1481,FSE!A:A,FSE!Z:Z,"XXXXX",0,1)</f>
        <v>Publicly Available (2)</v>
      </c>
      <c r="F1481" s="213" t="s">
        <v>3394</v>
      </c>
      <c r="G1481" s="163" t="str">
        <f t="array" ref="G1481">IF(B1481="ICSE",IF(COUNTIFS(B:B,B1481,C:C,C1481)=XLOOKUP(C1481,ICSE!A:A,ICSE!AA:AA,"ERROR",0,1),"OK","ERROR"),IF(B1481="FSE",IF(COUNTIFS(B:B,B1481,C:C,C1481)=XLOOKUP(C1481,FSE!A:A,FSE!AA:AA,"ERROR",0,1),"OK","ERROR")))</f>
        <v>OK</v>
      </c>
      <c r="H1481" s="199">
        <f t="shared" ref="H1481:O1481" si="7484">countif($D1481,"*"&amp;H$2&amp;"*")</f>
        <v>1</v>
      </c>
      <c r="I1481" s="200">
        <f t="shared" si="7484"/>
        <v>0</v>
      </c>
      <c r="J1481" s="200">
        <f t="shared" si="7484"/>
        <v>0</v>
      </c>
      <c r="K1481" s="200">
        <f t="shared" si="7484"/>
        <v>0</v>
      </c>
      <c r="L1481" s="200">
        <f t="shared" si="7484"/>
        <v>0</v>
      </c>
      <c r="M1481" s="200">
        <f t="shared" si="7484"/>
        <v>0</v>
      </c>
      <c r="N1481" s="200">
        <f t="shared" si="7484"/>
        <v>0</v>
      </c>
      <c r="O1481" s="200">
        <f t="shared" si="7484"/>
        <v>0</v>
      </c>
      <c r="P1481" s="200">
        <f t="shared" si="9"/>
        <v>0</v>
      </c>
      <c r="Q1481" s="200">
        <f t="shared" ref="Q1481:AC1481" si="7485">countif($D1481,"*"&amp;Q$2&amp;"*")</f>
        <v>0</v>
      </c>
      <c r="R1481" s="200">
        <f t="shared" si="7485"/>
        <v>0</v>
      </c>
      <c r="S1481" s="200">
        <f t="shared" si="7485"/>
        <v>0</v>
      </c>
      <c r="T1481" s="200">
        <f t="shared" si="7485"/>
        <v>0</v>
      </c>
      <c r="U1481" s="200">
        <f t="shared" si="7485"/>
        <v>0</v>
      </c>
      <c r="V1481" s="200">
        <f t="shared" si="7485"/>
        <v>0</v>
      </c>
      <c r="W1481" s="200">
        <f t="shared" si="7485"/>
        <v>0</v>
      </c>
      <c r="X1481" s="200">
        <f t="shared" si="7485"/>
        <v>0</v>
      </c>
      <c r="Y1481" s="200">
        <f t="shared" si="7485"/>
        <v>0</v>
      </c>
      <c r="Z1481" s="200">
        <f t="shared" si="7485"/>
        <v>0</v>
      </c>
      <c r="AA1481" s="200">
        <f t="shared" si="7485"/>
        <v>0</v>
      </c>
      <c r="AB1481" s="200">
        <f t="shared" si="7485"/>
        <v>0</v>
      </c>
      <c r="AC1481" s="200">
        <f t="shared" si="7485"/>
        <v>0</v>
      </c>
      <c r="AD1481" s="200">
        <f t="shared" si="11"/>
        <v>0</v>
      </c>
      <c r="AE1481" s="200">
        <f t="shared" ref="AE1481:AG1481" si="7486">countif($D1481,"*"&amp;AE$2&amp;"*")</f>
        <v>0</v>
      </c>
      <c r="AF1481" s="200">
        <f t="shared" si="7486"/>
        <v>0</v>
      </c>
      <c r="AG1481" s="200">
        <f t="shared" si="7486"/>
        <v>0</v>
      </c>
      <c r="AH1481" s="171">
        <f t="shared" si="13"/>
        <v>0</v>
      </c>
      <c r="AI1481" s="200">
        <f t="shared" si="14"/>
        <v>1</v>
      </c>
      <c r="AJ1481" s="200">
        <f t="shared" si="6100"/>
        <v>0</v>
      </c>
      <c r="AK1481" s="201">
        <f t="shared" ref="AK1481:AS1481" si="7487">countif($D1481,"*"&amp;AK$2&amp;"*")</f>
        <v>0</v>
      </c>
      <c r="AL1481" s="201">
        <f t="shared" si="7487"/>
        <v>0</v>
      </c>
      <c r="AM1481" s="201">
        <f t="shared" si="7487"/>
        <v>0</v>
      </c>
      <c r="AN1481" s="201">
        <f t="shared" si="7487"/>
        <v>0</v>
      </c>
      <c r="AO1481" s="201">
        <f t="shared" si="7487"/>
        <v>0</v>
      </c>
      <c r="AP1481" s="201">
        <f t="shared" si="7487"/>
        <v>0</v>
      </c>
      <c r="AQ1481" s="201">
        <f t="shared" si="7487"/>
        <v>0</v>
      </c>
      <c r="AR1481" s="200">
        <f t="shared" si="7487"/>
        <v>0</v>
      </c>
      <c r="AS1481" s="200">
        <f t="shared" si="7487"/>
        <v>0</v>
      </c>
      <c r="AT1481" s="173">
        <v>0.0</v>
      </c>
      <c r="AU1481" s="200">
        <f t="shared" si="6217"/>
        <v>0</v>
      </c>
      <c r="AV1481" s="200">
        <f t="shared" ref="AV1481:AX1481" si="7488">countif($D1481,"*"&amp;AV$2&amp;"*")</f>
        <v>0</v>
      </c>
      <c r="AW1481" s="200">
        <f t="shared" si="7488"/>
        <v>0</v>
      </c>
      <c r="AX1481" s="200">
        <f t="shared" si="7488"/>
        <v>1</v>
      </c>
      <c r="AY1481" s="202">
        <v>0.0</v>
      </c>
      <c r="AZ1481" s="200"/>
      <c r="BA1481" s="171" t="str">
        <f t="shared" si="18"/>
        <v>Archival</v>
      </c>
      <c r="BB1481" s="171" t="str">
        <f t="shared" si="19"/>
        <v/>
      </c>
      <c r="BC1481" s="171" t="str">
        <f t="shared" si="20"/>
        <v/>
      </c>
      <c r="BD1481" s="171" t="str">
        <f t="shared" si="21"/>
        <v/>
      </c>
      <c r="BE1481" s="171" t="str">
        <f t="shared" si="22"/>
        <v/>
      </c>
      <c r="BF1481" s="171" t="str">
        <f t="shared" si="23"/>
        <v>Archival</v>
      </c>
    </row>
    <row r="1482">
      <c r="A1482" s="171">
        <f t="array" ref="A1482">XLOOKUP(C1482,FSE!A:A,FSE!C:C,"XXXXX",0,1)</f>
        <v>2022</v>
      </c>
      <c r="B1482" s="213" t="s">
        <v>5676</v>
      </c>
      <c r="C1482" s="214">
        <v>194.0</v>
      </c>
      <c r="D1482" s="215" t="s">
        <v>5205</v>
      </c>
      <c r="E1482" s="197" t="str">
        <f t="array" ref="E1482">XLOOKUP(C1482,FSE!A:A,FSE!Z:Z,"XXXXX",0,1)</f>
        <v>Publicly Available (1)</v>
      </c>
      <c r="F1482" s="213" t="s">
        <v>3394</v>
      </c>
      <c r="G1482" s="163" t="str">
        <f t="array" ref="G1482">IF(B1482="ICSE",IF(COUNTIFS(B:B,B1482,C:C,C1482)=XLOOKUP(C1482,ICSE!A:A,ICSE!AA:AA,"ERROR",0,1),"OK","ERROR"),IF(B1482="FSE",IF(COUNTIFS(B:B,B1482,C:C,C1482)=XLOOKUP(C1482,FSE!A:A,FSE!AA:AA,"ERROR",0,1),"OK","ERROR")))</f>
        <v>OK</v>
      </c>
      <c r="H1482" s="199">
        <f t="shared" ref="H1482:O1482" si="7489">countif($D1482,"*"&amp;H$2&amp;"*")</f>
        <v>0</v>
      </c>
      <c r="I1482" s="200">
        <f t="shared" si="7489"/>
        <v>0</v>
      </c>
      <c r="J1482" s="200">
        <f t="shared" si="7489"/>
        <v>0</v>
      </c>
      <c r="K1482" s="200">
        <f t="shared" si="7489"/>
        <v>0</v>
      </c>
      <c r="L1482" s="200">
        <f t="shared" si="7489"/>
        <v>0</v>
      </c>
      <c r="M1482" s="200">
        <f t="shared" si="7489"/>
        <v>0</v>
      </c>
      <c r="N1482" s="200">
        <f t="shared" si="7489"/>
        <v>0</v>
      </c>
      <c r="O1482" s="200">
        <f t="shared" si="7489"/>
        <v>0</v>
      </c>
      <c r="P1482" s="200">
        <f t="shared" si="9"/>
        <v>1</v>
      </c>
      <c r="Q1482" s="200">
        <f t="shared" ref="Q1482:AC1482" si="7490">countif($D1482,"*"&amp;Q$2&amp;"*")</f>
        <v>0</v>
      </c>
      <c r="R1482" s="200">
        <f t="shared" si="7490"/>
        <v>0</v>
      </c>
      <c r="S1482" s="200">
        <f t="shared" si="7490"/>
        <v>0</v>
      </c>
      <c r="T1482" s="200">
        <f t="shared" si="7490"/>
        <v>0</v>
      </c>
      <c r="U1482" s="200">
        <f t="shared" si="7490"/>
        <v>0</v>
      </c>
      <c r="V1482" s="200">
        <f t="shared" si="7490"/>
        <v>0</v>
      </c>
      <c r="W1482" s="200">
        <f t="shared" si="7490"/>
        <v>0</v>
      </c>
      <c r="X1482" s="200">
        <f t="shared" si="7490"/>
        <v>0</v>
      </c>
      <c r="Y1482" s="200">
        <f t="shared" si="7490"/>
        <v>0</v>
      </c>
      <c r="Z1482" s="200">
        <f t="shared" si="7490"/>
        <v>0</v>
      </c>
      <c r="AA1482" s="200">
        <f t="shared" si="7490"/>
        <v>0</v>
      </c>
      <c r="AB1482" s="200">
        <f t="shared" si="7490"/>
        <v>0</v>
      </c>
      <c r="AC1482" s="200">
        <f t="shared" si="7490"/>
        <v>0</v>
      </c>
      <c r="AD1482" s="200">
        <f t="shared" si="11"/>
        <v>0</v>
      </c>
      <c r="AE1482" s="200">
        <f t="shared" ref="AE1482:AG1482" si="7491">countif($D1482,"*"&amp;AE$2&amp;"*")</f>
        <v>0</v>
      </c>
      <c r="AF1482" s="200">
        <f t="shared" si="7491"/>
        <v>0</v>
      </c>
      <c r="AG1482" s="200">
        <f t="shared" si="7491"/>
        <v>0</v>
      </c>
      <c r="AH1482" s="171">
        <f t="shared" si="13"/>
        <v>0</v>
      </c>
      <c r="AI1482" s="200">
        <f t="shared" si="14"/>
        <v>0</v>
      </c>
      <c r="AJ1482" s="200">
        <f t="shared" si="6100"/>
        <v>0</v>
      </c>
      <c r="AK1482" s="201">
        <f t="shared" ref="AK1482:AS1482" si="7492">countif($D1482,"*"&amp;AK$2&amp;"*")</f>
        <v>0</v>
      </c>
      <c r="AL1482" s="201">
        <f t="shared" si="7492"/>
        <v>0</v>
      </c>
      <c r="AM1482" s="201">
        <f t="shared" si="7492"/>
        <v>0</v>
      </c>
      <c r="AN1482" s="201">
        <f t="shared" si="7492"/>
        <v>0</v>
      </c>
      <c r="AO1482" s="201">
        <f t="shared" si="7492"/>
        <v>0</v>
      </c>
      <c r="AP1482" s="201">
        <f t="shared" si="7492"/>
        <v>0</v>
      </c>
      <c r="AQ1482" s="201">
        <f t="shared" si="7492"/>
        <v>0</v>
      </c>
      <c r="AR1482" s="200">
        <f t="shared" si="7492"/>
        <v>0</v>
      </c>
      <c r="AS1482" s="200">
        <f t="shared" si="7492"/>
        <v>0</v>
      </c>
      <c r="AT1482" s="173">
        <v>0.0</v>
      </c>
      <c r="AU1482" s="200">
        <f t="shared" si="6217"/>
        <v>0</v>
      </c>
      <c r="AV1482" s="200">
        <f t="shared" ref="AV1482:AX1482" si="7493">countif($D1482,"*"&amp;AV$2&amp;"*")</f>
        <v>1</v>
      </c>
      <c r="AW1482" s="200">
        <f t="shared" si="7493"/>
        <v>0</v>
      </c>
      <c r="AX1482" s="200">
        <f t="shared" si="7493"/>
        <v>0</v>
      </c>
      <c r="AY1482" s="202">
        <v>0.0</v>
      </c>
      <c r="AZ1482" s="200"/>
      <c r="BA1482" s="171" t="str">
        <f t="shared" si="18"/>
        <v/>
      </c>
      <c r="BB1482" s="171" t="str">
        <f t="shared" si="19"/>
        <v>Code</v>
      </c>
      <c r="BC1482" s="171" t="str">
        <f t="shared" si="20"/>
        <v/>
      </c>
      <c r="BD1482" s="171" t="str">
        <f t="shared" si="21"/>
        <v/>
      </c>
      <c r="BE1482" s="171" t="str">
        <f t="shared" si="22"/>
        <v/>
      </c>
      <c r="BF1482" s="171" t="str">
        <f t="shared" si="23"/>
        <v>Code</v>
      </c>
    </row>
    <row r="1483">
      <c r="A1483" s="171">
        <f t="array" ref="A1483">XLOOKUP(C1483,FSE!A:A,FSE!C:C,"XXXXX",0,1)</f>
        <v>2022</v>
      </c>
      <c r="B1483" s="213" t="s">
        <v>5676</v>
      </c>
      <c r="C1483" s="214">
        <v>195.0</v>
      </c>
      <c r="D1483" s="215" t="s">
        <v>5208</v>
      </c>
      <c r="E1483" s="197" t="str">
        <f t="array" ref="E1483">XLOOKUP(C1483,FSE!A:A,FSE!Z:Z,"XXXXX",0,1)</f>
        <v>Publicly Available (1)</v>
      </c>
      <c r="F1483" s="213" t="s">
        <v>3394</v>
      </c>
      <c r="G1483" s="163" t="str">
        <f t="array" ref="G1483">IF(B1483="ICSE",IF(COUNTIFS(B:B,B1483,C:C,C1483)=XLOOKUP(C1483,ICSE!A:A,ICSE!AA:AA,"ERROR",0,1),"OK","ERROR"),IF(B1483="FSE",IF(COUNTIFS(B:B,B1483,C:C,C1483)=XLOOKUP(C1483,FSE!A:A,FSE!AA:AA,"ERROR",0,1),"OK","ERROR")))</f>
        <v>OK</v>
      </c>
      <c r="H1483" s="199">
        <f t="shared" ref="H1483:O1483" si="7494">countif($D1483,"*"&amp;H$2&amp;"*")</f>
        <v>0</v>
      </c>
      <c r="I1483" s="200">
        <f t="shared" si="7494"/>
        <v>1</v>
      </c>
      <c r="J1483" s="200">
        <f t="shared" si="7494"/>
        <v>0</v>
      </c>
      <c r="K1483" s="200">
        <f t="shared" si="7494"/>
        <v>0</v>
      </c>
      <c r="L1483" s="200">
        <f t="shared" si="7494"/>
        <v>0</v>
      </c>
      <c r="M1483" s="200">
        <f t="shared" si="7494"/>
        <v>0</v>
      </c>
      <c r="N1483" s="200">
        <f t="shared" si="7494"/>
        <v>0</v>
      </c>
      <c r="O1483" s="200">
        <f t="shared" si="7494"/>
        <v>0</v>
      </c>
      <c r="P1483" s="200">
        <f t="shared" si="9"/>
        <v>0</v>
      </c>
      <c r="Q1483" s="200">
        <f t="shared" ref="Q1483:AC1483" si="7495">countif($D1483,"*"&amp;Q$2&amp;"*")</f>
        <v>0</v>
      </c>
      <c r="R1483" s="200">
        <f t="shared" si="7495"/>
        <v>0</v>
      </c>
      <c r="S1483" s="200">
        <f t="shared" si="7495"/>
        <v>0</v>
      </c>
      <c r="T1483" s="200">
        <f t="shared" si="7495"/>
        <v>0</v>
      </c>
      <c r="U1483" s="200">
        <f t="shared" si="7495"/>
        <v>0</v>
      </c>
      <c r="V1483" s="200">
        <f t="shared" si="7495"/>
        <v>0</v>
      </c>
      <c r="W1483" s="200">
        <f t="shared" si="7495"/>
        <v>0</v>
      </c>
      <c r="X1483" s="200">
        <f t="shared" si="7495"/>
        <v>0</v>
      </c>
      <c r="Y1483" s="200">
        <f t="shared" si="7495"/>
        <v>0</v>
      </c>
      <c r="Z1483" s="200">
        <f t="shared" si="7495"/>
        <v>0</v>
      </c>
      <c r="AA1483" s="200">
        <f t="shared" si="7495"/>
        <v>0</v>
      </c>
      <c r="AB1483" s="200">
        <f t="shared" si="7495"/>
        <v>0</v>
      </c>
      <c r="AC1483" s="200">
        <f t="shared" si="7495"/>
        <v>0</v>
      </c>
      <c r="AD1483" s="200">
        <f t="shared" si="11"/>
        <v>0</v>
      </c>
      <c r="AE1483" s="200">
        <f t="shared" ref="AE1483:AG1483" si="7496">countif($D1483,"*"&amp;AE$2&amp;"*")</f>
        <v>0</v>
      </c>
      <c r="AF1483" s="200">
        <f t="shared" si="7496"/>
        <v>0</v>
      </c>
      <c r="AG1483" s="200">
        <f t="shared" si="7496"/>
        <v>0</v>
      </c>
      <c r="AH1483" s="171">
        <f t="shared" si="13"/>
        <v>0</v>
      </c>
      <c r="AI1483" s="200">
        <f t="shared" si="14"/>
        <v>1</v>
      </c>
      <c r="AJ1483" s="200">
        <f t="shared" si="6100"/>
        <v>0</v>
      </c>
      <c r="AK1483" s="201">
        <f t="shared" ref="AK1483:AS1483" si="7497">countif($D1483,"*"&amp;AK$2&amp;"*")</f>
        <v>0</v>
      </c>
      <c r="AL1483" s="201">
        <f t="shared" si="7497"/>
        <v>0</v>
      </c>
      <c r="AM1483" s="201">
        <f t="shared" si="7497"/>
        <v>0</v>
      </c>
      <c r="AN1483" s="201">
        <f t="shared" si="7497"/>
        <v>0</v>
      </c>
      <c r="AO1483" s="201">
        <f t="shared" si="7497"/>
        <v>0</v>
      </c>
      <c r="AP1483" s="201">
        <f t="shared" si="7497"/>
        <v>0</v>
      </c>
      <c r="AQ1483" s="201">
        <f t="shared" si="7497"/>
        <v>0</v>
      </c>
      <c r="AR1483" s="200">
        <f t="shared" si="7497"/>
        <v>0</v>
      </c>
      <c r="AS1483" s="200">
        <f t="shared" si="7497"/>
        <v>0</v>
      </c>
      <c r="AT1483" s="173">
        <v>0.0</v>
      </c>
      <c r="AU1483" s="200">
        <f t="shared" si="6217"/>
        <v>0</v>
      </c>
      <c r="AV1483" s="200">
        <f t="shared" ref="AV1483:AX1483" si="7498">countif($D1483,"*"&amp;AV$2&amp;"*")</f>
        <v>0</v>
      </c>
      <c r="AW1483" s="200">
        <f t="shared" si="7498"/>
        <v>0</v>
      </c>
      <c r="AX1483" s="200">
        <f t="shared" si="7498"/>
        <v>0</v>
      </c>
      <c r="AY1483" s="204">
        <v>1.0</v>
      </c>
      <c r="AZ1483" s="200"/>
      <c r="BA1483" s="171" t="str">
        <f t="shared" si="18"/>
        <v>Archival</v>
      </c>
      <c r="BB1483" s="171" t="str">
        <f t="shared" si="19"/>
        <v/>
      </c>
      <c r="BC1483" s="171" t="str">
        <f t="shared" si="20"/>
        <v/>
      </c>
      <c r="BD1483" s="171" t="str">
        <f t="shared" si="21"/>
        <v/>
      </c>
      <c r="BE1483" s="171" t="str">
        <f t="shared" si="22"/>
        <v/>
      </c>
      <c r="BF1483" s="171" t="str">
        <f t="shared" si="23"/>
        <v>Archival</v>
      </c>
    </row>
    <row r="1484">
      <c r="A1484" s="171">
        <f t="array" ref="A1484">XLOOKUP(C1484,FSE!A:A,FSE!C:C,"XXXXX",0,1)</f>
        <v>2022</v>
      </c>
      <c r="B1484" s="213" t="s">
        <v>5676</v>
      </c>
      <c r="C1484" s="214">
        <v>196.0</v>
      </c>
      <c r="D1484" s="215" t="s">
        <v>5210</v>
      </c>
      <c r="E1484" s="197" t="str">
        <f t="array" ref="E1484">XLOOKUP(C1484,FSE!A:A,FSE!Z:Z,"XXXXX",0,1)</f>
        <v>Publicly Available (1)</v>
      </c>
      <c r="F1484" s="213" t="s">
        <v>3394</v>
      </c>
      <c r="G1484" s="163" t="str">
        <f t="array" ref="G1484">IF(B1484="ICSE",IF(COUNTIFS(B:B,B1484,C:C,C1484)=XLOOKUP(C1484,ICSE!A:A,ICSE!AA:AA,"ERROR",0,1),"OK","ERROR"),IF(B1484="FSE",IF(COUNTIFS(B:B,B1484,C:C,C1484)=XLOOKUP(C1484,FSE!A:A,FSE!AA:AA,"ERROR",0,1),"OK","ERROR")))</f>
        <v>OK</v>
      </c>
      <c r="H1484" s="199">
        <f t="shared" ref="H1484:O1484" si="7499">countif($D1484,"*"&amp;H$2&amp;"*")</f>
        <v>0</v>
      </c>
      <c r="I1484" s="200">
        <f t="shared" si="7499"/>
        <v>0</v>
      </c>
      <c r="J1484" s="200">
        <f t="shared" si="7499"/>
        <v>0</v>
      </c>
      <c r="K1484" s="200">
        <f t="shared" si="7499"/>
        <v>0</v>
      </c>
      <c r="L1484" s="200">
        <f t="shared" si="7499"/>
        <v>0</v>
      </c>
      <c r="M1484" s="200">
        <f t="shared" si="7499"/>
        <v>0</v>
      </c>
      <c r="N1484" s="200">
        <f t="shared" si="7499"/>
        <v>0</v>
      </c>
      <c r="O1484" s="200">
        <f t="shared" si="7499"/>
        <v>0</v>
      </c>
      <c r="P1484" s="200">
        <f t="shared" si="9"/>
        <v>1</v>
      </c>
      <c r="Q1484" s="200">
        <f t="shared" ref="Q1484:AC1484" si="7500">countif($D1484,"*"&amp;Q$2&amp;"*")</f>
        <v>0</v>
      </c>
      <c r="R1484" s="200">
        <f t="shared" si="7500"/>
        <v>0</v>
      </c>
      <c r="S1484" s="200">
        <f t="shared" si="7500"/>
        <v>0</v>
      </c>
      <c r="T1484" s="200">
        <f t="shared" si="7500"/>
        <v>0</v>
      </c>
      <c r="U1484" s="200">
        <f t="shared" si="7500"/>
        <v>0</v>
      </c>
      <c r="V1484" s="200">
        <f t="shared" si="7500"/>
        <v>0</v>
      </c>
      <c r="W1484" s="200">
        <f t="shared" si="7500"/>
        <v>0</v>
      </c>
      <c r="X1484" s="200">
        <f t="shared" si="7500"/>
        <v>0</v>
      </c>
      <c r="Y1484" s="200">
        <f t="shared" si="7500"/>
        <v>0</v>
      </c>
      <c r="Z1484" s="200">
        <f t="shared" si="7500"/>
        <v>0</v>
      </c>
      <c r="AA1484" s="200">
        <f t="shared" si="7500"/>
        <v>0</v>
      </c>
      <c r="AB1484" s="200">
        <f t="shared" si="7500"/>
        <v>0</v>
      </c>
      <c r="AC1484" s="200">
        <f t="shared" si="7500"/>
        <v>0</v>
      </c>
      <c r="AD1484" s="200">
        <f t="shared" si="11"/>
        <v>0</v>
      </c>
      <c r="AE1484" s="200">
        <f t="shared" ref="AE1484:AG1484" si="7501">countif($D1484,"*"&amp;AE$2&amp;"*")</f>
        <v>0</v>
      </c>
      <c r="AF1484" s="200">
        <f t="shared" si="7501"/>
        <v>0</v>
      </c>
      <c r="AG1484" s="200">
        <f t="shared" si="7501"/>
        <v>0</v>
      </c>
      <c r="AH1484" s="171">
        <f t="shared" si="13"/>
        <v>0</v>
      </c>
      <c r="AI1484" s="200">
        <f t="shared" si="14"/>
        <v>0</v>
      </c>
      <c r="AJ1484" s="200">
        <f t="shared" si="6100"/>
        <v>0</v>
      </c>
      <c r="AK1484" s="201">
        <f t="shared" ref="AK1484:AS1484" si="7502">countif($D1484,"*"&amp;AK$2&amp;"*")</f>
        <v>0</v>
      </c>
      <c r="AL1484" s="201">
        <f t="shared" si="7502"/>
        <v>0</v>
      </c>
      <c r="AM1484" s="201">
        <f t="shared" si="7502"/>
        <v>0</v>
      </c>
      <c r="AN1484" s="201">
        <f t="shared" si="7502"/>
        <v>0</v>
      </c>
      <c r="AO1484" s="201">
        <f t="shared" si="7502"/>
        <v>0</v>
      </c>
      <c r="AP1484" s="201">
        <f t="shared" si="7502"/>
        <v>0</v>
      </c>
      <c r="AQ1484" s="201">
        <f t="shared" si="7502"/>
        <v>0</v>
      </c>
      <c r="AR1484" s="200">
        <f t="shared" si="7502"/>
        <v>0</v>
      </c>
      <c r="AS1484" s="200">
        <f t="shared" si="7502"/>
        <v>0</v>
      </c>
      <c r="AT1484" s="173">
        <v>0.0</v>
      </c>
      <c r="AU1484" s="200">
        <f t="shared" si="6217"/>
        <v>0</v>
      </c>
      <c r="AV1484" s="200">
        <f t="shared" ref="AV1484:AX1484" si="7503">countif($D1484,"*"&amp;AV$2&amp;"*")</f>
        <v>1</v>
      </c>
      <c r="AW1484" s="200">
        <f t="shared" si="7503"/>
        <v>0</v>
      </c>
      <c r="AX1484" s="200">
        <f t="shared" si="7503"/>
        <v>0</v>
      </c>
      <c r="AY1484" s="202">
        <v>0.0</v>
      </c>
      <c r="AZ1484" s="200"/>
      <c r="BA1484" s="171" t="str">
        <f t="shared" si="18"/>
        <v/>
      </c>
      <c r="BB1484" s="171" t="str">
        <f t="shared" si="19"/>
        <v>Code</v>
      </c>
      <c r="BC1484" s="171" t="str">
        <f t="shared" si="20"/>
        <v/>
      </c>
      <c r="BD1484" s="171" t="str">
        <f t="shared" si="21"/>
        <v/>
      </c>
      <c r="BE1484" s="171" t="str">
        <f t="shared" si="22"/>
        <v/>
      </c>
      <c r="BF1484" s="171" t="str">
        <f t="shared" si="23"/>
        <v>Code</v>
      </c>
    </row>
    <row r="1485">
      <c r="A1485" s="171">
        <f t="array" ref="A1485">XLOOKUP(C1485,FSE!A:A,FSE!C:C,"XXXXX",0,1)</f>
        <v>2022</v>
      </c>
      <c r="B1485" s="213" t="s">
        <v>5676</v>
      </c>
      <c r="C1485" s="214">
        <v>197.0</v>
      </c>
      <c r="D1485" s="215" t="s">
        <v>5214</v>
      </c>
      <c r="E1485" s="197" t="str">
        <f t="array" ref="E1485">XLOOKUP(C1485,FSE!A:A,FSE!Z:Z,"XXXXX",0,1)</f>
        <v>Publicly Available (1)</v>
      </c>
      <c r="F1485" s="213" t="s">
        <v>3394</v>
      </c>
      <c r="G1485" s="163" t="str">
        <f t="array" ref="G1485">IF(B1485="ICSE",IF(COUNTIFS(B:B,B1485,C:C,C1485)=XLOOKUP(C1485,ICSE!A:A,ICSE!AA:AA,"ERROR",0,1),"OK","ERROR"),IF(B1485="FSE",IF(COUNTIFS(B:B,B1485,C:C,C1485)=XLOOKUP(C1485,FSE!A:A,FSE!AA:AA,"ERROR",0,1),"OK","ERROR")))</f>
        <v>OK</v>
      </c>
      <c r="H1485" s="199">
        <f t="shared" ref="H1485:O1485" si="7504">countif($D1485,"*"&amp;H$2&amp;"*")</f>
        <v>1</v>
      </c>
      <c r="I1485" s="200">
        <f t="shared" si="7504"/>
        <v>0</v>
      </c>
      <c r="J1485" s="200">
        <f t="shared" si="7504"/>
        <v>0</v>
      </c>
      <c r="K1485" s="200">
        <f t="shared" si="7504"/>
        <v>0</v>
      </c>
      <c r="L1485" s="200">
        <f t="shared" si="7504"/>
        <v>0</v>
      </c>
      <c r="M1485" s="200">
        <f t="shared" si="7504"/>
        <v>0</v>
      </c>
      <c r="N1485" s="200">
        <f t="shared" si="7504"/>
        <v>0</v>
      </c>
      <c r="O1485" s="200">
        <f t="shared" si="7504"/>
        <v>0</v>
      </c>
      <c r="P1485" s="200">
        <f t="shared" si="9"/>
        <v>0</v>
      </c>
      <c r="Q1485" s="200">
        <f t="shared" ref="Q1485:AC1485" si="7505">countif($D1485,"*"&amp;Q$2&amp;"*")</f>
        <v>0</v>
      </c>
      <c r="R1485" s="200">
        <f t="shared" si="7505"/>
        <v>0</v>
      </c>
      <c r="S1485" s="200">
        <f t="shared" si="7505"/>
        <v>0</v>
      </c>
      <c r="T1485" s="200">
        <f t="shared" si="7505"/>
        <v>0</v>
      </c>
      <c r="U1485" s="200">
        <f t="shared" si="7505"/>
        <v>0</v>
      </c>
      <c r="V1485" s="200">
        <f t="shared" si="7505"/>
        <v>0</v>
      </c>
      <c r="W1485" s="200">
        <f t="shared" si="7505"/>
        <v>0</v>
      </c>
      <c r="X1485" s="200">
        <f t="shared" si="7505"/>
        <v>0</v>
      </c>
      <c r="Y1485" s="200">
        <f t="shared" si="7505"/>
        <v>0</v>
      </c>
      <c r="Z1485" s="200">
        <f t="shared" si="7505"/>
        <v>0</v>
      </c>
      <c r="AA1485" s="200">
        <f t="shared" si="7505"/>
        <v>0</v>
      </c>
      <c r="AB1485" s="200">
        <f t="shared" si="7505"/>
        <v>0</v>
      </c>
      <c r="AC1485" s="200">
        <f t="shared" si="7505"/>
        <v>0</v>
      </c>
      <c r="AD1485" s="200">
        <f t="shared" si="11"/>
        <v>0</v>
      </c>
      <c r="AE1485" s="200">
        <f t="shared" ref="AE1485:AG1485" si="7506">countif($D1485,"*"&amp;AE$2&amp;"*")</f>
        <v>0</v>
      </c>
      <c r="AF1485" s="200">
        <f t="shared" si="7506"/>
        <v>0</v>
      </c>
      <c r="AG1485" s="200">
        <f t="shared" si="7506"/>
        <v>0</v>
      </c>
      <c r="AH1485" s="171">
        <f t="shared" si="13"/>
        <v>0</v>
      </c>
      <c r="AI1485" s="200">
        <f t="shared" si="14"/>
        <v>1</v>
      </c>
      <c r="AJ1485" s="200">
        <f t="shared" si="6100"/>
        <v>0</v>
      </c>
      <c r="AK1485" s="201">
        <f t="shared" ref="AK1485:AS1485" si="7507">countif($D1485,"*"&amp;AK$2&amp;"*")</f>
        <v>0</v>
      </c>
      <c r="AL1485" s="201">
        <f t="shared" si="7507"/>
        <v>0</v>
      </c>
      <c r="AM1485" s="201">
        <f t="shared" si="7507"/>
        <v>0</v>
      </c>
      <c r="AN1485" s="201">
        <f t="shared" si="7507"/>
        <v>0</v>
      </c>
      <c r="AO1485" s="201">
        <f t="shared" si="7507"/>
        <v>0</v>
      </c>
      <c r="AP1485" s="201">
        <f t="shared" si="7507"/>
        <v>0</v>
      </c>
      <c r="AQ1485" s="201">
        <f t="shared" si="7507"/>
        <v>0</v>
      </c>
      <c r="AR1485" s="200">
        <f t="shared" si="7507"/>
        <v>0</v>
      </c>
      <c r="AS1485" s="200">
        <f t="shared" si="7507"/>
        <v>0</v>
      </c>
      <c r="AT1485" s="173">
        <v>0.0</v>
      </c>
      <c r="AU1485" s="200">
        <f t="shared" si="6217"/>
        <v>0</v>
      </c>
      <c r="AV1485" s="200">
        <f t="shared" ref="AV1485:AX1485" si="7508">countif($D1485,"*"&amp;AV$2&amp;"*")</f>
        <v>0</v>
      </c>
      <c r="AW1485" s="200">
        <f t="shared" si="7508"/>
        <v>0</v>
      </c>
      <c r="AX1485" s="200">
        <f t="shared" si="7508"/>
        <v>1</v>
      </c>
      <c r="AY1485" s="202">
        <v>0.0</v>
      </c>
      <c r="AZ1485" s="200"/>
      <c r="BA1485" s="171" t="str">
        <f t="shared" si="18"/>
        <v>Archival</v>
      </c>
      <c r="BB1485" s="171" t="str">
        <f t="shared" si="19"/>
        <v/>
      </c>
      <c r="BC1485" s="171" t="str">
        <f t="shared" si="20"/>
        <v/>
      </c>
      <c r="BD1485" s="171" t="str">
        <f t="shared" si="21"/>
        <v/>
      </c>
      <c r="BE1485" s="171" t="str">
        <f t="shared" si="22"/>
        <v/>
      </c>
      <c r="BF1485" s="171" t="str">
        <f t="shared" si="23"/>
        <v>Archival</v>
      </c>
    </row>
    <row r="1486">
      <c r="A1486" s="171">
        <f t="array" ref="A1486">XLOOKUP(C1486,FSE!A:A,FSE!C:C,"XXXXX",0,1)</f>
        <v>2022</v>
      </c>
      <c r="B1486" s="213" t="s">
        <v>5676</v>
      </c>
      <c r="C1486" s="214">
        <v>198.0</v>
      </c>
      <c r="D1486" s="215" t="s">
        <v>5218</v>
      </c>
      <c r="E1486" s="197" t="str">
        <f t="array" ref="E1486">XLOOKUP(C1486,FSE!A:A,FSE!Z:Z,"XXXXX",0,1)</f>
        <v>Publicly Available (1)</v>
      </c>
      <c r="F1486" s="213" t="s">
        <v>3394</v>
      </c>
      <c r="G1486" s="163" t="str">
        <f t="array" ref="G1486">IF(B1486="ICSE",IF(COUNTIFS(B:B,B1486,C:C,C1486)=XLOOKUP(C1486,ICSE!A:A,ICSE!AA:AA,"ERROR",0,1),"OK","ERROR"),IF(B1486="FSE",IF(COUNTIFS(B:B,B1486,C:C,C1486)=XLOOKUP(C1486,FSE!A:A,FSE!AA:AA,"ERROR",0,1),"OK","ERROR")))</f>
        <v>OK</v>
      </c>
      <c r="H1486" s="199">
        <f t="shared" ref="H1486:O1486" si="7509">countif($D1486,"*"&amp;H$2&amp;"*")</f>
        <v>0</v>
      </c>
      <c r="I1486" s="200">
        <f t="shared" si="7509"/>
        <v>0</v>
      </c>
      <c r="J1486" s="200">
        <f t="shared" si="7509"/>
        <v>0</v>
      </c>
      <c r="K1486" s="200">
        <f t="shared" si="7509"/>
        <v>0</v>
      </c>
      <c r="L1486" s="200">
        <f t="shared" si="7509"/>
        <v>0</v>
      </c>
      <c r="M1486" s="200">
        <f t="shared" si="7509"/>
        <v>0</v>
      </c>
      <c r="N1486" s="200">
        <f t="shared" si="7509"/>
        <v>0</v>
      </c>
      <c r="O1486" s="200">
        <f t="shared" si="7509"/>
        <v>0</v>
      </c>
      <c r="P1486" s="200">
        <f t="shared" si="9"/>
        <v>1</v>
      </c>
      <c r="Q1486" s="200">
        <f t="shared" ref="Q1486:AC1486" si="7510">countif($D1486,"*"&amp;Q$2&amp;"*")</f>
        <v>0</v>
      </c>
      <c r="R1486" s="200">
        <f t="shared" si="7510"/>
        <v>0</v>
      </c>
      <c r="S1486" s="200">
        <f t="shared" si="7510"/>
        <v>0</v>
      </c>
      <c r="T1486" s="200">
        <f t="shared" si="7510"/>
        <v>0</v>
      </c>
      <c r="U1486" s="200">
        <f t="shared" si="7510"/>
        <v>0</v>
      </c>
      <c r="V1486" s="200">
        <f t="shared" si="7510"/>
        <v>0</v>
      </c>
      <c r="W1486" s="200">
        <f t="shared" si="7510"/>
        <v>0</v>
      </c>
      <c r="X1486" s="200">
        <f t="shared" si="7510"/>
        <v>0</v>
      </c>
      <c r="Y1486" s="200">
        <f t="shared" si="7510"/>
        <v>0</v>
      </c>
      <c r="Z1486" s="200">
        <f t="shared" si="7510"/>
        <v>0</v>
      </c>
      <c r="AA1486" s="200">
        <f t="shared" si="7510"/>
        <v>0</v>
      </c>
      <c r="AB1486" s="200">
        <f t="shared" si="7510"/>
        <v>0</v>
      </c>
      <c r="AC1486" s="200">
        <f t="shared" si="7510"/>
        <v>0</v>
      </c>
      <c r="AD1486" s="200">
        <f t="shared" si="11"/>
        <v>0</v>
      </c>
      <c r="AE1486" s="200">
        <f t="shared" ref="AE1486:AG1486" si="7511">countif($D1486,"*"&amp;AE$2&amp;"*")</f>
        <v>0</v>
      </c>
      <c r="AF1486" s="200">
        <f t="shared" si="7511"/>
        <v>0</v>
      </c>
      <c r="AG1486" s="200">
        <f t="shared" si="7511"/>
        <v>0</v>
      </c>
      <c r="AH1486" s="171">
        <f t="shared" si="13"/>
        <v>0</v>
      </c>
      <c r="AI1486" s="200">
        <f t="shared" si="14"/>
        <v>0</v>
      </c>
      <c r="AJ1486" s="200">
        <f t="shared" si="6100"/>
        <v>0</v>
      </c>
      <c r="AK1486" s="201">
        <f t="shared" ref="AK1486:AS1486" si="7512">countif($D1486,"*"&amp;AK$2&amp;"*")</f>
        <v>0</v>
      </c>
      <c r="AL1486" s="201">
        <f t="shared" si="7512"/>
        <v>0</v>
      </c>
      <c r="AM1486" s="201">
        <f t="shared" si="7512"/>
        <v>0</v>
      </c>
      <c r="AN1486" s="201">
        <f t="shared" si="7512"/>
        <v>0</v>
      </c>
      <c r="AO1486" s="201">
        <f t="shared" si="7512"/>
        <v>0</v>
      </c>
      <c r="AP1486" s="201">
        <f t="shared" si="7512"/>
        <v>0</v>
      </c>
      <c r="AQ1486" s="201">
        <f t="shared" si="7512"/>
        <v>0</v>
      </c>
      <c r="AR1486" s="200">
        <f t="shared" si="7512"/>
        <v>0</v>
      </c>
      <c r="AS1486" s="200">
        <f t="shared" si="7512"/>
        <v>0</v>
      </c>
      <c r="AT1486" s="173">
        <v>0.0</v>
      </c>
      <c r="AU1486" s="200">
        <f t="shared" si="6217"/>
        <v>0</v>
      </c>
      <c r="AV1486" s="200">
        <f t="shared" ref="AV1486:AX1486" si="7513">countif($D1486,"*"&amp;AV$2&amp;"*")</f>
        <v>1</v>
      </c>
      <c r="AW1486" s="200">
        <f t="shared" si="7513"/>
        <v>0</v>
      </c>
      <c r="AX1486" s="200">
        <f t="shared" si="7513"/>
        <v>0</v>
      </c>
      <c r="AY1486" s="202">
        <v>0.0</v>
      </c>
      <c r="AZ1486" s="200"/>
      <c r="BA1486" s="171" t="str">
        <f t="shared" si="18"/>
        <v/>
      </c>
      <c r="BB1486" s="171" t="str">
        <f t="shared" si="19"/>
        <v>Code</v>
      </c>
      <c r="BC1486" s="171" t="str">
        <f t="shared" si="20"/>
        <v/>
      </c>
      <c r="BD1486" s="171" t="str">
        <f t="shared" si="21"/>
        <v/>
      </c>
      <c r="BE1486" s="171" t="str">
        <f t="shared" si="22"/>
        <v/>
      </c>
      <c r="BF1486" s="171" t="str">
        <f t="shared" si="23"/>
        <v>Code</v>
      </c>
    </row>
    <row r="1487">
      <c r="A1487" s="171">
        <f t="array" ref="A1487">XLOOKUP(C1487,FSE!A:A,FSE!C:C,"XXXXX",0,1)</f>
        <v>2022</v>
      </c>
      <c r="B1487" s="213" t="s">
        <v>5676</v>
      </c>
      <c r="C1487" s="214">
        <v>199.0</v>
      </c>
      <c r="D1487" s="215" t="s">
        <v>5220</v>
      </c>
      <c r="E1487" s="197" t="str">
        <f t="array" ref="E1487">XLOOKUP(C1487,FSE!A:A,FSE!Z:Z,"XXXXX",0,1)</f>
        <v>Publicly Available (1)</v>
      </c>
      <c r="F1487" s="213" t="s">
        <v>3394</v>
      </c>
      <c r="G1487" s="163" t="str">
        <f t="array" ref="G1487">IF(B1487="ICSE",IF(COUNTIFS(B:B,B1487,C:C,C1487)=XLOOKUP(C1487,ICSE!A:A,ICSE!AA:AA,"ERROR",0,1),"OK","ERROR"),IF(B1487="FSE",IF(COUNTIFS(B:B,B1487,C:C,C1487)=XLOOKUP(C1487,FSE!A:A,FSE!AA:AA,"ERROR",0,1),"OK","ERROR")))</f>
        <v>OK</v>
      </c>
      <c r="H1487" s="199">
        <f t="shared" ref="H1487:O1487" si="7514">countif($D1487,"*"&amp;H$2&amp;"*")</f>
        <v>0</v>
      </c>
      <c r="I1487" s="200">
        <f t="shared" si="7514"/>
        <v>0</v>
      </c>
      <c r="J1487" s="200">
        <f t="shared" si="7514"/>
        <v>0</v>
      </c>
      <c r="K1487" s="200">
        <f t="shared" si="7514"/>
        <v>0</v>
      </c>
      <c r="L1487" s="200">
        <f t="shared" si="7514"/>
        <v>0</v>
      </c>
      <c r="M1487" s="200">
        <f t="shared" si="7514"/>
        <v>0</v>
      </c>
      <c r="N1487" s="200">
        <f t="shared" si="7514"/>
        <v>0</v>
      </c>
      <c r="O1487" s="200">
        <f t="shared" si="7514"/>
        <v>0</v>
      </c>
      <c r="P1487" s="200">
        <f t="shared" si="9"/>
        <v>0</v>
      </c>
      <c r="Q1487" s="200">
        <f t="shared" ref="Q1487:AC1487" si="7515">countif($D1487,"*"&amp;Q$2&amp;"*")</f>
        <v>0</v>
      </c>
      <c r="R1487" s="200">
        <f t="shared" si="7515"/>
        <v>0</v>
      </c>
      <c r="S1487" s="200">
        <f t="shared" si="7515"/>
        <v>0</v>
      </c>
      <c r="T1487" s="200">
        <f t="shared" si="7515"/>
        <v>0</v>
      </c>
      <c r="U1487" s="200">
        <f t="shared" si="7515"/>
        <v>0</v>
      </c>
      <c r="V1487" s="200">
        <f t="shared" si="7515"/>
        <v>0</v>
      </c>
      <c r="W1487" s="200">
        <f t="shared" si="7515"/>
        <v>0</v>
      </c>
      <c r="X1487" s="200">
        <f t="shared" si="7515"/>
        <v>0</v>
      </c>
      <c r="Y1487" s="200">
        <f t="shared" si="7515"/>
        <v>0</v>
      </c>
      <c r="Z1487" s="200">
        <f t="shared" si="7515"/>
        <v>0</v>
      </c>
      <c r="AA1487" s="200">
        <f t="shared" si="7515"/>
        <v>0</v>
      </c>
      <c r="AB1487" s="200">
        <f t="shared" si="7515"/>
        <v>0</v>
      </c>
      <c r="AC1487" s="200">
        <f t="shared" si="7515"/>
        <v>0</v>
      </c>
      <c r="AD1487" s="200">
        <f t="shared" si="11"/>
        <v>0</v>
      </c>
      <c r="AE1487" s="200">
        <f t="shared" ref="AE1487:AG1487" si="7516">countif($D1487,"*"&amp;AE$2&amp;"*")</f>
        <v>0</v>
      </c>
      <c r="AF1487" s="200">
        <f t="shared" si="7516"/>
        <v>0</v>
      </c>
      <c r="AG1487" s="200">
        <f t="shared" si="7516"/>
        <v>0</v>
      </c>
      <c r="AH1487" s="171">
        <f t="shared" si="13"/>
        <v>1</v>
      </c>
      <c r="AI1487" s="200">
        <f t="shared" si="14"/>
        <v>0</v>
      </c>
      <c r="AJ1487" s="200">
        <f t="shared" si="6100"/>
        <v>0</v>
      </c>
      <c r="AK1487" s="201">
        <f t="shared" ref="AK1487:AS1487" si="7517">countif($D1487,"*"&amp;AK$2&amp;"*")</f>
        <v>0</v>
      </c>
      <c r="AL1487" s="201">
        <f t="shared" si="7517"/>
        <v>0</v>
      </c>
      <c r="AM1487" s="201">
        <f t="shared" si="7517"/>
        <v>0</v>
      </c>
      <c r="AN1487" s="201">
        <f t="shared" si="7517"/>
        <v>0</v>
      </c>
      <c r="AO1487" s="201">
        <f t="shared" si="7517"/>
        <v>0</v>
      </c>
      <c r="AP1487" s="201">
        <f t="shared" si="7517"/>
        <v>0</v>
      </c>
      <c r="AQ1487" s="201">
        <f t="shared" si="7517"/>
        <v>0</v>
      </c>
      <c r="AR1487" s="200">
        <f t="shared" si="7517"/>
        <v>0</v>
      </c>
      <c r="AS1487" s="200">
        <f t="shared" si="7517"/>
        <v>0</v>
      </c>
      <c r="AT1487" s="173">
        <v>0.0</v>
      </c>
      <c r="AU1487" s="200">
        <f t="shared" si="6217"/>
        <v>0</v>
      </c>
      <c r="AV1487" s="200">
        <f t="shared" ref="AV1487:AX1487" si="7518">countif($D1487,"*"&amp;AV$2&amp;"*")</f>
        <v>0</v>
      </c>
      <c r="AW1487" s="200">
        <f t="shared" si="7518"/>
        <v>0</v>
      </c>
      <c r="AX1487" s="200">
        <f t="shared" si="7518"/>
        <v>0</v>
      </c>
      <c r="AY1487" s="202">
        <v>0.0</v>
      </c>
      <c r="AZ1487" s="200"/>
      <c r="BA1487" s="171" t="str">
        <f t="shared" si="18"/>
        <v/>
      </c>
      <c r="BB1487" s="171" t="str">
        <f t="shared" si="19"/>
        <v/>
      </c>
      <c r="BC1487" s="171" t="str">
        <f t="shared" si="20"/>
        <v/>
      </c>
      <c r="BD1487" s="171" t="str">
        <f t="shared" si="21"/>
        <v/>
      </c>
      <c r="BE1487" s="171" t="str">
        <f t="shared" si="22"/>
        <v>Others</v>
      </c>
      <c r="BF1487" s="171" t="str">
        <f t="shared" si="23"/>
        <v>Others</v>
      </c>
    </row>
    <row r="1488">
      <c r="A1488" s="171">
        <f t="array" ref="A1488">XLOOKUP(C1488,FSE!A:A,FSE!C:C,"XXXXX",0,1)</f>
        <v>2022</v>
      </c>
      <c r="B1488" s="213" t="s">
        <v>5676</v>
      </c>
      <c r="C1488" s="214">
        <v>200.0</v>
      </c>
      <c r="D1488" s="215" t="s">
        <v>5224</v>
      </c>
      <c r="E1488" s="197" t="str">
        <f t="array" ref="E1488">XLOOKUP(C1488,FSE!A:A,FSE!Z:Z,"XXXXX",0,1)</f>
        <v>Publicly Available (1)</v>
      </c>
      <c r="F1488" s="213" t="s">
        <v>3394</v>
      </c>
      <c r="G1488" s="163" t="str">
        <f t="array" ref="G1488">IF(B1488="ICSE",IF(COUNTIFS(B:B,B1488,C:C,C1488)=XLOOKUP(C1488,ICSE!A:A,ICSE!AA:AA,"ERROR",0,1),"OK","ERROR"),IF(B1488="FSE",IF(COUNTIFS(B:B,B1488,C:C,C1488)=XLOOKUP(C1488,FSE!A:A,FSE!AA:AA,"ERROR",0,1),"OK","ERROR")))</f>
        <v>OK</v>
      </c>
      <c r="H1488" s="199">
        <f t="shared" ref="H1488:O1488" si="7519">countif($D1488,"*"&amp;H$2&amp;"*")</f>
        <v>1</v>
      </c>
      <c r="I1488" s="200">
        <f t="shared" si="7519"/>
        <v>0</v>
      </c>
      <c r="J1488" s="200">
        <f t="shared" si="7519"/>
        <v>0</v>
      </c>
      <c r="K1488" s="200">
        <f t="shared" si="7519"/>
        <v>0</v>
      </c>
      <c r="L1488" s="200">
        <f t="shared" si="7519"/>
        <v>0</v>
      </c>
      <c r="M1488" s="200">
        <f t="shared" si="7519"/>
        <v>0</v>
      </c>
      <c r="N1488" s="200">
        <f t="shared" si="7519"/>
        <v>0</v>
      </c>
      <c r="O1488" s="200">
        <f t="shared" si="7519"/>
        <v>0</v>
      </c>
      <c r="P1488" s="200">
        <f t="shared" si="9"/>
        <v>0</v>
      </c>
      <c r="Q1488" s="200">
        <f t="shared" ref="Q1488:AC1488" si="7520">countif($D1488,"*"&amp;Q$2&amp;"*")</f>
        <v>0</v>
      </c>
      <c r="R1488" s="200">
        <f t="shared" si="7520"/>
        <v>0</v>
      </c>
      <c r="S1488" s="200">
        <f t="shared" si="7520"/>
        <v>0</v>
      </c>
      <c r="T1488" s="200">
        <f t="shared" si="7520"/>
        <v>0</v>
      </c>
      <c r="U1488" s="200">
        <f t="shared" si="7520"/>
        <v>0</v>
      </c>
      <c r="V1488" s="200">
        <f t="shared" si="7520"/>
        <v>0</v>
      </c>
      <c r="W1488" s="200">
        <f t="shared" si="7520"/>
        <v>0</v>
      </c>
      <c r="X1488" s="200">
        <f t="shared" si="7520"/>
        <v>0</v>
      </c>
      <c r="Y1488" s="200">
        <f t="shared" si="7520"/>
        <v>0</v>
      </c>
      <c r="Z1488" s="200">
        <f t="shared" si="7520"/>
        <v>0</v>
      </c>
      <c r="AA1488" s="200">
        <f t="shared" si="7520"/>
        <v>0</v>
      </c>
      <c r="AB1488" s="200">
        <f t="shared" si="7520"/>
        <v>0</v>
      </c>
      <c r="AC1488" s="200">
        <f t="shared" si="7520"/>
        <v>0</v>
      </c>
      <c r="AD1488" s="200">
        <f t="shared" si="11"/>
        <v>0</v>
      </c>
      <c r="AE1488" s="200">
        <f t="shared" ref="AE1488:AG1488" si="7521">countif($D1488,"*"&amp;AE$2&amp;"*")</f>
        <v>0</v>
      </c>
      <c r="AF1488" s="200">
        <f t="shared" si="7521"/>
        <v>0</v>
      </c>
      <c r="AG1488" s="200">
        <f t="shared" si="7521"/>
        <v>0</v>
      </c>
      <c r="AH1488" s="171">
        <f t="shared" si="13"/>
        <v>0</v>
      </c>
      <c r="AI1488" s="200">
        <f t="shared" si="14"/>
        <v>1</v>
      </c>
      <c r="AJ1488" s="200">
        <f t="shared" si="6100"/>
        <v>0</v>
      </c>
      <c r="AK1488" s="201">
        <f t="shared" ref="AK1488:AS1488" si="7522">countif($D1488,"*"&amp;AK$2&amp;"*")</f>
        <v>0</v>
      </c>
      <c r="AL1488" s="201">
        <f t="shared" si="7522"/>
        <v>0</v>
      </c>
      <c r="AM1488" s="201">
        <f t="shared" si="7522"/>
        <v>0</v>
      </c>
      <c r="AN1488" s="201">
        <f t="shared" si="7522"/>
        <v>0</v>
      </c>
      <c r="AO1488" s="201">
        <f t="shared" si="7522"/>
        <v>0</v>
      </c>
      <c r="AP1488" s="201">
        <f t="shared" si="7522"/>
        <v>0</v>
      </c>
      <c r="AQ1488" s="201">
        <f t="shared" si="7522"/>
        <v>0</v>
      </c>
      <c r="AR1488" s="200">
        <f t="shared" si="7522"/>
        <v>0</v>
      </c>
      <c r="AS1488" s="200">
        <f t="shared" si="7522"/>
        <v>0</v>
      </c>
      <c r="AT1488" s="173">
        <v>0.0</v>
      </c>
      <c r="AU1488" s="200">
        <f t="shared" si="6217"/>
        <v>0</v>
      </c>
      <c r="AV1488" s="200">
        <f t="shared" ref="AV1488:AX1488" si="7523">countif($D1488,"*"&amp;AV$2&amp;"*")</f>
        <v>0</v>
      </c>
      <c r="AW1488" s="200">
        <f t="shared" si="7523"/>
        <v>0</v>
      </c>
      <c r="AX1488" s="200">
        <f t="shared" si="7523"/>
        <v>1</v>
      </c>
      <c r="AY1488" s="202">
        <v>0.0</v>
      </c>
      <c r="AZ1488" s="200"/>
      <c r="BA1488" s="171" t="str">
        <f t="shared" si="18"/>
        <v>Archival</v>
      </c>
      <c r="BB1488" s="171" t="str">
        <f t="shared" si="19"/>
        <v/>
      </c>
      <c r="BC1488" s="171" t="str">
        <f t="shared" si="20"/>
        <v/>
      </c>
      <c r="BD1488" s="171" t="str">
        <f t="shared" si="21"/>
        <v/>
      </c>
      <c r="BE1488" s="171" t="str">
        <f t="shared" si="22"/>
        <v/>
      </c>
      <c r="BF1488" s="171" t="str">
        <f t="shared" si="23"/>
        <v>Archival</v>
      </c>
    </row>
    <row r="1489">
      <c r="A1489" s="171">
        <f t="array" ref="A1489">XLOOKUP(C1489,FSE!A:A,FSE!C:C,"XXXXX",0,1)</f>
        <v>2022</v>
      </c>
      <c r="B1489" s="213" t="s">
        <v>5676</v>
      </c>
      <c r="C1489" s="214">
        <v>201.0</v>
      </c>
      <c r="D1489" s="215" t="s">
        <v>6294</v>
      </c>
      <c r="E1489" s="197" t="str">
        <f t="array" ref="E1489">XLOOKUP(C1489,FSE!A:A,FSE!Z:Z,"XXXXX",0,1)</f>
        <v>Publicly Available (2)</v>
      </c>
      <c r="F1489" s="213" t="s">
        <v>3394</v>
      </c>
      <c r="G1489" s="163" t="str">
        <f t="array" ref="G1489">IF(B1489="ICSE",IF(COUNTIFS(B:B,B1489,C:C,C1489)=XLOOKUP(C1489,ICSE!A:A,ICSE!AA:AA,"ERROR",0,1),"OK","ERROR"),IF(B1489="FSE",IF(COUNTIFS(B:B,B1489,C:C,C1489)=XLOOKUP(C1489,FSE!A:A,FSE!AA:AA,"ERROR",0,1),"OK","ERROR")))</f>
        <v>OK</v>
      </c>
      <c r="H1489" s="199">
        <f t="shared" ref="H1489:O1489" si="7524">countif($D1489,"*"&amp;H$2&amp;"*")</f>
        <v>0</v>
      </c>
      <c r="I1489" s="200">
        <f t="shared" si="7524"/>
        <v>1</v>
      </c>
      <c r="J1489" s="200">
        <f t="shared" si="7524"/>
        <v>0</v>
      </c>
      <c r="K1489" s="200">
        <f t="shared" si="7524"/>
        <v>0</v>
      </c>
      <c r="L1489" s="200">
        <f t="shared" si="7524"/>
        <v>0</v>
      </c>
      <c r="M1489" s="200">
        <f t="shared" si="7524"/>
        <v>0</v>
      </c>
      <c r="N1489" s="200">
        <f t="shared" si="7524"/>
        <v>0</v>
      </c>
      <c r="O1489" s="200">
        <f t="shared" si="7524"/>
        <v>0</v>
      </c>
      <c r="P1489" s="200">
        <f t="shared" si="9"/>
        <v>0</v>
      </c>
      <c r="Q1489" s="200">
        <f t="shared" ref="Q1489:AC1489" si="7525">countif($D1489,"*"&amp;Q$2&amp;"*")</f>
        <v>0</v>
      </c>
      <c r="R1489" s="200">
        <f t="shared" si="7525"/>
        <v>0</v>
      </c>
      <c r="S1489" s="200">
        <f t="shared" si="7525"/>
        <v>0</v>
      </c>
      <c r="T1489" s="200">
        <f t="shared" si="7525"/>
        <v>0</v>
      </c>
      <c r="U1489" s="200">
        <f t="shared" si="7525"/>
        <v>0</v>
      </c>
      <c r="V1489" s="200">
        <f t="shared" si="7525"/>
        <v>0</v>
      </c>
      <c r="W1489" s="200">
        <f t="shared" si="7525"/>
        <v>0</v>
      </c>
      <c r="X1489" s="200">
        <f t="shared" si="7525"/>
        <v>0</v>
      </c>
      <c r="Y1489" s="200">
        <f t="shared" si="7525"/>
        <v>0</v>
      </c>
      <c r="Z1489" s="200">
        <f t="shared" si="7525"/>
        <v>0</v>
      </c>
      <c r="AA1489" s="200">
        <f t="shared" si="7525"/>
        <v>0</v>
      </c>
      <c r="AB1489" s="200">
        <f t="shared" si="7525"/>
        <v>0</v>
      </c>
      <c r="AC1489" s="200">
        <f t="shared" si="7525"/>
        <v>0</v>
      </c>
      <c r="AD1489" s="200">
        <f t="shared" si="11"/>
        <v>0</v>
      </c>
      <c r="AE1489" s="200">
        <f t="shared" ref="AE1489:AG1489" si="7526">countif($D1489,"*"&amp;AE$2&amp;"*")</f>
        <v>0</v>
      </c>
      <c r="AF1489" s="200">
        <f t="shared" si="7526"/>
        <v>0</v>
      </c>
      <c r="AG1489" s="200">
        <f t="shared" si="7526"/>
        <v>0</v>
      </c>
      <c r="AH1489" s="171">
        <f t="shared" si="13"/>
        <v>0</v>
      </c>
      <c r="AI1489" s="200">
        <f t="shared" si="14"/>
        <v>1</v>
      </c>
      <c r="AJ1489" s="200">
        <f t="shared" si="6100"/>
        <v>0</v>
      </c>
      <c r="AK1489" s="201">
        <f t="shared" ref="AK1489:AS1489" si="7527">countif($D1489,"*"&amp;AK$2&amp;"*")</f>
        <v>0</v>
      </c>
      <c r="AL1489" s="201">
        <f t="shared" si="7527"/>
        <v>0</v>
      </c>
      <c r="AM1489" s="201">
        <f t="shared" si="7527"/>
        <v>0</v>
      </c>
      <c r="AN1489" s="201">
        <f t="shared" si="7527"/>
        <v>0</v>
      </c>
      <c r="AO1489" s="201">
        <f t="shared" si="7527"/>
        <v>0</v>
      </c>
      <c r="AP1489" s="201">
        <f t="shared" si="7527"/>
        <v>0</v>
      </c>
      <c r="AQ1489" s="201">
        <f t="shared" si="7527"/>
        <v>0</v>
      </c>
      <c r="AR1489" s="200">
        <f t="shared" si="7527"/>
        <v>0</v>
      </c>
      <c r="AS1489" s="200">
        <f t="shared" si="7527"/>
        <v>0</v>
      </c>
      <c r="AT1489" s="173">
        <v>0.0</v>
      </c>
      <c r="AU1489" s="200">
        <f t="shared" si="6217"/>
        <v>0</v>
      </c>
      <c r="AV1489" s="200">
        <f t="shared" ref="AV1489:AX1489" si="7528">countif($D1489,"*"&amp;AV$2&amp;"*")</f>
        <v>0</v>
      </c>
      <c r="AW1489" s="200">
        <f t="shared" si="7528"/>
        <v>0</v>
      </c>
      <c r="AX1489" s="200">
        <f t="shared" si="7528"/>
        <v>1</v>
      </c>
      <c r="AY1489" s="202">
        <v>0.0</v>
      </c>
      <c r="AZ1489" s="200"/>
      <c r="BA1489" s="171" t="str">
        <f t="shared" si="18"/>
        <v>Archival</v>
      </c>
      <c r="BB1489" s="171" t="str">
        <f t="shared" si="19"/>
        <v/>
      </c>
      <c r="BC1489" s="171" t="str">
        <f t="shared" si="20"/>
        <v/>
      </c>
      <c r="BD1489" s="171" t="str">
        <f t="shared" si="21"/>
        <v/>
      </c>
      <c r="BE1489" s="171" t="str">
        <f t="shared" si="22"/>
        <v/>
      </c>
      <c r="BF1489" s="171" t="str">
        <f t="shared" si="23"/>
        <v>Archival</v>
      </c>
    </row>
    <row r="1490">
      <c r="A1490" s="171">
        <f t="array" ref="A1490">XLOOKUP(C1490,FSE!A:A,FSE!C:C,"XXXXX",0,1)</f>
        <v>2022</v>
      </c>
      <c r="B1490" s="171" t="s">
        <v>5676</v>
      </c>
      <c r="C1490" s="160">
        <v>201.0</v>
      </c>
      <c r="D1490" s="161" t="s">
        <v>6295</v>
      </c>
      <c r="E1490" s="197" t="str">
        <f t="array" ref="E1490">XLOOKUP(C1490,FSE!A:A,FSE!Z:Z,"XXXXX",0,1)</f>
        <v>Publicly Available (2)</v>
      </c>
      <c r="F1490" s="213" t="s">
        <v>3394</v>
      </c>
      <c r="G1490" s="163" t="str">
        <f t="array" ref="G1490">IF(B1490="ICSE",IF(COUNTIFS(B:B,B1490,C:C,C1490)=XLOOKUP(C1490,ICSE!A:A,ICSE!AA:AA,"ERROR",0,1),"OK","ERROR"),IF(B1490="FSE",IF(COUNTIFS(B:B,B1490,C:C,C1490)=XLOOKUP(C1490,FSE!A:A,FSE!AA:AA,"ERROR",0,1),"OK","ERROR")))</f>
        <v>OK</v>
      </c>
      <c r="H1490" s="199">
        <f t="shared" ref="H1490:O1490" si="7529">countif($D1490,"*"&amp;H$2&amp;"*")</f>
        <v>0</v>
      </c>
      <c r="I1490" s="200">
        <f t="shared" si="7529"/>
        <v>0</v>
      </c>
      <c r="J1490" s="200">
        <f t="shared" si="7529"/>
        <v>0</v>
      </c>
      <c r="K1490" s="200">
        <f t="shared" si="7529"/>
        <v>0</v>
      </c>
      <c r="L1490" s="200">
        <f t="shared" si="7529"/>
        <v>0</v>
      </c>
      <c r="M1490" s="200">
        <f t="shared" si="7529"/>
        <v>0</v>
      </c>
      <c r="N1490" s="200">
        <f t="shared" si="7529"/>
        <v>0</v>
      </c>
      <c r="O1490" s="200">
        <f t="shared" si="7529"/>
        <v>0</v>
      </c>
      <c r="P1490" s="200">
        <f t="shared" si="9"/>
        <v>1</v>
      </c>
      <c r="Q1490" s="200">
        <f t="shared" ref="Q1490:AC1490" si="7530">countif($D1490,"*"&amp;Q$2&amp;"*")</f>
        <v>0</v>
      </c>
      <c r="R1490" s="200">
        <f t="shared" si="7530"/>
        <v>0</v>
      </c>
      <c r="S1490" s="200">
        <f t="shared" si="7530"/>
        <v>0</v>
      </c>
      <c r="T1490" s="200">
        <f t="shared" si="7530"/>
        <v>0</v>
      </c>
      <c r="U1490" s="200">
        <f t="shared" si="7530"/>
        <v>0</v>
      </c>
      <c r="V1490" s="200">
        <f t="shared" si="7530"/>
        <v>0</v>
      </c>
      <c r="W1490" s="200">
        <f t="shared" si="7530"/>
        <v>0</v>
      </c>
      <c r="X1490" s="200">
        <f t="shared" si="7530"/>
        <v>0</v>
      </c>
      <c r="Y1490" s="200">
        <f t="shared" si="7530"/>
        <v>0</v>
      </c>
      <c r="Z1490" s="200">
        <f t="shared" si="7530"/>
        <v>0</v>
      </c>
      <c r="AA1490" s="200">
        <f t="shared" si="7530"/>
        <v>0</v>
      </c>
      <c r="AB1490" s="200">
        <f t="shared" si="7530"/>
        <v>0</v>
      </c>
      <c r="AC1490" s="200">
        <f t="shared" si="7530"/>
        <v>0</v>
      </c>
      <c r="AD1490" s="200">
        <f t="shared" si="11"/>
        <v>0</v>
      </c>
      <c r="AE1490" s="200">
        <f t="shared" ref="AE1490:AG1490" si="7531">countif($D1490,"*"&amp;AE$2&amp;"*")</f>
        <v>0</v>
      </c>
      <c r="AF1490" s="200">
        <f t="shared" si="7531"/>
        <v>0</v>
      </c>
      <c r="AG1490" s="200">
        <f t="shared" si="7531"/>
        <v>0</v>
      </c>
      <c r="AH1490" s="171">
        <f t="shared" si="13"/>
        <v>0</v>
      </c>
      <c r="AI1490" s="200">
        <f t="shared" si="14"/>
        <v>0</v>
      </c>
      <c r="AJ1490" s="200">
        <f t="shared" si="6100"/>
        <v>0</v>
      </c>
      <c r="AK1490" s="201">
        <f t="shared" ref="AK1490:AS1490" si="7532">countif($D1490,"*"&amp;AK$2&amp;"*")</f>
        <v>0</v>
      </c>
      <c r="AL1490" s="201">
        <f t="shared" si="7532"/>
        <v>0</v>
      </c>
      <c r="AM1490" s="201">
        <f t="shared" si="7532"/>
        <v>0</v>
      </c>
      <c r="AN1490" s="201">
        <f t="shared" si="7532"/>
        <v>0</v>
      </c>
      <c r="AO1490" s="201">
        <f t="shared" si="7532"/>
        <v>0</v>
      </c>
      <c r="AP1490" s="201">
        <f t="shared" si="7532"/>
        <v>0</v>
      </c>
      <c r="AQ1490" s="201">
        <f t="shared" si="7532"/>
        <v>0</v>
      </c>
      <c r="AR1490" s="200">
        <f t="shared" si="7532"/>
        <v>0</v>
      </c>
      <c r="AS1490" s="200">
        <f t="shared" si="7532"/>
        <v>0</v>
      </c>
      <c r="AT1490" s="173">
        <v>0.0</v>
      </c>
      <c r="AU1490" s="200">
        <f t="shared" si="6217"/>
        <v>0</v>
      </c>
      <c r="AV1490" s="200">
        <f t="shared" ref="AV1490:AX1490" si="7533">countif($D1490,"*"&amp;AV$2&amp;"*")</f>
        <v>1</v>
      </c>
      <c r="AW1490" s="200">
        <f t="shared" si="7533"/>
        <v>0</v>
      </c>
      <c r="AX1490" s="200">
        <f t="shared" si="7533"/>
        <v>0</v>
      </c>
      <c r="AY1490" s="202">
        <v>0.0</v>
      </c>
      <c r="AZ1490" s="200"/>
      <c r="BA1490" s="171" t="str">
        <f t="shared" si="18"/>
        <v/>
      </c>
      <c r="BB1490" s="171" t="str">
        <f t="shared" si="19"/>
        <v>Code</v>
      </c>
      <c r="BC1490" s="171" t="str">
        <f t="shared" si="20"/>
        <v/>
      </c>
      <c r="BD1490" s="171" t="str">
        <f t="shared" si="21"/>
        <v/>
      </c>
      <c r="BE1490" s="171" t="str">
        <f t="shared" si="22"/>
        <v/>
      </c>
      <c r="BF1490" s="171" t="str">
        <f t="shared" si="23"/>
        <v>Code</v>
      </c>
    </row>
    <row r="1491">
      <c r="A1491" s="171">
        <f t="array" ref="A1491">XLOOKUP(C1491,FSE!A:A,FSE!C:C,"XXXXX",0,1)</f>
        <v>2022</v>
      </c>
      <c r="B1491" s="213" t="s">
        <v>5676</v>
      </c>
      <c r="C1491" s="214">
        <v>202.0</v>
      </c>
      <c r="D1491" s="215" t="s">
        <v>6296</v>
      </c>
      <c r="E1491" s="197" t="str">
        <f t="array" ref="E1491">XLOOKUP(C1491,FSE!A:A,FSE!Z:Z,"XXXXX",0,1)</f>
        <v>Publicly Available (2)</v>
      </c>
      <c r="F1491" s="213" t="s">
        <v>3394</v>
      </c>
      <c r="G1491" s="163" t="str">
        <f t="array" ref="G1491">IF(B1491="ICSE",IF(COUNTIFS(B:B,B1491,C:C,C1491)=XLOOKUP(C1491,ICSE!A:A,ICSE!AA:AA,"ERROR",0,1),"OK","ERROR"),IF(B1491="FSE",IF(COUNTIFS(B:B,B1491,C:C,C1491)=XLOOKUP(C1491,FSE!A:A,FSE!AA:AA,"ERROR",0,1),"OK","ERROR")))</f>
        <v>OK</v>
      </c>
      <c r="H1491" s="199">
        <f t="shared" ref="H1491:O1491" si="7534">countif($D1491,"*"&amp;H$2&amp;"*")</f>
        <v>0</v>
      </c>
      <c r="I1491" s="200">
        <f t="shared" si="7534"/>
        <v>0</v>
      </c>
      <c r="J1491" s="200">
        <f t="shared" si="7534"/>
        <v>0</v>
      </c>
      <c r="K1491" s="200">
        <f t="shared" si="7534"/>
        <v>0</v>
      </c>
      <c r="L1491" s="200">
        <f t="shared" si="7534"/>
        <v>0</v>
      </c>
      <c r="M1491" s="200">
        <f t="shared" si="7534"/>
        <v>0</v>
      </c>
      <c r="N1491" s="200">
        <f t="shared" si="7534"/>
        <v>0</v>
      </c>
      <c r="O1491" s="200">
        <f t="shared" si="7534"/>
        <v>0</v>
      </c>
      <c r="P1491" s="200">
        <f t="shared" si="9"/>
        <v>1</v>
      </c>
      <c r="Q1491" s="200">
        <f t="shared" ref="Q1491:AC1491" si="7535">countif($D1491,"*"&amp;Q$2&amp;"*")</f>
        <v>0</v>
      </c>
      <c r="R1491" s="200">
        <f t="shared" si="7535"/>
        <v>0</v>
      </c>
      <c r="S1491" s="200">
        <f t="shared" si="7535"/>
        <v>0</v>
      </c>
      <c r="T1491" s="200">
        <f t="shared" si="7535"/>
        <v>0</v>
      </c>
      <c r="U1491" s="200">
        <f t="shared" si="7535"/>
        <v>0</v>
      </c>
      <c r="V1491" s="200">
        <f t="shared" si="7535"/>
        <v>0</v>
      </c>
      <c r="W1491" s="200">
        <f t="shared" si="7535"/>
        <v>0</v>
      </c>
      <c r="X1491" s="200">
        <f t="shared" si="7535"/>
        <v>0</v>
      </c>
      <c r="Y1491" s="200">
        <f t="shared" si="7535"/>
        <v>0</v>
      </c>
      <c r="Z1491" s="200">
        <f t="shared" si="7535"/>
        <v>0</v>
      </c>
      <c r="AA1491" s="200">
        <f t="shared" si="7535"/>
        <v>0</v>
      </c>
      <c r="AB1491" s="200">
        <f t="shared" si="7535"/>
        <v>0</v>
      </c>
      <c r="AC1491" s="200">
        <f t="shared" si="7535"/>
        <v>0</v>
      </c>
      <c r="AD1491" s="200">
        <f t="shared" si="11"/>
        <v>0</v>
      </c>
      <c r="AE1491" s="200">
        <f t="shared" ref="AE1491:AG1491" si="7536">countif($D1491,"*"&amp;AE$2&amp;"*")</f>
        <v>0</v>
      </c>
      <c r="AF1491" s="200">
        <f t="shared" si="7536"/>
        <v>0</v>
      </c>
      <c r="AG1491" s="200">
        <f t="shared" si="7536"/>
        <v>0</v>
      </c>
      <c r="AH1491" s="171">
        <f t="shared" si="13"/>
        <v>0</v>
      </c>
      <c r="AI1491" s="200">
        <f t="shared" si="14"/>
        <v>0</v>
      </c>
      <c r="AJ1491" s="200">
        <f t="shared" si="6100"/>
        <v>0</v>
      </c>
      <c r="AK1491" s="201">
        <f t="shared" ref="AK1491:AS1491" si="7537">countif($D1491,"*"&amp;AK$2&amp;"*")</f>
        <v>0</v>
      </c>
      <c r="AL1491" s="201">
        <f t="shared" si="7537"/>
        <v>0</v>
      </c>
      <c r="AM1491" s="201">
        <f t="shared" si="7537"/>
        <v>0</v>
      </c>
      <c r="AN1491" s="201">
        <f t="shared" si="7537"/>
        <v>0</v>
      </c>
      <c r="AO1491" s="201">
        <f t="shared" si="7537"/>
        <v>0</v>
      </c>
      <c r="AP1491" s="201">
        <f t="shared" si="7537"/>
        <v>0</v>
      </c>
      <c r="AQ1491" s="201">
        <f t="shared" si="7537"/>
        <v>0</v>
      </c>
      <c r="AR1491" s="200">
        <f t="shared" si="7537"/>
        <v>0</v>
      </c>
      <c r="AS1491" s="200">
        <f t="shared" si="7537"/>
        <v>0</v>
      </c>
      <c r="AT1491" s="173">
        <v>0.0</v>
      </c>
      <c r="AU1491" s="200">
        <f t="shared" si="6217"/>
        <v>0</v>
      </c>
      <c r="AV1491" s="200">
        <f t="shared" ref="AV1491:AX1491" si="7538">countif($D1491,"*"&amp;AV$2&amp;"*")</f>
        <v>1</v>
      </c>
      <c r="AW1491" s="200">
        <f t="shared" si="7538"/>
        <v>0</v>
      </c>
      <c r="AX1491" s="200">
        <f t="shared" si="7538"/>
        <v>0</v>
      </c>
      <c r="AY1491" s="202">
        <v>0.0</v>
      </c>
      <c r="AZ1491" s="200"/>
      <c r="BA1491" s="171" t="str">
        <f t="shared" si="18"/>
        <v/>
      </c>
      <c r="BB1491" s="171" t="str">
        <f t="shared" si="19"/>
        <v>Code</v>
      </c>
      <c r="BC1491" s="171" t="str">
        <f t="shared" si="20"/>
        <v/>
      </c>
      <c r="BD1491" s="171" t="str">
        <f t="shared" si="21"/>
        <v/>
      </c>
      <c r="BE1491" s="171" t="str">
        <f t="shared" si="22"/>
        <v/>
      </c>
      <c r="BF1491" s="171" t="str">
        <f t="shared" si="23"/>
        <v>Code</v>
      </c>
    </row>
    <row r="1492">
      <c r="A1492" s="171">
        <f t="array" ref="A1492">XLOOKUP(C1492,FSE!A:A,FSE!C:C,"XXXXX",0,1)</f>
        <v>2022</v>
      </c>
      <c r="B1492" s="213" t="s">
        <v>5676</v>
      </c>
      <c r="C1492" s="214">
        <v>202.0</v>
      </c>
      <c r="D1492" s="215" t="s">
        <v>6297</v>
      </c>
      <c r="E1492" s="197" t="str">
        <f t="array" ref="E1492">XLOOKUP(C1492,FSE!A:A,FSE!Z:Z,"XXXXX",0,1)</f>
        <v>Publicly Available (2)</v>
      </c>
      <c r="F1492" s="213" t="s">
        <v>3394</v>
      </c>
      <c r="G1492" s="163" t="str">
        <f t="array" ref="G1492">IF(B1492="ICSE",IF(COUNTIFS(B:B,B1492,C:C,C1492)=XLOOKUP(C1492,ICSE!A:A,ICSE!AA:AA,"ERROR",0,1),"OK","ERROR"),IF(B1492="FSE",IF(COUNTIFS(B:B,B1492,C:C,C1492)=XLOOKUP(C1492,FSE!A:A,FSE!AA:AA,"ERROR",0,1),"OK","ERROR")))</f>
        <v>OK</v>
      </c>
      <c r="H1492" s="199">
        <f t="shared" ref="H1492:O1492" si="7539">countif($D1492,"*"&amp;H$2&amp;"*")</f>
        <v>1</v>
      </c>
      <c r="I1492" s="200">
        <f t="shared" si="7539"/>
        <v>0</v>
      </c>
      <c r="J1492" s="200">
        <f t="shared" si="7539"/>
        <v>0</v>
      </c>
      <c r="K1492" s="200">
        <f t="shared" si="7539"/>
        <v>0</v>
      </c>
      <c r="L1492" s="200">
        <f t="shared" si="7539"/>
        <v>0</v>
      </c>
      <c r="M1492" s="200">
        <f t="shared" si="7539"/>
        <v>0</v>
      </c>
      <c r="N1492" s="200">
        <f t="shared" si="7539"/>
        <v>0</v>
      </c>
      <c r="O1492" s="200">
        <f t="shared" si="7539"/>
        <v>0</v>
      </c>
      <c r="P1492" s="200">
        <f t="shared" si="9"/>
        <v>0</v>
      </c>
      <c r="Q1492" s="200">
        <f t="shared" ref="Q1492:AC1492" si="7540">countif($D1492,"*"&amp;Q$2&amp;"*")</f>
        <v>0</v>
      </c>
      <c r="R1492" s="200">
        <f t="shared" si="7540"/>
        <v>0</v>
      </c>
      <c r="S1492" s="200">
        <f t="shared" si="7540"/>
        <v>0</v>
      </c>
      <c r="T1492" s="200">
        <f t="shared" si="7540"/>
        <v>0</v>
      </c>
      <c r="U1492" s="200">
        <f t="shared" si="7540"/>
        <v>0</v>
      </c>
      <c r="V1492" s="200">
        <f t="shared" si="7540"/>
        <v>0</v>
      </c>
      <c r="W1492" s="200">
        <f t="shared" si="7540"/>
        <v>0</v>
      </c>
      <c r="X1492" s="200">
        <f t="shared" si="7540"/>
        <v>0</v>
      </c>
      <c r="Y1492" s="200">
        <f t="shared" si="7540"/>
        <v>0</v>
      </c>
      <c r="Z1492" s="200">
        <f t="shared" si="7540"/>
        <v>0</v>
      </c>
      <c r="AA1492" s="200">
        <f t="shared" si="7540"/>
        <v>0</v>
      </c>
      <c r="AB1492" s="200">
        <f t="shared" si="7540"/>
        <v>0</v>
      </c>
      <c r="AC1492" s="200">
        <f t="shared" si="7540"/>
        <v>0</v>
      </c>
      <c r="AD1492" s="200">
        <f t="shared" si="11"/>
        <v>0</v>
      </c>
      <c r="AE1492" s="200">
        <f t="shared" ref="AE1492:AG1492" si="7541">countif($D1492,"*"&amp;AE$2&amp;"*")</f>
        <v>0</v>
      </c>
      <c r="AF1492" s="200">
        <f t="shared" si="7541"/>
        <v>0</v>
      </c>
      <c r="AG1492" s="200">
        <f t="shared" si="7541"/>
        <v>0</v>
      </c>
      <c r="AH1492" s="171">
        <f t="shared" si="13"/>
        <v>0</v>
      </c>
      <c r="AI1492" s="200">
        <f t="shared" si="14"/>
        <v>1</v>
      </c>
      <c r="AJ1492" s="200">
        <f t="shared" si="6100"/>
        <v>0</v>
      </c>
      <c r="AK1492" s="201">
        <f t="shared" ref="AK1492:AS1492" si="7542">countif($D1492,"*"&amp;AK$2&amp;"*")</f>
        <v>0</v>
      </c>
      <c r="AL1492" s="201">
        <f t="shared" si="7542"/>
        <v>0</v>
      </c>
      <c r="AM1492" s="201">
        <f t="shared" si="7542"/>
        <v>0</v>
      </c>
      <c r="AN1492" s="201">
        <f t="shared" si="7542"/>
        <v>0</v>
      </c>
      <c r="AO1492" s="201">
        <f t="shared" si="7542"/>
        <v>0</v>
      </c>
      <c r="AP1492" s="201">
        <f t="shared" si="7542"/>
        <v>0</v>
      </c>
      <c r="AQ1492" s="201">
        <f t="shared" si="7542"/>
        <v>0</v>
      </c>
      <c r="AR1492" s="200">
        <f t="shared" si="7542"/>
        <v>0</v>
      </c>
      <c r="AS1492" s="200">
        <f t="shared" si="7542"/>
        <v>0</v>
      </c>
      <c r="AT1492" s="173">
        <v>0.0</v>
      </c>
      <c r="AU1492" s="200">
        <f t="shared" si="6217"/>
        <v>0</v>
      </c>
      <c r="AV1492" s="200">
        <f t="shared" ref="AV1492:AX1492" si="7543">countif($D1492,"*"&amp;AV$2&amp;"*")</f>
        <v>0</v>
      </c>
      <c r="AW1492" s="200">
        <f t="shared" si="7543"/>
        <v>0</v>
      </c>
      <c r="AX1492" s="200">
        <f t="shared" si="7543"/>
        <v>1</v>
      </c>
      <c r="AY1492" s="202">
        <v>0.0</v>
      </c>
      <c r="AZ1492" s="200"/>
      <c r="BA1492" s="171" t="str">
        <f t="shared" si="18"/>
        <v>Archival</v>
      </c>
      <c r="BB1492" s="171" t="str">
        <f t="shared" si="19"/>
        <v/>
      </c>
      <c r="BC1492" s="171" t="str">
        <f t="shared" si="20"/>
        <v/>
      </c>
      <c r="BD1492" s="171" t="str">
        <f t="shared" si="21"/>
        <v/>
      </c>
      <c r="BE1492" s="171" t="str">
        <f t="shared" si="22"/>
        <v/>
      </c>
      <c r="BF1492" s="171" t="str">
        <f t="shared" si="23"/>
        <v>Archival</v>
      </c>
    </row>
    <row r="1493">
      <c r="A1493" s="171">
        <f t="array" ref="A1493">XLOOKUP(C1493,FSE!A:A,FSE!C:C,"XXXXX",0,1)</f>
        <v>2022</v>
      </c>
      <c r="B1493" s="171" t="s">
        <v>5676</v>
      </c>
      <c r="C1493" s="160">
        <v>203.0</v>
      </c>
      <c r="D1493" s="161" t="s">
        <v>5233</v>
      </c>
      <c r="E1493" s="197" t="str">
        <f t="array" ref="E1493">XLOOKUP(C1493,FSE!A:A,FSE!Z:Z,"XXXXX",0,1)</f>
        <v>Publicly Available (1)</v>
      </c>
      <c r="F1493" s="213" t="s">
        <v>3394</v>
      </c>
      <c r="G1493" s="163" t="str">
        <f t="array" ref="G1493">IF(B1493="ICSE",IF(COUNTIFS(B:B,B1493,C:C,C1493)=XLOOKUP(C1493,ICSE!A:A,ICSE!AA:AA,"ERROR",0,1),"OK","ERROR"),IF(B1493="FSE",IF(COUNTIFS(B:B,B1493,C:C,C1493)=XLOOKUP(C1493,FSE!A:A,FSE!AA:AA,"ERROR",0,1),"OK","ERROR")))</f>
        <v>OK</v>
      </c>
      <c r="H1493" s="199">
        <f t="shared" ref="H1493:O1493" si="7544">countif($D1493,"*"&amp;H$2&amp;"*")</f>
        <v>0</v>
      </c>
      <c r="I1493" s="200">
        <f t="shared" si="7544"/>
        <v>0</v>
      </c>
      <c r="J1493" s="200">
        <f t="shared" si="7544"/>
        <v>0</v>
      </c>
      <c r="K1493" s="200">
        <f t="shared" si="7544"/>
        <v>0</v>
      </c>
      <c r="L1493" s="200">
        <f t="shared" si="7544"/>
        <v>0</v>
      </c>
      <c r="M1493" s="200">
        <f t="shared" si="7544"/>
        <v>0</v>
      </c>
      <c r="N1493" s="200">
        <f t="shared" si="7544"/>
        <v>0</v>
      </c>
      <c r="O1493" s="200">
        <f t="shared" si="7544"/>
        <v>0</v>
      </c>
      <c r="P1493" s="200">
        <f t="shared" si="9"/>
        <v>1</v>
      </c>
      <c r="Q1493" s="200">
        <f t="shared" ref="Q1493:AC1493" si="7545">countif($D1493,"*"&amp;Q$2&amp;"*")</f>
        <v>0</v>
      </c>
      <c r="R1493" s="200">
        <f t="shared" si="7545"/>
        <v>0</v>
      </c>
      <c r="S1493" s="200">
        <f t="shared" si="7545"/>
        <v>0</v>
      </c>
      <c r="T1493" s="200">
        <f t="shared" si="7545"/>
        <v>0</v>
      </c>
      <c r="U1493" s="200">
        <f t="shared" si="7545"/>
        <v>0</v>
      </c>
      <c r="V1493" s="200">
        <f t="shared" si="7545"/>
        <v>0</v>
      </c>
      <c r="W1493" s="200">
        <f t="shared" si="7545"/>
        <v>0</v>
      </c>
      <c r="X1493" s="200">
        <f t="shared" si="7545"/>
        <v>0</v>
      </c>
      <c r="Y1493" s="200">
        <f t="shared" si="7545"/>
        <v>0</v>
      </c>
      <c r="Z1493" s="200">
        <f t="shared" si="7545"/>
        <v>0</v>
      </c>
      <c r="AA1493" s="200">
        <f t="shared" si="7545"/>
        <v>0</v>
      </c>
      <c r="AB1493" s="200">
        <f t="shared" si="7545"/>
        <v>0</v>
      </c>
      <c r="AC1493" s="200">
        <f t="shared" si="7545"/>
        <v>0</v>
      </c>
      <c r="AD1493" s="200">
        <f t="shared" si="11"/>
        <v>0</v>
      </c>
      <c r="AE1493" s="200">
        <f t="shared" ref="AE1493:AG1493" si="7546">countif($D1493,"*"&amp;AE$2&amp;"*")</f>
        <v>0</v>
      </c>
      <c r="AF1493" s="200">
        <f t="shared" si="7546"/>
        <v>0</v>
      </c>
      <c r="AG1493" s="200">
        <f t="shared" si="7546"/>
        <v>0</v>
      </c>
      <c r="AH1493" s="171">
        <f t="shared" si="13"/>
        <v>0</v>
      </c>
      <c r="AI1493" s="200">
        <f t="shared" si="14"/>
        <v>0</v>
      </c>
      <c r="AJ1493" s="200">
        <f t="shared" si="6100"/>
        <v>0</v>
      </c>
      <c r="AK1493" s="201">
        <f t="shared" ref="AK1493:AS1493" si="7547">countif($D1493,"*"&amp;AK$2&amp;"*")</f>
        <v>0</v>
      </c>
      <c r="AL1493" s="201">
        <f t="shared" si="7547"/>
        <v>0</v>
      </c>
      <c r="AM1493" s="201">
        <f t="shared" si="7547"/>
        <v>0</v>
      </c>
      <c r="AN1493" s="201">
        <f t="shared" si="7547"/>
        <v>0</v>
      </c>
      <c r="AO1493" s="201">
        <f t="shared" si="7547"/>
        <v>0</v>
      </c>
      <c r="AP1493" s="201">
        <f t="shared" si="7547"/>
        <v>0</v>
      </c>
      <c r="AQ1493" s="201">
        <f t="shared" si="7547"/>
        <v>0</v>
      </c>
      <c r="AR1493" s="200">
        <f t="shared" si="7547"/>
        <v>0</v>
      </c>
      <c r="AS1493" s="200">
        <f t="shared" si="7547"/>
        <v>0</v>
      </c>
      <c r="AT1493" s="173">
        <v>0.0</v>
      </c>
      <c r="AU1493" s="200">
        <f t="shared" si="6217"/>
        <v>0</v>
      </c>
      <c r="AV1493" s="200">
        <f t="shared" ref="AV1493:AX1493" si="7548">countif($D1493,"*"&amp;AV$2&amp;"*")</f>
        <v>1</v>
      </c>
      <c r="AW1493" s="200">
        <f t="shared" si="7548"/>
        <v>0</v>
      </c>
      <c r="AX1493" s="200">
        <f t="shared" si="7548"/>
        <v>0</v>
      </c>
      <c r="AY1493" s="202">
        <v>0.0</v>
      </c>
      <c r="AZ1493" s="200"/>
      <c r="BA1493" s="171" t="str">
        <f t="shared" si="18"/>
        <v/>
      </c>
      <c r="BB1493" s="171" t="str">
        <f t="shared" si="19"/>
        <v>Code</v>
      </c>
      <c r="BC1493" s="171" t="str">
        <f t="shared" si="20"/>
        <v/>
      </c>
      <c r="BD1493" s="171" t="str">
        <f t="shared" si="21"/>
        <v/>
      </c>
      <c r="BE1493" s="171" t="str">
        <f t="shared" si="22"/>
        <v/>
      </c>
      <c r="BF1493" s="171" t="str">
        <f t="shared" si="23"/>
        <v>Code</v>
      </c>
    </row>
    <row r="1494">
      <c r="A1494" s="171">
        <f t="array" ref="A1494">XLOOKUP(C1494,FSE!A:A,FSE!C:C,"XXXXX",0,1)</f>
        <v>2022</v>
      </c>
      <c r="B1494" s="213" t="s">
        <v>5676</v>
      </c>
      <c r="C1494" s="214">
        <v>204.0</v>
      </c>
      <c r="D1494" s="217" t="s">
        <v>5236</v>
      </c>
      <c r="E1494" s="197" t="str">
        <f t="array" ref="E1494">XLOOKUP(C1494,FSE!A:A,FSE!Z:Z,"XXXXX",0,1)</f>
        <v>Publicly Available (1)</v>
      </c>
      <c r="F1494" s="213" t="s">
        <v>3394</v>
      </c>
      <c r="G1494" s="163" t="str">
        <f t="array" ref="G1494">IF(B1494="ICSE",IF(COUNTIFS(B:B,B1494,C:C,C1494)=XLOOKUP(C1494,ICSE!A:A,ICSE!AA:AA,"ERROR",0,1),"OK","ERROR"),IF(B1494="FSE",IF(COUNTIFS(B:B,B1494,C:C,C1494)=XLOOKUP(C1494,FSE!A:A,FSE!AA:AA,"ERROR",0,1),"OK","ERROR")))</f>
        <v>OK</v>
      </c>
      <c r="H1494" s="199">
        <f t="shared" ref="H1494:O1494" si="7549">countif($D1494,"*"&amp;H$2&amp;"*")</f>
        <v>1</v>
      </c>
      <c r="I1494" s="200">
        <f t="shared" si="7549"/>
        <v>0</v>
      </c>
      <c r="J1494" s="200">
        <f t="shared" si="7549"/>
        <v>0</v>
      </c>
      <c r="K1494" s="200">
        <f t="shared" si="7549"/>
        <v>0</v>
      </c>
      <c r="L1494" s="200">
        <f t="shared" si="7549"/>
        <v>0</v>
      </c>
      <c r="M1494" s="200">
        <f t="shared" si="7549"/>
        <v>0</v>
      </c>
      <c r="N1494" s="200">
        <f t="shared" si="7549"/>
        <v>0</v>
      </c>
      <c r="O1494" s="200">
        <f t="shared" si="7549"/>
        <v>0</v>
      </c>
      <c r="P1494" s="200">
        <f t="shared" si="9"/>
        <v>0</v>
      </c>
      <c r="Q1494" s="200">
        <f t="shared" ref="Q1494:AC1494" si="7550">countif($D1494,"*"&amp;Q$2&amp;"*")</f>
        <v>0</v>
      </c>
      <c r="R1494" s="200">
        <f t="shared" si="7550"/>
        <v>0</v>
      </c>
      <c r="S1494" s="200">
        <f t="shared" si="7550"/>
        <v>0</v>
      </c>
      <c r="T1494" s="200">
        <f t="shared" si="7550"/>
        <v>0</v>
      </c>
      <c r="U1494" s="200">
        <f t="shared" si="7550"/>
        <v>0</v>
      </c>
      <c r="V1494" s="200">
        <f t="shared" si="7550"/>
        <v>0</v>
      </c>
      <c r="W1494" s="200">
        <f t="shared" si="7550"/>
        <v>0</v>
      </c>
      <c r="X1494" s="200">
        <f t="shared" si="7550"/>
        <v>0</v>
      </c>
      <c r="Y1494" s="200">
        <f t="shared" si="7550"/>
        <v>0</v>
      </c>
      <c r="Z1494" s="200">
        <f t="shared" si="7550"/>
        <v>0</v>
      </c>
      <c r="AA1494" s="200">
        <f t="shared" si="7550"/>
        <v>0</v>
      </c>
      <c r="AB1494" s="200">
        <f t="shared" si="7550"/>
        <v>0</v>
      </c>
      <c r="AC1494" s="200">
        <f t="shared" si="7550"/>
        <v>0</v>
      </c>
      <c r="AD1494" s="200">
        <f t="shared" si="11"/>
        <v>0</v>
      </c>
      <c r="AE1494" s="200">
        <f t="shared" ref="AE1494:AG1494" si="7551">countif($D1494,"*"&amp;AE$2&amp;"*")</f>
        <v>0</v>
      </c>
      <c r="AF1494" s="200">
        <f t="shared" si="7551"/>
        <v>0</v>
      </c>
      <c r="AG1494" s="200">
        <f t="shared" si="7551"/>
        <v>0</v>
      </c>
      <c r="AH1494" s="171">
        <f t="shared" si="13"/>
        <v>0</v>
      </c>
      <c r="AI1494" s="200">
        <f t="shared" si="14"/>
        <v>1</v>
      </c>
      <c r="AJ1494" s="200">
        <f t="shared" si="6100"/>
        <v>0</v>
      </c>
      <c r="AK1494" s="201">
        <f t="shared" ref="AK1494:AS1494" si="7552">countif($D1494,"*"&amp;AK$2&amp;"*")</f>
        <v>0</v>
      </c>
      <c r="AL1494" s="201">
        <f t="shared" si="7552"/>
        <v>0</v>
      </c>
      <c r="AM1494" s="201">
        <f t="shared" si="7552"/>
        <v>0</v>
      </c>
      <c r="AN1494" s="201">
        <f t="shared" si="7552"/>
        <v>0</v>
      </c>
      <c r="AO1494" s="201">
        <f t="shared" si="7552"/>
        <v>0</v>
      </c>
      <c r="AP1494" s="201">
        <f t="shared" si="7552"/>
        <v>0</v>
      </c>
      <c r="AQ1494" s="201">
        <f t="shared" si="7552"/>
        <v>0</v>
      </c>
      <c r="AR1494" s="200">
        <f t="shared" si="7552"/>
        <v>0</v>
      </c>
      <c r="AS1494" s="200">
        <f t="shared" si="7552"/>
        <v>0</v>
      </c>
      <c r="AT1494" s="173">
        <v>0.0</v>
      </c>
      <c r="AU1494" s="200">
        <f t="shared" si="6217"/>
        <v>0</v>
      </c>
      <c r="AV1494" s="200">
        <f t="shared" ref="AV1494:AX1494" si="7553">countif($D1494,"*"&amp;AV$2&amp;"*")</f>
        <v>0</v>
      </c>
      <c r="AW1494" s="200">
        <f t="shared" si="7553"/>
        <v>0</v>
      </c>
      <c r="AX1494" s="200">
        <f t="shared" si="7553"/>
        <v>0</v>
      </c>
      <c r="AY1494" s="204">
        <v>1.0</v>
      </c>
      <c r="AZ1494" s="200"/>
      <c r="BA1494" s="171" t="str">
        <f t="shared" si="18"/>
        <v>Archival</v>
      </c>
      <c r="BB1494" s="171" t="str">
        <f t="shared" si="19"/>
        <v/>
      </c>
      <c r="BC1494" s="171" t="str">
        <f t="shared" si="20"/>
        <v/>
      </c>
      <c r="BD1494" s="171" t="str">
        <f t="shared" si="21"/>
        <v/>
      </c>
      <c r="BE1494" s="171" t="str">
        <f t="shared" si="22"/>
        <v/>
      </c>
      <c r="BF1494" s="171" t="str">
        <f t="shared" si="23"/>
        <v>Archival</v>
      </c>
    </row>
    <row r="1495">
      <c r="A1495" s="171">
        <f t="array" ref="A1495">XLOOKUP(C1495,FSE!A:A,FSE!C:C,"XXXXX",0,1)</f>
        <v>2022</v>
      </c>
      <c r="B1495" s="213" t="s">
        <v>5676</v>
      </c>
      <c r="C1495" s="214">
        <v>206.0</v>
      </c>
      <c r="D1495" s="215" t="s">
        <v>5240</v>
      </c>
      <c r="E1495" s="197" t="str">
        <f t="array" ref="E1495">XLOOKUP(C1495,FSE!A:A,FSE!Z:Z,"XXXXX",0,1)</f>
        <v>Publicly Available (1)</v>
      </c>
      <c r="F1495" s="213" t="s">
        <v>3394</v>
      </c>
      <c r="G1495" s="163" t="str">
        <f t="array" ref="G1495">IF(B1495="ICSE",IF(COUNTIFS(B:B,B1495,C:C,C1495)=XLOOKUP(C1495,ICSE!A:A,ICSE!AA:AA,"ERROR",0,1),"OK","ERROR"),IF(B1495="FSE",IF(COUNTIFS(B:B,B1495,C:C,C1495)=XLOOKUP(C1495,FSE!A:A,FSE!AA:AA,"ERROR",0,1),"OK","ERROR")))</f>
        <v>OK</v>
      </c>
      <c r="H1495" s="199">
        <f t="shared" ref="H1495:O1495" si="7554">countif($D1495,"*"&amp;H$2&amp;"*")</f>
        <v>0</v>
      </c>
      <c r="I1495" s="200">
        <f t="shared" si="7554"/>
        <v>0</v>
      </c>
      <c r="J1495" s="200">
        <f t="shared" si="7554"/>
        <v>0</v>
      </c>
      <c r="K1495" s="200">
        <f t="shared" si="7554"/>
        <v>0</v>
      </c>
      <c r="L1495" s="200">
        <f t="shared" si="7554"/>
        <v>0</v>
      </c>
      <c r="M1495" s="200">
        <f t="shared" si="7554"/>
        <v>0</v>
      </c>
      <c r="N1495" s="200">
        <f t="shared" si="7554"/>
        <v>0</v>
      </c>
      <c r="O1495" s="200">
        <f t="shared" si="7554"/>
        <v>0</v>
      </c>
      <c r="P1495" s="200">
        <f t="shared" si="9"/>
        <v>0</v>
      </c>
      <c r="Q1495" s="200">
        <f t="shared" ref="Q1495:AC1495" si="7555">countif($D1495,"*"&amp;Q$2&amp;"*")</f>
        <v>0</v>
      </c>
      <c r="R1495" s="200">
        <f t="shared" si="7555"/>
        <v>0</v>
      </c>
      <c r="S1495" s="200">
        <f t="shared" si="7555"/>
        <v>0</v>
      </c>
      <c r="T1495" s="200">
        <f t="shared" si="7555"/>
        <v>0</v>
      </c>
      <c r="U1495" s="200">
        <f t="shared" si="7555"/>
        <v>0</v>
      </c>
      <c r="V1495" s="200">
        <f t="shared" si="7555"/>
        <v>0</v>
      </c>
      <c r="W1495" s="200">
        <f t="shared" si="7555"/>
        <v>0</v>
      </c>
      <c r="X1495" s="200">
        <f t="shared" si="7555"/>
        <v>0</v>
      </c>
      <c r="Y1495" s="200">
        <f t="shared" si="7555"/>
        <v>0</v>
      </c>
      <c r="Z1495" s="200">
        <f t="shared" si="7555"/>
        <v>0</v>
      </c>
      <c r="AA1495" s="200">
        <f t="shared" si="7555"/>
        <v>1</v>
      </c>
      <c r="AB1495" s="200">
        <f t="shared" si="7555"/>
        <v>0</v>
      </c>
      <c r="AC1495" s="200">
        <f t="shared" si="7555"/>
        <v>0</v>
      </c>
      <c r="AD1495" s="200">
        <f t="shared" si="11"/>
        <v>0</v>
      </c>
      <c r="AE1495" s="200">
        <f t="shared" ref="AE1495:AG1495" si="7556">countif($D1495,"*"&amp;AE$2&amp;"*")</f>
        <v>0</v>
      </c>
      <c r="AF1495" s="200">
        <f t="shared" si="7556"/>
        <v>0</v>
      </c>
      <c r="AG1495" s="200">
        <f t="shared" si="7556"/>
        <v>0</v>
      </c>
      <c r="AH1495" s="171">
        <f t="shared" si="13"/>
        <v>0</v>
      </c>
      <c r="AI1495" s="200">
        <f t="shared" si="14"/>
        <v>0</v>
      </c>
      <c r="AJ1495" s="200">
        <f t="shared" si="6100"/>
        <v>0</v>
      </c>
      <c r="AK1495" s="201">
        <f t="shared" ref="AK1495:AS1495" si="7557">countif($D1495,"*"&amp;AK$2&amp;"*")</f>
        <v>0</v>
      </c>
      <c r="AL1495" s="201">
        <f t="shared" si="7557"/>
        <v>0</v>
      </c>
      <c r="AM1495" s="201">
        <f t="shared" si="7557"/>
        <v>0</v>
      </c>
      <c r="AN1495" s="201">
        <f t="shared" si="7557"/>
        <v>0</v>
      </c>
      <c r="AO1495" s="201">
        <f t="shared" si="7557"/>
        <v>0</v>
      </c>
      <c r="AP1495" s="201">
        <f t="shared" si="7557"/>
        <v>0</v>
      </c>
      <c r="AQ1495" s="201">
        <f t="shared" si="7557"/>
        <v>0</v>
      </c>
      <c r="AR1495" s="200">
        <f t="shared" si="7557"/>
        <v>0</v>
      </c>
      <c r="AS1495" s="200">
        <f t="shared" si="7557"/>
        <v>0</v>
      </c>
      <c r="AT1495" s="173">
        <v>0.0</v>
      </c>
      <c r="AU1495" s="200">
        <f t="shared" si="6217"/>
        <v>0</v>
      </c>
      <c r="AV1495" s="200">
        <f t="shared" ref="AV1495:AX1495" si="7558">countif($D1495,"*"&amp;AV$2&amp;"*")</f>
        <v>0</v>
      </c>
      <c r="AW1495" s="200">
        <f t="shared" si="7558"/>
        <v>0</v>
      </c>
      <c r="AX1495" s="200">
        <f t="shared" si="7558"/>
        <v>0</v>
      </c>
      <c r="AY1495" s="202">
        <v>0.0</v>
      </c>
      <c r="AZ1495" s="200"/>
      <c r="BA1495" s="171" t="str">
        <f t="shared" si="18"/>
        <v/>
      </c>
      <c r="BB1495" s="171" t="str">
        <f t="shared" si="19"/>
        <v/>
      </c>
      <c r="BC1495" s="171" t="str">
        <f t="shared" si="20"/>
        <v>General-purpose</v>
      </c>
      <c r="BD1495" s="171" t="str">
        <f t="shared" si="21"/>
        <v/>
      </c>
      <c r="BE1495" s="171" t="str">
        <f t="shared" si="22"/>
        <v/>
      </c>
      <c r="BF1495" s="171" t="str">
        <f t="shared" si="23"/>
        <v>General-purpose</v>
      </c>
    </row>
    <row r="1496">
      <c r="A1496" s="171">
        <f t="array" ref="A1496">XLOOKUP(C1496,FSE!A:A,FSE!C:C,"XXXXX",0,1)</f>
        <v>2022</v>
      </c>
      <c r="B1496" s="213" t="s">
        <v>5676</v>
      </c>
      <c r="C1496" s="214">
        <v>207.0</v>
      </c>
      <c r="D1496" s="215" t="s">
        <v>5243</v>
      </c>
      <c r="E1496" s="197" t="str">
        <f t="array" ref="E1496">XLOOKUP(C1496,FSE!A:A,FSE!Z:Z,"XXXXX",0,1)</f>
        <v>Publicly Available (1)</v>
      </c>
      <c r="F1496" s="213" t="s">
        <v>3394</v>
      </c>
      <c r="G1496" s="163" t="str">
        <f t="array" ref="G1496">IF(B1496="ICSE",IF(COUNTIFS(B:B,B1496,C:C,C1496)=XLOOKUP(C1496,ICSE!A:A,ICSE!AA:AA,"ERROR",0,1),"OK","ERROR"),IF(B1496="FSE",IF(COUNTIFS(B:B,B1496,C:C,C1496)=XLOOKUP(C1496,FSE!A:A,FSE!AA:AA,"ERROR",0,1),"OK","ERROR")))</f>
        <v>OK</v>
      </c>
      <c r="H1496" s="199">
        <f t="shared" ref="H1496:O1496" si="7559">countif($D1496,"*"&amp;H$2&amp;"*")</f>
        <v>0</v>
      </c>
      <c r="I1496" s="200">
        <f t="shared" si="7559"/>
        <v>0</v>
      </c>
      <c r="J1496" s="200">
        <f t="shared" si="7559"/>
        <v>0</v>
      </c>
      <c r="K1496" s="200">
        <f t="shared" si="7559"/>
        <v>0</v>
      </c>
      <c r="L1496" s="200">
        <f t="shared" si="7559"/>
        <v>0</v>
      </c>
      <c r="M1496" s="200">
        <f t="shared" si="7559"/>
        <v>0</v>
      </c>
      <c r="N1496" s="200">
        <f t="shared" si="7559"/>
        <v>0</v>
      </c>
      <c r="O1496" s="200">
        <f t="shared" si="7559"/>
        <v>0</v>
      </c>
      <c r="P1496" s="200">
        <f t="shared" si="9"/>
        <v>1</v>
      </c>
      <c r="Q1496" s="200">
        <f t="shared" ref="Q1496:AC1496" si="7560">countif($D1496,"*"&amp;Q$2&amp;"*")</f>
        <v>0</v>
      </c>
      <c r="R1496" s="200">
        <f t="shared" si="7560"/>
        <v>0</v>
      </c>
      <c r="S1496" s="200">
        <f t="shared" si="7560"/>
        <v>0</v>
      </c>
      <c r="T1496" s="200">
        <f t="shared" si="7560"/>
        <v>0</v>
      </c>
      <c r="U1496" s="200">
        <f t="shared" si="7560"/>
        <v>0</v>
      </c>
      <c r="V1496" s="200">
        <f t="shared" si="7560"/>
        <v>0</v>
      </c>
      <c r="W1496" s="200">
        <f t="shared" si="7560"/>
        <v>0</v>
      </c>
      <c r="X1496" s="200">
        <f t="shared" si="7560"/>
        <v>0</v>
      </c>
      <c r="Y1496" s="200">
        <f t="shared" si="7560"/>
        <v>0</v>
      </c>
      <c r="Z1496" s="200">
        <f t="shared" si="7560"/>
        <v>0</v>
      </c>
      <c r="AA1496" s="200">
        <f t="shared" si="7560"/>
        <v>0</v>
      </c>
      <c r="AB1496" s="200">
        <f t="shared" si="7560"/>
        <v>0</v>
      </c>
      <c r="AC1496" s="200">
        <f t="shared" si="7560"/>
        <v>0</v>
      </c>
      <c r="AD1496" s="200">
        <f t="shared" si="11"/>
        <v>0</v>
      </c>
      <c r="AE1496" s="200">
        <f t="shared" ref="AE1496:AG1496" si="7561">countif($D1496,"*"&amp;AE$2&amp;"*")</f>
        <v>0</v>
      </c>
      <c r="AF1496" s="200">
        <f t="shared" si="7561"/>
        <v>0</v>
      </c>
      <c r="AG1496" s="200">
        <f t="shared" si="7561"/>
        <v>0</v>
      </c>
      <c r="AH1496" s="171">
        <f t="shared" si="13"/>
        <v>0</v>
      </c>
      <c r="AI1496" s="200">
        <f t="shared" si="14"/>
        <v>0</v>
      </c>
      <c r="AJ1496" s="200">
        <f t="shared" si="6100"/>
        <v>0</v>
      </c>
      <c r="AK1496" s="201">
        <f t="shared" ref="AK1496:AS1496" si="7562">countif($D1496,"*"&amp;AK$2&amp;"*")</f>
        <v>0</v>
      </c>
      <c r="AL1496" s="201">
        <f t="shared" si="7562"/>
        <v>0</v>
      </c>
      <c r="AM1496" s="201">
        <f t="shared" si="7562"/>
        <v>0</v>
      </c>
      <c r="AN1496" s="201">
        <f t="shared" si="7562"/>
        <v>0</v>
      </c>
      <c r="AO1496" s="201">
        <f t="shared" si="7562"/>
        <v>0</v>
      </c>
      <c r="AP1496" s="201">
        <f t="shared" si="7562"/>
        <v>0</v>
      </c>
      <c r="AQ1496" s="201">
        <f t="shared" si="7562"/>
        <v>0</v>
      </c>
      <c r="AR1496" s="200">
        <f t="shared" si="7562"/>
        <v>0</v>
      </c>
      <c r="AS1496" s="200">
        <f t="shared" si="7562"/>
        <v>0</v>
      </c>
      <c r="AT1496" s="173">
        <v>0.0</v>
      </c>
      <c r="AU1496" s="200">
        <f t="shared" si="6217"/>
        <v>0</v>
      </c>
      <c r="AV1496" s="200">
        <f t="shared" ref="AV1496:AX1496" si="7563">countif($D1496,"*"&amp;AV$2&amp;"*")</f>
        <v>1</v>
      </c>
      <c r="AW1496" s="200">
        <f t="shared" si="7563"/>
        <v>0</v>
      </c>
      <c r="AX1496" s="200">
        <f t="shared" si="7563"/>
        <v>0</v>
      </c>
      <c r="AY1496" s="202">
        <v>0.0</v>
      </c>
      <c r="AZ1496" s="200"/>
      <c r="BA1496" s="171" t="str">
        <f t="shared" si="18"/>
        <v/>
      </c>
      <c r="BB1496" s="171" t="str">
        <f t="shared" si="19"/>
        <v>Code</v>
      </c>
      <c r="BC1496" s="171" t="str">
        <f t="shared" si="20"/>
        <v/>
      </c>
      <c r="BD1496" s="171" t="str">
        <f t="shared" si="21"/>
        <v/>
      </c>
      <c r="BE1496" s="171" t="str">
        <f t="shared" si="22"/>
        <v/>
      </c>
      <c r="BF1496" s="171" t="str">
        <f t="shared" si="23"/>
        <v>Code</v>
      </c>
    </row>
    <row r="1497">
      <c r="A1497" s="171">
        <f t="array" ref="A1497">XLOOKUP(C1497,FSE!A:A,FSE!C:C,"XXXXX",0,1)</f>
        <v>2022</v>
      </c>
      <c r="B1497" s="213" t="s">
        <v>5676</v>
      </c>
      <c r="C1497" s="214">
        <v>208.0</v>
      </c>
      <c r="D1497" s="215" t="s">
        <v>5246</v>
      </c>
      <c r="E1497" s="197" t="str">
        <f t="array" ref="E1497">XLOOKUP(C1497,FSE!A:A,FSE!Z:Z,"XXXXX",0,1)</f>
        <v>Publicly Available (1)</v>
      </c>
      <c r="F1497" s="213" t="s">
        <v>3394</v>
      </c>
      <c r="G1497" s="163" t="str">
        <f t="array" ref="G1497">IF(B1497="ICSE",IF(COUNTIFS(B:B,B1497,C:C,C1497)=XLOOKUP(C1497,ICSE!A:A,ICSE!AA:AA,"ERROR",0,1),"OK","ERROR"),IF(B1497="FSE",IF(COUNTIFS(B:B,B1497,C:C,C1497)=XLOOKUP(C1497,FSE!A:A,FSE!AA:AA,"ERROR",0,1),"OK","ERROR")))</f>
        <v>OK</v>
      </c>
      <c r="H1497" s="199">
        <f t="shared" ref="H1497:O1497" si="7564">countif($D1497,"*"&amp;H$2&amp;"*")</f>
        <v>0</v>
      </c>
      <c r="I1497" s="200">
        <f t="shared" si="7564"/>
        <v>0</v>
      </c>
      <c r="J1497" s="200">
        <f t="shared" si="7564"/>
        <v>0</v>
      </c>
      <c r="K1497" s="200">
        <f t="shared" si="7564"/>
        <v>0</v>
      </c>
      <c r="L1497" s="200">
        <f t="shared" si="7564"/>
        <v>0</v>
      </c>
      <c r="M1497" s="200">
        <f t="shared" si="7564"/>
        <v>0</v>
      </c>
      <c r="N1497" s="200">
        <f t="shared" si="7564"/>
        <v>0</v>
      </c>
      <c r="O1497" s="200">
        <f t="shared" si="7564"/>
        <v>0</v>
      </c>
      <c r="P1497" s="200">
        <f t="shared" si="9"/>
        <v>0</v>
      </c>
      <c r="Q1497" s="200">
        <f t="shared" ref="Q1497:AC1497" si="7565">countif($D1497,"*"&amp;Q$2&amp;"*")</f>
        <v>1</v>
      </c>
      <c r="R1497" s="200">
        <f t="shared" si="7565"/>
        <v>0</v>
      </c>
      <c r="S1497" s="200">
        <f t="shared" si="7565"/>
        <v>0</v>
      </c>
      <c r="T1497" s="200">
        <f t="shared" si="7565"/>
        <v>0</v>
      </c>
      <c r="U1497" s="200">
        <f t="shared" si="7565"/>
        <v>0</v>
      </c>
      <c r="V1497" s="200">
        <f t="shared" si="7565"/>
        <v>0</v>
      </c>
      <c r="W1497" s="200">
        <f t="shared" si="7565"/>
        <v>0</v>
      </c>
      <c r="X1497" s="200">
        <f t="shared" si="7565"/>
        <v>0</v>
      </c>
      <c r="Y1497" s="200">
        <f t="shared" si="7565"/>
        <v>0</v>
      </c>
      <c r="Z1497" s="200">
        <f t="shared" si="7565"/>
        <v>0</v>
      </c>
      <c r="AA1497" s="200">
        <f t="shared" si="7565"/>
        <v>0</v>
      </c>
      <c r="AB1497" s="200">
        <f t="shared" si="7565"/>
        <v>0</v>
      </c>
      <c r="AC1497" s="200">
        <f t="shared" si="7565"/>
        <v>0</v>
      </c>
      <c r="AD1497" s="200">
        <f t="shared" si="11"/>
        <v>0</v>
      </c>
      <c r="AE1497" s="200">
        <f t="shared" ref="AE1497:AG1497" si="7566">countif($D1497,"*"&amp;AE$2&amp;"*")</f>
        <v>0</v>
      </c>
      <c r="AF1497" s="200">
        <f t="shared" si="7566"/>
        <v>0</v>
      </c>
      <c r="AG1497" s="200">
        <f t="shared" si="7566"/>
        <v>0</v>
      </c>
      <c r="AH1497" s="171">
        <f t="shared" si="13"/>
        <v>0</v>
      </c>
      <c r="AI1497" s="200">
        <f t="shared" si="14"/>
        <v>0</v>
      </c>
      <c r="AJ1497" s="200">
        <f t="shared" si="6100"/>
        <v>0</v>
      </c>
      <c r="AK1497" s="201">
        <f t="shared" ref="AK1497:AS1497" si="7567">countif($D1497,"*"&amp;AK$2&amp;"*")</f>
        <v>0</v>
      </c>
      <c r="AL1497" s="201">
        <f t="shared" si="7567"/>
        <v>0</v>
      </c>
      <c r="AM1497" s="201">
        <f t="shared" si="7567"/>
        <v>0</v>
      </c>
      <c r="AN1497" s="201">
        <f t="shared" si="7567"/>
        <v>0</v>
      </c>
      <c r="AO1497" s="201">
        <f t="shared" si="7567"/>
        <v>0</v>
      </c>
      <c r="AP1497" s="201">
        <f t="shared" si="7567"/>
        <v>0</v>
      </c>
      <c r="AQ1497" s="201">
        <f t="shared" si="7567"/>
        <v>0</v>
      </c>
      <c r="AR1497" s="200">
        <f t="shared" si="7567"/>
        <v>0</v>
      </c>
      <c r="AS1497" s="200">
        <f t="shared" si="7567"/>
        <v>0</v>
      </c>
      <c r="AT1497" s="173">
        <v>0.0</v>
      </c>
      <c r="AU1497" s="200">
        <f t="shared" si="6217"/>
        <v>0</v>
      </c>
      <c r="AV1497" s="200">
        <f t="shared" ref="AV1497:AX1497" si="7568">countif($D1497,"*"&amp;AV$2&amp;"*")</f>
        <v>0</v>
      </c>
      <c r="AW1497" s="200">
        <f t="shared" si="7568"/>
        <v>0</v>
      </c>
      <c r="AX1497" s="200">
        <f t="shared" si="7568"/>
        <v>0</v>
      </c>
      <c r="AY1497" s="202">
        <v>0.0</v>
      </c>
      <c r="AZ1497" s="200"/>
      <c r="BA1497" s="171" t="str">
        <f t="shared" si="18"/>
        <v/>
      </c>
      <c r="BB1497" s="171" t="str">
        <f t="shared" si="19"/>
        <v>Code</v>
      </c>
      <c r="BC1497" s="171" t="str">
        <f t="shared" si="20"/>
        <v/>
      </c>
      <c r="BD1497" s="171" t="str">
        <f t="shared" si="21"/>
        <v/>
      </c>
      <c r="BE1497" s="171" t="str">
        <f t="shared" si="22"/>
        <v/>
      </c>
      <c r="BF1497" s="171" t="str">
        <f t="shared" si="23"/>
        <v>Code</v>
      </c>
    </row>
    <row r="1498">
      <c r="A1498" s="171">
        <f t="array" ref="A1498">XLOOKUP(C1498,FSE!A:A,FSE!C:C,"XXXXX",0,1)</f>
        <v>2022</v>
      </c>
      <c r="B1498" s="213" t="s">
        <v>5676</v>
      </c>
      <c r="C1498" s="214">
        <v>209.0</v>
      </c>
      <c r="D1498" s="215" t="s">
        <v>6298</v>
      </c>
      <c r="E1498" s="197" t="str">
        <f t="array" ref="E1498">XLOOKUP(C1498,FSE!A:A,FSE!Z:Z,"XXXXX",0,1)</f>
        <v>Publicly Available (3)</v>
      </c>
      <c r="F1498" s="213" t="s">
        <v>3394</v>
      </c>
      <c r="G1498" s="163" t="str">
        <f t="array" ref="G1498">IF(B1498="ICSE",IF(COUNTIFS(B:B,B1498,C:C,C1498)=XLOOKUP(C1498,ICSE!A:A,ICSE!AA:AA,"ERROR",0,1),"OK","ERROR"),IF(B1498="FSE",IF(COUNTIFS(B:B,B1498,C:C,C1498)=XLOOKUP(C1498,FSE!A:A,FSE!AA:AA,"ERROR",0,1),"OK","ERROR")))</f>
        <v>OK</v>
      </c>
      <c r="H1498" s="199">
        <f t="shared" ref="H1498:O1498" si="7569">countif($D1498,"*"&amp;H$2&amp;"*")</f>
        <v>1</v>
      </c>
      <c r="I1498" s="200">
        <f t="shared" si="7569"/>
        <v>0</v>
      </c>
      <c r="J1498" s="200">
        <f t="shared" si="7569"/>
        <v>0</v>
      </c>
      <c r="K1498" s="200">
        <f t="shared" si="7569"/>
        <v>0</v>
      </c>
      <c r="L1498" s="200">
        <f t="shared" si="7569"/>
        <v>0</v>
      </c>
      <c r="M1498" s="200">
        <f t="shared" si="7569"/>
        <v>0</v>
      </c>
      <c r="N1498" s="200">
        <f t="shared" si="7569"/>
        <v>0</v>
      </c>
      <c r="O1498" s="200">
        <f t="shared" si="7569"/>
        <v>0</v>
      </c>
      <c r="P1498" s="200">
        <f t="shared" si="9"/>
        <v>0</v>
      </c>
      <c r="Q1498" s="200">
        <f t="shared" ref="Q1498:AC1498" si="7570">countif($D1498,"*"&amp;Q$2&amp;"*")</f>
        <v>0</v>
      </c>
      <c r="R1498" s="200">
        <f t="shared" si="7570"/>
        <v>0</v>
      </c>
      <c r="S1498" s="200">
        <f t="shared" si="7570"/>
        <v>0</v>
      </c>
      <c r="T1498" s="200">
        <f t="shared" si="7570"/>
        <v>0</v>
      </c>
      <c r="U1498" s="200">
        <f t="shared" si="7570"/>
        <v>0</v>
      </c>
      <c r="V1498" s="200">
        <f t="shared" si="7570"/>
        <v>0</v>
      </c>
      <c r="W1498" s="200">
        <f t="shared" si="7570"/>
        <v>0</v>
      </c>
      <c r="X1498" s="200">
        <f t="shared" si="7570"/>
        <v>0</v>
      </c>
      <c r="Y1498" s="200">
        <f t="shared" si="7570"/>
        <v>0</v>
      </c>
      <c r="Z1498" s="200">
        <f t="shared" si="7570"/>
        <v>0</v>
      </c>
      <c r="AA1498" s="200">
        <f t="shared" si="7570"/>
        <v>0</v>
      </c>
      <c r="AB1498" s="200">
        <f t="shared" si="7570"/>
        <v>0</v>
      </c>
      <c r="AC1498" s="200">
        <f t="shared" si="7570"/>
        <v>0</v>
      </c>
      <c r="AD1498" s="200">
        <f t="shared" si="11"/>
        <v>0</v>
      </c>
      <c r="AE1498" s="200">
        <f t="shared" ref="AE1498:AG1498" si="7571">countif($D1498,"*"&amp;AE$2&amp;"*")</f>
        <v>0</v>
      </c>
      <c r="AF1498" s="200">
        <f t="shared" si="7571"/>
        <v>0</v>
      </c>
      <c r="AG1498" s="200">
        <f t="shared" si="7571"/>
        <v>0</v>
      </c>
      <c r="AH1498" s="171">
        <f t="shared" si="13"/>
        <v>0</v>
      </c>
      <c r="AI1498" s="200">
        <f t="shared" si="14"/>
        <v>1</v>
      </c>
      <c r="AJ1498" s="200">
        <f t="shared" si="6100"/>
        <v>0</v>
      </c>
      <c r="AK1498" s="201">
        <f t="shared" ref="AK1498:AS1498" si="7572">countif($D1498,"*"&amp;AK$2&amp;"*")</f>
        <v>0</v>
      </c>
      <c r="AL1498" s="201">
        <f t="shared" si="7572"/>
        <v>0</v>
      </c>
      <c r="AM1498" s="201">
        <f t="shared" si="7572"/>
        <v>0</v>
      </c>
      <c r="AN1498" s="201">
        <f t="shared" si="7572"/>
        <v>0</v>
      </c>
      <c r="AO1498" s="201">
        <f t="shared" si="7572"/>
        <v>0</v>
      </c>
      <c r="AP1498" s="201">
        <f t="shared" si="7572"/>
        <v>0</v>
      </c>
      <c r="AQ1498" s="201">
        <f t="shared" si="7572"/>
        <v>0</v>
      </c>
      <c r="AR1498" s="200">
        <f t="shared" si="7572"/>
        <v>0</v>
      </c>
      <c r="AS1498" s="200">
        <f t="shared" si="7572"/>
        <v>0</v>
      </c>
      <c r="AT1498" s="173">
        <v>0.0</v>
      </c>
      <c r="AU1498" s="200">
        <f t="shared" si="6217"/>
        <v>0</v>
      </c>
      <c r="AV1498" s="200">
        <f t="shared" ref="AV1498:AX1498" si="7573">countif($D1498,"*"&amp;AV$2&amp;"*")</f>
        <v>0</v>
      </c>
      <c r="AW1498" s="200">
        <f t="shared" si="7573"/>
        <v>0</v>
      </c>
      <c r="AX1498" s="200">
        <f t="shared" si="7573"/>
        <v>1</v>
      </c>
      <c r="AY1498" s="202">
        <v>0.0</v>
      </c>
      <c r="AZ1498" s="200"/>
      <c r="BA1498" s="171" t="str">
        <f t="shared" si="18"/>
        <v>Archival</v>
      </c>
      <c r="BB1498" s="171" t="str">
        <f t="shared" si="19"/>
        <v/>
      </c>
      <c r="BC1498" s="171" t="str">
        <f t="shared" si="20"/>
        <v/>
      </c>
      <c r="BD1498" s="171" t="str">
        <f t="shared" si="21"/>
        <v/>
      </c>
      <c r="BE1498" s="171" t="str">
        <f t="shared" si="22"/>
        <v/>
      </c>
      <c r="BF1498" s="171" t="str">
        <f t="shared" si="23"/>
        <v>Archival</v>
      </c>
    </row>
    <row r="1499">
      <c r="A1499" s="171">
        <f t="array" ref="A1499">XLOOKUP(C1499,FSE!A:A,FSE!C:C,"XXXXX",0,1)</f>
        <v>2022</v>
      </c>
      <c r="B1499" s="213" t="s">
        <v>5676</v>
      </c>
      <c r="C1499" s="214">
        <v>209.0</v>
      </c>
      <c r="D1499" s="215" t="s">
        <v>6299</v>
      </c>
      <c r="E1499" s="197" t="str">
        <f t="array" ref="E1499">XLOOKUP(C1499,FSE!A:A,FSE!Z:Z,"XXXXX",0,1)</f>
        <v>Publicly Available (3)</v>
      </c>
      <c r="F1499" s="213" t="s">
        <v>3394</v>
      </c>
      <c r="G1499" s="163" t="str">
        <f t="array" ref="G1499">IF(B1499="ICSE",IF(COUNTIFS(B:B,B1499,C:C,C1499)=XLOOKUP(C1499,ICSE!A:A,ICSE!AA:AA,"ERROR",0,1),"OK","ERROR"),IF(B1499="FSE",IF(COUNTIFS(B:B,B1499,C:C,C1499)=XLOOKUP(C1499,FSE!A:A,FSE!AA:AA,"ERROR",0,1),"OK","ERROR")))</f>
        <v>OK</v>
      </c>
      <c r="H1499" s="199">
        <f t="shared" ref="H1499:O1499" si="7574">countif($D1499,"*"&amp;H$2&amp;"*")</f>
        <v>0</v>
      </c>
      <c r="I1499" s="200">
        <f t="shared" si="7574"/>
        <v>0</v>
      </c>
      <c r="J1499" s="200">
        <f t="shared" si="7574"/>
        <v>0</v>
      </c>
      <c r="K1499" s="200">
        <f t="shared" si="7574"/>
        <v>0</v>
      </c>
      <c r="L1499" s="200">
        <f t="shared" si="7574"/>
        <v>0</v>
      </c>
      <c r="M1499" s="200">
        <f t="shared" si="7574"/>
        <v>0</v>
      </c>
      <c r="N1499" s="200">
        <f t="shared" si="7574"/>
        <v>0</v>
      </c>
      <c r="O1499" s="200">
        <f t="shared" si="7574"/>
        <v>0</v>
      </c>
      <c r="P1499" s="200">
        <f t="shared" si="9"/>
        <v>1</v>
      </c>
      <c r="Q1499" s="200">
        <f t="shared" ref="Q1499:AC1499" si="7575">countif($D1499,"*"&amp;Q$2&amp;"*")</f>
        <v>0</v>
      </c>
      <c r="R1499" s="200">
        <f t="shared" si="7575"/>
        <v>0</v>
      </c>
      <c r="S1499" s="200">
        <f t="shared" si="7575"/>
        <v>0</v>
      </c>
      <c r="T1499" s="200">
        <f t="shared" si="7575"/>
        <v>0</v>
      </c>
      <c r="U1499" s="200">
        <f t="shared" si="7575"/>
        <v>0</v>
      </c>
      <c r="V1499" s="200">
        <f t="shared" si="7575"/>
        <v>0</v>
      </c>
      <c r="W1499" s="200">
        <f t="shared" si="7575"/>
        <v>0</v>
      </c>
      <c r="X1499" s="200">
        <f t="shared" si="7575"/>
        <v>0</v>
      </c>
      <c r="Y1499" s="200">
        <f t="shared" si="7575"/>
        <v>0</v>
      </c>
      <c r="Z1499" s="200">
        <f t="shared" si="7575"/>
        <v>0</v>
      </c>
      <c r="AA1499" s="200">
        <f t="shared" si="7575"/>
        <v>0</v>
      </c>
      <c r="AB1499" s="200">
        <f t="shared" si="7575"/>
        <v>0</v>
      </c>
      <c r="AC1499" s="200">
        <f t="shared" si="7575"/>
        <v>0</v>
      </c>
      <c r="AD1499" s="200">
        <f t="shared" si="11"/>
        <v>0</v>
      </c>
      <c r="AE1499" s="200">
        <f t="shared" ref="AE1499:AG1499" si="7576">countif($D1499,"*"&amp;AE$2&amp;"*")</f>
        <v>0</v>
      </c>
      <c r="AF1499" s="200">
        <f t="shared" si="7576"/>
        <v>0</v>
      </c>
      <c r="AG1499" s="200">
        <f t="shared" si="7576"/>
        <v>0</v>
      </c>
      <c r="AH1499" s="171">
        <f t="shared" si="13"/>
        <v>0</v>
      </c>
      <c r="AI1499" s="200">
        <f t="shared" si="14"/>
        <v>0</v>
      </c>
      <c r="AJ1499" s="200">
        <f t="shared" si="6100"/>
        <v>0</v>
      </c>
      <c r="AK1499" s="201">
        <f t="shared" ref="AK1499:AS1499" si="7577">countif($D1499,"*"&amp;AK$2&amp;"*")</f>
        <v>0</v>
      </c>
      <c r="AL1499" s="201">
        <f t="shared" si="7577"/>
        <v>0</v>
      </c>
      <c r="AM1499" s="201">
        <f t="shared" si="7577"/>
        <v>0</v>
      </c>
      <c r="AN1499" s="201">
        <f t="shared" si="7577"/>
        <v>0</v>
      </c>
      <c r="AO1499" s="201">
        <f t="shared" si="7577"/>
        <v>0</v>
      </c>
      <c r="AP1499" s="201">
        <f t="shared" si="7577"/>
        <v>0</v>
      </c>
      <c r="AQ1499" s="201">
        <f t="shared" si="7577"/>
        <v>0</v>
      </c>
      <c r="AR1499" s="200">
        <f t="shared" si="7577"/>
        <v>0</v>
      </c>
      <c r="AS1499" s="200">
        <f t="shared" si="7577"/>
        <v>0</v>
      </c>
      <c r="AT1499" s="173">
        <v>0.0</v>
      </c>
      <c r="AU1499" s="200">
        <f t="shared" si="6217"/>
        <v>0</v>
      </c>
      <c r="AV1499" s="200">
        <f t="shared" ref="AV1499:AX1499" si="7578">countif($D1499,"*"&amp;AV$2&amp;"*")</f>
        <v>1</v>
      </c>
      <c r="AW1499" s="200">
        <f t="shared" si="7578"/>
        <v>0</v>
      </c>
      <c r="AX1499" s="200">
        <f t="shared" si="7578"/>
        <v>0</v>
      </c>
      <c r="AY1499" s="202">
        <v>0.0</v>
      </c>
      <c r="AZ1499" s="200"/>
      <c r="BA1499" s="171" t="str">
        <f t="shared" si="18"/>
        <v/>
      </c>
      <c r="BB1499" s="171" t="str">
        <f t="shared" si="19"/>
        <v>Code</v>
      </c>
      <c r="BC1499" s="171" t="str">
        <f t="shared" si="20"/>
        <v/>
      </c>
      <c r="BD1499" s="171" t="str">
        <f t="shared" si="21"/>
        <v/>
      </c>
      <c r="BE1499" s="171" t="str">
        <f t="shared" si="22"/>
        <v/>
      </c>
      <c r="BF1499" s="171" t="str">
        <f t="shared" si="23"/>
        <v>Code</v>
      </c>
    </row>
    <row r="1500">
      <c r="A1500" s="171">
        <f t="array" ref="A1500">XLOOKUP(C1500,FSE!A:A,FSE!C:C,"XXXXX",0,1)</f>
        <v>2022</v>
      </c>
      <c r="B1500" s="171" t="s">
        <v>5676</v>
      </c>
      <c r="C1500" s="160">
        <v>209.0</v>
      </c>
      <c r="D1500" s="161" t="s">
        <v>6300</v>
      </c>
      <c r="E1500" s="197" t="str">
        <f t="array" ref="E1500">XLOOKUP(C1500,FSE!A:A,FSE!Z:Z,"XXXXX",0,1)</f>
        <v>Publicly Available (3)</v>
      </c>
      <c r="F1500" s="213" t="s">
        <v>3394</v>
      </c>
      <c r="G1500" s="163" t="str">
        <f t="array" ref="G1500">IF(B1500="ICSE",IF(COUNTIFS(B:B,B1500,C:C,C1500)=XLOOKUP(C1500,ICSE!A:A,ICSE!AA:AA,"ERROR",0,1),"OK","ERROR"),IF(B1500="FSE",IF(COUNTIFS(B:B,B1500,C:C,C1500)=XLOOKUP(C1500,FSE!A:A,FSE!AA:AA,"ERROR",0,1),"OK","ERROR")))</f>
        <v>OK</v>
      </c>
      <c r="H1500" s="199">
        <f t="shared" ref="H1500:O1500" si="7579">countif($D1500,"*"&amp;H$2&amp;"*")</f>
        <v>1</v>
      </c>
      <c r="I1500" s="200">
        <f t="shared" si="7579"/>
        <v>0</v>
      </c>
      <c r="J1500" s="200">
        <f t="shared" si="7579"/>
        <v>0</v>
      </c>
      <c r="K1500" s="200">
        <f t="shared" si="7579"/>
        <v>0</v>
      </c>
      <c r="L1500" s="200">
        <f t="shared" si="7579"/>
        <v>0</v>
      </c>
      <c r="M1500" s="200">
        <f t="shared" si="7579"/>
        <v>0</v>
      </c>
      <c r="N1500" s="200">
        <f t="shared" si="7579"/>
        <v>0</v>
      </c>
      <c r="O1500" s="200">
        <f t="shared" si="7579"/>
        <v>0</v>
      </c>
      <c r="P1500" s="200">
        <f t="shared" si="9"/>
        <v>0</v>
      </c>
      <c r="Q1500" s="200">
        <f t="shared" ref="Q1500:AC1500" si="7580">countif($D1500,"*"&amp;Q$2&amp;"*")</f>
        <v>0</v>
      </c>
      <c r="R1500" s="200">
        <f t="shared" si="7580"/>
        <v>0</v>
      </c>
      <c r="S1500" s="200">
        <f t="shared" si="7580"/>
        <v>0</v>
      </c>
      <c r="T1500" s="200">
        <f t="shared" si="7580"/>
        <v>0</v>
      </c>
      <c r="U1500" s="200">
        <f t="shared" si="7580"/>
        <v>0</v>
      </c>
      <c r="V1500" s="200">
        <f t="shared" si="7580"/>
        <v>0</v>
      </c>
      <c r="W1500" s="200">
        <f t="shared" si="7580"/>
        <v>0</v>
      </c>
      <c r="X1500" s="200">
        <f t="shared" si="7580"/>
        <v>0</v>
      </c>
      <c r="Y1500" s="200">
        <f t="shared" si="7580"/>
        <v>0</v>
      </c>
      <c r="Z1500" s="200">
        <f t="shared" si="7580"/>
        <v>0</v>
      </c>
      <c r="AA1500" s="200">
        <f t="shared" si="7580"/>
        <v>0</v>
      </c>
      <c r="AB1500" s="200">
        <f t="shared" si="7580"/>
        <v>0</v>
      </c>
      <c r="AC1500" s="200">
        <f t="shared" si="7580"/>
        <v>0</v>
      </c>
      <c r="AD1500" s="200">
        <f t="shared" si="11"/>
        <v>0</v>
      </c>
      <c r="AE1500" s="200">
        <f t="shared" ref="AE1500:AG1500" si="7581">countif($D1500,"*"&amp;AE$2&amp;"*")</f>
        <v>0</v>
      </c>
      <c r="AF1500" s="200">
        <f t="shared" si="7581"/>
        <v>0</v>
      </c>
      <c r="AG1500" s="200">
        <f t="shared" si="7581"/>
        <v>0</v>
      </c>
      <c r="AH1500" s="171">
        <f t="shared" si="13"/>
        <v>0</v>
      </c>
      <c r="AI1500" s="200">
        <f t="shared" si="14"/>
        <v>1</v>
      </c>
      <c r="AJ1500" s="200">
        <f t="shared" si="6100"/>
        <v>0</v>
      </c>
      <c r="AK1500" s="201">
        <f t="shared" ref="AK1500:AS1500" si="7582">countif($D1500,"*"&amp;AK$2&amp;"*")</f>
        <v>0</v>
      </c>
      <c r="AL1500" s="201">
        <f t="shared" si="7582"/>
        <v>0</v>
      </c>
      <c r="AM1500" s="201">
        <f t="shared" si="7582"/>
        <v>0</v>
      </c>
      <c r="AN1500" s="201">
        <f t="shared" si="7582"/>
        <v>0</v>
      </c>
      <c r="AO1500" s="201">
        <f t="shared" si="7582"/>
        <v>0</v>
      </c>
      <c r="AP1500" s="201">
        <f t="shared" si="7582"/>
        <v>0</v>
      </c>
      <c r="AQ1500" s="201">
        <f t="shared" si="7582"/>
        <v>0</v>
      </c>
      <c r="AR1500" s="200">
        <f t="shared" si="7582"/>
        <v>0</v>
      </c>
      <c r="AS1500" s="200">
        <f t="shared" si="7582"/>
        <v>0</v>
      </c>
      <c r="AT1500" s="173">
        <v>0.0</v>
      </c>
      <c r="AU1500" s="200">
        <f t="shared" si="6217"/>
        <v>0</v>
      </c>
      <c r="AV1500" s="200">
        <f t="shared" ref="AV1500:AX1500" si="7583">countif($D1500,"*"&amp;AV$2&amp;"*")</f>
        <v>0</v>
      </c>
      <c r="AW1500" s="200">
        <f t="shared" si="7583"/>
        <v>0</v>
      </c>
      <c r="AX1500" s="200">
        <f t="shared" si="7583"/>
        <v>1</v>
      </c>
      <c r="AY1500" s="202">
        <v>0.0</v>
      </c>
      <c r="AZ1500" s="200"/>
      <c r="BA1500" s="171" t="str">
        <f t="shared" si="18"/>
        <v>Archival</v>
      </c>
      <c r="BB1500" s="171" t="str">
        <f t="shared" si="19"/>
        <v/>
      </c>
      <c r="BC1500" s="171" t="str">
        <f t="shared" si="20"/>
        <v/>
      </c>
      <c r="BD1500" s="171" t="str">
        <f t="shared" si="21"/>
        <v/>
      </c>
      <c r="BE1500" s="171" t="str">
        <f t="shared" si="22"/>
        <v/>
      </c>
      <c r="BF1500" s="171" t="str">
        <f t="shared" si="23"/>
        <v>Archival</v>
      </c>
    </row>
    <row r="1501">
      <c r="A1501" s="171">
        <f t="array" ref="A1501">XLOOKUP(C1501,FSE!A:A,FSE!C:C,"XXXXX",0,1)</f>
        <v>2022</v>
      </c>
      <c r="B1501" s="171" t="s">
        <v>5676</v>
      </c>
      <c r="C1501" s="160">
        <v>210.0</v>
      </c>
      <c r="D1501" s="161" t="s">
        <v>5251</v>
      </c>
      <c r="E1501" s="197" t="str">
        <f t="array" ref="E1501">XLOOKUP(C1501,FSE!A:A,FSE!Z:Z,"XXXXX",0,1)</f>
        <v>Publicly Available (1)</v>
      </c>
      <c r="F1501" s="213" t="s">
        <v>3394</v>
      </c>
      <c r="G1501" s="163" t="str">
        <f t="array" ref="G1501">IF(B1501="ICSE",IF(COUNTIFS(B:B,B1501,C:C,C1501)=XLOOKUP(C1501,ICSE!A:A,ICSE!AA:AA,"ERROR",0,1),"OK","ERROR"),IF(B1501="FSE",IF(COUNTIFS(B:B,B1501,C:C,C1501)=XLOOKUP(C1501,FSE!A:A,FSE!AA:AA,"ERROR",0,1),"OK","ERROR")))</f>
        <v>OK</v>
      </c>
      <c r="H1501" s="199">
        <f t="shared" ref="H1501:O1501" si="7584">countif($D1501,"*"&amp;H$2&amp;"*")</f>
        <v>0</v>
      </c>
      <c r="I1501" s="200">
        <f t="shared" si="7584"/>
        <v>0</v>
      </c>
      <c r="J1501" s="200">
        <f t="shared" si="7584"/>
        <v>0</v>
      </c>
      <c r="K1501" s="200">
        <f t="shared" si="7584"/>
        <v>0</v>
      </c>
      <c r="L1501" s="200">
        <f t="shared" si="7584"/>
        <v>0</v>
      </c>
      <c r="M1501" s="200">
        <f t="shared" si="7584"/>
        <v>0</v>
      </c>
      <c r="N1501" s="200">
        <f t="shared" si="7584"/>
        <v>0</v>
      </c>
      <c r="O1501" s="200">
        <f t="shared" si="7584"/>
        <v>0</v>
      </c>
      <c r="P1501" s="200">
        <f t="shared" si="9"/>
        <v>1</v>
      </c>
      <c r="Q1501" s="200">
        <f t="shared" ref="Q1501:AC1501" si="7585">countif($D1501,"*"&amp;Q$2&amp;"*")</f>
        <v>0</v>
      </c>
      <c r="R1501" s="200">
        <f t="shared" si="7585"/>
        <v>0</v>
      </c>
      <c r="S1501" s="200">
        <f t="shared" si="7585"/>
        <v>0</v>
      </c>
      <c r="T1501" s="200">
        <f t="shared" si="7585"/>
        <v>0</v>
      </c>
      <c r="U1501" s="200">
        <f t="shared" si="7585"/>
        <v>0</v>
      </c>
      <c r="V1501" s="200">
        <f t="shared" si="7585"/>
        <v>0</v>
      </c>
      <c r="W1501" s="200">
        <f t="shared" si="7585"/>
        <v>0</v>
      </c>
      <c r="X1501" s="200">
        <f t="shared" si="7585"/>
        <v>0</v>
      </c>
      <c r="Y1501" s="200">
        <f t="shared" si="7585"/>
        <v>0</v>
      </c>
      <c r="Z1501" s="200">
        <f t="shared" si="7585"/>
        <v>0</v>
      </c>
      <c r="AA1501" s="200">
        <f t="shared" si="7585"/>
        <v>0</v>
      </c>
      <c r="AB1501" s="200">
        <f t="shared" si="7585"/>
        <v>0</v>
      </c>
      <c r="AC1501" s="200">
        <f t="shared" si="7585"/>
        <v>0</v>
      </c>
      <c r="AD1501" s="200">
        <f t="shared" si="11"/>
        <v>0</v>
      </c>
      <c r="AE1501" s="200">
        <f t="shared" ref="AE1501:AG1501" si="7586">countif($D1501,"*"&amp;AE$2&amp;"*")</f>
        <v>0</v>
      </c>
      <c r="AF1501" s="200">
        <f t="shared" si="7586"/>
        <v>0</v>
      </c>
      <c r="AG1501" s="200">
        <f t="shared" si="7586"/>
        <v>0</v>
      </c>
      <c r="AH1501" s="171">
        <f t="shared" si="13"/>
        <v>0</v>
      </c>
      <c r="AI1501" s="200">
        <f t="shared" si="14"/>
        <v>0</v>
      </c>
      <c r="AJ1501" s="200">
        <f t="shared" si="6100"/>
        <v>0</v>
      </c>
      <c r="AK1501" s="201">
        <f t="shared" ref="AK1501:AS1501" si="7587">countif($D1501,"*"&amp;AK$2&amp;"*")</f>
        <v>0</v>
      </c>
      <c r="AL1501" s="201">
        <f t="shared" si="7587"/>
        <v>0</v>
      </c>
      <c r="AM1501" s="201">
        <f t="shared" si="7587"/>
        <v>0</v>
      </c>
      <c r="AN1501" s="201">
        <f t="shared" si="7587"/>
        <v>0</v>
      </c>
      <c r="AO1501" s="201">
        <f t="shared" si="7587"/>
        <v>0</v>
      </c>
      <c r="AP1501" s="201">
        <f t="shared" si="7587"/>
        <v>0</v>
      </c>
      <c r="AQ1501" s="201">
        <f t="shared" si="7587"/>
        <v>0</v>
      </c>
      <c r="AR1501" s="200">
        <f t="shared" si="7587"/>
        <v>0</v>
      </c>
      <c r="AS1501" s="200">
        <f t="shared" si="7587"/>
        <v>0</v>
      </c>
      <c r="AT1501" s="173">
        <v>0.0</v>
      </c>
      <c r="AU1501" s="200">
        <f t="shared" si="6217"/>
        <v>0</v>
      </c>
      <c r="AV1501" s="200">
        <f t="shared" ref="AV1501:AX1501" si="7588">countif($D1501,"*"&amp;AV$2&amp;"*")</f>
        <v>1</v>
      </c>
      <c r="AW1501" s="200">
        <f t="shared" si="7588"/>
        <v>0</v>
      </c>
      <c r="AX1501" s="200">
        <f t="shared" si="7588"/>
        <v>0</v>
      </c>
      <c r="AY1501" s="202">
        <v>0.0</v>
      </c>
      <c r="AZ1501" s="200"/>
      <c r="BA1501" s="171" t="str">
        <f t="shared" si="18"/>
        <v/>
      </c>
      <c r="BB1501" s="171" t="str">
        <f t="shared" si="19"/>
        <v>Code</v>
      </c>
      <c r="BC1501" s="171" t="str">
        <f t="shared" si="20"/>
        <v/>
      </c>
      <c r="BD1501" s="171" t="str">
        <f t="shared" si="21"/>
        <v/>
      </c>
      <c r="BE1501" s="171" t="str">
        <f t="shared" si="22"/>
        <v/>
      </c>
      <c r="BF1501" s="171" t="str">
        <f t="shared" si="23"/>
        <v>Code</v>
      </c>
    </row>
    <row r="1502">
      <c r="A1502" s="171">
        <f t="array" ref="A1502">XLOOKUP(C1502,FSE!A:A,FSE!C:C,"XXXXX",0,1)</f>
        <v>2022</v>
      </c>
      <c r="B1502" s="213" t="s">
        <v>5676</v>
      </c>
      <c r="C1502" s="214">
        <v>211.0</v>
      </c>
      <c r="D1502" s="215" t="s">
        <v>5255</v>
      </c>
      <c r="E1502" s="197" t="str">
        <f t="array" ref="E1502">XLOOKUP(C1502,FSE!A:A,FSE!Z:Z,"XXXXX",0,1)</f>
        <v>Publicly Available (1)</v>
      </c>
      <c r="F1502" s="213" t="s">
        <v>3394</v>
      </c>
      <c r="G1502" s="163" t="str">
        <f t="array" ref="G1502">IF(B1502="ICSE",IF(COUNTIFS(B:B,B1502,C:C,C1502)=XLOOKUP(C1502,ICSE!A:A,ICSE!AA:AA,"ERROR",0,1),"OK","ERROR"),IF(B1502="FSE",IF(COUNTIFS(B:B,B1502,C:C,C1502)=XLOOKUP(C1502,FSE!A:A,FSE!AA:AA,"ERROR",0,1),"OK","ERROR")))</f>
        <v>OK</v>
      </c>
      <c r="H1502" s="199">
        <f t="shared" ref="H1502:O1502" si="7589">countif($D1502,"*"&amp;H$2&amp;"*")</f>
        <v>0</v>
      </c>
      <c r="I1502" s="200">
        <f t="shared" si="7589"/>
        <v>1</v>
      </c>
      <c r="J1502" s="200">
        <f t="shared" si="7589"/>
        <v>0</v>
      </c>
      <c r="K1502" s="200">
        <f t="shared" si="7589"/>
        <v>0</v>
      </c>
      <c r="L1502" s="200">
        <f t="shared" si="7589"/>
        <v>0</v>
      </c>
      <c r="M1502" s="200">
        <f t="shared" si="7589"/>
        <v>0</v>
      </c>
      <c r="N1502" s="200">
        <f t="shared" si="7589"/>
        <v>0</v>
      </c>
      <c r="O1502" s="200">
        <f t="shared" si="7589"/>
        <v>0</v>
      </c>
      <c r="P1502" s="200">
        <f t="shared" si="9"/>
        <v>0</v>
      </c>
      <c r="Q1502" s="200">
        <f t="shared" ref="Q1502:AC1502" si="7590">countif($D1502,"*"&amp;Q$2&amp;"*")</f>
        <v>0</v>
      </c>
      <c r="R1502" s="200">
        <f t="shared" si="7590"/>
        <v>0</v>
      </c>
      <c r="S1502" s="200">
        <f t="shared" si="7590"/>
        <v>0</v>
      </c>
      <c r="T1502" s="200">
        <f t="shared" si="7590"/>
        <v>0</v>
      </c>
      <c r="U1502" s="200">
        <f t="shared" si="7590"/>
        <v>0</v>
      </c>
      <c r="V1502" s="200">
        <f t="shared" si="7590"/>
        <v>0</v>
      </c>
      <c r="W1502" s="200">
        <f t="shared" si="7590"/>
        <v>0</v>
      </c>
      <c r="X1502" s="200">
        <f t="shared" si="7590"/>
        <v>0</v>
      </c>
      <c r="Y1502" s="200">
        <f t="shared" si="7590"/>
        <v>0</v>
      </c>
      <c r="Z1502" s="200">
        <f t="shared" si="7590"/>
        <v>0</v>
      </c>
      <c r="AA1502" s="200">
        <f t="shared" si="7590"/>
        <v>0</v>
      </c>
      <c r="AB1502" s="200">
        <f t="shared" si="7590"/>
        <v>0</v>
      </c>
      <c r="AC1502" s="200">
        <f t="shared" si="7590"/>
        <v>0</v>
      </c>
      <c r="AD1502" s="200">
        <f t="shared" si="11"/>
        <v>0</v>
      </c>
      <c r="AE1502" s="200">
        <f t="shared" ref="AE1502:AG1502" si="7591">countif($D1502,"*"&amp;AE$2&amp;"*")</f>
        <v>0</v>
      </c>
      <c r="AF1502" s="200">
        <f t="shared" si="7591"/>
        <v>0</v>
      </c>
      <c r="AG1502" s="200">
        <f t="shared" si="7591"/>
        <v>0</v>
      </c>
      <c r="AH1502" s="171">
        <f t="shared" si="13"/>
        <v>0</v>
      </c>
      <c r="AI1502" s="200">
        <f t="shared" si="14"/>
        <v>1</v>
      </c>
      <c r="AJ1502" s="200">
        <f t="shared" si="6100"/>
        <v>0</v>
      </c>
      <c r="AK1502" s="201">
        <f t="shared" ref="AK1502:AS1502" si="7592">countif($D1502,"*"&amp;AK$2&amp;"*")</f>
        <v>0</v>
      </c>
      <c r="AL1502" s="201">
        <f t="shared" si="7592"/>
        <v>0</v>
      </c>
      <c r="AM1502" s="201">
        <f t="shared" si="7592"/>
        <v>0</v>
      </c>
      <c r="AN1502" s="201">
        <f t="shared" si="7592"/>
        <v>0</v>
      </c>
      <c r="AO1502" s="201">
        <f t="shared" si="7592"/>
        <v>0</v>
      </c>
      <c r="AP1502" s="201">
        <f t="shared" si="7592"/>
        <v>0</v>
      </c>
      <c r="AQ1502" s="201">
        <f t="shared" si="7592"/>
        <v>0</v>
      </c>
      <c r="AR1502" s="200">
        <f t="shared" si="7592"/>
        <v>0</v>
      </c>
      <c r="AS1502" s="200">
        <f t="shared" si="7592"/>
        <v>0</v>
      </c>
      <c r="AT1502" s="173">
        <v>0.0</v>
      </c>
      <c r="AU1502" s="200">
        <f t="shared" si="6217"/>
        <v>0</v>
      </c>
      <c r="AV1502" s="200">
        <f t="shared" ref="AV1502:AX1502" si="7593">countif($D1502,"*"&amp;AV$2&amp;"*")</f>
        <v>0</v>
      </c>
      <c r="AW1502" s="200">
        <f t="shared" si="7593"/>
        <v>0</v>
      </c>
      <c r="AX1502" s="200">
        <f t="shared" si="7593"/>
        <v>1</v>
      </c>
      <c r="AY1502" s="202">
        <v>0.0</v>
      </c>
      <c r="AZ1502" s="200"/>
      <c r="BA1502" s="171" t="str">
        <f t="shared" si="18"/>
        <v>Archival</v>
      </c>
      <c r="BB1502" s="171" t="str">
        <f t="shared" si="19"/>
        <v/>
      </c>
      <c r="BC1502" s="171" t="str">
        <f t="shared" si="20"/>
        <v/>
      </c>
      <c r="BD1502" s="171" t="str">
        <f t="shared" si="21"/>
        <v/>
      </c>
      <c r="BE1502" s="171" t="str">
        <f t="shared" si="22"/>
        <v/>
      </c>
      <c r="BF1502" s="171" t="str">
        <f t="shared" si="23"/>
        <v>Archival</v>
      </c>
    </row>
    <row r="1503">
      <c r="A1503" s="171">
        <f t="array" ref="A1503">XLOOKUP(C1503,FSE!A:A,FSE!C:C,"XXXXX",0,1)</f>
        <v>2022</v>
      </c>
      <c r="B1503" s="213" t="s">
        <v>5676</v>
      </c>
      <c r="C1503" s="214">
        <v>212.0</v>
      </c>
      <c r="D1503" s="215" t="s">
        <v>5258</v>
      </c>
      <c r="E1503" s="197" t="str">
        <f t="array" ref="E1503">XLOOKUP(C1503,FSE!A:A,FSE!Z:Z,"XXXXX",0,1)</f>
        <v>Publicly Available (1)</v>
      </c>
      <c r="F1503" s="213" t="s">
        <v>3394</v>
      </c>
      <c r="G1503" s="163" t="str">
        <f t="array" ref="G1503">IF(B1503="ICSE",IF(COUNTIFS(B:B,B1503,C:C,C1503)=XLOOKUP(C1503,ICSE!A:A,ICSE!AA:AA,"ERROR",0,1),"OK","ERROR"),IF(B1503="FSE",IF(COUNTIFS(B:B,B1503,C:C,C1503)=XLOOKUP(C1503,FSE!A:A,FSE!AA:AA,"ERROR",0,1),"OK","ERROR")))</f>
        <v>OK</v>
      </c>
      <c r="H1503" s="199">
        <f t="shared" ref="H1503:O1503" si="7594">countif($D1503,"*"&amp;H$2&amp;"*")</f>
        <v>0</v>
      </c>
      <c r="I1503" s="200">
        <f t="shared" si="7594"/>
        <v>0</v>
      </c>
      <c r="J1503" s="200">
        <f t="shared" si="7594"/>
        <v>0</v>
      </c>
      <c r="K1503" s="200">
        <f t="shared" si="7594"/>
        <v>0</v>
      </c>
      <c r="L1503" s="200">
        <f t="shared" si="7594"/>
        <v>0</v>
      </c>
      <c r="M1503" s="200">
        <f t="shared" si="7594"/>
        <v>0</v>
      </c>
      <c r="N1503" s="200">
        <f t="shared" si="7594"/>
        <v>0</v>
      </c>
      <c r="O1503" s="200">
        <f t="shared" si="7594"/>
        <v>0</v>
      </c>
      <c r="P1503" s="200">
        <f t="shared" si="9"/>
        <v>1</v>
      </c>
      <c r="Q1503" s="200">
        <f t="shared" ref="Q1503:AC1503" si="7595">countif($D1503,"*"&amp;Q$2&amp;"*")</f>
        <v>0</v>
      </c>
      <c r="R1503" s="200">
        <f t="shared" si="7595"/>
        <v>0</v>
      </c>
      <c r="S1503" s="200">
        <f t="shared" si="7595"/>
        <v>0</v>
      </c>
      <c r="T1503" s="200">
        <f t="shared" si="7595"/>
        <v>0</v>
      </c>
      <c r="U1503" s="200">
        <f t="shared" si="7595"/>
        <v>0</v>
      </c>
      <c r="V1503" s="200">
        <f t="shared" si="7595"/>
        <v>0</v>
      </c>
      <c r="W1503" s="200">
        <f t="shared" si="7595"/>
        <v>0</v>
      </c>
      <c r="X1503" s="200">
        <f t="shared" si="7595"/>
        <v>0</v>
      </c>
      <c r="Y1503" s="200">
        <f t="shared" si="7595"/>
        <v>0</v>
      </c>
      <c r="Z1503" s="200">
        <f t="shared" si="7595"/>
        <v>0</v>
      </c>
      <c r="AA1503" s="200">
        <f t="shared" si="7595"/>
        <v>0</v>
      </c>
      <c r="AB1503" s="200">
        <f t="shared" si="7595"/>
        <v>0</v>
      </c>
      <c r="AC1503" s="200">
        <f t="shared" si="7595"/>
        <v>0</v>
      </c>
      <c r="AD1503" s="200">
        <f t="shared" si="11"/>
        <v>0</v>
      </c>
      <c r="AE1503" s="200">
        <f t="shared" ref="AE1503:AG1503" si="7596">countif($D1503,"*"&amp;AE$2&amp;"*")</f>
        <v>0</v>
      </c>
      <c r="AF1503" s="200">
        <f t="shared" si="7596"/>
        <v>0</v>
      </c>
      <c r="AG1503" s="200">
        <f t="shared" si="7596"/>
        <v>0</v>
      </c>
      <c r="AH1503" s="171">
        <f t="shared" si="13"/>
        <v>0</v>
      </c>
      <c r="AI1503" s="200">
        <f t="shared" si="14"/>
        <v>0</v>
      </c>
      <c r="AJ1503" s="200">
        <f t="shared" si="6100"/>
        <v>0</v>
      </c>
      <c r="AK1503" s="201">
        <f t="shared" ref="AK1503:AS1503" si="7597">countif($D1503,"*"&amp;AK$2&amp;"*")</f>
        <v>0</v>
      </c>
      <c r="AL1503" s="201">
        <f t="shared" si="7597"/>
        <v>0</v>
      </c>
      <c r="AM1503" s="201">
        <f t="shared" si="7597"/>
        <v>0</v>
      </c>
      <c r="AN1503" s="201">
        <f t="shared" si="7597"/>
        <v>0</v>
      </c>
      <c r="AO1503" s="201">
        <f t="shared" si="7597"/>
        <v>0</v>
      </c>
      <c r="AP1503" s="201">
        <f t="shared" si="7597"/>
        <v>0</v>
      </c>
      <c r="AQ1503" s="201">
        <f t="shared" si="7597"/>
        <v>0</v>
      </c>
      <c r="AR1503" s="200">
        <f t="shared" si="7597"/>
        <v>0</v>
      </c>
      <c r="AS1503" s="200">
        <f t="shared" si="7597"/>
        <v>0</v>
      </c>
      <c r="AT1503" s="173">
        <v>0.0</v>
      </c>
      <c r="AU1503" s="200">
        <f t="shared" si="6217"/>
        <v>0</v>
      </c>
      <c r="AV1503" s="200">
        <f t="shared" ref="AV1503:AX1503" si="7598">countif($D1503,"*"&amp;AV$2&amp;"*")</f>
        <v>1</v>
      </c>
      <c r="AW1503" s="200">
        <f t="shared" si="7598"/>
        <v>0</v>
      </c>
      <c r="AX1503" s="200">
        <f t="shared" si="7598"/>
        <v>0</v>
      </c>
      <c r="AY1503" s="202">
        <v>0.0</v>
      </c>
      <c r="AZ1503" s="200"/>
      <c r="BA1503" s="171" t="str">
        <f t="shared" si="18"/>
        <v/>
      </c>
      <c r="BB1503" s="171" t="str">
        <f t="shared" si="19"/>
        <v>Code</v>
      </c>
      <c r="BC1503" s="171" t="str">
        <f t="shared" si="20"/>
        <v/>
      </c>
      <c r="BD1503" s="171" t="str">
        <f t="shared" si="21"/>
        <v/>
      </c>
      <c r="BE1503" s="171" t="str">
        <f t="shared" si="22"/>
        <v/>
      </c>
      <c r="BF1503" s="171" t="str">
        <f t="shared" si="23"/>
        <v>Code</v>
      </c>
    </row>
    <row r="1504">
      <c r="A1504" s="171">
        <f t="array" ref="A1504">XLOOKUP(C1504,FSE!A:A,FSE!C:C,"XXXXX",0,1)</f>
        <v>2022</v>
      </c>
      <c r="B1504" s="213" t="s">
        <v>5676</v>
      </c>
      <c r="C1504" s="214">
        <v>213.0</v>
      </c>
      <c r="D1504" s="215" t="s">
        <v>5260</v>
      </c>
      <c r="E1504" s="197" t="str">
        <f t="array" ref="E1504">XLOOKUP(C1504,FSE!A:A,FSE!Z:Z,"XXXXX",0,1)</f>
        <v>Publicly Available (1)</v>
      </c>
      <c r="F1504" s="213" t="s">
        <v>3394</v>
      </c>
      <c r="G1504" s="163" t="str">
        <f t="array" ref="G1504">IF(B1504="ICSE",IF(COUNTIFS(B:B,B1504,C:C,C1504)=XLOOKUP(C1504,ICSE!A:A,ICSE!AA:AA,"ERROR",0,1),"OK","ERROR"),IF(B1504="FSE",IF(COUNTIFS(B:B,B1504,C:C,C1504)=XLOOKUP(C1504,FSE!A:A,FSE!AA:AA,"ERROR",0,1),"OK","ERROR")))</f>
        <v>OK</v>
      </c>
      <c r="H1504" s="199">
        <f t="shared" ref="H1504:O1504" si="7599">countif($D1504,"*"&amp;H$2&amp;"*")</f>
        <v>0</v>
      </c>
      <c r="I1504" s="200">
        <f t="shared" si="7599"/>
        <v>0</v>
      </c>
      <c r="J1504" s="200">
        <f t="shared" si="7599"/>
        <v>0</v>
      </c>
      <c r="K1504" s="200">
        <f t="shared" si="7599"/>
        <v>0</v>
      </c>
      <c r="L1504" s="200">
        <f t="shared" si="7599"/>
        <v>0</v>
      </c>
      <c r="M1504" s="200">
        <f t="shared" si="7599"/>
        <v>0</v>
      </c>
      <c r="N1504" s="200">
        <f t="shared" si="7599"/>
        <v>0</v>
      </c>
      <c r="O1504" s="200">
        <f t="shared" si="7599"/>
        <v>0</v>
      </c>
      <c r="P1504" s="200">
        <f t="shared" si="9"/>
        <v>1</v>
      </c>
      <c r="Q1504" s="200">
        <f t="shared" ref="Q1504:AC1504" si="7600">countif($D1504,"*"&amp;Q$2&amp;"*")</f>
        <v>0</v>
      </c>
      <c r="R1504" s="200">
        <f t="shared" si="7600"/>
        <v>0</v>
      </c>
      <c r="S1504" s="200">
        <f t="shared" si="7600"/>
        <v>0</v>
      </c>
      <c r="T1504" s="200">
        <f t="shared" si="7600"/>
        <v>0</v>
      </c>
      <c r="U1504" s="200">
        <f t="shared" si="7600"/>
        <v>0</v>
      </c>
      <c r="V1504" s="200">
        <f t="shared" si="7600"/>
        <v>0</v>
      </c>
      <c r="W1504" s="200">
        <f t="shared" si="7600"/>
        <v>0</v>
      </c>
      <c r="X1504" s="200">
        <f t="shared" si="7600"/>
        <v>0</v>
      </c>
      <c r="Y1504" s="200">
        <f t="shared" si="7600"/>
        <v>0</v>
      </c>
      <c r="Z1504" s="200">
        <f t="shared" si="7600"/>
        <v>0</v>
      </c>
      <c r="AA1504" s="200">
        <f t="shared" si="7600"/>
        <v>0</v>
      </c>
      <c r="AB1504" s="200">
        <f t="shared" si="7600"/>
        <v>0</v>
      </c>
      <c r="AC1504" s="200">
        <f t="shared" si="7600"/>
        <v>0</v>
      </c>
      <c r="AD1504" s="200">
        <f t="shared" si="11"/>
        <v>0</v>
      </c>
      <c r="AE1504" s="200">
        <f t="shared" ref="AE1504:AG1504" si="7601">countif($D1504,"*"&amp;AE$2&amp;"*")</f>
        <v>0</v>
      </c>
      <c r="AF1504" s="200">
        <f t="shared" si="7601"/>
        <v>0</v>
      </c>
      <c r="AG1504" s="200">
        <f t="shared" si="7601"/>
        <v>0</v>
      </c>
      <c r="AH1504" s="171">
        <f t="shared" si="13"/>
        <v>0</v>
      </c>
      <c r="AI1504" s="200">
        <f t="shared" si="14"/>
        <v>0</v>
      </c>
      <c r="AJ1504" s="200">
        <f t="shared" si="6100"/>
        <v>0</v>
      </c>
      <c r="AK1504" s="201">
        <f t="shared" ref="AK1504:AS1504" si="7602">countif($D1504,"*"&amp;AK$2&amp;"*")</f>
        <v>0</v>
      </c>
      <c r="AL1504" s="201">
        <f t="shared" si="7602"/>
        <v>0</v>
      </c>
      <c r="AM1504" s="201">
        <f t="shared" si="7602"/>
        <v>0</v>
      </c>
      <c r="AN1504" s="201">
        <f t="shared" si="7602"/>
        <v>0</v>
      </c>
      <c r="AO1504" s="201">
        <f t="shared" si="7602"/>
        <v>0</v>
      </c>
      <c r="AP1504" s="201">
        <f t="shared" si="7602"/>
        <v>0</v>
      </c>
      <c r="AQ1504" s="201">
        <f t="shared" si="7602"/>
        <v>0</v>
      </c>
      <c r="AR1504" s="200">
        <f t="shared" si="7602"/>
        <v>0</v>
      </c>
      <c r="AS1504" s="200">
        <f t="shared" si="7602"/>
        <v>0</v>
      </c>
      <c r="AT1504" s="173">
        <v>0.0</v>
      </c>
      <c r="AU1504" s="200">
        <f t="shared" si="6217"/>
        <v>0</v>
      </c>
      <c r="AV1504" s="200">
        <f t="shared" ref="AV1504:AX1504" si="7603">countif($D1504,"*"&amp;AV$2&amp;"*")</f>
        <v>1</v>
      </c>
      <c r="AW1504" s="200">
        <f t="shared" si="7603"/>
        <v>0</v>
      </c>
      <c r="AX1504" s="200">
        <f t="shared" si="7603"/>
        <v>0</v>
      </c>
      <c r="AY1504" s="202">
        <v>0.0</v>
      </c>
      <c r="AZ1504" s="200"/>
      <c r="BA1504" s="171" t="str">
        <f t="shared" si="18"/>
        <v/>
      </c>
      <c r="BB1504" s="171" t="str">
        <f t="shared" si="19"/>
        <v>Code</v>
      </c>
      <c r="BC1504" s="171" t="str">
        <f t="shared" si="20"/>
        <v/>
      </c>
      <c r="BD1504" s="171" t="str">
        <f t="shared" si="21"/>
        <v/>
      </c>
      <c r="BE1504" s="171" t="str">
        <f t="shared" si="22"/>
        <v/>
      </c>
      <c r="BF1504" s="171" t="str">
        <f t="shared" si="23"/>
        <v>Code</v>
      </c>
    </row>
    <row r="1505">
      <c r="A1505" s="171">
        <f t="array" ref="A1505">XLOOKUP(C1505,FSE!A:A,FSE!C:C,"XXXXX",0,1)</f>
        <v>2022</v>
      </c>
      <c r="B1505" s="213" t="s">
        <v>5676</v>
      </c>
      <c r="C1505" s="214">
        <v>214.0</v>
      </c>
      <c r="D1505" s="215" t="s">
        <v>5263</v>
      </c>
      <c r="E1505" s="197" t="str">
        <f t="array" ref="E1505">XLOOKUP(C1505,FSE!A:A,FSE!Z:Z,"XXXXX",0,1)</f>
        <v>Publicly Available (1)</v>
      </c>
      <c r="F1505" s="213" t="s">
        <v>3394</v>
      </c>
      <c r="G1505" s="163" t="str">
        <f t="array" ref="G1505">IF(B1505="ICSE",IF(COUNTIFS(B:B,B1505,C:C,C1505)=XLOOKUP(C1505,ICSE!A:A,ICSE!AA:AA,"ERROR",0,1),"OK","ERROR"),IF(B1505="FSE",IF(COUNTIFS(B:B,B1505,C:C,C1505)=XLOOKUP(C1505,FSE!A:A,FSE!AA:AA,"ERROR",0,1),"OK","ERROR")))</f>
        <v>OK</v>
      </c>
      <c r="H1505" s="199">
        <f t="shared" ref="H1505:O1505" si="7604">countif($D1505,"*"&amp;H$2&amp;"*")</f>
        <v>0</v>
      </c>
      <c r="I1505" s="200">
        <f t="shared" si="7604"/>
        <v>0</v>
      </c>
      <c r="J1505" s="200">
        <f t="shared" si="7604"/>
        <v>0</v>
      </c>
      <c r="K1505" s="200">
        <f t="shared" si="7604"/>
        <v>0</v>
      </c>
      <c r="L1505" s="200">
        <f t="shared" si="7604"/>
        <v>0</v>
      </c>
      <c r="M1505" s="200">
        <f t="shared" si="7604"/>
        <v>0</v>
      </c>
      <c r="N1505" s="200">
        <f t="shared" si="7604"/>
        <v>0</v>
      </c>
      <c r="O1505" s="200">
        <f t="shared" si="7604"/>
        <v>0</v>
      </c>
      <c r="P1505" s="200">
        <f t="shared" si="9"/>
        <v>1</v>
      </c>
      <c r="Q1505" s="200">
        <f t="shared" ref="Q1505:AC1505" si="7605">countif($D1505,"*"&amp;Q$2&amp;"*")</f>
        <v>0</v>
      </c>
      <c r="R1505" s="200">
        <f t="shared" si="7605"/>
        <v>0</v>
      </c>
      <c r="S1505" s="200">
        <f t="shared" si="7605"/>
        <v>0</v>
      </c>
      <c r="T1505" s="200">
        <f t="shared" si="7605"/>
        <v>0</v>
      </c>
      <c r="U1505" s="200">
        <f t="shared" si="7605"/>
        <v>0</v>
      </c>
      <c r="V1505" s="200">
        <f t="shared" si="7605"/>
        <v>0</v>
      </c>
      <c r="W1505" s="200">
        <f t="shared" si="7605"/>
        <v>0</v>
      </c>
      <c r="X1505" s="200">
        <f t="shared" si="7605"/>
        <v>0</v>
      </c>
      <c r="Y1505" s="200">
        <f t="shared" si="7605"/>
        <v>0</v>
      </c>
      <c r="Z1505" s="200">
        <f t="shared" si="7605"/>
        <v>0</v>
      </c>
      <c r="AA1505" s="200">
        <f t="shared" si="7605"/>
        <v>0</v>
      </c>
      <c r="AB1505" s="200">
        <f t="shared" si="7605"/>
        <v>0</v>
      </c>
      <c r="AC1505" s="200">
        <f t="shared" si="7605"/>
        <v>0</v>
      </c>
      <c r="AD1505" s="200">
        <f t="shared" si="11"/>
        <v>0</v>
      </c>
      <c r="AE1505" s="200">
        <f t="shared" ref="AE1505:AG1505" si="7606">countif($D1505,"*"&amp;AE$2&amp;"*")</f>
        <v>0</v>
      </c>
      <c r="AF1505" s="200">
        <f t="shared" si="7606"/>
        <v>0</v>
      </c>
      <c r="AG1505" s="200">
        <f t="shared" si="7606"/>
        <v>0</v>
      </c>
      <c r="AH1505" s="171">
        <f t="shared" si="13"/>
        <v>0</v>
      </c>
      <c r="AI1505" s="200">
        <f t="shared" si="14"/>
        <v>0</v>
      </c>
      <c r="AJ1505" s="200">
        <f t="shared" si="6100"/>
        <v>0</v>
      </c>
      <c r="AK1505" s="201">
        <f t="shared" ref="AK1505:AS1505" si="7607">countif($D1505,"*"&amp;AK$2&amp;"*")</f>
        <v>0</v>
      </c>
      <c r="AL1505" s="201">
        <f t="shared" si="7607"/>
        <v>0</v>
      </c>
      <c r="AM1505" s="201">
        <f t="shared" si="7607"/>
        <v>0</v>
      </c>
      <c r="AN1505" s="201">
        <f t="shared" si="7607"/>
        <v>0</v>
      </c>
      <c r="AO1505" s="201">
        <f t="shared" si="7607"/>
        <v>0</v>
      </c>
      <c r="AP1505" s="201">
        <f t="shared" si="7607"/>
        <v>0</v>
      </c>
      <c r="AQ1505" s="201">
        <f t="shared" si="7607"/>
        <v>0</v>
      </c>
      <c r="AR1505" s="200">
        <f t="shared" si="7607"/>
        <v>0</v>
      </c>
      <c r="AS1505" s="200">
        <f t="shared" si="7607"/>
        <v>0</v>
      </c>
      <c r="AT1505" s="173">
        <v>0.0</v>
      </c>
      <c r="AU1505" s="200">
        <f t="shared" si="6217"/>
        <v>0</v>
      </c>
      <c r="AV1505" s="200">
        <f t="shared" ref="AV1505:AX1505" si="7608">countif($D1505,"*"&amp;AV$2&amp;"*")</f>
        <v>1</v>
      </c>
      <c r="AW1505" s="200">
        <f t="shared" si="7608"/>
        <v>0</v>
      </c>
      <c r="AX1505" s="200">
        <f t="shared" si="7608"/>
        <v>0</v>
      </c>
      <c r="AY1505" s="202">
        <v>0.0</v>
      </c>
      <c r="AZ1505" s="200"/>
      <c r="BA1505" s="171" t="str">
        <f t="shared" si="18"/>
        <v/>
      </c>
      <c r="BB1505" s="171" t="str">
        <f t="shared" si="19"/>
        <v>Code</v>
      </c>
      <c r="BC1505" s="171" t="str">
        <f t="shared" si="20"/>
        <v/>
      </c>
      <c r="BD1505" s="171" t="str">
        <f t="shared" si="21"/>
        <v/>
      </c>
      <c r="BE1505" s="171" t="str">
        <f t="shared" si="22"/>
        <v/>
      </c>
      <c r="BF1505" s="171" t="str">
        <f t="shared" si="23"/>
        <v>Code</v>
      </c>
    </row>
    <row r="1506">
      <c r="A1506" s="171">
        <f t="array" ref="A1506">XLOOKUP(C1506,FSE!A:A,FSE!C:C,"XXXXX",0,1)</f>
        <v>2022</v>
      </c>
      <c r="B1506" s="213" t="s">
        <v>5676</v>
      </c>
      <c r="C1506" s="214">
        <v>215.0</v>
      </c>
      <c r="D1506" s="217" t="s">
        <v>5267</v>
      </c>
      <c r="E1506" s="197" t="str">
        <f t="array" ref="E1506">XLOOKUP(C1506,FSE!A:A,FSE!Z:Z,"XXXXX",0,1)</f>
        <v>Publicly Available (1)</v>
      </c>
      <c r="F1506" s="213" t="s">
        <v>3394</v>
      </c>
      <c r="G1506" s="163" t="str">
        <f t="array" ref="G1506">IF(B1506="ICSE",IF(COUNTIFS(B:B,B1506,C:C,C1506)=XLOOKUP(C1506,ICSE!A:A,ICSE!AA:AA,"ERROR",0,1),"OK","ERROR"),IF(B1506="FSE",IF(COUNTIFS(B:B,B1506,C:C,C1506)=XLOOKUP(C1506,FSE!A:A,FSE!AA:AA,"ERROR",0,1),"OK","ERROR")))</f>
        <v>OK</v>
      </c>
      <c r="H1506" s="199">
        <f t="shared" ref="H1506:O1506" si="7609">countif($D1506,"*"&amp;H$2&amp;"*")</f>
        <v>1</v>
      </c>
      <c r="I1506" s="200">
        <f t="shared" si="7609"/>
        <v>0</v>
      </c>
      <c r="J1506" s="200">
        <f t="shared" si="7609"/>
        <v>0</v>
      </c>
      <c r="K1506" s="200">
        <f t="shared" si="7609"/>
        <v>0</v>
      </c>
      <c r="L1506" s="200">
        <f t="shared" si="7609"/>
        <v>0</v>
      </c>
      <c r="M1506" s="200">
        <f t="shared" si="7609"/>
        <v>0</v>
      </c>
      <c r="N1506" s="200">
        <f t="shared" si="7609"/>
        <v>0</v>
      </c>
      <c r="O1506" s="200">
        <f t="shared" si="7609"/>
        <v>0</v>
      </c>
      <c r="P1506" s="200">
        <f t="shared" si="9"/>
        <v>0</v>
      </c>
      <c r="Q1506" s="200">
        <f t="shared" ref="Q1506:AC1506" si="7610">countif($D1506,"*"&amp;Q$2&amp;"*")</f>
        <v>0</v>
      </c>
      <c r="R1506" s="200">
        <f t="shared" si="7610"/>
        <v>0</v>
      </c>
      <c r="S1506" s="200">
        <f t="shared" si="7610"/>
        <v>0</v>
      </c>
      <c r="T1506" s="200">
        <f t="shared" si="7610"/>
        <v>0</v>
      </c>
      <c r="U1506" s="200">
        <f t="shared" si="7610"/>
        <v>0</v>
      </c>
      <c r="V1506" s="200">
        <f t="shared" si="7610"/>
        <v>0</v>
      </c>
      <c r="W1506" s="200">
        <f t="shared" si="7610"/>
        <v>0</v>
      </c>
      <c r="X1506" s="200">
        <f t="shared" si="7610"/>
        <v>0</v>
      </c>
      <c r="Y1506" s="200">
        <f t="shared" si="7610"/>
        <v>0</v>
      </c>
      <c r="Z1506" s="200">
        <f t="shared" si="7610"/>
        <v>0</v>
      </c>
      <c r="AA1506" s="200">
        <f t="shared" si="7610"/>
        <v>0</v>
      </c>
      <c r="AB1506" s="200">
        <f t="shared" si="7610"/>
        <v>0</v>
      </c>
      <c r="AC1506" s="200">
        <f t="shared" si="7610"/>
        <v>0</v>
      </c>
      <c r="AD1506" s="200">
        <f t="shared" si="11"/>
        <v>0</v>
      </c>
      <c r="AE1506" s="200">
        <f t="shared" ref="AE1506:AG1506" si="7611">countif($D1506,"*"&amp;AE$2&amp;"*")</f>
        <v>0</v>
      </c>
      <c r="AF1506" s="200">
        <f t="shared" si="7611"/>
        <v>0</v>
      </c>
      <c r="AG1506" s="200">
        <f t="shared" si="7611"/>
        <v>0</v>
      </c>
      <c r="AH1506" s="171">
        <f t="shared" si="13"/>
        <v>0</v>
      </c>
      <c r="AI1506" s="200">
        <f t="shared" si="14"/>
        <v>1</v>
      </c>
      <c r="AJ1506" s="200">
        <f t="shared" si="6100"/>
        <v>0</v>
      </c>
      <c r="AK1506" s="201">
        <f t="shared" ref="AK1506:AS1506" si="7612">countif($D1506,"*"&amp;AK$2&amp;"*")</f>
        <v>0</v>
      </c>
      <c r="AL1506" s="201">
        <f t="shared" si="7612"/>
        <v>0</v>
      </c>
      <c r="AM1506" s="201">
        <f t="shared" si="7612"/>
        <v>0</v>
      </c>
      <c r="AN1506" s="201">
        <f t="shared" si="7612"/>
        <v>0</v>
      </c>
      <c r="AO1506" s="201">
        <f t="shared" si="7612"/>
        <v>0</v>
      </c>
      <c r="AP1506" s="201">
        <f t="shared" si="7612"/>
        <v>0</v>
      </c>
      <c r="AQ1506" s="201">
        <f t="shared" si="7612"/>
        <v>0</v>
      </c>
      <c r="AR1506" s="200">
        <f t="shared" si="7612"/>
        <v>0</v>
      </c>
      <c r="AS1506" s="200">
        <f t="shared" si="7612"/>
        <v>0</v>
      </c>
      <c r="AT1506" s="173">
        <v>0.0</v>
      </c>
      <c r="AU1506" s="200">
        <f t="shared" si="6217"/>
        <v>0</v>
      </c>
      <c r="AV1506" s="200">
        <f t="shared" ref="AV1506:AX1506" si="7613">countif($D1506,"*"&amp;AV$2&amp;"*")</f>
        <v>0</v>
      </c>
      <c r="AW1506" s="200">
        <f t="shared" si="7613"/>
        <v>0</v>
      </c>
      <c r="AX1506" s="200">
        <f t="shared" si="7613"/>
        <v>1</v>
      </c>
      <c r="AY1506" s="202">
        <v>0.0</v>
      </c>
      <c r="AZ1506" s="200"/>
      <c r="BA1506" s="171" t="str">
        <f t="shared" si="18"/>
        <v>Archival</v>
      </c>
      <c r="BB1506" s="171" t="str">
        <f t="shared" si="19"/>
        <v/>
      </c>
      <c r="BC1506" s="171" t="str">
        <f t="shared" si="20"/>
        <v/>
      </c>
      <c r="BD1506" s="171" t="str">
        <f t="shared" si="21"/>
        <v/>
      </c>
      <c r="BE1506" s="171" t="str">
        <f t="shared" si="22"/>
        <v/>
      </c>
      <c r="BF1506" s="171" t="str">
        <f t="shared" si="23"/>
        <v>Archival</v>
      </c>
    </row>
    <row r="1507">
      <c r="A1507" s="171">
        <f t="array" ref="A1507">XLOOKUP(C1507,FSE!A:A,FSE!C:C,"XXXXX",0,1)</f>
        <v>2022</v>
      </c>
      <c r="B1507" s="213" t="s">
        <v>5676</v>
      </c>
      <c r="C1507" s="214">
        <v>216.0</v>
      </c>
      <c r="D1507" s="215" t="s">
        <v>5271</v>
      </c>
      <c r="E1507" s="197" t="str">
        <f t="array" ref="E1507">XLOOKUP(C1507,FSE!A:A,FSE!Z:Z,"XXXXX",0,1)</f>
        <v>Publicly Available (1)</v>
      </c>
      <c r="F1507" s="213" t="s">
        <v>3394</v>
      </c>
      <c r="G1507" s="163" t="str">
        <f t="array" ref="G1507">IF(B1507="ICSE",IF(COUNTIFS(B:B,B1507,C:C,C1507)=XLOOKUP(C1507,ICSE!A:A,ICSE!AA:AA,"ERROR",0,1),"OK","ERROR"),IF(B1507="FSE",IF(COUNTIFS(B:B,B1507,C:C,C1507)=XLOOKUP(C1507,FSE!A:A,FSE!AA:AA,"ERROR",0,1),"OK","ERROR")))</f>
        <v>OK</v>
      </c>
      <c r="H1507" s="199">
        <f t="shared" ref="H1507:O1507" si="7614">countif($D1507,"*"&amp;H$2&amp;"*")</f>
        <v>0</v>
      </c>
      <c r="I1507" s="200">
        <f t="shared" si="7614"/>
        <v>1</v>
      </c>
      <c r="J1507" s="200">
        <f t="shared" si="7614"/>
        <v>0</v>
      </c>
      <c r="K1507" s="200">
        <f t="shared" si="7614"/>
        <v>0</v>
      </c>
      <c r="L1507" s="200">
        <f t="shared" si="7614"/>
        <v>0</v>
      </c>
      <c r="M1507" s="200">
        <f t="shared" si="7614"/>
        <v>0</v>
      </c>
      <c r="N1507" s="200">
        <f t="shared" si="7614"/>
        <v>0</v>
      </c>
      <c r="O1507" s="200">
        <f t="shared" si="7614"/>
        <v>0</v>
      </c>
      <c r="P1507" s="200">
        <f t="shared" si="9"/>
        <v>0</v>
      </c>
      <c r="Q1507" s="200">
        <f t="shared" ref="Q1507:AC1507" si="7615">countif($D1507,"*"&amp;Q$2&amp;"*")</f>
        <v>0</v>
      </c>
      <c r="R1507" s="200">
        <f t="shared" si="7615"/>
        <v>0</v>
      </c>
      <c r="S1507" s="200">
        <f t="shared" si="7615"/>
        <v>0</v>
      </c>
      <c r="T1507" s="200">
        <f t="shared" si="7615"/>
        <v>0</v>
      </c>
      <c r="U1507" s="200">
        <f t="shared" si="7615"/>
        <v>0</v>
      </c>
      <c r="V1507" s="200">
        <f t="shared" si="7615"/>
        <v>0</v>
      </c>
      <c r="W1507" s="200">
        <f t="shared" si="7615"/>
        <v>0</v>
      </c>
      <c r="X1507" s="200">
        <f t="shared" si="7615"/>
        <v>0</v>
      </c>
      <c r="Y1507" s="200">
        <f t="shared" si="7615"/>
        <v>0</v>
      </c>
      <c r="Z1507" s="200">
        <f t="shared" si="7615"/>
        <v>0</v>
      </c>
      <c r="AA1507" s="200">
        <f t="shared" si="7615"/>
        <v>0</v>
      </c>
      <c r="AB1507" s="200">
        <f t="shared" si="7615"/>
        <v>0</v>
      </c>
      <c r="AC1507" s="200">
        <f t="shared" si="7615"/>
        <v>0</v>
      </c>
      <c r="AD1507" s="200">
        <f t="shared" si="11"/>
        <v>0</v>
      </c>
      <c r="AE1507" s="200">
        <f t="shared" ref="AE1507:AG1507" si="7616">countif($D1507,"*"&amp;AE$2&amp;"*")</f>
        <v>0</v>
      </c>
      <c r="AF1507" s="200">
        <f t="shared" si="7616"/>
        <v>0</v>
      </c>
      <c r="AG1507" s="200">
        <f t="shared" si="7616"/>
        <v>0</v>
      </c>
      <c r="AH1507" s="171">
        <f t="shared" si="13"/>
        <v>0</v>
      </c>
      <c r="AI1507" s="200">
        <f t="shared" si="14"/>
        <v>1</v>
      </c>
      <c r="AJ1507" s="200">
        <f t="shared" si="6100"/>
        <v>0</v>
      </c>
      <c r="AK1507" s="201">
        <f t="shared" ref="AK1507:AS1507" si="7617">countif($D1507,"*"&amp;AK$2&amp;"*")</f>
        <v>0</v>
      </c>
      <c r="AL1507" s="201">
        <f t="shared" si="7617"/>
        <v>0</v>
      </c>
      <c r="AM1507" s="201">
        <f t="shared" si="7617"/>
        <v>0</v>
      </c>
      <c r="AN1507" s="201">
        <f t="shared" si="7617"/>
        <v>0</v>
      </c>
      <c r="AO1507" s="201">
        <f t="shared" si="7617"/>
        <v>0</v>
      </c>
      <c r="AP1507" s="201">
        <f t="shared" si="7617"/>
        <v>0</v>
      </c>
      <c r="AQ1507" s="201">
        <f t="shared" si="7617"/>
        <v>0</v>
      </c>
      <c r="AR1507" s="200">
        <f t="shared" si="7617"/>
        <v>0</v>
      </c>
      <c r="AS1507" s="200">
        <f t="shared" si="7617"/>
        <v>0</v>
      </c>
      <c r="AT1507" s="173">
        <v>0.0</v>
      </c>
      <c r="AU1507" s="200">
        <f t="shared" si="6217"/>
        <v>0</v>
      </c>
      <c r="AV1507" s="200">
        <f t="shared" ref="AV1507:AX1507" si="7618">countif($D1507,"*"&amp;AV$2&amp;"*")</f>
        <v>0</v>
      </c>
      <c r="AW1507" s="200">
        <f t="shared" si="7618"/>
        <v>0</v>
      </c>
      <c r="AX1507" s="200">
        <f t="shared" si="7618"/>
        <v>1</v>
      </c>
      <c r="AY1507" s="202">
        <v>0.0</v>
      </c>
      <c r="AZ1507" s="200"/>
      <c r="BA1507" s="171" t="str">
        <f t="shared" si="18"/>
        <v>Archival</v>
      </c>
      <c r="BB1507" s="171" t="str">
        <f t="shared" si="19"/>
        <v/>
      </c>
      <c r="BC1507" s="171" t="str">
        <f t="shared" si="20"/>
        <v/>
      </c>
      <c r="BD1507" s="171" t="str">
        <f t="shared" si="21"/>
        <v/>
      </c>
      <c r="BE1507" s="171" t="str">
        <f t="shared" si="22"/>
        <v/>
      </c>
      <c r="BF1507" s="171" t="str">
        <f t="shared" si="23"/>
        <v>Archival</v>
      </c>
    </row>
    <row r="1508">
      <c r="A1508" s="171">
        <f t="array" ref="A1508">XLOOKUP(C1508,FSE!A:A,FSE!C:C,"XXXXX",0,1)</f>
        <v>2022</v>
      </c>
      <c r="B1508" s="213" t="s">
        <v>5676</v>
      </c>
      <c r="C1508" s="214">
        <v>217.0</v>
      </c>
      <c r="D1508" s="215" t="s">
        <v>5274</v>
      </c>
      <c r="E1508" s="197" t="str">
        <f t="array" ref="E1508">XLOOKUP(C1508,FSE!A:A,FSE!Z:Z,"XXXXX",0,1)</f>
        <v>Publicly Available (1)</v>
      </c>
      <c r="F1508" s="213" t="s">
        <v>3394</v>
      </c>
      <c r="G1508" s="163" t="str">
        <f t="array" ref="G1508">IF(B1508="ICSE",IF(COUNTIFS(B:B,B1508,C:C,C1508)=XLOOKUP(C1508,ICSE!A:A,ICSE!AA:AA,"ERROR",0,1),"OK","ERROR"),IF(B1508="FSE",IF(COUNTIFS(B:B,B1508,C:C,C1508)=XLOOKUP(C1508,FSE!A:A,FSE!AA:AA,"ERROR",0,1),"OK","ERROR")))</f>
        <v>OK</v>
      </c>
      <c r="H1508" s="199">
        <f t="shared" ref="H1508:O1508" si="7619">countif($D1508,"*"&amp;H$2&amp;"*")</f>
        <v>0</v>
      </c>
      <c r="I1508" s="200">
        <f t="shared" si="7619"/>
        <v>0</v>
      </c>
      <c r="J1508" s="200">
        <f t="shared" si="7619"/>
        <v>0</v>
      </c>
      <c r="K1508" s="200">
        <f t="shared" si="7619"/>
        <v>0</v>
      </c>
      <c r="L1508" s="200">
        <f t="shared" si="7619"/>
        <v>0</v>
      </c>
      <c r="M1508" s="200">
        <f t="shared" si="7619"/>
        <v>0</v>
      </c>
      <c r="N1508" s="200">
        <f t="shared" si="7619"/>
        <v>0</v>
      </c>
      <c r="O1508" s="200">
        <f t="shared" si="7619"/>
        <v>0</v>
      </c>
      <c r="P1508" s="200">
        <f t="shared" si="9"/>
        <v>1</v>
      </c>
      <c r="Q1508" s="200">
        <f t="shared" ref="Q1508:AC1508" si="7620">countif($D1508,"*"&amp;Q$2&amp;"*")</f>
        <v>0</v>
      </c>
      <c r="R1508" s="200">
        <f t="shared" si="7620"/>
        <v>0</v>
      </c>
      <c r="S1508" s="200">
        <f t="shared" si="7620"/>
        <v>0</v>
      </c>
      <c r="T1508" s="200">
        <f t="shared" si="7620"/>
        <v>0</v>
      </c>
      <c r="U1508" s="200">
        <f t="shared" si="7620"/>
        <v>0</v>
      </c>
      <c r="V1508" s="200">
        <f t="shared" si="7620"/>
        <v>0</v>
      </c>
      <c r="W1508" s="200">
        <f t="shared" si="7620"/>
        <v>0</v>
      </c>
      <c r="X1508" s="200">
        <f t="shared" si="7620"/>
        <v>0</v>
      </c>
      <c r="Y1508" s="200">
        <f t="shared" si="7620"/>
        <v>0</v>
      </c>
      <c r="Z1508" s="200">
        <f t="shared" si="7620"/>
        <v>0</v>
      </c>
      <c r="AA1508" s="200">
        <f t="shared" si="7620"/>
        <v>0</v>
      </c>
      <c r="AB1508" s="200">
        <f t="shared" si="7620"/>
        <v>0</v>
      </c>
      <c r="AC1508" s="200">
        <f t="shared" si="7620"/>
        <v>0</v>
      </c>
      <c r="AD1508" s="200">
        <f t="shared" si="11"/>
        <v>0</v>
      </c>
      <c r="AE1508" s="200">
        <f t="shared" ref="AE1508:AG1508" si="7621">countif($D1508,"*"&amp;AE$2&amp;"*")</f>
        <v>0</v>
      </c>
      <c r="AF1508" s="200">
        <f t="shared" si="7621"/>
        <v>0</v>
      </c>
      <c r="AG1508" s="200">
        <f t="shared" si="7621"/>
        <v>0</v>
      </c>
      <c r="AH1508" s="171">
        <f t="shared" si="13"/>
        <v>0</v>
      </c>
      <c r="AI1508" s="200">
        <f t="shared" si="14"/>
        <v>0</v>
      </c>
      <c r="AJ1508" s="200">
        <f t="shared" si="6100"/>
        <v>0</v>
      </c>
      <c r="AK1508" s="201">
        <f t="shared" ref="AK1508:AS1508" si="7622">countif($D1508,"*"&amp;AK$2&amp;"*")</f>
        <v>0</v>
      </c>
      <c r="AL1508" s="201">
        <f t="shared" si="7622"/>
        <v>0</v>
      </c>
      <c r="AM1508" s="201">
        <f t="shared" si="7622"/>
        <v>0</v>
      </c>
      <c r="AN1508" s="201">
        <f t="shared" si="7622"/>
        <v>0</v>
      </c>
      <c r="AO1508" s="201">
        <f t="shared" si="7622"/>
        <v>0</v>
      </c>
      <c r="AP1508" s="201">
        <f t="shared" si="7622"/>
        <v>0</v>
      </c>
      <c r="AQ1508" s="201">
        <f t="shared" si="7622"/>
        <v>0</v>
      </c>
      <c r="AR1508" s="200">
        <f t="shared" si="7622"/>
        <v>0</v>
      </c>
      <c r="AS1508" s="200">
        <f t="shared" si="7622"/>
        <v>0</v>
      </c>
      <c r="AT1508" s="173">
        <v>0.0</v>
      </c>
      <c r="AU1508" s="200">
        <f t="shared" si="6217"/>
        <v>0</v>
      </c>
      <c r="AV1508" s="200">
        <f t="shared" ref="AV1508:AX1508" si="7623">countif($D1508,"*"&amp;AV$2&amp;"*")</f>
        <v>1</v>
      </c>
      <c r="AW1508" s="200">
        <f t="shared" si="7623"/>
        <v>0</v>
      </c>
      <c r="AX1508" s="200">
        <f t="shared" si="7623"/>
        <v>0</v>
      </c>
      <c r="AY1508" s="202">
        <v>0.0</v>
      </c>
      <c r="AZ1508" s="200"/>
      <c r="BA1508" s="171" t="str">
        <f t="shared" si="18"/>
        <v/>
      </c>
      <c r="BB1508" s="171" t="str">
        <f t="shared" si="19"/>
        <v>Code</v>
      </c>
      <c r="BC1508" s="171" t="str">
        <f t="shared" si="20"/>
        <v/>
      </c>
      <c r="BD1508" s="171" t="str">
        <f t="shared" si="21"/>
        <v/>
      </c>
      <c r="BE1508" s="171" t="str">
        <f t="shared" si="22"/>
        <v/>
      </c>
      <c r="BF1508" s="171" t="str">
        <f t="shared" si="23"/>
        <v>Code</v>
      </c>
    </row>
    <row r="1509">
      <c r="A1509" s="171">
        <f t="array" ref="A1509">XLOOKUP(C1509,FSE!A:A,FSE!C:C,"XXXXX",0,1)</f>
        <v>2022</v>
      </c>
      <c r="B1509" s="213" t="s">
        <v>5676</v>
      </c>
      <c r="C1509" s="214">
        <v>218.0</v>
      </c>
      <c r="D1509" s="215" t="s">
        <v>5277</v>
      </c>
      <c r="E1509" s="197" t="str">
        <f t="array" ref="E1509">XLOOKUP(C1509,FSE!A:A,FSE!Z:Z,"XXXXX",0,1)</f>
        <v>Publicly Available (1)</v>
      </c>
      <c r="F1509" s="213" t="s">
        <v>3394</v>
      </c>
      <c r="G1509" s="163" t="str">
        <f t="array" ref="G1509">IF(B1509="ICSE",IF(COUNTIFS(B:B,B1509,C:C,C1509)=XLOOKUP(C1509,ICSE!A:A,ICSE!AA:AA,"ERROR",0,1),"OK","ERROR"),IF(B1509="FSE",IF(COUNTIFS(B:B,B1509,C:C,C1509)=XLOOKUP(C1509,FSE!A:A,FSE!AA:AA,"ERROR",0,1),"OK","ERROR")))</f>
        <v>OK</v>
      </c>
      <c r="H1509" s="199">
        <f t="shared" ref="H1509:O1509" si="7624">countif($D1509,"*"&amp;H$2&amp;"*")</f>
        <v>0</v>
      </c>
      <c r="I1509" s="200">
        <f t="shared" si="7624"/>
        <v>0</v>
      </c>
      <c r="J1509" s="200">
        <f t="shared" si="7624"/>
        <v>0</v>
      </c>
      <c r="K1509" s="200">
        <f t="shared" si="7624"/>
        <v>0</v>
      </c>
      <c r="L1509" s="200">
        <f t="shared" si="7624"/>
        <v>0</v>
      </c>
      <c r="M1509" s="200">
        <f t="shared" si="7624"/>
        <v>0</v>
      </c>
      <c r="N1509" s="200">
        <f t="shared" si="7624"/>
        <v>0</v>
      </c>
      <c r="O1509" s="200">
        <f t="shared" si="7624"/>
        <v>0</v>
      </c>
      <c r="P1509" s="200">
        <f t="shared" si="9"/>
        <v>1</v>
      </c>
      <c r="Q1509" s="200">
        <f t="shared" ref="Q1509:AC1509" si="7625">countif($D1509,"*"&amp;Q$2&amp;"*")</f>
        <v>0</v>
      </c>
      <c r="R1509" s="200">
        <f t="shared" si="7625"/>
        <v>0</v>
      </c>
      <c r="S1509" s="200">
        <f t="shared" si="7625"/>
        <v>0</v>
      </c>
      <c r="T1509" s="200">
        <f t="shared" si="7625"/>
        <v>0</v>
      </c>
      <c r="U1509" s="200">
        <f t="shared" si="7625"/>
        <v>0</v>
      </c>
      <c r="V1509" s="200">
        <f t="shared" si="7625"/>
        <v>0</v>
      </c>
      <c r="W1509" s="200">
        <f t="shared" si="7625"/>
        <v>0</v>
      </c>
      <c r="X1509" s="200">
        <f t="shared" si="7625"/>
        <v>0</v>
      </c>
      <c r="Y1509" s="200">
        <f t="shared" si="7625"/>
        <v>0</v>
      </c>
      <c r="Z1509" s="200">
        <f t="shared" si="7625"/>
        <v>0</v>
      </c>
      <c r="AA1509" s="200">
        <f t="shared" si="7625"/>
        <v>0</v>
      </c>
      <c r="AB1509" s="200">
        <f t="shared" si="7625"/>
        <v>0</v>
      </c>
      <c r="AC1509" s="200">
        <f t="shared" si="7625"/>
        <v>0</v>
      </c>
      <c r="AD1509" s="200">
        <f t="shared" si="11"/>
        <v>0</v>
      </c>
      <c r="AE1509" s="200">
        <f t="shared" ref="AE1509:AG1509" si="7626">countif($D1509,"*"&amp;AE$2&amp;"*")</f>
        <v>0</v>
      </c>
      <c r="AF1509" s="200">
        <f t="shared" si="7626"/>
        <v>0</v>
      </c>
      <c r="AG1509" s="200">
        <f t="shared" si="7626"/>
        <v>0</v>
      </c>
      <c r="AH1509" s="171">
        <f t="shared" si="13"/>
        <v>0</v>
      </c>
      <c r="AI1509" s="200">
        <f t="shared" si="14"/>
        <v>0</v>
      </c>
      <c r="AJ1509" s="200">
        <f t="shared" si="6100"/>
        <v>0</v>
      </c>
      <c r="AK1509" s="201">
        <f t="shared" ref="AK1509:AS1509" si="7627">countif($D1509,"*"&amp;AK$2&amp;"*")</f>
        <v>0</v>
      </c>
      <c r="AL1509" s="201">
        <f t="shared" si="7627"/>
        <v>0</v>
      </c>
      <c r="AM1509" s="201">
        <f t="shared" si="7627"/>
        <v>0</v>
      </c>
      <c r="AN1509" s="201">
        <f t="shared" si="7627"/>
        <v>0</v>
      </c>
      <c r="AO1509" s="201">
        <f t="shared" si="7627"/>
        <v>0</v>
      </c>
      <c r="AP1509" s="201">
        <f t="shared" si="7627"/>
        <v>0</v>
      </c>
      <c r="AQ1509" s="201">
        <f t="shared" si="7627"/>
        <v>0</v>
      </c>
      <c r="AR1509" s="200">
        <f t="shared" si="7627"/>
        <v>0</v>
      </c>
      <c r="AS1509" s="200">
        <f t="shared" si="7627"/>
        <v>0</v>
      </c>
      <c r="AT1509" s="173">
        <v>0.0</v>
      </c>
      <c r="AU1509" s="200">
        <f t="shared" si="6217"/>
        <v>0</v>
      </c>
      <c r="AV1509" s="200">
        <f t="shared" ref="AV1509:AX1509" si="7628">countif($D1509,"*"&amp;AV$2&amp;"*")</f>
        <v>1</v>
      </c>
      <c r="AW1509" s="200">
        <f t="shared" si="7628"/>
        <v>0</v>
      </c>
      <c r="AX1509" s="200">
        <f t="shared" si="7628"/>
        <v>0</v>
      </c>
      <c r="AY1509" s="202">
        <v>0.0</v>
      </c>
      <c r="AZ1509" s="200"/>
      <c r="BA1509" s="171" t="str">
        <f t="shared" si="18"/>
        <v/>
      </c>
      <c r="BB1509" s="171" t="str">
        <f t="shared" si="19"/>
        <v>Code</v>
      </c>
      <c r="BC1509" s="171" t="str">
        <f t="shared" si="20"/>
        <v/>
      </c>
      <c r="BD1509" s="171" t="str">
        <f t="shared" si="21"/>
        <v/>
      </c>
      <c r="BE1509" s="171" t="str">
        <f t="shared" si="22"/>
        <v/>
      </c>
      <c r="BF1509" s="171" t="str">
        <f t="shared" si="23"/>
        <v>Code</v>
      </c>
    </row>
    <row r="1510">
      <c r="A1510" s="171">
        <f t="array" ref="A1510">XLOOKUP(C1510,FSE!A:A,FSE!C:C,"XXXXX",0,1)</f>
        <v>2022</v>
      </c>
      <c r="B1510" s="213" t="s">
        <v>5676</v>
      </c>
      <c r="C1510" s="214">
        <v>219.0</v>
      </c>
      <c r="D1510" s="215" t="s">
        <v>5280</v>
      </c>
      <c r="E1510" s="197" t="str">
        <f t="array" ref="E1510">XLOOKUP(C1510,FSE!A:A,FSE!Z:Z,"XXXXX",0,1)</f>
        <v>Publicly Available (1)</v>
      </c>
      <c r="F1510" s="213" t="s">
        <v>3394</v>
      </c>
      <c r="G1510" s="163" t="str">
        <f t="array" ref="G1510">IF(B1510="ICSE",IF(COUNTIFS(B:B,B1510,C:C,C1510)=XLOOKUP(C1510,ICSE!A:A,ICSE!AA:AA,"ERROR",0,1),"OK","ERROR"),IF(B1510="FSE",IF(COUNTIFS(B:B,B1510,C:C,C1510)=XLOOKUP(C1510,FSE!A:A,FSE!AA:AA,"ERROR",0,1),"OK","ERROR")))</f>
        <v>OK</v>
      </c>
      <c r="H1510" s="199">
        <f t="shared" ref="H1510:O1510" si="7629">countif($D1510,"*"&amp;H$2&amp;"*")</f>
        <v>0</v>
      </c>
      <c r="I1510" s="200">
        <f t="shared" si="7629"/>
        <v>0</v>
      </c>
      <c r="J1510" s="200">
        <f t="shared" si="7629"/>
        <v>0</v>
      </c>
      <c r="K1510" s="200">
        <f t="shared" si="7629"/>
        <v>0</v>
      </c>
      <c r="L1510" s="200">
        <f t="shared" si="7629"/>
        <v>0</v>
      </c>
      <c r="M1510" s="200">
        <f t="shared" si="7629"/>
        <v>0</v>
      </c>
      <c r="N1510" s="200">
        <f t="shared" si="7629"/>
        <v>0</v>
      </c>
      <c r="O1510" s="200">
        <f t="shared" si="7629"/>
        <v>0</v>
      </c>
      <c r="P1510" s="200">
        <f t="shared" si="9"/>
        <v>1</v>
      </c>
      <c r="Q1510" s="200">
        <f t="shared" ref="Q1510:AC1510" si="7630">countif($D1510,"*"&amp;Q$2&amp;"*")</f>
        <v>0</v>
      </c>
      <c r="R1510" s="200">
        <f t="shared" si="7630"/>
        <v>0</v>
      </c>
      <c r="S1510" s="200">
        <f t="shared" si="7630"/>
        <v>0</v>
      </c>
      <c r="T1510" s="200">
        <f t="shared" si="7630"/>
        <v>0</v>
      </c>
      <c r="U1510" s="200">
        <f t="shared" si="7630"/>
        <v>0</v>
      </c>
      <c r="V1510" s="200">
        <f t="shared" si="7630"/>
        <v>0</v>
      </c>
      <c r="W1510" s="200">
        <f t="shared" si="7630"/>
        <v>0</v>
      </c>
      <c r="X1510" s="200">
        <f t="shared" si="7630"/>
        <v>0</v>
      </c>
      <c r="Y1510" s="200">
        <f t="shared" si="7630"/>
        <v>0</v>
      </c>
      <c r="Z1510" s="200">
        <f t="shared" si="7630"/>
        <v>0</v>
      </c>
      <c r="AA1510" s="200">
        <f t="shared" si="7630"/>
        <v>0</v>
      </c>
      <c r="AB1510" s="200">
        <f t="shared" si="7630"/>
        <v>0</v>
      </c>
      <c r="AC1510" s="200">
        <f t="shared" si="7630"/>
        <v>0</v>
      </c>
      <c r="AD1510" s="200">
        <f t="shared" si="11"/>
        <v>0</v>
      </c>
      <c r="AE1510" s="200">
        <f t="shared" ref="AE1510:AG1510" si="7631">countif($D1510,"*"&amp;AE$2&amp;"*")</f>
        <v>0</v>
      </c>
      <c r="AF1510" s="200">
        <f t="shared" si="7631"/>
        <v>0</v>
      </c>
      <c r="AG1510" s="200">
        <f t="shared" si="7631"/>
        <v>0</v>
      </c>
      <c r="AH1510" s="171">
        <f t="shared" si="13"/>
        <v>0</v>
      </c>
      <c r="AI1510" s="200">
        <f t="shared" si="14"/>
        <v>0</v>
      </c>
      <c r="AJ1510" s="200">
        <f t="shared" si="6100"/>
        <v>0</v>
      </c>
      <c r="AK1510" s="201">
        <f t="shared" ref="AK1510:AS1510" si="7632">countif($D1510,"*"&amp;AK$2&amp;"*")</f>
        <v>0</v>
      </c>
      <c r="AL1510" s="201">
        <f t="shared" si="7632"/>
        <v>0</v>
      </c>
      <c r="AM1510" s="201">
        <f t="shared" si="7632"/>
        <v>0</v>
      </c>
      <c r="AN1510" s="201">
        <f t="shared" si="7632"/>
        <v>0</v>
      </c>
      <c r="AO1510" s="201">
        <f t="shared" si="7632"/>
        <v>0</v>
      </c>
      <c r="AP1510" s="201">
        <f t="shared" si="7632"/>
        <v>0</v>
      </c>
      <c r="AQ1510" s="201">
        <f t="shared" si="7632"/>
        <v>0</v>
      </c>
      <c r="AR1510" s="200">
        <f t="shared" si="7632"/>
        <v>0</v>
      </c>
      <c r="AS1510" s="200">
        <f t="shared" si="7632"/>
        <v>0</v>
      </c>
      <c r="AT1510" s="173">
        <v>0.0</v>
      </c>
      <c r="AU1510" s="200">
        <f t="shared" si="6217"/>
        <v>0</v>
      </c>
      <c r="AV1510" s="200">
        <f t="shared" ref="AV1510:AX1510" si="7633">countif($D1510,"*"&amp;AV$2&amp;"*")</f>
        <v>1</v>
      </c>
      <c r="AW1510" s="200">
        <f t="shared" si="7633"/>
        <v>0</v>
      </c>
      <c r="AX1510" s="200">
        <f t="shared" si="7633"/>
        <v>0</v>
      </c>
      <c r="AY1510" s="202">
        <v>0.0</v>
      </c>
      <c r="AZ1510" s="200"/>
      <c r="BA1510" s="171" t="str">
        <f t="shared" si="18"/>
        <v/>
      </c>
      <c r="BB1510" s="171" t="str">
        <f t="shared" si="19"/>
        <v>Code</v>
      </c>
      <c r="BC1510" s="171" t="str">
        <f t="shared" si="20"/>
        <v/>
      </c>
      <c r="BD1510" s="171" t="str">
        <f t="shared" si="21"/>
        <v/>
      </c>
      <c r="BE1510" s="171" t="str">
        <f t="shared" si="22"/>
        <v/>
      </c>
      <c r="BF1510" s="171" t="str">
        <f t="shared" si="23"/>
        <v>Code</v>
      </c>
    </row>
    <row r="1511">
      <c r="A1511" s="171">
        <f t="array" ref="A1511">XLOOKUP(C1511,FSE!A:A,FSE!C:C,"XXXXX",0,1)</f>
        <v>2022</v>
      </c>
      <c r="B1511" s="171" t="s">
        <v>5676</v>
      </c>
      <c r="C1511" s="160">
        <v>220.0</v>
      </c>
      <c r="D1511" s="161" t="s">
        <v>5282</v>
      </c>
      <c r="E1511" s="197" t="str">
        <f t="array" ref="E1511">XLOOKUP(C1511,FSE!A:A,FSE!Z:Z,"XXXXX",0,1)</f>
        <v>Publicly Available (1)</v>
      </c>
      <c r="F1511" s="213" t="s">
        <v>3394</v>
      </c>
      <c r="G1511" s="163" t="str">
        <f t="array" ref="G1511">IF(B1511="ICSE",IF(COUNTIFS(B:B,B1511,C:C,C1511)=XLOOKUP(C1511,ICSE!A:A,ICSE!AA:AA,"ERROR",0,1),"OK","ERROR"),IF(B1511="FSE",IF(COUNTIFS(B:B,B1511,C:C,C1511)=XLOOKUP(C1511,FSE!A:A,FSE!AA:AA,"ERROR",0,1),"OK","ERROR")))</f>
        <v>OK</v>
      </c>
      <c r="H1511" s="199">
        <f t="shared" ref="H1511:O1511" si="7634">countif($D1511,"*"&amp;H$2&amp;"*")</f>
        <v>0</v>
      </c>
      <c r="I1511" s="200">
        <f t="shared" si="7634"/>
        <v>0</v>
      </c>
      <c r="J1511" s="200">
        <f t="shared" si="7634"/>
        <v>0</v>
      </c>
      <c r="K1511" s="200">
        <f t="shared" si="7634"/>
        <v>0</v>
      </c>
      <c r="L1511" s="200">
        <f t="shared" si="7634"/>
        <v>0</v>
      </c>
      <c r="M1511" s="200">
        <f t="shared" si="7634"/>
        <v>0</v>
      </c>
      <c r="N1511" s="200">
        <f t="shared" si="7634"/>
        <v>0</v>
      </c>
      <c r="O1511" s="200">
        <f t="shared" si="7634"/>
        <v>0</v>
      </c>
      <c r="P1511" s="200">
        <f t="shared" si="9"/>
        <v>1</v>
      </c>
      <c r="Q1511" s="200">
        <f t="shared" ref="Q1511:AC1511" si="7635">countif($D1511,"*"&amp;Q$2&amp;"*")</f>
        <v>0</v>
      </c>
      <c r="R1511" s="200">
        <f t="shared" si="7635"/>
        <v>0</v>
      </c>
      <c r="S1511" s="200">
        <f t="shared" si="7635"/>
        <v>0</v>
      </c>
      <c r="T1511" s="200">
        <f t="shared" si="7635"/>
        <v>0</v>
      </c>
      <c r="U1511" s="200">
        <f t="shared" si="7635"/>
        <v>0</v>
      </c>
      <c r="V1511" s="200">
        <f t="shared" si="7635"/>
        <v>0</v>
      </c>
      <c r="W1511" s="200">
        <f t="shared" si="7635"/>
        <v>0</v>
      </c>
      <c r="X1511" s="200">
        <f t="shared" si="7635"/>
        <v>0</v>
      </c>
      <c r="Y1511" s="200">
        <f t="shared" si="7635"/>
        <v>0</v>
      </c>
      <c r="Z1511" s="200">
        <f t="shared" si="7635"/>
        <v>0</v>
      </c>
      <c r="AA1511" s="200">
        <f t="shared" si="7635"/>
        <v>0</v>
      </c>
      <c r="AB1511" s="200">
        <f t="shared" si="7635"/>
        <v>0</v>
      </c>
      <c r="AC1511" s="200">
        <f t="shared" si="7635"/>
        <v>0</v>
      </c>
      <c r="AD1511" s="200">
        <f t="shared" si="11"/>
        <v>0</v>
      </c>
      <c r="AE1511" s="200">
        <f t="shared" ref="AE1511:AG1511" si="7636">countif($D1511,"*"&amp;AE$2&amp;"*")</f>
        <v>0</v>
      </c>
      <c r="AF1511" s="200">
        <f t="shared" si="7636"/>
        <v>0</v>
      </c>
      <c r="AG1511" s="200">
        <f t="shared" si="7636"/>
        <v>0</v>
      </c>
      <c r="AH1511" s="171">
        <f t="shared" si="13"/>
        <v>0</v>
      </c>
      <c r="AI1511" s="200">
        <f t="shared" si="14"/>
        <v>0</v>
      </c>
      <c r="AJ1511" s="200">
        <f t="shared" si="6100"/>
        <v>0</v>
      </c>
      <c r="AK1511" s="201">
        <f t="shared" ref="AK1511:AS1511" si="7637">countif($D1511,"*"&amp;AK$2&amp;"*")</f>
        <v>0</v>
      </c>
      <c r="AL1511" s="201">
        <f t="shared" si="7637"/>
        <v>0</v>
      </c>
      <c r="AM1511" s="201">
        <f t="shared" si="7637"/>
        <v>0</v>
      </c>
      <c r="AN1511" s="201">
        <f t="shared" si="7637"/>
        <v>0</v>
      </c>
      <c r="AO1511" s="201">
        <f t="shared" si="7637"/>
        <v>0</v>
      </c>
      <c r="AP1511" s="201">
        <f t="shared" si="7637"/>
        <v>0</v>
      </c>
      <c r="AQ1511" s="201">
        <f t="shared" si="7637"/>
        <v>0</v>
      </c>
      <c r="AR1511" s="200">
        <f t="shared" si="7637"/>
        <v>0</v>
      </c>
      <c r="AS1511" s="200">
        <f t="shared" si="7637"/>
        <v>0</v>
      </c>
      <c r="AT1511" s="173">
        <v>0.0</v>
      </c>
      <c r="AU1511" s="200">
        <f t="shared" si="6217"/>
        <v>0</v>
      </c>
      <c r="AV1511" s="200">
        <f t="shared" ref="AV1511:AX1511" si="7638">countif($D1511,"*"&amp;AV$2&amp;"*")</f>
        <v>1</v>
      </c>
      <c r="AW1511" s="200">
        <f t="shared" si="7638"/>
        <v>0</v>
      </c>
      <c r="AX1511" s="200">
        <f t="shared" si="7638"/>
        <v>0</v>
      </c>
      <c r="AY1511" s="202">
        <v>0.0</v>
      </c>
      <c r="AZ1511" s="200"/>
      <c r="BA1511" s="171" t="str">
        <f t="shared" si="18"/>
        <v/>
      </c>
      <c r="BB1511" s="171" t="str">
        <f t="shared" si="19"/>
        <v>Code</v>
      </c>
      <c r="BC1511" s="171" t="str">
        <f t="shared" si="20"/>
        <v/>
      </c>
      <c r="BD1511" s="171" t="str">
        <f t="shared" si="21"/>
        <v/>
      </c>
      <c r="BE1511" s="171" t="str">
        <f t="shared" si="22"/>
        <v/>
      </c>
      <c r="BF1511" s="171" t="str">
        <f t="shared" si="23"/>
        <v>Code</v>
      </c>
    </row>
    <row r="1512">
      <c r="A1512" s="171">
        <f t="array" ref="A1512">XLOOKUP(C1512,FSE!A:A,FSE!C:C,"XXXXX",0,1)</f>
        <v>2022</v>
      </c>
      <c r="B1512" s="213" t="s">
        <v>5676</v>
      </c>
      <c r="C1512" s="214">
        <v>221.0</v>
      </c>
      <c r="D1512" s="215" t="s">
        <v>5285</v>
      </c>
      <c r="E1512" s="197" t="str">
        <f t="array" ref="E1512">XLOOKUP(C1512,FSE!A:A,FSE!Z:Z,"XXXXX",0,1)</f>
        <v>Publicly Available (1)</v>
      </c>
      <c r="F1512" s="213" t="s">
        <v>3394</v>
      </c>
      <c r="G1512" s="163" t="str">
        <f t="array" ref="G1512">IF(B1512="ICSE",IF(COUNTIFS(B:B,B1512,C:C,C1512)=XLOOKUP(C1512,ICSE!A:A,ICSE!AA:AA,"ERROR",0,1),"OK","ERROR"),IF(B1512="FSE",IF(COUNTIFS(B:B,B1512,C:C,C1512)=XLOOKUP(C1512,FSE!A:A,FSE!AA:AA,"ERROR",0,1),"OK","ERROR")))</f>
        <v>OK</v>
      </c>
      <c r="H1512" s="199">
        <f t="shared" ref="H1512:O1512" si="7639">countif($D1512,"*"&amp;H$2&amp;"*")</f>
        <v>0</v>
      </c>
      <c r="I1512" s="200">
        <f t="shared" si="7639"/>
        <v>0</v>
      </c>
      <c r="J1512" s="200">
        <f t="shared" si="7639"/>
        <v>0</v>
      </c>
      <c r="K1512" s="200">
        <f t="shared" si="7639"/>
        <v>0</v>
      </c>
      <c r="L1512" s="200">
        <f t="shared" si="7639"/>
        <v>0</v>
      </c>
      <c r="M1512" s="200">
        <f t="shared" si="7639"/>
        <v>0</v>
      </c>
      <c r="N1512" s="200">
        <f t="shared" si="7639"/>
        <v>0</v>
      </c>
      <c r="O1512" s="200">
        <f t="shared" si="7639"/>
        <v>0</v>
      </c>
      <c r="P1512" s="200">
        <f t="shared" si="9"/>
        <v>1</v>
      </c>
      <c r="Q1512" s="200">
        <f t="shared" ref="Q1512:AC1512" si="7640">countif($D1512,"*"&amp;Q$2&amp;"*")</f>
        <v>0</v>
      </c>
      <c r="R1512" s="200">
        <f t="shared" si="7640"/>
        <v>0</v>
      </c>
      <c r="S1512" s="200">
        <f t="shared" si="7640"/>
        <v>0</v>
      </c>
      <c r="T1512" s="200">
        <f t="shared" si="7640"/>
        <v>0</v>
      </c>
      <c r="U1512" s="200">
        <f t="shared" si="7640"/>
        <v>0</v>
      </c>
      <c r="V1512" s="200">
        <f t="shared" si="7640"/>
        <v>0</v>
      </c>
      <c r="W1512" s="200">
        <f t="shared" si="7640"/>
        <v>0</v>
      </c>
      <c r="X1512" s="200">
        <f t="shared" si="7640"/>
        <v>0</v>
      </c>
      <c r="Y1512" s="200">
        <f t="shared" si="7640"/>
        <v>0</v>
      </c>
      <c r="Z1512" s="200">
        <f t="shared" si="7640"/>
        <v>0</v>
      </c>
      <c r="AA1512" s="200">
        <f t="shared" si="7640"/>
        <v>0</v>
      </c>
      <c r="AB1512" s="200">
        <f t="shared" si="7640"/>
        <v>0</v>
      </c>
      <c r="AC1512" s="200">
        <f t="shared" si="7640"/>
        <v>0</v>
      </c>
      <c r="AD1512" s="200">
        <f t="shared" si="11"/>
        <v>0</v>
      </c>
      <c r="AE1512" s="200">
        <f t="shared" ref="AE1512:AG1512" si="7641">countif($D1512,"*"&amp;AE$2&amp;"*")</f>
        <v>0</v>
      </c>
      <c r="AF1512" s="200">
        <f t="shared" si="7641"/>
        <v>0</v>
      </c>
      <c r="AG1512" s="200">
        <f t="shared" si="7641"/>
        <v>0</v>
      </c>
      <c r="AH1512" s="171">
        <f t="shared" si="13"/>
        <v>0</v>
      </c>
      <c r="AI1512" s="200">
        <f t="shared" si="14"/>
        <v>0</v>
      </c>
      <c r="AJ1512" s="200">
        <f t="shared" si="6100"/>
        <v>0</v>
      </c>
      <c r="AK1512" s="201">
        <f t="shared" ref="AK1512:AS1512" si="7642">countif($D1512,"*"&amp;AK$2&amp;"*")</f>
        <v>0</v>
      </c>
      <c r="AL1512" s="201">
        <f t="shared" si="7642"/>
        <v>0</v>
      </c>
      <c r="AM1512" s="201">
        <f t="shared" si="7642"/>
        <v>0</v>
      </c>
      <c r="AN1512" s="201">
        <f t="shared" si="7642"/>
        <v>0</v>
      </c>
      <c r="AO1512" s="201">
        <f t="shared" si="7642"/>
        <v>0</v>
      </c>
      <c r="AP1512" s="201">
        <f t="shared" si="7642"/>
        <v>0</v>
      </c>
      <c r="AQ1512" s="201">
        <f t="shared" si="7642"/>
        <v>0</v>
      </c>
      <c r="AR1512" s="200">
        <f t="shared" si="7642"/>
        <v>0</v>
      </c>
      <c r="AS1512" s="200">
        <f t="shared" si="7642"/>
        <v>0</v>
      </c>
      <c r="AT1512" s="173">
        <v>0.0</v>
      </c>
      <c r="AU1512" s="200">
        <f t="shared" si="6217"/>
        <v>0</v>
      </c>
      <c r="AV1512" s="200">
        <f t="shared" ref="AV1512:AX1512" si="7643">countif($D1512,"*"&amp;AV$2&amp;"*")</f>
        <v>1</v>
      </c>
      <c r="AW1512" s="200">
        <f t="shared" si="7643"/>
        <v>0</v>
      </c>
      <c r="AX1512" s="200">
        <f t="shared" si="7643"/>
        <v>0</v>
      </c>
      <c r="AY1512" s="202">
        <v>0.0</v>
      </c>
      <c r="AZ1512" s="200"/>
      <c r="BA1512" s="171" t="str">
        <f t="shared" si="18"/>
        <v/>
      </c>
      <c r="BB1512" s="171" t="str">
        <f t="shared" si="19"/>
        <v>Code</v>
      </c>
      <c r="BC1512" s="171" t="str">
        <f t="shared" si="20"/>
        <v/>
      </c>
      <c r="BD1512" s="171" t="str">
        <f t="shared" si="21"/>
        <v/>
      </c>
      <c r="BE1512" s="171" t="str">
        <f t="shared" si="22"/>
        <v/>
      </c>
      <c r="BF1512" s="171" t="str">
        <f t="shared" si="23"/>
        <v>Code</v>
      </c>
    </row>
    <row r="1513">
      <c r="A1513" s="171">
        <f t="array" ref="A1513">XLOOKUP(C1513,FSE!A:A,FSE!C:C,"XXXXX",0,1)</f>
        <v>2022</v>
      </c>
      <c r="B1513" s="213" t="s">
        <v>5676</v>
      </c>
      <c r="C1513" s="214">
        <v>222.0</v>
      </c>
      <c r="D1513" s="215" t="s">
        <v>6301</v>
      </c>
      <c r="E1513" s="197" t="str">
        <f t="array" ref="E1513">XLOOKUP(C1513,FSE!A:A,FSE!Z:Z,"XXXXX",0,1)</f>
        <v>Publicly Available (2)</v>
      </c>
      <c r="F1513" s="213" t="s">
        <v>3394</v>
      </c>
      <c r="G1513" s="163" t="str">
        <f t="array" ref="G1513">IF(B1513="ICSE",IF(COUNTIFS(B:B,B1513,C:C,C1513)=XLOOKUP(C1513,ICSE!A:A,ICSE!AA:AA,"ERROR",0,1),"OK","ERROR"),IF(B1513="FSE",IF(COUNTIFS(B:B,B1513,C:C,C1513)=XLOOKUP(C1513,FSE!A:A,FSE!AA:AA,"ERROR",0,1),"OK","ERROR")))</f>
        <v>OK</v>
      </c>
      <c r="H1513" s="199">
        <f t="shared" ref="H1513:O1513" si="7644">countif($D1513,"*"&amp;H$2&amp;"*")</f>
        <v>0</v>
      </c>
      <c r="I1513" s="200">
        <f t="shared" si="7644"/>
        <v>0</v>
      </c>
      <c r="J1513" s="200">
        <f t="shared" si="7644"/>
        <v>0</v>
      </c>
      <c r="K1513" s="200">
        <f t="shared" si="7644"/>
        <v>0</v>
      </c>
      <c r="L1513" s="200">
        <f t="shared" si="7644"/>
        <v>0</v>
      </c>
      <c r="M1513" s="200">
        <f t="shared" si="7644"/>
        <v>0</v>
      </c>
      <c r="N1513" s="200">
        <f t="shared" si="7644"/>
        <v>0</v>
      </c>
      <c r="O1513" s="200">
        <f t="shared" si="7644"/>
        <v>0</v>
      </c>
      <c r="P1513" s="200">
        <f t="shared" si="9"/>
        <v>1</v>
      </c>
      <c r="Q1513" s="200">
        <f t="shared" ref="Q1513:AC1513" si="7645">countif($D1513,"*"&amp;Q$2&amp;"*")</f>
        <v>0</v>
      </c>
      <c r="R1513" s="200">
        <f t="shared" si="7645"/>
        <v>0</v>
      </c>
      <c r="S1513" s="200">
        <f t="shared" si="7645"/>
        <v>0</v>
      </c>
      <c r="T1513" s="200">
        <f t="shared" si="7645"/>
        <v>0</v>
      </c>
      <c r="U1513" s="200">
        <f t="shared" si="7645"/>
        <v>0</v>
      </c>
      <c r="V1513" s="200">
        <f t="shared" si="7645"/>
        <v>0</v>
      </c>
      <c r="W1513" s="200">
        <f t="shared" si="7645"/>
        <v>0</v>
      </c>
      <c r="X1513" s="200">
        <f t="shared" si="7645"/>
        <v>0</v>
      </c>
      <c r="Y1513" s="200">
        <f t="shared" si="7645"/>
        <v>0</v>
      </c>
      <c r="Z1513" s="200">
        <f t="shared" si="7645"/>
        <v>0</v>
      </c>
      <c r="AA1513" s="200">
        <f t="shared" si="7645"/>
        <v>0</v>
      </c>
      <c r="AB1513" s="200">
        <f t="shared" si="7645"/>
        <v>0</v>
      </c>
      <c r="AC1513" s="200">
        <f t="shared" si="7645"/>
        <v>0</v>
      </c>
      <c r="AD1513" s="200">
        <f t="shared" si="11"/>
        <v>0</v>
      </c>
      <c r="AE1513" s="200">
        <f t="shared" ref="AE1513:AG1513" si="7646">countif($D1513,"*"&amp;AE$2&amp;"*")</f>
        <v>0</v>
      </c>
      <c r="AF1513" s="200">
        <f t="shared" si="7646"/>
        <v>0</v>
      </c>
      <c r="AG1513" s="200">
        <f t="shared" si="7646"/>
        <v>0</v>
      </c>
      <c r="AH1513" s="171">
        <f t="shared" si="13"/>
        <v>0</v>
      </c>
      <c r="AI1513" s="200">
        <f t="shared" si="14"/>
        <v>0</v>
      </c>
      <c r="AJ1513" s="200">
        <f t="shared" si="6100"/>
        <v>0</v>
      </c>
      <c r="AK1513" s="201">
        <f t="shared" ref="AK1513:AS1513" si="7647">countif($D1513,"*"&amp;AK$2&amp;"*")</f>
        <v>0</v>
      </c>
      <c r="AL1513" s="201">
        <f t="shared" si="7647"/>
        <v>0</v>
      </c>
      <c r="AM1513" s="201">
        <f t="shared" si="7647"/>
        <v>0</v>
      </c>
      <c r="AN1513" s="201">
        <f t="shared" si="7647"/>
        <v>0</v>
      </c>
      <c r="AO1513" s="201">
        <f t="shared" si="7647"/>
        <v>0</v>
      </c>
      <c r="AP1513" s="201">
        <f t="shared" si="7647"/>
        <v>0</v>
      </c>
      <c r="AQ1513" s="201">
        <f t="shared" si="7647"/>
        <v>0</v>
      </c>
      <c r="AR1513" s="200">
        <f t="shared" si="7647"/>
        <v>0</v>
      </c>
      <c r="AS1513" s="200">
        <f t="shared" si="7647"/>
        <v>0</v>
      </c>
      <c r="AT1513" s="173">
        <v>0.0</v>
      </c>
      <c r="AU1513" s="200">
        <f t="shared" si="6217"/>
        <v>0</v>
      </c>
      <c r="AV1513" s="200">
        <f t="shared" ref="AV1513:AX1513" si="7648">countif($D1513,"*"&amp;AV$2&amp;"*")</f>
        <v>1</v>
      </c>
      <c r="AW1513" s="200">
        <f t="shared" si="7648"/>
        <v>0</v>
      </c>
      <c r="AX1513" s="200">
        <f t="shared" si="7648"/>
        <v>0</v>
      </c>
      <c r="AY1513" s="202">
        <v>0.0</v>
      </c>
      <c r="AZ1513" s="200"/>
      <c r="BA1513" s="171" t="str">
        <f t="shared" si="18"/>
        <v/>
      </c>
      <c r="BB1513" s="171" t="str">
        <f t="shared" si="19"/>
        <v>Code</v>
      </c>
      <c r="BC1513" s="171" t="str">
        <f t="shared" si="20"/>
        <v/>
      </c>
      <c r="BD1513" s="171" t="str">
        <f t="shared" si="21"/>
        <v/>
      </c>
      <c r="BE1513" s="171" t="str">
        <f t="shared" si="22"/>
        <v/>
      </c>
      <c r="BF1513" s="171" t="str">
        <f t="shared" si="23"/>
        <v>Code</v>
      </c>
    </row>
    <row r="1514">
      <c r="A1514" s="171">
        <f t="array" ref="A1514">XLOOKUP(C1514,FSE!A:A,FSE!C:C,"XXXXX",0,1)</f>
        <v>2022</v>
      </c>
      <c r="B1514" s="213" t="s">
        <v>5676</v>
      </c>
      <c r="C1514" s="214">
        <v>222.0</v>
      </c>
      <c r="D1514" s="215" t="s">
        <v>6302</v>
      </c>
      <c r="E1514" s="197" t="str">
        <f t="array" ref="E1514">XLOOKUP(C1514,FSE!A:A,FSE!Z:Z,"XXXXX",0,1)</f>
        <v>Publicly Available (2)</v>
      </c>
      <c r="F1514" s="213" t="s">
        <v>3394</v>
      </c>
      <c r="G1514" s="163" t="str">
        <f t="array" ref="G1514">IF(B1514="ICSE",IF(COUNTIFS(B:B,B1514,C:C,C1514)=XLOOKUP(C1514,ICSE!A:A,ICSE!AA:AA,"ERROR",0,1),"OK","ERROR"),IF(B1514="FSE",IF(COUNTIFS(B:B,B1514,C:C,C1514)=XLOOKUP(C1514,FSE!A:A,FSE!AA:AA,"ERROR",0,1),"OK","ERROR")))</f>
        <v>OK</v>
      </c>
      <c r="H1514" s="199">
        <f t="shared" ref="H1514:O1514" si="7649">countif($D1514,"*"&amp;H$2&amp;"*")</f>
        <v>1</v>
      </c>
      <c r="I1514" s="200">
        <f t="shared" si="7649"/>
        <v>0</v>
      </c>
      <c r="J1514" s="200">
        <f t="shared" si="7649"/>
        <v>0</v>
      </c>
      <c r="K1514" s="200">
        <f t="shared" si="7649"/>
        <v>0</v>
      </c>
      <c r="L1514" s="200">
        <f t="shared" si="7649"/>
        <v>0</v>
      </c>
      <c r="M1514" s="200">
        <f t="shared" si="7649"/>
        <v>0</v>
      </c>
      <c r="N1514" s="200">
        <f t="shared" si="7649"/>
        <v>0</v>
      </c>
      <c r="O1514" s="200">
        <f t="shared" si="7649"/>
        <v>0</v>
      </c>
      <c r="P1514" s="200">
        <f t="shared" si="9"/>
        <v>0</v>
      </c>
      <c r="Q1514" s="200">
        <f t="shared" ref="Q1514:AC1514" si="7650">countif($D1514,"*"&amp;Q$2&amp;"*")</f>
        <v>0</v>
      </c>
      <c r="R1514" s="200">
        <f t="shared" si="7650"/>
        <v>0</v>
      </c>
      <c r="S1514" s="200">
        <f t="shared" si="7650"/>
        <v>0</v>
      </c>
      <c r="T1514" s="200">
        <f t="shared" si="7650"/>
        <v>0</v>
      </c>
      <c r="U1514" s="200">
        <f t="shared" si="7650"/>
        <v>0</v>
      </c>
      <c r="V1514" s="200">
        <f t="shared" si="7650"/>
        <v>0</v>
      </c>
      <c r="W1514" s="200">
        <f t="shared" si="7650"/>
        <v>0</v>
      </c>
      <c r="X1514" s="200">
        <f t="shared" si="7650"/>
        <v>0</v>
      </c>
      <c r="Y1514" s="200">
        <f t="shared" si="7650"/>
        <v>0</v>
      </c>
      <c r="Z1514" s="200">
        <f t="shared" si="7650"/>
        <v>0</v>
      </c>
      <c r="AA1514" s="200">
        <f t="shared" si="7650"/>
        <v>0</v>
      </c>
      <c r="AB1514" s="200">
        <f t="shared" si="7650"/>
        <v>0</v>
      </c>
      <c r="AC1514" s="200">
        <f t="shared" si="7650"/>
        <v>0</v>
      </c>
      <c r="AD1514" s="200">
        <f t="shared" si="11"/>
        <v>0</v>
      </c>
      <c r="AE1514" s="200">
        <f t="shared" ref="AE1514:AG1514" si="7651">countif($D1514,"*"&amp;AE$2&amp;"*")</f>
        <v>0</v>
      </c>
      <c r="AF1514" s="200">
        <f t="shared" si="7651"/>
        <v>0</v>
      </c>
      <c r="AG1514" s="200">
        <f t="shared" si="7651"/>
        <v>0</v>
      </c>
      <c r="AH1514" s="171">
        <f t="shared" si="13"/>
        <v>0</v>
      </c>
      <c r="AI1514" s="200">
        <f t="shared" si="14"/>
        <v>1</v>
      </c>
      <c r="AJ1514" s="200">
        <f t="shared" si="6100"/>
        <v>0</v>
      </c>
      <c r="AK1514" s="201">
        <f t="shared" ref="AK1514:AS1514" si="7652">countif($D1514,"*"&amp;AK$2&amp;"*")</f>
        <v>0</v>
      </c>
      <c r="AL1514" s="201">
        <f t="shared" si="7652"/>
        <v>0</v>
      </c>
      <c r="AM1514" s="201">
        <f t="shared" si="7652"/>
        <v>0</v>
      </c>
      <c r="AN1514" s="201">
        <f t="shared" si="7652"/>
        <v>0</v>
      </c>
      <c r="AO1514" s="201">
        <f t="shared" si="7652"/>
        <v>0</v>
      </c>
      <c r="AP1514" s="201">
        <f t="shared" si="7652"/>
        <v>0</v>
      </c>
      <c r="AQ1514" s="201">
        <f t="shared" si="7652"/>
        <v>0</v>
      </c>
      <c r="AR1514" s="200">
        <f t="shared" si="7652"/>
        <v>0</v>
      </c>
      <c r="AS1514" s="200">
        <f t="shared" si="7652"/>
        <v>0</v>
      </c>
      <c r="AT1514" s="173">
        <v>0.0</v>
      </c>
      <c r="AU1514" s="200">
        <f t="shared" si="6217"/>
        <v>0</v>
      </c>
      <c r="AV1514" s="200">
        <f t="shared" ref="AV1514:AX1514" si="7653">countif($D1514,"*"&amp;AV$2&amp;"*")</f>
        <v>0</v>
      </c>
      <c r="AW1514" s="200">
        <f t="shared" si="7653"/>
        <v>0</v>
      </c>
      <c r="AX1514" s="200">
        <f t="shared" si="7653"/>
        <v>1</v>
      </c>
      <c r="AY1514" s="202">
        <v>0.0</v>
      </c>
      <c r="AZ1514" s="200"/>
      <c r="BA1514" s="171" t="str">
        <f t="shared" si="18"/>
        <v>Archival</v>
      </c>
      <c r="BB1514" s="171" t="str">
        <f t="shared" si="19"/>
        <v/>
      </c>
      <c r="BC1514" s="171" t="str">
        <f t="shared" si="20"/>
        <v/>
      </c>
      <c r="BD1514" s="171" t="str">
        <f t="shared" si="21"/>
        <v/>
      </c>
      <c r="BE1514" s="171" t="str">
        <f t="shared" si="22"/>
        <v/>
      </c>
      <c r="BF1514" s="171" t="str">
        <f t="shared" si="23"/>
        <v>Archival</v>
      </c>
    </row>
    <row r="1515">
      <c r="A1515" s="171">
        <f t="array" ref="A1515">XLOOKUP(C1515,FSE!A:A,FSE!C:C,"XXXXX",0,1)</f>
        <v>2022</v>
      </c>
      <c r="B1515" s="213" t="s">
        <v>5676</v>
      </c>
      <c r="C1515" s="214">
        <v>224.0</v>
      </c>
      <c r="D1515" s="215" t="s">
        <v>5292</v>
      </c>
      <c r="E1515" s="197" t="str">
        <f t="array" ref="E1515">XLOOKUP(C1515,FSE!A:A,FSE!Z:Z,"XXXXX",0,1)</f>
        <v>Publicly Available (1)</v>
      </c>
      <c r="F1515" s="213" t="s">
        <v>3394</v>
      </c>
      <c r="G1515" s="163" t="str">
        <f t="array" ref="G1515">IF(B1515="ICSE",IF(COUNTIFS(B:B,B1515,C:C,C1515)=XLOOKUP(C1515,ICSE!A:A,ICSE!AA:AA,"ERROR",0,1),"OK","ERROR"),IF(B1515="FSE",IF(COUNTIFS(B:B,B1515,C:C,C1515)=XLOOKUP(C1515,FSE!A:A,FSE!AA:AA,"ERROR",0,1),"OK","ERROR")))</f>
        <v>OK</v>
      </c>
      <c r="H1515" s="199">
        <f t="shared" ref="H1515:O1515" si="7654">countif($D1515,"*"&amp;H$2&amp;"*")</f>
        <v>0</v>
      </c>
      <c r="I1515" s="200">
        <f t="shared" si="7654"/>
        <v>0</v>
      </c>
      <c r="J1515" s="200">
        <f t="shared" si="7654"/>
        <v>0</v>
      </c>
      <c r="K1515" s="200">
        <f t="shared" si="7654"/>
        <v>0</v>
      </c>
      <c r="L1515" s="200">
        <f t="shared" si="7654"/>
        <v>0</v>
      </c>
      <c r="M1515" s="200">
        <f t="shared" si="7654"/>
        <v>0</v>
      </c>
      <c r="N1515" s="200">
        <f t="shared" si="7654"/>
        <v>0</v>
      </c>
      <c r="O1515" s="200">
        <f t="shared" si="7654"/>
        <v>0</v>
      </c>
      <c r="P1515" s="200">
        <f t="shared" si="9"/>
        <v>1</v>
      </c>
      <c r="Q1515" s="200">
        <f t="shared" ref="Q1515:AC1515" si="7655">countif($D1515,"*"&amp;Q$2&amp;"*")</f>
        <v>0</v>
      </c>
      <c r="R1515" s="200">
        <f t="shared" si="7655"/>
        <v>0</v>
      </c>
      <c r="S1515" s="200">
        <f t="shared" si="7655"/>
        <v>0</v>
      </c>
      <c r="T1515" s="200">
        <f t="shared" si="7655"/>
        <v>0</v>
      </c>
      <c r="U1515" s="200">
        <f t="shared" si="7655"/>
        <v>0</v>
      </c>
      <c r="V1515" s="200">
        <f t="shared" si="7655"/>
        <v>0</v>
      </c>
      <c r="W1515" s="200">
        <f t="shared" si="7655"/>
        <v>0</v>
      </c>
      <c r="X1515" s="200">
        <f t="shared" si="7655"/>
        <v>0</v>
      </c>
      <c r="Y1515" s="200">
        <f t="shared" si="7655"/>
        <v>0</v>
      </c>
      <c r="Z1515" s="200">
        <f t="shared" si="7655"/>
        <v>0</v>
      </c>
      <c r="AA1515" s="200">
        <f t="shared" si="7655"/>
        <v>0</v>
      </c>
      <c r="AB1515" s="200">
        <f t="shared" si="7655"/>
        <v>0</v>
      </c>
      <c r="AC1515" s="200">
        <f t="shared" si="7655"/>
        <v>0</v>
      </c>
      <c r="AD1515" s="200">
        <f t="shared" si="11"/>
        <v>0</v>
      </c>
      <c r="AE1515" s="200">
        <f t="shared" ref="AE1515:AG1515" si="7656">countif($D1515,"*"&amp;AE$2&amp;"*")</f>
        <v>0</v>
      </c>
      <c r="AF1515" s="200">
        <f t="shared" si="7656"/>
        <v>0</v>
      </c>
      <c r="AG1515" s="200">
        <f t="shared" si="7656"/>
        <v>0</v>
      </c>
      <c r="AH1515" s="171">
        <f t="shared" si="13"/>
        <v>0</v>
      </c>
      <c r="AI1515" s="200">
        <f t="shared" si="14"/>
        <v>0</v>
      </c>
      <c r="AJ1515" s="200">
        <f t="shared" si="6100"/>
        <v>0</v>
      </c>
      <c r="AK1515" s="201">
        <f t="shared" ref="AK1515:AS1515" si="7657">countif($D1515,"*"&amp;AK$2&amp;"*")</f>
        <v>0</v>
      </c>
      <c r="AL1515" s="201">
        <f t="shared" si="7657"/>
        <v>0</v>
      </c>
      <c r="AM1515" s="201">
        <f t="shared" si="7657"/>
        <v>0</v>
      </c>
      <c r="AN1515" s="201">
        <f t="shared" si="7657"/>
        <v>0</v>
      </c>
      <c r="AO1515" s="201">
        <f t="shared" si="7657"/>
        <v>0</v>
      </c>
      <c r="AP1515" s="201">
        <f t="shared" si="7657"/>
        <v>0</v>
      </c>
      <c r="AQ1515" s="201">
        <f t="shared" si="7657"/>
        <v>0</v>
      </c>
      <c r="AR1515" s="200">
        <f t="shared" si="7657"/>
        <v>0</v>
      </c>
      <c r="AS1515" s="200">
        <f t="shared" si="7657"/>
        <v>0</v>
      </c>
      <c r="AT1515" s="173">
        <v>0.0</v>
      </c>
      <c r="AU1515" s="200">
        <f t="shared" si="6217"/>
        <v>0</v>
      </c>
      <c r="AV1515" s="200">
        <f t="shared" ref="AV1515:AX1515" si="7658">countif($D1515,"*"&amp;AV$2&amp;"*")</f>
        <v>1</v>
      </c>
      <c r="AW1515" s="200">
        <f t="shared" si="7658"/>
        <v>0</v>
      </c>
      <c r="AX1515" s="200">
        <f t="shared" si="7658"/>
        <v>0</v>
      </c>
      <c r="AY1515" s="202">
        <v>0.0</v>
      </c>
      <c r="AZ1515" s="200"/>
      <c r="BA1515" s="171" t="str">
        <f t="shared" si="18"/>
        <v/>
      </c>
      <c r="BB1515" s="171" t="str">
        <f t="shared" si="19"/>
        <v>Code</v>
      </c>
      <c r="BC1515" s="171" t="str">
        <f t="shared" si="20"/>
        <v/>
      </c>
      <c r="BD1515" s="171" t="str">
        <f t="shared" si="21"/>
        <v/>
      </c>
      <c r="BE1515" s="171" t="str">
        <f t="shared" si="22"/>
        <v/>
      </c>
      <c r="BF1515" s="171" t="str">
        <f t="shared" si="23"/>
        <v>Code</v>
      </c>
    </row>
    <row r="1516">
      <c r="A1516" s="171">
        <f t="array" ref="A1516">XLOOKUP(C1516,FSE!A:A,FSE!C:C,"XXXXX",0,1)</f>
        <v>2022</v>
      </c>
      <c r="B1516" s="213" t="s">
        <v>5676</v>
      </c>
      <c r="C1516" s="214">
        <v>225.0</v>
      </c>
      <c r="D1516" s="215" t="s">
        <v>5295</v>
      </c>
      <c r="E1516" s="197" t="str">
        <f t="array" ref="E1516">XLOOKUP(C1516,FSE!A:A,FSE!Z:Z,"XXXXX",0,1)</f>
        <v>Publicly Available (1)</v>
      </c>
      <c r="F1516" s="213" t="s">
        <v>3394</v>
      </c>
      <c r="G1516" s="163" t="str">
        <f t="array" ref="G1516">IF(B1516="ICSE",IF(COUNTIFS(B:B,B1516,C:C,C1516)=XLOOKUP(C1516,ICSE!A:A,ICSE!AA:AA,"ERROR",0,1),"OK","ERROR"),IF(B1516="FSE",IF(COUNTIFS(B:B,B1516,C:C,C1516)=XLOOKUP(C1516,FSE!A:A,FSE!AA:AA,"ERROR",0,1),"OK","ERROR")))</f>
        <v>OK</v>
      </c>
      <c r="H1516" s="199">
        <f t="shared" ref="H1516:O1516" si="7659">countif($D1516,"*"&amp;H$2&amp;"*")</f>
        <v>0</v>
      </c>
      <c r="I1516" s="200">
        <f t="shared" si="7659"/>
        <v>0</v>
      </c>
      <c r="J1516" s="200">
        <f t="shared" si="7659"/>
        <v>0</v>
      </c>
      <c r="K1516" s="200">
        <f t="shared" si="7659"/>
        <v>0</v>
      </c>
      <c r="L1516" s="200">
        <f t="shared" si="7659"/>
        <v>0</v>
      </c>
      <c r="M1516" s="200">
        <f t="shared" si="7659"/>
        <v>0</v>
      </c>
      <c r="N1516" s="200">
        <f t="shared" si="7659"/>
        <v>0</v>
      </c>
      <c r="O1516" s="200">
        <f t="shared" si="7659"/>
        <v>0</v>
      </c>
      <c r="P1516" s="200">
        <f t="shared" si="9"/>
        <v>1</v>
      </c>
      <c r="Q1516" s="200">
        <f t="shared" ref="Q1516:AC1516" si="7660">countif($D1516,"*"&amp;Q$2&amp;"*")</f>
        <v>0</v>
      </c>
      <c r="R1516" s="200">
        <f t="shared" si="7660"/>
        <v>0</v>
      </c>
      <c r="S1516" s="200">
        <f t="shared" si="7660"/>
        <v>0</v>
      </c>
      <c r="T1516" s="200">
        <f t="shared" si="7660"/>
        <v>0</v>
      </c>
      <c r="U1516" s="200">
        <f t="shared" si="7660"/>
        <v>0</v>
      </c>
      <c r="V1516" s="200">
        <f t="shared" si="7660"/>
        <v>0</v>
      </c>
      <c r="W1516" s="200">
        <f t="shared" si="7660"/>
        <v>0</v>
      </c>
      <c r="X1516" s="200">
        <f t="shared" si="7660"/>
        <v>0</v>
      </c>
      <c r="Y1516" s="200">
        <f t="shared" si="7660"/>
        <v>0</v>
      </c>
      <c r="Z1516" s="200">
        <f t="shared" si="7660"/>
        <v>0</v>
      </c>
      <c r="AA1516" s="200">
        <f t="shared" si="7660"/>
        <v>0</v>
      </c>
      <c r="AB1516" s="200">
        <f t="shared" si="7660"/>
        <v>0</v>
      </c>
      <c r="AC1516" s="200">
        <f t="shared" si="7660"/>
        <v>0</v>
      </c>
      <c r="AD1516" s="200">
        <f t="shared" si="11"/>
        <v>0</v>
      </c>
      <c r="AE1516" s="200">
        <f t="shared" ref="AE1516:AG1516" si="7661">countif($D1516,"*"&amp;AE$2&amp;"*")</f>
        <v>0</v>
      </c>
      <c r="AF1516" s="200">
        <f t="shared" si="7661"/>
        <v>0</v>
      </c>
      <c r="AG1516" s="200">
        <f t="shared" si="7661"/>
        <v>0</v>
      </c>
      <c r="AH1516" s="171">
        <f t="shared" si="13"/>
        <v>0</v>
      </c>
      <c r="AI1516" s="200">
        <f t="shared" si="14"/>
        <v>0</v>
      </c>
      <c r="AJ1516" s="200">
        <f t="shared" si="6100"/>
        <v>0</v>
      </c>
      <c r="AK1516" s="201">
        <f t="shared" ref="AK1516:AS1516" si="7662">countif($D1516,"*"&amp;AK$2&amp;"*")</f>
        <v>0</v>
      </c>
      <c r="AL1516" s="201">
        <f t="shared" si="7662"/>
        <v>0</v>
      </c>
      <c r="AM1516" s="201">
        <f t="shared" si="7662"/>
        <v>0</v>
      </c>
      <c r="AN1516" s="201">
        <f t="shared" si="7662"/>
        <v>0</v>
      </c>
      <c r="AO1516" s="201">
        <f t="shared" si="7662"/>
        <v>0</v>
      </c>
      <c r="AP1516" s="201">
        <f t="shared" si="7662"/>
        <v>0</v>
      </c>
      <c r="AQ1516" s="201">
        <f t="shared" si="7662"/>
        <v>0</v>
      </c>
      <c r="AR1516" s="200">
        <f t="shared" si="7662"/>
        <v>0</v>
      </c>
      <c r="AS1516" s="200">
        <f t="shared" si="7662"/>
        <v>0</v>
      </c>
      <c r="AT1516" s="173">
        <v>0.0</v>
      </c>
      <c r="AU1516" s="200">
        <f t="shared" si="6217"/>
        <v>0</v>
      </c>
      <c r="AV1516" s="200">
        <f t="shared" ref="AV1516:AX1516" si="7663">countif($D1516,"*"&amp;AV$2&amp;"*")</f>
        <v>1</v>
      </c>
      <c r="AW1516" s="200">
        <f t="shared" si="7663"/>
        <v>0</v>
      </c>
      <c r="AX1516" s="200">
        <f t="shared" si="7663"/>
        <v>0</v>
      </c>
      <c r="AY1516" s="202">
        <v>0.0</v>
      </c>
      <c r="AZ1516" s="200"/>
      <c r="BA1516" s="171" t="str">
        <f t="shared" si="18"/>
        <v/>
      </c>
      <c r="BB1516" s="171" t="str">
        <f t="shared" si="19"/>
        <v>Code</v>
      </c>
      <c r="BC1516" s="171" t="str">
        <f t="shared" si="20"/>
        <v/>
      </c>
      <c r="BD1516" s="171" t="str">
        <f t="shared" si="21"/>
        <v/>
      </c>
      <c r="BE1516" s="171" t="str">
        <f t="shared" si="22"/>
        <v/>
      </c>
      <c r="BF1516" s="171" t="str">
        <f t="shared" si="23"/>
        <v>Code</v>
      </c>
    </row>
    <row r="1517">
      <c r="A1517" s="171">
        <f t="array" ref="A1517">XLOOKUP(C1517,FSE!A:A,FSE!C:C,"XXXXX",0,1)</f>
        <v>2022</v>
      </c>
      <c r="B1517" s="213" t="s">
        <v>5676</v>
      </c>
      <c r="C1517" s="214">
        <v>226.0</v>
      </c>
      <c r="D1517" s="215" t="s">
        <v>2776</v>
      </c>
      <c r="E1517" s="197" t="str">
        <f t="array" ref="E1517">XLOOKUP(C1517,FSE!A:A,FSE!Z:Z,"XXXXX",0,1)</f>
        <v>Publicly Available (1)</v>
      </c>
      <c r="F1517" s="213" t="s">
        <v>3394</v>
      </c>
      <c r="G1517" s="163" t="str">
        <f t="array" ref="G1517">IF(B1517="ICSE",IF(COUNTIFS(B:B,B1517,C:C,C1517)=XLOOKUP(C1517,ICSE!A:A,ICSE!AA:AA,"ERROR",0,1),"OK","ERROR"),IF(B1517="FSE",IF(COUNTIFS(B:B,B1517,C:C,C1517)=XLOOKUP(C1517,FSE!A:A,FSE!AA:AA,"ERROR",0,1),"OK","ERROR")))</f>
        <v>OK</v>
      </c>
      <c r="H1517" s="199">
        <f t="shared" ref="H1517:O1517" si="7664">countif($D1517,"*"&amp;H$2&amp;"*")</f>
        <v>0</v>
      </c>
      <c r="I1517" s="200">
        <f t="shared" si="7664"/>
        <v>0</v>
      </c>
      <c r="J1517" s="200">
        <f t="shared" si="7664"/>
        <v>0</v>
      </c>
      <c r="K1517" s="200">
        <f t="shared" si="7664"/>
        <v>0</v>
      </c>
      <c r="L1517" s="200">
        <f t="shared" si="7664"/>
        <v>0</v>
      </c>
      <c r="M1517" s="200">
        <f t="shared" si="7664"/>
        <v>0</v>
      </c>
      <c r="N1517" s="200">
        <f t="shared" si="7664"/>
        <v>0</v>
      </c>
      <c r="O1517" s="200">
        <f t="shared" si="7664"/>
        <v>0</v>
      </c>
      <c r="P1517" s="200">
        <f t="shared" si="9"/>
        <v>1</v>
      </c>
      <c r="Q1517" s="200">
        <f t="shared" ref="Q1517:AC1517" si="7665">countif($D1517,"*"&amp;Q$2&amp;"*")</f>
        <v>0</v>
      </c>
      <c r="R1517" s="200">
        <f t="shared" si="7665"/>
        <v>0</v>
      </c>
      <c r="S1517" s="200">
        <f t="shared" si="7665"/>
        <v>0</v>
      </c>
      <c r="T1517" s="200">
        <f t="shared" si="7665"/>
        <v>0</v>
      </c>
      <c r="U1517" s="200">
        <f t="shared" si="7665"/>
        <v>0</v>
      </c>
      <c r="V1517" s="200">
        <f t="shared" si="7665"/>
        <v>0</v>
      </c>
      <c r="W1517" s="200">
        <f t="shared" si="7665"/>
        <v>0</v>
      </c>
      <c r="X1517" s="200">
        <f t="shared" si="7665"/>
        <v>0</v>
      </c>
      <c r="Y1517" s="200">
        <f t="shared" si="7665"/>
        <v>0</v>
      </c>
      <c r="Z1517" s="200">
        <f t="shared" si="7665"/>
        <v>0</v>
      </c>
      <c r="AA1517" s="200">
        <f t="shared" si="7665"/>
        <v>0</v>
      </c>
      <c r="AB1517" s="200">
        <f t="shared" si="7665"/>
        <v>0</v>
      </c>
      <c r="AC1517" s="200">
        <f t="shared" si="7665"/>
        <v>0</v>
      </c>
      <c r="AD1517" s="200">
        <f t="shared" si="11"/>
        <v>0</v>
      </c>
      <c r="AE1517" s="200">
        <f t="shared" ref="AE1517:AG1517" si="7666">countif($D1517,"*"&amp;AE$2&amp;"*")</f>
        <v>0</v>
      </c>
      <c r="AF1517" s="200">
        <f t="shared" si="7666"/>
        <v>0</v>
      </c>
      <c r="AG1517" s="200">
        <f t="shared" si="7666"/>
        <v>0</v>
      </c>
      <c r="AH1517" s="171">
        <f t="shared" si="13"/>
        <v>0</v>
      </c>
      <c r="AI1517" s="200">
        <f t="shared" si="14"/>
        <v>0</v>
      </c>
      <c r="AJ1517" s="200">
        <f t="shared" si="6100"/>
        <v>0</v>
      </c>
      <c r="AK1517" s="201">
        <f t="shared" ref="AK1517:AS1517" si="7667">countif($D1517,"*"&amp;AK$2&amp;"*")</f>
        <v>0</v>
      </c>
      <c r="AL1517" s="201">
        <f t="shared" si="7667"/>
        <v>0</v>
      </c>
      <c r="AM1517" s="201">
        <f t="shared" si="7667"/>
        <v>0</v>
      </c>
      <c r="AN1517" s="201">
        <f t="shared" si="7667"/>
        <v>0</v>
      </c>
      <c r="AO1517" s="201">
        <f t="shared" si="7667"/>
        <v>0</v>
      </c>
      <c r="AP1517" s="201">
        <f t="shared" si="7667"/>
        <v>0</v>
      </c>
      <c r="AQ1517" s="201">
        <f t="shared" si="7667"/>
        <v>0</v>
      </c>
      <c r="AR1517" s="200">
        <f t="shared" si="7667"/>
        <v>0</v>
      </c>
      <c r="AS1517" s="200">
        <f t="shared" si="7667"/>
        <v>0</v>
      </c>
      <c r="AT1517" s="173">
        <v>0.0</v>
      </c>
      <c r="AU1517" s="200">
        <f t="shared" si="6217"/>
        <v>0</v>
      </c>
      <c r="AV1517" s="200">
        <f t="shared" ref="AV1517:AX1517" si="7668">countif($D1517,"*"&amp;AV$2&amp;"*")</f>
        <v>1</v>
      </c>
      <c r="AW1517" s="200">
        <f t="shared" si="7668"/>
        <v>0</v>
      </c>
      <c r="AX1517" s="200">
        <f t="shared" si="7668"/>
        <v>0</v>
      </c>
      <c r="AY1517" s="202">
        <v>0.0</v>
      </c>
      <c r="AZ1517" s="200"/>
      <c r="BA1517" s="171" t="str">
        <f t="shared" si="18"/>
        <v/>
      </c>
      <c r="BB1517" s="171" t="str">
        <f t="shared" si="19"/>
        <v>Code</v>
      </c>
      <c r="BC1517" s="171" t="str">
        <f t="shared" si="20"/>
        <v/>
      </c>
      <c r="BD1517" s="171" t="str">
        <f t="shared" si="21"/>
        <v/>
      </c>
      <c r="BE1517" s="171" t="str">
        <f t="shared" si="22"/>
        <v/>
      </c>
      <c r="BF1517" s="171" t="str">
        <f t="shared" si="23"/>
        <v>Code</v>
      </c>
    </row>
    <row r="1518">
      <c r="A1518" s="171">
        <f t="array" ref="A1518">XLOOKUP(C1518,FSE!A:A,FSE!C:C,"XXXXX",0,1)</f>
        <v>2021</v>
      </c>
      <c r="B1518" s="213" t="s">
        <v>5676</v>
      </c>
      <c r="C1518" s="214">
        <v>227.0</v>
      </c>
      <c r="D1518" s="215" t="s">
        <v>4768</v>
      </c>
      <c r="E1518" s="197" t="str">
        <f t="array" ref="E1518">XLOOKUP(C1518,FSE!A:A,FSE!Z:Z,"XXXXX",0,1)</f>
        <v>Publicly Available (1)</v>
      </c>
      <c r="F1518" s="213" t="s">
        <v>3394</v>
      </c>
      <c r="G1518" s="163" t="str">
        <f t="array" ref="G1518">IF(B1518="ICSE",IF(COUNTIFS(B:B,B1518,C:C,C1518)=XLOOKUP(C1518,ICSE!A:A,ICSE!AA:AA,"ERROR",0,1),"OK","ERROR"),IF(B1518="FSE",IF(COUNTIFS(B:B,B1518,C:C,C1518)=XLOOKUP(C1518,FSE!A:A,FSE!AA:AA,"ERROR",0,1),"OK","ERROR")))</f>
        <v>OK</v>
      </c>
      <c r="H1518" s="199">
        <f t="shared" ref="H1518:O1518" si="7669">countif($D1518,"*"&amp;H$2&amp;"*")</f>
        <v>0</v>
      </c>
      <c r="I1518" s="200">
        <f t="shared" si="7669"/>
        <v>0</v>
      </c>
      <c r="J1518" s="200">
        <f t="shared" si="7669"/>
        <v>0</v>
      </c>
      <c r="K1518" s="200">
        <f t="shared" si="7669"/>
        <v>0</v>
      </c>
      <c r="L1518" s="200">
        <f t="shared" si="7669"/>
        <v>0</v>
      </c>
      <c r="M1518" s="200">
        <f t="shared" si="7669"/>
        <v>0</v>
      </c>
      <c r="N1518" s="200">
        <f t="shared" si="7669"/>
        <v>0</v>
      </c>
      <c r="O1518" s="200">
        <f t="shared" si="7669"/>
        <v>0</v>
      </c>
      <c r="P1518" s="200">
        <f t="shared" si="9"/>
        <v>1</v>
      </c>
      <c r="Q1518" s="200">
        <f t="shared" ref="Q1518:AC1518" si="7670">countif($D1518,"*"&amp;Q$2&amp;"*")</f>
        <v>0</v>
      </c>
      <c r="R1518" s="200">
        <f t="shared" si="7670"/>
        <v>0</v>
      </c>
      <c r="S1518" s="200">
        <f t="shared" si="7670"/>
        <v>0</v>
      </c>
      <c r="T1518" s="200">
        <f t="shared" si="7670"/>
        <v>0</v>
      </c>
      <c r="U1518" s="200">
        <f t="shared" si="7670"/>
        <v>0</v>
      </c>
      <c r="V1518" s="200">
        <f t="shared" si="7670"/>
        <v>0</v>
      </c>
      <c r="W1518" s="200">
        <f t="shared" si="7670"/>
        <v>0</v>
      </c>
      <c r="X1518" s="200">
        <f t="shared" si="7670"/>
        <v>0</v>
      </c>
      <c r="Y1518" s="200">
        <f t="shared" si="7670"/>
        <v>0</v>
      </c>
      <c r="Z1518" s="200">
        <f t="shared" si="7670"/>
        <v>0</v>
      </c>
      <c r="AA1518" s="200">
        <f t="shared" si="7670"/>
        <v>0</v>
      </c>
      <c r="AB1518" s="200">
        <f t="shared" si="7670"/>
        <v>0</v>
      </c>
      <c r="AC1518" s="200">
        <f t="shared" si="7670"/>
        <v>0</v>
      </c>
      <c r="AD1518" s="200">
        <f t="shared" si="11"/>
        <v>0</v>
      </c>
      <c r="AE1518" s="200">
        <f t="shared" ref="AE1518:AG1518" si="7671">countif($D1518,"*"&amp;AE$2&amp;"*")</f>
        <v>0</v>
      </c>
      <c r="AF1518" s="200">
        <f t="shared" si="7671"/>
        <v>0</v>
      </c>
      <c r="AG1518" s="200">
        <f t="shared" si="7671"/>
        <v>0</v>
      </c>
      <c r="AH1518" s="171">
        <f t="shared" si="13"/>
        <v>0</v>
      </c>
      <c r="AI1518" s="200">
        <f t="shared" si="14"/>
        <v>0</v>
      </c>
      <c r="AJ1518" s="200">
        <f t="shared" si="6100"/>
        <v>0</v>
      </c>
      <c r="AK1518" s="201">
        <f t="shared" ref="AK1518:AS1518" si="7672">countif($D1518,"*"&amp;AK$2&amp;"*")</f>
        <v>0</v>
      </c>
      <c r="AL1518" s="201">
        <f t="shared" si="7672"/>
        <v>0</v>
      </c>
      <c r="AM1518" s="201">
        <f t="shared" si="7672"/>
        <v>0</v>
      </c>
      <c r="AN1518" s="201">
        <f t="shared" si="7672"/>
        <v>0</v>
      </c>
      <c r="AO1518" s="201">
        <f t="shared" si="7672"/>
        <v>0</v>
      </c>
      <c r="AP1518" s="201">
        <f t="shared" si="7672"/>
        <v>0</v>
      </c>
      <c r="AQ1518" s="201">
        <f t="shared" si="7672"/>
        <v>0</v>
      </c>
      <c r="AR1518" s="200">
        <f t="shared" si="7672"/>
        <v>0</v>
      </c>
      <c r="AS1518" s="200">
        <f t="shared" si="7672"/>
        <v>0</v>
      </c>
      <c r="AT1518" s="173">
        <v>0.0</v>
      </c>
      <c r="AU1518" s="200">
        <f t="shared" si="6217"/>
        <v>0</v>
      </c>
      <c r="AV1518" s="200">
        <f t="shared" ref="AV1518:AX1518" si="7673">countif($D1518,"*"&amp;AV$2&amp;"*")</f>
        <v>1</v>
      </c>
      <c r="AW1518" s="200">
        <f t="shared" si="7673"/>
        <v>0</v>
      </c>
      <c r="AX1518" s="200">
        <f t="shared" si="7673"/>
        <v>0</v>
      </c>
      <c r="AY1518" s="202">
        <v>0.0</v>
      </c>
      <c r="AZ1518" s="200"/>
      <c r="BA1518" s="171" t="str">
        <f t="shared" si="18"/>
        <v/>
      </c>
      <c r="BB1518" s="171" t="str">
        <f t="shared" si="19"/>
        <v>Code</v>
      </c>
      <c r="BC1518" s="171" t="str">
        <f t="shared" si="20"/>
        <v/>
      </c>
      <c r="BD1518" s="171" t="str">
        <f t="shared" si="21"/>
        <v/>
      </c>
      <c r="BE1518" s="171" t="str">
        <f t="shared" si="22"/>
        <v/>
      </c>
      <c r="BF1518" s="171" t="str">
        <f t="shared" si="23"/>
        <v>Code</v>
      </c>
    </row>
    <row r="1519">
      <c r="A1519" s="171">
        <f t="array" ref="A1519">XLOOKUP(C1519,FSE!A:A,FSE!C:C,"XXXXX",0,1)</f>
        <v>2021</v>
      </c>
      <c r="B1519" s="213" t="s">
        <v>5676</v>
      </c>
      <c r="C1519" s="214">
        <v>228.0</v>
      </c>
      <c r="D1519" s="215" t="s">
        <v>4771</v>
      </c>
      <c r="E1519" s="197" t="str">
        <f t="array" ref="E1519">XLOOKUP(C1519,FSE!A:A,FSE!Z:Z,"XXXXX",0,1)</f>
        <v>Publicly Available (1)</v>
      </c>
      <c r="F1519" s="213" t="s">
        <v>3394</v>
      </c>
      <c r="G1519" s="163" t="str">
        <f t="array" ref="G1519">IF(B1519="ICSE",IF(COUNTIFS(B:B,B1519,C:C,C1519)=XLOOKUP(C1519,ICSE!A:A,ICSE!AA:AA,"ERROR",0,1),"OK","ERROR"),IF(B1519="FSE",IF(COUNTIFS(B:B,B1519,C:C,C1519)=XLOOKUP(C1519,FSE!A:A,FSE!AA:AA,"ERROR",0,1),"OK","ERROR")))</f>
        <v>OK</v>
      </c>
      <c r="H1519" s="199">
        <f t="shared" ref="H1519:O1519" si="7674">countif($D1519,"*"&amp;H$2&amp;"*")</f>
        <v>1</v>
      </c>
      <c r="I1519" s="200">
        <f t="shared" si="7674"/>
        <v>0</v>
      </c>
      <c r="J1519" s="200">
        <f t="shared" si="7674"/>
        <v>0</v>
      </c>
      <c r="K1519" s="200">
        <f t="shared" si="7674"/>
        <v>0</v>
      </c>
      <c r="L1519" s="200">
        <f t="shared" si="7674"/>
        <v>0</v>
      </c>
      <c r="M1519" s="200">
        <f t="shared" si="7674"/>
        <v>0</v>
      </c>
      <c r="N1519" s="200">
        <f t="shared" si="7674"/>
        <v>0</v>
      </c>
      <c r="O1519" s="200">
        <f t="shared" si="7674"/>
        <v>0</v>
      </c>
      <c r="P1519" s="200">
        <f t="shared" si="9"/>
        <v>0</v>
      </c>
      <c r="Q1519" s="200">
        <f t="shared" ref="Q1519:AC1519" si="7675">countif($D1519,"*"&amp;Q$2&amp;"*")</f>
        <v>0</v>
      </c>
      <c r="R1519" s="200">
        <f t="shared" si="7675"/>
        <v>0</v>
      </c>
      <c r="S1519" s="200">
        <f t="shared" si="7675"/>
        <v>0</v>
      </c>
      <c r="T1519" s="200">
        <f t="shared" si="7675"/>
        <v>0</v>
      </c>
      <c r="U1519" s="200">
        <f t="shared" si="7675"/>
        <v>0</v>
      </c>
      <c r="V1519" s="200">
        <f t="shared" si="7675"/>
        <v>0</v>
      </c>
      <c r="W1519" s="200">
        <f t="shared" si="7675"/>
        <v>0</v>
      </c>
      <c r="X1519" s="200">
        <f t="shared" si="7675"/>
        <v>0</v>
      </c>
      <c r="Y1519" s="200">
        <f t="shared" si="7675"/>
        <v>0</v>
      </c>
      <c r="Z1519" s="200">
        <f t="shared" si="7675"/>
        <v>0</v>
      </c>
      <c r="AA1519" s="200">
        <f t="shared" si="7675"/>
        <v>0</v>
      </c>
      <c r="AB1519" s="200">
        <f t="shared" si="7675"/>
        <v>0</v>
      </c>
      <c r="AC1519" s="200">
        <f t="shared" si="7675"/>
        <v>0</v>
      </c>
      <c r="AD1519" s="200">
        <f t="shared" si="11"/>
        <v>0</v>
      </c>
      <c r="AE1519" s="200">
        <f t="shared" ref="AE1519:AG1519" si="7676">countif($D1519,"*"&amp;AE$2&amp;"*")</f>
        <v>0</v>
      </c>
      <c r="AF1519" s="200">
        <f t="shared" si="7676"/>
        <v>0</v>
      </c>
      <c r="AG1519" s="200">
        <f t="shared" si="7676"/>
        <v>0</v>
      </c>
      <c r="AH1519" s="171">
        <f t="shared" si="13"/>
        <v>0</v>
      </c>
      <c r="AI1519" s="200">
        <f t="shared" si="14"/>
        <v>1</v>
      </c>
      <c r="AJ1519" s="200">
        <f t="shared" si="6100"/>
        <v>0</v>
      </c>
      <c r="AK1519" s="201">
        <f t="shared" ref="AK1519:AS1519" si="7677">countif($D1519,"*"&amp;AK$2&amp;"*")</f>
        <v>0</v>
      </c>
      <c r="AL1519" s="201">
        <f t="shared" si="7677"/>
        <v>0</v>
      </c>
      <c r="AM1519" s="201">
        <f t="shared" si="7677"/>
        <v>0</v>
      </c>
      <c r="AN1519" s="201">
        <f t="shared" si="7677"/>
        <v>0</v>
      </c>
      <c r="AO1519" s="201">
        <f t="shared" si="7677"/>
        <v>0</v>
      </c>
      <c r="AP1519" s="201">
        <f t="shared" si="7677"/>
        <v>0</v>
      </c>
      <c r="AQ1519" s="201">
        <f t="shared" si="7677"/>
        <v>0</v>
      </c>
      <c r="AR1519" s="200">
        <f t="shared" si="7677"/>
        <v>0</v>
      </c>
      <c r="AS1519" s="200">
        <f t="shared" si="7677"/>
        <v>0</v>
      </c>
      <c r="AT1519" s="173">
        <v>0.0</v>
      </c>
      <c r="AU1519" s="200">
        <f t="shared" si="6217"/>
        <v>0</v>
      </c>
      <c r="AV1519" s="200">
        <f t="shared" ref="AV1519:AX1519" si="7678">countif($D1519,"*"&amp;AV$2&amp;"*")</f>
        <v>0</v>
      </c>
      <c r="AW1519" s="200">
        <f t="shared" si="7678"/>
        <v>0</v>
      </c>
      <c r="AX1519" s="200">
        <f t="shared" si="7678"/>
        <v>1</v>
      </c>
      <c r="AY1519" s="202">
        <v>0.0</v>
      </c>
      <c r="AZ1519" s="200"/>
      <c r="BA1519" s="171" t="str">
        <f t="shared" si="18"/>
        <v>Archival</v>
      </c>
      <c r="BB1519" s="171" t="str">
        <f t="shared" si="19"/>
        <v/>
      </c>
      <c r="BC1519" s="171" t="str">
        <f t="shared" si="20"/>
        <v/>
      </c>
      <c r="BD1519" s="171" t="str">
        <f t="shared" si="21"/>
        <v/>
      </c>
      <c r="BE1519" s="171" t="str">
        <f t="shared" si="22"/>
        <v/>
      </c>
      <c r="BF1519" s="171" t="str">
        <f t="shared" si="23"/>
        <v>Archival</v>
      </c>
    </row>
    <row r="1520">
      <c r="A1520" s="171">
        <f t="array" ref="A1520">XLOOKUP(C1520,FSE!A:A,FSE!C:C,"XXXXX",0,1)</f>
        <v>2021</v>
      </c>
      <c r="B1520" s="213" t="s">
        <v>5676</v>
      </c>
      <c r="C1520" s="214">
        <v>229.0</v>
      </c>
      <c r="D1520" s="215" t="s">
        <v>4774</v>
      </c>
      <c r="E1520" s="197" t="str">
        <f t="array" ref="E1520">XLOOKUP(C1520,FSE!A:A,FSE!Z:Z,"XXXXX",0,1)</f>
        <v>Publicly Available (1)</v>
      </c>
      <c r="F1520" s="213" t="s">
        <v>3394</v>
      </c>
      <c r="G1520" s="163" t="str">
        <f t="array" ref="G1520">IF(B1520="ICSE",IF(COUNTIFS(B:B,B1520,C:C,C1520)=XLOOKUP(C1520,ICSE!A:A,ICSE!AA:AA,"ERROR",0,1),"OK","ERROR"),IF(B1520="FSE",IF(COUNTIFS(B:B,B1520,C:C,C1520)=XLOOKUP(C1520,FSE!A:A,FSE!AA:AA,"ERROR",0,1),"OK","ERROR")))</f>
        <v>OK</v>
      </c>
      <c r="H1520" s="199">
        <f t="shared" ref="H1520:O1520" si="7679">countif($D1520,"*"&amp;H$2&amp;"*")</f>
        <v>0</v>
      </c>
      <c r="I1520" s="200">
        <f t="shared" si="7679"/>
        <v>0</v>
      </c>
      <c r="J1520" s="200">
        <f t="shared" si="7679"/>
        <v>0</v>
      </c>
      <c r="K1520" s="200">
        <f t="shared" si="7679"/>
        <v>0</v>
      </c>
      <c r="L1520" s="200">
        <f t="shared" si="7679"/>
        <v>0</v>
      </c>
      <c r="M1520" s="200">
        <f t="shared" si="7679"/>
        <v>0</v>
      </c>
      <c r="N1520" s="200">
        <f t="shared" si="7679"/>
        <v>0</v>
      </c>
      <c r="O1520" s="200">
        <f t="shared" si="7679"/>
        <v>0</v>
      </c>
      <c r="P1520" s="200">
        <f t="shared" si="9"/>
        <v>1</v>
      </c>
      <c r="Q1520" s="200">
        <f t="shared" ref="Q1520:AC1520" si="7680">countif($D1520,"*"&amp;Q$2&amp;"*")</f>
        <v>0</v>
      </c>
      <c r="R1520" s="200">
        <f t="shared" si="7680"/>
        <v>0</v>
      </c>
      <c r="S1520" s="200">
        <f t="shared" si="7680"/>
        <v>0</v>
      </c>
      <c r="T1520" s="200">
        <f t="shared" si="7680"/>
        <v>0</v>
      </c>
      <c r="U1520" s="200">
        <f t="shared" si="7680"/>
        <v>0</v>
      </c>
      <c r="V1520" s="200">
        <f t="shared" si="7680"/>
        <v>0</v>
      </c>
      <c r="W1520" s="200">
        <f t="shared" si="7680"/>
        <v>0</v>
      </c>
      <c r="X1520" s="200">
        <f t="shared" si="7680"/>
        <v>0</v>
      </c>
      <c r="Y1520" s="200">
        <f t="shared" si="7680"/>
        <v>0</v>
      </c>
      <c r="Z1520" s="200">
        <f t="shared" si="7680"/>
        <v>0</v>
      </c>
      <c r="AA1520" s="200">
        <f t="shared" si="7680"/>
        <v>0</v>
      </c>
      <c r="AB1520" s="200">
        <f t="shared" si="7680"/>
        <v>0</v>
      </c>
      <c r="AC1520" s="200">
        <f t="shared" si="7680"/>
        <v>0</v>
      </c>
      <c r="AD1520" s="200">
        <f t="shared" si="11"/>
        <v>0</v>
      </c>
      <c r="AE1520" s="200">
        <f t="shared" ref="AE1520:AG1520" si="7681">countif($D1520,"*"&amp;AE$2&amp;"*")</f>
        <v>0</v>
      </c>
      <c r="AF1520" s="200">
        <f t="shared" si="7681"/>
        <v>0</v>
      </c>
      <c r="AG1520" s="200">
        <f t="shared" si="7681"/>
        <v>0</v>
      </c>
      <c r="AH1520" s="171">
        <f t="shared" si="13"/>
        <v>0</v>
      </c>
      <c r="AI1520" s="200">
        <f t="shared" si="14"/>
        <v>0</v>
      </c>
      <c r="AJ1520" s="200">
        <f t="shared" si="6100"/>
        <v>0</v>
      </c>
      <c r="AK1520" s="201">
        <f t="shared" ref="AK1520:AS1520" si="7682">countif($D1520,"*"&amp;AK$2&amp;"*")</f>
        <v>0</v>
      </c>
      <c r="AL1520" s="201">
        <f t="shared" si="7682"/>
        <v>0</v>
      </c>
      <c r="AM1520" s="201">
        <f t="shared" si="7682"/>
        <v>0</v>
      </c>
      <c r="AN1520" s="201">
        <f t="shared" si="7682"/>
        <v>0</v>
      </c>
      <c r="AO1520" s="201">
        <f t="shared" si="7682"/>
        <v>0</v>
      </c>
      <c r="AP1520" s="201">
        <f t="shared" si="7682"/>
        <v>0</v>
      </c>
      <c r="AQ1520" s="201">
        <f t="shared" si="7682"/>
        <v>0</v>
      </c>
      <c r="AR1520" s="200">
        <f t="shared" si="7682"/>
        <v>0</v>
      </c>
      <c r="AS1520" s="200">
        <f t="shared" si="7682"/>
        <v>0</v>
      </c>
      <c r="AT1520" s="173">
        <v>0.0</v>
      </c>
      <c r="AU1520" s="200">
        <f t="shared" si="6217"/>
        <v>0</v>
      </c>
      <c r="AV1520" s="200">
        <f t="shared" ref="AV1520:AX1520" si="7683">countif($D1520,"*"&amp;AV$2&amp;"*")</f>
        <v>1</v>
      </c>
      <c r="AW1520" s="200">
        <f t="shared" si="7683"/>
        <v>0</v>
      </c>
      <c r="AX1520" s="200">
        <f t="shared" si="7683"/>
        <v>0</v>
      </c>
      <c r="AY1520" s="202">
        <v>0.0</v>
      </c>
      <c r="AZ1520" s="200"/>
      <c r="BA1520" s="171" t="str">
        <f t="shared" si="18"/>
        <v/>
      </c>
      <c r="BB1520" s="171" t="str">
        <f t="shared" si="19"/>
        <v>Code</v>
      </c>
      <c r="BC1520" s="171" t="str">
        <f t="shared" si="20"/>
        <v/>
      </c>
      <c r="BD1520" s="171" t="str">
        <f t="shared" si="21"/>
        <v/>
      </c>
      <c r="BE1520" s="171" t="str">
        <f t="shared" si="22"/>
        <v/>
      </c>
      <c r="BF1520" s="171" t="str">
        <f t="shared" si="23"/>
        <v>Code</v>
      </c>
    </row>
    <row r="1521">
      <c r="A1521" s="171">
        <f t="array" ref="A1521">XLOOKUP(C1521,FSE!A:A,FSE!C:C,"XXXXX",0,1)</f>
        <v>2021</v>
      </c>
      <c r="B1521" s="213" t="s">
        <v>5676</v>
      </c>
      <c r="C1521" s="214">
        <v>230.0</v>
      </c>
      <c r="D1521" s="215" t="s">
        <v>6303</v>
      </c>
      <c r="E1521" s="197" t="str">
        <f t="array" ref="E1521">XLOOKUP(C1521,FSE!A:A,FSE!Z:Z,"XXXXX",0,1)</f>
        <v>Publicly Available (2)</v>
      </c>
      <c r="F1521" s="213" t="s">
        <v>3394</v>
      </c>
      <c r="G1521" s="163" t="str">
        <f t="array" ref="G1521">IF(B1521="ICSE",IF(COUNTIFS(B:B,B1521,C:C,C1521)=XLOOKUP(C1521,ICSE!A:A,ICSE!AA:AA,"ERROR",0,1),"OK","ERROR"),IF(B1521="FSE",IF(COUNTIFS(B:B,B1521,C:C,C1521)=XLOOKUP(C1521,FSE!A:A,FSE!AA:AA,"ERROR",0,1),"OK","ERROR")))</f>
        <v>OK</v>
      </c>
      <c r="H1521" s="199">
        <f t="shared" ref="H1521:O1521" si="7684">countif($D1521,"*"&amp;H$2&amp;"*")</f>
        <v>1</v>
      </c>
      <c r="I1521" s="200">
        <f t="shared" si="7684"/>
        <v>0</v>
      </c>
      <c r="J1521" s="200">
        <f t="shared" si="7684"/>
        <v>0</v>
      </c>
      <c r="K1521" s="200">
        <f t="shared" si="7684"/>
        <v>0</v>
      </c>
      <c r="L1521" s="200">
        <f t="shared" si="7684"/>
        <v>0</v>
      </c>
      <c r="M1521" s="200">
        <f t="shared" si="7684"/>
        <v>0</v>
      </c>
      <c r="N1521" s="200">
        <f t="shared" si="7684"/>
        <v>0</v>
      </c>
      <c r="O1521" s="200">
        <f t="shared" si="7684"/>
        <v>0</v>
      </c>
      <c r="P1521" s="200">
        <f t="shared" si="9"/>
        <v>0</v>
      </c>
      <c r="Q1521" s="200">
        <f t="shared" ref="Q1521:AC1521" si="7685">countif($D1521,"*"&amp;Q$2&amp;"*")</f>
        <v>0</v>
      </c>
      <c r="R1521" s="200">
        <f t="shared" si="7685"/>
        <v>0</v>
      </c>
      <c r="S1521" s="200">
        <f t="shared" si="7685"/>
        <v>0</v>
      </c>
      <c r="T1521" s="200">
        <f t="shared" si="7685"/>
        <v>0</v>
      </c>
      <c r="U1521" s="200">
        <f t="shared" si="7685"/>
        <v>0</v>
      </c>
      <c r="V1521" s="200">
        <f t="shared" si="7685"/>
        <v>0</v>
      </c>
      <c r="W1521" s="200">
        <f t="shared" si="7685"/>
        <v>0</v>
      </c>
      <c r="X1521" s="200">
        <f t="shared" si="7685"/>
        <v>0</v>
      </c>
      <c r="Y1521" s="200">
        <f t="shared" si="7685"/>
        <v>0</v>
      </c>
      <c r="Z1521" s="200">
        <f t="shared" si="7685"/>
        <v>0</v>
      </c>
      <c r="AA1521" s="200">
        <f t="shared" si="7685"/>
        <v>0</v>
      </c>
      <c r="AB1521" s="200">
        <f t="shared" si="7685"/>
        <v>0</v>
      </c>
      <c r="AC1521" s="200">
        <f t="shared" si="7685"/>
        <v>0</v>
      </c>
      <c r="AD1521" s="200">
        <f t="shared" si="11"/>
        <v>0</v>
      </c>
      <c r="AE1521" s="200">
        <f t="shared" ref="AE1521:AG1521" si="7686">countif($D1521,"*"&amp;AE$2&amp;"*")</f>
        <v>0</v>
      </c>
      <c r="AF1521" s="200">
        <f t="shared" si="7686"/>
        <v>0</v>
      </c>
      <c r="AG1521" s="200">
        <f t="shared" si="7686"/>
        <v>0</v>
      </c>
      <c r="AH1521" s="171">
        <f t="shared" si="13"/>
        <v>0</v>
      </c>
      <c r="AI1521" s="200">
        <f t="shared" si="14"/>
        <v>1</v>
      </c>
      <c r="AJ1521" s="200">
        <f t="shared" si="6100"/>
        <v>0</v>
      </c>
      <c r="AK1521" s="201">
        <f t="shared" ref="AK1521:AS1521" si="7687">countif($D1521,"*"&amp;AK$2&amp;"*")</f>
        <v>0</v>
      </c>
      <c r="AL1521" s="201">
        <f t="shared" si="7687"/>
        <v>0</v>
      </c>
      <c r="AM1521" s="201">
        <f t="shared" si="7687"/>
        <v>0</v>
      </c>
      <c r="AN1521" s="201">
        <f t="shared" si="7687"/>
        <v>0</v>
      </c>
      <c r="AO1521" s="201">
        <f t="shared" si="7687"/>
        <v>0</v>
      </c>
      <c r="AP1521" s="201">
        <f t="shared" si="7687"/>
        <v>0</v>
      </c>
      <c r="AQ1521" s="201">
        <f t="shared" si="7687"/>
        <v>0</v>
      </c>
      <c r="AR1521" s="200">
        <f t="shared" si="7687"/>
        <v>0</v>
      </c>
      <c r="AS1521" s="200">
        <f t="shared" si="7687"/>
        <v>0</v>
      </c>
      <c r="AT1521" s="173">
        <v>0.0</v>
      </c>
      <c r="AU1521" s="200">
        <f t="shared" si="6217"/>
        <v>0</v>
      </c>
      <c r="AV1521" s="200">
        <f t="shared" ref="AV1521:AX1521" si="7688">countif($D1521,"*"&amp;AV$2&amp;"*")</f>
        <v>0</v>
      </c>
      <c r="AW1521" s="200">
        <f t="shared" si="7688"/>
        <v>0</v>
      </c>
      <c r="AX1521" s="200">
        <f t="shared" si="7688"/>
        <v>1</v>
      </c>
      <c r="AY1521" s="202">
        <v>0.0</v>
      </c>
      <c r="AZ1521" s="200"/>
      <c r="BA1521" s="171" t="str">
        <f t="shared" si="18"/>
        <v>Archival</v>
      </c>
      <c r="BB1521" s="171" t="str">
        <f t="shared" si="19"/>
        <v/>
      </c>
      <c r="BC1521" s="171" t="str">
        <f t="shared" si="20"/>
        <v/>
      </c>
      <c r="BD1521" s="171" t="str">
        <f t="shared" si="21"/>
        <v/>
      </c>
      <c r="BE1521" s="171" t="str">
        <f t="shared" si="22"/>
        <v/>
      </c>
      <c r="BF1521" s="171" t="str">
        <f t="shared" si="23"/>
        <v>Archival</v>
      </c>
    </row>
    <row r="1522">
      <c r="A1522" s="171">
        <f t="array" ref="A1522">XLOOKUP(C1522,FSE!A:A,FSE!C:C,"XXXXX",0,1)</f>
        <v>2021</v>
      </c>
      <c r="B1522" s="171" t="s">
        <v>5676</v>
      </c>
      <c r="C1522" s="160">
        <v>230.0</v>
      </c>
      <c r="D1522" s="206" t="s">
        <v>6304</v>
      </c>
      <c r="E1522" s="197" t="str">
        <f t="array" ref="E1522">XLOOKUP(C1522,FSE!A:A,FSE!Z:Z,"XXXXX",0,1)</f>
        <v>Publicly Available (2)</v>
      </c>
      <c r="F1522" s="213" t="s">
        <v>3394</v>
      </c>
      <c r="G1522" s="163" t="str">
        <f t="array" ref="G1522">IF(B1522="ICSE",IF(COUNTIFS(B:B,B1522,C:C,C1522)=XLOOKUP(C1522,ICSE!A:A,ICSE!AA:AA,"ERROR",0,1),"OK","ERROR"),IF(B1522="FSE",IF(COUNTIFS(B:B,B1522,C:C,C1522)=XLOOKUP(C1522,FSE!A:A,FSE!AA:AA,"ERROR",0,1),"OK","ERROR")))</f>
        <v>OK</v>
      </c>
      <c r="H1522" s="199">
        <f t="shared" ref="H1522:O1522" si="7689">countif($D1522,"*"&amp;H$2&amp;"*")</f>
        <v>0</v>
      </c>
      <c r="I1522" s="200">
        <f t="shared" si="7689"/>
        <v>0</v>
      </c>
      <c r="J1522" s="200">
        <f t="shared" si="7689"/>
        <v>1</v>
      </c>
      <c r="K1522" s="200">
        <f t="shared" si="7689"/>
        <v>0</v>
      </c>
      <c r="L1522" s="200">
        <f t="shared" si="7689"/>
        <v>0</v>
      </c>
      <c r="M1522" s="200">
        <f t="shared" si="7689"/>
        <v>0</v>
      </c>
      <c r="N1522" s="200">
        <f t="shared" si="7689"/>
        <v>0</v>
      </c>
      <c r="O1522" s="200">
        <f t="shared" si="7689"/>
        <v>0</v>
      </c>
      <c r="P1522" s="200">
        <f t="shared" si="9"/>
        <v>0</v>
      </c>
      <c r="Q1522" s="200">
        <f t="shared" ref="Q1522:AC1522" si="7690">countif($D1522,"*"&amp;Q$2&amp;"*")</f>
        <v>0</v>
      </c>
      <c r="R1522" s="200">
        <f t="shared" si="7690"/>
        <v>0</v>
      </c>
      <c r="S1522" s="200">
        <f t="shared" si="7690"/>
        <v>0</v>
      </c>
      <c r="T1522" s="200">
        <f t="shared" si="7690"/>
        <v>0</v>
      </c>
      <c r="U1522" s="200">
        <f t="shared" si="7690"/>
        <v>0</v>
      </c>
      <c r="V1522" s="200">
        <f t="shared" si="7690"/>
        <v>0</v>
      </c>
      <c r="W1522" s="200">
        <f t="shared" si="7690"/>
        <v>0</v>
      </c>
      <c r="X1522" s="200">
        <f t="shared" si="7690"/>
        <v>0</v>
      </c>
      <c r="Y1522" s="200">
        <f t="shared" si="7690"/>
        <v>0</v>
      </c>
      <c r="Z1522" s="200">
        <f t="shared" si="7690"/>
        <v>0</v>
      </c>
      <c r="AA1522" s="200">
        <f t="shared" si="7690"/>
        <v>0</v>
      </c>
      <c r="AB1522" s="200">
        <f t="shared" si="7690"/>
        <v>0</v>
      </c>
      <c r="AC1522" s="200">
        <f t="shared" si="7690"/>
        <v>0</v>
      </c>
      <c r="AD1522" s="200">
        <f t="shared" si="11"/>
        <v>0</v>
      </c>
      <c r="AE1522" s="200">
        <f t="shared" ref="AE1522:AG1522" si="7691">countif($D1522,"*"&amp;AE$2&amp;"*")</f>
        <v>0</v>
      </c>
      <c r="AF1522" s="200">
        <f t="shared" si="7691"/>
        <v>0</v>
      </c>
      <c r="AG1522" s="200">
        <f t="shared" si="7691"/>
        <v>0</v>
      </c>
      <c r="AH1522" s="171">
        <f t="shared" si="13"/>
        <v>0</v>
      </c>
      <c r="AI1522" s="200">
        <f t="shared" si="14"/>
        <v>0</v>
      </c>
      <c r="AJ1522" s="200">
        <f t="shared" si="6100"/>
        <v>0</v>
      </c>
      <c r="AK1522" s="201">
        <f t="shared" ref="AK1522:AS1522" si="7692">countif($D1522,"*"&amp;AK$2&amp;"*")</f>
        <v>0</v>
      </c>
      <c r="AL1522" s="201">
        <f t="shared" si="7692"/>
        <v>0</v>
      </c>
      <c r="AM1522" s="201">
        <f t="shared" si="7692"/>
        <v>0</v>
      </c>
      <c r="AN1522" s="201">
        <f t="shared" si="7692"/>
        <v>0</v>
      </c>
      <c r="AO1522" s="201">
        <f t="shared" si="7692"/>
        <v>0</v>
      </c>
      <c r="AP1522" s="201">
        <f t="shared" si="7692"/>
        <v>0</v>
      </c>
      <c r="AQ1522" s="201">
        <f t="shared" si="7692"/>
        <v>0</v>
      </c>
      <c r="AR1522" s="200">
        <f t="shared" si="7692"/>
        <v>0</v>
      </c>
      <c r="AS1522" s="200">
        <f t="shared" si="7692"/>
        <v>1</v>
      </c>
      <c r="AT1522" s="173">
        <v>0.0</v>
      </c>
      <c r="AU1522" s="200">
        <f t="shared" si="6217"/>
        <v>0</v>
      </c>
      <c r="AV1522" s="200">
        <f t="shared" ref="AV1522:AX1522" si="7693">countif($D1522,"*"&amp;AV$2&amp;"*")</f>
        <v>0</v>
      </c>
      <c r="AW1522" s="200">
        <f t="shared" si="7693"/>
        <v>0</v>
      </c>
      <c r="AX1522" s="200">
        <f t="shared" si="7693"/>
        <v>0</v>
      </c>
      <c r="AY1522" s="202">
        <v>0.0</v>
      </c>
      <c r="AZ1522" s="200"/>
      <c r="BA1522" s="171" t="str">
        <f t="shared" si="18"/>
        <v>Archival</v>
      </c>
      <c r="BB1522" s="171" t="str">
        <f t="shared" si="19"/>
        <v/>
      </c>
      <c r="BC1522" s="171" t="str">
        <f t="shared" si="20"/>
        <v/>
      </c>
      <c r="BD1522" s="171" t="str">
        <f t="shared" si="21"/>
        <v/>
      </c>
      <c r="BE1522" s="171" t="str">
        <f t="shared" si="22"/>
        <v/>
      </c>
      <c r="BF1522" s="171" t="str">
        <f t="shared" si="23"/>
        <v>Archival</v>
      </c>
    </row>
    <row r="1523">
      <c r="A1523" s="171">
        <f t="array" ref="A1523">XLOOKUP(C1523,FSE!A:A,FSE!C:C,"XXXXX",0,1)</f>
        <v>2021</v>
      </c>
      <c r="B1523" s="213" t="s">
        <v>5676</v>
      </c>
      <c r="C1523" s="214">
        <v>231.0</v>
      </c>
      <c r="D1523" s="215" t="s">
        <v>6305</v>
      </c>
      <c r="E1523" s="197" t="str">
        <f t="array" ref="E1523">XLOOKUP(C1523,FSE!A:A,FSE!Z:Z,"XXXXX",0,1)</f>
        <v>Publicly Available (4)</v>
      </c>
      <c r="F1523" s="213" t="s">
        <v>3394</v>
      </c>
      <c r="G1523" s="163" t="str">
        <f t="array" ref="G1523">IF(B1523="ICSE",IF(COUNTIFS(B:B,B1523,C:C,C1523)=XLOOKUP(C1523,ICSE!A:A,ICSE!AA:AA,"ERROR",0,1),"OK","ERROR"),IF(B1523="FSE",IF(COUNTIFS(B:B,B1523,C:C,C1523)=XLOOKUP(C1523,FSE!A:A,FSE!AA:AA,"ERROR",0,1),"OK","ERROR")))</f>
        <v>OK</v>
      </c>
      <c r="H1523" s="199">
        <f t="shared" ref="H1523:O1523" si="7694">countif($D1523,"*"&amp;H$2&amp;"*")</f>
        <v>1</v>
      </c>
      <c r="I1523" s="200">
        <f t="shared" si="7694"/>
        <v>0</v>
      </c>
      <c r="J1523" s="200">
        <f t="shared" si="7694"/>
        <v>0</v>
      </c>
      <c r="K1523" s="200">
        <f t="shared" si="7694"/>
        <v>0</v>
      </c>
      <c r="L1523" s="200">
        <f t="shared" si="7694"/>
        <v>0</v>
      </c>
      <c r="M1523" s="200">
        <f t="shared" si="7694"/>
        <v>0</v>
      </c>
      <c r="N1523" s="200">
        <f t="shared" si="7694"/>
        <v>0</v>
      </c>
      <c r="O1523" s="200">
        <f t="shared" si="7694"/>
        <v>0</v>
      </c>
      <c r="P1523" s="200">
        <f t="shared" si="9"/>
        <v>0</v>
      </c>
      <c r="Q1523" s="200">
        <f t="shared" ref="Q1523:AC1523" si="7695">countif($D1523,"*"&amp;Q$2&amp;"*")</f>
        <v>0</v>
      </c>
      <c r="R1523" s="200">
        <f t="shared" si="7695"/>
        <v>0</v>
      </c>
      <c r="S1523" s="200">
        <f t="shared" si="7695"/>
        <v>0</v>
      </c>
      <c r="T1523" s="200">
        <f t="shared" si="7695"/>
        <v>0</v>
      </c>
      <c r="U1523" s="200">
        <f t="shared" si="7695"/>
        <v>0</v>
      </c>
      <c r="V1523" s="200">
        <f t="shared" si="7695"/>
        <v>0</v>
      </c>
      <c r="W1523" s="200">
        <f t="shared" si="7695"/>
        <v>0</v>
      </c>
      <c r="X1523" s="200">
        <f t="shared" si="7695"/>
        <v>0</v>
      </c>
      <c r="Y1523" s="200">
        <f t="shared" si="7695"/>
        <v>0</v>
      </c>
      <c r="Z1523" s="200">
        <f t="shared" si="7695"/>
        <v>0</v>
      </c>
      <c r="AA1523" s="200">
        <f t="shared" si="7695"/>
        <v>0</v>
      </c>
      <c r="AB1523" s="200">
        <f t="shared" si="7695"/>
        <v>0</v>
      </c>
      <c r="AC1523" s="200">
        <f t="shared" si="7695"/>
        <v>0</v>
      </c>
      <c r="AD1523" s="200">
        <f t="shared" si="11"/>
        <v>0</v>
      </c>
      <c r="AE1523" s="200">
        <f t="shared" ref="AE1523:AG1523" si="7696">countif($D1523,"*"&amp;AE$2&amp;"*")</f>
        <v>0</v>
      </c>
      <c r="AF1523" s="200">
        <f t="shared" si="7696"/>
        <v>0</v>
      </c>
      <c r="AG1523" s="200">
        <f t="shared" si="7696"/>
        <v>0</v>
      </c>
      <c r="AH1523" s="171">
        <f t="shared" si="13"/>
        <v>0</v>
      </c>
      <c r="AI1523" s="200">
        <f t="shared" si="14"/>
        <v>1</v>
      </c>
      <c r="AJ1523" s="200">
        <f t="shared" si="6100"/>
        <v>0</v>
      </c>
      <c r="AK1523" s="201">
        <f t="shared" ref="AK1523:AS1523" si="7697">countif($D1523,"*"&amp;AK$2&amp;"*")</f>
        <v>0</v>
      </c>
      <c r="AL1523" s="201">
        <f t="shared" si="7697"/>
        <v>0</v>
      </c>
      <c r="AM1523" s="201">
        <f t="shared" si="7697"/>
        <v>0</v>
      </c>
      <c r="AN1523" s="201">
        <f t="shared" si="7697"/>
        <v>0</v>
      </c>
      <c r="AO1523" s="201">
        <f t="shared" si="7697"/>
        <v>0</v>
      </c>
      <c r="AP1523" s="201">
        <f t="shared" si="7697"/>
        <v>0</v>
      </c>
      <c r="AQ1523" s="201">
        <f t="shared" si="7697"/>
        <v>0</v>
      </c>
      <c r="AR1523" s="200">
        <f t="shared" si="7697"/>
        <v>0</v>
      </c>
      <c r="AS1523" s="200">
        <f t="shared" si="7697"/>
        <v>0</v>
      </c>
      <c r="AT1523" s="173">
        <v>0.0</v>
      </c>
      <c r="AU1523" s="200">
        <f t="shared" si="6217"/>
        <v>0</v>
      </c>
      <c r="AV1523" s="200">
        <f t="shared" ref="AV1523:AX1523" si="7698">countif($D1523,"*"&amp;AV$2&amp;"*")</f>
        <v>0</v>
      </c>
      <c r="AW1523" s="200">
        <f t="shared" si="7698"/>
        <v>0</v>
      </c>
      <c r="AX1523" s="200">
        <f t="shared" si="7698"/>
        <v>1</v>
      </c>
      <c r="AY1523" s="202">
        <v>0.0</v>
      </c>
      <c r="AZ1523" s="200"/>
      <c r="BA1523" s="171" t="str">
        <f t="shared" si="18"/>
        <v>Archival</v>
      </c>
      <c r="BB1523" s="171" t="str">
        <f t="shared" si="19"/>
        <v/>
      </c>
      <c r="BC1523" s="171" t="str">
        <f t="shared" si="20"/>
        <v/>
      </c>
      <c r="BD1523" s="171" t="str">
        <f t="shared" si="21"/>
        <v/>
      </c>
      <c r="BE1523" s="171" t="str">
        <f t="shared" si="22"/>
        <v/>
      </c>
      <c r="BF1523" s="171" t="str">
        <f t="shared" si="23"/>
        <v>Archival</v>
      </c>
    </row>
    <row r="1524">
      <c r="A1524" s="213">
        <f t="array" ref="A1524">XLOOKUP(C1524,FSE!A:A,FSE!C:C,"XXXXX",0,1)</f>
        <v>2021</v>
      </c>
      <c r="B1524" s="213" t="s">
        <v>5676</v>
      </c>
      <c r="C1524" s="220">
        <v>231.0</v>
      </c>
      <c r="D1524" s="217" t="s">
        <v>6306</v>
      </c>
      <c r="E1524" s="221" t="str">
        <f t="array" ref="E1524">XLOOKUP(C1524,FSE!A:A,FSE!Z:Z,"XXXXX",0,1)</f>
        <v>Publicly Available (4)</v>
      </c>
      <c r="F1524" s="213" t="s">
        <v>3394</v>
      </c>
      <c r="G1524" s="163" t="str">
        <f t="array" ref="G1524">IF(B1524="ICSE",IF(COUNTIFS(B:B,B1524,C:C,C1524)=XLOOKUP(C1524,ICSE!A:A,ICSE!AA:AA,"ERROR",0,1),"OK","ERROR"),IF(B1524="FSE",IF(COUNTIFS(B:B,B1524,C:C,C1524)=XLOOKUP(C1524,FSE!A:A,FSE!AA:AA,"ERROR",0,1),"OK","ERROR")))</f>
        <v>OK</v>
      </c>
      <c r="H1524" s="199">
        <f t="shared" ref="H1524:O1524" si="7699">countif($D1524,"*"&amp;H$2&amp;"*")</f>
        <v>1</v>
      </c>
      <c r="I1524" s="200">
        <f t="shared" si="7699"/>
        <v>0</v>
      </c>
      <c r="J1524" s="200">
        <f t="shared" si="7699"/>
        <v>0</v>
      </c>
      <c r="K1524" s="200">
        <f t="shared" si="7699"/>
        <v>0</v>
      </c>
      <c r="L1524" s="200">
        <f t="shared" si="7699"/>
        <v>0</v>
      </c>
      <c r="M1524" s="200">
        <f t="shared" si="7699"/>
        <v>0</v>
      </c>
      <c r="N1524" s="200">
        <f t="shared" si="7699"/>
        <v>0</v>
      </c>
      <c r="O1524" s="200">
        <f t="shared" si="7699"/>
        <v>0</v>
      </c>
      <c r="P1524" s="200">
        <f t="shared" si="9"/>
        <v>0</v>
      </c>
      <c r="Q1524" s="200">
        <f t="shared" ref="Q1524:AC1524" si="7700">countif($D1524,"*"&amp;Q$2&amp;"*")</f>
        <v>0</v>
      </c>
      <c r="R1524" s="200">
        <f t="shared" si="7700"/>
        <v>0</v>
      </c>
      <c r="S1524" s="200">
        <f t="shared" si="7700"/>
        <v>0</v>
      </c>
      <c r="T1524" s="200">
        <f t="shared" si="7700"/>
        <v>0</v>
      </c>
      <c r="U1524" s="200">
        <f t="shared" si="7700"/>
        <v>0</v>
      </c>
      <c r="V1524" s="200">
        <f t="shared" si="7700"/>
        <v>0</v>
      </c>
      <c r="W1524" s="200">
        <f t="shared" si="7700"/>
        <v>0</v>
      </c>
      <c r="X1524" s="200">
        <f t="shared" si="7700"/>
        <v>0</v>
      </c>
      <c r="Y1524" s="200">
        <f t="shared" si="7700"/>
        <v>0</v>
      </c>
      <c r="Z1524" s="200">
        <f t="shared" si="7700"/>
        <v>0</v>
      </c>
      <c r="AA1524" s="200">
        <f t="shared" si="7700"/>
        <v>0</v>
      </c>
      <c r="AB1524" s="200">
        <f t="shared" si="7700"/>
        <v>0</v>
      </c>
      <c r="AC1524" s="200">
        <f t="shared" si="7700"/>
        <v>0</v>
      </c>
      <c r="AD1524" s="222">
        <f t="shared" si="11"/>
        <v>0</v>
      </c>
      <c r="AE1524" s="200">
        <f t="shared" ref="AE1524:AG1524" si="7701">countif($D1524,"*"&amp;AE$2&amp;"*")</f>
        <v>0</v>
      </c>
      <c r="AF1524" s="200">
        <f t="shared" si="7701"/>
        <v>0</v>
      </c>
      <c r="AG1524" s="200">
        <f t="shared" si="7701"/>
        <v>0</v>
      </c>
      <c r="AH1524" s="171">
        <f t="shared" si="13"/>
        <v>0</v>
      </c>
      <c r="AI1524" s="200">
        <f t="shared" si="14"/>
        <v>1</v>
      </c>
      <c r="AJ1524" s="200">
        <f t="shared" si="6100"/>
        <v>0</v>
      </c>
      <c r="AK1524" s="201">
        <f t="shared" ref="AK1524:AS1524" si="7702">countif($D1524,"*"&amp;AK$2&amp;"*")</f>
        <v>0</v>
      </c>
      <c r="AL1524" s="201">
        <f t="shared" si="7702"/>
        <v>0</v>
      </c>
      <c r="AM1524" s="201">
        <f t="shared" si="7702"/>
        <v>0</v>
      </c>
      <c r="AN1524" s="201">
        <f t="shared" si="7702"/>
        <v>0</v>
      </c>
      <c r="AO1524" s="201">
        <f t="shared" si="7702"/>
        <v>0</v>
      </c>
      <c r="AP1524" s="201">
        <f t="shared" si="7702"/>
        <v>0</v>
      </c>
      <c r="AQ1524" s="201">
        <f t="shared" si="7702"/>
        <v>0</v>
      </c>
      <c r="AR1524" s="222">
        <f t="shared" si="7702"/>
        <v>0</v>
      </c>
      <c r="AS1524" s="200">
        <f t="shared" si="7702"/>
        <v>0</v>
      </c>
      <c r="AT1524" s="223">
        <v>0.0</v>
      </c>
      <c r="AU1524" s="200">
        <f t="shared" si="6217"/>
        <v>0</v>
      </c>
      <c r="AV1524" s="200">
        <f t="shared" ref="AV1524:AX1524" si="7703">countif($D1524,"*"&amp;AV$2&amp;"*")</f>
        <v>0</v>
      </c>
      <c r="AW1524" s="200">
        <f t="shared" si="7703"/>
        <v>0</v>
      </c>
      <c r="AX1524" s="200">
        <f t="shared" si="7703"/>
        <v>1</v>
      </c>
      <c r="AY1524" s="202">
        <v>0.0</v>
      </c>
      <c r="AZ1524" s="200"/>
      <c r="BA1524" s="171" t="str">
        <f t="shared" si="18"/>
        <v>Archival</v>
      </c>
      <c r="BB1524" s="171" t="str">
        <f t="shared" si="19"/>
        <v/>
      </c>
      <c r="BC1524" s="171" t="str">
        <f t="shared" si="20"/>
        <v/>
      </c>
      <c r="BD1524" s="171" t="str">
        <f t="shared" si="21"/>
        <v/>
      </c>
      <c r="BE1524" s="171" t="str">
        <f t="shared" si="22"/>
        <v/>
      </c>
      <c r="BF1524" s="171" t="str">
        <f t="shared" si="23"/>
        <v>Archival</v>
      </c>
    </row>
    <row r="1525">
      <c r="A1525" s="213">
        <f t="array" ref="A1525">XLOOKUP(C1525,FSE!A:A,FSE!C:C,"XXXXX",0,1)</f>
        <v>2021</v>
      </c>
      <c r="B1525" s="213" t="s">
        <v>5676</v>
      </c>
      <c r="C1525" s="220">
        <v>231.0</v>
      </c>
      <c r="D1525" s="217" t="s">
        <v>6307</v>
      </c>
      <c r="E1525" s="221" t="str">
        <f t="array" ref="E1525">XLOOKUP(C1525,FSE!A:A,FSE!Z:Z,"XXXXX",0,1)</f>
        <v>Publicly Available (4)</v>
      </c>
      <c r="F1525" s="213" t="s">
        <v>3394</v>
      </c>
      <c r="G1525" s="163" t="str">
        <f t="array" ref="G1525">IF(B1525="ICSE",IF(COUNTIFS(B:B,B1525,C:C,C1525)=XLOOKUP(C1525,ICSE!A:A,ICSE!AA:AA,"ERROR",0,1),"OK","ERROR"),IF(B1525="FSE",IF(COUNTIFS(B:B,B1525,C:C,C1525)=XLOOKUP(C1525,FSE!A:A,FSE!AA:AA,"ERROR",0,1),"OK","ERROR")))</f>
        <v>OK</v>
      </c>
      <c r="H1525" s="199">
        <f t="shared" ref="H1525:O1525" si="7704">countif($D1525,"*"&amp;H$2&amp;"*")</f>
        <v>1</v>
      </c>
      <c r="I1525" s="200">
        <f t="shared" si="7704"/>
        <v>0</v>
      </c>
      <c r="J1525" s="200">
        <f t="shared" si="7704"/>
        <v>0</v>
      </c>
      <c r="K1525" s="200">
        <f t="shared" si="7704"/>
        <v>0</v>
      </c>
      <c r="L1525" s="200">
        <f t="shared" si="7704"/>
        <v>0</v>
      </c>
      <c r="M1525" s="200">
        <f t="shared" si="7704"/>
        <v>0</v>
      </c>
      <c r="N1525" s="200">
        <f t="shared" si="7704"/>
        <v>0</v>
      </c>
      <c r="O1525" s="200">
        <f t="shared" si="7704"/>
        <v>0</v>
      </c>
      <c r="P1525" s="200">
        <f t="shared" si="9"/>
        <v>0</v>
      </c>
      <c r="Q1525" s="200">
        <f t="shared" ref="Q1525:AC1525" si="7705">countif($D1525,"*"&amp;Q$2&amp;"*")</f>
        <v>0</v>
      </c>
      <c r="R1525" s="200">
        <f t="shared" si="7705"/>
        <v>0</v>
      </c>
      <c r="S1525" s="200">
        <f t="shared" si="7705"/>
        <v>0</v>
      </c>
      <c r="T1525" s="200">
        <f t="shared" si="7705"/>
        <v>0</v>
      </c>
      <c r="U1525" s="200">
        <f t="shared" si="7705"/>
        <v>0</v>
      </c>
      <c r="V1525" s="200">
        <f t="shared" si="7705"/>
        <v>0</v>
      </c>
      <c r="W1525" s="200">
        <f t="shared" si="7705"/>
        <v>0</v>
      </c>
      <c r="X1525" s="200">
        <f t="shared" si="7705"/>
        <v>0</v>
      </c>
      <c r="Y1525" s="200">
        <f t="shared" si="7705"/>
        <v>0</v>
      </c>
      <c r="Z1525" s="200">
        <f t="shared" si="7705"/>
        <v>0</v>
      </c>
      <c r="AA1525" s="200">
        <f t="shared" si="7705"/>
        <v>0</v>
      </c>
      <c r="AB1525" s="200">
        <f t="shared" si="7705"/>
        <v>0</v>
      </c>
      <c r="AC1525" s="200">
        <f t="shared" si="7705"/>
        <v>0</v>
      </c>
      <c r="AD1525" s="222">
        <f t="shared" si="11"/>
        <v>0</v>
      </c>
      <c r="AE1525" s="200">
        <f t="shared" ref="AE1525:AG1525" si="7706">countif($D1525,"*"&amp;AE$2&amp;"*")</f>
        <v>0</v>
      </c>
      <c r="AF1525" s="200">
        <f t="shared" si="7706"/>
        <v>0</v>
      </c>
      <c r="AG1525" s="200">
        <f t="shared" si="7706"/>
        <v>0</v>
      </c>
      <c r="AH1525" s="171">
        <f t="shared" si="13"/>
        <v>0</v>
      </c>
      <c r="AI1525" s="200">
        <f t="shared" si="14"/>
        <v>1</v>
      </c>
      <c r="AJ1525" s="200">
        <f t="shared" si="6100"/>
        <v>0</v>
      </c>
      <c r="AK1525" s="201">
        <f t="shared" ref="AK1525:AS1525" si="7707">countif($D1525,"*"&amp;AK$2&amp;"*")</f>
        <v>0</v>
      </c>
      <c r="AL1525" s="201">
        <f t="shared" si="7707"/>
        <v>0</v>
      </c>
      <c r="AM1525" s="201">
        <f t="shared" si="7707"/>
        <v>0</v>
      </c>
      <c r="AN1525" s="201">
        <f t="shared" si="7707"/>
        <v>0</v>
      </c>
      <c r="AO1525" s="201">
        <f t="shared" si="7707"/>
        <v>0</v>
      </c>
      <c r="AP1525" s="201">
        <f t="shared" si="7707"/>
        <v>0</v>
      </c>
      <c r="AQ1525" s="201">
        <f t="shared" si="7707"/>
        <v>0</v>
      </c>
      <c r="AR1525" s="222">
        <f t="shared" si="7707"/>
        <v>0</v>
      </c>
      <c r="AS1525" s="200">
        <f t="shared" si="7707"/>
        <v>0</v>
      </c>
      <c r="AT1525" s="223">
        <v>0.0</v>
      </c>
      <c r="AU1525" s="200">
        <f t="shared" si="6217"/>
        <v>0</v>
      </c>
      <c r="AV1525" s="200">
        <f t="shared" ref="AV1525:AX1525" si="7708">countif($D1525,"*"&amp;AV$2&amp;"*")</f>
        <v>0</v>
      </c>
      <c r="AW1525" s="200">
        <f t="shared" si="7708"/>
        <v>0</v>
      </c>
      <c r="AX1525" s="200">
        <f t="shared" si="7708"/>
        <v>1</v>
      </c>
      <c r="AY1525" s="202">
        <v>0.0</v>
      </c>
      <c r="AZ1525" s="200"/>
      <c r="BA1525" s="171" t="str">
        <f t="shared" si="18"/>
        <v>Archival</v>
      </c>
      <c r="BB1525" s="171" t="str">
        <f t="shared" si="19"/>
        <v/>
      </c>
      <c r="BC1525" s="171" t="str">
        <f t="shared" si="20"/>
        <v/>
      </c>
      <c r="BD1525" s="171" t="str">
        <f t="shared" si="21"/>
        <v/>
      </c>
      <c r="BE1525" s="171" t="str">
        <f t="shared" si="22"/>
        <v/>
      </c>
      <c r="BF1525" s="171" t="str">
        <f t="shared" si="23"/>
        <v>Archival</v>
      </c>
    </row>
    <row r="1526">
      <c r="A1526" s="213">
        <f t="array" ref="A1526">XLOOKUP(C1526,FSE!A:A,FSE!C:C,"XXXXX",0,1)</f>
        <v>2021</v>
      </c>
      <c r="B1526" s="213" t="s">
        <v>5676</v>
      </c>
      <c r="C1526" s="220">
        <v>231.0</v>
      </c>
      <c r="D1526" s="217" t="s">
        <v>6308</v>
      </c>
      <c r="E1526" s="221" t="str">
        <f t="array" ref="E1526">XLOOKUP(C1526,FSE!A:A,FSE!Z:Z,"XXXXX",0,1)</f>
        <v>Publicly Available (4)</v>
      </c>
      <c r="F1526" s="213" t="s">
        <v>3394</v>
      </c>
      <c r="G1526" s="163" t="str">
        <f t="array" ref="G1526">IF(B1526="ICSE",IF(COUNTIFS(B:B,B1526,C:C,C1526)=XLOOKUP(C1526,ICSE!A:A,ICSE!AA:AA,"ERROR",0,1),"OK","ERROR"),IF(B1526="FSE",IF(COUNTIFS(B:B,B1526,C:C,C1526)=XLOOKUP(C1526,FSE!A:A,FSE!AA:AA,"ERROR",0,1),"OK","ERROR")))</f>
        <v>OK</v>
      </c>
      <c r="H1526" s="199">
        <f t="shared" ref="H1526:O1526" si="7709">countif($D1526,"*"&amp;H$2&amp;"*")</f>
        <v>1</v>
      </c>
      <c r="I1526" s="200">
        <f t="shared" si="7709"/>
        <v>0</v>
      </c>
      <c r="J1526" s="200">
        <f t="shared" si="7709"/>
        <v>0</v>
      </c>
      <c r="K1526" s="200">
        <f t="shared" si="7709"/>
        <v>0</v>
      </c>
      <c r="L1526" s="200">
        <f t="shared" si="7709"/>
        <v>0</v>
      </c>
      <c r="M1526" s="200">
        <f t="shared" si="7709"/>
        <v>0</v>
      </c>
      <c r="N1526" s="200">
        <f t="shared" si="7709"/>
        <v>0</v>
      </c>
      <c r="O1526" s="200">
        <f t="shared" si="7709"/>
        <v>0</v>
      </c>
      <c r="P1526" s="200">
        <f t="shared" si="9"/>
        <v>0</v>
      </c>
      <c r="Q1526" s="200">
        <f t="shared" ref="Q1526:AC1526" si="7710">countif($D1526,"*"&amp;Q$2&amp;"*")</f>
        <v>0</v>
      </c>
      <c r="R1526" s="200">
        <f t="shared" si="7710"/>
        <v>0</v>
      </c>
      <c r="S1526" s="200">
        <f t="shared" si="7710"/>
        <v>0</v>
      </c>
      <c r="T1526" s="200">
        <f t="shared" si="7710"/>
        <v>0</v>
      </c>
      <c r="U1526" s="200">
        <f t="shared" si="7710"/>
        <v>0</v>
      </c>
      <c r="V1526" s="200">
        <f t="shared" si="7710"/>
        <v>0</v>
      </c>
      <c r="W1526" s="200">
        <f t="shared" si="7710"/>
        <v>0</v>
      </c>
      <c r="X1526" s="200">
        <f t="shared" si="7710"/>
        <v>0</v>
      </c>
      <c r="Y1526" s="200">
        <f t="shared" si="7710"/>
        <v>0</v>
      </c>
      <c r="Z1526" s="200">
        <f t="shared" si="7710"/>
        <v>0</v>
      </c>
      <c r="AA1526" s="200">
        <f t="shared" si="7710"/>
        <v>0</v>
      </c>
      <c r="AB1526" s="200">
        <f t="shared" si="7710"/>
        <v>0</v>
      </c>
      <c r="AC1526" s="200">
        <f t="shared" si="7710"/>
        <v>0</v>
      </c>
      <c r="AD1526" s="222">
        <f t="shared" si="11"/>
        <v>0</v>
      </c>
      <c r="AE1526" s="200">
        <f t="shared" ref="AE1526:AG1526" si="7711">countif($D1526,"*"&amp;AE$2&amp;"*")</f>
        <v>0</v>
      </c>
      <c r="AF1526" s="200">
        <f t="shared" si="7711"/>
        <v>0</v>
      </c>
      <c r="AG1526" s="200">
        <f t="shared" si="7711"/>
        <v>0</v>
      </c>
      <c r="AH1526" s="171">
        <f t="shared" si="13"/>
        <v>0</v>
      </c>
      <c r="AI1526" s="200">
        <f t="shared" si="14"/>
        <v>1</v>
      </c>
      <c r="AJ1526" s="200">
        <f t="shared" si="6100"/>
        <v>0</v>
      </c>
      <c r="AK1526" s="201">
        <f t="shared" ref="AK1526:AS1526" si="7712">countif($D1526,"*"&amp;AK$2&amp;"*")</f>
        <v>0</v>
      </c>
      <c r="AL1526" s="201">
        <f t="shared" si="7712"/>
        <v>0</v>
      </c>
      <c r="AM1526" s="201">
        <f t="shared" si="7712"/>
        <v>0</v>
      </c>
      <c r="AN1526" s="201">
        <f t="shared" si="7712"/>
        <v>0</v>
      </c>
      <c r="AO1526" s="201">
        <f t="shared" si="7712"/>
        <v>0</v>
      </c>
      <c r="AP1526" s="201">
        <f t="shared" si="7712"/>
        <v>0</v>
      </c>
      <c r="AQ1526" s="201">
        <f t="shared" si="7712"/>
        <v>0</v>
      </c>
      <c r="AR1526" s="222">
        <f t="shared" si="7712"/>
        <v>0</v>
      </c>
      <c r="AS1526" s="200">
        <f t="shared" si="7712"/>
        <v>0</v>
      </c>
      <c r="AT1526" s="223">
        <v>0.0</v>
      </c>
      <c r="AU1526" s="200">
        <f t="shared" si="6217"/>
        <v>0</v>
      </c>
      <c r="AV1526" s="200">
        <f t="shared" ref="AV1526:AX1526" si="7713">countif($D1526,"*"&amp;AV$2&amp;"*")</f>
        <v>0</v>
      </c>
      <c r="AW1526" s="200">
        <f t="shared" si="7713"/>
        <v>0</v>
      </c>
      <c r="AX1526" s="200">
        <f t="shared" si="7713"/>
        <v>1</v>
      </c>
      <c r="AY1526" s="202">
        <v>0.0</v>
      </c>
      <c r="AZ1526" s="200"/>
      <c r="BA1526" s="171" t="str">
        <f t="shared" si="18"/>
        <v>Archival</v>
      </c>
      <c r="BB1526" s="171" t="str">
        <f t="shared" si="19"/>
        <v/>
      </c>
      <c r="BC1526" s="171" t="str">
        <f t="shared" si="20"/>
        <v/>
      </c>
      <c r="BD1526" s="171" t="str">
        <f t="shared" si="21"/>
        <v/>
      </c>
      <c r="BE1526" s="171" t="str">
        <f t="shared" si="22"/>
        <v/>
      </c>
      <c r="BF1526" s="171" t="str">
        <f t="shared" si="23"/>
        <v>Archival</v>
      </c>
    </row>
    <row r="1527">
      <c r="A1527" s="171">
        <f t="array" ref="A1527">XLOOKUP(C1527,FSE!A:A,FSE!C:C,"XXXXX",0,1)</f>
        <v>2021</v>
      </c>
      <c r="B1527" s="213" t="s">
        <v>5676</v>
      </c>
      <c r="C1527" s="214">
        <v>232.0</v>
      </c>
      <c r="D1527" s="215" t="s">
        <v>4783</v>
      </c>
      <c r="E1527" s="197" t="str">
        <f t="array" ref="E1527">XLOOKUP(C1527,FSE!A:A,FSE!Z:Z,"XXXXX",0,1)</f>
        <v>Publicly Available (1)</v>
      </c>
      <c r="F1527" s="213" t="s">
        <v>3394</v>
      </c>
      <c r="G1527" s="163" t="str">
        <f t="array" ref="G1527">IF(B1527="ICSE",IF(COUNTIFS(B:B,B1527,C:C,C1527)=XLOOKUP(C1527,ICSE!A:A,ICSE!AA:AA,"ERROR",0,1),"OK","ERROR"),IF(B1527="FSE",IF(COUNTIFS(B:B,B1527,C:C,C1527)=XLOOKUP(C1527,FSE!A:A,FSE!AA:AA,"ERROR",0,1),"OK","ERROR")))</f>
        <v>OK</v>
      </c>
      <c r="H1527" s="199">
        <f t="shared" ref="H1527:O1527" si="7714">countif($D1527,"*"&amp;H$2&amp;"*")</f>
        <v>0</v>
      </c>
      <c r="I1527" s="200">
        <f t="shared" si="7714"/>
        <v>0</v>
      </c>
      <c r="J1527" s="200">
        <f t="shared" si="7714"/>
        <v>0</v>
      </c>
      <c r="K1527" s="200">
        <f t="shared" si="7714"/>
        <v>0</v>
      </c>
      <c r="L1527" s="200">
        <f t="shared" si="7714"/>
        <v>0</v>
      </c>
      <c r="M1527" s="200">
        <f t="shared" si="7714"/>
        <v>0</v>
      </c>
      <c r="N1527" s="200">
        <f t="shared" si="7714"/>
        <v>0</v>
      </c>
      <c r="O1527" s="200">
        <f t="shared" si="7714"/>
        <v>0</v>
      </c>
      <c r="P1527" s="200">
        <f t="shared" si="9"/>
        <v>1</v>
      </c>
      <c r="Q1527" s="200">
        <f t="shared" ref="Q1527:AC1527" si="7715">countif($D1527,"*"&amp;Q$2&amp;"*")</f>
        <v>0</v>
      </c>
      <c r="R1527" s="200">
        <f t="shared" si="7715"/>
        <v>0</v>
      </c>
      <c r="S1527" s="200">
        <f t="shared" si="7715"/>
        <v>0</v>
      </c>
      <c r="T1527" s="200">
        <f t="shared" si="7715"/>
        <v>0</v>
      </c>
      <c r="U1527" s="200">
        <f t="shared" si="7715"/>
        <v>0</v>
      </c>
      <c r="V1527" s="200">
        <f t="shared" si="7715"/>
        <v>0</v>
      </c>
      <c r="W1527" s="200">
        <f t="shared" si="7715"/>
        <v>0</v>
      </c>
      <c r="X1527" s="200">
        <f t="shared" si="7715"/>
        <v>0</v>
      </c>
      <c r="Y1527" s="200">
        <f t="shared" si="7715"/>
        <v>0</v>
      </c>
      <c r="Z1527" s="200">
        <f t="shared" si="7715"/>
        <v>0</v>
      </c>
      <c r="AA1527" s="200">
        <f t="shared" si="7715"/>
        <v>0</v>
      </c>
      <c r="AB1527" s="200">
        <f t="shared" si="7715"/>
        <v>0</v>
      </c>
      <c r="AC1527" s="200">
        <f t="shared" si="7715"/>
        <v>0</v>
      </c>
      <c r="AD1527" s="200">
        <f t="shared" si="11"/>
        <v>0</v>
      </c>
      <c r="AE1527" s="200">
        <f t="shared" ref="AE1527:AG1527" si="7716">countif($D1527,"*"&amp;AE$2&amp;"*")</f>
        <v>0</v>
      </c>
      <c r="AF1527" s="200">
        <f t="shared" si="7716"/>
        <v>0</v>
      </c>
      <c r="AG1527" s="200">
        <f t="shared" si="7716"/>
        <v>0</v>
      </c>
      <c r="AH1527" s="171">
        <f t="shared" si="13"/>
        <v>0</v>
      </c>
      <c r="AI1527" s="200">
        <f t="shared" si="14"/>
        <v>0</v>
      </c>
      <c r="AJ1527" s="200">
        <f t="shared" si="6100"/>
        <v>0</v>
      </c>
      <c r="AK1527" s="201">
        <f t="shared" ref="AK1527:AS1527" si="7717">countif($D1527,"*"&amp;AK$2&amp;"*")</f>
        <v>0</v>
      </c>
      <c r="AL1527" s="201">
        <f t="shared" si="7717"/>
        <v>0</v>
      </c>
      <c r="AM1527" s="201">
        <f t="shared" si="7717"/>
        <v>0</v>
      </c>
      <c r="AN1527" s="201">
        <f t="shared" si="7717"/>
        <v>0</v>
      </c>
      <c r="AO1527" s="201">
        <f t="shared" si="7717"/>
        <v>0</v>
      </c>
      <c r="AP1527" s="201">
        <f t="shared" si="7717"/>
        <v>0</v>
      </c>
      <c r="AQ1527" s="201">
        <f t="shared" si="7717"/>
        <v>0</v>
      </c>
      <c r="AR1527" s="200">
        <f t="shared" si="7717"/>
        <v>0</v>
      </c>
      <c r="AS1527" s="200">
        <f t="shared" si="7717"/>
        <v>0</v>
      </c>
      <c r="AT1527" s="173">
        <v>0.0</v>
      </c>
      <c r="AU1527" s="200">
        <f t="shared" si="6217"/>
        <v>0</v>
      </c>
      <c r="AV1527" s="200">
        <f t="shared" ref="AV1527:AX1527" si="7718">countif($D1527,"*"&amp;AV$2&amp;"*")</f>
        <v>1</v>
      </c>
      <c r="AW1527" s="200">
        <f t="shared" si="7718"/>
        <v>0</v>
      </c>
      <c r="AX1527" s="200">
        <f t="shared" si="7718"/>
        <v>0</v>
      </c>
      <c r="AY1527" s="202">
        <v>0.0</v>
      </c>
      <c r="AZ1527" s="200"/>
      <c r="BA1527" s="171" t="str">
        <f t="shared" si="18"/>
        <v/>
      </c>
      <c r="BB1527" s="171" t="str">
        <f t="shared" si="19"/>
        <v>Code</v>
      </c>
      <c r="BC1527" s="171" t="str">
        <f t="shared" si="20"/>
        <v/>
      </c>
      <c r="BD1527" s="171" t="str">
        <f t="shared" si="21"/>
        <v/>
      </c>
      <c r="BE1527" s="171" t="str">
        <f t="shared" si="22"/>
        <v/>
      </c>
      <c r="BF1527" s="171" t="str">
        <f t="shared" si="23"/>
        <v>Code</v>
      </c>
    </row>
    <row r="1528">
      <c r="A1528" s="171">
        <f t="array" ref="A1528">XLOOKUP(C1528,FSE!A:A,FSE!C:C,"XXXXX",0,1)</f>
        <v>2021</v>
      </c>
      <c r="B1528" s="213" t="s">
        <v>5676</v>
      </c>
      <c r="C1528" s="214">
        <v>233.0</v>
      </c>
      <c r="D1528" s="215" t="s">
        <v>4786</v>
      </c>
      <c r="E1528" s="197" t="str">
        <f t="array" ref="E1528">XLOOKUP(C1528,FSE!A:A,FSE!Z:Z,"XXXXX",0,1)</f>
        <v>Publicly Available (1)</v>
      </c>
      <c r="F1528" s="213" t="s">
        <v>3394</v>
      </c>
      <c r="G1528" s="163" t="str">
        <f t="array" ref="G1528">IF(B1528="ICSE",IF(COUNTIFS(B:B,B1528,C:C,C1528)=XLOOKUP(C1528,ICSE!A:A,ICSE!AA:AA,"ERROR",0,1),"OK","ERROR"),IF(B1528="FSE",IF(COUNTIFS(B:B,B1528,C:C,C1528)=XLOOKUP(C1528,FSE!A:A,FSE!AA:AA,"ERROR",0,1),"OK","ERROR")))</f>
        <v>OK</v>
      </c>
      <c r="H1528" s="199">
        <f t="shared" ref="H1528:O1528" si="7719">countif($D1528,"*"&amp;H$2&amp;"*")</f>
        <v>0</v>
      </c>
      <c r="I1528" s="200">
        <f t="shared" si="7719"/>
        <v>0</v>
      </c>
      <c r="J1528" s="200">
        <f t="shared" si="7719"/>
        <v>0</v>
      </c>
      <c r="K1528" s="200">
        <f t="shared" si="7719"/>
        <v>0</v>
      </c>
      <c r="L1528" s="200">
        <f t="shared" si="7719"/>
        <v>0</v>
      </c>
      <c r="M1528" s="200">
        <f t="shared" si="7719"/>
        <v>0</v>
      </c>
      <c r="N1528" s="200">
        <f t="shared" si="7719"/>
        <v>0</v>
      </c>
      <c r="O1528" s="200">
        <f t="shared" si="7719"/>
        <v>0</v>
      </c>
      <c r="P1528" s="200">
        <f t="shared" si="9"/>
        <v>1</v>
      </c>
      <c r="Q1528" s="200">
        <f t="shared" ref="Q1528:AC1528" si="7720">countif($D1528,"*"&amp;Q$2&amp;"*")</f>
        <v>0</v>
      </c>
      <c r="R1528" s="200">
        <f t="shared" si="7720"/>
        <v>0</v>
      </c>
      <c r="S1528" s="200">
        <f t="shared" si="7720"/>
        <v>0</v>
      </c>
      <c r="T1528" s="200">
        <f t="shared" si="7720"/>
        <v>0</v>
      </c>
      <c r="U1528" s="200">
        <f t="shared" si="7720"/>
        <v>0</v>
      </c>
      <c r="V1528" s="200">
        <f t="shared" si="7720"/>
        <v>0</v>
      </c>
      <c r="W1528" s="200">
        <f t="shared" si="7720"/>
        <v>0</v>
      </c>
      <c r="X1528" s="200">
        <f t="shared" si="7720"/>
        <v>0</v>
      </c>
      <c r="Y1528" s="200">
        <f t="shared" si="7720"/>
        <v>0</v>
      </c>
      <c r="Z1528" s="200">
        <f t="shared" si="7720"/>
        <v>0</v>
      </c>
      <c r="AA1528" s="200">
        <f t="shared" si="7720"/>
        <v>0</v>
      </c>
      <c r="AB1528" s="200">
        <f t="shared" si="7720"/>
        <v>0</v>
      </c>
      <c r="AC1528" s="200">
        <f t="shared" si="7720"/>
        <v>0</v>
      </c>
      <c r="AD1528" s="200">
        <f t="shared" si="11"/>
        <v>0</v>
      </c>
      <c r="AE1528" s="200">
        <f t="shared" ref="AE1528:AG1528" si="7721">countif($D1528,"*"&amp;AE$2&amp;"*")</f>
        <v>0</v>
      </c>
      <c r="AF1528" s="200">
        <f t="shared" si="7721"/>
        <v>0</v>
      </c>
      <c r="AG1528" s="200">
        <f t="shared" si="7721"/>
        <v>0</v>
      </c>
      <c r="AH1528" s="171">
        <f t="shared" si="13"/>
        <v>0</v>
      </c>
      <c r="AI1528" s="200">
        <f t="shared" si="14"/>
        <v>0</v>
      </c>
      <c r="AJ1528" s="200">
        <f t="shared" si="6100"/>
        <v>0</v>
      </c>
      <c r="AK1528" s="201">
        <f t="shared" ref="AK1528:AS1528" si="7722">countif($D1528,"*"&amp;AK$2&amp;"*")</f>
        <v>0</v>
      </c>
      <c r="AL1528" s="201">
        <f t="shared" si="7722"/>
        <v>0</v>
      </c>
      <c r="AM1528" s="201">
        <f t="shared" si="7722"/>
        <v>0</v>
      </c>
      <c r="AN1528" s="201">
        <f t="shared" si="7722"/>
        <v>0</v>
      </c>
      <c r="AO1528" s="201">
        <f t="shared" si="7722"/>
        <v>0</v>
      </c>
      <c r="AP1528" s="201">
        <f t="shared" si="7722"/>
        <v>0</v>
      </c>
      <c r="AQ1528" s="201">
        <f t="shared" si="7722"/>
        <v>0</v>
      </c>
      <c r="AR1528" s="200">
        <f t="shared" si="7722"/>
        <v>0</v>
      </c>
      <c r="AS1528" s="200">
        <f t="shared" si="7722"/>
        <v>0</v>
      </c>
      <c r="AT1528" s="173">
        <v>0.0</v>
      </c>
      <c r="AU1528" s="200">
        <f t="shared" si="6217"/>
        <v>0</v>
      </c>
      <c r="AV1528" s="200">
        <f t="shared" ref="AV1528:AX1528" si="7723">countif($D1528,"*"&amp;AV$2&amp;"*")</f>
        <v>1</v>
      </c>
      <c r="AW1528" s="200">
        <f t="shared" si="7723"/>
        <v>0</v>
      </c>
      <c r="AX1528" s="200">
        <f t="shared" si="7723"/>
        <v>0</v>
      </c>
      <c r="AY1528" s="202">
        <v>0.0</v>
      </c>
      <c r="AZ1528" s="200"/>
      <c r="BA1528" s="171" t="str">
        <f t="shared" si="18"/>
        <v/>
      </c>
      <c r="BB1528" s="171" t="str">
        <f t="shared" si="19"/>
        <v>Code</v>
      </c>
      <c r="BC1528" s="171" t="str">
        <f t="shared" si="20"/>
        <v/>
      </c>
      <c r="BD1528" s="171" t="str">
        <f t="shared" si="21"/>
        <v/>
      </c>
      <c r="BE1528" s="171" t="str">
        <f t="shared" si="22"/>
        <v/>
      </c>
      <c r="BF1528" s="171" t="str">
        <f t="shared" si="23"/>
        <v>Code</v>
      </c>
    </row>
    <row r="1529">
      <c r="A1529" s="171">
        <f t="array" ref="A1529">XLOOKUP(C1529,FSE!A:A,FSE!C:C,"XXXXX",0,1)</f>
        <v>2021</v>
      </c>
      <c r="B1529" s="213" t="s">
        <v>5676</v>
      </c>
      <c r="C1529" s="214">
        <v>235.0</v>
      </c>
      <c r="D1529" s="215" t="s">
        <v>4791</v>
      </c>
      <c r="E1529" s="197" t="str">
        <f t="array" ref="E1529">XLOOKUP(C1529,FSE!A:A,FSE!Z:Z,"XXXXX",0,1)</f>
        <v>Publicly Available (1)</v>
      </c>
      <c r="F1529" s="213" t="s">
        <v>3394</v>
      </c>
      <c r="G1529" s="163" t="str">
        <f t="array" ref="G1529">IF(B1529="ICSE",IF(COUNTIFS(B:B,B1529,C:C,C1529)=XLOOKUP(C1529,ICSE!A:A,ICSE!AA:AA,"ERROR",0,1),"OK","ERROR"),IF(B1529="FSE",IF(COUNTIFS(B:B,B1529,C:C,C1529)=XLOOKUP(C1529,FSE!A:A,FSE!AA:AA,"ERROR",0,1),"OK","ERROR")))</f>
        <v>OK</v>
      </c>
      <c r="H1529" s="199">
        <f t="shared" ref="H1529:O1529" si="7724">countif($D1529,"*"&amp;H$2&amp;"*")</f>
        <v>0</v>
      </c>
      <c r="I1529" s="200">
        <f t="shared" si="7724"/>
        <v>0</v>
      </c>
      <c r="J1529" s="200">
        <f t="shared" si="7724"/>
        <v>0</v>
      </c>
      <c r="K1529" s="200">
        <f t="shared" si="7724"/>
        <v>0</v>
      </c>
      <c r="L1529" s="200">
        <f t="shared" si="7724"/>
        <v>0</v>
      </c>
      <c r="M1529" s="200">
        <f t="shared" si="7724"/>
        <v>0</v>
      </c>
      <c r="N1529" s="200">
        <f t="shared" si="7724"/>
        <v>0</v>
      </c>
      <c r="O1529" s="200">
        <f t="shared" si="7724"/>
        <v>0</v>
      </c>
      <c r="P1529" s="200">
        <f t="shared" si="9"/>
        <v>1</v>
      </c>
      <c r="Q1529" s="200">
        <f t="shared" ref="Q1529:AC1529" si="7725">countif($D1529,"*"&amp;Q$2&amp;"*")</f>
        <v>0</v>
      </c>
      <c r="R1529" s="200">
        <f t="shared" si="7725"/>
        <v>0</v>
      </c>
      <c r="S1529" s="200">
        <f t="shared" si="7725"/>
        <v>0</v>
      </c>
      <c r="T1529" s="200">
        <f t="shared" si="7725"/>
        <v>0</v>
      </c>
      <c r="U1529" s="200">
        <f t="shared" si="7725"/>
        <v>0</v>
      </c>
      <c r="V1529" s="200">
        <f t="shared" si="7725"/>
        <v>0</v>
      </c>
      <c r="W1529" s="200">
        <f t="shared" si="7725"/>
        <v>0</v>
      </c>
      <c r="X1529" s="200">
        <f t="shared" si="7725"/>
        <v>0</v>
      </c>
      <c r="Y1529" s="200">
        <f t="shared" si="7725"/>
        <v>0</v>
      </c>
      <c r="Z1529" s="200">
        <f t="shared" si="7725"/>
        <v>0</v>
      </c>
      <c r="AA1529" s="200">
        <f t="shared" si="7725"/>
        <v>0</v>
      </c>
      <c r="AB1529" s="200">
        <f t="shared" si="7725"/>
        <v>0</v>
      </c>
      <c r="AC1529" s="200">
        <f t="shared" si="7725"/>
        <v>0</v>
      </c>
      <c r="AD1529" s="200">
        <f t="shared" si="11"/>
        <v>0</v>
      </c>
      <c r="AE1529" s="200">
        <f t="shared" ref="AE1529:AG1529" si="7726">countif($D1529,"*"&amp;AE$2&amp;"*")</f>
        <v>0</v>
      </c>
      <c r="AF1529" s="200">
        <f t="shared" si="7726"/>
        <v>0</v>
      </c>
      <c r="AG1529" s="200">
        <f t="shared" si="7726"/>
        <v>0</v>
      </c>
      <c r="AH1529" s="171">
        <f t="shared" si="13"/>
        <v>0</v>
      </c>
      <c r="AI1529" s="200">
        <f t="shared" si="14"/>
        <v>0</v>
      </c>
      <c r="AJ1529" s="200">
        <f t="shared" si="6100"/>
        <v>0</v>
      </c>
      <c r="AK1529" s="201">
        <f t="shared" ref="AK1529:AS1529" si="7727">countif($D1529,"*"&amp;AK$2&amp;"*")</f>
        <v>0</v>
      </c>
      <c r="AL1529" s="201">
        <f t="shared" si="7727"/>
        <v>0</v>
      </c>
      <c r="AM1529" s="201">
        <f t="shared" si="7727"/>
        <v>0</v>
      </c>
      <c r="AN1529" s="201">
        <f t="shared" si="7727"/>
        <v>0</v>
      </c>
      <c r="AO1529" s="201">
        <f t="shared" si="7727"/>
        <v>0</v>
      </c>
      <c r="AP1529" s="201">
        <f t="shared" si="7727"/>
        <v>0</v>
      </c>
      <c r="AQ1529" s="201">
        <f t="shared" si="7727"/>
        <v>0</v>
      </c>
      <c r="AR1529" s="200">
        <f t="shared" si="7727"/>
        <v>0</v>
      </c>
      <c r="AS1529" s="200">
        <f t="shared" si="7727"/>
        <v>0</v>
      </c>
      <c r="AT1529" s="173">
        <v>0.0</v>
      </c>
      <c r="AU1529" s="200">
        <f t="shared" si="6217"/>
        <v>0</v>
      </c>
      <c r="AV1529" s="200">
        <f t="shared" ref="AV1529:AX1529" si="7728">countif($D1529,"*"&amp;AV$2&amp;"*")</f>
        <v>1</v>
      </c>
      <c r="AW1529" s="200">
        <f t="shared" si="7728"/>
        <v>0</v>
      </c>
      <c r="AX1529" s="200">
        <f t="shared" si="7728"/>
        <v>0</v>
      </c>
      <c r="AY1529" s="202">
        <v>0.0</v>
      </c>
      <c r="AZ1529" s="200"/>
      <c r="BA1529" s="171" t="str">
        <f t="shared" si="18"/>
        <v/>
      </c>
      <c r="BB1529" s="171" t="str">
        <f t="shared" si="19"/>
        <v>Code</v>
      </c>
      <c r="BC1529" s="171" t="str">
        <f t="shared" si="20"/>
        <v/>
      </c>
      <c r="BD1529" s="171" t="str">
        <f t="shared" si="21"/>
        <v/>
      </c>
      <c r="BE1529" s="171" t="str">
        <f t="shared" si="22"/>
        <v/>
      </c>
      <c r="BF1529" s="171" t="str">
        <f t="shared" si="23"/>
        <v>Code</v>
      </c>
    </row>
    <row r="1530">
      <c r="A1530" s="171">
        <f t="array" ref="A1530">XLOOKUP(C1530,FSE!A:A,FSE!C:C,"XXXXX",0,1)</f>
        <v>2021</v>
      </c>
      <c r="B1530" s="213" t="s">
        <v>5676</v>
      </c>
      <c r="C1530" s="214">
        <v>236.0</v>
      </c>
      <c r="D1530" s="215" t="s">
        <v>4794</v>
      </c>
      <c r="E1530" s="197" t="str">
        <f t="array" ref="E1530">XLOOKUP(C1530,FSE!A:A,FSE!Z:Z,"XXXXX",0,1)</f>
        <v>Publicly Available (1)</v>
      </c>
      <c r="F1530" s="213" t="s">
        <v>3394</v>
      </c>
      <c r="G1530" s="163" t="str">
        <f t="array" ref="G1530">IF(B1530="ICSE",IF(COUNTIFS(B:B,B1530,C:C,C1530)=XLOOKUP(C1530,ICSE!A:A,ICSE!AA:AA,"ERROR",0,1),"OK","ERROR"),IF(B1530="FSE",IF(COUNTIFS(B:B,B1530,C:C,C1530)=XLOOKUP(C1530,FSE!A:A,FSE!AA:AA,"ERROR",0,1),"OK","ERROR")))</f>
        <v>OK</v>
      </c>
      <c r="H1530" s="199">
        <f t="shared" ref="H1530:O1530" si="7729">countif($D1530,"*"&amp;H$2&amp;"*")</f>
        <v>0</v>
      </c>
      <c r="I1530" s="200">
        <f t="shared" si="7729"/>
        <v>0</v>
      </c>
      <c r="J1530" s="200">
        <f t="shared" si="7729"/>
        <v>0</v>
      </c>
      <c r="K1530" s="200">
        <f t="shared" si="7729"/>
        <v>0</v>
      </c>
      <c r="L1530" s="200">
        <f t="shared" si="7729"/>
        <v>0</v>
      </c>
      <c r="M1530" s="200">
        <f t="shared" si="7729"/>
        <v>0</v>
      </c>
      <c r="N1530" s="200">
        <f t="shared" si="7729"/>
        <v>0</v>
      </c>
      <c r="O1530" s="200">
        <f t="shared" si="7729"/>
        <v>0</v>
      </c>
      <c r="P1530" s="200">
        <f t="shared" si="9"/>
        <v>1</v>
      </c>
      <c r="Q1530" s="200">
        <f t="shared" ref="Q1530:AC1530" si="7730">countif($D1530,"*"&amp;Q$2&amp;"*")</f>
        <v>0</v>
      </c>
      <c r="R1530" s="200">
        <f t="shared" si="7730"/>
        <v>0</v>
      </c>
      <c r="S1530" s="200">
        <f t="shared" si="7730"/>
        <v>0</v>
      </c>
      <c r="T1530" s="200">
        <f t="shared" si="7730"/>
        <v>0</v>
      </c>
      <c r="U1530" s="200">
        <f t="shared" si="7730"/>
        <v>0</v>
      </c>
      <c r="V1530" s="200">
        <f t="shared" si="7730"/>
        <v>0</v>
      </c>
      <c r="W1530" s="200">
        <f t="shared" si="7730"/>
        <v>0</v>
      </c>
      <c r="X1530" s="200">
        <f t="shared" si="7730"/>
        <v>0</v>
      </c>
      <c r="Y1530" s="200">
        <f t="shared" si="7730"/>
        <v>0</v>
      </c>
      <c r="Z1530" s="200">
        <f t="shared" si="7730"/>
        <v>0</v>
      </c>
      <c r="AA1530" s="200">
        <f t="shared" si="7730"/>
        <v>0</v>
      </c>
      <c r="AB1530" s="200">
        <f t="shared" si="7730"/>
        <v>0</v>
      </c>
      <c r="AC1530" s="200">
        <f t="shared" si="7730"/>
        <v>0</v>
      </c>
      <c r="AD1530" s="200">
        <f t="shared" si="11"/>
        <v>0</v>
      </c>
      <c r="AE1530" s="200">
        <f t="shared" ref="AE1530:AG1530" si="7731">countif($D1530,"*"&amp;AE$2&amp;"*")</f>
        <v>0</v>
      </c>
      <c r="AF1530" s="200">
        <f t="shared" si="7731"/>
        <v>0</v>
      </c>
      <c r="AG1530" s="200">
        <f t="shared" si="7731"/>
        <v>0</v>
      </c>
      <c r="AH1530" s="171">
        <f t="shared" si="13"/>
        <v>0</v>
      </c>
      <c r="AI1530" s="200">
        <f t="shared" si="14"/>
        <v>0</v>
      </c>
      <c r="AJ1530" s="200">
        <f t="shared" si="6100"/>
        <v>0</v>
      </c>
      <c r="AK1530" s="201">
        <f t="shared" ref="AK1530:AS1530" si="7732">countif($D1530,"*"&amp;AK$2&amp;"*")</f>
        <v>0</v>
      </c>
      <c r="AL1530" s="201">
        <f t="shared" si="7732"/>
        <v>0</v>
      </c>
      <c r="AM1530" s="201">
        <f t="shared" si="7732"/>
        <v>0</v>
      </c>
      <c r="AN1530" s="201">
        <f t="shared" si="7732"/>
        <v>0</v>
      </c>
      <c r="AO1530" s="201">
        <f t="shared" si="7732"/>
        <v>0</v>
      </c>
      <c r="AP1530" s="201">
        <f t="shared" si="7732"/>
        <v>0</v>
      </c>
      <c r="AQ1530" s="201">
        <f t="shared" si="7732"/>
        <v>0</v>
      </c>
      <c r="AR1530" s="200">
        <f t="shared" si="7732"/>
        <v>0</v>
      </c>
      <c r="AS1530" s="200">
        <f t="shared" si="7732"/>
        <v>0</v>
      </c>
      <c r="AT1530" s="173">
        <v>0.0</v>
      </c>
      <c r="AU1530" s="200">
        <f t="shared" si="6217"/>
        <v>0</v>
      </c>
      <c r="AV1530" s="200">
        <f t="shared" ref="AV1530:AX1530" si="7733">countif($D1530,"*"&amp;AV$2&amp;"*")</f>
        <v>1</v>
      </c>
      <c r="AW1530" s="200">
        <f t="shared" si="7733"/>
        <v>0</v>
      </c>
      <c r="AX1530" s="200">
        <f t="shared" si="7733"/>
        <v>0</v>
      </c>
      <c r="AY1530" s="202">
        <v>0.0</v>
      </c>
      <c r="AZ1530" s="200"/>
      <c r="BA1530" s="171" t="str">
        <f t="shared" si="18"/>
        <v/>
      </c>
      <c r="BB1530" s="171" t="str">
        <f t="shared" si="19"/>
        <v>Code</v>
      </c>
      <c r="BC1530" s="171" t="str">
        <f t="shared" si="20"/>
        <v/>
      </c>
      <c r="BD1530" s="171" t="str">
        <f t="shared" si="21"/>
        <v/>
      </c>
      <c r="BE1530" s="171" t="str">
        <f t="shared" si="22"/>
        <v/>
      </c>
      <c r="BF1530" s="171" t="str">
        <f t="shared" si="23"/>
        <v>Code</v>
      </c>
    </row>
    <row r="1531">
      <c r="A1531" s="171">
        <f t="array" ref="A1531">XLOOKUP(C1531,FSE!A:A,FSE!C:C,"XXXXX",0,1)</f>
        <v>2021</v>
      </c>
      <c r="B1531" s="213" t="s">
        <v>5676</v>
      </c>
      <c r="C1531" s="214">
        <v>237.0</v>
      </c>
      <c r="D1531" s="215" t="s">
        <v>4797</v>
      </c>
      <c r="E1531" s="197" t="str">
        <f t="array" ref="E1531">XLOOKUP(C1531,FSE!A:A,FSE!Z:Z,"XXXXX",0,1)</f>
        <v>Publicly Available (1)</v>
      </c>
      <c r="F1531" s="213" t="s">
        <v>3394</v>
      </c>
      <c r="G1531" s="163" t="str">
        <f t="array" ref="G1531">IF(B1531="ICSE",IF(COUNTIFS(B:B,B1531,C:C,C1531)=XLOOKUP(C1531,ICSE!A:A,ICSE!AA:AA,"ERROR",0,1),"OK","ERROR"),IF(B1531="FSE",IF(COUNTIFS(B:B,B1531,C:C,C1531)=XLOOKUP(C1531,FSE!A:A,FSE!AA:AA,"ERROR",0,1),"OK","ERROR")))</f>
        <v>OK</v>
      </c>
      <c r="H1531" s="199">
        <f t="shared" ref="H1531:O1531" si="7734">countif($D1531,"*"&amp;H$2&amp;"*")</f>
        <v>0</v>
      </c>
      <c r="I1531" s="200">
        <f t="shared" si="7734"/>
        <v>0</v>
      </c>
      <c r="J1531" s="200">
        <f t="shared" si="7734"/>
        <v>0</v>
      </c>
      <c r="K1531" s="200">
        <f t="shared" si="7734"/>
        <v>0</v>
      </c>
      <c r="L1531" s="200">
        <f t="shared" si="7734"/>
        <v>0</v>
      </c>
      <c r="M1531" s="200">
        <f t="shared" si="7734"/>
        <v>0</v>
      </c>
      <c r="N1531" s="200">
        <f t="shared" si="7734"/>
        <v>0</v>
      </c>
      <c r="O1531" s="200">
        <f t="shared" si="7734"/>
        <v>0</v>
      </c>
      <c r="P1531" s="200">
        <f t="shared" si="9"/>
        <v>1</v>
      </c>
      <c r="Q1531" s="200">
        <f t="shared" ref="Q1531:AC1531" si="7735">countif($D1531,"*"&amp;Q$2&amp;"*")</f>
        <v>0</v>
      </c>
      <c r="R1531" s="200">
        <f t="shared" si="7735"/>
        <v>0</v>
      </c>
      <c r="S1531" s="200">
        <f t="shared" si="7735"/>
        <v>0</v>
      </c>
      <c r="T1531" s="200">
        <f t="shared" si="7735"/>
        <v>0</v>
      </c>
      <c r="U1531" s="200">
        <f t="shared" si="7735"/>
        <v>0</v>
      </c>
      <c r="V1531" s="200">
        <f t="shared" si="7735"/>
        <v>0</v>
      </c>
      <c r="W1531" s="200">
        <f t="shared" si="7735"/>
        <v>0</v>
      </c>
      <c r="X1531" s="200">
        <f t="shared" si="7735"/>
        <v>0</v>
      </c>
      <c r="Y1531" s="200">
        <f t="shared" si="7735"/>
        <v>0</v>
      </c>
      <c r="Z1531" s="200">
        <f t="shared" si="7735"/>
        <v>0</v>
      </c>
      <c r="AA1531" s="200">
        <f t="shared" si="7735"/>
        <v>0</v>
      </c>
      <c r="AB1531" s="200">
        <f t="shared" si="7735"/>
        <v>0</v>
      </c>
      <c r="AC1531" s="200">
        <f t="shared" si="7735"/>
        <v>0</v>
      </c>
      <c r="AD1531" s="200">
        <f t="shared" si="11"/>
        <v>0</v>
      </c>
      <c r="AE1531" s="200">
        <f t="shared" ref="AE1531:AG1531" si="7736">countif($D1531,"*"&amp;AE$2&amp;"*")</f>
        <v>0</v>
      </c>
      <c r="AF1531" s="200">
        <f t="shared" si="7736"/>
        <v>0</v>
      </c>
      <c r="AG1531" s="200">
        <f t="shared" si="7736"/>
        <v>0</v>
      </c>
      <c r="AH1531" s="171">
        <f t="shared" si="13"/>
        <v>0</v>
      </c>
      <c r="AI1531" s="200">
        <f t="shared" si="14"/>
        <v>0</v>
      </c>
      <c r="AJ1531" s="200">
        <f t="shared" si="6100"/>
        <v>0</v>
      </c>
      <c r="AK1531" s="201">
        <f t="shared" ref="AK1531:AS1531" si="7737">countif($D1531,"*"&amp;AK$2&amp;"*")</f>
        <v>0</v>
      </c>
      <c r="AL1531" s="201">
        <f t="shared" si="7737"/>
        <v>0</v>
      </c>
      <c r="AM1531" s="201">
        <f t="shared" si="7737"/>
        <v>0</v>
      </c>
      <c r="AN1531" s="201">
        <f t="shared" si="7737"/>
        <v>0</v>
      </c>
      <c r="AO1531" s="201">
        <f t="shared" si="7737"/>
        <v>0</v>
      </c>
      <c r="AP1531" s="201">
        <f t="shared" si="7737"/>
        <v>0</v>
      </c>
      <c r="AQ1531" s="201">
        <f t="shared" si="7737"/>
        <v>0</v>
      </c>
      <c r="AR1531" s="200">
        <f t="shared" si="7737"/>
        <v>0</v>
      </c>
      <c r="AS1531" s="200">
        <f t="shared" si="7737"/>
        <v>0</v>
      </c>
      <c r="AT1531" s="173">
        <v>0.0</v>
      </c>
      <c r="AU1531" s="200">
        <f t="shared" si="6217"/>
        <v>0</v>
      </c>
      <c r="AV1531" s="200">
        <f t="shared" ref="AV1531:AX1531" si="7738">countif($D1531,"*"&amp;AV$2&amp;"*")</f>
        <v>1</v>
      </c>
      <c r="AW1531" s="200">
        <f t="shared" si="7738"/>
        <v>0</v>
      </c>
      <c r="AX1531" s="200">
        <f t="shared" si="7738"/>
        <v>0</v>
      </c>
      <c r="AY1531" s="202">
        <v>0.0</v>
      </c>
      <c r="AZ1531" s="200"/>
      <c r="BA1531" s="171" t="str">
        <f t="shared" si="18"/>
        <v/>
      </c>
      <c r="BB1531" s="171" t="str">
        <f t="shared" si="19"/>
        <v>Code</v>
      </c>
      <c r="BC1531" s="171" t="str">
        <f t="shared" si="20"/>
        <v/>
      </c>
      <c r="BD1531" s="171" t="str">
        <f t="shared" si="21"/>
        <v/>
      </c>
      <c r="BE1531" s="171" t="str">
        <f t="shared" si="22"/>
        <v/>
      </c>
      <c r="BF1531" s="171" t="str">
        <f t="shared" si="23"/>
        <v>Code</v>
      </c>
    </row>
    <row r="1532">
      <c r="A1532" s="171">
        <f t="array" ref="A1532">XLOOKUP(C1532,FSE!A:A,FSE!C:C,"XXXXX",0,1)</f>
        <v>2021</v>
      </c>
      <c r="B1532" s="213" t="s">
        <v>5676</v>
      </c>
      <c r="C1532" s="214">
        <v>239.0</v>
      </c>
      <c r="D1532" s="215" t="s">
        <v>4801</v>
      </c>
      <c r="E1532" s="197" t="str">
        <f t="array" ref="E1532">XLOOKUP(C1532,FSE!A:A,FSE!Z:Z,"XXXXX",0,1)</f>
        <v>Publicly Available (1)</v>
      </c>
      <c r="F1532" s="213" t="s">
        <v>3394</v>
      </c>
      <c r="G1532" s="163" t="str">
        <f t="array" ref="G1532">IF(B1532="ICSE",IF(COUNTIFS(B:B,B1532,C:C,C1532)=XLOOKUP(C1532,ICSE!A:A,ICSE!AA:AA,"ERROR",0,1),"OK","ERROR"),IF(B1532="FSE",IF(COUNTIFS(B:B,B1532,C:C,C1532)=XLOOKUP(C1532,FSE!A:A,FSE!AA:AA,"ERROR",0,1),"OK","ERROR")))</f>
        <v>OK</v>
      </c>
      <c r="H1532" s="199">
        <f t="shared" ref="H1532:O1532" si="7739">countif($D1532,"*"&amp;H$2&amp;"*")</f>
        <v>0</v>
      </c>
      <c r="I1532" s="200">
        <f t="shared" si="7739"/>
        <v>0</v>
      </c>
      <c r="J1532" s="200">
        <f t="shared" si="7739"/>
        <v>0</v>
      </c>
      <c r="K1532" s="200">
        <f t="shared" si="7739"/>
        <v>0</v>
      </c>
      <c r="L1532" s="200">
        <f t="shared" si="7739"/>
        <v>0</v>
      </c>
      <c r="M1532" s="200">
        <f t="shared" si="7739"/>
        <v>0</v>
      </c>
      <c r="N1532" s="200">
        <f t="shared" si="7739"/>
        <v>0</v>
      </c>
      <c r="O1532" s="200">
        <f t="shared" si="7739"/>
        <v>0</v>
      </c>
      <c r="P1532" s="200">
        <f t="shared" si="9"/>
        <v>1</v>
      </c>
      <c r="Q1532" s="200">
        <f t="shared" ref="Q1532:AC1532" si="7740">countif($D1532,"*"&amp;Q$2&amp;"*")</f>
        <v>0</v>
      </c>
      <c r="R1532" s="200">
        <f t="shared" si="7740"/>
        <v>0</v>
      </c>
      <c r="S1532" s="200">
        <f t="shared" si="7740"/>
        <v>0</v>
      </c>
      <c r="T1532" s="200">
        <f t="shared" si="7740"/>
        <v>0</v>
      </c>
      <c r="U1532" s="200">
        <f t="shared" si="7740"/>
        <v>0</v>
      </c>
      <c r="V1532" s="200">
        <f t="shared" si="7740"/>
        <v>0</v>
      </c>
      <c r="W1532" s="200">
        <f t="shared" si="7740"/>
        <v>0</v>
      </c>
      <c r="X1532" s="200">
        <f t="shared" si="7740"/>
        <v>0</v>
      </c>
      <c r="Y1532" s="200">
        <f t="shared" si="7740"/>
        <v>0</v>
      </c>
      <c r="Z1532" s="200">
        <f t="shared" si="7740"/>
        <v>0</v>
      </c>
      <c r="AA1532" s="200">
        <f t="shared" si="7740"/>
        <v>0</v>
      </c>
      <c r="AB1532" s="200">
        <f t="shared" si="7740"/>
        <v>0</v>
      </c>
      <c r="AC1532" s="200">
        <f t="shared" si="7740"/>
        <v>0</v>
      </c>
      <c r="AD1532" s="200">
        <f t="shared" si="11"/>
        <v>0</v>
      </c>
      <c r="AE1532" s="200">
        <f t="shared" ref="AE1532:AG1532" si="7741">countif($D1532,"*"&amp;AE$2&amp;"*")</f>
        <v>0</v>
      </c>
      <c r="AF1532" s="200">
        <f t="shared" si="7741"/>
        <v>0</v>
      </c>
      <c r="AG1532" s="200">
        <f t="shared" si="7741"/>
        <v>0</v>
      </c>
      <c r="AH1532" s="171">
        <f t="shared" si="13"/>
        <v>0</v>
      </c>
      <c r="AI1532" s="200">
        <f t="shared" si="14"/>
        <v>0</v>
      </c>
      <c r="AJ1532" s="200">
        <f t="shared" si="6100"/>
        <v>0</v>
      </c>
      <c r="AK1532" s="201">
        <f t="shared" ref="AK1532:AS1532" si="7742">countif($D1532,"*"&amp;AK$2&amp;"*")</f>
        <v>0</v>
      </c>
      <c r="AL1532" s="201">
        <f t="shared" si="7742"/>
        <v>0</v>
      </c>
      <c r="AM1532" s="201">
        <f t="shared" si="7742"/>
        <v>0</v>
      </c>
      <c r="AN1532" s="201">
        <f t="shared" si="7742"/>
        <v>0</v>
      </c>
      <c r="AO1532" s="201">
        <f t="shared" si="7742"/>
        <v>0</v>
      </c>
      <c r="AP1532" s="201">
        <f t="shared" si="7742"/>
        <v>0</v>
      </c>
      <c r="AQ1532" s="201">
        <f t="shared" si="7742"/>
        <v>0</v>
      </c>
      <c r="AR1532" s="200">
        <f t="shared" si="7742"/>
        <v>0</v>
      </c>
      <c r="AS1532" s="200">
        <f t="shared" si="7742"/>
        <v>0</v>
      </c>
      <c r="AT1532" s="173">
        <v>0.0</v>
      </c>
      <c r="AU1532" s="200">
        <f t="shared" si="6217"/>
        <v>0</v>
      </c>
      <c r="AV1532" s="200">
        <f t="shared" ref="AV1532:AX1532" si="7743">countif($D1532,"*"&amp;AV$2&amp;"*")</f>
        <v>1</v>
      </c>
      <c r="AW1532" s="200">
        <f t="shared" si="7743"/>
        <v>0</v>
      </c>
      <c r="AX1532" s="200">
        <f t="shared" si="7743"/>
        <v>0</v>
      </c>
      <c r="AY1532" s="202">
        <v>0.0</v>
      </c>
      <c r="AZ1532" s="200"/>
      <c r="BA1532" s="171" t="str">
        <f t="shared" si="18"/>
        <v/>
      </c>
      <c r="BB1532" s="171" t="str">
        <f t="shared" si="19"/>
        <v>Code</v>
      </c>
      <c r="BC1532" s="171" t="str">
        <f t="shared" si="20"/>
        <v/>
      </c>
      <c r="BD1532" s="171" t="str">
        <f t="shared" si="21"/>
        <v/>
      </c>
      <c r="BE1532" s="171" t="str">
        <f t="shared" si="22"/>
        <v/>
      </c>
      <c r="BF1532" s="171" t="str">
        <f t="shared" si="23"/>
        <v>Code</v>
      </c>
    </row>
    <row r="1533">
      <c r="A1533" s="171">
        <f t="array" ref="A1533">XLOOKUP(C1533,FSE!A:A,FSE!C:C,"XXXXX",0,1)</f>
        <v>2021</v>
      </c>
      <c r="B1533" s="213" t="s">
        <v>5676</v>
      </c>
      <c r="C1533" s="214">
        <v>240.0</v>
      </c>
      <c r="D1533" s="215" t="s">
        <v>4804</v>
      </c>
      <c r="E1533" s="197" t="str">
        <f t="array" ref="E1533">XLOOKUP(C1533,FSE!A:A,FSE!Z:Z,"XXXXX",0,1)</f>
        <v>Publicly Available (1)</v>
      </c>
      <c r="F1533" s="213" t="s">
        <v>3394</v>
      </c>
      <c r="G1533" s="163" t="str">
        <f t="array" ref="G1533">IF(B1533="ICSE",IF(COUNTIFS(B:B,B1533,C:C,C1533)=XLOOKUP(C1533,ICSE!A:A,ICSE!AA:AA,"ERROR",0,1),"OK","ERROR"),IF(B1533="FSE",IF(COUNTIFS(B:B,B1533,C:C,C1533)=XLOOKUP(C1533,FSE!A:A,FSE!AA:AA,"ERROR",0,1),"OK","ERROR")))</f>
        <v>OK</v>
      </c>
      <c r="H1533" s="199">
        <f t="shared" ref="H1533:O1533" si="7744">countif($D1533,"*"&amp;H$2&amp;"*")</f>
        <v>0</v>
      </c>
      <c r="I1533" s="200">
        <f t="shared" si="7744"/>
        <v>0</v>
      </c>
      <c r="J1533" s="200">
        <f t="shared" si="7744"/>
        <v>0</v>
      </c>
      <c r="K1533" s="200">
        <f t="shared" si="7744"/>
        <v>0</v>
      </c>
      <c r="L1533" s="200">
        <f t="shared" si="7744"/>
        <v>0</v>
      </c>
      <c r="M1533" s="200">
        <f t="shared" si="7744"/>
        <v>0</v>
      </c>
      <c r="N1533" s="200">
        <f t="shared" si="7744"/>
        <v>0</v>
      </c>
      <c r="O1533" s="200">
        <f t="shared" si="7744"/>
        <v>0</v>
      </c>
      <c r="P1533" s="200">
        <f t="shared" si="9"/>
        <v>1</v>
      </c>
      <c r="Q1533" s="200">
        <f t="shared" ref="Q1533:AC1533" si="7745">countif($D1533,"*"&amp;Q$2&amp;"*")</f>
        <v>0</v>
      </c>
      <c r="R1533" s="200">
        <f t="shared" si="7745"/>
        <v>0</v>
      </c>
      <c r="S1533" s="200">
        <f t="shared" si="7745"/>
        <v>0</v>
      </c>
      <c r="T1533" s="200">
        <f t="shared" si="7745"/>
        <v>0</v>
      </c>
      <c r="U1533" s="200">
        <f t="shared" si="7745"/>
        <v>0</v>
      </c>
      <c r="V1533" s="200">
        <f t="shared" si="7745"/>
        <v>0</v>
      </c>
      <c r="W1533" s="200">
        <f t="shared" si="7745"/>
        <v>0</v>
      </c>
      <c r="X1533" s="200">
        <f t="shared" si="7745"/>
        <v>0</v>
      </c>
      <c r="Y1533" s="200">
        <f t="shared" si="7745"/>
        <v>0</v>
      </c>
      <c r="Z1533" s="200">
        <f t="shared" si="7745"/>
        <v>0</v>
      </c>
      <c r="AA1533" s="200">
        <f t="shared" si="7745"/>
        <v>0</v>
      </c>
      <c r="AB1533" s="200">
        <f t="shared" si="7745"/>
        <v>0</v>
      </c>
      <c r="AC1533" s="200">
        <f t="shared" si="7745"/>
        <v>0</v>
      </c>
      <c r="AD1533" s="200">
        <f t="shared" si="11"/>
        <v>0</v>
      </c>
      <c r="AE1533" s="200">
        <f t="shared" ref="AE1533:AG1533" si="7746">countif($D1533,"*"&amp;AE$2&amp;"*")</f>
        <v>0</v>
      </c>
      <c r="AF1533" s="200">
        <f t="shared" si="7746"/>
        <v>0</v>
      </c>
      <c r="AG1533" s="200">
        <f t="shared" si="7746"/>
        <v>0</v>
      </c>
      <c r="AH1533" s="171">
        <f t="shared" si="13"/>
        <v>0</v>
      </c>
      <c r="AI1533" s="200">
        <f t="shared" si="14"/>
        <v>0</v>
      </c>
      <c r="AJ1533" s="200">
        <f t="shared" si="6100"/>
        <v>0</v>
      </c>
      <c r="AK1533" s="201">
        <f t="shared" ref="AK1533:AS1533" si="7747">countif($D1533,"*"&amp;AK$2&amp;"*")</f>
        <v>0</v>
      </c>
      <c r="AL1533" s="201">
        <f t="shared" si="7747"/>
        <v>0</v>
      </c>
      <c r="AM1533" s="201">
        <f t="shared" si="7747"/>
        <v>0</v>
      </c>
      <c r="AN1533" s="201">
        <f t="shared" si="7747"/>
        <v>0</v>
      </c>
      <c r="AO1533" s="201">
        <f t="shared" si="7747"/>
        <v>0</v>
      </c>
      <c r="AP1533" s="201">
        <f t="shared" si="7747"/>
        <v>0</v>
      </c>
      <c r="AQ1533" s="201">
        <f t="shared" si="7747"/>
        <v>0</v>
      </c>
      <c r="AR1533" s="200">
        <f t="shared" si="7747"/>
        <v>0</v>
      </c>
      <c r="AS1533" s="200">
        <f t="shared" si="7747"/>
        <v>0</v>
      </c>
      <c r="AT1533" s="173">
        <v>0.0</v>
      </c>
      <c r="AU1533" s="200">
        <f t="shared" si="6217"/>
        <v>0</v>
      </c>
      <c r="AV1533" s="200">
        <f t="shared" ref="AV1533:AX1533" si="7748">countif($D1533,"*"&amp;AV$2&amp;"*")</f>
        <v>1</v>
      </c>
      <c r="AW1533" s="200">
        <f t="shared" si="7748"/>
        <v>0</v>
      </c>
      <c r="AX1533" s="200">
        <f t="shared" si="7748"/>
        <v>0</v>
      </c>
      <c r="AY1533" s="202">
        <v>0.0</v>
      </c>
      <c r="AZ1533" s="200"/>
      <c r="BA1533" s="171" t="str">
        <f t="shared" si="18"/>
        <v/>
      </c>
      <c r="BB1533" s="171" t="str">
        <f t="shared" si="19"/>
        <v>Code</v>
      </c>
      <c r="BC1533" s="171" t="str">
        <f t="shared" si="20"/>
        <v/>
      </c>
      <c r="BD1533" s="171" t="str">
        <f t="shared" si="21"/>
        <v/>
      </c>
      <c r="BE1533" s="171" t="str">
        <f t="shared" si="22"/>
        <v/>
      </c>
      <c r="BF1533" s="171" t="str">
        <f t="shared" si="23"/>
        <v>Code</v>
      </c>
    </row>
    <row r="1534">
      <c r="A1534" s="171">
        <f t="array" ref="A1534">XLOOKUP(C1534,FSE!A:A,FSE!C:C,"XXXXX",0,1)</f>
        <v>2021</v>
      </c>
      <c r="B1534" s="213" t="s">
        <v>5676</v>
      </c>
      <c r="C1534" s="214">
        <v>241.0</v>
      </c>
      <c r="D1534" s="215" t="s">
        <v>4806</v>
      </c>
      <c r="E1534" s="197" t="str">
        <f t="array" ref="E1534">XLOOKUP(C1534,FSE!A:A,FSE!Z:Z,"XXXXX",0,1)</f>
        <v>Publicly Available (1)</v>
      </c>
      <c r="F1534" s="213" t="s">
        <v>3394</v>
      </c>
      <c r="G1534" s="163" t="str">
        <f t="array" ref="G1534">IF(B1534="ICSE",IF(COUNTIFS(B:B,B1534,C:C,C1534)=XLOOKUP(C1534,ICSE!A:A,ICSE!AA:AA,"ERROR",0,1),"OK","ERROR"),IF(B1534="FSE",IF(COUNTIFS(B:B,B1534,C:C,C1534)=XLOOKUP(C1534,FSE!A:A,FSE!AA:AA,"ERROR",0,1),"OK","ERROR")))</f>
        <v>OK</v>
      </c>
      <c r="H1534" s="199">
        <f t="shared" ref="H1534:O1534" si="7749">countif($D1534,"*"&amp;H$2&amp;"*")</f>
        <v>1</v>
      </c>
      <c r="I1534" s="200">
        <f t="shared" si="7749"/>
        <v>0</v>
      </c>
      <c r="J1534" s="200">
        <f t="shared" si="7749"/>
        <v>0</v>
      </c>
      <c r="K1534" s="200">
        <f t="shared" si="7749"/>
        <v>0</v>
      </c>
      <c r="L1534" s="200">
        <f t="shared" si="7749"/>
        <v>0</v>
      </c>
      <c r="M1534" s="200">
        <f t="shared" si="7749"/>
        <v>0</v>
      </c>
      <c r="N1534" s="200">
        <f t="shared" si="7749"/>
        <v>0</v>
      </c>
      <c r="O1534" s="200">
        <f t="shared" si="7749"/>
        <v>0</v>
      </c>
      <c r="P1534" s="200">
        <f t="shared" si="9"/>
        <v>0</v>
      </c>
      <c r="Q1534" s="200">
        <f t="shared" ref="Q1534:AC1534" si="7750">countif($D1534,"*"&amp;Q$2&amp;"*")</f>
        <v>0</v>
      </c>
      <c r="R1534" s="200">
        <f t="shared" si="7750"/>
        <v>0</v>
      </c>
      <c r="S1534" s="200">
        <f t="shared" si="7750"/>
        <v>0</v>
      </c>
      <c r="T1534" s="200">
        <f t="shared" si="7750"/>
        <v>0</v>
      </c>
      <c r="U1534" s="200">
        <f t="shared" si="7750"/>
        <v>0</v>
      </c>
      <c r="V1534" s="200">
        <f t="shared" si="7750"/>
        <v>0</v>
      </c>
      <c r="W1534" s="200">
        <f t="shared" si="7750"/>
        <v>0</v>
      </c>
      <c r="X1534" s="200">
        <f t="shared" si="7750"/>
        <v>0</v>
      </c>
      <c r="Y1534" s="200">
        <f t="shared" si="7750"/>
        <v>0</v>
      </c>
      <c r="Z1534" s="200">
        <f t="shared" si="7750"/>
        <v>0</v>
      </c>
      <c r="AA1534" s="200">
        <f t="shared" si="7750"/>
        <v>0</v>
      </c>
      <c r="AB1534" s="200">
        <f t="shared" si="7750"/>
        <v>0</v>
      </c>
      <c r="AC1534" s="200">
        <f t="shared" si="7750"/>
        <v>0</v>
      </c>
      <c r="AD1534" s="200">
        <f t="shared" si="11"/>
        <v>0</v>
      </c>
      <c r="AE1534" s="200">
        <f t="shared" ref="AE1534:AG1534" si="7751">countif($D1534,"*"&amp;AE$2&amp;"*")</f>
        <v>0</v>
      </c>
      <c r="AF1534" s="200">
        <f t="shared" si="7751"/>
        <v>0</v>
      </c>
      <c r="AG1534" s="200">
        <f t="shared" si="7751"/>
        <v>0</v>
      </c>
      <c r="AH1534" s="171">
        <f t="shared" si="13"/>
        <v>0</v>
      </c>
      <c r="AI1534" s="200">
        <f t="shared" si="14"/>
        <v>1</v>
      </c>
      <c r="AJ1534" s="200">
        <f t="shared" si="6100"/>
        <v>0</v>
      </c>
      <c r="AK1534" s="201">
        <f t="shared" ref="AK1534:AS1534" si="7752">countif($D1534,"*"&amp;AK$2&amp;"*")</f>
        <v>0</v>
      </c>
      <c r="AL1534" s="201">
        <f t="shared" si="7752"/>
        <v>0</v>
      </c>
      <c r="AM1534" s="201">
        <f t="shared" si="7752"/>
        <v>0</v>
      </c>
      <c r="AN1534" s="201">
        <f t="shared" si="7752"/>
        <v>0</v>
      </c>
      <c r="AO1534" s="201">
        <f t="shared" si="7752"/>
        <v>0</v>
      </c>
      <c r="AP1534" s="201">
        <f t="shared" si="7752"/>
        <v>0</v>
      </c>
      <c r="AQ1534" s="201">
        <f t="shared" si="7752"/>
        <v>0</v>
      </c>
      <c r="AR1534" s="200">
        <f t="shared" si="7752"/>
        <v>0</v>
      </c>
      <c r="AS1534" s="200">
        <f t="shared" si="7752"/>
        <v>0</v>
      </c>
      <c r="AT1534" s="173">
        <v>0.0</v>
      </c>
      <c r="AU1534" s="200">
        <f t="shared" si="6217"/>
        <v>0</v>
      </c>
      <c r="AV1534" s="200">
        <f t="shared" ref="AV1534:AX1534" si="7753">countif($D1534,"*"&amp;AV$2&amp;"*")</f>
        <v>0</v>
      </c>
      <c r="AW1534" s="200">
        <f t="shared" si="7753"/>
        <v>0</v>
      </c>
      <c r="AX1534" s="200">
        <f t="shared" si="7753"/>
        <v>1</v>
      </c>
      <c r="AY1534" s="202">
        <v>0.0</v>
      </c>
      <c r="AZ1534" s="200"/>
      <c r="BA1534" s="171" t="str">
        <f t="shared" si="18"/>
        <v>Archival</v>
      </c>
      <c r="BB1534" s="171" t="str">
        <f t="shared" si="19"/>
        <v/>
      </c>
      <c r="BC1534" s="171" t="str">
        <f t="shared" si="20"/>
        <v/>
      </c>
      <c r="BD1534" s="171" t="str">
        <f t="shared" si="21"/>
        <v/>
      </c>
      <c r="BE1534" s="171" t="str">
        <f t="shared" si="22"/>
        <v/>
      </c>
      <c r="BF1534" s="171" t="str">
        <f t="shared" si="23"/>
        <v>Archival</v>
      </c>
    </row>
    <row r="1535">
      <c r="A1535" s="171">
        <f t="array" ref="A1535">XLOOKUP(C1535,FSE!A:A,FSE!C:C,"XXXXX",0,1)</f>
        <v>2021</v>
      </c>
      <c r="B1535" s="213" t="s">
        <v>5676</v>
      </c>
      <c r="C1535" s="214">
        <v>242.0</v>
      </c>
      <c r="D1535" s="215" t="s">
        <v>4808</v>
      </c>
      <c r="E1535" s="197" t="str">
        <f t="array" ref="E1535">XLOOKUP(C1535,FSE!A:A,FSE!Z:Z,"XXXXX",0,1)</f>
        <v>Publicly Available (1)</v>
      </c>
      <c r="F1535" s="213" t="s">
        <v>3394</v>
      </c>
      <c r="G1535" s="163" t="str">
        <f t="array" ref="G1535">IF(B1535="ICSE",IF(COUNTIFS(B:B,B1535,C:C,C1535)=XLOOKUP(C1535,ICSE!A:A,ICSE!AA:AA,"ERROR",0,1),"OK","ERROR"),IF(B1535="FSE",IF(COUNTIFS(B:B,B1535,C:C,C1535)=XLOOKUP(C1535,FSE!A:A,FSE!AA:AA,"ERROR",0,1),"OK","ERROR")))</f>
        <v>OK</v>
      </c>
      <c r="H1535" s="199">
        <f t="shared" ref="H1535:O1535" si="7754">countif($D1535,"*"&amp;H$2&amp;"*")</f>
        <v>1</v>
      </c>
      <c r="I1535" s="200">
        <f t="shared" si="7754"/>
        <v>0</v>
      </c>
      <c r="J1535" s="200">
        <f t="shared" si="7754"/>
        <v>0</v>
      </c>
      <c r="K1535" s="200">
        <f t="shared" si="7754"/>
        <v>0</v>
      </c>
      <c r="L1535" s="200">
        <f t="shared" si="7754"/>
        <v>0</v>
      </c>
      <c r="M1535" s="200">
        <f t="shared" si="7754"/>
        <v>0</v>
      </c>
      <c r="N1535" s="200">
        <f t="shared" si="7754"/>
        <v>0</v>
      </c>
      <c r="O1535" s="200">
        <f t="shared" si="7754"/>
        <v>0</v>
      </c>
      <c r="P1535" s="200">
        <f t="shared" si="9"/>
        <v>0</v>
      </c>
      <c r="Q1535" s="200">
        <f t="shared" ref="Q1535:AC1535" si="7755">countif($D1535,"*"&amp;Q$2&amp;"*")</f>
        <v>0</v>
      </c>
      <c r="R1535" s="200">
        <f t="shared" si="7755"/>
        <v>0</v>
      </c>
      <c r="S1535" s="200">
        <f t="shared" si="7755"/>
        <v>0</v>
      </c>
      <c r="T1535" s="200">
        <f t="shared" si="7755"/>
        <v>0</v>
      </c>
      <c r="U1535" s="200">
        <f t="shared" si="7755"/>
        <v>0</v>
      </c>
      <c r="V1535" s="200">
        <f t="shared" si="7755"/>
        <v>0</v>
      </c>
      <c r="W1535" s="200">
        <f t="shared" si="7755"/>
        <v>0</v>
      </c>
      <c r="X1535" s="200">
        <f t="shared" si="7755"/>
        <v>0</v>
      </c>
      <c r="Y1535" s="200">
        <f t="shared" si="7755"/>
        <v>0</v>
      </c>
      <c r="Z1535" s="200">
        <f t="shared" si="7755"/>
        <v>0</v>
      </c>
      <c r="AA1535" s="200">
        <f t="shared" si="7755"/>
        <v>0</v>
      </c>
      <c r="AB1535" s="200">
        <f t="shared" si="7755"/>
        <v>0</v>
      </c>
      <c r="AC1535" s="200">
        <f t="shared" si="7755"/>
        <v>0</v>
      </c>
      <c r="AD1535" s="200">
        <f t="shared" si="11"/>
        <v>0</v>
      </c>
      <c r="AE1535" s="200">
        <f t="shared" ref="AE1535:AG1535" si="7756">countif($D1535,"*"&amp;AE$2&amp;"*")</f>
        <v>0</v>
      </c>
      <c r="AF1535" s="200">
        <f t="shared" si="7756"/>
        <v>0</v>
      </c>
      <c r="AG1535" s="200">
        <f t="shared" si="7756"/>
        <v>0</v>
      </c>
      <c r="AH1535" s="171">
        <f t="shared" si="13"/>
        <v>0</v>
      </c>
      <c r="AI1535" s="200">
        <f t="shared" si="14"/>
        <v>1</v>
      </c>
      <c r="AJ1535" s="200">
        <f t="shared" si="6100"/>
        <v>0</v>
      </c>
      <c r="AK1535" s="201">
        <f t="shared" ref="AK1535:AS1535" si="7757">countif($D1535,"*"&amp;AK$2&amp;"*")</f>
        <v>0</v>
      </c>
      <c r="AL1535" s="201">
        <f t="shared" si="7757"/>
        <v>0</v>
      </c>
      <c r="AM1535" s="201">
        <f t="shared" si="7757"/>
        <v>0</v>
      </c>
      <c r="AN1535" s="201">
        <f t="shared" si="7757"/>
        <v>0</v>
      </c>
      <c r="AO1535" s="201">
        <f t="shared" si="7757"/>
        <v>0</v>
      </c>
      <c r="AP1535" s="201">
        <f t="shared" si="7757"/>
        <v>0</v>
      </c>
      <c r="AQ1535" s="201">
        <f t="shared" si="7757"/>
        <v>0</v>
      </c>
      <c r="AR1535" s="200">
        <f t="shared" si="7757"/>
        <v>0</v>
      </c>
      <c r="AS1535" s="200">
        <f t="shared" si="7757"/>
        <v>0</v>
      </c>
      <c r="AT1535" s="173">
        <v>0.0</v>
      </c>
      <c r="AU1535" s="200">
        <f t="shared" si="6217"/>
        <v>0</v>
      </c>
      <c r="AV1535" s="200">
        <f t="shared" ref="AV1535:AX1535" si="7758">countif($D1535,"*"&amp;AV$2&amp;"*")</f>
        <v>0</v>
      </c>
      <c r="AW1535" s="200">
        <f t="shared" si="7758"/>
        <v>0</v>
      </c>
      <c r="AX1535" s="200">
        <f t="shared" si="7758"/>
        <v>0</v>
      </c>
      <c r="AY1535" s="204">
        <v>1.0</v>
      </c>
      <c r="AZ1535" s="200"/>
      <c r="BA1535" s="171" t="str">
        <f t="shared" si="18"/>
        <v>Archival</v>
      </c>
      <c r="BB1535" s="171" t="str">
        <f t="shared" si="19"/>
        <v/>
      </c>
      <c r="BC1535" s="171" t="str">
        <f t="shared" si="20"/>
        <v/>
      </c>
      <c r="BD1535" s="171" t="str">
        <f t="shared" si="21"/>
        <v/>
      </c>
      <c r="BE1535" s="171" t="str">
        <f t="shared" si="22"/>
        <v/>
      </c>
      <c r="BF1535" s="171" t="str">
        <f t="shared" si="23"/>
        <v>Archival</v>
      </c>
    </row>
    <row r="1536">
      <c r="A1536" s="171">
        <f t="array" ref="A1536">XLOOKUP(C1536,FSE!A:A,FSE!C:C,"XXXXX",0,1)</f>
        <v>2021</v>
      </c>
      <c r="B1536" s="213" t="s">
        <v>5676</v>
      </c>
      <c r="C1536" s="214">
        <v>243.0</v>
      </c>
      <c r="D1536" s="217" t="s">
        <v>4812</v>
      </c>
      <c r="E1536" s="197" t="str">
        <f t="array" ref="E1536">XLOOKUP(C1536,FSE!A:A,FSE!Z:Z,"XXXXX",0,1)</f>
        <v>Publicly Available (1)</v>
      </c>
      <c r="F1536" s="213" t="s">
        <v>3394</v>
      </c>
      <c r="G1536" s="163" t="str">
        <f t="array" ref="G1536">IF(B1536="ICSE",IF(COUNTIFS(B:B,B1536,C:C,C1536)=XLOOKUP(C1536,ICSE!A:A,ICSE!AA:AA,"ERROR",0,1),"OK","ERROR"),IF(B1536="FSE",IF(COUNTIFS(B:B,B1536,C:C,C1536)=XLOOKUP(C1536,FSE!A:A,FSE!AA:AA,"ERROR",0,1),"OK","ERROR")))</f>
        <v>OK</v>
      </c>
      <c r="H1536" s="199">
        <f t="shared" ref="H1536:O1536" si="7759">countif($D1536,"*"&amp;H$2&amp;"*")</f>
        <v>1</v>
      </c>
      <c r="I1536" s="200">
        <f t="shared" si="7759"/>
        <v>0</v>
      </c>
      <c r="J1536" s="200">
        <f t="shared" si="7759"/>
        <v>0</v>
      </c>
      <c r="K1536" s="200">
        <f t="shared" si="7759"/>
        <v>0</v>
      </c>
      <c r="L1536" s="200">
        <f t="shared" si="7759"/>
        <v>0</v>
      </c>
      <c r="M1536" s="200">
        <f t="shared" si="7759"/>
        <v>0</v>
      </c>
      <c r="N1536" s="200">
        <f t="shared" si="7759"/>
        <v>0</v>
      </c>
      <c r="O1536" s="200">
        <f t="shared" si="7759"/>
        <v>0</v>
      </c>
      <c r="P1536" s="200">
        <f t="shared" si="9"/>
        <v>0</v>
      </c>
      <c r="Q1536" s="200">
        <f t="shared" ref="Q1536:AC1536" si="7760">countif($D1536,"*"&amp;Q$2&amp;"*")</f>
        <v>0</v>
      </c>
      <c r="R1536" s="200">
        <f t="shared" si="7760"/>
        <v>0</v>
      </c>
      <c r="S1536" s="200">
        <f t="shared" si="7760"/>
        <v>0</v>
      </c>
      <c r="T1536" s="200">
        <f t="shared" si="7760"/>
        <v>0</v>
      </c>
      <c r="U1536" s="200">
        <f t="shared" si="7760"/>
        <v>0</v>
      </c>
      <c r="V1536" s="200">
        <f t="shared" si="7760"/>
        <v>0</v>
      </c>
      <c r="W1536" s="200">
        <f t="shared" si="7760"/>
        <v>0</v>
      </c>
      <c r="X1536" s="200">
        <f t="shared" si="7760"/>
        <v>0</v>
      </c>
      <c r="Y1536" s="200">
        <f t="shared" si="7760"/>
        <v>0</v>
      </c>
      <c r="Z1536" s="200">
        <f t="shared" si="7760"/>
        <v>0</v>
      </c>
      <c r="AA1536" s="200">
        <f t="shared" si="7760"/>
        <v>0</v>
      </c>
      <c r="AB1536" s="200">
        <f t="shared" si="7760"/>
        <v>0</v>
      </c>
      <c r="AC1536" s="200">
        <f t="shared" si="7760"/>
        <v>0</v>
      </c>
      <c r="AD1536" s="200">
        <f t="shared" si="11"/>
        <v>0</v>
      </c>
      <c r="AE1536" s="200">
        <f t="shared" ref="AE1536:AG1536" si="7761">countif($D1536,"*"&amp;AE$2&amp;"*")</f>
        <v>0</v>
      </c>
      <c r="AF1536" s="200">
        <f t="shared" si="7761"/>
        <v>0</v>
      </c>
      <c r="AG1536" s="200">
        <f t="shared" si="7761"/>
        <v>0</v>
      </c>
      <c r="AH1536" s="171">
        <f t="shared" si="13"/>
        <v>0</v>
      </c>
      <c r="AI1536" s="200">
        <f t="shared" si="14"/>
        <v>1</v>
      </c>
      <c r="AJ1536" s="200">
        <f t="shared" si="6100"/>
        <v>0</v>
      </c>
      <c r="AK1536" s="201">
        <f t="shared" ref="AK1536:AS1536" si="7762">countif($D1536,"*"&amp;AK$2&amp;"*")</f>
        <v>0</v>
      </c>
      <c r="AL1536" s="201">
        <f t="shared" si="7762"/>
        <v>0</v>
      </c>
      <c r="AM1536" s="201">
        <f t="shared" si="7762"/>
        <v>0</v>
      </c>
      <c r="AN1536" s="201">
        <f t="shared" si="7762"/>
        <v>0</v>
      </c>
      <c r="AO1536" s="201">
        <f t="shared" si="7762"/>
        <v>0</v>
      </c>
      <c r="AP1536" s="201">
        <f t="shared" si="7762"/>
        <v>0</v>
      </c>
      <c r="AQ1536" s="201">
        <f t="shared" si="7762"/>
        <v>0</v>
      </c>
      <c r="AR1536" s="200">
        <f t="shared" si="7762"/>
        <v>0</v>
      </c>
      <c r="AS1536" s="200">
        <f t="shared" si="7762"/>
        <v>0</v>
      </c>
      <c r="AT1536" s="173">
        <v>0.0</v>
      </c>
      <c r="AU1536" s="200">
        <f t="shared" si="6217"/>
        <v>0</v>
      </c>
      <c r="AV1536" s="200">
        <f t="shared" ref="AV1536:AX1536" si="7763">countif($D1536,"*"&amp;AV$2&amp;"*")</f>
        <v>0</v>
      </c>
      <c r="AW1536" s="200">
        <f t="shared" si="7763"/>
        <v>0</v>
      </c>
      <c r="AX1536" s="200">
        <f t="shared" si="7763"/>
        <v>1</v>
      </c>
      <c r="AY1536" s="202">
        <v>0.0</v>
      </c>
      <c r="AZ1536" s="200"/>
      <c r="BA1536" s="171" t="str">
        <f t="shared" si="18"/>
        <v>Archival</v>
      </c>
      <c r="BB1536" s="171" t="str">
        <f t="shared" si="19"/>
        <v/>
      </c>
      <c r="BC1536" s="171" t="str">
        <f t="shared" si="20"/>
        <v/>
      </c>
      <c r="BD1536" s="171" t="str">
        <f t="shared" si="21"/>
        <v/>
      </c>
      <c r="BE1536" s="171" t="str">
        <f t="shared" si="22"/>
        <v/>
      </c>
      <c r="BF1536" s="171" t="str">
        <f t="shared" si="23"/>
        <v>Archival</v>
      </c>
    </row>
    <row r="1537">
      <c r="A1537" s="171">
        <f t="array" ref="A1537">XLOOKUP(C1537,FSE!A:A,FSE!C:C,"XXXXX",0,1)</f>
        <v>2021</v>
      </c>
      <c r="B1537" s="213" t="s">
        <v>5676</v>
      </c>
      <c r="C1537" s="214">
        <v>244.0</v>
      </c>
      <c r="D1537" s="215" t="s">
        <v>4814</v>
      </c>
      <c r="E1537" s="197" t="str">
        <f t="array" ref="E1537">XLOOKUP(C1537,FSE!A:A,FSE!Z:Z,"XXXXX",0,1)</f>
        <v>Publicly Available (1)</v>
      </c>
      <c r="F1537" s="213" t="s">
        <v>3394</v>
      </c>
      <c r="G1537" s="163" t="str">
        <f t="array" ref="G1537">IF(B1537="ICSE",IF(COUNTIFS(B:B,B1537,C:C,C1537)=XLOOKUP(C1537,ICSE!A:A,ICSE!AA:AA,"ERROR",0,1),"OK","ERROR"),IF(B1537="FSE",IF(COUNTIFS(B:B,B1537,C:C,C1537)=XLOOKUP(C1537,FSE!A:A,FSE!AA:AA,"ERROR",0,1),"OK","ERROR")))</f>
        <v>OK</v>
      </c>
      <c r="H1537" s="199">
        <f t="shared" ref="H1537:O1537" si="7764">countif($D1537,"*"&amp;H$2&amp;"*")</f>
        <v>0</v>
      </c>
      <c r="I1537" s="200">
        <f t="shared" si="7764"/>
        <v>0</v>
      </c>
      <c r="J1537" s="200">
        <f t="shared" si="7764"/>
        <v>0</v>
      </c>
      <c r="K1537" s="200">
        <f t="shared" si="7764"/>
        <v>0</v>
      </c>
      <c r="L1537" s="200">
        <f t="shared" si="7764"/>
        <v>0</v>
      </c>
      <c r="M1537" s="200">
        <f t="shared" si="7764"/>
        <v>0</v>
      </c>
      <c r="N1537" s="200">
        <f t="shared" si="7764"/>
        <v>0</v>
      </c>
      <c r="O1537" s="200">
        <f t="shared" si="7764"/>
        <v>0</v>
      </c>
      <c r="P1537" s="200">
        <f t="shared" si="9"/>
        <v>1</v>
      </c>
      <c r="Q1537" s="200">
        <f t="shared" ref="Q1537:AC1537" si="7765">countif($D1537,"*"&amp;Q$2&amp;"*")</f>
        <v>0</v>
      </c>
      <c r="R1537" s="200">
        <f t="shared" si="7765"/>
        <v>0</v>
      </c>
      <c r="S1537" s="200">
        <f t="shared" si="7765"/>
        <v>0</v>
      </c>
      <c r="T1537" s="200">
        <f t="shared" si="7765"/>
        <v>0</v>
      </c>
      <c r="U1537" s="200">
        <f t="shared" si="7765"/>
        <v>0</v>
      </c>
      <c r="V1537" s="200">
        <f t="shared" si="7765"/>
        <v>0</v>
      </c>
      <c r="W1537" s="200">
        <f t="shared" si="7765"/>
        <v>0</v>
      </c>
      <c r="X1537" s="200">
        <f t="shared" si="7765"/>
        <v>0</v>
      </c>
      <c r="Y1537" s="200">
        <f t="shared" si="7765"/>
        <v>0</v>
      </c>
      <c r="Z1537" s="200">
        <f t="shared" si="7765"/>
        <v>0</v>
      </c>
      <c r="AA1537" s="200">
        <f t="shared" si="7765"/>
        <v>0</v>
      </c>
      <c r="AB1537" s="200">
        <f t="shared" si="7765"/>
        <v>0</v>
      </c>
      <c r="AC1537" s="200">
        <f t="shared" si="7765"/>
        <v>0</v>
      </c>
      <c r="AD1537" s="200">
        <f t="shared" si="11"/>
        <v>0</v>
      </c>
      <c r="AE1537" s="200">
        <f t="shared" ref="AE1537:AG1537" si="7766">countif($D1537,"*"&amp;AE$2&amp;"*")</f>
        <v>0</v>
      </c>
      <c r="AF1537" s="200">
        <f t="shared" si="7766"/>
        <v>0</v>
      </c>
      <c r="AG1537" s="200">
        <f t="shared" si="7766"/>
        <v>0</v>
      </c>
      <c r="AH1537" s="171">
        <f t="shared" si="13"/>
        <v>0</v>
      </c>
      <c r="AI1537" s="200">
        <f t="shared" si="14"/>
        <v>0</v>
      </c>
      <c r="AJ1537" s="200">
        <f t="shared" si="6100"/>
        <v>0</v>
      </c>
      <c r="AK1537" s="201">
        <f t="shared" ref="AK1537:AS1537" si="7767">countif($D1537,"*"&amp;AK$2&amp;"*")</f>
        <v>0</v>
      </c>
      <c r="AL1537" s="201">
        <f t="shared" si="7767"/>
        <v>0</v>
      </c>
      <c r="AM1537" s="201">
        <f t="shared" si="7767"/>
        <v>0</v>
      </c>
      <c r="AN1537" s="201">
        <f t="shared" si="7767"/>
        <v>0</v>
      </c>
      <c r="AO1537" s="201">
        <f t="shared" si="7767"/>
        <v>0</v>
      </c>
      <c r="AP1537" s="201">
        <f t="shared" si="7767"/>
        <v>0</v>
      </c>
      <c r="AQ1537" s="201">
        <f t="shared" si="7767"/>
        <v>0</v>
      </c>
      <c r="AR1537" s="200">
        <f t="shared" si="7767"/>
        <v>0</v>
      </c>
      <c r="AS1537" s="200">
        <f t="shared" si="7767"/>
        <v>0</v>
      </c>
      <c r="AT1537" s="173">
        <v>0.0</v>
      </c>
      <c r="AU1537" s="200">
        <f t="shared" si="6217"/>
        <v>0</v>
      </c>
      <c r="AV1537" s="200">
        <f t="shared" ref="AV1537:AX1537" si="7768">countif($D1537,"*"&amp;AV$2&amp;"*")</f>
        <v>1</v>
      </c>
      <c r="AW1537" s="200">
        <f t="shared" si="7768"/>
        <v>0</v>
      </c>
      <c r="AX1537" s="200">
        <f t="shared" si="7768"/>
        <v>0</v>
      </c>
      <c r="AY1537" s="202">
        <v>0.0</v>
      </c>
      <c r="AZ1537" s="200"/>
      <c r="BA1537" s="171" t="str">
        <f t="shared" si="18"/>
        <v/>
      </c>
      <c r="BB1537" s="171" t="str">
        <f t="shared" si="19"/>
        <v>Code</v>
      </c>
      <c r="BC1537" s="171" t="str">
        <f t="shared" si="20"/>
        <v/>
      </c>
      <c r="BD1537" s="171" t="str">
        <f t="shared" si="21"/>
        <v/>
      </c>
      <c r="BE1537" s="171" t="str">
        <f t="shared" si="22"/>
        <v/>
      </c>
      <c r="BF1537" s="171" t="str">
        <f t="shared" si="23"/>
        <v>Code</v>
      </c>
    </row>
    <row r="1538">
      <c r="A1538" s="171">
        <f t="array" ref="A1538">XLOOKUP(C1538,FSE!A:A,FSE!C:C,"XXXXX",0,1)</f>
        <v>2021</v>
      </c>
      <c r="B1538" s="213" t="s">
        <v>5676</v>
      </c>
      <c r="C1538" s="214">
        <v>245.0</v>
      </c>
      <c r="D1538" s="215" t="s">
        <v>6309</v>
      </c>
      <c r="E1538" s="197" t="str">
        <f t="array" ref="E1538">XLOOKUP(C1538,FSE!A:A,FSE!Z:Z,"XXXXX",0,1)</f>
        <v>Publicly Available (2)</v>
      </c>
      <c r="F1538" s="213" t="s">
        <v>3394</v>
      </c>
      <c r="G1538" s="163" t="str">
        <f t="array" ref="G1538">IF(B1538="ICSE",IF(COUNTIFS(B:B,B1538,C:C,C1538)=XLOOKUP(C1538,ICSE!A:A,ICSE!AA:AA,"ERROR",0,1),"OK","ERROR"),IF(B1538="FSE",IF(COUNTIFS(B:B,B1538,C:C,C1538)=XLOOKUP(C1538,FSE!A:A,FSE!AA:AA,"ERROR",0,1),"OK","ERROR")))</f>
        <v>OK</v>
      </c>
      <c r="H1538" s="199">
        <f t="shared" ref="H1538:O1538" si="7769">countif($D1538,"*"&amp;H$2&amp;"*")</f>
        <v>0</v>
      </c>
      <c r="I1538" s="200">
        <f t="shared" si="7769"/>
        <v>0</v>
      </c>
      <c r="J1538" s="200">
        <f t="shared" si="7769"/>
        <v>0</v>
      </c>
      <c r="K1538" s="200">
        <f t="shared" si="7769"/>
        <v>0</v>
      </c>
      <c r="L1538" s="200">
        <f t="shared" si="7769"/>
        <v>0</v>
      </c>
      <c r="M1538" s="200">
        <f t="shared" si="7769"/>
        <v>0</v>
      </c>
      <c r="N1538" s="200">
        <f t="shared" si="7769"/>
        <v>0</v>
      </c>
      <c r="O1538" s="200">
        <f t="shared" si="7769"/>
        <v>0</v>
      </c>
      <c r="P1538" s="200">
        <f t="shared" si="9"/>
        <v>0</v>
      </c>
      <c r="Q1538" s="200">
        <f t="shared" ref="Q1538:AC1538" si="7770">countif($D1538,"*"&amp;Q$2&amp;"*")</f>
        <v>0</v>
      </c>
      <c r="R1538" s="200">
        <f t="shared" si="7770"/>
        <v>0</v>
      </c>
      <c r="S1538" s="200">
        <f t="shared" si="7770"/>
        <v>0</v>
      </c>
      <c r="T1538" s="200">
        <f t="shared" si="7770"/>
        <v>0</v>
      </c>
      <c r="U1538" s="200">
        <f t="shared" si="7770"/>
        <v>0</v>
      </c>
      <c r="V1538" s="200">
        <f t="shared" si="7770"/>
        <v>0</v>
      </c>
      <c r="W1538" s="200">
        <f t="shared" si="7770"/>
        <v>0</v>
      </c>
      <c r="X1538" s="200">
        <f t="shared" si="7770"/>
        <v>0</v>
      </c>
      <c r="Y1538" s="200">
        <f t="shared" si="7770"/>
        <v>0</v>
      </c>
      <c r="Z1538" s="200">
        <f t="shared" si="7770"/>
        <v>0</v>
      </c>
      <c r="AA1538" s="200">
        <f t="shared" si="7770"/>
        <v>0</v>
      </c>
      <c r="AB1538" s="200">
        <f t="shared" si="7770"/>
        <v>0</v>
      </c>
      <c r="AC1538" s="200">
        <f t="shared" si="7770"/>
        <v>1</v>
      </c>
      <c r="AD1538" s="200">
        <f t="shared" si="11"/>
        <v>0</v>
      </c>
      <c r="AE1538" s="200">
        <f t="shared" ref="AE1538:AG1538" si="7771">countif($D1538,"*"&amp;AE$2&amp;"*")</f>
        <v>0</v>
      </c>
      <c r="AF1538" s="200">
        <f t="shared" si="7771"/>
        <v>0</v>
      </c>
      <c r="AG1538" s="200">
        <f t="shared" si="7771"/>
        <v>0</v>
      </c>
      <c r="AH1538" s="171">
        <f t="shared" si="13"/>
        <v>0</v>
      </c>
      <c r="AI1538" s="200">
        <f t="shared" si="14"/>
        <v>0</v>
      </c>
      <c r="AJ1538" s="200">
        <f t="shared" si="6100"/>
        <v>0</v>
      </c>
      <c r="AK1538" s="201">
        <f t="shared" ref="AK1538:AS1538" si="7772">countif($D1538,"*"&amp;AK$2&amp;"*")</f>
        <v>0</v>
      </c>
      <c r="AL1538" s="201">
        <f t="shared" si="7772"/>
        <v>0</v>
      </c>
      <c r="AM1538" s="201">
        <f t="shared" si="7772"/>
        <v>0</v>
      </c>
      <c r="AN1538" s="201">
        <f t="shared" si="7772"/>
        <v>0</v>
      </c>
      <c r="AO1538" s="201">
        <f t="shared" si="7772"/>
        <v>0</v>
      </c>
      <c r="AP1538" s="201">
        <f t="shared" si="7772"/>
        <v>0</v>
      </c>
      <c r="AQ1538" s="201">
        <f t="shared" si="7772"/>
        <v>0</v>
      </c>
      <c r="AR1538" s="200">
        <f t="shared" si="7772"/>
        <v>0</v>
      </c>
      <c r="AS1538" s="200">
        <f t="shared" si="7772"/>
        <v>0</v>
      </c>
      <c r="AT1538" s="173">
        <v>0.0</v>
      </c>
      <c r="AU1538" s="200">
        <f t="shared" si="6217"/>
        <v>0</v>
      </c>
      <c r="AV1538" s="200">
        <f t="shared" ref="AV1538:AX1538" si="7773">countif($D1538,"*"&amp;AV$2&amp;"*")</f>
        <v>0</v>
      </c>
      <c r="AW1538" s="200">
        <f t="shared" si="7773"/>
        <v>0</v>
      </c>
      <c r="AX1538" s="200">
        <f t="shared" si="7773"/>
        <v>0</v>
      </c>
      <c r="AY1538" s="202">
        <v>0.0</v>
      </c>
      <c r="AZ1538" s="200"/>
      <c r="BA1538" s="171" t="str">
        <f t="shared" si="18"/>
        <v/>
      </c>
      <c r="BB1538" s="171" t="str">
        <f t="shared" si="19"/>
        <v/>
      </c>
      <c r="BC1538" s="171" t="str">
        <f t="shared" si="20"/>
        <v>General-purpose</v>
      </c>
      <c r="BD1538" s="171" t="str">
        <f t="shared" si="21"/>
        <v/>
      </c>
      <c r="BE1538" s="171" t="str">
        <f t="shared" si="22"/>
        <v/>
      </c>
      <c r="BF1538" s="171" t="str">
        <f t="shared" si="23"/>
        <v>General-purpose</v>
      </c>
    </row>
    <row r="1539">
      <c r="A1539" s="171">
        <f t="array" ref="A1539">XLOOKUP(C1539,FSE!A:A,FSE!C:C,"XXXXX",0,1)</f>
        <v>2021</v>
      </c>
      <c r="B1539" s="213" t="s">
        <v>5676</v>
      </c>
      <c r="C1539" s="214">
        <v>245.0</v>
      </c>
      <c r="D1539" s="215" t="s">
        <v>6310</v>
      </c>
      <c r="E1539" s="197" t="str">
        <f t="array" ref="E1539">XLOOKUP(C1539,FSE!A:A,FSE!Z:Z,"XXXXX",0,1)</f>
        <v>Publicly Available (2)</v>
      </c>
      <c r="F1539" s="213" t="s">
        <v>3394</v>
      </c>
      <c r="G1539" s="163" t="str">
        <f t="array" ref="G1539">IF(B1539="ICSE",IF(COUNTIFS(B:B,B1539,C:C,C1539)=XLOOKUP(C1539,ICSE!A:A,ICSE!AA:AA,"ERROR",0,1),"OK","ERROR"),IF(B1539="FSE",IF(COUNTIFS(B:B,B1539,C:C,C1539)=XLOOKUP(C1539,FSE!A:A,FSE!AA:AA,"ERROR",0,1),"OK","ERROR")))</f>
        <v>OK</v>
      </c>
      <c r="H1539" s="199">
        <f t="shared" ref="H1539:O1539" si="7774">countif($D1539,"*"&amp;H$2&amp;"*")</f>
        <v>0</v>
      </c>
      <c r="I1539" s="200">
        <f t="shared" si="7774"/>
        <v>0</v>
      </c>
      <c r="J1539" s="200">
        <f t="shared" si="7774"/>
        <v>0</v>
      </c>
      <c r="K1539" s="200">
        <f t="shared" si="7774"/>
        <v>0</v>
      </c>
      <c r="L1539" s="200">
        <f t="shared" si="7774"/>
        <v>0</v>
      </c>
      <c r="M1539" s="200">
        <f t="shared" si="7774"/>
        <v>0</v>
      </c>
      <c r="N1539" s="200">
        <f t="shared" si="7774"/>
        <v>0</v>
      </c>
      <c r="O1539" s="200">
        <f t="shared" si="7774"/>
        <v>0</v>
      </c>
      <c r="P1539" s="200">
        <f t="shared" si="9"/>
        <v>0</v>
      </c>
      <c r="Q1539" s="200">
        <f t="shared" ref="Q1539:AC1539" si="7775">countif($D1539,"*"&amp;Q$2&amp;"*")</f>
        <v>0</v>
      </c>
      <c r="R1539" s="200">
        <f t="shared" si="7775"/>
        <v>0</v>
      </c>
      <c r="S1539" s="200">
        <f t="shared" si="7775"/>
        <v>0</v>
      </c>
      <c r="T1539" s="200">
        <f t="shared" si="7775"/>
        <v>0</v>
      </c>
      <c r="U1539" s="200">
        <f t="shared" si="7775"/>
        <v>0</v>
      </c>
      <c r="V1539" s="200">
        <f t="shared" si="7775"/>
        <v>0</v>
      </c>
      <c r="W1539" s="200">
        <f t="shared" si="7775"/>
        <v>0</v>
      </c>
      <c r="X1539" s="200">
        <f t="shared" si="7775"/>
        <v>0</v>
      </c>
      <c r="Y1539" s="200">
        <f t="shared" si="7775"/>
        <v>0</v>
      </c>
      <c r="Z1539" s="200">
        <f t="shared" si="7775"/>
        <v>0</v>
      </c>
      <c r="AA1539" s="200">
        <f t="shared" si="7775"/>
        <v>0</v>
      </c>
      <c r="AB1539" s="200">
        <f t="shared" si="7775"/>
        <v>0</v>
      </c>
      <c r="AC1539" s="200">
        <f t="shared" si="7775"/>
        <v>1</v>
      </c>
      <c r="AD1539" s="200">
        <f t="shared" si="11"/>
        <v>0</v>
      </c>
      <c r="AE1539" s="200">
        <f t="shared" ref="AE1539:AG1539" si="7776">countif($D1539,"*"&amp;AE$2&amp;"*")</f>
        <v>0</v>
      </c>
      <c r="AF1539" s="200">
        <f t="shared" si="7776"/>
        <v>0</v>
      </c>
      <c r="AG1539" s="200">
        <f t="shared" si="7776"/>
        <v>0</v>
      </c>
      <c r="AH1539" s="171">
        <f t="shared" si="13"/>
        <v>0</v>
      </c>
      <c r="AI1539" s="200">
        <f t="shared" si="14"/>
        <v>0</v>
      </c>
      <c r="AJ1539" s="200">
        <f t="shared" si="6100"/>
        <v>0</v>
      </c>
      <c r="AK1539" s="201">
        <f t="shared" ref="AK1539:AS1539" si="7777">countif($D1539,"*"&amp;AK$2&amp;"*")</f>
        <v>0</v>
      </c>
      <c r="AL1539" s="201">
        <f t="shared" si="7777"/>
        <v>0</v>
      </c>
      <c r="AM1539" s="201">
        <f t="shared" si="7777"/>
        <v>0</v>
      </c>
      <c r="AN1539" s="201">
        <f t="shared" si="7777"/>
        <v>0</v>
      </c>
      <c r="AO1539" s="201">
        <f t="shared" si="7777"/>
        <v>0</v>
      </c>
      <c r="AP1539" s="201">
        <f t="shared" si="7777"/>
        <v>0</v>
      </c>
      <c r="AQ1539" s="201">
        <f t="shared" si="7777"/>
        <v>0</v>
      </c>
      <c r="AR1539" s="200">
        <f t="shared" si="7777"/>
        <v>0</v>
      </c>
      <c r="AS1539" s="200">
        <f t="shared" si="7777"/>
        <v>0</v>
      </c>
      <c r="AT1539" s="173">
        <v>0.0</v>
      </c>
      <c r="AU1539" s="200">
        <f t="shared" si="6217"/>
        <v>0</v>
      </c>
      <c r="AV1539" s="200">
        <f t="shared" ref="AV1539:AX1539" si="7778">countif($D1539,"*"&amp;AV$2&amp;"*")</f>
        <v>0</v>
      </c>
      <c r="AW1539" s="200">
        <f t="shared" si="7778"/>
        <v>0</v>
      </c>
      <c r="AX1539" s="200">
        <f t="shared" si="7778"/>
        <v>0</v>
      </c>
      <c r="AY1539" s="202">
        <v>0.0</v>
      </c>
      <c r="AZ1539" s="200"/>
      <c r="BA1539" s="171" t="str">
        <f t="shared" si="18"/>
        <v/>
      </c>
      <c r="BB1539" s="171" t="str">
        <f t="shared" si="19"/>
        <v/>
      </c>
      <c r="BC1539" s="171" t="str">
        <f t="shared" si="20"/>
        <v>General-purpose</v>
      </c>
      <c r="BD1539" s="171" t="str">
        <f t="shared" si="21"/>
        <v/>
      </c>
      <c r="BE1539" s="171" t="str">
        <f t="shared" si="22"/>
        <v/>
      </c>
      <c r="BF1539" s="171" t="str">
        <f t="shared" si="23"/>
        <v>General-purpose</v>
      </c>
    </row>
    <row r="1540">
      <c r="A1540" s="171">
        <f t="array" ref="A1540">XLOOKUP(C1540,FSE!A:A,FSE!C:C,"XXXXX",0,1)</f>
        <v>2021</v>
      </c>
      <c r="B1540" s="213" t="s">
        <v>5676</v>
      </c>
      <c r="C1540" s="214">
        <v>248.0</v>
      </c>
      <c r="D1540" s="215" t="s">
        <v>4821</v>
      </c>
      <c r="E1540" s="197" t="str">
        <f t="array" ref="E1540">XLOOKUP(C1540,FSE!A:A,FSE!Z:Z,"XXXXX",0,1)</f>
        <v>Publicly Available (1)</v>
      </c>
      <c r="F1540" s="213" t="s">
        <v>3394</v>
      </c>
      <c r="G1540" s="163" t="str">
        <f t="array" ref="G1540">IF(B1540="ICSE",IF(COUNTIFS(B:B,B1540,C:C,C1540)=XLOOKUP(C1540,ICSE!A:A,ICSE!AA:AA,"ERROR",0,1),"OK","ERROR"),IF(B1540="FSE",IF(COUNTIFS(B:B,B1540,C:C,C1540)=XLOOKUP(C1540,FSE!A:A,FSE!AA:AA,"ERROR",0,1),"OK","ERROR")))</f>
        <v>OK</v>
      </c>
      <c r="H1540" s="199">
        <f t="shared" ref="H1540:O1540" si="7779">countif($D1540,"*"&amp;H$2&amp;"*")</f>
        <v>0</v>
      </c>
      <c r="I1540" s="200">
        <f t="shared" si="7779"/>
        <v>0</v>
      </c>
      <c r="J1540" s="200">
        <f t="shared" si="7779"/>
        <v>0</v>
      </c>
      <c r="K1540" s="200">
        <f t="shared" si="7779"/>
        <v>0</v>
      </c>
      <c r="L1540" s="200">
        <f t="shared" si="7779"/>
        <v>0</v>
      </c>
      <c r="M1540" s="200">
        <f t="shared" si="7779"/>
        <v>0</v>
      </c>
      <c r="N1540" s="200">
        <f t="shared" si="7779"/>
        <v>0</v>
      </c>
      <c r="O1540" s="200">
        <f t="shared" si="7779"/>
        <v>0</v>
      </c>
      <c r="P1540" s="200">
        <f t="shared" si="9"/>
        <v>1</v>
      </c>
      <c r="Q1540" s="200">
        <f t="shared" ref="Q1540:AC1540" si="7780">countif($D1540,"*"&amp;Q$2&amp;"*")</f>
        <v>0</v>
      </c>
      <c r="R1540" s="200">
        <f t="shared" si="7780"/>
        <v>0</v>
      </c>
      <c r="S1540" s="200">
        <f t="shared" si="7780"/>
        <v>0</v>
      </c>
      <c r="T1540" s="200">
        <f t="shared" si="7780"/>
        <v>0</v>
      </c>
      <c r="U1540" s="200">
        <f t="shared" si="7780"/>
        <v>0</v>
      </c>
      <c r="V1540" s="200">
        <f t="shared" si="7780"/>
        <v>0</v>
      </c>
      <c r="W1540" s="200">
        <f t="shared" si="7780"/>
        <v>0</v>
      </c>
      <c r="X1540" s="200">
        <f t="shared" si="7780"/>
        <v>0</v>
      </c>
      <c r="Y1540" s="200">
        <f t="shared" si="7780"/>
        <v>0</v>
      </c>
      <c r="Z1540" s="200">
        <f t="shared" si="7780"/>
        <v>0</v>
      </c>
      <c r="AA1540" s="200">
        <f t="shared" si="7780"/>
        <v>0</v>
      </c>
      <c r="AB1540" s="200">
        <f t="shared" si="7780"/>
        <v>0</v>
      </c>
      <c r="AC1540" s="200">
        <f t="shared" si="7780"/>
        <v>0</v>
      </c>
      <c r="AD1540" s="200">
        <f t="shared" si="11"/>
        <v>0</v>
      </c>
      <c r="AE1540" s="200">
        <f t="shared" ref="AE1540:AG1540" si="7781">countif($D1540,"*"&amp;AE$2&amp;"*")</f>
        <v>0</v>
      </c>
      <c r="AF1540" s="200">
        <f t="shared" si="7781"/>
        <v>0</v>
      </c>
      <c r="AG1540" s="200">
        <f t="shared" si="7781"/>
        <v>0</v>
      </c>
      <c r="AH1540" s="171">
        <f t="shared" si="13"/>
        <v>0</v>
      </c>
      <c r="AI1540" s="200">
        <f t="shared" si="14"/>
        <v>0</v>
      </c>
      <c r="AJ1540" s="200">
        <f t="shared" si="6100"/>
        <v>0</v>
      </c>
      <c r="AK1540" s="201">
        <f t="shared" ref="AK1540:AS1540" si="7782">countif($D1540,"*"&amp;AK$2&amp;"*")</f>
        <v>0</v>
      </c>
      <c r="AL1540" s="201">
        <f t="shared" si="7782"/>
        <v>0</v>
      </c>
      <c r="AM1540" s="201">
        <f t="shared" si="7782"/>
        <v>0</v>
      </c>
      <c r="AN1540" s="201">
        <f t="shared" si="7782"/>
        <v>0</v>
      </c>
      <c r="AO1540" s="201">
        <f t="shared" si="7782"/>
        <v>0</v>
      </c>
      <c r="AP1540" s="201">
        <f t="shared" si="7782"/>
        <v>0</v>
      </c>
      <c r="AQ1540" s="201">
        <f t="shared" si="7782"/>
        <v>0</v>
      </c>
      <c r="AR1540" s="200">
        <f t="shared" si="7782"/>
        <v>0</v>
      </c>
      <c r="AS1540" s="200">
        <f t="shared" si="7782"/>
        <v>0</v>
      </c>
      <c r="AT1540" s="173">
        <v>0.0</v>
      </c>
      <c r="AU1540" s="200">
        <f t="shared" si="6217"/>
        <v>0</v>
      </c>
      <c r="AV1540" s="200">
        <f t="shared" ref="AV1540:AX1540" si="7783">countif($D1540,"*"&amp;AV$2&amp;"*")</f>
        <v>1</v>
      </c>
      <c r="AW1540" s="200">
        <f t="shared" si="7783"/>
        <v>0</v>
      </c>
      <c r="AX1540" s="200">
        <f t="shared" si="7783"/>
        <v>0</v>
      </c>
      <c r="AY1540" s="202">
        <v>0.0</v>
      </c>
      <c r="AZ1540" s="200"/>
      <c r="BA1540" s="171" t="str">
        <f t="shared" si="18"/>
        <v/>
      </c>
      <c r="BB1540" s="171" t="str">
        <f t="shared" si="19"/>
        <v>Code</v>
      </c>
      <c r="BC1540" s="171" t="str">
        <f t="shared" si="20"/>
        <v/>
      </c>
      <c r="BD1540" s="171" t="str">
        <f t="shared" si="21"/>
        <v/>
      </c>
      <c r="BE1540" s="171" t="str">
        <f t="shared" si="22"/>
        <v/>
      </c>
      <c r="BF1540" s="171" t="str">
        <f t="shared" si="23"/>
        <v>Code</v>
      </c>
    </row>
    <row r="1541">
      <c r="A1541" s="171">
        <f t="array" ref="A1541">XLOOKUP(C1541,FSE!A:A,FSE!C:C,"XXXXX",0,1)</f>
        <v>2021</v>
      </c>
      <c r="B1541" s="213" t="s">
        <v>5676</v>
      </c>
      <c r="C1541" s="214">
        <v>250.0</v>
      </c>
      <c r="D1541" s="215" t="s">
        <v>4824</v>
      </c>
      <c r="E1541" s="197" t="str">
        <f t="array" ref="E1541">XLOOKUP(C1541,FSE!A:A,FSE!Z:Z,"XXXXX",0,1)</f>
        <v>Publicly Available (1)</v>
      </c>
      <c r="F1541" s="213" t="s">
        <v>3394</v>
      </c>
      <c r="G1541" s="163" t="str">
        <f t="array" ref="G1541">IF(B1541="ICSE",IF(COUNTIFS(B:B,B1541,C:C,C1541)=XLOOKUP(C1541,ICSE!A:A,ICSE!AA:AA,"ERROR",0,1),"OK","ERROR"),IF(B1541="FSE",IF(COUNTIFS(B:B,B1541,C:C,C1541)=XLOOKUP(C1541,FSE!A:A,FSE!AA:AA,"ERROR",0,1),"OK","ERROR")))</f>
        <v>OK</v>
      </c>
      <c r="H1541" s="199">
        <f t="shared" ref="H1541:O1541" si="7784">countif($D1541,"*"&amp;H$2&amp;"*")</f>
        <v>0</v>
      </c>
      <c r="I1541" s="200">
        <f t="shared" si="7784"/>
        <v>0</v>
      </c>
      <c r="J1541" s="200">
        <f t="shared" si="7784"/>
        <v>0</v>
      </c>
      <c r="K1541" s="200">
        <f t="shared" si="7784"/>
        <v>0</v>
      </c>
      <c r="L1541" s="200">
        <f t="shared" si="7784"/>
        <v>0</v>
      </c>
      <c r="M1541" s="200">
        <f t="shared" si="7784"/>
        <v>0</v>
      </c>
      <c r="N1541" s="200">
        <f t="shared" si="7784"/>
        <v>0</v>
      </c>
      <c r="O1541" s="200">
        <f t="shared" si="7784"/>
        <v>0</v>
      </c>
      <c r="P1541" s="200">
        <f t="shared" si="9"/>
        <v>1</v>
      </c>
      <c r="Q1541" s="200">
        <f t="shared" ref="Q1541:AC1541" si="7785">countif($D1541,"*"&amp;Q$2&amp;"*")</f>
        <v>0</v>
      </c>
      <c r="R1541" s="200">
        <f t="shared" si="7785"/>
        <v>0</v>
      </c>
      <c r="S1541" s="200">
        <f t="shared" si="7785"/>
        <v>0</v>
      </c>
      <c r="T1541" s="200">
        <f t="shared" si="7785"/>
        <v>0</v>
      </c>
      <c r="U1541" s="200">
        <f t="shared" si="7785"/>
        <v>0</v>
      </c>
      <c r="V1541" s="200">
        <f t="shared" si="7785"/>
        <v>0</v>
      </c>
      <c r="W1541" s="200">
        <f t="shared" si="7785"/>
        <v>0</v>
      </c>
      <c r="X1541" s="200">
        <f t="shared" si="7785"/>
        <v>0</v>
      </c>
      <c r="Y1541" s="200">
        <f t="shared" si="7785"/>
        <v>0</v>
      </c>
      <c r="Z1541" s="200">
        <f t="shared" si="7785"/>
        <v>0</v>
      </c>
      <c r="AA1541" s="200">
        <f t="shared" si="7785"/>
        <v>0</v>
      </c>
      <c r="AB1541" s="200">
        <f t="shared" si="7785"/>
        <v>0</v>
      </c>
      <c r="AC1541" s="200">
        <f t="shared" si="7785"/>
        <v>0</v>
      </c>
      <c r="AD1541" s="200">
        <f t="shared" si="11"/>
        <v>0</v>
      </c>
      <c r="AE1541" s="200">
        <f t="shared" ref="AE1541:AG1541" si="7786">countif($D1541,"*"&amp;AE$2&amp;"*")</f>
        <v>0</v>
      </c>
      <c r="AF1541" s="200">
        <f t="shared" si="7786"/>
        <v>0</v>
      </c>
      <c r="AG1541" s="200">
        <f t="shared" si="7786"/>
        <v>0</v>
      </c>
      <c r="AH1541" s="171">
        <f t="shared" si="13"/>
        <v>0</v>
      </c>
      <c r="AI1541" s="200">
        <f t="shared" si="14"/>
        <v>0</v>
      </c>
      <c r="AJ1541" s="200">
        <f t="shared" si="6100"/>
        <v>0</v>
      </c>
      <c r="AK1541" s="201">
        <f t="shared" ref="AK1541:AS1541" si="7787">countif($D1541,"*"&amp;AK$2&amp;"*")</f>
        <v>0</v>
      </c>
      <c r="AL1541" s="201">
        <f t="shared" si="7787"/>
        <v>0</v>
      </c>
      <c r="AM1541" s="201">
        <f t="shared" si="7787"/>
        <v>0</v>
      </c>
      <c r="AN1541" s="201">
        <f t="shared" si="7787"/>
        <v>0</v>
      </c>
      <c r="AO1541" s="201">
        <f t="shared" si="7787"/>
        <v>0</v>
      </c>
      <c r="AP1541" s="201">
        <f t="shared" si="7787"/>
        <v>0</v>
      </c>
      <c r="AQ1541" s="201">
        <f t="shared" si="7787"/>
        <v>0</v>
      </c>
      <c r="AR1541" s="200">
        <f t="shared" si="7787"/>
        <v>0</v>
      </c>
      <c r="AS1541" s="200">
        <f t="shared" si="7787"/>
        <v>0</v>
      </c>
      <c r="AT1541" s="173">
        <v>0.0</v>
      </c>
      <c r="AU1541" s="200">
        <f t="shared" si="6217"/>
        <v>0</v>
      </c>
      <c r="AV1541" s="200">
        <f t="shared" ref="AV1541:AX1541" si="7788">countif($D1541,"*"&amp;AV$2&amp;"*")</f>
        <v>1</v>
      </c>
      <c r="AW1541" s="200">
        <f t="shared" si="7788"/>
        <v>0</v>
      </c>
      <c r="AX1541" s="200">
        <f t="shared" si="7788"/>
        <v>0</v>
      </c>
      <c r="AY1541" s="202">
        <v>0.0</v>
      </c>
      <c r="AZ1541" s="200"/>
      <c r="BA1541" s="171" t="str">
        <f t="shared" si="18"/>
        <v/>
      </c>
      <c r="BB1541" s="171" t="str">
        <f t="shared" si="19"/>
        <v>Code</v>
      </c>
      <c r="BC1541" s="171" t="str">
        <f t="shared" si="20"/>
        <v/>
      </c>
      <c r="BD1541" s="171" t="str">
        <f t="shared" si="21"/>
        <v/>
      </c>
      <c r="BE1541" s="171" t="str">
        <f t="shared" si="22"/>
        <v/>
      </c>
      <c r="BF1541" s="171" t="str">
        <f t="shared" si="23"/>
        <v>Code</v>
      </c>
    </row>
    <row r="1542">
      <c r="A1542" s="171">
        <f t="array" ref="A1542">XLOOKUP(C1542,FSE!A:A,FSE!C:C,"XXXXX",0,1)</f>
        <v>2021</v>
      </c>
      <c r="B1542" s="213" t="s">
        <v>5676</v>
      </c>
      <c r="C1542" s="214">
        <v>251.0</v>
      </c>
      <c r="D1542" s="215" t="s">
        <v>4827</v>
      </c>
      <c r="E1542" s="197" t="str">
        <f t="array" ref="E1542">XLOOKUP(C1542,FSE!A:A,FSE!Z:Z,"XXXXX",0,1)</f>
        <v>Publicly Available (1)</v>
      </c>
      <c r="F1542" s="213" t="s">
        <v>3394</v>
      </c>
      <c r="G1542" s="163" t="str">
        <f t="array" ref="G1542">IF(B1542="ICSE",IF(COUNTIFS(B:B,B1542,C:C,C1542)=XLOOKUP(C1542,ICSE!A:A,ICSE!AA:AA,"ERROR",0,1),"OK","ERROR"),IF(B1542="FSE",IF(COUNTIFS(B:B,B1542,C:C,C1542)=XLOOKUP(C1542,FSE!A:A,FSE!AA:AA,"ERROR",0,1),"OK","ERROR")))</f>
        <v>OK</v>
      </c>
      <c r="H1542" s="199">
        <f t="shared" ref="H1542:O1542" si="7789">countif($D1542,"*"&amp;H$2&amp;"*")</f>
        <v>0</v>
      </c>
      <c r="I1542" s="200">
        <f t="shared" si="7789"/>
        <v>0</v>
      </c>
      <c r="J1542" s="200">
        <f t="shared" si="7789"/>
        <v>0</v>
      </c>
      <c r="K1542" s="200">
        <f t="shared" si="7789"/>
        <v>0</v>
      </c>
      <c r="L1542" s="200">
        <f t="shared" si="7789"/>
        <v>0</v>
      </c>
      <c r="M1542" s="200">
        <f t="shared" si="7789"/>
        <v>0</v>
      </c>
      <c r="N1542" s="200">
        <f t="shared" si="7789"/>
        <v>0</v>
      </c>
      <c r="O1542" s="200">
        <f t="shared" si="7789"/>
        <v>0</v>
      </c>
      <c r="P1542" s="200">
        <f t="shared" si="9"/>
        <v>1</v>
      </c>
      <c r="Q1542" s="200">
        <f t="shared" ref="Q1542:AC1542" si="7790">countif($D1542,"*"&amp;Q$2&amp;"*")</f>
        <v>0</v>
      </c>
      <c r="R1542" s="200">
        <f t="shared" si="7790"/>
        <v>0</v>
      </c>
      <c r="S1542" s="200">
        <f t="shared" si="7790"/>
        <v>0</v>
      </c>
      <c r="T1542" s="200">
        <f t="shared" si="7790"/>
        <v>0</v>
      </c>
      <c r="U1542" s="200">
        <f t="shared" si="7790"/>
        <v>0</v>
      </c>
      <c r="V1542" s="200">
        <f t="shared" si="7790"/>
        <v>0</v>
      </c>
      <c r="W1542" s="200">
        <f t="shared" si="7790"/>
        <v>0</v>
      </c>
      <c r="X1542" s="200">
        <f t="shared" si="7790"/>
        <v>0</v>
      </c>
      <c r="Y1542" s="200">
        <f t="shared" si="7790"/>
        <v>0</v>
      </c>
      <c r="Z1542" s="200">
        <f t="shared" si="7790"/>
        <v>0</v>
      </c>
      <c r="AA1542" s="200">
        <f t="shared" si="7790"/>
        <v>0</v>
      </c>
      <c r="AB1542" s="200">
        <f t="shared" si="7790"/>
        <v>0</v>
      </c>
      <c r="AC1542" s="200">
        <f t="shared" si="7790"/>
        <v>0</v>
      </c>
      <c r="AD1542" s="200">
        <f t="shared" si="11"/>
        <v>0</v>
      </c>
      <c r="AE1542" s="200">
        <f t="shared" ref="AE1542:AG1542" si="7791">countif($D1542,"*"&amp;AE$2&amp;"*")</f>
        <v>0</v>
      </c>
      <c r="AF1542" s="200">
        <f t="shared" si="7791"/>
        <v>0</v>
      </c>
      <c r="AG1542" s="200">
        <f t="shared" si="7791"/>
        <v>0</v>
      </c>
      <c r="AH1542" s="171">
        <f t="shared" si="13"/>
        <v>0</v>
      </c>
      <c r="AI1542" s="200">
        <f t="shared" si="14"/>
        <v>0</v>
      </c>
      <c r="AJ1542" s="200">
        <f t="shared" si="6100"/>
        <v>0</v>
      </c>
      <c r="AK1542" s="201">
        <f t="shared" ref="AK1542:AS1542" si="7792">countif($D1542,"*"&amp;AK$2&amp;"*")</f>
        <v>0</v>
      </c>
      <c r="AL1542" s="201">
        <f t="shared" si="7792"/>
        <v>0</v>
      </c>
      <c r="AM1542" s="201">
        <f t="shared" si="7792"/>
        <v>0</v>
      </c>
      <c r="AN1542" s="201">
        <f t="shared" si="7792"/>
        <v>0</v>
      </c>
      <c r="AO1542" s="201">
        <f t="shared" si="7792"/>
        <v>0</v>
      </c>
      <c r="AP1542" s="201">
        <f t="shared" si="7792"/>
        <v>0</v>
      </c>
      <c r="AQ1542" s="201">
        <f t="shared" si="7792"/>
        <v>0</v>
      </c>
      <c r="AR1542" s="200">
        <f t="shared" si="7792"/>
        <v>0</v>
      </c>
      <c r="AS1542" s="200">
        <f t="shared" si="7792"/>
        <v>0</v>
      </c>
      <c r="AT1542" s="173">
        <v>0.0</v>
      </c>
      <c r="AU1542" s="200">
        <f t="shared" si="6217"/>
        <v>0</v>
      </c>
      <c r="AV1542" s="200">
        <f t="shared" ref="AV1542:AX1542" si="7793">countif($D1542,"*"&amp;AV$2&amp;"*")</f>
        <v>1</v>
      </c>
      <c r="AW1542" s="200">
        <f t="shared" si="7793"/>
        <v>0</v>
      </c>
      <c r="AX1542" s="200">
        <f t="shared" si="7793"/>
        <v>0</v>
      </c>
      <c r="AY1542" s="202">
        <v>0.0</v>
      </c>
      <c r="AZ1542" s="200"/>
      <c r="BA1542" s="171" t="str">
        <f t="shared" si="18"/>
        <v/>
      </c>
      <c r="BB1542" s="171" t="str">
        <f t="shared" si="19"/>
        <v>Code</v>
      </c>
      <c r="BC1542" s="171" t="str">
        <f t="shared" si="20"/>
        <v/>
      </c>
      <c r="BD1542" s="171" t="str">
        <f t="shared" si="21"/>
        <v/>
      </c>
      <c r="BE1542" s="171" t="str">
        <f t="shared" si="22"/>
        <v/>
      </c>
      <c r="BF1542" s="171" t="str">
        <f t="shared" si="23"/>
        <v>Code</v>
      </c>
    </row>
    <row r="1543">
      <c r="A1543" s="171">
        <f t="array" ref="A1543">XLOOKUP(C1543,FSE!A:A,FSE!C:C,"XXXXX",0,1)</f>
        <v>2021</v>
      </c>
      <c r="B1543" s="213" t="s">
        <v>5676</v>
      </c>
      <c r="C1543" s="214">
        <v>252.0</v>
      </c>
      <c r="D1543" s="215" t="s">
        <v>4829</v>
      </c>
      <c r="E1543" s="197" t="str">
        <f t="array" ref="E1543">XLOOKUP(C1543,FSE!A:A,FSE!Z:Z,"XXXXX",0,1)</f>
        <v>Publicly Available (1)</v>
      </c>
      <c r="F1543" s="213" t="s">
        <v>3394</v>
      </c>
      <c r="G1543" s="163" t="str">
        <f t="array" ref="G1543">IF(B1543="ICSE",IF(COUNTIFS(B:B,B1543,C:C,C1543)=XLOOKUP(C1543,ICSE!A:A,ICSE!AA:AA,"ERROR",0,1),"OK","ERROR"),IF(B1543="FSE",IF(COUNTIFS(B:B,B1543,C:C,C1543)=XLOOKUP(C1543,FSE!A:A,FSE!AA:AA,"ERROR",0,1),"OK","ERROR")))</f>
        <v>OK</v>
      </c>
      <c r="H1543" s="199">
        <f t="shared" ref="H1543:O1543" si="7794">countif($D1543,"*"&amp;H$2&amp;"*")</f>
        <v>0</v>
      </c>
      <c r="I1543" s="200">
        <f t="shared" si="7794"/>
        <v>0</v>
      </c>
      <c r="J1543" s="200">
        <f t="shared" si="7794"/>
        <v>0</v>
      </c>
      <c r="K1543" s="200">
        <f t="shared" si="7794"/>
        <v>0</v>
      </c>
      <c r="L1543" s="200">
        <f t="shared" si="7794"/>
        <v>0</v>
      </c>
      <c r="M1543" s="200">
        <f t="shared" si="7794"/>
        <v>0</v>
      </c>
      <c r="N1543" s="200">
        <f t="shared" si="7794"/>
        <v>0</v>
      </c>
      <c r="O1543" s="200">
        <f t="shared" si="7794"/>
        <v>0</v>
      </c>
      <c r="P1543" s="200">
        <f t="shared" si="9"/>
        <v>1</v>
      </c>
      <c r="Q1543" s="200">
        <f t="shared" ref="Q1543:AC1543" si="7795">countif($D1543,"*"&amp;Q$2&amp;"*")</f>
        <v>0</v>
      </c>
      <c r="R1543" s="200">
        <f t="shared" si="7795"/>
        <v>0</v>
      </c>
      <c r="S1543" s="200">
        <f t="shared" si="7795"/>
        <v>0</v>
      </c>
      <c r="T1543" s="200">
        <f t="shared" si="7795"/>
        <v>0</v>
      </c>
      <c r="U1543" s="200">
        <f t="shared" si="7795"/>
        <v>0</v>
      </c>
      <c r="V1543" s="200">
        <f t="shared" si="7795"/>
        <v>0</v>
      </c>
      <c r="W1543" s="200">
        <f t="shared" si="7795"/>
        <v>0</v>
      </c>
      <c r="X1543" s="200">
        <f t="shared" si="7795"/>
        <v>0</v>
      </c>
      <c r="Y1543" s="200">
        <f t="shared" si="7795"/>
        <v>0</v>
      </c>
      <c r="Z1543" s="200">
        <f t="shared" si="7795"/>
        <v>0</v>
      </c>
      <c r="AA1543" s="200">
        <f t="shared" si="7795"/>
        <v>0</v>
      </c>
      <c r="AB1543" s="200">
        <f t="shared" si="7795"/>
        <v>0</v>
      </c>
      <c r="AC1543" s="200">
        <f t="shared" si="7795"/>
        <v>0</v>
      </c>
      <c r="AD1543" s="200">
        <f t="shared" si="11"/>
        <v>0</v>
      </c>
      <c r="AE1543" s="200">
        <f t="shared" ref="AE1543:AG1543" si="7796">countif($D1543,"*"&amp;AE$2&amp;"*")</f>
        <v>0</v>
      </c>
      <c r="AF1543" s="200">
        <f t="shared" si="7796"/>
        <v>0</v>
      </c>
      <c r="AG1543" s="200">
        <f t="shared" si="7796"/>
        <v>0</v>
      </c>
      <c r="AH1543" s="171">
        <f t="shared" si="13"/>
        <v>0</v>
      </c>
      <c r="AI1543" s="200">
        <f t="shared" si="14"/>
        <v>0</v>
      </c>
      <c r="AJ1543" s="200">
        <f t="shared" si="6100"/>
        <v>0</v>
      </c>
      <c r="AK1543" s="201">
        <f t="shared" ref="AK1543:AS1543" si="7797">countif($D1543,"*"&amp;AK$2&amp;"*")</f>
        <v>0</v>
      </c>
      <c r="AL1543" s="201">
        <f t="shared" si="7797"/>
        <v>0</v>
      </c>
      <c r="AM1543" s="201">
        <f t="shared" si="7797"/>
        <v>0</v>
      </c>
      <c r="AN1543" s="201">
        <f t="shared" si="7797"/>
        <v>0</v>
      </c>
      <c r="AO1543" s="201">
        <f t="shared" si="7797"/>
        <v>0</v>
      </c>
      <c r="AP1543" s="201">
        <f t="shared" si="7797"/>
        <v>0</v>
      </c>
      <c r="AQ1543" s="201">
        <f t="shared" si="7797"/>
        <v>0</v>
      </c>
      <c r="AR1543" s="200">
        <f t="shared" si="7797"/>
        <v>0</v>
      </c>
      <c r="AS1543" s="200">
        <f t="shared" si="7797"/>
        <v>0</v>
      </c>
      <c r="AT1543" s="173">
        <v>0.0</v>
      </c>
      <c r="AU1543" s="200">
        <f t="shared" si="6217"/>
        <v>0</v>
      </c>
      <c r="AV1543" s="200">
        <f t="shared" ref="AV1543:AX1543" si="7798">countif($D1543,"*"&amp;AV$2&amp;"*")</f>
        <v>1</v>
      </c>
      <c r="AW1543" s="200">
        <f t="shared" si="7798"/>
        <v>0</v>
      </c>
      <c r="AX1543" s="200">
        <f t="shared" si="7798"/>
        <v>0</v>
      </c>
      <c r="AY1543" s="202">
        <v>0.0</v>
      </c>
      <c r="AZ1543" s="200"/>
      <c r="BA1543" s="171" t="str">
        <f t="shared" si="18"/>
        <v/>
      </c>
      <c r="BB1543" s="171" t="str">
        <f t="shared" si="19"/>
        <v>Code</v>
      </c>
      <c r="BC1543" s="171" t="str">
        <f t="shared" si="20"/>
        <v/>
      </c>
      <c r="BD1543" s="171" t="str">
        <f t="shared" si="21"/>
        <v/>
      </c>
      <c r="BE1543" s="171" t="str">
        <f t="shared" si="22"/>
        <v/>
      </c>
      <c r="BF1543" s="171" t="str">
        <f t="shared" si="23"/>
        <v>Code</v>
      </c>
    </row>
    <row r="1544">
      <c r="A1544" s="171">
        <f t="array" ref="A1544">XLOOKUP(C1544,FSE!A:A,FSE!C:C,"XXXXX",0,1)</f>
        <v>2021</v>
      </c>
      <c r="B1544" s="213" t="s">
        <v>5676</v>
      </c>
      <c r="C1544" s="214">
        <v>253.0</v>
      </c>
      <c r="D1544" s="215" t="s">
        <v>4831</v>
      </c>
      <c r="E1544" s="197" t="str">
        <f t="array" ref="E1544">XLOOKUP(C1544,FSE!A:A,FSE!Z:Z,"XXXXX",0,1)</f>
        <v>Publicly Available (1)</v>
      </c>
      <c r="F1544" s="213" t="s">
        <v>3394</v>
      </c>
      <c r="G1544" s="163" t="str">
        <f t="array" ref="G1544">IF(B1544="ICSE",IF(COUNTIFS(B:B,B1544,C:C,C1544)=XLOOKUP(C1544,ICSE!A:A,ICSE!AA:AA,"ERROR",0,1),"OK","ERROR"),IF(B1544="FSE",IF(COUNTIFS(B:B,B1544,C:C,C1544)=XLOOKUP(C1544,FSE!A:A,FSE!AA:AA,"ERROR",0,1),"OK","ERROR")))</f>
        <v>OK</v>
      </c>
      <c r="H1544" s="199">
        <f t="shared" ref="H1544:O1544" si="7799">countif($D1544,"*"&amp;H$2&amp;"*")</f>
        <v>0</v>
      </c>
      <c r="I1544" s="200">
        <f t="shared" si="7799"/>
        <v>0</v>
      </c>
      <c r="J1544" s="200">
        <f t="shared" si="7799"/>
        <v>0</v>
      </c>
      <c r="K1544" s="200">
        <f t="shared" si="7799"/>
        <v>0</v>
      </c>
      <c r="L1544" s="200">
        <f t="shared" si="7799"/>
        <v>0</v>
      </c>
      <c r="M1544" s="200">
        <f t="shared" si="7799"/>
        <v>0</v>
      </c>
      <c r="N1544" s="200">
        <f t="shared" si="7799"/>
        <v>0</v>
      </c>
      <c r="O1544" s="200">
        <f t="shared" si="7799"/>
        <v>0</v>
      </c>
      <c r="P1544" s="200">
        <f t="shared" si="9"/>
        <v>1</v>
      </c>
      <c r="Q1544" s="200">
        <f t="shared" ref="Q1544:AC1544" si="7800">countif($D1544,"*"&amp;Q$2&amp;"*")</f>
        <v>0</v>
      </c>
      <c r="R1544" s="200">
        <f t="shared" si="7800"/>
        <v>0</v>
      </c>
      <c r="S1544" s="200">
        <f t="shared" si="7800"/>
        <v>0</v>
      </c>
      <c r="T1544" s="200">
        <f t="shared" si="7800"/>
        <v>0</v>
      </c>
      <c r="U1544" s="200">
        <f t="shared" si="7800"/>
        <v>0</v>
      </c>
      <c r="V1544" s="200">
        <f t="shared" si="7800"/>
        <v>0</v>
      </c>
      <c r="W1544" s="200">
        <f t="shared" si="7800"/>
        <v>0</v>
      </c>
      <c r="X1544" s="200">
        <f t="shared" si="7800"/>
        <v>0</v>
      </c>
      <c r="Y1544" s="200">
        <f t="shared" si="7800"/>
        <v>0</v>
      </c>
      <c r="Z1544" s="200">
        <f t="shared" si="7800"/>
        <v>0</v>
      </c>
      <c r="AA1544" s="200">
        <f t="shared" si="7800"/>
        <v>0</v>
      </c>
      <c r="AB1544" s="200">
        <f t="shared" si="7800"/>
        <v>0</v>
      </c>
      <c r="AC1544" s="200">
        <f t="shared" si="7800"/>
        <v>0</v>
      </c>
      <c r="AD1544" s="200">
        <f t="shared" si="11"/>
        <v>0</v>
      </c>
      <c r="AE1544" s="200">
        <f t="shared" ref="AE1544:AG1544" si="7801">countif($D1544,"*"&amp;AE$2&amp;"*")</f>
        <v>0</v>
      </c>
      <c r="AF1544" s="200">
        <f t="shared" si="7801"/>
        <v>0</v>
      </c>
      <c r="AG1544" s="200">
        <f t="shared" si="7801"/>
        <v>0</v>
      </c>
      <c r="AH1544" s="171">
        <f t="shared" si="13"/>
        <v>0</v>
      </c>
      <c r="AI1544" s="200">
        <f t="shared" si="14"/>
        <v>0</v>
      </c>
      <c r="AJ1544" s="200">
        <f t="shared" si="6100"/>
        <v>0</v>
      </c>
      <c r="AK1544" s="201">
        <f t="shared" ref="AK1544:AS1544" si="7802">countif($D1544,"*"&amp;AK$2&amp;"*")</f>
        <v>0</v>
      </c>
      <c r="AL1544" s="201">
        <f t="shared" si="7802"/>
        <v>0</v>
      </c>
      <c r="AM1544" s="201">
        <f t="shared" si="7802"/>
        <v>0</v>
      </c>
      <c r="AN1544" s="201">
        <f t="shared" si="7802"/>
        <v>0</v>
      </c>
      <c r="AO1544" s="201">
        <f t="shared" si="7802"/>
        <v>0</v>
      </c>
      <c r="AP1544" s="201">
        <f t="shared" si="7802"/>
        <v>0</v>
      </c>
      <c r="AQ1544" s="201">
        <f t="shared" si="7802"/>
        <v>0</v>
      </c>
      <c r="AR1544" s="200">
        <f t="shared" si="7802"/>
        <v>0</v>
      </c>
      <c r="AS1544" s="200">
        <f t="shared" si="7802"/>
        <v>0</v>
      </c>
      <c r="AT1544" s="173">
        <v>0.0</v>
      </c>
      <c r="AU1544" s="200">
        <f t="shared" si="6217"/>
        <v>0</v>
      </c>
      <c r="AV1544" s="200">
        <f t="shared" ref="AV1544:AX1544" si="7803">countif($D1544,"*"&amp;AV$2&amp;"*")</f>
        <v>1</v>
      </c>
      <c r="AW1544" s="200">
        <f t="shared" si="7803"/>
        <v>0</v>
      </c>
      <c r="AX1544" s="200">
        <f t="shared" si="7803"/>
        <v>0</v>
      </c>
      <c r="AY1544" s="202">
        <v>0.0</v>
      </c>
      <c r="AZ1544" s="200"/>
      <c r="BA1544" s="171" t="str">
        <f t="shared" si="18"/>
        <v/>
      </c>
      <c r="BB1544" s="171" t="str">
        <f t="shared" si="19"/>
        <v>Code</v>
      </c>
      <c r="BC1544" s="171" t="str">
        <f t="shared" si="20"/>
        <v/>
      </c>
      <c r="BD1544" s="171" t="str">
        <f t="shared" si="21"/>
        <v/>
      </c>
      <c r="BE1544" s="171" t="str">
        <f t="shared" si="22"/>
        <v/>
      </c>
      <c r="BF1544" s="171" t="str">
        <f t="shared" si="23"/>
        <v>Code</v>
      </c>
    </row>
    <row r="1545">
      <c r="A1545" s="171">
        <f t="array" ref="A1545">XLOOKUP(C1545,FSE!A:A,FSE!C:C,"XXXXX",0,1)</f>
        <v>2021</v>
      </c>
      <c r="B1545" s="213" t="s">
        <v>5676</v>
      </c>
      <c r="C1545" s="214">
        <v>254.0</v>
      </c>
      <c r="D1545" s="215" t="s">
        <v>4834</v>
      </c>
      <c r="E1545" s="197" t="str">
        <f t="array" ref="E1545">XLOOKUP(C1545,FSE!A:A,FSE!Z:Z,"XXXXX",0,1)</f>
        <v>Publicly Available (1)</v>
      </c>
      <c r="F1545" s="213" t="s">
        <v>3394</v>
      </c>
      <c r="G1545" s="163" t="str">
        <f t="array" ref="G1545">IF(B1545="ICSE",IF(COUNTIFS(B:B,B1545,C:C,C1545)=XLOOKUP(C1545,ICSE!A:A,ICSE!AA:AA,"ERROR",0,1),"OK","ERROR"),IF(B1545="FSE",IF(COUNTIFS(B:B,B1545,C:C,C1545)=XLOOKUP(C1545,FSE!A:A,FSE!AA:AA,"ERROR",0,1),"OK","ERROR")))</f>
        <v>OK</v>
      </c>
      <c r="H1545" s="199">
        <f t="shared" ref="H1545:O1545" si="7804">countif($D1545,"*"&amp;H$2&amp;"*")</f>
        <v>0</v>
      </c>
      <c r="I1545" s="200">
        <f t="shared" si="7804"/>
        <v>0</v>
      </c>
      <c r="J1545" s="200">
        <f t="shared" si="7804"/>
        <v>0</v>
      </c>
      <c r="K1545" s="200">
        <f t="shared" si="7804"/>
        <v>0</v>
      </c>
      <c r="L1545" s="200">
        <f t="shared" si="7804"/>
        <v>0</v>
      </c>
      <c r="M1545" s="200">
        <f t="shared" si="7804"/>
        <v>0</v>
      </c>
      <c r="N1545" s="200">
        <f t="shared" si="7804"/>
        <v>0</v>
      </c>
      <c r="O1545" s="200">
        <f t="shared" si="7804"/>
        <v>0</v>
      </c>
      <c r="P1545" s="200">
        <f t="shared" si="9"/>
        <v>1</v>
      </c>
      <c r="Q1545" s="200">
        <f t="shared" ref="Q1545:AC1545" si="7805">countif($D1545,"*"&amp;Q$2&amp;"*")</f>
        <v>0</v>
      </c>
      <c r="R1545" s="200">
        <f t="shared" si="7805"/>
        <v>0</v>
      </c>
      <c r="S1545" s="200">
        <f t="shared" si="7805"/>
        <v>0</v>
      </c>
      <c r="T1545" s="200">
        <f t="shared" si="7805"/>
        <v>0</v>
      </c>
      <c r="U1545" s="200">
        <f t="shared" si="7805"/>
        <v>0</v>
      </c>
      <c r="V1545" s="200">
        <f t="shared" si="7805"/>
        <v>0</v>
      </c>
      <c r="W1545" s="200">
        <f t="shared" si="7805"/>
        <v>0</v>
      </c>
      <c r="X1545" s="200">
        <f t="shared" si="7805"/>
        <v>0</v>
      </c>
      <c r="Y1545" s="200">
        <f t="shared" si="7805"/>
        <v>0</v>
      </c>
      <c r="Z1545" s="200">
        <f t="shared" si="7805"/>
        <v>0</v>
      </c>
      <c r="AA1545" s="200">
        <f t="shared" si="7805"/>
        <v>0</v>
      </c>
      <c r="AB1545" s="200">
        <f t="shared" si="7805"/>
        <v>0</v>
      </c>
      <c r="AC1545" s="200">
        <f t="shared" si="7805"/>
        <v>0</v>
      </c>
      <c r="AD1545" s="200">
        <f t="shared" si="11"/>
        <v>0</v>
      </c>
      <c r="AE1545" s="200">
        <f t="shared" ref="AE1545:AG1545" si="7806">countif($D1545,"*"&amp;AE$2&amp;"*")</f>
        <v>0</v>
      </c>
      <c r="AF1545" s="200">
        <f t="shared" si="7806"/>
        <v>0</v>
      </c>
      <c r="AG1545" s="200">
        <f t="shared" si="7806"/>
        <v>0</v>
      </c>
      <c r="AH1545" s="171">
        <f t="shared" si="13"/>
        <v>0</v>
      </c>
      <c r="AI1545" s="200">
        <f t="shared" si="14"/>
        <v>0</v>
      </c>
      <c r="AJ1545" s="200">
        <f t="shared" si="6100"/>
        <v>0</v>
      </c>
      <c r="AK1545" s="201">
        <f t="shared" ref="AK1545:AS1545" si="7807">countif($D1545,"*"&amp;AK$2&amp;"*")</f>
        <v>0</v>
      </c>
      <c r="AL1545" s="201">
        <f t="shared" si="7807"/>
        <v>0</v>
      </c>
      <c r="AM1545" s="201">
        <f t="shared" si="7807"/>
        <v>0</v>
      </c>
      <c r="AN1545" s="201">
        <f t="shared" si="7807"/>
        <v>0</v>
      </c>
      <c r="AO1545" s="201">
        <f t="shared" si="7807"/>
        <v>0</v>
      </c>
      <c r="AP1545" s="201">
        <f t="shared" si="7807"/>
        <v>0</v>
      </c>
      <c r="AQ1545" s="201">
        <f t="shared" si="7807"/>
        <v>0</v>
      </c>
      <c r="AR1545" s="200">
        <f t="shared" si="7807"/>
        <v>0</v>
      </c>
      <c r="AS1545" s="200">
        <f t="shared" si="7807"/>
        <v>0</v>
      </c>
      <c r="AT1545" s="173">
        <v>0.0</v>
      </c>
      <c r="AU1545" s="200">
        <f t="shared" si="6217"/>
        <v>0</v>
      </c>
      <c r="AV1545" s="200">
        <f t="shared" ref="AV1545:AX1545" si="7808">countif($D1545,"*"&amp;AV$2&amp;"*")</f>
        <v>1</v>
      </c>
      <c r="AW1545" s="200">
        <f t="shared" si="7808"/>
        <v>0</v>
      </c>
      <c r="AX1545" s="200">
        <f t="shared" si="7808"/>
        <v>0</v>
      </c>
      <c r="AY1545" s="202">
        <v>0.0</v>
      </c>
      <c r="AZ1545" s="200"/>
      <c r="BA1545" s="171" t="str">
        <f t="shared" si="18"/>
        <v/>
      </c>
      <c r="BB1545" s="171" t="str">
        <f t="shared" si="19"/>
        <v>Code</v>
      </c>
      <c r="BC1545" s="171" t="str">
        <f t="shared" si="20"/>
        <v/>
      </c>
      <c r="BD1545" s="171" t="str">
        <f t="shared" si="21"/>
        <v/>
      </c>
      <c r="BE1545" s="171" t="str">
        <f t="shared" si="22"/>
        <v/>
      </c>
      <c r="BF1545" s="171" t="str">
        <f t="shared" si="23"/>
        <v>Code</v>
      </c>
    </row>
    <row r="1546">
      <c r="A1546" s="171">
        <f t="array" ref="A1546">XLOOKUP(C1546,FSE!A:A,FSE!C:C,"XXXXX",0,1)</f>
        <v>2021</v>
      </c>
      <c r="B1546" s="213" t="s">
        <v>5676</v>
      </c>
      <c r="C1546" s="214">
        <v>255.0</v>
      </c>
      <c r="D1546" s="215" t="s">
        <v>4837</v>
      </c>
      <c r="E1546" s="197" t="str">
        <f t="array" ref="E1546">XLOOKUP(C1546,FSE!A:A,FSE!Z:Z,"XXXXX",0,1)</f>
        <v>Publicly Available (1)</v>
      </c>
      <c r="F1546" s="213" t="s">
        <v>3394</v>
      </c>
      <c r="G1546" s="163" t="str">
        <f t="array" ref="G1546">IF(B1546="ICSE",IF(COUNTIFS(B:B,B1546,C:C,C1546)=XLOOKUP(C1546,ICSE!A:A,ICSE!AA:AA,"ERROR",0,1),"OK","ERROR"),IF(B1546="FSE",IF(COUNTIFS(B:B,B1546,C:C,C1546)=XLOOKUP(C1546,FSE!A:A,FSE!AA:AA,"ERROR",0,1),"OK","ERROR")))</f>
        <v>OK</v>
      </c>
      <c r="H1546" s="199">
        <f t="shared" ref="H1546:O1546" si="7809">countif($D1546,"*"&amp;H$2&amp;"*")</f>
        <v>0</v>
      </c>
      <c r="I1546" s="200">
        <f t="shared" si="7809"/>
        <v>0</v>
      </c>
      <c r="J1546" s="200">
        <f t="shared" si="7809"/>
        <v>0</v>
      </c>
      <c r="K1546" s="200">
        <f t="shared" si="7809"/>
        <v>0</v>
      </c>
      <c r="L1546" s="200">
        <f t="shared" si="7809"/>
        <v>0</v>
      </c>
      <c r="M1546" s="200">
        <f t="shared" si="7809"/>
        <v>0</v>
      </c>
      <c r="N1546" s="200">
        <f t="shared" si="7809"/>
        <v>0</v>
      </c>
      <c r="O1546" s="200">
        <f t="shared" si="7809"/>
        <v>0</v>
      </c>
      <c r="P1546" s="200">
        <f t="shared" si="9"/>
        <v>1</v>
      </c>
      <c r="Q1546" s="200">
        <f t="shared" ref="Q1546:AC1546" si="7810">countif($D1546,"*"&amp;Q$2&amp;"*")</f>
        <v>0</v>
      </c>
      <c r="R1546" s="200">
        <f t="shared" si="7810"/>
        <v>0</v>
      </c>
      <c r="S1546" s="200">
        <f t="shared" si="7810"/>
        <v>0</v>
      </c>
      <c r="T1546" s="200">
        <f t="shared" si="7810"/>
        <v>0</v>
      </c>
      <c r="U1546" s="200">
        <f t="shared" si="7810"/>
        <v>0</v>
      </c>
      <c r="V1546" s="200">
        <f t="shared" si="7810"/>
        <v>0</v>
      </c>
      <c r="W1546" s="200">
        <f t="shared" si="7810"/>
        <v>0</v>
      </c>
      <c r="X1546" s="200">
        <f t="shared" si="7810"/>
        <v>0</v>
      </c>
      <c r="Y1546" s="200">
        <f t="shared" si="7810"/>
        <v>0</v>
      </c>
      <c r="Z1546" s="200">
        <f t="shared" si="7810"/>
        <v>0</v>
      </c>
      <c r="AA1546" s="200">
        <f t="shared" si="7810"/>
        <v>0</v>
      </c>
      <c r="AB1546" s="200">
        <f t="shared" si="7810"/>
        <v>0</v>
      </c>
      <c r="AC1546" s="200">
        <f t="shared" si="7810"/>
        <v>0</v>
      </c>
      <c r="AD1546" s="200">
        <f t="shared" si="11"/>
        <v>0</v>
      </c>
      <c r="AE1546" s="200">
        <f t="shared" ref="AE1546:AG1546" si="7811">countif($D1546,"*"&amp;AE$2&amp;"*")</f>
        <v>0</v>
      </c>
      <c r="AF1546" s="200">
        <f t="shared" si="7811"/>
        <v>0</v>
      </c>
      <c r="AG1546" s="200">
        <f t="shared" si="7811"/>
        <v>0</v>
      </c>
      <c r="AH1546" s="171">
        <f t="shared" si="13"/>
        <v>0</v>
      </c>
      <c r="AI1546" s="200">
        <f t="shared" si="14"/>
        <v>0</v>
      </c>
      <c r="AJ1546" s="200">
        <f t="shared" si="6100"/>
        <v>0</v>
      </c>
      <c r="AK1546" s="201">
        <f t="shared" ref="AK1546:AS1546" si="7812">countif($D1546,"*"&amp;AK$2&amp;"*")</f>
        <v>0</v>
      </c>
      <c r="AL1546" s="201">
        <f t="shared" si="7812"/>
        <v>0</v>
      </c>
      <c r="AM1546" s="201">
        <f t="shared" si="7812"/>
        <v>0</v>
      </c>
      <c r="AN1546" s="201">
        <f t="shared" si="7812"/>
        <v>0</v>
      </c>
      <c r="AO1546" s="201">
        <f t="shared" si="7812"/>
        <v>0</v>
      </c>
      <c r="AP1546" s="201">
        <f t="shared" si="7812"/>
        <v>0</v>
      </c>
      <c r="AQ1546" s="201">
        <f t="shared" si="7812"/>
        <v>0</v>
      </c>
      <c r="AR1546" s="200">
        <f t="shared" si="7812"/>
        <v>0</v>
      </c>
      <c r="AS1546" s="200">
        <f t="shared" si="7812"/>
        <v>0</v>
      </c>
      <c r="AT1546" s="173">
        <v>0.0</v>
      </c>
      <c r="AU1546" s="200">
        <f t="shared" si="6217"/>
        <v>0</v>
      </c>
      <c r="AV1546" s="200">
        <f t="shared" ref="AV1546:AX1546" si="7813">countif($D1546,"*"&amp;AV$2&amp;"*")</f>
        <v>1</v>
      </c>
      <c r="AW1546" s="200">
        <f t="shared" si="7813"/>
        <v>0</v>
      </c>
      <c r="AX1546" s="200">
        <f t="shared" si="7813"/>
        <v>0</v>
      </c>
      <c r="AY1546" s="202">
        <v>0.0</v>
      </c>
      <c r="AZ1546" s="200"/>
      <c r="BA1546" s="171" t="str">
        <f t="shared" si="18"/>
        <v/>
      </c>
      <c r="BB1546" s="171" t="str">
        <f t="shared" si="19"/>
        <v>Code</v>
      </c>
      <c r="BC1546" s="171" t="str">
        <f t="shared" si="20"/>
        <v/>
      </c>
      <c r="BD1546" s="171" t="str">
        <f t="shared" si="21"/>
        <v/>
      </c>
      <c r="BE1546" s="171" t="str">
        <f t="shared" si="22"/>
        <v/>
      </c>
      <c r="BF1546" s="171" t="str">
        <f t="shared" si="23"/>
        <v>Code</v>
      </c>
    </row>
    <row r="1547">
      <c r="A1547" s="171">
        <f t="array" ref="A1547">XLOOKUP(C1547,FSE!A:A,FSE!C:C,"XXXXX",0,1)</f>
        <v>2021</v>
      </c>
      <c r="B1547" s="213" t="s">
        <v>5676</v>
      </c>
      <c r="C1547" s="214">
        <v>256.0</v>
      </c>
      <c r="D1547" s="215" t="s">
        <v>4840</v>
      </c>
      <c r="E1547" s="197" t="str">
        <f t="array" ref="E1547">XLOOKUP(C1547,FSE!A:A,FSE!Z:Z,"XXXXX",0,1)</f>
        <v>Publicly Available (1)</v>
      </c>
      <c r="F1547" s="213" t="s">
        <v>3394</v>
      </c>
      <c r="G1547" s="163" t="str">
        <f t="array" ref="G1547">IF(B1547="ICSE",IF(COUNTIFS(B:B,B1547,C:C,C1547)=XLOOKUP(C1547,ICSE!A:A,ICSE!AA:AA,"ERROR",0,1),"OK","ERROR"),IF(B1547="FSE",IF(COUNTIFS(B:B,B1547,C:C,C1547)=XLOOKUP(C1547,FSE!A:A,FSE!AA:AA,"ERROR",0,1),"OK","ERROR")))</f>
        <v>OK</v>
      </c>
      <c r="H1547" s="199">
        <f t="shared" ref="H1547:O1547" si="7814">countif($D1547,"*"&amp;H$2&amp;"*")</f>
        <v>0</v>
      </c>
      <c r="I1547" s="200">
        <f t="shared" si="7814"/>
        <v>0</v>
      </c>
      <c r="J1547" s="200">
        <f t="shared" si="7814"/>
        <v>0</v>
      </c>
      <c r="K1547" s="200">
        <f t="shared" si="7814"/>
        <v>0</v>
      </c>
      <c r="L1547" s="200">
        <f t="shared" si="7814"/>
        <v>0</v>
      </c>
      <c r="M1547" s="200">
        <f t="shared" si="7814"/>
        <v>0</v>
      </c>
      <c r="N1547" s="200">
        <f t="shared" si="7814"/>
        <v>0</v>
      </c>
      <c r="O1547" s="200">
        <f t="shared" si="7814"/>
        <v>0</v>
      </c>
      <c r="P1547" s="200">
        <f t="shared" si="9"/>
        <v>1</v>
      </c>
      <c r="Q1547" s="200">
        <f t="shared" ref="Q1547:AC1547" si="7815">countif($D1547,"*"&amp;Q$2&amp;"*")</f>
        <v>0</v>
      </c>
      <c r="R1547" s="200">
        <f t="shared" si="7815"/>
        <v>0</v>
      </c>
      <c r="S1547" s="200">
        <f t="shared" si="7815"/>
        <v>0</v>
      </c>
      <c r="T1547" s="200">
        <f t="shared" si="7815"/>
        <v>0</v>
      </c>
      <c r="U1547" s="200">
        <f t="shared" si="7815"/>
        <v>0</v>
      </c>
      <c r="V1547" s="200">
        <f t="shared" si="7815"/>
        <v>0</v>
      </c>
      <c r="W1547" s="200">
        <f t="shared" si="7815"/>
        <v>0</v>
      </c>
      <c r="X1547" s="200">
        <f t="shared" si="7815"/>
        <v>0</v>
      </c>
      <c r="Y1547" s="200">
        <f t="shared" si="7815"/>
        <v>0</v>
      </c>
      <c r="Z1547" s="200">
        <f t="shared" si="7815"/>
        <v>0</v>
      </c>
      <c r="AA1547" s="200">
        <f t="shared" si="7815"/>
        <v>0</v>
      </c>
      <c r="AB1547" s="200">
        <f t="shared" si="7815"/>
        <v>0</v>
      </c>
      <c r="AC1547" s="200">
        <f t="shared" si="7815"/>
        <v>0</v>
      </c>
      <c r="AD1547" s="200">
        <f t="shared" si="11"/>
        <v>0</v>
      </c>
      <c r="AE1547" s="200">
        <f t="shared" ref="AE1547:AG1547" si="7816">countif($D1547,"*"&amp;AE$2&amp;"*")</f>
        <v>0</v>
      </c>
      <c r="AF1547" s="200">
        <f t="shared" si="7816"/>
        <v>0</v>
      </c>
      <c r="AG1547" s="200">
        <f t="shared" si="7816"/>
        <v>0</v>
      </c>
      <c r="AH1547" s="171">
        <f t="shared" si="13"/>
        <v>0</v>
      </c>
      <c r="AI1547" s="200">
        <f t="shared" si="14"/>
        <v>0</v>
      </c>
      <c r="AJ1547" s="200">
        <f t="shared" si="6100"/>
        <v>0</v>
      </c>
      <c r="AK1547" s="201">
        <f t="shared" ref="AK1547:AS1547" si="7817">countif($D1547,"*"&amp;AK$2&amp;"*")</f>
        <v>0</v>
      </c>
      <c r="AL1547" s="201">
        <f t="shared" si="7817"/>
        <v>0</v>
      </c>
      <c r="AM1547" s="201">
        <f t="shared" si="7817"/>
        <v>0</v>
      </c>
      <c r="AN1547" s="201">
        <f t="shared" si="7817"/>
        <v>0</v>
      </c>
      <c r="AO1547" s="201">
        <f t="shared" si="7817"/>
        <v>0</v>
      </c>
      <c r="AP1547" s="201">
        <f t="shared" si="7817"/>
        <v>0</v>
      </c>
      <c r="AQ1547" s="201">
        <f t="shared" si="7817"/>
        <v>0</v>
      </c>
      <c r="AR1547" s="200">
        <f t="shared" si="7817"/>
        <v>0</v>
      </c>
      <c r="AS1547" s="200">
        <f t="shared" si="7817"/>
        <v>0</v>
      </c>
      <c r="AT1547" s="173">
        <v>0.0</v>
      </c>
      <c r="AU1547" s="200">
        <f t="shared" si="6217"/>
        <v>0</v>
      </c>
      <c r="AV1547" s="200">
        <f t="shared" ref="AV1547:AX1547" si="7818">countif($D1547,"*"&amp;AV$2&amp;"*")</f>
        <v>1</v>
      </c>
      <c r="AW1547" s="200">
        <f t="shared" si="7818"/>
        <v>0</v>
      </c>
      <c r="AX1547" s="200">
        <f t="shared" si="7818"/>
        <v>0</v>
      </c>
      <c r="AY1547" s="202">
        <v>0.0</v>
      </c>
      <c r="AZ1547" s="200"/>
      <c r="BA1547" s="171" t="str">
        <f t="shared" si="18"/>
        <v/>
      </c>
      <c r="BB1547" s="171" t="str">
        <f t="shared" si="19"/>
        <v>Code</v>
      </c>
      <c r="BC1547" s="171" t="str">
        <f t="shared" si="20"/>
        <v/>
      </c>
      <c r="BD1547" s="171" t="str">
        <f t="shared" si="21"/>
        <v/>
      </c>
      <c r="BE1547" s="171" t="str">
        <f t="shared" si="22"/>
        <v/>
      </c>
      <c r="BF1547" s="171" t="str">
        <f t="shared" si="23"/>
        <v>Code</v>
      </c>
    </row>
    <row r="1548">
      <c r="A1548" s="171">
        <f t="array" ref="A1548">XLOOKUP(C1548,FSE!A:A,FSE!C:C,"XXXXX",0,1)</f>
        <v>2021</v>
      </c>
      <c r="B1548" s="213" t="s">
        <v>5676</v>
      </c>
      <c r="C1548" s="219">
        <v>257.0</v>
      </c>
      <c r="D1548" s="217" t="s">
        <v>6311</v>
      </c>
      <c r="E1548" s="197" t="str">
        <f t="array" ref="E1548">XLOOKUP(C1548,FSE!A:A,FSE!Z:Z,"XXXXX",0,1)</f>
        <v>Publicly Available (2)</v>
      </c>
      <c r="F1548" s="213" t="s">
        <v>3394</v>
      </c>
      <c r="G1548" s="163" t="str">
        <f t="array" ref="G1548">IF(B1548="ICSE",IF(COUNTIFS(B:B,B1548,C:C,C1548)=XLOOKUP(C1548,ICSE!A:A,ICSE!AA:AA,"ERROR",0,1),"OK","ERROR"),IF(B1548="FSE",IF(COUNTIFS(B:B,B1548,C:C,C1548)=XLOOKUP(C1548,FSE!A:A,FSE!AA:AA,"ERROR",0,1),"OK","ERROR")))</f>
        <v>OK</v>
      </c>
      <c r="H1548" s="199">
        <f t="shared" ref="H1548:O1548" si="7819">countif($D1548,"*"&amp;H$2&amp;"*")</f>
        <v>0</v>
      </c>
      <c r="I1548" s="200">
        <f t="shared" si="7819"/>
        <v>0</v>
      </c>
      <c r="J1548" s="200">
        <f t="shared" si="7819"/>
        <v>0</v>
      </c>
      <c r="K1548" s="200">
        <f t="shared" si="7819"/>
        <v>0</v>
      </c>
      <c r="L1548" s="200">
        <f t="shared" si="7819"/>
        <v>0</v>
      </c>
      <c r="M1548" s="200">
        <f t="shared" si="7819"/>
        <v>0</v>
      </c>
      <c r="N1548" s="200">
        <f t="shared" si="7819"/>
        <v>0</v>
      </c>
      <c r="O1548" s="200">
        <f t="shared" si="7819"/>
        <v>0</v>
      </c>
      <c r="P1548" s="200">
        <f t="shared" si="9"/>
        <v>1</v>
      </c>
      <c r="Q1548" s="200">
        <f t="shared" ref="Q1548:AC1548" si="7820">countif($D1548,"*"&amp;Q$2&amp;"*")</f>
        <v>0</v>
      </c>
      <c r="R1548" s="200">
        <f t="shared" si="7820"/>
        <v>0</v>
      </c>
      <c r="S1548" s="200">
        <f t="shared" si="7820"/>
        <v>0</v>
      </c>
      <c r="T1548" s="200">
        <f t="shared" si="7820"/>
        <v>0</v>
      </c>
      <c r="U1548" s="200">
        <f t="shared" si="7820"/>
        <v>0</v>
      </c>
      <c r="V1548" s="200">
        <f t="shared" si="7820"/>
        <v>0</v>
      </c>
      <c r="W1548" s="200">
        <f t="shared" si="7820"/>
        <v>0</v>
      </c>
      <c r="X1548" s="200">
        <f t="shared" si="7820"/>
        <v>0</v>
      </c>
      <c r="Y1548" s="200">
        <f t="shared" si="7820"/>
        <v>0</v>
      </c>
      <c r="Z1548" s="200">
        <f t="shared" si="7820"/>
        <v>0</v>
      </c>
      <c r="AA1548" s="200">
        <f t="shared" si="7820"/>
        <v>0</v>
      </c>
      <c r="AB1548" s="200">
        <f t="shared" si="7820"/>
        <v>0</v>
      </c>
      <c r="AC1548" s="200">
        <f t="shared" si="7820"/>
        <v>0</v>
      </c>
      <c r="AD1548" s="200">
        <f t="shared" si="11"/>
        <v>0</v>
      </c>
      <c r="AE1548" s="200">
        <f t="shared" ref="AE1548:AG1548" si="7821">countif($D1548,"*"&amp;AE$2&amp;"*")</f>
        <v>0</v>
      </c>
      <c r="AF1548" s="200">
        <f t="shared" si="7821"/>
        <v>0</v>
      </c>
      <c r="AG1548" s="200">
        <f t="shared" si="7821"/>
        <v>0</v>
      </c>
      <c r="AH1548" s="171">
        <f t="shared" si="13"/>
        <v>0</v>
      </c>
      <c r="AI1548" s="200">
        <f t="shared" si="14"/>
        <v>0</v>
      </c>
      <c r="AJ1548" s="200">
        <f t="shared" si="6100"/>
        <v>0</v>
      </c>
      <c r="AK1548" s="201">
        <f t="shared" ref="AK1548:AS1548" si="7822">countif($D1548,"*"&amp;AK$2&amp;"*")</f>
        <v>0</v>
      </c>
      <c r="AL1548" s="201">
        <f t="shared" si="7822"/>
        <v>0</v>
      </c>
      <c r="AM1548" s="201">
        <f t="shared" si="7822"/>
        <v>0</v>
      </c>
      <c r="AN1548" s="201">
        <f t="shared" si="7822"/>
        <v>0</v>
      </c>
      <c r="AO1548" s="201">
        <f t="shared" si="7822"/>
        <v>0</v>
      </c>
      <c r="AP1548" s="201">
        <f t="shared" si="7822"/>
        <v>0</v>
      </c>
      <c r="AQ1548" s="201">
        <f t="shared" si="7822"/>
        <v>0</v>
      </c>
      <c r="AR1548" s="200">
        <f t="shared" si="7822"/>
        <v>0</v>
      </c>
      <c r="AS1548" s="200">
        <f t="shared" si="7822"/>
        <v>0</v>
      </c>
      <c r="AT1548" s="173">
        <v>0.0</v>
      </c>
      <c r="AU1548" s="200">
        <f t="shared" si="6217"/>
        <v>0</v>
      </c>
      <c r="AV1548" s="200">
        <f t="shared" ref="AV1548:AX1548" si="7823">countif($D1548,"*"&amp;AV$2&amp;"*")</f>
        <v>1</v>
      </c>
      <c r="AW1548" s="200">
        <f t="shared" si="7823"/>
        <v>0</v>
      </c>
      <c r="AX1548" s="200">
        <f t="shared" si="7823"/>
        <v>0</v>
      </c>
      <c r="AY1548" s="202">
        <v>0.0</v>
      </c>
      <c r="AZ1548" s="200"/>
      <c r="BA1548" s="171" t="str">
        <f t="shared" si="18"/>
        <v/>
      </c>
      <c r="BB1548" s="171" t="str">
        <f t="shared" si="19"/>
        <v>Code</v>
      </c>
      <c r="BC1548" s="171" t="str">
        <f t="shared" si="20"/>
        <v/>
      </c>
      <c r="BD1548" s="171" t="str">
        <f t="shared" si="21"/>
        <v/>
      </c>
      <c r="BE1548" s="171" t="str">
        <f t="shared" si="22"/>
        <v/>
      </c>
      <c r="BF1548" s="171" t="str">
        <f t="shared" si="23"/>
        <v>Code</v>
      </c>
    </row>
    <row r="1549">
      <c r="A1549" s="171">
        <f t="array" ref="A1549">XLOOKUP(C1549,FSE!A:A,FSE!C:C,"XXXXX",0,1)</f>
        <v>2021</v>
      </c>
      <c r="B1549" s="213" t="s">
        <v>5676</v>
      </c>
      <c r="C1549" s="214">
        <v>257.0</v>
      </c>
      <c r="D1549" s="215" t="s">
        <v>6312</v>
      </c>
      <c r="E1549" s="197" t="str">
        <f t="array" ref="E1549">XLOOKUP(C1549,FSE!A:A,FSE!Z:Z,"XXXXX",0,1)</f>
        <v>Publicly Available (2)</v>
      </c>
      <c r="F1549" s="213" t="s">
        <v>3394</v>
      </c>
      <c r="G1549" s="163" t="str">
        <f t="array" ref="G1549">IF(B1549="ICSE",IF(COUNTIFS(B:B,B1549,C:C,C1549)=XLOOKUP(C1549,ICSE!A:A,ICSE!AA:AA,"ERROR",0,1),"OK","ERROR"),IF(B1549="FSE",IF(COUNTIFS(B:B,B1549,C:C,C1549)=XLOOKUP(C1549,FSE!A:A,FSE!AA:AA,"ERROR",0,1),"OK","ERROR")))</f>
        <v>OK</v>
      </c>
      <c r="H1549" s="199">
        <f t="shared" ref="H1549:O1549" si="7824">countif($D1549,"*"&amp;H$2&amp;"*")</f>
        <v>0</v>
      </c>
      <c r="I1549" s="200">
        <f t="shared" si="7824"/>
        <v>0</v>
      </c>
      <c r="J1549" s="200">
        <f t="shared" si="7824"/>
        <v>0</v>
      </c>
      <c r="K1549" s="200">
        <f t="shared" si="7824"/>
        <v>0</v>
      </c>
      <c r="L1549" s="200">
        <f t="shared" si="7824"/>
        <v>0</v>
      </c>
      <c r="M1549" s="200">
        <f t="shared" si="7824"/>
        <v>0</v>
      </c>
      <c r="N1549" s="200">
        <f t="shared" si="7824"/>
        <v>0</v>
      </c>
      <c r="O1549" s="200">
        <f t="shared" si="7824"/>
        <v>0</v>
      </c>
      <c r="P1549" s="200">
        <f t="shared" si="9"/>
        <v>1</v>
      </c>
      <c r="Q1549" s="200">
        <f t="shared" ref="Q1549:AC1549" si="7825">countif($D1549,"*"&amp;Q$2&amp;"*")</f>
        <v>0</v>
      </c>
      <c r="R1549" s="200">
        <f t="shared" si="7825"/>
        <v>0</v>
      </c>
      <c r="S1549" s="200">
        <f t="shared" si="7825"/>
        <v>0</v>
      </c>
      <c r="T1549" s="200">
        <f t="shared" si="7825"/>
        <v>0</v>
      </c>
      <c r="U1549" s="200">
        <f t="shared" si="7825"/>
        <v>0</v>
      </c>
      <c r="V1549" s="200">
        <f t="shared" si="7825"/>
        <v>0</v>
      </c>
      <c r="W1549" s="200">
        <f t="shared" si="7825"/>
        <v>0</v>
      </c>
      <c r="X1549" s="200">
        <f t="shared" si="7825"/>
        <v>0</v>
      </c>
      <c r="Y1549" s="200">
        <f t="shared" si="7825"/>
        <v>0</v>
      </c>
      <c r="Z1549" s="200">
        <f t="shared" si="7825"/>
        <v>0</v>
      </c>
      <c r="AA1549" s="200">
        <f t="shared" si="7825"/>
        <v>0</v>
      </c>
      <c r="AB1549" s="200">
        <f t="shared" si="7825"/>
        <v>0</v>
      </c>
      <c r="AC1549" s="200">
        <f t="shared" si="7825"/>
        <v>0</v>
      </c>
      <c r="AD1549" s="200">
        <f t="shared" si="11"/>
        <v>0</v>
      </c>
      <c r="AE1549" s="200">
        <f t="shared" ref="AE1549:AG1549" si="7826">countif($D1549,"*"&amp;AE$2&amp;"*")</f>
        <v>0</v>
      </c>
      <c r="AF1549" s="200">
        <f t="shared" si="7826"/>
        <v>0</v>
      </c>
      <c r="AG1549" s="200">
        <f t="shared" si="7826"/>
        <v>0</v>
      </c>
      <c r="AH1549" s="171">
        <f t="shared" si="13"/>
        <v>0</v>
      </c>
      <c r="AI1549" s="200">
        <f t="shared" si="14"/>
        <v>0</v>
      </c>
      <c r="AJ1549" s="200">
        <f t="shared" si="6100"/>
        <v>0</v>
      </c>
      <c r="AK1549" s="201">
        <f t="shared" ref="AK1549:AS1549" si="7827">countif($D1549,"*"&amp;AK$2&amp;"*")</f>
        <v>0</v>
      </c>
      <c r="AL1549" s="201">
        <f t="shared" si="7827"/>
        <v>0</v>
      </c>
      <c r="AM1549" s="201">
        <f t="shared" si="7827"/>
        <v>0</v>
      </c>
      <c r="AN1549" s="201">
        <f t="shared" si="7827"/>
        <v>0</v>
      </c>
      <c r="AO1549" s="201">
        <f t="shared" si="7827"/>
        <v>0</v>
      </c>
      <c r="AP1549" s="201">
        <f t="shared" si="7827"/>
        <v>0</v>
      </c>
      <c r="AQ1549" s="201">
        <f t="shared" si="7827"/>
        <v>0</v>
      </c>
      <c r="AR1549" s="200">
        <f t="shared" si="7827"/>
        <v>0</v>
      </c>
      <c r="AS1549" s="200">
        <f t="shared" si="7827"/>
        <v>0</v>
      </c>
      <c r="AT1549" s="173">
        <v>0.0</v>
      </c>
      <c r="AU1549" s="200">
        <f t="shared" si="6217"/>
        <v>0</v>
      </c>
      <c r="AV1549" s="200">
        <f t="shared" ref="AV1549:AX1549" si="7828">countif($D1549,"*"&amp;AV$2&amp;"*")</f>
        <v>1</v>
      </c>
      <c r="AW1549" s="200">
        <f t="shared" si="7828"/>
        <v>0</v>
      </c>
      <c r="AX1549" s="200">
        <f t="shared" si="7828"/>
        <v>0</v>
      </c>
      <c r="AY1549" s="202">
        <v>0.0</v>
      </c>
      <c r="AZ1549" s="200"/>
      <c r="BA1549" s="171" t="str">
        <f t="shared" si="18"/>
        <v/>
      </c>
      <c r="BB1549" s="171" t="str">
        <f t="shared" si="19"/>
        <v>Code</v>
      </c>
      <c r="BC1549" s="171" t="str">
        <f t="shared" si="20"/>
        <v/>
      </c>
      <c r="BD1549" s="171" t="str">
        <f t="shared" si="21"/>
        <v/>
      </c>
      <c r="BE1549" s="171" t="str">
        <f t="shared" si="22"/>
        <v/>
      </c>
      <c r="BF1549" s="171" t="str">
        <f t="shared" si="23"/>
        <v>Code</v>
      </c>
    </row>
    <row r="1550">
      <c r="A1550" s="171">
        <f t="array" ref="A1550">XLOOKUP(C1550,FSE!A:A,FSE!C:C,"XXXXX",0,1)</f>
        <v>2021</v>
      </c>
      <c r="B1550" s="213" t="s">
        <v>5676</v>
      </c>
      <c r="C1550" s="214">
        <v>258.0</v>
      </c>
      <c r="D1550" s="217" t="s">
        <v>6313</v>
      </c>
      <c r="E1550" s="197" t="str">
        <f t="array" ref="E1550">XLOOKUP(C1550,FSE!A:A,FSE!Z:Z,"XXXXX",0,1)</f>
        <v>Publicly Available (1)</v>
      </c>
      <c r="F1550" s="213" t="s">
        <v>3394</v>
      </c>
      <c r="G1550" s="163" t="str">
        <f t="array" ref="G1550">IF(B1550="ICSE",IF(COUNTIFS(B:B,B1550,C:C,C1550)=XLOOKUP(C1550,ICSE!A:A,ICSE!AA:AA,"ERROR",0,1),"OK","ERROR"),IF(B1550="FSE",IF(COUNTIFS(B:B,B1550,C:C,C1550)=XLOOKUP(C1550,FSE!A:A,FSE!AA:AA,"ERROR",0,1),"OK","ERROR")))</f>
        <v>OK</v>
      </c>
      <c r="H1550" s="199">
        <f t="shared" ref="H1550:O1550" si="7829">countif($D1550,"*"&amp;H$2&amp;"*")</f>
        <v>0</v>
      </c>
      <c r="I1550" s="200">
        <f t="shared" si="7829"/>
        <v>0</v>
      </c>
      <c r="J1550" s="200">
        <f t="shared" si="7829"/>
        <v>0</v>
      </c>
      <c r="K1550" s="200">
        <f t="shared" si="7829"/>
        <v>0</v>
      </c>
      <c r="L1550" s="200">
        <f t="shared" si="7829"/>
        <v>0</v>
      </c>
      <c r="M1550" s="200">
        <f t="shared" si="7829"/>
        <v>0</v>
      </c>
      <c r="N1550" s="200">
        <f t="shared" si="7829"/>
        <v>0</v>
      </c>
      <c r="O1550" s="200">
        <f t="shared" si="7829"/>
        <v>0</v>
      </c>
      <c r="P1550" s="200">
        <f t="shared" si="9"/>
        <v>1</v>
      </c>
      <c r="Q1550" s="200">
        <f t="shared" ref="Q1550:AC1550" si="7830">countif($D1550,"*"&amp;Q$2&amp;"*")</f>
        <v>0</v>
      </c>
      <c r="R1550" s="200">
        <f t="shared" si="7830"/>
        <v>0</v>
      </c>
      <c r="S1550" s="200">
        <f t="shared" si="7830"/>
        <v>0</v>
      </c>
      <c r="T1550" s="200">
        <f t="shared" si="7830"/>
        <v>0</v>
      </c>
      <c r="U1550" s="200">
        <f t="shared" si="7830"/>
        <v>0</v>
      </c>
      <c r="V1550" s="200">
        <f t="shared" si="7830"/>
        <v>0</v>
      </c>
      <c r="W1550" s="200">
        <f t="shared" si="7830"/>
        <v>0</v>
      </c>
      <c r="X1550" s="200">
        <f t="shared" si="7830"/>
        <v>0</v>
      </c>
      <c r="Y1550" s="200">
        <f t="shared" si="7830"/>
        <v>0</v>
      </c>
      <c r="Z1550" s="200">
        <f t="shared" si="7830"/>
        <v>0</v>
      </c>
      <c r="AA1550" s="200">
        <f t="shared" si="7830"/>
        <v>0</v>
      </c>
      <c r="AB1550" s="200">
        <f t="shared" si="7830"/>
        <v>0</v>
      </c>
      <c r="AC1550" s="200">
        <f t="shared" si="7830"/>
        <v>0</v>
      </c>
      <c r="AD1550" s="200">
        <f t="shared" si="11"/>
        <v>0</v>
      </c>
      <c r="AE1550" s="200">
        <f t="shared" ref="AE1550:AG1550" si="7831">countif($D1550,"*"&amp;AE$2&amp;"*")</f>
        <v>0</v>
      </c>
      <c r="AF1550" s="200">
        <f t="shared" si="7831"/>
        <v>0</v>
      </c>
      <c r="AG1550" s="200">
        <f t="shared" si="7831"/>
        <v>0</v>
      </c>
      <c r="AH1550" s="171">
        <f t="shared" si="13"/>
        <v>0</v>
      </c>
      <c r="AI1550" s="200">
        <f t="shared" si="14"/>
        <v>0</v>
      </c>
      <c r="AJ1550" s="200">
        <f t="shared" si="6100"/>
        <v>1</v>
      </c>
      <c r="AK1550" s="201">
        <f t="shared" ref="AK1550:AS1550" si="7832">countif($D1550,"*"&amp;AK$2&amp;"*")</f>
        <v>0</v>
      </c>
      <c r="AL1550" s="201">
        <f t="shared" si="7832"/>
        <v>0</v>
      </c>
      <c r="AM1550" s="201">
        <f t="shared" si="7832"/>
        <v>1</v>
      </c>
      <c r="AN1550" s="201">
        <f t="shared" si="7832"/>
        <v>0</v>
      </c>
      <c r="AO1550" s="201">
        <f t="shared" si="7832"/>
        <v>0</v>
      </c>
      <c r="AP1550" s="201">
        <f t="shared" si="7832"/>
        <v>0</v>
      </c>
      <c r="AQ1550" s="201">
        <f t="shared" si="7832"/>
        <v>0</v>
      </c>
      <c r="AR1550" s="200">
        <f t="shared" si="7832"/>
        <v>0</v>
      </c>
      <c r="AS1550" s="200">
        <f t="shared" si="7832"/>
        <v>1</v>
      </c>
      <c r="AT1550" s="173">
        <v>0.0</v>
      </c>
      <c r="AU1550" s="200">
        <f t="shared" si="6217"/>
        <v>0</v>
      </c>
      <c r="AV1550" s="200">
        <f t="shared" ref="AV1550:AX1550" si="7833">countif($D1550,"*"&amp;AV$2&amp;"*")</f>
        <v>1</v>
      </c>
      <c r="AW1550" s="200">
        <f t="shared" si="7833"/>
        <v>0</v>
      </c>
      <c r="AX1550" s="200">
        <f t="shared" si="7833"/>
        <v>0</v>
      </c>
      <c r="AY1550" s="202">
        <v>0.0</v>
      </c>
      <c r="AZ1550" s="200"/>
      <c r="BA1550" s="171" t="str">
        <f t="shared" si="18"/>
        <v/>
      </c>
      <c r="BB1550" s="171" t="str">
        <f t="shared" si="19"/>
        <v>Code</v>
      </c>
      <c r="BC1550" s="171" t="str">
        <f t="shared" si="20"/>
        <v/>
      </c>
      <c r="BD1550" s="171" t="str">
        <f t="shared" si="21"/>
        <v/>
      </c>
      <c r="BE1550" s="171" t="str">
        <f t="shared" si="22"/>
        <v/>
      </c>
      <c r="BF1550" s="171" t="str">
        <f t="shared" si="23"/>
        <v>Code</v>
      </c>
    </row>
    <row r="1551">
      <c r="A1551" s="171">
        <f t="array" ref="A1551">XLOOKUP(C1551,FSE!A:A,FSE!C:C,"XXXXX",0,1)</f>
        <v>2021</v>
      </c>
      <c r="B1551" s="213" t="s">
        <v>5676</v>
      </c>
      <c r="C1551" s="214">
        <v>259.0</v>
      </c>
      <c r="D1551" s="215" t="s">
        <v>4850</v>
      </c>
      <c r="E1551" s="197" t="str">
        <f t="array" ref="E1551">XLOOKUP(C1551,FSE!A:A,FSE!Z:Z,"XXXXX",0,1)</f>
        <v>Publicly Available (1)</v>
      </c>
      <c r="F1551" s="213" t="s">
        <v>3394</v>
      </c>
      <c r="G1551" s="163" t="str">
        <f t="array" ref="G1551">IF(B1551="ICSE",IF(COUNTIFS(B:B,B1551,C:C,C1551)=XLOOKUP(C1551,ICSE!A:A,ICSE!AA:AA,"ERROR",0,1),"OK","ERROR"),IF(B1551="FSE",IF(COUNTIFS(B:B,B1551,C:C,C1551)=XLOOKUP(C1551,FSE!A:A,FSE!AA:AA,"ERROR",0,1),"OK","ERROR")))</f>
        <v>OK</v>
      </c>
      <c r="H1551" s="199">
        <f t="shared" ref="H1551:O1551" si="7834">countif($D1551,"*"&amp;H$2&amp;"*")</f>
        <v>0</v>
      </c>
      <c r="I1551" s="200">
        <f t="shared" si="7834"/>
        <v>1</v>
      </c>
      <c r="J1551" s="200">
        <f t="shared" si="7834"/>
        <v>0</v>
      </c>
      <c r="K1551" s="200">
        <f t="shared" si="7834"/>
        <v>0</v>
      </c>
      <c r="L1551" s="200">
        <f t="shared" si="7834"/>
        <v>0</v>
      </c>
      <c r="M1551" s="200">
        <f t="shared" si="7834"/>
        <v>0</v>
      </c>
      <c r="N1551" s="200">
        <f t="shared" si="7834"/>
        <v>0</v>
      </c>
      <c r="O1551" s="200">
        <f t="shared" si="7834"/>
        <v>0</v>
      </c>
      <c r="P1551" s="200">
        <f t="shared" si="9"/>
        <v>0</v>
      </c>
      <c r="Q1551" s="200">
        <f t="shared" ref="Q1551:AC1551" si="7835">countif($D1551,"*"&amp;Q$2&amp;"*")</f>
        <v>0</v>
      </c>
      <c r="R1551" s="200">
        <f t="shared" si="7835"/>
        <v>0</v>
      </c>
      <c r="S1551" s="200">
        <f t="shared" si="7835"/>
        <v>0</v>
      </c>
      <c r="T1551" s="200">
        <f t="shared" si="7835"/>
        <v>0</v>
      </c>
      <c r="U1551" s="200">
        <f t="shared" si="7835"/>
        <v>0</v>
      </c>
      <c r="V1551" s="200">
        <f t="shared" si="7835"/>
        <v>0</v>
      </c>
      <c r="W1551" s="200">
        <f t="shared" si="7835"/>
        <v>0</v>
      </c>
      <c r="X1551" s="200">
        <f t="shared" si="7835"/>
        <v>0</v>
      </c>
      <c r="Y1551" s="200">
        <f t="shared" si="7835"/>
        <v>0</v>
      </c>
      <c r="Z1551" s="200">
        <f t="shared" si="7835"/>
        <v>0</v>
      </c>
      <c r="AA1551" s="200">
        <f t="shared" si="7835"/>
        <v>0</v>
      </c>
      <c r="AB1551" s="200">
        <f t="shared" si="7835"/>
        <v>0</v>
      </c>
      <c r="AC1551" s="200">
        <f t="shared" si="7835"/>
        <v>0</v>
      </c>
      <c r="AD1551" s="200">
        <f t="shared" si="11"/>
        <v>0</v>
      </c>
      <c r="AE1551" s="200">
        <f t="shared" ref="AE1551:AG1551" si="7836">countif($D1551,"*"&amp;AE$2&amp;"*")</f>
        <v>0</v>
      </c>
      <c r="AF1551" s="200">
        <f t="shared" si="7836"/>
        <v>0</v>
      </c>
      <c r="AG1551" s="200">
        <f t="shared" si="7836"/>
        <v>0</v>
      </c>
      <c r="AH1551" s="171">
        <f t="shared" si="13"/>
        <v>0</v>
      </c>
      <c r="AI1551" s="200">
        <f t="shared" si="14"/>
        <v>1</v>
      </c>
      <c r="AJ1551" s="200">
        <f t="shared" si="6100"/>
        <v>0</v>
      </c>
      <c r="AK1551" s="201">
        <f t="shared" ref="AK1551:AS1551" si="7837">countif($D1551,"*"&amp;AK$2&amp;"*")</f>
        <v>0</v>
      </c>
      <c r="AL1551" s="201">
        <f t="shared" si="7837"/>
        <v>0</v>
      </c>
      <c r="AM1551" s="201">
        <f t="shared" si="7837"/>
        <v>0</v>
      </c>
      <c r="AN1551" s="201">
        <f t="shared" si="7837"/>
        <v>0</v>
      </c>
      <c r="AO1551" s="201">
        <f t="shared" si="7837"/>
        <v>0</v>
      </c>
      <c r="AP1551" s="201">
        <f t="shared" si="7837"/>
        <v>0</v>
      </c>
      <c r="AQ1551" s="201">
        <f t="shared" si="7837"/>
        <v>0</v>
      </c>
      <c r="AR1551" s="200">
        <f t="shared" si="7837"/>
        <v>0</v>
      </c>
      <c r="AS1551" s="200">
        <f t="shared" si="7837"/>
        <v>0</v>
      </c>
      <c r="AT1551" s="173">
        <v>0.0</v>
      </c>
      <c r="AU1551" s="200">
        <f t="shared" si="6217"/>
        <v>0</v>
      </c>
      <c r="AV1551" s="200">
        <f t="shared" ref="AV1551:AX1551" si="7838">countif($D1551,"*"&amp;AV$2&amp;"*")</f>
        <v>0</v>
      </c>
      <c r="AW1551" s="200">
        <f t="shared" si="7838"/>
        <v>0</v>
      </c>
      <c r="AX1551" s="200">
        <f t="shared" si="7838"/>
        <v>0</v>
      </c>
      <c r="AY1551" s="204">
        <v>1.0</v>
      </c>
      <c r="AZ1551" s="200"/>
      <c r="BA1551" s="171" t="str">
        <f t="shared" si="18"/>
        <v>Archival</v>
      </c>
      <c r="BB1551" s="171" t="str">
        <f t="shared" si="19"/>
        <v/>
      </c>
      <c r="BC1551" s="171" t="str">
        <f t="shared" si="20"/>
        <v/>
      </c>
      <c r="BD1551" s="171" t="str">
        <f t="shared" si="21"/>
        <v/>
      </c>
      <c r="BE1551" s="171" t="str">
        <f t="shared" si="22"/>
        <v/>
      </c>
      <c r="BF1551" s="171" t="str">
        <f t="shared" si="23"/>
        <v>Archival</v>
      </c>
    </row>
    <row r="1552">
      <c r="A1552" s="171">
        <f t="array" ref="A1552">XLOOKUP(C1552,FSE!A:A,FSE!C:C,"XXXXX",0,1)</f>
        <v>2021</v>
      </c>
      <c r="B1552" s="213" t="s">
        <v>5676</v>
      </c>
      <c r="C1552" s="214">
        <v>260.0</v>
      </c>
      <c r="D1552" s="215" t="s">
        <v>4852</v>
      </c>
      <c r="E1552" s="197" t="str">
        <f t="array" ref="E1552">XLOOKUP(C1552,FSE!A:A,FSE!Z:Z,"XXXXX",0,1)</f>
        <v>Publicly Available (1)</v>
      </c>
      <c r="F1552" s="213" t="s">
        <v>3394</v>
      </c>
      <c r="G1552" s="163" t="str">
        <f t="array" ref="G1552">IF(B1552="ICSE",IF(COUNTIFS(B:B,B1552,C:C,C1552)=XLOOKUP(C1552,ICSE!A:A,ICSE!AA:AA,"ERROR",0,1),"OK","ERROR"),IF(B1552="FSE",IF(COUNTIFS(B:B,B1552,C:C,C1552)=XLOOKUP(C1552,FSE!A:A,FSE!AA:AA,"ERROR",0,1),"OK","ERROR")))</f>
        <v>OK</v>
      </c>
      <c r="H1552" s="199">
        <f t="shared" ref="H1552:O1552" si="7839">countif($D1552,"*"&amp;H$2&amp;"*")</f>
        <v>0</v>
      </c>
      <c r="I1552" s="200">
        <f t="shared" si="7839"/>
        <v>0</v>
      </c>
      <c r="J1552" s="200">
        <f t="shared" si="7839"/>
        <v>0</v>
      </c>
      <c r="K1552" s="200">
        <f t="shared" si="7839"/>
        <v>0</v>
      </c>
      <c r="L1552" s="200">
        <f t="shared" si="7839"/>
        <v>0</v>
      </c>
      <c r="M1552" s="200">
        <f t="shared" si="7839"/>
        <v>0</v>
      </c>
      <c r="N1552" s="200">
        <f t="shared" si="7839"/>
        <v>0</v>
      </c>
      <c r="O1552" s="200">
        <f t="shared" si="7839"/>
        <v>0</v>
      </c>
      <c r="P1552" s="200">
        <f t="shared" si="9"/>
        <v>1</v>
      </c>
      <c r="Q1552" s="200">
        <f t="shared" ref="Q1552:AC1552" si="7840">countif($D1552,"*"&amp;Q$2&amp;"*")</f>
        <v>0</v>
      </c>
      <c r="R1552" s="200">
        <f t="shared" si="7840"/>
        <v>0</v>
      </c>
      <c r="S1552" s="200">
        <f t="shared" si="7840"/>
        <v>0</v>
      </c>
      <c r="T1552" s="200">
        <f t="shared" si="7840"/>
        <v>0</v>
      </c>
      <c r="U1552" s="200">
        <f t="shared" si="7840"/>
        <v>0</v>
      </c>
      <c r="V1552" s="200">
        <f t="shared" si="7840"/>
        <v>0</v>
      </c>
      <c r="W1552" s="200">
        <f t="shared" si="7840"/>
        <v>0</v>
      </c>
      <c r="X1552" s="200">
        <f t="shared" si="7840"/>
        <v>0</v>
      </c>
      <c r="Y1552" s="200">
        <f t="shared" si="7840"/>
        <v>0</v>
      </c>
      <c r="Z1552" s="200">
        <f t="shared" si="7840"/>
        <v>0</v>
      </c>
      <c r="AA1552" s="200">
        <f t="shared" si="7840"/>
        <v>0</v>
      </c>
      <c r="AB1552" s="200">
        <f t="shared" si="7840"/>
        <v>0</v>
      </c>
      <c r="AC1552" s="200">
        <f t="shared" si="7840"/>
        <v>0</v>
      </c>
      <c r="AD1552" s="200">
        <f t="shared" si="11"/>
        <v>0</v>
      </c>
      <c r="AE1552" s="200">
        <f t="shared" ref="AE1552:AG1552" si="7841">countif($D1552,"*"&amp;AE$2&amp;"*")</f>
        <v>0</v>
      </c>
      <c r="AF1552" s="200">
        <f t="shared" si="7841"/>
        <v>0</v>
      </c>
      <c r="AG1552" s="200">
        <f t="shared" si="7841"/>
        <v>0</v>
      </c>
      <c r="AH1552" s="171">
        <f t="shared" si="13"/>
        <v>0</v>
      </c>
      <c r="AI1552" s="200">
        <f t="shared" si="14"/>
        <v>0</v>
      </c>
      <c r="AJ1552" s="200">
        <f t="shared" si="6100"/>
        <v>0</v>
      </c>
      <c r="AK1552" s="201">
        <f t="shared" ref="AK1552:AS1552" si="7842">countif($D1552,"*"&amp;AK$2&amp;"*")</f>
        <v>0</v>
      </c>
      <c r="AL1552" s="201">
        <f t="shared" si="7842"/>
        <v>0</v>
      </c>
      <c r="AM1552" s="201">
        <f t="shared" si="7842"/>
        <v>0</v>
      </c>
      <c r="AN1552" s="201">
        <f t="shared" si="7842"/>
        <v>0</v>
      </c>
      <c r="AO1552" s="201">
        <f t="shared" si="7842"/>
        <v>0</v>
      </c>
      <c r="AP1552" s="201">
        <f t="shared" si="7842"/>
        <v>0</v>
      </c>
      <c r="AQ1552" s="201">
        <f t="shared" si="7842"/>
        <v>0</v>
      </c>
      <c r="AR1552" s="200">
        <f t="shared" si="7842"/>
        <v>0</v>
      </c>
      <c r="AS1552" s="200">
        <f t="shared" si="7842"/>
        <v>0</v>
      </c>
      <c r="AT1552" s="173">
        <v>0.0</v>
      </c>
      <c r="AU1552" s="200">
        <f t="shared" si="6217"/>
        <v>0</v>
      </c>
      <c r="AV1552" s="200">
        <f t="shared" ref="AV1552:AX1552" si="7843">countif($D1552,"*"&amp;AV$2&amp;"*")</f>
        <v>1</v>
      </c>
      <c r="AW1552" s="200">
        <f t="shared" si="7843"/>
        <v>0</v>
      </c>
      <c r="AX1552" s="200">
        <f t="shared" si="7843"/>
        <v>0</v>
      </c>
      <c r="AY1552" s="202">
        <v>0.0</v>
      </c>
      <c r="AZ1552" s="200"/>
      <c r="BA1552" s="171" t="str">
        <f t="shared" si="18"/>
        <v/>
      </c>
      <c r="BB1552" s="171" t="str">
        <f t="shared" si="19"/>
        <v>Code</v>
      </c>
      <c r="BC1552" s="171" t="str">
        <f t="shared" si="20"/>
        <v/>
      </c>
      <c r="BD1552" s="171" t="str">
        <f t="shared" si="21"/>
        <v/>
      </c>
      <c r="BE1552" s="171" t="str">
        <f t="shared" si="22"/>
        <v/>
      </c>
      <c r="BF1552" s="171" t="str">
        <f t="shared" si="23"/>
        <v>Code</v>
      </c>
    </row>
    <row r="1553">
      <c r="A1553" s="171">
        <f t="array" ref="A1553">XLOOKUP(C1553,FSE!A:A,FSE!C:C,"XXXXX",0,1)</f>
        <v>2021</v>
      </c>
      <c r="B1553" s="213" t="s">
        <v>5676</v>
      </c>
      <c r="C1553" s="214">
        <v>261.0</v>
      </c>
      <c r="D1553" s="215" t="s">
        <v>4854</v>
      </c>
      <c r="E1553" s="197" t="str">
        <f t="array" ref="E1553">XLOOKUP(C1553,FSE!A:A,FSE!Z:Z,"XXXXX",0,1)</f>
        <v>Publicly Available (1)</v>
      </c>
      <c r="F1553" s="213" t="s">
        <v>3394</v>
      </c>
      <c r="G1553" s="163" t="str">
        <f t="array" ref="G1553">IF(B1553="ICSE",IF(COUNTIFS(B:B,B1553,C:C,C1553)=XLOOKUP(C1553,ICSE!A:A,ICSE!AA:AA,"ERROR",0,1),"OK","ERROR"),IF(B1553="FSE",IF(COUNTIFS(B:B,B1553,C:C,C1553)=XLOOKUP(C1553,FSE!A:A,FSE!AA:AA,"ERROR",0,1),"OK","ERROR")))</f>
        <v>OK</v>
      </c>
      <c r="H1553" s="199">
        <f t="shared" ref="H1553:O1553" si="7844">countif($D1553,"*"&amp;H$2&amp;"*")</f>
        <v>0</v>
      </c>
      <c r="I1553" s="200">
        <f t="shared" si="7844"/>
        <v>0</v>
      </c>
      <c r="J1553" s="200">
        <f t="shared" si="7844"/>
        <v>0</v>
      </c>
      <c r="K1553" s="200">
        <f t="shared" si="7844"/>
        <v>0</v>
      </c>
      <c r="L1553" s="200">
        <f t="shared" si="7844"/>
        <v>0</v>
      </c>
      <c r="M1553" s="200">
        <f t="shared" si="7844"/>
        <v>0</v>
      </c>
      <c r="N1553" s="200">
        <f t="shared" si="7844"/>
        <v>0</v>
      </c>
      <c r="O1553" s="200">
        <f t="shared" si="7844"/>
        <v>0</v>
      </c>
      <c r="P1553" s="200">
        <f t="shared" si="9"/>
        <v>1</v>
      </c>
      <c r="Q1553" s="200">
        <f t="shared" ref="Q1553:AC1553" si="7845">countif($D1553,"*"&amp;Q$2&amp;"*")</f>
        <v>0</v>
      </c>
      <c r="R1553" s="200">
        <f t="shared" si="7845"/>
        <v>0</v>
      </c>
      <c r="S1553" s="200">
        <f t="shared" si="7845"/>
        <v>0</v>
      </c>
      <c r="T1553" s="200">
        <f t="shared" si="7845"/>
        <v>0</v>
      </c>
      <c r="U1553" s="200">
        <f t="shared" si="7845"/>
        <v>0</v>
      </c>
      <c r="V1553" s="200">
        <f t="shared" si="7845"/>
        <v>0</v>
      </c>
      <c r="W1553" s="200">
        <f t="shared" si="7845"/>
        <v>0</v>
      </c>
      <c r="X1553" s="200">
        <f t="shared" si="7845"/>
        <v>0</v>
      </c>
      <c r="Y1553" s="200">
        <f t="shared" si="7845"/>
        <v>0</v>
      </c>
      <c r="Z1553" s="200">
        <f t="shared" si="7845"/>
        <v>0</v>
      </c>
      <c r="AA1553" s="200">
        <f t="shared" si="7845"/>
        <v>0</v>
      </c>
      <c r="AB1553" s="200">
        <f t="shared" si="7845"/>
        <v>0</v>
      </c>
      <c r="AC1553" s="200">
        <f t="shared" si="7845"/>
        <v>0</v>
      </c>
      <c r="AD1553" s="200">
        <f t="shared" si="11"/>
        <v>0</v>
      </c>
      <c r="AE1553" s="200">
        <f t="shared" ref="AE1553:AG1553" si="7846">countif($D1553,"*"&amp;AE$2&amp;"*")</f>
        <v>0</v>
      </c>
      <c r="AF1553" s="200">
        <f t="shared" si="7846"/>
        <v>0</v>
      </c>
      <c r="AG1553" s="200">
        <f t="shared" si="7846"/>
        <v>0</v>
      </c>
      <c r="AH1553" s="171">
        <f t="shared" si="13"/>
        <v>0</v>
      </c>
      <c r="AI1553" s="200">
        <f t="shared" si="14"/>
        <v>0</v>
      </c>
      <c r="AJ1553" s="200">
        <f t="shared" si="6100"/>
        <v>0</v>
      </c>
      <c r="AK1553" s="201">
        <f t="shared" ref="AK1553:AS1553" si="7847">countif($D1553,"*"&amp;AK$2&amp;"*")</f>
        <v>0</v>
      </c>
      <c r="AL1553" s="201">
        <f t="shared" si="7847"/>
        <v>0</v>
      </c>
      <c r="AM1553" s="201">
        <f t="shared" si="7847"/>
        <v>0</v>
      </c>
      <c r="AN1553" s="201">
        <f t="shared" si="7847"/>
        <v>0</v>
      </c>
      <c r="AO1553" s="201">
        <f t="shared" si="7847"/>
        <v>0</v>
      </c>
      <c r="AP1553" s="201">
        <f t="shared" si="7847"/>
        <v>0</v>
      </c>
      <c r="AQ1553" s="201">
        <f t="shared" si="7847"/>
        <v>0</v>
      </c>
      <c r="AR1553" s="200">
        <f t="shared" si="7847"/>
        <v>0</v>
      </c>
      <c r="AS1553" s="200">
        <f t="shared" si="7847"/>
        <v>0</v>
      </c>
      <c r="AT1553" s="173">
        <v>0.0</v>
      </c>
      <c r="AU1553" s="200">
        <f t="shared" si="6217"/>
        <v>0</v>
      </c>
      <c r="AV1553" s="200">
        <f t="shared" ref="AV1553:AX1553" si="7848">countif($D1553,"*"&amp;AV$2&amp;"*")</f>
        <v>1</v>
      </c>
      <c r="AW1553" s="200">
        <f t="shared" si="7848"/>
        <v>0</v>
      </c>
      <c r="AX1553" s="200">
        <f t="shared" si="7848"/>
        <v>0</v>
      </c>
      <c r="AY1553" s="202">
        <v>0.0</v>
      </c>
      <c r="AZ1553" s="200"/>
      <c r="BA1553" s="171" t="str">
        <f t="shared" si="18"/>
        <v/>
      </c>
      <c r="BB1553" s="171" t="str">
        <f t="shared" si="19"/>
        <v>Code</v>
      </c>
      <c r="BC1553" s="171" t="str">
        <f t="shared" si="20"/>
        <v/>
      </c>
      <c r="BD1553" s="171" t="str">
        <f t="shared" si="21"/>
        <v/>
      </c>
      <c r="BE1553" s="171" t="str">
        <f t="shared" si="22"/>
        <v/>
      </c>
      <c r="BF1553" s="171" t="str">
        <f t="shared" si="23"/>
        <v>Code</v>
      </c>
    </row>
    <row r="1554">
      <c r="A1554" s="171">
        <f t="array" ref="A1554">XLOOKUP(C1554,FSE!A:A,FSE!C:C,"XXXXX",0,1)</f>
        <v>2021</v>
      </c>
      <c r="B1554" s="213" t="s">
        <v>5676</v>
      </c>
      <c r="C1554" s="214">
        <v>262.0</v>
      </c>
      <c r="D1554" s="215" t="s">
        <v>4857</v>
      </c>
      <c r="E1554" s="197" t="str">
        <f t="array" ref="E1554">XLOOKUP(C1554,FSE!A:A,FSE!Z:Z,"XXXXX",0,1)</f>
        <v>Publicly Available (1)</v>
      </c>
      <c r="F1554" s="213" t="s">
        <v>3394</v>
      </c>
      <c r="G1554" s="163" t="str">
        <f t="array" ref="G1554">IF(B1554="ICSE",IF(COUNTIFS(B:B,B1554,C:C,C1554)=XLOOKUP(C1554,ICSE!A:A,ICSE!AA:AA,"ERROR",0,1),"OK","ERROR"),IF(B1554="FSE",IF(COUNTIFS(B:B,B1554,C:C,C1554)=XLOOKUP(C1554,FSE!A:A,FSE!AA:AA,"ERROR",0,1),"OK","ERROR")))</f>
        <v>OK</v>
      </c>
      <c r="H1554" s="199">
        <f t="shared" ref="H1554:O1554" si="7849">countif($D1554,"*"&amp;H$2&amp;"*")</f>
        <v>0</v>
      </c>
      <c r="I1554" s="200">
        <f t="shared" si="7849"/>
        <v>0</v>
      </c>
      <c r="J1554" s="200">
        <f t="shared" si="7849"/>
        <v>0</v>
      </c>
      <c r="K1554" s="200">
        <f t="shared" si="7849"/>
        <v>0</v>
      </c>
      <c r="L1554" s="200">
        <f t="shared" si="7849"/>
        <v>0</v>
      </c>
      <c r="M1554" s="200">
        <f t="shared" si="7849"/>
        <v>0</v>
      </c>
      <c r="N1554" s="200">
        <f t="shared" si="7849"/>
        <v>0</v>
      </c>
      <c r="O1554" s="200">
        <f t="shared" si="7849"/>
        <v>0</v>
      </c>
      <c r="P1554" s="200">
        <f t="shared" si="9"/>
        <v>1</v>
      </c>
      <c r="Q1554" s="200">
        <f t="shared" ref="Q1554:AC1554" si="7850">countif($D1554,"*"&amp;Q$2&amp;"*")</f>
        <v>0</v>
      </c>
      <c r="R1554" s="200">
        <f t="shared" si="7850"/>
        <v>0</v>
      </c>
      <c r="S1554" s="200">
        <f t="shared" si="7850"/>
        <v>0</v>
      </c>
      <c r="T1554" s="200">
        <f t="shared" si="7850"/>
        <v>0</v>
      </c>
      <c r="U1554" s="200">
        <f t="shared" si="7850"/>
        <v>0</v>
      </c>
      <c r="V1554" s="200">
        <f t="shared" si="7850"/>
        <v>0</v>
      </c>
      <c r="W1554" s="200">
        <f t="shared" si="7850"/>
        <v>0</v>
      </c>
      <c r="X1554" s="200">
        <f t="shared" si="7850"/>
        <v>0</v>
      </c>
      <c r="Y1554" s="200">
        <f t="shared" si="7850"/>
        <v>0</v>
      </c>
      <c r="Z1554" s="200">
        <f t="shared" si="7850"/>
        <v>0</v>
      </c>
      <c r="AA1554" s="200">
        <f t="shared" si="7850"/>
        <v>0</v>
      </c>
      <c r="AB1554" s="200">
        <f t="shared" si="7850"/>
        <v>0</v>
      </c>
      <c r="AC1554" s="200">
        <f t="shared" si="7850"/>
        <v>0</v>
      </c>
      <c r="AD1554" s="200">
        <f t="shared" si="11"/>
        <v>0</v>
      </c>
      <c r="AE1554" s="200">
        <f t="shared" ref="AE1554:AG1554" si="7851">countif($D1554,"*"&amp;AE$2&amp;"*")</f>
        <v>0</v>
      </c>
      <c r="AF1554" s="200">
        <f t="shared" si="7851"/>
        <v>0</v>
      </c>
      <c r="AG1554" s="200">
        <f t="shared" si="7851"/>
        <v>0</v>
      </c>
      <c r="AH1554" s="171">
        <f t="shared" si="13"/>
        <v>0</v>
      </c>
      <c r="AI1554" s="200">
        <f t="shared" si="14"/>
        <v>0</v>
      </c>
      <c r="AJ1554" s="200">
        <f t="shared" si="6100"/>
        <v>0</v>
      </c>
      <c r="AK1554" s="201">
        <f t="shared" ref="AK1554:AS1554" si="7852">countif($D1554,"*"&amp;AK$2&amp;"*")</f>
        <v>0</v>
      </c>
      <c r="AL1554" s="201">
        <f t="shared" si="7852"/>
        <v>0</v>
      </c>
      <c r="AM1554" s="201">
        <f t="shared" si="7852"/>
        <v>0</v>
      </c>
      <c r="AN1554" s="201">
        <f t="shared" si="7852"/>
        <v>0</v>
      </c>
      <c r="AO1554" s="201">
        <f t="shared" si="7852"/>
        <v>0</v>
      </c>
      <c r="AP1554" s="201">
        <f t="shared" si="7852"/>
        <v>0</v>
      </c>
      <c r="AQ1554" s="201">
        <f t="shared" si="7852"/>
        <v>0</v>
      </c>
      <c r="AR1554" s="200">
        <f t="shared" si="7852"/>
        <v>0</v>
      </c>
      <c r="AS1554" s="200">
        <f t="shared" si="7852"/>
        <v>0</v>
      </c>
      <c r="AT1554" s="173">
        <v>0.0</v>
      </c>
      <c r="AU1554" s="200">
        <f t="shared" si="6217"/>
        <v>0</v>
      </c>
      <c r="AV1554" s="200">
        <f t="shared" ref="AV1554:AX1554" si="7853">countif($D1554,"*"&amp;AV$2&amp;"*")</f>
        <v>1</v>
      </c>
      <c r="AW1554" s="200">
        <f t="shared" si="7853"/>
        <v>0</v>
      </c>
      <c r="AX1554" s="200">
        <f t="shared" si="7853"/>
        <v>0</v>
      </c>
      <c r="AY1554" s="202">
        <v>0.0</v>
      </c>
      <c r="AZ1554" s="200"/>
      <c r="BA1554" s="171" t="str">
        <f t="shared" si="18"/>
        <v/>
      </c>
      <c r="BB1554" s="171" t="str">
        <f t="shared" si="19"/>
        <v>Code</v>
      </c>
      <c r="BC1554" s="171" t="str">
        <f t="shared" si="20"/>
        <v/>
      </c>
      <c r="BD1554" s="171" t="str">
        <f t="shared" si="21"/>
        <v/>
      </c>
      <c r="BE1554" s="171" t="str">
        <f t="shared" si="22"/>
        <v/>
      </c>
      <c r="BF1554" s="171" t="str">
        <f t="shared" si="23"/>
        <v>Code</v>
      </c>
    </row>
    <row r="1555">
      <c r="A1555" s="171">
        <f t="array" ref="A1555">XLOOKUP(C1555,FSE!A:A,FSE!C:C,"XXXXX",0,1)</f>
        <v>2021</v>
      </c>
      <c r="B1555" s="213" t="s">
        <v>5676</v>
      </c>
      <c r="C1555" s="214">
        <v>263.0</v>
      </c>
      <c r="D1555" s="215" t="s">
        <v>4859</v>
      </c>
      <c r="E1555" s="197" t="str">
        <f t="array" ref="E1555">XLOOKUP(C1555,FSE!A:A,FSE!Z:Z,"XXXXX",0,1)</f>
        <v>Publicly Available (1)</v>
      </c>
      <c r="F1555" s="213" t="s">
        <v>3394</v>
      </c>
      <c r="G1555" s="163" t="str">
        <f t="array" ref="G1555">IF(B1555="ICSE",IF(COUNTIFS(B:B,B1555,C:C,C1555)=XLOOKUP(C1555,ICSE!A:A,ICSE!AA:AA,"ERROR",0,1),"OK","ERROR"),IF(B1555="FSE",IF(COUNTIFS(B:B,B1555,C:C,C1555)=XLOOKUP(C1555,FSE!A:A,FSE!AA:AA,"ERROR",0,1),"OK","ERROR")))</f>
        <v>OK</v>
      </c>
      <c r="H1555" s="199">
        <f t="shared" ref="H1555:O1555" si="7854">countif($D1555,"*"&amp;H$2&amp;"*")</f>
        <v>0</v>
      </c>
      <c r="I1555" s="200">
        <f t="shared" si="7854"/>
        <v>0</v>
      </c>
      <c r="J1555" s="200">
        <f t="shared" si="7854"/>
        <v>0</v>
      </c>
      <c r="K1555" s="200">
        <f t="shared" si="7854"/>
        <v>0</v>
      </c>
      <c r="L1555" s="200">
        <f t="shared" si="7854"/>
        <v>0</v>
      </c>
      <c r="M1555" s="200">
        <f t="shared" si="7854"/>
        <v>0</v>
      </c>
      <c r="N1555" s="200">
        <f t="shared" si="7854"/>
        <v>0</v>
      </c>
      <c r="O1555" s="200">
        <f t="shared" si="7854"/>
        <v>0</v>
      </c>
      <c r="P1555" s="200">
        <f t="shared" si="9"/>
        <v>1</v>
      </c>
      <c r="Q1555" s="200">
        <f t="shared" ref="Q1555:AC1555" si="7855">countif($D1555,"*"&amp;Q$2&amp;"*")</f>
        <v>0</v>
      </c>
      <c r="R1555" s="200">
        <f t="shared" si="7855"/>
        <v>0</v>
      </c>
      <c r="S1555" s="200">
        <f t="shared" si="7855"/>
        <v>0</v>
      </c>
      <c r="T1555" s="200">
        <f t="shared" si="7855"/>
        <v>0</v>
      </c>
      <c r="U1555" s="200">
        <f t="shared" si="7855"/>
        <v>0</v>
      </c>
      <c r="V1555" s="200">
        <f t="shared" si="7855"/>
        <v>0</v>
      </c>
      <c r="W1555" s="200">
        <f t="shared" si="7855"/>
        <v>0</v>
      </c>
      <c r="X1555" s="200">
        <f t="shared" si="7855"/>
        <v>0</v>
      </c>
      <c r="Y1555" s="200">
        <f t="shared" si="7855"/>
        <v>0</v>
      </c>
      <c r="Z1555" s="200">
        <f t="shared" si="7855"/>
        <v>0</v>
      </c>
      <c r="AA1555" s="200">
        <f t="shared" si="7855"/>
        <v>0</v>
      </c>
      <c r="AB1555" s="200">
        <f t="shared" si="7855"/>
        <v>0</v>
      </c>
      <c r="AC1555" s="200">
        <f t="shared" si="7855"/>
        <v>0</v>
      </c>
      <c r="AD1555" s="200">
        <f t="shared" si="11"/>
        <v>0</v>
      </c>
      <c r="AE1555" s="200">
        <f t="shared" ref="AE1555:AG1555" si="7856">countif($D1555,"*"&amp;AE$2&amp;"*")</f>
        <v>0</v>
      </c>
      <c r="AF1555" s="200">
        <f t="shared" si="7856"/>
        <v>0</v>
      </c>
      <c r="AG1555" s="200">
        <f t="shared" si="7856"/>
        <v>0</v>
      </c>
      <c r="AH1555" s="171">
        <f t="shared" si="13"/>
        <v>0</v>
      </c>
      <c r="AI1555" s="200">
        <f t="shared" si="14"/>
        <v>0</v>
      </c>
      <c r="AJ1555" s="200">
        <f t="shared" si="6100"/>
        <v>0</v>
      </c>
      <c r="AK1555" s="201">
        <f t="shared" ref="AK1555:AS1555" si="7857">countif($D1555,"*"&amp;AK$2&amp;"*")</f>
        <v>0</v>
      </c>
      <c r="AL1555" s="201">
        <f t="shared" si="7857"/>
        <v>0</v>
      </c>
      <c r="AM1555" s="201">
        <f t="shared" si="7857"/>
        <v>0</v>
      </c>
      <c r="AN1555" s="201">
        <f t="shared" si="7857"/>
        <v>0</v>
      </c>
      <c r="AO1555" s="201">
        <f t="shared" si="7857"/>
        <v>0</v>
      </c>
      <c r="AP1555" s="201">
        <f t="shared" si="7857"/>
        <v>0</v>
      </c>
      <c r="AQ1555" s="201">
        <f t="shared" si="7857"/>
        <v>0</v>
      </c>
      <c r="AR1555" s="200">
        <f t="shared" si="7857"/>
        <v>0</v>
      </c>
      <c r="AS1555" s="200">
        <f t="shared" si="7857"/>
        <v>0</v>
      </c>
      <c r="AT1555" s="173">
        <v>0.0</v>
      </c>
      <c r="AU1555" s="200">
        <f t="shared" si="6217"/>
        <v>0</v>
      </c>
      <c r="AV1555" s="200">
        <f t="shared" ref="AV1555:AX1555" si="7858">countif($D1555,"*"&amp;AV$2&amp;"*")</f>
        <v>1</v>
      </c>
      <c r="AW1555" s="200">
        <f t="shared" si="7858"/>
        <v>0</v>
      </c>
      <c r="AX1555" s="200">
        <f t="shared" si="7858"/>
        <v>0</v>
      </c>
      <c r="AY1555" s="202">
        <v>0.0</v>
      </c>
      <c r="AZ1555" s="200"/>
      <c r="BA1555" s="171" t="str">
        <f t="shared" si="18"/>
        <v/>
      </c>
      <c r="BB1555" s="171" t="str">
        <f t="shared" si="19"/>
        <v>Code</v>
      </c>
      <c r="BC1555" s="171" t="str">
        <f t="shared" si="20"/>
        <v/>
      </c>
      <c r="BD1555" s="171" t="str">
        <f t="shared" si="21"/>
        <v/>
      </c>
      <c r="BE1555" s="171" t="str">
        <f t="shared" si="22"/>
        <v/>
      </c>
      <c r="BF1555" s="171" t="str">
        <f t="shared" si="23"/>
        <v>Code</v>
      </c>
    </row>
    <row r="1556">
      <c r="A1556" s="171">
        <f t="array" ref="A1556">XLOOKUP(C1556,FSE!A:A,FSE!C:C,"XXXXX",0,1)</f>
        <v>2021</v>
      </c>
      <c r="B1556" s="213" t="s">
        <v>5676</v>
      </c>
      <c r="C1556" s="214">
        <v>264.0</v>
      </c>
      <c r="D1556" s="215" t="s">
        <v>4861</v>
      </c>
      <c r="E1556" s="197" t="str">
        <f t="array" ref="E1556">XLOOKUP(C1556,FSE!A:A,FSE!Z:Z,"XXXXX",0,1)</f>
        <v>Publicly Available (1)</v>
      </c>
      <c r="F1556" s="213" t="s">
        <v>3394</v>
      </c>
      <c r="G1556" s="163" t="str">
        <f t="array" ref="G1556">IF(B1556="ICSE",IF(COUNTIFS(B:B,B1556,C:C,C1556)=XLOOKUP(C1556,ICSE!A:A,ICSE!AA:AA,"ERROR",0,1),"OK","ERROR"),IF(B1556="FSE",IF(COUNTIFS(B:B,B1556,C:C,C1556)=XLOOKUP(C1556,FSE!A:A,FSE!AA:AA,"ERROR",0,1),"OK","ERROR")))</f>
        <v>OK</v>
      </c>
      <c r="H1556" s="199">
        <f t="shared" ref="H1556:O1556" si="7859">countif($D1556,"*"&amp;H$2&amp;"*")</f>
        <v>0</v>
      </c>
      <c r="I1556" s="200">
        <f t="shared" si="7859"/>
        <v>0</v>
      </c>
      <c r="J1556" s="200">
        <f t="shared" si="7859"/>
        <v>0</v>
      </c>
      <c r="K1556" s="200">
        <f t="shared" si="7859"/>
        <v>0</v>
      </c>
      <c r="L1556" s="200">
        <f t="shared" si="7859"/>
        <v>0</v>
      </c>
      <c r="M1556" s="200">
        <f t="shared" si="7859"/>
        <v>0</v>
      </c>
      <c r="N1556" s="200">
        <f t="shared" si="7859"/>
        <v>0</v>
      </c>
      <c r="O1556" s="200">
        <f t="shared" si="7859"/>
        <v>0</v>
      </c>
      <c r="P1556" s="200">
        <f t="shared" si="9"/>
        <v>1</v>
      </c>
      <c r="Q1556" s="200">
        <f t="shared" ref="Q1556:AC1556" si="7860">countif($D1556,"*"&amp;Q$2&amp;"*")</f>
        <v>0</v>
      </c>
      <c r="R1556" s="200">
        <f t="shared" si="7860"/>
        <v>0</v>
      </c>
      <c r="S1556" s="200">
        <f t="shared" si="7860"/>
        <v>0</v>
      </c>
      <c r="T1556" s="200">
        <f t="shared" si="7860"/>
        <v>0</v>
      </c>
      <c r="U1556" s="200">
        <f t="shared" si="7860"/>
        <v>0</v>
      </c>
      <c r="V1556" s="200">
        <f t="shared" si="7860"/>
        <v>0</v>
      </c>
      <c r="W1556" s="200">
        <f t="shared" si="7860"/>
        <v>0</v>
      </c>
      <c r="X1556" s="200">
        <f t="shared" si="7860"/>
        <v>0</v>
      </c>
      <c r="Y1556" s="200">
        <f t="shared" si="7860"/>
        <v>0</v>
      </c>
      <c r="Z1556" s="200">
        <f t="shared" si="7860"/>
        <v>0</v>
      </c>
      <c r="AA1556" s="200">
        <f t="shared" si="7860"/>
        <v>0</v>
      </c>
      <c r="AB1556" s="200">
        <f t="shared" si="7860"/>
        <v>0</v>
      </c>
      <c r="AC1556" s="200">
        <f t="shared" si="7860"/>
        <v>0</v>
      </c>
      <c r="AD1556" s="200">
        <f t="shared" si="11"/>
        <v>0</v>
      </c>
      <c r="AE1556" s="200">
        <f t="shared" ref="AE1556:AG1556" si="7861">countif($D1556,"*"&amp;AE$2&amp;"*")</f>
        <v>0</v>
      </c>
      <c r="AF1556" s="200">
        <f t="shared" si="7861"/>
        <v>0</v>
      </c>
      <c r="AG1556" s="200">
        <f t="shared" si="7861"/>
        <v>0</v>
      </c>
      <c r="AH1556" s="171">
        <f t="shared" si="13"/>
        <v>0</v>
      </c>
      <c r="AI1556" s="200">
        <f t="shared" si="14"/>
        <v>0</v>
      </c>
      <c r="AJ1556" s="200">
        <f t="shared" si="6100"/>
        <v>0</v>
      </c>
      <c r="AK1556" s="201">
        <f t="shared" ref="AK1556:AS1556" si="7862">countif($D1556,"*"&amp;AK$2&amp;"*")</f>
        <v>0</v>
      </c>
      <c r="AL1556" s="201">
        <f t="shared" si="7862"/>
        <v>0</v>
      </c>
      <c r="AM1556" s="201">
        <f t="shared" si="7862"/>
        <v>0</v>
      </c>
      <c r="AN1556" s="201">
        <f t="shared" si="7862"/>
        <v>0</v>
      </c>
      <c r="AO1556" s="201">
        <f t="shared" si="7862"/>
        <v>0</v>
      </c>
      <c r="AP1556" s="201">
        <f t="shared" si="7862"/>
        <v>0</v>
      </c>
      <c r="AQ1556" s="201">
        <f t="shared" si="7862"/>
        <v>0</v>
      </c>
      <c r="AR1556" s="200">
        <f t="shared" si="7862"/>
        <v>0</v>
      </c>
      <c r="AS1556" s="200">
        <f t="shared" si="7862"/>
        <v>0</v>
      </c>
      <c r="AT1556" s="173">
        <v>0.0</v>
      </c>
      <c r="AU1556" s="200">
        <f t="shared" si="6217"/>
        <v>0</v>
      </c>
      <c r="AV1556" s="200">
        <f t="shared" ref="AV1556:AX1556" si="7863">countif($D1556,"*"&amp;AV$2&amp;"*")</f>
        <v>1</v>
      </c>
      <c r="AW1556" s="200">
        <f t="shared" si="7863"/>
        <v>0</v>
      </c>
      <c r="AX1556" s="200">
        <f t="shared" si="7863"/>
        <v>0</v>
      </c>
      <c r="AY1556" s="202">
        <v>0.0</v>
      </c>
      <c r="AZ1556" s="200"/>
      <c r="BA1556" s="171" t="str">
        <f t="shared" si="18"/>
        <v/>
      </c>
      <c r="BB1556" s="171" t="str">
        <f t="shared" si="19"/>
        <v>Code</v>
      </c>
      <c r="BC1556" s="171" t="str">
        <f t="shared" si="20"/>
        <v/>
      </c>
      <c r="BD1556" s="171" t="str">
        <f t="shared" si="21"/>
        <v/>
      </c>
      <c r="BE1556" s="171" t="str">
        <f t="shared" si="22"/>
        <v/>
      </c>
      <c r="BF1556" s="171" t="str">
        <f t="shared" si="23"/>
        <v>Code</v>
      </c>
    </row>
    <row r="1557">
      <c r="A1557" s="171">
        <f t="array" ref="A1557">XLOOKUP(C1557,FSE!A:A,FSE!C:C,"XXXXX",0,1)</f>
        <v>2021</v>
      </c>
      <c r="B1557" s="213" t="s">
        <v>5676</v>
      </c>
      <c r="C1557" s="214">
        <v>265.0</v>
      </c>
      <c r="D1557" s="215" t="s">
        <v>6314</v>
      </c>
      <c r="E1557" s="197" t="str">
        <f t="array" ref="E1557">XLOOKUP(C1557,FSE!A:A,FSE!Z:Z,"XXXXX",0,1)</f>
        <v>Publicly Available (2)</v>
      </c>
      <c r="F1557" s="213" t="s">
        <v>3394</v>
      </c>
      <c r="G1557" s="163" t="str">
        <f t="array" ref="G1557">IF(B1557="ICSE",IF(COUNTIFS(B:B,B1557,C:C,C1557)=XLOOKUP(C1557,ICSE!A:A,ICSE!AA:AA,"ERROR",0,1),"OK","ERROR"),IF(B1557="FSE",IF(COUNTIFS(B:B,B1557,C:C,C1557)=XLOOKUP(C1557,FSE!A:A,FSE!AA:AA,"ERROR",0,1),"OK","ERROR")))</f>
        <v>OK</v>
      </c>
      <c r="H1557" s="199">
        <f t="shared" ref="H1557:O1557" si="7864">countif($D1557,"*"&amp;H$2&amp;"*")</f>
        <v>1</v>
      </c>
      <c r="I1557" s="200">
        <f t="shared" si="7864"/>
        <v>0</v>
      </c>
      <c r="J1557" s="200">
        <f t="shared" si="7864"/>
        <v>0</v>
      </c>
      <c r="K1557" s="200">
        <f t="shared" si="7864"/>
        <v>0</v>
      </c>
      <c r="L1557" s="200">
        <f t="shared" si="7864"/>
        <v>0</v>
      </c>
      <c r="M1557" s="200">
        <f t="shared" si="7864"/>
        <v>0</v>
      </c>
      <c r="N1557" s="200">
        <f t="shared" si="7864"/>
        <v>0</v>
      </c>
      <c r="O1557" s="200">
        <f t="shared" si="7864"/>
        <v>0</v>
      </c>
      <c r="P1557" s="200">
        <f t="shared" si="9"/>
        <v>0</v>
      </c>
      <c r="Q1557" s="200">
        <f t="shared" ref="Q1557:AC1557" si="7865">countif($D1557,"*"&amp;Q$2&amp;"*")</f>
        <v>0</v>
      </c>
      <c r="R1557" s="200">
        <f t="shared" si="7865"/>
        <v>0</v>
      </c>
      <c r="S1557" s="200">
        <f t="shared" si="7865"/>
        <v>0</v>
      </c>
      <c r="T1557" s="200">
        <f t="shared" si="7865"/>
        <v>0</v>
      </c>
      <c r="U1557" s="200">
        <f t="shared" si="7865"/>
        <v>0</v>
      </c>
      <c r="V1557" s="200">
        <f t="shared" si="7865"/>
        <v>0</v>
      </c>
      <c r="W1557" s="200">
        <f t="shared" si="7865"/>
        <v>0</v>
      </c>
      <c r="X1557" s="200">
        <f t="shared" si="7865"/>
        <v>0</v>
      </c>
      <c r="Y1557" s="200">
        <f t="shared" si="7865"/>
        <v>0</v>
      </c>
      <c r="Z1557" s="200">
        <f t="shared" si="7865"/>
        <v>0</v>
      </c>
      <c r="AA1557" s="200">
        <f t="shared" si="7865"/>
        <v>0</v>
      </c>
      <c r="AB1557" s="200">
        <f t="shared" si="7865"/>
        <v>0</v>
      </c>
      <c r="AC1557" s="200">
        <f t="shared" si="7865"/>
        <v>0</v>
      </c>
      <c r="AD1557" s="200">
        <f t="shared" si="11"/>
        <v>0</v>
      </c>
      <c r="AE1557" s="200">
        <f t="shared" ref="AE1557:AG1557" si="7866">countif($D1557,"*"&amp;AE$2&amp;"*")</f>
        <v>0</v>
      </c>
      <c r="AF1557" s="200">
        <f t="shared" si="7866"/>
        <v>0</v>
      </c>
      <c r="AG1557" s="200">
        <f t="shared" si="7866"/>
        <v>0</v>
      </c>
      <c r="AH1557" s="171">
        <f t="shared" si="13"/>
        <v>0</v>
      </c>
      <c r="AI1557" s="200">
        <f t="shared" si="14"/>
        <v>1</v>
      </c>
      <c r="AJ1557" s="200">
        <f t="shared" si="6100"/>
        <v>0</v>
      </c>
      <c r="AK1557" s="201">
        <f t="shared" ref="AK1557:AS1557" si="7867">countif($D1557,"*"&amp;AK$2&amp;"*")</f>
        <v>0</v>
      </c>
      <c r="AL1557" s="201">
        <f t="shared" si="7867"/>
        <v>0</v>
      </c>
      <c r="AM1557" s="201">
        <f t="shared" si="7867"/>
        <v>0</v>
      </c>
      <c r="AN1557" s="201">
        <f t="shared" si="7867"/>
        <v>0</v>
      </c>
      <c r="AO1557" s="201">
        <f t="shared" si="7867"/>
        <v>0</v>
      </c>
      <c r="AP1557" s="201">
        <f t="shared" si="7867"/>
        <v>0</v>
      </c>
      <c r="AQ1557" s="201">
        <f t="shared" si="7867"/>
        <v>0</v>
      </c>
      <c r="AR1557" s="200">
        <f t="shared" si="7867"/>
        <v>0</v>
      </c>
      <c r="AS1557" s="200">
        <f t="shared" si="7867"/>
        <v>0</v>
      </c>
      <c r="AT1557" s="173">
        <v>0.0</v>
      </c>
      <c r="AU1557" s="200">
        <f t="shared" si="6217"/>
        <v>0</v>
      </c>
      <c r="AV1557" s="200">
        <f t="shared" ref="AV1557:AX1557" si="7868">countif($D1557,"*"&amp;AV$2&amp;"*")</f>
        <v>0</v>
      </c>
      <c r="AW1557" s="200">
        <f t="shared" si="7868"/>
        <v>0</v>
      </c>
      <c r="AX1557" s="200">
        <f t="shared" si="7868"/>
        <v>1</v>
      </c>
      <c r="AY1557" s="202">
        <v>0.0</v>
      </c>
      <c r="AZ1557" s="200"/>
      <c r="BA1557" s="171" t="str">
        <f t="shared" si="18"/>
        <v>Archival</v>
      </c>
      <c r="BB1557" s="171" t="str">
        <f t="shared" si="19"/>
        <v/>
      </c>
      <c r="BC1557" s="171" t="str">
        <f t="shared" si="20"/>
        <v/>
      </c>
      <c r="BD1557" s="171" t="str">
        <f t="shared" si="21"/>
        <v/>
      </c>
      <c r="BE1557" s="171" t="str">
        <f t="shared" si="22"/>
        <v/>
      </c>
      <c r="BF1557" s="171" t="str">
        <f t="shared" si="23"/>
        <v>Archival</v>
      </c>
    </row>
    <row r="1558">
      <c r="A1558" s="171">
        <f t="array" ref="A1558">XLOOKUP(C1558,FSE!A:A,FSE!C:C,"XXXXX",0,1)</f>
        <v>2021</v>
      </c>
      <c r="B1558" s="213" t="s">
        <v>5676</v>
      </c>
      <c r="C1558" s="214">
        <v>265.0</v>
      </c>
      <c r="D1558" s="215" t="s">
        <v>6315</v>
      </c>
      <c r="E1558" s="197" t="str">
        <f t="array" ref="E1558">XLOOKUP(C1558,FSE!A:A,FSE!Z:Z,"XXXXX",0,1)</f>
        <v>Publicly Available (2)</v>
      </c>
      <c r="F1558" s="213" t="s">
        <v>3394</v>
      </c>
      <c r="G1558" s="163" t="str">
        <f t="array" ref="G1558">IF(B1558="ICSE",IF(COUNTIFS(B:B,B1558,C:C,C1558)=XLOOKUP(C1558,ICSE!A:A,ICSE!AA:AA,"ERROR",0,1),"OK","ERROR"),IF(B1558="FSE",IF(COUNTIFS(B:B,B1558,C:C,C1558)=XLOOKUP(C1558,FSE!A:A,FSE!AA:AA,"ERROR",0,1),"OK","ERROR")))</f>
        <v>OK</v>
      </c>
      <c r="H1558" s="199">
        <f t="shared" ref="H1558:O1558" si="7869">countif($D1558,"*"&amp;H$2&amp;"*")</f>
        <v>0</v>
      </c>
      <c r="I1558" s="200">
        <f t="shared" si="7869"/>
        <v>0</v>
      </c>
      <c r="J1558" s="200">
        <f t="shared" si="7869"/>
        <v>0</v>
      </c>
      <c r="K1558" s="200">
        <f t="shared" si="7869"/>
        <v>0</v>
      </c>
      <c r="L1558" s="200">
        <f t="shared" si="7869"/>
        <v>0</v>
      </c>
      <c r="M1558" s="200">
        <f t="shared" si="7869"/>
        <v>0</v>
      </c>
      <c r="N1558" s="200">
        <f t="shared" si="7869"/>
        <v>0</v>
      </c>
      <c r="O1558" s="200">
        <f t="shared" si="7869"/>
        <v>0</v>
      </c>
      <c r="P1558" s="200">
        <f t="shared" si="9"/>
        <v>1</v>
      </c>
      <c r="Q1558" s="200">
        <f t="shared" ref="Q1558:AC1558" si="7870">countif($D1558,"*"&amp;Q$2&amp;"*")</f>
        <v>0</v>
      </c>
      <c r="R1558" s="200">
        <f t="shared" si="7870"/>
        <v>0</v>
      </c>
      <c r="S1558" s="200">
        <f t="shared" si="7870"/>
        <v>0</v>
      </c>
      <c r="T1558" s="200">
        <f t="shared" si="7870"/>
        <v>0</v>
      </c>
      <c r="U1558" s="200">
        <f t="shared" si="7870"/>
        <v>0</v>
      </c>
      <c r="V1558" s="200">
        <f t="shared" si="7870"/>
        <v>0</v>
      </c>
      <c r="W1558" s="200">
        <f t="shared" si="7870"/>
        <v>0</v>
      </c>
      <c r="X1558" s="200">
        <f t="shared" si="7870"/>
        <v>0</v>
      </c>
      <c r="Y1558" s="200">
        <f t="shared" si="7870"/>
        <v>0</v>
      </c>
      <c r="Z1558" s="200">
        <f t="shared" si="7870"/>
        <v>0</v>
      </c>
      <c r="AA1558" s="200">
        <f t="shared" si="7870"/>
        <v>0</v>
      </c>
      <c r="AB1558" s="200">
        <f t="shared" si="7870"/>
        <v>0</v>
      </c>
      <c r="AC1558" s="200">
        <f t="shared" si="7870"/>
        <v>0</v>
      </c>
      <c r="AD1558" s="200">
        <f t="shared" si="11"/>
        <v>0</v>
      </c>
      <c r="AE1558" s="200">
        <f t="shared" ref="AE1558:AG1558" si="7871">countif($D1558,"*"&amp;AE$2&amp;"*")</f>
        <v>0</v>
      </c>
      <c r="AF1558" s="200">
        <f t="shared" si="7871"/>
        <v>0</v>
      </c>
      <c r="AG1558" s="200">
        <f t="shared" si="7871"/>
        <v>0</v>
      </c>
      <c r="AH1558" s="171">
        <f t="shared" si="13"/>
        <v>0</v>
      </c>
      <c r="AI1558" s="200">
        <f t="shared" si="14"/>
        <v>0</v>
      </c>
      <c r="AJ1558" s="200">
        <f t="shared" si="6100"/>
        <v>0</v>
      </c>
      <c r="AK1558" s="201">
        <f t="shared" ref="AK1558:AS1558" si="7872">countif($D1558,"*"&amp;AK$2&amp;"*")</f>
        <v>0</v>
      </c>
      <c r="AL1558" s="201">
        <f t="shared" si="7872"/>
        <v>0</v>
      </c>
      <c r="AM1558" s="201">
        <f t="shared" si="7872"/>
        <v>0</v>
      </c>
      <c r="AN1558" s="201">
        <f t="shared" si="7872"/>
        <v>0</v>
      </c>
      <c r="AO1558" s="201">
        <f t="shared" si="7872"/>
        <v>0</v>
      </c>
      <c r="AP1558" s="201">
        <f t="shared" si="7872"/>
        <v>0</v>
      </c>
      <c r="AQ1558" s="201">
        <f t="shared" si="7872"/>
        <v>0</v>
      </c>
      <c r="AR1558" s="200">
        <f t="shared" si="7872"/>
        <v>0</v>
      </c>
      <c r="AS1558" s="200">
        <f t="shared" si="7872"/>
        <v>0</v>
      </c>
      <c r="AT1558" s="173">
        <v>0.0</v>
      </c>
      <c r="AU1558" s="200">
        <f t="shared" si="6217"/>
        <v>0</v>
      </c>
      <c r="AV1558" s="200">
        <f t="shared" ref="AV1558:AX1558" si="7873">countif($D1558,"*"&amp;AV$2&amp;"*")</f>
        <v>1</v>
      </c>
      <c r="AW1558" s="200">
        <f t="shared" si="7873"/>
        <v>0</v>
      </c>
      <c r="AX1558" s="200">
        <f t="shared" si="7873"/>
        <v>0</v>
      </c>
      <c r="AY1558" s="202">
        <v>0.0</v>
      </c>
      <c r="AZ1558" s="200"/>
      <c r="BA1558" s="171" t="str">
        <f t="shared" si="18"/>
        <v/>
      </c>
      <c r="BB1558" s="171" t="str">
        <f t="shared" si="19"/>
        <v>Code</v>
      </c>
      <c r="BC1558" s="171" t="str">
        <f t="shared" si="20"/>
        <v/>
      </c>
      <c r="BD1558" s="171" t="str">
        <f t="shared" si="21"/>
        <v/>
      </c>
      <c r="BE1558" s="171" t="str">
        <f t="shared" si="22"/>
        <v/>
      </c>
      <c r="BF1558" s="171" t="str">
        <f t="shared" si="23"/>
        <v>Code</v>
      </c>
    </row>
    <row r="1559">
      <c r="A1559" s="171">
        <f t="array" ref="A1559">XLOOKUP(C1559,FSE!A:A,FSE!C:C,"XXXXX",0,1)</f>
        <v>2021</v>
      </c>
      <c r="B1559" s="213" t="s">
        <v>5676</v>
      </c>
      <c r="C1559" s="214">
        <v>266.0</v>
      </c>
      <c r="D1559" s="215" t="s">
        <v>4867</v>
      </c>
      <c r="E1559" s="197" t="str">
        <f t="array" ref="E1559">XLOOKUP(C1559,FSE!A:A,FSE!Z:Z,"XXXXX",0,1)</f>
        <v>Publicly Available (1)</v>
      </c>
      <c r="F1559" s="213" t="s">
        <v>3394</v>
      </c>
      <c r="G1559" s="163" t="str">
        <f t="array" ref="G1559">IF(B1559="ICSE",IF(COUNTIFS(B:B,B1559,C:C,C1559)=XLOOKUP(C1559,ICSE!A:A,ICSE!AA:AA,"ERROR",0,1),"OK","ERROR"),IF(B1559="FSE",IF(COUNTIFS(B:B,B1559,C:C,C1559)=XLOOKUP(C1559,FSE!A:A,FSE!AA:AA,"ERROR",0,1),"OK","ERROR")))</f>
        <v>OK</v>
      </c>
      <c r="H1559" s="199">
        <f t="shared" ref="H1559:O1559" si="7874">countif($D1559,"*"&amp;H$2&amp;"*")</f>
        <v>0</v>
      </c>
      <c r="I1559" s="200">
        <f t="shared" si="7874"/>
        <v>0</v>
      </c>
      <c r="J1559" s="200">
        <f t="shared" si="7874"/>
        <v>0</v>
      </c>
      <c r="K1559" s="200">
        <f t="shared" si="7874"/>
        <v>0</v>
      </c>
      <c r="L1559" s="200">
        <f t="shared" si="7874"/>
        <v>0</v>
      </c>
      <c r="M1559" s="200">
        <f t="shared" si="7874"/>
        <v>0</v>
      </c>
      <c r="N1559" s="200">
        <f t="shared" si="7874"/>
        <v>0</v>
      </c>
      <c r="O1559" s="200">
        <f t="shared" si="7874"/>
        <v>0</v>
      </c>
      <c r="P1559" s="200">
        <f t="shared" si="9"/>
        <v>1</v>
      </c>
      <c r="Q1559" s="200">
        <f t="shared" ref="Q1559:AC1559" si="7875">countif($D1559,"*"&amp;Q$2&amp;"*")</f>
        <v>0</v>
      </c>
      <c r="R1559" s="200">
        <f t="shared" si="7875"/>
        <v>0</v>
      </c>
      <c r="S1559" s="200">
        <f t="shared" si="7875"/>
        <v>0</v>
      </c>
      <c r="T1559" s="200">
        <f t="shared" si="7875"/>
        <v>0</v>
      </c>
      <c r="U1559" s="200">
        <f t="shared" si="7875"/>
        <v>0</v>
      </c>
      <c r="V1559" s="200">
        <f t="shared" si="7875"/>
        <v>0</v>
      </c>
      <c r="W1559" s="200">
        <f t="shared" si="7875"/>
        <v>0</v>
      </c>
      <c r="X1559" s="200">
        <f t="shared" si="7875"/>
        <v>0</v>
      </c>
      <c r="Y1559" s="200">
        <f t="shared" si="7875"/>
        <v>0</v>
      </c>
      <c r="Z1559" s="200">
        <f t="shared" si="7875"/>
        <v>0</v>
      </c>
      <c r="AA1559" s="200">
        <f t="shared" si="7875"/>
        <v>0</v>
      </c>
      <c r="AB1559" s="200">
        <f t="shared" si="7875"/>
        <v>0</v>
      </c>
      <c r="AC1559" s="200">
        <f t="shared" si="7875"/>
        <v>0</v>
      </c>
      <c r="AD1559" s="200">
        <f t="shared" si="11"/>
        <v>0</v>
      </c>
      <c r="AE1559" s="200">
        <f t="shared" ref="AE1559:AG1559" si="7876">countif($D1559,"*"&amp;AE$2&amp;"*")</f>
        <v>0</v>
      </c>
      <c r="AF1559" s="200">
        <f t="shared" si="7876"/>
        <v>0</v>
      </c>
      <c r="AG1559" s="200">
        <f t="shared" si="7876"/>
        <v>0</v>
      </c>
      <c r="AH1559" s="171">
        <f t="shared" si="13"/>
        <v>0</v>
      </c>
      <c r="AI1559" s="200">
        <f t="shared" si="14"/>
        <v>0</v>
      </c>
      <c r="AJ1559" s="200">
        <f t="shared" si="6100"/>
        <v>0</v>
      </c>
      <c r="AK1559" s="201">
        <f t="shared" ref="AK1559:AS1559" si="7877">countif($D1559,"*"&amp;AK$2&amp;"*")</f>
        <v>0</v>
      </c>
      <c r="AL1559" s="201">
        <f t="shared" si="7877"/>
        <v>0</v>
      </c>
      <c r="AM1559" s="201">
        <f t="shared" si="7877"/>
        <v>0</v>
      </c>
      <c r="AN1559" s="201">
        <f t="shared" si="7877"/>
        <v>0</v>
      </c>
      <c r="AO1559" s="201">
        <f t="shared" si="7877"/>
        <v>0</v>
      </c>
      <c r="AP1559" s="201">
        <f t="shared" si="7877"/>
        <v>0</v>
      </c>
      <c r="AQ1559" s="201">
        <f t="shared" si="7877"/>
        <v>0</v>
      </c>
      <c r="AR1559" s="200">
        <f t="shared" si="7877"/>
        <v>0</v>
      </c>
      <c r="AS1559" s="200">
        <f t="shared" si="7877"/>
        <v>0</v>
      </c>
      <c r="AT1559" s="173">
        <v>0.0</v>
      </c>
      <c r="AU1559" s="200">
        <f t="shared" si="6217"/>
        <v>0</v>
      </c>
      <c r="AV1559" s="200">
        <f t="shared" ref="AV1559:AX1559" si="7878">countif($D1559,"*"&amp;AV$2&amp;"*")</f>
        <v>1</v>
      </c>
      <c r="AW1559" s="200">
        <f t="shared" si="7878"/>
        <v>0</v>
      </c>
      <c r="AX1559" s="200">
        <f t="shared" si="7878"/>
        <v>0</v>
      </c>
      <c r="AY1559" s="202">
        <v>0.0</v>
      </c>
      <c r="AZ1559" s="200"/>
      <c r="BA1559" s="171" t="str">
        <f t="shared" si="18"/>
        <v/>
      </c>
      <c r="BB1559" s="171" t="str">
        <f t="shared" si="19"/>
        <v>Code</v>
      </c>
      <c r="BC1559" s="171" t="str">
        <f t="shared" si="20"/>
        <v/>
      </c>
      <c r="BD1559" s="171" t="str">
        <f t="shared" si="21"/>
        <v/>
      </c>
      <c r="BE1559" s="171" t="str">
        <f t="shared" si="22"/>
        <v/>
      </c>
      <c r="BF1559" s="171" t="str">
        <f t="shared" si="23"/>
        <v>Code</v>
      </c>
    </row>
    <row r="1560">
      <c r="A1560" s="171">
        <f t="array" ref="A1560">XLOOKUP(C1560,FSE!A:A,FSE!C:C,"XXXXX",0,1)</f>
        <v>2021</v>
      </c>
      <c r="B1560" s="213" t="s">
        <v>5676</v>
      </c>
      <c r="C1560" s="214">
        <v>267.0</v>
      </c>
      <c r="D1560" s="217" t="s">
        <v>6316</v>
      </c>
      <c r="E1560" s="197" t="str">
        <f t="array" ref="E1560">XLOOKUP(C1560,FSE!A:A,FSE!Z:Z,"XXXXX",0,1)</f>
        <v>Not Available (1)</v>
      </c>
      <c r="F1560" s="213" t="s">
        <v>3395</v>
      </c>
      <c r="G1560" s="163" t="str">
        <f t="array" ref="G1560">IF(B1560="ICSE",IF(COUNTIFS(B:B,B1560,C:C,C1560)=XLOOKUP(C1560,ICSE!A:A,ICSE!AA:AA,"ERROR",0,1),"OK","ERROR"),IF(B1560="FSE",IF(COUNTIFS(B:B,B1560,C:C,C1560)=XLOOKUP(C1560,FSE!A:A,FSE!AA:AA,"ERROR",0,1),"OK","ERROR")))</f>
        <v>OK</v>
      </c>
      <c r="H1560" s="199">
        <f t="shared" ref="H1560:O1560" si="7879">countif($D1560,"*"&amp;H$2&amp;"*")</f>
        <v>0</v>
      </c>
      <c r="I1560" s="200">
        <f t="shared" si="7879"/>
        <v>0</v>
      </c>
      <c r="J1560" s="200">
        <f t="shared" si="7879"/>
        <v>0</v>
      </c>
      <c r="K1560" s="200">
        <f t="shared" si="7879"/>
        <v>0</v>
      </c>
      <c r="L1560" s="200">
        <f t="shared" si="7879"/>
        <v>0</v>
      </c>
      <c r="M1560" s="200">
        <f t="shared" si="7879"/>
        <v>0</v>
      </c>
      <c r="N1560" s="200">
        <f t="shared" si="7879"/>
        <v>0</v>
      </c>
      <c r="O1560" s="200">
        <f t="shared" si="7879"/>
        <v>0</v>
      </c>
      <c r="P1560" s="200">
        <f t="shared" si="9"/>
        <v>1</v>
      </c>
      <c r="Q1560" s="200">
        <f t="shared" ref="Q1560:AC1560" si="7880">countif($D1560,"*"&amp;Q$2&amp;"*")</f>
        <v>0</v>
      </c>
      <c r="R1560" s="200">
        <f t="shared" si="7880"/>
        <v>0</v>
      </c>
      <c r="S1560" s="200">
        <f t="shared" si="7880"/>
        <v>0</v>
      </c>
      <c r="T1560" s="200">
        <f t="shared" si="7880"/>
        <v>0</v>
      </c>
      <c r="U1560" s="200">
        <f t="shared" si="7880"/>
        <v>0</v>
      </c>
      <c r="V1560" s="200">
        <f t="shared" si="7880"/>
        <v>0</v>
      </c>
      <c r="W1560" s="200">
        <f t="shared" si="7880"/>
        <v>0</v>
      </c>
      <c r="X1560" s="200">
        <f t="shared" si="7880"/>
        <v>0</v>
      </c>
      <c r="Y1560" s="200">
        <f t="shared" si="7880"/>
        <v>0</v>
      </c>
      <c r="Z1560" s="200">
        <f t="shared" si="7880"/>
        <v>0</v>
      </c>
      <c r="AA1560" s="200">
        <f t="shared" si="7880"/>
        <v>0</v>
      </c>
      <c r="AB1560" s="200">
        <f t="shared" si="7880"/>
        <v>0</v>
      </c>
      <c r="AC1560" s="200">
        <f t="shared" si="7880"/>
        <v>0</v>
      </c>
      <c r="AD1560" s="200">
        <f t="shared" si="11"/>
        <v>0</v>
      </c>
      <c r="AE1560" s="200">
        <f t="shared" ref="AE1560:AG1560" si="7881">countif($D1560,"*"&amp;AE$2&amp;"*")</f>
        <v>0</v>
      </c>
      <c r="AF1560" s="200">
        <f t="shared" si="7881"/>
        <v>0</v>
      </c>
      <c r="AG1560" s="200">
        <f t="shared" si="7881"/>
        <v>0</v>
      </c>
      <c r="AH1560" s="171">
        <f t="shared" si="13"/>
        <v>0</v>
      </c>
      <c r="AI1560" s="200">
        <f t="shared" si="14"/>
        <v>0</v>
      </c>
      <c r="AJ1560" s="200">
        <f t="shared" si="6100"/>
        <v>0</v>
      </c>
      <c r="AK1560" s="201">
        <f t="shared" ref="AK1560:AS1560" si="7882">countif($D1560,"*"&amp;AK$2&amp;"*")</f>
        <v>0</v>
      </c>
      <c r="AL1560" s="201">
        <f t="shared" si="7882"/>
        <v>0</v>
      </c>
      <c r="AM1560" s="201">
        <f t="shared" si="7882"/>
        <v>0</v>
      </c>
      <c r="AN1560" s="201">
        <f t="shared" si="7882"/>
        <v>0</v>
      </c>
      <c r="AO1560" s="201">
        <f t="shared" si="7882"/>
        <v>0</v>
      </c>
      <c r="AP1560" s="201">
        <f t="shared" si="7882"/>
        <v>0</v>
      </c>
      <c r="AQ1560" s="201">
        <f t="shared" si="7882"/>
        <v>0</v>
      </c>
      <c r="AR1560" s="200">
        <f t="shared" si="7882"/>
        <v>0</v>
      </c>
      <c r="AS1560" s="200">
        <f t="shared" si="7882"/>
        <v>1</v>
      </c>
      <c r="AT1560" s="173">
        <v>0.0</v>
      </c>
      <c r="AU1560" s="200">
        <f t="shared" si="6217"/>
        <v>0</v>
      </c>
      <c r="AV1560" s="200">
        <f t="shared" ref="AV1560:AX1560" si="7883">countif($D1560,"*"&amp;AV$2&amp;"*")</f>
        <v>1</v>
      </c>
      <c r="AW1560" s="200">
        <f t="shared" si="7883"/>
        <v>0</v>
      </c>
      <c r="AX1560" s="200">
        <f t="shared" si="7883"/>
        <v>0</v>
      </c>
      <c r="AY1560" s="202">
        <v>0.0</v>
      </c>
      <c r="AZ1560" s="200"/>
      <c r="BA1560" s="171" t="str">
        <f t="shared" si="18"/>
        <v/>
      </c>
      <c r="BB1560" s="171" t="str">
        <f t="shared" si="19"/>
        <v>Code</v>
      </c>
      <c r="BC1560" s="171" t="str">
        <f t="shared" si="20"/>
        <v/>
      </c>
      <c r="BD1560" s="171" t="str">
        <f t="shared" si="21"/>
        <v/>
      </c>
      <c r="BE1560" s="171" t="str">
        <f t="shared" si="22"/>
        <v/>
      </c>
      <c r="BF1560" s="171" t="str">
        <f t="shared" si="23"/>
        <v>Code</v>
      </c>
    </row>
    <row r="1561">
      <c r="A1561" s="171">
        <f t="array" ref="A1561">XLOOKUP(C1561,FSE!A:A,FSE!C:C,"XXXXX",0,1)</f>
        <v>2021</v>
      </c>
      <c r="B1561" s="213" t="s">
        <v>5676</v>
      </c>
      <c r="C1561" s="214">
        <v>268.0</v>
      </c>
      <c r="D1561" s="215" t="s">
        <v>4872</v>
      </c>
      <c r="E1561" s="197" t="str">
        <f t="array" ref="E1561">XLOOKUP(C1561,FSE!A:A,FSE!Z:Z,"XXXXX",0,1)</f>
        <v>Publicly Available (1)</v>
      </c>
      <c r="F1561" s="213" t="s">
        <v>3394</v>
      </c>
      <c r="G1561" s="163" t="str">
        <f t="array" ref="G1561">IF(B1561="ICSE",IF(COUNTIFS(B:B,B1561,C:C,C1561)=XLOOKUP(C1561,ICSE!A:A,ICSE!AA:AA,"ERROR",0,1),"OK","ERROR"),IF(B1561="FSE",IF(COUNTIFS(B:B,B1561,C:C,C1561)=XLOOKUP(C1561,FSE!A:A,FSE!AA:AA,"ERROR",0,1),"OK","ERROR")))</f>
        <v>OK</v>
      </c>
      <c r="H1561" s="199">
        <f t="shared" ref="H1561:O1561" si="7884">countif($D1561,"*"&amp;H$2&amp;"*")</f>
        <v>0</v>
      </c>
      <c r="I1561" s="200">
        <f t="shared" si="7884"/>
        <v>0</v>
      </c>
      <c r="J1561" s="200">
        <f t="shared" si="7884"/>
        <v>0</v>
      </c>
      <c r="K1561" s="200">
        <f t="shared" si="7884"/>
        <v>0</v>
      </c>
      <c r="L1561" s="200">
        <f t="shared" si="7884"/>
        <v>0</v>
      </c>
      <c r="M1561" s="200">
        <f t="shared" si="7884"/>
        <v>0</v>
      </c>
      <c r="N1561" s="200">
        <f t="shared" si="7884"/>
        <v>0</v>
      </c>
      <c r="O1561" s="200">
        <f t="shared" si="7884"/>
        <v>0</v>
      </c>
      <c r="P1561" s="200">
        <f t="shared" si="9"/>
        <v>1</v>
      </c>
      <c r="Q1561" s="200">
        <f t="shared" ref="Q1561:AC1561" si="7885">countif($D1561,"*"&amp;Q$2&amp;"*")</f>
        <v>0</v>
      </c>
      <c r="R1561" s="200">
        <f t="shared" si="7885"/>
        <v>0</v>
      </c>
      <c r="S1561" s="200">
        <f t="shared" si="7885"/>
        <v>0</v>
      </c>
      <c r="T1561" s="200">
        <f t="shared" si="7885"/>
        <v>0</v>
      </c>
      <c r="U1561" s="200">
        <f t="shared" si="7885"/>
        <v>0</v>
      </c>
      <c r="V1561" s="200">
        <f t="shared" si="7885"/>
        <v>0</v>
      </c>
      <c r="W1561" s="200">
        <f t="shared" si="7885"/>
        <v>0</v>
      </c>
      <c r="X1561" s="200">
        <f t="shared" si="7885"/>
        <v>0</v>
      </c>
      <c r="Y1561" s="200">
        <f t="shared" si="7885"/>
        <v>0</v>
      </c>
      <c r="Z1561" s="200">
        <f t="shared" si="7885"/>
        <v>0</v>
      </c>
      <c r="AA1561" s="200">
        <f t="shared" si="7885"/>
        <v>0</v>
      </c>
      <c r="AB1561" s="200">
        <f t="shared" si="7885"/>
        <v>0</v>
      </c>
      <c r="AC1561" s="200">
        <f t="shared" si="7885"/>
        <v>0</v>
      </c>
      <c r="AD1561" s="200">
        <f t="shared" si="11"/>
        <v>0</v>
      </c>
      <c r="AE1561" s="200">
        <f t="shared" ref="AE1561:AG1561" si="7886">countif($D1561,"*"&amp;AE$2&amp;"*")</f>
        <v>0</v>
      </c>
      <c r="AF1561" s="200">
        <f t="shared" si="7886"/>
        <v>0</v>
      </c>
      <c r="AG1561" s="200">
        <f t="shared" si="7886"/>
        <v>0</v>
      </c>
      <c r="AH1561" s="171">
        <f t="shared" si="13"/>
        <v>0</v>
      </c>
      <c r="AI1561" s="200">
        <f t="shared" si="14"/>
        <v>0</v>
      </c>
      <c r="AJ1561" s="200">
        <f t="shared" si="6100"/>
        <v>0</v>
      </c>
      <c r="AK1561" s="201">
        <f t="shared" ref="AK1561:AS1561" si="7887">countif($D1561,"*"&amp;AK$2&amp;"*")</f>
        <v>0</v>
      </c>
      <c r="AL1561" s="201">
        <f t="shared" si="7887"/>
        <v>0</v>
      </c>
      <c r="AM1561" s="201">
        <f t="shared" si="7887"/>
        <v>0</v>
      </c>
      <c r="AN1561" s="201">
        <f t="shared" si="7887"/>
        <v>0</v>
      </c>
      <c r="AO1561" s="201">
        <f t="shared" si="7887"/>
        <v>0</v>
      </c>
      <c r="AP1561" s="201">
        <f t="shared" si="7887"/>
        <v>0</v>
      </c>
      <c r="AQ1561" s="201">
        <f t="shared" si="7887"/>
        <v>0</v>
      </c>
      <c r="AR1561" s="200">
        <f t="shared" si="7887"/>
        <v>0</v>
      </c>
      <c r="AS1561" s="200">
        <f t="shared" si="7887"/>
        <v>0</v>
      </c>
      <c r="AT1561" s="173">
        <v>0.0</v>
      </c>
      <c r="AU1561" s="200">
        <f t="shared" si="6217"/>
        <v>0</v>
      </c>
      <c r="AV1561" s="200">
        <f t="shared" ref="AV1561:AX1561" si="7888">countif($D1561,"*"&amp;AV$2&amp;"*")</f>
        <v>1</v>
      </c>
      <c r="AW1561" s="200">
        <f t="shared" si="7888"/>
        <v>0</v>
      </c>
      <c r="AX1561" s="200">
        <f t="shared" si="7888"/>
        <v>0</v>
      </c>
      <c r="AY1561" s="202">
        <v>0.0</v>
      </c>
      <c r="AZ1561" s="200"/>
      <c r="BA1561" s="171" t="str">
        <f t="shared" si="18"/>
        <v/>
      </c>
      <c r="BB1561" s="171" t="str">
        <f t="shared" si="19"/>
        <v>Code</v>
      </c>
      <c r="BC1561" s="171" t="str">
        <f t="shared" si="20"/>
        <v/>
      </c>
      <c r="BD1561" s="171" t="str">
        <f t="shared" si="21"/>
        <v/>
      </c>
      <c r="BE1561" s="171" t="str">
        <f t="shared" si="22"/>
        <v/>
      </c>
      <c r="BF1561" s="171" t="str">
        <f t="shared" si="23"/>
        <v>Code</v>
      </c>
    </row>
    <row r="1562">
      <c r="A1562" s="171">
        <f t="array" ref="A1562">XLOOKUP(C1562,FSE!A:A,FSE!C:C,"XXXXX",0,1)</f>
        <v>2021</v>
      </c>
      <c r="B1562" s="213" t="s">
        <v>5676</v>
      </c>
      <c r="C1562" s="214">
        <v>269.0</v>
      </c>
      <c r="D1562" s="215" t="s">
        <v>4875</v>
      </c>
      <c r="E1562" s="197" t="str">
        <f t="array" ref="E1562">XLOOKUP(C1562,FSE!A:A,FSE!Z:Z,"XXXXX",0,1)</f>
        <v>Publicly Available (1)</v>
      </c>
      <c r="F1562" s="213" t="s">
        <v>3394</v>
      </c>
      <c r="G1562" s="163" t="str">
        <f t="array" ref="G1562">IF(B1562="ICSE",IF(COUNTIFS(B:B,B1562,C:C,C1562)=XLOOKUP(C1562,ICSE!A:A,ICSE!AA:AA,"ERROR",0,1),"OK","ERROR"),IF(B1562="FSE",IF(COUNTIFS(B:B,B1562,C:C,C1562)=XLOOKUP(C1562,FSE!A:A,FSE!AA:AA,"ERROR",0,1),"OK","ERROR")))</f>
        <v>OK</v>
      </c>
      <c r="H1562" s="199">
        <f t="shared" ref="H1562:O1562" si="7889">countif($D1562,"*"&amp;H$2&amp;"*")</f>
        <v>0</v>
      </c>
      <c r="I1562" s="200">
        <f t="shared" si="7889"/>
        <v>0</v>
      </c>
      <c r="J1562" s="200">
        <f t="shared" si="7889"/>
        <v>0</v>
      </c>
      <c r="K1562" s="200">
        <f t="shared" si="7889"/>
        <v>0</v>
      </c>
      <c r="L1562" s="200">
        <f t="shared" si="7889"/>
        <v>0</v>
      </c>
      <c r="M1562" s="200">
        <f t="shared" si="7889"/>
        <v>0</v>
      </c>
      <c r="N1562" s="200">
        <f t="shared" si="7889"/>
        <v>0</v>
      </c>
      <c r="O1562" s="200">
        <f t="shared" si="7889"/>
        <v>0</v>
      </c>
      <c r="P1562" s="200">
        <f t="shared" si="9"/>
        <v>1</v>
      </c>
      <c r="Q1562" s="200">
        <f t="shared" ref="Q1562:AC1562" si="7890">countif($D1562,"*"&amp;Q$2&amp;"*")</f>
        <v>0</v>
      </c>
      <c r="R1562" s="200">
        <f t="shared" si="7890"/>
        <v>0</v>
      </c>
      <c r="S1562" s="200">
        <f t="shared" si="7890"/>
        <v>0</v>
      </c>
      <c r="T1562" s="200">
        <f t="shared" si="7890"/>
        <v>0</v>
      </c>
      <c r="U1562" s="200">
        <f t="shared" si="7890"/>
        <v>0</v>
      </c>
      <c r="V1562" s="200">
        <f t="shared" si="7890"/>
        <v>0</v>
      </c>
      <c r="W1562" s="200">
        <f t="shared" si="7890"/>
        <v>0</v>
      </c>
      <c r="X1562" s="200">
        <f t="shared" si="7890"/>
        <v>0</v>
      </c>
      <c r="Y1562" s="200">
        <f t="shared" si="7890"/>
        <v>0</v>
      </c>
      <c r="Z1562" s="200">
        <f t="shared" si="7890"/>
        <v>0</v>
      </c>
      <c r="AA1562" s="200">
        <f t="shared" si="7890"/>
        <v>0</v>
      </c>
      <c r="AB1562" s="200">
        <f t="shared" si="7890"/>
        <v>0</v>
      </c>
      <c r="AC1562" s="200">
        <f t="shared" si="7890"/>
        <v>0</v>
      </c>
      <c r="AD1562" s="200">
        <f t="shared" si="11"/>
        <v>0</v>
      </c>
      <c r="AE1562" s="200">
        <f t="shared" ref="AE1562:AG1562" si="7891">countif($D1562,"*"&amp;AE$2&amp;"*")</f>
        <v>0</v>
      </c>
      <c r="AF1562" s="200">
        <f t="shared" si="7891"/>
        <v>0</v>
      </c>
      <c r="AG1562" s="200">
        <f t="shared" si="7891"/>
        <v>0</v>
      </c>
      <c r="AH1562" s="171">
        <f t="shared" si="13"/>
        <v>0</v>
      </c>
      <c r="AI1562" s="200">
        <f t="shared" si="14"/>
        <v>0</v>
      </c>
      <c r="AJ1562" s="200">
        <f t="shared" si="6100"/>
        <v>0</v>
      </c>
      <c r="AK1562" s="201">
        <f t="shared" ref="AK1562:AS1562" si="7892">countif($D1562,"*"&amp;AK$2&amp;"*")</f>
        <v>0</v>
      </c>
      <c r="AL1562" s="201">
        <f t="shared" si="7892"/>
        <v>0</v>
      </c>
      <c r="AM1562" s="201">
        <f t="shared" si="7892"/>
        <v>0</v>
      </c>
      <c r="AN1562" s="201">
        <f t="shared" si="7892"/>
        <v>0</v>
      </c>
      <c r="AO1562" s="201">
        <f t="shared" si="7892"/>
        <v>0</v>
      </c>
      <c r="AP1562" s="201">
        <f t="shared" si="7892"/>
        <v>0</v>
      </c>
      <c r="AQ1562" s="201">
        <f t="shared" si="7892"/>
        <v>0</v>
      </c>
      <c r="AR1562" s="200">
        <f t="shared" si="7892"/>
        <v>0</v>
      </c>
      <c r="AS1562" s="200">
        <f t="shared" si="7892"/>
        <v>0</v>
      </c>
      <c r="AT1562" s="173">
        <v>0.0</v>
      </c>
      <c r="AU1562" s="200">
        <f t="shared" si="6217"/>
        <v>0</v>
      </c>
      <c r="AV1562" s="200">
        <f t="shared" ref="AV1562:AX1562" si="7893">countif($D1562,"*"&amp;AV$2&amp;"*")</f>
        <v>1</v>
      </c>
      <c r="AW1562" s="200">
        <f t="shared" si="7893"/>
        <v>0</v>
      </c>
      <c r="AX1562" s="200">
        <f t="shared" si="7893"/>
        <v>0</v>
      </c>
      <c r="AY1562" s="202">
        <v>0.0</v>
      </c>
      <c r="AZ1562" s="200"/>
      <c r="BA1562" s="171" t="str">
        <f t="shared" si="18"/>
        <v/>
      </c>
      <c r="BB1562" s="171" t="str">
        <f t="shared" si="19"/>
        <v>Code</v>
      </c>
      <c r="BC1562" s="171" t="str">
        <f t="shared" si="20"/>
        <v/>
      </c>
      <c r="BD1562" s="171" t="str">
        <f t="shared" si="21"/>
        <v/>
      </c>
      <c r="BE1562" s="171" t="str">
        <f t="shared" si="22"/>
        <v/>
      </c>
      <c r="BF1562" s="171" t="str">
        <f t="shared" si="23"/>
        <v>Code</v>
      </c>
    </row>
    <row r="1563">
      <c r="A1563" s="171">
        <f t="array" ref="A1563">XLOOKUP(C1563,FSE!A:A,FSE!C:C,"XXXXX",0,1)</f>
        <v>2021</v>
      </c>
      <c r="B1563" s="213" t="s">
        <v>5676</v>
      </c>
      <c r="C1563" s="214">
        <v>270.0</v>
      </c>
      <c r="D1563" s="215" t="s">
        <v>6317</v>
      </c>
      <c r="E1563" s="197" t="str">
        <f t="array" ref="E1563">XLOOKUP(C1563,FSE!A:A,FSE!Z:Z,"XXXXX",0,1)</f>
        <v>Publicly Available (3)</v>
      </c>
      <c r="F1563" s="213" t="s">
        <v>3394</v>
      </c>
      <c r="G1563" s="163" t="str">
        <f t="array" ref="G1563">IF(B1563="ICSE",IF(COUNTIFS(B:B,B1563,C:C,C1563)=XLOOKUP(C1563,ICSE!A:A,ICSE!AA:AA,"ERROR",0,1),"OK","ERROR"),IF(B1563="FSE",IF(COUNTIFS(B:B,B1563,C:C,C1563)=XLOOKUP(C1563,FSE!A:A,FSE!AA:AA,"ERROR",0,1),"OK","ERROR")))</f>
        <v>OK</v>
      </c>
      <c r="H1563" s="199">
        <f t="shared" ref="H1563:O1563" si="7894">countif($D1563,"*"&amp;H$2&amp;"*")</f>
        <v>1</v>
      </c>
      <c r="I1563" s="200">
        <f t="shared" si="7894"/>
        <v>0</v>
      </c>
      <c r="J1563" s="200">
        <f t="shared" si="7894"/>
        <v>0</v>
      </c>
      <c r="K1563" s="200">
        <f t="shared" si="7894"/>
        <v>0</v>
      </c>
      <c r="L1563" s="200">
        <f t="shared" si="7894"/>
        <v>0</v>
      </c>
      <c r="M1563" s="200">
        <f t="shared" si="7894"/>
        <v>0</v>
      </c>
      <c r="N1563" s="200">
        <f t="shared" si="7894"/>
        <v>0</v>
      </c>
      <c r="O1563" s="200">
        <f t="shared" si="7894"/>
        <v>0</v>
      </c>
      <c r="P1563" s="200">
        <f t="shared" si="9"/>
        <v>0</v>
      </c>
      <c r="Q1563" s="200">
        <f t="shared" ref="Q1563:AC1563" si="7895">countif($D1563,"*"&amp;Q$2&amp;"*")</f>
        <v>0</v>
      </c>
      <c r="R1563" s="200">
        <f t="shared" si="7895"/>
        <v>0</v>
      </c>
      <c r="S1563" s="200">
        <f t="shared" si="7895"/>
        <v>0</v>
      </c>
      <c r="T1563" s="200">
        <f t="shared" si="7895"/>
        <v>0</v>
      </c>
      <c r="U1563" s="200">
        <f t="shared" si="7895"/>
        <v>0</v>
      </c>
      <c r="V1563" s="200">
        <f t="shared" si="7895"/>
        <v>0</v>
      </c>
      <c r="W1563" s="200">
        <f t="shared" si="7895"/>
        <v>0</v>
      </c>
      <c r="X1563" s="200">
        <f t="shared" si="7895"/>
        <v>0</v>
      </c>
      <c r="Y1563" s="200">
        <f t="shared" si="7895"/>
        <v>0</v>
      </c>
      <c r="Z1563" s="200">
        <f t="shared" si="7895"/>
        <v>0</v>
      </c>
      <c r="AA1563" s="200">
        <f t="shared" si="7895"/>
        <v>0</v>
      </c>
      <c r="AB1563" s="200">
        <f t="shared" si="7895"/>
        <v>0</v>
      </c>
      <c r="AC1563" s="200">
        <f t="shared" si="7895"/>
        <v>0</v>
      </c>
      <c r="AD1563" s="200">
        <f t="shared" si="11"/>
        <v>0</v>
      </c>
      <c r="AE1563" s="200">
        <f t="shared" ref="AE1563:AG1563" si="7896">countif($D1563,"*"&amp;AE$2&amp;"*")</f>
        <v>0</v>
      </c>
      <c r="AF1563" s="200">
        <f t="shared" si="7896"/>
        <v>0</v>
      </c>
      <c r="AG1563" s="200">
        <f t="shared" si="7896"/>
        <v>0</v>
      </c>
      <c r="AH1563" s="171">
        <f t="shared" si="13"/>
        <v>0</v>
      </c>
      <c r="AI1563" s="200">
        <f t="shared" si="14"/>
        <v>1</v>
      </c>
      <c r="AJ1563" s="200">
        <f t="shared" si="6100"/>
        <v>0</v>
      </c>
      <c r="AK1563" s="201">
        <f t="shared" ref="AK1563:AS1563" si="7897">countif($D1563,"*"&amp;AK$2&amp;"*")</f>
        <v>0</v>
      </c>
      <c r="AL1563" s="201">
        <f t="shared" si="7897"/>
        <v>0</v>
      </c>
      <c r="AM1563" s="201">
        <f t="shared" si="7897"/>
        <v>0</v>
      </c>
      <c r="AN1563" s="201">
        <f t="shared" si="7897"/>
        <v>0</v>
      </c>
      <c r="AO1563" s="201">
        <f t="shared" si="7897"/>
        <v>0</v>
      </c>
      <c r="AP1563" s="201">
        <f t="shared" si="7897"/>
        <v>0</v>
      </c>
      <c r="AQ1563" s="201">
        <f t="shared" si="7897"/>
        <v>0</v>
      </c>
      <c r="AR1563" s="200">
        <f t="shared" si="7897"/>
        <v>0</v>
      </c>
      <c r="AS1563" s="200">
        <f t="shared" si="7897"/>
        <v>0</v>
      </c>
      <c r="AT1563" s="173">
        <v>0.0</v>
      </c>
      <c r="AU1563" s="200">
        <f t="shared" si="6217"/>
        <v>0</v>
      </c>
      <c r="AV1563" s="200">
        <f t="shared" ref="AV1563:AX1563" si="7898">countif($D1563,"*"&amp;AV$2&amp;"*")</f>
        <v>0</v>
      </c>
      <c r="AW1563" s="200">
        <f t="shared" si="7898"/>
        <v>0</v>
      </c>
      <c r="AX1563" s="200">
        <f t="shared" si="7898"/>
        <v>0</v>
      </c>
      <c r="AY1563" s="204">
        <v>1.0</v>
      </c>
      <c r="AZ1563" s="200"/>
      <c r="BA1563" s="171" t="str">
        <f t="shared" si="18"/>
        <v>Archival</v>
      </c>
      <c r="BB1563" s="171" t="str">
        <f t="shared" si="19"/>
        <v/>
      </c>
      <c r="BC1563" s="171" t="str">
        <f t="shared" si="20"/>
        <v/>
      </c>
      <c r="BD1563" s="171" t="str">
        <f t="shared" si="21"/>
        <v/>
      </c>
      <c r="BE1563" s="171" t="str">
        <f t="shared" si="22"/>
        <v/>
      </c>
      <c r="BF1563" s="171" t="str">
        <f t="shared" si="23"/>
        <v>Archival</v>
      </c>
    </row>
    <row r="1564">
      <c r="A1564" s="213">
        <f t="array" ref="A1564">XLOOKUP(C1564,FSE!A:A,FSE!C:C,"XXXXX",0,1)</f>
        <v>2021</v>
      </c>
      <c r="B1564" s="213" t="s">
        <v>5676</v>
      </c>
      <c r="C1564" s="220">
        <v>270.0</v>
      </c>
      <c r="D1564" s="217" t="s">
        <v>6318</v>
      </c>
      <c r="E1564" s="221" t="str">
        <f t="array" ref="E1564">XLOOKUP(C1564,FSE!A:A,FSE!Z:Z,"XXXXX",0,1)</f>
        <v>Publicly Available (3)</v>
      </c>
      <c r="F1564" s="213" t="s">
        <v>3394</v>
      </c>
      <c r="G1564" s="163" t="str">
        <f t="array" ref="G1564">IF(B1564="ICSE",IF(COUNTIFS(B:B,B1564,C:C,C1564)=XLOOKUP(C1564,ICSE!A:A,ICSE!AA:AA,"ERROR",0,1),"OK","ERROR"),IF(B1564="FSE",IF(COUNTIFS(B:B,B1564,C:C,C1564)=XLOOKUP(C1564,FSE!A:A,FSE!AA:AA,"ERROR",0,1),"OK","ERROR")))</f>
        <v>OK</v>
      </c>
      <c r="H1564" s="199">
        <f t="shared" ref="H1564:O1564" si="7899">countif($D1564,"*"&amp;H$2&amp;"*")</f>
        <v>0</v>
      </c>
      <c r="I1564" s="200">
        <f t="shared" si="7899"/>
        <v>0</v>
      </c>
      <c r="J1564" s="200">
        <f t="shared" si="7899"/>
        <v>0</v>
      </c>
      <c r="K1564" s="200">
        <f t="shared" si="7899"/>
        <v>0</v>
      </c>
      <c r="L1564" s="200">
        <f t="shared" si="7899"/>
        <v>0</v>
      </c>
      <c r="M1564" s="200">
        <f t="shared" si="7899"/>
        <v>0</v>
      </c>
      <c r="N1564" s="200">
        <f t="shared" si="7899"/>
        <v>0</v>
      </c>
      <c r="O1564" s="200">
        <f t="shared" si="7899"/>
        <v>0</v>
      </c>
      <c r="P1564" s="200">
        <f t="shared" si="9"/>
        <v>1</v>
      </c>
      <c r="Q1564" s="200">
        <f t="shared" ref="Q1564:AC1564" si="7900">countif($D1564,"*"&amp;Q$2&amp;"*")</f>
        <v>0</v>
      </c>
      <c r="R1564" s="200">
        <f t="shared" si="7900"/>
        <v>0</v>
      </c>
      <c r="S1564" s="200">
        <f t="shared" si="7900"/>
        <v>0</v>
      </c>
      <c r="T1564" s="200">
        <f t="shared" si="7900"/>
        <v>0</v>
      </c>
      <c r="U1564" s="200">
        <f t="shared" si="7900"/>
        <v>0</v>
      </c>
      <c r="V1564" s="200">
        <f t="shared" si="7900"/>
        <v>0</v>
      </c>
      <c r="W1564" s="200">
        <f t="shared" si="7900"/>
        <v>0</v>
      </c>
      <c r="X1564" s="200">
        <f t="shared" si="7900"/>
        <v>0</v>
      </c>
      <c r="Y1564" s="200">
        <f t="shared" si="7900"/>
        <v>0</v>
      </c>
      <c r="Z1564" s="200">
        <f t="shared" si="7900"/>
        <v>0</v>
      </c>
      <c r="AA1564" s="200">
        <f t="shared" si="7900"/>
        <v>0</v>
      </c>
      <c r="AB1564" s="200">
        <f t="shared" si="7900"/>
        <v>0</v>
      </c>
      <c r="AC1564" s="200">
        <f t="shared" si="7900"/>
        <v>0</v>
      </c>
      <c r="AD1564" s="222">
        <f t="shared" si="11"/>
        <v>0</v>
      </c>
      <c r="AE1564" s="200">
        <f t="shared" ref="AE1564:AG1564" si="7901">countif($D1564,"*"&amp;AE$2&amp;"*")</f>
        <v>0</v>
      </c>
      <c r="AF1564" s="200">
        <f t="shared" si="7901"/>
        <v>0</v>
      </c>
      <c r="AG1564" s="200">
        <f t="shared" si="7901"/>
        <v>0</v>
      </c>
      <c r="AH1564" s="171">
        <f t="shared" si="13"/>
        <v>0</v>
      </c>
      <c r="AI1564" s="200">
        <f t="shared" si="14"/>
        <v>0</v>
      </c>
      <c r="AJ1564" s="200">
        <f t="shared" si="6100"/>
        <v>0</v>
      </c>
      <c r="AK1564" s="201">
        <f t="shared" ref="AK1564:AS1564" si="7902">countif($D1564,"*"&amp;AK$2&amp;"*")</f>
        <v>0</v>
      </c>
      <c r="AL1564" s="201">
        <f t="shared" si="7902"/>
        <v>0</v>
      </c>
      <c r="AM1564" s="201">
        <f t="shared" si="7902"/>
        <v>0</v>
      </c>
      <c r="AN1564" s="201">
        <f t="shared" si="7902"/>
        <v>0</v>
      </c>
      <c r="AO1564" s="201">
        <f t="shared" si="7902"/>
        <v>0</v>
      </c>
      <c r="AP1564" s="201">
        <f t="shared" si="7902"/>
        <v>0</v>
      </c>
      <c r="AQ1564" s="201">
        <f t="shared" si="7902"/>
        <v>0</v>
      </c>
      <c r="AR1564" s="222">
        <f t="shared" si="7902"/>
        <v>0</v>
      </c>
      <c r="AS1564" s="200">
        <f t="shared" si="7902"/>
        <v>0</v>
      </c>
      <c r="AT1564" s="223">
        <v>0.0</v>
      </c>
      <c r="AU1564" s="200">
        <f t="shared" si="6217"/>
        <v>0</v>
      </c>
      <c r="AV1564" s="200">
        <f t="shared" ref="AV1564:AX1564" si="7903">countif($D1564,"*"&amp;AV$2&amp;"*")</f>
        <v>1</v>
      </c>
      <c r="AW1564" s="200">
        <f t="shared" si="7903"/>
        <v>0</v>
      </c>
      <c r="AX1564" s="200">
        <f t="shared" si="7903"/>
        <v>0</v>
      </c>
      <c r="AY1564" s="202">
        <v>0.0</v>
      </c>
      <c r="AZ1564" s="200"/>
      <c r="BA1564" s="171" t="str">
        <f t="shared" si="18"/>
        <v/>
      </c>
      <c r="BB1564" s="171" t="str">
        <f t="shared" si="19"/>
        <v>Code</v>
      </c>
      <c r="BC1564" s="171" t="str">
        <f t="shared" si="20"/>
        <v/>
      </c>
      <c r="BD1564" s="171" t="str">
        <f t="shared" si="21"/>
        <v/>
      </c>
      <c r="BE1564" s="171" t="str">
        <f t="shared" si="22"/>
        <v/>
      </c>
      <c r="BF1564" s="171" t="str">
        <f t="shared" si="23"/>
        <v>Code</v>
      </c>
    </row>
    <row r="1565">
      <c r="A1565" s="213">
        <f t="array" ref="A1565">XLOOKUP(C1565,FSE!A:A,FSE!C:C,"XXXXX",0,1)</f>
        <v>2021</v>
      </c>
      <c r="B1565" s="213" t="s">
        <v>5676</v>
      </c>
      <c r="C1565" s="220">
        <v>270.0</v>
      </c>
      <c r="D1565" s="217" t="s">
        <v>6319</v>
      </c>
      <c r="E1565" s="221" t="str">
        <f t="array" ref="E1565">XLOOKUP(C1565,FSE!A:A,FSE!Z:Z,"XXXXX",0,1)</f>
        <v>Publicly Available (3)</v>
      </c>
      <c r="F1565" s="213" t="s">
        <v>3394</v>
      </c>
      <c r="G1565" s="163" t="str">
        <f t="array" ref="G1565">IF(B1565="ICSE",IF(COUNTIFS(B:B,B1565,C:C,C1565)=XLOOKUP(C1565,ICSE!A:A,ICSE!AA:AA,"ERROR",0,1),"OK","ERROR"),IF(B1565="FSE",IF(COUNTIFS(B:B,B1565,C:C,C1565)=XLOOKUP(C1565,FSE!A:A,FSE!AA:AA,"ERROR",0,1),"OK","ERROR")))</f>
        <v>OK</v>
      </c>
      <c r="H1565" s="199">
        <f t="shared" ref="H1565:O1565" si="7904">countif($D1565,"*"&amp;H$2&amp;"*")</f>
        <v>0</v>
      </c>
      <c r="I1565" s="200">
        <f t="shared" si="7904"/>
        <v>0</v>
      </c>
      <c r="J1565" s="200">
        <f t="shared" si="7904"/>
        <v>0</v>
      </c>
      <c r="K1565" s="200">
        <f t="shared" si="7904"/>
        <v>0</v>
      </c>
      <c r="L1565" s="200">
        <f t="shared" si="7904"/>
        <v>0</v>
      </c>
      <c r="M1565" s="200">
        <f t="shared" si="7904"/>
        <v>0</v>
      </c>
      <c r="N1565" s="200">
        <f t="shared" si="7904"/>
        <v>0</v>
      </c>
      <c r="O1565" s="200">
        <f t="shared" si="7904"/>
        <v>0</v>
      </c>
      <c r="P1565" s="200">
        <f t="shared" si="9"/>
        <v>0</v>
      </c>
      <c r="Q1565" s="200">
        <f t="shared" ref="Q1565:AC1565" si="7905">countif($D1565,"*"&amp;Q$2&amp;"*")</f>
        <v>0</v>
      </c>
      <c r="R1565" s="200">
        <f t="shared" si="7905"/>
        <v>0</v>
      </c>
      <c r="S1565" s="200">
        <f t="shared" si="7905"/>
        <v>0</v>
      </c>
      <c r="T1565" s="200">
        <f t="shared" si="7905"/>
        <v>0</v>
      </c>
      <c r="U1565" s="200">
        <f t="shared" si="7905"/>
        <v>0</v>
      </c>
      <c r="V1565" s="200">
        <f t="shared" si="7905"/>
        <v>0</v>
      </c>
      <c r="W1565" s="200">
        <f t="shared" si="7905"/>
        <v>0</v>
      </c>
      <c r="X1565" s="200">
        <f t="shared" si="7905"/>
        <v>0</v>
      </c>
      <c r="Y1565" s="200">
        <f t="shared" si="7905"/>
        <v>0</v>
      </c>
      <c r="Z1565" s="200">
        <f t="shared" si="7905"/>
        <v>0</v>
      </c>
      <c r="AA1565" s="200">
        <f t="shared" si="7905"/>
        <v>1</v>
      </c>
      <c r="AB1565" s="200">
        <f t="shared" si="7905"/>
        <v>0</v>
      </c>
      <c r="AC1565" s="200">
        <f t="shared" si="7905"/>
        <v>0</v>
      </c>
      <c r="AD1565" s="222">
        <f t="shared" si="11"/>
        <v>0</v>
      </c>
      <c r="AE1565" s="200">
        <f t="shared" ref="AE1565:AG1565" si="7906">countif($D1565,"*"&amp;AE$2&amp;"*")</f>
        <v>0</v>
      </c>
      <c r="AF1565" s="200">
        <f t="shared" si="7906"/>
        <v>0</v>
      </c>
      <c r="AG1565" s="200">
        <f t="shared" si="7906"/>
        <v>0</v>
      </c>
      <c r="AH1565" s="171">
        <f t="shared" si="13"/>
        <v>0</v>
      </c>
      <c r="AI1565" s="200">
        <f t="shared" si="14"/>
        <v>0</v>
      </c>
      <c r="AJ1565" s="200">
        <f t="shared" si="6100"/>
        <v>0</v>
      </c>
      <c r="AK1565" s="201">
        <f t="shared" ref="AK1565:AS1565" si="7907">countif($D1565,"*"&amp;AK$2&amp;"*")</f>
        <v>0</v>
      </c>
      <c r="AL1565" s="201">
        <f t="shared" si="7907"/>
        <v>0</v>
      </c>
      <c r="AM1565" s="201">
        <f t="shared" si="7907"/>
        <v>0</v>
      </c>
      <c r="AN1565" s="201">
        <f t="shared" si="7907"/>
        <v>0</v>
      </c>
      <c r="AO1565" s="201">
        <f t="shared" si="7907"/>
        <v>0</v>
      </c>
      <c r="AP1565" s="201">
        <f t="shared" si="7907"/>
        <v>0</v>
      </c>
      <c r="AQ1565" s="201">
        <f t="shared" si="7907"/>
        <v>0</v>
      </c>
      <c r="AR1565" s="222">
        <f t="shared" si="7907"/>
        <v>0</v>
      </c>
      <c r="AS1565" s="200">
        <f t="shared" si="7907"/>
        <v>0</v>
      </c>
      <c r="AT1565" s="223">
        <v>0.0</v>
      </c>
      <c r="AU1565" s="200">
        <f t="shared" si="6217"/>
        <v>0</v>
      </c>
      <c r="AV1565" s="200">
        <f t="shared" ref="AV1565:AX1565" si="7908">countif($D1565,"*"&amp;AV$2&amp;"*")</f>
        <v>0</v>
      </c>
      <c r="AW1565" s="200">
        <f t="shared" si="7908"/>
        <v>0</v>
      </c>
      <c r="AX1565" s="200">
        <f t="shared" si="7908"/>
        <v>0</v>
      </c>
      <c r="AY1565" s="202">
        <v>0.0</v>
      </c>
      <c r="AZ1565" s="200"/>
      <c r="BA1565" s="171" t="str">
        <f t="shared" si="18"/>
        <v/>
      </c>
      <c r="BB1565" s="171" t="str">
        <f t="shared" si="19"/>
        <v/>
      </c>
      <c r="BC1565" s="171" t="str">
        <f t="shared" si="20"/>
        <v>General-purpose</v>
      </c>
      <c r="BD1565" s="171" t="str">
        <f t="shared" si="21"/>
        <v/>
      </c>
      <c r="BE1565" s="171" t="str">
        <f t="shared" si="22"/>
        <v/>
      </c>
      <c r="BF1565" s="171" t="str">
        <f t="shared" si="23"/>
        <v>General-purpose</v>
      </c>
    </row>
    <row r="1566">
      <c r="A1566" s="171">
        <f t="array" ref="A1566">XLOOKUP(C1566,FSE!A:A,FSE!C:C,"XXXXX",0,1)</f>
        <v>2021</v>
      </c>
      <c r="B1566" s="213" t="s">
        <v>5676</v>
      </c>
      <c r="C1566" s="214">
        <v>271.0</v>
      </c>
      <c r="D1566" s="215" t="s">
        <v>4881</v>
      </c>
      <c r="E1566" s="197" t="str">
        <f t="array" ref="E1566">XLOOKUP(C1566,FSE!A:A,FSE!Z:Z,"XXXXX",0,1)</f>
        <v>Publicly Available (1)</v>
      </c>
      <c r="F1566" s="213" t="s">
        <v>3394</v>
      </c>
      <c r="G1566" s="163" t="str">
        <f t="array" ref="G1566">IF(B1566="ICSE",IF(COUNTIFS(B:B,B1566,C:C,C1566)=XLOOKUP(C1566,ICSE!A:A,ICSE!AA:AA,"ERROR",0,1),"OK","ERROR"),IF(B1566="FSE",IF(COUNTIFS(B:B,B1566,C:C,C1566)=XLOOKUP(C1566,FSE!A:A,FSE!AA:AA,"ERROR",0,1),"OK","ERROR")))</f>
        <v>OK</v>
      </c>
      <c r="H1566" s="199">
        <f t="shared" ref="H1566:O1566" si="7909">countif($D1566,"*"&amp;H$2&amp;"*")</f>
        <v>0</v>
      </c>
      <c r="I1566" s="200">
        <f t="shared" si="7909"/>
        <v>0</v>
      </c>
      <c r="J1566" s="200">
        <f t="shared" si="7909"/>
        <v>0</v>
      </c>
      <c r="K1566" s="200">
        <f t="shared" si="7909"/>
        <v>0</v>
      </c>
      <c r="L1566" s="200">
        <f t="shared" si="7909"/>
        <v>0</v>
      </c>
      <c r="M1566" s="200">
        <f t="shared" si="7909"/>
        <v>0</v>
      </c>
      <c r="N1566" s="200">
        <f t="shared" si="7909"/>
        <v>0</v>
      </c>
      <c r="O1566" s="200">
        <f t="shared" si="7909"/>
        <v>0</v>
      </c>
      <c r="P1566" s="200">
        <f t="shared" si="9"/>
        <v>1</v>
      </c>
      <c r="Q1566" s="200">
        <f t="shared" ref="Q1566:AC1566" si="7910">countif($D1566,"*"&amp;Q$2&amp;"*")</f>
        <v>0</v>
      </c>
      <c r="R1566" s="200">
        <f t="shared" si="7910"/>
        <v>0</v>
      </c>
      <c r="S1566" s="200">
        <f t="shared" si="7910"/>
        <v>0</v>
      </c>
      <c r="T1566" s="200">
        <f t="shared" si="7910"/>
        <v>0</v>
      </c>
      <c r="U1566" s="200">
        <f t="shared" si="7910"/>
        <v>0</v>
      </c>
      <c r="V1566" s="200">
        <f t="shared" si="7910"/>
        <v>0</v>
      </c>
      <c r="W1566" s="200">
        <f t="shared" si="7910"/>
        <v>0</v>
      </c>
      <c r="X1566" s="200">
        <f t="shared" si="7910"/>
        <v>0</v>
      </c>
      <c r="Y1566" s="200">
        <f t="shared" si="7910"/>
        <v>0</v>
      </c>
      <c r="Z1566" s="200">
        <f t="shared" si="7910"/>
        <v>0</v>
      </c>
      <c r="AA1566" s="200">
        <f t="shared" si="7910"/>
        <v>0</v>
      </c>
      <c r="AB1566" s="200">
        <f t="shared" si="7910"/>
        <v>0</v>
      </c>
      <c r="AC1566" s="200">
        <f t="shared" si="7910"/>
        <v>0</v>
      </c>
      <c r="AD1566" s="200">
        <f t="shared" si="11"/>
        <v>0</v>
      </c>
      <c r="AE1566" s="200">
        <f t="shared" ref="AE1566:AG1566" si="7911">countif($D1566,"*"&amp;AE$2&amp;"*")</f>
        <v>0</v>
      </c>
      <c r="AF1566" s="200">
        <f t="shared" si="7911"/>
        <v>0</v>
      </c>
      <c r="AG1566" s="200">
        <f t="shared" si="7911"/>
        <v>0</v>
      </c>
      <c r="AH1566" s="171">
        <f t="shared" si="13"/>
        <v>0</v>
      </c>
      <c r="AI1566" s="200">
        <f t="shared" si="14"/>
        <v>0</v>
      </c>
      <c r="AJ1566" s="200">
        <f t="shared" si="6100"/>
        <v>0</v>
      </c>
      <c r="AK1566" s="201">
        <f t="shared" ref="AK1566:AS1566" si="7912">countif($D1566,"*"&amp;AK$2&amp;"*")</f>
        <v>0</v>
      </c>
      <c r="AL1566" s="201">
        <f t="shared" si="7912"/>
        <v>0</v>
      </c>
      <c r="AM1566" s="201">
        <f t="shared" si="7912"/>
        <v>0</v>
      </c>
      <c r="AN1566" s="201">
        <f t="shared" si="7912"/>
        <v>0</v>
      </c>
      <c r="AO1566" s="201">
        <f t="shared" si="7912"/>
        <v>0</v>
      </c>
      <c r="AP1566" s="201">
        <f t="shared" si="7912"/>
        <v>0</v>
      </c>
      <c r="AQ1566" s="201">
        <f t="shared" si="7912"/>
        <v>0</v>
      </c>
      <c r="AR1566" s="200">
        <f t="shared" si="7912"/>
        <v>0</v>
      </c>
      <c r="AS1566" s="200">
        <f t="shared" si="7912"/>
        <v>0</v>
      </c>
      <c r="AT1566" s="173">
        <v>0.0</v>
      </c>
      <c r="AU1566" s="200">
        <f t="shared" si="6217"/>
        <v>0</v>
      </c>
      <c r="AV1566" s="200">
        <f t="shared" ref="AV1566:AX1566" si="7913">countif($D1566,"*"&amp;AV$2&amp;"*")</f>
        <v>1</v>
      </c>
      <c r="AW1566" s="200">
        <f t="shared" si="7913"/>
        <v>0</v>
      </c>
      <c r="AX1566" s="200">
        <f t="shared" si="7913"/>
        <v>0</v>
      </c>
      <c r="AY1566" s="202">
        <v>0.0</v>
      </c>
      <c r="AZ1566" s="200"/>
      <c r="BA1566" s="171" t="str">
        <f t="shared" si="18"/>
        <v/>
      </c>
      <c r="BB1566" s="171" t="str">
        <f t="shared" si="19"/>
        <v>Code</v>
      </c>
      <c r="BC1566" s="171" t="str">
        <f t="shared" si="20"/>
        <v/>
      </c>
      <c r="BD1566" s="171" t="str">
        <f t="shared" si="21"/>
        <v/>
      </c>
      <c r="BE1566" s="171" t="str">
        <f t="shared" si="22"/>
        <v/>
      </c>
      <c r="BF1566" s="171" t="str">
        <f t="shared" si="23"/>
        <v>Code</v>
      </c>
    </row>
    <row r="1567">
      <c r="A1567" s="213">
        <f t="array" ref="A1567">XLOOKUP(C1567,FSE!A:A,FSE!C:C,"XXXXX",0,1)</f>
        <v>2021</v>
      </c>
      <c r="B1567" s="213" t="s">
        <v>5676</v>
      </c>
      <c r="C1567" s="220">
        <v>272.0</v>
      </c>
      <c r="D1567" s="217" t="s">
        <v>4885</v>
      </c>
      <c r="E1567" s="221" t="str">
        <f t="array" ref="E1567">XLOOKUP(C1567,FSE!A:A,FSE!Z:Z,"XXXXX",0,1)</f>
        <v>Publicly Available (1)</v>
      </c>
      <c r="F1567" s="213" t="s">
        <v>3394</v>
      </c>
      <c r="G1567" s="163" t="str">
        <f t="array" ref="G1567">IF(B1567="ICSE",IF(COUNTIFS(B:B,B1567,C:C,C1567)=XLOOKUP(C1567,ICSE!A:A,ICSE!AA:AA,"ERROR",0,1),"OK","ERROR"),IF(B1567="FSE",IF(COUNTIFS(B:B,B1567,C:C,C1567)=XLOOKUP(C1567,FSE!A:A,FSE!AA:AA,"ERROR",0,1),"OK","ERROR")))</f>
        <v>OK</v>
      </c>
      <c r="H1567" s="199">
        <f t="shared" ref="H1567:O1567" si="7914">countif($D1567,"*"&amp;H$2&amp;"*")</f>
        <v>0</v>
      </c>
      <c r="I1567" s="200">
        <f t="shared" si="7914"/>
        <v>0</v>
      </c>
      <c r="J1567" s="200">
        <f t="shared" si="7914"/>
        <v>1</v>
      </c>
      <c r="K1567" s="200">
        <f t="shared" si="7914"/>
        <v>0</v>
      </c>
      <c r="L1567" s="200">
        <f t="shared" si="7914"/>
        <v>0</v>
      </c>
      <c r="M1567" s="200">
        <f t="shared" si="7914"/>
        <v>0</v>
      </c>
      <c r="N1567" s="200">
        <f t="shared" si="7914"/>
        <v>0</v>
      </c>
      <c r="O1567" s="200">
        <f t="shared" si="7914"/>
        <v>0</v>
      </c>
      <c r="P1567" s="200">
        <f t="shared" si="9"/>
        <v>0</v>
      </c>
      <c r="Q1567" s="200">
        <f t="shared" ref="Q1567:AC1567" si="7915">countif($D1567,"*"&amp;Q$2&amp;"*")</f>
        <v>0</v>
      </c>
      <c r="R1567" s="200">
        <f t="shared" si="7915"/>
        <v>0</v>
      </c>
      <c r="S1567" s="200">
        <f t="shared" si="7915"/>
        <v>0</v>
      </c>
      <c r="T1567" s="200">
        <f t="shared" si="7915"/>
        <v>0</v>
      </c>
      <c r="U1567" s="200">
        <f t="shared" si="7915"/>
        <v>0</v>
      </c>
      <c r="V1567" s="200">
        <f t="shared" si="7915"/>
        <v>0</v>
      </c>
      <c r="W1567" s="200">
        <f t="shared" si="7915"/>
        <v>0</v>
      </c>
      <c r="X1567" s="200">
        <f t="shared" si="7915"/>
        <v>0</v>
      </c>
      <c r="Y1567" s="200">
        <f t="shared" si="7915"/>
        <v>0</v>
      </c>
      <c r="Z1567" s="200">
        <f t="shared" si="7915"/>
        <v>0</v>
      </c>
      <c r="AA1567" s="200">
        <f t="shared" si="7915"/>
        <v>0</v>
      </c>
      <c r="AB1567" s="200">
        <f t="shared" si="7915"/>
        <v>0</v>
      </c>
      <c r="AC1567" s="200">
        <f t="shared" si="7915"/>
        <v>0</v>
      </c>
      <c r="AD1567" s="222">
        <f t="shared" si="11"/>
        <v>0</v>
      </c>
      <c r="AE1567" s="200">
        <f t="shared" ref="AE1567:AG1567" si="7916">countif($D1567,"*"&amp;AE$2&amp;"*")</f>
        <v>0</v>
      </c>
      <c r="AF1567" s="200">
        <f t="shared" si="7916"/>
        <v>0</v>
      </c>
      <c r="AG1567" s="200">
        <f t="shared" si="7916"/>
        <v>0</v>
      </c>
      <c r="AH1567" s="171">
        <f t="shared" si="13"/>
        <v>0</v>
      </c>
      <c r="AI1567" s="200">
        <f t="shared" si="14"/>
        <v>0</v>
      </c>
      <c r="AJ1567" s="200">
        <f t="shared" si="6100"/>
        <v>0</v>
      </c>
      <c r="AK1567" s="201">
        <f t="shared" ref="AK1567:AS1567" si="7917">countif($D1567,"*"&amp;AK$2&amp;"*")</f>
        <v>0</v>
      </c>
      <c r="AL1567" s="201">
        <f t="shared" si="7917"/>
        <v>0</v>
      </c>
      <c r="AM1567" s="201">
        <f t="shared" si="7917"/>
        <v>0</v>
      </c>
      <c r="AN1567" s="201">
        <f t="shared" si="7917"/>
        <v>0</v>
      </c>
      <c r="AO1567" s="201">
        <f t="shared" si="7917"/>
        <v>0</v>
      </c>
      <c r="AP1567" s="201">
        <f t="shared" si="7917"/>
        <v>0</v>
      </c>
      <c r="AQ1567" s="201">
        <f t="shared" si="7917"/>
        <v>0</v>
      </c>
      <c r="AR1567" s="222">
        <f t="shared" si="7917"/>
        <v>0</v>
      </c>
      <c r="AS1567" s="200">
        <f t="shared" si="7917"/>
        <v>0</v>
      </c>
      <c r="AT1567" s="223">
        <v>0.0</v>
      </c>
      <c r="AU1567" s="200">
        <f t="shared" si="6217"/>
        <v>0</v>
      </c>
      <c r="AV1567" s="200">
        <f t="shared" ref="AV1567:AX1567" si="7918">countif($D1567,"*"&amp;AV$2&amp;"*")</f>
        <v>0</v>
      </c>
      <c r="AW1567" s="200">
        <f t="shared" si="7918"/>
        <v>0</v>
      </c>
      <c r="AX1567" s="200">
        <f t="shared" si="7918"/>
        <v>0</v>
      </c>
      <c r="AY1567" s="202">
        <v>0.0</v>
      </c>
      <c r="AZ1567" s="200"/>
      <c r="BA1567" s="171" t="str">
        <f t="shared" si="18"/>
        <v>Archival</v>
      </c>
      <c r="BB1567" s="171" t="str">
        <f t="shared" si="19"/>
        <v/>
      </c>
      <c r="BC1567" s="171" t="str">
        <f t="shared" si="20"/>
        <v/>
      </c>
      <c r="BD1567" s="171" t="str">
        <f t="shared" si="21"/>
        <v/>
      </c>
      <c r="BE1567" s="171" t="str">
        <f t="shared" si="22"/>
        <v/>
      </c>
      <c r="BF1567" s="171" t="str">
        <f t="shared" si="23"/>
        <v>Archival</v>
      </c>
    </row>
    <row r="1568">
      <c r="A1568" s="171">
        <f t="array" ref="A1568">XLOOKUP(C1568,FSE!A:A,FSE!C:C,"XXXXX",0,1)</f>
        <v>2021</v>
      </c>
      <c r="B1568" s="213" t="s">
        <v>5676</v>
      </c>
      <c r="C1568" s="214">
        <v>273.0</v>
      </c>
      <c r="D1568" s="215" t="s">
        <v>4888</v>
      </c>
      <c r="E1568" s="197" t="str">
        <f t="array" ref="E1568">XLOOKUP(C1568,FSE!A:A,FSE!Z:Z,"XXXXX",0,1)</f>
        <v>Publicly Available (1)</v>
      </c>
      <c r="F1568" s="213" t="s">
        <v>3394</v>
      </c>
      <c r="G1568" s="163" t="str">
        <f t="array" ref="G1568">IF(B1568="ICSE",IF(COUNTIFS(B:B,B1568,C:C,C1568)=XLOOKUP(C1568,ICSE!A:A,ICSE!AA:AA,"ERROR",0,1),"OK","ERROR"),IF(B1568="FSE",IF(COUNTIFS(B:B,B1568,C:C,C1568)=XLOOKUP(C1568,FSE!A:A,FSE!AA:AA,"ERROR",0,1),"OK","ERROR")))</f>
        <v>OK</v>
      </c>
      <c r="H1568" s="199">
        <f t="shared" ref="H1568:O1568" si="7919">countif($D1568,"*"&amp;H$2&amp;"*")</f>
        <v>0</v>
      </c>
      <c r="I1568" s="200">
        <f t="shared" si="7919"/>
        <v>0</v>
      </c>
      <c r="J1568" s="200">
        <f t="shared" si="7919"/>
        <v>0</v>
      </c>
      <c r="K1568" s="200">
        <f t="shared" si="7919"/>
        <v>0</v>
      </c>
      <c r="L1568" s="200">
        <f t="shared" si="7919"/>
        <v>0</v>
      </c>
      <c r="M1568" s="200">
        <f t="shared" si="7919"/>
        <v>0</v>
      </c>
      <c r="N1568" s="200">
        <f t="shared" si="7919"/>
        <v>0</v>
      </c>
      <c r="O1568" s="200">
        <f t="shared" si="7919"/>
        <v>0</v>
      </c>
      <c r="P1568" s="200">
        <f t="shared" si="9"/>
        <v>1</v>
      </c>
      <c r="Q1568" s="200">
        <f t="shared" ref="Q1568:AC1568" si="7920">countif($D1568,"*"&amp;Q$2&amp;"*")</f>
        <v>0</v>
      </c>
      <c r="R1568" s="200">
        <f t="shared" si="7920"/>
        <v>0</v>
      </c>
      <c r="S1568" s="200">
        <f t="shared" si="7920"/>
        <v>0</v>
      </c>
      <c r="T1568" s="200">
        <f t="shared" si="7920"/>
        <v>0</v>
      </c>
      <c r="U1568" s="200">
        <f t="shared" si="7920"/>
        <v>0</v>
      </c>
      <c r="V1568" s="200">
        <f t="shared" si="7920"/>
        <v>0</v>
      </c>
      <c r="W1568" s="200">
        <f t="shared" si="7920"/>
        <v>0</v>
      </c>
      <c r="X1568" s="200">
        <f t="shared" si="7920"/>
        <v>0</v>
      </c>
      <c r="Y1568" s="200">
        <f t="shared" si="7920"/>
        <v>0</v>
      </c>
      <c r="Z1568" s="200">
        <f t="shared" si="7920"/>
        <v>0</v>
      </c>
      <c r="AA1568" s="200">
        <f t="shared" si="7920"/>
        <v>0</v>
      </c>
      <c r="AB1568" s="200">
        <f t="shared" si="7920"/>
        <v>0</v>
      </c>
      <c r="AC1568" s="200">
        <f t="shared" si="7920"/>
        <v>0</v>
      </c>
      <c r="AD1568" s="200">
        <f t="shared" si="11"/>
        <v>0</v>
      </c>
      <c r="AE1568" s="200">
        <f t="shared" ref="AE1568:AG1568" si="7921">countif($D1568,"*"&amp;AE$2&amp;"*")</f>
        <v>0</v>
      </c>
      <c r="AF1568" s="200">
        <f t="shared" si="7921"/>
        <v>0</v>
      </c>
      <c r="AG1568" s="200">
        <f t="shared" si="7921"/>
        <v>0</v>
      </c>
      <c r="AH1568" s="171">
        <f t="shared" si="13"/>
        <v>0</v>
      </c>
      <c r="AI1568" s="200">
        <f t="shared" si="14"/>
        <v>0</v>
      </c>
      <c r="AJ1568" s="200">
        <f t="shared" si="6100"/>
        <v>0</v>
      </c>
      <c r="AK1568" s="201">
        <f t="shared" ref="AK1568:AS1568" si="7922">countif($D1568,"*"&amp;AK$2&amp;"*")</f>
        <v>0</v>
      </c>
      <c r="AL1568" s="201">
        <f t="shared" si="7922"/>
        <v>0</v>
      </c>
      <c r="AM1568" s="201">
        <f t="shared" si="7922"/>
        <v>0</v>
      </c>
      <c r="AN1568" s="201">
        <f t="shared" si="7922"/>
        <v>0</v>
      </c>
      <c r="AO1568" s="201">
        <f t="shared" si="7922"/>
        <v>0</v>
      </c>
      <c r="AP1568" s="201">
        <f t="shared" si="7922"/>
        <v>0</v>
      </c>
      <c r="AQ1568" s="201">
        <f t="shared" si="7922"/>
        <v>0</v>
      </c>
      <c r="AR1568" s="200">
        <f t="shared" si="7922"/>
        <v>0</v>
      </c>
      <c r="AS1568" s="200">
        <f t="shared" si="7922"/>
        <v>0</v>
      </c>
      <c r="AT1568" s="173">
        <v>0.0</v>
      </c>
      <c r="AU1568" s="200">
        <f t="shared" si="6217"/>
        <v>0</v>
      </c>
      <c r="AV1568" s="200">
        <f t="shared" ref="AV1568:AX1568" si="7923">countif($D1568,"*"&amp;AV$2&amp;"*")</f>
        <v>1</v>
      </c>
      <c r="AW1568" s="200">
        <f t="shared" si="7923"/>
        <v>0</v>
      </c>
      <c r="AX1568" s="200">
        <f t="shared" si="7923"/>
        <v>0</v>
      </c>
      <c r="AY1568" s="202">
        <v>0.0</v>
      </c>
      <c r="AZ1568" s="200"/>
      <c r="BA1568" s="171" t="str">
        <f t="shared" si="18"/>
        <v/>
      </c>
      <c r="BB1568" s="171" t="str">
        <f t="shared" si="19"/>
        <v>Code</v>
      </c>
      <c r="BC1568" s="171" t="str">
        <f t="shared" si="20"/>
        <v/>
      </c>
      <c r="BD1568" s="171" t="str">
        <f t="shared" si="21"/>
        <v/>
      </c>
      <c r="BE1568" s="171" t="str">
        <f t="shared" si="22"/>
        <v/>
      </c>
      <c r="BF1568" s="171" t="str">
        <f t="shared" si="23"/>
        <v>Code</v>
      </c>
    </row>
    <row r="1569">
      <c r="A1569" s="171">
        <f t="array" ref="A1569">XLOOKUP(C1569,FSE!A:A,FSE!C:C,"XXXXX",0,1)</f>
        <v>2021</v>
      </c>
      <c r="B1569" s="213" t="s">
        <v>5676</v>
      </c>
      <c r="C1569" s="214">
        <v>274.0</v>
      </c>
      <c r="D1569" s="215" t="s">
        <v>4891</v>
      </c>
      <c r="E1569" s="197" t="str">
        <f t="array" ref="E1569">XLOOKUP(C1569,FSE!A:A,FSE!Z:Z,"XXXXX",0,1)</f>
        <v>Publicly Available (1)</v>
      </c>
      <c r="F1569" s="213" t="s">
        <v>3394</v>
      </c>
      <c r="G1569" s="163" t="str">
        <f t="array" ref="G1569">IF(B1569="ICSE",IF(COUNTIFS(B:B,B1569,C:C,C1569)=XLOOKUP(C1569,ICSE!A:A,ICSE!AA:AA,"ERROR",0,1),"OK","ERROR"),IF(B1569="FSE",IF(COUNTIFS(B:B,B1569,C:C,C1569)=XLOOKUP(C1569,FSE!A:A,FSE!AA:AA,"ERROR",0,1),"OK","ERROR")))</f>
        <v>OK</v>
      </c>
      <c r="H1569" s="199">
        <f t="shared" ref="H1569:O1569" si="7924">countif($D1569,"*"&amp;H$2&amp;"*")</f>
        <v>0</v>
      </c>
      <c r="I1569" s="200">
        <f t="shared" si="7924"/>
        <v>0</v>
      </c>
      <c r="J1569" s="200">
        <f t="shared" si="7924"/>
        <v>0</v>
      </c>
      <c r="K1569" s="200">
        <f t="shared" si="7924"/>
        <v>0</v>
      </c>
      <c r="L1569" s="200">
        <f t="shared" si="7924"/>
        <v>0</v>
      </c>
      <c r="M1569" s="200">
        <f t="shared" si="7924"/>
        <v>0</v>
      </c>
      <c r="N1569" s="200">
        <f t="shared" si="7924"/>
        <v>0</v>
      </c>
      <c r="O1569" s="200">
        <f t="shared" si="7924"/>
        <v>0</v>
      </c>
      <c r="P1569" s="200">
        <f t="shared" si="9"/>
        <v>1</v>
      </c>
      <c r="Q1569" s="200">
        <f t="shared" ref="Q1569:AC1569" si="7925">countif($D1569,"*"&amp;Q$2&amp;"*")</f>
        <v>0</v>
      </c>
      <c r="R1569" s="200">
        <f t="shared" si="7925"/>
        <v>0</v>
      </c>
      <c r="S1569" s="200">
        <f t="shared" si="7925"/>
        <v>0</v>
      </c>
      <c r="T1569" s="200">
        <f t="shared" si="7925"/>
        <v>0</v>
      </c>
      <c r="U1569" s="200">
        <f t="shared" si="7925"/>
        <v>0</v>
      </c>
      <c r="V1569" s="200">
        <f t="shared" si="7925"/>
        <v>0</v>
      </c>
      <c r="W1569" s="200">
        <f t="shared" si="7925"/>
        <v>0</v>
      </c>
      <c r="X1569" s="200">
        <f t="shared" si="7925"/>
        <v>0</v>
      </c>
      <c r="Y1569" s="200">
        <f t="shared" si="7925"/>
        <v>0</v>
      </c>
      <c r="Z1569" s="200">
        <f t="shared" si="7925"/>
        <v>0</v>
      </c>
      <c r="AA1569" s="200">
        <f t="shared" si="7925"/>
        <v>0</v>
      </c>
      <c r="AB1569" s="200">
        <f t="shared" si="7925"/>
        <v>0</v>
      </c>
      <c r="AC1569" s="200">
        <f t="shared" si="7925"/>
        <v>0</v>
      </c>
      <c r="AD1569" s="200">
        <f t="shared" si="11"/>
        <v>0</v>
      </c>
      <c r="AE1569" s="200">
        <f t="shared" ref="AE1569:AG1569" si="7926">countif($D1569,"*"&amp;AE$2&amp;"*")</f>
        <v>0</v>
      </c>
      <c r="AF1569" s="200">
        <f t="shared" si="7926"/>
        <v>0</v>
      </c>
      <c r="AG1569" s="200">
        <f t="shared" si="7926"/>
        <v>0</v>
      </c>
      <c r="AH1569" s="171">
        <f t="shared" si="13"/>
        <v>0</v>
      </c>
      <c r="AI1569" s="200">
        <f t="shared" si="14"/>
        <v>0</v>
      </c>
      <c r="AJ1569" s="200">
        <f t="shared" si="6100"/>
        <v>0</v>
      </c>
      <c r="AK1569" s="201">
        <f t="shared" ref="AK1569:AS1569" si="7927">countif($D1569,"*"&amp;AK$2&amp;"*")</f>
        <v>0</v>
      </c>
      <c r="AL1569" s="201">
        <f t="shared" si="7927"/>
        <v>0</v>
      </c>
      <c r="AM1569" s="201">
        <f t="shared" si="7927"/>
        <v>0</v>
      </c>
      <c r="AN1569" s="201">
        <f t="shared" si="7927"/>
        <v>0</v>
      </c>
      <c r="AO1569" s="201">
        <f t="shared" si="7927"/>
        <v>0</v>
      </c>
      <c r="AP1569" s="201">
        <f t="shared" si="7927"/>
        <v>0</v>
      </c>
      <c r="AQ1569" s="201">
        <f t="shared" si="7927"/>
        <v>0</v>
      </c>
      <c r="AR1569" s="200">
        <f t="shared" si="7927"/>
        <v>0</v>
      </c>
      <c r="AS1569" s="200">
        <f t="shared" si="7927"/>
        <v>0</v>
      </c>
      <c r="AT1569" s="173">
        <v>0.0</v>
      </c>
      <c r="AU1569" s="200">
        <f t="shared" si="6217"/>
        <v>0</v>
      </c>
      <c r="AV1569" s="200">
        <f t="shared" ref="AV1569:AX1569" si="7928">countif($D1569,"*"&amp;AV$2&amp;"*")</f>
        <v>1</v>
      </c>
      <c r="AW1569" s="200">
        <f t="shared" si="7928"/>
        <v>0</v>
      </c>
      <c r="AX1569" s="200">
        <f t="shared" si="7928"/>
        <v>0</v>
      </c>
      <c r="AY1569" s="202">
        <v>0.0</v>
      </c>
      <c r="AZ1569" s="200"/>
      <c r="BA1569" s="171" t="str">
        <f t="shared" si="18"/>
        <v/>
      </c>
      <c r="BB1569" s="171" t="str">
        <f t="shared" si="19"/>
        <v>Code</v>
      </c>
      <c r="BC1569" s="171" t="str">
        <f t="shared" si="20"/>
        <v/>
      </c>
      <c r="BD1569" s="171" t="str">
        <f t="shared" si="21"/>
        <v/>
      </c>
      <c r="BE1569" s="171" t="str">
        <f t="shared" si="22"/>
        <v/>
      </c>
      <c r="BF1569" s="171" t="str">
        <f t="shared" si="23"/>
        <v>Code</v>
      </c>
    </row>
    <row r="1570">
      <c r="A1570" s="171">
        <f t="array" ref="A1570">XLOOKUP(C1570,FSE!A:A,FSE!C:C,"XXXXX",0,1)</f>
        <v>2021</v>
      </c>
      <c r="B1570" s="213" t="s">
        <v>5676</v>
      </c>
      <c r="C1570" s="214">
        <v>275.0</v>
      </c>
      <c r="D1570" s="215" t="s">
        <v>4893</v>
      </c>
      <c r="E1570" s="197" t="str">
        <f t="array" ref="E1570">XLOOKUP(C1570,FSE!A:A,FSE!Z:Z,"XXXXX",0,1)</f>
        <v>Not Available (1)</v>
      </c>
      <c r="F1570" s="213" t="s">
        <v>3395</v>
      </c>
      <c r="G1570" s="163" t="str">
        <f t="array" ref="G1570">IF(B1570="ICSE",IF(COUNTIFS(B:B,B1570,C:C,C1570)=XLOOKUP(C1570,ICSE!A:A,ICSE!AA:AA,"ERROR",0,1),"OK","ERROR"),IF(B1570="FSE",IF(COUNTIFS(B:B,B1570,C:C,C1570)=XLOOKUP(C1570,FSE!A:A,FSE!AA:AA,"ERROR",0,1),"OK","ERROR")))</f>
        <v>OK</v>
      </c>
      <c r="H1570" s="199">
        <f t="shared" ref="H1570:O1570" si="7929">countif($D1570,"*"&amp;H$2&amp;"*")</f>
        <v>0</v>
      </c>
      <c r="I1570" s="200">
        <f t="shared" si="7929"/>
        <v>0</v>
      </c>
      <c r="J1570" s="200">
        <f t="shared" si="7929"/>
        <v>0</v>
      </c>
      <c r="K1570" s="200">
        <f t="shared" si="7929"/>
        <v>0</v>
      </c>
      <c r="L1570" s="200">
        <f t="shared" si="7929"/>
        <v>0</v>
      </c>
      <c r="M1570" s="200">
        <f t="shared" si="7929"/>
        <v>0</v>
      </c>
      <c r="N1570" s="200">
        <f t="shared" si="7929"/>
        <v>0</v>
      </c>
      <c r="O1570" s="200">
        <f t="shared" si="7929"/>
        <v>0</v>
      </c>
      <c r="P1570" s="200">
        <f t="shared" si="9"/>
        <v>1</v>
      </c>
      <c r="Q1570" s="200">
        <f t="shared" ref="Q1570:AC1570" si="7930">countif($D1570,"*"&amp;Q$2&amp;"*")</f>
        <v>0</v>
      </c>
      <c r="R1570" s="200">
        <f t="shared" si="7930"/>
        <v>0</v>
      </c>
      <c r="S1570" s="200">
        <f t="shared" si="7930"/>
        <v>0</v>
      </c>
      <c r="T1570" s="200">
        <f t="shared" si="7930"/>
        <v>0</v>
      </c>
      <c r="U1570" s="200">
        <f t="shared" si="7930"/>
        <v>0</v>
      </c>
      <c r="V1570" s="200">
        <f t="shared" si="7930"/>
        <v>0</v>
      </c>
      <c r="W1570" s="200">
        <f t="shared" si="7930"/>
        <v>0</v>
      </c>
      <c r="X1570" s="200">
        <f t="shared" si="7930"/>
        <v>0</v>
      </c>
      <c r="Y1570" s="200">
        <f t="shared" si="7930"/>
        <v>0</v>
      </c>
      <c r="Z1570" s="200">
        <f t="shared" si="7930"/>
        <v>0</v>
      </c>
      <c r="AA1570" s="200">
        <f t="shared" si="7930"/>
        <v>0</v>
      </c>
      <c r="AB1570" s="200">
        <f t="shared" si="7930"/>
        <v>0</v>
      </c>
      <c r="AC1570" s="200">
        <f t="shared" si="7930"/>
        <v>0</v>
      </c>
      <c r="AD1570" s="200">
        <f t="shared" si="11"/>
        <v>0</v>
      </c>
      <c r="AE1570" s="200">
        <f t="shared" ref="AE1570:AG1570" si="7931">countif($D1570,"*"&amp;AE$2&amp;"*")</f>
        <v>0</v>
      </c>
      <c r="AF1570" s="200">
        <f t="shared" si="7931"/>
        <v>0</v>
      </c>
      <c r="AG1570" s="200">
        <f t="shared" si="7931"/>
        <v>0</v>
      </c>
      <c r="AH1570" s="171">
        <f t="shared" si="13"/>
        <v>0</v>
      </c>
      <c r="AI1570" s="200">
        <f t="shared" si="14"/>
        <v>0</v>
      </c>
      <c r="AJ1570" s="200">
        <f t="shared" si="6100"/>
        <v>0</v>
      </c>
      <c r="AK1570" s="201">
        <f t="shared" ref="AK1570:AS1570" si="7932">countif($D1570,"*"&amp;AK$2&amp;"*")</f>
        <v>0</v>
      </c>
      <c r="AL1570" s="201">
        <f t="shared" si="7932"/>
        <v>0</v>
      </c>
      <c r="AM1570" s="201">
        <f t="shared" si="7932"/>
        <v>0</v>
      </c>
      <c r="AN1570" s="201">
        <f t="shared" si="7932"/>
        <v>0</v>
      </c>
      <c r="AO1570" s="201">
        <f t="shared" si="7932"/>
        <v>0</v>
      </c>
      <c r="AP1570" s="201">
        <f t="shared" si="7932"/>
        <v>0</v>
      </c>
      <c r="AQ1570" s="201">
        <f t="shared" si="7932"/>
        <v>0</v>
      </c>
      <c r="AR1570" s="200">
        <f t="shared" si="7932"/>
        <v>0</v>
      </c>
      <c r="AS1570" s="200">
        <f t="shared" si="7932"/>
        <v>0</v>
      </c>
      <c r="AT1570" s="173">
        <v>0.0</v>
      </c>
      <c r="AU1570" s="200">
        <f t="shared" si="6217"/>
        <v>0</v>
      </c>
      <c r="AV1570" s="200">
        <f t="shared" ref="AV1570:AX1570" si="7933">countif($D1570,"*"&amp;AV$2&amp;"*")</f>
        <v>1</v>
      </c>
      <c r="AW1570" s="200">
        <f t="shared" si="7933"/>
        <v>0</v>
      </c>
      <c r="AX1570" s="200">
        <f t="shared" si="7933"/>
        <v>0</v>
      </c>
      <c r="AY1570" s="202">
        <v>0.0</v>
      </c>
      <c r="AZ1570" s="200"/>
      <c r="BA1570" s="171" t="str">
        <f t="shared" si="18"/>
        <v/>
      </c>
      <c r="BB1570" s="171" t="str">
        <f t="shared" si="19"/>
        <v>Code</v>
      </c>
      <c r="BC1570" s="171" t="str">
        <f t="shared" si="20"/>
        <v/>
      </c>
      <c r="BD1570" s="171" t="str">
        <f t="shared" si="21"/>
        <v/>
      </c>
      <c r="BE1570" s="171" t="str">
        <f t="shared" si="22"/>
        <v/>
      </c>
      <c r="BF1570" s="171" t="str">
        <f t="shared" si="23"/>
        <v>Code</v>
      </c>
    </row>
    <row r="1571">
      <c r="A1571" s="171">
        <f t="array" ref="A1571">XLOOKUP(C1571,FSE!A:A,FSE!C:C,"XXXXX",0,1)</f>
        <v>2021</v>
      </c>
      <c r="B1571" s="213" t="s">
        <v>5676</v>
      </c>
      <c r="C1571" s="214">
        <v>276.0</v>
      </c>
      <c r="D1571" s="215" t="s">
        <v>4891</v>
      </c>
      <c r="E1571" s="197" t="str">
        <f t="array" ref="E1571">XLOOKUP(C1571,FSE!A:A,FSE!Z:Z,"XXXXX",0,1)</f>
        <v>Publicly Available (1)</v>
      </c>
      <c r="F1571" s="213" t="s">
        <v>3394</v>
      </c>
      <c r="G1571" s="163" t="str">
        <f t="array" ref="G1571">IF(B1571="ICSE",IF(COUNTIFS(B:B,B1571,C:C,C1571)=XLOOKUP(C1571,ICSE!A:A,ICSE!AA:AA,"ERROR",0,1),"OK","ERROR"),IF(B1571="FSE",IF(COUNTIFS(B:B,B1571,C:C,C1571)=XLOOKUP(C1571,FSE!A:A,FSE!AA:AA,"ERROR",0,1),"OK","ERROR")))</f>
        <v>OK</v>
      </c>
      <c r="H1571" s="199">
        <f t="shared" ref="H1571:O1571" si="7934">countif($D1571,"*"&amp;H$2&amp;"*")</f>
        <v>0</v>
      </c>
      <c r="I1571" s="200">
        <f t="shared" si="7934"/>
        <v>0</v>
      </c>
      <c r="J1571" s="200">
        <f t="shared" si="7934"/>
        <v>0</v>
      </c>
      <c r="K1571" s="200">
        <f t="shared" si="7934"/>
        <v>0</v>
      </c>
      <c r="L1571" s="200">
        <f t="shared" si="7934"/>
        <v>0</v>
      </c>
      <c r="M1571" s="200">
        <f t="shared" si="7934"/>
        <v>0</v>
      </c>
      <c r="N1571" s="200">
        <f t="shared" si="7934"/>
        <v>0</v>
      </c>
      <c r="O1571" s="200">
        <f t="shared" si="7934"/>
        <v>0</v>
      </c>
      <c r="P1571" s="200">
        <f t="shared" si="9"/>
        <v>1</v>
      </c>
      <c r="Q1571" s="200">
        <f t="shared" ref="Q1571:AC1571" si="7935">countif($D1571,"*"&amp;Q$2&amp;"*")</f>
        <v>0</v>
      </c>
      <c r="R1571" s="200">
        <f t="shared" si="7935"/>
        <v>0</v>
      </c>
      <c r="S1571" s="200">
        <f t="shared" si="7935"/>
        <v>0</v>
      </c>
      <c r="T1571" s="200">
        <f t="shared" si="7935"/>
        <v>0</v>
      </c>
      <c r="U1571" s="200">
        <f t="shared" si="7935"/>
        <v>0</v>
      </c>
      <c r="V1571" s="200">
        <f t="shared" si="7935"/>
        <v>0</v>
      </c>
      <c r="W1571" s="200">
        <f t="shared" si="7935"/>
        <v>0</v>
      </c>
      <c r="X1571" s="200">
        <f t="shared" si="7935"/>
        <v>0</v>
      </c>
      <c r="Y1571" s="200">
        <f t="shared" si="7935"/>
        <v>0</v>
      </c>
      <c r="Z1571" s="200">
        <f t="shared" si="7935"/>
        <v>0</v>
      </c>
      <c r="AA1571" s="200">
        <f t="shared" si="7935"/>
        <v>0</v>
      </c>
      <c r="AB1571" s="200">
        <f t="shared" si="7935"/>
        <v>0</v>
      </c>
      <c r="AC1571" s="200">
        <f t="shared" si="7935"/>
        <v>0</v>
      </c>
      <c r="AD1571" s="200">
        <f t="shared" si="11"/>
        <v>0</v>
      </c>
      <c r="AE1571" s="200">
        <f t="shared" ref="AE1571:AG1571" si="7936">countif($D1571,"*"&amp;AE$2&amp;"*")</f>
        <v>0</v>
      </c>
      <c r="AF1571" s="200">
        <f t="shared" si="7936"/>
        <v>0</v>
      </c>
      <c r="AG1571" s="200">
        <f t="shared" si="7936"/>
        <v>0</v>
      </c>
      <c r="AH1571" s="171">
        <f t="shared" si="13"/>
        <v>0</v>
      </c>
      <c r="AI1571" s="200">
        <f t="shared" si="14"/>
        <v>0</v>
      </c>
      <c r="AJ1571" s="200">
        <f t="shared" si="6100"/>
        <v>0</v>
      </c>
      <c r="AK1571" s="201">
        <f t="shared" ref="AK1571:AS1571" si="7937">countif($D1571,"*"&amp;AK$2&amp;"*")</f>
        <v>0</v>
      </c>
      <c r="AL1571" s="201">
        <f t="shared" si="7937"/>
        <v>0</v>
      </c>
      <c r="AM1571" s="201">
        <f t="shared" si="7937"/>
        <v>0</v>
      </c>
      <c r="AN1571" s="201">
        <f t="shared" si="7937"/>
        <v>0</v>
      </c>
      <c r="AO1571" s="201">
        <f t="shared" si="7937"/>
        <v>0</v>
      </c>
      <c r="AP1571" s="201">
        <f t="shared" si="7937"/>
        <v>0</v>
      </c>
      <c r="AQ1571" s="201">
        <f t="shared" si="7937"/>
        <v>0</v>
      </c>
      <c r="AR1571" s="200">
        <f t="shared" si="7937"/>
        <v>0</v>
      </c>
      <c r="AS1571" s="200">
        <f t="shared" si="7937"/>
        <v>0</v>
      </c>
      <c r="AT1571" s="173">
        <v>0.0</v>
      </c>
      <c r="AU1571" s="200">
        <f t="shared" si="6217"/>
        <v>0</v>
      </c>
      <c r="AV1571" s="200">
        <f t="shared" ref="AV1571:AX1571" si="7938">countif($D1571,"*"&amp;AV$2&amp;"*")</f>
        <v>1</v>
      </c>
      <c r="AW1571" s="200">
        <f t="shared" si="7938"/>
        <v>0</v>
      </c>
      <c r="AX1571" s="200">
        <f t="shared" si="7938"/>
        <v>0</v>
      </c>
      <c r="AY1571" s="202">
        <v>0.0</v>
      </c>
      <c r="AZ1571" s="200"/>
      <c r="BA1571" s="171" t="str">
        <f t="shared" si="18"/>
        <v/>
      </c>
      <c r="BB1571" s="171" t="str">
        <f t="shared" si="19"/>
        <v>Code</v>
      </c>
      <c r="BC1571" s="171" t="str">
        <f t="shared" si="20"/>
        <v/>
      </c>
      <c r="BD1571" s="171" t="str">
        <f t="shared" si="21"/>
        <v/>
      </c>
      <c r="BE1571" s="171" t="str">
        <f t="shared" si="22"/>
        <v/>
      </c>
      <c r="BF1571" s="171" t="str">
        <f t="shared" si="23"/>
        <v>Code</v>
      </c>
    </row>
    <row r="1572">
      <c r="A1572" s="171">
        <f t="array" ref="A1572">XLOOKUP(C1572,FSE!A:A,FSE!C:C,"XXXXX",0,1)</f>
        <v>2021</v>
      </c>
      <c r="B1572" s="213" t="s">
        <v>5676</v>
      </c>
      <c r="C1572" s="214">
        <v>277.0</v>
      </c>
      <c r="D1572" s="215" t="s">
        <v>4897</v>
      </c>
      <c r="E1572" s="197" t="str">
        <f t="array" ref="E1572">XLOOKUP(C1572,FSE!A:A,FSE!Z:Z,"XXXXX",0,1)</f>
        <v>Publicly Available (1)</v>
      </c>
      <c r="F1572" s="213" t="s">
        <v>3394</v>
      </c>
      <c r="G1572" s="163" t="str">
        <f t="array" ref="G1572">IF(B1572="ICSE",IF(COUNTIFS(B:B,B1572,C:C,C1572)=XLOOKUP(C1572,ICSE!A:A,ICSE!AA:AA,"ERROR",0,1),"OK","ERROR"),IF(B1572="FSE",IF(COUNTIFS(B:B,B1572,C:C,C1572)=XLOOKUP(C1572,FSE!A:A,FSE!AA:AA,"ERROR",0,1),"OK","ERROR")))</f>
        <v>OK</v>
      </c>
      <c r="H1572" s="199">
        <f t="shared" ref="H1572:O1572" si="7939">countif($D1572,"*"&amp;H$2&amp;"*")</f>
        <v>0</v>
      </c>
      <c r="I1572" s="200">
        <f t="shared" si="7939"/>
        <v>0</v>
      </c>
      <c r="J1572" s="200">
        <f t="shared" si="7939"/>
        <v>0</v>
      </c>
      <c r="K1572" s="200">
        <f t="shared" si="7939"/>
        <v>0</v>
      </c>
      <c r="L1572" s="200">
        <f t="shared" si="7939"/>
        <v>0</v>
      </c>
      <c r="M1572" s="200">
        <f t="shared" si="7939"/>
        <v>0</v>
      </c>
      <c r="N1572" s="200">
        <f t="shared" si="7939"/>
        <v>0</v>
      </c>
      <c r="O1572" s="200">
        <f t="shared" si="7939"/>
        <v>0</v>
      </c>
      <c r="P1572" s="200">
        <f t="shared" si="9"/>
        <v>1</v>
      </c>
      <c r="Q1572" s="200">
        <f t="shared" ref="Q1572:AC1572" si="7940">countif($D1572,"*"&amp;Q$2&amp;"*")</f>
        <v>0</v>
      </c>
      <c r="R1572" s="200">
        <f t="shared" si="7940"/>
        <v>0</v>
      </c>
      <c r="S1572" s="200">
        <f t="shared" si="7940"/>
        <v>0</v>
      </c>
      <c r="T1572" s="200">
        <f t="shared" si="7940"/>
        <v>0</v>
      </c>
      <c r="U1572" s="200">
        <f t="shared" si="7940"/>
        <v>0</v>
      </c>
      <c r="V1572" s="200">
        <f t="shared" si="7940"/>
        <v>0</v>
      </c>
      <c r="W1572" s="200">
        <f t="shared" si="7940"/>
        <v>0</v>
      </c>
      <c r="X1572" s="200">
        <f t="shared" si="7940"/>
        <v>0</v>
      </c>
      <c r="Y1572" s="200">
        <f t="shared" si="7940"/>
        <v>0</v>
      </c>
      <c r="Z1572" s="200">
        <f t="shared" si="7940"/>
        <v>0</v>
      </c>
      <c r="AA1572" s="200">
        <f t="shared" si="7940"/>
        <v>0</v>
      </c>
      <c r="AB1572" s="200">
        <f t="shared" si="7940"/>
        <v>0</v>
      </c>
      <c r="AC1572" s="200">
        <f t="shared" si="7940"/>
        <v>0</v>
      </c>
      <c r="AD1572" s="200">
        <f t="shared" si="11"/>
        <v>0</v>
      </c>
      <c r="AE1572" s="200">
        <f t="shared" ref="AE1572:AG1572" si="7941">countif($D1572,"*"&amp;AE$2&amp;"*")</f>
        <v>0</v>
      </c>
      <c r="AF1572" s="200">
        <f t="shared" si="7941"/>
        <v>0</v>
      </c>
      <c r="AG1572" s="200">
        <f t="shared" si="7941"/>
        <v>0</v>
      </c>
      <c r="AH1572" s="171">
        <f t="shared" si="13"/>
        <v>0</v>
      </c>
      <c r="AI1572" s="200">
        <f t="shared" si="14"/>
        <v>0</v>
      </c>
      <c r="AJ1572" s="200">
        <f t="shared" si="6100"/>
        <v>0</v>
      </c>
      <c r="AK1572" s="201">
        <f t="shared" ref="AK1572:AS1572" si="7942">countif($D1572,"*"&amp;AK$2&amp;"*")</f>
        <v>0</v>
      </c>
      <c r="AL1572" s="201">
        <f t="shared" si="7942"/>
        <v>0</v>
      </c>
      <c r="AM1572" s="201">
        <f t="shared" si="7942"/>
        <v>0</v>
      </c>
      <c r="AN1572" s="201">
        <f t="shared" si="7942"/>
        <v>0</v>
      </c>
      <c r="AO1572" s="201">
        <f t="shared" si="7942"/>
        <v>0</v>
      </c>
      <c r="AP1572" s="201">
        <f t="shared" si="7942"/>
        <v>0</v>
      </c>
      <c r="AQ1572" s="201">
        <f t="shared" si="7942"/>
        <v>0</v>
      </c>
      <c r="AR1572" s="200">
        <f t="shared" si="7942"/>
        <v>0</v>
      </c>
      <c r="AS1572" s="200">
        <f t="shared" si="7942"/>
        <v>0</v>
      </c>
      <c r="AT1572" s="173">
        <v>0.0</v>
      </c>
      <c r="AU1572" s="200">
        <f t="shared" si="6217"/>
        <v>0</v>
      </c>
      <c r="AV1572" s="200">
        <f t="shared" ref="AV1572:AX1572" si="7943">countif($D1572,"*"&amp;AV$2&amp;"*")</f>
        <v>1</v>
      </c>
      <c r="AW1572" s="200">
        <f t="shared" si="7943"/>
        <v>0</v>
      </c>
      <c r="AX1572" s="200">
        <f t="shared" si="7943"/>
        <v>0</v>
      </c>
      <c r="AY1572" s="202">
        <v>0.0</v>
      </c>
      <c r="AZ1572" s="200"/>
      <c r="BA1572" s="171" t="str">
        <f t="shared" si="18"/>
        <v/>
      </c>
      <c r="BB1572" s="171" t="str">
        <f t="shared" si="19"/>
        <v>Code</v>
      </c>
      <c r="BC1572" s="171" t="str">
        <f t="shared" si="20"/>
        <v/>
      </c>
      <c r="BD1572" s="171" t="str">
        <f t="shared" si="21"/>
        <v/>
      </c>
      <c r="BE1572" s="171" t="str">
        <f t="shared" si="22"/>
        <v/>
      </c>
      <c r="BF1572" s="171" t="str">
        <f t="shared" si="23"/>
        <v>Code</v>
      </c>
    </row>
    <row r="1573">
      <c r="A1573" s="171">
        <f t="array" ref="A1573">XLOOKUP(C1573,FSE!A:A,FSE!C:C,"XXXXX",0,1)</f>
        <v>2021</v>
      </c>
      <c r="B1573" s="213" t="s">
        <v>5676</v>
      </c>
      <c r="C1573" s="214">
        <v>278.0</v>
      </c>
      <c r="D1573" s="215" t="s">
        <v>4900</v>
      </c>
      <c r="E1573" s="197" t="str">
        <f t="array" ref="E1573">XLOOKUP(C1573,FSE!A:A,FSE!Z:Z,"XXXXX",0,1)</f>
        <v>Publicly Available (1)</v>
      </c>
      <c r="F1573" s="213" t="s">
        <v>3394</v>
      </c>
      <c r="G1573" s="163" t="str">
        <f t="array" ref="G1573">IF(B1573="ICSE",IF(COUNTIFS(B:B,B1573,C:C,C1573)=XLOOKUP(C1573,ICSE!A:A,ICSE!AA:AA,"ERROR",0,1),"OK","ERROR"),IF(B1573="FSE",IF(COUNTIFS(B:B,B1573,C:C,C1573)=XLOOKUP(C1573,FSE!A:A,FSE!AA:AA,"ERROR",0,1),"OK","ERROR")))</f>
        <v>OK</v>
      </c>
      <c r="H1573" s="199">
        <f t="shared" ref="H1573:O1573" si="7944">countif($D1573,"*"&amp;H$2&amp;"*")</f>
        <v>0</v>
      </c>
      <c r="I1573" s="200">
        <f t="shared" si="7944"/>
        <v>0</v>
      </c>
      <c r="J1573" s="200">
        <f t="shared" si="7944"/>
        <v>0</v>
      </c>
      <c r="K1573" s="200">
        <f t="shared" si="7944"/>
        <v>0</v>
      </c>
      <c r="L1573" s="200">
        <f t="shared" si="7944"/>
        <v>0</v>
      </c>
      <c r="M1573" s="200">
        <f t="shared" si="7944"/>
        <v>0</v>
      </c>
      <c r="N1573" s="200">
        <f t="shared" si="7944"/>
        <v>0</v>
      </c>
      <c r="O1573" s="200">
        <f t="shared" si="7944"/>
        <v>0</v>
      </c>
      <c r="P1573" s="200">
        <f t="shared" si="9"/>
        <v>1</v>
      </c>
      <c r="Q1573" s="200">
        <f t="shared" ref="Q1573:AC1573" si="7945">countif($D1573,"*"&amp;Q$2&amp;"*")</f>
        <v>0</v>
      </c>
      <c r="R1573" s="200">
        <f t="shared" si="7945"/>
        <v>0</v>
      </c>
      <c r="S1573" s="200">
        <f t="shared" si="7945"/>
        <v>0</v>
      </c>
      <c r="T1573" s="200">
        <f t="shared" si="7945"/>
        <v>0</v>
      </c>
      <c r="U1573" s="200">
        <f t="shared" si="7945"/>
        <v>0</v>
      </c>
      <c r="V1573" s="200">
        <f t="shared" si="7945"/>
        <v>0</v>
      </c>
      <c r="W1573" s="200">
        <f t="shared" si="7945"/>
        <v>0</v>
      </c>
      <c r="X1573" s="200">
        <f t="shared" si="7945"/>
        <v>0</v>
      </c>
      <c r="Y1573" s="200">
        <f t="shared" si="7945"/>
        <v>0</v>
      </c>
      <c r="Z1573" s="200">
        <f t="shared" si="7945"/>
        <v>0</v>
      </c>
      <c r="AA1573" s="200">
        <f t="shared" si="7945"/>
        <v>0</v>
      </c>
      <c r="AB1573" s="200">
        <f t="shared" si="7945"/>
        <v>0</v>
      </c>
      <c r="AC1573" s="200">
        <f t="shared" si="7945"/>
        <v>0</v>
      </c>
      <c r="AD1573" s="200">
        <f t="shared" si="11"/>
        <v>0</v>
      </c>
      <c r="AE1573" s="200">
        <f t="shared" ref="AE1573:AG1573" si="7946">countif($D1573,"*"&amp;AE$2&amp;"*")</f>
        <v>0</v>
      </c>
      <c r="AF1573" s="200">
        <f t="shared" si="7946"/>
        <v>0</v>
      </c>
      <c r="AG1573" s="200">
        <f t="shared" si="7946"/>
        <v>0</v>
      </c>
      <c r="AH1573" s="171">
        <f t="shared" si="13"/>
        <v>0</v>
      </c>
      <c r="AI1573" s="200">
        <f t="shared" si="14"/>
        <v>0</v>
      </c>
      <c r="AJ1573" s="200">
        <f t="shared" si="6100"/>
        <v>0</v>
      </c>
      <c r="AK1573" s="201">
        <f t="shared" ref="AK1573:AS1573" si="7947">countif($D1573,"*"&amp;AK$2&amp;"*")</f>
        <v>0</v>
      </c>
      <c r="AL1573" s="201">
        <f t="shared" si="7947"/>
        <v>0</v>
      </c>
      <c r="AM1573" s="201">
        <f t="shared" si="7947"/>
        <v>0</v>
      </c>
      <c r="AN1573" s="201">
        <f t="shared" si="7947"/>
        <v>0</v>
      </c>
      <c r="AO1573" s="201">
        <f t="shared" si="7947"/>
        <v>0</v>
      </c>
      <c r="AP1573" s="201">
        <f t="shared" si="7947"/>
        <v>0</v>
      </c>
      <c r="AQ1573" s="201">
        <f t="shared" si="7947"/>
        <v>0</v>
      </c>
      <c r="AR1573" s="200">
        <f t="shared" si="7947"/>
        <v>0</v>
      </c>
      <c r="AS1573" s="200">
        <f t="shared" si="7947"/>
        <v>0</v>
      </c>
      <c r="AT1573" s="173">
        <v>0.0</v>
      </c>
      <c r="AU1573" s="200">
        <f t="shared" si="6217"/>
        <v>0</v>
      </c>
      <c r="AV1573" s="200">
        <f t="shared" ref="AV1573:AX1573" si="7948">countif($D1573,"*"&amp;AV$2&amp;"*")</f>
        <v>1</v>
      </c>
      <c r="AW1573" s="200">
        <f t="shared" si="7948"/>
        <v>0</v>
      </c>
      <c r="AX1573" s="200">
        <f t="shared" si="7948"/>
        <v>0</v>
      </c>
      <c r="AY1573" s="202">
        <v>0.0</v>
      </c>
      <c r="AZ1573" s="200"/>
      <c r="BA1573" s="171" t="str">
        <f t="shared" si="18"/>
        <v/>
      </c>
      <c r="BB1573" s="171" t="str">
        <f t="shared" si="19"/>
        <v>Code</v>
      </c>
      <c r="BC1573" s="171" t="str">
        <f t="shared" si="20"/>
        <v/>
      </c>
      <c r="BD1573" s="171" t="str">
        <f t="shared" si="21"/>
        <v/>
      </c>
      <c r="BE1573" s="171" t="str">
        <f t="shared" si="22"/>
        <v/>
      </c>
      <c r="BF1573" s="171" t="str">
        <f t="shared" si="23"/>
        <v>Code</v>
      </c>
    </row>
    <row r="1574">
      <c r="A1574" s="171">
        <f t="array" ref="A1574">XLOOKUP(C1574,FSE!A:A,FSE!C:C,"XXXXX",0,1)</f>
        <v>2021</v>
      </c>
      <c r="B1574" s="213" t="s">
        <v>5676</v>
      </c>
      <c r="C1574" s="214">
        <v>279.0</v>
      </c>
      <c r="D1574" s="215" t="s">
        <v>6320</v>
      </c>
      <c r="E1574" s="197" t="str">
        <f t="array" ref="E1574">XLOOKUP(C1574,FSE!A:A,FSE!Z:Z,"XXXXX",0,1)</f>
        <v>Publicly Available (4)</v>
      </c>
      <c r="F1574" s="213" t="s">
        <v>3394</v>
      </c>
      <c r="G1574" s="163" t="str">
        <f t="array" ref="G1574">IF(B1574="ICSE",IF(COUNTIFS(B:B,B1574,C:C,C1574)=XLOOKUP(C1574,ICSE!A:A,ICSE!AA:AA,"ERROR",0,1),"OK","ERROR"),IF(B1574="FSE",IF(COUNTIFS(B:B,B1574,C:C,C1574)=XLOOKUP(C1574,FSE!A:A,FSE!AA:AA,"ERROR",0,1),"OK","ERROR")))</f>
        <v>OK</v>
      </c>
      <c r="H1574" s="199">
        <f t="shared" ref="H1574:O1574" si="7949">countif($D1574,"*"&amp;H$2&amp;"*")</f>
        <v>0</v>
      </c>
      <c r="I1574" s="200">
        <f t="shared" si="7949"/>
        <v>0</v>
      </c>
      <c r="J1574" s="200">
        <f t="shared" si="7949"/>
        <v>0</v>
      </c>
      <c r="K1574" s="200">
        <f t="shared" si="7949"/>
        <v>0</v>
      </c>
      <c r="L1574" s="200">
        <f t="shared" si="7949"/>
        <v>0</v>
      </c>
      <c r="M1574" s="200">
        <f t="shared" si="7949"/>
        <v>0</v>
      </c>
      <c r="N1574" s="200">
        <f t="shared" si="7949"/>
        <v>0</v>
      </c>
      <c r="O1574" s="200">
        <f t="shared" si="7949"/>
        <v>0</v>
      </c>
      <c r="P1574" s="200">
        <f t="shared" si="9"/>
        <v>1</v>
      </c>
      <c r="Q1574" s="200">
        <f t="shared" ref="Q1574:AC1574" si="7950">countif($D1574,"*"&amp;Q$2&amp;"*")</f>
        <v>0</v>
      </c>
      <c r="R1574" s="200">
        <f t="shared" si="7950"/>
        <v>0</v>
      </c>
      <c r="S1574" s="200">
        <f t="shared" si="7950"/>
        <v>0</v>
      </c>
      <c r="T1574" s="200">
        <f t="shared" si="7950"/>
        <v>0</v>
      </c>
      <c r="U1574" s="200">
        <f t="shared" si="7950"/>
        <v>0</v>
      </c>
      <c r="V1574" s="200">
        <f t="shared" si="7950"/>
        <v>0</v>
      </c>
      <c r="W1574" s="200">
        <f t="shared" si="7950"/>
        <v>0</v>
      </c>
      <c r="X1574" s="200">
        <f t="shared" si="7950"/>
        <v>0</v>
      </c>
      <c r="Y1574" s="200">
        <f t="shared" si="7950"/>
        <v>0</v>
      </c>
      <c r="Z1574" s="200">
        <f t="shared" si="7950"/>
        <v>0</v>
      </c>
      <c r="AA1574" s="200">
        <f t="shared" si="7950"/>
        <v>0</v>
      </c>
      <c r="AB1574" s="200">
        <f t="shared" si="7950"/>
        <v>0</v>
      </c>
      <c r="AC1574" s="200">
        <f t="shared" si="7950"/>
        <v>0</v>
      </c>
      <c r="AD1574" s="200">
        <f t="shared" si="11"/>
        <v>0</v>
      </c>
      <c r="AE1574" s="200">
        <f t="shared" ref="AE1574:AG1574" si="7951">countif($D1574,"*"&amp;AE$2&amp;"*")</f>
        <v>0</v>
      </c>
      <c r="AF1574" s="200">
        <f t="shared" si="7951"/>
        <v>0</v>
      </c>
      <c r="AG1574" s="200">
        <f t="shared" si="7951"/>
        <v>0</v>
      </c>
      <c r="AH1574" s="171">
        <f t="shared" si="13"/>
        <v>0</v>
      </c>
      <c r="AI1574" s="200">
        <f t="shared" si="14"/>
        <v>0</v>
      </c>
      <c r="AJ1574" s="200">
        <f t="shared" si="6100"/>
        <v>0</v>
      </c>
      <c r="AK1574" s="201">
        <f t="shared" ref="AK1574:AS1574" si="7952">countif($D1574,"*"&amp;AK$2&amp;"*")</f>
        <v>0</v>
      </c>
      <c r="AL1574" s="201">
        <f t="shared" si="7952"/>
        <v>0</v>
      </c>
      <c r="AM1574" s="201">
        <f t="shared" si="7952"/>
        <v>0</v>
      </c>
      <c r="AN1574" s="201">
        <f t="shared" si="7952"/>
        <v>0</v>
      </c>
      <c r="AO1574" s="201">
        <f t="shared" si="7952"/>
        <v>0</v>
      </c>
      <c r="AP1574" s="201">
        <f t="shared" si="7952"/>
        <v>0</v>
      </c>
      <c r="AQ1574" s="201">
        <f t="shared" si="7952"/>
        <v>0</v>
      </c>
      <c r="AR1574" s="200">
        <f t="shared" si="7952"/>
        <v>0</v>
      </c>
      <c r="AS1574" s="200">
        <f t="shared" si="7952"/>
        <v>0</v>
      </c>
      <c r="AT1574" s="173">
        <v>0.0</v>
      </c>
      <c r="AU1574" s="200">
        <f t="shared" si="6217"/>
        <v>0</v>
      </c>
      <c r="AV1574" s="200">
        <f t="shared" ref="AV1574:AX1574" si="7953">countif($D1574,"*"&amp;AV$2&amp;"*")</f>
        <v>1</v>
      </c>
      <c r="AW1574" s="200">
        <f t="shared" si="7953"/>
        <v>0</v>
      </c>
      <c r="AX1574" s="200">
        <f t="shared" si="7953"/>
        <v>0</v>
      </c>
      <c r="AY1574" s="202">
        <v>0.0</v>
      </c>
      <c r="AZ1574" s="200"/>
      <c r="BA1574" s="171" t="str">
        <f t="shared" si="18"/>
        <v/>
      </c>
      <c r="BB1574" s="171" t="str">
        <f t="shared" si="19"/>
        <v>Code</v>
      </c>
      <c r="BC1574" s="171" t="str">
        <f t="shared" si="20"/>
        <v/>
      </c>
      <c r="BD1574" s="171" t="str">
        <f t="shared" si="21"/>
        <v/>
      </c>
      <c r="BE1574" s="171" t="str">
        <f t="shared" si="22"/>
        <v/>
      </c>
      <c r="BF1574" s="171" t="str">
        <f t="shared" si="23"/>
        <v>Code</v>
      </c>
    </row>
    <row r="1575">
      <c r="A1575" s="171">
        <f t="array" ref="A1575">XLOOKUP(C1575,FSE!A:A,FSE!C:C,"XXXXX",0,1)</f>
        <v>2021</v>
      </c>
      <c r="B1575" s="213" t="s">
        <v>5676</v>
      </c>
      <c r="C1575" s="214">
        <v>279.0</v>
      </c>
      <c r="D1575" s="215" t="s">
        <v>6321</v>
      </c>
      <c r="E1575" s="197" t="str">
        <f t="array" ref="E1575">XLOOKUP(C1575,FSE!A:A,FSE!Z:Z,"XXXXX",0,1)</f>
        <v>Publicly Available (4)</v>
      </c>
      <c r="F1575" s="213" t="s">
        <v>3394</v>
      </c>
      <c r="G1575" s="163" t="str">
        <f t="array" ref="G1575">IF(B1575="ICSE",IF(COUNTIFS(B:B,B1575,C:C,C1575)=XLOOKUP(C1575,ICSE!A:A,ICSE!AA:AA,"ERROR",0,1),"OK","ERROR"),IF(B1575="FSE",IF(COUNTIFS(B:B,B1575,C:C,C1575)=XLOOKUP(C1575,FSE!A:A,FSE!AA:AA,"ERROR",0,1),"OK","ERROR")))</f>
        <v>OK</v>
      </c>
      <c r="H1575" s="199">
        <f t="shared" ref="H1575:O1575" si="7954">countif($D1575,"*"&amp;H$2&amp;"*")</f>
        <v>0</v>
      </c>
      <c r="I1575" s="200">
        <f t="shared" si="7954"/>
        <v>0</v>
      </c>
      <c r="J1575" s="200">
        <f t="shared" si="7954"/>
        <v>0</v>
      </c>
      <c r="K1575" s="200">
        <f t="shared" si="7954"/>
        <v>0</v>
      </c>
      <c r="L1575" s="200">
        <f t="shared" si="7954"/>
        <v>0</v>
      </c>
      <c r="M1575" s="200">
        <f t="shared" si="7954"/>
        <v>0</v>
      </c>
      <c r="N1575" s="200">
        <f t="shared" si="7954"/>
        <v>0</v>
      </c>
      <c r="O1575" s="200">
        <f t="shared" si="7954"/>
        <v>0</v>
      </c>
      <c r="P1575" s="200">
        <f t="shared" si="9"/>
        <v>1</v>
      </c>
      <c r="Q1575" s="200">
        <f t="shared" ref="Q1575:AC1575" si="7955">countif($D1575,"*"&amp;Q$2&amp;"*")</f>
        <v>0</v>
      </c>
      <c r="R1575" s="200">
        <f t="shared" si="7955"/>
        <v>0</v>
      </c>
      <c r="S1575" s="200">
        <f t="shared" si="7955"/>
        <v>0</v>
      </c>
      <c r="T1575" s="200">
        <f t="shared" si="7955"/>
        <v>0</v>
      </c>
      <c r="U1575" s="200">
        <f t="shared" si="7955"/>
        <v>0</v>
      </c>
      <c r="V1575" s="200">
        <f t="shared" si="7955"/>
        <v>0</v>
      </c>
      <c r="W1575" s="200">
        <f t="shared" si="7955"/>
        <v>0</v>
      </c>
      <c r="X1575" s="200">
        <f t="shared" si="7955"/>
        <v>0</v>
      </c>
      <c r="Y1575" s="200">
        <f t="shared" si="7955"/>
        <v>0</v>
      </c>
      <c r="Z1575" s="200">
        <f t="shared" si="7955"/>
        <v>0</v>
      </c>
      <c r="AA1575" s="200">
        <f t="shared" si="7955"/>
        <v>0</v>
      </c>
      <c r="AB1575" s="200">
        <f t="shared" si="7955"/>
        <v>0</v>
      </c>
      <c r="AC1575" s="200">
        <f t="shared" si="7955"/>
        <v>0</v>
      </c>
      <c r="AD1575" s="200">
        <f t="shared" si="11"/>
        <v>0</v>
      </c>
      <c r="AE1575" s="200">
        <f t="shared" ref="AE1575:AG1575" si="7956">countif($D1575,"*"&amp;AE$2&amp;"*")</f>
        <v>0</v>
      </c>
      <c r="AF1575" s="200">
        <f t="shared" si="7956"/>
        <v>0</v>
      </c>
      <c r="AG1575" s="200">
        <f t="shared" si="7956"/>
        <v>0</v>
      </c>
      <c r="AH1575" s="171">
        <f t="shared" si="13"/>
        <v>0</v>
      </c>
      <c r="AI1575" s="200">
        <f t="shared" si="14"/>
        <v>0</v>
      </c>
      <c r="AJ1575" s="200">
        <f t="shared" si="6100"/>
        <v>0</v>
      </c>
      <c r="AK1575" s="201">
        <f t="shared" ref="AK1575:AS1575" si="7957">countif($D1575,"*"&amp;AK$2&amp;"*")</f>
        <v>0</v>
      </c>
      <c r="AL1575" s="201">
        <f t="shared" si="7957"/>
        <v>0</v>
      </c>
      <c r="AM1575" s="201">
        <f t="shared" si="7957"/>
        <v>0</v>
      </c>
      <c r="AN1575" s="201">
        <f t="shared" si="7957"/>
        <v>0</v>
      </c>
      <c r="AO1575" s="201">
        <f t="shared" si="7957"/>
        <v>0</v>
      </c>
      <c r="AP1575" s="201">
        <f t="shared" si="7957"/>
        <v>0</v>
      </c>
      <c r="AQ1575" s="201">
        <f t="shared" si="7957"/>
        <v>0</v>
      </c>
      <c r="AR1575" s="200">
        <f t="shared" si="7957"/>
        <v>0</v>
      </c>
      <c r="AS1575" s="200">
        <f t="shared" si="7957"/>
        <v>0</v>
      </c>
      <c r="AT1575" s="173">
        <v>0.0</v>
      </c>
      <c r="AU1575" s="200">
        <f t="shared" si="6217"/>
        <v>0</v>
      </c>
      <c r="AV1575" s="200">
        <f t="shared" ref="AV1575:AX1575" si="7958">countif($D1575,"*"&amp;AV$2&amp;"*")</f>
        <v>1</v>
      </c>
      <c r="AW1575" s="200">
        <f t="shared" si="7958"/>
        <v>0</v>
      </c>
      <c r="AX1575" s="200">
        <f t="shared" si="7958"/>
        <v>0</v>
      </c>
      <c r="AY1575" s="202">
        <v>0.0</v>
      </c>
      <c r="AZ1575" s="200"/>
      <c r="BA1575" s="171" t="str">
        <f t="shared" si="18"/>
        <v/>
      </c>
      <c r="BB1575" s="171" t="str">
        <f t="shared" si="19"/>
        <v>Code</v>
      </c>
      <c r="BC1575" s="171" t="str">
        <f t="shared" si="20"/>
        <v/>
      </c>
      <c r="BD1575" s="171" t="str">
        <f t="shared" si="21"/>
        <v/>
      </c>
      <c r="BE1575" s="171" t="str">
        <f t="shared" si="22"/>
        <v/>
      </c>
      <c r="BF1575" s="171" t="str">
        <f t="shared" si="23"/>
        <v>Code</v>
      </c>
    </row>
    <row r="1576">
      <c r="A1576" s="171">
        <f t="array" ref="A1576">XLOOKUP(C1576,FSE!A:A,FSE!C:C,"XXXXX",0,1)</f>
        <v>2021</v>
      </c>
      <c r="B1576" s="213" t="s">
        <v>5676</v>
      </c>
      <c r="C1576" s="214">
        <v>279.0</v>
      </c>
      <c r="D1576" s="215" t="s">
        <v>6322</v>
      </c>
      <c r="E1576" s="197" t="str">
        <f t="array" ref="E1576">XLOOKUP(C1576,FSE!A:A,FSE!Z:Z,"XXXXX",0,1)</f>
        <v>Publicly Available (4)</v>
      </c>
      <c r="F1576" s="213" t="s">
        <v>3394</v>
      </c>
      <c r="G1576" s="163" t="str">
        <f t="array" ref="G1576">IF(B1576="ICSE",IF(COUNTIFS(B:B,B1576,C:C,C1576)=XLOOKUP(C1576,ICSE!A:A,ICSE!AA:AA,"ERROR",0,1),"OK","ERROR"),IF(B1576="FSE",IF(COUNTIFS(B:B,B1576,C:C,C1576)=XLOOKUP(C1576,FSE!A:A,FSE!AA:AA,"ERROR",0,1),"OK","ERROR")))</f>
        <v>OK</v>
      </c>
      <c r="H1576" s="199">
        <f t="shared" ref="H1576:O1576" si="7959">countif($D1576,"*"&amp;H$2&amp;"*")</f>
        <v>0</v>
      </c>
      <c r="I1576" s="200">
        <f t="shared" si="7959"/>
        <v>0</v>
      </c>
      <c r="J1576" s="200">
        <f t="shared" si="7959"/>
        <v>0</v>
      </c>
      <c r="K1576" s="200">
        <f t="shared" si="7959"/>
        <v>0</v>
      </c>
      <c r="L1576" s="200">
        <f t="shared" si="7959"/>
        <v>0</v>
      </c>
      <c r="M1576" s="200">
        <f t="shared" si="7959"/>
        <v>0</v>
      </c>
      <c r="N1576" s="200">
        <f t="shared" si="7959"/>
        <v>0</v>
      </c>
      <c r="O1576" s="200">
        <f t="shared" si="7959"/>
        <v>0</v>
      </c>
      <c r="P1576" s="200">
        <f t="shared" si="9"/>
        <v>1</v>
      </c>
      <c r="Q1576" s="200">
        <f t="shared" ref="Q1576:AC1576" si="7960">countif($D1576,"*"&amp;Q$2&amp;"*")</f>
        <v>0</v>
      </c>
      <c r="R1576" s="200">
        <f t="shared" si="7960"/>
        <v>0</v>
      </c>
      <c r="S1576" s="200">
        <f t="shared" si="7960"/>
        <v>0</v>
      </c>
      <c r="T1576" s="200">
        <f t="shared" si="7960"/>
        <v>0</v>
      </c>
      <c r="U1576" s="200">
        <f t="shared" si="7960"/>
        <v>0</v>
      </c>
      <c r="V1576" s="200">
        <f t="shared" si="7960"/>
        <v>0</v>
      </c>
      <c r="W1576" s="200">
        <f t="shared" si="7960"/>
        <v>0</v>
      </c>
      <c r="X1576" s="200">
        <f t="shared" si="7960"/>
        <v>0</v>
      </c>
      <c r="Y1576" s="200">
        <f t="shared" si="7960"/>
        <v>0</v>
      </c>
      <c r="Z1576" s="200">
        <f t="shared" si="7960"/>
        <v>0</v>
      </c>
      <c r="AA1576" s="200">
        <f t="shared" si="7960"/>
        <v>0</v>
      </c>
      <c r="AB1576" s="200">
        <f t="shared" si="7960"/>
        <v>0</v>
      </c>
      <c r="AC1576" s="200">
        <f t="shared" si="7960"/>
        <v>0</v>
      </c>
      <c r="AD1576" s="200">
        <f t="shared" si="11"/>
        <v>0</v>
      </c>
      <c r="AE1576" s="200">
        <f t="shared" ref="AE1576:AG1576" si="7961">countif($D1576,"*"&amp;AE$2&amp;"*")</f>
        <v>0</v>
      </c>
      <c r="AF1576" s="200">
        <f t="shared" si="7961"/>
        <v>0</v>
      </c>
      <c r="AG1576" s="200">
        <f t="shared" si="7961"/>
        <v>0</v>
      </c>
      <c r="AH1576" s="171">
        <f t="shared" si="13"/>
        <v>0</v>
      </c>
      <c r="AI1576" s="200">
        <f t="shared" si="14"/>
        <v>0</v>
      </c>
      <c r="AJ1576" s="200">
        <f t="shared" si="6100"/>
        <v>0</v>
      </c>
      <c r="AK1576" s="201">
        <f t="shared" ref="AK1576:AS1576" si="7962">countif($D1576,"*"&amp;AK$2&amp;"*")</f>
        <v>0</v>
      </c>
      <c r="AL1576" s="201">
        <f t="shared" si="7962"/>
        <v>0</v>
      </c>
      <c r="AM1576" s="201">
        <f t="shared" si="7962"/>
        <v>0</v>
      </c>
      <c r="AN1576" s="201">
        <f t="shared" si="7962"/>
        <v>0</v>
      </c>
      <c r="AO1576" s="201">
        <f t="shared" si="7962"/>
        <v>0</v>
      </c>
      <c r="AP1576" s="201">
        <f t="shared" si="7962"/>
        <v>0</v>
      </c>
      <c r="AQ1576" s="201">
        <f t="shared" si="7962"/>
        <v>0</v>
      </c>
      <c r="AR1576" s="200">
        <f t="shared" si="7962"/>
        <v>0</v>
      </c>
      <c r="AS1576" s="200">
        <f t="shared" si="7962"/>
        <v>0</v>
      </c>
      <c r="AT1576" s="173">
        <v>0.0</v>
      </c>
      <c r="AU1576" s="200">
        <f t="shared" si="6217"/>
        <v>0</v>
      </c>
      <c r="AV1576" s="200">
        <f t="shared" ref="AV1576:AX1576" si="7963">countif($D1576,"*"&amp;AV$2&amp;"*")</f>
        <v>1</v>
      </c>
      <c r="AW1576" s="200">
        <f t="shared" si="7963"/>
        <v>0</v>
      </c>
      <c r="AX1576" s="200">
        <f t="shared" si="7963"/>
        <v>0</v>
      </c>
      <c r="AY1576" s="202">
        <v>0.0</v>
      </c>
      <c r="AZ1576" s="200"/>
      <c r="BA1576" s="171" t="str">
        <f t="shared" si="18"/>
        <v/>
      </c>
      <c r="BB1576" s="171" t="str">
        <f t="shared" si="19"/>
        <v>Code</v>
      </c>
      <c r="BC1576" s="171" t="str">
        <f t="shared" si="20"/>
        <v/>
      </c>
      <c r="BD1576" s="171" t="str">
        <f t="shared" si="21"/>
        <v/>
      </c>
      <c r="BE1576" s="171" t="str">
        <f t="shared" si="22"/>
        <v/>
      </c>
      <c r="BF1576" s="171" t="str">
        <f t="shared" si="23"/>
        <v>Code</v>
      </c>
    </row>
    <row r="1577">
      <c r="A1577" s="171">
        <f t="array" ref="A1577">XLOOKUP(C1577,FSE!A:A,FSE!C:C,"XXXXX",0,1)</f>
        <v>2021</v>
      </c>
      <c r="B1577" s="213" t="s">
        <v>5676</v>
      </c>
      <c r="C1577" s="214">
        <v>279.0</v>
      </c>
      <c r="D1577" s="215" t="s">
        <v>6323</v>
      </c>
      <c r="E1577" s="197" t="str">
        <f t="array" ref="E1577">XLOOKUP(C1577,FSE!A:A,FSE!Z:Z,"XXXXX",0,1)</f>
        <v>Publicly Available (4)</v>
      </c>
      <c r="F1577" s="213" t="s">
        <v>3394</v>
      </c>
      <c r="G1577" s="163" t="str">
        <f t="array" ref="G1577">IF(B1577="ICSE",IF(COUNTIFS(B:B,B1577,C:C,C1577)=XLOOKUP(C1577,ICSE!A:A,ICSE!AA:AA,"ERROR",0,1),"OK","ERROR"),IF(B1577="FSE",IF(COUNTIFS(B:B,B1577,C:C,C1577)=XLOOKUP(C1577,FSE!A:A,FSE!AA:AA,"ERROR",0,1),"OK","ERROR")))</f>
        <v>OK</v>
      </c>
      <c r="H1577" s="199">
        <f t="shared" ref="H1577:O1577" si="7964">countif($D1577,"*"&amp;H$2&amp;"*")</f>
        <v>0</v>
      </c>
      <c r="I1577" s="200">
        <f t="shared" si="7964"/>
        <v>0</v>
      </c>
      <c r="J1577" s="200">
        <f t="shared" si="7964"/>
        <v>0</v>
      </c>
      <c r="K1577" s="200">
        <f t="shared" si="7964"/>
        <v>0</v>
      </c>
      <c r="L1577" s="200">
        <f t="shared" si="7964"/>
        <v>0</v>
      </c>
      <c r="M1577" s="200">
        <f t="shared" si="7964"/>
        <v>0</v>
      </c>
      <c r="N1577" s="200">
        <f t="shared" si="7964"/>
        <v>0</v>
      </c>
      <c r="O1577" s="200">
        <f t="shared" si="7964"/>
        <v>0</v>
      </c>
      <c r="P1577" s="200">
        <f t="shared" si="9"/>
        <v>1</v>
      </c>
      <c r="Q1577" s="200">
        <f t="shared" ref="Q1577:AC1577" si="7965">countif($D1577,"*"&amp;Q$2&amp;"*")</f>
        <v>0</v>
      </c>
      <c r="R1577" s="200">
        <f t="shared" si="7965"/>
        <v>0</v>
      </c>
      <c r="S1577" s="200">
        <f t="shared" si="7965"/>
        <v>0</v>
      </c>
      <c r="T1577" s="200">
        <f t="shared" si="7965"/>
        <v>0</v>
      </c>
      <c r="U1577" s="200">
        <f t="shared" si="7965"/>
        <v>0</v>
      </c>
      <c r="V1577" s="200">
        <f t="shared" si="7965"/>
        <v>0</v>
      </c>
      <c r="W1577" s="200">
        <f t="shared" si="7965"/>
        <v>0</v>
      </c>
      <c r="X1577" s="200">
        <f t="shared" si="7965"/>
        <v>0</v>
      </c>
      <c r="Y1577" s="200">
        <f t="shared" si="7965"/>
        <v>0</v>
      </c>
      <c r="Z1577" s="200">
        <f t="shared" si="7965"/>
        <v>0</v>
      </c>
      <c r="AA1577" s="200">
        <f t="shared" si="7965"/>
        <v>0</v>
      </c>
      <c r="AB1577" s="200">
        <f t="shared" si="7965"/>
        <v>0</v>
      </c>
      <c r="AC1577" s="200">
        <f t="shared" si="7965"/>
        <v>0</v>
      </c>
      <c r="AD1577" s="200">
        <f t="shared" si="11"/>
        <v>0</v>
      </c>
      <c r="AE1577" s="200">
        <f t="shared" ref="AE1577:AG1577" si="7966">countif($D1577,"*"&amp;AE$2&amp;"*")</f>
        <v>0</v>
      </c>
      <c r="AF1577" s="200">
        <f t="shared" si="7966"/>
        <v>0</v>
      </c>
      <c r="AG1577" s="200">
        <f t="shared" si="7966"/>
        <v>0</v>
      </c>
      <c r="AH1577" s="171">
        <f t="shared" si="13"/>
        <v>0</v>
      </c>
      <c r="AI1577" s="200">
        <f t="shared" si="14"/>
        <v>0</v>
      </c>
      <c r="AJ1577" s="200">
        <f t="shared" si="6100"/>
        <v>0</v>
      </c>
      <c r="AK1577" s="201">
        <f t="shared" ref="AK1577:AS1577" si="7967">countif($D1577,"*"&amp;AK$2&amp;"*")</f>
        <v>0</v>
      </c>
      <c r="AL1577" s="201">
        <f t="shared" si="7967"/>
        <v>0</v>
      </c>
      <c r="AM1577" s="201">
        <f t="shared" si="7967"/>
        <v>0</v>
      </c>
      <c r="AN1577" s="201">
        <f t="shared" si="7967"/>
        <v>0</v>
      </c>
      <c r="AO1577" s="201">
        <f t="shared" si="7967"/>
        <v>0</v>
      </c>
      <c r="AP1577" s="201">
        <f t="shared" si="7967"/>
        <v>0</v>
      </c>
      <c r="AQ1577" s="201">
        <f t="shared" si="7967"/>
        <v>0</v>
      </c>
      <c r="AR1577" s="200">
        <f t="shared" si="7967"/>
        <v>0</v>
      </c>
      <c r="AS1577" s="200">
        <f t="shared" si="7967"/>
        <v>0</v>
      </c>
      <c r="AT1577" s="173">
        <v>0.0</v>
      </c>
      <c r="AU1577" s="200">
        <f t="shared" si="6217"/>
        <v>0</v>
      </c>
      <c r="AV1577" s="200">
        <f t="shared" ref="AV1577:AX1577" si="7968">countif($D1577,"*"&amp;AV$2&amp;"*")</f>
        <v>1</v>
      </c>
      <c r="AW1577" s="200">
        <f t="shared" si="7968"/>
        <v>0</v>
      </c>
      <c r="AX1577" s="200">
        <f t="shared" si="7968"/>
        <v>0</v>
      </c>
      <c r="AY1577" s="202">
        <v>0.0</v>
      </c>
      <c r="AZ1577" s="200"/>
      <c r="BA1577" s="171" t="str">
        <f t="shared" si="18"/>
        <v/>
      </c>
      <c r="BB1577" s="171" t="str">
        <f t="shared" si="19"/>
        <v>Code</v>
      </c>
      <c r="BC1577" s="171" t="str">
        <f t="shared" si="20"/>
        <v/>
      </c>
      <c r="BD1577" s="171" t="str">
        <f t="shared" si="21"/>
        <v/>
      </c>
      <c r="BE1577" s="171" t="str">
        <f t="shared" si="22"/>
        <v/>
      </c>
      <c r="BF1577" s="171" t="str">
        <f t="shared" si="23"/>
        <v>Code</v>
      </c>
    </row>
    <row r="1578">
      <c r="A1578" s="171">
        <f t="array" ref="A1578">XLOOKUP(C1578,FSE!A:A,FSE!C:C,"XXXXX",0,1)</f>
        <v>2021</v>
      </c>
      <c r="B1578" s="213" t="s">
        <v>5676</v>
      </c>
      <c r="C1578" s="214">
        <v>280.0</v>
      </c>
      <c r="D1578" s="215" t="s">
        <v>4906</v>
      </c>
      <c r="E1578" s="197" t="str">
        <f t="array" ref="E1578">XLOOKUP(C1578,FSE!A:A,FSE!Z:Z,"XXXXX",0,1)</f>
        <v>Publicly Available (1)</v>
      </c>
      <c r="F1578" s="213" t="s">
        <v>3394</v>
      </c>
      <c r="G1578" s="163" t="str">
        <f t="array" ref="G1578">IF(B1578="ICSE",IF(COUNTIFS(B:B,B1578,C:C,C1578)=XLOOKUP(C1578,ICSE!A:A,ICSE!AA:AA,"ERROR",0,1),"OK","ERROR"),IF(B1578="FSE",IF(COUNTIFS(B:B,B1578,C:C,C1578)=XLOOKUP(C1578,FSE!A:A,FSE!AA:AA,"ERROR",0,1),"OK","ERROR")))</f>
        <v>OK</v>
      </c>
      <c r="H1578" s="199">
        <f t="shared" ref="H1578:O1578" si="7969">countif($D1578,"*"&amp;H$2&amp;"*")</f>
        <v>0</v>
      </c>
      <c r="I1578" s="200">
        <f t="shared" si="7969"/>
        <v>0</v>
      </c>
      <c r="J1578" s="200">
        <f t="shared" si="7969"/>
        <v>0</v>
      </c>
      <c r="K1578" s="200">
        <f t="shared" si="7969"/>
        <v>0</v>
      </c>
      <c r="L1578" s="200">
        <f t="shared" si="7969"/>
        <v>0</v>
      </c>
      <c r="M1578" s="200">
        <f t="shared" si="7969"/>
        <v>0</v>
      </c>
      <c r="N1578" s="200">
        <f t="shared" si="7969"/>
        <v>0</v>
      </c>
      <c r="O1578" s="200">
        <f t="shared" si="7969"/>
        <v>0</v>
      </c>
      <c r="P1578" s="200">
        <f t="shared" si="9"/>
        <v>1</v>
      </c>
      <c r="Q1578" s="200">
        <f t="shared" ref="Q1578:AC1578" si="7970">countif($D1578,"*"&amp;Q$2&amp;"*")</f>
        <v>0</v>
      </c>
      <c r="R1578" s="200">
        <f t="shared" si="7970"/>
        <v>0</v>
      </c>
      <c r="S1578" s="200">
        <f t="shared" si="7970"/>
        <v>0</v>
      </c>
      <c r="T1578" s="200">
        <f t="shared" si="7970"/>
        <v>0</v>
      </c>
      <c r="U1578" s="200">
        <f t="shared" si="7970"/>
        <v>0</v>
      </c>
      <c r="V1578" s="200">
        <f t="shared" si="7970"/>
        <v>0</v>
      </c>
      <c r="W1578" s="200">
        <f t="shared" si="7970"/>
        <v>0</v>
      </c>
      <c r="X1578" s="200">
        <f t="shared" si="7970"/>
        <v>0</v>
      </c>
      <c r="Y1578" s="200">
        <f t="shared" si="7970"/>
        <v>0</v>
      </c>
      <c r="Z1578" s="200">
        <f t="shared" si="7970"/>
        <v>0</v>
      </c>
      <c r="AA1578" s="200">
        <f t="shared" si="7970"/>
        <v>0</v>
      </c>
      <c r="AB1578" s="200">
        <f t="shared" si="7970"/>
        <v>0</v>
      </c>
      <c r="AC1578" s="200">
        <f t="shared" si="7970"/>
        <v>0</v>
      </c>
      <c r="AD1578" s="200">
        <f t="shared" si="11"/>
        <v>0</v>
      </c>
      <c r="AE1578" s="200">
        <f t="shared" ref="AE1578:AG1578" si="7971">countif($D1578,"*"&amp;AE$2&amp;"*")</f>
        <v>0</v>
      </c>
      <c r="AF1578" s="200">
        <f t="shared" si="7971"/>
        <v>0</v>
      </c>
      <c r="AG1578" s="200">
        <f t="shared" si="7971"/>
        <v>0</v>
      </c>
      <c r="AH1578" s="171">
        <f t="shared" si="13"/>
        <v>0</v>
      </c>
      <c r="AI1578" s="200">
        <f t="shared" si="14"/>
        <v>0</v>
      </c>
      <c r="AJ1578" s="200">
        <f t="shared" si="6100"/>
        <v>0</v>
      </c>
      <c r="AK1578" s="201">
        <f t="shared" ref="AK1578:AS1578" si="7972">countif($D1578,"*"&amp;AK$2&amp;"*")</f>
        <v>0</v>
      </c>
      <c r="AL1578" s="201">
        <f t="shared" si="7972"/>
        <v>0</v>
      </c>
      <c r="AM1578" s="201">
        <f t="shared" si="7972"/>
        <v>0</v>
      </c>
      <c r="AN1578" s="201">
        <f t="shared" si="7972"/>
        <v>0</v>
      </c>
      <c r="AO1578" s="201">
        <f t="shared" si="7972"/>
        <v>0</v>
      </c>
      <c r="AP1578" s="201">
        <f t="shared" si="7972"/>
        <v>0</v>
      </c>
      <c r="AQ1578" s="201">
        <f t="shared" si="7972"/>
        <v>0</v>
      </c>
      <c r="AR1578" s="200">
        <f t="shared" si="7972"/>
        <v>0</v>
      </c>
      <c r="AS1578" s="200">
        <f t="shared" si="7972"/>
        <v>0</v>
      </c>
      <c r="AT1578" s="173">
        <v>0.0</v>
      </c>
      <c r="AU1578" s="200">
        <f t="shared" si="6217"/>
        <v>0</v>
      </c>
      <c r="AV1578" s="200">
        <f t="shared" ref="AV1578:AX1578" si="7973">countif($D1578,"*"&amp;AV$2&amp;"*")</f>
        <v>1</v>
      </c>
      <c r="AW1578" s="200">
        <f t="shared" si="7973"/>
        <v>0</v>
      </c>
      <c r="AX1578" s="200">
        <f t="shared" si="7973"/>
        <v>0</v>
      </c>
      <c r="AY1578" s="202">
        <v>0.0</v>
      </c>
      <c r="AZ1578" s="200"/>
      <c r="BA1578" s="171" t="str">
        <f t="shared" si="18"/>
        <v/>
      </c>
      <c r="BB1578" s="171" t="str">
        <f t="shared" si="19"/>
        <v>Code</v>
      </c>
      <c r="BC1578" s="171" t="str">
        <f t="shared" si="20"/>
        <v/>
      </c>
      <c r="BD1578" s="171" t="str">
        <f t="shared" si="21"/>
        <v/>
      </c>
      <c r="BE1578" s="171" t="str">
        <f t="shared" si="22"/>
        <v/>
      </c>
      <c r="BF1578" s="171" t="str">
        <f t="shared" si="23"/>
        <v>Code</v>
      </c>
    </row>
    <row r="1579">
      <c r="A1579" s="171">
        <f t="array" ref="A1579">XLOOKUP(C1579,FSE!A:A,FSE!C:C,"XXXXX",0,1)</f>
        <v>2021</v>
      </c>
      <c r="B1579" s="213" t="s">
        <v>5676</v>
      </c>
      <c r="C1579" s="214">
        <v>281.0</v>
      </c>
      <c r="D1579" s="215" t="s">
        <v>6324</v>
      </c>
      <c r="E1579" s="197" t="str">
        <f t="array" ref="E1579">XLOOKUP(C1579,FSE!A:A,FSE!Z:Z,"XXXXX",0,1)</f>
        <v>Publicly Available (2)</v>
      </c>
      <c r="F1579" s="213" t="s">
        <v>3394</v>
      </c>
      <c r="G1579" s="163" t="str">
        <f t="array" ref="G1579">IF(B1579="ICSE",IF(COUNTIFS(B:B,B1579,C:C,C1579)=XLOOKUP(C1579,ICSE!A:A,ICSE!AA:AA,"ERROR",0,1),"OK","ERROR"),IF(B1579="FSE",IF(COUNTIFS(B:B,B1579,C:C,C1579)=XLOOKUP(C1579,FSE!A:A,FSE!AA:AA,"ERROR",0,1),"OK","ERROR")))</f>
        <v>OK</v>
      </c>
      <c r="H1579" s="199">
        <f t="shared" ref="H1579:O1579" si="7974">countif($D1579,"*"&amp;H$2&amp;"*")</f>
        <v>0</v>
      </c>
      <c r="I1579" s="200">
        <f t="shared" si="7974"/>
        <v>0</v>
      </c>
      <c r="J1579" s="200">
        <f t="shared" si="7974"/>
        <v>0</v>
      </c>
      <c r="K1579" s="200">
        <f t="shared" si="7974"/>
        <v>0</v>
      </c>
      <c r="L1579" s="200">
        <f t="shared" si="7974"/>
        <v>0</v>
      </c>
      <c r="M1579" s="200">
        <f t="shared" si="7974"/>
        <v>0</v>
      </c>
      <c r="N1579" s="200">
        <f t="shared" si="7974"/>
        <v>0</v>
      </c>
      <c r="O1579" s="200">
        <f t="shared" si="7974"/>
        <v>0</v>
      </c>
      <c r="P1579" s="200">
        <f t="shared" si="9"/>
        <v>1</v>
      </c>
      <c r="Q1579" s="200">
        <f t="shared" ref="Q1579:AC1579" si="7975">countif($D1579,"*"&amp;Q$2&amp;"*")</f>
        <v>0</v>
      </c>
      <c r="R1579" s="200">
        <f t="shared" si="7975"/>
        <v>0</v>
      </c>
      <c r="S1579" s="200">
        <f t="shared" si="7975"/>
        <v>0</v>
      </c>
      <c r="T1579" s="200">
        <f t="shared" si="7975"/>
        <v>0</v>
      </c>
      <c r="U1579" s="200">
        <f t="shared" si="7975"/>
        <v>0</v>
      </c>
      <c r="V1579" s="200">
        <f t="shared" si="7975"/>
        <v>0</v>
      </c>
      <c r="W1579" s="200">
        <f t="shared" si="7975"/>
        <v>0</v>
      </c>
      <c r="X1579" s="200">
        <f t="shared" si="7975"/>
        <v>0</v>
      </c>
      <c r="Y1579" s="200">
        <f t="shared" si="7975"/>
        <v>0</v>
      </c>
      <c r="Z1579" s="200">
        <f t="shared" si="7975"/>
        <v>0</v>
      </c>
      <c r="AA1579" s="200">
        <f t="shared" si="7975"/>
        <v>0</v>
      </c>
      <c r="AB1579" s="200">
        <f t="shared" si="7975"/>
        <v>0</v>
      </c>
      <c r="AC1579" s="200">
        <f t="shared" si="7975"/>
        <v>0</v>
      </c>
      <c r="AD1579" s="200">
        <f t="shared" si="11"/>
        <v>0</v>
      </c>
      <c r="AE1579" s="200">
        <f t="shared" ref="AE1579:AG1579" si="7976">countif($D1579,"*"&amp;AE$2&amp;"*")</f>
        <v>0</v>
      </c>
      <c r="AF1579" s="200">
        <f t="shared" si="7976"/>
        <v>0</v>
      </c>
      <c r="AG1579" s="200">
        <f t="shared" si="7976"/>
        <v>0</v>
      </c>
      <c r="AH1579" s="171">
        <f t="shared" si="13"/>
        <v>0</v>
      </c>
      <c r="AI1579" s="200">
        <f t="shared" si="14"/>
        <v>0</v>
      </c>
      <c r="AJ1579" s="200">
        <f t="shared" si="6100"/>
        <v>0</v>
      </c>
      <c r="AK1579" s="201">
        <f t="shared" ref="AK1579:AS1579" si="7977">countif($D1579,"*"&amp;AK$2&amp;"*")</f>
        <v>0</v>
      </c>
      <c r="AL1579" s="201">
        <f t="shared" si="7977"/>
        <v>0</v>
      </c>
      <c r="AM1579" s="201">
        <f t="shared" si="7977"/>
        <v>0</v>
      </c>
      <c r="AN1579" s="201">
        <f t="shared" si="7977"/>
        <v>0</v>
      </c>
      <c r="AO1579" s="201">
        <f t="shared" si="7977"/>
        <v>0</v>
      </c>
      <c r="AP1579" s="201">
        <f t="shared" si="7977"/>
        <v>0</v>
      </c>
      <c r="AQ1579" s="201">
        <f t="shared" si="7977"/>
        <v>0</v>
      </c>
      <c r="AR1579" s="200">
        <f t="shared" si="7977"/>
        <v>0</v>
      </c>
      <c r="AS1579" s="200">
        <f t="shared" si="7977"/>
        <v>0</v>
      </c>
      <c r="AT1579" s="173">
        <v>0.0</v>
      </c>
      <c r="AU1579" s="200">
        <f t="shared" si="6217"/>
        <v>0</v>
      </c>
      <c r="AV1579" s="200">
        <f t="shared" ref="AV1579:AX1579" si="7978">countif($D1579,"*"&amp;AV$2&amp;"*")</f>
        <v>1</v>
      </c>
      <c r="AW1579" s="200">
        <f t="shared" si="7978"/>
        <v>0</v>
      </c>
      <c r="AX1579" s="200">
        <f t="shared" si="7978"/>
        <v>0</v>
      </c>
      <c r="AY1579" s="202">
        <v>0.0</v>
      </c>
      <c r="AZ1579" s="200"/>
      <c r="BA1579" s="171" t="str">
        <f t="shared" si="18"/>
        <v/>
      </c>
      <c r="BB1579" s="171" t="str">
        <f t="shared" si="19"/>
        <v>Code</v>
      </c>
      <c r="BC1579" s="171" t="str">
        <f t="shared" si="20"/>
        <v/>
      </c>
      <c r="BD1579" s="171" t="str">
        <f t="shared" si="21"/>
        <v/>
      </c>
      <c r="BE1579" s="171" t="str">
        <f t="shared" si="22"/>
        <v/>
      </c>
      <c r="BF1579" s="171" t="str">
        <f t="shared" si="23"/>
        <v>Code</v>
      </c>
    </row>
    <row r="1580">
      <c r="A1580" s="213">
        <f t="array" ref="A1580">XLOOKUP(C1580,FSE!A:A,FSE!C:C,"XXXXX",0,1)</f>
        <v>2021</v>
      </c>
      <c r="B1580" s="213" t="s">
        <v>5676</v>
      </c>
      <c r="C1580" s="220">
        <v>281.0</v>
      </c>
      <c r="D1580" s="206" t="s">
        <v>6325</v>
      </c>
      <c r="E1580" s="221" t="str">
        <f t="array" ref="E1580">XLOOKUP(C1580,FSE!A:A,FSE!Z:Z,"XXXXX",0,1)</f>
        <v>Publicly Available (2)</v>
      </c>
      <c r="F1580" s="213" t="s">
        <v>3394</v>
      </c>
      <c r="G1580" s="163" t="str">
        <f t="array" ref="G1580">IF(B1580="ICSE",IF(COUNTIFS(B:B,B1580,C:C,C1580)=XLOOKUP(C1580,ICSE!A:A,ICSE!AA:AA,"ERROR",0,1),"OK","ERROR"),IF(B1580="FSE",IF(COUNTIFS(B:B,B1580,C:C,C1580)=XLOOKUP(C1580,FSE!A:A,FSE!AA:AA,"ERROR",0,1),"OK","ERROR")))</f>
        <v>OK</v>
      </c>
      <c r="H1580" s="199">
        <f t="shared" ref="H1580:O1580" si="7979">countif($D1580,"*"&amp;H$2&amp;"*")</f>
        <v>1</v>
      </c>
      <c r="I1580" s="200">
        <f t="shared" si="7979"/>
        <v>0</v>
      </c>
      <c r="J1580" s="200">
        <f t="shared" si="7979"/>
        <v>0</v>
      </c>
      <c r="K1580" s="200">
        <f t="shared" si="7979"/>
        <v>0</v>
      </c>
      <c r="L1580" s="200">
        <f t="shared" si="7979"/>
        <v>0</v>
      </c>
      <c r="M1580" s="200">
        <f t="shared" si="7979"/>
        <v>0</v>
      </c>
      <c r="N1580" s="200">
        <f t="shared" si="7979"/>
        <v>0</v>
      </c>
      <c r="O1580" s="200">
        <f t="shared" si="7979"/>
        <v>0</v>
      </c>
      <c r="P1580" s="200">
        <f t="shared" si="9"/>
        <v>0</v>
      </c>
      <c r="Q1580" s="200">
        <f t="shared" ref="Q1580:AC1580" si="7980">countif($D1580,"*"&amp;Q$2&amp;"*")</f>
        <v>0</v>
      </c>
      <c r="R1580" s="200">
        <f t="shared" si="7980"/>
        <v>0</v>
      </c>
      <c r="S1580" s="200">
        <f t="shared" si="7980"/>
        <v>0</v>
      </c>
      <c r="T1580" s="200">
        <f t="shared" si="7980"/>
        <v>0</v>
      </c>
      <c r="U1580" s="200">
        <f t="shared" si="7980"/>
        <v>0</v>
      </c>
      <c r="V1580" s="200">
        <f t="shared" si="7980"/>
        <v>0</v>
      </c>
      <c r="W1580" s="200">
        <f t="shared" si="7980"/>
        <v>0</v>
      </c>
      <c r="X1580" s="200">
        <f t="shared" si="7980"/>
        <v>0</v>
      </c>
      <c r="Y1580" s="200">
        <f t="shared" si="7980"/>
        <v>0</v>
      </c>
      <c r="Z1580" s="200">
        <f t="shared" si="7980"/>
        <v>0</v>
      </c>
      <c r="AA1580" s="200">
        <f t="shared" si="7980"/>
        <v>0</v>
      </c>
      <c r="AB1580" s="200">
        <f t="shared" si="7980"/>
        <v>0</v>
      </c>
      <c r="AC1580" s="200">
        <f t="shared" si="7980"/>
        <v>0</v>
      </c>
      <c r="AD1580" s="222">
        <f t="shared" si="11"/>
        <v>0</v>
      </c>
      <c r="AE1580" s="200">
        <f t="shared" ref="AE1580:AG1580" si="7981">countif($D1580,"*"&amp;AE$2&amp;"*")</f>
        <v>0</v>
      </c>
      <c r="AF1580" s="200">
        <f t="shared" si="7981"/>
        <v>0</v>
      </c>
      <c r="AG1580" s="200">
        <f t="shared" si="7981"/>
        <v>0</v>
      </c>
      <c r="AH1580" s="171">
        <f t="shared" si="13"/>
        <v>0</v>
      </c>
      <c r="AI1580" s="200">
        <f t="shared" si="14"/>
        <v>1</v>
      </c>
      <c r="AJ1580" s="200">
        <f t="shared" si="6100"/>
        <v>0</v>
      </c>
      <c r="AK1580" s="201">
        <f t="shared" ref="AK1580:AS1580" si="7982">countif($D1580,"*"&amp;AK$2&amp;"*")</f>
        <v>0</v>
      </c>
      <c r="AL1580" s="201">
        <f t="shared" si="7982"/>
        <v>0</v>
      </c>
      <c r="AM1580" s="201">
        <f t="shared" si="7982"/>
        <v>0</v>
      </c>
      <c r="AN1580" s="201">
        <f t="shared" si="7982"/>
        <v>0</v>
      </c>
      <c r="AO1580" s="201">
        <f t="shared" si="7982"/>
        <v>0</v>
      </c>
      <c r="AP1580" s="201">
        <f t="shared" si="7982"/>
        <v>0</v>
      </c>
      <c r="AQ1580" s="201">
        <f t="shared" si="7982"/>
        <v>0</v>
      </c>
      <c r="AR1580" s="222">
        <f t="shared" si="7982"/>
        <v>0</v>
      </c>
      <c r="AS1580" s="200">
        <f t="shared" si="7982"/>
        <v>1</v>
      </c>
      <c r="AT1580" s="223">
        <v>0.0</v>
      </c>
      <c r="AU1580" s="200">
        <f t="shared" si="6217"/>
        <v>0</v>
      </c>
      <c r="AV1580" s="200">
        <f t="shared" ref="AV1580:AX1580" si="7983">countif($D1580,"*"&amp;AV$2&amp;"*")</f>
        <v>0</v>
      </c>
      <c r="AW1580" s="200">
        <f t="shared" si="7983"/>
        <v>0</v>
      </c>
      <c r="AX1580" s="200">
        <f t="shared" si="7983"/>
        <v>1</v>
      </c>
      <c r="AY1580" s="202">
        <v>0.0</v>
      </c>
      <c r="AZ1580" s="200"/>
      <c r="BA1580" s="171" t="str">
        <f t="shared" si="18"/>
        <v>Archival</v>
      </c>
      <c r="BB1580" s="171" t="str">
        <f t="shared" si="19"/>
        <v/>
      </c>
      <c r="BC1580" s="171" t="str">
        <f t="shared" si="20"/>
        <v/>
      </c>
      <c r="BD1580" s="171" t="str">
        <f t="shared" si="21"/>
        <v/>
      </c>
      <c r="BE1580" s="171" t="str">
        <f t="shared" si="22"/>
        <v/>
      </c>
      <c r="BF1580" s="171" t="str">
        <f t="shared" si="23"/>
        <v>Archival</v>
      </c>
    </row>
    <row r="1581">
      <c r="A1581" s="213">
        <f t="array" ref="A1581">XLOOKUP(C1581,FSE!A:A,FSE!C:C,"XXXXX",0,1)</f>
        <v>2021</v>
      </c>
      <c r="B1581" s="213" t="s">
        <v>5676</v>
      </c>
      <c r="C1581" s="220">
        <v>282.0</v>
      </c>
      <c r="D1581" s="217" t="s">
        <v>4911</v>
      </c>
      <c r="E1581" s="221" t="str">
        <f t="array" ref="E1581">XLOOKUP(C1581,FSE!A:A,FSE!Z:Z,"XXXXX",0,1)</f>
        <v>Publicly Available (1)</v>
      </c>
      <c r="F1581" s="213" t="s">
        <v>3394</v>
      </c>
      <c r="G1581" s="163" t="str">
        <f t="array" ref="G1581">IF(B1581="ICSE",IF(COUNTIFS(B:B,B1581,C:C,C1581)=XLOOKUP(C1581,ICSE!A:A,ICSE!AA:AA,"ERROR",0,1),"OK","ERROR"),IF(B1581="FSE",IF(COUNTIFS(B:B,B1581,C:C,C1581)=XLOOKUP(C1581,FSE!A:A,FSE!AA:AA,"ERROR",0,1),"OK","ERROR")))</f>
        <v>OK</v>
      </c>
      <c r="H1581" s="199">
        <f t="shared" ref="H1581:O1581" si="7984">countif($D1581,"*"&amp;H$2&amp;"*")</f>
        <v>0</v>
      </c>
      <c r="I1581" s="200">
        <f t="shared" si="7984"/>
        <v>0</v>
      </c>
      <c r="J1581" s="200">
        <f t="shared" si="7984"/>
        <v>0</v>
      </c>
      <c r="K1581" s="200">
        <f t="shared" si="7984"/>
        <v>0</v>
      </c>
      <c r="L1581" s="200">
        <f t="shared" si="7984"/>
        <v>0</v>
      </c>
      <c r="M1581" s="200">
        <f t="shared" si="7984"/>
        <v>0</v>
      </c>
      <c r="N1581" s="200">
        <f t="shared" si="7984"/>
        <v>0</v>
      </c>
      <c r="O1581" s="200">
        <f t="shared" si="7984"/>
        <v>0</v>
      </c>
      <c r="P1581" s="200">
        <f t="shared" si="9"/>
        <v>1</v>
      </c>
      <c r="Q1581" s="200">
        <f t="shared" ref="Q1581:AC1581" si="7985">countif($D1581,"*"&amp;Q$2&amp;"*")</f>
        <v>0</v>
      </c>
      <c r="R1581" s="200">
        <f t="shared" si="7985"/>
        <v>0</v>
      </c>
      <c r="S1581" s="200">
        <f t="shared" si="7985"/>
        <v>0</v>
      </c>
      <c r="T1581" s="200">
        <f t="shared" si="7985"/>
        <v>0</v>
      </c>
      <c r="U1581" s="200">
        <f t="shared" si="7985"/>
        <v>0</v>
      </c>
      <c r="V1581" s="200">
        <f t="shared" si="7985"/>
        <v>0</v>
      </c>
      <c r="W1581" s="200">
        <f t="shared" si="7985"/>
        <v>0</v>
      </c>
      <c r="X1581" s="200">
        <f t="shared" si="7985"/>
        <v>0</v>
      </c>
      <c r="Y1581" s="200">
        <f t="shared" si="7985"/>
        <v>0</v>
      </c>
      <c r="Z1581" s="200">
        <f t="shared" si="7985"/>
        <v>0</v>
      </c>
      <c r="AA1581" s="200">
        <f t="shared" si="7985"/>
        <v>0</v>
      </c>
      <c r="AB1581" s="200">
        <f t="shared" si="7985"/>
        <v>0</v>
      </c>
      <c r="AC1581" s="200">
        <f t="shared" si="7985"/>
        <v>0</v>
      </c>
      <c r="AD1581" s="222">
        <f t="shared" si="11"/>
        <v>0</v>
      </c>
      <c r="AE1581" s="200">
        <f t="shared" ref="AE1581:AG1581" si="7986">countif($D1581,"*"&amp;AE$2&amp;"*")</f>
        <v>0</v>
      </c>
      <c r="AF1581" s="200">
        <f t="shared" si="7986"/>
        <v>0</v>
      </c>
      <c r="AG1581" s="200">
        <f t="shared" si="7986"/>
        <v>0</v>
      </c>
      <c r="AH1581" s="171">
        <f t="shared" si="13"/>
        <v>0</v>
      </c>
      <c r="AI1581" s="200">
        <f t="shared" si="14"/>
        <v>0</v>
      </c>
      <c r="AJ1581" s="200">
        <f t="shared" si="6100"/>
        <v>0</v>
      </c>
      <c r="AK1581" s="201">
        <f t="shared" ref="AK1581:AS1581" si="7987">countif($D1581,"*"&amp;AK$2&amp;"*")</f>
        <v>0</v>
      </c>
      <c r="AL1581" s="201">
        <f t="shared" si="7987"/>
        <v>0</v>
      </c>
      <c r="AM1581" s="201">
        <f t="shared" si="7987"/>
        <v>0</v>
      </c>
      <c r="AN1581" s="201">
        <f t="shared" si="7987"/>
        <v>0</v>
      </c>
      <c r="AO1581" s="201">
        <f t="shared" si="7987"/>
        <v>0</v>
      </c>
      <c r="AP1581" s="201">
        <f t="shared" si="7987"/>
        <v>0</v>
      </c>
      <c r="AQ1581" s="201">
        <f t="shared" si="7987"/>
        <v>0</v>
      </c>
      <c r="AR1581" s="222">
        <f t="shared" si="7987"/>
        <v>0</v>
      </c>
      <c r="AS1581" s="200">
        <f t="shared" si="7987"/>
        <v>0</v>
      </c>
      <c r="AT1581" s="223">
        <v>0.0</v>
      </c>
      <c r="AU1581" s="200">
        <f t="shared" si="6217"/>
        <v>0</v>
      </c>
      <c r="AV1581" s="200">
        <f t="shared" ref="AV1581:AX1581" si="7988">countif($D1581,"*"&amp;AV$2&amp;"*")</f>
        <v>1</v>
      </c>
      <c r="AW1581" s="200">
        <f t="shared" si="7988"/>
        <v>0</v>
      </c>
      <c r="AX1581" s="200">
        <f t="shared" si="7988"/>
        <v>0</v>
      </c>
      <c r="AY1581" s="202">
        <v>0.0</v>
      </c>
      <c r="AZ1581" s="200"/>
      <c r="BA1581" s="171" t="str">
        <f t="shared" si="18"/>
        <v/>
      </c>
      <c r="BB1581" s="171" t="str">
        <f t="shared" si="19"/>
        <v>Code</v>
      </c>
      <c r="BC1581" s="171" t="str">
        <f t="shared" si="20"/>
        <v/>
      </c>
      <c r="BD1581" s="171" t="str">
        <f t="shared" si="21"/>
        <v/>
      </c>
      <c r="BE1581" s="171" t="str">
        <f t="shared" si="22"/>
        <v/>
      </c>
      <c r="BF1581" s="171" t="str">
        <f t="shared" si="23"/>
        <v>Code</v>
      </c>
    </row>
    <row r="1582">
      <c r="A1582" s="213">
        <f t="array" ref="A1582">XLOOKUP(C1582,FSE!A:A,FSE!C:C,"XXXXX",0,1)</f>
        <v>2021</v>
      </c>
      <c r="B1582" s="213" t="s">
        <v>5676</v>
      </c>
      <c r="C1582" s="220">
        <v>283.0</v>
      </c>
      <c r="D1582" s="217" t="s">
        <v>4913</v>
      </c>
      <c r="E1582" s="221" t="str">
        <f t="array" ref="E1582">XLOOKUP(C1582,FSE!A:A,FSE!Z:Z,"XXXXX",0,1)</f>
        <v>Publicly Available (1)</v>
      </c>
      <c r="F1582" s="213" t="s">
        <v>3394</v>
      </c>
      <c r="G1582" s="163" t="str">
        <f t="array" ref="G1582">IF(B1582="ICSE",IF(COUNTIFS(B:B,B1582,C:C,C1582)=XLOOKUP(C1582,ICSE!A:A,ICSE!AA:AA,"ERROR",0,1),"OK","ERROR"),IF(B1582="FSE",IF(COUNTIFS(B:B,B1582,C:C,C1582)=XLOOKUP(C1582,FSE!A:A,FSE!AA:AA,"ERROR",0,1),"OK","ERROR")))</f>
        <v>OK</v>
      </c>
      <c r="H1582" s="199">
        <f t="shared" ref="H1582:O1582" si="7989">countif($D1582,"*"&amp;H$2&amp;"*")</f>
        <v>0</v>
      </c>
      <c r="I1582" s="200">
        <f t="shared" si="7989"/>
        <v>0</v>
      </c>
      <c r="J1582" s="200">
        <f t="shared" si="7989"/>
        <v>0</v>
      </c>
      <c r="K1582" s="200">
        <f t="shared" si="7989"/>
        <v>0</v>
      </c>
      <c r="L1582" s="200">
        <f t="shared" si="7989"/>
        <v>0</v>
      </c>
      <c r="M1582" s="200">
        <f t="shared" si="7989"/>
        <v>0</v>
      </c>
      <c r="N1582" s="200">
        <f t="shared" si="7989"/>
        <v>0</v>
      </c>
      <c r="O1582" s="200">
        <f t="shared" si="7989"/>
        <v>0</v>
      </c>
      <c r="P1582" s="200">
        <f t="shared" si="9"/>
        <v>1</v>
      </c>
      <c r="Q1582" s="200">
        <f t="shared" ref="Q1582:AC1582" si="7990">countif($D1582,"*"&amp;Q$2&amp;"*")</f>
        <v>0</v>
      </c>
      <c r="R1582" s="200">
        <f t="shared" si="7990"/>
        <v>0</v>
      </c>
      <c r="S1582" s="200">
        <f t="shared" si="7990"/>
        <v>0</v>
      </c>
      <c r="T1582" s="200">
        <f t="shared" si="7990"/>
        <v>0</v>
      </c>
      <c r="U1582" s="200">
        <f t="shared" si="7990"/>
        <v>0</v>
      </c>
      <c r="V1582" s="200">
        <f t="shared" si="7990"/>
        <v>0</v>
      </c>
      <c r="W1582" s="200">
        <f t="shared" si="7990"/>
        <v>0</v>
      </c>
      <c r="X1582" s="200">
        <f t="shared" si="7990"/>
        <v>0</v>
      </c>
      <c r="Y1582" s="200">
        <f t="shared" si="7990"/>
        <v>0</v>
      </c>
      <c r="Z1582" s="200">
        <f t="shared" si="7990"/>
        <v>0</v>
      </c>
      <c r="AA1582" s="200">
        <f t="shared" si="7990"/>
        <v>0</v>
      </c>
      <c r="AB1582" s="200">
        <f t="shared" si="7990"/>
        <v>0</v>
      </c>
      <c r="AC1582" s="200">
        <f t="shared" si="7990"/>
        <v>0</v>
      </c>
      <c r="AD1582" s="222">
        <f t="shared" si="11"/>
        <v>0</v>
      </c>
      <c r="AE1582" s="200">
        <f t="shared" ref="AE1582:AG1582" si="7991">countif($D1582,"*"&amp;AE$2&amp;"*")</f>
        <v>0</v>
      </c>
      <c r="AF1582" s="200">
        <f t="shared" si="7991"/>
        <v>0</v>
      </c>
      <c r="AG1582" s="200">
        <f t="shared" si="7991"/>
        <v>0</v>
      </c>
      <c r="AH1582" s="171">
        <f t="shared" si="13"/>
        <v>0</v>
      </c>
      <c r="AI1582" s="200">
        <f t="shared" si="14"/>
        <v>0</v>
      </c>
      <c r="AJ1582" s="200">
        <f t="shared" si="6100"/>
        <v>0</v>
      </c>
      <c r="AK1582" s="201">
        <f t="shared" ref="AK1582:AS1582" si="7992">countif($D1582,"*"&amp;AK$2&amp;"*")</f>
        <v>0</v>
      </c>
      <c r="AL1582" s="201">
        <f t="shared" si="7992"/>
        <v>0</v>
      </c>
      <c r="AM1582" s="201">
        <f t="shared" si="7992"/>
        <v>0</v>
      </c>
      <c r="AN1582" s="201">
        <f t="shared" si="7992"/>
        <v>0</v>
      </c>
      <c r="AO1582" s="201">
        <f t="shared" si="7992"/>
        <v>0</v>
      </c>
      <c r="AP1582" s="201">
        <f t="shared" si="7992"/>
        <v>0</v>
      </c>
      <c r="AQ1582" s="201">
        <f t="shared" si="7992"/>
        <v>0</v>
      </c>
      <c r="AR1582" s="222">
        <f t="shared" si="7992"/>
        <v>0</v>
      </c>
      <c r="AS1582" s="200">
        <f t="shared" si="7992"/>
        <v>0</v>
      </c>
      <c r="AT1582" s="223">
        <v>0.0</v>
      </c>
      <c r="AU1582" s="200">
        <f t="shared" si="6217"/>
        <v>0</v>
      </c>
      <c r="AV1582" s="200">
        <f t="shared" ref="AV1582:AX1582" si="7993">countif($D1582,"*"&amp;AV$2&amp;"*")</f>
        <v>1</v>
      </c>
      <c r="AW1582" s="200">
        <f t="shared" si="7993"/>
        <v>0</v>
      </c>
      <c r="AX1582" s="200">
        <f t="shared" si="7993"/>
        <v>0</v>
      </c>
      <c r="AY1582" s="202">
        <v>0.0</v>
      </c>
      <c r="AZ1582" s="200"/>
      <c r="BA1582" s="171" t="str">
        <f t="shared" si="18"/>
        <v/>
      </c>
      <c r="BB1582" s="171" t="str">
        <f t="shared" si="19"/>
        <v>Code</v>
      </c>
      <c r="BC1582" s="171" t="str">
        <f t="shared" si="20"/>
        <v/>
      </c>
      <c r="BD1582" s="171" t="str">
        <f t="shared" si="21"/>
        <v/>
      </c>
      <c r="BE1582" s="171" t="str">
        <f t="shared" si="22"/>
        <v/>
      </c>
      <c r="BF1582" s="171" t="str">
        <f t="shared" si="23"/>
        <v>Code</v>
      </c>
    </row>
    <row r="1583">
      <c r="A1583" s="171">
        <f t="array" ref="A1583">XLOOKUP(C1583,FSE!A:A,FSE!C:C,"XXXXX",0,1)</f>
        <v>2021</v>
      </c>
      <c r="B1583" s="213" t="s">
        <v>5676</v>
      </c>
      <c r="C1583" s="214">
        <v>284.0</v>
      </c>
      <c r="D1583" s="215" t="s">
        <v>4916</v>
      </c>
      <c r="E1583" s="197" t="str">
        <f t="array" ref="E1583">XLOOKUP(C1583,FSE!A:A,FSE!Z:Z,"XXXXX",0,1)</f>
        <v>Publicly Available (1)</v>
      </c>
      <c r="F1583" s="213" t="s">
        <v>3394</v>
      </c>
      <c r="G1583" s="163" t="str">
        <f t="array" ref="G1583">IF(B1583="ICSE",IF(COUNTIFS(B:B,B1583,C:C,C1583)=XLOOKUP(C1583,ICSE!A:A,ICSE!AA:AA,"ERROR",0,1),"OK","ERROR"),IF(B1583="FSE",IF(COUNTIFS(B:B,B1583,C:C,C1583)=XLOOKUP(C1583,FSE!A:A,FSE!AA:AA,"ERROR",0,1),"OK","ERROR")))</f>
        <v>OK</v>
      </c>
      <c r="H1583" s="199">
        <f t="shared" ref="H1583:O1583" si="7994">countif($D1583,"*"&amp;H$2&amp;"*")</f>
        <v>0</v>
      </c>
      <c r="I1583" s="200">
        <f t="shared" si="7994"/>
        <v>0</v>
      </c>
      <c r="J1583" s="200">
        <f t="shared" si="7994"/>
        <v>0</v>
      </c>
      <c r="K1583" s="200">
        <f t="shared" si="7994"/>
        <v>0</v>
      </c>
      <c r="L1583" s="200">
        <f t="shared" si="7994"/>
        <v>0</v>
      </c>
      <c r="M1583" s="200">
        <f t="shared" si="7994"/>
        <v>0</v>
      </c>
      <c r="N1583" s="200">
        <f t="shared" si="7994"/>
        <v>0</v>
      </c>
      <c r="O1583" s="200">
        <f t="shared" si="7994"/>
        <v>0</v>
      </c>
      <c r="P1583" s="200">
        <f t="shared" si="9"/>
        <v>1</v>
      </c>
      <c r="Q1583" s="200">
        <f t="shared" ref="Q1583:AC1583" si="7995">countif($D1583,"*"&amp;Q$2&amp;"*")</f>
        <v>0</v>
      </c>
      <c r="R1583" s="200">
        <f t="shared" si="7995"/>
        <v>0</v>
      </c>
      <c r="S1583" s="200">
        <f t="shared" si="7995"/>
        <v>0</v>
      </c>
      <c r="T1583" s="200">
        <f t="shared" si="7995"/>
        <v>0</v>
      </c>
      <c r="U1583" s="200">
        <f t="shared" si="7995"/>
        <v>0</v>
      </c>
      <c r="V1583" s="200">
        <f t="shared" si="7995"/>
        <v>0</v>
      </c>
      <c r="W1583" s="200">
        <f t="shared" si="7995"/>
        <v>0</v>
      </c>
      <c r="X1583" s="200">
        <f t="shared" si="7995"/>
        <v>0</v>
      </c>
      <c r="Y1583" s="200">
        <f t="shared" si="7995"/>
        <v>0</v>
      </c>
      <c r="Z1583" s="200">
        <f t="shared" si="7995"/>
        <v>0</v>
      </c>
      <c r="AA1583" s="200">
        <f t="shared" si="7995"/>
        <v>0</v>
      </c>
      <c r="AB1583" s="200">
        <f t="shared" si="7995"/>
        <v>0</v>
      </c>
      <c r="AC1583" s="200">
        <f t="shared" si="7995"/>
        <v>0</v>
      </c>
      <c r="AD1583" s="200">
        <f t="shared" si="11"/>
        <v>0</v>
      </c>
      <c r="AE1583" s="200">
        <f t="shared" ref="AE1583:AG1583" si="7996">countif($D1583,"*"&amp;AE$2&amp;"*")</f>
        <v>0</v>
      </c>
      <c r="AF1583" s="200">
        <f t="shared" si="7996"/>
        <v>0</v>
      </c>
      <c r="AG1583" s="200">
        <f t="shared" si="7996"/>
        <v>0</v>
      </c>
      <c r="AH1583" s="171">
        <f t="shared" si="13"/>
        <v>0</v>
      </c>
      <c r="AI1583" s="200">
        <f t="shared" si="14"/>
        <v>0</v>
      </c>
      <c r="AJ1583" s="200">
        <f t="shared" si="6100"/>
        <v>0</v>
      </c>
      <c r="AK1583" s="201">
        <f t="shared" ref="AK1583:AS1583" si="7997">countif($D1583,"*"&amp;AK$2&amp;"*")</f>
        <v>0</v>
      </c>
      <c r="AL1583" s="201">
        <f t="shared" si="7997"/>
        <v>0</v>
      </c>
      <c r="AM1583" s="201">
        <f t="shared" si="7997"/>
        <v>0</v>
      </c>
      <c r="AN1583" s="201">
        <f t="shared" si="7997"/>
        <v>0</v>
      </c>
      <c r="AO1583" s="201">
        <f t="shared" si="7997"/>
        <v>0</v>
      </c>
      <c r="AP1583" s="201">
        <f t="shared" si="7997"/>
        <v>0</v>
      </c>
      <c r="AQ1583" s="201">
        <f t="shared" si="7997"/>
        <v>0</v>
      </c>
      <c r="AR1583" s="200">
        <f t="shared" si="7997"/>
        <v>0</v>
      </c>
      <c r="AS1583" s="200">
        <f t="shared" si="7997"/>
        <v>0</v>
      </c>
      <c r="AT1583" s="173">
        <v>0.0</v>
      </c>
      <c r="AU1583" s="200">
        <f t="shared" si="6217"/>
        <v>0</v>
      </c>
      <c r="AV1583" s="200">
        <f t="shared" ref="AV1583:AX1583" si="7998">countif($D1583,"*"&amp;AV$2&amp;"*")</f>
        <v>1</v>
      </c>
      <c r="AW1583" s="200">
        <f t="shared" si="7998"/>
        <v>0</v>
      </c>
      <c r="AX1583" s="200">
        <f t="shared" si="7998"/>
        <v>0</v>
      </c>
      <c r="AY1583" s="202">
        <v>0.0</v>
      </c>
      <c r="AZ1583" s="200"/>
      <c r="BA1583" s="171" t="str">
        <f t="shared" si="18"/>
        <v/>
      </c>
      <c r="BB1583" s="171" t="str">
        <f t="shared" si="19"/>
        <v>Code</v>
      </c>
      <c r="BC1583" s="171" t="str">
        <f t="shared" si="20"/>
        <v/>
      </c>
      <c r="BD1583" s="171" t="str">
        <f t="shared" si="21"/>
        <v/>
      </c>
      <c r="BE1583" s="171" t="str">
        <f t="shared" si="22"/>
        <v/>
      </c>
      <c r="BF1583" s="171" t="str">
        <f t="shared" si="23"/>
        <v>Code</v>
      </c>
    </row>
    <row r="1584">
      <c r="A1584" s="171">
        <f t="array" ref="A1584">XLOOKUP(C1584,FSE!A:A,FSE!C:C,"XXXXX",0,1)</f>
        <v>2021</v>
      </c>
      <c r="B1584" s="213" t="s">
        <v>5676</v>
      </c>
      <c r="C1584" s="214">
        <v>285.0</v>
      </c>
      <c r="D1584" s="215" t="s">
        <v>4918</v>
      </c>
      <c r="E1584" s="197" t="str">
        <f t="array" ref="E1584">XLOOKUP(C1584,FSE!A:A,FSE!Z:Z,"XXXXX",0,1)</f>
        <v>Publicly Available (1)</v>
      </c>
      <c r="F1584" s="213" t="s">
        <v>3394</v>
      </c>
      <c r="G1584" s="163" t="str">
        <f t="array" ref="G1584">IF(B1584="ICSE",IF(COUNTIFS(B:B,B1584,C:C,C1584)=XLOOKUP(C1584,ICSE!A:A,ICSE!AA:AA,"ERROR",0,1),"OK","ERROR"),IF(B1584="FSE",IF(COUNTIFS(B:B,B1584,C:C,C1584)=XLOOKUP(C1584,FSE!A:A,FSE!AA:AA,"ERROR",0,1),"OK","ERROR")))</f>
        <v>OK</v>
      </c>
      <c r="H1584" s="199">
        <f t="shared" ref="H1584:O1584" si="7999">countif($D1584,"*"&amp;H$2&amp;"*")</f>
        <v>0</v>
      </c>
      <c r="I1584" s="200">
        <f t="shared" si="7999"/>
        <v>0</v>
      </c>
      <c r="J1584" s="200">
        <f t="shared" si="7999"/>
        <v>0</v>
      </c>
      <c r="K1584" s="200">
        <f t="shared" si="7999"/>
        <v>0</v>
      </c>
      <c r="L1584" s="200">
        <f t="shared" si="7999"/>
        <v>0</v>
      </c>
      <c r="M1584" s="200">
        <f t="shared" si="7999"/>
        <v>0</v>
      </c>
      <c r="N1584" s="200">
        <f t="shared" si="7999"/>
        <v>0</v>
      </c>
      <c r="O1584" s="200">
        <f t="shared" si="7999"/>
        <v>0</v>
      </c>
      <c r="P1584" s="200">
        <f t="shared" si="9"/>
        <v>1</v>
      </c>
      <c r="Q1584" s="200">
        <f t="shared" ref="Q1584:AC1584" si="8000">countif($D1584,"*"&amp;Q$2&amp;"*")</f>
        <v>0</v>
      </c>
      <c r="R1584" s="200">
        <f t="shared" si="8000"/>
        <v>0</v>
      </c>
      <c r="S1584" s="200">
        <f t="shared" si="8000"/>
        <v>0</v>
      </c>
      <c r="T1584" s="200">
        <f t="shared" si="8000"/>
        <v>0</v>
      </c>
      <c r="U1584" s="200">
        <f t="shared" si="8000"/>
        <v>0</v>
      </c>
      <c r="V1584" s="200">
        <f t="shared" si="8000"/>
        <v>0</v>
      </c>
      <c r="W1584" s="200">
        <f t="shared" si="8000"/>
        <v>0</v>
      </c>
      <c r="X1584" s="200">
        <f t="shared" si="8000"/>
        <v>0</v>
      </c>
      <c r="Y1584" s="200">
        <f t="shared" si="8000"/>
        <v>0</v>
      </c>
      <c r="Z1584" s="200">
        <f t="shared" si="8000"/>
        <v>0</v>
      </c>
      <c r="AA1584" s="200">
        <f t="shared" si="8000"/>
        <v>0</v>
      </c>
      <c r="AB1584" s="200">
        <f t="shared" si="8000"/>
        <v>0</v>
      </c>
      <c r="AC1584" s="200">
        <f t="shared" si="8000"/>
        <v>0</v>
      </c>
      <c r="AD1584" s="200">
        <f t="shared" si="11"/>
        <v>0</v>
      </c>
      <c r="AE1584" s="200">
        <f t="shared" ref="AE1584:AG1584" si="8001">countif($D1584,"*"&amp;AE$2&amp;"*")</f>
        <v>0</v>
      </c>
      <c r="AF1584" s="200">
        <f t="shared" si="8001"/>
        <v>0</v>
      </c>
      <c r="AG1584" s="200">
        <f t="shared" si="8001"/>
        <v>0</v>
      </c>
      <c r="AH1584" s="171">
        <f t="shared" si="13"/>
        <v>0</v>
      </c>
      <c r="AI1584" s="200">
        <f t="shared" si="14"/>
        <v>0</v>
      </c>
      <c r="AJ1584" s="200">
        <f t="shared" si="6100"/>
        <v>0</v>
      </c>
      <c r="AK1584" s="201">
        <f t="shared" ref="AK1584:AS1584" si="8002">countif($D1584,"*"&amp;AK$2&amp;"*")</f>
        <v>0</v>
      </c>
      <c r="AL1584" s="201">
        <f t="shared" si="8002"/>
        <v>0</v>
      </c>
      <c r="AM1584" s="201">
        <f t="shared" si="8002"/>
        <v>0</v>
      </c>
      <c r="AN1584" s="201">
        <f t="shared" si="8002"/>
        <v>0</v>
      </c>
      <c r="AO1584" s="201">
        <f t="shared" si="8002"/>
        <v>0</v>
      </c>
      <c r="AP1584" s="201">
        <f t="shared" si="8002"/>
        <v>0</v>
      </c>
      <c r="AQ1584" s="201">
        <f t="shared" si="8002"/>
        <v>0</v>
      </c>
      <c r="AR1584" s="200">
        <f t="shared" si="8002"/>
        <v>0</v>
      </c>
      <c r="AS1584" s="200">
        <f t="shared" si="8002"/>
        <v>0</v>
      </c>
      <c r="AT1584" s="173">
        <v>0.0</v>
      </c>
      <c r="AU1584" s="200">
        <f t="shared" si="6217"/>
        <v>0</v>
      </c>
      <c r="AV1584" s="200">
        <f t="shared" ref="AV1584:AX1584" si="8003">countif($D1584,"*"&amp;AV$2&amp;"*")</f>
        <v>1</v>
      </c>
      <c r="AW1584" s="200">
        <f t="shared" si="8003"/>
        <v>0</v>
      </c>
      <c r="AX1584" s="200">
        <f t="shared" si="8003"/>
        <v>0</v>
      </c>
      <c r="AY1584" s="202">
        <v>0.0</v>
      </c>
      <c r="AZ1584" s="200"/>
      <c r="BA1584" s="171" t="str">
        <f t="shared" si="18"/>
        <v/>
      </c>
      <c r="BB1584" s="171" t="str">
        <f t="shared" si="19"/>
        <v>Code</v>
      </c>
      <c r="BC1584" s="171" t="str">
        <f t="shared" si="20"/>
        <v/>
      </c>
      <c r="BD1584" s="171" t="str">
        <f t="shared" si="21"/>
        <v/>
      </c>
      <c r="BE1584" s="171" t="str">
        <f t="shared" si="22"/>
        <v/>
      </c>
      <c r="BF1584" s="171" t="str">
        <f t="shared" si="23"/>
        <v>Code</v>
      </c>
    </row>
    <row r="1585">
      <c r="A1585" s="171">
        <f t="array" ref="A1585">XLOOKUP(C1585,FSE!A:A,FSE!C:C,"XXXXX",0,1)</f>
        <v>2021</v>
      </c>
      <c r="B1585" s="213" t="s">
        <v>5676</v>
      </c>
      <c r="C1585" s="214">
        <v>286.0</v>
      </c>
      <c r="D1585" s="215" t="s">
        <v>4920</v>
      </c>
      <c r="E1585" s="197" t="str">
        <f t="array" ref="E1585">XLOOKUP(C1585,FSE!A:A,FSE!Z:Z,"XXXXX",0,1)</f>
        <v>Publicly Available (1)</v>
      </c>
      <c r="F1585" s="213" t="s">
        <v>3394</v>
      </c>
      <c r="G1585" s="163" t="str">
        <f t="array" ref="G1585">IF(B1585="ICSE",IF(COUNTIFS(B:B,B1585,C:C,C1585)=XLOOKUP(C1585,ICSE!A:A,ICSE!AA:AA,"ERROR",0,1),"OK","ERROR"),IF(B1585="FSE",IF(COUNTIFS(B:B,B1585,C:C,C1585)=XLOOKUP(C1585,FSE!A:A,FSE!AA:AA,"ERROR",0,1),"OK","ERROR")))</f>
        <v>OK</v>
      </c>
      <c r="H1585" s="199">
        <f t="shared" ref="H1585:O1585" si="8004">countif($D1585,"*"&amp;H$2&amp;"*")</f>
        <v>0</v>
      </c>
      <c r="I1585" s="200">
        <f t="shared" si="8004"/>
        <v>0</v>
      </c>
      <c r="J1585" s="200">
        <f t="shared" si="8004"/>
        <v>0</v>
      </c>
      <c r="K1585" s="200">
        <f t="shared" si="8004"/>
        <v>0</v>
      </c>
      <c r="L1585" s="200">
        <f t="shared" si="8004"/>
        <v>0</v>
      </c>
      <c r="M1585" s="200">
        <f t="shared" si="8004"/>
        <v>0</v>
      </c>
      <c r="N1585" s="200">
        <f t="shared" si="8004"/>
        <v>0</v>
      </c>
      <c r="O1585" s="200">
        <f t="shared" si="8004"/>
        <v>0</v>
      </c>
      <c r="P1585" s="200">
        <f t="shared" si="9"/>
        <v>1</v>
      </c>
      <c r="Q1585" s="200">
        <f t="shared" ref="Q1585:AC1585" si="8005">countif($D1585,"*"&amp;Q$2&amp;"*")</f>
        <v>0</v>
      </c>
      <c r="R1585" s="200">
        <f t="shared" si="8005"/>
        <v>0</v>
      </c>
      <c r="S1585" s="200">
        <f t="shared" si="8005"/>
        <v>0</v>
      </c>
      <c r="T1585" s="200">
        <f t="shared" si="8005"/>
        <v>0</v>
      </c>
      <c r="U1585" s="200">
        <f t="shared" si="8005"/>
        <v>0</v>
      </c>
      <c r="V1585" s="200">
        <f t="shared" si="8005"/>
        <v>0</v>
      </c>
      <c r="W1585" s="200">
        <f t="shared" si="8005"/>
        <v>0</v>
      </c>
      <c r="X1585" s="200">
        <f t="shared" si="8005"/>
        <v>0</v>
      </c>
      <c r="Y1585" s="200">
        <f t="shared" si="8005"/>
        <v>0</v>
      </c>
      <c r="Z1585" s="200">
        <f t="shared" si="8005"/>
        <v>0</v>
      </c>
      <c r="AA1585" s="200">
        <f t="shared" si="8005"/>
        <v>0</v>
      </c>
      <c r="AB1585" s="200">
        <f t="shared" si="8005"/>
        <v>0</v>
      </c>
      <c r="AC1585" s="200">
        <f t="shared" si="8005"/>
        <v>0</v>
      </c>
      <c r="AD1585" s="200">
        <f t="shared" si="11"/>
        <v>0</v>
      </c>
      <c r="AE1585" s="200">
        <f t="shared" ref="AE1585:AG1585" si="8006">countif($D1585,"*"&amp;AE$2&amp;"*")</f>
        <v>0</v>
      </c>
      <c r="AF1585" s="200">
        <f t="shared" si="8006"/>
        <v>0</v>
      </c>
      <c r="AG1585" s="200">
        <f t="shared" si="8006"/>
        <v>0</v>
      </c>
      <c r="AH1585" s="171">
        <f t="shared" si="13"/>
        <v>0</v>
      </c>
      <c r="AI1585" s="200">
        <f t="shared" si="14"/>
        <v>0</v>
      </c>
      <c r="AJ1585" s="200">
        <f t="shared" si="6100"/>
        <v>0</v>
      </c>
      <c r="AK1585" s="201">
        <f t="shared" ref="AK1585:AS1585" si="8007">countif($D1585,"*"&amp;AK$2&amp;"*")</f>
        <v>0</v>
      </c>
      <c r="AL1585" s="201">
        <f t="shared" si="8007"/>
        <v>0</v>
      </c>
      <c r="AM1585" s="201">
        <f t="shared" si="8007"/>
        <v>0</v>
      </c>
      <c r="AN1585" s="201">
        <f t="shared" si="8007"/>
        <v>0</v>
      </c>
      <c r="AO1585" s="201">
        <f t="shared" si="8007"/>
        <v>0</v>
      </c>
      <c r="AP1585" s="201">
        <f t="shared" si="8007"/>
        <v>0</v>
      </c>
      <c r="AQ1585" s="201">
        <f t="shared" si="8007"/>
        <v>0</v>
      </c>
      <c r="AR1585" s="200">
        <f t="shared" si="8007"/>
        <v>0</v>
      </c>
      <c r="AS1585" s="200">
        <f t="shared" si="8007"/>
        <v>0</v>
      </c>
      <c r="AT1585" s="173">
        <v>0.0</v>
      </c>
      <c r="AU1585" s="200">
        <f t="shared" si="6217"/>
        <v>0</v>
      </c>
      <c r="AV1585" s="200">
        <f t="shared" ref="AV1585:AX1585" si="8008">countif($D1585,"*"&amp;AV$2&amp;"*")</f>
        <v>1</v>
      </c>
      <c r="AW1585" s="200">
        <f t="shared" si="8008"/>
        <v>0</v>
      </c>
      <c r="AX1585" s="200">
        <f t="shared" si="8008"/>
        <v>0</v>
      </c>
      <c r="AY1585" s="202">
        <v>0.0</v>
      </c>
      <c r="AZ1585" s="200"/>
      <c r="BA1585" s="171" t="str">
        <f t="shared" si="18"/>
        <v/>
      </c>
      <c r="BB1585" s="171" t="str">
        <f t="shared" si="19"/>
        <v>Code</v>
      </c>
      <c r="BC1585" s="171" t="str">
        <f t="shared" si="20"/>
        <v/>
      </c>
      <c r="BD1585" s="171" t="str">
        <f t="shared" si="21"/>
        <v/>
      </c>
      <c r="BE1585" s="171" t="str">
        <f t="shared" si="22"/>
        <v/>
      </c>
      <c r="BF1585" s="171" t="str">
        <f t="shared" si="23"/>
        <v>Code</v>
      </c>
    </row>
    <row r="1586">
      <c r="A1586" s="171">
        <f t="array" ref="A1586">XLOOKUP(C1586,FSE!A:A,FSE!C:C,"XXXXX",0,1)</f>
        <v>2021</v>
      </c>
      <c r="B1586" s="213" t="s">
        <v>5676</v>
      </c>
      <c r="C1586" s="214">
        <v>287.0</v>
      </c>
      <c r="D1586" s="215" t="s">
        <v>4923</v>
      </c>
      <c r="E1586" s="197" t="str">
        <f t="array" ref="E1586">XLOOKUP(C1586,FSE!A:A,FSE!Z:Z,"XXXXX",0,1)</f>
        <v>Publicly Available (1)</v>
      </c>
      <c r="F1586" s="213" t="s">
        <v>3394</v>
      </c>
      <c r="G1586" s="163" t="str">
        <f t="array" ref="G1586">IF(B1586="ICSE",IF(COUNTIFS(B:B,B1586,C:C,C1586)=XLOOKUP(C1586,ICSE!A:A,ICSE!AA:AA,"ERROR",0,1),"OK","ERROR"),IF(B1586="FSE",IF(COUNTIFS(B:B,B1586,C:C,C1586)=XLOOKUP(C1586,FSE!A:A,FSE!AA:AA,"ERROR",0,1),"OK","ERROR")))</f>
        <v>OK</v>
      </c>
      <c r="H1586" s="199">
        <f t="shared" ref="H1586:O1586" si="8009">countif($D1586,"*"&amp;H$2&amp;"*")</f>
        <v>0</v>
      </c>
      <c r="I1586" s="200">
        <f t="shared" si="8009"/>
        <v>0</v>
      </c>
      <c r="J1586" s="200">
        <f t="shared" si="8009"/>
        <v>0</v>
      </c>
      <c r="K1586" s="200">
        <f t="shared" si="8009"/>
        <v>0</v>
      </c>
      <c r="L1586" s="200">
        <f t="shared" si="8009"/>
        <v>0</v>
      </c>
      <c r="M1586" s="200">
        <f t="shared" si="8009"/>
        <v>0</v>
      </c>
      <c r="N1586" s="200">
        <f t="shared" si="8009"/>
        <v>0</v>
      </c>
      <c r="O1586" s="200">
        <f t="shared" si="8009"/>
        <v>0</v>
      </c>
      <c r="P1586" s="200">
        <f t="shared" si="9"/>
        <v>1</v>
      </c>
      <c r="Q1586" s="200">
        <f t="shared" ref="Q1586:AC1586" si="8010">countif($D1586,"*"&amp;Q$2&amp;"*")</f>
        <v>0</v>
      </c>
      <c r="R1586" s="200">
        <f t="shared" si="8010"/>
        <v>0</v>
      </c>
      <c r="S1586" s="200">
        <f t="shared" si="8010"/>
        <v>0</v>
      </c>
      <c r="T1586" s="200">
        <f t="shared" si="8010"/>
        <v>0</v>
      </c>
      <c r="U1586" s="200">
        <f t="shared" si="8010"/>
        <v>0</v>
      </c>
      <c r="V1586" s="200">
        <f t="shared" si="8010"/>
        <v>0</v>
      </c>
      <c r="W1586" s="200">
        <f t="shared" si="8010"/>
        <v>0</v>
      </c>
      <c r="X1586" s="200">
        <f t="shared" si="8010"/>
        <v>0</v>
      </c>
      <c r="Y1586" s="200">
        <f t="shared" si="8010"/>
        <v>0</v>
      </c>
      <c r="Z1586" s="200">
        <f t="shared" si="8010"/>
        <v>0</v>
      </c>
      <c r="AA1586" s="200">
        <f t="shared" si="8010"/>
        <v>0</v>
      </c>
      <c r="AB1586" s="200">
        <f t="shared" si="8010"/>
        <v>0</v>
      </c>
      <c r="AC1586" s="200">
        <f t="shared" si="8010"/>
        <v>0</v>
      </c>
      <c r="AD1586" s="200">
        <f t="shared" si="11"/>
        <v>0</v>
      </c>
      <c r="AE1586" s="200">
        <f t="shared" ref="AE1586:AG1586" si="8011">countif($D1586,"*"&amp;AE$2&amp;"*")</f>
        <v>0</v>
      </c>
      <c r="AF1586" s="200">
        <f t="shared" si="8011"/>
        <v>0</v>
      </c>
      <c r="AG1586" s="200">
        <f t="shared" si="8011"/>
        <v>0</v>
      </c>
      <c r="AH1586" s="171">
        <f t="shared" si="13"/>
        <v>0</v>
      </c>
      <c r="AI1586" s="200">
        <f t="shared" si="14"/>
        <v>0</v>
      </c>
      <c r="AJ1586" s="200">
        <f t="shared" si="6100"/>
        <v>0</v>
      </c>
      <c r="AK1586" s="201">
        <f t="shared" ref="AK1586:AS1586" si="8012">countif($D1586,"*"&amp;AK$2&amp;"*")</f>
        <v>0</v>
      </c>
      <c r="AL1586" s="201">
        <f t="shared" si="8012"/>
        <v>0</v>
      </c>
      <c r="AM1586" s="201">
        <f t="shared" si="8012"/>
        <v>0</v>
      </c>
      <c r="AN1586" s="201">
        <f t="shared" si="8012"/>
        <v>0</v>
      </c>
      <c r="AO1586" s="201">
        <f t="shared" si="8012"/>
        <v>0</v>
      </c>
      <c r="AP1586" s="201">
        <f t="shared" si="8012"/>
        <v>0</v>
      </c>
      <c r="AQ1586" s="201">
        <f t="shared" si="8012"/>
        <v>0</v>
      </c>
      <c r="AR1586" s="200">
        <f t="shared" si="8012"/>
        <v>0</v>
      </c>
      <c r="AS1586" s="200">
        <f t="shared" si="8012"/>
        <v>0</v>
      </c>
      <c r="AT1586" s="173">
        <v>0.0</v>
      </c>
      <c r="AU1586" s="200">
        <f t="shared" si="6217"/>
        <v>0</v>
      </c>
      <c r="AV1586" s="200">
        <f t="shared" ref="AV1586:AX1586" si="8013">countif($D1586,"*"&amp;AV$2&amp;"*")</f>
        <v>1</v>
      </c>
      <c r="AW1586" s="200">
        <f t="shared" si="8013"/>
        <v>0</v>
      </c>
      <c r="AX1586" s="200">
        <f t="shared" si="8013"/>
        <v>0</v>
      </c>
      <c r="AY1586" s="202">
        <v>0.0</v>
      </c>
      <c r="AZ1586" s="200"/>
      <c r="BA1586" s="171" t="str">
        <f t="shared" si="18"/>
        <v/>
      </c>
      <c r="BB1586" s="171" t="str">
        <f t="shared" si="19"/>
        <v>Code</v>
      </c>
      <c r="BC1586" s="171" t="str">
        <f t="shared" si="20"/>
        <v/>
      </c>
      <c r="BD1586" s="171" t="str">
        <f t="shared" si="21"/>
        <v/>
      </c>
      <c r="BE1586" s="171" t="str">
        <f t="shared" si="22"/>
        <v/>
      </c>
      <c r="BF1586" s="171" t="str">
        <f t="shared" si="23"/>
        <v>Code</v>
      </c>
    </row>
    <row r="1587">
      <c r="A1587" s="171">
        <f t="array" ref="A1587">XLOOKUP(C1587,FSE!A:A,FSE!C:C,"XXXXX",0,1)</f>
        <v>2021</v>
      </c>
      <c r="B1587" s="213" t="s">
        <v>5676</v>
      </c>
      <c r="C1587" s="214">
        <v>289.0</v>
      </c>
      <c r="D1587" s="215" t="s">
        <v>4927</v>
      </c>
      <c r="E1587" s="197" t="str">
        <f t="array" ref="E1587">XLOOKUP(C1587,FSE!A:A,FSE!Z:Z,"XXXXX",0,1)</f>
        <v>Publicly Available (1)</v>
      </c>
      <c r="F1587" s="213" t="s">
        <v>3394</v>
      </c>
      <c r="G1587" s="163" t="str">
        <f t="array" ref="G1587">IF(B1587="ICSE",IF(COUNTIFS(B:B,B1587,C:C,C1587)=XLOOKUP(C1587,ICSE!A:A,ICSE!AA:AA,"ERROR",0,1),"OK","ERROR"),IF(B1587="FSE",IF(COUNTIFS(B:B,B1587,C:C,C1587)=XLOOKUP(C1587,FSE!A:A,FSE!AA:AA,"ERROR",0,1),"OK","ERROR")))</f>
        <v>OK</v>
      </c>
      <c r="H1587" s="199">
        <f t="shared" ref="H1587:O1587" si="8014">countif($D1587,"*"&amp;H$2&amp;"*")</f>
        <v>1</v>
      </c>
      <c r="I1587" s="200">
        <f t="shared" si="8014"/>
        <v>0</v>
      </c>
      <c r="J1587" s="200">
        <f t="shared" si="8014"/>
        <v>0</v>
      </c>
      <c r="K1587" s="200">
        <f t="shared" si="8014"/>
        <v>0</v>
      </c>
      <c r="L1587" s="200">
        <f t="shared" si="8014"/>
        <v>0</v>
      </c>
      <c r="M1587" s="200">
        <f t="shared" si="8014"/>
        <v>0</v>
      </c>
      <c r="N1587" s="200">
        <f t="shared" si="8014"/>
        <v>0</v>
      </c>
      <c r="O1587" s="200">
        <f t="shared" si="8014"/>
        <v>0</v>
      </c>
      <c r="P1587" s="200">
        <f t="shared" si="9"/>
        <v>0</v>
      </c>
      <c r="Q1587" s="200">
        <f t="shared" ref="Q1587:AC1587" si="8015">countif($D1587,"*"&amp;Q$2&amp;"*")</f>
        <v>0</v>
      </c>
      <c r="R1587" s="200">
        <f t="shared" si="8015"/>
        <v>0</v>
      </c>
      <c r="S1587" s="200">
        <f t="shared" si="8015"/>
        <v>0</v>
      </c>
      <c r="T1587" s="200">
        <f t="shared" si="8015"/>
        <v>0</v>
      </c>
      <c r="U1587" s="200">
        <f t="shared" si="8015"/>
        <v>0</v>
      </c>
      <c r="V1587" s="200">
        <f t="shared" si="8015"/>
        <v>0</v>
      </c>
      <c r="W1587" s="200">
        <f t="shared" si="8015"/>
        <v>0</v>
      </c>
      <c r="X1587" s="200">
        <f t="shared" si="8015"/>
        <v>0</v>
      </c>
      <c r="Y1587" s="200">
        <f t="shared" si="8015"/>
        <v>0</v>
      </c>
      <c r="Z1587" s="200">
        <f t="shared" si="8015"/>
        <v>0</v>
      </c>
      <c r="AA1587" s="200">
        <f t="shared" si="8015"/>
        <v>0</v>
      </c>
      <c r="AB1587" s="200">
        <f t="shared" si="8015"/>
        <v>0</v>
      </c>
      <c r="AC1587" s="200">
        <f t="shared" si="8015"/>
        <v>0</v>
      </c>
      <c r="AD1587" s="200">
        <f t="shared" si="11"/>
        <v>0</v>
      </c>
      <c r="AE1587" s="200">
        <f t="shared" ref="AE1587:AG1587" si="8016">countif($D1587,"*"&amp;AE$2&amp;"*")</f>
        <v>0</v>
      </c>
      <c r="AF1587" s="200">
        <f t="shared" si="8016"/>
        <v>0</v>
      </c>
      <c r="AG1587" s="200">
        <f t="shared" si="8016"/>
        <v>0</v>
      </c>
      <c r="AH1587" s="171">
        <f t="shared" si="13"/>
        <v>0</v>
      </c>
      <c r="AI1587" s="200">
        <f t="shared" si="14"/>
        <v>1</v>
      </c>
      <c r="AJ1587" s="200">
        <f t="shared" si="6100"/>
        <v>0</v>
      </c>
      <c r="AK1587" s="201">
        <f t="shared" ref="AK1587:AS1587" si="8017">countif($D1587,"*"&amp;AK$2&amp;"*")</f>
        <v>0</v>
      </c>
      <c r="AL1587" s="201">
        <f t="shared" si="8017"/>
        <v>0</v>
      </c>
      <c r="AM1587" s="201">
        <f t="shared" si="8017"/>
        <v>0</v>
      </c>
      <c r="AN1587" s="201">
        <f t="shared" si="8017"/>
        <v>0</v>
      </c>
      <c r="AO1587" s="201">
        <f t="shared" si="8017"/>
        <v>0</v>
      </c>
      <c r="AP1587" s="201">
        <f t="shared" si="8017"/>
        <v>0</v>
      </c>
      <c r="AQ1587" s="201">
        <f t="shared" si="8017"/>
        <v>0</v>
      </c>
      <c r="AR1587" s="200">
        <f t="shared" si="8017"/>
        <v>0</v>
      </c>
      <c r="AS1587" s="200">
        <f t="shared" si="8017"/>
        <v>0</v>
      </c>
      <c r="AT1587" s="173">
        <v>0.0</v>
      </c>
      <c r="AU1587" s="200">
        <f t="shared" si="6217"/>
        <v>0</v>
      </c>
      <c r="AV1587" s="200">
        <f t="shared" ref="AV1587:AX1587" si="8018">countif($D1587,"*"&amp;AV$2&amp;"*")</f>
        <v>0</v>
      </c>
      <c r="AW1587" s="200">
        <f t="shared" si="8018"/>
        <v>0</v>
      </c>
      <c r="AX1587" s="200">
        <f t="shared" si="8018"/>
        <v>0</v>
      </c>
      <c r="AY1587" s="204">
        <v>1.0</v>
      </c>
      <c r="AZ1587" s="200"/>
      <c r="BA1587" s="171" t="str">
        <f t="shared" si="18"/>
        <v>Archival</v>
      </c>
      <c r="BB1587" s="171" t="str">
        <f t="shared" si="19"/>
        <v/>
      </c>
      <c r="BC1587" s="171" t="str">
        <f t="shared" si="20"/>
        <v/>
      </c>
      <c r="BD1587" s="171" t="str">
        <f t="shared" si="21"/>
        <v/>
      </c>
      <c r="BE1587" s="171" t="str">
        <f t="shared" si="22"/>
        <v/>
      </c>
      <c r="BF1587" s="171" t="str">
        <f t="shared" si="23"/>
        <v>Archival</v>
      </c>
    </row>
    <row r="1588">
      <c r="A1588" s="171">
        <f t="array" ref="A1588">XLOOKUP(C1588,FSE!A:A,FSE!C:C,"XXXXX",0,1)</f>
        <v>2021</v>
      </c>
      <c r="B1588" s="213" t="s">
        <v>5676</v>
      </c>
      <c r="C1588" s="214">
        <v>291.0</v>
      </c>
      <c r="D1588" s="215" t="s">
        <v>4931</v>
      </c>
      <c r="E1588" s="197" t="str">
        <f t="array" ref="E1588">XLOOKUP(C1588,FSE!A:A,FSE!Z:Z,"XXXXX",0,1)</f>
        <v>Publicly Available (1)</v>
      </c>
      <c r="F1588" s="213" t="s">
        <v>3394</v>
      </c>
      <c r="G1588" s="163" t="str">
        <f t="array" ref="G1588">IF(B1588="ICSE",IF(COUNTIFS(B:B,B1588,C:C,C1588)=XLOOKUP(C1588,ICSE!A:A,ICSE!AA:AA,"ERROR",0,1),"OK","ERROR"),IF(B1588="FSE",IF(COUNTIFS(B:B,B1588,C:C,C1588)=XLOOKUP(C1588,FSE!A:A,FSE!AA:AA,"ERROR",0,1),"OK","ERROR")))</f>
        <v>OK</v>
      </c>
      <c r="H1588" s="199">
        <f t="shared" ref="H1588:O1588" si="8019">countif($D1588,"*"&amp;H$2&amp;"*")</f>
        <v>0</v>
      </c>
      <c r="I1588" s="200">
        <f t="shared" si="8019"/>
        <v>0</v>
      </c>
      <c r="J1588" s="200">
        <f t="shared" si="8019"/>
        <v>0</v>
      </c>
      <c r="K1588" s="200">
        <f t="shared" si="8019"/>
        <v>0</v>
      </c>
      <c r="L1588" s="200">
        <f t="shared" si="8019"/>
        <v>0</v>
      </c>
      <c r="M1588" s="200">
        <f t="shared" si="8019"/>
        <v>0</v>
      </c>
      <c r="N1588" s="200">
        <f t="shared" si="8019"/>
        <v>0</v>
      </c>
      <c r="O1588" s="200">
        <f t="shared" si="8019"/>
        <v>0</v>
      </c>
      <c r="P1588" s="200">
        <f t="shared" si="9"/>
        <v>1</v>
      </c>
      <c r="Q1588" s="200">
        <f t="shared" ref="Q1588:AC1588" si="8020">countif($D1588,"*"&amp;Q$2&amp;"*")</f>
        <v>0</v>
      </c>
      <c r="R1588" s="200">
        <f t="shared" si="8020"/>
        <v>0</v>
      </c>
      <c r="S1588" s="200">
        <f t="shared" si="8020"/>
        <v>0</v>
      </c>
      <c r="T1588" s="200">
        <f t="shared" si="8020"/>
        <v>0</v>
      </c>
      <c r="U1588" s="200">
        <f t="shared" si="8020"/>
        <v>0</v>
      </c>
      <c r="V1588" s="200">
        <f t="shared" si="8020"/>
        <v>0</v>
      </c>
      <c r="W1588" s="200">
        <f t="shared" si="8020"/>
        <v>0</v>
      </c>
      <c r="X1588" s="200">
        <f t="shared" si="8020"/>
        <v>0</v>
      </c>
      <c r="Y1588" s="200">
        <f t="shared" si="8020"/>
        <v>0</v>
      </c>
      <c r="Z1588" s="200">
        <f t="shared" si="8020"/>
        <v>0</v>
      </c>
      <c r="AA1588" s="200">
        <f t="shared" si="8020"/>
        <v>0</v>
      </c>
      <c r="AB1588" s="200">
        <f t="shared" si="8020"/>
        <v>0</v>
      </c>
      <c r="AC1588" s="200">
        <f t="shared" si="8020"/>
        <v>0</v>
      </c>
      <c r="AD1588" s="200">
        <f t="shared" si="11"/>
        <v>0</v>
      </c>
      <c r="AE1588" s="200">
        <f t="shared" ref="AE1588:AG1588" si="8021">countif($D1588,"*"&amp;AE$2&amp;"*")</f>
        <v>0</v>
      </c>
      <c r="AF1588" s="200">
        <f t="shared" si="8021"/>
        <v>0</v>
      </c>
      <c r="AG1588" s="200">
        <f t="shared" si="8021"/>
        <v>0</v>
      </c>
      <c r="AH1588" s="171">
        <f t="shared" si="13"/>
        <v>0</v>
      </c>
      <c r="AI1588" s="200">
        <f t="shared" si="14"/>
        <v>0</v>
      </c>
      <c r="AJ1588" s="200">
        <f t="shared" si="6100"/>
        <v>0</v>
      </c>
      <c r="AK1588" s="201">
        <f t="shared" ref="AK1588:AS1588" si="8022">countif($D1588,"*"&amp;AK$2&amp;"*")</f>
        <v>0</v>
      </c>
      <c r="AL1588" s="201">
        <f t="shared" si="8022"/>
        <v>0</v>
      </c>
      <c r="AM1588" s="201">
        <f t="shared" si="8022"/>
        <v>0</v>
      </c>
      <c r="AN1588" s="201">
        <f t="shared" si="8022"/>
        <v>0</v>
      </c>
      <c r="AO1588" s="201">
        <f t="shared" si="8022"/>
        <v>0</v>
      </c>
      <c r="AP1588" s="201">
        <f t="shared" si="8022"/>
        <v>0</v>
      </c>
      <c r="AQ1588" s="201">
        <f t="shared" si="8022"/>
        <v>0</v>
      </c>
      <c r="AR1588" s="200">
        <f t="shared" si="8022"/>
        <v>0</v>
      </c>
      <c r="AS1588" s="200">
        <f t="shared" si="8022"/>
        <v>0</v>
      </c>
      <c r="AT1588" s="173">
        <v>0.0</v>
      </c>
      <c r="AU1588" s="200">
        <f t="shared" si="6217"/>
        <v>0</v>
      </c>
      <c r="AV1588" s="200">
        <f t="shared" ref="AV1588:AX1588" si="8023">countif($D1588,"*"&amp;AV$2&amp;"*")</f>
        <v>1</v>
      </c>
      <c r="AW1588" s="200">
        <f t="shared" si="8023"/>
        <v>0</v>
      </c>
      <c r="AX1588" s="200">
        <f t="shared" si="8023"/>
        <v>0</v>
      </c>
      <c r="AY1588" s="202">
        <v>0.0</v>
      </c>
      <c r="AZ1588" s="200"/>
      <c r="BA1588" s="171" t="str">
        <f t="shared" si="18"/>
        <v/>
      </c>
      <c r="BB1588" s="171" t="str">
        <f t="shared" si="19"/>
        <v>Code</v>
      </c>
      <c r="BC1588" s="171" t="str">
        <f t="shared" si="20"/>
        <v/>
      </c>
      <c r="BD1588" s="171" t="str">
        <f t="shared" si="21"/>
        <v/>
      </c>
      <c r="BE1588" s="171" t="str">
        <f t="shared" si="22"/>
        <v/>
      </c>
      <c r="BF1588" s="171" t="str">
        <f t="shared" si="23"/>
        <v>Code</v>
      </c>
    </row>
    <row r="1589">
      <c r="A1589" s="171">
        <f t="array" ref="A1589">XLOOKUP(C1589,FSE!A:A,FSE!C:C,"XXXXX",0,1)</f>
        <v>2021</v>
      </c>
      <c r="B1589" s="213" t="s">
        <v>5676</v>
      </c>
      <c r="C1589" s="214">
        <v>292.0</v>
      </c>
      <c r="D1589" s="215" t="s">
        <v>4934</v>
      </c>
      <c r="E1589" s="197" t="str">
        <f t="array" ref="E1589">XLOOKUP(C1589,FSE!A:A,FSE!Z:Z,"XXXXX",0,1)</f>
        <v>Publicly Available (1)</v>
      </c>
      <c r="F1589" s="213" t="s">
        <v>3394</v>
      </c>
      <c r="G1589" s="163" t="str">
        <f t="array" ref="G1589">IF(B1589="ICSE",IF(COUNTIFS(B:B,B1589,C:C,C1589)=XLOOKUP(C1589,ICSE!A:A,ICSE!AA:AA,"ERROR",0,1),"OK","ERROR"),IF(B1589="FSE",IF(COUNTIFS(B:B,B1589,C:C,C1589)=XLOOKUP(C1589,FSE!A:A,FSE!AA:AA,"ERROR",0,1),"OK","ERROR")))</f>
        <v>OK</v>
      </c>
      <c r="H1589" s="199">
        <f t="shared" ref="H1589:O1589" si="8024">countif($D1589,"*"&amp;H$2&amp;"*")</f>
        <v>1</v>
      </c>
      <c r="I1589" s="200">
        <f t="shared" si="8024"/>
        <v>0</v>
      </c>
      <c r="J1589" s="200">
        <f t="shared" si="8024"/>
        <v>0</v>
      </c>
      <c r="K1589" s="200">
        <f t="shared" si="8024"/>
        <v>0</v>
      </c>
      <c r="L1589" s="200">
        <f t="shared" si="8024"/>
        <v>0</v>
      </c>
      <c r="M1589" s="200">
        <f t="shared" si="8024"/>
        <v>0</v>
      </c>
      <c r="N1589" s="200">
        <f t="shared" si="8024"/>
        <v>0</v>
      </c>
      <c r="O1589" s="200">
        <f t="shared" si="8024"/>
        <v>0</v>
      </c>
      <c r="P1589" s="200">
        <f t="shared" si="9"/>
        <v>0</v>
      </c>
      <c r="Q1589" s="200">
        <f t="shared" ref="Q1589:AC1589" si="8025">countif($D1589,"*"&amp;Q$2&amp;"*")</f>
        <v>0</v>
      </c>
      <c r="R1589" s="200">
        <f t="shared" si="8025"/>
        <v>0</v>
      </c>
      <c r="S1589" s="200">
        <f t="shared" si="8025"/>
        <v>0</v>
      </c>
      <c r="T1589" s="200">
        <f t="shared" si="8025"/>
        <v>0</v>
      </c>
      <c r="U1589" s="200">
        <f t="shared" si="8025"/>
        <v>0</v>
      </c>
      <c r="V1589" s="200">
        <f t="shared" si="8025"/>
        <v>0</v>
      </c>
      <c r="W1589" s="200">
        <f t="shared" si="8025"/>
        <v>0</v>
      </c>
      <c r="X1589" s="200">
        <f t="shared" si="8025"/>
        <v>0</v>
      </c>
      <c r="Y1589" s="200">
        <f t="shared" si="8025"/>
        <v>0</v>
      </c>
      <c r="Z1589" s="200">
        <f t="shared" si="8025"/>
        <v>0</v>
      </c>
      <c r="AA1589" s="200">
        <f t="shared" si="8025"/>
        <v>0</v>
      </c>
      <c r="AB1589" s="200">
        <f t="shared" si="8025"/>
        <v>0</v>
      </c>
      <c r="AC1589" s="200">
        <f t="shared" si="8025"/>
        <v>0</v>
      </c>
      <c r="AD1589" s="200">
        <f t="shared" si="11"/>
        <v>0</v>
      </c>
      <c r="AE1589" s="200">
        <f t="shared" ref="AE1589:AG1589" si="8026">countif($D1589,"*"&amp;AE$2&amp;"*")</f>
        <v>0</v>
      </c>
      <c r="AF1589" s="200">
        <f t="shared" si="8026"/>
        <v>0</v>
      </c>
      <c r="AG1589" s="200">
        <f t="shared" si="8026"/>
        <v>0</v>
      </c>
      <c r="AH1589" s="171">
        <f t="shared" si="13"/>
        <v>0</v>
      </c>
      <c r="AI1589" s="200">
        <f t="shared" si="14"/>
        <v>1</v>
      </c>
      <c r="AJ1589" s="200">
        <f t="shared" si="6100"/>
        <v>0</v>
      </c>
      <c r="AK1589" s="201">
        <f t="shared" ref="AK1589:AS1589" si="8027">countif($D1589,"*"&amp;AK$2&amp;"*")</f>
        <v>0</v>
      </c>
      <c r="AL1589" s="201">
        <f t="shared" si="8027"/>
        <v>0</v>
      </c>
      <c r="AM1589" s="201">
        <f t="shared" si="8027"/>
        <v>0</v>
      </c>
      <c r="AN1589" s="201">
        <f t="shared" si="8027"/>
        <v>0</v>
      </c>
      <c r="AO1589" s="201">
        <f t="shared" si="8027"/>
        <v>0</v>
      </c>
      <c r="AP1589" s="201">
        <f t="shared" si="8027"/>
        <v>0</v>
      </c>
      <c r="AQ1589" s="201">
        <f t="shared" si="8027"/>
        <v>0</v>
      </c>
      <c r="AR1589" s="200">
        <f t="shared" si="8027"/>
        <v>0</v>
      </c>
      <c r="AS1589" s="200">
        <f t="shared" si="8027"/>
        <v>0</v>
      </c>
      <c r="AT1589" s="173">
        <v>0.0</v>
      </c>
      <c r="AU1589" s="200">
        <f t="shared" si="6217"/>
        <v>0</v>
      </c>
      <c r="AV1589" s="200">
        <f t="shared" ref="AV1589:AX1589" si="8028">countif($D1589,"*"&amp;AV$2&amp;"*")</f>
        <v>0</v>
      </c>
      <c r="AW1589" s="200">
        <f t="shared" si="8028"/>
        <v>0</v>
      </c>
      <c r="AX1589" s="200">
        <f t="shared" si="8028"/>
        <v>0</v>
      </c>
      <c r="AY1589" s="204">
        <v>1.0</v>
      </c>
      <c r="AZ1589" s="200"/>
      <c r="BA1589" s="171" t="str">
        <f t="shared" si="18"/>
        <v>Archival</v>
      </c>
      <c r="BB1589" s="171" t="str">
        <f t="shared" si="19"/>
        <v/>
      </c>
      <c r="BC1589" s="171" t="str">
        <f t="shared" si="20"/>
        <v/>
      </c>
      <c r="BD1589" s="171" t="str">
        <f t="shared" si="21"/>
        <v/>
      </c>
      <c r="BE1589" s="171" t="str">
        <f t="shared" si="22"/>
        <v/>
      </c>
      <c r="BF1589" s="171" t="str">
        <f t="shared" si="23"/>
        <v>Archival</v>
      </c>
    </row>
    <row r="1590">
      <c r="A1590" s="171">
        <f t="array" ref="A1590">XLOOKUP(C1590,FSE!A:A,FSE!C:C,"XXXXX",0,1)</f>
        <v>2021</v>
      </c>
      <c r="B1590" s="213" t="s">
        <v>5676</v>
      </c>
      <c r="C1590" s="214">
        <v>293.0</v>
      </c>
      <c r="D1590" s="215" t="s">
        <v>6326</v>
      </c>
      <c r="E1590" s="197" t="str">
        <f t="array" ref="E1590">XLOOKUP(C1590,FSE!A:A,FSE!Z:Z,"XXXXX",0,1)</f>
        <v>Publicly Available (6)</v>
      </c>
      <c r="F1590" s="213" t="s">
        <v>3394</v>
      </c>
      <c r="G1590" s="163" t="str">
        <f t="array" ref="G1590">IF(B1590="ICSE",IF(COUNTIFS(B:B,B1590,C:C,C1590)=XLOOKUP(C1590,ICSE!A:A,ICSE!AA:AA,"ERROR",0,1),"OK","ERROR"),IF(B1590="FSE",IF(COUNTIFS(B:B,B1590,C:C,C1590)=XLOOKUP(C1590,FSE!A:A,FSE!AA:AA,"ERROR",0,1),"OK","ERROR")))</f>
        <v>OK</v>
      </c>
      <c r="H1590" s="199">
        <f t="shared" ref="H1590:O1590" si="8029">countif($D1590,"*"&amp;H$2&amp;"*")</f>
        <v>0</v>
      </c>
      <c r="I1590" s="200">
        <f t="shared" si="8029"/>
        <v>0</v>
      </c>
      <c r="J1590" s="200">
        <f t="shared" si="8029"/>
        <v>0</v>
      </c>
      <c r="K1590" s="200">
        <f t="shared" si="8029"/>
        <v>0</v>
      </c>
      <c r="L1590" s="200">
        <f t="shared" si="8029"/>
        <v>0</v>
      </c>
      <c r="M1590" s="200">
        <f t="shared" si="8029"/>
        <v>0</v>
      </c>
      <c r="N1590" s="200">
        <f t="shared" si="8029"/>
        <v>0</v>
      </c>
      <c r="O1590" s="200">
        <f t="shared" si="8029"/>
        <v>0</v>
      </c>
      <c r="P1590" s="200">
        <f t="shared" si="9"/>
        <v>1</v>
      </c>
      <c r="Q1590" s="200">
        <f t="shared" ref="Q1590:AC1590" si="8030">countif($D1590,"*"&amp;Q$2&amp;"*")</f>
        <v>0</v>
      </c>
      <c r="R1590" s="200">
        <f t="shared" si="8030"/>
        <v>0</v>
      </c>
      <c r="S1590" s="200">
        <f t="shared" si="8030"/>
        <v>0</v>
      </c>
      <c r="T1590" s="200">
        <f t="shared" si="8030"/>
        <v>0</v>
      </c>
      <c r="U1590" s="200">
        <f t="shared" si="8030"/>
        <v>0</v>
      </c>
      <c r="V1590" s="200">
        <f t="shared" si="8030"/>
        <v>0</v>
      </c>
      <c r="W1590" s="200">
        <f t="shared" si="8030"/>
        <v>0</v>
      </c>
      <c r="X1590" s="200">
        <f t="shared" si="8030"/>
        <v>0</v>
      </c>
      <c r="Y1590" s="200">
        <f t="shared" si="8030"/>
        <v>0</v>
      </c>
      <c r="Z1590" s="200">
        <f t="shared" si="8030"/>
        <v>0</v>
      </c>
      <c r="AA1590" s="200">
        <f t="shared" si="8030"/>
        <v>0</v>
      </c>
      <c r="AB1590" s="200">
        <f t="shared" si="8030"/>
        <v>0</v>
      </c>
      <c r="AC1590" s="200">
        <f t="shared" si="8030"/>
        <v>0</v>
      </c>
      <c r="AD1590" s="200">
        <f t="shared" si="11"/>
        <v>0</v>
      </c>
      <c r="AE1590" s="200">
        <f t="shared" ref="AE1590:AG1590" si="8031">countif($D1590,"*"&amp;AE$2&amp;"*")</f>
        <v>0</v>
      </c>
      <c r="AF1590" s="200">
        <f t="shared" si="8031"/>
        <v>0</v>
      </c>
      <c r="AG1590" s="200">
        <f t="shared" si="8031"/>
        <v>0</v>
      </c>
      <c r="AH1590" s="171">
        <f t="shared" si="13"/>
        <v>0</v>
      </c>
      <c r="AI1590" s="200">
        <f t="shared" si="14"/>
        <v>0</v>
      </c>
      <c r="AJ1590" s="200">
        <f t="shared" si="6100"/>
        <v>0</v>
      </c>
      <c r="AK1590" s="201">
        <f t="shared" ref="AK1590:AS1590" si="8032">countif($D1590,"*"&amp;AK$2&amp;"*")</f>
        <v>0</v>
      </c>
      <c r="AL1590" s="201">
        <f t="shared" si="8032"/>
        <v>0</v>
      </c>
      <c r="AM1590" s="201">
        <f t="shared" si="8032"/>
        <v>0</v>
      </c>
      <c r="AN1590" s="201">
        <f t="shared" si="8032"/>
        <v>0</v>
      </c>
      <c r="AO1590" s="201">
        <f t="shared" si="8032"/>
        <v>0</v>
      </c>
      <c r="AP1590" s="201">
        <f t="shared" si="8032"/>
        <v>0</v>
      </c>
      <c r="AQ1590" s="201">
        <f t="shared" si="8032"/>
        <v>0</v>
      </c>
      <c r="AR1590" s="200">
        <f t="shared" si="8032"/>
        <v>0</v>
      </c>
      <c r="AS1590" s="200">
        <f t="shared" si="8032"/>
        <v>0</v>
      </c>
      <c r="AT1590" s="173">
        <v>0.0</v>
      </c>
      <c r="AU1590" s="200">
        <f t="shared" si="6217"/>
        <v>0</v>
      </c>
      <c r="AV1590" s="200">
        <f t="shared" ref="AV1590:AX1590" si="8033">countif($D1590,"*"&amp;AV$2&amp;"*")</f>
        <v>1</v>
      </c>
      <c r="AW1590" s="200">
        <f t="shared" si="8033"/>
        <v>0</v>
      </c>
      <c r="AX1590" s="200">
        <f t="shared" si="8033"/>
        <v>0</v>
      </c>
      <c r="AY1590" s="202">
        <v>0.0</v>
      </c>
      <c r="AZ1590" s="200"/>
      <c r="BA1590" s="171" t="str">
        <f t="shared" si="18"/>
        <v/>
      </c>
      <c r="BB1590" s="171" t="str">
        <f t="shared" si="19"/>
        <v>Code</v>
      </c>
      <c r="BC1590" s="171" t="str">
        <f t="shared" si="20"/>
        <v/>
      </c>
      <c r="BD1590" s="171" t="str">
        <f t="shared" si="21"/>
        <v/>
      </c>
      <c r="BE1590" s="171" t="str">
        <f t="shared" si="22"/>
        <v/>
      </c>
      <c r="BF1590" s="171" t="str">
        <f t="shared" si="23"/>
        <v>Code</v>
      </c>
    </row>
    <row r="1591">
      <c r="A1591" s="171">
        <f t="array" ref="A1591">XLOOKUP(C1591,FSE!A:A,FSE!C:C,"XXXXX",0,1)</f>
        <v>2021</v>
      </c>
      <c r="B1591" s="213" t="s">
        <v>5676</v>
      </c>
      <c r="C1591" s="214">
        <v>293.0</v>
      </c>
      <c r="D1591" s="215" t="s">
        <v>6327</v>
      </c>
      <c r="E1591" s="197" t="str">
        <f t="array" ref="E1591">XLOOKUP(C1591,FSE!A:A,FSE!Z:Z,"XXXXX",0,1)</f>
        <v>Publicly Available (6)</v>
      </c>
      <c r="F1591" s="213" t="s">
        <v>3394</v>
      </c>
      <c r="G1591" s="163" t="str">
        <f t="array" ref="G1591">IF(B1591="ICSE",IF(COUNTIFS(B:B,B1591,C:C,C1591)=XLOOKUP(C1591,ICSE!A:A,ICSE!AA:AA,"ERROR",0,1),"OK","ERROR"),IF(B1591="FSE",IF(COUNTIFS(B:B,B1591,C:C,C1591)=XLOOKUP(C1591,FSE!A:A,FSE!AA:AA,"ERROR",0,1),"OK","ERROR")))</f>
        <v>OK</v>
      </c>
      <c r="H1591" s="199">
        <f t="shared" ref="H1591:O1591" si="8034">countif($D1591,"*"&amp;H$2&amp;"*")</f>
        <v>1</v>
      </c>
      <c r="I1591" s="200">
        <f t="shared" si="8034"/>
        <v>0</v>
      </c>
      <c r="J1591" s="200">
        <f t="shared" si="8034"/>
        <v>0</v>
      </c>
      <c r="K1591" s="200">
        <f t="shared" si="8034"/>
        <v>0</v>
      </c>
      <c r="L1591" s="200">
        <f t="shared" si="8034"/>
        <v>0</v>
      </c>
      <c r="M1591" s="200">
        <f t="shared" si="8034"/>
        <v>0</v>
      </c>
      <c r="N1591" s="200">
        <f t="shared" si="8034"/>
        <v>0</v>
      </c>
      <c r="O1591" s="200">
        <f t="shared" si="8034"/>
        <v>0</v>
      </c>
      <c r="P1591" s="200">
        <f t="shared" si="9"/>
        <v>0</v>
      </c>
      <c r="Q1591" s="200">
        <f t="shared" ref="Q1591:AC1591" si="8035">countif($D1591,"*"&amp;Q$2&amp;"*")</f>
        <v>0</v>
      </c>
      <c r="R1591" s="200">
        <f t="shared" si="8035"/>
        <v>0</v>
      </c>
      <c r="S1591" s="200">
        <f t="shared" si="8035"/>
        <v>0</v>
      </c>
      <c r="T1591" s="200">
        <f t="shared" si="8035"/>
        <v>0</v>
      </c>
      <c r="U1591" s="200">
        <f t="shared" si="8035"/>
        <v>0</v>
      </c>
      <c r="V1591" s="200">
        <f t="shared" si="8035"/>
        <v>0</v>
      </c>
      <c r="W1591" s="200">
        <f t="shared" si="8035"/>
        <v>0</v>
      </c>
      <c r="X1591" s="200">
        <f t="shared" si="8035"/>
        <v>0</v>
      </c>
      <c r="Y1591" s="200">
        <f t="shared" si="8035"/>
        <v>0</v>
      </c>
      <c r="Z1591" s="200">
        <f t="shared" si="8035"/>
        <v>0</v>
      </c>
      <c r="AA1591" s="200">
        <f t="shared" si="8035"/>
        <v>0</v>
      </c>
      <c r="AB1591" s="200">
        <f t="shared" si="8035"/>
        <v>0</v>
      </c>
      <c r="AC1591" s="200">
        <f t="shared" si="8035"/>
        <v>0</v>
      </c>
      <c r="AD1591" s="200">
        <f t="shared" si="11"/>
        <v>0</v>
      </c>
      <c r="AE1591" s="200">
        <f t="shared" ref="AE1591:AG1591" si="8036">countif($D1591,"*"&amp;AE$2&amp;"*")</f>
        <v>0</v>
      </c>
      <c r="AF1591" s="200">
        <f t="shared" si="8036"/>
        <v>0</v>
      </c>
      <c r="AG1591" s="200">
        <f t="shared" si="8036"/>
        <v>0</v>
      </c>
      <c r="AH1591" s="171">
        <f t="shared" si="13"/>
        <v>0</v>
      </c>
      <c r="AI1591" s="200">
        <f t="shared" si="14"/>
        <v>1</v>
      </c>
      <c r="AJ1591" s="200">
        <f t="shared" si="6100"/>
        <v>0</v>
      </c>
      <c r="AK1591" s="201">
        <f t="shared" ref="AK1591:AS1591" si="8037">countif($D1591,"*"&amp;AK$2&amp;"*")</f>
        <v>0</v>
      </c>
      <c r="AL1591" s="201">
        <f t="shared" si="8037"/>
        <v>0</v>
      </c>
      <c r="AM1591" s="201">
        <f t="shared" si="8037"/>
        <v>0</v>
      </c>
      <c r="AN1591" s="201">
        <f t="shared" si="8037"/>
        <v>0</v>
      </c>
      <c r="AO1591" s="201">
        <f t="shared" si="8037"/>
        <v>0</v>
      </c>
      <c r="AP1591" s="201">
        <f t="shared" si="8037"/>
        <v>0</v>
      </c>
      <c r="AQ1591" s="201">
        <f t="shared" si="8037"/>
        <v>0</v>
      </c>
      <c r="AR1591" s="200">
        <f t="shared" si="8037"/>
        <v>0</v>
      </c>
      <c r="AS1591" s="200">
        <f t="shared" si="8037"/>
        <v>0</v>
      </c>
      <c r="AT1591" s="173">
        <v>0.0</v>
      </c>
      <c r="AU1591" s="200">
        <f t="shared" si="6217"/>
        <v>0</v>
      </c>
      <c r="AV1591" s="200">
        <f t="shared" ref="AV1591:AX1591" si="8038">countif($D1591,"*"&amp;AV$2&amp;"*")</f>
        <v>0</v>
      </c>
      <c r="AW1591" s="200">
        <f t="shared" si="8038"/>
        <v>0</v>
      </c>
      <c r="AX1591" s="200">
        <f t="shared" si="8038"/>
        <v>0</v>
      </c>
      <c r="AY1591" s="204">
        <v>1.0</v>
      </c>
      <c r="AZ1591" s="200"/>
      <c r="BA1591" s="171" t="str">
        <f t="shared" si="18"/>
        <v>Archival</v>
      </c>
      <c r="BB1591" s="171" t="str">
        <f t="shared" si="19"/>
        <v/>
      </c>
      <c r="BC1591" s="171" t="str">
        <f t="shared" si="20"/>
        <v/>
      </c>
      <c r="BD1591" s="171" t="str">
        <f t="shared" si="21"/>
        <v/>
      </c>
      <c r="BE1591" s="171" t="str">
        <f t="shared" si="22"/>
        <v/>
      </c>
      <c r="BF1591" s="171" t="str">
        <f t="shared" si="23"/>
        <v>Archival</v>
      </c>
    </row>
    <row r="1592">
      <c r="A1592" s="171">
        <f t="array" ref="A1592">XLOOKUP(C1592,FSE!A:A,FSE!C:C,"XXXXX",0,1)</f>
        <v>2021</v>
      </c>
      <c r="B1592" s="213" t="s">
        <v>5676</v>
      </c>
      <c r="C1592" s="214">
        <v>293.0</v>
      </c>
      <c r="D1592" s="215" t="s">
        <v>6328</v>
      </c>
      <c r="E1592" s="197" t="str">
        <f t="array" ref="E1592">XLOOKUP(C1592,FSE!A:A,FSE!Z:Z,"XXXXX",0,1)</f>
        <v>Publicly Available (6)</v>
      </c>
      <c r="F1592" s="213" t="s">
        <v>3394</v>
      </c>
      <c r="G1592" s="163" t="str">
        <f t="array" ref="G1592">IF(B1592="ICSE",IF(COUNTIFS(B:B,B1592,C:C,C1592)=XLOOKUP(C1592,ICSE!A:A,ICSE!AA:AA,"ERROR",0,1),"OK","ERROR"),IF(B1592="FSE",IF(COUNTIFS(B:B,B1592,C:C,C1592)=XLOOKUP(C1592,FSE!A:A,FSE!AA:AA,"ERROR",0,1),"OK","ERROR")))</f>
        <v>OK</v>
      </c>
      <c r="H1592" s="199">
        <f t="shared" ref="H1592:O1592" si="8039">countif($D1592,"*"&amp;H$2&amp;"*")</f>
        <v>1</v>
      </c>
      <c r="I1592" s="200">
        <f t="shared" si="8039"/>
        <v>0</v>
      </c>
      <c r="J1592" s="200">
        <f t="shared" si="8039"/>
        <v>0</v>
      </c>
      <c r="K1592" s="200">
        <f t="shared" si="8039"/>
        <v>0</v>
      </c>
      <c r="L1592" s="200">
        <f t="shared" si="8039"/>
        <v>0</v>
      </c>
      <c r="M1592" s="200">
        <f t="shared" si="8039"/>
        <v>0</v>
      </c>
      <c r="N1592" s="200">
        <f t="shared" si="8039"/>
        <v>0</v>
      </c>
      <c r="O1592" s="200">
        <f t="shared" si="8039"/>
        <v>0</v>
      </c>
      <c r="P1592" s="200">
        <f t="shared" si="9"/>
        <v>0</v>
      </c>
      <c r="Q1592" s="200">
        <f t="shared" ref="Q1592:AC1592" si="8040">countif($D1592,"*"&amp;Q$2&amp;"*")</f>
        <v>0</v>
      </c>
      <c r="R1592" s="200">
        <f t="shared" si="8040"/>
        <v>0</v>
      </c>
      <c r="S1592" s="200">
        <f t="shared" si="8040"/>
        <v>0</v>
      </c>
      <c r="T1592" s="200">
        <f t="shared" si="8040"/>
        <v>0</v>
      </c>
      <c r="U1592" s="200">
        <f t="shared" si="8040"/>
        <v>0</v>
      </c>
      <c r="V1592" s="200">
        <f t="shared" si="8040"/>
        <v>0</v>
      </c>
      <c r="W1592" s="200">
        <f t="shared" si="8040"/>
        <v>0</v>
      </c>
      <c r="X1592" s="200">
        <f t="shared" si="8040"/>
        <v>0</v>
      </c>
      <c r="Y1592" s="200">
        <f t="shared" si="8040"/>
        <v>0</v>
      </c>
      <c r="Z1592" s="200">
        <f t="shared" si="8040"/>
        <v>0</v>
      </c>
      <c r="AA1592" s="200">
        <f t="shared" si="8040"/>
        <v>0</v>
      </c>
      <c r="AB1592" s="200">
        <f t="shared" si="8040"/>
        <v>0</v>
      </c>
      <c r="AC1592" s="200">
        <f t="shared" si="8040"/>
        <v>0</v>
      </c>
      <c r="AD1592" s="200">
        <f t="shared" si="11"/>
        <v>0</v>
      </c>
      <c r="AE1592" s="200">
        <f t="shared" ref="AE1592:AG1592" si="8041">countif($D1592,"*"&amp;AE$2&amp;"*")</f>
        <v>0</v>
      </c>
      <c r="AF1592" s="200">
        <f t="shared" si="8041"/>
        <v>0</v>
      </c>
      <c r="AG1592" s="200">
        <f t="shared" si="8041"/>
        <v>0</v>
      </c>
      <c r="AH1592" s="171">
        <f t="shared" si="13"/>
        <v>0</v>
      </c>
      <c r="AI1592" s="200">
        <f t="shared" si="14"/>
        <v>1</v>
      </c>
      <c r="AJ1592" s="200">
        <f t="shared" si="6100"/>
        <v>0</v>
      </c>
      <c r="AK1592" s="201">
        <f t="shared" ref="AK1592:AS1592" si="8042">countif($D1592,"*"&amp;AK$2&amp;"*")</f>
        <v>0</v>
      </c>
      <c r="AL1592" s="201">
        <f t="shared" si="8042"/>
        <v>0</v>
      </c>
      <c r="AM1592" s="201">
        <f t="shared" si="8042"/>
        <v>0</v>
      </c>
      <c r="AN1592" s="201">
        <f t="shared" si="8042"/>
        <v>0</v>
      </c>
      <c r="AO1592" s="201">
        <f t="shared" si="8042"/>
        <v>0</v>
      </c>
      <c r="AP1592" s="201">
        <f t="shared" si="8042"/>
        <v>0</v>
      </c>
      <c r="AQ1592" s="201">
        <f t="shared" si="8042"/>
        <v>0</v>
      </c>
      <c r="AR1592" s="200">
        <f t="shared" si="8042"/>
        <v>0</v>
      </c>
      <c r="AS1592" s="200">
        <f t="shared" si="8042"/>
        <v>0</v>
      </c>
      <c r="AT1592" s="173">
        <v>0.0</v>
      </c>
      <c r="AU1592" s="200">
        <f t="shared" si="6217"/>
        <v>0</v>
      </c>
      <c r="AV1592" s="200">
        <f t="shared" ref="AV1592:AX1592" si="8043">countif($D1592,"*"&amp;AV$2&amp;"*")</f>
        <v>0</v>
      </c>
      <c r="AW1592" s="200">
        <f t="shared" si="8043"/>
        <v>0</v>
      </c>
      <c r="AX1592" s="200">
        <f t="shared" si="8043"/>
        <v>0</v>
      </c>
      <c r="AY1592" s="204">
        <v>1.0</v>
      </c>
      <c r="AZ1592" s="200"/>
      <c r="BA1592" s="171" t="str">
        <f t="shared" si="18"/>
        <v>Archival</v>
      </c>
      <c r="BB1592" s="171" t="str">
        <f t="shared" si="19"/>
        <v/>
      </c>
      <c r="BC1592" s="171" t="str">
        <f t="shared" si="20"/>
        <v/>
      </c>
      <c r="BD1592" s="171" t="str">
        <f t="shared" si="21"/>
        <v/>
      </c>
      <c r="BE1592" s="171" t="str">
        <f t="shared" si="22"/>
        <v/>
      </c>
      <c r="BF1592" s="171" t="str">
        <f t="shared" si="23"/>
        <v>Archival</v>
      </c>
    </row>
    <row r="1593">
      <c r="A1593" s="171">
        <f t="array" ref="A1593">XLOOKUP(C1593,FSE!A:A,FSE!C:C,"XXXXX",0,1)</f>
        <v>2021</v>
      </c>
      <c r="B1593" s="213" t="s">
        <v>5676</v>
      </c>
      <c r="C1593" s="214">
        <v>293.0</v>
      </c>
      <c r="D1593" s="215" t="s">
        <v>6329</v>
      </c>
      <c r="E1593" s="197" t="str">
        <f t="array" ref="E1593">XLOOKUP(C1593,FSE!A:A,FSE!Z:Z,"XXXXX",0,1)</f>
        <v>Publicly Available (6)</v>
      </c>
      <c r="F1593" s="213" t="s">
        <v>3394</v>
      </c>
      <c r="G1593" s="163" t="str">
        <f t="array" ref="G1593">IF(B1593="ICSE",IF(COUNTIFS(B:B,B1593,C:C,C1593)=XLOOKUP(C1593,ICSE!A:A,ICSE!AA:AA,"ERROR",0,1),"OK","ERROR"),IF(B1593="FSE",IF(COUNTIFS(B:B,B1593,C:C,C1593)=XLOOKUP(C1593,FSE!A:A,FSE!AA:AA,"ERROR",0,1),"OK","ERROR")))</f>
        <v>OK</v>
      </c>
      <c r="H1593" s="199">
        <f t="shared" ref="H1593:O1593" si="8044">countif($D1593,"*"&amp;H$2&amp;"*")</f>
        <v>1</v>
      </c>
      <c r="I1593" s="200">
        <f t="shared" si="8044"/>
        <v>0</v>
      </c>
      <c r="J1593" s="200">
        <f t="shared" si="8044"/>
        <v>0</v>
      </c>
      <c r="K1593" s="200">
        <f t="shared" si="8044"/>
        <v>0</v>
      </c>
      <c r="L1593" s="200">
        <f t="shared" si="8044"/>
        <v>0</v>
      </c>
      <c r="M1593" s="200">
        <f t="shared" si="8044"/>
        <v>0</v>
      </c>
      <c r="N1593" s="200">
        <f t="shared" si="8044"/>
        <v>0</v>
      </c>
      <c r="O1593" s="200">
        <f t="shared" si="8044"/>
        <v>0</v>
      </c>
      <c r="P1593" s="200">
        <f t="shared" si="9"/>
        <v>0</v>
      </c>
      <c r="Q1593" s="200">
        <f t="shared" ref="Q1593:AC1593" si="8045">countif($D1593,"*"&amp;Q$2&amp;"*")</f>
        <v>0</v>
      </c>
      <c r="R1593" s="200">
        <f t="shared" si="8045"/>
        <v>0</v>
      </c>
      <c r="S1593" s="200">
        <f t="shared" si="8045"/>
        <v>0</v>
      </c>
      <c r="T1593" s="200">
        <f t="shared" si="8045"/>
        <v>0</v>
      </c>
      <c r="U1593" s="200">
        <f t="shared" si="8045"/>
        <v>0</v>
      </c>
      <c r="V1593" s="200">
        <f t="shared" si="8045"/>
        <v>0</v>
      </c>
      <c r="W1593" s="200">
        <f t="shared" si="8045"/>
        <v>0</v>
      </c>
      <c r="X1593" s="200">
        <f t="shared" si="8045"/>
        <v>0</v>
      </c>
      <c r="Y1593" s="200">
        <f t="shared" si="8045"/>
        <v>0</v>
      </c>
      <c r="Z1593" s="200">
        <f t="shared" si="8045"/>
        <v>0</v>
      </c>
      <c r="AA1593" s="200">
        <f t="shared" si="8045"/>
        <v>0</v>
      </c>
      <c r="AB1593" s="200">
        <f t="shared" si="8045"/>
        <v>0</v>
      </c>
      <c r="AC1593" s="200">
        <f t="shared" si="8045"/>
        <v>0</v>
      </c>
      <c r="AD1593" s="200">
        <f t="shared" si="11"/>
        <v>0</v>
      </c>
      <c r="AE1593" s="200">
        <f t="shared" ref="AE1593:AG1593" si="8046">countif($D1593,"*"&amp;AE$2&amp;"*")</f>
        <v>0</v>
      </c>
      <c r="AF1593" s="200">
        <f t="shared" si="8046"/>
        <v>0</v>
      </c>
      <c r="AG1593" s="200">
        <f t="shared" si="8046"/>
        <v>0</v>
      </c>
      <c r="AH1593" s="171">
        <f t="shared" si="13"/>
        <v>0</v>
      </c>
      <c r="AI1593" s="200">
        <f t="shared" si="14"/>
        <v>1</v>
      </c>
      <c r="AJ1593" s="200">
        <f t="shared" si="6100"/>
        <v>0</v>
      </c>
      <c r="AK1593" s="201">
        <f t="shared" ref="AK1593:AS1593" si="8047">countif($D1593,"*"&amp;AK$2&amp;"*")</f>
        <v>0</v>
      </c>
      <c r="AL1593" s="201">
        <f t="shared" si="8047"/>
        <v>0</v>
      </c>
      <c r="AM1593" s="201">
        <f t="shared" si="8047"/>
        <v>0</v>
      </c>
      <c r="AN1593" s="201">
        <f t="shared" si="8047"/>
        <v>0</v>
      </c>
      <c r="AO1593" s="201">
        <f t="shared" si="8047"/>
        <v>0</v>
      </c>
      <c r="AP1593" s="201">
        <f t="shared" si="8047"/>
        <v>0</v>
      </c>
      <c r="AQ1593" s="201">
        <f t="shared" si="8047"/>
        <v>0</v>
      </c>
      <c r="AR1593" s="200">
        <f t="shared" si="8047"/>
        <v>0</v>
      </c>
      <c r="AS1593" s="200">
        <f t="shared" si="8047"/>
        <v>0</v>
      </c>
      <c r="AT1593" s="173">
        <v>0.0</v>
      </c>
      <c r="AU1593" s="200">
        <f t="shared" si="6217"/>
        <v>0</v>
      </c>
      <c r="AV1593" s="200">
        <f t="shared" ref="AV1593:AX1593" si="8048">countif($D1593,"*"&amp;AV$2&amp;"*")</f>
        <v>0</v>
      </c>
      <c r="AW1593" s="200">
        <f t="shared" si="8048"/>
        <v>0</v>
      </c>
      <c r="AX1593" s="200">
        <f t="shared" si="8048"/>
        <v>0</v>
      </c>
      <c r="AY1593" s="204">
        <v>1.0</v>
      </c>
      <c r="AZ1593" s="200"/>
      <c r="BA1593" s="171" t="str">
        <f t="shared" si="18"/>
        <v>Archival</v>
      </c>
      <c r="BB1593" s="171" t="str">
        <f t="shared" si="19"/>
        <v/>
      </c>
      <c r="BC1593" s="171" t="str">
        <f t="shared" si="20"/>
        <v/>
      </c>
      <c r="BD1593" s="171" t="str">
        <f t="shared" si="21"/>
        <v/>
      </c>
      <c r="BE1593" s="171" t="str">
        <f t="shared" si="22"/>
        <v/>
      </c>
      <c r="BF1593" s="171" t="str">
        <f t="shared" si="23"/>
        <v>Archival</v>
      </c>
    </row>
    <row r="1594">
      <c r="A1594" s="171">
        <f t="array" ref="A1594">XLOOKUP(C1594,FSE!A:A,FSE!C:C,"XXXXX",0,1)</f>
        <v>2021</v>
      </c>
      <c r="B1594" s="213" t="s">
        <v>5676</v>
      </c>
      <c r="C1594" s="214">
        <v>293.0</v>
      </c>
      <c r="D1594" s="215" t="s">
        <v>6330</v>
      </c>
      <c r="E1594" s="197" t="str">
        <f t="array" ref="E1594">XLOOKUP(C1594,FSE!A:A,FSE!Z:Z,"XXXXX",0,1)</f>
        <v>Publicly Available (6)</v>
      </c>
      <c r="F1594" s="213" t="s">
        <v>3394</v>
      </c>
      <c r="G1594" s="163" t="str">
        <f t="array" ref="G1594">IF(B1594="ICSE",IF(COUNTIFS(B:B,B1594,C:C,C1594)=XLOOKUP(C1594,ICSE!A:A,ICSE!AA:AA,"ERROR",0,1),"OK","ERROR"),IF(B1594="FSE",IF(COUNTIFS(B:B,B1594,C:C,C1594)=XLOOKUP(C1594,FSE!A:A,FSE!AA:AA,"ERROR",0,1),"OK","ERROR")))</f>
        <v>OK</v>
      </c>
      <c r="H1594" s="199">
        <f t="shared" ref="H1594:O1594" si="8049">countif($D1594,"*"&amp;H$2&amp;"*")</f>
        <v>1</v>
      </c>
      <c r="I1594" s="200">
        <f t="shared" si="8049"/>
        <v>0</v>
      </c>
      <c r="J1594" s="200">
        <f t="shared" si="8049"/>
        <v>0</v>
      </c>
      <c r="K1594" s="200">
        <f t="shared" si="8049"/>
        <v>0</v>
      </c>
      <c r="L1594" s="200">
        <f t="shared" si="8049"/>
        <v>0</v>
      </c>
      <c r="M1594" s="200">
        <f t="shared" si="8049"/>
        <v>0</v>
      </c>
      <c r="N1594" s="200">
        <f t="shared" si="8049"/>
        <v>0</v>
      </c>
      <c r="O1594" s="200">
        <f t="shared" si="8049"/>
        <v>0</v>
      </c>
      <c r="P1594" s="200">
        <f t="shared" si="9"/>
        <v>0</v>
      </c>
      <c r="Q1594" s="200">
        <f t="shared" ref="Q1594:AC1594" si="8050">countif($D1594,"*"&amp;Q$2&amp;"*")</f>
        <v>0</v>
      </c>
      <c r="R1594" s="200">
        <f t="shared" si="8050"/>
        <v>0</v>
      </c>
      <c r="S1594" s="200">
        <f t="shared" si="8050"/>
        <v>0</v>
      </c>
      <c r="T1594" s="200">
        <f t="shared" si="8050"/>
        <v>0</v>
      </c>
      <c r="U1594" s="200">
        <f t="shared" si="8050"/>
        <v>0</v>
      </c>
      <c r="V1594" s="200">
        <f t="shared" si="8050"/>
        <v>0</v>
      </c>
      <c r="W1594" s="200">
        <f t="shared" si="8050"/>
        <v>0</v>
      </c>
      <c r="X1594" s="200">
        <f t="shared" si="8050"/>
        <v>0</v>
      </c>
      <c r="Y1594" s="200">
        <f t="shared" si="8050"/>
        <v>0</v>
      </c>
      <c r="Z1594" s="200">
        <f t="shared" si="8050"/>
        <v>0</v>
      </c>
      <c r="AA1594" s="200">
        <f t="shared" si="8050"/>
        <v>0</v>
      </c>
      <c r="AB1594" s="200">
        <f t="shared" si="8050"/>
        <v>0</v>
      </c>
      <c r="AC1594" s="200">
        <f t="shared" si="8050"/>
        <v>0</v>
      </c>
      <c r="AD1594" s="200">
        <f t="shared" si="11"/>
        <v>0</v>
      </c>
      <c r="AE1594" s="200">
        <f t="shared" ref="AE1594:AG1594" si="8051">countif($D1594,"*"&amp;AE$2&amp;"*")</f>
        <v>0</v>
      </c>
      <c r="AF1594" s="200">
        <f t="shared" si="8051"/>
        <v>0</v>
      </c>
      <c r="AG1594" s="200">
        <f t="shared" si="8051"/>
        <v>0</v>
      </c>
      <c r="AH1594" s="171">
        <f t="shared" si="13"/>
        <v>0</v>
      </c>
      <c r="AI1594" s="200">
        <f t="shared" si="14"/>
        <v>1</v>
      </c>
      <c r="AJ1594" s="200">
        <f t="shared" si="6100"/>
        <v>0</v>
      </c>
      <c r="AK1594" s="201">
        <f t="shared" ref="AK1594:AS1594" si="8052">countif($D1594,"*"&amp;AK$2&amp;"*")</f>
        <v>0</v>
      </c>
      <c r="AL1594" s="201">
        <f t="shared" si="8052"/>
        <v>0</v>
      </c>
      <c r="AM1594" s="201">
        <f t="shared" si="8052"/>
        <v>0</v>
      </c>
      <c r="AN1594" s="201">
        <f t="shared" si="8052"/>
        <v>0</v>
      </c>
      <c r="AO1594" s="201">
        <f t="shared" si="8052"/>
        <v>0</v>
      </c>
      <c r="AP1594" s="201">
        <f t="shared" si="8052"/>
        <v>0</v>
      </c>
      <c r="AQ1594" s="201">
        <f t="shared" si="8052"/>
        <v>0</v>
      </c>
      <c r="AR1594" s="200">
        <f t="shared" si="8052"/>
        <v>0</v>
      </c>
      <c r="AS1594" s="200">
        <f t="shared" si="8052"/>
        <v>0</v>
      </c>
      <c r="AT1594" s="173">
        <v>0.0</v>
      </c>
      <c r="AU1594" s="200">
        <f t="shared" si="6217"/>
        <v>0</v>
      </c>
      <c r="AV1594" s="200">
        <f t="shared" ref="AV1594:AX1594" si="8053">countif($D1594,"*"&amp;AV$2&amp;"*")</f>
        <v>0</v>
      </c>
      <c r="AW1594" s="200">
        <f t="shared" si="8053"/>
        <v>0</v>
      </c>
      <c r="AX1594" s="200">
        <f t="shared" si="8053"/>
        <v>0</v>
      </c>
      <c r="AY1594" s="204">
        <v>1.0</v>
      </c>
      <c r="AZ1594" s="200"/>
      <c r="BA1594" s="171" t="str">
        <f t="shared" si="18"/>
        <v>Archival</v>
      </c>
      <c r="BB1594" s="171" t="str">
        <f t="shared" si="19"/>
        <v/>
      </c>
      <c r="BC1594" s="171" t="str">
        <f t="shared" si="20"/>
        <v/>
      </c>
      <c r="BD1594" s="171" t="str">
        <f t="shared" si="21"/>
        <v/>
      </c>
      <c r="BE1594" s="171" t="str">
        <f t="shared" si="22"/>
        <v/>
      </c>
      <c r="BF1594" s="171" t="str">
        <f t="shared" si="23"/>
        <v>Archival</v>
      </c>
    </row>
    <row r="1595">
      <c r="A1595" s="171">
        <f t="array" ref="A1595">XLOOKUP(C1595,FSE!A:A,FSE!C:C,"XXXXX",0,1)</f>
        <v>2021</v>
      </c>
      <c r="B1595" s="213" t="s">
        <v>5676</v>
      </c>
      <c r="C1595" s="214">
        <v>293.0</v>
      </c>
      <c r="D1595" s="215" t="s">
        <v>6331</v>
      </c>
      <c r="E1595" s="197" t="str">
        <f t="array" ref="E1595">XLOOKUP(C1595,FSE!A:A,FSE!Z:Z,"XXXXX",0,1)</f>
        <v>Publicly Available (6)</v>
      </c>
      <c r="F1595" s="213" t="s">
        <v>3394</v>
      </c>
      <c r="G1595" s="163" t="str">
        <f t="array" ref="G1595">IF(B1595="ICSE",IF(COUNTIFS(B:B,B1595,C:C,C1595)=XLOOKUP(C1595,ICSE!A:A,ICSE!AA:AA,"ERROR",0,1),"OK","ERROR"),IF(B1595="FSE",IF(COUNTIFS(B:B,B1595,C:C,C1595)=XLOOKUP(C1595,FSE!A:A,FSE!AA:AA,"ERROR",0,1),"OK","ERROR")))</f>
        <v>OK</v>
      </c>
      <c r="H1595" s="199">
        <f t="shared" ref="H1595:O1595" si="8054">countif($D1595,"*"&amp;H$2&amp;"*")</f>
        <v>1</v>
      </c>
      <c r="I1595" s="200">
        <f t="shared" si="8054"/>
        <v>0</v>
      </c>
      <c r="J1595" s="200">
        <f t="shared" si="8054"/>
        <v>0</v>
      </c>
      <c r="K1595" s="200">
        <f t="shared" si="8054"/>
        <v>0</v>
      </c>
      <c r="L1595" s="200">
        <f t="shared" si="8054"/>
        <v>0</v>
      </c>
      <c r="M1595" s="200">
        <f t="shared" si="8054"/>
        <v>0</v>
      </c>
      <c r="N1595" s="200">
        <f t="shared" si="8054"/>
        <v>0</v>
      </c>
      <c r="O1595" s="200">
        <f t="shared" si="8054"/>
        <v>0</v>
      </c>
      <c r="P1595" s="200">
        <f t="shared" si="9"/>
        <v>0</v>
      </c>
      <c r="Q1595" s="200">
        <f t="shared" ref="Q1595:AC1595" si="8055">countif($D1595,"*"&amp;Q$2&amp;"*")</f>
        <v>0</v>
      </c>
      <c r="R1595" s="200">
        <f t="shared" si="8055"/>
        <v>0</v>
      </c>
      <c r="S1595" s="200">
        <f t="shared" si="8055"/>
        <v>0</v>
      </c>
      <c r="T1595" s="200">
        <f t="shared" si="8055"/>
        <v>0</v>
      </c>
      <c r="U1595" s="200">
        <f t="shared" si="8055"/>
        <v>0</v>
      </c>
      <c r="V1595" s="200">
        <f t="shared" si="8055"/>
        <v>0</v>
      </c>
      <c r="W1595" s="200">
        <f t="shared" si="8055"/>
        <v>0</v>
      </c>
      <c r="X1595" s="200">
        <f t="shared" si="8055"/>
        <v>0</v>
      </c>
      <c r="Y1595" s="200">
        <f t="shared" si="8055"/>
        <v>0</v>
      </c>
      <c r="Z1595" s="200">
        <f t="shared" si="8055"/>
        <v>0</v>
      </c>
      <c r="AA1595" s="200">
        <f t="shared" si="8055"/>
        <v>0</v>
      </c>
      <c r="AB1595" s="200">
        <f t="shared" si="8055"/>
        <v>0</v>
      </c>
      <c r="AC1595" s="200">
        <f t="shared" si="8055"/>
        <v>0</v>
      </c>
      <c r="AD1595" s="200">
        <f t="shared" si="11"/>
        <v>0</v>
      </c>
      <c r="AE1595" s="200">
        <f t="shared" ref="AE1595:AG1595" si="8056">countif($D1595,"*"&amp;AE$2&amp;"*")</f>
        <v>0</v>
      </c>
      <c r="AF1595" s="200">
        <f t="shared" si="8056"/>
        <v>0</v>
      </c>
      <c r="AG1595" s="200">
        <f t="shared" si="8056"/>
        <v>0</v>
      </c>
      <c r="AH1595" s="171">
        <f t="shared" si="13"/>
        <v>0</v>
      </c>
      <c r="AI1595" s="200">
        <f t="shared" si="14"/>
        <v>1</v>
      </c>
      <c r="AJ1595" s="200">
        <f t="shared" si="6100"/>
        <v>0</v>
      </c>
      <c r="AK1595" s="201">
        <f t="shared" ref="AK1595:AS1595" si="8057">countif($D1595,"*"&amp;AK$2&amp;"*")</f>
        <v>0</v>
      </c>
      <c r="AL1595" s="201">
        <f t="shared" si="8057"/>
        <v>0</v>
      </c>
      <c r="AM1595" s="201">
        <f t="shared" si="8057"/>
        <v>0</v>
      </c>
      <c r="AN1595" s="201">
        <f t="shared" si="8057"/>
        <v>0</v>
      </c>
      <c r="AO1595" s="201">
        <f t="shared" si="8057"/>
        <v>0</v>
      </c>
      <c r="AP1595" s="201">
        <f t="shared" si="8057"/>
        <v>0</v>
      </c>
      <c r="AQ1595" s="201">
        <f t="shared" si="8057"/>
        <v>0</v>
      </c>
      <c r="AR1595" s="200">
        <f t="shared" si="8057"/>
        <v>0</v>
      </c>
      <c r="AS1595" s="200">
        <f t="shared" si="8057"/>
        <v>0</v>
      </c>
      <c r="AT1595" s="173">
        <v>0.0</v>
      </c>
      <c r="AU1595" s="200">
        <f t="shared" si="6217"/>
        <v>0</v>
      </c>
      <c r="AV1595" s="200">
        <f t="shared" ref="AV1595:AX1595" si="8058">countif($D1595,"*"&amp;AV$2&amp;"*")</f>
        <v>0</v>
      </c>
      <c r="AW1595" s="200">
        <f t="shared" si="8058"/>
        <v>0</v>
      </c>
      <c r="AX1595" s="200">
        <f t="shared" si="8058"/>
        <v>0</v>
      </c>
      <c r="AY1595" s="204">
        <v>1.0</v>
      </c>
      <c r="AZ1595" s="200"/>
      <c r="BA1595" s="171" t="str">
        <f t="shared" si="18"/>
        <v>Archival</v>
      </c>
      <c r="BB1595" s="171" t="str">
        <f t="shared" si="19"/>
        <v/>
      </c>
      <c r="BC1595" s="171" t="str">
        <f t="shared" si="20"/>
        <v/>
      </c>
      <c r="BD1595" s="171" t="str">
        <f t="shared" si="21"/>
        <v/>
      </c>
      <c r="BE1595" s="171" t="str">
        <f t="shared" si="22"/>
        <v/>
      </c>
      <c r="BF1595" s="171" t="str">
        <f t="shared" si="23"/>
        <v>Archival</v>
      </c>
    </row>
    <row r="1596">
      <c r="A1596" s="171">
        <f t="array" ref="A1596">XLOOKUP(C1596,FSE!A:A,FSE!C:C,"XXXXX",0,1)</f>
        <v>2021</v>
      </c>
      <c r="B1596" s="213" t="s">
        <v>5676</v>
      </c>
      <c r="C1596" s="214">
        <v>295.0</v>
      </c>
      <c r="D1596" s="217" t="s">
        <v>6332</v>
      </c>
      <c r="E1596" s="197" t="str">
        <f t="array" ref="E1596">XLOOKUP(C1596,FSE!A:A,FSE!Z:Z,"XXXXX",0,1)</f>
        <v>Publicly Available (1)</v>
      </c>
      <c r="F1596" s="213" t="s">
        <v>3394</v>
      </c>
      <c r="G1596" s="163" t="str">
        <f t="array" ref="G1596">IF(B1596="ICSE",IF(COUNTIFS(B:B,B1596,C:C,C1596)=XLOOKUP(C1596,ICSE!A:A,ICSE!AA:AA,"ERROR",0,1),"OK","ERROR"),IF(B1596="FSE",IF(COUNTIFS(B:B,B1596,C:C,C1596)=XLOOKUP(C1596,FSE!A:A,FSE!AA:AA,"ERROR",0,1),"OK","ERROR")))</f>
        <v>OK</v>
      </c>
      <c r="H1596" s="199">
        <f t="shared" ref="H1596:O1596" si="8059">countif($D1596,"*"&amp;H$2&amp;"*")</f>
        <v>0</v>
      </c>
      <c r="I1596" s="200">
        <f t="shared" si="8059"/>
        <v>0</v>
      </c>
      <c r="J1596" s="200">
        <f t="shared" si="8059"/>
        <v>0</v>
      </c>
      <c r="K1596" s="200">
        <f t="shared" si="8059"/>
        <v>0</v>
      </c>
      <c r="L1596" s="200">
        <f t="shared" si="8059"/>
        <v>0</v>
      </c>
      <c r="M1596" s="200">
        <f t="shared" si="8059"/>
        <v>0</v>
      </c>
      <c r="N1596" s="200">
        <f t="shared" si="8059"/>
        <v>0</v>
      </c>
      <c r="O1596" s="200">
        <f t="shared" si="8059"/>
        <v>0</v>
      </c>
      <c r="P1596" s="200">
        <f t="shared" si="9"/>
        <v>0</v>
      </c>
      <c r="Q1596" s="200">
        <f t="shared" ref="Q1596:AC1596" si="8060">countif($D1596,"*"&amp;Q$2&amp;"*")</f>
        <v>0</v>
      </c>
      <c r="R1596" s="200">
        <f t="shared" si="8060"/>
        <v>0</v>
      </c>
      <c r="S1596" s="200">
        <f t="shared" si="8060"/>
        <v>0</v>
      </c>
      <c r="T1596" s="200">
        <f t="shared" si="8060"/>
        <v>0</v>
      </c>
      <c r="U1596" s="200">
        <f t="shared" si="8060"/>
        <v>0</v>
      </c>
      <c r="V1596" s="200">
        <f t="shared" si="8060"/>
        <v>0</v>
      </c>
      <c r="W1596" s="200">
        <f t="shared" si="8060"/>
        <v>0</v>
      </c>
      <c r="X1596" s="200">
        <f t="shared" si="8060"/>
        <v>0</v>
      </c>
      <c r="Y1596" s="200">
        <f t="shared" si="8060"/>
        <v>0</v>
      </c>
      <c r="Z1596" s="200">
        <f t="shared" si="8060"/>
        <v>0</v>
      </c>
      <c r="AA1596" s="200">
        <f t="shared" si="8060"/>
        <v>1</v>
      </c>
      <c r="AB1596" s="200">
        <f t="shared" si="8060"/>
        <v>0</v>
      </c>
      <c r="AC1596" s="200">
        <f t="shared" si="8060"/>
        <v>0</v>
      </c>
      <c r="AD1596" s="200">
        <f t="shared" si="11"/>
        <v>0</v>
      </c>
      <c r="AE1596" s="200">
        <f t="shared" ref="AE1596:AG1596" si="8061">countif($D1596,"*"&amp;AE$2&amp;"*")</f>
        <v>0</v>
      </c>
      <c r="AF1596" s="200">
        <f t="shared" si="8061"/>
        <v>0</v>
      </c>
      <c r="AG1596" s="200">
        <f t="shared" si="8061"/>
        <v>0</v>
      </c>
      <c r="AH1596" s="171">
        <f t="shared" si="13"/>
        <v>0</v>
      </c>
      <c r="AI1596" s="200">
        <f t="shared" si="14"/>
        <v>0</v>
      </c>
      <c r="AJ1596" s="200">
        <f t="shared" si="6100"/>
        <v>0</v>
      </c>
      <c r="AK1596" s="201">
        <f t="shared" ref="AK1596:AS1596" si="8062">countif($D1596,"*"&amp;AK$2&amp;"*")</f>
        <v>0</v>
      </c>
      <c r="AL1596" s="201">
        <f t="shared" si="8062"/>
        <v>0</v>
      </c>
      <c r="AM1596" s="201">
        <f t="shared" si="8062"/>
        <v>0</v>
      </c>
      <c r="AN1596" s="201">
        <f t="shared" si="8062"/>
        <v>0</v>
      </c>
      <c r="AO1596" s="201">
        <f t="shared" si="8062"/>
        <v>0</v>
      </c>
      <c r="AP1596" s="201">
        <f t="shared" si="8062"/>
        <v>0</v>
      </c>
      <c r="AQ1596" s="201">
        <f t="shared" si="8062"/>
        <v>0</v>
      </c>
      <c r="AR1596" s="200">
        <f t="shared" si="8062"/>
        <v>0</v>
      </c>
      <c r="AS1596" s="200">
        <f t="shared" si="8062"/>
        <v>0</v>
      </c>
      <c r="AT1596" s="173">
        <v>0.0</v>
      </c>
      <c r="AU1596" s="200">
        <f t="shared" si="6217"/>
        <v>0</v>
      </c>
      <c r="AV1596" s="200">
        <f t="shared" ref="AV1596:AX1596" si="8063">countif($D1596,"*"&amp;AV$2&amp;"*")</f>
        <v>0</v>
      </c>
      <c r="AW1596" s="200">
        <f t="shared" si="8063"/>
        <v>0</v>
      </c>
      <c r="AX1596" s="200">
        <f t="shared" si="8063"/>
        <v>0</v>
      </c>
      <c r="AY1596" s="202">
        <v>0.0</v>
      </c>
      <c r="AZ1596" s="200"/>
      <c r="BA1596" s="171" t="str">
        <f t="shared" si="18"/>
        <v/>
      </c>
      <c r="BB1596" s="171" t="str">
        <f t="shared" si="19"/>
        <v/>
      </c>
      <c r="BC1596" s="171" t="str">
        <f t="shared" si="20"/>
        <v>General-purpose</v>
      </c>
      <c r="BD1596" s="171" t="str">
        <f t="shared" si="21"/>
        <v/>
      </c>
      <c r="BE1596" s="171" t="str">
        <f t="shared" si="22"/>
        <v/>
      </c>
      <c r="BF1596" s="171" t="str">
        <f t="shared" si="23"/>
        <v>General-purpose</v>
      </c>
    </row>
    <row r="1597">
      <c r="A1597" s="171">
        <f t="array" ref="A1597">XLOOKUP(C1597,FSE!A:A,FSE!C:C,"XXXXX",0,1)</f>
        <v>2021</v>
      </c>
      <c r="B1597" s="213" t="s">
        <v>5676</v>
      </c>
      <c r="C1597" s="214">
        <v>296.0</v>
      </c>
      <c r="D1597" s="215" t="s">
        <v>4947</v>
      </c>
      <c r="E1597" s="197" t="str">
        <f t="array" ref="E1597">XLOOKUP(C1597,FSE!A:A,FSE!Z:Z,"XXXXX",0,1)</f>
        <v>Publicly Available (1)</v>
      </c>
      <c r="F1597" s="213" t="s">
        <v>3394</v>
      </c>
      <c r="G1597" s="163" t="str">
        <f t="array" ref="G1597">IF(B1597="ICSE",IF(COUNTIFS(B:B,B1597,C:C,C1597)=XLOOKUP(C1597,ICSE!A:A,ICSE!AA:AA,"ERROR",0,1),"OK","ERROR"),IF(B1597="FSE",IF(COUNTIFS(B:B,B1597,C:C,C1597)=XLOOKUP(C1597,FSE!A:A,FSE!AA:AA,"ERROR",0,1),"OK","ERROR")))</f>
        <v>OK</v>
      </c>
      <c r="H1597" s="199">
        <f t="shared" ref="H1597:O1597" si="8064">countif($D1597,"*"&amp;H$2&amp;"*")</f>
        <v>0</v>
      </c>
      <c r="I1597" s="200">
        <f t="shared" si="8064"/>
        <v>0</v>
      </c>
      <c r="J1597" s="200">
        <f t="shared" si="8064"/>
        <v>0</v>
      </c>
      <c r="K1597" s="200">
        <f t="shared" si="8064"/>
        <v>0</v>
      </c>
      <c r="L1597" s="200">
        <f t="shared" si="8064"/>
        <v>0</v>
      </c>
      <c r="M1597" s="200">
        <f t="shared" si="8064"/>
        <v>0</v>
      </c>
      <c r="N1597" s="200">
        <f t="shared" si="8064"/>
        <v>0</v>
      </c>
      <c r="O1597" s="200">
        <f t="shared" si="8064"/>
        <v>0</v>
      </c>
      <c r="P1597" s="200">
        <f t="shared" si="9"/>
        <v>1</v>
      </c>
      <c r="Q1597" s="200">
        <f t="shared" ref="Q1597:AC1597" si="8065">countif($D1597,"*"&amp;Q$2&amp;"*")</f>
        <v>0</v>
      </c>
      <c r="R1597" s="200">
        <f t="shared" si="8065"/>
        <v>0</v>
      </c>
      <c r="S1597" s="200">
        <f t="shared" si="8065"/>
        <v>0</v>
      </c>
      <c r="T1597" s="200">
        <f t="shared" si="8065"/>
        <v>0</v>
      </c>
      <c r="U1597" s="200">
        <f t="shared" si="8065"/>
        <v>0</v>
      </c>
      <c r="V1597" s="200">
        <f t="shared" si="8065"/>
        <v>0</v>
      </c>
      <c r="W1597" s="200">
        <f t="shared" si="8065"/>
        <v>0</v>
      </c>
      <c r="X1597" s="200">
        <f t="shared" si="8065"/>
        <v>0</v>
      </c>
      <c r="Y1597" s="200">
        <f t="shared" si="8065"/>
        <v>0</v>
      </c>
      <c r="Z1597" s="200">
        <f t="shared" si="8065"/>
        <v>0</v>
      </c>
      <c r="AA1597" s="200">
        <f t="shared" si="8065"/>
        <v>0</v>
      </c>
      <c r="AB1597" s="200">
        <f t="shared" si="8065"/>
        <v>0</v>
      </c>
      <c r="AC1597" s="200">
        <f t="shared" si="8065"/>
        <v>0</v>
      </c>
      <c r="AD1597" s="200">
        <f t="shared" si="11"/>
        <v>0</v>
      </c>
      <c r="AE1597" s="200">
        <f t="shared" ref="AE1597:AG1597" si="8066">countif($D1597,"*"&amp;AE$2&amp;"*")</f>
        <v>0</v>
      </c>
      <c r="AF1597" s="200">
        <f t="shared" si="8066"/>
        <v>0</v>
      </c>
      <c r="AG1597" s="200">
        <f t="shared" si="8066"/>
        <v>0</v>
      </c>
      <c r="AH1597" s="171">
        <f t="shared" si="13"/>
        <v>0</v>
      </c>
      <c r="AI1597" s="200">
        <f t="shared" si="14"/>
        <v>0</v>
      </c>
      <c r="AJ1597" s="200">
        <f t="shared" si="6100"/>
        <v>0</v>
      </c>
      <c r="AK1597" s="201">
        <f t="shared" ref="AK1597:AS1597" si="8067">countif($D1597,"*"&amp;AK$2&amp;"*")</f>
        <v>0</v>
      </c>
      <c r="AL1597" s="201">
        <f t="shared" si="8067"/>
        <v>0</v>
      </c>
      <c r="AM1597" s="201">
        <f t="shared" si="8067"/>
        <v>0</v>
      </c>
      <c r="AN1597" s="201">
        <f t="shared" si="8067"/>
        <v>0</v>
      </c>
      <c r="AO1597" s="201">
        <f t="shared" si="8067"/>
        <v>0</v>
      </c>
      <c r="AP1597" s="201">
        <f t="shared" si="8067"/>
        <v>0</v>
      </c>
      <c r="AQ1597" s="201">
        <f t="shared" si="8067"/>
        <v>0</v>
      </c>
      <c r="AR1597" s="200">
        <f t="shared" si="8067"/>
        <v>0</v>
      </c>
      <c r="AS1597" s="200">
        <f t="shared" si="8067"/>
        <v>0</v>
      </c>
      <c r="AT1597" s="173">
        <v>0.0</v>
      </c>
      <c r="AU1597" s="200">
        <f t="shared" si="6217"/>
        <v>0</v>
      </c>
      <c r="AV1597" s="200">
        <f t="shared" ref="AV1597:AX1597" si="8068">countif($D1597,"*"&amp;AV$2&amp;"*")</f>
        <v>1</v>
      </c>
      <c r="AW1597" s="200">
        <f t="shared" si="8068"/>
        <v>0</v>
      </c>
      <c r="AX1597" s="200">
        <f t="shared" si="8068"/>
        <v>0</v>
      </c>
      <c r="AY1597" s="202">
        <v>0.0</v>
      </c>
      <c r="AZ1597" s="200"/>
      <c r="BA1597" s="171" t="str">
        <f t="shared" si="18"/>
        <v/>
      </c>
      <c r="BB1597" s="171" t="str">
        <f t="shared" si="19"/>
        <v>Code</v>
      </c>
      <c r="BC1597" s="171" t="str">
        <f t="shared" si="20"/>
        <v/>
      </c>
      <c r="BD1597" s="171" t="str">
        <f t="shared" si="21"/>
        <v/>
      </c>
      <c r="BE1597" s="171" t="str">
        <f t="shared" si="22"/>
        <v/>
      </c>
      <c r="BF1597" s="171" t="str">
        <f t="shared" si="23"/>
        <v>Code</v>
      </c>
    </row>
    <row r="1598">
      <c r="A1598" s="171">
        <f t="array" ref="A1598">XLOOKUP(C1598,FSE!A:A,FSE!C:C,"XXXXX",0,1)</f>
        <v>2021</v>
      </c>
      <c r="B1598" s="213" t="s">
        <v>5676</v>
      </c>
      <c r="C1598" s="214">
        <v>297.0</v>
      </c>
      <c r="D1598" s="215" t="s">
        <v>4949</v>
      </c>
      <c r="E1598" s="197" t="str">
        <f t="array" ref="E1598">XLOOKUP(C1598,FSE!A:A,FSE!Z:Z,"XXXXX",0,1)</f>
        <v>Publicly Available (1)</v>
      </c>
      <c r="F1598" s="213" t="s">
        <v>3394</v>
      </c>
      <c r="G1598" s="163" t="str">
        <f t="array" ref="G1598">IF(B1598="ICSE",IF(COUNTIFS(B:B,B1598,C:C,C1598)=XLOOKUP(C1598,ICSE!A:A,ICSE!AA:AA,"ERROR",0,1),"OK","ERROR"),IF(B1598="FSE",IF(COUNTIFS(B:B,B1598,C:C,C1598)=XLOOKUP(C1598,FSE!A:A,FSE!AA:AA,"ERROR",0,1),"OK","ERROR")))</f>
        <v>OK</v>
      </c>
      <c r="H1598" s="199">
        <f t="shared" ref="H1598:O1598" si="8069">countif($D1598,"*"&amp;H$2&amp;"*")</f>
        <v>0</v>
      </c>
      <c r="I1598" s="200">
        <f t="shared" si="8069"/>
        <v>0</v>
      </c>
      <c r="J1598" s="200">
        <f t="shared" si="8069"/>
        <v>0</v>
      </c>
      <c r="K1598" s="200">
        <f t="shared" si="8069"/>
        <v>0</v>
      </c>
      <c r="L1598" s="200">
        <f t="shared" si="8069"/>
        <v>0</v>
      </c>
      <c r="M1598" s="200">
        <f t="shared" si="8069"/>
        <v>0</v>
      </c>
      <c r="N1598" s="200">
        <f t="shared" si="8069"/>
        <v>0</v>
      </c>
      <c r="O1598" s="200">
        <f t="shared" si="8069"/>
        <v>0</v>
      </c>
      <c r="P1598" s="200">
        <f t="shared" si="9"/>
        <v>1</v>
      </c>
      <c r="Q1598" s="200">
        <f t="shared" ref="Q1598:AC1598" si="8070">countif($D1598,"*"&amp;Q$2&amp;"*")</f>
        <v>0</v>
      </c>
      <c r="R1598" s="200">
        <f t="shared" si="8070"/>
        <v>0</v>
      </c>
      <c r="S1598" s="200">
        <f t="shared" si="8070"/>
        <v>0</v>
      </c>
      <c r="T1598" s="200">
        <f t="shared" si="8070"/>
        <v>0</v>
      </c>
      <c r="U1598" s="200">
        <f t="shared" si="8070"/>
        <v>0</v>
      </c>
      <c r="V1598" s="200">
        <f t="shared" si="8070"/>
        <v>0</v>
      </c>
      <c r="W1598" s="200">
        <f t="shared" si="8070"/>
        <v>0</v>
      </c>
      <c r="X1598" s="200">
        <f t="shared" si="8070"/>
        <v>0</v>
      </c>
      <c r="Y1598" s="200">
        <f t="shared" si="8070"/>
        <v>0</v>
      </c>
      <c r="Z1598" s="200">
        <f t="shared" si="8070"/>
        <v>0</v>
      </c>
      <c r="AA1598" s="200">
        <f t="shared" si="8070"/>
        <v>0</v>
      </c>
      <c r="AB1598" s="200">
        <f t="shared" si="8070"/>
        <v>0</v>
      </c>
      <c r="AC1598" s="200">
        <f t="shared" si="8070"/>
        <v>0</v>
      </c>
      <c r="AD1598" s="200">
        <f t="shared" si="11"/>
        <v>0</v>
      </c>
      <c r="AE1598" s="200">
        <f t="shared" ref="AE1598:AG1598" si="8071">countif($D1598,"*"&amp;AE$2&amp;"*")</f>
        <v>0</v>
      </c>
      <c r="AF1598" s="200">
        <f t="shared" si="8071"/>
        <v>0</v>
      </c>
      <c r="AG1598" s="200">
        <f t="shared" si="8071"/>
        <v>0</v>
      </c>
      <c r="AH1598" s="171">
        <f t="shared" si="13"/>
        <v>0</v>
      </c>
      <c r="AI1598" s="200">
        <f t="shared" si="14"/>
        <v>0</v>
      </c>
      <c r="AJ1598" s="200">
        <f t="shared" si="6100"/>
        <v>0</v>
      </c>
      <c r="AK1598" s="201">
        <f t="shared" ref="AK1598:AS1598" si="8072">countif($D1598,"*"&amp;AK$2&amp;"*")</f>
        <v>0</v>
      </c>
      <c r="AL1598" s="201">
        <f t="shared" si="8072"/>
        <v>0</v>
      </c>
      <c r="AM1598" s="201">
        <f t="shared" si="8072"/>
        <v>0</v>
      </c>
      <c r="AN1598" s="201">
        <f t="shared" si="8072"/>
        <v>0</v>
      </c>
      <c r="AO1598" s="201">
        <f t="shared" si="8072"/>
        <v>0</v>
      </c>
      <c r="AP1598" s="201">
        <f t="shared" si="8072"/>
        <v>0</v>
      </c>
      <c r="AQ1598" s="201">
        <f t="shared" si="8072"/>
        <v>0</v>
      </c>
      <c r="AR1598" s="200">
        <f t="shared" si="8072"/>
        <v>0</v>
      </c>
      <c r="AS1598" s="200">
        <f t="shared" si="8072"/>
        <v>0</v>
      </c>
      <c r="AT1598" s="173">
        <v>0.0</v>
      </c>
      <c r="AU1598" s="200">
        <f t="shared" si="6217"/>
        <v>0</v>
      </c>
      <c r="AV1598" s="200">
        <f t="shared" ref="AV1598:AX1598" si="8073">countif($D1598,"*"&amp;AV$2&amp;"*")</f>
        <v>1</v>
      </c>
      <c r="AW1598" s="200">
        <f t="shared" si="8073"/>
        <v>0</v>
      </c>
      <c r="AX1598" s="200">
        <f t="shared" si="8073"/>
        <v>0</v>
      </c>
      <c r="AY1598" s="202">
        <v>0.0</v>
      </c>
      <c r="AZ1598" s="200"/>
      <c r="BA1598" s="171" t="str">
        <f t="shared" si="18"/>
        <v/>
      </c>
      <c r="BB1598" s="171" t="str">
        <f t="shared" si="19"/>
        <v>Code</v>
      </c>
      <c r="BC1598" s="171" t="str">
        <f t="shared" si="20"/>
        <v/>
      </c>
      <c r="BD1598" s="171" t="str">
        <f t="shared" si="21"/>
        <v/>
      </c>
      <c r="BE1598" s="171" t="str">
        <f t="shared" si="22"/>
        <v/>
      </c>
      <c r="BF1598" s="171" t="str">
        <f t="shared" si="23"/>
        <v>Code</v>
      </c>
    </row>
    <row r="1599">
      <c r="A1599" s="171">
        <f t="array" ref="A1599">XLOOKUP(C1599,FSE!A:A,FSE!C:C,"XXXXX",0,1)</f>
        <v>2021</v>
      </c>
      <c r="B1599" s="213" t="s">
        <v>5676</v>
      </c>
      <c r="C1599" s="214">
        <v>298.0</v>
      </c>
      <c r="D1599" s="215" t="s">
        <v>6333</v>
      </c>
      <c r="E1599" s="197" t="str">
        <f t="array" ref="E1599">XLOOKUP(C1599,FSE!A:A,FSE!Z:Z,"XXXXX",0,1)</f>
        <v>Publicly Available (4)</v>
      </c>
      <c r="F1599" s="213" t="s">
        <v>3394</v>
      </c>
      <c r="G1599" s="163" t="str">
        <f t="array" ref="G1599">IF(B1599="ICSE",IF(COUNTIFS(B:B,B1599,C:C,C1599)=XLOOKUP(C1599,ICSE!A:A,ICSE!AA:AA,"ERROR",0,1),"OK","ERROR"),IF(B1599="FSE",IF(COUNTIFS(B:B,B1599,C:C,C1599)=XLOOKUP(C1599,FSE!A:A,FSE!AA:AA,"ERROR",0,1),"OK","ERROR")))</f>
        <v>OK</v>
      </c>
      <c r="H1599" s="199">
        <f t="shared" ref="H1599:O1599" si="8074">countif($D1599,"*"&amp;H$2&amp;"*")</f>
        <v>1</v>
      </c>
      <c r="I1599" s="200">
        <f t="shared" si="8074"/>
        <v>0</v>
      </c>
      <c r="J1599" s="200">
        <f t="shared" si="8074"/>
        <v>0</v>
      </c>
      <c r="K1599" s="200">
        <f t="shared" si="8074"/>
        <v>0</v>
      </c>
      <c r="L1599" s="200">
        <f t="shared" si="8074"/>
        <v>0</v>
      </c>
      <c r="M1599" s="200">
        <f t="shared" si="8074"/>
        <v>0</v>
      </c>
      <c r="N1599" s="200">
        <f t="shared" si="8074"/>
        <v>0</v>
      </c>
      <c r="O1599" s="200">
        <f t="shared" si="8074"/>
        <v>0</v>
      </c>
      <c r="P1599" s="200">
        <f t="shared" si="9"/>
        <v>0</v>
      </c>
      <c r="Q1599" s="200">
        <f t="shared" ref="Q1599:AC1599" si="8075">countif($D1599,"*"&amp;Q$2&amp;"*")</f>
        <v>0</v>
      </c>
      <c r="R1599" s="200">
        <f t="shared" si="8075"/>
        <v>0</v>
      </c>
      <c r="S1599" s="200">
        <f t="shared" si="8075"/>
        <v>0</v>
      </c>
      <c r="T1599" s="200">
        <f t="shared" si="8075"/>
        <v>0</v>
      </c>
      <c r="U1599" s="200">
        <f t="shared" si="8075"/>
        <v>0</v>
      </c>
      <c r="V1599" s="200">
        <f t="shared" si="8075"/>
        <v>0</v>
      </c>
      <c r="W1599" s="200">
        <f t="shared" si="8075"/>
        <v>0</v>
      </c>
      <c r="X1599" s="200">
        <f t="shared" si="8075"/>
        <v>0</v>
      </c>
      <c r="Y1599" s="200">
        <f t="shared" si="8075"/>
        <v>0</v>
      </c>
      <c r="Z1599" s="200">
        <f t="shared" si="8075"/>
        <v>0</v>
      </c>
      <c r="AA1599" s="200">
        <f t="shared" si="8075"/>
        <v>0</v>
      </c>
      <c r="AB1599" s="200">
        <f t="shared" si="8075"/>
        <v>0</v>
      </c>
      <c r="AC1599" s="200">
        <f t="shared" si="8075"/>
        <v>0</v>
      </c>
      <c r="AD1599" s="200">
        <f t="shared" si="11"/>
        <v>0</v>
      </c>
      <c r="AE1599" s="200">
        <f t="shared" ref="AE1599:AG1599" si="8076">countif($D1599,"*"&amp;AE$2&amp;"*")</f>
        <v>0</v>
      </c>
      <c r="AF1599" s="200">
        <f t="shared" si="8076"/>
        <v>0</v>
      </c>
      <c r="AG1599" s="200">
        <f t="shared" si="8076"/>
        <v>0</v>
      </c>
      <c r="AH1599" s="171">
        <f t="shared" si="13"/>
        <v>0</v>
      </c>
      <c r="AI1599" s="200">
        <f t="shared" si="14"/>
        <v>1</v>
      </c>
      <c r="AJ1599" s="200">
        <f t="shared" si="6100"/>
        <v>0</v>
      </c>
      <c r="AK1599" s="201">
        <f t="shared" ref="AK1599:AS1599" si="8077">countif($D1599,"*"&amp;AK$2&amp;"*")</f>
        <v>0</v>
      </c>
      <c r="AL1599" s="201">
        <f t="shared" si="8077"/>
        <v>0</v>
      </c>
      <c r="AM1599" s="201">
        <f t="shared" si="8077"/>
        <v>0</v>
      </c>
      <c r="AN1599" s="201">
        <f t="shared" si="8077"/>
        <v>0</v>
      </c>
      <c r="AO1599" s="201">
        <f t="shared" si="8077"/>
        <v>0</v>
      </c>
      <c r="AP1599" s="201">
        <f t="shared" si="8077"/>
        <v>0</v>
      </c>
      <c r="AQ1599" s="201">
        <f t="shared" si="8077"/>
        <v>0</v>
      </c>
      <c r="AR1599" s="200">
        <f t="shared" si="8077"/>
        <v>0</v>
      </c>
      <c r="AS1599" s="200">
        <f t="shared" si="8077"/>
        <v>0</v>
      </c>
      <c r="AT1599" s="173">
        <v>0.0</v>
      </c>
      <c r="AU1599" s="200">
        <f t="shared" si="6217"/>
        <v>0</v>
      </c>
      <c r="AV1599" s="200">
        <f t="shared" ref="AV1599:AX1599" si="8078">countif($D1599,"*"&amp;AV$2&amp;"*")</f>
        <v>0</v>
      </c>
      <c r="AW1599" s="200">
        <f t="shared" si="8078"/>
        <v>0</v>
      </c>
      <c r="AX1599" s="200">
        <f t="shared" si="8078"/>
        <v>1</v>
      </c>
      <c r="AY1599" s="202">
        <v>0.0</v>
      </c>
      <c r="AZ1599" s="200"/>
      <c r="BA1599" s="171" t="str">
        <f t="shared" si="18"/>
        <v>Archival</v>
      </c>
      <c r="BB1599" s="171" t="str">
        <f t="shared" si="19"/>
        <v/>
      </c>
      <c r="BC1599" s="171" t="str">
        <f t="shared" si="20"/>
        <v/>
      </c>
      <c r="BD1599" s="171" t="str">
        <f t="shared" si="21"/>
        <v/>
      </c>
      <c r="BE1599" s="171" t="str">
        <f t="shared" si="22"/>
        <v/>
      </c>
      <c r="BF1599" s="171" t="str">
        <f t="shared" si="23"/>
        <v>Archival</v>
      </c>
    </row>
    <row r="1600">
      <c r="A1600" s="213">
        <f t="array" ref="A1600">XLOOKUP(C1600,FSE!A:A,FSE!C:C,"XXXXX",0,1)</f>
        <v>2021</v>
      </c>
      <c r="B1600" s="213" t="s">
        <v>5676</v>
      </c>
      <c r="C1600" s="220">
        <v>298.0</v>
      </c>
      <c r="D1600" s="217" t="s">
        <v>6334</v>
      </c>
      <c r="E1600" s="221" t="str">
        <f t="array" ref="E1600">XLOOKUP(C1600,FSE!A:A,FSE!Z:Z,"XXXXX",0,1)</f>
        <v>Publicly Available (4)</v>
      </c>
      <c r="F1600" s="213" t="s">
        <v>3394</v>
      </c>
      <c r="G1600" s="163" t="str">
        <f t="array" ref="G1600">IF(B1600="ICSE",IF(COUNTIFS(B:B,B1600,C:C,C1600)=XLOOKUP(C1600,ICSE!A:A,ICSE!AA:AA,"ERROR",0,1),"OK","ERROR"),IF(B1600="FSE",IF(COUNTIFS(B:B,B1600,C:C,C1600)=XLOOKUP(C1600,FSE!A:A,FSE!AA:AA,"ERROR",0,1),"OK","ERROR")))</f>
        <v>OK</v>
      </c>
      <c r="H1600" s="199">
        <f t="shared" ref="H1600:O1600" si="8079">countif($D1600,"*"&amp;H$2&amp;"*")</f>
        <v>1</v>
      </c>
      <c r="I1600" s="200">
        <f t="shared" si="8079"/>
        <v>0</v>
      </c>
      <c r="J1600" s="200">
        <f t="shared" si="8079"/>
        <v>0</v>
      </c>
      <c r="K1600" s="200">
        <f t="shared" si="8079"/>
        <v>0</v>
      </c>
      <c r="L1600" s="200">
        <f t="shared" si="8079"/>
        <v>0</v>
      </c>
      <c r="M1600" s="200">
        <f t="shared" si="8079"/>
        <v>0</v>
      </c>
      <c r="N1600" s="200">
        <f t="shared" si="8079"/>
        <v>0</v>
      </c>
      <c r="O1600" s="200">
        <f t="shared" si="8079"/>
        <v>0</v>
      </c>
      <c r="P1600" s="200">
        <f t="shared" si="9"/>
        <v>0</v>
      </c>
      <c r="Q1600" s="200">
        <f t="shared" ref="Q1600:AC1600" si="8080">countif($D1600,"*"&amp;Q$2&amp;"*")</f>
        <v>0</v>
      </c>
      <c r="R1600" s="200">
        <f t="shared" si="8080"/>
        <v>0</v>
      </c>
      <c r="S1600" s="200">
        <f t="shared" si="8080"/>
        <v>0</v>
      </c>
      <c r="T1600" s="200">
        <f t="shared" si="8080"/>
        <v>0</v>
      </c>
      <c r="U1600" s="200">
        <f t="shared" si="8080"/>
        <v>0</v>
      </c>
      <c r="V1600" s="200">
        <f t="shared" si="8080"/>
        <v>0</v>
      </c>
      <c r="W1600" s="200">
        <f t="shared" si="8080"/>
        <v>0</v>
      </c>
      <c r="X1600" s="200">
        <f t="shared" si="8080"/>
        <v>0</v>
      </c>
      <c r="Y1600" s="200">
        <f t="shared" si="8080"/>
        <v>0</v>
      </c>
      <c r="Z1600" s="200">
        <f t="shared" si="8080"/>
        <v>0</v>
      </c>
      <c r="AA1600" s="200">
        <f t="shared" si="8080"/>
        <v>0</v>
      </c>
      <c r="AB1600" s="200">
        <f t="shared" si="8080"/>
        <v>0</v>
      </c>
      <c r="AC1600" s="200">
        <f t="shared" si="8080"/>
        <v>0</v>
      </c>
      <c r="AD1600" s="222">
        <f t="shared" si="11"/>
        <v>0</v>
      </c>
      <c r="AE1600" s="200">
        <f t="shared" ref="AE1600:AG1600" si="8081">countif($D1600,"*"&amp;AE$2&amp;"*")</f>
        <v>0</v>
      </c>
      <c r="AF1600" s="200">
        <f t="shared" si="8081"/>
        <v>0</v>
      </c>
      <c r="AG1600" s="200">
        <f t="shared" si="8081"/>
        <v>0</v>
      </c>
      <c r="AH1600" s="171">
        <f t="shared" si="13"/>
        <v>0</v>
      </c>
      <c r="AI1600" s="200">
        <f t="shared" si="14"/>
        <v>1</v>
      </c>
      <c r="AJ1600" s="200">
        <f t="shared" si="6100"/>
        <v>0</v>
      </c>
      <c r="AK1600" s="201">
        <f t="shared" ref="AK1600:AS1600" si="8082">countif($D1600,"*"&amp;AK$2&amp;"*")</f>
        <v>0</v>
      </c>
      <c r="AL1600" s="201">
        <f t="shared" si="8082"/>
        <v>0</v>
      </c>
      <c r="AM1600" s="201">
        <f t="shared" si="8082"/>
        <v>0</v>
      </c>
      <c r="AN1600" s="201">
        <f t="shared" si="8082"/>
        <v>0</v>
      </c>
      <c r="AO1600" s="201">
        <f t="shared" si="8082"/>
        <v>0</v>
      </c>
      <c r="AP1600" s="201">
        <f t="shared" si="8082"/>
        <v>0</v>
      </c>
      <c r="AQ1600" s="201">
        <f t="shared" si="8082"/>
        <v>0</v>
      </c>
      <c r="AR1600" s="222">
        <f t="shared" si="8082"/>
        <v>0</v>
      </c>
      <c r="AS1600" s="200">
        <f t="shared" si="8082"/>
        <v>0</v>
      </c>
      <c r="AT1600" s="223">
        <v>0.0</v>
      </c>
      <c r="AU1600" s="200">
        <f t="shared" si="6217"/>
        <v>0</v>
      </c>
      <c r="AV1600" s="200">
        <f t="shared" ref="AV1600:AX1600" si="8083">countif($D1600,"*"&amp;AV$2&amp;"*")</f>
        <v>0</v>
      </c>
      <c r="AW1600" s="200">
        <f t="shared" si="8083"/>
        <v>0</v>
      </c>
      <c r="AX1600" s="200">
        <f t="shared" si="8083"/>
        <v>1</v>
      </c>
      <c r="AY1600" s="202">
        <v>0.0</v>
      </c>
      <c r="AZ1600" s="200"/>
      <c r="BA1600" s="171" t="str">
        <f t="shared" si="18"/>
        <v>Archival</v>
      </c>
      <c r="BB1600" s="171" t="str">
        <f t="shared" si="19"/>
        <v/>
      </c>
      <c r="BC1600" s="171" t="str">
        <f t="shared" si="20"/>
        <v/>
      </c>
      <c r="BD1600" s="171" t="str">
        <f t="shared" si="21"/>
        <v/>
      </c>
      <c r="BE1600" s="171" t="str">
        <f t="shared" si="22"/>
        <v/>
      </c>
      <c r="BF1600" s="171" t="str">
        <f t="shared" si="23"/>
        <v>Archival</v>
      </c>
    </row>
    <row r="1601">
      <c r="A1601" s="213">
        <f t="array" ref="A1601">XLOOKUP(C1601,FSE!A:A,FSE!C:C,"XXXXX",0,1)</f>
        <v>2021</v>
      </c>
      <c r="B1601" s="213" t="s">
        <v>5676</v>
      </c>
      <c r="C1601" s="220">
        <v>298.0</v>
      </c>
      <c r="D1601" s="217" t="s">
        <v>6335</v>
      </c>
      <c r="E1601" s="221" t="str">
        <f t="array" ref="E1601">XLOOKUP(C1601,FSE!A:A,FSE!Z:Z,"XXXXX",0,1)</f>
        <v>Publicly Available (4)</v>
      </c>
      <c r="F1601" s="213" t="s">
        <v>3394</v>
      </c>
      <c r="G1601" s="163" t="str">
        <f t="array" ref="G1601">IF(B1601="ICSE",IF(COUNTIFS(B:B,B1601,C:C,C1601)=XLOOKUP(C1601,ICSE!A:A,ICSE!AA:AA,"ERROR",0,1),"OK","ERROR"),IF(B1601="FSE",IF(COUNTIFS(B:B,B1601,C:C,C1601)=XLOOKUP(C1601,FSE!A:A,FSE!AA:AA,"ERROR",0,1),"OK","ERROR")))</f>
        <v>OK</v>
      </c>
      <c r="H1601" s="199">
        <f t="shared" ref="H1601:O1601" si="8084">countif($D1601,"*"&amp;H$2&amp;"*")</f>
        <v>1</v>
      </c>
      <c r="I1601" s="200">
        <f t="shared" si="8084"/>
        <v>0</v>
      </c>
      <c r="J1601" s="200">
        <f t="shared" si="8084"/>
        <v>0</v>
      </c>
      <c r="K1601" s="200">
        <f t="shared" si="8084"/>
        <v>0</v>
      </c>
      <c r="L1601" s="200">
        <f t="shared" si="8084"/>
        <v>0</v>
      </c>
      <c r="M1601" s="200">
        <f t="shared" si="8084"/>
        <v>0</v>
      </c>
      <c r="N1601" s="200">
        <f t="shared" si="8084"/>
        <v>0</v>
      </c>
      <c r="O1601" s="200">
        <f t="shared" si="8084"/>
        <v>0</v>
      </c>
      <c r="P1601" s="200">
        <f t="shared" si="9"/>
        <v>0</v>
      </c>
      <c r="Q1601" s="200">
        <f t="shared" ref="Q1601:AC1601" si="8085">countif($D1601,"*"&amp;Q$2&amp;"*")</f>
        <v>0</v>
      </c>
      <c r="R1601" s="200">
        <f t="shared" si="8085"/>
        <v>0</v>
      </c>
      <c r="S1601" s="200">
        <f t="shared" si="8085"/>
        <v>0</v>
      </c>
      <c r="T1601" s="200">
        <f t="shared" si="8085"/>
        <v>0</v>
      </c>
      <c r="U1601" s="200">
        <f t="shared" si="8085"/>
        <v>0</v>
      </c>
      <c r="V1601" s="200">
        <f t="shared" si="8085"/>
        <v>0</v>
      </c>
      <c r="W1601" s="200">
        <f t="shared" si="8085"/>
        <v>0</v>
      </c>
      <c r="X1601" s="200">
        <f t="shared" si="8085"/>
        <v>0</v>
      </c>
      <c r="Y1601" s="200">
        <f t="shared" si="8085"/>
        <v>0</v>
      </c>
      <c r="Z1601" s="200">
        <f t="shared" si="8085"/>
        <v>0</v>
      </c>
      <c r="AA1601" s="200">
        <f t="shared" si="8085"/>
        <v>0</v>
      </c>
      <c r="AB1601" s="200">
        <f t="shared" si="8085"/>
        <v>0</v>
      </c>
      <c r="AC1601" s="200">
        <f t="shared" si="8085"/>
        <v>0</v>
      </c>
      <c r="AD1601" s="222">
        <f t="shared" si="11"/>
        <v>0</v>
      </c>
      <c r="AE1601" s="200">
        <f t="shared" ref="AE1601:AG1601" si="8086">countif($D1601,"*"&amp;AE$2&amp;"*")</f>
        <v>0</v>
      </c>
      <c r="AF1601" s="200">
        <f t="shared" si="8086"/>
        <v>0</v>
      </c>
      <c r="AG1601" s="200">
        <f t="shared" si="8086"/>
        <v>0</v>
      </c>
      <c r="AH1601" s="171">
        <f t="shared" si="13"/>
        <v>0</v>
      </c>
      <c r="AI1601" s="200">
        <f t="shared" si="14"/>
        <v>1</v>
      </c>
      <c r="AJ1601" s="200">
        <f t="shared" si="6100"/>
        <v>0</v>
      </c>
      <c r="AK1601" s="201">
        <f t="shared" ref="AK1601:AS1601" si="8087">countif($D1601,"*"&amp;AK$2&amp;"*")</f>
        <v>0</v>
      </c>
      <c r="AL1601" s="201">
        <f t="shared" si="8087"/>
        <v>0</v>
      </c>
      <c r="AM1601" s="201">
        <f t="shared" si="8087"/>
        <v>0</v>
      </c>
      <c r="AN1601" s="201">
        <f t="shared" si="8087"/>
        <v>0</v>
      </c>
      <c r="AO1601" s="201">
        <f t="shared" si="8087"/>
        <v>0</v>
      </c>
      <c r="AP1601" s="201">
        <f t="shared" si="8087"/>
        <v>0</v>
      </c>
      <c r="AQ1601" s="201">
        <f t="shared" si="8087"/>
        <v>0</v>
      </c>
      <c r="AR1601" s="222">
        <f t="shared" si="8087"/>
        <v>0</v>
      </c>
      <c r="AS1601" s="200">
        <f t="shared" si="8087"/>
        <v>0</v>
      </c>
      <c r="AT1601" s="223">
        <v>0.0</v>
      </c>
      <c r="AU1601" s="200">
        <f t="shared" si="6217"/>
        <v>0</v>
      </c>
      <c r="AV1601" s="200">
        <f t="shared" ref="AV1601:AX1601" si="8088">countif($D1601,"*"&amp;AV$2&amp;"*")</f>
        <v>0</v>
      </c>
      <c r="AW1601" s="200">
        <f t="shared" si="8088"/>
        <v>0</v>
      </c>
      <c r="AX1601" s="200">
        <f t="shared" si="8088"/>
        <v>1</v>
      </c>
      <c r="AY1601" s="202">
        <v>0.0</v>
      </c>
      <c r="AZ1601" s="200"/>
      <c r="BA1601" s="171" t="str">
        <f t="shared" si="18"/>
        <v>Archival</v>
      </c>
      <c r="BB1601" s="171" t="str">
        <f t="shared" si="19"/>
        <v/>
      </c>
      <c r="BC1601" s="171" t="str">
        <f t="shared" si="20"/>
        <v/>
      </c>
      <c r="BD1601" s="171" t="str">
        <f t="shared" si="21"/>
        <v/>
      </c>
      <c r="BE1601" s="171" t="str">
        <f t="shared" si="22"/>
        <v/>
      </c>
      <c r="BF1601" s="171" t="str">
        <f t="shared" si="23"/>
        <v>Archival</v>
      </c>
    </row>
    <row r="1602">
      <c r="A1602" s="213">
        <f t="array" ref="A1602">XLOOKUP(C1602,FSE!A:A,FSE!C:C,"XXXXX",0,1)</f>
        <v>2021</v>
      </c>
      <c r="B1602" s="213" t="s">
        <v>5676</v>
      </c>
      <c r="C1602" s="220">
        <v>298.0</v>
      </c>
      <c r="D1602" s="217" t="s">
        <v>3982</v>
      </c>
      <c r="E1602" s="221" t="str">
        <f t="array" ref="E1602">XLOOKUP(C1602,FSE!A:A,FSE!Z:Z,"XXXXX",0,1)</f>
        <v>Publicly Available (4)</v>
      </c>
      <c r="F1602" s="213" t="s">
        <v>3394</v>
      </c>
      <c r="G1602" s="163" t="str">
        <f t="array" ref="G1602">IF(B1602="ICSE",IF(COUNTIFS(B:B,B1602,C:C,C1602)=XLOOKUP(C1602,ICSE!A:A,ICSE!AA:AA,"ERROR",0,1),"OK","ERROR"),IF(B1602="FSE",IF(COUNTIFS(B:B,B1602,C:C,C1602)=XLOOKUP(C1602,FSE!A:A,FSE!AA:AA,"ERROR",0,1),"OK","ERROR")))</f>
        <v>OK</v>
      </c>
      <c r="H1602" s="199">
        <f t="shared" ref="H1602:O1602" si="8089">countif($D1602,"*"&amp;H$2&amp;"*")</f>
        <v>0</v>
      </c>
      <c r="I1602" s="200">
        <f t="shared" si="8089"/>
        <v>0</v>
      </c>
      <c r="J1602" s="200">
        <f t="shared" si="8089"/>
        <v>0</v>
      </c>
      <c r="K1602" s="200">
        <f t="shared" si="8089"/>
        <v>0</v>
      </c>
      <c r="L1602" s="200">
        <f t="shared" si="8089"/>
        <v>0</v>
      </c>
      <c r="M1602" s="200">
        <f t="shared" si="8089"/>
        <v>0</v>
      </c>
      <c r="N1602" s="200">
        <f t="shared" si="8089"/>
        <v>0</v>
      </c>
      <c r="O1602" s="200">
        <f t="shared" si="8089"/>
        <v>0</v>
      </c>
      <c r="P1602" s="200">
        <f t="shared" si="9"/>
        <v>1</v>
      </c>
      <c r="Q1602" s="200">
        <f t="shared" ref="Q1602:AC1602" si="8090">countif($D1602,"*"&amp;Q$2&amp;"*")</f>
        <v>0</v>
      </c>
      <c r="R1602" s="200">
        <f t="shared" si="8090"/>
        <v>0</v>
      </c>
      <c r="S1602" s="200">
        <f t="shared" si="8090"/>
        <v>0</v>
      </c>
      <c r="T1602" s="200">
        <f t="shared" si="8090"/>
        <v>0</v>
      </c>
      <c r="U1602" s="200">
        <f t="shared" si="8090"/>
        <v>0</v>
      </c>
      <c r="V1602" s="200">
        <f t="shared" si="8090"/>
        <v>0</v>
      </c>
      <c r="W1602" s="200">
        <f t="shared" si="8090"/>
        <v>0</v>
      </c>
      <c r="X1602" s="200">
        <f t="shared" si="8090"/>
        <v>0</v>
      </c>
      <c r="Y1602" s="200">
        <f t="shared" si="8090"/>
        <v>0</v>
      </c>
      <c r="Z1602" s="200">
        <f t="shared" si="8090"/>
        <v>0</v>
      </c>
      <c r="AA1602" s="200">
        <f t="shared" si="8090"/>
        <v>0</v>
      </c>
      <c r="AB1602" s="200">
        <f t="shared" si="8090"/>
        <v>0</v>
      </c>
      <c r="AC1602" s="200">
        <f t="shared" si="8090"/>
        <v>0</v>
      </c>
      <c r="AD1602" s="222">
        <f t="shared" si="11"/>
        <v>0</v>
      </c>
      <c r="AE1602" s="200">
        <f t="shared" ref="AE1602:AG1602" si="8091">countif($D1602,"*"&amp;AE$2&amp;"*")</f>
        <v>0</v>
      </c>
      <c r="AF1602" s="200">
        <f t="shared" si="8091"/>
        <v>0</v>
      </c>
      <c r="AG1602" s="200">
        <f t="shared" si="8091"/>
        <v>0</v>
      </c>
      <c r="AH1602" s="171">
        <f t="shared" si="13"/>
        <v>0</v>
      </c>
      <c r="AI1602" s="200">
        <f t="shared" si="14"/>
        <v>0</v>
      </c>
      <c r="AJ1602" s="200">
        <f t="shared" si="6100"/>
        <v>0</v>
      </c>
      <c r="AK1602" s="201">
        <f t="shared" ref="AK1602:AS1602" si="8092">countif($D1602,"*"&amp;AK$2&amp;"*")</f>
        <v>0</v>
      </c>
      <c r="AL1602" s="201">
        <f t="shared" si="8092"/>
        <v>0</v>
      </c>
      <c r="AM1602" s="201">
        <f t="shared" si="8092"/>
        <v>0</v>
      </c>
      <c r="AN1602" s="201">
        <f t="shared" si="8092"/>
        <v>0</v>
      </c>
      <c r="AO1602" s="201">
        <f t="shared" si="8092"/>
        <v>0</v>
      </c>
      <c r="AP1602" s="201">
        <f t="shared" si="8092"/>
        <v>0</v>
      </c>
      <c r="AQ1602" s="201">
        <f t="shared" si="8092"/>
        <v>0</v>
      </c>
      <c r="AR1602" s="222">
        <f t="shared" si="8092"/>
        <v>0</v>
      </c>
      <c r="AS1602" s="200">
        <f t="shared" si="8092"/>
        <v>0</v>
      </c>
      <c r="AT1602" s="223">
        <v>0.0</v>
      </c>
      <c r="AU1602" s="200">
        <f t="shared" si="6217"/>
        <v>0</v>
      </c>
      <c r="AV1602" s="200">
        <f t="shared" ref="AV1602:AX1602" si="8093">countif($D1602,"*"&amp;AV$2&amp;"*")</f>
        <v>1</v>
      </c>
      <c r="AW1602" s="200">
        <f t="shared" si="8093"/>
        <v>0</v>
      </c>
      <c r="AX1602" s="200">
        <f t="shared" si="8093"/>
        <v>0</v>
      </c>
      <c r="AY1602" s="202">
        <v>0.0</v>
      </c>
      <c r="AZ1602" s="200"/>
      <c r="BA1602" s="171" t="str">
        <f t="shared" si="18"/>
        <v/>
      </c>
      <c r="BB1602" s="171" t="str">
        <f t="shared" si="19"/>
        <v>Code</v>
      </c>
      <c r="BC1602" s="171" t="str">
        <f t="shared" si="20"/>
        <v/>
      </c>
      <c r="BD1602" s="171" t="str">
        <f t="shared" si="21"/>
        <v/>
      </c>
      <c r="BE1602" s="171" t="str">
        <f t="shared" si="22"/>
        <v/>
      </c>
      <c r="BF1602" s="171" t="str">
        <f t="shared" si="23"/>
        <v>Code</v>
      </c>
    </row>
    <row r="1603">
      <c r="A1603" s="171">
        <f t="array" ref="A1603">XLOOKUP(C1603,FSE!A:A,FSE!C:C,"XXXXX",0,1)</f>
        <v>2021</v>
      </c>
      <c r="B1603" s="213" t="s">
        <v>5676</v>
      </c>
      <c r="C1603" s="214">
        <v>299.0</v>
      </c>
      <c r="D1603" s="215" t="s">
        <v>4955</v>
      </c>
      <c r="E1603" s="197" t="str">
        <f t="array" ref="E1603">XLOOKUP(C1603,FSE!A:A,FSE!Z:Z,"XXXXX",0,1)</f>
        <v>Publicly Available (1)</v>
      </c>
      <c r="F1603" s="213" t="s">
        <v>3394</v>
      </c>
      <c r="G1603" s="163" t="str">
        <f t="array" ref="G1603">IF(B1603="ICSE",IF(COUNTIFS(B:B,B1603,C:C,C1603)=XLOOKUP(C1603,ICSE!A:A,ICSE!AA:AA,"ERROR",0,1),"OK","ERROR"),IF(B1603="FSE",IF(COUNTIFS(B:B,B1603,C:C,C1603)=XLOOKUP(C1603,FSE!A:A,FSE!AA:AA,"ERROR",0,1),"OK","ERROR")))</f>
        <v>OK</v>
      </c>
      <c r="H1603" s="199">
        <f t="shared" ref="H1603:O1603" si="8094">countif($D1603,"*"&amp;H$2&amp;"*")</f>
        <v>0</v>
      </c>
      <c r="I1603" s="200">
        <f t="shared" si="8094"/>
        <v>0</v>
      </c>
      <c r="J1603" s="200">
        <f t="shared" si="8094"/>
        <v>0</v>
      </c>
      <c r="K1603" s="200">
        <f t="shared" si="8094"/>
        <v>0</v>
      </c>
      <c r="L1603" s="200">
        <f t="shared" si="8094"/>
        <v>0</v>
      </c>
      <c r="M1603" s="200">
        <f t="shared" si="8094"/>
        <v>0</v>
      </c>
      <c r="N1603" s="200">
        <f t="shared" si="8094"/>
        <v>0</v>
      </c>
      <c r="O1603" s="200">
        <f t="shared" si="8094"/>
        <v>0</v>
      </c>
      <c r="P1603" s="200">
        <f t="shared" si="9"/>
        <v>1</v>
      </c>
      <c r="Q1603" s="200">
        <f t="shared" ref="Q1603:AC1603" si="8095">countif($D1603,"*"&amp;Q$2&amp;"*")</f>
        <v>0</v>
      </c>
      <c r="R1603" s="200">
        <f t="shared" si="8095"/>
        <v>0</v>
      </c>
      <c r="S1603" s="200">
        <f t="shared" si="8095"/>
        <v>0</v>
      </c>
      <c r="T1603" s="200">
        <f t="shared" si="8095"/>
        <v>0</v>
      </c>
      <c r="U1603" s="200">
        <f t="shared" si="8095"/>
        <v>0</v>
      </c>
      <c r="V1603" s="200">
        <f t="shared" si="8095"/>
        <v>0</v>
      </c>
      <c r="W1603" s="200">
        <f t="shared" si="8095"/>
        <v>0</v>
      </c>
      <c r="X1603" s="200">
        <f t="shared" si="8095"/>
        <v>0</v>
      </c>
      <c r="Y1603" s="200">
        <f t="shared" si="8095"/>
        <v>0</v>
      </c>
      <c r="Z1603" s="200">
        <f t="shared" si="8095"/>
        <v>0</v>
      </c>
      <c r="AA1603" s="200">
        <f t="shared" si="8095"/>
        <v>0</v>
      </c>
      <c r="AB1603" s="200">
        <f t="shared" si="8095"/>
        <v>0</v>
      </c>
      <c r="AC1603" s="200">
        <f t="shared" si="8095"/>
        <v>0</v>
      </c>
      <c r="AD1603" s="200">
        <f t="shared" si="11"/>
        <v>0</v>
      </c>
      <c r="AE1603" s="200">
        <f t="shared" ref="AE1603:AG1603" si="8096">countif($D1603,"*"&amp;AE$2&amp;"*")</f>
        <v>0</v>
      </c>
      <c r="AF1603" s="200">
        <f t="shared" si="8096"/>
        <v>0</v>
      </c>
      <c r="AG1603" s="200">
        <f t="shared" si="8096"/>
        <v>0</v>
      </c>
      <c r="AH1603" s="171">
        <f t="shared" si="13"/>
        <v>0</v>
      </c>
      <c r="AI1603" s="200">
        <f t="shared" si="14"/>
        <v>0</v>
      </c>
      <c r="AJ1603" s="200">
        <f t="shared" si="6100"/>
        <v>0</v>
      </c>
      <c r="AK1603" s="201">
        <f t="shared" ref="AK1603:AS1603" si="8097">countif($D1603,"*"&amp;AK$2&amp;"*")</f>
        <v>0</v>
      </c>
      <c r="AL1603" s="201">
        <f t="shared" si="8097"/>
        <v>0</v>
      </c>
      <c r="AM1603" s="201">
        <f t="shared" si="8097"/>
        <v>0</v>
      </c>
      <c r="AN1603" s="201">
        <f t="shared" si="8097"/>
        <v>0</v>
      </c>
      <c r="AO1603" s="201">
        <f t="shared" si="8097"/>
        <v>0</v>
      </c>
      <c r="AP1603" s="201">
        <f t="shared" si="8097"/>
        <v>0</v>
      </c>
      <c r="AQ1603" s="201">
        <f t="shared" si="8097"/>
        <v>0</v>
      </c>
      <c r="AR1603" s="200">
        <f t="shared" si="8097"/>
        <v>0</v>
      </c>
      <c r="AS1603" s="200">
        <f t="shared" si="8097"/>
        <v>0</v>
      </c>
      <c r="AT1603" s="173">
        <v>0.0</v>
      </c>
      <c r="AU1603" s="200">
        <f t="shared" si="6217"/>
        <v>0</v>
      </c>
      <c r="AV1603" s="200">
        <f t="shared" ref="AV1603:AX1603" si="8098">countif($D1603,"*"&amp;AV$2&amp;"*")</f>
        <v>1</v>
      </c>
      <c r="AW1603" s="200">
        <f t="shared" si="8098"/>
        <v>0</v>
      </c>
      <c r="AX1603" s="200">
        <f t="shared" si="8098"/>
        <v>0</v>
      </c>
      <c r="AY1603" s="202">
        <v>0.0</v>
      </c>
      <c r="AZ1603" s="200"/>
      <c r="BA1603" s="171" t="str">
        <f t="shared" si="18"/>
        <v/>
      </c>
      <c r="BB1603" s="171" t="str">
        <f t="shared" si="19"/>
        <v>Code</v>
      </c>
      <c r="BC1603" s="171" t="str">
        <f t="shared" si="20"/>
        <v/>
      </c>
      <c r="BD1603" s="171" t="str">
        <f t="shared" si="21"/>
        <v/>
      </c>
      <c r="BE1603" s="171" t="str">
        <f t="shared" si="22"/>
        <v/>
      </c>
      <c r="BF1603" s="171" t="str">
        <f t="shared" si="23"/>
        <v>Code</v>
      </c>
    </row>
    <row r="1604">
      <c r="A1604" s="171">
        <f t="array" ref="A1604">XLOOKUP(C1604,FSE!A:A,FSE!C:C,"XXXXX",0,1)</f>
        <v>2021</v>
      </c>
      <c r="B1604" s="213" t="s">
        <v>5676</v>
      </c>
      <c r="C1604" s="214">
        <v>300.0</v>
      </c>
      <c r="D1604" s="215" t="s">
        <v>4958</v>
      </c>
      <c r="E1604" s="197" t="str">
        <f t="array" ref="E1604">XLOOKUP(C1604,FSE!A:A,FSE!Z:Z,"XXXXX",0,1)</f>
        <v>Publicly Available (1)</v>
      </c>
      <c r="F1604" s="213" t="s">
        <v>3394</v>
      </c>
      <c r="G1604" s="163" t="str">
        <f t="array" ref="G1604">IF(B1604="ICSE",IF(COUNTIFS(B:B,B1604,C:C,C1604)=XLOOKUP(C1604,ICSE!A:A,ICSE!AA:AA,"ERROR",0,1),"OK","ERROR"),IF(B1604="FSE",IF(COUNTIFS(B:B,B1604,C:C,C1604)=XLOOKUP(C1604,FSE!A:A,FSE!AA:AA,"ERROR",0,1),"OK","ERROR")))</f>
        <v>OK</v>
      </c>
      <c r="H1604" s="199">
        <f t="shared" ref="H1604:O1604" si="8099">countif($D1604,"*"&amp;H$2&amp;"*")</f>
        <v>1</v>
      </c>
      <c r="I1604" s="200">
        <f t="shared" si="8099"/>
        <v>0</v>
      </c>
      <c r="J1604" s="200">
        <f t="shared" si="8099"/>
        <v>0</v>
      </c>
      <c r="K1604" s="200">
        <f t="shared" si="8099"/>
        <v>0</v>
      </c>
      <c r="L1604" s="200">
        <f t="shared" si="8099"/>
        <v>0</v>
      </c>
      <c r="M1604" s="200">
        <f t="shared" si="8099"/>
        <v>0</v>
      </c>
      <c r="N1604" s="200">
        <f t="shared" si="8099"/>
        <v>0</v>
      </c>
      <c r="O1604" s="200">
        <f t="shared" si="8099"/>
        <v>0</v>
      </c>
      <c r="P1604" s="200">
        <f t="shared" si="9"/>
        <v>0</v>
      </c>
      <c r="Q1604" s="200">
        <f t="shared" ref="Q1604:AC1604" si="8100">countif($D1604,"*"&amp;Q$2&amp;"*")</f>
        <v>0</v>
      </c>
      <c r="R1604" s="200">
        <f t="shared" si="8100"/>
        <v>0</v>
      </c>
      <c r="S1604" s="200">
        <f t="shared" si="8100"/>
        <v>0</v>
      </c>
      <c r="T1604" s="200">
        <f t="shared" si="8100"/>
        <v>0</v>
      </c>
      <c r="U1604" s="200">
        <f t="shared" si="8100"/>
        <v>0</v>
      </c>
      <c r="V1604" s="200">
        <f t="shared" si="8100"/>
        <v>0</v>
      </c>
      <c r="W1604" s="200">
        <f t="shared" si="8100"/>
        <v>0</v>
      </c>
      <c r="X1604" s="200">
        <f t="shared" si="8100"/>
        <v>0</v>
      </c>
      <c r="Y1604" s="200">
        <f t="shared" si="8100"/>
        <v>0</v>
      </c>
      <c r="Z1604" s="200">
        <f t="shared" si="8100"/>
        <v>0</v>
      </c>
      <c r="AA1604" s="200">
        <f t="shared" si="8100"/>
        <v>0</v>
      </c>
      <c r="AB1604" s="200">
        <f t="shared" si="8100"/>
        <v>0</v>
      </c>
      <c r="AC1604" s="200">
        <f t="shared" si="8100"/>
        <v>0</v>
      </c>
      <c r="AD1604" s="200">
        <f t="shared" si="11"/>
        <v>0</v>
      </c>
      <c r="AE1604" s="200">
        <f t="shared" ref="AE1604:AG1604" si="8101">countif($D1604,"*"&amp;AE$2&amp;"*")</f>
        <v>0</v>
      </c>
      <c r="AF1604" s="200">
        <f t="shared" si="8101"/>
        <v>0</v>
      </c>
      <c r="AG1604" s="200">
        <f t="shared" si="8101"/>
        <v>0</v>
      </c>
      <c r="AH1604" s="171">
        <f t="shared" si="13"/>
        <v>0</v>
      </c>
      <c r="AI1604" s="200">
        <f t="shared" si="14"/>
        <v>1</v>
      </c>
      <c r="AJ1604" s="200">
        <f t="shared" si="6100"/>
        <v>0</v>
      </c>
      <c r="AK1604" s="201">
        <f t="shared" ref="AK1604:AS1604" si="8102">countif($D1604,"*"&amp;AK$2&amp;"*")</f>
        <v>0</v>
      </c>
      <c r="AL1604" s="201">
        <f t="shared" si="8102"/>
        <v>0</v>
      </c>
      <c r="AM1604" s="201">
        <f t="shared" si="8102"/>
        <v>0</v>
      </c>
      <c r="AN1604" s="201">
        <f t="shared" si="8102"/>
        <v>0</v>
      </c>
      <c r="AO1604" s="201">
        <f t="shared" si="8102"/>
        <v>0</v>
      </c>
      <c r="AP1604" s="201">
        <f t="shared" si="8102"/>
        <v>0</v>
      </c>
      <c r="AQ1604" s="201">
        <f t="shared" si="8102"/>
        <v>0</v>
      </c>
      <c r="AR1604" s="200">
        <f t="shared" si="8102"/>
        <v>0</v>
      </c>
      <c r="AS1604" s="200">
        <f t="shared" si="8102"/>
        <v>0</v>
      </c>
      <c r="AT1604" s="173">
        <v>0.0</v>
      </c>
      <c r="AU1604" s="200">
        <f t="shared" si="6217"/>
        <v>0</v>
      </c>
      <c r="AV1604" s="200">
        <f t="shared" ref="AV1604:AX1604" si="8103">countif($D1604,"*"&amp;AV$2&amp;"*")</f>
        <v>0</v>
      </c>
      <c r="AW1604" s="200">
        <f t="shared" si="8103"/>
        <v>0</v>
      </c>
      <c r="AX1604" s="200">
        <f t="shared" si="8103"/>
        <v>0</v>
      </c>
      <c r="AY1604" s="204">
        <v>1.0</v>
      </c>
      <c r="AZ1604" s="200"/>
      <c r="BA1604" s="171" t="str">
        <f t="shared" si="18"/>
        <v>Archival</v>
      </c>
      <c r="BB1604" s="171" t="str">
        <f t="shared" si="19"/>
        <v/>
      </c>
      <c r="BC1604" s="171" t="str">
        <f t="shared" si="20"/>
        <v/>
      </c>
      <c r="BD1604" s="171" t="str">
        <f t="shared" si="21"/>
        <v/>
      </c>
      <c r="BE1604" s="171" t="str">
        <f t="shared" si="22"/>
        <v/>
      </c>
      <c r="BF1604" s="171" t="str">
        <f t="shared" si="23"/>
        <v>Archival</v>
      </c>
    </row>
    <row r="1605">
      <c r="A1605" s="171">
        <f t="array" ref="A1605">XLOOKUP(C1605,FSE!A:A,FSE!C:C,"XXXXX",0,1)</f>
        <v>2021</v>
      </c>
      <c r="B1605" s="213" t="s">
        <v>5676</v>
      </c>
      <c r="C1605" s="214">
        <v>301.0</v>
      </c>
      <c r="D1605" s="215" t="s">
        <v>4961</v>
      </c>
      <c r="E1605" s="197" t="str">
        <f t="array" ref="E1605">XLOOKUP(C1605,FSE!A:A,FSE!Z:Z,"XXXXX",0,1)</f>
        <v>Publicly Available (1)</v>
      </c>
      <c r="F1605" s="213" t="s">
        <v>3394</v>
      </c>
      <c r="G1605" s="163" t="str">
        <f t="array" ref="G1605">IF(B1605="ICSE",IF(COUNTIFS(B:B,B1605,C:C,C1605)=XLOOKUP(C1605,ICSE!A:A,ICSE!AA:AA,"ERROR",0,1),"OK","ERROR"),IF(B1605="FSE",IF(COUNTIFS(B:B,B1605,C:C,C1605)=XLOOKUP(C1605,FSE!A:A,FSE!AA:AA,"ERROR",0,1),"OK","ERROR")))</f>
        <v>OK</v>
      </c>
      <c r="H1605" s="199">
        <f t="shared" ref="H1605:O1605" si="8104">countif($D1605,"*"&amp;H$2&amp;"*")</f>
        <v>0</v>
      </c>
      <c r="I1605" s="200">
        <f t="shared" si="8104"/>
        <v>0</v>
      </c>
      <c r="J1605" s="200">
        <f t="shared" si="8104"/>
        <v>0</v>
      </c>
      <c r="K1605" s="200">
        <f t="shared" si="8104"/>
        <v>0</v>
      </c>
      <c r="L1605" s="200">
        <f t="shared" si="8104"/>
        <v>0</v>
      </c>
      <c r="M1605" s="200">
        <f t="shared" si="8104"/>
        <v>0</v>
      </c>
      <c r="N1605" s="200">
        <f t="shared" si="8104"/>
        <v>0</v>
      </c>
      <c r="O1605" s="200">
        <f t="shared" si="8104"/>
        <v>0</v>
      </c>
      <c r="P1605" s="200">
        <f t="shared" si="9"/>
        <v>1</v>
      </c>
      <c r="Q1605" s="200">
        <f t="shared" ref="Q1605:AC1605" si="8105">countif($D1605,"*"&amp;Q$2&amp;"*")</f>
        <v>0</v>
      </c>
      <c r="R1605" s="200">
        <f t="shared" si="8105"/>
        <v>0</v>
      </c>
      <c r="S1605" s="200">
        <f t="shared" si="8105"/>
        <v>0</v>
      </c>
      <c r="T1605" s="200">
        <f t="shared" si="8105"/>
        <v>0</v>
      </c>
      <c r="U1605" s="200">
        <f t="shared" si="8105"/>
        <v>0</v>
      </c>
      <c r="V1605" s="200">
        <f t="shared" si="8105"/>
        <v>0</v>
      </c>
      <c r="W1605" s="200">
        <f t="shared" si="8105"/>
        <v>0</v>
      </c>
      <c r="X1605" s="200">
        <f t="shared" si="8105"/>
        <v>0</v>
      </c>
      <c r="Y1605" s="200">
        <f t="shared" si="8105"/>
        <v>0</v>
      </c>
      <c r="Z1605" s="200">
        <f t="shared" si="8105"/>
        <v>0</v>
      </c>
      <c r="AA1605" s="200">
        <f t="shared" si="8105"/>
        <v>0</v>
      </c>
      <c r="AB1605" s="200">
        <f t="shared" si="8105"/>
        <v>0</v>
      </c>
      <c r="AC1605" s="200">
        <f t="shared" si="8105"/>
        <v>0</v>
      </c>
      <c r="AD1605" s="200">
        <f t="shared" si="11"/>
        <v>0</v>
      </c>
      <c r="AE1605" s="200">
        <f t="shared" ref="AE1605:AG1605" si="8106">countif($D1605,"*"&amp;AE$2&amp;"*")</f>
        <v>0</v>
      </c>
      <c r="AF1605" s="200">
        <f t="shared" si="8106"/>
        <v>0</v>
      </c>
      <c r="AG1605" s="200">
        <f t="shared" si="8106"/>
        <v>0</v>
      </c>
      <c r="AH1605" s="171">
        <f t="shared" si="13"/>
        <v>0</v>
      </c>
      <c r="AI1605" s="200">
        <f t="shared" si="14"/>
        <v>0</v>
      </c>
      <c r="AJ1605" s="200">
        <f t="shared" si="6100"/>
        <v>0</v>
      </c>
      <c r="AK1605" s="201">
        <f t="shared" ref="AK1605:AS1605" si="8107">countif($D1605,"*"&amp;AK$2&amp;"*")</f>
        <v>0</v>
      </c>
      <c r="AL1605" s="201">
        <f t="shared" si="8107"/>
        <v>0</v>
      </c>
      <c r="AM1605" s="201">
        <f t="shared" si="8107"/>
        <v>0</v>
      </c>
      <c r="AN1605" s="201">
        <f t="shared" si="8107"/>
        <v>0</v>
      </c>
      <c r="AO1605" s="201">
        <f t="shared" si="8107"/>
        <v>0</v>
      </c>
      <c r="AP1605" s="201">
        <f t="shared" si="8107"/>
        <v>0</v>
      </c>
      <c r="AQ1605" s="201">
        <f t="shared" si="8107"/>
        <v>0</v>
      </c>
      <c r="AR1605" s="200">
        <f t="shared" si="8107"/>
        <v>0</v>
      </c>
      <c r="AS1605" s="200">
        <f t="shared" si="8107"/>
        <v>0</v>
      </c>
      <c r="AT1605" s="173">
        <v>0.0</v>
      </c>
      <c r="AU1605" s="200">
        <f t="shared" si="6217"/>
        <v>0</v>
      </c>
      <c r="AV1605" s="200">
        <f t="shared" ref="AV1605:AX1605" si="8108">countif($D1605,"*"&amp;AV$2&amp;"*")</f>
        <v>1</v>
      </c>
      <c r="AW1605" s="200">
        <f t="shared" si="8108"/>
        <v>0</v>
      </c>
      <c r="AX1605" s="200">
        <f t="shared" si="8108"/>
        <v>0</v>
      </c>
      <c r="AY1605" s="202">
        <v>0.0</v>
      </c>
      <c r="AZ1605" s="200"/>
      <c r="BA1605" s="171" t="str">
        <f t="shared" si="18"/>
        <v/>
      </c>
      <c r="BB1605" s="171" t="str">
        <f t="shared" si="19"/>
        <v>Code</v>
      </c>
      <c r="BC1605" s="171" t="str">
        <f t="shared" si="20"/>
        <v/>
      </c>
      <c r="BD1605" s="171" t="str">
        <f t="shared" si="21"/>
        <v/>
      </c>
      <c r="BE1605" s="171" t="str">
        <f t="shared" si="22"/>
        <v/>
      </c>
      <c r="BF1605" s="171" t="str">
        <f t="shared" si="23"/>
        <v>Code</v>
      </c>
    </row>
    <row r="1606">
      <c r="A1606" s="171">
        <f t="array" ref="A1606">XLOOKUP(C1606,FSE!A:A,FSE!C:C,"XXXXX",0,1)</f>
        <v>2021</v>
      </c>
      <c r="B1606" s="213" t="s">
        <v>5676</v>
      </c>
      <c r="C1606" s="214">
        <v>303.0</v>
      </c>
      <c r="D1606" s="215" t="s">
        <v>4964</v>
      </c>
      <c r="E1606" s="197" t="str">
        <f t="array" ref="E1606">XLOOKUP(C1606,FSE!A:A,FSE!Z:Z,"XXXXX",0,1)</f>
        <v>Publicly Available (1)</v>
      </c>
      <c r="F1606" s="213" t="s">
        <v>3394</v>
      </c>
      <c r="G1606" s="163" t="str">
        <f t="array" ref="G1606">IF(B1606="ICSE",IF(COUNTIFS(B:B,B1606,C:C,C1606)=XLOOKUP(C1606,ICSE!A:A,ICSE!AA:AA,"ERROR",0,1),"OK","ERROR"),IF(B1606="FSE",IF(COUNTIFS(B:B,B1606,C:C,C1606)=XLOOKUP(C1606,FSE!A:A,FSE!AA:AA,"ERROR",0,1),"OK","ERROR")))</f>
        <v>OK</v>
      </c>
      <c r="H1606" s="199">
        <f t="shared" ref="H1606:O1606" si="8109">countif($D1606,"*"&amp;H$2&amp;"*")</f>
        <v>0</v>
      </c>
      <c r="I1606" s="200">
        <f t="shared" si="8109"/>
        <v>0</v>
      </c>
      <c r="J1606" s="200">
        <f t="shared" si="8109"/>
        <v>0</v>
      </c>
      <c r="K1606" s="200">
        <f t="shared" si="8109"/>
        <v>0</v>
      </c>
      <c r="L1606" s="200">
        <f t="shared" si="8109"/>
        <v>0</v>
      </c>
      <c r="M1606" s="200">
        <f t="shared" si="8109"/>
        <v>0</v>
      </c>
      <c r="N1606" s="200">
        <f t="shared" si="8109"/>
        <v>0</v>
      </c>
      <c r="O1606" s="200">
        <f t="shared" si="8109"/>
        <v>0</v>
      </c>
      <c r="P1606" s="200">
        <f t="shared" si="9"/>
        <v>1</v>
      </c>
      <c r="Q1606" s="200">
        <f t="shared" ref="Q1606:AC1606" si="8110">countif($D1606,"*"&amp;Q$2&amp;"*")</f>
        <v>0</v>
      </c>
      <c r="R1606" s="200">
        <f t="shared" si="8110"/>
        <v>0</v>
      </c>
      <c r="S1606" s="200">
        <f t="shared" si="8110"/>
        <v>0</v>
      </c>
      <c r="T1606" s="200">
        <f t="shared" si="8110"/>
        <v>0</v>
      </c>
      <c r="U1606" s="200">
        <f t="shared" si="8110"/>
        <v>0</v>
      </c>
      <c r="V1606" s="200">
        <f t="shared" si="8110"/>
        <v>0</v>
      </c>
      <c r="W1606" s="200">
        <f t="shared" si="8110"/>
        <v>0</v>
      </c>
      <c r="X1606" s="200">
        <f t="shared" si="8110"/>
        <v>0</v>
      </c>
      <c r="Y1606" s="200">
        <f t="shared" si="8110"/>
        <v>0</v>
      </c>
      <c r="Z1606" s="200">
        <f t="shared" si="8110"/>
        <v>0</v>
      </c>
      <c r="AA1606" s="200">
        <f t="shared" si="8110"/>
        <v>0</v>
      </c>
      <c r="AB1606" s="200">
        <f t="shared" si="8110"/>
        <v>0</v>
      </c>
      <c r="AC1606" s="200">
        <f t="shared" si="8110"/>
        <v>0</v>
      </c>
      <c r="AD1606" s="200">
        <f t="shared" si="11"/>
        <v>0</v>
      </c>
      <c r="AE1606" s="200">
        <f t="shared" ref="AE1606:AG1606" si="8111">countif($D1606,"*"&amp;AE$2&amp;"*")</f>
        <v>0</v>
      </c>
      <c r="AF1606" s="200">
        <f t="shared" si="8111"/>
        <v>0</v>
      </c>
      <c r="AG1606" s="200">
        <f t="shared" si="8111"/>
        <v>0</v>
      </c>
      <c r="AH1606" s="171">
        <f t="shared" si="13"/>
        <v>0</v>
      </c>
      <c r="AI1606" s="200">
        <f t="shared" si="14"/>
        <v>0</v>
      </c>
      <c r="AJ1606" s="200">
        <f t="shared" si="6100"/>
        <v>0</v>
      </c>
      <c r="AK1606" s="201">
        <f t="shared" ref="AK1606:AS1606" si="8112">countif($D1606,"*"&amp;AK$2&amp;"*")</f>
        <v>0</v>
      </c>
      <c r="AL1606" s="201">
        <f t="shared" si="8112"/>
        <v>0</v>
      </c>
      <c r="AM1606" s="201">
        <f t="shared" si="8112"/>
        <v>0</v>
      </c>
      <c r="AN1606" s="201">
        <f t="shared" si="8112"/>
        <v>0</v>
      </c>
      <c r="AO1606" s="201">
        <f t="shared" si="8112"/>
        <v>0</v>
      </c>
      <c r="AP1606" s="201">
        <f t="shared" si="8112"/>
        <v>0</v>
      </c>
      <c r="AQ1606" s="201">
        <f t="shared" si="8112"/>
        <v>0</v>
      </c>
      <c r="AR1606" s="200">
        <f t="shared" si="8112"/>
        <v>0</v>
      </c>
      <c r="AS1606" s="200">
        <f t="shared" si="8112"/>
        <v>0</v>
      </c>
      <c r="AT1606" s="173">
        <v>0.0</v>
      </c>
      <c r="AU1606" s="200">
        <f t="shared" si="6217"/>
        <v>0</v>
      </c>
      <c r="AV1606" s="200">
        <f t="shared" ref="AV1606:AX1606" si="8113">countif($D1606,"*"&amp;AV$2&amp;"*")</f>
        <v>1</v>
      </c>
      <c r="AW1606" s="200">
        <f t="shared" si="8113"/>
        <v>0</v>
      </c>
      <c r="AX1606" s="200">
        <f t="shared" si="8113"/>
        <v>0</v>
      </c>
      <c r="AY1606" s="202">
        <v>0.0</v>
      </c>
      <c r="AZ1606" s="200"/>
      <c r="BA1606" s="171" t="str">
        <f t="shared" si="18"/>
        <v/>
      </c>
      <c r="BB1606" s="171" t="str">
        <f t="shared" si="19"/>
        <v>Code</v>
      </c>
      <c r="BC1606" s="171" t="str">
        <f t="shared" si="20"/>
        <v/>
      </c>
      <c r="BD1606" s="171" t="str">
        <f t="shared" si="21"/>
        <v/>
      </c>
      <c r="BE1606" s="171" t="str">
        <f t="shared" si="22"/>
        <v/>
      </c>
      <c r="BF1606" s="171" t="str">
        <f t="shared" si="23"/>
        <v>Code</v>
      </c>
    </row>
    <row r="1607">
      <c r="A1607" s="171">
        <f t="array" ref="A1607">XLOOKUP(C1607,FSE!A:A,FSE!C:C,"XXXXX",0,1)</f>
        <v>2021</v>
      </c>
      <c r="B1607" s="213" t="s">
        <v>5676</v>
      </c>
      <c r="C1607" s="214">
        <v>304.0</v>
      </c>
      <c r="D1607" s="215" t="s">
        <v>4967</v>
      </c>
      <c r="E1607" s="197" t="str">
        <f t="array" ref="E1607">XLOOKUP(C1607,FSE!A:A,FSE!Z:Z,"XXXXX",0,1)</f>
        <v>Publicly Available (1)</v>
      </c>
      <c r="F1607" s="213" t="s">
        <v>3394</v>
      </c>
      <c r="G1607" s="163" t="str">
        <f t="array" ref="G1607">IF(B1607="ICSE",IF(COUNTIFS(B:B,B1607,C:C,C1607)=XLOOKUP(C1607,ICSE!A:A,ICSE!AA:AA,"ERROR",0,1),"OK","ERROR"),IF(B1607="FSE",IF(COUNTIFS(B:B,B1607,C:C,C1607)=XLOOKUP(C1607,FSE!A:A,FSE!AA:AA,"ERROR",0,1),"OK","ERROR")))</f>
        <v>OK</v>
      </c>
      <c r="H1607" s="199">
        <f t="shared" ref="H1607:O1607" si="8114">countif($D1607,"*"&amp;H$2&amp;"*")</f>
        <v>0</v>
      </c>
      <c r="I1607" s="200">
        <f t="shared" si="8114"/>
        <v>0</v>
      </c>
      <c r="J1607" s="200">
        <f t="shared" si="8114"/>
        <v>0</v>
      </c>
      <c r="K1607" s="200">
        <f t="shared" si="8114"/>
        <v>0</v>
      </c>
      <c r="L1607" s="200">
        <f t="shared" si="8114"/>
        <v>0</v>
      </c>
      <c r="M1607" s="200">
        <f t="shared" si="8114"/>
        <v>0</v>
      </c>
      <c r="N1607" s="200">
        <f t="shared" si="8114"/>
        <v>0</v>
      </c>
      <c r="O1607" s="200">
        <f t="shared" si="8114"/>
        <v>0</v>
      </c>
      <c r="P1607" s="200">
        <f t="shared" si="9"/>
        <v>1</v>
      </c>
      <c r="Q1607" s="200">
        <f t="shared" ref="Q1607:AC1607" si="8115">countif($D1607,"*"&amp;Q$2&amp;"*")</f>
        <v>0</v>
      </c>
      <c r="R1607" s="200">
        <f t="shared" si="8115"/>
        <v>0</v>
      </c>
      <c r="S1607" s="200">
        <f t="shared" si="8115"/>
        <v>0</v>
      </c>
      <c r="T1607" s="200">
        <f t="shared" si="8115"/>
        <v>0</v>
      </c>
      <c r="U1607" s="200">
        <f t="shared" si="8115"/>
        <v>0</v>
      </c>
      <c r="V1607" s="200">
        <f t="shared" si="8115"/>
        <v>0</v>
      </c>
      <c r="W1607" s="200">
        <f t="shared" si="8115"/>
        <v>0</v>
      </c>
      <c r="X1607" s="200">
        <f t="shared" si="8115"/>
        <v>0</v>
      </c>
      <c r="Y1607" s="200">
        <f t="shared" si="8115"/>
        <v>0</v>
      </c>
      <c r="Z1607" s="200">
        <f t="shared" si="8115"/>
        <v>0</v>
      </c>
      <c r="AA1607" s="200">
        <f t="shared" si="8115"/>
        <v>0</v>
      </c>
      <c r="AB1607" s="200">
        <f t="shared" si="8115"/>
        <v>0</v>
      </c>
      <c r="AC1607" s="200">
        <f t="shared" si="8115"/>
        <v>0</v>
      </c>
      <c r="AD1607" s="200">
        <f t="shared" si="11"/>
        <v>0</v>
      </c>
      <c r="AE1607" s="200">
        <f t="shared" ref="AE1607:AG1607" si="8116">countif($D1607,"*"&amp;AE$2&amp;"*")</f>
        <v>0</v>
      </c>
      <c r="AF1607" s="200">
        <f t="shared" si="8116"/>
        <v>0</v>
      </c>
      <c r="AG1607" s="200">
        <f t="shared" si="8116"/>
        <v>0</v>
      </c>
      <c r="AH1607" s="171">
        <f t="shared" si="13"/>
        <v>0</v>
      </c>
      <c r="AI1607" s="200">
        <f t="shared" si="14"/>
        <v>0</v>
      </c>
      <c r="AJ1607" s="200">
        <f t="shared" si="6100"/>
        <v>0</v>
      </c>
      <c r="AK1607" s="201">
        <f t="shared" ref="AK1607:AS1607" si="8117">countif($D1607,"*"&amp;AK$2&amp;"*")</f>
        <v>0</v>
      </c>
      <c r="AL1607" s="201">
        <f t="shared" si="8117"/>
        <v>0</v>
      </c>
      <c r="AM1607" s="201">
        <f t="shared" si="8117"/>
        <v>0</v>
      </c>
      <c r="AN1607" s="201">
        <f t="shared" si="8117"/>
        <v>0</v>
      </c>
      <c r="AO1607" s="201">
        <f t="shared" si="8117"/>
        <v>0</v>
      </c>
      <c r="AP1607" s="201">
        <f t="shared" si="8117"/>
        <v>0</v>
      </c>
      <c r="AQ1607" s="201">
        <f t="shared" si="8117"/>
        <v>0</v>
      </c>
      <c r="AR1607" s="200">
        <f t="shared" si="8117"/>
        <v>0</v>
      </c>
      <c r="AS1607" s="200">
        <f t="shared" si="8117"/>
        <v>0</v>
      </c>
      <c r="AT1607" s="173">
        <v>0.0</v>
      </c>
      <c r="AU1607" s="200">
        <f t="shared" si="6217"/>
        <v>0</v>
      </c>
      <c r="AV1607" s="200">
        <f t="shared" ref="AV1607:AX1607" si="8118">countif($D1607,"*"&amp;AV$2&amp;"*")</f>
        <v>1</v>
      </c>
      <c r="AW1607" s="200">
        <f t="shared" si="8118"/>
        <v>0</v>
      </c>
      <c r="AX1607" s="200">
        <f t="shared" si="8118"/>
        <v>0</v>
      </c>
      <c r="AY1607" s="202">
        <v>0.0</v>
      </c>
      <c r="AZ1607" s="200"/>
      <c r="BA1607" s="171" t="str">
        <f t="shared" si="18"/>
        <v/>
      </c>
      <c r="BB1607" s="171" t="str">
        <f t="shared" si="19"/>
        <v>Code</v>
      </c>
      <c r="BC1607" s="171" t="str">
        <f t="shared" si="20"/>
        <v/>
      </c>
      <c r="BD1607" s="171" t="str">
        <f t="shared" si="21"/>
        <v/>
      </c>
      <c r="BE1607" s="171" t="str">
        <f t="shared" si="22"/>
        <v/>
      </c>
      <c r="BF1607" s="171" t="str">
        <f t="shared" si="23"/>
        <v>Code</v>
      </c>
    </row>
    <row r="1608">
      <c r="A1608" s="171">
        <f t="array" ref="A1608">XLOOKUP(C1608,FSE!A:A,FSE!C:C,"XXXXX",0,1)</f>
        <v>2021</v>
      </c>
      <c r="B1608" s="213" t="s">
        <v>5676</v>
      </c>
      <c r="C1608" s="214">
        <v>305.0</v>
      </c>
      <c r="D1608" s="215" t="s">
        <v>4970</v>
      </c>
      <c r="E1608" s="197" t="str">
        <f t="array" ref="E1608">XLOOKUP(C1608,FSE!A:A,FSE!Z:Z,"XXXXX",0,1)</f>
        <v>Publicly Available (1)</v>
      </c>
      <c r="F1608" s="213" t="s">
        <v>3394</v>
      </c>
      <c r="G1608" s="163" t="str">
        <f t="array" ref="G1608">IF(B1608="ICSE",IF(COUNTIFS(B:B,B1608,C:C,C1608)=XLOOKUP(C1608,ICSE!A:A,ICSE!AA:AA,"ERROR",0,1),"OK","ERROR"),IF(B1608="FSE",IF(COUNTIFS(B:B,B1608,C:C,C1608)=XLOOKUP(C1608,FSE!A:A,FSE!AA:AA,"ERROR",0,1),"OK","ERROR")))</f>
        <v>OK</v>
      </c>
      <c r="H1608" s="199">
        <f t="shared" ref="H1608:O1608" si="8119">countif($D1608,"*"&amp;H$2&amp;"*")</f>
        <v>0</v>
      </c>
      <c r="I1608" s="200">
        <f t="shared" si="8119"/>
        <v>0</v>
      </c>
      <c r="J1608" s="200">
        <f t="shared" si="8119"/>
        <v>0</v>
      </c>
      <c r="K1608" s="200">
        <f t="shared" si="8119"/>
        <v>0</v>
      </c>
      <c r="L1608" s="200">
        <f t="shared" si="8119"/>
        <v>0</v>
      </c>
      <c r="M1608" s="200">
        <f t="shared" si="8119"/>
        <v>0</v>
      </c>
      <c r="N1608" s="200">
        <f t="shared" si="8119"/>
        <v>0</v>
      </c>
      <c r="O1608" s="200">
        <f t="shared" si="8119"/>
        <v>0</v>
      </c>
      <c r="P1608" s="200">
        <f t="shared" si="9"/>
        <v>1</v>
      </c>
      <c r="Q1608" s="200">
        <f t="shared" ref="Q1608:AC1608" si="8120">countif($D1608,"*"&amp;Q$2&amp;"*")</f>
        <v>0</v>
      </c>
      <c r="R1608" s="200">
        <f t="shared" si="8120"/>
        <v>0</v>
      </c>
      <c r="S1608" s="200">
        <f t="shared" si="8120"/>
        <v>0</v>
      </c>
      <c r="T1608" s="200">
        <f t="shared" si="8120"/>
        <v>0</v>
      </c>
      <c r="U1608" s="200">
        <f t="shared" si="8120"/>
        <v>0</v>
      </c>
      <c r="V1608" s="200">
        <f t="shared" si="8120"/>
        <v>0</v>
      </c>
      <c r="W1608" s="200">
        <f t="shared" si="8120"/>
        <v>0</v>
      </c>
      <c r="X1608" s="200">
        <f t="shared" si="8120"/>
        <v>0</v>
      </c>
      <c r="Y1608" s="200">
        <f t="shared" si="8120"/>
        <v>0</v>
      </c>
      <c r="Z1608" s="200">
        <f t="shared" si="8120"/>
        <v>0</v>
      </c>
      <c r="AA1608" s="200">
        <f t="shared" si="8120"/>
        <v>0</v>
      </c>
      <c r="AB1608" s="200">
        <f t="shared" si="8120"/>
        <v>0</v>
      </c>
      <c r="AC1608" s="200">
        <f t="shared" si="8120"/>
        <v>0</v>
      </c>
      <c r="AD1608" s="200">
        <f t="shared" si="11"/>
        <v>0</v>
      </c>
      <c r="AE1608" s="200">
        <f t="shared" ref="AE1608:AG1608" si="8121">countif($D1608,"*"&amp;AE$2&amp;"*")</f>
        <v>0</v>
      </c>
      <c r="AF1608" s="200">
        <f t="shared" si="8121"/>
        <v>0</v>
      </c>
      <c r="AG1608" s="200">
        <f t="shared" si="8121"/>
        <v>0</v>
      </c>
      <c r="AH1608" s="171">
        <f t="shared" si="13"/>
        <v>0</v>
      </c>
      <c r="AI1608" s="200">
        <f t="shared" si="14"/>
        <v>0</v>
      </c>
      <c r="AJ1608" s="200">
        <f t="shared" si="6100"/>
        <v>0</v>
      </c>
      <c r="AK1608" s="201">
        <f t="shared" ref="AK1608:AS1608" si="8122">countif($D1608,"*"&amp;AK$2&amp;"*")</f>
        <v>0</v>
      </c>
      <c r="AL1608" s="201">
        <f t="shared" si="8122"/>
        <v>0</v>
      </c>
      <c r="AM1608" s="201">
        <f t="shared" si="8122"/>
        <v>0</v>
      </c>
      <c r="AN1608" s="201">
        <f t="shared" si="8122"/>
        <v>0</v>
      </c>
      <c r="AO1608" s="201">
        <f t="shared" si="8122"/>
        <v>0</v>
      </c>
      <c r="AP1608" s="201">
        <f t="shared" si="8122"/>
        <v>0</v>
      </c>
      <c r="AQ1608" s="201">
        <f t="shared" si="8122"/>
        <v>0</v>
      </c>
      <c r="AR1608" s="200">
        <f t="shared" si="8122"/>
        <v>0</v>
      </c>
      <c r="AS1608" s="200">
        <f t="shared" si="8122"/>
        <v>0</v>
      </c>
      <c r="AT1608" s="173">
        <v>0.0</v>
      </c>
      <c r="AU1608" s="200">
        <f t="shared" si="6217"/>
        <v>0</v>
      </c>
      <c r="AV1608" s="200">
        <f t="shared" ref="AV1608:AX1608" si="8123">countif($D1608,"*"&amp;AV$2&amp;"*")</f>
        <v>1</v>
      </c>
      <c r="AW1608" s="200">
        <f t="shared" si="8123"/>
        <v>0</v>
      </c>
      <c r="AX1608" s="200">
        <f t="shared" si="8123"/>
        <v>0</v>
      </c>
      <c r="AY1608" s="202">
        <v>0.0</v>
      </c>
      <c r="AZ1608" s="200"/>
      <c r="BA1608" s="171" t="str">
        <f t="shared" si="18"/>
        <v/>
      </c>
      <c r="BB1608" s="171" t="str">
        <f t="shared" si="19"/>
        <v>Code</v>
      </c>
      <c r="BC1608" s="171" t="str">
        <f t="shared" si="20"/>
        <v/>
      </c>
      <c r="BD1608" s="171" t="str">
        <f t="shared" si="21"/>
        <v/>
      </c>
      <c r="BE1608" s="171" t="str">
        <f t="shared" si="22"/>
        <v/>
      </c>
      <c r="BF1608" s="171" t="str">
        <f t="shared" si="23"/>
        <v>Code</v>
      </c>
    </row>
    <row r="1609">
      <c r="A1609" s="171">
        <f t="array" ref="A1609">XLOOKUP(C1609,FSE!A:A,FSE!C:C,"XXXXX",0,1)</f>
        <v>2021</v>
      </c>
      <c r="B1609" s="213" t="s">
        <v>5676</v>
      </c>
      <c r="C1609" s="214">
        <v>306.0</v>
      </c>
      <c r="D1609" s="215" t="s">
        <v>4973</v>
      </c>
      <c r="E1609" s="197" t="str">
        <f t="array" ref="E1609">XLOOKUP(C1609,FSE!A:A,FSE!Z:Z,"XXXXX",0,1)</f>
        <v>Publicly Available (1)</v>
      </c>
      <c r="F1609" s="213" t="s">
        <v>3394</v>
      </c>
      <c r="G1609" s="163" t="str">
        <f t="array" ref="G1609">IF(B1609="ICSE",IF(COUNTIFS(B:B,B1609,C:C,C1609)=XLOOKUP(C1609,ICSE!A:A,ICSE!AA:AA,"ERROR",0,1),"OK","ERROR"),IF(B1609="FSE",IF(COUNTIFS(B:B,B1609,C:C,C1609)=XLOOKUP(C1609,FSE!A:A,FSE!AA:AA,"ERROR",0,1),"OK","ERROR")))</f>
        <v>OK</v>
      </c>
      <c r="H1609" s="199">
        <f t="shared" ref="H1609:O1609" si="8124">countif($D1609,"*"&amp;H$2&amp;"*")</f>
        <v>0</v>
      </c>
      <c r="I1609" s="200">
        <f t="shared" si="8124"/>
        <v>0</v>
      </c>
      <c r="J1609" s="200">
        <f t="shared" si="8124"/>
        <v>0</v>
      </c>
      <c r="K1609" s="200">
        <f t="shared" si="8124"/>
        <v>0</v>
      </c>
      <c r="L1609" s="200">
        <f t="shared" si="8124"/>
        <v>0</v>
      </c>
      <c r="M1609" s="200">
        <f t="shared" si="8124"/>
        <v>0</v>
      </c>
      <c r="N1609" s="200">
        <f t="shared" si="8124"/>
        <v>0</v>
      </c>
      <c r="O1609" s="200">
        <f t="shared" si="8124"/>
        <v>0</v>
      </c>
      <c r="P1609" s="200">
        <f t="shared" si="9"/>
        <v>1</v>
      </c>
      <c r="Q1609" s="200">
        <f t="shared" ref="Q1609:AC1609" si="8125">countif($D1609,"*"&amp;Q$2&amp;"*")</f>
        <v>0</v>
      </c>
      <c r="R1609" s="200">
        <f t="shared" si="8125"/>
        <v>0</v>
      </c>
      <c r="S1609" s="200">
        <f t="shared" si="8125"/>
        <v>0</v>
      </c>
      <c r="T1609" s="200">
        <f t="shared" si="8125"/>
        <v>0</v>
      </c>
      <c r="U1609" s="200">
        <f t="shared" si="8125"/>
        <v>0</v>
      </c>
      <c r="V1609" s="200">
        <f t="shared" si="8125"/>
        <v>0</v>
      </c>
      <c r="W1609" s="200">
        <f t="shared" si="8125"/>
        <v>0</v>
      </c>
      <c r="X1609" s="200">
        <f t="shared" si="8125"/>
        <v>0</v>
      </c>
      <c r="Y1609" s="200">
        <f t="shared" si="8125"/>
        <v>0</v>
      </c>
      <c r="Z1609" s="200">
        <f t="shared" si="8125"/>
        <v>0</v>
      </c>
      <c r="AA1609" s="200">
        <f t="shared" si="8125"/>
        <v>0</v>
      </c>
      <c r="AB1609" s="200">
        <f t="shared" si="8125"/>
        <v>0</v>
      </c>
      <c r="AC1609" s="200">
        <f t="shared" si="8125"/>
        <v>0</v>
      </c>
      <c r="AD1609" s="200">
        <f t="shared" si="11"/>
        <v>0</v>
      </c>
      <c r="AE1609" s="200">
        <f t="shared" ref="AE1609:AG1609" si="8126">countif($D1609,"*"&amp;AE$2&amp;"*")</f>
        <v>0</v>
      </c>
      <c r="AF1609" s="200">
        <f t="shared" si="8126"/>
        <v>0</v>
      </c>
      <c r="AG1609" s="200">
        <f t="shared" si="8126"/>
        <v>0</v>
      </c>
      <c r="AH1609" s="171">
        <f t="shared" si="13"/>
        <v>0</v>
      </c>
      <c r="AI1609" s="200">
        <f t="shared" si="14"/>
        <v>0</v>
      </c>
      <c r="AJ1609" s="200">
        <f t="shared" si="6100"/>
        <v>0</v>
      </c>
      <c r="AK1609" s="201">
        <f t="shared" ref="AK1609:AS1609" si="8127">countif($D1609,"*"&amp;AK$2&amp;"*")</f>
        <v>0</v>
      </c>
      <c r="AL1609" s="201">
        <f t="shared" si="8127"/>
        <v>0</v>
      </c>
      <c r="AM1609" s="201">
        <f t="shared" si="8127"/>
        <v>0</v>
      </c>
      <c r="AN1609" s="201">
        <f t="shared" si="8127"/>
        <v>0</v>
      </c>
      <c r="AO1609" s="201">
        <f t="shared" si="8127"/>
        <v>0</v>
      </c>
      <c r="AP1609" s="201">
        <f t="shared" si="8127"/>
        <v>0</v>
      </c>
      <c r="AQ1609" s="201">
        <f t="shared" si="8127"/>
        <v>0</v>
      </c>
      <c r="AR1609" s="200">
        <f t="shared" si="8127"/>
        <v>0</v>
      </c>
      <c r="AS1609" s="200">
        <f t="shared" si="8127"/>
        <v>0</v>
      </c>
      <c r="AT1609" s="173">
        <v>0.0</v>
      </c>
      <c r="AU1609" s="200">
        <f t="shared" si="6217"/>
        <v>0</v>
      </c>
      <c r="AV1609" s="200">
        <f t="shared" ref="AV1609:AX1609" si="8128">countif($D1609,"*"&amp;AV$2&amp;"*")</f>
        <v>1</v>
      </c>
      <c r="AW1609" s="200">
        <f t="shared" si="8128"/>
        <v>0</v>
      </c>
      <c r="AX1609" s="200">
        <f t="shared" si="8128"/>
        <v>0</v>
      </c>
      <c r="AY1609" s="202">
        <v>0.0</v>
      </c>
      <c r="AZ1609" s="200"/>
      <c r="BA1609" s="171" t="str">
        <f t="shared" si="18"/>
        <v/>
      </c>
      <c r="BB1609" s="171" t="str">
        <f t="shared" si="19"/>
        <v>Code</v>
      </c>
      <c r="BC1609" s="171" t="str">
        <f t="shared" si="20"/>
        <v/>
      </c>
      <c r="BD1609" s="171" t="str">
        <f t="shared" si="21"/>
        <v/>
      </c>
      <c r="BE1609" s="171" t="str">
        <f t="shared" si="22"/>
        <v/>
      </c>
      <c r="BF1609" s="171" t="str">
        <f t="shared" si="23"/>
        <v>Code</v>
      </c>
    </row>
    <row r="1610">
      <c r="A1610" s="171">
        <f t="array" ref="A1610">XLOOKUP(C1610,FSE!A:A,FSE!C:C,"XXXXX",0,1)</f>
        <v>2021</v>
      </c>
      <c r="B1610" s="213" t="s">
        <v>5676</v>
      </c>
      <c r="C1610" s="214">
        <v>307.0</v>
      </c>
      <c r="D1610" s="215" t="s">
        <v>6336</v>
      </c>
      <c r="E1610" s="197" t="str">
        <f t="array" ref="E1610">XLOOKUP(C1610,FSE!A:A,FSE!Z:Z,"XXXXX",0,1)</f>
        <v>Publicly Available (2)</v>
      </c>
      <c r="F1610" s="213" t="s">
        <v>3394</v>
      </c>
      <c r="G1610" s="163" t="str">
        <f t="array" ref="G1610">IF(B1610="ICSE",IF(COUNTIFS(B:B,B1610,C:C,C1610)=XLOOKUP(C1610,ICSE!A:A,ICSE!AA:AA,"ERROR",0,1),"OK","ERROR"),IF(B1610="FSE",IF(COUNTIFS(B:B,B1610,C:C,C1610)=XLOOKUP(C1610,FSE!A:A,FSE!AA:AA,"ERROR",0,1),"OK","ERROR")))</f>
        <v>OK</v>
      </c>
      <c r="H1610" s="199">
        <f t="shared" ref="H1610:O1610" si="8129">countif($D1610,"*"&amp;H$2&amp;"*")</f>
        <v>0</v>
      </c>
      <c r="I1610" s="200">
        <f t="shared" si="8129"/>
        <v>0</v>
      </c>
      <c r="J1610" s="200">
        <f t="shared" si="8129"/>
        <v>0</v>
      </c>
      <c r="K1610" s="200">
        <f t="shared" si="8129"/>
        <v>0</v>
      </c>
      <c r="L1610" s="200">
        <f t="shared" si="8129"/>
        <v>0</v>
      </c>
      <c r="M1610" s="200">
        <f t="shared" si="8129"/>
        <v>0</v>
      </c>
      <c r="N1610" s="200">
        <f t="shared" si="8129"/>
        <v>0</v>
      </c>
      <c r="O1610" s="200">
        <f t="shared" si="8129"/>
        <v>0</v>
      </c>
      <c r="P1610" s="200">
        <f t="shared" si="9"/>
        <v>1</v>
      </c>
      <c r="Q1610" s="200">
        <f t="shared" ref="Q1610:AC1610" si="8130">countif($D1610,"*"&amp;Q$2&amp;"*")</f>
        <v>0</v>
      </c>
      <c r="R1610" s="200">
        <f t="shared" si="8130"/>
        <v>0</v>
      </c>
      <c r="S1610" s="200">
        <f t="shared" si="8130"/>
        <v>0</v>
      </c>
      <c r="T1610" s="200">
        <f t="shared" si="8130"/>
        <v>0</v>
      </c>
      <c r="U1610" s="200">
        <f t="shared" si="8130"/>
        <v>0</v>
      </c>
      <c r="V1610" s="200">
        <f t="shared" si="8130"/>
        <v>0</v>
      </c>
      <c r="W1610" s="200">
        <f t="shared" si="8130"/>
        <v>0</v>
      </c>
      <c r="X1610" s="200">
        <f t="shared" si="8130"/>
        <v>0</v>
      </c>
      <c r="Y1610" s="200">
        <f t="shared" si="8130"/>
        <v>0</v>
      </c>
      <c r="Z1610" s="200">
        <f t="shared" si="8130"/>
        <v>0</v>
      </c>
      <c r="AA1610" s="200">
        <f t="shared" si="8130"/>
        <v>0</v>
      </c>
      <c r="AB1610" s="200">
        <f t="shared" si="8130"/>
        <v>0</v>
      </c>
      <c r="AC1610" s="200">
        <f t="shared" si="8130"/>
        <v>0</v>
      </c>
      <c r="AD1610" s="200">
        <f t="shared" si="11"/>
        <v>0</v>
      </c>
      <c r="AE1610" s="200">
        <f t="shared" ref="AE1610:AG1610" si="8131">countif($D1610,"*"&amp;AE$2&amp;"*")</f>
        <v>0</v>
      </c>
      <c r="AF1610" s="200">
        <f t="shared" si="8131"/>
        <v>0</v>
      </c>
      <c r="AG1610" s="200">
        <f t="shared" si="8131"/>
        <v>0</v>
      </c>
      <c r="AH1610" s="171">
        <f t="shared" si="13"/>
        <v>0</v>
      </c>
      <c r="AI1610" s="200">
        <f t="shared" si="14"/>
        <v>0</v>
      </c>
      <c r="AJ1610" s="200">
        <f t="shared" si="6100"/>
        <v>0</v>
      </c>
      <c r="AK1610" s="201">
        <f t="shared" ref="AK1610:AS1610" si="8132">countif($D1610,"*"&amp;AK$2&amp;"*")</f>
        <v>0</v>
      </c>
      <c r="AL1610" s="201">
        <f t="shared" si="8132"/>
        <v>0</v>
      </c>
      <c r="AM1610" s="201">
        <f t="shared" si="8132"/>
        <v>0</v>
      </c>
      <c r="AN1610" s="201">
        <f t="shared" si="8132"/>
        <v>0</v>
      </c>
      <c r="AO1610" s="201">
        <f t="shared" si="8132"/>
        <v>0</v>
      </c>
      <c r="AP1610" s="201">
        <f t="shared" si="8132"/>
        <v>0</v>
      </c>
      <c r="AQ1610" s="201">
        <f t="shared" si="8132"/>
        <v>0</v>
      </c>
      <c r="AR1610" s="200">
        <f t="shared" si="8132"/>
        <v>0</v>
      </c>
      <c r="AS1610" s="200">
        <f t="shared" si="8132"/>
        <v>0</v>
      </c>
      <c r="AT1610" s="173">
        <v>0.0</v>
      </c>
      <c r="AU1610" s="200">
        <f t="shared" si="6217"/>
        <v>0</v>
      </c>
      <c r="AV1610" s="200">
        <f t="shared" ref="AV1610:AX1610" si="8133">countif($D1610,"*"&amp;AV$2&amp;"*")</f>
        <v>1</v>
      </c>
      <c r="AW1610" s="200">
        <f t="shared" si="8133"/>
        <v>0</v>
      </c>
      <c r="AX1610" s="200">
        <f t="shared" si="8133"/>
        <v>0</v>
      </c>
      <c r="AY1610" s="202">
        <v>0.0</v>
      </c>
      <c r="AZ1610" s="200"/>
      <c r="BA1610" s="171" t="str">
        <f t="shared" si="18"/>
        <v/>
      </c>
      <c r="BB1610" s="171" t="str">
        <f t="shared" si="19"/>
        <v>Code</v>
      </c>
      <c r="BC1610" s="171" t="str">
        <f t="shared" si="20"/>
        <v/>
      </c>
      <c r="BD1610" s="171" t="str">
        <f t="shared" si="21"/>
        <v/>
      </c>
      <c r="BE1610" s="171" t="str">
        <f t="shared" si="22"/>
        <v/>
      </c>
      <c r="BF1610" s="171" t="str">
        <f t="shared" si="23"/>
        <v>Code</v>
      </c>
    </row>
    <row r="1611">
      <c r="A1611" s="171">
        <f t="array" ref="A1611">XLOOKUP(C1611,FSE!A:A,FSE!C:C,"XXXXX",0,1)</f>
        <v>2021</v>
      </c>
      <c r="B1611" s="213" t="s">
        <v>5676</v>
      </c>
      <c r="C1611" s="214">
        <v>307.0</v>
      </c>
      <c r="D1611" s="217" t="s">
        <v>6337</v>
      </c>
      <c r="E1611" s="197" t="str">
        <f t="array" ref="E1611">XLOOKUP(C1611,FSE!A:A,FSE!Z:Z,"XXXXX",0,1)</f>
        <v>Publicly Available (2)</v>
      </c>
      <c r="F1611" s="213" t="s">
        <v>3394</v>
      </c>
      <c r="G1611" s="163" t="str">
        <f t="array" ref="G1611">IF(B1611="ICSE",IF(COUNTIFS(B:B,B1611,C:C,C1611)=XLOOKUP(C1611,ICSE!A:A,ICSE!AA:AA,"ERROR",0,1),"OK","ERROR"),IF(B1611="FSE",IF(COUNTIFS(B:B,B1611,C:C,C1611)=XLOOKUP(C1611,FSE!A:A,FSE!AA:AA,"ERROR",0,1),"OK","ERROR")))</f>
        <v>OK</v>
      </c>
      <c r="H1611" s="199">
        <f t="shared" ref="H1611:O1611" si="8134">countif($D1611,"*"&amp;H$2&amp;"*")</f>
        <v>1</v>
      </c>
      <c r="I1611" s="200">
        <f t="shared" si="8134"/>
        <v>0</v>
      </c>
      <c r="J1611" s="200">
        <f t="shared" si="8134"/>
        <v>0</v>
      </c>
      <c r="K1611" s="200">
        <f t="shared" si="8134"/>
        <v>0</v>
      </c>
      <c r="L1611" s="200">
        <f t="shared" si="8134"/>
        <v>0</v>
      </c>
      <c r="M1611" s="200">
        <f t="shared" si="8134"/>
        <v>0</v>
      </c>
      <c r="N1611" s="200">
        <f t="shared" si="8134"/>
        <v>0</v>
      </c>
      <c r="O1611" s="200">
        <f t="shared" si="8134"/>
        <v>0</v>
      </c>
      <c r="P1611" s="200">
        <f t="shared" si="9"/>
        <v>0</v>
      </c>
      <c r="Q1611" s="200">
        <f t="shared" ref="Q1611:AC1611" si="8135">countif($D1611,"*"&amp;Q$2&amp;"*")</f>
        <v>0</v>
      </c>
      <c r="R1611" s="200">
        <f t="shared" si="8135"/>
        <v>0</v>
      </c>
      <c r="S1611" s="200">
        <f t="shared" si="8135"/>
        <v>0</v>
      </c>
      <c r="T1611" s="200">
        <f t="shared" si="8135"/>
        <v>0</v>
      </c>
      <c r="U1611" s="200">
        <f t="shared" si="8135"/>
        <v>0</v>
      </c>
      <c r="V1611" s="200">
        <f t="shared" si="8135"/>
        <v>0</v>
      </c>
      <c r="W1611" s="200">
        <f t="shared" si="8135"/>
        <v>0</v>
      </c>
      <c r="X1611" s="200">
        <f t="shared" si="8135"/>
        <v>0</v>
      </c>
      <c r="Y1611" s="200">
        <f t="shared" si="8135"/>
        <v>0</v>
      </c>
      <c r="Z1611" s="200">
        <f t="shared" si="8135"/>
        <v>0</v>
      </c>
      <c r="AA1611" s="200">
        <f t="shared" si="8135"/>
        <v>0</v>
      </c>
      <c r="AB1611" s="200">
        <f t="shared" si="8135"/>
        <v>0</v>
      </c>
      <c r="AC1611" s="200">
        <f t="shared" si="8135"/>
        <v>0</v>
      </c>
      <c r="AD1611" s="200">
        <f t="shared" si="11"/>
        <v>0</v>
      </c>
      <c r="AE1611" s="200">
        <f t="shared" ref="AE1611:AG1611" si="8136">countif($D1611,"*"&amp;AE$2&amp;"*")</f>
        <v>0</v>
      </c>
      <c r="AF1611" s="200">
        <f t="shared" si="8136"/>
        <v>0</v>
      </c>
      <c r="AG1611" s="200">
        <f t="shared" si="8136"/>
        <v>0</v>
      </c>
      <c r="AH1611" s="171">
        <f t="shared" si="13"/>
        <v>0</v>
      </c>
      <c r="AI1611" s="200">
        <f t="shared" si="14"/>
        <v>1</v>
      </c>
      <c r="AJ1611" s="200">
        <f t="shared" si="6100"/>
        <v>0</v>
      </c>
      <c r="AK1611" s="201">
        <f t="shared" ref="AK1611:AS1611" si="8137">countif($D1611,"*"&amp;AK$2&amp;"*")</f>
        <v>0</v>
      </c>
      <c r="AL1611" s="201">
        <f t="shared" si="8137"/>
        <v>0</v>
      </c>
      <c r="AM1611" s="201">
        <f t="shared" si="8137"/>
        <v>0</v>
      </c>
      <c r="AN1611" s="201">
        <f t="shared" si="8137"/>
        <v>0</v>
      </c>
      <c r="AO1611" s="201">
        <f t="shared" si="8137"/>
        <v>0</v>
      </c>
      <c r="AP1611" s="201">
        <f t="shared" si="8137"/>
        <v>0</v>
      </c>
      <c r="AQ1611" s="201">
        <f t="shared" si="8137"/>
        <v>0</v>
      </c>
      <c r="AR1611" s="200">
        <f t="shared" si="8137"/>
        <v>0</v>
      </c>
      <c r="AS1611" s="200">
        <f t="shared" si="8137"/>
        <v>1</v>
      </c>
      <c r="AT1611" s="173">
        <v>0.0</v>
      </c>
      <c r="AU1611" s="200">
        <f t="shared" si="6217"/>
        <v>0</v>
      </c>
      <c r="AV1611" s="200">
        <f t="shared" ref="AV1611:AX1611" si="8138">countif($D1611,"*"&amp;AV$2&amp;"*")</f>
        <v>0</v>
      </c>
      <c r="AW1611" s="200">
        <f t="shared" si="8138"/>
        <v>0</v>
      </c>
      <c r="AX1611" s="200">
        <f t="shared" si="8138"/>
        <v>1</v>
      </c>
      <c r="AY1611" s="202">
        <v>0.0</v>
      </c>
      <c r="AZ1611" s="200"/>
      <c r="BA1611" s="171" t="str">
        <f t="shared" si="18"/>
        <v>Archival</v>
      </c>
      <c r="BB1611" s="171" t="str">
        <f t="shared" si="19"/>
        <v/>
      </c>
      <c r="BC1611" s="171" t="str">
        <f t="shared" si="20"/>
        <v/>
      </c>
      <c r="BD1611" s="171" t="str">
        <f t="shared" si="21"/>
        <v/>
      </c>
      <c r="BE1611" s="171" t="str">
        <f t="shared" si="22"/>
        <v/>
      </c>
      <c r="BF1611" s="171" t="str">
        <f t="shared" si="23"/>
        <v>Archival</v>
      </c>
    </row>
    <row r="1612">
      <c r="A1612" s="171">
        <f t="array" ref="A1612">XLOOKUP(C1612,FSE!A:A,FSE!C:C,"XXXXX",0,1)</f>
        <v>2021</v>
      </c>
      <c r="B1612" s="213" t="s">
        <v>5676</v>
      </c>
      <c r="C1612" s="214">
        <v>308.0</v>
      </c>
      <c r="D1612" s="217" t="s">
        <v>4978</v>
      </c>
      <c r="E1612" s="197" t="str">
        <f t="array" ref="E1612">XLOOKUP(C1612,FSE!A:A,FSE!Z:Z,"XXXXX",0,1)</f>
        <v>Publicly Available (1)</v>
      </c>
      <c r="F1612" s="213" t="s">
        <v>3394</v>
      </c>
      <c r="G1612" s="163" t="str">
        <f t="array" ref="G1612">IF(B1612="ICSE",IF(COUNTIFS(B:B,B1612,C:C,C1612)=XLOOKUP(C1612,ICSE!A:A,ICSE!AA:AA,"ERROR",0,1),"OK","ERROR"),IF(B1612="FSE",IF(COUNTIFS(B:B,B1612,C:C,C1612)=XLOOKUP(C1612,FSE!A:A,FSE!AA:AA,"ERROR",0,1),"OK","ERROR")))</f>
        <v>OK</v>
      </c>
      <c r="H1612" s="199">
        <f t="shared" ref="H1612:O1612" si="8139">countif($D1612,"*"&amp;H$2&amp;"*")</f>
        <v>0</v>
      </c>
      <c r="I1612" s="200">
        <f t="shared" si="8139"/>
        <v>0</v>
      </c>
      <c r="J1612" s="200">
        <f t="shared" si="8139"/>
        <v>0</v>
      </c>
      <c r="K1612" s="200">
        <f t="shared" si="8139"/>
        <v>0</v>
      </c>
      <c r="L1612" s="200">
        <f t="shared" si="8139"/>
        <v>0</v>
      </c>
      <c r="M1612" s="200">
        <f t="shared" si="8139"/>
        <v>0</v>
      </c>
      <c r="N1612" s="200">
        <f t="shared" si="8139"/>
        <v>0</v>
      </c>
      <c r="O1612" s="200">
        <f t="shared" si="8139"/>
        <v>0</v>
      </c>
      <c r="P1612" s="200">
        <f t="shared" si="9"/>
        <v>1</v>
      </c>
      <c r="Q1612" s="200">
        <f t="shared" ref="Q1612:AC1612" si="8140">countif($D1612,"*"&amp;Q$2&amp;"*")</f>
        <v>0</v>
      </c>
      <c r="R1612" s="200">
        <f t="shared" si="8140"/>
        <v>0</v>
      </c>
      <c r="S1612" s="200">
        <f t="shared" si="8140"/>
        <v>0</v>
      </c>
      <c r="T1612" s="200">
        <f t="shared" si="8140"/>
        <v>0</v>
      </c>
      <c r="U1612" s="200">
        <f t="shared" si="8140"/>
        <v>0</v>
      </c>
      <c r="V1612" s="200">
        <f t="shared" si="8140"/>
        <v>0</v>
      </c>
      <c r="W1612" s="200">
        <f t="shared" si="8140"/>
        <v>0</v>
      </c>
      <c r="X1612" s="200">
        <f t="shared" si="8140"/>
        <v>0</v>
      </c>
      <c r="Y1612" s="200">
        <f t="shared" si="8140"/>
        <v>0</v>
      </c>
      <c r="Z1612" s="200">
        <f t="shared" si="8140"/>
        <v>0</v>
      </c>
      <c r="AA1612" s="200">
        <f t="shared" si="8140"/>
        <v>0</v>
      </c>
      <c r="AB1612" s="200">
        <f t="shared" si="8140"/>
        <v>0</v>
      </c>
      <c r="AC1612" s="200">
        <f t="shared" si="8140"/>
        <v>0</v>
      </c>
      <c r="AD1612" s="200">
        <f t="shared" si="11"/>
        <v>0</v>
      </c>
      <c r="AE1612" s="200">
        <f t="shared" ref="AE1612:AG1612" si="8141">countif($D1612,"*"&amp;AE$2&amp;"*")</f>
        <v>0</v>
      </c>
      <c r="AF1612" s="200">
        <f t="shared" si="8141"/>
        <v>0</v>
      </c>
      <c r="AG1612" s="200">
        <f t="shared" si="8141"/>
        <v>0</v>
      </c>
      <c r="AH1612" s="171">
        <f t="shared" si="13"/>
        <v>0</v>
      </c>
      <c r="AI1612" s="200">
        <f t="shared" si="14"/>
        <v>0</v>
      </c>
      <c r="AJ1612" s="200">
        <f t="shared" si="6100"/>
        <v>0</v>
      </c>
      <c r="AK1612" s="201">
        <f t="shared" ref="AK1612:AS1612" si="8142">countif($D1612,"*"&amp;AK$2&amp;"*")</f>
        <v>0</v>
      </c>
      <c r="AL1612" s="201">
        <f t="shared" si="8142"/>
        <v>0</v>
      </c>
      <c r="AM1612" s="201">
        <f t="shared" si="8142"/>
        <v>0</v>
      </c>
      <c r="AN1612" s="201">
        <f t="shared" si="8142"/>
        <v>0</v>
      </c>
      <c r="AO1612" s="201">
        <f t="shared" si="8142"/>
        <v>0</v>
      </c>
      <c r="AP1612" s="201">
        <f t="shared" si="8142"/>
        <v>0</v>
      </c>
      <c r="AQ1612" s="201">
        <f t="shared" si="8142"/>
        <v>0</v>
      </c>
      <c r="AR1612" s="200">
        <f t="shared" si="8142"/>
        <v>0</v>
      </c>
      <c r="AS1612" s="200">
        <f t="shared" si="8142"/>
        <v>0</v>
      </c>
      <c r="AT1612" s="173">
        <v>0.0</v>
      </c>
      <c r="AU1612" s="200">
        <f t="shared" si="6217"/>
        <v>0</v>
      </c>
      <c r="AV1612" s="200">
        <f t="shared" ref="AV1612:AX1612" si="8143">countif($D1612,"*"&amp;AV$2&amp;"*")</f>
        <v>1</v>
      </c>
      <c r="AW1612" s="200">
        <f t="shared" si="8143"/>
        <v>0</v>
      </c>
      <c r="AX1612" s="200">
        <f t="shared" si="8143"/>
        <v>0</v>
      </c>
      <c r="AY1612" s="202">
        <v>0.0</v>
      </c>
      <c r="AZ1612" s="200"/>
      <c r="BA1612" s="171" t="str">
        <f t="shared" si="18"/>
        <v/>
      </c>
      <c r="BB1612" s="171" t="str">
        <f t="shared" si="19"/>
        <v>Code</v>
      </c>
      <c r="BC1612" s="171" t="str">
        <f t="shared" si="20"/>
        <v/>
      </c>
      <c r="BD1612" s="171" t="str">
        <f t="shared" si="21"/>
        <v/>
      </c>
      <c r="BE1612" s="171" t="str">
        <f t="shared" si="22"/>
        <v/>
      </c>
      <c r="BF1612" s="171" t="str">
        <f t="shared" si="23"/>
        <v>Code</v>
      </c>
    </row>
    <row r="1613">
      <c r="A1613" s="171">
        <f t="array" ref="A1613">XLOOKUP(C1613,FSE!A:A,FSE!C:C,"XXXXX",0,1)</f>
        <v>2021</v>
      </c>
      <c r="B1613" s="213" t="s">
        <v>5676</v>
      </c>
      <c r="C1613" s="214">
        <v>309.0</v>
      </c>
      <c r="D1613" s="215" t="s">
        <v>4981</v>
      </c>
      <c r="E1613" s="197" t="str">
        <f t="array" ref="E1613">XLOOKUP(C1613,FSE!A:A,FSE!Z:Z,"XXXXX",0,1)</f>
        <v>Publicly Available (1)</v>
      </c>
      <c r="F1613" s="213" t="s">
        <v>3394</v>
      </c>
      <c r="G1613" s="163" t="str">
        <f t="array" ref="G1613">IF(B1613="ICSE",IF(COUNTIFS(B:B,B1613,C:C,C1613)=XLOOKUP(C1613,ICSE!A:A,ICSE!AA:AA,"ERROR",0,1),"OK","ERROR"),IF(B1613="FSE",IF(COUNTIFS(B:B,B1613,C:C,C1613)=XLOOKUP(C1613,FSE!A:A,FSE!AA:AA,"ERROR",0,1),"OK","ERROR")))</f>
        <v>OK</v>
      </c>
      <c r="H1613" s="199">
        <f t="shared" ref="H1613:O1613" si="8144">countif($D1613,"*"&amp;H$2&amp;"*")</f>
        <v>1</v>
      </c>
      <c r="I1613" s="200">
        <f t="shared" si="8144"/>
        <v>0</v>
      </c>
      <c r="J1613" s="200">
        <f t="shared" si="8144"/>
        <v>0</v>
      </c>
      <c r="K1613" s="200">
        <f t="shared" si="8144"/>
        <v>0</v>
      </c>
      <c r="L1613" s="200">
        <f t="shared" si="8144"/>
        <v>0</v>
      </c>
      <c r="M1613" s="200">
        <f t="shared" si="8144"/>
        <v>0</v>
      </c>
      <c r="N1613" s="200">
        <f t="shared" si="8144"/>
        <v>0</v>
      </c>
      <c r="O1613" s="200">
        <f t="shared" si="8144"/>
        <v>0</v>
      </c>
      <c r="P1613" s="200">
        <f t="shared" si="9"/>
        <v>0</v>
      </c>
      <c r="Q1613" s="200">
        <f t="shared" ref="Q1613:AC1613" si="8145">countif($D1613,"*"&amp;Q$2&amp;"*")</f>
        <v>0</v>
      </c>
      <c r="R1613" s="200">
        <f t="shared" si="8145"/>
        <v>0</v>
      </c>
      <c r="S1613" s="200">
        <f t="shared" si="8145"/>
        <v>0</v>
      </c>
      <c r="T1613" s="200">
        <f t="shared" si="8145"/>
        <v>0</v>
      </c>
      <c r="U1613" s="200">
        <f t="shared" si="8145"/>
        <v>0</v>
      </c>
      <c r="V1613" s="200">
        <f t="shared" si="8145"/>
        <v>0</v>
      </c>
      <c r="W1613" s="200">
        <f t="shared" si="8145"/>
        <v>0</v>
      </c>
      <c r="X1613" s="200">
        <f t="shared" si="8145"/>
        <v>0</v>
      </c>
      <c r="Y1613" s="200">
        <f t="shared" si="8145"/>
        <v>0</v>
      </c>
      <c r="Z1613" s="200">
        <f t="shared" si="8145"/>
        <v>0</v>
      </c>
      <c r="AA1613" s="200">
        <f t="shared" si="8145"/>
        <v>0</v>
      </c>
      <c r="AB1613" s="200">
        <f t="shared" si="8145"/>
        <v>0</v>
      </c>
      <c r="AC1613" s="200">
        <f t="shared" si="8145"/>
        <v>0</v>
      </c>
      <c r="AD1613" s="200">
        <f t="shared" si="11"/>
        <v>0</v>
      </c>
      <c r="AE1613" s="200">
        <f t="shared" ref="AE1613:AG1613" si="8146">countif($D1613,"*"&amp;AE$2&amp;"*")</f>
        <v>0</v>
      </c>
      <c r="AF1613" s="200">
        <f t="shared" si="8146"/>
        <v>0</v>
      </c>
      <c r="AG1613" s="200">
        <f t="shared" si="8146"/>
        <v>0</v>
      </c>
      <c r="AH1613" s="171">
        <f t="shared" si="13"/>
        <v>0</v>
      </c>
      <c r="AI1613" s="200">
        <f t="shared" si="14"/>
        <v>1</v>
      </c>
      <c r="AJ1613" s="200">
        <f t="shared" si="6100"/>
        <v>0</v>
      </c>
      <c r="AK1613" s="201">
        <f t="shared" ref="AK1613:AS1613" si="8147">countif($D1613,"*"&amp;AK$2&amp;"*")</f>
        <v>0</v>
      </c>
      <c r="AL1613" s="201">
        <f t="shared" si="8147"/>
        <v>0</v>
      </c>
      <c r="AM1613" s="201">
        <f t="shared" si="8147"/>
        <v>0</v>
      </c>
      <c r="AN1613" s="201">
        <f t="shared" si="8147"/>
        <v>0</v>
      </c>
      <c r="AO1613" s="201">
        <f t="shared" si="8147"/>
        <v>0</v>
      </c>
      <c r="AP1613" s="201">
        <f t="shared" si="8147"/>
        <v>0</v>
      </c>
      <c r="AQ1613" s="201">
        <f t="shared" si="8147"/>
        <v>0</v>
      </c>
      <c r="AR1613" s="200">
        <f t="shared" si="8147"/>
        <v>0</v>
      </c>
      <c r="AS1613" s="200">
        <f t="shared" si="8147"/>
        <v>0</v>
      </c>
      <c r="AT1613" s="173">
        <v>0.0</v>
      </c>
      <c r="AU1613" s="200">
        <f t="shared" si="6217"/>
        <v>0</v>
      </c>
      <c r="AV1613" s="200">
        <f t="shared" ref="AV1613:AX1613" si="8148">countif($D1613,"*"&amp;AV$2&amp;"*")</f>
        <v>0</v>
      </c>
      <c r="AW1613" s="200">
        <f t="shared" si="8148"/>
        <v>0</v>
      </c>
      <c r="AX1613" s="200">
        <f t="shared" si="8148"/>
        <v>1</v>
      </c>
      <c r="AY1613" s="202">
        <v>0.0</v>
      </c>
      <c r="AZ1613" s="200"/>
      <c r="BA1613" s="171" t="str">
        <f t="shared" si="18"/>
        <v>Archival</v>
      </c>
      <c r="BB1613" s="171" t="str">
        <f t="shared" si="19"/>
        <v/>
      </c>
      <c r="BC1613" s="171" t="str">
        <f t="shared" si="20"/>
        <v/>
      </c>
      <c r="BD1613" s="171" t="str">
        <f t="shared" si="21"/>
        <v/>
      </c>
      <c r="BE1613" s="171" t="str">
        <f t="shared" si="22"/>
        <v/>
      </c>
      <c r="BF1613" s="171" t="str">
        <f t="shared" si="23"/>
        <v>Archival</v>
      </c>
    </row>
    <row r="1614">
      <c r="A1614" s="171">
        <f t="array" ref="A1614">XLOOKUP(C1614,FSE!A:A,FSE!C:C,"XXXXX",0,1)</f>
        <v>2021</v>
      </c>
      <c r="B1614" s="213" t="s">
        <v>5676</v>
      </c>
      <c r="C1614" s="214">
        <v>310.0</v>
      </c>
      <c r="D1614" s="215" t="s">
        <v>4984</v>
      </c>
      <c r="E1614" s="197" t="str">
        <f t="array" ref="E1614">XLOOKUP(C1614,FSE!A:A,FSE!Z:Z,"XXXXX",0,1)</f>
        <v>Publicly Available (1)</v>
      </c>
      <c r="F1614" s="213" t="s">
        <v>3394</v>
      </c>
      <c r="G1614" s="163" t="str">
        <f t="array" ref="G1614">IF(B1614="ICSE",IF(COUNTIFS(B:B,B1614,C:C,C1614)=XLOOKUP(C1614,ICSE!A:A,ICSE!AA:AA,"ERROR",0,1),"OK","ERROR"),IF(B1614="FSE",IF(COUNTIFS(B:B,B1614,C:C,C1614)=XLOOKUP(C1614,FSE!A:A,FSE!AA:AA,"ERROR",0,1),"OK","ERROR")))</f>
        <v>OK</v>
      </c>
      <c r="H1614" s="199">
        <f t="shared" ref="H1614:O1614" si="8149">countif($D1614,"*"&amp;H$2&amp;"*")</f>
        <v>0</v>
      </c>
      <c r="I1614" s="200">
        <f t="shared" si="8149"/>
        <v>0</v>
      </c>
      <c r="J1614" s="200">
        <f t="shared" si="8149"/>
        <v>0</v>
      </c>
      <c r="K1614" s="200">
        <f t="shared" si="8149"/>
        <v>0</v>
      </c>
      <c r="L1614" s="200">
        <f t="shared" si="8149"/>
        <v>0</v>
      </c>
      <c r="M1614" s="200">
        <f t="shared" si="8149"/>
        <v>0</v>
      </c>
      <c r="N1614" s="200">
        <f t="shared" si="8149"/>
        <v>0</v>
      </c>
      <c r="O1614" s="200">
        <f t="shared" si="8149"/>
        <v>0</v>
      </c>
      <c r="P1614" s="200">
        <f t="shared" si="9"/>
        <v>1</v>
      </c>
      <c r="Q1614" s="200">
        <f t="shared" ref="Q1614:AC1614" si="8150">countif($D1614,"*"&amp;Q$2&amp;"*")</f>
        <v>0</v>
      </c>
      <c r="R1614" s="200">
        <f t="shared" si="8150"/>
        <v>0</v>
      </c>
      <c r="S1614" s="200">
        <f t="shared" si="8150"/>
        <v>0</v>
      </c>
      <c r="T1614" s="200">
        <f t="shared" si="8150"/>
        <v>0</v>
      </c>
      <c r="U1614" s="200">
        <f t="shared" si="8150"/>
        <v>0</v>
      </c>
      <c r="V1614" s="200">
        <f t="shared" si="8150"/>
        <v>0</v>
      </c>
      <c r="W1614" s="200">
        <f t="shared" si="8150"/>
        <v>0</v>
      </c>
      <c r="X1614" s="200">
        <f t="shared" si="8150"/>
        <v>0</v>
      </c>
      <c r="Y1614" s="200">
        <f t="shared" si="8150"/>
        <v>0</v>
      </c>
      <c r="Z1614" s="200">
        <f t="shared" si="8150"/>
        <v>0</v>
      </c>
      <c r="AA1614" s="200">
        <f t="shared" si="8150"/>
        <v>0</v>
      </c>
      <c r="AB1614" s="200">
        <f t="shared" si="8150"/>
        <v>0</v>
      </c>
      <c r="AC1614" s="200">
        <f t="shared" si="8150"/>
        <v>0</v>
      </c>
      <c r="AD1614" s="200">
        <f t="shared" si="11"/>
        <v>0</v>
      </c>
      <c r="AE1614" s="200">
        <f t="shared" ref="AE1614:AG1614" si="8151">countif($D1614,"*"&amp;AE$2&amp;"*")</f>
        <v>0</v>
      </c>
      <c r="AF1614" s="200">
        <f t="shared" si="8151"/>
        <v>0</v>
      </c>
      <c r="AG1614" s="200">
        <f t="shared" si="8151"/>
        <v>0</v>
      </c>
      <c r="AH1614" s="171">
        <f t="shared" si="13"/>
        <v>0</v>
      </c>
      <c r="AI1614" s="200">
        <f t="shared" si="14"/>
        <v>0</v>
      </c>
      <c r="AJ1614" s="200">
        <f t="shared" si="6100"/>
        <v>0</v>
      </c>
      <c r="AK1614" s="201">
        <f t="shared" ref="AK1614:AS1614" si="8152">countif($D1614,"*"&amp;AK$2&amp;"*")</f>
        <v>0</v>
      </c>
      <c r="AL1614" s="201">
        <f t="shared" si="8152"/>
        <v>0</v>
      </c>
      <c r="AM1614" s="201">
        <f t="shared" si="8152"/>
        <v>0</v>
      </c>
      <c r="AN1614" s="201">
        <f t="shared" si="8152"/>
        <v>0</v>
      </c>
      <c r="AO1614" s="201">
        <f t="shared" si="8152"/>
        <v>0</v>
      </c>
      <c r="AP1614" s="201">
        <f t="shared" si="8152"/>
        <v>0</v>
      </c>
      <c r="AQ1614" s="201">
        <f t="shared" si="8152"/>
        <v>0</v>
      </c>
      <c r="AR1614" s="200">
        <f t="shared" si="8152"/>
        <v>0</v>
      </c>
      <c r="AS1614" s="200">
        <f t="shared" si="8152"/>
        <v>0</v>
      </c>
      <c r="AT1614" s="173">
        <v>0.0</v>
      </c>
      <c r="AU1614" s="200">
        <f t="shared" si="6217"/>
        <v>0</v>
      </c>
      <c r="AV1614" s="200">
        <f t="shared" ref="AV1614:AX1614" si="8153">countif($D1614,"*"&amp;AV$2&amp;"*")</f>
        <v>1</v>
      </c>
      <c r="AW1614" s="200">
        <f t="shared" si="8153"/>
        <v>0</v>
      </c>
      <c r="AX1614" s="200">
        <f t="shared" si="8153"/>
        <v>0</v>
      </c>
      <c r="AY1614" s="202">
        <v>0.0</v>
      </c>
      <c r="AZ1614" s="200"/>
      <c r="BA1614" s="171" t="str">
        <f t="shared" si="18"/>
        <v/>
      </c>
      <c r="BB1614" s="171" t="str">
        <f t="shared" si="19"/>
        <v>Code</v>
      </c>
      <c r="BC1614" s="171" t="str">
        <f t="shared" si="20"/>
        <v/>
      </c>
      <c r="BD1614" s="171" t="str">
        <f t="shared" si="21"/>
        <v/>
      </c>
      <c r="BE1614" s="171" t="str">
        <f t="shared" si="22"/>
        <v/>
      </c>
      <c r="BF1614" s="171" t="str">
        <f t="shared" si="23"/>
        <v>Code</v>
      </c>
    </row>
    <row r="1615">
      <c r="A1615" s="171">
        <f t="array" ref="A1615">XLOOKUP(C1615,FSE!A:A,FSE!C:C,"XXXXX",0,1)</f>
        <v>2021</v>
      </c>
      <c r="B1615" s="213" t="s">
        <v>5676</v>
      </c>
      <c r="C1615" s="214">
        <v>311.0</v>
      </c>
      <c r="D1615" s="215" t="s">
        <v>4987</v>
      </c>
      <c r="E1615" s="197" t="str">
        <f t="array" ref="E1615">XLOOKUP(C1615,FSE!A:A,FSE!Z:Z,"XXXXX",0,1)</f>
        <v>Publicly Available (1)</v>
      </c>
      <c r="F1615" s="213" t="s">
        <v>3394</v>
      </c>
      <c r="G1615" s="163" t="str">
        <f t="array" ref="G1615">IF(B1615="ICSE",IF(COUNTIFS(B:B,B1615,C:C,C1615)=XLOOKUP(C1615,ICSE!A:A,ICSE!AA:AA,"ERROR",0,1),"OK","ERROR"),IF(B1615="FSE",IF(COUNTIFS(B:B,B1615,C:C,C1615)=XLOOKUP(C1615,FSE!A:A,FSE!AA:AA,"ERROR",0,1),"OK","ERROR")))</f>
        <v>OK</v>
      </c>
      <c r="H1615" s="199">
        <f t="shared" ref="H1615:O1615" si="8154">countif($D1615,"*"&amp;H$2&amp;"*")</f>
        <v>1</v>
      </c>
      <c r="I1615" s="200">
        <f t="shared" si="8154"/>
        <v>0</v>
      </c>
      <c r="J1615" s="200">
        <f t="shared" si="8154"/>
        <v>0</v>
      </c>
      <c r="K1615" s="200">
        <f t="shared" si="8154"/>
        <v>0</v>
      </c>
      <c r="L1615" s="200">
        <f t="shared" si="8154"/>
        <v>0</v>
      </c>
      <c r="M1615" s="200">
        <f t="shared" si="8154"/>
        <v>0</v>
      </c>
      <c r="N1615" s="200">
        <f t="shared" si="8154"/>
        <v>0</v>
      </c>
      <c r="O1615" s="200">
        <f t="shared" si="8154"/>
        <v>0</v>
      </c>
      <c r="P1615" s="200">
        <f t="shared" si="9"/>
        <v>0</v>
      </c>
      <c r="Q1615" s="200">
        <f t="shared" ref="Q1615:AC1615" si="8155">countif($D1615,"*"&amp;Q$2&amp;"*")</f>
        <v>0</v>
      </c>
      <c r="R1615" s="200">
        <f t="shared" si="8155"/>
        <v>0</v>
      </c>
      <c r="S1615" s="200">
        <f t="shared" si="8155"/>
        <v>0</v>
      </c>
      <c r="T1615" s="200">
        <f t="shared" si="8155"/>
        <v>0</v>
      </c>
      <c r="U1615" s="200">
        <f t="shared" si="8155"/>
        <v>0</v>
      </c>
      <c r="V1615" s="200">
        <f t="shared" si="8155"/>
        <v>0</v>
      </c>
      <c r="W1615" s="200">
        <f t="shared" si="8155"/>
        <v>0</v>
      </c>
      <c r="X1615" s="200">
        <f t="shared" si="8155"/>
        <v>0</v>
      </c>
      <c r="Y1615" s="200">
        <f t="shared" si="8155"/>
        <v>0</v>
      </c>
      <c r="Z1615" s="200">
        <f t="shared" si="8155"/>
        <v>0</v>
      </c>
      <c r="AA1615" s="200">
        <f t="shared" si="8155"/>
        <v>0</v>
      </c>
      <c r="AB1615" s="200">
        <f t="shared" si="8155"/>
        <v>0</v>
      </c>
      <c r="AC1615" s="200">
        <f t="shared" si="8155"/>
        <v>0</v>
      </c>
      <c r="AD1615" s="200">
        <f t="shared" si="11"/>
        <v>0</v>
      </c>
      <c r="AE1615" s="200">
        <f t="shared" ref="AE1615:AG1615" si="8156">countif($D1615,"*"&amp;AE$2&amp;"*")</f>
        <v>0</v>
      </c>
      <c r="AF1615" s="200">
        <f t="shared" si="8156"/>
        <v>0</v>
      </c>
      <c r="AG1615" s="200">
        <f t="shared" si="8156"/>
        <v>0</v>
      </c>
      <c r="AH1615" s="171">
        <f t="shared" si="13"/>
        <v>0</v>
      </c>
      <c r="AI1615" s="200">
        <f t="shared" si="14"/>
        <v>1</v>
      </c>
      <c r="AJ1615" s="200">
        <f t="shared" si="6100"/>
        <v>0</v>
      </c>
      <c r="AK1615" s="201">
        <f t="shared" ref="AK1615:AS1615" si="8157">countif($D1615,"*"&amp;AK$2&amp;"*")</f>
        <v>0</v>
      </c>
      <c r="AL1615" s="201">
        <f t="shared" si="8157"/>
        <v>0</v>
      </c>
      <c r="AM1615" s="201">
        <f t="shared" si="8157"/>
        <v>0</v>
      </c>
      <c r="AN1615" s="201">
        <f t="shared" si="8157"/>
        <v>0</v>
      </c>
      <c r="AO1615" s="201">
        <f t="shared" si="8157"/>
        <v>0</v>
      </c>
      <c r="AP1615" s="201">
        <f t="shared" si="8157"/>
        <v>0</v>
      </c>
      <c r="AQ1615" s="201">
        <f t="shared" si="8157"/>
        <v>0</v>
      </c>
      <c r="AR1615" s="200">
        <f t="shared" si="8157"/>
        <v>0</v>
      </c>
      <c r="AS1615" s="200">
        <f t="shared" si="8157"/>
        <v>0</v>
      </c>
      <c r="AT1615" s="173">
        <v>0.0</v>
      </c>
      <c r="AU1615" s="200">
        <f t="shared" si="6217"/>
        <v>0</v>
      </c>
      <c r="AV1615" s="200">
        <f t="shared" ref="AV1615:AX1615" si="8158">countif($D1615,"*"&amp;AV$2&amp;"*")</f>
        <v>0</v>
      </c>
      <c r="AW1615" s="200">
        <f t="shared" si="8158"/>
        <v>0</v>
      </c>
      <c r="AX1615" s="200">
        <f t="shared" si="8158"/>
        <v>0</v>
      </c>
      <c r="AY1615" s="204">
        <v>1.0</v>
      </c>
      <c r="AZ1615" s="200"/>
      <c r="BA1615" s="171" t="str">
        <f t="shared" si="18"/>
        <v>Archival</v>
      </c>
      <c r="BB1615" s="171" t="str">
        <f t="shared" si="19"/>
        <v/>
      </c>
      <c r="BC1615" s="171" t="str">
        <f t="shared" si="20"/>
        <v/>
      </c>
      <c r="BD1615" s="171" t="str">
        <f t="shared" si="21"/>
        <v/>
      </c>
      <c r="BE1615" s="171" t="str">
        <f t="shared" si="22"/>
        <v/>
      </c>
      <c r="BF1615" s="171" t="str">
        <f t="shared" si="23"/>
        <v>Archival</v>
      </c>
    </row>
    <row r="1616">
      <c r="A1616" s="171">
        <f t="array" ref="A1616">XLOOKUP(C1616,FSE!A:A,FSE!C:C,"XXXXX",0,1)</f>
        <v>2021</v>
      </c>
      <c r="B1616" s="213" t="s">
        <v>5676</v>
      </c>
      <c r="C1616" s="214">
        <v>312.0</v>
      </c>
      <c r="D1616" s="215" t="s">
        <v>4990</v>
      </c>
      <c r="E1616" s="197" t="str">
        <f t="array" ref="E1616">XLOOKUP(C1616,FSE!A:A,FSE!Z:Z,"XXXXX",0,1)</f>
        <v>Publicly Available (1)</v>
      </c>
      <c r="F1616" s="213" t="s">
        <v>3394</v>
      </c>
      <c r="G1616" s="163" t="str">
        <f t="array" ref="G1616">IF(B1616="ICSE",IF(COUNTIFS(B:B,B1616,C:C,C1616)=XLOOKUP(C1616,ICSE!A:A,ICSE!AA:AA,"ERROR",0,1),"OK","ERROR"),IF(B1616="FSE",IF(COUNTIFS(B:B,B1616,C:C,C1616)=XLOOKUP(C1616,FSE!A:A,FSE!AA:AA,"ERROR",0,1),"OK","ERROR")))</f>
        <v>OK</v>
      </c>
      <c r="H1616" s="199">
        <f t="shared" ref="H1616:O1616" si="8159">countif($D1616,"*"&amp;H$2&amp;"*")</f>
        <v>0</v>
      </c>
      <c r="I1616" s="200">
        <f t="shared" si="8159"/>
        <v>0</v>
      </c>
      <c r="J1616" s="200">
        <f t="shared" si="8159"/>
        <v>0</v>
      </c>
      <c r="K1616" s="200">
        <f t="shared" si="8159"/>
        <v>0</v>
      </c>
      <c r="L1616" s="200">
        <f t="shared" si="8159"/>
        <v>0</v>
      </c>
      <c r="M1616" s="200">
        <f t="shared" si="8159"/>
        <v>0</v>
      </c>
      <c r="N1616" s="200">
        <f t="shared" si="8159"/>
        <v>0</v>
      </c>
      <c r="O1616" s="200">
        <f t="shared" si="8159"/>
        <v>0</v>
      </c>
      <c r="P1616" s="200">
        <f t="shared" si="9"/>
        <v>0</v>
      </c>
      <c r="Q1616" s="200">
        <f t="shared" ref="Q1616:AC1616" si="8160">countif($D1616,"*"&amp;Q$2&amp;"*")</f>
        <v>0</v>
      </c>
      <c r="R1616" s="200">
        <f t="shared" si="8160"/>
        <v>0</v>
      </c>
      <c r="S1616" s="200">
        <f t="shared" si="8160"/>
        <v>0</v>
      </c>
      <c r="T1616" s="200">
        <f t="shared" si="8160"/>
        <v>0</v>
      </c>
      <c r="U1616" s="200">
        <f t="shared" si="8160"/>
        <v>0</v>
      </c>
      <c r="V1616" s="200">
        <f t="shared" si="8160"/>
        <v>0</v>
      </c>
      <c r="W1616" s="200">
        <f t="shared" si="8160"/>
        <v>0</v>
      </c>
      <c r="X1616" s="200">
        <f t="shared" si="8160"/>
        <v>0</v>
      </c>
      <c r="Y1616" s="200">
        <f t="shared" si="8160"/>
        <v>0</v>
      </c>
      <c r="Z1616" s="200">
        <f t="shared" si="8160"/>
        <v>0</v>
      </c>
      <c r="AA1616" s="200">
        <f t="shared" si="8160"/>
        <v>1</v>
      </c>
      <c r="AB1616" s="200">
        <f t="shared" si="8160"/>
        <v>0</v>
      </c>
      <c r="AC1616" s="200">
        <f t="shared" si="8160"/>
        <v>0</v>
      </c>
      <c r="AD1616" s="200">
        <f t="shared" si="11"/>
        <v>0</v>
      </c>
      <c r="AE1616" s="200">
        <f t="shared" ref="AE1616:AG1616" si="8161">countif($D1616,"*"&amp;AE$2&amp;"*")</f>
        <v>0</v>
      </c>
      <c r="AF1616" s="200">
        <f t="shared" si="8161"/>
        <v>0</v>
      </c>
      <c r="AG1616" s="200">
        <f t="shared" si="8161"/>
        <v>0</v>
      </c>
      <c r="AH1616" s="171">
        <f t="shared" si="13"/>
        <v>0</v>
      </c>
      <c r="AI1616" s="200">
        <f t="shared" si="14"/>
        <v>0</v>
      </c>
      <c r="AJ1616" s="200">
        <f t="shared" si="6100"/>
        <v>0</v>
      </c>
      <c r="AK1616" s="201">
        <f t="shared" ref="AK1616:AS1616" si="8162">countif($D1616,"*"&amp;AK$2&amp;"*")</f>
        <v>0</v>
      </c>
      <c r="AL1616" s="201">
        <f t="shared" si="8162"/>
        <v>0</v>
      </c>
      <c r="AM1616" s="201">
        <f t="shared" si="8162"/>
        <v>0</v>
      </c>
      <c r="AN1616" s="201">
        <f t="shared" si="8162"/>
        <v>0</v>
      </c>
      <c r="AO1616" s="201">
        <f t="shared" si="8162"/>
        <v>0</v>
      </c>
      <c r="AP1616" s="201">
        <f t="shared" si="8162"/>
        <v>0</v>
      </c>
      <c r="AQ1616" s="201">
        <f t="shared" si="8162"/>
        <v>0</v>
      </c>
      <c r="AR1616" s="200">
        <f t="shared" si="8162"/>
        <v>0</v>
      </c>
      <c r="AS1616" s="200">
        <f t="shared" si="8162"/>
        <v>0</v>
      </c>
      <c r="AT1616" s="173">
        <v>0.0</v>
      </c>
      <c r="AU1616" s="200">
        <f t="shared" si="6217"/>
        <v>0</v>
      </c>
      <c r="AV1616" s="200">
        <f t="shared" ref="AV1616:AX1616" si="8163">countif($D1616,"*"&amp;AV$2&amp;"*")</f>
        <v>0</v>
      </c>
      <c r="AW1616" s="200">
        <f t="shared" si="8163"/>
        <v>0</v>
      </c>
      <c r="AX1616" s="200">
        <f t="shared" si="8163"/>
        <v>0</v>
      </c>
      <c r="AY1616" s="202">
        <v>0.0</v>
      </c>
      <c r="AZ1616" s="200"/>
      <c r="BA1616" s="171" t="str">
        <f t="shared" si="18"/>
        <v/>
      </c>
      <c r="BB1616" s="171" t="str">
        <f t="shared" si="19"/>
        <v/>
      </c>
      <c r="BC1616" s="171" t="str">
        <f t="shared" si="20"/>
        <v>General-purpose</v>
      </c>
      <c r="BD1616" s="171" t="str">
        <f t="shared" si="21"/>
        <v/>
      </c>
      <c r="BE1616" s="171" t="str">
        <f t="shared" si="22"/>
        <v/>
      </c>
      <c r="BF1616" s="171" t="str">
        <f t="shared" si="23"/>
        <v>General-purpose</v>
      </c>
    </row>
    <row r="1617">
      <c r="A1617" s="171">
        <f t="array" ref="A1617">XLOOKUP(C1617,FSE!A:A,FSE!C:C,"XXXXX",0,1)</f>
        <v>2021</v>
      </c>
      <c r="B1617" s="213" t="s">
        <v>5676</v>
      </c>
      <c r="C1617" s="214">
        <v>313.0</v>
      </c>
      <c r="D1617" s="215" t="s">
        <v>4993</v>
      </c>
      <c r="E1617" s="197" t="str">
        <f t="array" ref="E1617">XLOOKUP(C1617,FSE!A:A,FSE!Z:Z,"XXXXX",0,1)</f>
        <v>Publicly Available (1)</v>
      </c>
      <c r="F1617" s="213" t="s">
        <v>3394</v>
      </c>
      <c r="G1617" s="163" t="str">
        <f t="array" ref="G1617">IF(B1617="ICSE",IF(COUNTIFS(B:B,B1617,C:C,C1617)=XLOOKUP(C1617,ICSE!A:A,ICSE!AA:AA,"ERROR",0,1),"OK","ERROR"),IF(B1617="FSE",IF(COUNTIFS(B:B,B1617,C:C,C1617)=XLOOKUP(C1617,FSE!A:A,FSE!AA:AA,"ERROR",0,1),"OK","ERROR")))</f>
        <v>OK</v>
      </c>
      <c r="H1617" s="199">
        <f t="shared" ref="H1617:O1617" si="8164">countif($D1617,"*"&amp;H$2&amp;"*")</f>
        <v>0</v>
      </c>
      <c r="I1617" s="200">
        <f t="shared" si="8164"/>
        <v>0</v>
      </c>
      <c r="J1617" s="200">
        <f t="shared" si="8164"/>
        <v>0</v>
      </c>
      <c r="K1617" s="200">
        <f t="shared" si="8164"/>
        <v>0</v>
      </c>
      <c r="L1617" s="200">
        <f t="shared" si="8164"/>
        <v>0</v>
      </c>
      <c r="M1617" s="200">
        <f t="shared" si="8164"/>
        <v>0</v>
      </c>
      <c r="N1617" s="200">
        <f t="shared" si="8164"/>
        <v>0</v>
      </c>
      <c r="O1617" s="200">
        <f t="shared" si="8164"/>
        <v>0</v>
      </c>
      <c r="P1617" s="200">
        <f t="shared" si="9"/>
        <v>1</v>
      </c>
      <c r="Q1617" s="200">
        <f t="shared" ref="Q1617:AC1617" si="8165">countif($D1617,"*"&amp;Q$2&amp;"*")</f>
        <v>0</v>
      </c>
      <c r="R1617" s="200">
        <f t="shared" si="8165"/>
        <v>0</v>
      </c>
      <c r="S1617" s="200">
        <f t="shared" si="8165"/>
        <v>0</v>
      </c>
      <c r="T1617" s="200">
        <f t="shared" si="8165"/>
        <v>0</v>
      </c>
      <c r="U1617" s="200">
        <f t="shared" si="8165"/>
        <v>0</v>
      </c>
      <c r="V1617" s="200">
        <f t="shared" si="8165"/>
        <v>0</v>
      </c>
      <c r="W1617" s="200">
        <f t="shared" si="8165"/>
        <v>0</v>
      </c>
      <c r="X1617" s="200">
        <f t="shared" si="8165"/>
        <v>0</v>
      </c>
      <c r="Y1617" s="200">
        <f t="shared" si="8165"/>
        <v>0</v>
      </c>
      <c r="Z1617" s="200">
        <f t="shared" si="8165"/>
        <v>0</v>
      </c>
      <c r="AA1617" s="200">
        <f t="shared" si="8165"/>
        <v>0</v>
      </c>
      <c r="AB1617" s="200">
        <f t="shared" si="8165"/>
        <v>0</v>
      </c>
      <c r="AC1617" s="200">
        <f t="shared" si="8165"/>
        <v>0</v>
      </c>
      <c r="AD1617" s="200">
        <f t="shared" si="11"/>
        <v>0</v>
      </c>
      <c r="AE1617" s="200">
        <f t="shared" ref="AE1617:AG1617" si="8166">countif($D1617,"*"&amp;AE$2&amp;"*")</f>
        <v>0</v>
      </c>
      <c r="AF1617" s="200">
        <f t="shared" si="8166"/>
        <v>0</v>
      </c>
      <c r="AG1617" s="200">
        <f t="shared" si="8166"/>
        <v>0</v>
      </c>
      <c r="AH1617" s="171">
        <f t="shared" si="13"/>
        <v>0</v>
      </c>
      <c r="AI1617" s="200">
        <f t="shared" si="14"/>
        <v>0</v>
      </c>
      <c r="AJ1617" s="200">
        <f t="shared" si="6100"/>
        <v>0</v>
      </c>
      <c r="AK1617" s="201">
        <f t="shared" ref="AK1617:AS1617" si="8167">countif($D1617,"*"&amp;AK$2&amp;"*")</f>
        <v>0</v>
      </c>
      <c r="AL1617" s="201">
        <f t="shared" si="8167"/>
        <v>0</v>
      </c>
      <c r="AM1617" s="201">
        <f t="shared" si="8167"/>
        <v>0</v>
      </c>
      <c r="AN1617" s="201">
        <f t="shared" si="8167"/>
        <v>0</v>
      </c>
      <c r="AO1617" s="201">
        <f t="shared" si="8167"/>
        <v>0</v>
      </c>
      <c r="AP1617" s="201">
        <f t="shared" si="8167"/>
        <v>0</v>
      </c>
      <c r="AQ1617" s="201">
        <f t="shared" si="8167"/>
        <v>0</v>
      </c>
      <c r="AR1617" s="200">
        <f t="shared" si="8167"/>
        <v>0</v>
      </c>
      <c r="AS1617" s="200">
        <f t="shared" si="8167"/>
        <v>0</v>
      </c>
      <c r="AT1617" s="173">
        <v>0.0</v>
      </c>
      <c r="AU1617" s="200">
        <f t="shared" si="6217"/>
        <v>0</v>
      </c>
      <c r="AV1617" s="200">
        <f t="shared" ref="AV1617:AX1617" si="8168">countif($D1617,"*"&amp;AV$2&amp;"*")</f>
        <v>1</v>
      </c>
      <c r="AW1617" s="200">
        <f t="shared" si="8168"/>
        <v>0</v>
      </c>
      <c r="AX1617" s="200">
        <f t="shared" si="8168"/>
        <v>0</v>
      </c>
      <c r="AY1617" s="202">
        <v>0.0</v>
      </c>
      <c r="AZ1617" s="200"/>
      <c r="BA1617" s="171" t="str">
        <f t="shared" si="18"/>
        <v/>
      </c>
      <c r="BB1617" s="171" t="str">
        <f t="shared" si="19"/>
        <v>Code</v>
      </c>
      <c r="BC1617" s="171" t="str">
        <f t="shared" si="20"/>
        <v/>
      </c>
      <c r="BD1617" s="171" t="str">
        <f t="shared" si="21"/>
        <v/>
      </c>
      <c r="BE1617" s="171" t="str">
        <f t="shared" si="22"/>
        <v/>
      </c>
      <c r="BF1617" s="171" t="str">
        <f t="shared" si="23"/>
        <v>Code</v>
      </c>
    </row>
    <row r="1618">
      <c r="A1618" s="171">
        <f t="array" ref="A1618">XLOOKUP(C1618,FSE!A:A,FSE!C:C,"XXXXX",0,1)</f>
        <v>2021</v>
      </c>
      <c r="B1618" s="213" t="s">
        <v>5676</v>
      </c>
      <c r="C1618" s="214">
        <v>314.0</v>
      </c>
      <c r="D1618" s="215" t="s">
        <v>6338</v>
      </c>
      <c r="E1618" s="197" t="str">
        <f t="array" ref="E1618">XLOOKUP(C1618,FSE!A:A,FSE!Z:Z,"XXXXX",0,1)</f>
        <v>Publicly Available (3)</v>
      </c>
      <c r="F1618" s="213" t="s">
        <v>3394</v>
      </c>
      <c r="G1618" s="163" t="str">
        <f t="array" ref="G1618">IF(B1618="ICSE",IF(COUNTIFS(B:B,B1618,C:C,C1618)=XLOOKUP(C1618,ICSE!A:A,ICSE!AA:AA,"ERROR",0,1),"OK","ERROR"),IF(B1618="FSE",IF(COUNTIFS(B:B,B1618,C:C,C1618)=XLOOKUP(C1618,FSE!A:A,FSE!AA:AA,"ERROR",0,1),"OK","ERROR")))</f>
        <v>OK</v>
      </c>
      <c r="H1618" s="199">
        <f t="shared" ref="H1618:O1618" si="8169">countif($D1618,"*"&amp;H$2&amp;"*")</f>
        <v>0</v>
      </c>
      <c r="I1618" s="200">
        <f t="shared" si="8169"/>
        <v>0</v>
      </c>
      <c r="J1618" s="200">
        <f t="shared" si="8169"/>
        <v>0</v>
      </c>
      <c r="K1618" s="200">
        <f t="shared" si="8169"/>
        <v>0</v>
      </c>
      <c r="L1618" s="200">
        <f t="shared" si="8169"/>
        <v>0</v>
      </c>
      <c r="M1618" s="200">
        <f t="shared" si="8169"/>
        <v>0</v>
      </c>
      <c r="N1618" s="200">
        <f t="shared" si="8169"/>
        <v>0</v>
      </c>
      <c r="O1618" s="200">
        <f t="shared" si="8169"/>
        <v>0</v>
      </c>
      <c r="P1618" s="200">
        <f t="shared" si="9"/>
        <v>1</v>
      </c>
      <c r="Q1618" s="200">
        <f t="shared" ref="Q1618:AC1618" si="8170">countif($D1618,"*"&amp;Q$2&amp;"*")</f>
        <v>0</v>
      </c>
      <c r="R1618" s="200">
        <f t="shared" si="8170"/>
        <v>0</v>
      </c>
      <c r="S1618" s="200">
        <f t="shared" si="8170"/>
        <v>0</v>
      </c>
      <c r="T1618" s="200">
        <f t="shared" si="8170"/>
        <v>0</v>
      </c>
      <c r="U1618" s="200">
        <f t="shared" si="8170"/>
        <v>0</v>
      </c>
      <c r="V1618" s="200">
        <f t="shared" si="8170"/>
        <v>0</v>
      </c>
      <c r="W1618" s="200">
        <f t="shared" si="8170"/>
        <v>0</v>
      </c>
      <c r="X1618" s="200">
        <f t="shared" si="8170"/>
        <v>0</v>
      </c>
      <c r="Y1618" s="200">
        <f t="shared" si="8170"/>
        <v>0</v>
      </c>
      <c r="Z1618" s="200">
        <f t="shared" si="8170"/>
        <v>0</v>
      </c>
      <c r="AA1618" s="200">
        <f t="shared" si="8170"/>
        <v>0</v>
      </c>
      <c r="AB1618" s="200">
        <f t="shared" si="8170"/>
        <v>0</v>
      </c>
      <c r="AC1618" s="200">
        <f t="shared" si="8170"/>
        <v>0</v>
      </c>
      <c r="AD1618" s="200">
        <f t="shared" si="11"/>
        <v>0</v>
      </c>
      <c r="AE1618" s="200">
        <f t="shared" ref="AE1618:AG1618" si="8171">countif($D1618,"*"&amp;AE$2&amp;"*")</f>
        <v>0</v>
      </c>
      <c r="AF1618" s="200">
        <f t="shared" si="8171"/>
        <v>0</v>
      </c>
      <c r="AG1618" s="200">
        <f t="shared" si="8171"/>
        <v>0</v>
      </c>
      <c r="AH1618" s="171">
        <f t="shared" si="13"/>
        <v>0</v>
      </c>
      <c r="AI1618" s="200">
        <f t="shared" si="14"/>
        <v>0</v>
      </c>
      <c r="AJ1618" s="200">
        <f t="shared" si="6100"/>
        <v>0</v>
      </c>
      <c r="AK1618" s="201">
        <f t="shared" ref="AK1618:AS1618" si="8172">countif($D1618,"*"&amp;AK$2&amp;"*")</f>
        <v>0</v>
      </c>
      <c r="AL1618" s="201">
        <f t="shared" si="8172"/>
        <v>0</v>
      </c>
      <c r="AM1618" s="201">
        <f t="shared" si="8172"/>
        <v>0</v>
      </c>
      <c r="AN1618" s="201">
        <f t="shared" si="8172"/>
        <v>0</v>
      </c>
      <c r="AO1618" s="201">
        <f t="shared" si="8172"/>
        <v>0</v>
      </c>
      <c r="AP1618" s="201">
        <f t="shared" si="8172"/>
        <v>0</v>
      </c>
      <c r="AQ1618" s="201">
        <f t="shared" si="8172"/>
        <v>0</v>
      </c>
      <c r="AR1618" s="200">
        <f t="shared" si="8172"/>
        <v>0</v>
      </c>
      <c r="AS1618" s="200">
        <f t="shared" si="8172"/>
        <v>0</v>
      </c>
      <c r="AT1618" s="173">
        <v>0.0</v>
      </c>
      <c r="AU1618" s="200">
        <f t="shared" si="6217"/>
        <v>0</v>
      </c>
      <c r="AV1618" s="200">
        <f t="shared" ref="AV1618:AX1618" si="8173">countif($D1618,"*"&amp;AV$2&amp;"*")</f>
        <v>1</v>
      </c>
      <c r="AW1618" s="200">
        <f t="shared" si="8173"/>
        <v>0</v>
      </c>
      <c r="AX1618" s="200">
        <f t="shared" si="8173"/>
        <v>0</v>
      </c>
      <c r="AY1618" s="202">
        <v>0.0</v>
      </c>
      <c r="AZ1618" s="200"/>
      <c r="BA1618" s="171" t="str">
        <f t="shared" si="18"/>
        <v/>
      </c>
      <c r="BB1618" s="171" t="str">
        <f t="shared" si="19"/>
        <v>Code</v>
      </c>
      <c r="BC1618" s="171" t="str">
        <f t="shared" si="20"/>
        <v/>
      </c>
      <c r="BD1618" s="171" t="str">
        <f t="shared" si="21"/>
        <v/>
      </c>
      <c r="BE1618" s="171" t="str">
        <f t="shared" si="22"/>
        <v/>
      </c>
      <c r="BF1618" s="171" t="str">
        <f t="shared" si="23"/>
        <v>Code</v>
      </c>
    </row>
    <row r="1619">
      <c r="A1619" s="213">
        <f t="array" ref="A1619">XLOOKUP(C1619,FSE!A:A,FSE!C:C,"XXXXX",0,1)</f>
        <v>2021</v>
      </c>
      <c r="B1619" s="213" t="s">
        <v>5676</v>
      </c>
      <c r="C1619" s="220">
        <v>314.0</v>
      </c>
      <c r="D1619" s="217" t="s">
        <v>6339</v>
      </c>
      <c r="E1619" s="221" t="str">
        <f t="array" ref="E1619">XLOOKUP(C1619,FSE!A:A,FSE!Z:Z,"XXXXX",0,1)</f>
        <v>Publicly Available (3)</v>
      </c>
      <c r="F1619" s="213" t="s">
        <v>3394</v>
      </c>
      <c r="G1619" s="163" t="str">
        <f t="array" ref="G1619">IF(B1619="ICSE",IF(COUNTIFS(B:B,B1619,C:C,C1619)=XLOOKUP(C1619,ICSE!A:A,ICSE!AA:AA,"ERROR",0,1),"OK","ERROR"),IF(B1619="FSE",IF(COUNTIFS(B:B,B1619,C:C,C1619)=XLOOKUP(C1619,FSE!A:A,FSE!AA:AA,"ERROR",0,1),"OK","ERROR")))</f>
        <v>OK</v>
      </c>
      <c r="H1619" s="199">
        <f t="shared" ref="H1619:O1619" si="8174">countif($D1619,"*"&amp;H$2&amp;"*")</f>
        <v>1</v>
      </c>
      <c r="I1619" s="200">
        <f t="shared" si="8174"/>
        <v>0</v>
      </c>
      <c r="J1619" s="200">
        <f t="shared" si="8174"/>
        <v>0</v>
      </c>
      <c r="K1619" s="200">
        <f t="shared" si="8174"/>
        <v>0</v>
      </c>
      <c r="L1619" s="200">
        <f t="shared" si="8174"/>
        <v>0</v>
      </c>
      <c r="M1619" s="200">
        <f t="shared" si="8174"/>
        <v>0</v>
      </c>
      <c r="N1619" s="200">
        <f t="shared" si="8174"/>
        <v>0</v>
      </c>
      <c r="O1619" s="200">
        <f t="shared" si="8174"/>
        <v>0</v>
      </c>
      <c r="P1619" s="200">
        <f t="shared" si="9"/>
        <v>0</v>
      </c>
      <c r="Q1619" s="200">
        <f t="shared" ref="Q1619:AC1619" si="8175">countif($D1619,"*"&amp;Q$2&amp;"*")</f>
        <v>0</v>
      </c>
      <c r="R1619" s="200">
        <f t="shared" si="8175"/>
        <v>0</v>
      </c>
      <c r="S1619" s="200">
        <f t="shared" si="8175"/>
        <v>0</v>
      </c>
      <c r="T1619" s="200">
        <f t="shared" si="8175"/>
        <v>0</v>
      </c>
      <c r="U1619" s="200">
        <f t="shared" si="8175"/>
        <v>0</v>
      </c>
      <c r="V1619" s="200">
        <f t="shared" si="8175"/>
        <v>0</v>
      </c>
      <c r="W1619" s="200">
        <f t="shared" si="8175"/>
        <v>0</v>
      </c>
      <c r="X1619" s="200">
        <f t="shared" si="8175"/>
        <v>0</v>
      </c>
      <c r="Y1619" s="200">
        <f t="shared" si="8175"/>
        <v>0</v>
      </c>
      <c r="Z1619" s="200">
        <f t="shared" si="8175"/>
        <v>0</v>
      </c>
      <c r="AA1619" s="200">
        <f t="shared" si="8175"/>
        <v>0</v>
      </c>
      <c r="AB1619" s="200">
        <f t="shared" si="8175"/>
        <v>0</v>
      </c>
      <c r="AC1619" s="200">
        <f t="shared" si="8175"/>
        <v>0</v>
      </c>
      <c r="AD1619" s="222">
        <f t="shared" si="11"/>
        <v>0</v>
      </c>
      <c r="AE1619" s="200">
        <f t="shared" ref="AE1619:AG1619" si="8176">countif($D1619,"*"&amp;AE$2&amp;"*")</f>
        <v>0</v>
      </c>
      <c r="AF1619" s="200">
        <f t="shared" si="8176"/>
        <v>0</v>
      </c>
      <c r="AG1619" s="200">
        <f t="shared" si="8176"/>
        <v>0</v>
      </c>
      <c r="AH1619" s="171">
        <f t="shared" si="13"/>
        <v>0</v>
      </c>
      <c r="AI1619" s="200">
        <f t="shared" si="14"/>
        <v>1</v>
      </c>
      <c r="AJ1619" s="200">
        <f t="shared" si="6100"/>
        <v>0</v>
      </c>
      <c r="AK1619" s="201">
        <f t="shared" ref="AK1619:AS1619" si="8177">countif($D1619,"*"&amp;AK$2&amp;"*")</f>
        <v>0</v>
      </c>
      <c r="AL1619" s="201">
        <f t="shared" si="8177"/>
        <v>0</v>
      </c>
      <c r="AM1619" s="201">
        <f t="shared" si="8177"/>
        <v>0</v>
      </c>
      <c r="AN1619" s="201">
        <f t="shared" si="8177"/>
        <v>0</v>
      </c>
      <c r="AO1619" s="201">
        <f t="shared" si="8177"/>
        <v>0</v>
      </c>
      <c r="AP1619" s="201">
        <f t="shared" si="8177"/>
        <v>0</v>
      </c>
      <c r="AQ1619" s="201">
        <f t="shared" si="8177"/>
        <v>0</v>
      </c>
      <c r="AR1619" s="222">
        <f t="shared" si="8177"/>
        <v>0</v>
      </c>
      <c r="AS1619" s="200">
        <f t="shared" si="8177"/>
        <v>0</v>
      </c>
      <c r="AT1619" s="223">
        <v>0.0</v>
      </c>
      <c r="AU1619" s="200">
        <f t="shared" si="6217"/>
        <v>0</v>
      </c>
      <c r="AV1619" s="200">
        <f t="shared" ref="AV1619:AX1619" si="8178">countif($D1619,"*"&amp;AV$2&amp;"*")</f>
        <v>0</v>
      </c>
      <c r="AW1619" s="200">
        <f t="shared" si="8178"/>
        <v>0</v>
      </c>
      <c r="AX1619" s="200">
        <f t="shared" si="8178"/>
        <v>1</v>
      </c>
      <c r="AY1619" s="202">
        <v>0.0</v>
      </c>
      <c r="AZ1619" s="200"/>
      <c r="BA1619" s="171" t="str">
        <f t="shared" si="18"/>
        <v>Archival</v>
      </c>
      <c r="BB1619" s="171" t="str">
        <f t="shared" si="19"/>
        <v/>
      </c>
      <c r="BC1619" s="171" t="str">
        <f t="shared" si="20"/>
        <v/>
      </c>
      <c r="BD1619" s="171" t="str">
        <f t="shared" si="21"/>
        <v/>
      </c>
      <c r="BE1619" s="171" t="str">
        <f t="shared" si="22"/>
        <v/>
      </c>
      <c r="BF1619" s="171" t="str">
        <f t="shared" si="23"/>
        <v>Archival</v>
      </c>
    </row>
    <row r="1620">
      <c r="A1620" s="213">
        <f t="array" ref="A1620">XLOOKUP(C1620,FSE!A:A,FSE!C:C,"XXXXX",0,1)</f>
        <v>2021</v>
      </c>
      <c r="B1620" s="213" t="s">
        <v>5676</v>
      </c>
      <c r="C1620" s="220">
        <v>314.0</v>
      </c>
      <c r="D1620" s="217" t="s">
        <v>6340</v>
      </c>
      <c r="E1620" s="221" t="str">
        <f t="array" ref="E1620">XLOOKUP(C1620,FSE!A:A,FSE!Z:Z,"XXXXX",0,1)</f>
        <v>Publicly Available (3)</v>
      </c>
      <c r="F1620" s="213" t="s">
        <v>3394</v>
      </c>
      <c r="G1620" s="163" t="str">
        <f t="array" ref="G1620">IF(B1620="ICSE",IF(COUNTIFS(B:B,B1620,C:C,C1620)=XLOOKUP(C1620,ICSE!A:A,ICSE!AA:AA,"ERROR",0,1),"OK","ERROR"),IF(B1620="FSE",IF(COUNTIFS(B:B,B1620,C:C,C1620)=XLOOKUP(C1620,FSE!A:A,FSE!AA:AA,"ERROR",0,1),"OK","ERROR")))</f>
        <v>OK</v>
      </c>
      <c r="H1620" s="199">
        <f t="shared" ref="H1620:O1620" si="8179">countif($D1620,"*"&amp;H$2&amp;"*")</f>
        <v>1</v>
      </c>
      <c r="I1620" s="200">
        <f t="shared" si="8179"/>
        <v>0</v>
      </c>
      <c r="J1620" s="200">
        <f t="shared" si="8179"/>
        <v>0</v>
      </c>
      <c r="K1620" s="200">
        <f t="shared" si="8179"/>
        <v>0</v>
      </c>
      <c r="L1620" s="200">
        <f t="shared" si="8179"/>
        <v>0</v>
      </c>
      <c r="M1620" s="200">
        <f t="shared" si="8179"/>
        <v>0</v>
      </c>
      <c r="N1620" s="200">
        <f t="shared" si="8179"/>
        <v>0</v>
      </c>
      <c r="O1620" s="200">
        <f t="shared" si="8179"/>
        <v>0</v>
      </c>
      <c r="P1620" s="200">
        <f t="shared" si="9"/>
        <v>0</v>
      </c>
      <c r="Q1620" s="200">
        <f t="shared" ref="Q1620:AC1620" si="8180">countif($D1620,"*"&amp;Q$2&amp;"*")</f>
        <v>0</v>
      </c>
      <c r="R1620" s="200">
        <f t="shared" si="8180"/>
        <v>0</v>
      </c>
      <c r="S1620" s="200">
        <f t="shared" si="8180"/>
        <v>0</v>
      </c>
      <c r="T1620" s="200">
        <f t="shared" si="8180"/>
        <v>0</v>
      </c>
      <c r="U1620" s="200">
        <f t="shared" si="8180"/>
        <v>0</v>
      </c>
      <c r="V1620" s="200">
        <f t="shared" si="8180"/>
        <v>0</v>
      </c>
      <c r="W1620" s="200">
        <f t="shared" si="8180"/>
        <v>0</v>
      </c>
      <c r="X1620" s="200">
        <f t="shared" si="8180"/>
        <v>0</v>
      </c>
      <c r="Y1620" s="200">
        <f t="shared" si="8180"/>
        <v>0</v>
      </c>
      <c r="Z1620" s="200">
        <f t="shared" si="8180"/>
        <v>0</v>
      </c>
      <c r="AA1620" s="200">
        <f t="shared" si="8180"/>
        <v>0</v>
      </c>
      <c r="AB1620" s="200">
        <f t="shared" si="8180"/>
        <v>0</v>
      </c>
      <c r="AC1620" s="200">
        <f t="shared" si="8180"/>
        <v>0</v>
      </c>
      <c r="AD1620" s="222">
        <f t="shared" si="11"/>
        <v>0</v>
      </c>
      <c r="AE1620" s="200">
        <f t="shared" ref="AE1620:AG1620" si="8181">countif($D1620,"*"&amp;AE$2&amp;"*")</f>
        <v>0</v>
      </c>
      <c r="AF1620" s="200">
        <f t="shared" si="8181"/>
        <v>0</v>
      </c>
      <c r="AG1620" s="200">
        <f t="shared" si="8181"/>
        <v>0</v>
      </c>
      <c r="AH1620" s="171">
        <f t="shared" si="13"/>
        <v>0</v>
      </c>
      <c r="AI1620" s="200">
        <f t="shared" si="14"/>
        <v>1</v>
      </c>
      <c r="AJ1620" s="200">
        <f t="shared" si="6100"/>
        <v>0</v>
      </c>
      <c r="AK1620" s="201">
        <f t="shared" ref="AK1620:AS1620" si="8182">countif($D1620,"*"&amp;AK$2&amp;"*")</f>
        <v>0</v>
      </c>
      <c r="AL1620" s="201">
        <f t="shared" si="8182"/>
        <v>0</v>
      </c>
      <c r="AM1620" s="201">
        <f t="shared" si="8182"/>
        <v>0</v>
      </c>
      <c r="AN1620" s="201">
        <f t="shared" si="8182"/>
        <v>0</v>
      </c>
      <c r="AO1620" s="201">
        <f t="shared" si="8182"/>
        <v>0</v>
      </c>
      <c r="AP1620" s="201">
        <f t="shared" si="8182"/>
        <v>0</v>
      </c>
      <c r="AQ1620" s="201">
        <f t="shared" si="8182"/>
        <v>0</v>
      </c>
      <c r="AR1620" s="222">
        <f t="shared" si="8182"/>
        <v>0</v>
      </c>
      <c r="AS1620" s="200">
        <f t="shared" si="8182"/>
        <v>0</v>
      </c>
      <c r="AT1620" s="223">
        <v>0.0</v>
      </c>
      <c r="AU1620" s="200">
        <f t="shared" si="6217"/>
        <v>0</v>
      </c>
      <c r="AV1620" s="200">
        <f t="shared" ref="AV1620:AX1620" si="8183">countif($D1620,"*"&amp;AV$2&amp;"*")</f>
        <v>0</v>
      </c>
      <c r="AW1620" s="200">
        <f t="shared" si="8183"/>
        <v>0</v>
      </c>
      <c r="AX1620" s="200">
        <f t="shared" si="8183"/>
        <v>1</v>
      </c>
      <c r="AY1620" s="202">
        <v>0.0</v>
      </c>
      <c r="AZ1620" s="200"/>
      <c r="BA1620" s="171" t="str">
        <f t="shared" si="18"/>
        <v>Archival</v>
      </c>
      <c r="BB1620" s="171" t="str">
        <f t="shared" si="19"/>
        <v/>
      </c>
      <c r="BC1620" s="171" t="str">
        <f t="shared" si="20"/>
        <v/>
      </c>
      <c r="BD1620" s="171" t="str">
        <f t="shared" si="21"/>
        <v/>
      </c>
      <c r="BE1620" s="171" t="str">
        <f t="shared" si="22"/>
        <v/>
      </c>
      <c r="BF1620" s="171" t="str">
        <f t="shared" si="23"/>
        <v>Archival</v>
      </c>
    </row>
    <row r="1621">
      <c r="A1621" s="171">
        <f t="array" ref="A1621">XLOOKUP(C1621,FSE!A:A,FSE!C:C,"XXXXX",0,1)</f>
        <v>2021</v>
      </c>
      <c r="B1621" s="213" t="s">
        <v>5676</v>
      </c>
      <c r="C1621" s="214">
        <v>315.0</v>
      </c>
      <c r="D1621" s="215" t="s">
        <v>4999</v>
      </c>
      <c r="E1621" s="197" t="str">
        <f t="array" ref="E1621">XLOOKUP(C1621,FSE!A:A,FSE!Z:Z,"XXXXX",0,1)</f>
        <v>Publicly Available (1)</v>
      </c>
      <c r="F1621" s="213" t="s">
        <v>3394</v>
      </c>
      <c r="G1621" s="163" t="str">
        <f t="array" ref="G1621">IF(B1621="ICSE",IF(COUNTIFS(B:B,B1621,C:C,C1621)=XLOOKUP(C1621,ICSE!A:A,ICSE!AA:AA,"ERROR",0,1),"OK","ERROR"),IF(B1621="FSE",IF(COUNTIFS(B:B,B1621,C:C,C1621)=XLOOKUP(C1621,FSE!A:A,FSE!AA:AA,"ERROR",0,1),"OK","ERROR")))</f>
        <v>OK</v>
      </c>
      <c r="H1621" s="199">
        <f t="shared" ref="H1621:O1621" si="8184">countif($D1621,"*"&amp;H$2&amp;"*")</f>
        <v>0</v>
      </c>
      <c r="I1621" s="200">
        <f t="shared" si="8184"/>
        <v>0</v>
      </c>
      <c r="J1621" s="200">
        <f t="shared" si="8184"/>
        <v>0</v>
      </c>
      <c r="K1621" s="200">
        <f t="shared" si="8184"/>
        <v>0</v>
      </c>
      <c r="L1621" s="200">
        <f t="shared" si="8184"/>
        <v>0</v>
      </c>
      <c r="M1621" s="200">
        <f t="shared" si="8184"/>
        <v>0</v>
      </c>
      <c r="N1621" s="200">
        <f t="shared" si="8184"/>
        <v>0</v>
      </c>
      <c r="O1621" s="200">
        <f t="shared" si="8184"/>
        <v>0</v>
      </c>
      <c r="P1621" s="200">
        <f t="shared" si="9"/>
        <v>1</v>
      </c>
      <c r="Q1621" s="200">
        <f t="shared" ref="Q1621:AC1621" si="8185">countif($D1621,"*"&amp;Q$2&amp;"*")</f>
        <v>0</v>
      </c>
      <c r="R1621" s="200">
        <f t="shared" si="8185"/>
        <v>0</v>
      </c>
      <c r="S1621" s="200">
        <f t="shared" si="8185"/>
        <v>0</v>
      </c>
      <c r="T1621" s="200">
        <f t="shared" si="8185"/>
        <v>0</v>
      </c>
      <c r="U1621" s="200">
        <f t="shared" si="8185"/>
        <v>0</v>
      </c>
      <c r="V1621" s="200">
        <f t="shared" si="8185"/>
        <v>0</v>
      </c>
      <c r="W1621" s="200">
        <f t="shared" si="8185"/>
        <v>0</v>
      </c>
      <c r="X1621" s="200">
        <f t="shared" si="8185"/>
        <v>0</v>
      </c>
      <c r="Y1621" s="200">
        <f t="shared" si="8185"/>
        <v>0</v>
      </c>
      <c r="Z1621" s="200">
        <f t="shared" si="8185"/>
        <v>0</v>
      </c>
      <c r="AA1621" s="200">
        <f t="shared" si="8185"/>
        <v>0</v>
      </c>
      <c r="AB1621" s="200">
        <f t="shared" si="8185"/>
        <v>0</v>
      </c>
      <c r="AC1621" s="200">
        <f t="shared" si="8185"/>
        <v>0</v>
      </c>
      <c r="AD1621" s="200">
        <f t="shared" si="11"/>
        <v>0</v>
      </c>
      <c r="AE1621" s="200">
        <f t="shared" ref="AE1621:AG1621" si="8186">countif($D1621,"*"&amp;AE$2&amp;"*")</f>
        <v>0</v>
      </c>
      <c r="AF1621" s="200">
        <f t="shared" si="8186"/>
        <v>0</v>
      </c>
      <c r="AG1621" s="200">
        <f t="shared" si="8186"/>
        <v>0</v>
      </c>
      <c r="AH1621" s="171">
        <f t="shared" si="13"/>
        <v>0</v>
      </c>
      <c r="AI1621" s="200">
        <f t="shared" si="14"/>
        <v>0</v>
      </c>
      <c r="AJ1621" s="200">
        <f t="shared" si="6100"/>
        <v>0</v>
      </c>
      <c r="AK1621" s="201">
        <f t="shared" ref="AK1621:AS1621" si="8187">countif($D1621,"*"&amp;AK$2&amp;"*")</f>
        <v>0</v>
      </c>
      <c r="AL1621" s="201">
        <f t="shared" si="8187"/>
        <v>0</v>
      </c>
      <c r="AM1621" s="201">
        <f t="shared" si="8187"/>
        <v>0</v>
      </c>
      <c r="AN1621" s="201">
        <f t="shared" si="8187"/>
        <v>0</v>
      </c>
      <c r="AO1621" s="201">
        <f t="shared" si="8187"/>
        <v>0</v>
      </c>
      <c r="AP1621" s="201">
        <f t="shared" si="8187"/>
        <v>0</v>
      </c>
      <c r="AQ1621" s="201">
        <f t="shared" si="8187"/>
        <v>0</v>
      </c>
      <c r="AR1621" s="200">
        <f t="shared" si="8187"/>
        <v>0</v>
      </c>
      <c r="AS1621" s="200">
        <f t="shared" si="8187"/>
        <v>0</v>
      </c>
      <c r="AT1621" s="173">
        <v>0.0</v>
      </c>
      <c r="AU1621" s="200">
        <f t="shared" si="6217"/>
        <v>0</v>
      </c>
      <c r="AV1621" s="200">
        <f t="shared" ref="AV1621:AX1621" si="8188">countif($D1621,"*"&amp;AV$2&amp;"*")</f>
        <v>1</v>
      </c>
      <c r="AW1621" s="200">
        <f t="shared" si="8188"/>
        <v>0</v>
      </c>
      <c r="AX1621" s="200">
        <f t="shared" si="8188"/>
        <v>0</v>
      </c>
      <c r="AY1621" s="202">
        <v>0.0</v>
      </c>
      <c r="AZ1621" s="200"/>
      <c r="BA1621" s="171" t="str">
        <f t="shared" si="18"/>
        <v/>
      </c>
      <c r="BB1621" s="171" t="str">
        <f t="shared" si="19"/>
        <v>Code</v>
      </c>
      <c r="BC1621" s="171" t="str">
        <f t="shared" si="20"/>
        <v/>
      </c>
      <c r="BD1621" s="171" t="str">
        <f t="shared" si="21"/>
        <v/>
      </c>
      <c r="BE1621" s="171" t="str">
        <f t="shared" si="22"/>
        <v/>
      </c>
      <c r="BF1621" s="171" t="str">
        <f t="shared" si="23"/>
        <v>Code</v>
      </c>
    </row>
    <row r="1622">
      <c r="A1622" s="171">
        <f t="array" ref="A1622">XLOOKUP(C1622,FSE!A:A,FSE!C:C,"XXXXX",0,1)</f>
        <v>2021</v>
      </c>
      <c r="B1622" s="213" t="s">
        <v>5676</v>
      </c>
      <c r="C1622" s="214">
        <v>317.0</v>
      </c>
      <c r="D1622" s="215" t="s">
        <v>6341</v>
      </c>
      <c r="E1622" s="197" t="str">
        <f t="array" ref="E1622">XLOOKUP(C1622,FSE!A:A,FSE!Z:Z,"XXXXX",0,1)</f>
        <v>Publicly Available (2)</v>
      </c>
      <c r="F1622" s="213" t="s">
        <v>3394</v>
      </c>
      <c r="G1622" s="163" t="str">
        <f t="array" ref="G1622">IF(B1622="ICSE",IF(COUNTIFS(B:B,B1622,C:C,C1622)=XLOOKUP(C1622,ICSE!A:A,ICSE!AA:AA,"ERROR",0,1),"OK","ERROR"),IF(B1622="FSE",IF(COUNTIFS(B:B,B1622,C:C,C1622)=XLOOKUP(C1622,FSE!A:A,FSE!AA:AA,"ERROR",0,1),"OK","ERROR")))</f>
        <v>OK</v>
      </c>
      <c r="H1622" s="199">
        <f t="shared" ref="H1622:O1622" si="8189">countif($D1622,"*"&amp;H$2&amp;"*")</f>
        <v>0</v>
      </c>
      <c r="I1622" s="200">
        <f t="shared" si="8189"/>
        <v>0</v>
      </c>
      <c r="J1622" s="200">
        <f t="shared" si="8189"/>
        <v>0</v>
      </c>
      <c r="K1622" s="200">
        <f t="shared" si="8189"/>
        <v>0</v>
      </c>
      <c r="L1622" s="200">
        <f t="shared" si="8189"/>
        <v>0</v>
      </c>
      <c r="M1622" s="200">
        <f t="shared" si="8189"/>
        <v>0</v>
      </c>
      <c r="N1622" s="200">
        <f t="shared" si="8189"/>
        <v>0</v>
      </c>
      <c r="O1622" s="200">
        <f t="shared" si="8189"/>
        <v>0</v>
      </c>
      <c r="P1622" s="200">
        <f t="shared" si="9"/>
        <v>1</v>
      </c>
      <c r="Q1622" s="200">
        <f t="shared" ref="Q1622:AC1622" si="8190">countif($D1622,"*"&amp;Q$2&amp;"*")</f>
        <v>0</v>
      </c>
      <c r="R1622" s="200">
        <f t="shared" si="8190"/>
        <v>0</v>
      </c>
      <c r="S1622" s="200">
        <f t="shared" si="8190"/>
        <v>0</v>
      </c>
      <c r="T1622" s="200">
        <f t="shared" si="8190"/>
        <v>0</v>
      </c>
      <c r="U1622" s="200">
        <f t="shared" si="8190"/>
        <v>0</v>
      </c>
      <c r="V1622" s="200">
        <f t="shared" si="8190"/>
        <v>0</v>
      </c>
      <c r="W1622" s="200">
        <f t="shared" si="8190"/>
        <v>0</v>
      </c>
      <c r="X1622" s="200">
        <f t="shared" si="8190"/>
        <v>0</v>
      </c>
      <c r="Y1622" s="200">
        <f t="shared" si="8190"/>
        <v>0</v>
      </c>
      <c r="Z1622" s="200">
        <f t="shared" si="8190"/>
        <v>0</v>
      </c>
      <c r="AA1622" s="200">
        <f t="shared" si="8190"/>
        <v>0</v>
      </c>
      <c r="AB1622" s="200">
        <f t="shared" si="8190"/>
        <v>0</v>
      </c>
      <c r="AC1622" s="200">
        <f t="shared" si="8190"/>
        <v>0</v>
      </c>
      <c r="AD1622" s="200">
        <f t="shared" si="11"/>
        <v>0</v>
      </c>
      <c r="AE1622" s="200">
        <f t="shared" ref="AE1622:AG1622" si="8191">countif($D1622,"*"&amp;AE$2&amp;"*")</f>
        <v>0</v>
      </c>
      <c r="AF1622" s="200">
        <f t="shared" si="8191"/>
        <v>0</v>
      </c>
      <c r="AG1622" s="200">
        <f t="shared" si="8191"/>
        <v>0</v>
      </c>
      <c r="AH1622" s="171">
        <f t="shared" si="13"/>
        <v>0</v>
      </c>
      <c r="AI1622" s="200">
        <f t="shared" si="14"/>
        <v>0</v>
      </c>
      <c r="AJ1622" s="200">
        <f t="shared" si="6100"/>
        <v>0</v>
      </c>
      <c r="AK1622" s="201">
        <f t="shared" ref="AK1622:AS1622" si="8192">countif($D1622,"*"&amp;AK$2&amp;"*")</f>
        <v>0</v>
      </c>
      <c r="AL1622" s="201">
        <f t="shared" si="8192"/>
        <v>0</v>
      </c>
      <c r="AM1622" s="201">
        <f t="shared" si="8192"/>
        <v>0</v>
      </c>
      <c r="AN1622" s="201">
        <f t="shared" si="8192"/>
        <v>0</v>
      </c>
      <c r="AO1622" s="201">
        <f t="shared" si="8192"/>
        <v>0</v>
      </c>
      <c r="AP1622" s="201">
        <f t="shared" si="8192"/>
        <v>0</v>
      </c>
      <c r="AQ1622" s="201">
        <f t="shared" si="8192"/>
        <v>0</v>
      </c>
      <c r="AR1622" s="200">
        <f t="shared" si="8192"/>
        <v>0</v>
      </c>
      <c r="AS1622" s="200">
        <f t="shared" si="8192"/>
        <v>0</v>
      </c>
      <c r="AT1622" s="173">
        <v>0.0</v>
      </c>
      <c r="AU1622" s="200">
        <f t="shared" si="6217"/>
        <v>0</v>
      </c>
      <c r="AV1622" s="200">
        <f t="shared" ref="AV1622:AX1622" si="8193">countif($D1622,"*"&amp;AV$2&amp;"*")</f>
        <v>1</v>
      </c>
      <c r="AW1622" s="200">
        <f t="shared" si="8193"/>
        <v>0</v>
      </c>
      <c r="AX1622" s="200">
        <f t="shared" si="8193"/>
        <v>0</v>
      </c>
      <c r="AY1622" s="202">
        <v>0.0</v>
      </c>
      <c r="AZ1622" s="200"/>
      <c r="BA1622" s="171" t="str">
        <f t="shared" si="18"/>
        <v/>
      </c>
      <c r="BB1622" s="171" t="str">
        <f t="shared" si="19"/>
        <v>Code</v>
      </c>
      <c r="BC1622" s="171" t="str">
        <f t="shared" si="20"/>
        <v/>
      </c>
      <c r="BD1622" s="171" t="str">
        <f t="shared" si="21"/>
        <v/>
      </c>
      <c r="BE1622" s="171" t="str">
        <f t="shared" si="22"/>
        <v/>
      </c>
      <c r="BF1622" s="171" t="str">
        <f t="shared" si="23"/>
        <v>Code</v>
      </c>
    </row>
    <row r="1623">
      <c r="A1623" s="213">
        <f t="array" ref="A1623">XLOOKUP(C1623,FSE!A:A,FSE!C:C,"XXXXX",0,1)</f>
        <v>2021</v>
      </c>
      <c r="B1623" s="213" t="s">
        <v>5676</v>
      </c>
      <c r="C1623" s="220">
        <v>317.0</v>
      </c>
      <c r="D1623" s="217" t="s">
        <v>6342</v>
      </c>
      <c r="E1623" s="221" t="str">
        <f t="array" ref="E1623">XLOOKUP(C1623,FSE!A:A,FSE!Z:Z,"XXXXX",0,1)</f>
        <v>Publicly Available (2)</v>
      </c>
      <c r="F1623" s="213" t="s">
        <v>3394</v>
      </c>
      <c r="G1623" s="163" t="str">
        <f t="array" ref="G1623">IF(B1623="ICSE",IF(COUNTIFS(B:B,B1623,C:C,C1623)=XLOOKUP(C1623,ICSE!A:A,ICSE!AA:AA,"ERROR",0,1),"OK","ERROR"),IF(B1623="FSE",IF(COUNTIFS(B:B,B1623,C:C,C1623)=XLOOKUP(C1623,FSE!A:A,FSE!AA:AA,"ERROR",0,1),"OK","ERROR")))</f>
        <v>OK</v>
      </c>
      <c r="H1623" s="199">
        <f t="shared" ref="H1623:O1623" si="8194">countif($D1623,"*"&amp;H$2&amp;"*")</f>
        <v>0</v>
      </c>
      <c r="I1623" s="200">
        <f t="shared" si="8194"/>
        <v>0</v>
      </c>
      <c r="J1623" s="200">
        <f t="shared" si="8194"/>
        <v>1</v>
      </c>
      <c r="K1623" s="200">
        <f t="shared" si="8194"/>
        <v>0</v>
      </c>
      <c r="L1623" s="200">
        <f t="shared" si="8194"/>
        <v>0</v>
      </c>
      <c r="M1623" s="200">
        <f t="shared" si="8194"/>
        <v>0</v>
      </c>
      <c r="N1623" s="200">
        <f t="shared" si="8194"/>
        <v>0</v>
      </c>
      <c r="O1623" s="200">
        <f t="shared" si="8194"/>
        <v>0</v>
      </c>
      <c r="P1623" s="200">
        <f t="shared" si="9"/>
        <v>0</v>
      </c>
      <c r="Q1623" s="200">
        <f t="shared" ref="Q1623:AC1623" si="8195">countif($D1623,"*"&amp;Q$2&amp;"*")</f>
        <v>0</v>
      </c>
      <c r="R1623" s="200">
        <f t="shared" si="8195"/>
        <v>0</v>
      </c>
      <c r="S1623" s="200">
        <f t="shared" si="8195"/>
        <v>0</v>
      </c>
      <c r="T1623" s="200">
        <f t="shared" si="8195"/>
        <v>0</v>
      </c>
      <c r="U1623" s="200">
        <f t="shared" si="8195"/>
        <v>0</v>
      </c>
      <c r="V1623" s="200">
        <f t="shared" si="8195"/>
        <v>0</v>
      </c>
      <c r="W1623" s="200">
        <f t="shared" si="8195"/>
        <v>0</v>
      </c>
      <c r="X1623" s="200">
        <f t="shared" si="8195"/>
        <v>0</v>
      </c>
      <c r="Y1623" s="200">
        <f t="shared" si="8195"/>
        <v>0</v>
      </c>
      <c r="Z1623" s="200">
        <f t="shared" si="8195"/>
        <v>0</v>
      </c>
      <c r="AA1623" s="200">
        <f t="shared" si="8195"/>
        <v>0</v>
      </c>
      <c r="AB1623" s="200">
        <f t="shared" si="8195"/>
        <v>0</v>
      </c>
      <c r="AC1623" s="200">
        <f t="shared" si="8195"/>
        <v>0</v>
      </c>
      <c r="AD1623" s="222">
        <f t="shared" si="11"/>
        <v>0</v>
      </c>
      <c r="AE1623" s="200">
        <f t="shared" ref="AE1623:AG1623" si="8196">countif($D1623,"*"&amp;AE$2&amp;"*")</f>
        <v>0</v>
      </c>
      <c r="AF1623" s="200">
        <f t="shared" si="8196"/>
        <v>0</v>
      </c>
      <c r="AG1623" s="200">
        <f t="shared" si="8196"/>
        <v>0</v>
      </c>
      <c r="AH1623" s="171">
        <f t="shared" si="13"/>
        <v>0</v>
      </c>
      <c r="AI1623" s="200">
        <f t="shared" si="14"/>
        <v>0</v>
      </c>
      <c r="AJ1623" s="200">
        <f t="shared" si="6100"/>
        <v>0</v>
      </c>
      <c r="AK1623" s="201">
        <f t="shared" ref="AK1623:AS1623" si="8197">countif($D1623,"*"&amp;AK$2&amp;"*")</f>
        <v>0</v>
      </c>
      <c r="AL1623" s="201">
        <f t="shared" si="8197"/>
        <v>0</v>
      </c>
      <c r="AM1623" s="201">
        <f t="shared" si="8197"/>
        <v>0</v>
      </c>
      <c r="AN1623" s="201">
        <f t="shared" si="8197"/>
        <v>0</v>
      </c>
      <c r="AO1623" s="201">
        <f t="shared" si="8197"/>
        <v>0</v>
      </c>
      <c r="AP1623" s="201">
        <f t="shared" si="8197"/>
        <v>0</v>
      </c>
      <c r="AQ1623" s="201">
        <f t="shared" si="8197"/>
        <v>0</v>
      </c>
      <c r="AR1623" s="222">
        <f t="shared" si="8197"/>
        <v>0</v>
      </c>
      <c r="AS1623" s="200">
        <f t="shared" si="8197"/>
        <v>0</v>
      </c>
      <c r="AT1623" s="223">
        <v>0.0</v>
      </c>
      <c r="AU1623" s="200">
        <f t="shared" si="6217"/>
        <v>0</v>
      </c>
      <c r="AV1623" s="200">
        <f t="shared" ref="AV1623:AX1623" si="8198">countif($D1623,"*"&amp;AV$2&amp;"*")</f>
        <v>0</v>
      </c>
      <c r="AW1623" s="200">
        <f t="shared" si="8198"/>
        <v>0</v>
      </c>
      <c r="AX1623" s="200">
        <f t="shared" si="8198"/>
        <v>0</v>
      </c>
      <c r="AY1623" s="202">
        <v>0.0</v>
      </c>
      <c r="AZ1623" s="200"/>
      <c r="BA1623" s="171" t="str">
        <f t="shared" si="18"/>
        <v>Archival</v>
      </c>
      <c r="BB1623" s="171" t="str">
        <f t="shared" si="19"/>
        <v/>
      </c>
      <c r="BC1623" s="171" t="str">
        <f t="shared" si="20"/>
        <v/>
      </c>
      <c r="BD1623" s="171" t="str">
        <f t="shared" si="21"/>
        <v/>
      </c>
      <c r="BE1623" s="171" t="str">
        <f t="shared" si="22"/>
        <v/>
      </c>
      <c r="BF1623" s="171" t="str">
        <f t="shared" si="23"/>
        <v>Archival</v>
      </c>
    </row>
    <row r="1624">
      <c r="A1624" s="171">
        <f t="array" ref="A1624">XLOOKUP(C1624,FSE!A:A,FSE!C:C,"XXXXX",0,1)</f>
        <v>2021</v>
      </c>
      <c r="B1624" s="213" t="s">
        <v>5676</v>
      </c>
      <c r="C1624" s="214">
        <v>320.0</v>
      </c>
      <c r="D1624" s="215" t="s">
        <v>6343</v>
      </c>
      <c r="E1624" s="197" t="str">
        <f t="array" ref="E1624">XLOOKUP(C1624,FSE!A:A,FSE!Z:Z,"XXXXX",0,1)</f>
        <v>Publicly Available (3)</v>
      </c>
      <c r="F1624" s="213" t="s">
        <v>3394</v>
      </c>
      <c r="G1624" s="163" t="str">
        <f t="array" ref="G1624">IF(B1624="ICSE",IF(COUNTIFS(B:B,B1624,C:C,C1624)=XLOOKUP(C1624,ICSE!A:A,ICSE!AA:AA,"ERROR",0,1),"OK","ERROR"),IF(B1624="FSE",IF(COUNTIFS(B:B,B1624,C:C,C1624)=XLOOKUP(C1624,FSE!A:A,FSE!AA:AA,"ERROR",0,1),"OK","ERROR")))</f>
        <v>OK</v>
      </c>
      <c r="H1624" s="199">
        <f t="shared" ref="H1624:O1624" si="8199">countif($D1624,"*"&amp;H$2&amp;"*")</f>
        <v>0</v>
      </c>
      <c r="I1624" s="200">
        <f t="shared" si="8199"/>
        <v>0</v>
      </c>
      <c r="J1624" s="200">
        <f t="shared" si="8199"/>
        <v>0</v>
      </c>
      <c r="K1624" s="200">
        <f t="shared" si="8199"/>
        <v>0</v>
      </c>
      <c r="L1624" s="200">
        <f t="shared" si="8199"/>
        <v>0</v>
      </c>
      <c r="M1624" s="200">
        <f t="shared" si="8199"/>
        <v>0</v>
      </c>
      <c r="N1624" s="200">
        <f t="shared" si="8199"/>
        <v>0</v>
      </c>
      <c r="O1624" s="200">
        <f t="shared" si="8199"/>
        <v>0</v>
      </c>
      <c r="P1624" s="200">
        <f t="shared" si="9"/>
        <v>1</v>
      </c>
      <c r="Q1624" s="200">
        <f t="shared" ref="Q1624:AC1624" si="8200">countif($D1624,"*"&amp;Q$2&amp;"*")</f>
        <v>0</v>
      </c>
      <c r="R1624" s="200">
        <f t="shared" si="8200"/>
        <v>0</v>
      </c>
      <c r="S1624" s="200">
        <f t="shared" si="8200"/>
        <v>0</v>
      </c>
      <c r="T1624" s="200">
        <f t="shared" si="8200"/>
        <v>0</v>
      </c>
      <c r="U1624" s="200">
        <f t="shared" si="8200"/>
        <v>0</v>
      </c>
      <c r="V1624" s="200">
        <f t="shared" si="8200"/>
        <v>0</v>
      </c>
      <c r="W1624" s="200">
        <f t="shared" si="8200"/>
        <v>0</v>
      </c>
      <c r="X1624" s="200">
        <f t="shared" si="8200"/>
        <v>0</v>
      </c>
      <c r="Y1624" s="200">
        <f t="shared" si="8200"/>
        <v>0</v>
      </c>
      <c r="Z1624" s="200">
        <f t="shared" si="8200"/>
        <v>0</v>
      </c>
      <c r="AA1624" s="200">
        <f t="shared" si="8200"/>
        <v>0</v>
      </c>
      <c r="AB1624" s="200">
        <f t="shared" si="8200"/>
        <v>0</v>
      </c>
      <c r="AC1624" s="200">
        <f t="shared" si="8200"/>
        <v>0</v>
      </c>
      <c r="AD1624" s="200">
        <f t="shared" si="11"/>
        <v>0</v>
      </c>
      <c r="AE1624" s="200">
        <f t="shared" ref="AE1624:AG1624" si="8201">countif($D1624,"*"&amp;AE$2&amp;"*")</f>
        <v>0</v>
      </c>
      <c r="AF1624" s="200">
        <f t="shared" si="8201"/>
        <v>0</v>
      </c>
      <c r="AG1624" s="200">
        <f t="shared" si="8201"/>
        <v>0</v>
      </c>
      <c r="AH1624" s="171">
        <f t="shared" si="13"/>
        <v>0</v>
      </c>
      <c r="AI1624" s="200">
        <f t="shared" si="14"/>
        <v>0</v>
      </c>
      <c r="AJ1624" s="200">
        <f t="shared" si="6100"/>
        <v>0</v>
      </c>
      <c r="AK1624" s="201">
        <f t="shared" ref="AK1624:AS1624" si="8202">countif($D1624,"*"&amp;AK$2&amp;"*")</f>
        <v>0</v>
      </c>
      <c r="AL1624" s="201">
        <f t="shared" si="8202"/>
        <v>0</v>
      </c>
      <c r="AM1624" s="201">
        <f t="shared" si="8202"/>
        <v>0</v>
      </c>
      <c r="AN1624" s="201">
        <f t="shared" si="8202"/>
        <v>0</v>
      </c>
      <c r="AO1624" s="201">
        <f t="shared" si="8202"/>
        <v>0</v>
      </c>
      <c r="AP1624" s="201">
        <f t="shared" si="8202"/>
        <v>0</v>
      </c>
      <c r="AQ1624" s="201">
        <f t="shared" si="8202"/>
        <v>0</v>
      </c>
      <c r="AR1624" s="200">
        <f t="shared" si="8202"/>
        <v>0</v>
      </c>
      <c r="AS1624" s="200">
        <f t="shared" si="8202"/>
        <v>0</v>
      </c>
      <c r="AT1624" s="173">
        <v>0.0</v>
      </c>
      <c r="AU1624" s="200">
        <f t="shared" si="6217"/>
        <v>0</v>
      </c>
      <c r="AV1624" s="200">
        <f t="shared" ref="AV1624:AX1624" si="8203">countif($D1624,"*"&amp;AV$2&amp;"*")</f>
        <v>1</v>
      </c>
      <c r="AW1624" s="200">
        <f t="shared" si="8203"/>
        <v>0</v>
      </c>
      <c r="AX1624" s="200">
        <f t="shared" si="8203"/>
        <v>0</v>
      </c>
      <c r="AY1624" s="202">
        <v>0.0</v>
      </c>
      <c r="AZ1624" s="200"/>
      <c r="BA1624" s="171" t="str">
        <f t="shared" si="18"/>
        <v/>
      </c>
      <c r="BB1624" s="171" t="str">
        <f t="shared" si="19"/>
        <v>Code</v>
      </c>
      <c r="BC1624" s="171" t="str">
        <f t="shared" si="20"/>
        <v/>
      </c>
      <c r="BD1624" s="171" t="str">
        <f t="shared" si="21"/>
        <v/>
      </c>
      <c r="BE1624" s="171" t="str">
        <f t="shared" si="22"/>
        <v/>
      </c>
      <c r="BF1624" s="171" t="str">
        <f t="shared" si="23"/>
        <v>Code</v>
      </c>
    </row>
    <row r="1625">
      <c r="A1625" s="171">
        <f t="array" ref="A1625">XLOOKUP(C1625,FSE!A:A,FSE!C:C,"XXXXX",0,1)</f>
        <v>2021</v>
      </c>
      <c r="B1625" s="213" t="s">
        <v>5676</v>
      </c>
      <c r="C1625" s="214">
        <v>320.0</v>
      </c>
      <c r="D1625" s="215" t="s">
        <v>6344</v>
      </c>
      <c r="E1625" s="197" t="str">
        <f t="array" ref="E1625">XLOOKUP(C1625,FSE!A:A,FSE!Z:Z,"XXXXX",0,1)</f>
        <v>Publicly Available (3)</v>
      </c>
      <c r="F1625" s="213" t="s">
        <v>3394</v>
      </c>
      <c r="G1625" s="163" t="str">
        <f t="array" ref="G1625">IF(B1625="ICSE",IF(COUNTIFS(B:B,B1625,C:C,C1625)=XLOOKUP(C1625,ICSE!A:A,ICSE!AA:AA,"ERROR",0,1),"OK","ERROR"),IF(B1625="FSE",IF(COUNTIFS(B:B,B1625,C:C,C1625)=XLOOKUP(C1625,FSE!A:A,FSE!AA:AA,"ERROR",0,1),"OK","ERROR")))</f>
        <v>OK</v>
      </c>
      <c r="H1625" s="199">
        <f t="shared" ref="H1625:O1625" si="8204">countif($D1625,"*"&amp;H$2&amp;"*")</f>
        <v>1</v>
      </c>
      <c r="I1625" s="200">
        <f t="shared" si="8204"/>
        <v>0</v>
      </c>
      <c r="J1625" s="200">
        <f t="shared" si="8204"/>
        <v>0</v>
      </c>
      <c r="K1625" s="200">
        <f t="shared" si="8204"/>
        <v>0</v>
      </c>
      <c r="L1625" s="200">
        <f t="shared" si="8204"/>
        <v>0</v>
      </c>
      <c r="M1625" s="200">
        <f t="shared" si="8204"/>
        <v>0</v>
      </c>
      <c r="N1625" s="200">
        <f t="shared" si="8204"/>
        <v>0</v>
      </c>
      <c r="O1625" s="200">
        <f t="shared" si="8204"/>
        <v>0</v>
      </c>
      <c r="P1625" s="200">
        <f t="shared" si="9"/>
        <v>0</v>
      </c>
      <c r="Q1625" s="200">
        <f t="shared" ref="Q1625:AC1625" si="8205">countif($D1625,"*"&amp;Q$2&amp;"*")</f>
        <v>0</v>
      </c>
      <c r="R1625" s="200">
        <f t="shared" si="8205"/>
        <v>0</v>
      </c>
      <c r="S1625" s="200">
        <f t="shared" si="8205"/>
        <v>0</v>
      </c>
      <c r="T1625" s="200">
        <f t="shared" si="8205"/>
        <v>0</v>
      </c>
      <c r="U1625" s="200">
        <f t="shared" si="8205"/>
        <v>0</v>
      </c>
      <c r="V1625" s="200">
        <f t="shared" si="8205"/>
        <v>0</v>
      </c>
      <c r="W1625" s="200">
        <f t="shared" si="8205"/>
        <v>0</v>
      </c>
      <c r="X1625" s="200">
        <f t="shared" si="8205"/>
        <v>0</v>
      </c>
      <c r="Y1625" s="200">
        <f t="shared" si="8205"/>
        <v>0</v>
      </c>
      <c r="Z1625" s="200">
        <f t="shared" si="8205"/>
        <v>0</v>
      </c>
      <c r="AA1625" s="200">
        <f t="shared" si="8205"/>
        <v>0</v>
      </c>
      <c r="AB1625" s="200">
        <f t="shared" si="8205"/>
        <v>0</v>
      </c>
      <c r="AC1625" s="200">
        <f t="shared" si="8205"/>
        <v>0</v>
      </c>
      <c r="AD1625" s="200">
        <f t="shared" si="11"/>
        <v>0</v>
      </c>
      <c r="AE1625" s="200">
        <f t="shared" ref="AE1625:AG1625" si="8206">countif($D1625,"*"&amp;AE$2&amp;"*")</f>
        <v>0</v>
      </c>
      <c r="AF1625" s="200">
        <f t="shared" si="8206"/>
        <v>0</v>
      </c>
      <c r="AG1625" s="200">
        <f t="shared" si="8206"/>
        <v>0</v>
      </c>
      <c r="AH1625" s="171">
        <f t="shared" si="13"/>
        <v>0</v>
      </c>
      <c r="AI1625" s="200">
        <f t="shared" si="14"/>
        <v>1</v>
      </c>
      <c r="AJ1625" s="200">
        <f t="shared" si="6100"/>
        <v>0</v>
      </c>
      <c r="AK1625" s="201">
        <f t="shared" ref="AK1625:AS1625" si="8207">countif($D1625,"*"&amp;AK$2&amp;"*")</f>
        <v>0</v>
      </c>
      <c r="AL1625" s="201">
        <f t="shared" si="8207"/>
        <v>0</v>
      </c>
      <c r="AM1625" s="201">
        <f t="shared" si="8207"/>
        <v>0</v>
      </c>
      <c r="AN1625" s="201">
        <f t="shared" si="8207"/>
        <v>0</v>
      </c>
      <c r="AO1625" s="201">
        <f t="shared" si="8207"/>
        <v>0</v>
      </c>
      <c r="AP1625" s="201">
        <f t="shared" si="8207"/>
        <v>0</v>
      </c>
      <c r="AQ1625" s="201">
        <f t="shared" si="8207"/>
        <v>0</v>
      </c>
      <c r="AR1625" s="200">
        <f t="shared" si="8207"/>
        <v>0</v>
      </c>
      <c r="AS1625" s="200">
        <f t="shared" si="8207"/>
        <v>0</v>
      </c>
      <c r="AT1625" s="173">
        <v>0.0</v>
      </c>
      <c r="AU1625" s="200">
        <f t="shared" si="6217"/>
        <v>0</v>
      </c>
      <c r="AV1625" s="200">
        <f t="shared" ref="AV1625:AX1625" si="8208">countif($D1625,"*"&amp;AV$2&amp;"*")</f>
        <v>0</v>
      </c>
      <c r="AW1625" s="200">
        <f t="shared" si="8208"/>
        <v>0</v>
      </c>
      <c r="AX1625" s="200">
        <f t="shared" si="8208"/>
        <v>1</v>
      </c>
      <c r="AY1625" s="202">
        <v>0.0</v>
      </c>
      <c r="AZ1625" s="200"/>
      <c r="BA1625" s="171" t="str">
        <f t="shared" si="18"/>
        <v>Archival</v>
      </c>
      <c r="BB1625" s="171" t="str">
        <f t="shared" si="19"/>
        <v/>
      </c>
      <c r="BC1625" s="171" t="str">
        <f t="shared" si="20"/>
        <v/>
      </c>
      <c r="BD1625" s="171" t="str">
        <f t="shared" si="21"/>
        <v/>
      </c>
      <c r="BE1625" s="171" t="str">
        <f t="shared" si="22"/>
        <v/>
      </c>
      <c r="BF1625" s="171" t="str">
        <f t="shared" si="23"/>
        <v>Archival</v>
      </c>
    </row>
    <row r="1626">
      <c r="A1626" s="213">
        <f t="array" ref="A1626">XLOOKUP(C1626,FSE!A:A,FSE!C:C,"XXXXX",0,1)</f>
        <v>2021</v>
      </c>
      <c r="B1626" s="213" t="s">
        <v>5676</v>
      </c>
      <c r="C1626" s="220">
        <v>320.0</v>
      </c>
      <c r="D1626" s="206" t="s">
        <v>6345</v>
      </c>
      <c r="E1626" s="221" t="str">
        <f t="array" ref="E1626">XLOOKUP(C1626,FSE!A:A,FSE!Z:Z,"XXXXX",0,1)</f>
        <v>Publicly Available (3)</v>
      </c>
      <c r="F1626" s="213" t="s">
        <v>3394</v>
      </c>
      <c r="G1626" s="163" t="str">
        <f t="array" ref="G1626">IF(B1626="ICSE",IF(COUNTIFS(B:B,B1626,C:C,C1626)=XLOOKUP(C1626,ICSE!A:A,ICSE!AA:AA,"ERROR",0,1),"OK","ERROR"),IF(B1626="FSE",IF(COUNTIFS(B:B,B1626,C:C,C1626)=XLOOKUP(C1626,FSE!A:A,FSE!AA:AA,"ERROR",0,1),"OK","ERROR")))</f>
        <v>OK</v>
      </c>
      <c r="H1626" s="199">
        <f t="shared" ref="H1626:O1626" si="8209">countif($D1626,"*"&amp;H$2&amp;"*")</f>
        <v>0</v>
      </c>
      <c r="I1626" s="200">
        <f t="shared" si="8209"/>
        <v>0</v>
      </c>
      <c r="J1626" s="200">
        <f t="shared" si="8209"/>
        <v>1</v>
      </c>
      <c r="K1626" s="200">
        <f t="shared" si="8209"/>
        <v>0</v>
      </c>
      <c r="L1626" s="200">
        <f t="shared" si="8209"/>
        <v>0</v>
      </c>
      <c r="M1626" s="200">
        <f t="shared" si="8209"/>
        <v>0</v>
      </c>
      <c r="N1626" s="200">
        <f t="shared" si="8209"/>
        <v>0</v>
      </c>
      <c r="O1626" s="200">
        <f t="shared" si="8209"/>
        <v>0</v>
      </c>
      <c r="P1626" s="200">
        <f t="shared" si="9"/>
        <v>0</v>
      </c>
      <c r="Q1626" s="200">
        <f t="shared" ref="Q1626:AC1626" si="8210">countif($D1626,"*"&amp;Q$2&amp;"*")</f>
        <v>0</v>
      </c>
      <c r="R1626" s="200">
        <f t="shared" si="8210"/>
        <v>0</v>
      </c>
      <c r="S1626" s="200">
        <f t="shared" si="8210"/>
        <v>0</v>
      </c>
      <c r="T1626" s="200">
        <f t="shared" si="8210"/>
        <v>0</v>
      </c>
      <c r="U1626" s="200">
        <f t="shared" si="8210"/>
        <v>0</v>
      </c>
      <c r="V1626" s="200">
        <f t="shared" si="8210"/>
        <v>0</v>
      </c>
      <c r="W1626" s="200">
        <f t="shared" si="8210"/>
        <v>0</v>
      </c>
      <c r="X1626" s="200">
        <f t="shared" si="8210"/>
        <v>0</v>
      </c>
      <c r="Y1626" s="200">
        <f t="shared" si="8210"/>
        <v>0</v>
      </c>
      <c r="Z1626" s="200">
        <f t="shared" si="8210"/>
        <v>0</v>
      </c>
      <c r="AA1626" s="200">
        <f t="shared" si="8210"/>
        <v>0</v>
      </c>
      <c r="AB1626" s="200">
        <f t="shared" si="8210"/>
        <v>0</v>
      </c>
      <c r="AC1626" s="200">
        <f t="shared" si="8210"/>
        <v>0</v>
      </c>
      <c r="AD1626" s="222">
        <f t="shared" si="11"/>
        <v>0</v>
      </c>
      <c r="AE1626" s="200">
        <f t="shared" ref="AE1626:AG1626" si="8211">countif($D1626,"*"&amp;AE$2&amp;"*")</f>
        <v>0</v>
      </c>
      <c r="AF1626" s="200">
        <f t="shared" si="8211"/>
        <v>0</v>
      </c>
      <c r="AG1626" s="200">
        <f t="shared" si="8211"/>
        <v>0</v>
      </c>
      <c r="AH1626" s="171">
        <f t="shared" si="13"/>
        <v>0</v>
      </c>
      <c r="AI1626" s="200">
        <f t="shared" si="14"/>
        <v>0</v>
      </c>
      <c r="AJ1626" s="200">
        <f t="shared" si="6100"/>
        <v>0</v>
      </c>
      <c r="AK1626" s="201">
        <f t="shared" ref="AK1626:AS1626" si="8212">countif($D1626,"*"&amp;AK$2&amp;"*")</f>
        <v>0</v>
      </c>
      <c r="AL1626" s="201">
        <f t="shared" si="8212"/>
        <v>0</v>
      </c>
      <c r="AM1626" s="201">
        <f t="shared" si="8212"/>
        <v>0</v>
      </c>
      <c r="AN1626" s="201">
        <f t="shared" si="8212"/>
        <v>0</v>
      </c>
      <c r="AO1626" s="201">
        <f t="shared" si="8212"/>
        <v>0</v>
      </c>
      <c r="AP1626" s="201">
        <f t="shared" si="8212"/>
        <v>0</v>
      </c>
      <c r="AQ1626" s="201">
        <f t="shared" si="8212"/>
        <v>0</v>
      </c>
      <c r="AR1626" s="222">
        <f t="shared" si="8212"/>
        <v>0</v>
      </c>
      <c r="AS1626" s="200">
        <f t="shared" si="8212"/>
        <v>1</v>
      </c>
      <c r="AT1626" s="223">
        <v>0.0</v>
      </c>
      <c r="AU1626" s="200">
        <f t="shared" si="6217"/>
        <v>0</v>
      </c>
      <c r="AV1626" s="200">
        <f t="shared" ref="AV1626:AX1626" si="8213">countif($D1626,"*"&amp;AV$2&amp;"*")</f>
        <v>0</v>
      </c>
      <c r="AW1626" s="200">
        <f t="shared" si="8213"/>
        <v>0</v>
      </c>
      <c r="AX1626" s="200">
        <f t="shared" si="8213"/>
        <v>0</v>
      </c>
      <c r="AY1626" s="202">
        <v>0.0</v>
      </c>
      <c r="AZ1626" s="200"/>
      <c r="BA1626" s="171" t="str">
        <f t="shared" si="18"/>
        <v>Archival</v>
      </c>
      <c r="BB1626" s="171" t="str">
        <f t="shared" si="19"/>
        <v/>
      </c>
      <c r="BC1626" s="171" t="str">
        <f t="shared" si="20"/>
        <v/>
      </c>
      <c r="BD1626" s="171" t="str">
        <f t="shared" si="21"/>
        <v/>
      </c>
      <c r="BE1626" s="171" t="str">
        <f t="shared" si="22"/>
        <v/>
      </c>
      <c r="BF1626" s="171" t="str">
        <f t="shared" si="23"/>
        <v>Archival</v>
      </c>
    </row>
    <row r="1627">
      <c r="A1627" s="171">
        <f t="array" ref="A1627">XLOOKUP(C1627,FSE!A:A,FSE!C:C,"XXXXX",0,1)</f>
        <v>2021</v>
      </c>
      <c r="B1627" s="213" t="s">
        <v>5676</v>
      </c>
      <c r="C1627" s="214">
        <v>321.0</v>
      </c>
      <c r="D1627" s="215" t="s">
        <v>5013</v>
      </c>
      <c r="E1627" s="197" t="str">
        <f t="array" ref="E1627">XLOOKUP(C1627,FSE!A:A,FSE!Z:Z,"XXXXX",0,1)</f>
        <v>Publicly Available (1)</v>
      </c>
      <c r="F1627" s="213" t="s">
        <v>3394</v>
      </c>
      <c r="G1627" s="163" t="str">
        <f t="array" ref="G1627">IF(B1627="ICSE",IF(COUNTIFS(B:B,B1627,C:C,C1627)=XLOOKUP(C1627,ICSE!A:A,ICSE!AA:AA,"ERROR",0,1),"OK","ERROR"),IF(B1627="FSE",IF(COUNTIFS(B:B,B1627,C:C,C1627)=XLOOKUP(C1627,FSE!A:A,FSE!AA:AA,"ERROR",0,1),"OK","ERROR")))</f>
        <v>OK</v>
      </c>
      <c r="H1627" s="199">
        <f t="shared" ref="H1627:O1627" si="8214">countif($D1627,"*"&amp;H$2&amp;"*")</f>
        <v>0</v>
      </c>
      <c r="I1627" s="200">
        <f t="shared" si="8214"/>
        <v>0</v>
      </c>
      <c r="J1627" s="200">
        <f t="shared" si="8214"/>
        <v>0</v>
      </c>
      <c r="K1627" s="200">
        <f t="shared" si="8214"/>
        <v>0</v>
      </c>
      <c r="L1627" s="200">
        <f t="shared" si="8214"/>
        <v>0</v>
      </c>
      <c r="M1627" s="200">
        <f t="shared" si="8214"/>
        <v>0</v>
      </c>
      <c r="N1627" s="200">
        <f t="shared" si="8214"/>
        <v>0</v>
      </c>
      <c r="O1627" s="200">
        <f t="shared" si="8214"/>
        <v>0</v>
      </c>
      <c r="P1627" s="200">
        <f t="shared" si="9"/>
        <v>1</v>
      </c>
      <c r="Q1627" s="200">
        <f t="shared" ref="Q1627:AC1627" si="8215">countif($D1627,"*"&amp;Q$2&amp;"*")</f>
        <v>0</v>
      </c>
      <c r="R1627" s="200">
        <f t="shared" si="8215"/>
        <v>0</v>
      </c>
      <c r="S1627" s="200">
        <f t="shared" si="8215"/>
        <v>0</v>
      </c>
      <c r="T1627" s="200">
        <f t="shared" si="8215"/>
        <v>0</v>
      </c>
      <c r="U1627" s="200">
        <f t="shared" si="8215"/>
        <v>0</v>
      </c>
      <c r="V1627" s="200">
        <f t="shared" si="8215"/>
        <v>0</v>
      </c>
      <c r="W1627" s="200">
        <f t="shared" si="8215"/>
        <v>0</v>
      </c>
      <c r="X1627" s="200">
        <f t="shared" si="8215"/>
        <v>0</v>
      </c>
      <c r="Y1627" s="200">
        <f t="shared" si="8215"/>
        <v>0</v>
      </c>
      <c r="Z1627" s="200">
        <f t="shared" si="8215"/>
        <v>0</v>
      </c>
      <c r="AA1627" s="200">
        <f t="shared" si="8215"/>
        <v>0</v>
      </c>
      <c r="AB1627" s="200">
        <f t="shared" si="8215"/>
        <v>0</v>
      </c>
      <c r="AC1627" s="200">
        <f t="shared" si="8215"/>
        <v>0</v>
      </c>
      <c r="AD1627" s="200">
        <f t="shared" si="11"/>
        <v>0</v>
      </c>
      <c r="AE1627" s="200">
        <f t="shared" ref="AE1627:AG1627" si="8216">countif($D1627,"*"&amp;AE$2&amp;"*")</f>
        <v>0</v>
      </c>
      <c r="AF1627" s="200">
        <f t="shared" si="8216"/>
        <v>0</v>
      </c>
      <c r="AG1627" s="200">
        <f t="shared" si="8216"/>
        <v>0</v>
      </c>
      <c r="AH1627" s="171">
        <f t="shared" si="13"/>
        <v>0</v>
      </c>
      <c r="AI1627" s="200">
        <f t="shared" si="14"/>
        <v>0</v>
      </c>
      <c r="AJ1627" s="200">
        <f t="shared" si="6100"/>
        <v>0</v>
      </c>
      <c r="AK1627" s="201">
        <f t="shared" ref="AK1627:AS1627" si="8217">countif($D1627,"*"&amp;AK$2&amp;"*")</f>
        <v>0</v>
      </c>
      <c r="AL1627" s="201">
        <f t="shared" si="8217"/>
        <v>0</v>
      </c>
      <c r="AM1627" s="201">
        <f t="shared" si="8217"/>
        <v>0</v>
      </c>
      <c r="AN1627" s="201">
        <f t="shared" si="8217"/>
        <v>0</v>
      </c>
      <c r="AO1627" s="201">
        <f t="shared" si="8217"/>
        <v>0</v>
      </c>
      <c r="AP1627" s="201">
        <f t="shared" si="8217"/>
        <v>0</v>
      </c>
      <c r="AQ1627" s="201">
        <f t="shared" si="8217"/>
        <v>0</v>
      </c>
      <c r="AR1627" s="200">
        <f t="shared" si="8217"/>
        <v>0</v>
      </c>
      <c r="AS1627" s="200">
        <f t="shared" si="8217"/>
        <v>0</v>
      </c>
      <c r="AT1627" s="173">
        <v>0.0</v>
      </c>
      <c r="AU1627" s="200">
        <f t="shared" si="6217"/>
        <v>0</v>
      </c>
      <c r="AV1627" s="200">
        <f t="shared" ref="AV1627:AX1627" si="8218">countif($D1627,"*"&amp;AV$2&amp;"*")</f>
        <v>1</v>
      </c>
      <c r="AW1627" s="200">
        <f t="shared" si="8218"/>
        <v>0</v>
      </c>
      <c r="AX1627" s="200">
        <f t="shared" si="8218"/>
        <v>0</v>
      </c>
      <c r="AY1627" s="202">
        <v>0.0</v>
      </c>
      <c r="AZ1627" s="200"/>
      <c r="BA1627" s="171" t="str">
        <f t="shared" si="18"/>
        <v/>
      </c>
      <c r="BB1627" s="171" t="str">
        <f t="shared" si="19"/>
        <v>Code</v>
      </c>
      <c r="BC1627" s="171" t="str">
        <f t="shared" si="20"/>
        <v/>
      </c>
      <c r="BD1627" s="171" t="str">
        <f t="shared" si="21"/>
        <v/>
      </c>
      <c r="BE1627" s="171" t="str">
        <f t="shared" si="22"/>
        <v/>
      </c>
      <c r="BF1627" s="171" t="str">
        <f t="shared" si="23"/>
        <v>Code</v>
      </c>
    </row>
    <row r="1628">
      <c r="A1628" s="171">
        <f t="array" ref="A1628">XLOOKUP(C1628,FSE!A:A,FSE!C:C,"XXXXX",0,1)</f>
        <v>2021</v>
      </c>
      <c r="B1628" s="213" t="s">
        <v>5676</v>
      </c>
      <c r="C1628" s="214">
        <v>322.0</v>
      </c>
      <c r="D1628" s="215" t="s">
        <v>6346</v>
      </c>
      <c r="E1628" s="197" t="str">
        <f t="array" ref="E1628">XLOOKUP(C1628,FSE!A:A,FSE!Z:Z,"XXXXX",0,1)</f>
        <v>Publicly Available (2)</v>
      </c>
      <c r="F1628" s="213" t="s">
        <v>3394</v>
      </c>
      <c r="G1628" s="163" t="str">
        <f t="array" ref="G1628">IF(B1628="ICSE",IF(COUNTIFS(B:B,B1628,C:C,C1628)=XLOOKUP(C1628,ICSE!A:A,ICSE!AA:AA,"ERROR",0,1),"OK","ERROR"),IF(B1628="FSE",IF(COUNTIFS(B:B,B1628,C:C,C1628)=XLOOKUP(C1628,FSE!A:A,FSE!AA:AA,"ERROR",0,1),"OK","ERROR")))</f>
        <v>OK</v>
      </c>
      <c r="H1628" s="199">
        <f t="shared" ref="H1628:O1628" si="8219">countif($D1628,"*"&amp;H$2&amp;"*")</f>
        <v>0</v>
      </c>
      <c r="I1628" s="200">
        <f t="shared" si="8219"/>
        <v>0</v>
      </c>
      <c r="J1628" s="200">
        <f t="shared" si="8219"/>
        <v>0</v>
      </c>
      <c r="K1628" s="200">
        <f t="shared" si="8219"/>
        <v>0</v>
      </c>
      <c r="L1628" s="200">
        <f t="shared" si="8219"/>
        <v>0</v>
      </c>
      <c r="M1628" s="200">
        <f t="shared" si="8219"/>
        <v>0</v>
      </c>
      <c r="N1628" s="200">
        <f t="shared" si="8219"/>
        <v>0</v>
      </c>
      <c r="O1628" s="200">
        <f t="shared" si="8219"/>
        <v>0</v>
      </c>
      <c r="P1628" s="200">
        <f t="shared" si="9"/>
        <v>1</v>
      </c>
      <c r="Q1628" s="200">
        <f t="shared" ref="Q1628:AC1628" si="8220">countif($D1628,"*"&amp;Q$2&amp;"*")</f>
        <v>0</v>
      </c>
      <c r="R1628" s="200">
        <f t="shared" si="8220"/>
        <v>0</v>
      </c>
      <c r="S1628" s="200">
        <f t="shared" si="8220"/>
        <v>0</v>
      </c>
      <c r="T1628" s="200">
        <f t="shared" si="8220"/>
        <v>0</v>
      </c>
      <c r="U1628" s="200">
        <f t="shared" si="8220"/>
        <v>0</v>
      </c>
      <c r="V1628" s="200">
        <f t="shared" si="8220"/>
        <v>0</v>
      </c>
      <c r="W1628" s="200">
        <f t="shared" si="8220"/>
        <v>0</v>
      </c>
      <c r="X1628" s="200">
        <f t="shared" si="8220"/>
        <v>0</v>
      </c>
      <c r="Y1628" s="200">
        <f t="shared" si="8220"/>
        <v>0</v>
      </c>
      <c r="Z1628" s="200">
        <f t="shared" si="8220"/>
        <v>0</v>
      </c>
      <c r="AA1628" s="200">
        <f t="shared" si="8220"/>
        <v>0</v>
      </c>
      <c r="AB1628" s="200">
        <f t="shared" si="8220"/>
        <v>0</v>
      </c>
      <c r="AC1628" s="200">
        <f t="shared" si="8220"/>
        <v>0</v>
      </c>
      <c r="AD1628" s="200">
        <f t="shared" si="11"/>
        <v>0</v>
      </c>
      <c r="AE1628" s="200">
        <f t="shared" ref="AE1628:AG1628" si="8221">countif($D1628,"*"&amp;AE$2&amp;"*")</f>
        <v>0</v>
      </c>
      <c r="AF1628" s="200">
        <f t="shared" si="8221"/>
        <v>0</v>
      </c>
      <c r="AG1628" s="200">
        <f t="shared" si="8221"/>
        <v>0</v>
      </c>
      <c r="AH1628" s="171">
        <f t="shared" si="13"/>
        <v>0</v>
      </c>
      <c r="AI1628" s="200">
        <f t="shared" si="14"/>
        <v>0</v>
      </c>
      <c r="AJ1628" s="200">
        <f t="shared" si="6100"/>
        <v>0</v>
      </c>
      <c r="AK1628" s="201">
        <f t="shared" ref="AK1628:AS1628" si="8222">countif($D1628,"*"&amp;AK$2&amp;"*")</f>
        <v>0</v>
      </c>
      <c r="AL1628" s="201">
        <f t="shared" si="8222"/>
        <v>0</v>
      </c>
      <c r="AM1628" s="201">
        <f t="shared" si="8222"/>
        <v>0</v>
      </c>
      <c r="AN1628" s="201">
        <f t="shared" si="8222"/>
        <v>0</v>
      </c>
      <c r="AO1628" s="201">
        <f t="shared" si="8222"/>
        <v>0</v>
      </c>
      <c r="AP1628" s="201">
        <f t="shared" si="8222"/>
        <v>0</v>
      </c>
      <c r="AQ1628" s="201">
        <f t="shared" si="8222"/>
        <v>0</v>
      </c>
      <c r="AR1628" s="200">
        <f t="shared" si="8222"/>
        <v>0</v>
      </c>
      <c r="AS1628" s="200">
        <f t="shared" si="8222"/>
        <v>0</v>
      </c>
      <c r="AT1628" s="173">
        <v>0.0</v>
      </c>
      <c r="AU1628" s="200">
        <f t="shared" si="6217"/>
        <v>0</v>
      </c>
      <c r="AV1628" s="200">
        <f t="shared" ref="AV1628:AX1628" si="8223">countif($D1628,"*"&amp;AV$2&amp;"*")</f>
        <v>1</v>
      </c>
      <c r="AW1628" s="200">
        <f t="shared" si="8223"/>
        <v>0</v>
      </c>
      <c r="AX1628" s="200">
        <f t="shared" si="8223"/>
        <v>0</v>
      </c>
      <c r="AY1628" s="202">
        <v>0.0</v>
      </c>
      <c r="AZ1628" s="200"/>
      <c r="BA1628" s="171" t="str">
        <f t="shared" si="18"/>
        <v/>
      </c>
      <c r="BB1628" s="171" t="str">
        <f t="shared" si="19"/>
        <v>Code</v>
      </c>
      <c r="BC1628" s="171" t="str">
        <f t="shared" si="20"/>
        <v/>
      </c>
      <c r="BD1628" s="171" t="str">
        <f t="shared" si="21"/>
        <v/>
      </c>
      <c r="BE1628" s="171" t="str">
        <f t="shared" si="22"/>
        <v/>
      </c>
      <c r="BF1628" s="171" t="str">
        <f t="shared" si="23"/>
        <v>Code</v>
      </c>
    </row>
    <row r="1629">
      <c r="A1629" s="171">
        <f t="array" ref="A1629">XLOOKUP(C1629,FSE!A:A,FSE!C:C,"XXXXX",0,1)</f>
        <v>2021</v>
      </c>
      <c r="B1629" s="213" t="s">
        <v>5676</v>
      </c>
      <c r="C1629" s="214">
        <v>322.0</v>
      </c>
      <c r="D1629" s="215" t="s">
        <v>6347</v>
      </c>
      <c r="E1629" s="197" t="str">
        <f t="array" ref="E1629">XLOOKUP(C1629,FSE!A:A,FSE!Z:Z,"XXXXX",0,1)</f>
        <v>Publicly Available (2)</v>
      </c>
      <c r="F1629" s="213" t="s">
        <v>3394</v>
      </c>
      <c r="G1629" s="163" t="str">
        <f t="array" ref="G1629">IF(B1629="ICSE",IF(COUNTIFS(B:B,B1629,C:C,C1629)=XLOOKUP(C1629,ICSE!A:A,ICSE!AA:AA,"ERROR",0,1),"OK","ERROR"),IF(B1629="FSE",IF(COUNTIFS(B:B,B1629,C:C,C1629)=XLOOKUP(C1629,FSE!A:A,FSE!AA:AA,"ERROR",0,1),"OK","ERROR")))</f>
        <v>OK</v>
      </c>
      <c r="H1629" s="199">
        <f t="shared" ref="H1629:O1629" si="8224">countif($D1629,"*"&amp;H$2&amp;"*")</f>
        <v>0</v>
      </c>
      <c r="I1629" s="200">
        <f t="shared" si="8224"/>
        <v>1</v>
      </c>
      <c r="J1629" s="200">
        <f t="shared" si="8224"/>
        <v>0</v>
      </c>
      <c r="K1629" s="200">
        <f t="shared" si="8224"/>
        <v>0</v>
      </c>
      <c r="L1629" s="200">
        <f t="shared" si="8224"/>
        <v>0</v>
      </c>
      <c r="M1629" s="200">
        <f t="shared" si="8224"/>
        <v>0</v>
      </c>
      <c r="N1629" s="200">
        <f t="shared" si="8224"/>
        <v>0</v>
      </c>
      <c r="O1629" s="200">
        <f t="shared" si="8224"/>
        <v>0</v>
      </c>
      <c r="P1629" s="200">
        <f t="shared" si="9"/>
        <v>0</v>
      </c>
      <c r="Q1629" s="200">
        <f t="shared" ref="Q1629:AC1629" si="8225">countif($D1629,"*"&amp;Q$2&amp;"*")</f>
        <v>0</v>
      </c>
      <c r="R1629" s="200">
        <f t="shared" si="8225"/>
        <v>0</v>
      </c>
      <c r="S1629" s="200">
        <f t="shared" si="8225"/>
        <v>0</v>
      </c>
      <c r="T1629" s="200">
        <f t="shared" si="8225"/>
        <v>0</v>
      </c>
      <c r="U1629" s="200">
        <f t="shared" si="8225"/>
        <v>0</v>
      </c>
      <c r="V1629" s="200">
        <f t="shared" si="8225"/>
        <v>0</v>
      </c>
      <c r="W1629" s="200">
        <f t="shared" si="8225"/>
        <v>0</v>
      </c>
      <c r="X1629" s="200">
        <f t="shared" si="8225"/>
        <v>0</v>
      </c>
      <c r="Y1629" s="200">
        <f t="shared" si="8225"/>
        <v>0</v>
      </c>
      <c r="Z1629" s="200">
        <f t="shared" si="8225"/>
        <v>0</v>
      </c>
      <c r="AA1629" s="200">
        <f t="shared" si="8225"/>
        <v>0</v>
      </c>
      <c r="AB1629" s="200">
        <f t="shared" si="8225"/>
        <v>0</v>
      </c>
      <c r="AC1629" s="200">
        <f t="shared" si="8225"/>
        <v>0</v>
      </c>
      <c r="AD1629" s="200">
        <f t="shared" si="11"/>
        <v>0</v>
      </c>
      <c r="AE1629" s="200">
        <f t="shared" ref="AE1629:AG1629" si="8226">countif($D1629,"*"&amp;AE$2&amp;"*")</f>
        <v>0</v>
      </c>
      <c r="AF1629" s="200">
        <f t="shared" si="8226"/>
        <v>0</v>
      </c>
      <c r="AG1629" s="200">
        <f t="shared" si="8226"/>
        <v>0</v>
      </c>
      <c r="AH1629" s="171">
        <f t="shared" si="13"/>
        <v>0</v>
      </c>
      <c r="AI1629" s="200">
        <f t="shared" si="14"/>
        <v>1</v>
      </c>
      <c r="AJ1629" s="200">
        <f t="shared" si="6100"/>
        <v>0</v>
      </c>
      <c r="AK1629" s="201">
        <f t="shared" ref="AK1629:AS1629" si="8227">countif($D1629,"*"&amp;AK$2&amp;"*")</f>
        <v>0</v>
      </c>
      <c r="AL1629" s="201">
        <f t="shared" si="8227"/>
        <v>0</v>
      </c>
      <c r="AM1629" s="201">
        <f t="shared" si="8227"/>
        <v>0</v>
      </c>
      <c r="AN1629" s="201">
        <f t="shared" si="8227"/>
        <v>0</v>
      </c>
      <c r="AO1629" s="201">
        <f t="shared" si="8227"/>
        <v>0</v>
      </c>
      <c r="AP1629" s="201">
        <f t="shared" si="8227"/>
        <v>0</v>
      </c>
      <c r="AQ1629" s="201">
        <f t="shared" si="8227"/>
        <v>0</v>
      </c>
      <c r="AR1629" s="200">
        <f t="shared" si="8227"/>
        <v>0</v>
      </c>
      <c r="AS1629" s="200">
        <f t="shared" si="8227"/>
        <v>0</v>
      </c>
      <c r="AT1629" s="173">
        <v>0.0</v>
      </c>
      <c r="AU1629" s="200">
        <f t="shared" si="6217"/>
        <v>0</v>
      </c>
      <c r="AV1629" s="200">
        <f t="shared" ref="AV1629:AX1629" si="8228">countif($D1629,"*"&amp;AV$2&amp;"*")</f>
        <v>0</v>
      </c>
      <c r="AW1629" s="200">
        <f t="shared" si="8228"/>
        <v>0</v>
      </c>
      <c r="AX1629" s="200">
        <f t="shared" si="8228"/>
        <v>1</v>
      </c>
      <c r="AY1629" s="202">
        <v>0.0</v>
      </c>
      <c r="AZ1629" s="200"/>
      <c r="BA1629" s="171" t="str">
        <f t="shared" si="18"/>
        <v>Archival</v>
      </c>
      <c r="BB1629" s="171" t="str">
        <f t="shared" si="19"/>
        <v/>
      </c>
      <c r="BC1629" s="171" t="str">
        <f t="shared" si="20"/>
        <v/>
      </c>
      <c r="BD1629" s="171" t="str">
        <f t="shared" si="21"/>
        <v/>
      </c>
      <c r="BE1629" s="171" t="str">
        <f t="shared" si="22"/>
        <v/>
      </c>
      <c r="BF1629" s="171" t="str">
        <f t="shared" si="23"/>
        <v>Archival</v>
      </c>
    </row>
    <row r="1630">
      <c r="A1630" s="171">
        <f t="array" ref="A1630">XLOOKUP(C1630,FSE!A:A,FSE!C:C,"XXXXX",0,1)</f>
        <v>2021</v>
      </c>
      <c r="B1630" s="213" t="s">
        <v>5676</v>
      </c>
      <c r="C1630" s="214">
        <v>323.0</v>
      </c>
      <c r="D1630" s="215" t="s">
        <v>5017</v>
      </c>
      <c r="E1630" s="197" t="str">
        <f t="array" ref="E1630">XLOOKUP(C1630,FSE!A:A,FSE!Z:Z,"XXXXX",0,1)</f>
        <v>Publicly Available (1)</v>
      </c>
      <c r="F1630" s="213" t="s">
        <v>3394</v>
      </c>
      <c r="G1630" s="163" t="str">
        <f t="array" ref="G1630">IF(B1630="ICSE",IF(COUNTIFS(B:B,B1630,C:C,C1630)=XLOOKUP(C1630,ICSE!A:A,ICSE!AA:AA,"ERROR",0,1),"OK","ERROR"),IF(B1630="FSE",IF(COUNTIFS(B:B,B1630,C:C,C1630)=XLOOKUP(C1630,FSE!A:A,FSE!AA:AA,"ERROR",0,1),"OK","ERROR")))</f>
        <v>OK</v>
      </c>
      <c r="H1630" s="199">
        <f t="shared" ref="H1630:O1630" si="8229">countif($D1630,"*"&amp;H$2&amp;"*")</f>
        <v>0</v>
      </c>
      <c r="I1630" s="200">
        <f t="shared" si="8229"/>
        <v>0</v>
      </c>
      <c r="J1630" s="200">
        <f t="shared" si="8229"/>
        <v>0</v>
      </c>
      <c r="K1630" s="200">
        <f t="shared" si="8229"/>
        <v>0</v>
      </c>
      <c r="L1630" s="200">
        <f t="shared" si="8229"/>
        <v>0</v>
      </c>
      <c r="M1630" s="200">
        <f t="shared" si="8229"/>
        <v>0</v>
      </c>
      <c r="N1630" s="200">
        <f t="shared" si="8229"/>
        <v>0</v>
      </c>
      <c r="O1630" s="200">
        <f t="shared" si="8229"/>
        <v>0</v>
      </c>
      <c r="P1630" s="200">
        <f t="shared" si="9"/>
        <v>1</v>
      </c>
      <c r="Q1630" s="200">
        <f t="shared" ref="Q1630:AC1630" si="8230">countif($D1630,"*"&amp;Q$2&amp;"*")</f>
        <v>0</v>
      </c>
      <c r="R1630" s="200">
        <f t="shared" si="8230"/>
        <v>0</v>
      </c>
      <c r="S1630" s="200">
        <f t="shared" si="8230"/>
        <v>0</v>
      </c>
      <c r="T1630" s="200">
        <f t="shared" si="8230"/>
        <v>0</v>
      </c>
      <c r="U1630" s="200">
        <f t="shared" si="8230"/>
        <v>0</v>
      </c>
      <c r="V1630" s="200">
        <f t="shared" si="8230"/>
        <v>0</v>
      </c>
      <c r="W1630" s="200">
        <f t="shared" si="8230"/>
        <v>0</v>
      </c>
      <c r="X1630" s="200">
        <f t="shared" si="8230"/>
        <v>0</v>
      </c>
      <c r="Y1630" s="200">
        <f t="shared" si="8230"/>
        <v>0</v>
      </c>
      <c r="Z1630" s="200">
        <f t="shared" si="8230"/>
        <v>0</v>
      </c>
      <c r="AA1630" s="200">
        <f t="shared" si="8230"/>
        <v>0</v>
      </c>
      <c r="AB1630" s="200">
        <f t="shared" si="8230"/>
        <v>0</v>
      </c>
      <c r="AC1630" s="200">
        <f t="shared" si="8230"/>
        <v>0</v>
      </c>
      <c r="AD1630" s="200">
        <f t="shared" si="11"/>
        <v>0</v>
      </c>
      <c r="AE1630" s="200">
        <f t="shared" ref="AE1630:AG1630" si="8231">countif($D1630,"*"&amp;AE$2&amp;"*")</f>
        <v>0</v>
      </c>
      <c r="AF1630" s="200">
        <f t="shared" si="8231"/>
        <v>0</v>
      </c>
      <c r="AG1630" s="200">
        <f t="shared" si="8231"/>
        <v>0</v>
      </c>
      <c r="AH1630" s="171">
        <f t="shared" si="13"/>
        <v>0</v>
      </c>
      <c r="AI1630" s="200">
        <f t="shared" si="14"/>
        <v>0</v>
      </c>
      <c r="AJ1630" s="200">
        <f t="shared" si="6100"/>
        <v>0</v>
      </c>
      <c r="AK1630" s="201">
        <f t="shared" ref="AK1630:AS1630" si="8232">countif($D1630,"*"&amp;AK$2&amp;"*")</f>
        <v>0</v>
      </c>
      <c r="AL1630" s="201">
        <f t="shared" si="8232"/>
        <v>0</v>
      </c>
      <c r="AM1630" s="201">
        <f t="shared" si="8232"/>
        <v>0</v>
      </c>
      <c r="AN1630" s="201">
        <f t="shared" si="8232"/>
        <v>0</v>
      </c>
      <c r="AO1630" s="201">
        <f t="shared" si="8232"/>
        <v>0</v>
      </c>
      <c r="AP1630" s="201">
        <f t="shared" si="8232"/>
        <v>0</v>
      </c>
      <c r="AQ1630" s="201">
        <f t="shared" si="8232"/>
        <v>0</v>
      </c>
      <c r="AR1630" s="200">
        <f t="shared" si="8232"/>
        <v>0</v>
      </c>
      <c r="AS1630" s="200">
        <f t="shared" si="8232"/>
        <v>0</v>
      </c>
      <c r="AT1630" s="173">
        <v>0.0</v>
      </c>
      <c r="AU1630" s="200">
        <f t="shared" si="6217"/>
        <v>0</v>
      </c>
      <c r="AV1630" s="200">
        <f t="shared" ref="AV1630:AX1630" si="8233">countif($D1630,"*"&amp;AV$2&amp;"*")</f>
        <v>1</v>
      </c>
      <c r="AW1630" s="200">
        <f t="shared" si="8233"/>
        <v>0</v>
      </c>
      <c r="AX1630" s="200">
        <f t="shared" si="8233"/>
        <v>0</v>
      </c>
      <c r="AY1630" s="202">
        <v>0.0</v>
      </c>
      <c r="AZ1630" s="200"/>
      <c r="BA1630" s="171" t="str">
        <f t="shared" si="18"/>
        <v/>
      </c>
      <c r="BB1630" s="171" t="str">
        <f t="shared" si="19"/>
        <v>Code</v>
      </c>
      <c r="BC1630" s="171" t="str">
        <f t="shared" si="20"/>
        <v/>
      </c>
      <c r="BD1630" s="171" t="str">
        <f t="shared" si="21"/>
        <v/>
      </c>
      <c r="BE1630" s="171" t="str">
        <f t="shared" si="22"/>
        <v/>
      </c>
      <c r="BF1630" s="171" t="str">
        <f t="shared" si="23"/>
        <v>Code</v>
      </c>
    </row>
    <row r="1631">
      <c r="A1631" s="171">
        <f t="array" ref="A1631">XLOOKUP(C1631,FSE!A:A,FSE!C:C,"XXXXX",0,1)</f>
        <v>2020</v>
      </c>
      <c r="B1631" s="213" t="s">
        <v>5676</v>
      </c>
      <c r="C1631" s="214">
        <v>324.0</v>
      </c>
      <c r="D1631" s="215" t="s">
        <v>4457</v>
      </c>
      <c r="E1631" s="197" t="str">
        <f t="array" ref="E1631">XLOOKUP(C1631,FSE!A:A,FSE!Z:Z,"XXXXX",0,1)</f>
        <v>Publicly Available (1)</v>
      </c>
      <c r="F1631" s="213" t="s">
        <v>3394</v>
      </c>
      <c r="G1631" s="163" t="str">
        <f t="array" ref="G1631">IF(B1631="ICSE",IF(COUNTIFS(B:B,B1631,C:C,C1631)=XLOOKUP(C1631,ICSE!A:A,ICSE!AA:AA,"ERROR",0,1),"OK","ERROR"),IF(B1631="FSE",IF(COUNTIFS(B:B,B1631,C:C,C1631)=XLOOKUP(C1631,FSE!A:A,FSE!AA:AA,"ERROR",0,1),"OK","ERROR")))</f>
        <v>OK</v>
      </c>
      <c r="H1631" s="199">
        <f t="shared" ref="H1631:O1631" si="8234">countif($D1631,"*"&amp;H$2&amp;"*")</f>
        <v>0</v>
      </c>
      <c r="I1631" s="200">
        <f t="shared" si="8234"/>
        <v>0</v>
      </c>
      <c r="J1631" s="200">
        <f t="shared" si="8234"/>
        <v>0</v>
      </c>
      <c r="K1631" s="200">
        <f t="shared" si="8234"/>
        <v>0</v>
      </c>
      <c r="L1631" s="200">
        <f t="shared" si="8234"/>
        <v>0</v>
      </c>
      <c r="M1631" s="200">
        <f t="shared" si="8234"/>
        <v>0</v>
      </c>
      <c r="N1631" s="200">
        <f t="shared" si="8234"/>
        <v>0</v>
      </c>
      <c r="O1631" s="200">
        <f t="shared" si="8234"/>
        <v>0</v>
      </c>
      <c r="P1631" s="200">
        <f t="shared" si="9"/>
        <v>1</v>
      </c>
      <c r="Q1631" s="200">
        <f t="shared" ref="Q1631:AC1631" si="8235">countif($D1631,"*"&amp;Q$2&amp;"*")</f>
        <v>0</v>
      </c>
      <c r="R1631" s="200">
        <f t="shared" si="8235"/>
        <v>0</v>
      </c>
      <c r="S1631" s="200">
        <f t="shared" si="8235"/>
        <v>0</v>
      </c>
      <c r="T1631" s="200">
        <f t="shared" si="8235"/>
        <v>0</v>
      </c>
      <c r="U1631" s="200">
        <f t="shared" si="8235"/>
        <v>0</v>
      </c>
      <c r="V1631" s="200">
        <f t="shared" si="8235"/>
        <v>0</v>
      </c>
      <c r="W1631" s="200">
        <f t="shared" si="8235"/>
        <v>0</v>
      </c>
      <c r="X1631" s="200">
        <f t="shared" si="8235"/>
        <v>0</v>
      </c>
      <c r="Y1631" s="200">
        <f t="shared" si="8235"/>
        <v>0</v>
      </c>
      <c r="Z1631" s="200">
        <f t="shared" si="8235"/>
        <v>0</v>
      </c>
      <c r="AA1631" s="200">
        <f t="shared" si="8235"/>
        <v>0</v>
      </c>
      <c r="AB1631" s="200">
        <f t="shared" si="8235"/>
        <v>0</v>
      </c>
      <c r="AC1631" s="200">
        <f t="shared" si="8235"/>
        <v>0</v>
      </c>
      <c r="AD1631" s="200">
        <f t="shared" si="11"/>
        <v>0</v>
      </c>
      <c r="AE1631" s="200">
        <f t="shared" ref="AE1631:AG1631" si="8236">countif($D1631,"*"&amp;AE$2&amp;"*")</f>
        <v>0</v>
      </c>
      <c r="AF1631" s="200">
        <f t="shared" si="8236"/>
        <v>0</v>
      </c>
      <c r="AG1631" s="200">
        <f t="shared" si="8236"/>
        <v>0</v>
      </c>
      <c r="AH1631" s="171">
        <f t="shared" si="13"/>
        <v>0</v>
      </c>
      <c r="AI1631" s="200">
        <f t="shared" si="14"/>
        <v>0</v>
      </c>
      <c r="AJ1631" s="200">
        <f t="shared" si="6100"/>
        <v>0</v>
      </c>
      <c r="AK1631" s="201">
        <f t="shared" ref="AK1631:AS1631" si="8237">countif($D1631,"*"&amp;AK$2&amp;"*")</f>
        <v>0</v>
      </c>
      <c r="AL1631" s="201">
        <f t="shared" si="8237"/>
        <v>0</v>
      </c>
      <c r="AM1631" s="201">
        <f t="shared" si="8237"/>
        <v>0</v>
      </c>
      <c r="AN1631" s="201">
        <f t="shared" si="8237"/>
        <v>0</v>
      </c>
      <c r="AO1631" s="201">
        <f t="shared" si="8237"/>
        <v>0</v>
      </c>
      <c r="AP1631" s="201">
        <f t="shared" si="8237"/>
        <v>0</v>
      </c>
      <c r="AQ1631" s="201">
        <f t="shared" si="8237"/>
        <v>0</v>
      </c>
      <c r="AR1631" s="200">
        <f t="shared" si="8237"/>
        <v>0</v>
      </c>
      <c r="AS1631" s="200">
        <f t="shared" si="8237"/>
        <v>0</v>
      </c>
      <c r="AT1631" s="173">
        <v>0.0</v>
      </c>
      <c r="AU1631" s="200">
        <f t="shared" si="6217"/>
        <v>0</v>
      </c>
      <c r="AV1631" s="200">
        <f t="shared" ref="AV1631:AX1631" si="8238">countif($D1631,"*"&amp;AV$2&amp;"*")</f>
        <v>1</v>
      </c>
      <c r="AW1631" s="200">
        <f t="shared" si="8238"/>
        <v>0</v>
      </c>
      <c r="AX1631" s="200">
        <f t="shared" si="8238"/>
        <v>0</v>
      </c>
      <c r="AY1631" s="202">
        <v>0.0</v>
      </c>
      <c r="AZ1631" s="200"/>
      <c r="BA1631" s="171" t="str">
        <f t="shared" si="18"/>
        <v/>
      </c>
      <c r="BB1631" s="171" t="str">
        <f t="shared" si="19"/>
        <v>Code</v>
      </c>
      <c r="BC1631" s="171" t="str">
        <f t="shared" si="20"/>
        <v/>
      </c>
      <c r="BD1631" s="171" t="str">
        <f t="shared" si="21"/>
        <v/>
      </c>
      <c r="BE1631" s="171" t="str">
        <f t="shared" si="22"/>
        <v/>
      </c>
      <c r="BF1631" s="171" t="str">
        <f t="shared" si="23"/>
        <v>Code</v>
      </c>
    </row>
    <row r="1632">
      <c r="A1632" s="171">
        <f t="array" ref="A1632">XLOOKUP(C1632,FSE!A:A,FSE!C:C,"XXXXX",0,1)</f>
        <v>2020</v>
      </c>
      <c r="B1632" s="213" t="s">
        <v>5676</v>
      </c>
      <c r="C1632" s="214">
        <v>325.0</v>
      </c>
      <c r="D1632" s="215" t="s">
        <v>6348</v>
      </c>
      <c r="E1632" s="197" t="str">
        <f t="array" ref="E1632">XLOOKUP(C1632,FSE!A:A,FSE!Z:Z,"XXXXX",0,1)</f>
        <v>Publicly Available (2)</v>
      </c>
      <c r="F1632" s="213" t="s">
        <v>3394</v>
      </c>
      <c r="G1632" s="163" t="str">
        <f t="array" ref="G1632">IF(B1632="ICSE",IF(COUNTIFS(B:B,B1632,C:C,C1632)=XLOOKUP(C1632,ICSE!A:A,ICSE!AA:AA,"ERROR",0,1),"OK","ERROR"),IF(B1632="FSE",IF(COUNTIFS(B:B,B1632,C:C,C1632)=XLOOKUP(C1632,FSE!A:A,FSE!AA:AA,"ERROR",0,1),"OK","ERROR")))</f>
        <v>OK</v>
      </c>
      <c r="H1632" s="199">
        <f t="shared" ref="H1632:O1632" si="8239">countif($D1632,"*"&amp;H$2&amp;"*")</f>
        <v>0</v>
      </c>
      <c r="I1632" s="200">
        <f t="shared" si="8239"/>
        <v>0</v>
      </c>
      <c r="J1632" s="200">
        <f t="shared" si="8239"/>
        <v>0</v>
      </c>
      <c r="K1632" s="200">
        <f t="shared" si="8239"/>
        <v>0</v>
      </c>
      <c r="L1632" s="200">
        <f t="shared" si="8239"/>
        <v>0</v>
      </c>
      <c r="M1632" s="200">
        <f t="shared" si="8239"/>
        <v>0</v>
      </c>
      <c r="N1632" s="200">
        <f t="shared" si="8239"/>
        <v>0</v>
      </c>
      <c r="O1632" s="200">
        <f t="shared" si="8239"/>
        <v>0</v>
      </c>
      <c r="P1632" s="200">
        <f t="shared" si="9"/>
        <v>1</v>
      </c>
      <c r="Q1632" s="200">
        <f t="shared" ref="Q1632:AC1632" si="8240">countif($D1632,"*"&amp;Q$2&amp;"*")</f>
        <v>0</v>
      </c>
      <c r="R1632" s="200">
        <f t="shared" si="8240"/>
        <v>0</v>
      </c>
      <c r="S1632" s="200">
        <f t="shared" si="8240"/>
        <v>0</v>
      </c>
      <c r="T1632" s="200">
        <f t="shared" si="8240"/>
        <v>0</v>
      </c>
      <c r="U1632" s="200">
        <f t="shared" si="8240"/>
        <v>0</v>
      </c>
      <c r="V1632" s="200">
        <f t="shared" si="8240"/>
        <v>0</v>
      </c>
      <c r="W1632" s="200">
        <f t="shared" si="8240"/>
        <v>0</v>
      </c>
      <c r="X1632" s="200">
        <f t="shared" si="8240"/>
        <v>0</v>
      </c>
      <c r="Y1632" s="200">
        <f t="shared" si="8240"/>
        <v>0</v>
      </c>
      <c r="Z1632" s="200">
        <f t="shared" si="8240"/>
        <v>0</v>
      </c>
      <c r="AA1632" s="200">
        <f t="shared" si="8240"/>
        <v>0</v>
      </c>
      <c r="AB1632" s="200">
        <f t="shared" si="8240"/>
        <v>0</v>
      </c>
      <c r="AC1632" s="200">
        <f t="shared" si="8240"/>
        <v>0</v>
      </c>
      <c r="AD1632" s="200">
        <f t="shared" si="11"/>
        <v>0</v>
      </c>
      <c r="AE1632" s="200">
        <f t="shared" ref="AE1632:AG1632" si="8241">countif($D1632,"*"&amp;AE$2&amp;"*")</f>
        <v>0</v>
      </c>
      <c r="AF1632" s="200">
        <f t="shared" si="8241"/>
        <v>0</v>
      </c>
      <c r="AG1632" s="200">
        <f t="shared" si="8241"/>
        <v>0</v>
      </c>
      <c r="AH1632" s="171">
        <f t="shared" si="13"/>
        <v>0</v>
      </c>
      <c r="AI1632" s="200">
        <f t="shared" si="14"/>
        <v>0</v>
      </c>
      <c r="AJ1632" s="200">
        <f t="shared" si="6100"/>
        <v>0</v>
      </c>
      <c r="AK1632" s="201">
        <f t="shared" ref="AK1632:AS1632" si="8242">countif($D1632,"*"&amp;AK$2&amp;"*")</f>
        <v>0</v>
      </c>
      <c r="AL1632" s="201">
        <f t="shared" si="8242"/>
        <v>0</v>
      </c>
      <c r="AM1632" s="201">
        <f t="shared" si="8242"/>
        <v>0</v>
      </c>
      <c r="AN1632" s="201">
        <f t="shared" si="8242"/>
        <v>0</v>
      </c>
      <c r="AO1632" s="201">
        <f t="shared" si="8242"/>
        <v>0</v>
      </c>
      <c r="AP1632" s="201">
        <f t="shared" si="8242"/>
        <v>0</v>
      </c>
      <c r="AQ1632" s="201">
        <f t="shared" si="8242"/>
        <v>0</v>
      </c>
      <c r="AR1632" s="200">
        <f t="shared" si="8242"/>
        <v>0</v>
      </c>
      <c r="AS1632" s="200">
        <f t="shared" si="8242"/>
        <v>0</v>
      </c>
      <c r="AT1632" s="173">
        <v>0.0</v>
      </c>
      <c r="AU1632" s="200">
        <f t="shared" si="6217"/>
        <v>0</v>
      </c>
      <c r="AV1632" s="200">
        <f t="shared" ref="AV1632:AX1632" si="8243">countif($D1632,"*"&amp;AV$2&amp;"*")</f>
        <v>1</v>
      </c>
      <c r="AW1632" s="200">
        <f t="shared" si="8243"/>
        <v>0</v>
      </c>
      <c r="AX1632" s="200">
        <f t="shared" si="8243"/>
        <v>0</v>
      </c>
      <c r="AY1632" s="202">
        <v>0.0</v>
      </c>
      <c r="AZ1632" s="200"/>
      <c r="BA1632" s="171" t="str">
        <f t="shared" si="18"/>
        <v/>
      </c>
      <c r="BB1632" s="171" t="str">
        <f t="shared" si="19"/>
        <v>Code</v>
      </c>
      <c r="BC1632" s="171" t="str">
        <f t="shared" si="20"/>
        <v/>
      </c>
      <c r="BD1632" s="171" t="str">
        <f t="shared" si="21"/>
        <v/>
      </c>
      <c r="BE1632" s="171" t="str">
        <f t="shared" si="22"/>
        <v/>
      </c>
      <c r="BF1632" s="171" t="str">
        <f t="shared" si="23"/>
        <v>Code</v>
      </c>
    </row>
    <row r="1633">
      <c r="A1633" s="213">
        <f t="array" ref="A1633">XLOOKUP(C1633,FSE!A:A,FSE!C:C,"XXXXX",0,1)</f>
        <v>2020</v>
      </c>
      <c r="B1633" s="213" t="s">
        <v>5676</v>
      </c>
      <c r="C1633" s="220">
        <v>325.0</v>
      </c>
      <c r="D1633" s="217" t="s">
        <v>6349</v>
      </c>
      <c r="E1633" s="221" t="str">
        <f t="array" ref="E1633">XLOOKUP(C1633,FSE!A:A,FSE!Z:Z,"XXXXX",0,1)</f>
        <v>Publicly Available (2)</v>
      </c>
      <c r="F1633" s="213" t="s">
        <v>3394</v>
      </c>
      <c r="G1633" s="163" t="str">
        <f t="array" ref="G1633">IF(B1633="ICSE",IF(COUNTIFS(B:B,B1633,C:C,C1633)=XLOOKUP(C1633,ICSE!A:A,ICSE!AA:AA,"ERROR",0,1),"OK","ERROR"),IF(B1633="FSE",IF(COUNTIFS(B:B,B1633,C:C,C1633)=XLOOKUP(C1633,FSE!A:A,FSE!AA:AA,"ERROR",0,1),"OK","ERROR")))</f>
        <v>OK</v>
      </c>
      <c r="H1633" s="199">
        <f t="shared" ref="H1633:O1633" si="8244">countif($D1633,"*"&amp;H$2&amp;"*")</f>
        <v>0</v>
      </c>
      <c r="I1633" s="200">
        <f t="shared" si="8244"/>
        <v>0</v>
      </c>
      <c r="J1633" s="200">
        <f t="shared" si="8244"/>
        <v>0</v>
      </c>
      <c r="K1633" s="200">
        <f t="shared" si="8244"/>
        <v>1</v>
      </c>
      <c r="L1633" s="200">
        <f t="shared" si="8244"/>
        <v>0</v>
      </c>
      <c r="M1633" s="200">
        <f t="shared" si="8244"/>
        <v>0</v>
      </c>
      <c r="N1633" s="200">
        <f t="shared" si="8244"/>
        <v>0</v>
      </c>
      <c r="O1633" s="200">
        <f t="shared" si="8244"/>
        <v>0</v>
      </c>
      <c r="P1633" s="200">
        <f t="shared" si="9"/>
        <v>0</v>
      </c>
      <c r="Q1633" s="200">
        <f t="shared" ref="Q1633:AC1633" si="8245">countif($D1633,"*"&amp;Q$2&amp;"*")</f>
        <v>0</v>
      </c>
      <c r="R1633" s="200">
        <f t="shared" si="8245"/>
        <v>0</v>
      </c>
      <c r="S1633" s="200">
        <f t="shared" si="8245"/>
        <v>0</v>
      </c>
      <c r="T1633" s="200">
        <f t="shared" si="8245"/>
        <v>0</v>
      </c>
      <c r="U1633" s="200">
        <f t="shared" si="8245"/>
        <v>0</v>
      </c>
      <c r="V1633" s="200">
        <f t="shared" si="8245"/>
        <v>0</v>
      </c>
      <c r="W1633" s="200">
        <f t="shared" si="8245"/>
        <v>0</v>
      </c>
      <c r="X1633" s="200">
        <f t="shared" si="8245"/>
        <v>0</v>
      </c>
      <c r="Y1633" s="200">
        <f t="shared" si="8245"/>
        <v>0</v>
      </c>
      <c r="Z1633" s="200">
        <f t="shared" si="8245"/>
        <v>0</v>
      </c>
      <c r="AA1633" s="200">
        <f t="shared" si="8245"/>
        <v>0</v>
      </c>
      <c r="AB1633" s="200">
        <f t="shared" si="8245"/>
        <v>0</v>
      </c>
      <c r="AC1633" s="200">
        <f t="shared" si="8245"/>
        <v>0</v>
      </c>
      <c r="AD1633" s="222">
        <f t="shared" si="11"/>
        <v>0</v>
      </c>
      <c r="AE1633" s="200">
        <f t="shared" ref="AE1633:AG1633" si="8246">countif($D1633,"*"&amp;AE$2&amp;"*")</f>
        <v>0</v>
      </c>
      <c r="AF1633" s="200">
        <f t="shared" si="8246"/>
        <v>0</v>
      </c>
      <c r="AG1633" s="200">
        <f t="shared" si="8246"/>
        <v>0</v>
      </c>
      <c r="AH1633" s="171">
        <f t="shared" si="13"/>
        <v>0</v>
      </c>
      <c r="AI1633" s="200">
        <f t="shared" si="14"/>
        <v>1</v>
      </c>
      <c r="AJ1633" s="200">
        <f t="shared" si="6100"/>
        <v>0</v>
      </c>
      <c r="AK1633" s="201">
        <f t="shared" ref="AK1633:AS1633" si="8247">countif($D1633,"*"&amp;AK$2&amp;"*")</f>
        <v>0</v>
      </c>
      <c r="AL1633" s="201">
        <f t="shared" si="8247"/>
        <v>0</v>
      </c>
      <c r="AM1633" s="201">
        <f t="shared" si="8247"/>
        <v>0</v>
      </c>
      <c r="AN1633" s="201">
        <f t="shared" si="8247"/>
        <v>0</v>
      </c>
      <c r="AO1633" s="201">
        <f t="shared" si="8247"/>
        <v>0</v>
      </c>
      <c r="AP1633" s="201">
        <f t="shared" si="8247"/>
        <v>0</v>
      </c>
      <c r="AQ1633" s="201">
        <f t="shared" si="8247"/>
        <v>0</v>
      </c>
      <c r="AR1633" s="222">
        <f t="shared" si="8247"/>
        <v>0</v>
      </c>
      <c r="AS1633" s="200">
        <f t="shared" si="8247"/>
        <v>0</v>
      </c>
      <c r="AT1633" s="223">
        <v>0.0</v>
      </c>
      <c r="AU1633" s="200">
        <f t="shared" si="6217"/>
        <v>0</v>
      </c>
      <c r="AV1633" s="200">
        <f t="shared" ref="AV1633:AX1633" si="8248">countif($D1633,"*"&amp;AV$2&amp;"*")</f>
        <v>0</v>
      </c>
      <c r="AW1633" s="200">
        <f t="shared" si="8248"/>
        <v>0</v>
      </c>
      <c r="AX1633" s="200">
        <f t="shared" si="8248"/>
        <v>1</v>
      </c>
      <c r="AY1633" s="202">
        <v>0.0</v>
      </c>
      <c r="AZ1633" s="200"/>
      <c r="BA1633" s="171" t="str">
        <f t="shared" si="18"/>
        <v>Archival</v>
      </c>
      <c r="BB1633" s="171" t="str">
        <f t="shared" si="19"/>
        <v/>
      </c>
      <c r="BC1633" s="171" t="str">
        <f t="shared" si="20"/>
        <v/>
      </c>
      <c r="BD1633" s="171" t="str">
        <f t="shared" si="21"/>
        <v/>
      </c>
      <c r="BE1633" s="171" t="str">
        <f t="shared" si="22"/>
        <v/>
      </c>
      <c r="BF1633" s="171" t="str">
        <f t="shared" si="23"/>
        <v>Archival</v>
      </c>
    </row>
    <row r="1634">
      <c r="A1634" s="171">
        <f t="array" ref="A1634">XLOOKUP(C1634,FSE!A:A,FSE!C:C,"XXXXX",0,1)</f>
        <v>2020</v>
      </c>
      <c r="B1634" s="213" t="s">
        <v>5676</v>
      </c>
      <c r="C1634" s="214">
        <v>326.0</v>
      </c>
      <c r="D1634" s="215" t="s">
        <v>4463</v>
      </c>
      <c r="E1634" s="197" t="str">
        <f t="array" ref="E1634">XLOOKUP(C1634,FSE!A:A,FSE!Z:Z,"XXXXX",0,1)</f>
        <v>Publicly Available (1)</v>
      </c>
      <c r="F1634" s="213" t="s">
        <v>3394</v>
      </c>
      <c r="G1634" s="163" t="str">
        <f t="array" ref="G1634">IF(B1634="ICSE",IF(COUNTIFS(B:B,B1634,C:C,C1634)=XLOOKUP(C1634,ICSE!A:A,ICSE!AA:AA,"ERROR",0,1),"OK","ERROR"),IF(B1634="FSE",IF(COUNTIFS(B:B,B1634,C:C,C1634)=XLOOKUP(C1634,FSE!A:A,FSE!AA:AA,"ERROR",0,1),"OK","ERROR")))</f>
        <v>OK</v>
      </c>
      <c r="H1634" s="199">
        <f t="shared" ref="H1634:O1634" si="8249">countif($D1634,"*"&amp;H$2&amp;"*")</f>
        <v>0</v>
      </c>
      <c r="I1634" s="200">
        <f t="shared" si="8249"/>
        <v>0</v>
      </c>
      <c r="J1634" s="200">
        <f t="shared" si="8249"/>
        <v>0</v>
      </c>
      <c r="K1634" s="200">
        <f t="shared" si="8249"/>
        <v>0</v>
      </c>
      <c r="L1634" s="200">
        <f t="shared" si="8249"/>
        <v>0</v>
      </c>
      <c r="M1634" s="200">
        <f t="shared" si="8249"/>
        <v>0</v>
      </c>
      <c r="N1634" s="200">
        <f t="shared" si="8249"/>
        <v>0</v>
      </c>
      <c r="O1634" s="200">
        <f t="shared" si="8249"/>
        <v>0</v>
      </c>
      <c r="P1634" s="200">
        <f t="shared" si="9"/>
        <v>1</v>
      </c>
      <c r="Q1634" s="200">
        <f t="shared" ref="Q1634:AC1634" si="8250">countif($D1634,"*"&amp;Q$2&amp;"*")</f>
        <v>0</v>
      </c>
      <c r="R1634" s="200">
        <f t="shared" si="8250"/>
        <v>0</v>
      </c>
      <c r="S1634" s="200">
        <f t="shared" si="8250"/>
        <v>0</v>
      </c>
      <c r="T1634" s="200">
        <f t="shared" si="8250"/>
        <v>0</v>
      </c>
      <c r="U1634" s="200">
        <f t="shared" si="8250"/>
        <v>0</v>
      </c>
      <c r="V1634" s="200">
        <f t="shared" si="8250"/>
        <v>0</v>
      </c>
      <c r="W1634" s="200">
        <f t="shared" si="8250"/>
        <v>0</v>
      </c>
      <c r="X1634" s="200">
        <f t="shared" si="8250"/>
        <v>0</v>
      </c>
      <c r="Y1634" s="200">
        <f t="shared" si="8250"/>
        <v>0</v>
      </c>
      <c r="Z1634" s="200">
        <f t="shared" si="8250"/>
        <v>0</v>
      </c>
      <c r="AA1634" s="200">
        <f t="shared" si="8250"/>
        <v>0</v>
      </c>
      <c r="AB1634" s="200">
        <f t="shared" si="8250"/>
        <v>0</v>
      </c>
      <c r="AC1634" s="200">
        <f t="shared" si="8250"/>
        <v>0</v>
      </c>
      <c r="AD1634" s="200">
        <f t="shared" si="11"/>
        <v>0</v>
      </c>
      <c r="AE1634" s="200">
        <f t="shared" ref="AE1634:AG1634" si="8251">countif($D1634,"*"&amp;AE$2&amp;"*")</f>
        <v>0</v>
      </c>
      <c r="AF1634" s="200">
        <f t="shared" si="8251"/>
        <v>0</v>
      </c>
      <c r="AG1634" s="200">
        <f t="shared" si="8251"/>
        <v>0</v>
      </c>
      <c r="AH1634" s="171">
        <f t="shared" si="13"/>
        <v>0</v>
      </c>
      <c r="AI1634" s="200">
        <f t="shared" si="14"/>
        <v>0</v>
      </c>
      <c r="AJ1634" s="200">
        <f t="shared" si="6100"/>
        <v>0</v>
      </c>
      <c r="AK1634" s="201">
        <f t="shared" ref="AK1634:AS1634" si="8252">countif($D1634,"*"&amp;AK$2&amp;"*")</f>
        <v>0</v>
      </c>
      <c r="AL1634" s="201">
        <f t="shared" si="8252"/>
        <v>0</v>
      </c>
      <c r="AM1634" s="201">
        <f t="shared" si="8252"/>
        <v>0</v>
      </c>
      <c r="AN1634" s="201">
        <f t="shared" si="8252"/>
        <v>0</v>
      </c>
      <c r="AO1634" s="201">
        <f t="shared" si="8252"/>
        <v>0</v>
      </c>
      <c r="AP1634" s="201">
        <f t="shared" si="8252"/>
        <v>0</v>
      </c>
      <c r="AQ1634" s="201">
        <f t="shared" si="8252"/>
        <v>0</v>
      </c>
      <c r="AR1634" s="200">
        <f t="shared" si="8252"/>
        <v>0</v>
      </c>
      <c r="AS1634" s="200">
        <f t="shared" si="8252"/>
        <v>0</v>
      </c>
      <c r="AT1634" s="173">
        <v>0.0</v>
      </c>
      <c r="AU1634" s="200">
        <f t="shared" si="6217"/>
        <v>0</v>
      </c>
      <c r="AV1634" s="200">
        <f t="shared" ref="AV1634:AX1634" si="8253">countif($D1634,"*"&amp;AV$2&amp;"*")</f>
        <v>1</v>
      </c>
      <c r="AW1634" s="200">
        <f t="shared" si="8253"/>
        <v>0</v>
      </c>
      <c r="AX1634" s="200">
        <f t="shared" si="8253"/>
        <v>0</v>
      </c>
      <c r="AY1634" s="202">
        <v>0.0</v>
      </c>
      <c r="AZ1634" s="200"/>
      <c r="BA1634" s="171" t="str">
        <f t="shared" si="18"/>
        <v/>
      </c>
      <c r="BB1634" s="171" t="str">
        <f t="shared" si="19"/>
        <v>Code</v>
      </c>
      <c r="BC1634" s="171" t="str">
        <f t="shared" si="20"/>
        <v/>
      </c>
      <c r="BD1634" s="171" t="str">
        <f t="shared" si="21"/>
        <v/>
      </c>
      <c r="BE1634" s="171" t="str">
        <f t="shared" si="22"/>
        <v/>
      </c>
      <c r="BF1634" s="171" t="str">
        <f t="shared" si="23"/>
        <v>Code</v>
      </c>
    </row>
    <row r="1635">
      <c r="A1635" s="171">
        <f t="array" ref="A1635">XLOOKUP(C1635,FSE!A:A,FSE!C:C,"XXXXX",0,1)</f>
        <v>2020</v>
      </c>
      <c r="B1635" s="213" t="s">
        <v>5676</v>
      </c>
      <c r="C1635" s="214">
        <v>327.0</v>
      </c>
      <c r="D1635" s="206" t="s">
        <v>6350</v>
      </c>
      <c r="E1635" s="197" t="str">
        <f t="array" ref="E1635">XLOOKUP(C1635,FSE!A:A,FSE!Z:Z,"XXXXX",0,1)</f>
        <v>Publicly Available (2)</v>
      </c>
      <c r="F1635" s="213" t="s">
        <v>3394</v>
      </c>
      <c r="G1635" s="163" t="str">
        <f t="array" ref="G1635">IF(B1635="ICSE",IF(COUNTIFS(B:B,B1635,C:C,C1635)=XLOOKUP(C1635,ICSE!A:A,ICSE!AA:AA,"ERROR",0,1),"OK","ERROR"),IF(B1635="FSE",IF(COUNTIFS(B:B,B1635,C:C,C1635)=XLOOKUP(C1635,FSE!A:A,FSE!AA:AA,"ERROR",0,1),"OK","ERROR")))</f>
        <v>OK</v>
      </c>
      <c r="H1635" s="199">
        <f t="shared" ref="H1635:O1635" si="8254">countif($D1635,"*"&amp;H$2&amp;"*")</f>
        <v>1</v>
      </c>
      <c r="I1635" s="200">
        <f t="shared" si="8254"/>
        <v>0</v>
      </c>
      <c r="J1635" s="200">
        <f t="shared" si="8254"/>
        <v>0</v>
      </c>
      <c r="K1635" s="200">
        <f t="shared" si="8254"/>
        <v>0</v>
      </c>
      <c r="L1635" s="200">
        <f t="shared" si="8254"/>
        <v>0</v>
      </c>
      <c r="M1635" s="200">
        <f t="shared" si="8254"/>
        <v>0</v>
      </c>
      <c r="N1635" s="200">
        <f t="shared" si="8254"/>
        <v>0</v>
      </c>
      <c r="O1635" s="200">
        <f t="shared" si="8254"/>
        <v>0</v>
      </c>
      <c r="P1635" s="200">
        <f t="shared" si="9"/>
        <v>0</v>
      </c>
      <c r="Q1635" s="200">
        <f t="shared" ref="Q1635:AC1635" si="8255">countif($D1635,"*"&amp;Q$2&amp;"*")</f>
        <v>0</v>
      </c>
      <c r="R1635" s="200">
        <f t="shared" si="8255"/>
        <v>0</v>
      </c>
      <c r="S1635" s="200">
        <f t="shared" si="8255"/>
        <v>0</v>
      </c>
      <c r="T1635" s="200">
        <f t="shared" si="8255"/>
        <v>0</v>
      </c>
      <c r="U1635" s="200">
        <f t="shared" si="8255"/>
        <v>0</v>
      </c>
      <c r="V1635" s="200">
        <f t="shared" si="8255"/>
        <v>0</v>
      </c>
      <c r="W1635" s="200">
        <f t="shared" si="8255"/>
        <v>0</v>
      </c>
      <c r="X1635" s="200">
        <f t="shared" si="8255"/>
        <v>0</v>
      </c>
      <c r="Y1635" s="200">
        <f t="shared" si="8255"/>
        <v>0</v>
      </c>
      <c r="Z1635" s="200">
        <f t="shared" si="8255"/>
        <v>0</v>
      </c>
      <c r="AA1635" s="200">
        <f t="shared" si="8255"/>
        <v>0</v>
      </c>
      <c r="AB1635" s="200">
        <f t="shared" si="8255"/>
        <v>0</v>
      </c>
      <c r="AC1635" s="200">
        <f t="shared" si="8255"/>
        <v>0</v>
      </c>
      <c r="AD1635" s="200">
        <f t="shared" si="11"/>
        <v>0</v>
      </c>
      <c r="AE1635" s="200">
        <f t="shared" ref="AE1635:AG1635" si="8256">countif($D1635,"*"&amp;AE$2&amp;"*")</f>
        <v>0</v>
      </c>
      <c r="AF1635" s="200">
        <f t="shared" si="8256"/>
        <v>0</v>
      </c>
      <c r="AG1635" s="200">
        <f t="shared" si="8256"/>
        <v>0</v>
      </c>
      <c r="AH1635" s="171">
        <f t="shared" si="13"/>
        <v>0</v>
      </c>
      <c r="AI1635" s="200">
        <f t="shared" si="14"/>
        <v>1</v>
      </c>
      <c r="AJ1635" s="200">
        <f t="shared" si="6100"/>
        <v>0</v>
      </c>
      <c r="AK1635" s="201">
        <f t="shared" ref="AK1635:AS1635" si="8257">countif($D1635,"*"&amp;AK$2&amp;"*")</f>
        <v>0</v>
      </c>
      <c r="AL1635" s="201">
        <f t="shared" si="8257"/>
        <v>0</v>
      </c>
      <c r="AM1635" s="201">
        <f t="shared" si="8257"/>
        <v>0</v>
      </c>
      <c r="AN1635" s="201">
        <f t="shared" si="8257"/>
        <v>0</v>
      </c>
      <c r="AO1635" s="201">
        <f t="shared" si="8257"/>
        <v>0</v>
      </c>
      <c r="AP1635" s="201">
        <f t="shared" si="8257"/>
        <v>0</v>
      </c>
      <c r="AQ1635" s="201">
        <f t="shared" si="8257"/>
        <v>0</v>
      </c>
      <c r="AR1635" s="200">
        <f t="shared" si="8257"/>
        <v>0</v>
      </c>
      <c r="AS1635" s="200">
        <f t="shared" si="8257"/>
        <v>1</v>
      </c>
      <c r="AT1635" s="173">
        <v>0.0</v>
      </c>
      <c r="AU1635" s="200">
        <f t="shared" si="6217"/>
        <v>0</v>
      </c>
      <c r="AV1635" s="200">
        <f t="shared" ref="AV1635:AX1635" si="8258">countif($D1635,"*"&amp;AV$2&amp;"*")</f>
        <v>0</v>
      </c>
      <c r="AW1635" s="200">
        <f t="shared" si="8258"/>
        <v>0</v>
      </c>
      <c r="AX1635" s="200">
        <f t="shared" si="8258"/>
        <v>1</v>
      </c>
      <c r="AY1635" s="202">
        <v>0.0</v>
      </c>
      <c r="AZ1635" s="200"/>
      <c r="BA1635" s="171" t="str">
        <f t="shared" si="18"/>
        <v>Archival</v>
      </c>
      <c r="BB1635" s="171" t="str">
        <f t="shared" si="19"/>
        <v/>
      </c>
      <c r="BC1635" s="171" t="str">
        <f t="shared" si="20"/>
        <v/>
      </c>
      <c r="BD1635" s="171" t="str">
        <f t="shared" si="21"/>
        <v/>
      </c>
      <c r="BE1635" s="171" t="str">
        <f t="shared" si="22"/>
        <v/>
      </c>
      <c r="BF1635" s="171" t="str">
        <f t="shared" si="23"/>
        <v>Archival</v>
      </c>
    </row>
    <row r="1636">
      <c r="A1636" s="213">
        <f t="array" ref="A1636">XLOOKUP(C1636,FSE!A:A,FSE!C:C,"XXXXX",0,1)</f>
        <v>2020</v>
      </c>
      <c r="B1636" s="213" t="s">
        <v>5676</v>
      </c>
      <c r="C1636" s="220">
        <v>327.0</v>
      </c>
      <c r="D1636" s="206" t="s">
        <v>6351</v>
      </c>
      <c r="E1636" s="221" t="str">
        <f t="array" ref="E1636">XLOOKUP(C1636,FSE!A:A,FSE!Z:Z,"XXXXX",0,1)</f>
        <v>Publicly Available (2)</v>
      </c>
      <c r="F1636" s="213" t="s">
        <v>3394</v>
      </c>
      <c r="G1636" s="163" t="str">
        <f t="array" ref="G1636">IF(B1636="ICSE",IF(COUNTIFS(B:B,B1636,C:C,C1636)=XLOOKUP(C1636,ICSE!A:A,ICSE!AA:AA,"ERROR",0,1),"OK","ERROR"),IF(B1636="FSE",IF(COUNTIFS(B:B,B1636,C:C,C1636)=XLOOKUP(C1636,FSE!A:A,FSE!AA:AA,"ERROR",0,1),"OK","ERROR")))</f>
        <v>OK</v>
      </c>
      <c r="H1636" s="199">
        <f t="shared" ref="H1636:O1636" si="8259">countif($D1636,"*"&amp;H$2&amp;"*")</f>
        <v>1</v>
      </c>
      <c r="I1636" s="200">
        <f t="shared" si="8259"/>
        <v>0</v>
      </c>
      <c r="J1636" s="200">
        <f t="shared" si="8259"/>
        <v>0</v>
      </c>
      <c r="K1636" s="200">
        <f t="shared" si="8259"/>
        <v>0</v>
      </c>
      <c r="L1636" s="200">
        <f t="shared" si="8259"/>
        <v>0</v>
      </c>
      <c r="M1636" s="200">
        <f t="shared" si="8259"/>
        <v>0</v>
      </c>
      <c r="N1636" s="200">
        <f t="shared" si="8259"/>
        <v>0</v>
      </c>
      <c r="O1636" s="200">
        <f t="shared" si="8259"/>
        <v>0</v>
      </c>
      <c r="P1636" s="200">
        <f t="shared" si="9"/>
        <v>0</v>
      </c>
      <c r="Q1636" s="200">
        <f t="shared" ref="Q1636:AC1636" si="8260">countif($D1636,"*"&amp;Q$2&amp;"*")</f>
        <v>0</v>
      </c>
      <c r="R1636" s="200">
        <f t="shared" si="8260"/>
        <v>0</v>
      </c>
      <c r="S1636" s="200">
        <f t="shared" si="8260"/>
        <v>0</v>
      </c>
      <c r="T1636" s="200">
        <f t="shared" si="8260"/>
        <v>0</v>
      </c>
      <c r="U1636" s="200">
        <f t="shared" si="8260"/>
        <v>0</v>
      </c>
      <c r="V1636" s="200">
        <f t="shared" si="8260"/>
        <v>0</v>
      </c>
      <c r="W1636" s="200">
        <f t="shared" si="8260"/>
        <v>0</v>
      </c>
      <c r="X1636" s="200">
        <f t="shared" si="8260"/>
        <v>0</v>
      </c>
      <c r="Y1636" s="200">
        <f t="shared" si="8260"/>
        <v>0</v>
      </c>
      <c r="Z1636" s="200">
        <f t="shared" si="8260"/>
        <v>0</v>
      </c>
      <c r="AA1636" s="200">
        <f t="shared" si="8260"/>
        <v>0</v>
      </c>
      <c r="AB1636" s="200">
        <f t="shared" si="8260"/>
        <v>0</v>
      </c>
      <c r="AC1636" s="200">
        <f t="shared" si="8260"/>
        <v>0</v>
      </c>
      <c r="AD1636" s="222">
        <f t="shared" si="11"/>
        <v>0</v>
      </c>
      <c r="AE1636" s="200">
        <f t="shared" ref="AE1636:AG1636" si="8261">countif($D1636,"*"&amp;AE$2&amp;"*")</f>
        <v>0</v>
      </c>
      <c r="AF1636" s="200">
        <f t="shared" si="8261"/>
        <v>0</v>
      </c>
      <c r="AG1636" s="200">
        <f t="shared" si="8261"/>
        <v>0</v>
      </c>
      <c r="AH1636" s="171">
        <f t="shared" si="13"/>
        <v>0</v>
      </c>
      <c r="AI1636" s="200">
        <f t="shared" si="14"/>
        <v>1</v>
      </c>
      <c r="AJ1636" s="200">
        <f t="shared" si="6100"/>
        <v>0</v>
      </c>
      <c r="AK1636" s="201">
        <f t="shared" ref="AK1636:AS1636" si="8262">countif($D1636,"*"&amp;AK$2&amp;"*")</f>
        <v>0</v>
      </c>
      <c r="AL1636" s="201">
        <f t="shared" si="8262"/>
        <v>0</v>
      </c>
      <c r="AM1636" s="201">
        <f t="shared" si="8262"/>
        <v>0</v>
      </c>
      <c r="AN1636" s="201">
        <f t="shared" si="8262"/>
        <v>0</v>
      </c>
      <c r="AO1636" s="201">
        <f t="shared" si="8262"/>
        <v>0</v>
      </c>
      <c r="AP1636" s="201">
        <f t="shared" si="8262"/>
        <v>0</v>
      </c>
      <c r="AQ1636" s="201">
        <f t="shared" si="8262"/>
        <v>0</v>
      </c>
      <c r="AR1636" s="222">
        <f t="shared" si="8262"/>
        <v>0</v>
      </c>
      <c r="AS1636" s="200">
        <f t="shared" si="8262"/>
        <v>1</v>
      </c>
      <c r="AT1636" s="223">
        <v>0.0</v>
      </c>
      <c r="AU1636" s="200">
        <f t="shared" si="6217"/>
        <v>0</v>
      </c>
      <c r="AV1636" s="200">
        <f t="shared" ref="AV1636:AX1636" si="8263">countif($D1636,"*"&amp;AV$2&amp;"*")</f>
        <v>0</v>
      </c>
      <c r="AW1636" s="200">
        <f t="shared" si="8263"/>
        <v>0</v>
      </c>
      <c r="AX1636" s="200">
        <f t="shared" si="8263"/>
        <v>1</v>
      </c>
      <c r="AY1636" s="202">
        <v>0.0</v>
      </c>
      <c r="AZ1636" s="200"/>
      <c r="BA1636" s="171" t="str">
        <f t="shared" si="18"/>
        <v>Archival</v>
      </c>
      <c r="BB1636" s="171" t="str">
        <f t="shared" si="19"/>
        <v/>
      </c>
      <c r="BC1636" s="171" t="str">
        <f t="shared" si="20"/>
        <v/>
      </c>
      <c r="BD1636" s="171" t="str">
        <f t="shared" si="21"/>
        <v/>
      </c>
      <c r="BE1636" s="171" t="str">
        <f t="shared" si="22"/>
        <v/>
      </c>
      <c r="BF1636" s="171" t="str">
        <f t="shared" si="23"/>
        <v>Archival</v>
      </c>
    </row>
    <row r="1637">
      <c r="A1637" s="171">
        <f t="array" ref="A1637">XLOOKUP(C1637,FSE!A:A,FSE!C:C,"XXXXX",0,1)</f>
        <v>2020</v>
      </c>
      <c r="B1637" s="213" t="s">
        <v>5676</v>
      </c>
      <c r="C1637" s="214">
        <v>328.0</v>
      </c>
      <c r="D1637" s="215" t="s">
        <v>6352</v>
      </c>
      <c r="E1637" s="197" t="str">
        <f t="array" ref="E1637">XLOOKUP(C1637,FSE!A:A,FSE!Z:Z,"XXXXX",0,1)</f>
        <v>Publicly Available (2)</v>
      </c>
      <c r="F1637" s="213" t="s">
        <v>3394</v>
      </c>
      <c r="G1637" s="163" t="str">
        <f t="array" ref="G1637">IF(B1637="ICSE",IF(COUNTIFS(B:B,B1637,C:C,C1637)=XLOOKUP(C1637,ICSE!A:A,ICSE!AA:AA,"ERROR",0,1),"OK","ERROR"),IF(B1637="FSE",IF(COUNTIFS(B:B,B1637,C:C,C1637)=XLOOKUP(C1637,FSE!A:A,FSE!AA:AA,"ERROR",0,1),"OK","ERROR")))</f>
        <v>OK</v>
      </c>
      <c r="H1637" s="199">
        <f t="shared" ref="H1637:O1637" si="8264">countif($D1637,"*"&amp;H$2&amp;"*")</f>
        <v>1</v>
      </c>
      <c r="I1637" s="200">
        <f t="shared" si="8264"/>
        <v>0</v>
      </c>
      <c r="J1637" s="200">
        <f t="shared" si="8264"/>
        <v>0</v>
      </c>
      <c r="K1637" s="200">
        <f t="shared" si="8264"/>
        <v>0</v>
      </c>
      <c r="L1637" s="200">
        <f t="shared" si="8264"/>
        <v>0</v>
      </c>
      <c r="M1637" s="200">
        <f t="shared" si="8264"/>
        <v>0</v>
      </c>
      <c r="N1637" s="200">
        <f t="shared" si="8264"/>
        <v>0</v>
      </c>
      <c r="O1637" s="200">
        <f t="shared" si="8264"/>
        <v>0</v>
      </c>
      <c r="P1637" s="200">
        <f t="shared" si="9"/>
        <v>0</v>
      </c>
      <c r="Q1637" s="200">
        <f t="shared" ref="Q1637:AC1637" si="8265">countif($D1637,"*"&amp;Q$2&amp;"*")</f>
        <v>0</v>
      </c>
      <c r="R1637" s="200">
        <f t="shared" si="8265"/>
        <v>0</v>
      </c>
      <c r="S1637" s="200">
        <f t="shared" si="8265"/>
        <v>0</v>
      </c>
      <c r="T1637" s="200">
        <f t="shared" si="8265"/>
        <v>0</v>
      </c>
      <c r="U1637" s="200">
        <f t="shared" si="8265"/>
        <v>0</v>
      </c>
      <c r="V1637" s="200">
        <f t="shared" si="8265"/>
        <v>0</v>
      </c>
      <c r="W1637" s="200">
        <f t="shared" si="8265"/>
        <v>0</v>
      </c>
      <c r="X1637" s="200">
        <f t="shared" si="8265"/>
        <v>0</v>
      </c>
      <c r="Y1637" s="200">
        <f t="shared" si="8265"/>
        <v>0</v>
      </c>
      <c r="Z1637" s="200">
        <f t="shared" si="8265"/>
        <v>0</v>
      </c>
      <c r="AA1637" s="200">
        <f t="shared" si="8265"/>
        <v>0</v>
      </c>
      <c r="AB1637" s="200">
        <f t="shared" si="8265"/>
        <v>0</v>
      </c>
      <c r="AC1637" s="200">
        <f t="shared" si="8265"/>
        <v>0</v>
      </c>
      <c r="AD1637" s="200">
        <f t="shared" si="11"/>
        <v>0</v>
      </c>
      <c r="AE1637" s="200">
        <f t="shared" ref="AE1637:AG1637" si="8266">countif($D1637,"*"&amp;AE$2&amp;"*")</f>
        <v>0</v>
      </c>
      <c r="AF1637" s="200">
        <f t="shared" si="8266"/>
        <v>0</v>
      </c>
      <c r="AG1637" s="200">
        <f t="shared" si="8266"/>
        <v>0</v>
      </c>
      <c r="AH1637" s="171">
        <f t="shared" si="13"/>
        <v>0</v>
      </c>
      <c r="AI1637" s="200">
        <f t="shared" si="14"/>
        <v>1</v>
      </c>
      <c r="AJ1637" s="200">
        <f t="shared" si="6100"/>
        <v>0</v>
      </c>
      <c r="AK1637" s="201">
        <f t="shared" ref="AK1637:AS1637" si="8267">countif($D1637,"*"&amp;AK$2&amp;"*")</f>
        <v>0</v>
      </c>
      <c r="AL1637" s="201">
        <f t="shared" si="8267"/>
        <v>0</v>
      </c>
      <c r="AM1637" s="201">
        <f t="shared" si="8267"/>
        <v>0</v>
      </c>
      <c r="AN1637" s="201">
        <f t="shared" si="8267"/>
        <v>0</v>
      </c>
      <c r="AO1637" s="201">
        <f t="shared" si="8267"/>
        <v>0</v>
      </c>
      <c r="AP1637" s="201">
        <f t="shared" si="8267"/>
        <v>0</v>
      </c>
      <c r="AQ1637" s="201">
        <f t="shared" si="8267"/>
        <v>0</v>
      </c>
      <c r="AR1637" s="200">
        <f t="shared" si="8267"/>
        <v>0</v>
      </c>
      <c r="AS1637" s="200">
        <f t="shared" si="8267"/>
        <v>0</v>
      </c>
      <c r="AT1637" s="173">
        <v>0.0</v>
      </c>
      <c r="AU1637" s="200">
        <f t="shared" si="6217"/>
        <v>0</v>
      </c>
      <c r="AV1637" s="200">
        <f t="shared" ref="AV1637:AX1637" si="8268">countif($D1637,"*"&amp;AV$2&amp;"*")</f>
        <v>0</v>
      </c>
      <c r="AW1637" s="200">
        <f t="shared" si="8268"/>
        <v>0</v>
      </c>
      <c r="AX1637" s="200">
        <f t="shared" si="8268"/>
        <v>1</v>
      </c>
      <c r="AY1637" s="202">
        <v>0.0</v>
      </c>
      <c r="AZ1637" s="200"/>
      <c r="BA1637" s="171" t="str">
        <f t="shared" si="18"/>
        <v>Archival</v>
      </c>
      <c r="BB1637" s="171" t="str">
        <f t="shared" si="19"/>
        <v/>
      </c>
      <c r="BC1637" s="171" t="str">
        <f t="shared" si="20"/>
        <v/>
      </c>
      <c r="BD1637" s="171" t="str">
        <f t="shared" si="21"/>
        <v/>
      </c>
      <c r="BE1637" s="171" t="str">
        <f t="shared" si="22"/>
        <v/>
      </c>
      <c r="BF1637" s="171" t="str">
        <f t="shared" si="23"/>
        <v>Archival</v>
      </c>
    </row>
    <row r="1638">
      <c r="A1638" s="171">
        <f t="array" ref="A1638">XLOOKUP(C1638,FSE!A:A,FSE!C:C,"XXXXX",0,1)</f>
        <v>2020</v>
      </c>
      <c r="B1638" s="213" t="s">
        <v>5676</v>
      </c>
      <c r="C1638" s="214">
        <v>328.0</v>
      </c>
      <c r="D1638" s="215" t="s">
        <v>6353</v>
      </c>
      <c r="E1638" s="197" t="str">
        <f t="array" ref="E1638">XLOOKUP(C1638,FSE!A:A,FSE!Z:Z,"XXXXX",0,1)</f>
        <v>Publicly Available (2)</v>
      </c>
      <c r="F1638" s="213" t="s">
        <v>3394</v>
      </c>
      <c r="G1638" s="163" t="str">
        <f t="array" ref="G1638">IF(B1638="ICSE",IF(COUNTIFS(B:B,B1638,C:C,C1638)=XLOOKUP(C1638,ICSE!A:A,ICSE!AA:AA,"ERROR",0,1),"OK","ERROR"),IF(B1638="FSE",IF(COUNTIFS(B:B,B1638,C:C,C1638)=XLOOKUP(C1638,FSE!A:A,FSE!AA:AA,"ERROR",0,1),"OK","ERROR")))</f>
        <v>OK</v>
      </c>
      <c r="H1638" s="199">
        <f t="shared" ref="H1638:O1638" si="8269">countif($D1638,"*"&amp;H$2&amp;"*")</f>
        <v>0</v>
      </c>
      <c r="I1638" s="200">
        <f t="shared" si="8269"/>
        <v>0</v>
      </c>
      <c r="J1638" s="200">
        <f t="shared" si="8269"/>
        <v>0</v>
      </c>
      <c r="K1638" s="200">
        <f t="shared" si="8269"/>
        <v>0</v>
      </c>
      <c r="L1638" s="200">
        <f t="shared" si="8269"/>
        <v>0</v>
      </c>
      <c r="M1638" s="200">
        <f t="shared" si="8269"/>
        <v>0</v>
      </c>
      <c r="N1638" s="200">
        <f t="shared" si="8269"/>
        <v>0</v>
      </c>
      <c r="O1638" s="200">
        <f t="shared" si="8269"/>
        <v>0</v>
      </c>
      <c r="P1638" s="200">
        <f t="shared" si="9"/>
        <v>0</v>
      </c>
      <c r="Q1638" s="200">
        <f t="shared" ref="Q1638:AC1638" si="8270">countif($D1638,"*"&amp;Q$2&amp;"*")</f>
        <v>0</v>
      </c>
      <c r="R1638" s="200">
        <f t="shared" si="8270"/>
        <v>0</v>
      </c>
      <c r="S1638" s="200">
        <f t="shared" si="8270"/>
        <v>0</v>
      </c>
      <c r="T1638" s="200">
        <f t="shared" si="8270"/>
        <v>0</v>
      </c>
      <c r="U1638" s="200">
        <f t="shared" si="8270"/>
        <v>0</v>
      </c>
      <c r="V1638" s="200">
        <f t="shared" si="8270"/>
        <v>0</v>
      </c>
      <c r="W1638" s="200">
        <f t="shared" si="8270"/>
        <v>0</v>
      </c>
      <c r="X1638" s="200">
        <f t="shared" si="8270"/>
        <v>0</v>
      </c>
      <c r="Y1638" s="200">
        <f t="shared" si="8270"/>
        <v>0</v>
      </c>
      <c r="Z1638" s="200">
        <f t="shared" si="8270"/>
        <v>0</v>
      </c>
      <c r="AA1638" s="200">
        <f t="shared" si="8270"/>
        <v>0</v>
      </c>
      <c r="AB1638" s="200">
        <f t="shared" si="8270"/>
        <v>0</v>
      </c>
      <c r="AC1638" s="200">
        <f t="shared" si="8270"/>
        <v>0</v>
      </c>
      <c r="AD1638" s="200">
        <f t="shared" si="11"/>
        <v>0</v>
      </c>
      <c r="AE1638" s="200">
        <f t="shared" ref="AE1638:AG1638" si="8271">countif($D1638,"*"&amp;AE$2&amp;"*")</f>
        <v>0</v>
      </c>
      <c r="AF1638" s="200">
        <f t="shared" si="8271"/>
        <v>0</v>
      </c>
      <c r="AG1638" s="200">
        <f t="shared" si="8271"/>
        <v>0</v>
      </c>
      <c r="AH1638" s="171">
        <f t="shared" si="13"/>
        <v>1</v>
      </c>
      <c r="AI1638" s="200">
        <f t="shared" si="14"/>
        <v>0</v>
      </c>
      <c r="AJ1638" s="200">
        <f t="shared" si="6100"/>
        <v>0</v>
      </c>
      <c r="AK1638" s="201">
        <f t="shared" ref="AK1638:AS1638" si="8272">countif($D1638,"*"&amp;AK$2&amp;"*")</f>
        <v>0</v>
      </c>
      <c r="AL1638" s="201">
        <f t="shared" si="8272"/>
        <v>0</v>
      </c>
      <c r="AM1638" s="201">
        <f t="shared" si="8272"/>
        <v>0</v>
      </c>
      <c r="AN1638" s="201">
        <f t="shared" si="8272"/>
        <v>0</v>
      </c>
      <c r="AO1638" s="201">
        <f t="shared" si="8272"/>
        <v>0</v>
      </c>
      <c r="AP1638" s="201">
        <f t="shared" si="8272"/>
        <v>0</v>
      </c>
      <c r="AQ1638" s="201">
        <f t="shared" si="8272"/>
        <v>0</v>
      </c>
      <c r="AR1638" s="200">
        <f t="shared" si="8272"/>
        <v>0</v>
      </c>
      <c r="AS1638" s="200">
        <f t="shared" si="8272"/>
        <v>0</v>
      </c>
      <c r="AT1638" s="173">
        <v>0.0</v>
      </c>
      <c r="AU1638" s="200">
        <f t="shared" si="6217"/>
        <v>0</v>
      </c>
      <c r="AV1638" s="200">
        <f t="shared" ref="AV1638:AX1638" si="8273">countif($D1638,"*"&amp;AV$2&amp;"*")</f>
        <v>0</v>
      </c>
      <c r="AW1638" s="200">
        <f t="shared" si="8273"/>
        <v>0</v>
      </c>
      <c r="AX1638" s="200">
        <f t="shared" si="8273"/>
        <v>0</v>
      </c>
      <c r="AY1638" s="202">
        <v>0.0</v>
      </c>
      <c r="AZ1638" s="200"/>
      <c r="BA1638" s="171" t="str">
        <f t="shared" si="18"/>
        <v/>
      </c>
      <c r="BB1638" s="171" t="str">
        <f t="shared" si="19"/>
        <v/>
      </c>
      <c r="BC1638" s="171" t="str">
        <f t="shared" si="20"/>
        <v/>
      </c>
      <c r="BD1638" s="171" t="str">
        <f t="shared" si="21"/>
        <v/>
      </c>
      <c r="BE1638" s="171" t="str">
        <f t="shared" si="22"/>
        <v>Others</v>
      </c>
      <c r="BF1638" s="171" t="str">
        <f t="shared" si="23"/>
        <v>Others</v>
      </c>
    </row>
    <row r="1639">
      <c r="A1639" s="171">
        <f t="array" ref="A1639">XLOOKUP(C1639,FSE!A:A,FSE!C:C,"XXXXX",0,1)</f>
        <v>2020</v>
      </c>
      <c r="B1639" s="213" t="s">
        <v>5676</v>
      </c>
      <c r="C1639" s="214">
        <v>329.0</v>
      </c>
      <c r="D1639" s="215" t="s">
        <v>4472</v>
      </c>
      <c r="E1639" s="197" t="str">
        <f t="array" ref="E1639">XLOOKUP(C1639,FSE!A:A,FSE!Z:Z,"XXXXX",0,1)</f>
        <v>Publicly Available (1)</v>
      </c>
      <c r="F1639" s="213" t="s">
        <v>3394</v>
      </c>
      <c r="G1639" s="163" t="str">
        <f t="array" ref="G1639">IF(B1639="ICSE",IF(COUNTIFS(B:B,B1639,C:C,C1639)=XLOOKUP(C1639,ICSE!A:A,ICSE!AA:AA,"ERROR",0,1),"OK","ERROR"),IF(B1639="FSE",IF(COUNTIFS(B:B,B1639,C:C,C1639)=XLOOKUP(C1639,FSE!A:A,FSE!AA:AA,"ERROR",0,1),"OK","ERROR")))</f>
        <v>OK</v>
      </c>
      <c r="H1639" s="199">
        <f t="shared" ref="H1639:O1639" si="8274">countif($D1639,"*"&amp;H$2&amp;"*")</f>
        <v>0</v>
      </c>
      <c r="I1639" s="200">
        <f t="shared" si="8274"/>
        <v>0</v>
      </c>
      <c r="J1639" s="200">
        <f t="shared" si="8274"/>
        <v>0</v>
      </c>
      <c r="K1639" s="200">
        <f t="shared" si="8274"/>
        <v>0</v>
      </c>
      <c r="L1639" s="200">
        <f t="shared" si="8274"/>
        <v>0</v>
      </c>
      <c r="M1639" s="200">
        <f t="shared" si="8274"/>
        <v>0</v>
      </c>
      <c r="N1639" s="200">
        <f t="shared" si="8274"/>
        <v>0</v>
      </c>
      <c r="O1639" s="200">
        <f t="shared" si="8274"/>
        <v>0</v>
      </c>
      <c r="P1639" s="200">
        <f t="shared" si="9"/>
        <v>1</v>
      </c>
      <c r="Q1639" s="200">
        <f t="shared" ref="Q1639:AC1639" si="8275">countif($D1639,"*"&amp;Q$2&amp;"*")</f>
        <v>0</v>
      </c>
      <c r="R1639" s="200">
        <f t="shared" si="8275"/>
        <v>0</v>
      </c>
      <c r="S1639" s="200">
        <f t="shared" si="8275"/>
        <v>0</v>
      </c>
      <c r="T1639" s="200">
        <f t="shared" si="8275"/>
        <v>0</v>
      </c>
      <c r="U1639" s="200">
        <f t="shared" si="8275"/>
        <v>0</v>
      </c>
      <c r="V1639" s="200">
        <f t="shared" si="8275"/>
        <v>0</v>
      </c>
      <c r="W1639" s="200">
        <f t="shared" si="8275"/>
        <v>0</v>
      </c>
      <c r="X1639" s="200">
        <f t="shared" si="8275"/>
        <v>0</v>
      </c>
      <c r="Y1639" s="200">
        <f t="shared" si="8275"/>
        <v>0</v>
      </c>
      <c r="Z1639" s="200">
        <f t="shared" si="8275"/>
        <v>0</v>
      </c>
      <c r="AA1639" s="200">
        <f t="shared" si="8275"/>
        <v>0</v>
      </c>
      <c r="AB1639" s="200">
        <f t="shared" si="8275"/>
        <v>0</v>
      </c>
      <c r="AC1639" s="200">
        <f t="shared" si="8275"/>
        <v>0</v>
      </c>
      <c r="AD1639" s="200">
        <f t="shared" si="11"/>
        <v>0</v>
      </c>
      <c r="AE1639" s="200">
        <f t="shared" ref="AE1639:AG1639" si="8276">countif($D1639,"*"&amp;AE$2&amp;"*")</f>
        <v>0</v>
      </c>
      <c r="AF1639" s="200">
        <f t="shared" si="8276"/>
        <v>0</v>
      </c>
      <c r="AG1639" s="200">
        <f t="shared" si="8276"/>
        <v>0</v>
      </c>
      <c r="AH1639" s="171">
        <f t="shared" si="13"/>
        <v>0</v>
      </c>
      <c r="AI1639" s="200">
        <f t="shared" si="14"/>
        <v>0</v>
      </c>
      <c r="AJ1639" s="200">
        <f t="shared" si="6100"/>
        <v>0</v>
      </c>
      <c r="AK1639" s="201">
        <f t="shared" ref="AK1639:AS1639" si="8277">countif($D1639,"*"&amp;AK$2&amp;"*")</f>
        <v>0</v>
      </c>
      <c r="AL1639" s="201">
        <f t="shared" si="8277"/>
        <v>0</v>
      </c>
      <c r="AM1639" s="201">
        <f t="shared" si="8277"/>
        <v>0</v>
      </c>
      <c r="AN1639" s="201">
        <f t="shared" si="8277"/>
        <v>0</v>
      </c>
      <c r="AO1639" s="201">
        <f t="shared" si="8277"/>
        <v>0</v>
      </c>
      <c r="AP1639" s="201">
        <f t="shared" si="8277"/>
        <v>0</v>
      </c>
      <c r="AQ1639" s="201">
        <f t="shared" si="8277"/>
        <v>0</v>
      </c>
      <c r="AR1639" s="200">
        <f t="shared" si="8277"/>
        <v>0</v>
      </c>
      <c r="AS1639" s="200">
        <f t="shared" si="8277"/>
        <v>0</v>
      </c>
      <c r="AT1639" s="173">
        <v>0.0</v>
      </c>
      <c r="AU1639" s="200">
        <f t="shared" si="6217"/>
        <v>0</v>
      </c>
      <c r="AV1639" s="200">
        <f t="shared" ref="AV1639:AX1639" si="8278">countif($D1639,"*"&amp;AV$2&amp;"*")</f>
        <v>1</v>
      </c>
      <c r="AW1639" s="200">
        <f t="shared" si="8278"/>
        <v>0</v>
      </c>
      <c r="AX1639" s="200">
        <f t="shared" si="8278"/>
        <v>0</v>
      </c>
      <c r="AY1639" s="202">
        <v>0.0</v>
      </c>
      <c r="AZ1639" s="200"/>
      <c r="BA1639" s="171" t="str">
        <f t="shared" si="18"/>
        <v/>
      </c>
      <c r="BB1639" s="171" t="str">
        <f t="shared" si="19"/>
        <v>Code</v>
      </c>
      <c r="BC1639" s="171" t="str">
        <f t="shared" si="20"/>
        <v/>
      </c>
      <c r="BD1639" s="171" t="str">
        <f t="shared" si="21"/>
        <v/>
      </c>
      <c r="BE1639" s="171" t="str">
        <f t="shared" si="22"/>
        <v/>
      </c>
      <c r="BF1639" s="171" t="str">
        <f t="shared" si="23"/>
        <v>Code</v>
      </c>
    </row>
    <row r="1640">
      <c r="A1640" s="213">
        <f t="array" ref="A1640">XLOOKUP(C1640,FSE!A:A,FSE!C:C,"XXXXX",0,1)</f>
        <v>2020</v>
      </c>
      <c r="B1640" s="213" t="s">
        <v>5676</v>
      </c>
      <c r="C1640" s="220">
        <v>331.0</v>
      </c>
      <c r="D1640" s="217" t="s">
        <v>4475</v>
      </c>
      <c r="E1640" s="221" t="str">
        <f t="array" ref="E1640">XLOOKUP(C1640,FSE!A:A,FSE!Z:Z,"XXXXX",0,1)</f>
        <v>Publicly Available (1)</v>
      </c>
      <c r="F1640" s="213" t="s">
        <v>3394</v>
      </c>
      <c r="G1640" s="163" t="str">
        <f t="array" ref="G1640">IF(B1640="ICSE",IF(COUNTIFS(B:B,B1640,C:C,C1640)=XLOOKUP(C1640,ICSE!A:A,ICSE!AA:AA,"ERROR",0,1),"OK","ERROR"),IF(B1640="FSE",IF(COUNTIFS(B:B,B1640,C:C,C1640)=XLOOKUP(C1640,FSE!A:A,FSE!AA:AA,"ERROR",0,1),"OK","ERROR")))</f>
        <v>OK</v>
      </c>
      <c r="H1640" s="199">
        <f t="shared" ref="H1640:O1640" si="8279">countif($D1640,"*"&amp;H$2&amp;"*")</f>
        <v>0</v>
      </c>
      <c r="I1640" s="200">
        <f t="shared" si="8279"/>
        <v>0</v>
      </c>
      <c r="J1640" s="200">
        <f t="shared" si="8279"/>
        <v>1</v>
      </c>
      <c r="K1640" s="200">
        <f t="shared" si="8279"/>
        <v>0</v>
      </c>
      <c r="L1640" s="200">
        <f t="shared" si="8279"/>
        <v>0</v>
      </c>
      <c r="M1640" s="200">
        <f t="shared" si="8279"/>
        <v>0</v>
      </c>
      <c r="N1640" s="200">
        <f t="shared" si="8279"/>
        <v>0</v>
      </c>
      <c r="O1640" s="200">
        <f t="shared" si="8279"/>
        <v>0</v>
      </c>
      <c r="P1640" s="200">
        <f t="shared" si="9"/>
        <v>0</v>
      </c>
      <c r="Q1640" s="200">
        <f t="shared" ref="Q1640:AC1640" si="8280">countif($D1640,"*"&amp;Q$2&amp;"*")</f>
        <v>0</v>
      </c>
      <c r="R1640" s="200">
        <f t="shared" si="8280"/>
        <v>0</v>
      </c>
      <c r="S1640" s="200">
        <f t="shared" si="8280"/>
        <v>0</v>
      </c>
      <c r="T1640" s="200">
        <f t="shared" si="8280"/>
        <v>0</v>
      </c>
      <c r="U1640" s="200">
        <f t="shared" si="8280"/>
        <v>0</v>
      </c>
      <c r="V1640" s="200">
        <f t="shared" si="8280"/>
        <v>0</v>
      </c>
      <c r="W1640" s="200">
        <f t="shared" si="8280"/>
        <v>0</v>
      </c>
      <c r="X1640" s="200">
        <f t="shared" si="8280"/>
        <v>0</v>
      </c>
      <c r="Y1640" s="200">
        <f t="shared" si="8280"/>
        <v>0</v>
      </c>
      <c r="Z1640" s="200">
        <f t="shared" si="8280"/>
        <v>0</v>
      </c>
      <c r="AA1640" s="200">
        <f t="shared" si="8280"/>
        <v>0</v>
      </c>
      <c r="AB1640" s="200">
        <f t="shared" si="8280"/>
        <v>0</v>
      </c>
      <c r="AC1640" s="200">
        <f t="shared" si="8280"/>
        <v>0</v>
      </c>
      <c r="AD1640" s="222">
        <f t="shared" si="11"/>
        <v>0</v>
      </c>
      <c r="AE1640" s="200">
        <f t="shared" ref="AE1640:AG1640" si="8281">countif($D1640,"*"&amp;AE$2&amp;"*")</f>
        <v>0</v>
      </c>
      <c r="AF1640" s="200">
        <f t="shared" si="8281"/>
        <v>0</v>
      </c>
      <c r="AG1640" s="200">
        <f t="shared" si="8281"/>
        <v>0</v>
      </c>
      <c r="AH1640" s="171">
        <f t="shared" si="13"/>
        <v>0</v>
      </c>
      <c r="AI1640" s="200">
        <f t="shared" si="14"/>
        <v>0</v>
      </c>
      <c r="AJ1640" s="200">
        <f t="shared" si="6100"/>
        <v>0</v>
      </c>
      <c r="AK1640" s="201">
        <f t="shared" ref="AK1640:AS1640" si="8282">countif($D1640,"*"&amp;AK$2&amp;"*")</f>
        <v>0</v>
      </c>
      <c r="AL1640" s="201">
        <f t="shared" si="8282"/>
        <v>0</v>
      </c>
      <c r="AM1640" s="201">
        <f t="shared" si="8282"/>
        <v>0</v>
      </c>
      <c r="AN1640" s="201">
        <f t="shared" si="8282"/>
        <v>0</v>
      </c>
      <c r="AO1640" s="201">
        <f t="shared" si="8282"/>
        <v>0</v>
      </c>
      <c r="AP1640" s="201">
        <f t="shared" si="8282"/>
        <v>0</v>
      </c>
      <c r="AQ1640" s="201">
        <f t="shared" si="8282"/>
        <v>0</v>
      </c>
      <c r="AR1640" s="222">
        <f t="shared" si="8282"/>
        <v>0</v>
      </c>
      <c r="AS1640" s="200">
        <f t="shared" si="8282"/>
        <v>0</v>
      </c>
      <c r="AT1640" s="223">
        <v>0.0</v>
      </c>
      <c r="AU1640" s="200">
        <f t="shared" si="6217"/>
        <v>0</v>
      </c>
      <c r="AV1640" s="200">
        <f t="shared" ref="AV1640:AX1640" si="8283">countif($D1640,"*"&amp;AV$2&amp;"*")</f>
        <v>0</v>
      </c>
      <c r="AW1640" s="200">
        <f t="shared" si="8283"/>
        <v>0</v>
      </c>
      <c r="AX1640" s="200">
        <f t="shared" si="8283"/>
        <v>0</v>
      </c>
      <c r="AY1640" s="202">
        <v>0.0</v>
      </c>
      <c r="AZ1640" s="200"/>
      <c r="BA1640" s="171" t="str">
        <f t="shared" si="18"/>
        <v>Archival</v>
      </c>
      <c r="BB1640" s="171" t="str">
        <f t="shared" si="19"/>
        <v/>
      </c>
      <c r="BC1640" s="171" t="str">
        <f t="shared" si="20"/>
        <v/>
      </c>
      <c r="BD1640" s="171" t="str">
        <f t="shared" si="21"/>
        <v/>
      </c>
      <c r="BE1640" s="171" t="str">
        <f t="shared" si="22"/>
        <v/>
      </c>
      <c r="BF1640" s="171" t="str">
        <f t="shared" si="23"/>
        <v>Archival</v>
      </c>
    </row>
    <row r="1641">
      <c r="A1641" s="171">
        <f t="array" ref="A1641">XLOOKUP(C1641,FSE!A:A,FSE!C:C,"XXXXX",0,1)</f>
        <v>2020</v>
      </c>
      <c r="B1641" s="213" t="s">
        <v>5676</v>
      </c>
      <c r="C1641" s="214">
        <v>332.0</v>
      </c>
      <c r="D1641" s="217" t="s">
        <v>4478</v>
      </c>
      <c r="E1641" s="197" t="str">
        <f t="array" ref="E1641">XLOOKUP(C1641,FSE!A:A,FSE!Z:Z,"XXXXX",0,1)</f>
        <v>Publicly Available (1)</v>
      </c>
      <c r="F1641" s="213" t="s">
        <v>3394</v>
      </c>
      <c r="G1641" s="163" t="str">
        <f t="array" ref="G1641">IF(B1641="ICSE",IF(COUNTIFS(B:B,B1641,C:C,C1641)=XLOOKUP(C1641,ICSE!A:A,ICSE!AA:AA,"ERROR",0,1),"OK","ERROR"),IF(B1641="FSE",IF(COUNTIFS(B:B,B1641,C:C,C1641)=XLOOKUP(C1641,FSE!A:A,FSE!AA:AA,"ERROR",0,1),"OK","ERROR")))</f>
        <v>OK</v>
      </c>
      <c r="H1641" s="199">
        <f t="shared" ref="H1641:O1641" si="8284">countif($D1641,"*"&amp;H$2&amp;"*")</f>
        <v>0</v>
      </c>
      <c r="I1641" s="200">
        <f t="shared" si="8284"/>
        <v>0</v>
      </c>
      <c r="J1641" s="200">
        <f t="shared" si="8284"/>
        <v>0</v>
      </c>
      <c r="K1641" s="200">
        <f t="shared" si="8284"/>
        <v>0</v>
      </c>
      <c r="L1641" s="200">
        <f t="shared" si="8284"/>
        <v>0</v>
      </c>
      <c r="M1641" s="200">
        <f t="shared" si="8284"/>
        <v>0</v>
      </c>
      <c r="N1641" s="200">
        <f t="shared" si="8284"/>
        <v>0</v>
      </c>
      <c r="O1641" s="200">
        <f t="shared" si="8284"/>
        <v>0</v>
      </c>
      <c r="P1641" s="200">
        <f t="shared" si="9"/>
        <v>0</v>
      </c>
      <c r="Q1641" s="200">
        <f t="shared" ref="Q1641:AC1641" si="8285">countif($D1641,"*"&amp;Q$2&amp;"*")</f>
        <v>0</v>
      </c>
      <c r="R1641" s="200">
        <f t="shared" si="8285"/>
        <v>0</v>
      </c>
      <c r="S1641" s="200">
        <f t="shared" si="8285"/>
        <v>0</v>
      </c>
      <c r="T1641" s="200">
        <f t="shared" si="8285"/>
        <v>0</v>
      </c>
      <c r="U1641" s="200">
        <f t="shared" si="8285"/>
        <v>0</v>
      </c>
      <c r="V1641" s="200">
        <f t="shared" si="8285"/>
        <v>0</v>
      </c>
      <c r="W1641" s="200">
        <f t="shared" si="8285"/>
        <v>0</v>
      </c>
      <c r="X1641" s="200">
        <f t="shared" si="8285"/>
        <v>0</v>
      </c>
      <c r="Y1641" s="200">
        <f t="shared" si="8285"/>
        <v>0</v>
      </c>
      <c r="Z1641" s="200">
        <f t="shared" si="8285"/>
        <v>0</v>
      </c>
      <c r="AA1641" s="200">
        <f t="shared" si="8285"/>
        <v>0</v>
      </c>
      <c r="AB1641" s="200">
        <f t="shared" si="8285"/>
        <v>0</v>
      </c>
      <c r="AC1641" s="200">
        <f t="shared" si="8285"/>
        <v>0</v>
      </c>
      <c r="AD1641" s="200">
        <f t="shared" si="11"/>
        <v>1</v>
      </c>
      <c r="AE1641" s="200">
        <f t="shared" ref="AE1641:AG1641" si="8286">countif($D1641,"*"&amp;AE$2&amp;"*")</f>
        <v>0</v>
      </c>
      <c r="AF1641" s="200">
        <f t="shared" si="8286"/>
        <v>0</v>
      </c>
      <c r="AG1641" s="200">
        <f t="shared" si="8286"/>
        <v>0</v>
      </c>
      <c r="AH1641" s="171">
        <f t="shared" si="13"/>
        <v>0</v>
      </c>
      <c r="AI1641" s="200">
        <f t="shared" si="14"/>
        <v>0</v>
      </c>
      <c r="AJ1641" s="200">
        <f t="shared" si="6100"/>
        <v>0</v>
      </c>
      <c r="AK1641" s="201">
        <f t="shared" ref="AK1641:AS1641" si="8287">countif($D1641,"*"&amp;AK$2&amp;"*")</f>
        <v>0</v>
      </c>
      <c r="AL1641" s="201">
        <f t="shared" si="8287"/>
        <v>0</v>
      </c>
      <c r="AM1641" s="201">
        <f t="shared" si="8287"/>
        <v>0</v>
      </c>
      <c r="AN1641" s="201">
        <f t="shared" si="8287"/>
        <v>0</v>
      </c>
      <c r="AO1641" s="201">
        <f t="shared" si="8287"/>
        <v>0</v>
      </c>
      <c r="AP1641" s="201">
        <f t="shared" si="8287"/>
        <v>0</v>
      </c>
      <c r="AQ1641" s="201">
        <f t="shared" si="8287"/>
        <v>0</v>
      </c>
      <c r="AR1641" s="200">
        <f t="shared" si="8287"/>
        <v>0</v>
      </c>
      <c r="AS1641" s="200">
        <f t="shared" si="8287"/>
        <v>0</v>
      </c>
      <c r="AT1641" s="173">
        <v>1.0</v>
      </c>
      <c r="AU1641" s="200">
        <f t="shared" si="6217"/>
        <v>0</v>
      </c>
      <c r="AV1641" s="200">
        <f t="shared" ref="AV1641:AX1641" si="8288">countif($D1641,"*"&amp;AV$2&amp;"*")</f>
        <v>0</v>
      </c>
      <c r="AW1641" s="200">
        <f t="shared" si="8288"/>
        <v>0</v>
      </c>
      <c r="AX1641" s="200">
        <f t="shared" si="8288"/>
        <v>0</v>
      </c>
      <c r="AY1641" s="202">
        <v>0.0</v>
      </c>
      <c r="AZ1641" s="200"/>
      <c r="BA1641" s="171" t="str">
        <f t="shared" si="18"/>
        <v/>
      </c>
      <c r="BB1641" s="171" t="str">
        <f t="shared" si="19"/>
        <v/>
      </c>
      <c r="BC1641" s="171" t="str">
        <f t="shared" si="20"/>
        <v/>
      </c>
      <c r="BD1641" s="171" t="str">
        <f t="shared" si="21"/>
        <v>Institutional</v>
      </c>
      <c r="BE1641" s="171" t="str">
        <f t="shared" si="22"/>
        <v/>
      </c>
      <c r="BF1641" s="171" t="str">
        <f t="shared" si="23"/>
        <v>Institutional</v>
      </c>
    </row>
    <row r="1642">
      <c r="A1642" s="171">
        <f t="array" ref="A1642">XLOOKUP(C1642,FSE!A:A,FSE!C:C,"XXXXX",0,1)</f>
        <v>2020</v>
      </c>
      <c r="B1642" s="213" t="s">
        <v>5676</v>
      </c>
      <c r="C1642" s="214">
        <v>333.0</v>
      </c>
      <c r="D1642" s="217" t="s">
        <v>6354</v>
      </c>
      <c r="E1642" s="197" t="str">
        <f t="array" ref="E1642">XLOOKUP(C1642,FSE!A:A,FSE!Z:Z,"XXXXX",0,1)</f>
        <v>Publicly Available (2)</v>
      </c>
      <c r="F1642" s="213" t="s">
        <v>3394</v>
      </c>
      <c r="G1642" s="163" t="str">
        <f t="array" ref="G1642">IF(B1642="ICSE",IF(COUNTIFS(B:B,B1642,C:C,C1642)=XLOOKUP(C1642,ICSE!A:A,ICSE!AA:AA,"ERROR",0,1),"OK","ERROR"),IF(B1642="FSE",IF(COUNTIFS(B:B,B1642,C:C,C1642)=XLOOKUP(C1642,FSE!A:A,FSE!AA:AA,"ERROR",0,1),"OK","ERROR")))</f>
        <v>OK</v>
      </c>
      <c r="H1642" s="199">
        <f t="shared" ref="H1642:O1642" si="8289">countif($D1642,"*"&amp;H$2&amp;"*")</f>
        <v>1</v>
      </c>
      <c r="I1642" s="200">
        <f t="shared" si="8289"/>
        <v>0</v>
      </c>
      <c r="J1642" s="200">
        <f t="shared" si="8289"/>
        <v>0</v>
      </c>
      <c r="K1642" s="200">
        <f t="shared" si="8289"/>
        <v>0</v>
      </c>
      <c r="L1642" s="200">
        <f t="shared" si="8289"/>
        <v>0</v>
      </c>
      <c r="M1642" s="200">
        <f t="shared" si="8289"/>
        <v>0</v>
      </c>
      <c r="N1642" s="200">
        <f t="shared" si="8289"/>
        <v>0</v>
      </c>
      <c r="O1642" s="200">
        <f t="shared" si="8289"/>
        <v>0</v>
      </c>
      <c r="P1642" s="200">
        <f t="shared" si="9"/>
        <v>0</v>
      </c>
      <c r="Q1642" s="200">
        <f t="shared" ref="Q1642:AC1642" si="8290">countif($D1642,"*"&amp;Q$2&amp;"*")</f>
        <v>0</v>
      </c>
      <c r="R1642" s="200">
        <f t="shared" si="8290"/>
        <v>0</v>
      </c>
      <c r="S1642" s="200">
        <f t="shared" si="8290"/>
        <v>0</v>
      </c>
      <c r="T1642" s="200">
        <f t="shared" si="8290"/>
        <v>0</v>
      </c>
      <c r="U1642" s="200">
        <f t="shared" si="8290"/>
        <v>0</v>
      </c>
      <c r="V1642" s="200">
        <f t="shared" si="8290"/>
        <v>0</v>
      </c>
      <c r="W1642" s="200">
        <f t="shared" si="8290"/>
        <v>0</v>
      </c>
      <c r="X1642" s="200">
        <f t="shared" si="8290"/>
        <v>0</v>
      </c>
      <c r="Y1642" s="200">
        <f t="shared" si="8290"/>
        <v>0</v>
      </c>
      <c r="Z1642" s="200">
        <f t="shared" si="8290"/>
        <v>0</v>
      </c>
      <c r="AA1642" s="200">
        <f t="shared" si="8290"/>
        <v>0</v>
      </c>
      <c r="AB1642" s="200">
        <f t="shared" si="8290"/>
        <v>0</v>
      </c>
      <c r="AC1642" s="200">
        <f t="shared" si="8290"/>
        <v>0</v>
      </c>
      <c r="AD1642" s="200">
        <f t="shared" si="11"/>
        <v>0</v>
      </c>
      <c r="AE1642" s="200">
        <f t="shared" ref="AE1642:AG1642" si="8291">countif($D1642,"*"&amp;AE$2&amp;"*")</f>
        <v>0</v>
      </c>
      <c r="AF1642" s="200">
        <f t="shared" si="8291"/>
        <v>0</v>
      </c>
      <c r="AG1642" s="200">
        <f t="shared" si="8291"/>
        <v>0</v>
      </c>
      <c r="AH1642" s="171">
        <f t="shared" si="13"/>
        <v>0</v>
      </c>
      <c r="AI1642" s="200">
        <f t="shared" si="14"/>
        <v>1</v>
      </c>
      <c r="AJ1642" s="200">
        <f t="shared" si="6100"/>
        <v>0</v>
      </c>
      <c r="AK1642" s="201">
        <f t="shared" ref="AK1642:AS1642" si="8292">countif($D1642,"*"&amp;AK$2&amp;"*")</f>
        <v>0</v>
      </c>
      <c r="AL1642" s="201">
        <f t="shared" si="8292"/>
        <v>0</v>
      </c>
      <c r="AM1642" s="201">
        <f t="shared" si="8292"/>
        <v>0</v>
      </c>
      <c r="AN1642" s="201">
        <f t="shared" si="8292"/>
        <v>0</v>
      </c>
      <c r="AO1642" s="201">
        <f t="shared" si="8292"/>
        <v>0</v>
      </c>
      <c r="AP1642" s="201">
        <f t="shared" si="8292"/>
        <v>0</v>
      </c>
      <c r="AQ1642" s="201">
        <f t="shared" si="8292"/>
        <v>0</v>
      </c>
      <c r="AR1642" s="200">
        <f t="shared" si="8292"/>
        <v>0</v>
      </c>
      <c r="AS1642" s="200">
        <f t="shared" si="8292"/>
        <v>0</v>
      </c>
      <c r="AT1642" s="173">
        <v>0.0</v>
      </c>
      <c r="AU1642" s="200">
        <f t="shared" si="6217"/>
        <v>0</v>
      </c>
      <c r="AV1642" s="200">
        <f t="shared" ref="AV1642:AX1642" si="8293">countif($D1642,"*"&amp;AV$2&amp;"*")</f>
        <v>0</v>
      </c>
      <c r="AW1642" s="200">
        <f t="shared" si="8293"/>
        <v>0</v>
      </c>
      <c r="AX1642" s="200">
        <f t="shared" si="8293"/>
        <v>1</v>
      </c>
      <c r="AY1642" s="202">
        <v>0.0</v>
      </c>
      <c r="AZ1642" s="200"/>
      <c r="BA1642" s="171" t="str">
        <f t="shared" si="18"/>
        <v>Archival</v>
      </c>
      <c r="BB1642" s="171" t="str">
        <f t="shared" si="19"/>
        <v/>
      </c>
      <c r="BC1642" s="171" t="str">
        <f t="shared" si="20"/>
        <v/>
      </c>
      <c r="BD1642" s="171" t="str">
        <f t="shared" si="21"/>
        <v/>
      </c>
      <c r="BE1642" s="171" t="str">
        <f t="shared" si="22"/>
        <v/>
      </c>
      <c r="BF1642" s="171" t="str">
        <f t="shared" si="23"/>
        <v>Archival</v>
      </c>
    </row>
    <row r="1643">
      <c r="A1643" s="171">
        <f t="array" ref="A1643">XLOOKUP(C1643,FSE!A:A,FSE!C:C,"XXXXX",0,1)</f>
        <v>2020</v>
      </c>
      <c r="B1643" s="213" t="s">
        <v>5676</v>
      </c>
      <c r="C1643" s="214">
        <v>333.0</v>
      </c>
      <c r="D1643" s="217" t="s">
        <v>6355</v>
      </c>
      <c r="E1643" s="197" t="str">
        <f t="array" ref="E1643">XLOOKUP(C1643,FSE!A:A,FSE!Z:Z,"XXXXX",0,1)</f>
        <v>Publicly Available (2)</v>
      </c>
      <c r="F1643" s="213" t="s">
        <v>3394</v>
      </c>
      <c r="G1643" s="163" t="str">
        <f t="array" ref="G1643">IF(B1643="ICSE",IF(COUNTIFS(B:B,B1643,C:C,C1643)=XLOOKUP(C1643,ICSE!A:A,ICSE!AA:AA,"ERROR",0,1),"OK","ERROR"),IF(B1643="FSE",IF(COUNTIFS(B:B,B1643,C:C,C1643)=XLOOKUP(C1643,FSE!A:A,FSE!AA:AA,"ERROR",0,1),"OK","ERROR")))</f>
        <v>OK</v>
      </c>
      <c r="H1643" s="199">
        <f t="shared" ref="H1643:O1643" si="8294">countif($D1643,"*"&amp;H$2&amp;"*")</f>
        <v>0</v>
      </c>
      <c r="I1643" s="200">
        <f t="shared" si="8294"/>
        <v>0</v>
      </c>
      <c r="J1643" s="200">
        <f t="shared" si="8294"/>
        <v>0</v>
      </c>
      <c r="K1643" s="200">
        <f t="shared" si="8294"/>
        <v>0</v>
      </c>
      <c r="L1643" s="200">
        <f t="shared" si="8294"/>
        <v>0</v>
      </c>
      <c r="M1643" s="200">
        <f t="shared" si="8294"/>
        <v>0</v>
      </c>
      <c r="N1643" s="200">
        <f t="shared" si="8294"/>
        <v>0</v>
      </c>
      <c r="O1643" s="200">
        <f t="shared" si="8294"/>
        <v>0</v>
      </c>
      <c r="P1643" s="200">
        <f t="shared" si="9"/>
        <v>1</v>
      </c>
      <c r="Q1643" s="200">
        <f t="shared" ref="Q1643:AC1643" si="8295">countif($D1643,"*"&amp;Q$2&amp;"*")</f>
        <v>0</v>
      </c>
      <c r="R1643" s="200">
        <f t="shared" si="8295"/>
        <v>0</v>
      </c>
      <c r="S1643" s="200">
        <f t="shared" si="8295"/>
        <v>0</v>
      </c>
      <c r="T1643" s="200">
        <f t="shared" si="8295"/>
        <v>0</v>
      </c>
      <c r="U1643" s="200">
        <f t="shared" si="8295"/>
        <v>0</v>
      </c>
      <c r="V1643" s="200">
        <f t="shared" si="8295"/>
        <v>0</v>
      </c>
      <c r="W1643" s="200">
        <f t="shared" si="8295"/>
        <v>0</v>
      </c>
      <c r="X1643" s="200">
        <f t="shared" si="8295"/>
        <v>0</v>
      </c>
      <c r="Y1643" s="200">
        <f t="shared" si="8295"/>
        <v>0</v>
      </c>
      <c r="Z1643" s="200">
        <f t="shared" si="8295"/>
        <v>0</v>
      </c>
      <c r="AA1643" s="200">
        <f t="shared" si="8295"/>
        <v>0</v>
      </c>
      <c r="AB1643" s="200">
        <f t="shared" si="8295"/>
        <v>0</v>
      </c>
      <c r="AC1643" s="200">
        <f t="shared" si="8295"/>
        <v>0</v>
      </c>
      <c r="AD1643" s="200">
        <f t="shared" si="11"/>
        <v>0</v>
      </c>
      <c r="AE1643" s="200">
        <f t="shared" ref="AE1643:AG1643" si="8296">countif($D1643,"*"&amp;AE$2&amp;"*")</f>
        <v>0</v>
      </c>
      <c r="AF1643" s="200">
        <f t="shared" si="8296"/>
        <v>0</v>
      </c>
      <c r="AG1643" s="200">
        <f t="shared" si="8296"/>
        <v>0</v>
      </c>
      <c r="AH1643" s="171">
        <f t="shared" si="13"/>
        <v>0</v>
      </c>
      <c r="AI1643" s="200">
        <f t="shared" si="14"/>
        <v>0</v>
      </c>
      <c r="AJ1643" s="200">
        <f t="shared" si="6100"/>
        <v>0</v>
      </c>
      <c r="AK1643" s="201">
        <f t="shared" ref="AK1643:AS1643" si="8297">countif($D1643,"*"&amp;AK$2&amp;"*")</f>
        <v>0</v>
      </c>
      <c r="AL1643" s="201">
        <f t="shared" si="8297"/>
        <v>0</v>
      </c>
      <c r="AM1643" s="201">
        <f t="shared" si="8297"/>
        <v>0</v>
      </c>
      <c r="AN1643" s="201">
        <f t="shared" si="8297"/>
        <v>0</v>
      </c>
      <c r="AO1643" s="201">
        <f t="shared" si="8297"/>
        <v>0</v>
      </c>
      <c r="AP1643" s="201">
        <f t="shared" si="8297"/>
        <v>0</v>
      </c>
      <c r="AQ1643" s="201">
        <f t="shared" si="8297"/>
        <v>0</v>
      </c>
      <c r="AR1643" s="200">
        <f t="shared" si="8297"/>
        <v>0</v>
      </c>
      <c r="AS1643" s="200">
        <f t="shared" si="8297"/>
        <v>0</v>
      </c>
      <c r="AT1643" s="173">
        <v>0.0</v>
      </c>
      <c r="AU1643" s="200">
        <f t="shared" si="6217"/>
        <v>0</v>
      </c>
      <c r="AV1643" s="200">
        <f t="shared" ref="AV1643:AX1643" si="8298">countif($D1643,"*"&amp;AV$2&amp;"*")</f>
        <v>1</v>
      </c>
      <c r="AW1643" s="200">
        <f t="shared" si="8298"/>
        <v>0</v>
      </c>
      <c r="AX1643" s="200">
        <f t="shared" si="8298"/>
        <v>0</v>
      </c>
      <c r="AY1643" s="202">
        <v>0.0</v>
      </c>
      <c r="AZ1643" s="200"/>
      <c r="BA1643" s="171" t="str">
        <f t="shared" si="18"/>
        <v/>
      </c>
      <c r="BB1643" s="171" t="str">
        <f t="shared" si="19"/>
        <v>Code</v>
      </c>
      <c r="BC1643" s="171" t="str">
        <f t="shared" si="20"/>
        <v/>
      </c>
      <c r="BD1643" s="171" t="str">
        <f t="shared" si="21"/>
        <v/>
      </c>
      <c r="BE1643" s="171" t="str">
        <f t="shared" si="22"/>
        <v/>
      </c>
      <c r="BF1643" s="171" t="str">
        <f t="shared" si="23"/>
        <v>Code</v>
      </c>
    </row>
    <row r="1644">
      <c r="A1644" s="171">
        <f t="array" ref="A1644">XLOOKUP(C1644,FSE!A:A,FSE!C:C,"XXXXX",0,1)</f>
        <v>2020</v>
      </c>
      <c r="B1644" s="213" t="s">
        <v>5676</v>
      </c>
      <c r="C1644" s="214">
        <v>334.0</v>
      </c>
      <c r="D1644" s="215" t="s">
        <v>4485</v>
      </c>
      <c r="E1644" s="197" t="str">
        <f t="array" ref="E1644">XLOOKUP(C1644,FSE!A:A,FSE!Z:Z,"XXXXX",0,1)</f>
        <v>Publicly Available (1)</v>
      </c>
      <c r="F1644" s="213" t="s">
        <v>3394</v>
      </c>
      <c r="G1644" s="163" t="str">
        <f t="array" ref="G1644">IF(B1644="ICSE",IF(COUNTIFS(B:B,B1644,C:C,C1644)=XLOOKUP(C1644,ICSE!A:A,ICSE!AA:AA,"ERROR",0,1),"OK","ERROR"),IF(B1644="FSE",IF(COUNTIFS(B:B,B1644,C:C,C1644)=XLOOKUP(C1644,FSE!A:A,FSE!AA:AA,"ERROR",0,1),"OK","ERROR")))</f>
        <v>OK</v>
      </c>
      <c r="H1644" s="199">
        <f t="shared" ref="H1644:O1644" si="8299">countif($D1644,"*"&amp;H$2&amp;"*")</f>
        <v>1</v>
      </c>
      <c r="I1644" s="200">
        <f t="shared" si="8299"/>
        <v>0</v>
      </c>
      <c r="J1644" s="200">
        <f t="shared" si="8299"/>
        <v>0</v>
      </c>
      <c r="K1644" s="200">
        <f t="shared" si="8299"/>
        <v>0</v>
      </c>
      <c r="L1644" s="200">
        <f t="shared" si="8299"/>
        <v>0</v>
      </c>
      <c r="M1644" s="200">
        <f t="shared" si="8299"/>
        <v>0</v>
      </c>
      <c r="N1644" s="200">
        <f t="shared" si="8299"/>
        <v>0</v>
      </c>
      <c r="O1644" s="200">
        <f t="shared" si="8299"/>
        <v>0</v>
      </c>
      <c r="P1644" s="200">
        <f t="shared" si="9"/>
        <v>0</v>
      </c>
      <c r="Q1644" s="200">
        <f t="shared" ref="Q1644:AC1644" si="8300">countif($D1644,"*"&amp;Q$2&amp;"*")</f>
        <v>0</v>
      </c>
      <c r="R1644" s="200">
        <f t="shared" si="8300"/>
        <v>0</v>
      </c>
      <c r="S1644" s="200">
        <f t="shared" si="8300"/>
        <v>0</v>
      </c>
      <c r="T1644" s="200">
        <f t="shared" si="8300"/>
        <v>0</v>
      </c>
      <c r="U1644" s="200">
        <f t="shared" si="8300"/>
        <v>0</v>
      </c>
      <c r="V1644" s="200">
        <f t="shared" si="8300"/>
        <v>0</v>
      </c>
      <c r="W1644" s="200">
        <f t="shared" si="8300"/>
        <v>0</v>
      </c>
      <c r="X1644" s="200">
        <f t="shared" si="8300"/>
        <v>0</v>
      </c>
      <c r="Y1644" s="200">
        <f t="shared" si="8300"/>
        <v>0</v>
      </c>
      <c r="Z1644" s="200">
        <f t="shared" si="8300"/>
        <v>0</v>
      </c>
      <c r="AA1644" s="200">
        <f t="shared" si="8300"/>
        <v>0</v>
      </c>
      <c r="AB1644" s="200">
        <f t="shared" si="8300"/>
        <v>0</v>
      </c>
      <c r="AC1644" s="200">
        <f t="shared" si="8300"/>
        <v>0</v>
      </c>
      <c r="AD1644" s="200">
        <f t="shared" si="11"/>
        <v>0</v>
      </c>
      <c r="AE1644" s="200">
        <f t="shared" ref="AE1644:AG1644" si="8301">countif($D1644,"*"&amp;AE$2&amp;"*")</f>
        <v>0</v>
      </c>
      <c r="AF1644" s="200">
        <f t="shared" si="8301"/>
        <v>0</v>
      </c>
      <c r="AG1644" s="200">
        <f t="shared" si="8301"/>
        <v>0</v>
      </c>
      <c r="AH1644" s="171">
        <f t="shared" si="13"/>
        <v>0</v>
      </c>
      <c r="AI1644" s="200">
        <f t="shared" si="14"/>
        <v>1</v>
      </c>
      <c r="AJ1644" s="200">
        <f t="shared" si="6100"/>
        <v>0</v>
      </c>
      <c r="AK1644" s="201">
        <f t="shared" ref="AK1644:AS1644" si="8302">countif($D1644,"*"&amp;AK$2&amp;"*")</f>
        <v>0</v>
      </c>
      <c r="AL1644" s="201">
        <f t="shared" si="8302"/>
        <v>0</v>
      </c>
      <c r="AM1644" s="201">
        <f t="shared" si="8302"/>
        <v>0</v>
      </c>
      <c r="AN1644" s="201">
        <f t="shared" si="8302"/>
        <v>0</v>
      </c>
      <c r="AO1644" s="201">
        <f t="shared" si="8302"/>
        <v>0</v>
      </c>
      <c r="AP1644" s="201">
        <f t="shared" si="8302"/>
        <v>0</v>
      </c>
      <c r="AQ1644" s="201">
        <f t="shared" si="8302"/>
        <v>0</v>
      </c>
      <c r="AR1644" s="200">
        <f t="shared" si="8302"/>
        <v>0</v>
      </c>
      <c r="AS1644" s="200">
        <f t="shared" si="8302"/>
        <v>0</v>
      </c>
      <c r="AT1644" s="173">
        <v>0.0</v>
      </c>
      <c r="AU1644" s="200">
        <f t="shared" si="6217"/>
        <v>0</v>
      </c>
      <c r="AV1644" s="200">
        <f t="shared" ref="AV1644:AX1644" si="8303">countif($D1644,"*"&amp;AV$2&amp;"*")</f>
        <v>0</v>
      </c>
      <c r="AW1644" s="200">
        <f t="shared" si="8303"/>
        <v>0</v>
      </c>
      <c r="AX1644" s="200">
        <f t="shared" si="8303"/>
        <v>1</v>
      </c>
      <c r="AY1644" s="202">
        <v>0.0</v>
      </c>
      <c r="AZ1644" s="200"/>
      <c r="BA1644" s="171" t="str">
        <f t="shared" si="18"/>
        <v>Archival</v>
      </c>
      <c r="BB1644" s="171" t="str">
        <f t="shared" si="19"/>
        <v/>
      </c>
      <c r="BC1644" s="171" t="str">
        <f t="shared" si="20"/>
        <v/>
      </c>
      <c r="BD1644" s="171" t="str">
        <f t="shared" si="21"/>
        <v/>
      </c>
      <c r="BE1644" s="171" t="str">
        <f t="shared" si="22"/>
        <v/>
      </c>
      <c r="BF1644" s="171" t="str">
        <f t="shared" si="23"/>
        <v>Archival</v>
      </c>
    </row>
    <row r="1645">
      <c r="A1645" s="171">
        <f t="array" ref="A1645">XLOOKUP(C1645,FSE!A:A,FSE!C:C,"XXXXX",0,1)</f>
        <v>2020</v>
      </c>
      <c r="B1645" s="213" t="s">
        <v>5676</v>
      </c>
      <c r="C1645" s="214">
        <v>335.0</v>
      </c>
      <c r="D1645" s="215" t="s">
        <v>4488</v>
      </c>
      <c r="E1645" s="197" t="str">
        <f t="array" ref="E1645">XLOOKUP(C1645,FSE!A:A,FSE!Z:Z,"XXXXX",0,1)</f>
        <v>Publicly Available (1)</v>
      </c>
      <c r="F1645" s="213" t="s">
        <v>3394</v>
      </c>
      <c r="G1645" s="163" t="str">
        <f t="array" ref="G1645">IF(B1645="ICSE",IF(COUNTIFS(B:B,B1645,C:C,C1645)=XLOOKUP(C1645,ICSE!A:A,ICSE!AA:AA,"ERROR",0,1),"OK","ERROR"),IF(B1645="FSE",IF(COUNTIFS(B:B,B1645,C:C,C1645)=XLOOKUP(C1645,FSE!A:A,FSE!AA:AA,"ERROR",0,1),"OK","ERROR")))</f>
        <v>OK</v>
      </c>
      <c r="H1645" s="199">
        <f t="shared" ref="H1645:O1645" si="8304">countif($D1645,"*"&amp;H$2&amp;"*")</f>
        <v>0</v>
      </c>
      <c r="I1645" s="200">
        <f t="shared" si="8304"/>
        <v>1</v>
      </c>
      <c r="J1645" s="200">
        <f t="shared" si="8304"/>
        <v>0</v>
      </c>
      <c r="K1645" s="200">
        <f t="shared" si="8304"/>
        <v>0</v>
      </c>
      <c r="L1645" s="200">
        <f t="shared" si="8304"/>
        <v>0</v>
      </c>
      <c r="M1645" s="200">
        <f t="shared" si="8304"/>
        <v>0</v>
      </c>
      <c r="N1645" s="200">
        <f t="shared" si="8304"/>
        <v>0</v>
      </c>
      <c r="O1645" s="200">
        <f t="shared" si="8304"/>
        <v>0</v>
      </c>
      <c r="P1645" s="200">
        <f t="shared" si="9"/>
        <v>0</v>
      </c>
      <c r="Q1645" s="200">
        <f t="shared" ref="Q1645:AC1645" si="8305">countif($D1645,"*"&amp;Q$2&amp;"*")</f>
        <v>0</v>
      </c>
      <c r="R1645" s="200">
        <f t="shared" si="8305"/>
        <v>0</v>
      </c>
      <c r="S1645" s="200">
        <f t="shared" si="8305"/>
        <v>0</v>
      </c>
      <c r="T1645" s="200">
        <f t="shared" si="8305"/>
        <v>0</v>
      </c>
      <c r="U1645" s="200">
        <f t="shared" si="8305"/>
        <v>0</v>
      </c>
      <c r="V1645" s="200">
        <f t="shared" si="8305"/>
        <v>0</v>
      </c>
      <c r="W1645" s="200">
        <f t="shared" si="8305"/>
        <v>0</v>
      </c>
      <c r="X1645" s="200">
        <f t="shared" si="8305"/>
        <v>0</v>
      </c>
      <c r="Y1645" s="200">
        <f t="shared" si="8305"/>
        <v>0</v>
      </c>
      <c r="Z1645" s="200">
        <f t="shared" si="8305"/>
        <v>0</v>
      </c>
      <c r="AA1645" s="200">
        <f t="shared" si="8305"/>
        <v>0</v>
      </c>
      <c r="AB1645" s="200">
        <f t="shared" si="8305"/>
        <v>0</v>
      </c>
      <c r="AC1645" s="200">
        <f t="shared" si="8305"/>
        <v>0</v>
      </c>
      <c r="AD1645" s="200">
        <f t="shared" si="11"/>
        <v>0</v>
      </c>
      <c r="AE1645" s="200">
        <f t="shared" ref="AE1645:AG1645" si="8306">countif($D1645,"*"&amp;AE$2&amp;"*")</f>
        <v>0</v>
      </c>
      <c r="AF1645" s="200">
        <f t="shared" si="8306"/>
        <v>0</v>
      </c>
      <c r="AG1645" s="200">
        <f t="shared" si="8306"/>
        <v>0</v>
      </c>
      <c r="AH1645" s="171">
        <f t="shared" si="13"/>
        <v>0</v>
      </c>
      <c r="AI1645" s="200">
        <f t="shared" si="14"/>
        <v>1</v>
      </c>
      <c r="AJ1645" s="200">
        <f t="shared" si="6100"/>
        <v>0</v>
      </c>
      <c r="AK1645" s="201">
        <f t="shared" ref="AK1645:AS1645" si="8307">countif($D1645,"*"&amp;AK$2&amp;"*")</f>
        <v>0</v>
      </c>
      <c r="AL1645" s="201">
        <f t="shared" si="8307"/>
        <v>0</v>
      </c>
      <c r="AM1645" s="201">
        <f t="shared" si="8307"/>
        <v>0</v>
      </c>
      <c r="AN1645" s="201">
        <f t="shared" si="8307"/>
        <v>0</v>
      </c>
      <c r="AO1645" s="201">
        <f t="shared" si="8307"/>
        <v>0</v>
      </c>
      <c r="AP1645" s="201">
        <f t="shared" si="8307"/>
        <v>0</v>
      </c>
      <c r="AQ1645" s="201">
        <f t="shared" si="8307"/>
        <v>0</v>
      </c>
      <c r="AR1645" s="200">
        <f t="shared" si="8307"/>
        <v>0</v>
      </c>
      <c r="AS1645" s="200">
        <f t="shared" si="8307"/>
        <v>0</v>
      </c>
      <c r="AT1645" s="173">
        <v>0.0</v>
      </c>
      <c r="AU1645" s="200">
        <f t="shared" si="6217"/>
        <v>0</v>
      </c>
      <c r="AV1645" s="200">
        <f t="shared" ref="AV1645:AX1645" si="8308">countif($D1645,"*"&amp;AV$2&amp;"*")</f>
        <v>0</v>
      </c>
      <c r="AW1645" s="200">
        <f t="shared" si="8308"/>
        <v>0</v>
      </c>
      <c r="AX1645" s="200">
        <f t="shared" si="8308"/>
        <v>1</v>
      </c>
      <c r="AY1645" s="202">
        <v>0.0</v>
      </c>
      <c r="AZ1645" s="200"/>
      <c r="BA1645" s="171" t="str">
        <f t="shared" si="18"/>
        <v>Archival</v>
      </c>
      <c r="BB1645" s="171" t="str">
        <f t="shared" si="19"/>
        <v/>
      </c>
      <c r="BC1645" s="171" t="str">
        <f t="shared" si="20"/>
        <v/>
      </c>
      <c r="BD1645" s="171" t="str">
        <f t="shared" si="21"/>
        <v/>
      </c>
      <c r="BE1645" s="171" t="str">
        <f t="shared" si="22"/>
        <v/>
      </c>
      <c r="BF1645" s="171" t="str">
        <f t="shared" si="23"/>
        <v>Archival</v>
      </c>
    </row>
    <row r="1646">
      <c r="A1646" s="171">
        <f t="array" ref="A1646">XLOOKUP(C1646,FSE!A:A,FSE!C:C,"XXXXX",0,1)</f>
        <v>2020</v>
      </c>
      <c r="B1646" s="213" t="s">
        <v>5676</v>
      </c>
      <c r="C1646" s="214">
        <v>336.0</v>
      </c>
      <c r="D1646" s="215" t="s">
        <v>4491</v>
      </c>
      <c r="E1646" s="197" t="str">
        <f t="array" ref="E1646">XLOOKUP(C1646,FSE!A:A,FSE!Z:Z,"XXXXX",0,1)</f>
        <v>Publicly Available (1)</v>
      </c>
      <c r="F1646" s="213" t="s">
        <v>3394</v>
      </c>
      <c r="G1646" s="163" t="str">
        <f t="array" ref="G1646">IF(B1646="ICSE",IF(COUNTIFS(B:B,B1646,C:C,C1646)=XLOOKUP(C1646,ICSE!A:A,ICSE!AA:AA,"ERROR",0,1),"OK","ERROR"),IF(B1646="FSE",IF(COUNTIFS(B:B,B1646,C:C,C1646)=XLOOKUP(C1646,FSE!A:A,FSE!AA:AA,"ERROR",0,1),"OK","ERROR")))</f>
        <v>OK</v>
      </c>
      <c r="H1646" s="199">
        <f t="shared" ref="H1646:O1646" si="8309">countif($D1646,"*"&amp;H$2&amp;"*")</f>
        <v>0</v>
      </c>
      <c r="I1646" s="200">
        <f t="shared" si="8309"/>
        <v>0</v>
      </c>
      <c r="J1646" s="200">
        <f t="shared" si="8309"/>
        <v>0</v>
      </c>
      <c r="K1646" s="200">
        <f t="shared" si="8309"/>
        <v>0</v>
      </c>
      <c r="L1646" s="200">
        <f t="shared" si="8309"/>
        <v>0</v>
      </c>
      <c r="M1646" s="200">
        <f t="shared" si="8309"/>
        <v>0</v>
      </c>
      <c r="N1646" s="200">
        <f t="shared" si="8309"/>
        <v>0</v>
      </c>
      <c r="O1646" s="200">
        <f t="shared" si="8309"/>
        <v>0</v>
      </c>
      <c r="P1646" s="200">
        <f t="shared" si="9"/>
        <v>1</v>
      </c>
      <c r="Q1646" s="200">
        <f t="shared" ref="Q1646:AC1646" si="8310">countif($D1646,"*"&amp;Q$2&amp;"*")</f>
        <v>0</v>
      </c>
      <c r="R1646" s="200">
        <f t="shared" si="8310"/>
        <v>0</v>
      </c>
      <c r="S1646" s="200">
        <f t="shared" si="8310"/>
        <v>0</v>
      </c>
      <c r="T1646" s="200">
        <f t="shared" si="8310"/>
        <v>0</v>
      </c>
      <c r="U1646" s="200">
        <f t="shared" si="8310"/>
        <v>0</v>
      </c>
      <c r="V1646" s="200">
        <f t="shared" si="8310"/>
        <v>0</v>
      </c>
      <c r="W1646" s="200">
        <f t="shared" si="8310"/>
        <v>0</v>
      </c>
      <c r="X1646" s="200">
        <f t="shared" si="8310"/>
        <v>0</v>
      </c>
      <c r="Y1646" s="200">
        <f t="shared" si="8310"/>
        <v>0</v>
      </c>
      <c r="Z1646" s="200">
        <f t="shared" si="8310"/>
        <v>0</v>
      </c>
      <c r="AA1646" s="200">
        <f t="shared" si="8310"/>
        <v>0</v>
      </c>
      <c r="AB1646" s="200">
        <f t="shared" si="8310"/>
        <v>0</v>
      </c>
      <c r="AC1646" s="200">
        <f t="shared" si="8310"/>
        <v>0</v>
      </c>
      <c r="AD1646" s="200">
        <f t="shared" si="11"/>
        <v>0</v>
      </c>
      <c r="AE1646" s="200">
        <f t="shared" ref="AE1646:AG1646" si="8311">countif($D1646,"*"&amp;AE$2&amp;"*")</f>
        <v>0</v>
      </c>
      <c r="AF1646" s="200">
        <f t="shared" si="8311"/>
        <v>0</v>
      </c>
      <c r="AG1646" s="200">
        <f t="shared" si="8311"/>
        <v>0</v>
      </c>
      <c r="AH1646" s="171">
        <f t="shared" si="13"/>
        <v>0</v>
      </c>
      <c r="AI1646" s="200">
        <f t="shared" si="14"/>
        <v>0</v>
      </c>
      <c r="AJ1646" s="200">
        <f t="shared" si="6100"/>
        <v>0</v>
      </c>
      <c r="AK1646" s="201">
        <f t="shared" ref="AK1646:AS1646" si="8312">countif($D1646,"*"&amp;AK$2&amp;"*")</f>
        <v>0</v>
      </c>
      <c r="AL1646" s="201">
        <f t="shared" si="8312"/>
        <v>0</v>
      </c>
      <c r="AM1646" s="201">
        <f t="shared" si="8312"/>
        <v>0</v>
      </c>
      <c r="AN1646" s="201">
        <f t="shared" si="8312"/>
        <v>0</v>
      </c>
      <c r="AO1646" s="201">
        <f t="shared" si="8312"/>
        <v>0</v>
      </c>
      <c r="AP1646" s="201">
        <f t="shared" si="8312"/>
        <v>0</v>
      </c>
      <c r="AQ1646" s="201">
        <f t="shared" si="8312"/>
        <v>0</v>
      </c>
      <c r="AR1646" s="200">
        <f t="shared" si="8312"/>
        <v>0</v>
      </c>
      <c r="AS1646" s="200">
        <f t="shared" si="8312"/>
        <v>0</v>
      </c>
      <c r="AT1646" s="173">
        <v>0.0</v>
      </c>
      <c r="AU1646" s="200">
        <f t="shared" si="6217"/>
        <v>0</v>
      </c>
      <c r="AV1646" s="200">
        <f t="shared" ref="AV1646:AX1646" si="8313">countif($D1646,"*"&amp;AV$2&amp;"*")</f>
        <v>1</v>
      </c>
      <c r="AW1646" s="200">
        <f t="shared" si="8313"/>
        <v>0</v>
      </c>
      <c r="AX1646" s="200">
        <f t="shared" si="8313"/>
        <v>0</v>
      </c>
      <c r="AY1646" s="202">
        <v>0.0</v>
      </c>
      <c r="AZ1646" s="200"/>
      <c r="BA1646" s="171" t="str">
        <f t="shared" si="18"/>
        <v/>
      </c>
      <c r="BB1646" s="171" t="str">
        <f t="shared" si="19"/>
        <v>Code</v>
      </c>
      <c r="BC1646" s="171" t="str">
        <f t="shared" si="20"/>
        <v/>
      </c>
      <c r="BD1646" s="171" t="str">
        <f t="shared" si="21"/>
        <v/>
      </c>
      <c r="BE1646" s="171" t="str">
        <f t="shared" si="22"/>
        <v/>
      </c>
      <c r="BF1646" s="171" t="str">
        <f t="shared" si="23"/>
        <v>Code</v>
      </c>
    </row>
    <row r="1647">
      <c r="A1647" s="171">
        <f t="array" ref="A1647">XLOOKUP(C1647,FSE!A:A,FSE!C:C,"XXXXX",0,1)</f>
        <v>2020</v>
      </c>
      <c r="B1647" s="213" t="s">
        <v>5676</v>
      </c>
      <c r="C1647" s="214">
        <v>337.0</v>
      </c>
      <c r="D1647" s="215" t="s">
        <v>6356</v>
      </c>
      <c r="E1647" s="197" t="str">
        <f t="array" ref="E1647">XLOOKUP(C1647,FSE!A:A,FSE!Z:Z,"XXXXX",0,1)</f>
        <v>Publicly Available (2)</v>
      </c>
      <c r="F1647" s="213" t="s">
        <v>3394</v>
      </c>
      <c r="G1647" s="163" t="str">
        <f t="array" ref="G1647">IF(B1647="ICSE",IF(COUNTIFS(B:B,B1647,C:C,C1647)=XLOOKUP(C1647,ICSE!A:A,ICSE!AA:AA,"ERROR",0,1),"OK","ERROR"),IF(B1647="FSE",IF(COUNTIFS(B:B,B1647,C:C,C1647)=XLOOKUP(C1647,FSE!A:A,FSE!AA:AA,"ERROR",0,1),"OK","ERROR")))</f>
        <v>OK</v>
      </c>
      <c r="H1647" s="199">
        <f t="shared" ref="H1647:O1647" si="8314">countif($D1647,"*"&amp;H$2&amp;"*")</f>
        <v>0</v>
      </c>
      <c r="I1647" s="200">
        <f t="shared" si="8314"/>
        <v>0</v>
      </c>
      <c r="J1647" s="200">
        <f t="shared" si="8314"/>
        <v>0</v>
      </c>
      <c r="K1647" s="200">
        <f t="shared" si="8314"/>
        <v>0</v>
      </c>
      <c r="L1647" s="200">
        <f t="shared" si="8314"/>
        <v>0</v>
      </c>
      <c r="M1647" s="200">
        <f t="shared" si="8314"/>
        <v>0</v>
      </c>
      <c r="N1647" s="200">
        <f t="shared" si="8314"/>
        <v>0</v>
      </c>
      <c r="O1647" s="200">
        <f t="shared" si="8314"/>
        <v>0</v>
      </c>
      <c r="P1647" s="200">
        <f t="shared" si="9"/>
        <v>1</v>
      </c>
      <c r="Q1647" s="200">
        <f t="shared" ref="Q1647:AC1647" si="8315">countif($D1647,"*"&amp;Q$2&amp;"*")</f>
        <v>0</v>
      </c>
      <c r="R1647" s="200">
        <f t="shared" si="8315"/>
        <v>0</v>
      </c>
      <c r="S1647" s="200">
        <f t="shared" si="8315"/>
        <v>0</v>
      </c>
      <c r="T1647" s="200">
        <f t="shared" si="8315"/>
        <v>0</v>
      </c>
      <c r="U1647" s="200">
        <f t="shared" si="8315"/>
        <v>0</v>
      </c>
      <c r="V1647" s="200">
        <f t="shared" si="8315"/>
        <v>0</v>
      </c>
      <c r="W1647" s="200">
        <f t="shared" si="8315"/>
        <v>0</v>
      </c>
      <c r="X1647" s="200">
        <f t="shared" si="8315"/>
        <v>0</v>
      </c>
      <c r="Y1647" s="200">
        <f t="shared" si="8315"/>
        <v>0</v>
      </c>
      <c r="Z1647" s="200">
        <f t="shared" si="8315"/>
        <v>0</v>
      </c>
      <c r="AA1647" s="200">
        <f t="shared" si="8315"/>
        <v>0</v>
      </c>
      <c r="AB1647" s="200">
        <f t="shared" si="8315"/>
        <v>0</v>
      </c>
      <c r="AC1647" s="200">
        <f t="shared" si="8315"/>
        <v>0</v>
      </c>
      <c r="AD1647" s="200">
        <f t="shared" si="11"/>
        <v>0</v>
      </c>
      <c r="AE1647" s="200">
        <f t="shared" ref="AE1647:AG1647" si="8316">countif($D1647,"*"&amp;AE$2&amp;"*")</f>
        <v>0</v>
      </c>
      <c r="AF1647" s="200">
        <f t="shared" si="8316"/>
        <v>0</v>
      </c>
      <c r="AG1647" s="200">
        <f t="shared" si="8316"/>
        <v>0</v>
      </c>
      <c r="AH1647" s="171">
        <f t="shared" si="13"/>
        <v>0</v>
      </c>
      <c r="AI1647" s="200">
        <f t="shared" si="14"/>
        <v>0</v>
      </c>
      <c r="AJ1647" s="200">
        <f t="shared" si="6100"/>
        <v>0</v>
      </c>
      <c r="AK1647" s="201">
        <f t="shared" ref="AK1647:AS1647" si="8317">countif($D1647,"*"&amp;AK$2&amp;"*")</f>
        <v>0</v>
      </c>
      <c r="AL1647" s="201">
        <f t="shared" si="8317"/>
        <v>0</v>
      </c>
      <c r="AM1647" s="201">
        <f t="shared" si="8317"/>
        <v>0</v>
      </c>
      <c r="AN1647" s="201">
        <f t="shared" si="8317"/>
        <v>0</v>
      </c>
      <c r="AO1647" s="201">
        <f t="shared" si="8317"/>
        <v>0</v>
      </c>
      <c r="AP1647" s="201">
        <f t="shared" si="8317"/>
        <v>0</v>
      </c>
      <c r="AQ1647" s="201">
        <f t="shared" si="8317"/>
        <v>0</v>
      </c>
      <c r="AR1647" s="200">
        <f t="shared" si="8317"/>
        <v>0</v>
      </c>
      <c r="AS1647" s="200">
        <f t="shared" si="8317"/>
        <v>0</v>
      </c>
      <c r="AT1647" s="173">
        <v>0.0</v>
      </c>
      <c r="AU1647" s="200">
        <f t="shared" si="6217"/>
        <v>0</v>
      </c>
      <c r="AV1647" s="200">
        <f t="shared" ref="AV1647:AX1647" si="8318">countif($D1647,"*"&amp;AV$2&amp;"*")</f>
        <v>1</v>
      </c>
      <c r="AW1647" s="200">
        <f t="shared" si="8318"/>
        <v>0</v>
      </c>
      <c r="AX1647" s="200">
        <f t="shared" si="8318"/>
        <v>0</v>
      </c>
      <c r="AY1647" s="202">
        <v>0.0</v>
      </c>
      <c r="AZ1647" s="200"/>
      <c r="BA1647" s="171" t="str">
        <f t="shared" si="18"/>
        <v/>
      </c>
      <c r="BB1647" s="171" t="str">
        <f t="shared" si="19"/>
        <v>Code</v>
      </c>
      <c r="BC1647" s="171" t="str">
        <f t="shared" si="20"/>
        <v/>
      </c>
      <c r="BD1647" s="171" t="str">
        <f t="shared" si="21"/>
        <v/>
      </c>
      <c r="BE1647" s="171" t="str">
        <f t="shared" si="22"/>
        <v/>
      </c>
      <c r="BF1647" s="171" t="str">
        <f t="shared" si="23"/>
        <v>Code</v>
      </c>
    </row>
    <row r="1648">
      <c r="A1648" s="171">
        <f t="array" ref="A1648">XLOOKUP(C1648,FSE!A:A,FSE!C:C,"XXXXX",0,1)</f>
        <v>2020</v>
      </c>
      <c r="B1648" s="213" t="s">
        <v>5676</v>
      </c>
      <c r="C1648" s="214">
        <v>337.0</v>
      </c>
      <c r="D1648" s="215" t="s">
        <v>6357</v>
      </c>
      <c r="E1648" s="197" t="str">
        <f t="array" ref="E1648">XLOOKUP(C1648,FSE!A:A,FSE!Z:Z,"XXXXX",0,1)</f>
        <v>Publicly Available (2)</v>
      </c>
      <c r="F1648" s="213" t="s">
        <v>3394</v>
      </c>
      <c r="G1648" s="163" t="str">
        <f t="array" ref="G1648">IF(B1648="ICSE",IF(COUNTIFS(B:B,B1648,C:C,C1648)=XLOOKUP(C1648,ICSE!A:A,ICSE!AA:AA,"ERROR",0,1),"OK","ERROR"),IF(B1648="FSE",IF(COUNTIFS(B:B,B1648,C:C,C1648)=XLOOKUP(C1648,FSE!A:A,FSE!AA:AA,"ERROR",0,1),"OK","ERROR")))</f>
        <v>OK</v>
      </c>
      <c r="H1648" s="199">
        <f t="shared" ref="H1648:O1648" si="8319">countif($D1648,"*"&amp;H$2&amp;"*")</f>
        <v>1</v>
      </c>
      <c r="I1648" s="200">
        <f t="shared" si="8319"/>
        <v>0</v>
      </c>
      <c r="J1648" s="200">
        <f t="shared" si="8319"/>
        <v>0</v>
      </c>
      <c r="K1648" s="200">
        <f t="shared" si="8319"/>
        <v>0</v>
      </c>
      <c r="L1648" s="200">
        <f t="shared" si="8319"/>
        <v>0</v>
      </c>
      <c r="M1648" s="200">
        <f t="shared" si="8319"/>
        <v>0</v>
      </c>
      <c r="N1648" s="200">
        <f t="shared" si="8319"/>
        <v>0</v>
      </c>
      <c r="O1648" s="200">
        <f t="shared" si="8319"/>
        <v>0</v>
      </c>
      <c r="P1648" s="200">
        <f t="shared" si="9"/>
        <v>0</v>
      </c>
      <c r="Q1648" s="200">
        <f t="shared" ref="Q1648:AC1648" si="8320">countif($D1648,"*"&amp;Q$2&amp;"*")</f>
        <v>0</v>
      </c>
      <c r="R1648" s="200">
        <f t="shared" si="8320"/>
        <v>0</v>
      </c>
      <c r="S1648" s="200">
        <f t="shared" si="8320"/>
        <v>0</v>
      </c>
      <c r="T1648" s="200">
        <f t="shared" si="8320"/>
        <v>0</v>
      </c>
      <c r="U1648" s="200">
        <f t="shared" si="8320"/>
        <v>0</v>
      </c>
      <c r="V1648" s="200">
        <f t="shared" si="8320"/>
        <v>0</v>
      </c>
      <c r="W1648" s="200">
        <f t="shared" si="8320"/>
        <v>0</v>
      </c>
      <c r="X1648" s="200">
        <f t="shared" si="8320"/>
        <v>0</v>
      </c>
      <c r="Y1648" s="200">
        <f t="shared" si="8320"/>
        <v>0</v>
      </c>
      <c r="Z1648" s="200">
        <f t="shared" si="8320"/>
        <v>0</v>
      </c>
      <c r="AA1648" s="200">
        <f t="shared" si="8320"/>
        <v>0</v>
      </c>
      <c r="AB1648" s="200">
        <f t="shared" si="8320"/>
        <v>0</v>
      </c>
      <c r="AC1648" s="200">
        <f t="shared" si="8320"/>
        <v>0</v>
      </c>
      <c r="AD1648" s="200">
        <f t="shared" si="11"/>
        <v>0</v>
      </c>
      <c r="AE1648" s="200">
        <f t="shared" ref="AE1648:AG1648" si="8321">countif($D1648,"*"&amp;AE$2&amp;"*")</f>
        <v>0</v>
      </c>
      <c r="AF1648" s="200">
        <f t="shared" si="8321"/>
        <v>0</v>
      </c>
      <c r="AG1648" s="200">
        <f t="shared" si="8321"/>
        <v>0</v>
      </c>
      <c r="AH1648" s="171">
        <f t="shared" si="13"/>
        <v>0</v>
      </c>
      <c r="AI1648" s="200">
        <f t="shared" si="14"/>
        <v>1</v>
      </c>
      <c r="AJ1648" s="200">
        <f t="shared" si="6100"/>
        <v>0</v>
      </c>
      <c r="AK1648" s="201">
        <f t="shared" ref="AK1648:AS1648" si="8322">countif($D1648,"*"&amp;AK$2&amp;"*")</f>
        <v>0</v>
      </c>
      <c r="AL1648" s="201">
        <f t="shared" si="8322"/>
        <v>0</v>
      </c>
      <c r="AM1648" s="201">
        <f t="shared" si="8322"/>
        <v>0</v>
      </c>
      <c r="AN1648" s="201">
        <f t="shared" si="8322"/>
        <v>0</v>
      </c>
      <c r="AO1648" s="201">
        <f t="shared" si="8322"/>
        <v>0</v>
      </c>
      <c r="AP1648" s="201">
        <f t="shared" si="8322"/>
        <v>0</v>
      </c>
      <c r="AQ1648" s="201">
        <f t="shared" si="8322"/>
        <v>0</v>
      </c>
      <c r="AR1648" s="200">
        <f t="shared" si="8322"/>
        <v>0</v>
      </c>
      <c r="AS1648" s="200">
        <f t="shared" si="8322"/>
        <v>0</v>
      </c>
      <c r="AT1648" s="173">
        <v>0.0</v>
      </c>
      <c r="AU1648" s="200">
        <f t="shared" si="6217"/>
        <v>0</v>
      </c>
      <c r="AV1648" s="200">
        <f t="shared" ref="AV1648:AX1648" si="8323">countif($D1648,"*"&amp;AV$2&amp;"*")</f>
        <v>0</v>
      </c>
      <c r="AW1648" s="200">
        <f t="shared" si="8323"/>
        <v>0</v>
      </c>
      <c r="AX1648" s="200">
        <f t="shared" si="8323"/>
        <v>1</v>
      </c>
      <c r="AY1648" s="202">
        <v>0.0</v>
      </c>
      <c r="AZ1648" s="200"/>
      <c r="BA1648" s="171" t="str">
        <f t="shared" si="18"/>
        <v>Archival</v>
      </c>
      <c r="BB1648" s="171" t="str">
        <f t="shared" si="19"/>
        <v/>
      </c>
      <c r="BC1648" s="171" t="str">
        <f t="shared" si="20"/>
        <v/>
      </c>
      <c r="BD1648" s="171" t="str">
        <f t="shared" si="21"/>
        <v/>
      </c>
      <c r="BE1648" s="171" t="str">
        <f t="shared" si="22"/>
        <v/>
      </c>
      <c r="BF1648" s="171" t="str">
        <f t="shared" si="23"/>
        <v>Archival</v>
      </c>
    </row>
    <row r="1649">
      <c r="A1649" s="171">
        <f t="array" ref="A1649">XLOOKUP(C1649,FSE!A:A,FSE!C:C,"XXXXX",0,1)</f>
        <v>2020</v>
      </c>
      <c r="B1649" s="213" t="s">
        <v>5676</v>
      </c>
      <c r="C1649" s="214">
        <v>338.0</v>
      </c>
      <c r="D1649" s="215" t="s">
        <v>4498</v>
      </c>
      <c r="E1649" s="197" t="str">
        <f t="array" ref="E1649">XLOOKUP(C1649,FSE!A:A,FSE!Z:Z,"XXXXX",0,1)</f>
        <v>Publicly Available (1)</v>
      </c>
      <c r="F1649" s="213" t="s">
        <v>3394</v>
      </c>
      <c r="G1649" s="163" t="str">
        <f t="array" ref="G1649">IF(B1649="ICSE",IF(COUNTIFS(B:B,B1649,C:C,C1649)=XLOOKUP(C1649,ICSE!A:A,ICSE!AA:AA,"ERROR",0,1),"OK","ERROR"),IF(B1649="FSE",IF(COUNTIFS(B:B,B1649,C:C,C1649)=XLOOKUP(C1649,FSE!A:A,FSE!AA:AA,"ERROR",0,1),"OK","ERROR")))</f>
        <v>OK</v>
      </c>
      <c r="H1649" s="199">
        <f t="shared" ref="H1649:O1649" si="8324">countif($D1649,"*"&amp;H$2&amp;"*")</f>
        <v>0</v>
      </c>
      <c r="I1649" s="200">
        <f t="shared" si="8324"/>
        <v>0</v>
      </c>
      <c r="J1649" s="200">
        <f t="shared" si="8324"/>
        <v>0</v>
      </c>
      <c r="K1649" s="200">
        <f t="shared" si="8324"/>
        <v>0</v>
      </c>
      <c r="L1649" s="200">
        <f t="shared" si="8324"/>
        <v>0</v>
      </c>
      <c r="M1649" s="200">
        <f t="shared" si="8324"/>
        <v>0</v>
      </c>
      <c r="N1649" s="200">
        <f t="shared" si="8324"/>
        <v>0</v>
      </c>
      <c r="O1649" s="200">
        <f t="shared" si="8324"/>
        <v>0</v>
      </c>
      <c r="P1649" s="200">
        <f t="shared" si="9"/>
        <v>1</v>
      </c>
      <c r="Q1649" s="200">
        <f t="shared" ref="Q1649:AC1649" si="8325">countif($D1649,"*"&amp;Q$2&amp;"*")</f>
        <v>0</v>
      </c>
      <c r="R1649" s="200">
        <f t="shared" si="8325"/>
        <v>0</v>
      </c>
      <c r="S1649" s="200">
        <f t="shared" si="8325"/>
        <v>0</v>
      </c>
      <c r="T1649" s="200">
        <f t="shared" si="8325"/>
        <v>0</v>
      </c>
      <c r="U1649" s="200">
        <f t="shared" si="8325"/>
        <v>0</v>
      </c>
      <c r="V1649" s="200">
        <f t="shared" si="8325"/>
        <v>0</v>
      </c>
      <c r="W1649" s="200">
        <f t="shared" si="8325"/>
        <v>0</v>
      </c>
      <c r="X1649" s="200">
        <f t="shared" si="8325"/>
        <v>0</v>
      </c>
      <c r="Y1649" s="200">
        <f t="shared" si="8325"/>
        <v>0</v>
      </c>
      <c r="Z1649" s="200">
        <f t="shared" si="8325"/>
        <v>0</v>
      </c>
      <c r="AA1649" s="200">
        <f t="shared" si="8325"/>
        <v>0</v>
      </c>
      <c r="AB1649" s="200">
        <f t="shared" si="8325"/>
        <v>0</v>
      </c>
      <c r="AC1649" s="200">
        <f t="shared" si="8325"/>
        <v>0</v>
      </c>
      <c r="AD1649" s="200">
        <f t="shared" si="11"/>
        <v>0</v>
      </c>
      <c r="AE1649" s="200">
        <f t="shared" ref="AE1649:AG1649" si="8326">countif($D1649,"*"&amp;AE$2&amp;"*")</f>
        <v>0</v>
      </c>
      <c r="AF1649" s="200">
        <f t="shared" si="8326"/>
        <v>0</v>
      </c>
      <c r="AG1649" s="200">
        <f t="shared" si="8326"/>
        <v>0</v>
      </c>
      <c r="AH1649" s="171">
        <f t="shared" si="13"/>
        <v>0</v>
      </c>
      <c r="AI1649" s="200">
        <f t="shared" si="14"/>
        <v>0</v>
      </c>
      <c r="AJ1649" s="200">
        <f t="shared" si="6100"/>
        <v>0</v>
      </c>
      <c r="AK1649" s="201">
        <f t="shared" ref="AK1649:AS1649" si="8327">countif($D1649,"*"&amp;AK$2&amp;"*")</f>
        <v>0</v>
      </c>
      <c r="AL1649" s="201">
        <f t="shared" si="8327"/>
        <v>0</v>
      </c>
      <c r="AM1649" s="201">
        <f t="shared" si="8327"/>
        <v>0</v>
      </c>
      <c r="AN1649" s="201">
        <f t="shared" si="8327"/>
        <v>0</v>
      </c>
      <c r="AO1649" s="201">
        <f t="shared" si="8327"/>
        <v>0</v>
      </c>
      <c r="AP1649" s="201">
        <f t="shared" si="8327"/>
        <v>0</v>
      </c>
      <c r="AQ1649" s="201">
        <f t="shared" si="8327"/>
        <v>0</v>
      </c>
      <c r="AR1649" s="200">
        <f t="shared" si="8327"/>
        <v>0</v>
      </c>
      <c r="AS1649" s="200">
        <f t="shared" si="8327"/>
        <v>0</v>
      </c>
      <c r="AT1649" s="173">
        <v>0.0</v>
      </c>
      <c r="AU1649" s="200">
        <f t="shared" si="6217"/>
        <v>0</v>
      </c>
      <c r="AV1649" s="200">
        <f t="shared" ref="AV1649:AX1649" si="8328">countif($D1649,"*"&amp;AV$2&amp;"*")</f>
        <v>1</v>
      </c>
      <c r="AW1649" s="200">
        <f t="shared" si="8328"/>
        <v>0</v>
      </c>
      <c r="AX1649" s="200">
        <f t="shared" si="8328"/>
        <v>0</v>
      </c>
      <c r="AY1649" s="202">
        <v>0.0</v>
      </c>
      <c r="AZ1649" s="200"/>
      <c r="BA1649" s="171" t="str">
        <f t="shared" si="18"/>
        <v/>
      </c>
      <c r="BB1649" s="171" t="str">
        <f t="shared" si="19"/>
        <v>Code</v>
      </c>
      <c r="BC1649" s="171" t="str">
        <f t="shared" si="20"/>
        <v/>
      </c>
      <c r="BD1649" s="171" t="str">
        <f t="shared" si="21"/>
        <v/>
      </c>
      <c r="BE1649" s="171" t="str">
        <f t="shared" si="22"/>
        <v/>
      </c>
      <c r="BF1649" s="171" t="str">
        <f t="shared" si="23"/>
        <v>Code</v>
      </c>
    </row>
    <row r="1650">
      <c r="A1650" s="171">
        <f t="array" ref="A1650">XLOOKUP(C1650,FSE!A:A,FSE!C:C,"XXXXX",0,1)</f>
        <v>2020</v>
      </c>
      <c r="B1650" s="213" t="s">
        <v>5676</v>
      </c>
      <c r="C1650" s="214">
        <v>339.0</v>
      </c>
      <c r="D1650" s="215" t="s">
        <v>6358</v>
      </c>
      <c r="E1650" s="197" t="str">
        <f t="array" ref="E1650">XLOOKUP(C1650,FSE!A:A,FSE!Z:Z,"XXXXX",0,1)</f>
        <v>Publicly Available (2)</v>
      </c>
      <c r="F1650" s="213" t="s">
        <v>3394</v>
      </c>
      <c r="G1650" s="163" t="str">
        <f t="array" ref="G1650">IF(B1650="ICSE",IF(COUNTIFS(B:B,B1650,C:C,C1650)=XLOOKUP(C1650,ICSE!A:A,ICSE!AA:AA,"ERROR",0,1),"OK","ERROR"),IF(B1650="FSE",IF(COUNTIFS(B:B,B1650,C:C,C1650)=XLOOKUP(C1650,FSE!A:A,FSE!AA:AA,"ERROR",0,1),"OK","ERROR")))</f>
        <v>OK</v>
      </c>
      <c r="H1650" s="199">
        <f t="shared" ref="H1650:O1650" si="8329">countif($D1650,"*"&amp;H$2&amp;"*")</f>
        <v>1</v>
      </c>
      <c r="I1650" s="200">
        <f t="shared" si="8329"/>
        <v>0</v>
      </c>
      <c r="J1650" s="200">
        <f t="shared" si="8329"/>
        <v>0</v>
      </c>
      <c r="K1650" s="200">
        <f t="shared" si="8329"/>
        <v>0</v>
      </c>
      <c r="L1650" s="200">
        <f t="shared" si="8329"/>
        <v>0</v>
      </c>
      <c r="M1650" s="200">
        <f t="shared" si="8329"/>
        <v>0</v>
      </c>
      <c r="N1650" s="200">
        <f t="shared" si="8329"/>
        <v>0</v>
      </c>
      <c r="O1650" s="200">
        <f t="shared" si="8329"/>
        <v>0</v>
      </c>
      <c r="P1650" s="200">
        <f t="shared" si="9"/>
        <v>0</v>
      </c>
      <c r="Q1650" s="200">
        <f t="shared" ref="Q1650:AC1650" si="8330">countif($D1650,"*"&amp;Q$2&amp;"*")</f>
        <v>0</v>
      </c>
      <c r="R1650" s="200">
        <f t="shared" si="8330"/>
        <v>0</v>
      </c>
      <c r="S1650" s="200">
        <f t="shared" si="8330"/>
        <v>0</v>
      </c>
      <c r="T1650" s="200">
        <f t="shared" si="8330"/>
        <v>0</v>
      </c>
      <c r="U1650" s="200">
        <f t="shared" si="8330"/>
        <v>0</v>
      </c>
      <c r="V1650" s="200">
        <f t="shared" si="8330"/>
        <v>0</v>
      </c>
      <c r="W1650" s="200">
        <f t="shared" si="8330"/>
        <v>0</v>
      </c>
      <c r="X1650" s="200">
        <f t="shared" si="8330"/>
        <v>0</v>
      </c>
      <c r="Y1650" s="200">
        <f t="shared" si="8330"/>
        <v>0</v>
      </c>
      <c r="Z1650" s="200">
        <f t="shared" si="8330"/>
        <v>0</v>
      </c>
      <c r="AA1650" s="200">
        <f t="shared" si="8330"/>
        <v>0</v>
      </c>
      <c r="AB1650" s="200">
        <f t="shared" si="8330"/>
        <v>0</v>
      </c>
      <c r="AC1650" s="200">
        <f t="shared" si="8330"/>
        <v>0</v>
      </c>
      <c r="AD1650" s="200">
        <f t="shared" si="11"/>
        <v>0</v>
      </c>
      <c r="AE1650" s="200">
        <f t="shared" ref="AE1650:AG1650" si="8331">countif($D1650,"*"&amp;AE$2&amp;"*")</f>
        <v>0</v>
      </c>
      <c r="AF1650" s="200">
        <f t="shared" si="8331"/>
        <v>0</v>
      </c>
      <c r="AG1650" s="200">
        <f t="shared" si="8331"/>
        <v>0</v>
      </c>
      <c r="AH1650" s="171">
        <f t="shared" si="13"/>
        <v>0</v>
      </c>
      <c r="AI1650" s="200">
        <f t="shared" si="14"/>
        <v>1</v>
      </c>
      <c r="AJ1650" s="200">
        <f t="shared" si="6100"/>
        <v>0</v>
      </c>
      <c r="AK1650" s="201">
        <f t="shared" ref="AK1650:AS1650" si="8332">countif($D1650,"*"&amp;AK$2&amp;"*")</f>
        <v>0</v>
      </c>
      <c r="AL1650" s="201">
        <f t="shared" si="8332"/>
        <v>0</v>
      </c>
      <c r="AM1650" s="201">
        <f t="shared" si="8332"/>
        <v>0</v>
      </c>
      <c r="AN1650" s="201">
        <f t="shared" si="8332"/>
        <v>0</v>
      </c>
      <c r="AO1650" s="201">
        <f t="shared" si="8332"/>
        <v>0</v>
      </c>
      <c r="AP1650" s="201">
        <f t="shared" si="8332"/>
        <v>0</v>
      </c>
      <c r="AQ1650" s="201">
        <f t="shared" si="8332"/>
        <v>0</v>
      </c>
      <c r="AR1650" s="200">
        <f t="shared" si="8332"/>
        <v>0</v>
      </c>
      <c r="AS1650" s="200">
        <f t="shared" si="8332"/>
        <v>0</v>
      </c>
      <c r="AT1650" s="173">
        <v>0.0</v>
      </c>
      <c r="AU1650" s="200">
        <f t="shared" si="6217"/>
        <v>0</v>
      </c>
      <c r="AV1650" s="200">
        <f t="shared" ref="AV1650:AX1650" si="8333">countif($D1650,"*"&amp;AV$2&amp;"*")</f>
        <v>0</v>
      </c>
      <c r="AW1650" s="200">
        <f t="shared" si="8333"/>
        <v>0</v>
      </c>
      <c r="AX1650" s="200">
        <f t="shared" si="8333"/>
        <v>1</v>
      </c>
      <c r="AY1650" s="202">
        <v>0.0</v>
      </c>
      <c r="AZ1650" s="200"/>
      <c r="BA1650" s="171" t="str">
        <f t="shared" si="18"/>
        <v>Archival</v>
      </c>
      <c r="BB1650" s="171" t="str">
        <f t="shared" si="19"/>
        <v/>
      </c>
      <c r="BC1650" s="171" t="str">
        <f t="shared" si="20"/>
        <v/>
      </c>
      <c r="BD1650" s="171" t="str">
        <f t="shared" si="21"/>
        <v/>
      </c>
      <c r="BE1650" s="171" t="str">
        <f t="shared" si="22"/>
        <v/>
      </c>
      <c r="BF1650" s="171" t="str">
        <f t="shared" si="23"/>
        <v>Archival</v>
      </c>
    </row>
    <row r="1651">
      <c r="A1651" s="171">
        <f t="array" ref="A1651">XLOOKUP(C1651,FSE!A:A,FSE!C:C,"XXXXX",0,1)</f>
        <v>2020</v>
      </c>
      <c r="B1651" s="213" t="s">
        <v>5676</v>
      </c>
      <c r="C1651" s="214">
        <v>339.0</v>
      </c>
      <c r="D1651" s="215" t="s">
        <v>6359</v>
      </c>
      <c r="E1651" s="197" t="str">
        <f t="array" ref="E1651">XLOOKUP(C1651,FSE!A:A,FSE!Z:Z,"XXXXX",0,1)</f>
        <v>Publicly Available (2)</v>
      </c>
      <c r="F1651" s="213" t="s">
        <v>3394</v>
      </c>
      <c r="G1651" s="163" t="str">
        <f t="array" ref="G1651">IF(B1651="ICSE",IF(COUNTIFS(B:B,B1651,C:C,C1651)=XLOOKUP(C1651,ICSE!A:A,ICSE!AA:AA,"ERROR",0,1),"OK","ERROR"),IF(B1651="FSE",IF(COUNTIFS(B:B,B1651,C:C,C1651)=XLOOKUP(C1651,FSE!A:A,FSE!AA:AA,"ERROR",0,1),"OK","ERROR")))</f>
        <v>OK</v>
      </c>
      <c r="H1651" s="199">
        <f t="shared" ref="H1651:O1651" si="8334">countif($D1651,"*"&amp;H$2&amp;"*")</f>
        <v>1</v>
      </c>
      <c r="I1651" s="200">
        <f t="shared" si="8334"/>
        <v>0</v>
      </c>
      <c r="J1651" s="200">
        <f t="shared" si="8334"/>
        <v>0</v>
      </c>
      <c r="K1651" s="200">
        <f t="shared" si="8334"/>
        <v>0</v>
      </c>
      <c r="L1651" s="200">
        <f t="shared" si="8334"/>
        <v>0</v>
      </c>
      <c r="M1651" s="200">
        <f t="shared" si="8334"/>
        <v>0</v>
      </c>
      <c r="N1651" s="200">
        <f t="shared" si="8334"/>
        <v>0</v>
      </c>
      <c r="O1651" s="200">
        <f t="shared" si="8334"/>
        <v>0</v>
      </c>
      <c r="P1651" s="200">
        <f t="shared" si="9"/>
        <v>0</v>
      </c>
      <c r="Q1651" s="200">
        <f t="shared" ref="Q1651:AC1651" si="8335">countif($D1651,"*"&amp;Q$2&amp;"*")</f>
        <v>0</v>
      </c>
      <c r="R1651" s="200">
        <f t="shared" si="8335"/>
        <v>0</v>
      </c>
      <c r="S1651" s="200">
        <f t="shared" si="8335"/>
        <v>0</v>
      </c>
      <c r="T1651" s="200">
        <f t="shared" si="8335"/>
        <v>0</v>
      </c>
      <c r="U1651" s="200">
        <f t="shared" si="8335"/>
        <v>0</v>
      </c>
      <c r="V1651" s="200">
        <f t="shared" si="8335"/>
        <v>0</v>
      </c>
      <c r="W1651" s="200">
        <f t="shared" si="8335"/>
        <v>0</v>
      </c>
      <c r="X1651" s="200">
        <f t="shared" si="8335"/>
        <v>0</v>
      </c>
      <c r="Y1651" s="200">
        <f t="shared" si="8335"/>
        <v>0</v>
      </c>
      <c r="Z1651" s="200">
        <f t="shared" si="8335"/>
        <v>0</v>
      </c>
      <c r="AA1651" s="200">
        <f t="shared" si="8335"/>
        <v>0</v>
      </c>
      <c r="AB1651" s="200">
        <f t="shared" si="8335"/>
        <v>0</v>
      </c>
      <c r="AC1651" s="200">
        <f t="shared" si="8335"/>
        <v>0</v>
      </c>
      <c r="AD1651" s="200">
        <f t="shared" si="11"/>
        <v>0</v>
      </c>
      <c r="AE1651" s="200">
        <f t="shared" ref="AE1651:AG1651" si="8336">countif($D1651,"*"&amp;AE$2&amp;"*")</f>
        <v>0</v>
      </c>
      <c r="AF1651" s="200">
        <f t="shared" si="8336"/>
        <v>0</v>
      </c>
      <c r="AG1651" s="200">
        <f t="shared" si="8336"/>
        <v>0</v>
      </c>
      <c r="AH1651" s="171">
        <f t="shared" si="13"/>
        <v>0</v>
      </c>
      <c r="AI1651" s="200">
        <f t="shared" si="14"/>
        <v>1</v>
      </c>
      <c r="AJ1651" s="200">
        <f t="shared" si="6100"/>
        <v>0</v>
      </c>
      <c r="AK1651" s="201">
        <f t="shared" ref="AK1651:AS1651" si="8337">countif($D1651,"*"&amp;AK$2&amp;"*")</f>
        <v>0</v>
      </c>
      <c r="AL1651" s="201">
        <f t="shared" si="8337"/>
        <v>0</v>
      </c>
      <c r="AM1651" s="201">
        <f t="shared" si="8337"/>
        <v>0</v>
      </c>
      <c r="AN1651" s="201">
        <f t="shared" si="8337"/>
        <v>0</v>
      </c>
      <c r="AO1651" s="201">
        <f t="shared" si="8337"/>
        <v>0</v>
      </c>
      <c r="AP1651" s="201">
        <f t="shared" si="8337"/>
        <v>0</v>
      </c>
      <c r="AQ1651" s="201">
        <f t="shared" si="8337"/>
        <v>0</v>
      </c>
      <c r="AR1651" s="200">
        <f t="shared" si="8337"/>
        <v>0</v>
      </c>
      <c r="AS1651" s="200">
        <f t="shared" si="8337"/>
        <v>0</v>
      </c>
      <c r="AT1651" s="173">
        <v>0.0</v>
      </c>
      <c r="AU1651" s="200">
        <f t="shared" si="6217"/>
        <v>0</v>
      </c>
      <c r="AV1651" s="200">
        <f t="shared" ref="AV1651:AX1651" si="8338">countif($D1651,"*"&amp;AV$2&amp;"*")</f>
        <v>0</v>
      </c>
      <c r="AW1651" s="200">
        <f t="shared" si="8338"/>
        <v>0</v>
      </c>
      <c r="AX1651" s="200">
        <f t="shared" si="8338"/>
        <v>1</v>
      </c>
      <c r="AY1651" s="202">
        <v>0.0</v>
      </c>
      <c r="AZ1651" s="200"/>
      <c r="BA1651" s="171" t="str">
        <f t="shared" si="18"/>
        <v>Archival</v>
      </c>
      <c r="BB1651" s="171" t="str">
        <f t="shared" si="19"/>
        <v/>
      </c>
      <c r="BC1651" s="171" t="str">
        <f t="shared" si="20"/>
        <v/>
      </c>
      <c r="BD1651" s="171" t="str">
        <f t="shared" si="21"/>
        <v/>
      </c>
      <c r="BE1651" s="171" t="str">
        <f t="shared" si="22"/>
        <v/>
      </c>
      <c r="BF1651" s="171" t="str">
        <f t="shared" si="23"/>
        <v>Archival</v>
      </c>
    </row>
    <row r="1652">
      <c r="A1652" s="171">
        <f t="array" ref="A1652">XLOOKUP(C1652,FSE!A:A,FSE!C:C,"XXXXX",0,1)</f>
        <v>2020</v>
      </c>
      <c r="B1652" s="213" t="s">
        <v>5676</v>
      </c>
      <c r="C1652" s="219">
        <v>340.0</v>
      </c>
      <c r="D1652" s="217" t="s">
        <v>6360</v>
      </c>
      <c r="E1652" s="197" t="str">
        <f t="array" ref="E1652">XLOOKUP(C1652,FSE!A:A,FSE!Z:Z,"XXXXX",0,1)</f>
        <v>Publicly Available (2)</v>
      </c>
      <c r="F1652" s="213" t="s">
        <v>3394</v>
      </c>
      <c r="G1652" s="163" t="str">
        <f t="array" ref="G1652">IF(B1652="ICSE",IF(COUNTIFS(B:B,B1652,C:C,C1652)=XLOOKUP(C1652,ICSE!A:A,ICSE!AA:AA,"ERROR",0,1),"OK","ERROR"),IF(B1652="FSE",IF(COUNTIFS(B:B,B1652,C:C,C1652)=XLOOKUP(C1652,FSE!A:A,FSE!AA:AA,"ERROR",0,1),"OK","ERROR")))</f>
        <v>OK</v>
      </c>
      <c r="H1652" s="199">
        <f t="shared" ref="H1652:O1652" si="8339">countif($D1652,"*"&amp;H$2&amp;"*")</f>
        <v>0</v>
      </c>
      <c r="I1652" s="200">
        <f t="shared" si="8339"/>
        <v>1</v>
      </c>
      <c r="J1652" s="200">
        <f t="shared" si="8339"/>
        <v>0</v>
      </c>
      <c r="K1652" s="200">
        <f t="shared" si="8339"/>
        <v>0</v>
      </c>
      <c r="L1652" s="200">
        <f t="shared" si="8339"/>
        <v>0</v>
      </c>
      <c r="M1652" s="200">
        <f t="shared" si="8339"/>
        <v>0</v>
      </c>
      <c r="N1652" s="200">
        <f t="shared" si="8339"/>
        <v>0</v>
      </c>
      <c r="O1652" s="200">
        <f t="shared" si="8339"/>
        <v>0</v>
      </c>
      <c r="P1652" s="200">
        <f t="shared" si="9"/>
        <v>0</v>
      </c>
      <c r="Q1652" s="200">
        <f t="shared" ref="Q1652:AC1652" si="8340">countif($D1652,"*"&amp;Q$2&amp;"*")</f>
        <v>0</v>
      </c>
      <c r="R1652" s="200">
        <f t="shared" si="8340"/>
        <v>0</v>
      </c>
      <c r="S1652" s="200">
        <f t="shared" si="8340"/>
        <v>0</v>
      </c>
      <c r="T1652" s="200">
        <f t="shared" si="8340"/>
        <v>0</v>
      </c>
      <c r="U1652" s="200">
        <f t="shared" si="8340"/>
        <v>0</v>
      </c>
      <c r="V1652" s="200">
        <f t="shared" si="8340"/>
        <v>0</v>
      </c>
      <c r="W1652" s="200">
        <f t="shared" si="8340"/>
        <v>0</v>
      </c>
      <c r="X1652" s="200">
        <f t="shared" si="8340"/>
        <v>0</v>
      </c>
      <c r="Y1652" s="200">
        <f t="shared" si="8340"/>
        <v>0</v>
      </c>
      <c r="Z1652" s="200">
        <f t="shared" si="8340"/>
        <v>0</v>
      </c>
      <c r="AA1652" s="200">
        <f t="shared" si="8340"/>
        <v>0</v>
      </c>
      <c r="AB1652" s="200">
        <f t="shared" si="8340"/>
        <v>0</v>
      </c>
      <c r="AC1652" s="200">
        <f t="shared" si="8340"/>
        <v>0</v>
      </c>
      <c r="AD1652" s="200">
        <f t="shared" si="11"/>
        <v>0</v>
      </c>
      <c r="AE1652" s="200">
        <f t="shared" ref="AE1652:AG1652" si="8341">countif($D1652,"*"&amp;AE$2&amp;"*")</f>
        <v>0</v>
      </c>
      <c r="AF1652" s="200">
        <f t="shared" si="8341"/>
        <v>0</v>
      </c>
      <c r="AG1652" s="200">
        <f t="shared" si="8341"/>
        <v>0</v>
      </c>
      <c r="AH1652" s="171">
        <f t="shared" si="13"/>
        <v>0</v>
      </c>
      <c r="AI1652" s="200">
        <f t="shared" si="14"/>
        <v>1</v>
      </c>
      <c r="AJ1652" s="200">
        <f t="shared" si="6100"/>
        <v>0</v>
      </c>
      <c r="AK1652" s="201">
        <f t="shared" ref="AK1652:AS1652" si="8342">countif($D1652,"*"&amp;AK$2&amp;"*")</f>
        <v>0</v>
      </c>
      <c r="AL1652" s="201">
        <f t="shared" si="8342"/>
        <v>0</v>
      </c>
      <c r="AM1652" s="201">
        <f t="shared" si="8342"/>
        <v>0</v>
      </c>
      <c r="AN1652" s="201">
        <f t="shared" si="8342"/>
        <v>0</v>
      </c>
      <c r="AO1652" s="201">
        <f t="shared" si="8342"/>
        <v>0</v>
      </c>
      <c r="AP1652" s="201">
        <f t="shared" si="8342"/>
        <v>0</v>
      </c>
      <c r="AQ1652" s="201">
        <f t="shared" si="8342"/>
        <v>0</v>
      </c>
      <c r="AR1652" s="200">
        <f t="shared" si="8342"/>
        <v>0</v>
      </c>
      <c r="AS1652" s="200">
        <f t="shared" si="8342"/>
        <v>0</v>
      </c>
      <c r="AT1652" s="173">
        <v>0.0</v>
      </c>
      <c r="AU1652" s="200">
        <f t="shared" si="6217"/>
        <v>0</v>
      </c>
      <c r="AV1652" s="200">
        <f t="shared" ref="AV1652:AX1652" si="8343">countif($D1652,"*"&amp;AV$2&amp;"*")</f>
        <v>0</v>
      </c>
      <c r="AW1652" s="200">
        <f t="shared" si="8343"/>
        <v>0</v>
      </c>
      <c r="AX1652" s="200">
        <f t="shared" si="8343"/>
        <v>1</v>
      </c>
      <c r="AY1652" s="202">
        <v>0.0</v>
      </c>
      <c r="AZ1652" s="200"/>
      <c r="BA1652" s="171" t="str">
        <f t="shared" si="18"/>
        <v>Archival</v>
      </c>
      <c r="BB1652" s="171" t="str">
        <f t="shared" si="19"/>
        <v/>
      </c>
      <c r="BC1652" s="171" t="str">
        <f t="shared" si="20"/>
        <v/>
      </c>
      <c r="BD1652" s="171" t="str">
        <f t="shared" si="21"/>
        <v/>
      </c>
      <c r="BE1652" s="171" t="str">
        <f t="shared" si="22"/>
        <v/>
      </c>
      <c r="BF1652" s="171" t="str">
        <f t="shared" si="23"/>
        <v>Archival</v>
      </c>
    </row>
    <row r="1653">
      <c r="A1653" s="171">
        <f t="array" ref="A1653">XLOOKUP(C1653,FSE!A:A,FSE!C:C,"XXXXX",0,1)</f>
        <v>2020</v>
      </c>
      <c r="B1653" s="213" t="s">
        <v>5676</v>
      </c>
      <c r="C1653" s="214">
        <v>340.0</v>
      </c>
      <c r="D1653" s="215" t="s">
        <v>6361</v>
      </c>
      <c r="E1653" s="197" t="str">
        <f t="array" ref="E1653">XLOOKUP(C1653,FSE!A:A,FSE!Z:Z,"XXXXX",0,1)</f>
        <v>Publicly Available (2)</v>
      </c>
      <c r="F1653" s="213" t="s">
        <v>3394</v>
      </c>
      <c r="G1653" s="163" t="str">
        <f t="array" ref="G1653">IF(B1653="ICSE",IF(COUNTIFS(B:B,B1653,C:C,C1653)=XLOOKUP(C1653,ICSE!A:A,ICSE!AA:AA,"ERROR",0,1),"OK","ERROR"),IF(B1653="FSE",IF(COUNTIFS(B:B,B1653,C:C,C1653)=XLOOKUP(C1653,FSE!A:A,FSE!AA:AA,"ERROR",0,1),"OK","ERROR")))</f>
        <v>OK</v>
      </c>
      <c r="H1653" s="199">
        <f t="shared" ref="H1653:O1653" si="8344">countif($D1653,"*"&amp;H$2&amp;"*")</f>
        <v>0</v>
      </c>
      <c r="I1653" s="200">
        <f t="shared" si="8344"/>
        <v>0</v>
      </c>
      <c r="J1653" s="200">
        <f t="shared" si="8344"/>
        <v>0</v>
      </c>
      <c r="K1653" s="200">
        <f t="shared" si="8344"/>
        <v>0</v>
      </c>
      <c r="L1653" s="200">
        <f t="shared" si="8344"/>
        <v>0</v>
      </c>
      <c r="M1653" s="200">
        <f t="shared" si="8344"/>
        <v>0</v>
      </c>
      <c r="N1653" s="200">
        <f t="shared" si="8344"/>
        <v>0</v>
      </c>
      <c r="O1653" s="200">
        <f t="shared" si="8344"/>
        <v>0</v>
      </c>
      <c r="P1653" s="200">
        <f t="shared" si="9"/>
        <v>0</v>
      </c>
      <c r="Q1653" s="200">
        <f t="shared" ref="Q1653:AC1653" si="8345">countif($D1653,"*"&amp;Q$2&amp;"*")</f>
        <v>0</v>
      </c>
      <c r="R1653" s="200">
        <f t="shared" si="8345"/>
        <v>0</v>
      </c>
      <c r="S1653" s="200">
        <f t="shared" si="8345"/>
        <v>0</v>
      </c>
      <c r="T1653" s="200">
        <f t="shared" si="8345"/>
        <v>0</v>
      </c>
      <c r="U1653" s="200">
        <f t="shared" si="8345"/>
        <v>0</v>
      </c>
      <c r="V1653" s="200">
        <f t="shared" si="8345"/>
        <v>0</v>
      </c>
      <c r="W1653" s="200">
        <f t="shared" si="8345"/>
        <v>0</v>
      </c>
      <c r="X1653" s="200">
        <f t="shared" si="8345"/>
        <v>0</v>
      </c>
      <c r="Y1653" s="200">
        <f t="shared" si="8345"/>
        <v>0</v>
      </c>
      <c r="Z1653" s="200">
        <f t="shared" si="8345"/>
        <v>0</v>
      </c>
      <c r="AA1653" s="200">
        <f t="shared" si="8345"/>
        <v>0</v>
      </c>
      <c r="AB1653" s="200">
        <f t="shared" si="8345"/>
        <v>0</v>
      </c>
      <c r="AC1653" s="200">
        <f t="shared" si="8345"/>
        <v>0</v>
      </c>
      <c r="AD1653" s="200">
        <f t="shared" si="11"/>
        <v>1</v>
      </c>
      <c r="AE1653" s="200">
        <f t="shared" ref="AE1653:AG1653" si="8346">countif($D1653,"*"&amp;AE$2&amp;"*")</f>
        <v>0</v>
      </c>
      <c r="AF1653" s="200">
        <f t="shared" si="8346"/>
        <v>0</v>
      </c>
      <c r="AG1653" s="200">
        <f t="shared" si="8346"/>
        <v>0</v>
      </c>
      <c r="AH1653" s="171">
        <f t="shared" si="13"/>
        <v>0</v>
      </c>
      <c r="AI1653" s="200">
        <f t="shared" si="14"/>
        <v>0</v>
      </c>
      <c r="AJ1653" s="200">
        <f t="shared" si="6100"/>
        <v>0</v>
      </c>
      <c r="AK1653" s="201">
        <f t="shared" ref="AK1653:AS1653" si="8347">countif($D1653,"*"&amp;AK$2&amp;"*")</f>
        <v>0</v>
      </c>
      <c r="AL1653" s="201">
        <f t="shared" si="8347"/>
        <v>0</v>
      </c>
      <c r="AM1653" s="201">
        <f t="shared" si="8347"/>
        <v>0</v>
      </c>
      <c r="AN1653" s="201">
        <f t="shared" si="8347"/>
        <v>0</v>
      </c>
      <c r="AO1653" s="201">
        <f t="shared" si="8347"/>
        <v>0</v>
      </c>
      <c r="AP1653" s="201">
        <f t="shared" si="8347"/>
        <v>0</v>
      </c>
      <c r="AQ1653" s="201">
        <f t="shared" si="8347"/>
        <v>0</v>
      </c>
      <c r="AR1653" s="200">
        <f t="shared" si="8347"/>
        <v>0</v>
      </c>
      <c r="AS1653" s="200">
        <f t="shared" si="8347"/>
        <v>0</v>
      </c>
      <c r="AT1653" s="173">
        <v>1.0</v>
      </c>
      <c r="AU1653" s="200">
        <f t="shared" si="6217"/>
        <v>0</v>
      </c>
      <c r="AV1653" s="200">
        <f t="shared" ref="AV1653:AX1653" si="8348">countif($D1653,"*"&amp;AV$2&amp;"*")</f>
        <v>0</v>
      </c>
      <c r="AW1653" s="200">
        <f t="shared" si="8348"/>
        <v>0</v>
      </c>
      <c r="AX1653" s="200">
        <f t="shared" si="8348"/>
        <v>0</v>
      </c>
      <c r="AY1653" s="202">
        <v>0.0</v>
      </c>
      <c r="AZ1653" s="200"/>
      <c r="BA1653" s="171" t="str">
        <f t="shared" si="18"/>
        <v/>
      </c>
      <c r="BB1653" s="171" t="str">
        <f t="shared" si="19"/>
        <v/>
      </c>
      <c r="BC1653" s="171" t="str">
        <f t="shared" si="20"/>
        <v/>
      </c>
      <c r="BD1653" s="171" t="str">
        <f t="shared" si="21"/>
        <v>Institutional</v>
      </c>
      <c r="BE1653" s="171" t="str">
        <f t="shared" si="22"/>
        <v/>
      </c>
      <c r="BF1653" s="171" t="str">
        <f t="shared" si="23"/>
        <v>Institutional</v>
      </c>
    </row>
    <row r="1654">
      <c r="A1654" s="171">
        <f t="array" ref="A1654">XLOOKUP(C1654,FSE!A:A,FSE!C:C,"XXXXX",0,1)</f>
        <v>2020</v>
      </c>
      <c r="B1654" s="213" t="s">
        <v>5676</v>
      </c>
      <c r="C1654" s="214">
        <v>341.0</v>
      </c>
      <c r="D1654" s="215" t="s">
        <v>4506</v>
      </c>
      <c r="E1654" s="197" t="str">
        <f t="array" ref="E1654">XLOOKUP(C1654,FSE!A:A,FSE!Z:Z,"XXXXX",0,1)</f>
        <v>Publicly Available (1)</v>
      </c>
      <c r="F1654" s="213" t="s">
        <v>3394</v>
      </c>
      <c r="G1654" s="163" t="str">
        <f t="array" ref="G1654">IF(B1654="ICSE",IF(COUNTIFS(B:B,B1654,C:C,C1654)=XLOOKUP(C1654,ICSE!A:A,ICSE!AA:AA,"ERROR",0,1),"OK","ERROR"),IF(B1654="FSE",IF(COUNTIFS(B:B,B1654,C:C,C1654)=XLOOKUP(C1654,FSE!A:A,FSE!AA:AA,"ERROR",0,1),"OK","ERROR")))</f>
        <v>OK</v>
      </c>
      <c r="H1654" s="199">
        <f t="shared" ref="H1654:O1654" si="8349">countif($D1654,"*"&amp;H$2&amp;"*")</f>
        <v>0</v>
      </c>
      <c r="I1654" s="200">
        <f t="shared" si="8349"/>
        <v>0</v>
      </c>
      <c r="J1654" s="200">
        <f t="shared" si="8349"/>
        <v>0</v>
      </c>
      <c r="K1654" s="200">
        <f t="shared" si="8349"/>
        <v>0</v>
      </c>
      <c r="L1654" s="200">
        <f t="shared" si="8349"/>
        <v>0</v>
      </c>
      <c r="M1654" s="200">
        <f t="shared" si="8349"/>
        <v>0</v>
      </c>
      <c r="N1654" s="200">
        <f t="shared" si="8349"/>
        <v>0</v>
      </c>
      <c r="O1654" s="200">
        <f t="shared" si="8349"/>
        <v>0</v>
      </c>
      <c r="P1654" s="200">
        <f t="shared" si="9"/>
        <v>0</v>
      </c>
      <c r="Q1654" s="200">
        <f t="shared" ref="Q1654:AC1654" si="8350">countif($D1654,"*"&amp;Q$2&amp;"*")</f>
        <v>0</v>
      </c>
      <c r="R1654" s="200">
        <f t="shared" si="8350"/>
        <v>0</v>
      </c>
      <c r="S1654" s="200">
        <f t="shared" si="8350"/>
        <v>0</v>
      </c>
      <c r="T1654" s="200">
        <f t="shared" si="8350"/>
        <v>0</v>
      </c>
      <c r="U1654" s="200">
        <f t="shared" si="8350"/>
        <v>0</v>
      </c>
      <c r="V1654" s="200">
        <f t="shared" si="8350"/>
        <v>0</v>
      </c>
      <c r="W1654" s="200">
        <f t="shared" si="8350"/>
        <v>0</v>
      </c>
      <c r="X1654" s="200">
        <f t="shared" si="8350"/>
        <v>0</v>
      </c>
      <c r="Y1654" s="200">
        <f t="shared" si="8350"/>
        <v>0</v>
      </c>
      <c r="Z1654" s="200">
        <f t="shared" si="8350"/>
        <v>0</v>
      </c>
      <c r="AA1654" s="200">
        <f t="shared" si="8350"/>
        <v>0</v>
      </c>
      <c r="AB1654" s="200">
        <f t="shared" si="8350"/>
        <v>0</v>
      </c>
      <c r="AC1654" s="200">
        <f t="shared" si="8350"/>
        <v>0</v>
      </c>
      <c r="AD1654" s="200">
        <f t="shared" si="11"/>
        <v>0</v>
      </c>
      <c r="AE1654" s="200">
        <f t="shared" ref="AE1654:AG1654" si="8351">countif($D1654,"*"&amp;AE$2&amp;"*")</f>
        <v>0</v>
      </c>
      <c r="AF1654" s="200">
        <f t="shared" si="8351"/>
        <v>0</v>
      </c>
      <c r="AG1654" s="200">
        <f t="shared" si="8351"/>
        <v>0</v>
      </c>
      <c r="AH1654" s="171">
        <f t="shared" si="13"/>
        <v>1</v>
      </c>
      <c r="AI1654" s="200">
        <f t="shared" si="14"/>
        <v>0</v>
      </c>
      <c r="AJ1654" s="200">
        <f t="shared" si="6100"/>
        <v>0</v>
      </c>
      <c r="AK1654" s="201">
        <f t="shared" ref="AK1654:AS1654" si="8352">countif($D1654,"*"&amp;AK$2&amp;"*")</f>
        <v>0</v>
      </c>
      <c r="AL1654" s="201">
        <f t="shared" si="8352"/>
        <v>0</v>
      </c>
      <c r="AM1654" s="201">
        <f t="shared" si="8352"/>
        <v>0</v>
      </c>
      <c r="AN1654" s="201">
        <f t="shared" si="8352"/>
        <v>0</v>
      </c>
      <c r="AO1654" s="201">
        <f t="shared" si="8352"/>
        <v>0</v>
      </c>
      <c r="AP1654" s="201">
        <f t="shared" si="8352"/>
        <v>0</v>
      </c>
      <c r="AQ1654" s="201">
        <f t="shared" si="8352"/>
        <v>0</v>
      </c>
      <c r="AR1654" s="200">
        <f t="shared" si="8352"/>
        <v>0</v>
      </c>
      <c r="AS1654" s="200">
        <f t="shared" si="8352"/>
        <v>0</v>
      </c>
      <c r="AT1654" s="173">
        <v>0.0</v>
      </c>
      <c r="AU1654" s="200">
        <f t="shared" si="6217"/>
        <v>0</v>
      </c>
      <c r="AV1654" s="200">
        <f t="shared" ref="AV1654:AX1654" si="8353">countif($D1654,"*"&amp;AV$2&amp;"*")</f>
        <v>0</v>
      </c>
      <c r="AW1654" s="200">
        <f t="shared" si="8353"/>
        <v>0</v>
      </c>
      <c r="AX1654" s="200">
        <f t="shared" si="8353"/>
        <v>0</v>
      </c>
      <c r="AY1654" s="202">
        <v>0.0</v>
      </c>
      <c r="AZ1654" s="200"/>
      <c r="BA1654" s="171" t="str">
        <f t="shared" si="18"/>
        <v/>
      </c>
      <c r="BB1654" s="171" t="str">
        <f t="shared" si="19"/>
        <v/>
      </c>
      <c r="BC1654" s="171" t="str">
        <f t="shared" si="20"/>
        <v/>
      </c>
      <c r="BD1654" s="171" t="str">
        <f t="shared" si="21"/>
        <v/>
      </c>
      <c r="BE1654" s="171" t="str">
        <f t="shared" si="22"/>
        <v>Others</v>
      </c>
      <c r="BF1654" s="171" t="str">
        <f t="shared" si="23"/>
        <v>Others</v>
      </c>
    </row>
    <row r="1655">
      <c r="A1655" s="171">
        <f t="array" ref="A1655">XLOOKUP(C1655,FSE!A:A,FSE!C:C,"XXXXX",0,1)</f>
        <v>2020</v>
      </c>
      <c r="B1655" s="213" t="s">
        <v>5676</v>
      </c>
      <c r="C1655" s="214">
        <v>342.0</v>
      </c>
      <c r="D1655" s="215" t="s">
        <v>4511</v>
      </c>
      <c r="E1655" s="197" t="str">
        <f t="array" ref="E1655">XLOOKUP(C1655,FSE!A:A,FSE!Z:Z,"XXXXX",0,1)</f>
        <v>Publicly Available (1)</v>
      </c>
      <c r="F1655" s="213" t="s">
        <v>3394</v>
      </c>
      <c r="G1655" s="163" t="str">
        <f t="array" ref="G1655">IF(B1655="ICSE",IF(COUNTIFS(B:B,B1655,C:C,C1655)=XLOOKUP(C1655,ICSE!A:A,ICSE!AA:AA,"ERROR",0,1),"OK","ERROR"),IF(B1655="FSE",IF(COUNTIFS(B:B,B1655,C:C,C1655)=XLOOKUP(C1655,FSE!A:A,FSE!AA:AA,"ERROR",0,1),"OK","ERROR")))</f>
        <v>OK</v>
      </c>
      <c r="H1655" s="199">
        <f t="shared" ref="H1655:O1655" si="8354">countif($D1655,"*"&amp;H$2&amp;"*")</f>
        <v>0</v>
      </c>
      <c r="I1655" s="200">
        <f t="shared" si="8354"/>
        <v>0</v>
      </c>
      <c r="J1655" s="200">
        <f t="shared" si="8354"/>
        <v>0</v>
      </c>
      <c r="K1655" s="200">
        <f t="shared" si="8354"/>
        <v>0</v>
      </c>
      <c r="L1655" s="200">
        <f t="shared" si="8354"/>
        <v>0</v>
      </c>
      <c r="M1655" s="200">
        <f t="shared" si="8354"/>
        <v>0</v>
      </c>
      <c r="N1655" s="200">
        <f t="shared" si="8354"/>
        <v>0</v>
      </c>
      <c r="O1655" s="200">
        <f t="shared" si="8354"/>
        <v>0</v>
      </c>
      <c r="P1655" s="200">
        <f t="shared" si="9"/>
        <v>1</v>
      </c>
      <c r="Q1655" s="200">
        <f t="shared" ref="Q1655:AC1655" si="8355">countif($D1655,"*"&amp;Q$2&amp;"*")</f>
        <v>0</v>
      </c>
      <c r="R1655" s="200">
        <f t="shared" si="8355"/>
        <v>0</v>
      </c>
      <c r="S1655" s="200">
        <f t="shared" si="8355"/>
        <v>0</v>
      </c>
      <c r="T1655" s="200">
        <f t="shared" si="8355"/>
        <v>0</v>
      </c>
      <c r="U1655" s="200">
        <f t="shared" si="8355"/>
        <v>0</v>
      </c>
      <c r="V1655" s="200">
        <f t="shared" si="8355"/>
        <v>0</v>
      </c>
      <c r="W1655" s="200">
        <f t="shared" si="8355"/>
        <v>0</v>
      </c>
      <c r="X1655" s="200">
        <f t="shared" si="8355"/>
        <v>0</v>
      </c>
      <c r="Y1655" s="200">
        <f t="shared" si="8355"/>
        <v>0</v>
      </c>
      <c r="Z1655" s="200">
        <f t="shared" si="8355"/>
        <v>0</v>
      </c>
      <c r="AA1655" s="200">
        <f t="shared" si="8355"/>
        <v>0</v>
      </c>
      <c r="AB1655" s="200">
        <f t="shared" si="8355"/>
        <v>0</v>
      </c>
      <c r="AC1655" s="200">
        <f t="shared" si="8355"/>
        <v>0</v>
      </c>
      <c r="AD1655" s="200">
        <f t="shared" si="11"/>
        <v>0</v>
      </c>
      <c r="AE1655" s="200">
        <f t="shared" ref="AE1655:AG1655" si="8356">countif($D1655,"*"&amp;AE$2&amp;"*")</f>
        <v>0</v>
      </c>
      <c r="AF1655" s="200">
        <f t="shared" si="8356"/>
        <v>0</v>
      </c>
      <c r="AG1655" s="200">
        <f t="shared" si="8356"/>
        <v>0</v>
      </c>
      <c r="AH1655" s="171">
        <f t="shared" si="13"/>
        <v>0</v>
      </c>
      <c r="AI1655" s="200">
        <f t="shared" si="14"/>
        <v>0</v>
      </c>
      <c r="AJ1655" s="200">
        <f t="shared" si="6100"/>
        <v>0</v>
      </c>
      <c r="AK1655" s="201">
        <f t="shared" ref="AK1655:AS1655" si="8357">countif($D1655,"*"&amp;AK$2&amp;"*")</f>
        <v>0</v>
      </c>
      <c r="AL1655" s="201">
        <f t="shared" si="8357"/>
        <v>0</v>
      </c>
      <c r="AM1655" s="201">
        <f t="shared" si="8357"/>
        <v>0</v>
      </c>
      <c r="AN1655" s="201">
        <f t="shared" si="8357"/>
        <v>0</v>
      </c>
      <c r="AO1655" s="201">
        <f t="shared" si="8357"/>
        <v>0</v>
      </c>
      <c r="AP1655" s="201">
        <f t="shared" si="8357"/>
        <v>0</v>
      </c>
      <c r="AQ1655" s="201">
        <f t="shared" si="8357"/>
        <v>0</v>
      </c>
      <c r="AR1655" s="200">
        <f t="shared" si="8357"/>
        <v>0</v>
      </c>
      <c r="AS1655" s="200">
        <f t="shared" si="8357"/>
        <v>0</v>
      </c>
      <c r="AT1655" s="173">
        <v>0.0</v>
      </c>
      <c r="AU1655" s="200">
        <f t="shared" si="6217"/>
        <v>0</v>
      </c>
      <c r="AV1655" s="200">
        <f t="shared" ref="AV1655:AX1655" si="8358">countif($D1655,"*"&amp;AV$2&amp;"*")</f>
        <v>1</v>
      </c>
      <c r="AW1655" s="200">
        <f t="shared" si="8358"/>
        <v>0</v>
      </c>
      <c r="AX1655" s="200">
        <f t="shared" si="8358"/>
        <v>0</v>
      </c>
      <c r="AY1655" s="202">
        <v>0.0</v>
      </c>
      <c r="AZ1655" s="200"/>
      <c r="BA1655" s="171" t="str">
        <f t="shared" si="18"/>
        <v/>
      </c>
      <c r="BB1655" s="171" t="str">
        <f t="shared" si="19"/>
        <v>Code</v>
      </c>
      <c r="BC1655" s="171" t="str">
        <f t="shared" si="20"/>
        <v/>
      </c>
      <c r="BD1655" s="171" t="str">
        <f t="shared" si="21"/>
        <v/>
      </c>
      <c r="BE1655" s="171" t="str">
        <f t="shared" si="22"/>
        <v/>
      </c>
      <c r="BF1655" s="171" t="str">
        <f t="shared" si="23"/>
        <v>Code</v>
      </c>
    </row>
    <row r="1656">
      <c r="A1656" s="171">
        <f t="array" ref="A1656">XLOOKUP(C1656,FSE!A:A,FSE!C:C,"XXXXX",0,1)</f>
        <v>2020</v>
      </c>
      <c r="B1656" s="213" t="s">
        <v>5676</v>
      </c>
      <c r="C1656" s="214">
        <v>343.0</v>
      </c>
      <c r="D1656" s="215" t="s">
        <v>4515</v>
      </c>
      <c r="E1656" s="197" t="str">
        <f t="array" ref="E1656">XLOOKUP(C1656,FSE!A:A,FSE!Z:Z,"XXXXX",0,1)</f>
        <v>Publicly Available (1)</v>
      </c>
      <c r="F1656" s="213" t="s">
        <v>3394</v>
      </c>
      <c r="G1656" s="163" t="str">
        <f t="array" ref="G1656">IF(B1656="ICSE",IF(COUNTIFS(B:B,B1656,C:C,C1656)=XLOOKUP(C1656,ICSE!A:A,ICSE!AA:AA,"ERROR",0,1),"OK","ERROR"),IF(B1656="FSE",IF(COUNTIFS(B:B,B1656,C:C,C1656)=XLOOKUP(C1656,FSE!A:A,FSE!AA:AA,"ERROR",0,1),"OK","ERROR")))</f>
        <v>OK</v>
      </c>
      <c r="H1656" s="199">
        <f t="shared" ref="H1656:O1656" si="8359">countif($D1656,"*"&amp;H$2&amp;"*")</f>
        <v>0</v>
      </c>
      <c r="I1656" s="200">
        <f t="shared" si="8359"/>
        <v>0</v>
      </c>
      <c r="J1656" s="200">
        <f t="shared" si="8359"/>
        <v>0</v>
      </c>
      <c r="K1656" s="200">
        <f t="shared" si="8359"/>
        <v>0</v>
      </c>
      <c r="L1656" s="200">
        <f t="shared" si="8359"/>
        <v>0</v>
      </c>
      <c r="M1656" s="200">
        <f t="shared" si="8359"/>
        <v>0</v>
      </c>
      <c r="N1656" s="200">
        <f t="shared" si="8359"/>
        <v>0</v>
      </c>
      <c r="O1656" s="200">
        <f t="shared" si="8359"/>
        <v>0</v>
      </c>
      <c r="P1656" s="200">
        <f t="shared" si="9"/>
        <v>1</v>
      </c>
      <c r="Q1656" s="200">
        <f t="shared" ref="Q1656:AC1656" si="8360">countif($D1656,"*"&amp;Q$2&amp;"*")</f>
        <v>0</v>
      </c>
      <c r="R1656" s="200">
        <f t="shared" si="8360"/>
        <v>0</v>
      </c>
      <c r="S1656" s="200">
        <f t="shared" si="8360"/>
        <v>0</v>
      </c>
      <c r="T1656" s="200">
        <f t="shared" si="8360"/>
        <v>0</v>
      </c>
      <c r="U1656" s="200">
        <f t="shared" si="8360"/>
        <v>0</v>
      </c>
      <c r="V1656" s="200">
        <f t="shared" si="8360"/>
        <v>0</v>
      </c>
      <c r="W1656" s="200">
        <f t="shared" si="8360"/>
        <v>0</v>
      </c>
      <c r="X1656" s="200">
        <f t="shared" si="8360"/>
        <v>0</v>
      </c>
      <c r="Y1656" s="200">
        <f t="shared" si="8360"/>
        <v>0</v>
      </c>
      <c r="Z1656" s="200">
        <f t="shared" si="8360"/>
        <v>0</v>
      </c>
      <c r="AA1656" s="200">
        <f t="shared" si="8360"/>
        <v>0</v>
      </c>
      <c r="AB1656" s="200">
        <f t="shared" si="8360"/>
        <v>0</v>
      </c>
      <c r="AC1656" s="200">
        <f t="shared" si="8360"/>
        <v>0</v>
      </c>
      <c r="AD1656" s="200">
        <f t="shared" si="11"/>
        <v>0</v>
      </c>
      <c r="AE1656" s="200">
        <f t="shared" ref="AE1656:AG1656" si="8361">countif($D1656,"*"&amp;AE$2&amp;"*")</f>
        <v>0</v>
      </c>
      <c r="AF1656" s="200">
        <f t="shared" si="8361"/>
        <v>0</v>
      </c>
      <c r="AG1656" s="200">
        <f t="shared" si="8361"/>
        <v>0</v>
      </c>
      <c r="AH1656" s="171">
        <f t="shared" si="13"/>
        <v>0</v>
      </c>
      <c r="AI1656" s="200">
        <f t="shared" si="14"/>
        <v>0</v>
      </c>
      <c r="AJ1656" s="200">
        <f t="shared" si="6100"/>
        <v>0</v>
      </c>
      <c r="AK1656" s="201">
        <f t="shared" ref="AK1656:AS1656" si="8362">countif($D1656,"*"&amp;AK$2&amp;"*")</f>
        <v>0</v>
      </c>
      <c r="AL1656" s="201">
        <f t="shared" si="8362"/>
        <v>0</v>
      </c>
      <c r="AM1656" s="201">
        <f t="shared" si="8362"/>
        <v>0</v>
      </c>
      <c r="AN1656" s="201">
        <f t="shared" si="8362"/>
        <v>0</v>
      </c>
      <c r="AO1656" s="201">
        <f t="shared" si="8362"/>
        <v>0</v>
      </c>
      <c r="AP1656" s="201">
        <f t="shared" si="8362"/>
        <v>0</v>
      </c>
      <c r="AQ1656" s="201">
        <f t="shared" si="8362"/>
        <v>0</v>
      </c>
      <c r="AR1656" s="200">
        <f t="shared" si="8362"/>
        <v>0</v>
      </c>
      <c r="AS1656" s="200">
        <f t="shared" si="8362"/>
        <v>0</v>
      </c>
      <c r="AT1656" s="173">
        <v>0.0</v>
      </c>
      <c r="AU1656" s="200">
        <f t="shared" si="6217"/>
        <v>0</v>
      </c>
      <c r="AV1656" s="200">
        <f t="shared" ref="AV1656:AX1656" si="8363">countif($D1656,"*"&amp;AV$2&amp;"*")</f>
        <v>1</v>
      </c>
      <c r="AW1656" s="200">
        <f t="shared" si="8363"/>
        <v>0</v>
      </c>
      <c r="AX1656" s="200">
        <f t="shared" si="8363"/>
        <v>0</v>
      </c>
      <c r="AY1656" s="202">
        <v>0.0</v>
      </c>
      <c r="AZ1656" s="200"/>
      <c r="BA1656" s="171" t="str">
        <f t="shared" si="18"/>
        <v/>
      </c>
      <c r="BB1656" s="171" t="str">
        <f t="shared" si="19"/>
        <v>Code</v>
      </c>
      <c r="BC1656" s="171" t="str">
        <f t="shared" si="20"/>
        <v/>
      </c>
      <c r="BD1656" s="171" t="str">
        <f t="shared" si="21"/>
        <v/>
      </c>
      <c r="BE1656" s="171" t="str">
        <f t="shared" si="22"/>
        <v/>
      </c>
      <c r="BF1656" s="171" t="str">
        <f t="shared" si="23"/>
        <v>Code</v>
      </c>
    </row>
    <row r="1657">
      <c r="A1657" s="171">
        <f t="array" ref="A1657">XLOOKUP(C1657,FSE!A:A,FSE!C:C,"XXXXX",0,1)</f>
        <v>2020</v>
      </c>
      <c r="B1657" s="213" t="s">
        <v>5676</v>
      </c>
      <c r="C1657" s="214">
        <v>344.0</v>
      </c>
      <c r="D1657" s="215" t="s">
        <v>4518</v>
      </c>
      <c r="E1657" s="197" t="str">
        <f t="array" ref="E1657">XLOOKUP(C1657,FSE!A:A,FSE!Z:Z,"XXXXX",0,1)</f>
        <v>Publicly Available (1)</v>
      </c>
      <c r="F1657" s="213" t="s">
        <v>3394</v>
      </c>
      <c r="G1657" s="163" t="str">
        <f t="array" ref="G1657">IF(B1657="ICSE",IF(COUNTIFS(B:B,B1657,C:C,C1657)=XLOOKUP(C1657,ICSE!A:A,ICSE!AA:AA,"ERROR",0,1),"OK","ERROR"),IF(B1657="FSE",IF(COUNTIFS(B:B,B1657,C:C,C1657)=XLOOKUP(C1657,FSE!A:A,FSE!AA:AA,"ERROR",0,1),"OK","ERROR")))</f>
        <v>OK</v>
      </c>
      <c r="H1657" s="199">
        <f t="shared" ref="H1657:O1657" si="8364">countif($D1657,"*"&amp;H$2&amp;"*")</f>
        <v>1</v>
      </c>
      <c r="I1657" s="200">
        <f t="shared" si="8364"/>
        <v>0</v>
      </c>
      <c r="J1657" s="200">
        <f t="shared" si="8364"/>
        <v>0</v>
      </c>
      <c r="K1657" s="200">
        <f t="shared" si="8364"/>
        <v>0</v>
      </c>
      <c r="L1657" s="200">
        <f t="shared" si="8364"/>
        <v>0</v>
      </c>
      <c r="M1657" s="200">
        <f t="shared" si="8364"/>
        <v>0</v>
      </c>
      <c r="N1657" s="200">
        <f t="shared" si="8364"/>
        <v>0</v>
      </c>
      <c r="O1657" s="200">
        <f t="shared" si="8364"/>
        <v>0</v>
      </c>
      <c r="P1657" s="200">
        <f t="shared" si="9"/>
        <v>0</v>
      </c>
      <c r="Q1657" s="200">
        <f t="shared" ref="Q1657:AC1657" si="8365">countif($D1657,"*"&amp;Q$2&amp;"*")</f>
        <v>0</v>
      </c>
      <c r="R1657" s="200">
        <f t="shared" si="8365"/>
        <v>0</v>
      </c>
      <c r="S1657" s="200">
        <f t="shared" si="8365"/>
        <v>0</v>
      </c>
      <c r="T1657" s="200">
        <f t="shared" si="8365"/>
        <v>0</v>
      </c>
      <c r="U1657" s="200">
        <f t="shared" si="8365"/>
        <v>0</v>
      </c>
      <c r="V1657" s="200">
        <f t="shared" si="8365"/>
        <v>0</v>
      </c>
      <c r="W1657" s="200">
        <f t="shared" si="8365"/>
        <v>0</v>
      </c>
      <c r="X1657" s="200">
        <f t="shared" si="8365"/>
        <v>0</v>
      </c>
      <c r="Y1657" s="200">
        <f t="shared" si="8365"/>
        <v>0</v>
      </c>
      <c r="Z1657" s="200">
        <f t="shared" si="8365"/>
        <v>0</v>
      </c>
      <c r="AA1657" s="200">
        <f t="shared" si="8365"/>
        <v>0</v>
      </c>
      <c r="AB1657" s="200">
        <f t="shared" si="8365"/>
        <v>0</v>
      </c>
      <c r="AC1657" s="200">
        <f t="shared" si="8365"/>
        <v>0</v>
      </c>
      <c r="AD1657" s="200">
        <f t="shared" si="11"/>
        <v>0</v>
      </c>
      <c r="AE1657" s="200">
        <f t="shared" ref="AE1657:AG1657" si="8366">countif($D1657,"*"&amp;AE$2&amp;"*")</f>
        <v>0</v>
      </c>
      <c r="AF1657" s="200">
        <f t="shared" si="8366"/>
        <v>0</v>
      </c>
      <c r="AG1657" s="200">
        <f t="shared" si="8366"/>
        <v>0</v>
      </c>
      <c r="AH1657" s="171">
        <f t="shared" si="13"/>
        <v>0</v>
      </c>
      <c r="AI1657" s="200">
        <f t="shared" si="14"/>
        <v>1</v>
      </c>
      <c r="AJ1657" s="200">
        <f t="shared" si="6100"/>
        <v>0</v>
      </c>
      <c r="AK1657" s="201">
        <f t="shared" ref="AK1657:AS1657" si="8367">countif($D1657,"*"&amp;AK$2&amp;"*")</f>
        <v>0</v>
      </c>
      <c r="AL1657" s="201">
        <f t="shared" si="8367"/>
        <v>0</v>
      </c>
      <c r="AM1657" s="201">
        <f t="shared" si="8367"/>
        <v>0</v>
      </c>
      <c r="AN1657" s="201">
        <f t="shared" si="8367"/>
        <v>0</v>
      </c>
      <c r="AO1657" s="201">
        <f t="shared" si="8367"/>
        <v>0</v>
      </c>
      <c r="AP1657" s="201">
        <f t="shared" si="8367"/>
        <v>0</v>
      </c>
      <c r="AQ1657" s="201">
        <f t="shared" si="8367"/>
        <v>0</v>
      </c>
      <c r="AR1657" s="200">
        <f t="shared" si="8367"/>
        <v>0</v>
      </c>
      <c r="AS1657" s="200">
        <f t="shared" si="8367"/>
        <v>0</v>
      </c>
      <c r="AT1657" s="173">
        <v>0.0</v>
      </c>
      <c r="AU1657" s="200">
        <f t="shared" si="6217"/>
        <v>0</v>
      </c>
      <c r="AV1657" s="200">
        <f t="shared" ref="AV1657:AX1657" si="8368">countif($D1657,"*"&amp;AV$2&amp;"*")</f>
        <v>0</v>
      </c>
      <c r="AW1657" s="200">
        <f t="shared" si="8368"/>
        <v>0</v>
      </c>
      <c r="AX1657" s="200">
        <f t="shared" si="8368"/>
        <v>1</v>
      </c>
      <c r="AY1657" s="202">
        <v>0.0</v>
      </c>
      <c r="AZ1657" s="200"/>
      <c r="BA1657" s="171" t="str">
        <f t="shared" si="18"/>
        <v>Archival</v>
      </c>
      <c r="BB1657" s="171" t="str">
        <f t="shared" si="19"/>
        <v/>
      </c>
      <c r="BC1657" s="171" t="str">
        <f t="shared" si="20"/>
        <v/>
      </c>
      <c r="BD1657" s="171" t="str">
        <f t="shared" si="21"/>
        <v/>
      </c>
      <c r="BE1657" s="171" t="str">
        <f t="shared" si="22"/>
        <v/>
      </c>
      <c r="BF1657" s="171" t="str">
        <f t="shared" si="23"/>
        <v>Archival</v>
      </c>
    </row>
    <row r="1658">
      <c r="A1658" s="171">
        <f t="array" ref="A1658">XLOOKUP(C1658,FSE!A:A,FSE!C:C,"XXXXX",0,1)</f>
        <v>2020</v>
      </c>
      <c r="B1658" s="213" t="s">
        <v>5676</v>
      </c>
      <c r="C1658" s="214">
        <v>345.0</v>
      </c>
      <c r="D1658" s="215" t="s">
        <v>4522</v>
      </c>
      <c r="E1658" s="197" t="str">
        <f t="array" ref="E1658">XLOOKUP(C1658,FSE!A:A,FSE!Z:Z,"XXXXX",0,1)</f>
        <v>Publicly Available (1)</v>
      </c>
      <c r="F1658" s="213" t="s">
        <v>3394</v>
      </c>
      <c r="G1658" s="163" t="str">
        <f t="array" ref="G1658">IF(B1658="ICSE",IF(COUNTIFS(B:B,B1658,C:C,C1658)=XLOOKUP(C1658,ICSE!A:A,ICSE!AA:AA,"ERROR",0,1),"OK","ERROR"),IF(B1658="FSE",IF(COUNTIFS(B:B,B1658,C:C,C1658)=XLOOKUP(C1658,FSE!A:A,FSE!AA:AA,"ERROR",0,1),"OK","ERROR")))</f>
        <v>OK</v>
      </c>
      <c r="H1658" s="199">
        <f t="shared" ref="H1658:O1658" si="8369">countif($D1658,"*"&amp;H$2&amp;"*")</f>
        <v>1</v>
      </c>
      <c r="I1658" s="200">
        <f t="shared" si="8369"/>
        <v>0</v>
      </c>
      <c r="J1658" s="200">
        <f t="shared" si="8369"/>
        <v>0</v>
      </c>
      <c r="K1658" s="200">
        <f t="shared" si="8369"/>
        <v>0</v>
      </c>
      <c r="L1658" s="200">
        <f t="shared" si="8369"/>
        <v>0</v>
      </c>
      <c r="M1658" s="200">
        <f t="shared" si="8369"/>
        <v>0</v>
      </c>
      <c r="N1658" s="200">
        <f t="shared" si="8369"/>
        <v>0</v>
      </c>
      <c r="O1658" s="200">
        <f t="shared" si="8369"/>
        <v>0</v>
      </c>
      <c r="P1658" s="200">
        <f t="shared" si="9"/>
        <v>0</v>
      </c>
      <c r="Q1658" s="200">
        <f t="shared" ref="Q1658:AC1658" si="8370">countif($D1658,"*"&amp;Q$2&amp;"*")</f>
        <v>0</v>
      </c>
      <c r="R1658" s="200">
        <f t="shared" si="8370"/>
        <v>0</v>
      </c>
      <c r="S1658" s="200">
        <f t="shared" si="8370"/>
        <v>0</v>
      </c>
      <c r="T1658" s="200">
        <f t="shared" si="8370"/>
        <v>0</v>
      </c>
      <c r="U1658" s="200">
        <f t="shared" si="8370"/>
        <v>0</v>
      </c>
      <c r="V1658" s="200">
        <f t="shared" si="8370"/>
        <v>0</v>
      </c>
      <c r="W1658" s="200">
        <f t="shared" si="8370"/>
        <v>0</v>
      </c>
      <c r="X1658" s="200">
        <f t="shared" si="8370"/>
        <v>0</v>
      </c>
      <c r="Y1658" s="200">
        <f t="shared" si="8370"/>
        <v>0</v>
      </c>
      <c r="Z1658" s="200">
        <f t="shared" si="8370"/>
        <v>0</v>
      </c>
      <c r="AA1658" s="200">
        <f t="shared" si="8370"/>
        <v>0</v>
      </c>
      <c r="AB1658" s="200">
        <f t="shared" si="8370"/>
        <v>0</v>
      </c>
      <c r="AC1658" s="200">
        <f t="shared" si="8370"/>
        <v>0</v>
      </c>
      <c r="AD1658" s="200">
        <f t="shared" si="11"/>
        <v>0</v>
      </c>
      <c r="AE1658" s="200">
        <f t="shared" ref="AE1658:AG1658" si="8371">countif($D1658,"*"&amp;AE$2&amp;"*")</f>
        <v>0</v>
      </c>
      <c r="AF1658" s="200">
        <f t="shared" si="8371"/>
        <v>0</v>
      </c>
      <c r="AG1658" s="200">
        <f t="shared" si="8371"/>
        <v>0</v>
      </c>
      <c r="AH1658" s="171">
        <f t="shared" si="13"/>
        <v>0</v>
      </c>
      <c r="AI1658" s="200">
        <f t="shared" si="14"/>
        <v>1</v>
      </c>
      <c r="AJ1658" s="200">
        <f t="shared" si="6100"/>
        <v>0</v>
      </c>
      <c r="AK1658" s="201">
        <f t="shared" ref="AK1658:AS1658" si="8372">countif($D1658,"*"&amp;AK$2&amp;"*")</f>
        <v>0</v>
      </c>
      <c r="AL1658" s="201">
        <f t="shared" si="8372"/>
        <v>0</v>
      </c>
      <c r="AM1658" s="201">
        <f t="shared" si="8372"/>
        <v>0</v>
      </c>
      <c r="AN1658" s="201">
        <f t="shared" si="8372"/>
        <v>0</v>
      </c>
      <c r="AO1658" s="201">
        <f t="shared" si="8372"/>
        <v>0</v>
      </c>
      <c r="AP1658" s="201">
        <f t="shared" si="8372"/>
        <v>0</v>
      </c>
      <c r="AQ1658" s="201">
        <f t="shared" si="8372"/>
        <v>0</v>
      </c>
      <c r="AR1658" s="200">
        <f t="shared" si="8372"/>
        <v>0</v>
      </c>
      <c r="AS1658" s="200">
        <f t="shared" si="8372"/>
        <v>0</v>
      </c>
      <c r="AT1658" s="173">
        <v>0.0</v>
      </c>
      <c r="AU1658" s="200">
        <f t="shared" si="6217"/>
        <v>0</v>
      </c>
      <c r="AV1658" s="200">
        <f t="shared" ref="AV1658:AX1658" si="8373">countif($D1658,"*"&amp;AV$2&amp;"*")</f>
        <v>0</v>
      </c>
      <c r="AW1658" s="200">
        <f t="shared" si="8373"/>
        <v>0</v>
      </c>
      <c r="AX1658" s="200">
        <f t="shared" si="8373"/>
        <v>1</v>
      </c>
      <c r="AY1658" s="202">
        <v>0.0</v>
      </c>
      <c r="AZ1658" s="200"/>
      <c r="BA1658" s="171" t="str">
        <f t="shared" si="18"/>
        <v>Archival</v>
      </c>
      <c r="BB1658" s="171" t="str">
        <f t="shared" si="19"/>
        <v/>
      </c>
      <c r="BC1658" s="171" t="str">
        <f t="shared" si="20"/>
        <v/>
      </c>
      <c r="BD1658" s="171" t="str">
        <f t="shared" si="21"/>
        <v/>
      </c>
      <c r="BE1658" s="171" t="str">
        <f t="shared" si="22"/>
        <v/>
      </c>
      <c r="BF1658" s="171" t="str">
        <f t="shared" si="23"/>
        <v>Archival</v>
      </c>
    </row>
    <row r="1659">
      <c r="A1659" s="171">
        <f t="array" ref="A1659">XLOOKUP(C1659,FSE!A:A,FSE!C:C,"XXXXX",0,1)</f>
        <v>2020</v>
      </c>
      <c r="B1659" s="213" t="s">
        <v>5676</v>
      </c>
      <c r="C1659" s="214">
        <v>346.0</v>
      </c>
      <c r="D1659" s="217" t="s">
        <v>6362</v>
      </c>
      <c r="E1659" s="197" t="str">
        <f t="array" ref="E1659">XLOOKUP(C1659,FSE!A:A,FSE!Z:Z,"XXXXX",0,1)</f>
        <v>Not Available (3)</v>
      </c>
      <c r="F1659" s="213" t="s">
        <v>3395</v>
      </c>
      <c r="G1659" s="163" t="str">
        <f t="array" ref="G1659">IF(B1659="ICSE",IF(COUNTIFS(B:B,B1659,C:C,C1659)=XLOOKUP(C1659,ICSE!A:A,ICSE!AA:AA,"ERROR",0,1),"OK","ERROR"),IF(B1659="FSE",IF(COUNTIFS(B:B,B1659,C:C,C1659)=XLOOKUP(C1659,FSE!A:A,FSE!AA:AA,"ERROR",0,1),"OK","ERROR")))</f>
        <v>OK</v>
      </c>
      <c r="H1659" s="199">
        <f t="shared" ref="H1659:O1659" si="8374">countif($D1659,"*"&amp;H$2&amp;"*")</f>
        <v>0</v>
      </c>
      <c r="I1659" s="200">
        <f t="shared" si="8374"/>
        <v>0</v>
      </c>
      <c r="J1659" s="200">
        <f t="shared" si="8374"/>
        <v>0</v>
      </c>
      <c r="K1659" s="200">
        <f t="shared" si="8374"/>
        <v>0</v>
      </c>
      <c r="L1659" s="200">
        <f t="shared" si="8374"/>
        <v>0</v>
      </c>
      <c r="M1659" s="200">
        <f t="shared" si="8374"/>
        <v>0</v>
      </c>
      <c r="N1659" s="200">
        <f t="shared" si="8374"/>
        <v>0</v>
      </c>
      <c r="O1659" s="200">
        <f t="shared" si="8374"/>
        <v>0</v>
      </c>
      <c r="P1659" s="200">
        <f t="shared" si="9"/>
        <v>0</v>
      </c>
      <c r="Q1659" s="200">
        <f t="shared" ref="Q1659:AC1659" si="8375">countif($D1659,"*"&amp;Q$2&amp;"*")</f>
        <v>0</v>
      </c>
      <c r="R1659" s="200">
        <f t="shared" si="8375"/>
        <v>0</v>
      </c>
      <c r="S1659" s="200">
        <f t="shared" si="8375"/>
        <v>0</v>
      </c>
      <c r="T1659" s="200">
        <f t="shared" si="8375"/>
        <v>0</v>
      </c>
      <c r="U1659" s="200">
        <f t="shared" si="8375"/>
        <v>0</v>
      </c>
      <c r="V1659" s="200">
        <f t="shared" si="8375"/>
        <v>0</v>
      </c>
      <c r="W1659" s="200">
        <f t="shared" si="8375"/>
        <v>0</v>
      </c>
      <c r="X1659" s="200">
        <f t="shared" si="8375"/>
        <v>0</v>
      </c>
      <c r="Y1659" s="200">
        <f t="shared" si="8375"/>
        <v>0</v>
      </c>
      <c r="Z1659" s="200">
        <f t="shared" si="8375"/>
        <v>0</v>
      </c>
      <c r="AA1659" s="200">
        <f t="shared" si="8375"/>
        <v>0</v>
      </c>
      <c r="AB1659" s="200">
        <f t="shared" si="8375"/>
        <v>0</v>
      </c>
      <c r="AC1659" s="200">
        <f t="shared" si="8375"/>
        <v>0</v>
      </c>
      <c r="AD1659" s="200">
        <f t="shared" si="11"/>
        <v>1</v>
      </c>
      <c r="AE1659" s="200">
        <f t="shared" ref="AE1659:AG1659" si="8376">countif($D1659,"*"&amp;AE$2&amp;"*")</f>
        <v>0</v>
      </c>
      <c r="AF1659" s="200">
        <f t="shared" si="8376"/>
        <v>0</v>
      </c>
      <c r="AG1659" s="200">
        <f t="shared" si="8376"/>
        <v>0</v>
      </c>
      <c r="AH1659" s="171">
        <f t="shared" si="13"/>
        <v>0</v>
      </c>
      <c r="AI1659" s="200">
        <f t="shared" si="14"/>
        <v>0</v>
      </c>
      <c r="AJ1659" s="200">
        <f t="shared" ref="AJ1659:AJ1661" si="8382">SUM(AK1659:AQ1659)</f>
        <v>1</v>
      </c>
      <c r="AK1659" s="201">
        <f t="shared" ref="AK1659:AS1659" si="8377">countif($D1659,"*"&amp;AK$2&amp;"*")</f>
        <v>1</v>
      </c>
      <c r="AL1659" s="201">
        <f t="shared" si="8377"/>
        <v>0</v>
      </c>
      <c r="AM1659" s="201">
        <f t="shared" si="8377"/>
        <v>0</v>
      </c>
      <c r="AN1659" s="201">
        <f t="shared" si="8377"/>
        <v>0</v>
      </c>
      <c r="AO1659" s="201">
        <f t="shared" si="8377"/>
        <v>0</v>
      </c>
      <c r="AP1659" s="201">
        <f t="shared" si="8377"/>
        <v>0</v>
      </c>
      <c r="AQ1659" s="201">
        <f t="shared" si="8377"/>
        <v>0</v>
      </c>
      <c r="AR1659" s="201">
        <f t="shared" si="8377"/>
        <v>0</v>
      </c>
      <c r="AS1659" s="200">
        <f t="shared" si="8377"/>
        <v>1</v>
      </c>
      <c r="AT1659" s="205">
        <v>0.0</v>
      </c>
      <c r="AU1659" s="200">
        <f t="shared" si="6217"/>
        <v>1</v>
      </c>
      <c r="AV1659" s="200">
        <f t="shared" ref="AV1659:AX1659" si="8378">countif($D1659,"*"&amp;AV$2&amp;"*")</f>
        <v>0</v>
      </c>
      <c r="AW1659" s="200">
        <f t="shared" si="8378"/>
        <v>0</v>
      </c>
      <c r="AX1659" s="200">
        <f t="shared" si="8378"/>
        <v>0</v>
      </c>
      <c r="AY1659" s="202">
        <v>0.0</v>
      </c>
      <c r="AZ1659" s="200"/>
      <c r="BA1659" s="171" t="str">
        <f t="shared" si="18"/>
        <v/>
      </c>
      <c r="BB1659" s="171" t="str">
        <f t="shared" si="19"/>
        <v/>
      </c>
      <c r="BC1659" s="171" t="str">
        <f t="shared" si="20"/>
        <v/>
      </c>
      <c r="BD1659" s="171" t="str">
        <f t="shared" si="21"/>
        <v>Institutional</v>
      </c>
      <c r="BE1659" s="171" t="str">
        <f t="shared" si="22"/>
        <v/>
      </c>
      <c r="BF1659" s="171" t="str">
        <f t="shared" si="23"/>
        <v>Institutional</v>
      </c>
    </row>
    <row r="1660">
      <c r="A1660" s="171">
        <f t="array" ref="A1660">XLOOKUP(C1660,FSE!A:A,FSE!C:C,"XXXXX",0,1)</f>
        <v>2020</v>
      </c>
      <c r="B1660" s="213" t="s">
        <v>5676</v>
      </c>
      <c r="C1660" s="214">
        <v>346.0</v>
      </c>
      <c r="D1660" s="217" t="s">
        <v>6363</v>
      </c>
      <c r="E1660" s="197" t="str">
        <f t="array" ref="E1660">XLOOKUP(C1660,FSE!A:A,FSE!Z:Z,"XXXXX",0,1)</f>
        <v>Not Available (3)</v>
      </c>
      <c r="F1660" s="213" t="s">
        <v>3395</v>
      </c>
      <c r="G1660" s="163" t="str">
        <f t="array" ref="G1660">IF(B1660="ICSE",IF(COUNTIFS(B:B,B1660,C:C,C1660)=XLOOKUP(C1660,ICSE!A:A,ICSE!AA:AA,"ERROR",0,1),"OK","ERROR"),IF(B1660="FSE",IF(COUNTIFS(B:B,B1660,C:C,C1660)=XLOOKUP(C1660,FSE!A:A,FSE!AA:AA,"ERROR",0,1),"OK","ERROR")))</f>
        <v>OK</v>
      </c>
      <c r="H1660" s="199">
        <f t="shared" ref="H1660:O1660" si="8379">countif($D1660,"*"&amp;H$2&amp;"*")</f>
        <v>0</v>
      </c>
      <c r="I1660" s="200">
        <f t="shared" si="8379"/>
        <v>0</v>
      </c>
      <c r="J1660" s="200">
        <f t="shared" si="8379"/>
        <v>0</v>
      </c>
      <c r="K1660" s="200">
        <f t="shared" si="8379"/>
        <v>0</v>
      </c>
      <c r="L1660" s="200">
        <f t="shared" si="8379"/>
        <v>0</v>
      </c>
      <c r="M1660" s="200">
        <f t="shared" si="8379"/>
        <v>0</v>
      </c>
      <c r="N1660" s="200">
        <f t="shared" si="8379"/>
        <v>0</v>
      </c>
      <c r="O1660" s="200">
        <f t="shared" si="8379"/>
        <v>0</v>
      </c>
      <c r="P1660" s="200">
        <f t="shared" si="9"/>
        <v>0</v>
      </c>
      <c r="Q1660" s="200">
        <f t="shared" ref="Q1660:AC1660" si="8380">countif($D1660,"*"&amp;Q$2&amp;"*")</f>
        <v>0</v>
      </c>
      <c r="R1660" s="200">
        <f t="shared" si="8380"/>
        <v>0</v>
      </c>
      <c r="S1660" s="200">
        <f t="shared" si="8380"/>
        <v>0</v>
      </c>
      <c r="T1660" s="200">
        <f t="shared" si="8380"/>
        <v>0</v>
      </c>
      <c r="U1660" s="200">
        <f t="shared" si="8380"/>
        <v>0</v>
      </c>
      <c r="V1660" s="200">
        <f t="shared" si="8380"/>
        <v>0</v>
      </c>
      <c r="W1660" s="200">
        <f t="shared" si="8380"/>
        <v>0</v>
      </c>
      <c r="X1660" s="200">
        <f t="shared" si="8380"/>
        <v>0</v>
      </c>
      <c r="Y1660" s="200">
        <f t="shared" si="8380"/>
        <v>0</v>
      </c>
      <c r="Z1660" s="200">
        <f t="shared" si="8380"/>
        <v>0</v>
      </c>
      <c r="AA1660" s="200">
        <f t="shared" si="8380"/>
        <v>0</v>
      </c>
      <c r="AB1660" s="200">
        <f t="shared" si="8380"/>
        <v>0</v>
      </c>
      <c r="AC1660" s="200">
        <f t="shared" si="8380"/>
        <v>0</v>
      </c>
      <c r="AD1660" s="200">
        <f t="shared" si="11"/>
        <v>1</v>
      </c>
      <c r="AE1660" s="200">
        <f t="shared" ref="AE1660:AG1660" si="8381">countif($D1660,"*"&amp;AE$2&amp;"*")</f>
        <v>0</v>
      </c>
      <c r="AF1660" s="200">
        <f t="shared" si="8381"/>
        <v>0</v>
      </c>
      <c r="AG1660" s="200">
        <f t="shared" si="8381"/>
        <v>0</v>
      </c>
      <c r="AH1660" s="171">
        <f t="shared" si="13"/>
        <v>0</v>
      </c>
      <c r="AI1660" s="200">
        <f t="shared" si="14"/>
        <v>0</v>
      </c>
      <c r="AJ1660" s="200">
        <f t="shared" si="8382"/>
        <v>1</v>
      </c>
      <c r="AK1660" s="201">
        <f t="shared" ref="AK1660:AS1660" si="8383">countif($D1660,"*"&amp;AK$2&amp;"*")</f>
        <v>1</v>
      </c>
      <c r="AL1660" s="201">
        <f t="shared" si="8383"/>
        <v>0</v>
      </c>
      <c r="AM1660" s="201">
        <f t="shared" si="8383"/>
        <v>0</v>
      </c>
      <c r="AN1660" s="201">
        <f t="shared" si="8383"/>
        <v>0</v>
      </c>
      <c r="AO1660" s="201">
        <f t="shared" si="8383"/>
        <v>0</v>
      </c>
      <c r="AP1660" s="201">
        <f t="shared" si="8383"/>
        <v>0</v>
      </c>
      <c r="AQ1660" s="201">
        <f t="shared" si="8383"/>
        <v>0</v>
      </c>
      <c r="AR1660" s="201">
        <f t="shared" si="8383"/>
        <v>0</v>
      </c>
      <c r="AS1660" s="200">
        <f t="shared" si="8383"/>
        <v>1</v>
      </c>
      <c r="AT1660" s="205">
        <v>0.0</v>
      </c>
      <c r="AU1660" s="200">
        <f t="shared" si="6217"/>
        <v>1</v>
      </c>
      <c r="AV1660" s="200">
        <f t="shared" ref="AV1660:AX1660" si="8384">countif($D1660,"*"&amp;AV$2&amp;"*")</f>
        <v>0</v>
      </c>
      <c r="AW1660" s="200">
        <f t="shared" si="8384"/>
        <v>0</v>
      </c>
      <c r="AX1660" s="200">
        <f t="shared" si="8384"/>
        <v>0</v>
      </c>
      <c r="AY1660" s="202">
        <v>0.0</v>
      </c>
      <c r="AZ1660" s="200"/>
      <c r="BA1660" s="171" t="str">
        <f t="shared" si="18"/>
        <v/>
      </c>
      <c r="BB1660" s="171" t="str">
        <f t="shared" si="19"/>
        <v/>
      </c>
      <c r="BC1660" s="171" t="str">
        <f t="shared" si="20"/>
        <v/>
      </c>
      <c r="BD1660" s="171" t="str">
        <f t="shared" si="21"/>
        <v>Institutional</v>
      </c>
      <c r="BE1660" s="171" t="str">
        <f t="shared" si="22"/>
        <v/>
      </c>
      <c r="BF1660" s="171" t="str">
        <f t="shared" si="23"/>
        <v>Institutional</v>
      </c>
    </row>
    <row r="1661">
      <c r="A1661" s="171">
        <f t="array" ref="A1661">XLOOKUP(C1661,FSE!A:A,FSE!C:C,"XXXXX",0,1)</f>
        <v>2020</v>
      </c>
      <c r="B1661" s="213" t="s">
        <v>5676</v>
      </c>
      <c r="C1661" s="214">
        <v>346.0</v>
      </c>
      <c r="D1661" s="217" t="s">
        <v>6364</v>
      </c>
      <c r="E1661" s="197" t="str">
        <f t="array" ref="E1661">XLOOKUP(C1661,FSE!A:A,FSE!Z:Z,"XXXXX",0,1)</f>
        <v>Not Available (3)</v>
      </c>
      <c r="F1661" s="213" t="s">
        <v>3395</v>
      </c>
      <c r="G1661" s="163" t="str">
        <f t="array" ref="G1661">IF(B1661="ICSE",IF(COUNTIFS(B:B,B1661,C:C,C1661)=XLOOKUP(C1661,ICSE!A:A,ICSE!AA:AA,"ERROR",0,1),"OK","ERROR"),IF(B1661="FSE",IF(COUNTIFS(B:B,B1661,C:C,C1661)=XLOOKUP(C1661,FSE!A:A,FSE!AA:AA,"ERROR",0,1),"OK","ERROR")))</f>
        <v>OK</v>
      </c>
      <c r="H1661" s="199">
        <f t="shared" ref="H1661:O1661" si="8385">countif($D1661,"*"&amp;H$2&amp;"*")</f>
        <v>0</v>
      </c>
      <c r="I1661" s="200">
        <f t="shared" si="8385"/>
        <v>0</v>
      </c>
      <c r="J1661" s="200">
        <f t="shared" si="8385"/>
        <v>0</v>
      </c>
      <c r="K1661" s="200">
        <f t="shared" si="8385"/>
        <v>0</v>
      </c>
      <c r="L1661" s="200">
        <f t="shared" si="8385"/>
        <v>0</v>
      </c>
      <c r="M1661" s="200">
        <f t="shared" si="8385"/>
        <v>0</v>
      </c>
      <c r="N1661" s="200">
        <f t="shared" si="8385"/>
        <v>0</v>
      </c>
      <c r="O1661" s="200">
        <f t="shared" si="8385"/>
        <v>0</v>
      </c>
      <c r="P1661" s="200">
        <f t="shared" si="9"/>
        <v>0</v>
      </c>
      <c r="Q1661" s="200">
        <f t="shared" ref="Q1661:AC1661" si="8386">countif($D1661,"*"&amp;Q$2&amp;"*")</f>
        <v>0</v>
      </c>
      <c r="R1661" s="200">
        <f t="shared" si="8386"/>
        <v>0</v>
      </c>
      <c r="S1661" s="200">
        <f t="shared" si="8386"/>
        <v>0</v>
      </c>
      <c r="T1661" s="200">
        <f t="shared" si="8386"/>
        <v>0</v>
      </c>
      <c r="U1661" s="200">
        <f t="shared" si="8386"/>
        <v>0</v>
      </c>
      <c r="V1661" s="200">
        <f t="shared" si="8386"/>
        <v>0</v>
      </c>
      <c r="W1661" s="200">
        <f t="shared" si="8386"/>
        <v>0</v>
      </c>
      <c r="X1661" s="200">
        <f t="shared" si="8386"/>
        <v>0</v>
      </c>
      <c r="Y1661" s="200">
        <f t="shared" si="8386"/>
        <v>0</v>
      </c>
      <c r="Z1661" s="200">
        <f t="shared" si="8386"/>
        <v>0</v>
      </c>
      <c r="AA1661" s="200">
        <f t="shared" si="8386"/>
        <v>0</v>
      </c>
      <c r="AB1661" s="200">
        <f t="shared" si="8386"/>
        <v>0</v>
      </c>
      <c r="AC1661" s="200">
        <f t="shared" si="8386"/>
        <v>0</v>
      </c>
      <c r="AD1661" s="200">
        <f t="shared" si="11"/>
        <v>1</v>
      </c>
      <c r="AE1661" s="200">
        <f t="shared" ref="AE1661:AG1661" si="8387">countif($D1661,"*"&amp;AE$2&amp;"*")</f>
        <v>0</v>
      </c>
      <c r="AF1661" s="200">
        <f t="shared" si="8387"/>
        <v>0</v>
      </c>
      <c r="AG1661" s="200">
        <f t="shared" si="8387"/>
        <v>0</v>
      </c>
      <c r="AH1661" s="171">
        <f t="shared" si="13"/>
        <v>0</v>
      </c>
      <c r="AI1661" s="200">
        <f t="shared" si="14"/>
        <v>0</v>
      </c>
      <c r="AJ1661" s="200">
        <f t="shared" si="8382"/>
        <v>1</v>
      </c>
      <c r="AK1661" s="201">
        <f t="shared" ref="AK1661:AS1661" si="8388">countif($D1661,"*"&amp;AK$2&amp;"*")</f>
        <v>1</v>
      </c>
      <c r="AL1661" s="201">
        <f t="shared" si="8388"/>
        <v>0</v>
      </c>
      <c r="AM1661" s="201">
        <f t="shared" si="8388"/>
        <v>0</v>
      </c>
      <c r="AN1661" s="201">
        <f t="shared" si="8388"/>
        <v>0</v>
      </c>
      <c r="AO1661" s="201">
        <f t="shared" si="8388"/>
        <v>0</v>
      </c>
      <c r="AP1661" s="201">
        <f t="shared" si="8388"/>
        <v>0</v>
      </c>
      <c r="AQ1661" s="201">
        <f t="shared" si="8388"/>
        <v>0</v>
      </c>
      <c r="AR1661" s="201">
        <f t="shared" si="8388"/>
        <v>0</v>
      </c>
      <c r="AS1661" s="200">
        <f t="shared" si="8388"/>
        <v>1</v>
      </c>
      <c r="AT1661" s="205">
        <v>0.0</v>
      </c>
      <c r="AU1661" s="200">
        <f t="shared" si="6217"/>
        <v>1</v>
      </c>
      <c r="AV1661" s="200">
        <f t="shared" ref="AV1661:AX1661" si="8389">countif($D1661,"*"&amp;AV$2&amp;"*")</f>
        <v>0</v>
      </c>
      <c r="AW1661" s="200">
        <f t="shared" si="8389"/>
        <v>0</v>
      </c>
      <c r="AX1661" s="200">
        <f t="shared" si="8389"/>
        <v>0</v>
      </c>
      <c r="AY1661" s="202">
        <v>0.0</v>
      </c>
      <c r="AZ1661" s="200"/>
      <c r="BA1661" s="171" t="str">
        <f t="shared" si="18"/>
        <v/>
      </c>
      <c r="BB1661" s="171" t="str">
        <f t="shared" si="19"/>
        <v/>
      </c>
      <c r="BC1661" s="171" t="str">
        <f t="shared" si="20"/>
        <v/>
      </c>
      <c r="BD1661" s="171" t="str">
        <f t="shared" si="21"/>
        <v>Institutional</v>
      </c>
      <c r="BE1661" s="171" t="str">
        <f t="shared" si="22"/>
        <v/>
      </c>
      <c r="BF1661" s="171" t="str">
        <f t="shared" si="23"/>
        <v>Institutional</v>
      </c>
    </row>
    <row r="1662">
      <c r="A1662" s="171">
        <f t="array" ref="A1662">XLOOKUP(C1662,FSE!A:A,FSE!C:C,"XXXXX",0,1)</f>
        <v>2020</v>
      </c>
      <c r="B1662" s="213" t="s">
        <v>5676</v>
      </c>
      <c r="C1662" s="214">
        <v>351.0</v>
      </c>
      <c r="D1662" s="215" t="s">
        <v>4534</v>
      </c>
      <c r="E1662" s="197" t="str">
        <f t="array" ref="E1662">XLOOKUP(C1662,FSE!A:A,FSE!Z:Z,"XXXXX",0,1)</f>
        <v>Publicly Available (1)</v>
      </c>
      <c r="F1662" s="213" t="s">
        <v>3394</v>
      </c>
      <c r="G1662" s="163" t="str">
        <f t="array" ref="G1662">IF(B1662="ICSE",IF(COUNTIFS(B:B,B1662,C:C,C1662)=XLOOKUP(C1662,ICSE!A:A,ICSE!AA:AA,"ERROR",0,1),"OK","ERROR"),IF(B1662="FSE",IF(COUNTIFS(B:B,B1662,C:C,C1662)=XLOOKUP(C1662,FSE!A:A,FSE!AA:AA,"ERROR",0,1),"OK","ERROR")))</f>
        <v>OK</v>
      </c>
      <c r="H1662" s="199">
        <f t="shared" ref="H1662:O1662" si="8390">countif($D1662,"*"&amp;H$2&amp;"*")</f>
        <v>1</v>
      </c>
      <c r="I1662" s="200">
        <f t="shared" si="8390"/>
        <v>0</v>
      </c>
      <c r="J1662" s="200">
        <f t="shared" si="8390"/>
        <v>0</v>
      </c>
      <c r="K1662" s="200">
        <f t="shared" si="8390"/>
        <v>0</v>
      </c>
      <c r="L1662" s="200">
        <f t="shared" si="8390"/>
        <v>0</v>
      </c>
      <c r="M1662" s="200">
        <f t="shared" si="8390"/>
        <v>0</v>
      </c>
      <c r="N1662" s="200">
        <f t="shared" si="8390"/>
        <v>0</v>
      </c>
      <c r="O1662" s="200">
        <f t="shared" si="8390"/>
        <v>0</v>
      </c>
      <c r="P1662" s="200">
        <f t="shared" si="9"/>
        <v>0</v>
      </c>
      <c r="Q1662" s="200">
        <f t="shared" ref="Q1662:AC1662" si="8391">countif($D1662,"*"&amp;Q$2&amp;"*")</f>
        <v>0</v>
      </c>
      <c r="R1662" s="200">
        <f t="shared" si="8391"/>
        <v>0</v>
      </c>
      <c r="S1662" s="200">
        <f t="shared" si="8391"/>
        <v>0</v>
      </c>
      <c r="T1662" s="200">
        <f t="shared" si="8391"/>
        <v>0</v>
      </c>
      <c r="U1662" s="200">
        <f t="shared" si="8391"/>
        <v>0</v>
      </c>
      <c r="V1662" s="200">
        <f t="shared" si="8391"/>
        <v>0</v>
      </c>
      <c r="W1662" s="200">
        <f t="shared" si="8391"/>
        <v>0</v>
      </c>
      <c r="X1662" s="200">
        <f t="shared" si="8391"/>
        <v>0</v>
      </c>
      <c r="Y1662" s="200">
        <f t="shared" si="8391"/>
        <v>0</v>
      </c>
      <c r="Z1662" s="200">
        <f t="shared" si="8391"/>
        <v>0</v>
      </c>
      <c r="AA1662" s="200">
        <f t="shared" si="8391"/>
        <v>0</v>
      </c>
      <c r="AB1662" s="200">
        <f t="shared" si="8391"/>
        <v>0</v>
      </c>
      <c r="AC1662" s="200">
        <f t="shared" si="8391"/>
        <v>0</v>
      </c>
      <c r="AD1662" s="200">
        <f t="shared" si="11"/>
        <v>0</v>
      </c>
      <c r="AE1662" s="200">
        <f t="shared" ref="AE1662:AG1662" si="8392">countif($D1662,"*"&amp;AE$2&amp;"*")</f>
        <v>0</v>
      </c>
      <c r="AF1662" s="200">
        <f t="shared" si="8392"/>
        <v>0</v>
      </c>
      <c r="AG1662" s="200">
        <f t="shared" si="8392"/>
        <v>0</v>
      </c>
      <c r="AH1662" s="171">
        <f t="shared" si="13"/>
        <v>0</v>
      </c>
      <c r="AI1662" s="200">
        <f t="shared" si="14"/>
        <v>1</v>
      </c>
      <c r="AJ1662" s="200">
        <f t="shared" ref="AJ1662:AJ1675" si="8398">SUM(AK1662:AR1662)</f>
        <v>0</v>
      </c>
      <c r="AK1662" s="201">
        <f t="shared" ref="AK1662:AS1662" si="8393">countif($D1662,"*"&amp;AK$2&amp;"*")</f>
        <v>0</v>
      </c>
      <c r="AL1662" s="201">
        <f t="shared" si="8393"/>
        <v>0</v>
      </c>
      <c r="AM1662" s="201">
        <f t="shared" si="8393"/>
        <v>0</v>
      </c>
      <c r="AN1662" s="201">
        <f t="shared" si="8393"/>
        <v>0</v>
      </c>
      <c r="AO1662" s="201">
        <f t="shared" si="8393"/>
        <v>0</v>
      </c>
      <c r="AP1662" s="201">
        <f t="shared" si="8393"/>
        <v>0</v>
      </c>
      <c r="AQ1662" s="201">
        <f t="shared" si="8393"/>
        <v>0</v>
      </c>
      <c r="AR1662" s="200">
        <f t="shared" si="8393"/>
        <v>0</v>
      </c>
      <c r="AS1662" s="200">
        <f t="shared" si="8393"/>
        <v>0</v>
      </c>
      <c r="AT1662" s="173">
        <v>0.0</v>
      </c>
      <c r="AU1662" s="200">
        <f t="shared" si="6217"/>
        <v>0</v>
      </c>
      <c r="AV1662" s="200">
        <f t="shared" ref="AV1662:AX1662" si="8394">countif($D1662,"*"&amp;AV$2&amp;"*")</f>
        <v>0</v>
      </c>
      <c r="AW1662" s="200">
        <f t="shared" si="8394"/>
        <v>0</v>
      </c>
      <c r="AX1662" s="200">
        <f t="shared" si="8394"/>
        <v>1</v>
      </c>
      <c r="AY1662" s="202">
        <v>0.0</v>
      </c>
      <c r="AZ1662" s="200"/>
      <c r="BA1662" s="171" t="str">
        <f t="shared" si="18"/>
        <v>Archival</v>
      </c>
      <c r="BB1662" s="171" t="str">
        <f t="shared" si="19"/>
        <v/>
      </c>
      <c r="BC1662" s="171" t="str">
        <f t="shared" si="20"/>
        <v/>
      </c>
      <c r="BD1662" s="171" t="str">
        <f t="shared" si="21"/>
        <v/>
      </c>
      <c r="BE1662" s="171" t="str">
        <f t="shared" si="22"/>
        <v/>
      </c>
      <c r="BF1662" s="171" t="str">
        <f t="shared" si="23"/>
        <v>Archival</v>
      </c>
    </row>
    <row r="1663">
      <c r="A1663" s="171">
        <f t="array" ref="A1663">XLOOKUP(C1663,FSE!A:A,FSE!C:C,"XXXXX",0,1)</f>
        <v>2020</v>
      </c>
      <c r="B1663" s="213" t="s">
        <v>5676</v>
      </c>
      <c r="C1663" s="219">
        <v>352.0</v>
      </c>
      <c r="D1663" s="215" t="s">
        <v>4536</v>
      </c>
      <c r="E1663" s="197" t="str">
        <f t="array" ref="E1663">XLOOKUP(C1663,FSE!A:A,FSE!Z:Z,"XXXXX",0,1)</f>
        <v>Publicly Available (1)</v>
      </c>
      <c r="F1663" s="213" t="s">
        <v>3394</v>
      </c>
      <c r="G1663" s="163" t="str">
        <f t="array" ref="G1663">IF(B1663="ICSE",IF(COUNTIFS(B:B,B1663,C:C,C1663)=XLOOKUP(C1663,ICSE!A:A,ICSE!AA:AA,"ERROR",0,1),"OK","ERROR"),IF(B1663="FSE",IF(COUNTIFS(B:B,B1663,C:C,C1663)=XLOOKUP(C1663,FSE!A:A,FSE!AA:AA,"ERROR",0,1),"OK","ERROR")))</f>
        <v>OK</v>
      </c>
      <c r="H1663" s="199">
        <f t="shared" ref="H1663:O1663" si="8395">countif($D1663,"*"&amp;H$2&amp;"*")</f>
        <v>0</v>
      </c>
      <c r="I1663" s="200">
        <f t="shared" si="8395"/>
        <v>0</v>
      </c>
      <c r="J1663" s="200">
        <f t="shared" si="8395"/>
        <v>0</v>
      </c>
      <c r="K1663" s="200">
        <f t="shared" si="8395"/>
        <v>0</v>
      </c>
      <c r="L1663" s="200">
        <f t="shared" si="8395"/>
        <v>0</v>
      </c>
      <c r="M1663" s="200">
        <f t="shared" si="8395"/>
        <v>0</v>
      </c>
      <c r="N1663" s="200">
        <f t="shared" si="8395"/>
        <v>0</v>
      </c>
      <c r="O1663" s="200">
        <f t="shared" si="8395"/>
        <v>0</v>
      </c>
      <c r="P1663" s="200">
        <f t="shared" si="9"/>
        <v>1</v>
      </c>
      <c r="Q1663" s="200">
        <f t="shared" ref="Q1663:AC1663" si="8396">countif($D1663,"*"&amp;Q$2&amp;"*")</f>
        <v>0</v>
      </c>
      <c r="R1663" s="200">
        <f t="shared" si="8396"/>
        <v>0</v>
      </c>
      <c r="S1663" s="200">
        <f t="shared" si="8396"/>
        <v>0</v>
      </c>
      <c r="T1663" s="200">
        <f t="shared" si="8396"/>
        <v>0</v>
      </c>
      <c r="U1663" s="200">
        <f t="shared" si="8396"/>
        <v>0</v>
      </c>
      <c r="V1663" s="200">
        <f t="shared" si="8396"/>
        <v>0</v>
      </c>
      <c r="W1663" s="200">
        <f t="shared" si="8396"/>
        <v>0</v>
      </c>
      <c r="X1663" s="200">
        <f t="shared" si="8396"/>
        <v>0</v>
      </c>
      <c r="Y1663" s="200">
        <f t="shared" si="8396"/>
        <v>0</v>
      </c>
      <c r="Z1663" s="200">
        <f t="shared" si="8396"/>
        <v>0</v>
      </c>
      <c r="AA1663" s="200">
        <f t="shared" si="8396"/>
        <v>0</v>
      </c>
      <c r="AB1663" s="200">
        <f t="shared" si="8396"/>
        <v>0</v>
      </c>
      <c r="AC1663" s="200">
        <f t="shared" si="8396"/>
        <v>0</v>
      </c>
      <c r="AD1663" s="200">
        <f t="shared" si="11"/>
        <v>0</v>
      </c>
      <c r="AE1663" s="200">
        <f t="shared" ref="AE1663:AG1663" si="8397">countif($D1663,"*"&amp;AE$2&amp;"*")</f>
        <v>0</v>
      </c>
      <c r="AF1663" s="200">
        <f t="shared" si="8397"/>
        <v>0</v>
      </c>
      <c r="AG1663" s="200">
        <f t="shared" si="8397"/>
        <v>0</v>
      </c>
      <c r="AH1663" s="171">
        <f t="shared" si="13"/>
        <v>0</v>
      </c>
      <c r="AI1663" s="200">
        <f t="shared" si="14"/>
        <v>0</v>
      </c>
      <c r="AJ1663" s="200">
        <f t="shared" si="8398"/>
        <v>0</v>
      </c>
      <c r="AK1663" s="201">
        <f t="shared" ref="AK1663:AS1663" si="8399">countif($D1663,"*"&amp;AK$2&amp;"*")</f>
        <v>0</v>
      </c>
      <c r="AL1663" s="201">
        <f t="shared" si="8399"/>
        <v>0</v>
      </c>
      <c r="AM1663" s="201">
        <f t="shared" si="8399"/>
        <v>0</v>
      </c>
      <c r="AN1663" s="201">
        <f t="shared" si="8399"/>
        <v>0</v>
      </c>
      <c r="AO1663" s="201">
        <f t="shared" si="8399"/>
        <v>0</v>
      </c>
      <c r="AP1663" s="201">
        <f t="shared" si="8399"/>
        <v>0</v>
      </c>
      <c r="AQ1663" s="201">
        <f t="shared" si="8399"/>
        <v>0</v>
      </c>
      <c r="AR1663" s="200">
        <f t="shared" si="8399"/>
        <v>0</v>
      </c>
      <c r="AS1663" s="200">
        <f t="shared" si="8399"/>
        <v>0</v>
      </c>
      <c r="AT1663" s="173">
        <v>0.0</v>
      </c>
      <c r="AU1663" s="200">
        <f t="shared" si="6217"/>
        <v>0</v>
      </c>
      <c r="AV1663" s="200">
        <f t="shared" ref="AV1663:AX1663" si="8400">countif($D1663,"*"&amp;AV$2&amp;"*")</f>
        <v>1</v>
      </c>
      <c r="AW1663" s="200">
        <f t="shared" si="8400"/>
        <v>0</v>
      </c>
      <c r="AX1663" s="200">
        <f t="shared" si="8400"/>
        <v>0</v>
      </c>
      <c r="AY1663" s="202">
        <v>0.0</v>
      </c>
      <c r="AZ1663" s="200"/>
      <c r="BA1663" s="171" t="str">
        <f t="shared" si="18"/>
        <v/>
      </c>
      <c r="BB1663" s="171" t="str">
        <f t="shared" si="19"/>
        <v>Code</v>
      </c>
      <c r="BC1663" s="171" t="str">
        <f t="shared" si="20"/>
        <v/>
      </c>
      <c r="BD1663" s="171" t="str">
        <f t="shared" si="21"/>
        <v/>
      </c>
      <c r="BE1663" s="171" t="str">
        <f t="shared" si="22"/>
        <v/>
      </c>
      <c r="BF1663" s="171" t="str">
        <f t="shared" si="23"/>
        <v>Code</v>
      </c>
    </row>
    <row r="1664">
      <c r="A1664" s="171">
        <f t="array" ref="A1664">XLOOKUP(C1664,FSE!A:A,FSE!C:C,"XXXXX",0,1)</f>
        <v>2020</v>
      </c>
      <c r="B1664" s="213" t="s">
        <v>5676</v>
      </c>
      <c r="C1664" s="219">
        <v>353.0</v>
      </c>
      <c r="D1664" s="215" t="s">
        <v>4538</v>
      </c>
      <c r="E1664" s="197" t="str">
        <f t="array" ref="E1664">XLOOKUP(C1664,FSE!A:A,FSE!Z:Z,"XXXXX",0,1)</f>
        <v>Publicly Available (1)</v>
      </c>
      <c r="F1664" s="213" t="s">
        <v>3394</v>
      </c>
      <c r="G1664" s="163" t="str">
        <f t="array" ref="G1664">IF(B1664="ICSE",IF(COUNTIFS(B:B,B1664,C:C,C1664)=XLOOKUP(C1664,ICSE!A:A,ICSE!AA:AA,"ERROR",0,1),"OK","ERROR"),IF(B1664="FSE",IF(COUNTIFS(B:B,B1664,C:C,C1664)=XLOOKUP(C1664,FSE!A:A,FSE!AA:AA,"ERROR",0,1),"OK","ERROR")))</f>
        <v>OK</v>
      </c>
      <c r="H1664" s="199">
        <f t="shared" ref="H1664:O1664" si="8401">countif($D1664,"*"&amp;H$2&amp;"*")</f>
        <v>0</v>
      </c>
      <c r="I1664" s="200">
        <f t="shared" si="8401"/>
        <v>0</v>
      </c>
      <c r="J1664" s="200">
        <f t="shared" si="8401"/>
        <v>0</v>
      </c>
      <c r="K1664" s="200">
        <f t="shared" si="8401"/>
        <v>0</v>
      </c>
      <c r="L1664" s="200">
        <f t="shared" si="8401"/>
        <v>0</v>
      </c>
      <c r="M1664" s="200">
        <f t="shared" si="8401"/>
        <v>0</v>
      </c>
      <c r="N1664" s="200">
        <f t="shared" si="8401"/>
        <v>0</v>
      </c>
      <c r="O1664" s="200">
        <f t="shared" si="8401"/>
        <v>0</v>
      </c>
      <c r="P1664" s="200">
        <f t="shared" si="9"/>
        <v>1</v>
      </c>
      <c r="Q1664" s="200">
        <f t="shared" ref="Q1664:AC1664" si="8402">countif($D1664,"*"&amp;Q$2&amp;"*")</f>
        <v>0</v>
      </c>
      <c r="R1664" s="200">
        <f t="shared" si="8402"/>
        <v>0</v>
      </c>
      <c r="S1664" s="200">
        <f t="shared" si="8402"/>
        <v>0</v>
      </c>
      <c r="T1664" s="200">
        <f t="shared" si="8402"/>
        <v>0</v>
      </c>
      <c r="U1664" s="200">
        <f t="shared" si="8402"/>
        <v>0</v>
      </c>
      <c r="V1664" s="200">
        <f t="shared" si="8402"/>
        <v>0</v>
      </c>
      <c r="W1664" s="200">
        <f t="shared" si="8402"/>
        <v>0</v>
      </c>
      <c r="X1664" s="200">
        <f t="shared" si="8402"/>
        <v>0</v>
      </c>
      <c r="Y1664" s="200">
        <f t="shared" si="8402"/>
        <v>0</v>
      </c>
      <c r="Z1664" s="200">
        <f t="shared" si="8402"/>
        <v>0</v>
      </c>
      <c r="AA1664" s="200">
        <f t="shared" si="8402"/>
        <v>0</v>
      </c>
      <c r="AB1664" s="200">
        <f t="shared" si="8402"/>
        <v>0</v>
      </c>
      <c r="AC1664" s="200">
        <f t="shared" si="8402"/>
        <v>0</v>
      </c>
      <c r="AD1664" s="200">
        <f t="shared" si="11"/>
        <v>0</v>
      </c>
      <c r="AE1664" s="200">
        <f t="shared" ref="AE1664:AG1664" si="8403">countif($D1664,"*"&amp;AE$2&amp;"*")</f>
        <v>0</v>
      </c>
      <c r="AF1664" s="200">
        <f t="shared" si="8403"/>
        <v>0</v>
      </c>
      <c r="AG1664" s="200">
        <f t="shared" si="8403"/>
        <v>0</v>
      </c>
      <c r="AH1664" s="171">
        <f t="shared" si="13"/>
        <v>0</v>
      </c>
      <c r="AI1664" s="200">
        <f t="shared" si="14"/>
        <v>0</v>
      </c>
      <c r="AJ1664" s="200">
        <f t="shared" si="8398"/>
        <v>0</v>
      </c>
      <c r="AK1664" s="201">
        <f t="shared" ref="AK1664:AS1664" si="8404">countif($D1664,"*"&amp;AK$2&amp;"*")</f>
        <v>0</v>
      </c>
      <c r="AL1664" s="201">
        <f t="shared" si="8404"/>
        <v>0</v>
      </c>
      <c r="AM1664" s="201">
        <f t="shared" si="8404"/>
        <v>0</v>
      </c>
      <c r="AN1664" s="201">
        <f t="shared" si="8404"/>
        <v>0</v>
      </c>
      <c r="AO1664" s="201">
        <f t="shared" si="8404"/>
        <v>0</v>
      </c>
      <c r="AP1664" s="201">
        <f t="shared" si="8404"/>
        <v>0</v>
      </c>
      <c r="AQ1664" s="201">
        <f t="shared" si="8404"/>
        <v>0</v>
      </c>
      <c r="AR1664" s="200">
        <f t="shared" si="8404"/>
        <v>0</v>
      </c>
      <c r="AS1664" s="200">
        <f t="shared" si="8404"/>
        <v>0</v>
      </c>
      <c r="AT1664" s="173">
        <v>0.0</v>
      </c>
      <c r="AU1664" s="200">
        <f t="shared" si="6217"/>
        <v>0</v>
      </c>
      <c r="AV1664" s="200">
        <f t="shared" ref="AV1664:AX1664" si="8405">countif($D1664,"*"&amp;AV$2&amp;"*")</f>
        <v>1</v>
      </c>
      <c r="AW1664" s="200">
        <f t="shared" si="8405"/>
        <v>0</v>
      </c>
      <c r="AX1664" s="200">
        <f t="shared" si="8405"/>
        <v>0</v>
      </c>
      <c r="AY1664" s="202">
        <v>0.0</v>
      </c>
      <c r="AZ1664" s="200"/>
      <c r="BA1664" s="171" t="str">
        <f t="shared" si="18"/>
        <v/>
      </c>
      <c r="BB1664" s="171" t="str">
        <f t="shared" si="19"/>
        <v>Code</v>
      </c>
      <c r="BC1664" s="171" t="str">
        <f t="shared" si="20"/>
        <v/>
      </c>
      <c r="BD1664" s="171" t="str">
        <f t="shared" si="21"/>
        <v/>
      </c>
      <c r="BE1664" s="171" t="str">
        <f t="shared" si="22"/>
        <v/>
      </c>
      <c r="BF1664" s="171" t="str">
        <f t="shared" si="23"/>
        <v>Code</v>
      </c>
    </row>
    <row r="1665">
      <c r="A1665" s="171">
        <f t="array" ref="A1665">XLOOKUP(C1665,FSE!A:A,FSE!C:C,"XXXXX",0,1)</f>
        <v>2020</v>
      </c>
      <c r="B1665" s="213" t="s">
        <v>5676</v>
      </c>
      <c r="C1665" s="214">
        <v>354.0</v>
      </c>
      <c r="D1665" s="215" t="s">
        <v>4541</v>
      </c>
      <c r="E1665" s="197" t="str">
        <f t="array" ref="E1665">XLOOKUP(C1665,FSE!A:A,FSE!Z:Z,"XXXXX",0,1)</f>
        <v>Publicly Available (1)</v>
      </c>
      <c r="F1665" s="213" t="s">
        <v>3394</v>
      </c>
      <c r="G1665" s="163" t="str">
        <f t="array" ref="G1665">IF(B1665="ICSE",IF(COUNTIFS(B:B,B1665,C:C,C1665)=XLOOKUP(C1665,ICSE!A:A,ICSE!AA:AA,"ERROR",0,1),"OK","ERROR"),IF(B1665="FSE",IF(COUNTIFS(B:B,B1665,C:C,C1665)=XLOOKUP(C1665,FSE!A:A,FSE!AA:AA,"ERROR",0,1),"OK","ERROR")))</f>
        <v>OK</v>
      </c>
      <c r="H1665" s="199">
        <f t="shared" ref="H1665:O1665" si="8406">countif($D1665,"*"&amp;H$2&amp;"*")</f>
        <v>0</v>
      </c>
      <c r="I1665" s="200">
        <f t="shared" si="8406"/>
        <v>0</v>
      </c>
      <c r="J1665" s="200">
        <f t="shared" si="8406"/>
        <v>0</v>
      </c>
      <c r="K1665" s="200">
        <f t="shared" si="8406"/>
        <v>0</v>
      </c>
      <c r="L1665" s="200">
        <f t="shared" si="8406"/>
        <v>0</v>
      </c>
      <c r="M1665" s="200">
        <f t="shared" si="8406"/>
        <v>0</v>
      </c>
      <c r="N1665" s="200">
        <f t="shared" si="8406"/>
        <v>0</v>
      </c>
      <c r="O1665" s="200">
        <f t="shared" si="8406"/>
        <v>0</v>
      </c>
      <c r="P1665" s="200">
        <f t="shared" si="9"/>
        <v>1</v>
      </c>
      <c r="Q1665" s="200">
        <f t="shared" ref="Q1665:AC1665" si="8407">countif($D1665,"*"&amp;Q$2&amp;"*")</f>
        <v>0</v>
      </c>
      <c r="R1665" s="200">
        <f t="shared" si="8407"/>
        <v>0</v>
      </c>
      <c r="S1665" s="200">
        <f t="shared" si="8407"/>
        <v>0</v>
      </c>
      <c r="T1665" s="200">
        <f t="shared" si="8407"/>
        <v>0</v>
      </c>
      <c r="U1665" s="200">
        <f t="shared" si="8407"/>
        <v>0</v>
      </c>
      <c r="V1665" s="200">
        <f t="shared" si="8407"/>
        <v>0</v>
      </c>
      <c r="W1665" s="200">
        <f t="shared" si="8407"/>
        <v>0</v>
      </c>
      <c r="X1665" s="200">
        <f t="shared" si="8407"/>
        <v>0</v>
      </c>
      <c r="Y1665" s="200">
        <f t="shared" si="8407"/>
        <v>0</v>
      </c>
      <c r="Z1665" s="200">
        <f t="shared" si="8407"/>
        <v>0</v>
      </c>
      <c r="AA1665" s="200">
        <f t="shared" si="8407"/>
        <v>0</v>
      </c>
      <c r="AB1665" s="200">
        <f t="shared" si="8407"/>
        <v>0</v>
      </c>
      <c r="AC1665" s="200">
        <f t="shared" si="8407"/>
        <v>0</v>
      </c>
      <c r="AD1665" s="200">
        <f t="shared" si="11"/>
        <v>0</v>
      </c>
      <c r="AE1665" s="200">
        <f t="shared" ref="AE1665:AG1665" si="8408">countif($D1665,"*"&amp;AE$2&amp;"*")</f>
        <v>0</v>
      </c>
      <c r="AF1665" s="200">
        <f t="shared" si="8408"/>
        <v>0</v>
      </c>
      <c r="AG1665" s="200">
        <f t="shared" si="8408"/>
        <v>0</v>
      </c>
      <c r="AH1665" s="171">
        <f t="shared" si="13"/>
        <v>0</v>
      </c>
      <c r="AI1665" s="200">
        <f t="shared" si="14"/>
        <v>0</v>
      </c>
      <c r="AJ1665" s="200">
        <f t="shared" si="8398"/>
        <v>0</v>
      </c>
      <c r="AK1665" s="201">
        <f t="shared" ref="AK1665:AS1665" si="8409">countif($D1665,"*"&amp;AK$2&amp;"*")</f>
        <v>0</v>
      </c>
      <c r="AL1665" s="201">
        <f t="shared" si="8409"/>
        <v>0</v>
      </c>
      <c r="AM1665" s="201">
        <f t="shared" si="8409"/>
        <v>0</v>
      </c>
      <c r="AN1665" s="201">
        <f t="shared" si="8409"/>
        <v>0</v>
      </c>
      <c r="AO1665" s="201">
        <f t="shared" si="8409"/>
        <v>0</v>
      </c>
      <c r="AP1665" s="201">
        <f t="shared" si="8409"/>
        <v>0</v>
      </c>
      <c r="AQ1665" s="201">
        <f t="shared" si="8409"/>
        <v>0</v>
      </c>
      <c r="AR1665" s="200">
        <f t="shared" si="8409"/>
        <v>0</v>
      </c>
      <c r="AS1665" s="200">
        <f t="shared" si="8409"/>
        <v>0</v>
      </c>
      <c r="AT1665" s="173">
        <v>0.0</v>
      </c>
      <c r="AU1665" s="200">
        <f t="shared" si="6217"/>
        <v>0</v>
      </c>
      <c r="AV1665" s="200">
        <f t="shared" ref="AV1665:AX1665" si="8410">countif($D1665,"*"&amp;AV$2&amp;"*")</f>
        <v>1</v>
      </c>
      <c r="AW1665" s="200">
        <f t="shared" si="8410"/>
        <v>0</v>
      </c>
      <c r="AX1665" s="200">
        <f t="shared" si="8410"/>
        <v>0</v>
      </c>
      <c r="AY1665" s="202">
        <v>0.0</v>
      </c>
      <c r="AZ1665" s="200"/>
      <c r="BA1665" s="171" t="str">
        <f t="shared" si="18"/>
        <v/>
      </c>
      <c r="BB1665" s="171" t="str">
        <f t="shared" si="19"/>
        <v>Code</v>
      </c>
      <c r="BC1665" s="171" t="str">
        <f t="shared" si="20"/>
        <v/>
      </c>
      <c r="BD1665" s="171" t="str">
        <f t="shared" si="21"/>
        <v/>
      </c>
      <c r="BE1665" s="171" t="str">
        <f t="shared" si="22"/>
        <v/>
      </c>
      <c r="BF1665" s="171" t="str">
        <f t="shared" si="23"/>
        <v>Code</v>
      </c>
    </row>
    <row r="1666">
      <c r="A1666" s="171">
        <f t="array" ref="A1666">XLOOKUP(C1666,FSE!A:A,FSE!C:C,"XXXXX",0,1)</f>
        <v>2020</v>
      </c>
      <c r="B1666" s="213" t="s">
        <v>5676</v>
      </c>
      <c r="C1666" s="214">
        <v>355.0</v>
      </c>
      <c r="D1666" s="215" t="s">
        <v>4544</v>
      </c>
      <c r="E1666" s="197" t="str">
        <f t="array" ref="E1666">XLOOKUP(C1666,FSE!A:A,FSE!Z:Z,"XXXXX",0,1)</f>
        <v>Publicly Available (1)</v>
      </c>
      <c r="F1666" s="213" t="s">
        <v>3394</v>
      </c>
      <c r="G1666" s="163" t="str">
        <f t="array" ref="G1666">IF(B1666="ICSE",IF(COUNTIFS(B:B,B1666,C:C,C1666)=XLOOKUP(C1666,ICSE!A:A,ICSE!AA:AA,"ERROR",0,1),"OK","ERROR"),IF(B1666="FSE",IF(COUNTIFS(B:B,B1666,C:C,C1666)=XLOOKUP(C1666,FSE!A:A,FSE!AA:AA,"ERROR",0,1),"OK","ERROR")))</f>
        <v>OK</v>
      </c>
      <c r="H1666" s="199">
        <f t="shared" ref="H1666:O1666" si="8411">countif($D1666,"*"&amp;H$2&amp;"*")</f>
        <v>0</v>
      </c>
      <c r="I1666" s="200">
        <f t="shared" si="8411"/>
        <v>0</v>
      </c>
      <c r="J1666" s="200">
        <f t="shared" si="8411"/>
        <v>0</v>
      </c>
      <c r="K1666" s="200">
        <f t="shared" si="8411"/>
        <v>0</v>
      </c>
      <c r="L1666" s="200">
        <f t="shared" si="8411"/>
        <v>0</v>
      </c>
      <c r="M1666" s="200">
        <f t="shared" si="8411"/>
        <v>0</v>
      </c>
      <c r="N1666" s="200">
        <f t="shared" si="8411"/>
        <v>0</v>
      </c>
      <c r="O1666" s="200">
        <f t="shared" si="8411"/>
        <v>0</v>
      </c>
      <c r="P1666" s="200">
        <f t="shared" si="9"/>
        <v>1</v>
      </c>
      <c r="Q1666" s="200">
        <f t="shared" ref="Q1666:AC1666" si="8412">countif($D1666,"*"&amp;Q$2&amp;"*")</f>
        <v>0</v>
      </c>
      <c r="R1666" s="200">
        <f t="shared" si="8412"/>
        <v>0</v>
      </c>
      <c r="S1666" s="200">
        <f t="shared" si="8412"/>
        <v>0</v>
      </c>
      <c r="T1666" s="200">
        <f t="shared" si="8412"/>
        <v>0</v>
      </c>
      <c r="U1666" s="200">
        <f t="shared" si="8412"/>
        <v>0</v>
      </c>
      <c r="V1666" s="200">
        <f t="shared" si="8412"/>
        <v>0</v>
      </c>
      <c r="W1666" s="200">
        <f t="shared" si="8412"/>
        <v>0</v>
      </c>
      <c r="X1666" s="200">
        <f t="shared" si="8412"/>
        <v>0</v>
      </c>
      <c r="Y1666" s="200">
        <f t="shared" si="8412"/>
        <v>0</v>
      </c>
      <c r="Z1666" s="200">
        <f t="shared" si="8412"/>
        <v>0</v>
      </c>
      <c r="AA1666" s="200">
        <f t="shared" si="8412"/>
        <v>0</v>
      </c>
      <c r="AB1666" s="200">
        <f t="shared" si="8412"/>
        <v>0</v>
      </c>
      <c r="AC1666" s="200">
        <f t="shared" si="8412"/>
        <v>0</v>
      </c>
      <c r="AD1666" s="200">
        <f t="shared" si="11"/>
        <v>0</v>
      </c>
      <c r="AE1666" s="200">
        <f t="shared" ref="AE1666:AG1666" si="8413">countif($D1666,"*"&amp;AE$2&amp;"*")</f>
        <v>0</v>
      </c>
      <c r="AF1666" s="200">
        <f t="shared" si="8413"/>
        <v>0</v>
      </c>
      <c r="AG1666" s="200">
        <f t="shared" si="8413"/>
        <v>0</v>
      </c>
      <c r="AH1666" s="171">
        <f t="shared" si="13"/>
        <v>0</v>
      </c>
      <c r="AI1666" s="200">
        <f t="shared" si="14"/>
        <v>0</v>
      </c>
      <c r="AJ1666" s="200">
        <f t="shared" si="8398"/>
        <v>0</v>
      </c>
      <c r="AK1666" s="201">
        <f t="shared" ref="AK1666:AS1666" si="8414">countif($D1666,"*"&amp;AK$2&amp;"*")</f>
        <v>0</v>
      </c>
      <c r="AL1666" s="201">
        <f t="shared" si="8414"/>
        <v>0</v>
      </c>
      <c r="AM1666" s="201">
        <f t="shared" si="8414"/>
        <v>0</v>
      </c>
      <c r="AN1666" s="201">
        <f t="shared" si="8414"/>
        <v>0</v>
      </c>
      <c r="AO1666" s="201">
        <f t="shared" si="8414"/>
        <v>0</v>
      </c>
      <c r="AP1666" s="201">
        <f t="shared" si="8414"/>
        <v>0</v>
      </c>
      <c r="AQ1666" s="201">
        <f t="shared" si="8414"/>
        <v>0</v>
      </c>
      <c r="AR1666" s="200">
        <f t="shared" si="8414"/>
        <v>0</v>
      </c>
      <c r="AS1666" s="200">
        <f t="shared" si="8414"/>
        <v>0</v>
      </c>
      <c r="AT1666" s="173">
        <v>0.0</v>
      </c>
      <c r="AU1666" s="200">
        <f t="shared" si="6217"/>
        <v>0</v>
      </c>
      <c r="AV1666" s="200">
        <f t="shared" ref="AV1666:AX1666" si="8415">countif($D1666,"*"&amp;AV$2&amp;"*")</f>
        <v>1</v>
      </c>
      <c r="AW1666" s="200">
        <f t="shared" si="8415"/>
        <v>0</v>
      </c>
      <c r="AX1666" s="200">
        <f t="shared" si="8415"/>
        <v>0</v>
      </c>
      <c r="AY1666" s="202">
        <v>0.0</v>
      </c>
      <c r="AZ1666" s="200"/>
      <c r="BA1666" s="171" t="str">
        <f t="shared" si="18"/>
        <v/>
      </c>
      <c r="BB1666" s="171" t="str">
        <f t="shared" si="19"/>
        <v>Code</v>
      </c>
      <c r="BC1666" s="171" t="str">
        <f t="shared" si="20"/>
        <v/>
      </c>
      <c r="BD1666" s="171" t="str">
        <f t="shared" si="21"/>
        <v/>
      </c>
      <c r="BE1666" s="171" t="str">
        <f t="shared" si="22"/>
        <v/>
      </c>
      <c r="BF1666" s="171" t="str">
        <f t="shared" si="23"/>
        <v>Code</v>
      </c>
    </row>
    <row r="1667">
      <c r="A1667" s="171">
        <f t="array" ref="A1667">XLOOKUP(C1667,FSE!A:A,FSE!C:C,"XXXXX",0,1)</f>
        <v>2020</v>
      </c>
      <c r="B1667" s="213" t="s">
        <v>5676</v>
      </c>
      <c r="C1667" s="214">
        <v>356.0</v>
      </c>
      <c r="D1667" s="215" t="s">
        <v>4547</v>
      </c>
      <c r="E1667" s="197" t="str">
        <f t="array" ref="E1667">XLOOKUP(C1667,FSE!A:A,FSE!Z:Z,"XXXXX",0,1)</f>
        <v>Publicly Available (1)</v>
      </c>
      <c r="F1667" s="213" t="s">
        <v>3394</v>
      </c>
      <c r="G1667" s="163" t="str">
        <f t="array" ref="G1667">IF(B1667="ICSE",IF(COUNTIFS(B:B,B1667,C:C,C1667)=XLOOKUP(C1667,ICSE!A:A,ICSE!AA:AA,"ERROR",0,1),"OK","ERROR"),IF(B1667="FSE",IF(COUNTIFS(B:B,B1667,C:C,C1667)=XLOOKUP(C1667,FSE!A:A,FSE!AA:AA,"ERROR",0,1),"OK","ERROR")))</f>
        <v>OK</v>
      </c>
      <c r="H1667" s="199">
        <f t="shared" ref="H1667:O1667" si="8416">countif($D1667,"*"&amp;H$2&amp;"*")</f>
        <v>0</v>
      </c>
      <c r="I1667" s="200">
        <f t="shared" si="8416"/>
        <v>0</v>
      </c>
      <c r="J1667" s="200">
        <f t="shared" si="8416"/>
        <v>0</v>
      </c>
      <c r="K1667" s="200">
        <f t="shared" si="8416"/>
        <v>0</v>
      </c>
      <c r="L1667" s="200">
        <f t="shared" si="8416"/>
        <v>0</v>
      </c>
      <c r="M1667" s="200">
        <f t="shared" si="8416"/>
        <v>0</v>
      </c>
      <c r="N1667" s="200">
        <f t="shared" si="8416"/>
        <v>0</v>
      </c>
      <c r="O1667" s="200">
        <f t="shared" si="8416"/>
        <v>0</v>
      </c>
      <c r="P1667" s="200">
        <f t="shared" si="9"/>
        <v>1</v>
      </c>
      <c r="Q1667" s="200">
        <f t="shared" ref="Q1667:AC1667" si="8417">countif($D1667,"*"&amp;Q$2&amp;"*")</f>
        <v>0</v>
      </c>
      <c r="R1667" s="200">
        <f t="shared" si="8417"/>
        <v>0</v>
      </c>
      <c r="S1667" s="200">
        <f t="shared" si="8417"/>
        <v>0</v>
      </c>
      <c r="T1667" s="200">
        <f t="shared" si="8417"/>
        <v>0</v>
      </c>
      <c r="U1667" s="200">
        <f t="shared" si="8417"/>
        <v>0</v>
      </c>
      <c r="V1667" s="200">
        <f t="shared" si="8417"/>
        <v>0</v>
      </c>
      <c r="W1667" s="200">
        <f t="shared" si="8417"/>
        <v>0</v>
      </c>
      <c r="X1667" s="200">
        <f t="shared" si="8417"/>
        <v>0</v>
      </c>
      <c r="Y1667" s="200">
        <f t="shared" si="8417"/>
        <v>0</v>
      </c>
      <c r="Z1667" s="200">
        <f t="shared" si="8417"/>
        <v>0</v>
      </c>
      <c r="AA1667" s="200">
        <f t="shared" si="8417"/>
        <v>0</v>
      </c>
      <c r="AB1667" s="200">
        <f t="shared" si="8417"/>
        <v>0</v>
      </c>
      <c r="AC1667" s="200">
        <f t="shared" si="8417"/>
        <v>0</v>
      </c>
      <c r="AD1667" s="200">
        <f t="shared" si="11"/>
        <v>0</v>
      </c>
      <c r="AE1667" s="200">
        <f t="shared" ref="AE1667:AG1667" si="8418">countif($D1667,"*"&amp;AE$2&amp;"*")</f>
        <v>0</v>
      </c>
      <c r="AF1667" s="200">
        <f t="shared" si="8418"/>
        <v>0</v>
      </c>
      <c r="AG1667" s="200">
        <f t="shared" si="8418"/>
        <v>0</v>
      </c>
      <c r="AH1667" s="171">
        <f t="shared" si="13"/>
        <v>0</v>
      </c>
      <c r="AI1667" s="200">
        <f t="shared" si="14"/>
        <v>0</v>
      </c>
      <c r="AJ1667" s="200">
        <f t="shared" si="8398"/>
        <v>0</v>
      </c>
      <c r="AK1667" s="201">
        <f t="shared" ref="AK1667:AS1667" si="8419">countif($D1667,"*"&amp;AK$2&amp;"*")</f>
        <v>0</v>
      </c>
      <c r="AL1667" s="201">
        <f t="shared" si="8419"/>
        <v>0</v>
      </c>
      <c r="AM1667" s="201">
        <f t="shared" si="8419"/>
        <v>0</v>
      </c>
      <c r="AN1667" s="201">
        <f t="shared" si="8419"/>
        <v>0</v>
      </c>
      <c r="AO1667" s="201">
        <f t="shared" si="8419"/>
        <v>0</v>
      </c>
      <c r="AP1667" s="201">
        <f t="shared" si="8419"/>
        <v>0</v>
      </c>
      <c r="AQ1667" s="201">
        <f t="shared" si="8419"/>
        <v>0</v>
      </c>
      <c r="AR1667" s="200">
        <f t="shared" si="8419"/>
        <v>0</v>
      </c>
      <c r="AS1667" s="200">
        <f t="shared" si="8419"/>
        <v>0</v>
      </c>
      <c r="AT1667" s="173">
        <v>0.0</v>
      </c>
      <c r="AU1667" s="200">
        <f t="shared" si="6217"/>
        <v>0</v>
      </c>
      <c r="AV1667" s="200">
        <f t="shared" ref="AV1667:AX1667" si="8420">countif($D1667,"*"&amp;AV$2&amp;"*")</f>
        <v>1</v>
      </c>
      <c r="AW1667" s="200">
        <f t="shared" si="8420"/>
        <v>0</v>
      </c>
      <c r="AX1667" s="200">
        <f t="shared" si="8420"/>
        <v>0</v>
      </c>
      <c r="AY1667" s="202">
        <v>0.0</v>
      </c>
      <c r="AZ1667" s="200"/>
      <c r="BA1667" s="171" t="str">
        <f t="shared" si="18"/>
        <v/>
      </c>
      <c r="BB1667" s="171" t="str">
        <f t="shared" si="19"/>
        <v>Code</v>
      </c>
      <c r="BC1667" s="171" t="str">
        <f t="shared" si="20"/>
        <v/>
      </c>
      <c r="BD1667" s="171" t="str">
        <f t="shared" si="21"/>
        <v/>
      </c>
      <c r="BE1667" s="171" t="str">
        <f t="shared" si="22"/>
        <v/>
      </c>
      <c r="BF1667" s="171" t="str">
        <f t="shared" si="23"/>
        <v>Code</v>
      </c>
    </row>
    <row r="1668">
      <c r="A1668" s="171">
        <f t="array" ref="A1668">XLOOKUP(C1668,FSE!A:A,FSE!C:C,"XXXXX",0,1)</f>
        <v>2020</v>
      </c>
      <c r="B1668" s="213" t="s">
        <v>5676</v>
      </c>
      <c r="C1668" s="214">
        <v>357.0</v>
      </c>
      <c r="D1668" s="215" t="s">
        <v>4550</v>
      </c>
      <c r="E1668" s="197" t="str">
        <f t="array" ref="E1668">XLOOKUP(C1668,FSE!A:A,FSE!Z:Z,"XXXXX",0,1)</f>
        <v>Publicly Available (1)</v>
      </c>
      <c r="F1668" s="213" t="s">
        <v>3394</v>
      </c>
      <c r="G1668" s="163" t="str">
        <f t="array" ref="G1668">IF(B1668="ICSE",IF(COUNTIFS(B:B,B1668,C:C,C1668)=XLOOKUP(C1668,ICSE!A:A,ICSE!AA:AA,"ERROR",0,1),"OK","ERROR"),IF(B1668="FSE",IF(COUNTIFS(B:B,B1668,C:C,C1668)=XLOOKUP(C1668,FSE!A:A,FSE!AA:AA,"ERROR",0,1),"OK","ERROR")))</f>
        <v>OK</v>
      </c>
      <c r="H1668" s="199">
        <f t="shared" ref="H1668:O1668" si="8421">countif($D1668,"*"&amp;H$2&amp;"*")</f>
        <v>0</v>
      </c>
      <c r="I1668" s="200">
        <f t="shared" si="8421"/>
        <v>0</v>
      </c>
      <c r="J1668" s="200">
        <f t="shared" si="8421"/>
        <v>0</v>
      </c>
      <c r="K1668" s="200">
        <f t="shared" si="8421"/>
        <v>0</v>
      </c>
      <c r="L1668" s="200">
        <f t="shared" si="8421"/>
        <v>0</v>
      </c>
      <c r="M1668" s="200">
        <f t="shared" si="8421"/>
        <v>0</v>
      </c>
      <c r="N1668" s="200">
        <f t="shared" si="8421"/>
        <v>0</v>
      </c>
      <c r="O1668" s="200">
        <f t="shared" si="8421"/>
        <v>0</v>
      </c>
      <c r="P1668" s="200">
        <f t="shared" si="9"/>
        <v>1</v>
      </c>
      <c r="Q1668" s="200">
        <f t="shared" ref="Q1668:AC1668" si="8422">countif($D1668,"*"&amp;Q$2&amp;"*")</f>
        <v>0</v>
      </c>
      <c r="R1668" s="200">
        <f t="shared" si="8422"/>
        <v>0</v>
      </c>
      <c r="S1668" s="200">
        <f t="shared" si="8422"/>
        <v>0</v>
      </c>
      <c r="T1668" s="200">
        <f t="shared" si="8422"/>
        <v>0</v>
      </c>
      <c r="U1668" s="200">
        <f t="shared" si="8422"/>
        <v>0</v>
      </c>
      <c r="V1668" s="200">
        <f t="shared" si="8422"/>
        <v>0</v>
      </c>
      <c r="W1668" s="200">
        <f t="shared" si="8422"/>
        <v>0</v>
      </c>
      <c r="X1668" s="200">
        <f t="shared" si="8422"/>
        <v>0</v>
      </c>
      <c r="Y1668" s="200">
        <f t="shared" si="8422"/>
        <v>0</v>
      </c>
      <c r="Z1668" s="200">
        <f t="shared" si="8422"/>
        <v>0</v>
      </c>
      <c r="AA1668" s="200">
        <f t="shared" si="8422"/>
        <v>0</v>
      </c>
      <c r="AB1668" s="200">
        <f t="shared" si="8422"/>
        <v>0</v>
      </c>
      <c r="AC1668" s="200">
        <f t="shared" si="8422"/>
        <v>0</v>
      </c>
      <c r="AD1668" s="200">
        <f t="shared" si="11"/>
        <v>0</v>
      </c>
      <c r="AE1668" s="200">
        <f t="shared" ref="AE1668:AG1668" si="8423">countif($D1668,"*"&amp;AE$2&amp;"*")</f>
        <v>0</v>
      </c>
      <c r="AF1668" s="200">
        <f t="shared" si="8423"/>
        <v>0</v>
      </c>
      <c r="AG1668" s="200">
        <f t="shared" si="8423"/>
        <v>0</v>
      </c>
      <c r="AH1668" s="171">
        <f t="shared" si="13"/>
        <v>0</v>
      </c>
      <c r="AI1668" s="200">
        <f t="shared" si="14"/>
        <v>0</v>
      </c>
      <c r="AJ1668" s="200">
        <f t="shared" si="8398"/>
        <v>0</v>
      </c>
      <c r="AK1668" s="201">
        <f t="shared" ref="AK1668:AS1668" si="8424">countif($D1668,"*"&amp;AK$2&amp;"*")</f>
        <v>0</v>
      </c>
      <c r="AL1668" s="201">
        <f t="shared" si="8424"/>
        <v>0</v>
      </c>
      <c r="AM1668" s="201">
        <f t="shared" si="8424"/>
        <v>0</v>
      </c>
      <c r="AN1668" s="201">
        <f t="shared" si="8424"/>
        <v>0</v>
      </c>
      <c r="AO1668" s="201">
        <f t="shared" si="8424"/>
        <v>0</v>
      </c>
      <c r="AP1668" s="201">
        <f t="shared" si="8424"/>
        <v>0</v>
      </c>
      <c r="AQ1668" s="201">
        <f t="shared" si="8424"/>
        <v>0</v>
      </c>
      <c r="AR1668" s="200">
        <f t="shared" si="8424"/>
        <v>0</v>
      </c>
      <c r="AS1668" s="200">
        <f t="shared" si="8424"/>
        <v>0</v>
      </c>
      <c r="AT1668" s="173">
        <v>0.0</v>
      </c>
      <c r="AU1668" s="200">
        <f t="shared" si="6217"/>
        <v>0</v>
      </c>
      <c r="AV1668" s="200">
        <f t="shared" ref="AV1668:AX1668" si="8425">countif($D1668,"*"&amp;AV$2&amp;"*")</f>
        <v>1</v>
      </c>
      <c r="AW1668" s="200">
        <f t="shared" si="8425"/>
        <v>0</v>
      </c>
      <c r="AX1668" s="200">
        <f t="shared" si="8425"/>
        <v>0</v>
      </c>
      <c r="AY1668" s="202">
        <v>0.0</v>
      </c>
      <c r="AZ1668" s="200"/>
      <c r="BA1668" s="171" t="str">
        <f t="shared" si="18"/>
        <v/>
      </c>
      <c r="BB1668" s="171" t="str">
        <f t="shared" si="19"/>
        <v>Code</v>
      </c>
      <c r="BC1668" s="171" t="str">
        <f t="shared" si="20"/>
        <v/>
      </c>
      <c r="BD1668" s="171" t="str">
        <f t="shared" si="21"/>
        <v/>
      </c>
      <c r="BE1668" s="171" t="str">
        <f t="shared" si="22"/>
        <v/>
      </c>
      <c r="BF1668" s="171" t="str">
        <f t="shared" si="23"/>
        <v>Code</v>
      </c>
    </row>
    <row r="1669">
      <c r="A1669" s="171">
        <f t="array" ref="A1669">XLOOKUP(C1669,FSE!A:A,FSE!C:C,"XXXXX",0,1)</f>
        <v>2020</v>
      </c>
      <c r="B1669" s="213" t="s">
        <v>5676</v>
      </c>
      <c r="C1669" s="214">
        <v>358.0</v>
      </c>
      <c r="D1669" s="215" t="s">
        <v>4553</v>
      </c>
      <c r="E1669" s="197" t="str">
        <f t="array" ref="E1669">XLOOKUP(C1669,FSE!A:A,FSE!Z:Z,"XXXXX",0,1)</f>
        <v>Publicly Available (1)</v>
      </c>
      <c r="F1669" s="213" t="s">
        <v>3394</v>
      </c>
      <c r="G1669" s="163" t="str">
        <f t="array" ref="G1669">IF(B1669="ICSE",IF(COUNTIFS(B:B,B1669,C:C,C1669)=XLOOKUP(C1669,ICSE!A:A,ICSE!AA:AA,"ERROR",0,1),"OK","ERROR"),IF(B1669="FSE",IF(COUNTIFS(B:B,B1669,C:C,C1669)=XLOOKUP(C1669,FSE!A:A,FSE!AA:AA,"ERROR",0,1),"OK","ERROR")))</f>
        <v>OK</v>
      </c>
      <c r="H1669" s="199">
        <f t="shared" ref="H1669:O1669" si="8426">countif($D1669,"*"&amp;H$2&amp;"*")</f>
        <v>1</v>
      </c>
      <c r="I1669" s="200">
        <f t="shared" si="8426"/>
        <v>0</v>
      </c>
      <c r="J1669" s="200">
        <f t="shared" si="8426"/>
        <v>0</v>
      </c>
      <c r="K1669" s="200">
        <f t="shared" si="8426"/>
        <v>0</v>
      </c>
      <c r="L1669" s="200">
        <f t="shared" si="8426"/>
        <v>0</v>
      </c>
      <c r="M1669" s="200">
        <f t="shared" si="8426"/>
        <v>0</v>
      </c>
      <c r="N1669" s="200">
        <f t="shared" si="8426"/>
        <v>0</v>
      </c>
      <c r="O1669" s="200">
        <f t="shared" si="8426"/>
        <v>0</v>
      </c>
      <c r="P1669" s="200">
        <f t="shared" si="9"/>
        <v>0</v>
      </c>
      <c r="Q1669" s="200">
        <f t="shared" ref="Q1669:AC1669" si="8427">countif($D1669,"*"&amp;Q$2&amp;"*")</f>
        <v>0</v>
      </c>
      <c r="R1669" s="200">
        <f t="shared" si="8427"/>
        <v>0</v>
      </c>
      <c r="S1669" s="200">
        <f t="shared" si="8427"/>
        <v>0</v>
      </c>
      <c r="T1669" s="200">
        <f t="shared" si="8427"/>
        <v>0</v>
      </c>
      <c r="U1669" s="200">
        <f t="shared" si="8427"/>
        <v>0</v>
      </c>
      <c r="V1669" s="200">
        <f t="shared" si="8427"/>
        <v>0</v>
      </c>
      <c r="W1669" s="200">
        <f t="shared" si="8427"/>
        <v>0</v>
      </c>
      <c r="X1669" s="200">
        <f t="shared" si="8427"/>
        <v>0</v>
      </c>
      <c r="Y1669" s="200">
        <f t="shared" si="8427"/>
        <v>0</v>
      </c>
      <c r="Z1669" s="200">
        <f t="shared" si="8427"/>
        <v>0</v>
      </c>
      <c r="AA1669" s="200">
        <f t="shared" si="8427"/>
        <v>0</v>
      </c>
      <c r="AB1669" s="200">
        <f t="shared" si="8427"/>
        <v>0</v>
      </c>
      <c r="AC1669" s="200">
        <f t="shared" si="8427"/>
        <v>0</v>
      </c>
      <c r="AD1669" s="200">
        <f t="shared" si="11"/>
        <v>0</v>
      </c>
      <c r="AE1669" s="200">
        <f t="shared" ref="AE1669:AG1669" si="8428">countif($D1669,"*"&amp;AE$2&amp;"*")</f>
        <v>0</v>
      </c>
      <c r="AF1669" s="200">
        <f t="shared" si="8428"/>
        <v>0</v>
      </c>
      <c r="AG1669" s="200">
        <f t="shared" si="8428"/>
        <v>0</v>
      </c>
      <c r="AH1669" s="171">
        <f t="shared" si="13"/>
        <v>0</v>
      </c>
      <c r="AI1669" s="200">
        <f t="shared" si="14"/>
        <v>1</v>
      </c>
      <c r="AJ1669" s="200">
        <f t="shared" si="8398"/>
        <v>0</v>
      </c>
      <c r="AK1669" s="201">
        <f t="shared" ref="AK1669:AS1669" si="8429">countif($D1669,"*"&amp;AK$2&amp;"*")</f>
        <v>0</v>
      </c>
      <c r="AL1669" s="201">
        <f t="shared" si="8429"/>
        <v>0</v>
      </c>
      <c r="AM1669" s="201">
        <f t="shared" si="8429"/>
        <v>0</v>
      </c>
      <c r="AN1669" s="201">
        <f t="shared" si="8429"/>
        <v>0</v>
      </c>
      <c r="AO1669" s="201">
        <f t="shared" si="8429"/>
        <v>0</v>
      </c>
      <c r="AP1669" s="201">
        <f t="shared" si="8429"/>
        <v>0</v>
      </c>
      <c r="AQ1669" s="201">
        <f t="shared" si="8429"/>
        <v>0</v>
      </c>
      <c r="AR1669" s="200">
        <f t="shared" si="8429"/>
        <v>0</v>
      </c>
      <c r="AS1669" s="200">
        <f t="shared" si="8429"/>
        <v>0</v>
      </c>
      <c r="AT1669" s="173">
        <v>0.0</v>
      </c>
      <c r="AU1669" s="200">
        <f t="shared" si="6217"/>
        <v>0</v>
      </c>
      <c r="AV1669" s="200">
        <f t="shared" ref="AV1669:AX1669" si="8430">countif($D1669,"*"&amp;AV$2&amp;"*")</f>
        <v>0</v>
      </c>
      <c r="AW1669" s="200">
        <f t="shared" si="8430"/>
        <v>0</v>
      </c>
      <c r="AX1669" s="200">
        <f t="shared" si="8430"/>
        <v>1</v>
      </c>
      <c r="AY1669" s="202">
        <v>0.0</v>
      </c>
      <c r="AZ1669" s="200"/>
      <c r="BA1669" s="171" t="str">
        <f t="shared" si="18"/>
        <v>Archival</v>
      </c>
      <c r="BB1669" s="171" t="str">
        <f t="shared" si="19"/>
        <v/>
      </c>
      <c r="BC1669" s="171" t="str">
        <f t="shared" si="20"/>
        <v/>
      </c>
      <c r="BD1669" s="171" t="str">
        <f t="shared" si="21"/>
        <v/>
      </c>
      <c r="BE1669" s="171" t="str">
        <f t="shared" si="22"/>
        <v/>
      </c>
      <c r="BF1669" s="171" t="str">
        <f t="shared" si="23"/>
        <v>Archival</v>
      </c>
    </row>
    <row r="1670">
      <c r="A1670" s="171">
        <f t="array" ref="A1670">XLOOKUP(C1670,FSE!A:A,FSE!C:C,"XXXXX",0,1)</f>
        <v>2020</v>
      </c>
      <c r="B1670" s="213" t="s">
        <v>5676</v>
      </c>
      <c r="C1670" s="214">
        <v>359.0</v>
      </c>
      <c r="D1670" s="215" t="s">
        <v>6365</v>
      </c>
      <c r="E1670" s="197" t="str">
        <f t="array" ref="E1670">XLOOKUP(C1670,FSE!A:A,FSE!Z:Z,"XXXXX",0,1)</f>
        <v>Publicly Available (2)
Not Available (2)</v>
      </c>
      <c r="F1670" s="213" t="s">
        <v>3394</v>
      </c>
      <c r="G1670" s="163" t="str">
        <f t="array" ref="G1670">IF(B1670="ICSE",IF(COUNTIFS(B:B,B1670,C:C,C1670)=XLOOKUP(C1670,ICSE!A:A,ICSE!AA:AA,"ERROR",0,1),"OK","ERROR"),IF(B1670="FSE",IF(COUNTIFS(B:B,B1670,C:C,C1670)=XLOOKUP(C1670,FSE!A:A,FSE!AA:AA,"ERROR",0,1),"OK","ERROR")))</f>
        <v>OK</v>
      </c>
      <c r="H1670" s="199">
        <f t="shared" ref="H1670:O1670" si="8431">countif($D1670,"*"&amp;H$2&amp;"*")</f>
        <v>0</v>
      </c>
      <c r="I1670" s="200">
        <f t="shared" si="8431"/>
        <v>1</v>
      </c>
      <c r="J1670" s="200">
        <f t="shared" si="8431"/>
        <v>0</v>
      </c>
      <c r="K1670" s="200">
        <f t="shared" si="8431"/>
        <v>0</v>
      </c>
      <c r="L1670" s="200">
        <f t="shared" si="8431"/>
        <v>0</v>
      </c>
      <c r="M1670" s="200">
        <f t="shared" si="8431"/>
        <v>0</v>
      </c>
      <c r="N1670" s="200">
        <f t="shared" si="8431"/>
        <v>0</v>
      </c>
      <c r="O1670" s="200">
        <f t="shared" si="8431"/>
        <v>0</v>
      </c>
      <c r="P1670" s="200">
        <f t="shared" si="9"/>
        <v>0</v>
      </c>
      <c r="Q1670" s="200">
        <f t="shared" ref="Q1670:AC1670" si="8432">countif($D1670,"*"&amp;Q$2&amp;"*")</f>
        <v>0</v>
      </c>
      <c r="R1670" s="200">
        <f t="shared" si="8432"/>
        <v>0</v>
      </c>
      <c r="S1670" s="200">
        <f t="shared" si="8432"/>
        <v>0</v>
      </c>
      <c r="T1670" s="200">
        <f t="shared" si="8432"/>
        <v>0</v>
      </c>
      <c r="U1670" s="200">
        <f t="shared" si="8432"/>
        <v>0</v>
      </c>
      <c r="V1670" s="200">
        <f t="shared" si="8432"/>
        <v>0</v>
      </c>
      <c r="W1670" s="200">
        <f t="shared" si="8432"/>
        <v>0</v>
      </c>
      <c r="X1670" s="200">
        <f t="shared" si="8432"/>
        <v>0</v>
      </c>
      <c r="Y1670" s="200">
        <f t="shared" si="8432"/>
        <v>0</v>
      </c>
      <c r="Z1670" s="200">
        <f t="shared" si="8432"/>
        <v>0</v>
      </c>
      <c r="AA1670" s="200">
        <f t="shared" si="8432"/>
        <v>0</v>
      </c>
      <c r="AB1670" s="200">
        <f t="shared" si="8432"/>
        <v>0</v>
      </c>
      <c r="AC1670" s="200">
        <f t="shared" si="8432"/>
        <v>0</v>
      </c>
      <c r="AD1670" s="200">
        <f t="shared" si="11"/>
        <v>0</v>
      </c>
      <c r="AE1670" s="200">
        <f t="shared" ref="AE1670:AG1670" si="8433">countif($D1670,"*"&amp;AE$2&amp;"*")</f>
        <v>0</v>
      </c>
      <c r="AF1670" s="200">
        <f t="shared" si="8433"/>
        <v>0</v>
      </c>
      <c r="AG1670" s="200">
        <f t="shared" si="8433"/>
        <v>0</v>
      </c>
      <c r="AH1670" s="171">
        <f t="shared" si="13"/>
        <v>0</v>
      </c>
      <c r="AI1670" s="200">
        <f t="shared" si="14"/>
        <v>1</v>
      </c>
      <c r="AJ1670" s="200">
        <f t="shared" si="8398"/>
        <v>0</v>
      </c>
      <c r="AK1670" s="201">
        <f t="shared" ref="AK1670:AS1670" si="8434">countif($D1670,"*"&amp;AK$2&amp;"*")</f>
        <v>0</v>
      </c>
      <c r="AL1670" s="201">
        <f t="shared" si="8434"/>
        <v>0</v>
      </c>
      <c r="AM1670" s="201">
        <f t="shared" si="8434"/>
        <v>0</v>
      </c>
      <c r="AN1670" s="201">
        <f t="shared" si="8434"/>
        <v>0</v>
      </c>
      <c r="AO1670" s="201">
        <f t="shared" si="8434"/>
        <v>0</v>
      </c>
      <c r="AP1670" s="201">
        <f t="shared" si="8434"/>
        <v>0</v>
      </c>
      <c r="AQ1670" s="201">
        <f t="shared" si="8434"/>
        <v>0</v>
      </c>
      <c r="AR1670" s="200">
        <f t="shared" si="8434"/>
        <v>0</v>
      </c>
      <c r="AS1670" s="200">
        <f t="shared" si="8434"/>
        <v>0</v>
      </c>
      <c r="AT1670" s="173">
        <v>0.0</v>
      </c>
      <c r="AU1670" s="200">
        <f t="shared" si="6217"/>
        <v>0</v>
      </c>
      <c r="AV1670" s="200">
        <f t="shared" ref="AV1670:AX1670" si="8435">countif($D1670,"*"&amp;AV$2&amp;"*")</f>
        <v>0</v>
      </c>
      <c r="AW1670" s="200">
        <f t="shared" si="8435"/>
        <v>0</v>
      </c>
      <c r="AX1670" s="200">
        <f t="shared" si="8435"/>
        <v>0</v>
      </c>
      <c r="AY1670" s="204">
        <v>1.0</v>
      </c>
      <c r="AZ1670" s="200"/>
      <c r="BA1670" s="171" t="str">
        <f t="shared" si="18"/>
        <v>Archival</v>
      </c>
      <c r="BB1670" s="171" t="str">
        <f t="shared" si="19"/>
        <v/>
      </c>
      <c r="BC1670" s="171" t="str">
        <f t="shared" si="20"/>
        <v/>
      </c>
      <c r="BD1670" s="171" t="str">
        <f t="shared" si="21"/>
        <v/>
      </c>
      <c r="BE1670" s="171" t="str">
        <f t="shared" si="22"/>
        <v/>
      </c>
      <c r="BF1670" s="171" t="str">
        <f t="shared" si="23"/>
        <v>Archival</v>
      </c>
    </row>
    <row r="1671">
      <c r="A1671" s="171">
        <f t="array" ref="A1671">XLOOKUP(C1671,FSE!A:A,FSE!C:C,"XXXXX",0,1)</f>
        <v>2020</v>
      </c>
      <c r="B1671" s="213" t="s">
        <v>5676</v>
      </c>
      <c r="C1671" s="214">
        <v>359.0</v>
      </c>
      <c r="D1671" s="215" t="s">
        <v>6366</v>
      </c>
      <c r="E1671" s="197" t="str">
        <f t="array" ref="E1671">XLOOKUP(C1671,FSE!A:A,FSE!Z:Z,"XXXXX",0,1)</f>
        <v>Publicly Available (2)
Not Available (2)</v>
      </c>
      <c r="F1671" s="213" t="s">
        <v>3395</v>
      </c>
      <c r="G1671" s="163" t="str">
        <f t="array" ref="G1671">IF(B1671="ICSE",IF(COUNTIFS(B:B,B1671,C:C,C1671)=XLOOKUP(C1671,ICSE!A:A,ICSE!AA:AA,"ERROR",0,1),"OK","ERROR"),IF(B1671="FSE",IF(COUNTIFS(B:B,B1671,C:C,C1671)=XLOOKUP(C1671,FSE!A:A,FSE!AA:AA,"ERROR",0,1),"OK","ERROR")))</f>
        <v>OK</v>
      </c>
      <c r="H1671" s="199">
        <f t="shared" ref="H1671:O1671" si="8436">countif($D1671,"*"&amp;H$2&amp;"*")</f>
        <v>0</v>
      </c>
      <c r="I1671" s="200">
        <f t="shared" si="8436"/>
        <v>0</v>
      </c>
      <c r="J1671" s="200">
        <f t="shared" si="8436"/>
        <v>0</v>
      </c>
      <c r="K1671" s="200">
        <f t="shared" si="8436"/>
        <v>0</v>
      </c>
      <c r="L1671" s="200">
        <f t="shared" si="8436"/>
        <v>0</v>
      </c>
      <c r="M1671" s="200">
        <f t="shared" si="8436"/>
        <v>0</v>
      </c>
      <c r="N1671" s="200">
        <f t="shared" si="8436"/>
        <v>0</v>
      </c>
      <c r="O1671" s="200">
        <f t="shared" si="8436"/>
        <v>0</v>
      </c>
      <c r="P1671" s="200">
        <f t="shared" si="9"/>
        <v>0</v>
      </c>
      <c r="Q1671" s="200">
        <f t="shared" ref="Q1671:AC1671" si="8437">countif($D1671,"*"&amp;Q$2&amp;"*")</f>
        <v>0</v>
      </c>
      <c r="R1671" s="200">
        <f t="shared" si="8437"/>
        <v>0</v>
      </c>
      <c r="S1671" s="200">
        <f t="shared" si="8437"/>
        <v>0</v>
      </c>
      <c r="T1671" s="200">
        <f t="shared" si="8437"/>
        <v>0</v>
      </c>
      <c r="U1671" s="200">
        <f t="shared" si="8437"/>
        <v>0</v>
      </c>
      <c r="V1671" s="200">
        <f t="shared" si="8437"/>
        <v>0</v>
      </c>
      <c r="W1671" s="200">
        <f t="shared" si="8437"/>
        <v>0</v>
      </c>
      <c r="X1671" s="200">
        <f t="shared" si="8437"/>
        <v>0</v>
      </c>
      <c r="Y1671" s="200">
        <f t="shared" si="8437"/>
        <v>0</v>
      </c>
      <c r="Z1671" s="200">
        <f t="shared" si="8437"/>
        <v>0</v>
      </c>
      <c r="AA1671" s="200">
        <f t="shared" si="8437"/>
        <v>0</v>
      </c>
      <c r="AB1671" s="200">
        <f t="shared" si="8437"/>
        <v>0</v>
      </c>
      <c r="AC1671" s="200">
        <f t="shared" si="8437"/>
        <v>0</v>
      </c>
      <c r="AD1671" s="200">
        <f t="shared" si="11"/>
        <v>0</v>
      </c>
      <c r="AE1671" s="200">
        <f t="shared" ref="AE1671:AG1671" si="8438">countif($D1671,"*"&amp;AE$2&amp;"*")</f>
        <v>0</v>
      </c>
      <c r="AF1671" s="200">
        <f t="shared" si="8438"/>
        <v>0</v>
      </c>
      <c r="AG1671" s="200">
        <f t="shared" si="8438"/>
        <v>0</v>
      </c>
      <c r="AH1671" s="171">
        <f t="shared" si="13"/>
        <v>1</v>
      </c>
      <c r="AI1671" s="200">
        <f t="shared" si="14"/>
        <v>0</v>
      </c>
      <c r="AJ1671" s="200">
        <f t="shared" si="8398"/>
        <v>0</v>
      </c>
      <c r="AK1671" s="201">
        <f t="shared" ref="AK1671:AS1671" si="8439">countif($D1671,"*"&amp;AK$2&amp;"*")</f>
        <v>0</v>
      </c>
      <c r="AL1671" s="201">
        <f t="shared" si="8439"/>
        <v>0</v>
      </c>
      <c r="AM1671" s="201">
        <f t="shared" si="8439"/>
        <v>0</v>
      </c>
      <c r="AN1671" s="201">
        <f t="shared" si="8439"/>
        <v>0</v>
      </c>
      <c r="AO1671" s="201">
        <f t="shared" si="8439"/>
        <v>0</v>
      </c>
      <c r="AP1671" s="201">
        <f t="shared" si="8439"/>
        <v>0</v>
      </c>
      <c r="AQ1671" s="201">
        <f t="shared" si="8439"/>
        <v>0</v>
      </c>
      <c r="AR1671" s="200">
        <f t="shared" si="8439"/>
        <v>0</v>
      </c>
      <c r="AS1671" s="200">
        <f t="shared" si="8439"/>
        <v>0</v>
      </c>
      <c r="AT1671" s="173">
        <v>0.0</v>
      </c>
      <c r="AU1671" s="200">
        <f t="shared" si="6217"/>
        <v>0</v>
      </c>
      <c r="AV1671" s="200">
        <f t="shared" ref="AV1671:AX1671" si="8440">countif($D1671,"*"&amp;AV$2&amp;"*")</f>
        <v>0</v>
      </c>
      <c r="AW1671" s="200">
        <f t="shared" si="8440"/>
        <v>0</v>
      </c>
      <c r="AX1671" s="200">
        <f t="shared" si="8440"/>
        <v>0</v>
      </c>
      <c r="AY1671" s="202">
        <v>0.0</v>
      </c>
      <c r="AZ1671" s="200"/>
      <c r="BA1671" s="171" t="str">
        <f t="shared" si="18"/>
        <v/>
      </c>
      <c r="BB1671" s="171" t="str">
        <f t="shared" si="19"/>
        <v/>
      </c>
      <c r="BC1671" s="171" t="str">
        <f t="shared" si="20"/>
        <v/>
      </c>
      <c r="BD1671" s="171" t="str">
        <f t="shared" si="21"/>
        <v/>
      </c>
      <c r="BE1671" s="171" t="str">
        <f t="shared" si="22"/>
        <v>Others</v>
      </c>
      <c r="BF1671" s="171" t="str">
        <f t="shared" si="23"/>
        <v>Others</v>
      </c>
    </row>
    <row r="1672">
      <c r="A1672" s="171">
        <f t="array" ref="A1672">XLOOKUP(C1672,FSE!A:A,FSE!C:C,"XXXXX",0,1)</f>
        <v>2020</v>
      </c>
      <c r="B1672" s="213" t="s">
        <v>5676</v>
      </c>
      <c r="C1672" s="214">
        <v>359.0</v>
      </c>
      <c r="D1672" s="215" t="s">
        <v>6367</v>
      </c>
      <c r="E1672" s="197" t="str">
        <f t="array" ref="E1672">XLOOKUP(C1672,FSE!A:A,FSE!Z:Z,"XXXXX",0,1)</f>
        <v>Publicly Available (2)
Not Available (2)</v>
      </c>
      <c r="F1672" s="213" t="s">
        <v>3394</v>
      </c>
      <c r="G1672" s="163" t="str">
        <f t="array" ref="G1672">IF(B1672="ICSE",IF(COUNTIFS(B:B,B1672,C:C,C1672)=XLOOKUP(C1672,ICSE!A:A,ICSE!AA:AA,"ERROR",0,1),"OK","ERROR"),IF(B1672="FSE",IF(COUNTIFS(B:B,B1672,C:C,C1672)=XLOOKUP(C1672,FSE!A:A,FSE!AA:AA,"ERROR",0,1),"OK","ERROR")))</f>
        <v>OK</v>
      </c>
      <c r="H1672" s="199">
        <f t="shared" ref="H1672:O1672" si="8441">countif($D1672,"*"&amp;H$2&amp;"*")</f>
        <v>0</v>
      </c>
      <c r="I1672" s="200">
        <f t="shared" si="8441"/>
        <v>1</v>
      </c>
      <c r="J1672" s="200">
        <f t="shared" si="8441"/>
        <v>0</v>
      </c>
      <c r="K1672" s="200">
        <f t="shared" si="8441"/>
        <v>0</v>
      </c>
      <c r="L1672" s="200">
        <f t="shared" si="8441"/>
        <v>0</v>
      </c>
      <c r="M1672" s="200">
        <f t="shared" si="8441"/>
        <v>0</v>
      </c>
      <c r="N1672" s="200">
        <f t="shared" si="8441"/>
        <v>0</v>
      </c>
      <c r="O1672" s="200">
        <f t="shared" si="8441"/>
        <v>0</v>
      </c>
      <c r="P1672" s="200">
        <f t="shared" si="9"/>
        <v>0</v>
      </c>
      <c r="Q1672" s="200">
        <f t="shared" ref="Q1672:AC1672" si="8442">countif($D1672,"*"&amp;Q$2&amp;"*")</f>
        <v>0</v>
      </c>
      <c r="R1672" s="200">
        <f t="shared" si="8442"/>
        <v>0</v>
      </c>
      <c r="S1672" s="200">
        <f t="shared" si="8442"/>
        <v>0</v>
      </c>
      <c r="T1672" s="200">
        <f t="shared" si="8442"/>
        <v>0</v>
      </c>
      <c r="U1672" s="200">
        <f t="shared" si="8442"/>
        <v>0</v>
      </c>
      <c r="V1672" s="200">
        <f t="shared" si="8442"/>
        <v>0</v>
      </c>
      <c r="W1672" s="200">
        <f t="shared" si="8442"/>
        <v>0</v>
      </c>
      <c r="X1672" s="200">
        <f t="shared" si="8442"/>
        <v>0</v>
      </c>
      <c r="Y1672" s="200">
        <f t="shared" si="8442"/>
        <v>0</v>
      </c>
      <c r="Z1672" s="200">
        <f t="shared" si="8442"/>
        <v>0</v>
      </c>
      <c r="AA1672" s="200">
        <f t="shared" si="8442"/>
        <v>0</v>
      </c>
      <c r="AB1672" s="200">
        <f t="shared" si="8442"/>
        <v>0</v>
      </c>
      <c r="AC1672" s="200">
        <f t="shared" si="8442"/>
        <v>0</v>
      </c>
      <c r="AD1672" s="200">
        <f t="shared" si="11"/>
        <v>0</v>
      </c>
      <c r="AE1672" s="200">
        <f t="shared" ref="AE1672:AG1672" si="8443">countif($D1672,"*"&amp;AE$2&amp;"*")</f>
        <v>0</v>
      </c>
      <c r="AF1672" s="200">
        <f t="shared" si="8443"/>
        <v>0</v>
      </c>
      <c r="AG1672" s="200">
        <f t="shared" si="8443"/>
        <v>0</v>
      </c>
      <c r="AH1672" s="171">
        <f t="shared" si="13"/>
        <v>0</v>
      </c>
      <c r="AI1672" s="200">
        <f t="shared" si="14"/>
        <v>1</v>
      </c>
      <c r="AJ1672" s="200">
        <f t="shared" si="8398"/>
        <v>0</v>
      </c>
      <c r="AK1672" s="201">
        <f t="shared" ref="AK1672:AS1672" si="8444">countif($D1672,"*"&amp;AK$2&amp;"*")</f>
        <v>0</v>
      </c>
      <c r="AL1672" s="201">
        <f t="shared" si="8444"/>
        <v>0</v>
      </c>
      <c r="AM1672" s="201">
        <f t="shared" si="8444"/>
        <v>0</v>
      </c>
      <c r="AN1672" s="201">
        <f t="shared" si="8444"/>
        <v>0</v>
      </c>
      <c r="AO1672" s="201">
        <f t="shared" si="8444"/>
        <v>0</v>
      </c>
      <c r="AP1672" s="201">
        <f t="shared" si="8444"/>
        <v>0</v>
      </c>
      <c r="AQ1672" s="201">
        <f t="shared" si="8444"/>
        <v>0</v>
      </c>
      <c r="AR1672" s="200">
        <f t="shared" si="8444"/>
        <v>0</v>
      </c>
      <c r="AS1672" s="200">
        <f t="shared" si="8444"/>
        <v>0</v>
      </c>
      <c r="AT1672" s="173">
        <v>0.0</v>
      </c>
      <c r="AU1672" s="200">
        <f t="shared" si="6217"/>
        <v>0</v>
      </c>
      <c r="AV1672" s="200">
        <f t="shared" ref="AV1672:AX1672" si="8445">countif($D1672,"*"&amp;AV$2&amp;"*")</f>
        <v>0</v>
      </c>
      <c r="AW1672" s="200">
        <f t="shared" si="8445"/>
        <v>0</v>
      </c>
      <c r="AX1672" s="200">
        <f t="shared" si="8445"/>
        <v>0</v>
      </c>
      <c r="AY1672" s="204">
        <v>1.0</v>
      </c>
      <c r="AZ1672" s="200"/>
      <c r="BA1672" s="171" t="str">
        <f t="shared" si="18"/>
        <v>Archival</v>
      </c>
      <c r="BB1672" s="171" t="str">
        <f t="shared" si="19"/>
        <v/>
      </c>
      <c r="BC1672" s="171" t="str">
        <f t="shared" si="20"/>
        <v/>
      </c>
      <c r="BD1672" s="171" t="str">
        <f t="shared" si="21"/>
        <v/>
      </c>
      <c r="BE1672" s="171" t="str">
        <f t="shared" si="22"/>
        <v/>
      </c>
      <c r="BF1672" s="171" t="str">
        <f t="shared" si="23"/>
        <v>Archival</v>
      </c>
    </row>
    <row r="1673">
      <c r="A1673" s="171">
        <f t="array" ref="A1673">XLOOKUP(C1673,FSE!A:A,FSE!C:C,"XXXXX",0,1)</f>
        <v>2020</v>
      </c>
      <c r="B1673" s="213" t="s">
        <v>5676</v>
      </c>
      <c r="C1673" s="214">
        <v>359.0</v>
      </c>
      <c r="D1673" s="215" t="s">
        <v>6368</v>
      </c>
      <c r="E1673" s="197" t="str">
        <f t="array" ref="E1673">XLOOKUP(C1673,FSE!A:A,FSE!Z:Z,"XXXXX",0,1)</f>
        <v>Publicly Available (2)
Not Available (2)</v>
      </c>
      <c r="F1673" s="213" t="s">
        <v>3395</v>
      </c>
      <c r="G1673" s="163" t="str">
        <f t="array" ref="G1673">IF(B1673="ICSE",IF(COUNTIFS(B:B,B1673,C:C,C1673)=XLOOKUP(C1673,ICSE!A:A,ICSE!AA:AA,"ERROR",0,1),"OK","ERROR"),IF(B1673="FSE",IF(COUNTIFS(B:B,B1673,C:C,C1673)=XLOOKUP(C1673,FSE!A:A,FSE!AA:AA,"ERROR",0,1),"OK","ERROR")))</f>
        <v>OK</v>
      </c>
      <c r="H1673" s="199">
        <f t="shared" ref="H1673:O1673" si="8446">countif($D1673,"*"&amp;H$2&amp;"*")</f>
        <v>0</v>
      </c>
      <c r="I1673" s="200">
        <f t="shared" si="8446"/>
        <v>0</v>
      </c>
      <c r="J1673" s="200">
        <f t="shared" si="8446"/>
        <v>0</v>
      </c>
      <c r="K1673" s="200">
        <f t="shared" si="8446"/>
        <v>0</v>
      </c>
      <c r="L1673" s="200">
        <f t="shared" si="8446"/>
        <v>0</v>
      </c>
      <c r="M1673" s="200">
        <f t="shared" si="8446"/>
        <v>0</v>
      </c>
      <c r="N1673" s="200">
        <f t="shared" si="8446"/>
        <v>0</v>
      </c>
      <c r="O1673" s="200">
        <f t="shared" si="8446"/>
        <v>0</v>
      </c>
      <c r="P1673" s="200">
        <f t="shared" si="9"/>
        <v>0</v>
      </c>
      <c r="Q1673" s="200">
        <f t="shared" ref="Q1673:AC1673" si="8447">countif($D1673,"*"&amp;Q$2&amp;"*")</f>
        <v>0</v>
      </c>
      <c r="R1673" s="200">
        <f t="shared" si="8447"/>
        <v>0</v>
      </c>
      <c r="S1673" s="200">
        <f t="shared" si="8447"/>
        <v>0</v>
      </c>
      <c r="T1673" s="200">
        <f t="shared" si="8447"/>
        <v>0</v>
      </c>
      <c r="U1673" s="200">
        <f t="shared" si="8447"/>
        <v>0</v>
      </c>
      <c r="V1673" s="200">
        <f t="shared" si="8447"/>
        <v>0</v>
      </c>
      <c r="W1673" s="200">
        <f t="shared" si="8447"/>
        <v>0</v>
      </c>
      <c r="X1673" s="200">
        <f t="shared" si="8447"/>
        <v>0</v>
      </c>
      <c r="Y1673" s="200">
        <f t="shared" si="8447"/>
        <v>0</v>
      </c>
      <c r="Z1673" s="200">
        <f t="shared" si="8447"/>
        <v>0</v>
      </c>
      <c r="AA1673" s="200">
        <f t="shared" si="8447"/>
        <v>0</v>
      </c>
      <c r="AB1673" s="200">
        <f t="shared" si="8447"/>
        <v>0</v>
      </c>
      <c r="AC1673" s="200">
        <f t="shared" si="8447"/>
        <v>0</v>
      </c>
      <c r="AD1673" s="200">
        <f t="shared" si="11"/>
        <v>0</v>
      </c>
      <c r="AE1673" s="200">
        <f t="shared" ref="AE1673:AG1673" si="8448">countif($D1673,"*"&amp;AE$2&amp;"*")</f>
        <v>0</v>
      </c>
      <c r="AF1673" s="200">
        <f t="shared" si="8448"/>
        <v>0</v>
      </c>
      <c r="AG1673" s="200">
        <f t="shared" si="8448"/>
        <v>0</v>
      </c>
      <c r="AH1673" s="171">
        <f t="shared" si="13"/>
        <v>1</v>
      </c>
      <c r="AI1673" s="200">
        <f t="shared" si="14"/>
        <v>0</v>
      </c>
      <c r="AJ1673" s="200">
        <f t="shared" si="8398"/>
        <v>0</v>
      </c>
      <c r="AK1673" s="201">
        <f t="shared" ref="AK1673:AS1673" si="8449">countif($D1673,"*"&amp;AK$2&amp;"*")</f>
        <v>0</v>
      </c>
      <c r="AL1673" s="201">
        <f t="shared" si="8449"/>
        <v>0</v>
      </c>
      <c r="AM1673" s="201">
        <f t="shared" si="8449"/>
        <v>0</v>
      </c>
      <c r="AN1673" s="201">
        <f t="shared" si="8449"/>
        <v>0</v>
      </c>
      <c r="AO1673" s="201">
        <f t="shared" si="8449"/>
        <v>0</v>
      </c>
      <c r="AP1673" s="201">
        <f t="shared" si="8449"/>
        <v>0</v>
      </c>
      <c r="AQ1673" s="201">
        <f t="shared" si="8449"/>
        <v>0</v>
      </c>
      <c r="AR1673" s="200">
        <f t="shared" si="8449"/>
        <v>0</v>
      </c>
      <c r="AS1673" s="200">
        <f t="shared" si="8449"/>
        <v>0</v>
      </c>
      <c r="AT1673" s="173">
        <v>0.0</v>
      </c>
      <c r="AU1673" s="200">
        <f t="shared" si="6217"/>
        <v>0</v>
      </c>
      <c r="AV1673" s="200">
        <f t="shared" ref="AV1673:AX1673" si="8450">countif($D1673,"*"&amp;AV$2&amp;"*")</f>
        <v>0</v>
      </c>
      <c r="AW1673" s="200">
        <f t="shared" si="8450"/>
        <v>0</v>
      </c>
      <c r="AX1673" s="200">
        <f t="shared" si="8450"/>
        <v>0</v>
      </c>
      <c r="AY1673" s="202">
        <v>0.0</v>
      </c>
      <c r="AZ1673" s="200"/>
      <c r="BA1673" s="171" t="str">
        <f t="shared" si="18"/>
        <v/>
      </c>
      <c r="BB1673" s="171" t="str">
        <f t="shared" si="19"/>
        <v/>
      </c>
      <c r="BC1673" s="171" t="str">
        <f t="shared" si="20"/>
        <v/>
      </c>
      <c r="BD1673" s="171" t="str">
        <f t="shared" si="21"/>
        <v/>
      </c>
      <c r="BE1673" s="171" t="str">
        <f t="shared" si="22"/>
        <v>Others</v>
      </c>
      <c r="BF1673" s="171" t="str">
        <f t="shared" si="23"/>
        <v>Others</v>
      </c>
    </row>
    <row r="1674">
      <c r="A1674" s="171">
        <f t="array" ref="A1674">XLOOKUP(C1674,FSE!A:A,FSE!C:C,"XXXXX",0,1)</f>
        <v>2020</v>
      </c>
      <c r="B1674" s="213" t="s">
        <v>5676</v>
      </c>
      <c r="C1674" s="214">
        <v>360.0</v>
      </c>
      <c r="D1674" s="215" t="s">
        <v>4561</v>
      </c>
      <c r="E1674" s="197" t="str">
        <f t="array" ref="E1674">XLOOKUP(C1674,FSE!A:A,FSE!Z:Z,"XXXXX",0,1)</f>
        <v>Publicly Available (1)</v>
      </c>
      <c r="F1674" s="213" t="s">
        <v>3394</v>
      </c>
      <c r="G1674" s="163" t="str">
        <f t="array" ref="G1674">IF(B1674="ICSE",IF(COUNTIFS(B:B,B1674,C:C,C1674)=XLOOKUP(C1674,ICSE!A:A,ICSE!AA:AA,"ERROR",0,1),"OK","ERROR"),IF(B1674="FSE",IF(COUNTIFS(B:B,B1674,C:C,C1674)=XLOOKUP(C1674,FSE!A:A,FSE!AA:AA,"ERROR",0,1),"OK","ERROR")))</f>
        <v>OK</v>
      </c>
      <c r="H1674" s="199">
        <f t="shared" ref="H1674:O1674" si="8451">countif($D1674,"*"&amp;H$2&amp;"*")</f>
        <v>1</v>
      </c>
      <c r="I1674" s="200">
        <f t="shared" si="8451"/>
        <v>0</v>
      </c>
      <c r="J1674" s="200">
        <f t="shared" si="8451"/>
        <v>0</v>
      </c>
      <c r="K1674" s="200">
        <f t="shared" si="8451"/>
        <v>0</v>
      </c>
      <c r="L1674" s="200">
        <f t="shared" si="8451"/>
        <v>0</v>
      </c>
      <c r="M1674" s="200">
        <f t="shared" si="8451"/>
        <v>0</v>
      </c>
      <c r="N1674" s="200">
        <f t="shared" si="8451"/>
        <v>0</v>
      </c>
      <c r="O1674" s="200">
        <f t="shared" si="8451"/>
        <v>0</v>
      </c>
      <c r="P1674" s="200">
        <f t="shared" si="9"/>
        <v>0</v>
      </c>
      <c r="Q1674" s="200">
        <f t="shared" ref="Q1674:AC1674" si="8452">countif($D1674,"*"&amp;Q$2&amp;"*")</f>
        <v>0</v>
      </c>
      <c r="R1674" s="200">
        <f t="shared" si="8452"/>
        <v>0</v>
      </c>
      <c r="S1674" s="200">
        <f t="shared" si="8452"/>
        <v>0</v>
      </c>
      <c r="T1674" s="200">
        <f t="shared" si="8452"/>
        <v>0</v>
      </c>
      <c r="U1674" s="200">
        <f t="shared" si="8452"/>
        <v>0</v>
      </c>
      <c r="V1674" s="200">
        <f t="shared" si="8452"/>
        <v>0</v>
      </c>
      <c r="W1674" s="200">
        <f t="shared" si="8452"/>
        <v>0</v>
      </c>
      <c r="X1674" s="200">
        <f t="shared" si="8452"/>
        <v>0</v>
      </c>
      <c r="Y1674" s="200">
        <f t="shared" si="8452"/>
        <v>0</v>
      </c>
      <c r="Z1674" s="200">
        <f t="shared" si="8452"/>
        <v>0</v>
      </c>
      <c r="AA1674" s="200">
        <f t="shared" si="8452"/>
        <v>0</v>
      </c>
      <c r="AB1674" s="200">
        <f t="shared" si="8452"/>
        <v>0</v>
      </c>
      <c r="AC1674" s="200">
        <f t="shared" si="8452"/>
        <v>0</v>
      </c>
      <c r="AD1674" s="200">
        <f t="shared" si="11"/>
        <v>0</v>
      </c>
      <c r="AE1674" s="200">
        <f t="shared" ref="AE1674:AG1674" si="8453">countif($D1674,"*"&amp;AE$2&amp;"*")</f>
        <v>0</v>
      </c>
      <c r="AF1674" s="200">
        <f t="shared" si="8453"/>
        <v>0</v>
      </c>
      <c r="AG1674" s="200">
        <f t="shared" si="8453"/>
        <v>0</v>
      </c>
      <c r="AH1674" s="171">
        <f t="shared" si="13"/>
        <v>0</v>
      </c>
      <c r="AI1674" s="200">
        <f t="shared" si="14"/>
        <v>1</v>
      </c>
      <c r="AJ1674" s="200">
        <f t="shared" si="8398"/>
        <v>0</v>
      </c>
      <c r="AK1674" s="201">
        <f t="shared" ref="AK1674:AS1674" si="8454">countif($D1674,"*"&amp;AK$2&amp;"*")</f>
        <v>0</v>
      </c>
      <c r="AL1674" s="201">
        <f t="shared" si="8454"/>
        <v>0</v>
      </c>
      <c r="AM1674" s="201">
        <f t="shared" si="8454"/>
        <v>0</v>
      </c>
      <c r="AN1674" s="201">
        <f t="shared" si="8454"/>
        <v>0</v>
      </c>
      <c r="AO1674" s="201">
        <f t="shared" si="8454"/>
        <v>0</v>
      </c>
      <c r="AP1674" s="201">
        <f t="shared" si="8454"/>
        <v>0</v>
      </c>
      <c r="AQ1674" s="201">
        <f t="shared" si="8454"/>
        <v>0</v>
      </c>
      <c r="AR1674" s="200">
        <f t="shared" si="8454"/>
        <v>0</v>
      </c>
      <c r="AS1674" s="200">
        <f t="shared" si="8454"/>
        <v>0</v>
      </c>
      <c r="AT1674" s="173">
        <v>0.0</v>
      </c>
      <c r="AU1674" s="200">
        <f t="shared" si="6217"/>
        <v>0</v>
      </c>
      <c r="AV1674" s="200">
        <f t="shared" ref="AV1674:AX1674" si="8455">countif($D1674,"*"&amp;AV$2&amp;"*")</f>
        <v>0</v>
      </c>
      <c r="AW1674" s="200">
        <f t="shared" si="8455"/>
        <v>0</v>
      </c>
      <c r="AX1674" s="200">
        <f t="shared" si="8455"/>
        <v>1</v>
      </c>
      <c r="AY1674" s="202">
        <v>0.0</v>
      </c>
      <c r="AZ1674" s="200"/>
      <c r="BA1674" s="171" t="str">
        <f t="shared" si="18"/>
        <v>Archival</v>
      </c>
      <c r="BB1674" s="171" t="str">
        <f t="shared" si="19"/>
        <v/>
      </c>
      <c r="BC1674" s="171" t="str">
        <f t="shared" si="20"/>
        <v/>
      </c>
      <c r="BD1674" s="171" t="str">
        <f t="shared" si="21"/>
        <v/>
      </c>
      <c r="BE1674" s="171" t="str">
        <f t="shared" si="22"/>
        <v/>
      </c>
      <c r="BF1674" s="171" t="str">
        <f t="shared" si="23"/>
        <v>Archival</v>
      </c>
    </row>
    <row r="1675">
      <c r="A1675" s="171">
        <f t="array" ref="A1675">XLOOKUP(C1675,FSE!A:A,FSE!C:C,"XXXXX",0,1)</f>
        <v>2020</v>
      </c>
      <c r="B1675" s="213" t="s">
        <v>5676</v>
      </c>
      <c r="C1675" s="214">
        <v>361.0</v>
      </c>
      <c r="D1675" s="215" t="s">
        <v>4565</v>
      </c>
      <c r="E1675" s="197" t="str">
        <f t="array" ref="E1675">XLOOKUP(C1675,FSE!A:A,FSE!Z:Z,"XXXXX",0,1)</f>
        <v>Publicly Available (1)</v>
      </c>
      <c r="F1675" s="213" t="s">
        <v>3394</v>
      </c>
      <c r="G1675" s="163" t="str">
        <f t="array" ref="G1675">IF(B1675="ICSE",IF(COUNTIFS(B:B,B1675,C:C,C1675)=XLOOKUP(C1675,ICSE!A:A,ICSE!AA:AA,"ERROR",0,1),"OK","ERROR"),IF(B1675="FSE",IF(COUNTIFS(B:B,B1675,C:C,C1675)=XLOOKUP(C1675,FSE!A:A,FSE!AA:AA,"ERROR",0,1),"OK","ERROR")))</f>
        <v>OK</v>
      </c>
      <c r="H1675" s="199">
        <f t="shared" ref="H1675:O1675" si="8456">countif($D1675,"*"&amp;H$2&amp;"*")</f>
        <v>1</v>
      </c>
      <c r="I1675" s="200">
        <f t="shared" si="8456"/>
        <v>0</v>
      </c>
      <c r="J1675" s="200">
        <f t="shared" si="8456"/>
        <v>0</v>
      </c>
      <c r="K1675" s="200">
        <f t="shared" si="8456"/>
        <v>0</v>
      </c>
      <c r="L1675" s="200">
        <f t="shared" si="8456"/>
        <v>0</v>
      </c>
      <c r="M1675" s="200">
        <f t="shared" si="8456"/>
        <v>0</v>
      </c>
      <c r="N1675" s="200">
        <f t="shared" si="8456"/>
        <v>0</v>
      </c>
      <c r="O1675" s="200">
        <f t="shared" si="8456"/>
        <v>0</v>
      </c>
      <c r="P1675" s="200">
        <f t="shared" si="9"/>
        <v>0</v>
      </c>
      <c r="Q1675" s="200">
        <f t="shared" ref="Q1675:AC1675" si="8457">countif($D1675,"*"&amp;Q$2&amp;"*")</f>
        <v>0</v>
      </c>
      <c r="R1675" s="200">
        <f t="shared" si="8457"/>
        <v>0</v>
      </c>
      <c r="S1675" s="200">
        <f t="shared" si="8457"/>
        <v>0</v>
      </c>
      <c r="T1675" s="200">
        <f t="shared" si="8457"/>
        <v>0</v>
      </c>
      <c r="U1675" s="200">
        <f t="shared" si="8457"/>
        <v>0</v>
      </c>
      <c r="V1675" s="200">
        <f t="shared" si="8457"/>
        <v>0</v>
      </c>
      <c r="W1675" s="200">
        <f t="shared" si="8457"/>
        <v>0</v>
      </c>
      <c r="X1675" s="200">
        <f t="shared" si="8457"/>
        <v>0</v>
      </c>
      <c r="Y1675" s="200">
        <f t="shared" si="8457"/>
        <v>0</v>
      </c>
      <c r="Z1675" s="200">
        <f t="shared" si="8457"/>
        <v>0</v>
      </c>
      <c r="AA1675" s="200">
        <f t="shared" si="8457"/>
        <v>0</v>
      </c>
      <c r="AB1675" s="200">
        <f t="shared" si="8457"/>
        <v>0</v>
      </c>
      <c r="AC1675" s="200">
        <f t="shared" si="8457"/>
        <v>0</v>
      </c>
      <c r="AD1675" s="200">
        <f t="shared" si="11"/>
        <v>0</v>
      </c>
      <c r="AE1675" s="200">
        <f t="shared" ref="AE1675:AG1675" si="8458">countif($D1675,"*"&amp;AE$2&amp;"*")</f>
        <v>0</v>
      </c>
      <c r="AF1675" s="200">
        <f t="shared" si="8458"/>
        <v>0</v>
      </c>
      <c r="AG1675" s="200">
        <f t="shared" si="8458"/>
        <v>0</v>
      </c>
      <c r="AH1675" s="171">
        <f t="shared" si="13"/>
        <v>0</v>
      </c>
      <c r="AI1675" s="200">
        <f t="shared" si="14"/>
        <v>1</v>
      </c>
      <c r="AJ1675" s="200">
        <f t="shared" si="8398"/>
        <v>0</v>
      </c>
      <c r="AK1675" s="201">
        <f t="shared" ref="AK1675:AS1675" si="8459">countif($D1675,"*"&amp;AK$2&amp;"*")</f>
        <v>0</v>
      </c>
      <c r="AL1675" s="201">
        <f t="shared" si="8459"/>
        <v>0</v>
      </c>
      <c r="AM1675" s="201">
        <f t="shared" si="8459"/>
        <v>0</v>
      </c>
      <c r="AN1675" s="201">
        <f t="shared" si="8459"/>
        <v>0</v>
      </c>
      <c r="AO1675" s="201">
        <f t="shared" si="8459"/>
        <v>0</v>
      </c>
      <c r="AP1675" s="201">
        <f t="shared" si="8459"/>
        <v>0</v>
      </c>
      <c r="AQ1675" s="201">
        <f t="shared" si="8459"/>
        <v>0</v>
      </c>
      <c r="AR1675" s="200">
        <f t="shared" si="8459"/>
        <v>0</v>
      </c>
      <c r="AS1675" s="200">
        <f t="shared" si="8459"/>
        <v>0</v>
      </c>
      <c r="AT1675" s="173">
        <v>0.0</v>
      </c>
      <c r="AU1675" s="200">
        <f t="shared" si="6217"/>
        <v>0</v>
      </c>
      <c r="AV1675" s="200">
        <f t="shared" ref="AV1675:AX1675" si="8460">countif($D1675,"*"&amp;AV$2&amp;"*")</f>
        <v>0</v>
      </c>
      <c r="AW1675" s="200">
        <f t="shared" si="8460"/>
        <v>0</v>
      </c>
      <c r="AX1675" s="200">
        <f t="shared" si="8460"/>
        <v>1</v>
      </c>
      <c r="AY1675" s="202">
        <v>0.0</v>
      </c>
      <c r="AZ1675" s="200"/>
      <c r="BA1675" s="171" t="str">
        <f t="shared" si="18"/>
        <v>Archival</v>
      </c>
      <c r="BB1675" s="171" t="str">
        <f t="shared" si="19"/>
        <v/>
      </c>
      <c r="BC1675" s="171" t="str">
        <f t="shared" si="20"/>
        <v/>
      </c>
      <c r="BD1675" s="171" t="str">
        <f t="shared" si="21"/>
        <v/>
      </c>
      <c r="BE1675" s="171" t="str">
        <f t="shared" si="22"/>
        <v/>
      </c>
      <c r="BF1675" s="171" t="str">
        <f t="shared" si="23"/>
        <v>Archival</v>
      </c>
    </row>
    <row r="1676">
      <c r="A1676" s="171">
        <f t="array" ref="A1676">XLOOKUP(C1676,FSE!A:A,FSE!C:C,"XXXXX",0,1)</f>
        <v>2020</v>
      </c>
      <c r="B1676" s="213" t="s">
        <v>5676</v>
      </c>
      <c r="C1676" s="214">
        <v>362.0</v>
      </c>
      <c r="D1676" s="217" t="s">
        <v>1642</v>
      </c>
      <c r="E1676" s="197" t="str">
        <f t="array" ref="E1676">XLOOKUP(C1676,FSE!A:A,FSE!Z:Z,"XXXXX",0,1)</f>
        <v>Publicly Available (1)</v>
      </c>
      <c r="F1676" s="213" t="s">
        <v>3394</v>
      </c>
      <c r="G1676" s="163" t="str">
        <f t="array" ref="G1676">IF(B1676="ICSE",IF(COUNTIFS(B:B,B1676,C:C,C1676)=XLOOKUP(C1676,ICSE!A:A,ICSE!AA:AA,"ERROR",0,1),"OK","ERROR"),IF(B1676="FSE",IF(COUNTIFS(B:B,B1676,C:C,C1676)=XLOOKUP(C1676,FSE!A:A,FSE!AA:AA,"ERROR",0,1),"OK","ERROR")))</f>
        <v>OK</v>
      </c>
      <c r="H1676" s="199">
        <f t="shared" ref="H1676:O1676" si="8461">countif($D1676,"*"&amp;H$2&amp;"*")</f>
        <v>0</v>
      </c>
      <c r="I1676" s="200">
        <f t="shared" si="8461"/>
        <v>0</v>
      </c>
      <c r="J1676" s="200">
        <f t="shared" si="8461"/>
        <v>0</v>
      </c>
      <c r="K1676" s="200">
        <f t="shared" si="8461"/>
        <v>0</v>
      </c>
      <c r="L1676" s="200">
        <f t="shared" si="8461"/>
        <v>0</v>
      </c>
      <c r="M1676" s="200">
        <f t="shared" si="8461"/>
        <v>0</v>
      </c>
      <c r="N1676" s="200">
        <f t="shared" si="8461"/>
        <v>0</v>
      </c>
      <c r="O1676" s="200">
        <f t="shared" si="8461"/>
        <v>0</v>
      </c>
      <c r="P1676" s="200">
        <f t="shared" si="9"/>
        <v>0</v>
      </c>
      <c r="Q1676" s="200">
        <f t="shared" ref="Q1676:AC1676" si="8462">countif($D1676,"*"&amp;Q$2&amp;"*")</f>
        <v>0</v>
      </c>
      <c r="R1676" s="200">
        <f t="shared" si="8462"/>
        <v>0</v>
      </c>
      <c r="S1676" s="200">
        <f t="shared" si="8462"/>
        <v>0</v>
      </c>
      <c r="T1676" s="200">
        <f t="shared" si="8462"/>
        <v>0</v>
      </c>
      <c r="U1676" s="200">
        <f t="shared" si="8462"/>
        <v>0</v>
      </c>
      <c r="V1676" s="200">
        <f t="shared" si="8462"/>
        <v>0</v>
      </c>
      <c r="W1676" s="200">
        <f t="shared" si="8462"/>
        <v>0</v>
      </c>
      <c r="X1676" s="200">
        <f t="shared" si="8462"/>
        <v>0</v>
      </c>
      <c r="Y1676" s="200">
        <f t="shared" si="8462"/>
        <v>0</v>
      </c>
      <c r="Z1676" s="200">
        <f t="shared" si="8462"/>
        <v>0</v>
      </c>
      <c r="AA1676" s="200">
        <f t="shared" si="8462"/>
        <v>0</v>
      </c>
      <c r="AB1676" s="200">
        <f t="shared" si="8462"/>
        <v>0</v>
      </c>
      <c r="AC1676" s="200">
        <f t="shared" si="8462"/>
        <v>0</v>
      </c>
      <c r="AD1676" s="200">
        <f t="shared" si="11"/>
        <v>1</v>
      </c>
      <c r="AE1676" s="200">
        <f t="shared" ref="AE1676:AG1676" si="8463">countif($D1676,"*"&amp;AE$2&amp;"*")</f>
        <v>0</v>
      </c>
      <c r="AF1676" s="200">
        <f t="shared" si="8463"/>
        <v>0</v>
      </c>
      <c r="AG1676" s="200">
        <f t="shared" si="8463"/>
        <v>0</v>
      </c>
      <c r="AH1676" s="171">
        <f t="shared" si="13"/>
        <v>0</v>
      </c>
      <c r="AI1676" s="200">
        <f t="shared" si="14"/>
        <v>0</v>
      </c>
      <c r="AJ1676" s="200">
        <f>SUM(AK1676:AQ1676)</f>
        <v>0</v>
      </c>
      <c r="AK1676" s="201">
        <f t="shared" ref="AK1676:AS1676" si="8464">countif($D1676,"*"&amp;AK$2&amp;"*")</f>
        <v>0</v>
      </c>
      <c r="AL1676" s="201">
        <f t="shared" si="8464"/>
        <v>0</v>
      </c>
      <c r="AM1676" s="201">
        <f t="shared" si="8464"/>
        <v>0</v>
      </c>
      <c r="AN1676" s="201">
        <f t="shared" si="8464"/>
        <v>0</v>
      </c>
      <c r="AO1676" s="201">
        <f t="shared" si="8464"/>
        <v>0</v>
      </c>
      <c r="AP1676" s="201">
        <f t="shared" si="8464"/>
        <v>0</v>
      </c>
      <c r="AQ1676" s="201">
        <f t="shared" si="8464"/>
        <v>0</v>
      </c>
      <c r="AR1676" s="201">
        <f t="shared" si="8464"/>
        <v>0</v>
      </c>
      <c r="AS1676" s="200">
        <f t="shared" si="8464"/>
        <v>0</v>
      </c>
      <c r="AT1676" s="205">
        <v>0.0</v>
      </c>
      <c r="AU1676" s="200">
        <f t="shared" si="6217"/>
        <v>1</v>
      </c>
      <c r="AV1676" s="200">
        <f t="shared" ref="AV1676:AX1676" si="8465">countif($D1676,"*"&amp;AV$2&amp;"*")</f>
        <v>0</v>
      </c>
      <c r="AW1676" s="200">
        <f t="shared" si="8465"/>
        <v>0</v>
      </c>
      <c r="AX1676" s="200">
        <f t="shared" si="8465"/>
        <v>0</v>
      </c>
      <c r="AY1676" s="202">
        <v>0.0</v>
      </c>
      <c r="AZ1676" s="200"/>
      <c r="BA1676" s="171" t="str">
        <f t="shared" si="18"/>
        <v/>
      </c>
      <c r="BB1676" s="171" t="str">
        <f t="shared" si="19"/>
        <v/>
      </c>
      <c r="BC1676" s="171" t="str">
        <f t="shared" si="20"/>
        <v/>
      </c>
      <c r="BD1676" s="171" t="str">
        <f t="shared" si="21"/>
        <v>Institutional</v>
      </c>
      <c r="BE1676" s="171" t="str">
        <f t="shared" si="22"/>
        <v/>
      </c>
      <c r="BF1676" s="171" t="str">
        <f t="shared" si="23"/>
        <v>Institutional</v>
      </c>
    </row>
    <row r="1677">
      <c r="A1677" s="171">
        <f t="array" ref="A1677">XLOOKUP(C1677,FSE!A:A,FSE!C:C,"XXXXX",0,1)</f>
        <v>2020</v>
      </c>
      <c r="B1677" s="213" t="s">
        <v>5676</v>
      </c>
      <c r="C1677" s="214">
        <v>363.0</v>
      </c>
      <c r="D1677" s="215" t="s">
        <v>6369</v>
      </c>
      <c r="E1677" s="197" t="str">
        <f t="array" ref="E1677">XLOOKUP(C1677,FSE!A:A,FSE!Z:Z,"XXXXX",0,1)</f>
        <v>Publicly Available (2)</v>
      </c>
      <c r="F1677" s="213" t="s">
        <v>3394</v>
      </c>
      <c r="G1677" s="163" t="str">
        <f t="array" ref="G1677">IF(B1677="ICSE",IF(COUNTIFS(B:B,B1677,C:C,C1677)=XLOOKUP(C1677,ICSE!A:A,ICSE!AA:AA,"ERROR",0,1),"OK","ERROR"),IF(B1677="FSE",IF(COUNTIFS(B:B,B1677,C:C,C1677)=XLOOKUP(C1677,FSE!A:A,FSE!AA:AA,"ERROR",0,1),"OK","ERROR")))</f>
        <v>OK</v>
      </c>
      <c r="H1677" s="199">
        <f t="shared" ref="H1677:O1677" si="8466">countif($D1677,"*"&amp;H$2&amp;"*")</f>
        <v>0</v>
      </c>
      <c r="I1677" s="200">
        <f t="shared" si="8466"/>
        <v>0</v>
      </c>
      <c r="J1677" s="200">
        <f t="shared" si="8466"/>
        <v>0</v>
      </c>
      <c r="K1677" s="200">
        <f t="shared" si="8466"/>
        <v>0</v>
      </c>
      <c r="L1677" s="200">
        <f t="shared" si="8466"/>
        <v>0</v>
      </c>
      <c r="M1677" s="200">
        <f t="shared" si="8466"/>
        <v>0</v>
      </c>
      <c r="N1677" s="200">
        <f t="shared" si="8466"/>
        <v>0</v>
      </c>
      <c r="O1677" s="200">
        <f t="shared" si="8466"/>
        <v>0</v>
      </c>
      <c r="P1677" s="200">
        <f t="shared" si="9"/>
        <v>1</v>
      </c>
      <c r="Q1677" s="200">
        <f t="shared" ref="Q1677:AC1677" si="8467">countif($D1677,"*"&amp;Q$2&amp;"*")</f>
        <v>0</v>
      </c>
      <c r="R1677" s="200">
        <f t="shared" si="8467"/>
        <v>0</v>
      </c>
      <c r="S1677" s="200">
        <f t="shared" si="8467"/>
        <v>0</v>
      </c>
      <c r="T1677" s="200">
        <f t="shared" si="8467"/>
        <v>0</v>
      </c>
      <c r="U1677" s="200">
        <f t="shared" si="8467"/>
        <v>0</v>
      </c>
      <c r="V1677" s="200">
        <f t="shared" si="8467"/>
        <v>0</v>
      </c>
      <c r="W1677" s="200">
        <f t="shared" si="8467"/>
        <v>0</v>
      </c>
      <c r="X1677" s="200">
        <f t="shared" si="8467"/>
        <v>0</v>
      </c>
      <c r="Y1677" s="200">
        <f t="shared" si="8467"/>
        <v>0</v>
      </c>
      <c r="Z1677" s="200">
        <f t="shared" si="8467"/>
        <v>0</v>
      </c>
      <c r="AA1677" s="200">
        <f t="shared" si="8467"/>
        <v>0</v>
      </c>
      <c r="AB1677" s="200">
        <f t="shared" si="8467"/>
        <v>0</v>
      </c>
      <c r="AC1677" s="200">
        <f t="shared" si="8467"/>
        <v>0</v>
      </c>
      <c r="AD1677" s="200">
        <f t="shared" si="11"/>
        <v>0</v>
      </c>
      <c r="AE1677" s="200">
        <f t="shared" ref="AE1677:AG1677" si="8468">countif($D1677,"*"&amp;AE$2&amp;"*")</f>
        <v>0</v>
      </c>
      <c r="AF1677" s="200">
        <f t="shared" si="8468"/>
        <v>0</v>
      </c>
      <c r="AG1677" s="200">
        <f t="shared" si="8468"/>
        <v>0</v>
      </c>
      <c r="AH1677" s="171">
        <f t="shared" si="13"/>
        <v>0</v>
      </c>
      <c r="AI1677" s="200">
        <f t="shared" si="14"/>
        <v>0</v>
      </c>
      <c r="AJ1677" s="200">
        <f t="shared" ref="AJ1677:AJ1695" si="8474">SUM(AK1677:AR1677)</f>
        <v>0</v>
      </c>
      <c r="AK1677" s="201">
        <f t="shared" ref="AK1677:AS1677" si="8469">countif($D1677,"*"&amp;AK$2&amp;"*")</f>
        <v>0</v>
      </c>
      <c r="AL1677" s="201">
        <f t="shared" si="8469"/>
        <v>0</v>
      </c>
      <c r="AM1677" s="201">
        <f t="shared" si="8469"/>
        <v>0</v>
      </c>
      <c r="AN1677" s="201">
        <f t="shared" si="8469"/>
        <v>0</v>
      </c>
      <c r="AO1677" s="201">
        <f t="shared" si="8469"/>
        <v>0</v>
      </c>
      <c r="AP1677" s="201">
        <f t="shared" si="8469"/>
        <v>0</v>
      </c>
      <c r="AQ1677" s="201">
        <f t="shared" si="8469"/>
        <v>0</v>
      </c>
      <c r="AR1677" s="200">
        <f t="shared" si="8469"/>
        <v>0</v>
      </c>
      <c r="AS1677" s="200">
        <f t="shared" si="8469"/>
        <v>0</v>
      </c>
      <c r="AT1677" s="173">
        <v>0.0</v>
      </c>
      <c r="AU1677" s="200">
        <f t="shared" si="6217"/>
        <v>0</v>
      </c>
      <c r="AV1677" s="200">
        <f t="shared" ref="AV1677:AX1677" si="8470">countif($D1677,"*"&amp;AV$2&amp;"*")</f>
        <v>1</v>
      </c>
      <c r="AW1677" s="200">
        <f t="shared" si="8470"/>
        <v>0</v>
      </c>
      <c r="AX1677" s="200">
        <f t="shared" si="8470"/>
        <v>0</v>
      </c>
      <c r="AY1677" s="202">
        <v>0.0</v>
      </c>
      <c r="AZ1677" s="200"/>
      <c r="BA1677" s="171" t="str">
        <f t="shared" si="18"/>
        <v/>
      </c>
      <c r="BB1677" s="171" t="str">
        <f t="shared" si="19"/>
        <v>Code</v>
      </c>
      <c r="BC1677" s="171" t="str">
        <f t="shared" si="20"/>
        <v/>
      </c>
      <c r="BD1677" s="171" t="str">
        <f t="shared" si="21"/>
        <v/>
      </c>
      <c r="BE1677" s="171" t="str">
        <f t="shared" si="22"/>
        <v/>
      </c>
      <c r="BF1677" s="171" t="str">
        <f t="shared" si="23"/>
        <v>Code</v>
      </c>
    </row>
    <row r="1678">
      <c r="A1678" s="171">
        <f t="array" ref="A1678">XLOOKUP(C1678,FSE!A:A,FSE!C:C,"XXXXX",0,1)</f>
        <v>2020</v>
      </c>
      <c r="B1678" s="213" t="s">
        <v>5676</v>
      </c>
      <c r="C1678" s="214">
        <v>363.0</v>
      </c>
      <c r="D1678" s="215" t="s">
        <v>6370</v>
      </c>
      <c r="E1678" s="197" t="str">
        <f t="array" ref="E1678">XLOOKUP(C1678,FSE!A:A,FSE!Z:Z,"XXXXX",0,1)</f>
        <v>Publicly Available (2)</v>
      </c>
      <c r="F1678" s="213" t="s">
        <v>3394</v>
      </c>
      <c r="G1678" s="163" t="str">
        <f t="array" ref="G1678">IF(B1678="ICSE",IF(COUNTIFS(B:B,B1678,C:C,C1678)=XLOOKUP(C1678,ICSE!A:A,ICSE!AA:AA,"ERROR",0,1),"OK","ERROR"),IF(B1678="FSE",IF(COUNTIFS(B:B,B1678,C:C,C1678)=XLOOKUP(C1678,FSE!A:A,FSE!AA:AA,"ERROR",0,1),"OK","ERROR")))</f>
        <v>OK</v>
      </c>
      <c r="H1678" s="199">
        <f t="shared" ref="H1678:O1678" si="8471">countif($D1678,"*"&amp;H$2&amp;"*")</f>
        <v>1</v>
      </c>
      <c r="I1678" s="200">
        <f t="shared" si="8471"/>
        <v>0</v>
      </c>
      <c r="J1678" s="200">
        <f t="shared" si="8471"/>
        <v>0</v>
      </c>
      <c r="K1678" s="200">
        <f t="shared" si="8471"/>
        <v>0</v>
      </c>
      <c r="L1678" s="200">
        <f t="shared" si="8471"/>
        <v>0</v>
      </c>
      <c r="M1678" s="200">
        <f t="shared" si="8471"/>
        <v>0</v>
      </c>
      <c r="N1678" s="200">
        <f t="shared" si="8471"/>
        <v>0</v>
      </c>
      <c r="O1678" s="200">
        <f t="shared" si="8471"/>
        <v>0</v>
      </c>
      <c r="P1678" s="200">
        <f t="shared" si="9"/>
        <v>0</v>
      </c>
      <c r="Q1678" s="200">
        <f t="shared" ref="Q1678:AC1678" si="8472">countif($D1678,"*"&amp;Q$2&amp;"*")</f>
        <v>0</v>
      </c>
      <c r="R1678" s="200">
        <f t="shared" si="8472"/>
        <v>0</v>
      </c>
      <c r="S1678" s="200">
        <f t="shared" si="8472"/>
        <v>0</v>
      </c>
      <c r="T1678" s="200">
        <f t="shared" si="8472"/>
        <v>0</v>
      </c>
      <c r="U1678" s="200">
        <f t="shared" si="8472"/>
        <v>0</v>
      </c>
      <c r="V1678" s="200">
        <f t="shared" si="8472"/>
        <v>0</v>
      </c>
      <c r="W1678" s="200">
        <f t="shared" si="8472"/>
        <v>0</v>
      </c>
      <c r="X1678" s="200">
        <f t="shared" si="8472"/>
        <v>0</v>
      </c>
      <c r="Y1678" s="200">
        <f t="shared" si="8472"/>
        <v>0</v>
      </c>
      <c r="Z1678" s="200">
        <f t="shared" si="8472"/>
        <v>0</v>
      </c>
      <c r="AA1678" s="200">
        <f t="shared" si="8472"/>
        <v>0</v>
      </c>
      <c r="AB1678" s="200">
        <f t="shared" si="8472"/>
        <v>0</v>
      </c>
      <c r="AC1678" s="200">
        <f t="shared" si="8472"/>
        <v>0</v>
      </c>
      <c r="AD1678" s="200">
        <f t="shared" si="11"/>
        <v>0</v>
      </c>
      <c r="AE1678" s="200">
        <f t="shared" ref="AE1678:AG1678" si="8473">countif($D1678,"*"&amp;AE$2&amp;"*")</f>
        <v>0</v>
      </c>
      <c r="AF1678" s="200">
        <f t="shared" si="8473"/>
        <v>0</v>
      </c>
      <c r="AG1678" s="200">
        <f t="shared" si="8473"/>
        <v>0</v>
      </c>
      <c r="AH1678" s="171">
        <f t="shared" si="13"/>
        <v>0</v>
      </c>
      <c r="AI1678" s="200">
        <f t="shared" si="14"/>
        <v>1</v>
      </c>
      <c r="AJ1678" s="200">
        <f t="shared" si="8474"/>
        <v>0</v>
      </c>
      <c r="AK1678" s="201">
        <f t="shared" ref="AK1678:AS1678" si="8475">countif($D1678,"*"&amp;AK$2&amp;"*")</f>
        <v>0</v>
      </c>
      <c r="AL1678" s="201">
        <f t="shared" si="8475"/>
        <v>0</v>
      </c>
      <c r="AM1678" s="201">
        <f t="shared" si="8475"/>
        <v>0</v>
      </c>
      <c r="AN1678" s="201">
        <f t="shared" si="8475"/>
        <v>0</v>
      </c>
      <c r="AO1678" s="201">
        <f t="shared" si="8475"/>
        <v>0</v>
      </c>
      <c r="AP1678" s="201">
        <f t="shared" si="8475"/>
        <v>0</v>
      </c>
      <c r="AQ1678" s="201">
        <f t="shared" si="8475"/>
        <v>0</v>
      </c>
      <c r="AR1678" s="200">
        <f t="shared" si="8475"/>
        <v>0</v>
      </c>
      <c r="AS1678" s="200">
        <f t="shared" si="8475"/>
        <v>0</v>
      </c>
      <c r="AT1678" s="173">
        <v>0.0</v>
      </c>
      <c r="AU1678" s="200">
        <f t="shared" si="6217"/>
        <v>0</v>
      </c>
      <c r="AV1678" s="200">
        <f t="shared" ref="AV1678:AX1678" si="8476">countif($D1678,"*"&amp;AV$2&amp;"*")</f>
        <v>0</v>
      </c>
      <c r="AW1678" s="200">
        <f t="shared" si="8476"/>
        <v>0</v>
      </c>
      <c r="AX1678" s="200">
        <f t="shared" si="8476"/>
        <v>1</v>
      </c>
      <c r="AY1678" s="202">
        <v>0.0</v>
      </c>
      <c r="AZ1678" s="200"/>
      <c r="BA1678" s="171" t="str">
        <f t="shared" si="18"/>
        <v>Archival</v>
      </c>
      <c r="BB1678" s="171" t="str">
        <f t="shared" si="19"/>
        <v/>
      </c>
      <c r="BC1678" s="171" t="str">
        <f t="shared" si="20"/>
        <v/>
      </c>
      <c r="BD1678" s="171" t="str">
        <f t="shared" si="21"/>
        <v/>
      </c>
      <c r="BE1678" s="171" t="str">
        <f t="shared" si="22"/>
        <v/>
      </c>
      <c r="BF1678" s="171" t="str">
        <f t="shared" si="23"/>
        <v>Archival</v>
      </c>
    </row>
    <row r="1679">
      <c r="A1679" s="171">
        <f t="array" ref="A1679">XLOOKUP(C1679,FSE!A:A,FSE!C:C,"XXXXX",0,1)</f>
        <v>2020</v>
      </c>
      <c r="B1679" s="213" t="s">
        <v>5676</v>
      </c>
      <c r="C1679" s="214">
        <v>364.0</v>
      </c>
      <c r="D1679" s="208" t="s">
        <v>6371</v>
      </c>
      <c r="E1679" s="197" t="str">
        <f t="array" ref="E1679">XLOOKUP(C1679,FSE!A:A,FSE!Z:Z,"XXXXX",0,1)</f>
        <v>Not Available (1)</v>
      </c>
      <c r="F1679" s="213" t="s">
        <v>3395</v>
      </c>
      <c r="G1679" s="163" t="str">
        <f t="array" ref="G1679">IF(B1679="ICSE",IF(COUNTIFS(B:B,B1679,C:C,C1679)=XLOOKUP(C1679,ICSE!A:A,ICSE!AA:AA,"ERROR",0,1),"OK","ERROR"),IF(B1679="FSE",IF(COUNTIFS(B:B,B1679,C:C,C1679)=XLOOKUP(C1679,FSE!A:A,FSE!AA:AA,"ERROR",0,1),"OK","ERROR")))</f>
        <v>OK</v>
      </c>
      <c r="H1679" s="199">
        <f t="shared" ref="H1679:O1679" si="8477">countif($D1679,"*"&amp;H$2&amp;"*")</f>
        <v>0</v>
      </c>
      <c r="I1679" s="200">
        <f t="shared" si="8477"/>
        <v>0</v>
      </c>
      <c r="J1679" s="200">
        <f t="shared" si="8477"/>
        <v>0</v>
      </c>
      <c r="K1679" s="200">
        <f t="shared" si="8477"/>
        <v>0</v>
      </c>
      <c r="L1679" s="200">
        <f t="shared" si="8477"/>
        <v>0</v>
      </c>
      <c r="M1679" s="200">
        <f t="shared" si="8477"/>
        <v>0</v>
      </c>
      <c r="N1679" s="200">
        <f t="shared" si="8477"/>
        <v>0</v>
      </c>
      <c r="O1679" s="200">
        <f t="shared" si="8477"/>
        <v>0</v>
      </c>
      <c r="P1679" s="200">
        <f t="shared" si="9"/>
        <v>0</v>
      </c>
      <c r="Q1679" s="200">
        <f t="shared" ref="Q1679:AC1679" si="8478">countif($D1679,"*"&amp;Q$2&amp;"*")</f>
        <v>0</v>
      </c>
      <c r="R1679" s="200">
        <f t="shared" si="8478"/>
        <v>0</v>
      </c>
      <c r="S1679" s="200">
        <f t="shared" si="8478"/>
        <v>0</v>
      </c>
      <c r="T1679" s="200">
        <f t="shared" si="8478"/>
        <v>0</v>
      </c>
      <c r="U1679" s="200">
        <f t="shared" si="8478"/>
        <v>0</v>
      </c>
      <c r="V1679" s="200">
        <f t="shared" si="8478"/>
        <v>1</v>
      </c>
      <c r="W1679" s="200">
        <f t="shared" si="8478"/>
        <v>0</v>
      </c>
      <c r="X1679" s="200">
        <f t="shared" si="8478"/>
        <v>0</v>
      </c>
      <c r="Y1679" s="200">
        <f t="shared" si="8478"/>
        <v>0</v>
      </c>
      <c r="Z1679" s="200">
        <f t="shared" si="8478"/>
        <v>0</v>
      </c>
      <c r="AA1679" s="200">
        <f t="shared" si="8478"/>
        <v>0</v>
      </c>
      <c r="AB1679" s="200">
        <f t="shared" si="8478"/>
        <v>0</v>
      </c>
      <c r="AC1679" s="200">
        <f t="shared" si="8478"/>
        <v>0</v>
      </c>
      <c r="AD1679" s="200">
        <f t="shared" si="11"/>
        <v>0</v>
      </c>
      <c r="AE1679" s="200">
        <f t="shared" ref="AE1679:AG1679" si="8479">countif($D1679,"*"&amp;AE$2&amp;"*")</f>
        <v>0</v>
      </c>
      <c r="AF1679" s="200">
        <f t="shared" si="8479"/>
        <v>0</v>
      </c>
      <c r="AG1679" s="200">
        <f t="shared" si="8479"/>
        <v>0</v>
      </c>
      <c r="AH1679" s="171">
        <f t="shared" si="13"/>
        <v>0</v>
      </c>
      <c r="AI1679" s="200">
        <f t="shared" si="14"/>
        <v>0</v>
      </c>
      <c r="AJ1679" s="200">
        <f t="shared" si="8474"/>
        <v>0</v>
      </c>
      <c r="AK1679" s="201">
        <f t="shared" ref="AK1679:AS1679" si="8480">countif($D1679,"*"&amp;AK$2&amp;"*")</f>
        <v>0</v>
      </c>
      <c r="AL1679" s="201">
        <f t="shared" si="8480"/>
        <v>0</v>
      </c>
      <c r="AM1679" s="201">
        <f t="shared" si="8480"/>
        <v>0</v>
      </c>
      <c r="AN1679" s="201">
        <f t="shared" si="8480"/>
        <v>0</v>
      </c>
      <c r="AO1679" s="201">
        <f t="shared" si="8480"/>
        <v>0</v>
      </c>
      <c r="AP1679" s="201">
        <f t="shared" si="8480"/>
        <v>0</v>
      </c>
      <c r="AQ1679" s="201">
        <f t="shared" si="8480"/>
        <v>0</v>
      </c>
      <c r="AR1679" s="200">
        <f t="shared" si="8480"/>
        <v>0</v>
      </c>
      <c r="AS1679" s="200">
        <f t="shared" si="8480"/>
        <v>1</v>
      </c>
      <c r="AT1679" s="173">
        <v>0.0</v>
      </c>
      <c r="AU1679" s="209">
        <v>0.0</v>
      </c>
      <c r="AV1679" s="200">
        <f t="shared" ref="AV1679:AX1679" si="8481">countif($D1679,"*"&amp;AV$2&amp;"*")</f>
        <v>0</v>
      </c>
      <c r="AW1679" s="200">
        <f t="shared" si="8481"/>
        <v>0</v>
      </c>
      <c r="AX1679" s="200">
        <f t="shared" si="8481"/>
        <v>0</v>
      </c>
      <c r="AY1679" s="202">
        <v>0.0</v>
      </c>
      <c r="AZ1679" s="200"/>
      <c r="BA1679" s="171" t="str">
        <f t="shared" si="18"/>
        <v/>
      </c>
      <c r="BB1679" s="171" t="str">
        <f t="shared" si="19"/>
        <v/>
      </c>
      <c r="BC1679" s="171" t="str">
        <f t="shared" si="20"/>
        <v>General-purpose</v>
      </c>
      <c r="BD1679" s="171" t="str">
        <f t="shared" si="21"/>
        <v/>
      </c>
      <c r="BE1679" s="171" t="str">
        <f t="shared" si="22"/>
        <v/>
      </c>
      <c r="BF1679" s="171" t="str">
        <f t="shared" si="23"/>
        <v>General-purpose</v>
      </c>
    </row>
    <row r="1680">
      <c r="A1680" s="171">
        <f t="array" ref="A1680">XLOOKUP(C1680,FSE!A:A,FSE!C:C,"XXXXX",0,1)</f>
        <v>2020</v>
      </c>
      <c r="B1680" s="213" t="s">
        <v>5676</v>
      </c>
      <c r="C1680" s="214">
        <v>366.0</v>
      </c>
      <c r="D1680" s="217" t="s">
        <v>6372</v>
      </c>
      <c r="E1680" s="197" t="str">
        <f t="array" ref="E1680">XLOOKUP(C1680,FSE!A:A,FSE!Z:Z,"XXXXX",0,1)</f>
        <v>Publicly Available (1)</v>
      </c>
      <c r="F1680" s="213" t="s">
        <v>3394</v>
      </c>
      <c r="G1680" s="163" t="str">
        <f t="array" ref="G1680">IF(B1680="ICSE",IF(COUNTIFS(B:B,B1680,C:C,C1680)=XLOOKUP(C1680,ICSE!A:A,ICSE!AA:AA,"ERROR",0,1),"OK","ERROR"),IF(B1680="FSE",IF(COUNTIFS(B:B,B1680,C:C,C1680)=XLOOKUP(C1680,FSE!A:A,FSE!AA:AA,"ERROR",0,1),"OK","ERROR")))</f>
        <v>OK</v>
      </c>
      <c r="H1680" s="199">
        <f t="shared" ref="H1680:O1680" si="8482">countif($D1680,"*"&amp;H$2&amp;"*")</f>
        <v>0</v>
      </c>
      <c r="I1680" s="200">
        <f t="shared" si="8482"/>
        <v>0</v>
      </c>
      <c r="J1680" s="200">
        <f t="shared" si="8482"/>
        <v>0</v>
      </c>
      <c r="K1680" s="200">
        <f t="shared" si="8482"/>
        <v>0</v>
      </c>
      <c r="L1680" s="200">
        <f t="shared" si="8482"/>
        <v>0</v>
      </c>
      <c r="M1680" s="200">
        <f t="shared" si="8482"/>
        <v>0</v>
      </c>
      <c r="N1680" s="200">
        <f t="shared" si="8482"/>
        <v>0</v>
      </c>
      <c r="O1680" s="200">
        <f t="shared" si="8482"/>
        <v>0</v>
      </c>
      <c r="P1680" s="200">
        <f t="shared" si="9"/>
        <v>1</v>
      </c>
      <c r="Q1680" s="200">
        <f t="shared" ref="Q1680:AC1680" si="8483">countif($D1680,"*"&amp;Q$2&amp;"*")</f>
        <v>0</v>
      </c>
      <c r="R1680" s="200">
        <f t="shared" si="8483"/>
        <v>0</v>
      </c>
      <c r="S1680" s="200">
        <f t="shared" si="8483"/>
        <v>0</v>
      </c>
      <c r="T1680" s="200">
        <f t="shared" si="8483"/>
        <v>0</v>
      </c>
      <c r="U1680" s="200">
        <f t="shared" si="8483"/>
        <v>0</v>
      </c>
      <c r="V1680" s="200">
        <f t="shared" si="8483"/>
        <v>0</v>
      </c>
      <c r="W1680" s="200">
        <f t="shared" si="8483"/>
        <v>0</v>
      </c>
      <c r="X1680" s="200">
        <f t="shared" si="8483"/>
        <v>0</v>
      </c>
      <c r="Y1680" s="200">
        <f t="shared" si="8483"/>
        <v>0</v>
      </c>
      <c r="Z1680" s="200">
        <f t="shared" si="8483"/>
        <v>0</v>
      </c>
      <c r="AA1680" s="200">
        <f t="shared" si="8483"/>
        <v>0</v>
      </c>
      <c r="AB1680" s="200">
        <f t="shared" si="8483"/>
        <v>0</v>
      </c>
      <c r="AC1680" s="200">
        <f t="shared" si="8483"/>
        <v>0</v>
      </c>
      <c r="AD1680" s="200">
        <f t="shared" si="11"/>
        <v>0</v>
      </c>
      <c r="AE1680" s="200">
        <f t="shared" ref="AE1680:AG1680" si="8484">countif($D1680,"*"&amp;AE$2&amp;"*")</f>
        <v>0</v>
      </c>
      <c r="AF1680" s="200">
        <f t="shared" si="8484"/>
        <v>0</v>
      </c>
      <c r="AG1680" s="200">
        <f t="shared" si="8484"/>
        <v>0</v>
      </c>
      <c r="AH1680" s="171">
        <f t="shared" si="13"/>
        <v>0</v>
      </c>
      <c r="AI1680" s="200">
        <f t="shared" si="14"/>
        <v>0</v>
      </c>
      <c r="AJ1680" s="200">
        <f t="shared" si="8474"/>
        <v>0</v>
      </c>
      <c r="AK1680" s="201">
        <f t="shared" ref="AK1680:AS1680" si="8485">countif($D1680,"*"&amp;AK$2&amp;"*")</f>
        <v>0</v>
      </c>
      <c r="AL1680" s="201">
        <f t="shared" si="8485"/>
        <v>0</v>
      </c>
      <c r="AM1680" s="201">
        <f t="shared" si="8485"/>
        <v>0</v>
      </c>
      <c r="AN1680" s="201">
        <f t="shared" si="8485"/>
        <v>0</v>
      </c>
      <c r="AO1680" s="201">
        <f t="shared" si="8485"/>
        <v>0</v>
      </c>
      <c r="AP1680" s="201">
        <f t="shared" si="8485"/>
        <v>0</v>
      </c>
      <c r="AQ1680" s="201">
        <f t="shared" si="8485"/>
        <v>0</v>
      </c>
      <c r="AR1680" s="200">
        <f t="shared" si="8485"/>
        <v>0</v>
      </c>
      <c r="AS1680" s="200">
        <f t="shared" si="8485"/>
        <v>0</v>
      </c>
      <c r="AT1680" s="173">
        <v>0.0</v>
      </c>
      <c r="AU1680" s="200">
        <f t="shared" ref="AU1680:AX1680" si="8486">countif($D1680,"*"&amp;AU$2&amp;"*")</f>
        <v>0</v>
      </c>
      <c r="AV1680" s="200">
        <f t="shared" si="8486"/>
        <v>1</v>
      </c>
      <c r="AW1680" s="200">
        <f t="shared" si="8486"/>
        <v>0</v>
      </c>
      <c r="AX1680" s="200">
        <f t="shared" si="8486"/>
        <v>0</v>
      </c>
      <c r="AY1680" s="202">
        <v>0.0</v>
      </c>
      <c r="AZ1680" s="200"/>
      <c r="BA1680" s="171" t="str">
        <f t="shared" si="18"/>
        <v/>
      </c>
      <c r="BB1680" s="171" t="str">
        <f t="shared" si="19"/>
        <v>Code</v>
      </c>
      <c r="BC1680" s="171" t="str">
        <f t="shared" si="20"/>
        <v/>
      </c>
      <c r="BD1680" s="171" t="str">
        <f t="shared" si="21"/>
        <v/>
      </c>
      <c r="BE1680" s="171" t="str">
        <f t="shared" si="22"/>
        <v/>
      </c>
      <c r="BF1680" s="171" t="str">
        <f t="shared" si="23"/>
        <v>Code</v>
      </c>
    </row>
    <row r="1681">
      <c r="A1681" s="171">
        <f t="array" ref="A1681">XLOOKUP(C1681,FSE!A:A,FSE!C:C,"XXXXX",0,1)</f>
        <v>2020</v>
      </c>
      <c r="B1681" s="213" t="s">
        <v>5676</v>
      </c>
      <c r="C1681" s="214">
        <v>367.0</v>
      </c>
      <c r="D1681" s="215" t="s">
        <v>4584</v>
      </c>
      <c r="E1681" s="197" t="str">
        <f t="array" ref="E1681">XLOOKUP(C1681,FSE!A:A,FSE!Z:Z,"XXXXX",0,1)</f>
        <v>Publicly Available (1)</v>
      </c>
      <c r="F1681" s="213" t="s">
        <v>3394</v>
      </c>
      <c r="G1681" s="163" t="str">
        <f t="array" ref="G1681">IF(B1681="ICSE",IF(COUNTIFS(B:B,B1681,C:C,C1681)=XLOOKUP(C1681,ICSE!A:A,ICSE!AA:AA,"ERROR",0,1),"OK","ERROR"),IF(B1681="FSE",IF(COUNTIFS(B:B,B1681,C:C,C1681)=XLOOKUP(C1681,FSE!A:A,FSE!AA:AA,"ERROR",0,1),"OK","ERROR")))</f>
        <v>OK</v>
      </c>
      <c r="H1681" s="199">
        <f t="shared" ref="H1681:O1681" si="8487">countif($D1681,"*"&amp;H$2&amp;"*")</f>
        <v>0</v>
      </c>
      <c r="I1681" s="200">
        <f t="shared" si="8487"/>
        <v>0</v>
      </c>
      <c r="J1681" s="200">
        <f t="shared" si="8487"/>
        <v>0</v>
      </c>
      <c r="K1681" s="200">
        <f t="shared" si="8487"/>
        <v>0</v>
      </c>
      <c r="L1681" s="200">
        <f t="shared" si="8487"/>
        <v>0</v>
      </c>
      <c r="M1681" s="200">
        <f t="shared" si="8487"/>
        <v>0</v>
      </c>
      <c r="N1681" s="200">
        <f t="shared" si="8487"/>
        <v>0</v>
      </c>
      <c r="O1681" s="200">
        <f t="shared" si="8487"/>
        <v>0</v>
      </c>
      <c r="P1681" s="200">
        <f t="shared" si="9"/>
        <v>1</v>
      </c>
      <c r="Q1681" s="200">
        <f t="shared" ref="Q1681:AC1681" si="8488">countif($D1681,"*"&amp;Q$2&amp;"*")</f>
        <v>0</v>
      </c>
      <c r="R1681" s="200">
        <f t="shared" si="8488"/>
        <v>0</v>
      </c>
      <c r="S1681" s="200">
        <f t="shared" si="8488"/>
        <v>0</v>
      </c>
      <c r="T1681" s="200">
        <f t="shared" si="8488"/>
        <v>0</v>
      </c>
      <c r="U1681" s="200">
        <f t="shared" si="8488"/>
        <v>0</v>
      </c>
      <c r="V1681" s="200">
        <f t="shared" si="8488"/>
        <v>0</v>
      </c>
      <c r="W1681" s="200">
        <f t="shared" si="8488"/>
        <v>0</v>
      </c>
      <c r="X1681" s="200">
        <f t="shared" si="8488"/>
        <v>0</v>
      </c>
      <c r="Y1681" s="200">
        <f t="shared" si="8488"/>
        <v>0</v>
      </c>
      <c r="Z1681" s="200">
        <f t="shared" si="8488"/>
        <v>0</v>
      </c>
      <c r="AA1681" s="200">
        <f t="shared" si="8488"/>
        <v>0</v>
      </c>
      <c r="AB1681" s="200">
        <f t="shared" si="8488"/>
        <v>0</v>
      </c>
      <c r="AC1681" s="200">
        <f t="shared" si="8488"/>
        <v>0</v>
      </c>
      <c r="AD1681" s="200">
        <f t="shared" si="11"/>
        <v>0</v>
      </c>
      <c r="AE1681" s="200">
        <f t="shared" ref="AE1681:AG1681" si="8489">countif($D1681,"*"&amp;AE$2&amp;"*")</f>
        <v>0</v>
      </c>
      <c r="AF1681" s="200">
        <f t="shared" si="8489"/>
        <v>0</v>
      </c>
      <c r="AG1681" s="200">
        <f t="shared" si="8489"/>
        <v>0</v>
      </c>
      <c r="AH1681" s="171">
        <f t="shared" si="13"/>
        <v>0</v>
      </c>
      <c r="AI1681" s="200">
        <f t="shared" si="14"/>
        <v>0</v>
      </c>
      <c r="AJ1681" s="200">
        <f t="shared" si="8474"/>
        <v>0</v>
      </c>
      <c r="AK1681" s="201">
        <f t="shared" ref="AK1681:AS1681" si="8490">countif($D1681,"*"&amp;AK$2&amp;"*")</f>
        <v>0</v>
      </c>
      <c r="AL1681" s="201">
        <f t="shared" si="8490"/>
        <v>0</v>
      </c>
      <c r="AM1681" s="201">
        <f t="shared" si="8490"/>
        <v>0</v>
      </c>
      <c r="AN1681" s="201">
        <f t="shared" si="8490"/>
        <v>0</v>
      </c>
      <c r="AO1681" s="201">
        <f t="shared" si="8490"/>
        <v>0</v>
      </c>
      <c r="AP1681" s="201">
        <f t="shared" si="8490"/>
        <v>0</v>
      </c>
      <c r="AQ1681" s="201">
        <f t="shared" si="8490"/>
        <v>0</v>
      </c>
      <c r="AR1681" s="200">
        <f t="shared" si="8490"/>
        <v>0</v>
      </c>
      <c r="AS1681" s="200">
        <f t="shared" si="8490"/>
        <v>0</v>
      </c>
      <c r="AT1681" s="173">
        <v>0.0</v>
      </c>
      <c r="AU1681" s="200">
        <f t="shared" ref="AU1681:AX1681" si="8491">countif($D1681,"*"&amp;AU$2&amp;"*")</f>
        <v>0</v>
      </c>
      <c r="AV1681" s="200">
        <f t="shared" si="8491"/>
        <v>1</v>
      </c>
      <c r="AW1681" s="200">
        <f t="shared" si="8491"/>
        <v>0</v>
      </c>
      <c r="AX1681" s="200">
        <f t="shared" si="8491"/>
        <v>0</v>
      </c>
      <c r="AY1681" s="202">
        <v>0.0</v>
      </c>
      <c r="AZ1681" s="200"/>
      <c r="BA1681" s="171" t="str">
        <f t="shared" si="18"/>
        <v/>
      </c>
      <c r="BB1681" s="171" t="str">
        <f t="shared" si="19"/>
        <v>Code</v>
      </c>
      <c r="BC1681" s="171" t="str">
        <f t="shared" si="20"/>
        <v/>
      </c>
      <c r="BD1681" s="171" t="str">
        <f t="shared" si="21"/>
        <v/>
      </c>
      <c r="BE1681" s="171" t="str">
        <f t="shared" si="22"/>
        <v/>
      </c>
      <c r="BF1681" s="171" t="str">
        <f t="shared" si="23"/>
        <v>Code</v>
      </c>
    </row>
    <row r="1682">
      <c r="A1682" s="171">
        <f t="array" ref="A1682">XLOOKUP(C1682,FSE!A:A,FSE!C:C,"XXXXX",0,1)</f>
        <v>2020</v>
      </c>
      <c r="B1682" s="213" t="s">
        <v>5676</v>
      </c>
      <c r="C1682" s="214">
        <v>368.0</v>
      </c>
      <c r="D1682" s="215" t="s">
        <v>6373</v>
      </c>
      <c r="E1682" s="197" t="str">
        <f t="array" ref="E1682">XLOOKUP(C1682,FSE!A:A,FSE!Z:Z,"XXXXX",0,1)</f>
        <v>Publicly Available (1)</v>
      </c>
      <c r="F1682" s="213" t="s">
        <v>3394</v>
      </c>
      <c r="G1682" s="163" t="str">
        <f t="array" ref="G1682">IF(B1682="ICSE",IF(COUNTIFS(B:B,B1682,C:C,C1682)=XLOOKUP(C1682,ICSE!A:A,ICSE!AA:AA,"ERROR",0,1),"OK","ERROR"),IF(B1682="FSE",IF(COUNTIFS(B:B,B1682,C:C,C1682)=XLOOKUP(C1682,FSE!A:A,FSE!AA:AA,"ERROR",0,1),"OK","ERROR")))</f>
        <v>OK</v>
      </c>
      <c r="H1682" s="199">
        <f t="shared" ref="H1682:O1682" si="8492">countif($D1682,"*"&amp;H$2&amp;"*")</f>
        <v>0</v>
      </c>
      <c r="I1682" s="200">
        <f t="shared" si="8492"/>
        <v>0</v>
      </c>
      <c r="J1682" s="200">
        <f t="shared" si="8492"/>
        <v>0</v>
      </c>
      <c r="K1682" s="200">
        <f t="shared" si="8492"/>
        <v>0</v>
      </c>
      <c r="L1682" s="200">
        <f t="shared" si="8492"/>
        <v>0</v>
      </c>
      <c r="M1682" s="200">
        <f t="shared" si="8492"/>
        <v>0</v>
      </c>
      <c r="N1682" s="200">
        <f t="shared" si="8492"/>
        <v>0</v>
      </c>
      <c r="O1682" s="200">
        <f t="shared" si="8492"/>
        <v>0</v>
      </c>
      <c r="P1682" s="200">
        <f t="shared" si="9"/>
        <v>1</v>
      </c>
      <c r="Q1682" s="200">
        <f t="shared" ref="Q1682:AC1682" si="8493">countif($D1682,"*"&amp;Q$2&amp;"*")</f>
        <v>0</v>
      </c>
      <c r="R1682" s="200">
        <f t="shared" si="8493"/>
        <v>0</v>
      </c>
      <c r="S1682" s="200">
        <f t="shared" si="8493"/>
        <v>0</v>
      </c>
      <c r="T1682" s="200">
        <f t="shared" si="8493"/>
        <v>0</v>
      </c>
      <c r="U1682" s="200">
        <f t="shared" si="8493"/>
        <v>0</v>
      </c>
      <c r="V1682" s="200">
        <f t="shared" si="8493"/>
        <v>0</v>
      </c>
      <c r="W1682" s="200">
        <f t="shared" si="8493"/>
        <v>0</v>
      </c>
      <c r="X1682" s="200">
        <f t="shared" si="8493"/>
        <v>0</v>
      </c>
      <c r="Y1682" s="200">
        <f t="shared" si="8493"/>
        <v>0</v>
      </c>
      <c r="Z1682" s="200">
        <f t="shared" si="8493"/>
        <v>0</v>
      </c>
      <c r="AA1682" s="200">
        <f t="shared" si="8493"/>
        <v>0</v>
      </c>
      <c r="AB1682" s="200">
        <f t="shared" si="8493"/>
        <v>0</v>
      </c>
      <c r="AC1682" s="200">
        <f t="shared" si="8493"/>
        <v>0</v>
      </c>
      <c r="AD1682" s="200">
        <f t="shared" si="11"/>
        <v>0</v>
      </c>
      <c r="AE1682" s="200">
        <f t="shared" ref="AE1682:AG1682" si="8494">countif($D1682,"*"&amp;AE$2&amp;"*")</f>
        <v>0</v>
      </c>
      <c r="AF1682" s="200">
        <f t="shared" si="8494"/>
        <v>0</v>
      </c>
      <c r="AG1682" s="200">
        <f t="shared" si="8494"/>
        <v>0</v>
      </c>
      <c r="AH1682" s="171">
        <f t="shared" si="13"/>
        <v>0</v>
      </c>
      <c r="AI1682" s="200">
        <f t="shared" si="14"/>
        <v>0</v>
      </c>
      <c r="AJ1682" s="200">
        <f t="shared" si="8474"/>
        <v>0</v>
      </c>
      <c r="AK1682" s="201">
        <f t="shared" ref="AK1682:AS1682" si="8495">countif($D1682,"*"&amp;AK$2&amp;"*")</f>
        <v>0</v>
      </c>
      <c r="AL1682" s="201">
        <f t="shared" si="8495"/>
        <v>0</v>
      </c>
      <c r="AM1682" s="201">
        <f t="shared" si="8495"/>
        <v>0</v>
      </c>
      <c r="AN1682" s="201">
        <f t="shared" si="8495"/>
        <v>0</v>
      </c>
      <c r="AO1682" s="201">
        <f t="shared" si="8495"/>
        <v>0</v>
      </c>
      <c r="AP1682" s="201">
        <f t="shared" si="8495"/>
        <v>0</v>
      </c>
      <c r="AQ1682" s="201">
        <f t="shared" si="8495"/>
        <v>0</v>
      </c>
      <c r="AR1682" s="200">
        <f t="shared" si="8495"/>
        <v>0</v>
      </c>
      <c r="AS1682" s="200">
        <f t="shared" si="8495"/>
        <v>0</v>
      </c>
      <c r="AT1682" s="173">
        <v>0.0</v>
      </c>
      <c r="AU1682" s="200">
        <f t="shared" ref="AU1682:AX1682" si="8496">countif($D1682,"*"&amp;AU$2&amp;"*")</f>
        <v>0</v>
      </c>
      <c r="AV1682" s="200">
        <f t="shared" si="8496"/>
        <v>1</v>
      </c>
      <c r="AW1682" s="200">
        <f t="shared" si="8496"/>
        <v>0</v>
      </c>
      <c r="AX1682" s="200">
        <f t="shared" si="8496"/>
        <v>0</v>
      </c>
      <c r="AY1682" s="202">
        <v>0.0</v>
      </c>
      <c r="AZ1682" s="200"/>
      <c r="BA1682" s="171" t="str">
        <f t="shared" si="18"/>
        <v/>
      </c>
      <c r="BB1682" s="171" t="str">
        <f t="shared" si="19"/>
        <v>Code</v>
      </c>
      <c r="BC1682" s="171" t="str">
        <f t="shared" si="20"/>
        <v/>
      </c>
      <c r="BD1682" s="171" t="str">
        <f t="shared" si="21"/>
        <v/>
      </c>
      <c r="BE1682" s="171" t="str">
        <f t="shared" si="22"/>
        <v/>
      </c>
      <c r="BF1682" s="171" t="str">
        <f t="shared" si="23"/>
        <v>Code</v>
      </c>
    </row>
    <row r="1683">
      <c r="A1683" s="171">
        <f t="array" ref="A1683">XLOOKUP(C1683,FSE!A:A,FSE!C:C,"XXXXX",0,1)</f>
        <v>2020</v>
      </c>
      <c r="B1683" s="213" t="s">
        <v>5676</v>
      </c>
      <c r="C1683" s="214">
        <v>369.0</v>
      </c>
      <c r="D1683" s="215" t="s">
        <v>4591</v>
      </c>
      <c r="E1683" s="197" t="str">
        <f t="array" ref="E1683">XLOOKUP(C1683,FSE!A:A,FSE!Z:Z,"XXXXX",0,1)</f>
        <v>Publicly Available (1)</v>
      </c>
      <c r="F1683" s="213" t="s">
        <v>3394</v>
      </c>
      <c r="G1683" s="163" t="str">
        <f t="array" ref="G1683">IF(B1683="ICSE",IF(COUNTIFS(B:B,B1683,C:C,C1683)=XLOOKUP(C1683,ICSE!A:A,ICSE!AA:AA,"ERROR",0,1),"OK","ERROR"),IF(B1683="FSE",IF(COUNTIFS(B:B,B1683,C:C,C1683)=XLOOKUP(C1683,FSE!A:A,FSE!AA:AA,"ERROR",0,1),"OK","ERROR")))</f>
        <v>OK</v>
      </c>
      <c r="H1683" s="199">
        <f t="shared" ref="H1683:O1683" si="8497">countif($D1683,"*"&amp;H$2&amp;"*")</f>
        <v>0</v>
      </c>
      <c r="I1683" s="200">
        <f t="shared" si="8497"/>
        <v>0</v>
      </c>
      <c r="J1683" s="200">
        <f t="shared" si="8497"/>
        <v>0</v>
      </c>
      <c r="K1683" s="200">
        <f t="shared" si="8497"/>
        <v>0</v>
      </c>
      <c r="L1683" s="200">
        <f t="shared" si="8497"/>
        <v>0</v>
      </c>
      <c r="M1683" s="200">
        <f t="shared" si="8497"/>
        <v>0</v>
      </c>
      <c r="N1683" s="200">
        <f t="shared" si="8497"/>
        <v>0</v>
      </c>
      <c r="O1683" s="200">
        <f t="shared" si="8497"/>
        <v>0</v>
      </c>
      <c r="P1683" s="200">
        <f t="shared" si="9"/>
        <v>0</v>
      </c>
      <c r="Q1683" s="200">
        <f t="shared" ref="Q1683:AC1683" si="8498">countif($D1683,"*"&amp;Q$2&amp;"*")</f>
        <v>0</v>
      </c>
      <c r="R1683" s="200">
        <f t="shared" si="8498"/>
        <v>0</v>
      </c>
      <c r="S1683" s="200">
        <f t="shared" si="8498"/>
        <v>0</v>
      </c>
      <c r="T1683" s="200">
        <f t="shared" si="8498"/>
        <v>0</v>
      </c>
      <c r="U1683" s="200">
        <f t="shared" si="8498"/>
        <v>0</v>
      </c>
      <c r="V1683" s="200">
        <f t="shared" si="8498"/>
        <v>0</v>
      </c>
      <c r="W1683" s="200">
        <f t="shared" si="8498"/>
        <v>0</v>
      </c>
      <c r="X1683" s="200">
        <f t="shared" si="8498"/>
        <v>0</v>
      </c>
      <c r="Y1683" s="200">
        <f t="shared" si="8498"/>
        <v>0</v>
      </c>
      <c r="Z1683" s="200">
        <f t="shared" si="8498"/>
        <v>0</v>
      </c>
      <c r="AA1683" s="200">
        <f t="shared" si="8498"/>
        <v>0</v>
      </c>
      <c r="AB1683" s="200">
        <f t="shared" si="8498"/>
        <v>0</v>
      </c>
      <c r="AC1683" s="200">
        <f t="shared" si="8498"/>
        <v>0</v>
      </c>
      <c r="AD1683" s="200">
        <f t="shared" si="11"/>
        <v>0</v>
      </c>
      <c r="AE1683" s="200">
        <f t="shared" ref="AE1683:AG1683" si="8499">countif($D1683,"*"&amp;AE$2&amp;"*")</f>
        <v>0</v>
      </c>
      <c r="AF1683" s="200">
        <f t="shared" si="8499"/>
        <v>0</v>
      </c>
      <c r="AG1683" s="200">
        <f t="shared" si="8499"/>
        <v>0</v>
      </c>
      <c r="AH1683" s="171">
        <f t="shared" si="13"/>
        <v>1</v>
      </c>
      <c r="AI1683" s="200">
        <f t="shared" si="14"/>
        <v>0</v>
      </c>
      <c r="AJ1683" s="200">
        <f t="shared" si="8474"/>
        <v>0</v>
      </c>
      <c r="AK1683" s="201">
        <f t="shared" ref="AK1683:AS1683" si="8500">countif($D1683,"*"&amp;AK$2&amp;"*")</f>
        <v>0</v>
      </c>
      <c r="AL1683" s="201">
        <f t="shared" si="8500"/>
        <v>0</v>
      </c>
      <c r="AM1683" s="201">
        <f t="shared" si="8500"/>
        <v>0</v>
      </c>
      <c r="AN1683" s="201">
        <f t="shared" si="8500"/>
        <v>0</v>
      </c>
      <c r="AO1683" s="201">
        <f t="shared" si="8500"/>
        <v>0</v>
      </c>
      <c r="AP1683" s="201">
        <f t="shared" si="8500"/>
        <v>0</v>
      </c>
      <c r="AQ1683" s="201">
        <f t="shared" si="8500"/>
        <v>0</v>
      </c>
      <c r="AR1683" s="200">
        <f t="shared" si="8500"/>
        <v>0</v>
      </c>
      <c r="AS1683" s="200">
        <f t="shared" si="8500"/>
        <v>0</v>
      </c>
      <c r="AT1683" s="173">
        <v>0.0</v>
      </c>
      <c r="AU1683" s="200">
        <f t="shared" ref="AU1683:AX1683" si="8501">countif($D1683,"*"&amp;AU$2&amp;"*")</f>
        <v>0</v>
      </c>
      <c r="AV1683" s="200">
        <f t="shared" si="8501"/>
        <v>0</v>
      </c>
      <c r="AW1683" s="200">
        <f t="shared" si="8501"/>
        <v>0</v>
      </c>
      <c r="AX1683" s="200">
        <f t="shared" si="8501"/>
        <v>0</v>
      </c>
      <c r="AY1683" s="202">
        <v>0.0</v>
      </c>
      <c r="AZ1683" s="200"/>
      <c r="BA1683" s="171" t="str">
        <f t="shared" si="18"/>
        <v/>
      </c>
      <c r="BB1683" s="171" t="str">
        <f t="shared" si="19"/>
        <v/>
      </c>
      <c r="BC1683" s="171" t="str">
        <f t="shared" si="20"/>
        <v/>
      </c>
      <c r="BD1683" s="171" t="str">
        <f t="shared" si="21"/>
        <v/>
      </c>
      <c r="BE1683" s="171" t="str">
        <f t="shared" si="22"/>
        <v>Others</v>
      </c>
      <c r="BF1683" s="171" t="str">
        <f t="shared" si="23"/>
        <v>Others</v>
      </c>
    </row>
    <row r="1684">
      <c r="A1684" s="171">
        <f t="array" ref="A1684">XLOOKUP(C1684,FSE!A:A,FSE!C:C,"XXXXX",0,1)</f>
        <v>2020</v>
      </c>
      <c r="B1684" s="213" t="s">
        <v>5676</v>
      </c>
      <c r="C1684" s="214">
        <v>370.0</v>
      </c>
      <c r="D1684" s="215" t="s">
        <v>4594</v>
      </c>
      <c r="E1684" s="197" t="str">
        <f t="array" ref="E1684">XLOOKUP(C1684,FSE!A:A,FSE!Z:Z,"XXXXX",0,1)</f>
        <v>Publicly Available (1)</v>
      </c>
      <c r="F1684" s="213" t="s">
        <v>3394</v>
      </c>
      <c r="G1684" s="163" t="str">
        <f t="array" ref="G1684">IF(B1684="ICSE",IF(COUNTIFS(B:B,B1684,C:C,C1684)=XLOOKUP(C1684,ICSE!A:A,ICSE!AA:AA,"ERROR",0,1),"OK","ERROR"),IF(B1684="FSE",IF(COUNTIFS(B:B,B1684,C:C,C1684)=XLOOKUP(C1684,FSE!A:A,FSE!AA:AA,"ERROR",0,1),"OK","ERROR")))</f>
        <v>OK</v>
      </c>
      <c r="H1684" s="199">
        <f t="shared" ref="H1684:O1684" si="8502">countif($D1684,"*"&amp;H$2&amp;"*")</f>
        <v>1</v>
      </c>
      <c r="I1684" s="200">
        <f t="shared" si="8502"/>
        <v>0</v>
      </c>
      <c r="J1684" s="200">
        <f t="shared" si="8502"/>
        <v>0</v>
      </c>
      <c r="K1684" s="200">
        <f t="shared" si="8502"/>
        <v>0</v>
      </c>
      <c r="L1684" s="200">
        <f t="shared" si="8502"/>
        <v>0</v>
      </c>
      <c r="M1684" s="200">
        <f t="shared" si="8502"/>
        <v>0</v>
      </c>
      <c r="N1684" s="200">
        <f t="shared" si="8502"/>
        <v>0</v>
      </c>
      <c r="O1684" s="200">
        <f t="shared" si="8502"/>
        <v>0</v>
      </c>
      <c r="P1684" s="200">
        <f t="shared" si="9"/>
        <v>0</v>
      </c>
      <c r="Q1684" s="200">
        <f t="shared" ref="Q1684:AC1684" si="8503">countif($D1684,"*"&amp;Q$2&amp;"*")</f>
        <v>0</v>
      </c>
      <c r="R1684" s="200">
        <f t="shared" si="8503"/>
        <v>0</v>
      </c>
      <c r="S1684" s="200">
        <f t="shared" si="8503"/>
        <v>0</v>
      </c>
      <c r="T1684" s="200">
        <f t="shared" si="8503"/>
        <v>0</v>
      </c>
      <c r="U1684" s="200">
        <f t="shared" si="8503"/>
        <v>0</v>
      </c>
      <c r="V1684" s="200">
        <f t="shared" si="8503"/>
        <v>0</v>
      </c>
      <c r="W1684" s="200">
        <f t="shared" si="8503"/>
        <v>0</v>
      </c>
      <c r="X1684" s="200">
        <f t="shared" si="8503"/>
        <v>0</v>
      </c>
      <c r="Y1684" s="200">
        <f t="shared" si="8503"/>
        <v>0</v>
      </c>
      <c r="Z1684" s="200">
        <f t="shared" si="8503"/>
        <v>0</v>
      </c>
      <c r="AA1684" s="200">
        <f t="shared" si="8503"/>
        <v>0</v>
      </c>
      <c r="AB1684" s="200">
        <f t="shared" si="8503"/>
        <v>0</v>
      </c>
      <c r="AC1684" s="200">
        <f t="shared" si="8503"/>
        <v>0</v>
      </c>
      <c r="AD1684" s="200">
        <f t="shared" si="11"/>
        <v>0</v>
      </c>
      <c r="AE1684" s="200">
        <f t="shared" ref="AE1684:AG1684" si="8504">countif($D1684,"*"&amp;AE$2&amp;"*")</f>
        <v>0</v>
      </c>
      <c r="AF1684" s="200">
        <f t="shared" si="8504"/>
        <v>0</v>
      </c>
      <c r="AG1684" s="200">
        <f t="shared" si="8504"/>
        <v>0</v>
      </c>
      <c r="AH1684" s="171">
        <f t="shared" si="13"/>
        <v>0</v>
      </c>
      <c r="AI1684" s="200">
        <f t="shared" si="14"/>
        <v>1</v>
      </c>
      <c r="AJ1684" s="200">
        <f t="shared" si="8474"/>
        <v>0</v>
      </c>
      <c r="AK1684" s="201">
        <f t="shared" ref="AK1684:AS1684" si="8505">countif($D1684,"*"&amp;AK$2&amp;"*")</f>
        <v>0</v>
      </c>
      <c r="AL1684" s="201">
        <f t="shared" si="8505"/>
        <v>0</v>
      </c>
      <c r="AM1684" s="201">
        <f t="shared" si="8505"/>
        <v>0</v>
      </c>
      <c r="AN1684" s="201">
        <f t="shared" si="8505"/>
        <v>0</v>
      </c>
      <c r="AO1684" s="201">
        <f t="shared" si="8505"/>
        <v>0</v>
      </c>
      <c r="AP1684" s="201">
        <f t="shared" si="8505"/>
        <v>0</v>
      </c>
      <c r="AQ1684" s="201">
        <f t="shared" si="8505"/>
        <v>0</v>
      </c>
      <c r="AR1684" s="200">
        <f t="shared" si="8505"/>
        <v>0</v>
      </c>
      <c r="AS1684" s="200">
        <f t="shared" si="8505"/>
        <v>0</v>
      </c>
      <c r="AT1684" s="173">
        <v>0.0</v>
      </c>
      <c r="AU1684" s="200">
        <f t="shared" ref="AU1684:AX1684" si="8506">countif($D1684,"*"&amp;AU$2&amp;"*")</f>
        <v>0</v>
      </c>
      <c r="AV1684" s="200">
        <f t="shared" si="8506"/>
        <v>0</v>
      </c>
      <c r="AW1684" s="200">
        <f t="shared" si="8506"/>
        <v>0</v>
      </c>
      <c r="AX1684" s="200">
        <f t="shared" si="8506"/>
        <v>1</v>
      </c>
      <c r="AY1684" s="202">
        <v>0.0</v>
      </c>
      <c r="AZ1684" s="200"/>
      <c r="BA1684" s="171" t="str">
        <f t="shared" si="18"/>
        <v>Archival</v>
      </c>
      <c r="BB1684" s="171" t="str">
        <f t="shared" si="19"/>
        <v/>
      </c>
      <c r="BC1684" s="171" t="str">
        <f t="shared" si="20"/>
        <v/>
      </c>
      <c r="BD1684" s="171" t="str">
        <f t="shared" si="21"/>
        <v/>
      </c>
      <c r="BE1684" s="171" t="str">
        <f t="shared" si="22"/>
        <v/>
      </c>
      <c r="BF1684" s="171" t="str">
        <f t="shared" si="23"/>
        <v>Archival</v>
      </c>
    </row>
    <row r="1685">
      <c r="A1685" s="171">
        <f t="array" ref="A1685">XLOOKUP(C1685,FSE!A:A,FSE!C:C,"XXXXX",0,1)</f>
        <v>2020</v>
      </c>
      <c r="B1685" s="213" t="s">
        <v>5676</v>
      </c>
      <c r="C1685" s="214">
        <v>372.0</v>
      </c>
      <c r="D1685" s="217" t="s">
        <v>6374</v>
      </c>
      <c r="E1685" s="197" t="str">
        <f t="array" ref="E1685">XLOOKUP(C1685,FSE!A:A,FSE!Z:Z,"XXXXX",0,1)</f>
        <v>Publicly Available (1)</v>
      </c>
      <c r="F1685" s="213" t="s">
        <v>3394</v>
      </c>
      <c r="G1685" s="163" t="str">
        <f t="array" ref="G1685">IF(B1685="ICSE",IF(COUNTIFS(B:B,B1685,C:C,C1685)=XLOOKUP(C1685,ICSE!A:A,ICSE!AA:AA,"ERROR",0,1),"OK","ERROR"),IF(B1685="FSE",IF(COUNTIFS(B:B,B1685,C:C,C1685)=XLOOKUP(C1685,FSE!A:A,FSE!AA:AA,"ERROR",0,1),"OK","ERROR")))</f>
        <v>OK</v>
      </c>
      <c r="H1685" s="199">
        <f t="shared" ref="H1685:O1685" si="8507">countif($D1685,"*"&amp;H$2&amp;"*")</f>
        <v>0</v>
      </c>
      <c r="I1685" s="200">
        <f t="shared" si="8507"/>
        <v>0</v>
      </c>
      <c r="J1685" s="200">
        <f t="shared" si="8507"/>
        <v>0</v>
      </c>
      <c r="K1685" s="200">
        <f t="shared" si="8507"/>
        <v>0</v>
      </c>
      <c r="L1685" s="200">
        <f t="shared" si="8507"/>
        <v>0</v>
      </c>
      <c r="M1685" s="200">
        <f t="shared" si="8507"/>
        <v>0</v>
      </c>
      <c r="N1685" s="200">
        <f t="shared" si="8507"/>
        <v>0</v>
      </c>
      <c r="O1685" s="200">
        <f t="shared" si="8507"/>
        <v>0</v>
      </c>
      <c r="P1685" s="200">
        <f t="shared" si="9"/>
        <v>0</v>
      </c>
      <c r="Q1685" s="200">
        <f t="shared" ref="Q1685:AC1685" si="8508">countif($D1685,"*"&amp;Q$2&amp;"*")</f>
        <v>0</v>
      </c>
      <c r="R1685" s="200">
        <f t="shared" si="8508"/>
        <v>0</v>
      </c>
      <c r="S1685" s="200">
        <f t="shared" si="8508"/>
        <v>0</v>
      </c>
      <c r="T1685" s="200">
        <f t="shared" si="8508"/>
        <v>0</v>
      </c>
      <c r="U1685" s="200">
        <f t="shared" si="8508"/>
        <v>0</v>
      </c>
      <c r="V1685" s="200">
        <f t="shared" si="8508"/>
        <v>1</v>
      </c>
      <c r="W1685" s="200">
        <f t="shared" si="8508"/>
        <v>0</v>
      </c>
      <c r="X1685" s="200">
        <f t="shared" si="8508"/>
        <v>0</v>
      </c>
      <c r="Y1685" s="200">
        <f t="shared" si="8508"/>
        <v>0</v>
      </c>
      <c r="Z1685" s="200">
        <f t="shared" si="8508"/>
        <v>0</v>
      </c>
      <c r="AA1685" s="200">
        <f t="shared" si="8508"/>
        <v>0</v>
      </c>
      <c r="AB1685" s="200">
        <f t="shared" si="8508"/>
        <v>0</v>
      </c>
      <c r="AC1685" s="200">
        <f t="shared" si="8508"/>
        <v>0</v>
      </c>
      <c r="AD1685" s="200">
        <f t="shared" si="11"/>
        <v>0</v>
      </c>
      <c r="AE1685" s="200">
        <f t="shared" ref="AE1685:AG1685" si="8509">countif($D1685,"*"&amp;AE$2&amp;"*")</f>
        <v>0</v>
      </c>
      <c r="AF1685" s="200">
        <f t="shared" si="8509"/>
        <v>0</v>
      </c>
      <c r="AG1685" s="200">
        <f t="shared" si="8509"/>
        <v>0</v>
      </c>
      <c r="AH1685" s="171">
        <f t="shared" si="13"/>
        <v>0</v>
      </c>
      <c r="AI1685" s="200">
        <f t="shared" si="14"/>
        <v>0</v>
      </c>
      <c r="AJ1685" s="200">
        <f t="shared" si="8474"/>
        <v>1</v>
      </c>
      <c r="AK1685" s="201">
        <f t="shared" ref="AK1685:AS1685" si="8510">countif($D1685,"*"&amp;AK$2&amp;"*")</f>
        <v>0</v>
      </c>
      <c r="AL1685" s="201">
        <f t="shared" si="8510"/>
        <v>0</v>
      </c>
      <c r="AM1685" s="201">
        <f t="shared" si="8510"/>
        <v>0</v>
      </c>
      <c r="AN1685" s="201">
        <f t="shared" si="8510"/>
        <v>0</v>
      </c>
      <c r="AO1685" s="201">
        <f t="shared" si="8510"/>
        <v>0</v>
      </c>
      <c r="AP1685" s="201">
        <f t="shared" si="8510"/>
        <v>0</v>
      </c>
      <c r="AQ1685" s="201">
        <f t="shared" si="8510"/>
        <v>1</v>
      </c>
      <c r="AR1685" s="200">
        <f t="shared" si="8510"/>
        <v>0</v>
      </c>
      <c r="AS1685" s="200">
        <f t="shared" si="8510"/>
        <v>1</v>
      </c>
      <c r="AT1685" s="173">
        <v>0.0</v>
      </c>
      <c r="AU1685" s="200">
        <f t="shared" ref="AU1685:AX1685" si="8511">countif($D1685,"*"&amp;AU$2&amp;"*")</f>
        <v>0</v>
      </c>
      <c r="AV1685" s="200">
        <f t="shared" si="8511"/>
        <v>0</v>
      </c>
      <c r="AW1685" s="200">
        <f t="shared" si="8511"/>
        <v>0</v>
      </c>
      <c r="AX1685" s="200">
        <f t="shared" si="8511"/>
        <v>0</v>
      </c>
      <c r="AY1685" s="202">
        <v>0.0</v>
      </c>
      <c r="AZ1685" s="200"/>
      <c r="BA1685" s="171" t="str">
        <f t="shared" si="18"/>
        <v/>
      </c>
      <c r="BB1685" s="171" t="str">
        <f t="shared" si="19"/>
        <v/>
      </c>
      <c r="BC1685" s="171" t="str">
        <f t="shared" si="20"/>
        <v>General-purpose</v>
      </c>
      <c r="BD1685" s="171" t="str">
        <f t="shared" si="21"/>
        <v/>
      </c>
      <c r="BE1685" s="171" t="str">
        <f t="shared" si="22"/>
        <v/>
      </c>
      <c r="BF1685" s="171" t="str">
        <f t="shared" si="23"/>
        <v>General-purpose</v>
      </c>
    </row>
    <row r="1686">
      <c r="A1686" s="171">
        <f t="array" ref="A1686">XLOOKUP(C1686,FSE!A:A,FSE!C:C,"XXXXX",0,1)</f>
        <v>2020</v>
      </c>
      <c r="B1686" s="213" t="s">
        <v>5676</v>
      </c>
      <c r="C1686" s="214">
        <v>373.0</v>
      </c>
      <c r="D1686" s="215" t="s">
        <v>6375</v>
      </c>
      <c r="E1686" s="197" t="str">
        <f t="array" ref="E1686">XLOOKUP(C1686,FSE!A:A,FSE!Z:Z,"XXXXX",0,1)</f>
        <v>Publicly Available (2)</v>
      </c>
      <c r="F1686" s="213" t="s">
        <v>3394</v>
      </c>
      <c r="G1686" s="163" t="str">
        <f t="array" ref="G1686">IF(B1686="ICSE",IF(COUNTIFS(B:B,B1686,C:C,C1686)=XLOOKUP(C1686,ICSE!A:A,ICSE!AA:AA,"ERROR",0,1),"OK","ERROR"),IF(B1686="FSE",IF(COUNTIFS(B:B,B1686,C:C,C1686)=XLOOKUP(C1686,FSE!A:A,FSE!AA:AA,"ERROR",0,1),"OK","ERROR")))</f>
        <v>OK</v>
      </c>
      <c r="H1686" s="199">
        <f t="shared" ref="H1686:O1686" si="8512">countif($D1686,"*"&amp;H$2&amp;"*")</f>
        <v>0</v>
      </c>
      <c r="I1686" s="200">
        <f t="shared" si="8512"/>
        <v>0</v>
      </c>
      <c r="J1686" s="200">
        <f t="shared" si="8512"/>
        <v>0</v>
      </c>
      <c r="K1686" s="200">
        <f t="shared" si="8512"/>
        <v>0</v>
      </c>
      <c r="L1686" s="200">
        <f t="shared" si="8512"/>
        <v>0</v>
      </c>
      <c r="M1686" s="200">
        <f t="shared" si="8512"/>
        <v>0</v>
      </c>
      <c r="N1686" s="200">
        <f t="shared" si="8512"/>
        <v>0</v>
      </c>
      <c r="O1686" s="200">
        <f t="shared" si="8512"/>
        <v>0</v>
      </c>
      <c r="P1686" s="200">
        <f t="shared" si="9"/>
        <v>0</v>
      </c>
      <c r="Q1686" s="200">
        <f t="shared" ref="Q1686:AC1686" si="8513">countif($D1686,"*"&amp;Q$2&amp;"*")</f>
        <v>0</v>
      </c>
      <c r="R1686" s="200">
        <f t="shared" si="8513"/>
        <v>0</v>
      </c>
      <c r="S1686" s="200">
        <f t="shared" si="8513"/>
        <v>0</v>
      </c>
      <c r="T1686" s="200">
        <f t="shared" si="8513"/>
        <v>0</v>
      </c>
      <c r="U1686" s="200">
        <f t="shared" si="8513"/>
        <v>0</v>
      </c>
      <c r="V1686" s="200">
        <f t="shared" si="8513"/>
        <v>0</v>
      </c>
      <c r="W1686" s="200">
        <f t="shared" si="8513"/>
        <v>0</v>
      </c>
      <c r="X1686" s="200">
        <f t="shared" si="8513"/>
        <v>0</v>
      </c>
      <c r="Y1686" s="200">
        <f t="shared" si="8513"/>
        <v>0</v>
      </c>
      <c r="Z1686" s="200">
        <f t="shared" si="8513"/>
        <v>0</v>
      </c>
      <c r="AA1686" s="200">
        <f t="shared" si="8513"/>
        <v>1</v>
      </c>
      <c r="AB1686" s="200">
        <f t="shared" si="8513"/>
        <v>0</v>
      </c>
      <c r="AC1686" s="200">
        <f t="shared" si="8513"/>
        <v>0</v>
      </c>
      <c r="AD1686" s="200">
        <f t="shared" si="11"/>
        <v>0</v>
      </c>
      <c r="AE1686" s="200">
        <f t="shared" ref="AE1686:AG1686" si="8514">countif($D1686,"*"&amp;AE$2&amp;"*")</f>
        <v>0</v>
      </c>
      <c r="AF1686" s="200">
        <f t="shared" si="8514"/>
        <v>0</v>
      </c>
      <c r="AG1686" s="200">
        <f t="shared" si="8514"/>
        <v>0</v>
      </c>
      <c r="AH1686" s="171">
        <f t="shared" si="13"/>
        <v>0</v>
      </c>
      <c r="AI1686" s="200">
        <f t="shared" si="14"/>
        <v>0</v>
      </c>
      <c r="AJ1686" s="200">
        <f t="shared" si="8474"/>
        <v>0</v>
      </c>
      <c r="AK1686" s="201">
        <f t="shared" ref="AK1686:AS1686" si="8515">countif($D1686,"*"&amp;AK$2&amp;"*")</f>
        <v>0</v>
      </c>
      <c r="AL1686" s="201">
        <f t="shared" si="8515"/>
        <v>0</v>
      </c>
      <c r="AM1686" s="201">
        <f t="shared" si="8515"/>
        <v>0</v>
      </c>
      <c r="AN1686" s="201">
        <f t="shared" si="8515"/>
        <v>0</v>
      </c>
      <c r="AO1686" s="201">
        <f t="shared" si="8515"/>
        <v>0</v>
      </c>
      <c r="AP1686" s="201">
        <f t="shared" si="8515"/>
        <v>0</v>
      </c>
      <c r="AQ1686" s="201">
        <f t="shared" si="8515"/>
        <v>0</v>
      </c>
      <c r="AR1686" s="200">
        <f t="shared" si="8515"/>
        <v>0</v>
      </c>
      <c r="AS1686" s="200">
        <f t="shared" si="8515"/>
        <v>0</v>
      </c>
      <c r="AT1686" s="173">
        <v>0.0</v>
      </c>
      <c r="AU1686" s="200">
        <f t="shared" ref="AU1686:AX1686" si="8516">countif($D1686,"*"&amp;AU$2&amp;"*")</f>
        <v>0</v>
      </c>
      <c r="AV1686" s="200">
        <f t="shared" si="8516"/>
        <v>0</v>
      </c>
      <c r="AW1686" s="200">
        <f t="shared" si="8516"/>
        <v>0</v>
      </c>
      <c r="AX1686" s="200">
        <f t="shared" si="8516"/>
        <v>0</v>
      </c>
      <c r="AY1686" s="202">
        <v>0.0</v>
      </c>
      <c r="AZ1686" s="200"/>
      <c r="BA1686" s="171" t="str">
        <f t="shared" si="18"/>
        <v/>
      </c>
      <c r="BB1686" s="171" t="str">
        <f t="shared" si="19"/>
        <v/>
      </c>
      <c r="BC1686" s="171" t="str">
        <f t="shared" si="20"/>
        <v>General-purpose</v>
      </c>
      <c r="BD1686" s="171" t="str">
        <f t="shared" si="21"/>
        <v/>
      </c>
      <c r="BE1686" s="171" t="str">
        <f t="shared" si="22"/>
        <v/>
      </c>
      <c r="BF1686" s="171" t="str">
        <f t="shared" si="23"/>
        <v>General-purpose</v>
      </c>
    </row>
    <row r="1687">
      <c r="A1687" s="171">
        <f t="array" ref="A1687">XLOOKUP(C1687,FSE!A:A,FSE!C:C,"XXXXX",0,1)</f>
        <v>2020</v>
      </c>
      <c r="B1687" s="213" t="s">
        <v>5676</v>
      </c>
      <c r="C1687" s="214">
        <v>373.0</v>
      </c>
      <c r="D1687" s="217" t="s">
        <v>6376</v>
      </c>
      <c r="E1687" s="197" t="str">
        <f t="array" ref="E1687">XLOOKUP(C1687,FSE!A:A,FSE!Z:Z,"XXXXX",0,1)</f>
        <v>Publicly Available (2)</v>
      </c>
      <c r="F1687" s="213" t="s">
        <v>3394</v>
      </c>
      <c r="G1687" s="163" t="str">
        <f t="array" ref="G1687">IF(B1687="ICSE",IF(COUNTIFS(B:B,B1687,C:C,C1687)=XLOOKUP(C1687,ICSE!A:A,ICSE!AA:AA,"ERROR",0,1),"OK","ERROR"),IF(B1687="FSE",IF(COUNTIFS(B:B,B1687,C:C,C1687)=XLOOKUP(C1687,FSE!A:A,FSE!AA:AA,"ERROR",0,1),"OK","ERROR")))</f>
        <v>OK</v>
      </c>
      <c r="H1687" s="199">
        <f t="shared" ref="H1687:O1687" si="8517">countif($D1687,"*"&amp;H$2&amp;"*")</f>
        <v>0</v>
      </c>
      <c r="I1687" s="200">
        <f t="shared" si="8517"/>
        <v>1</v>
      </c>
      <c r="J1687" s="200">
        <f t="shared" si="8517"/>
        <v>0</v>
      </c>
      <c r="K1687" s="200">
        <f t="shared" si="8517"/>
        <v>0</v>
      </c>
      <c r="L1687" s="200">
        <f t="shared" si="8517"/>
        <v>0</v>
      </c>
      <c r="M1687" s="200">
        <f t="shared" si="8517"/>
        <v>0</v>
      </c>
      <c r="N1687" s="200">
        <f t="shared" si="8517"/>
        <v>0</v>
      </c>
      <c r="O1687" s="200">
        <f t="shared" si="8517"/>
        <v>0</v>
      </c>
      <c r="P1687" s="200">
        <f t="shared" si="9"/>
        <v>0</v>
      </c>
      <c r="Q1687" s="200">
        <f t="shared" ref="Q1687:AC1687" si="8518">countif($D1687,"*"&amp;Q$2&amp;"*")</f>
        <v>0</v>
      </c>
      <c r="R1687" s="200">
        <f t="shared" si="8518"/>
        <v>0</v>
      </c>
      <c r="S1687" s="200">
        <f t="shared" si="8518"/>
        <v>0</v>
      </c>
      <c r="T1687" s="200">
        <f t="shared" si="8518"/>
        <v>0</v>
      </c>
      <c r="U1687" s="200">
        <f t="shared" si="8518"/>
        <v>0</v>
      </c>
      <c r="V1687" s="200">
        <f t="shared" si="8518"/>
        <v>0</v>
      </c>
      <c r="W1687" s="200">
        <f t="shared" si="8518"/>
        <v>0</v>
      </c>
      <c r="X1687" s="200">
        <f t="shared" si="8518"/>
        <v>0</v>
      </c>
      <c r="Y1687" s="200">
        <f t="shared" si="8518"/>
        <v>0</v>
      </c>
      <c r="Z1687" s="200">
        <f t="shared" si="8518"/>
        <v>0</v>
      </c>
      <c r="AA1687" s="200">
        <f t="shared" si="8518"/>
        <v>0</v>
      </c>
      <c r="AB1687" s="200">
        <f t="shared" si="8518"/>
        <v>0</v>
      </c>
      <c r="AC1687" s="200">
        <f t="shared" si="8518"/>
        <v>0</v>
      </c>
      <c r="AD1687" s="200">
        <f t="shared" si="11"/>
        <v>0</v>
      </c>
      <c r="AE1687" s="200">
        <f t="shared" ref="AE1687:AG1687" si="8519">countif($D1687,"*"&amp;AE$2&amp;"*")</f>
        <v>0</v>
      </c>
      <c r="AF1687" s="200">
        <f t="shared" si="8519"/>
        <v>0</v>
      </c>
      <c r="AG1687" s="200">
        <f t="shared" si="8519"/>
        <v>0</v>
      </c>
      <c r="AH1687" s="171">
        <f t="shared" si="13"/>
        <v>0</v>
      </c>
      <c r="AI1687" s="200">
        <f t="shared" si="14"/>
        <v>1</v>
      </c>
      <c r="AJ1687" s="200">
        <f t="shared" si="8474"/>
        <v>0</v>
      </c>
      <c r="AK1687" s="201">
        <f t="shared" ref="AK1687:AS1687" si="8520">countif($D1687,"*"&amp;AK$2&amp;"*")</f>
        <v>0</v>
      </c>
      <c r="AL1687" s="201">
        <f t="shared" si="8520"/>
        <v>0</v>
      </c>
      <c r="AM1687" s="201">
        <f t="shared" si="8520"/>
        <v>0</v>
      </c>
      <c r="AN1687" s="201">
        <f t="shared" si="8520"/>
        <v>0</v>
      </c>
      <c r="AO1687" s="201">
        <f t="shared" si="8520"/>
        <v>0</v>
      </c>
      <c r="AP1687" s="201">
        <f t="shared" si="8520"/>
        <v>0</v>
      </c>
      <c r="AQ1687" s="201">
        <f t="shared" si="8520"/>
        <v>0</v>
      </c>
      <c r="AR1687" s="200">
        <f t="shared" si="8520"/>
        <v>0</v>
      </c>
      <c r="AS1687" s="200">
        <f t="shared" si="8520"/>
        <v>0</v>
      </c>
      <c r="AT1687" s="173">
        <v>0.0</v>
      </c>
      <c r="AU1687" s="200">
        <f t="shared" ref="AU1687:AX1687" si="8521">countif($D1687,"*"&amp;AU$2&amp;"*")</f>
        <v>0</v>
      </c>
      <c r="AV1687" s="200">
        <f t="shared" si="8521"/>
        <v>0</v>
      </c>
      <c r="AW1687" s="200">
        <f t="shared" si="8521"/>
        <v>0</v>
      </c>
      <c r="AX1687" s="200">
        <f t="shared" si="8521"/>
        <v>1</v>
      </c>
      <c r="AY1687" s="202">
        <v>0.0</v>
      </c>
      <c r="AZ1687" s="200"/>
      <c r="BA1687" s="171" t="str">
        <f t="shared" si="18"/>
        <v>Archival</v>
      </c>
      <c r="BB1687" s="171" t="str">
        <f t="shared" si="19"/>
        <v/>
      </c>
      <c r="BC1687" s="171" t="str">
        <f t="shared" si="20"/>
        <v/>
      </c>
      <c r="BD1687" s="171" t="str">
        <f t="shared" si="21"/>
        <v/>
      </c>
      <c r="BE1687" s="171" t="str">
        <f t="shared" si="22"/>
        <v/>
      </c>
      <c r="BF1687" s="171" t="str">
        <f t="shared" si="23"/>
        <v>Archival</v>
      </c>
    </row>
    <row r="1688">
      <c r="A1688" s="171">
        <f t="array" ref="A1688">XLOOKUP(C1688,FSE!A:A,FSE!C:C,"XXXXX",0,1)</f>
        <v>2020</v>
      </c>
      <c r="B1688" s="213" t="s">
        <v>5676</v>
      </c>
      <c r="C1688" s="214">
        <v>374.0</v>
      </c>
      <c r="D1688" s="215" t="s">
        <v>4606</v>
      </c>
      <c r="E1688" s="197" t="str">
        <f t="array" ref="E1688">XLOOKUP(C1688,FSE!A:A,FSE!Z:Z,"XXXXX",0,1)</f>
        <v>Publicly Available (1)</v>
      </c>
      <c r="F1688" s="213" t="s">
        <v>3394</v>
      </c>
      <c r="G1688" s="163" t="str">
        <f t="array" ref="G1688">IF(B1688="ICSE",IF(COUNTIFS(B:B,B1688,C:C,C1688)=XLOOKUP(C1688,ICSE!A:A,ICSE!AA:AA,"ERROR",0,1),"OK","ERROR"),IF(B1688="FSE",IF(COUNTIFS(B:B,B1688,C:C,C1688)=XLOOKUP(C1688,FSE!A:A,FSE!AA:AA,"ERROR",0,1),"OK","ERROR")))</f>
        <v>OK</v>
      </c>
      <c r="H1688" s="199">
        <f t="shared" ref="H1688:O1688" si="8522">countif($D1688,"*"&amp;H$2&amp;"*")</f>
        <v>0</v>
      </c>
      <c r="I1688" s="200">
        <f t="shared" si="8522"/>
        <v>0</v>
      </c>
      <c r="J1688" s="200">
        <f t="shared" si="8522"/>
        <v>0</v>
      </c>
      <c r="K1688" s="200">
        <f t="shared" si="8522"/>
        <v>0</v>
      </c>
      <c r="L1688" s="200">
        <f t="shared" si="8522"/>
        <v>0</v>
      </c>
      <c r="M1688" s="200">
        <f t="shared" si="8522"/>
        <v>0</v>
      </c>
      <c r="N1688" s="200">
        <f t="shared" si="8522"/>
        <v>0</v>
      </c>
      <c r="O1688" s="200">
        <f t="shared" si="8522"/>
        <v>0</v>
      </c>
      <c r="P1688" s="200">
        <f t="shared" si="9"/>
        <v>0</v>
      </c>
      <c r="Q1688" s="200">
        <f t="shared" ref="Q1688:AC1688" si="8523">countif($D1688,"*"&amp;Q$2&amp;"*")</f>
        <v>0</v>
      </c>
      <c r="R1688" s="200">
        <f t="shared" si="8523"/>
        <v>0</v>
      </c>
      <c r="S1688" s="200">
        <f t="shared" si="8523"/>
        <v>0</v>
      </c>
      <c r="T1688" s="200">
        <f t="shared" si="8523"/>
        <v>0</v>
      </c>
      <c r="U1688" s="200">
        <f t="shared" si="8523"/>
        <v>0</v>
      </c>
      <c r="V1688" s="200">
        <f t="shared" si="8523"/>
        <v>0</v>
      </c>
      <c r="W1688" s="200">
        <f t="shared" si="8523"/>
        <v>0</v>
      </c>
      <c r="X1688" s="200">
        <f t="shared" si="8523"/>
        <v>0</v>
      </c>
      <c r="Y1688" s="200">
        <f t="shared" si="8523"/>
        <v>0</v>
      </c>
      <c r="Z1688" s="200">
        <f t="shared" si="8523"/>
        <v>0</v>
      </c>
      <c r="AA1688" s="200">
        <f t="shared" si="8523"/>
        <v>0</v>
      </c>
      <c r="AB1688" s="200">
        <f t="shared" si="8523"/>
        <v>0</v>
      </c>
      <c r="AC1688" s="200">
        <f t="shared" si="8523"/>
        <v>0</v>
      </c>
      <c r="AD1688" s="200">
        <f t="shared" si="11"/>
        <v>0</v>
      </c>
      <c r="AE1688" s="200">
        <f t="shared" ref="AE1688:AG1688" si="8524">countif($D1688,"*"&amp;AE$2&amp;"*")</f>
        <v>0</v>
      </c>
      <c r="AF1688" s="200">
        <f t="shared" si="8524"/>
        <v>0</v>
      </c>
      <c r="AG1688" s="200">
        <f t="shared" si="8524"/>
        <v>0</v>
      </c>
      <c r="AH1688" s="171">
        <f t="shared" si="13"/>
        <v>1</v>
      </c>
      <c r="AI1688" s="200">
        <f t="shared" si="14"/>
        <v>0</v>
      </c>
      <c r="AJ1688" s="200">
        <f t="shared" si="8474"/>
        <v>0</v>
      </c>
      <c r="AK1688" s="201">
        <f t="shared" ref="AK1688:AS1688" si="8525">countif($D1688,"*"&amp;AK$2&amp;"*")</f>
        <v>0</v>
      </c>
      <c r="AL1688" s="201">
        <f t="shared" si="8525"/>
        <v>0</v>
      </c>
      <c r="AM1688" s="201">
        <f t="shared" si="8525"/>
        <v>0</v>
      </c>
      <c r="AN1688" s="201">
        <f t="shared" si="8525"/>
        <v>0</v>
      </c>
      <c r="AO1688" s="201">
        <f t="shared" si="8525"/>
        <v>0</v>
      </c>
      <c r="AP1688" s="201">
        <f t="shared" si="8525"/>
        <v>0</v>
      </c>
      <c r="AQ1688" s="201">
        <f t="shared" si="8525"/>
        <v>0</v>
      </c>
      <c r="AR1688" s="200">
        <f t="shared" si="8525"/>
        <v>0</v>
      </c>
      <c r="AS1688" s="200">
        <f t="shared" si="8525"/>
        <v>0</v>
      </c>
      <c r="AT1688" s="173">
        <v>0.0</v>
      </c>
      <c r="AU1688" s="200">
        <f t="shared" ref="AU1688:AX1688" si="8526">countif($D1688,"*"&amp;AU$2&amp;"*")</f>
        <v>0</v>
      </c>
      <c r="AV1688" s="200">
        <f t="shared" si="8526"/>
        <v>0</v>
      </c>
      <c r="AW1688" s="200">
        <f t="shared" si="8526"/>
        <v>0</v>
      </c>
      <c r="AX1688" s="200">
        <f t="shared" si="8526"/>
        <v>0</v>
      </c>
      <c r="AY1688" s="202">
        <v>0.0</v>
      </c>
      <c r="AZ1688" s="200"/>
      <c r="BA1688" s="171" t="str">
        <f t="shared" si="18"/>
        <v/>
      </c>
      <c r="BB1688" s="171" t="str">
        <f t="shared" si="19"/>
        <v/>
      </c>
      <c r="BC1688" s="171" t="str">
        <f t="shared" si="20"/>
        <v/>
      </c>
      <c r="BD1688" s="171" t="str">
        <f t="shared" si="21"/>
        <v/>
      </c>
      <c r="BE1688" s="171" t="str">
        <f t="shared" si="22"/>
        <v>Others</v>
      </c>
      <c r="BF1688" s="171" t="str">
        <f t="shared" si="23"/>
        <v>Others</v>
      </c>
    </row>
    <row r="1689">
      <c r="A1689" s="171">
        <f t="array" ref="A1689">XLOOKUP(C1689,FSE!A:A,FSE!C:C,"XXXXX",0,1)</f>
        <v>2020</v>
      </c>
      <c r="B1689" s="213" t="s">
        <v>5676</v>
      </c>
      <c r="C1689" s="214">
        <v>375.0</v>
      </c>
      <c r="D1689" s="215" t="s">
        <v>4609</v>
      </c>
      <c r="E1689" s="197" t="str">
        <f t="array" ref="E1689">XLOOKUP(C1689,FSE!A:A,FSE!Z:Z,"XXXXX",0,1)</f>
        <v>Publicly Available (1)</v>
      </c>
      <c r="F1689" s="213" t="s">
        <v>3394</v>
      </c>
      <c r="G1689" s="163" t="str">
        <f t="array" ref="G1689">IF(B1689="ICSE",IF(COUNTIFS(B:B,B1689,C:C,C1689)=XLOOKUP(C1689,ICSE!A:A,ICSE!AA:AA,"ERROR",0,1),"OK","ERROR"),IF(B1689="FSE",IF(COUNTIFS(B:B,B1689,C:C,C1689)=XLOOKUP(C1689,FSE!A:A,FSE!AA:AA,"ERROR",0,1),"OK","ERROR")))</f>
        <v>OK</v>
      </c>
      <c r="H1689" s="199">
        <f t="shared" ref="H1689:O1689" si="8527">countif($D1689,"*"&amp;H$2&amp;"*")</f>
        <v>0</v>
      </c>
      <c r="I1689" s="200">
        <f t="shared" si="8527"/>
        <v>0</v>
      </c>
      <c r="J1689" s="200">
        <f t="shared" si="8527"/>
        <v>0</v>
      </c>
      <c r="K1689" s="200">
        <f t="shared" si="8527"/>
        <v>0</v>
      </c>
      <c r="L1689" s="200">
        <f t="shared" si="8527"/>
        <v>0</v>
      </c>
      <c r="M1689" s="200">
        <f t="shared" si="8527"/>
        <v>0</v>
      </c>
      <c r="N1689" s="200">
        <f t="shared" si="8527"/>
        <v>0</v>
      </c>
      <c r="O1689" s="200">
        <f t="shared" si="8527"/>
        <v>0</v>
      </c>
      <c r="P1689" s="200">
        <f t="shared" si="9"/>
        <v>0</v>
      </c>
      <c r="Q1689" s="200">
        <f t="shared" ref="Q1689:AC1689" si="8528">countif($D1689,"*"&amp;Q$2&amp;"*")</f>
        <v>0</v>
      </c>
      <c r="R1689" s="200">
        <f t="shared" si="8528"/>
        <v>0</v>
      </c>
      <c r="S1689" s="200">
        <f t="shared" si="8528"/>
        <v>0</v>
      </c>
      <c r="T1689" s="200">
        <f t="shared" si="8528"/>
        <v>0</v>
      </c>
      <c r="U1689" s="200">
        <f t="shared" si="8528"/>
        <v>0</v>
      </c>
      <c r="V1689" s="200">
        <f t="shared" si="8528"/>
        <v>0</v>
      </c>
      <c r="W1689" s="200">
        <f t="shared" si="8528"/>
        <v>0</v>
      </c>
      <c r="X1689" s="200">
        <f t="shared" si="8528"/>
        <v>0</v>
      </c>
      <c r="Y1689" s="200">
        <f t="shared" si="8528"/>
        <v>0</v>
      </c>
      <c r="Z1689" s="200">
        <f t="shared" si="8528"/>
        <v>0</v>
      </c>
      <c r="AA1689" s="200">
        <f t="shared" si="8528"/>
        <v>1</v>
      </c>
      <c r="AB1689" s="200">
        <f t="shared" si="8528"/>
        <v>0</v>
      </c>
      <c r="AC1689" s="200">
        <f t="shared" si="8528"/>
        <v>0</v>
      </c>
      <c r="AD1689" s="200">
        <f t="shared" si="11"/>
        <v>0</v>
      </c>
      <c r="AE1689" s="200">
        <f t="shared" ref="AE1689:AG1689" si="8529">countif($D1689,"*"&amp;AE$2&amp;"*")</f>
        <v>0</v>
      </c>
      <c r="AF1689" s="200">
        <f t="shared" si="8529"/>
        <v>0</v>
      </c>
      <c r="AG1689" s="200">
        <f t="shared" si="8529"/>
        <v>0</v>
      </c>
      <c r="AH1689" s="171">
        <f t="shared" si="13"/>
        <v>0</v>
      </c>
      <c r="AI1689" s="200">
        <f t="shared" si="14"/>
        <v>0</v>
      </c>
      <c r="AJ1689" s="200">
        <f t="shared" si="8474"/>
        <v>0</v>
      </c>
      <c r="AK1689" s="201">
        <f t="shared" ref="AK1689:AS1689" si="8530">countif($D1689,"*"&amp;AK$2&amp;"*")</f>
        <v>0</v>
      </c>
      <c r="AL1689" s="201">
        <f t="shared" si="8530"/>
        <v>0</v>
      </c>
      <c r="AM1689" s="201">
        <f t="shared" si="8530"/>
        <v>0</v>
      </c>
      <c r="AN1689" s="201">
        <f t="shared" si="8530"/>
        <v>0</v>
      </c>
      <c r="AO1689" s="201">
        <f t="shared" si="8530"/>
        <v>0</v>
      </c>
      <c r="AP1689" s="201">
        <f t="shared" si="8530"/>
        <v>0</v>
      </c>
      <c r="AQ1689" s="201">
        <f t="shared" si="8530"/>
        <v>0</v>
      </c>
      <c r="AR1689" s="200">
        <f t="shared" si="8530"/>
        <v>0</v>
      </c>
      <c r="AS1689" s="200">
        <f t="shared" si="8530"/>
        <v>0</v>
      </c>
      <c r="AT1689" s="173">
        <v>0.0</v>
      </c>
      <c r="AU1689" s="200">
        <f t="shared" ref="AU1689:AX1689" si="8531">countif($D1689,"*"&amp;AU$2&amp;"*")</f>
        <v>0</v>
      </c>
      <c r="AV1689" s="200">
        <f t="shared" si="8531"/>
        <v>0</v>
      </c>
      <c r="AW1689" s="200">
        <f t="shared" si="8531"/>
        <v>0</v>
      </c>
      <c r="AX1689" s="200">
        <f t="shared" si="8531"/>
        <v>0</v>
      </c>
      <c r="AY1689" s="202">
        <v>0.0</v>
      </c>
      <c r="AZ1689" s="200"/>
      <c r="BA1689" s="171" t="str">
        <f t="shared" si="18"/>
        <v/>
      </c>
      <c r="BB1689" s="171" t="str">
        <f t="shared" si="19"/>
        <v/>
      </c>
      <c r="BC1689" s="171" t="str">
        <f t="shared" si="20"/>
        <v>General-purpose</v>
      </c>
      <c r="BD1689" s="171" t="str">
        <f t="shared" si="21"/>
        <v/>
      </c>
      <c r="BE1689" s="171" t="str">
        <f t="shared" si="22"/>
        <v/>
      </c>
      <c r="BF1689" s="171" t="str">
        <f t="shared" si="23"/>
        <v>General-purpose</v>
      </c>
    </row>
    <row r="1690">
      <c r="A1690" s="171">
        <f t="array" ref="A1690">XLOOKUP(C1690,FSE!A:A,FSE!C:C,"XXXXX",0,1)</f>
        <v>2020</v>
      </c>
      <c r="B1690" s="213" t="s">
        <v>5676</v>
      </c>
      <c r="C1690" s="219">
        <v>376.0</v>
      </c>
      <c r="D1690" s="217" t="s">
        <v>6377</v>
      </c>
      <c r="E1690" s="197" t="str">
        <f t="array" ref="E1690">XLOOKUP(C1690,FSE!A:A,FSE!Z:Z,"XXXXX",0,1)</f>
        <v>Publicly Available (3)</v>
      </c>
      <c r="F1690" s="213" t="s">
        <v>3394</v>
      </c>
      <c r="G1690" s="163" t="str">
        <f t="array" ref="G1690">IF(B1690="ICSE",IF(COUNTIFS(B:B,B1690,C:C,C1690)=XLOOKUP(C1690,ICSE!A:A,ICSE!AA:AA,"ERROR",0,1),"OK","ERROR"),IF(B1690="FSE",IF(COUNTIFS(B:B,B1690,C:C,C1690)=XLOOKUP(C1690,FSE!A:A,FSE!AA:AA,"ERROR",0,1),"OK","ERROR")))</f>
        <v>OK</v>
      </c>
      <c r="H1690" s="199">
        <f t="shared" ref="H1690:O1690" si="8532">countif($D1690,"*"&amp;H$2&amp;"*")</f>
        <v>0</v>
      </c>
      <c r="I1690" s="200">
        <f t="shared" si="8532"/>
        <v>0</v>
      </c>
      <c r="J1690" s="200">
        <f t="shared" si="8532"/>
        <v>0</v>
      </c>
      <c r="K1690" s="200">
        <f t="shared" si="8532"/>
        <v>0</v>
      </c>
      <c r="L1690" s="200">
        <f t="shared" si="8532"/>
        <v>0</v>
      </c>
      <c r="M1690" s="200">
        <f t="shared" si="8532"/>
        <v>0</v>
      </c>
      <c r="N1690" s="200">
        <f t="shared" si="8532"/>
        <v>0</v>
      </c>
      <c r="O1690" s="200">
        <f t="shared" si="8532"/>
        <v>0</v>
      </c>
      <c r="P1690" s="200">
        <f t="shared" si="9"/>
        <v>0</v>
      </c>
      <c r="Q1690" s="200">
        <f t="shared" ref="Q1690:AC1690" si="8533">countif($D1690,"*"&amp;Q$2&amp;"*")</f>
        <v>0</v>
      </c>
      <c r="R1690" s="200">
        <f t="shared" si="8533"/>
        <v>0</v>
      </c>
      <c r="S1690" s="200">
        <f t="shared" si="8533"/>
        <v>0</v>
      </c>
      <c r="T1690" s="200">
        <f t="shared" si="8533"/>
        <v>0</v>
      </c>
      <c r="U1690" s="200">
        <f t="shared" si="8533"/>
        <v>0</v>
      </c>
      <c r="V1690" s="200">
        <f t="shared" si="8533"/>
        <v>0</v>
      </c>
      <c r="W1690" s="200">
        <f t="shared" si="8533"/>
        <v>0</v>
      </c>
      <c r="X1690" s="200">
        <f t="shared" si="8533"/>
        <v>0</v>
      </c>
      <c r="Y1690" s="200">
        <f t="shared" si="8533"/>
        <v>0</v>
      </c>
      <c r="Z1690" s="200">
        <f t="shared" si="8533"/>
        <v>0</v>
      </c>
      <c r="AA1690" s="200">
        <f t="shared" si="8533"/>
        <v>0</v>
      </c>
      <c r="AB1690" s="200">
        <f t="shared" si="8533"/>
        <v>0</v>
      </c>
      <c r="AC1690" s="200">
        <f t="shared" si="8533"/>
        <v>0</v>
      </c>
      <c r="AD1690" s="200">
        <f t="shared" si="11"/>
        <v>0</v>
      </c>
      <c r="AE1690" s="200">
        <f t="shared" ref="AE1690:AG1690" si="8534">countif($D1690,"*"&amp;AE$2&amp;"*")</f>
        <v>0</v>
      </c>
      <c r="AF1690" s="200">
        <f t="shared" si="8534"/>
        <v>0</v>
      </c>
      <c r="AG1690" s="200">
        <f t="shared" si="8534"/>
        <v>0</v>
      </c>
      <c r="AH1690" s="171">
        <f t="shared" si="13"/>
        <v>1</v>
      </c>
      <c r="AI1690" s="200">
        <f t="shared" si="14"/>
        <v>0</v>
      </c>
      <c r="AJ1690" s="200">
        <f t="shared" si="8474"/>
        <v>0</v>
      </c>
      <c r="AK1690" s="201">
        <f t="shared" ref="AK1690:AS1690" si="8535">countif($D1690,"*"&amp;AK$2&amp;"*")</f>
        <v>0</v>
      </c>
      <c r="AL1690" s="201">
        <f t="shared" si="8535"/>
        <v>0</v>
      </c>
      <c r="AM1690" s="201">
        <f t="shared" si="8535"/>
        <v>0</v>
      </c>
      <c r="AN1690" s="201">
        <f t="shared" si="8535"/>
        <v>0</v>
      </c>
      <c r="AO1690" s="201">
        <f t="shared" si="8535"/>
        <v>0</v>
      </c>
      <c r="AP1690" s="201">
        <f t="shared" si="8535"/>
        <v>0</v>
      </c>
      <c r="AQ1690" s="201">
        <f t="shared" si="8535"/>
        <v>0</v>
      </c>
      <c r="AR1690" s="200">
        <f t="shared" si="8535"/>
        <v>0</v>
      </c>
      <c r="AS1690" s="200">
        <f t="shared" si="8535"/>
        <v>0</v>
      </c>
      <c r="AT1690" s="173">
        <v>0.0</v>
      </c>
      <c r="AU1690" s="200">
        <f t="shared" ref="AU1690:AX1690" si="8536">countif($D1690,"*"&amp;AU$2&amp;"*")</f>
        <v>0</v>
      </c>
      <c r="AV1690" s="200">
        <f t="shared" si="8536"/>
        <v>0</v>
      </c>
      <c r="AW1690" s="200">
        <f t="shared" si="8536"/>
        <v>0</v>
      </c>
      <c r="AX1690" s="200">
        <f t="shared" si="8536"/>
        <v>0</v>
      </c>
      <c r="AY1690" s="202">
        <v>0.0</v>
      </c>
      <c r="AZ1690" s="200"/>
      <c r="BA1690" s="171" t="str">
        <f t="shared" si="18"/>
        <v/>
      </c>
      <c r="BB1690" s="171" t="str">
        <f t="shared" si="19"/>
        <v/>
      </c>
      <c r="BC1690" s="171" t="str">
        <f t="shared" si="20"/>
        <v/>
      </c>
      <c r="BD1690" s="171" t="str">
        <f t="shared" si="21"/>
        <v/>
      </c>
      <c r="BE1690" s="171" t="str">
        <f t="shared" si="22"/>
        <v>Others</v>
      </c>
      <c r="BF1690" s="171" t="str">
        <f t="shared" si="23"/>
        <v>Others</v>
      </c>
    </row>
    <row r="1691">
      <c r="A1691" s="171">
        <f t="array" ref="A1691">XLOOKUP(C1691,FSE!A:A,FSE!C:C,"XXXXX",0,1)</f>
        <v>2020</v>
      </c>
      <c r="B1691" s="213" t="s">
        <v>5676</v>
      </c>
      <c r="C1691" s="214">
        <v>376.0</v>
      </c>
      <c r="D1691" s="215" t="s">
        <v>6378</v>
      </c>
      <c r="E1691" s="197" t="str">
        <f t="array" ref="E1691">XLOOKUP(C1691,FSE!A:A,FSE!Z:Z,"XXXXX",0,1)</f>
        <v>Publicly Available (3)</v>
      </c>
      <c r="F1691" s="213" t="s">
        <v>3394</v>
      </c>
      <c r="G1691" s="163" t="str">
        <f t="array" ref="G1691">IF(B1691="ICSE",IF(COUNTIFS(B:B,B1691,C:C,C1691)=XLOOKUP(C1691,ICSE!A:A,ICSE!AA:AA,"ERROR",0,1),"OK","ERROR"),IF(B1691="FSE",IF(COUNTIFS(B:B,B1691,C:C,C1691)=XLOOKUP(C1691,FSE!A:A,FSE!AA:AA,"ERROR",0,1),"OK","ERROR")))</f>
        <v>OK</v>
      </c>
      <c r="H1691" s="199">
        <f t="shared" ref="H1691:O1691" si="8537">countif($D1691,"*"&amp;H$2&amp;"*")</f>
        <v>1</v>
      </c>
      <c r="I1691" s="200">
        <f t="shared" si="8537"/>
        <v>0</v>
      </c>
      <c r="J1691" s="200">
        <f t="shared" si="8537"/>
        <v>0</v>
      </c>
      <c r="K1691" s="200">
        <f t="shared" si="8537"/>
        <v>0</v>
      </c>
      <c r="L1691" s="200">
        <f t="shared" si="8537"/>
        <v>0</v>
      </c>
      <c r="M1691" s="200">
        <f t="shared" si="8537"/>
        <v>0</v>
      </c>
      <c r="N1691" s="200">
        <f t="shared" si="8537"/>
        <v>0</v>
      </c>
      <c r="O1691" s="200">
        <f t="shared" si="8537"/>
        <v>0</v>
      </c>
      <c r="P1691" s="200">
        <f t="shared" si="9"/>
        <v>0</v>
      </c>
      <c r="Q1691" s="200">
        <f t="shared" ref="Q1691:AC1691" si="8538">countif($D1691,"*"&amp;Q$2&amp;"*")</f>
        <v>0</v>
      </c>
      <c r="R1691" s="200">
        <f t="shared" si="8538"/>
        <v>0</v>
      </c>
      <c r="S1691" s="200">
        <f t="shared" si="8538"/>
        <v>0</v>
      </c>
      <c r="T1691" s="200">
        <f t="shared" si="8538"/>
        <v>0</v>
      </c>
      <c r="U1691" s="200">
        <f t="shared" si="8538"/>
        <v>0</v>
      </c>
      <c r="V1691" s="200">
        <f t="shared" si="8538"/>
        <v>0</v>
      </c>
      <c r="W1691" s="200">
        <f t="shared" si="8538"/>
        <v>0</v>
      </c>
      <c r="X1691" s="200">
        <f t="shared" si="8538"/>
        <v>0</v>
      </c>
      <c r="Y1691" s="200">
        <f t="shared" si="8538"/>
        <v>0</v>
      </c>
      <c r="Z1691" s="200">
        <f t="shared" si="8538"/>
        <v>0</v>
      </c>
      <c r="AA1691" s="200">
        <f t="shared" si="8538"/>
        <v>0</v>
      </c>
      <c r="AB1691" s="200">
        <f t="shared" si="8538"/>
        <v>0</v>
      </c>
      <c r="AC1691" s="200">
        <f t="shared" si="8538"/>
        <v>0</v>
      </c>
      <c r="AD1691" s="200">
        <f t="shared" si="11"/>
        <v>0</v>
      </c>
      <c r="AE1691" s="200">
        <f t="shared" ref="AE1691:AG1691" si="8539">countif($D1691,"*"&amp;AE$2&amp;"*")</f>
        <v>0</v>
      </c>
      <c r="AF1691" s="200">
        <f t="shared" si="8539"/>
        <v>0</v>
      </c>
      <c r="AG1691" s="200">
        <f t="shared" si="8539"/>
        <v>0</v>
      </c>
      <c r="AH1691" s="171">
        <f t="shared" si="13"/>
        <v>0</v>
      </c>
      <c r="AI1691" s="200">
        <f t="shared" si="14"/>
        <v>1</v>
      </c>
      <c r="AJ1691" s="200">
        <f t="shared" si="8474"/>
        <v>0</v>
      </c>
      <c r="AK1691" s="201">
        <f t="shared" ref="AK1691:AS1691" si="8540">countif($D1691,"*"&amp;AK$2&amp;"*")</f>
        <v>0</v>
      </c>
      <c r="AL1691" s="201">
        <f t="shared" si="8540"/>
        <v>0</v>
      </c>
      <c r="AM1691" s="201">
        <f t="shared" si="8540"/>
        <v>0</v>
      </c>
      <c r="AN1691" s="201">
        <f t="shared" si="8540"/>
        <v>0</v>
      </c>
      <c r="AO1691" s="201">
        <f t="shared" si="8540"/>
        <v>0</v>
      </c>
      <c r="AP1691" s="201">
        <f t="shared" si="8540"/>
        <v>0</v>
      </c>
      <c r="AQ1691" s="201">
        <f t="shared" si="8540"/>
        <v>0</v>
      </c>
      <c r="AR1691" s="200">
        <f t="shared" si="8540"/>
        <v>0</v>
      </c>
      <c r="AS1691" s="200">
        <f t="shared" si="8540"/>
        <v>0</v>
      </c>
      <c r="AT1691" s="173">
        <v>0.0</v>
      </c>
      <c r="AU1691" s="200">
        <f t="shared" ref="AU1691:AX1691" si="8541">countif($D1691,"*"&amp;AU$2&amp;"*")</f>
        <v>0</v>
      </c>
      <c r="AV1691" s="200">
        <f t="shared" si="8541"/>
        <v>0</v>
      </c>
      <c r="AW1691" s="200">
        <f t="shared" si="8541"/>
        <v>0</v>
      </c>
      <c r="AX1691" s="200">
        <f t="shared" si="8541"/>
        <v>1</v>
      </c>
      <c r="AY1691" s="202">
        <v>0.0</v>
      </c>
      <c r="AZ1691" s="200"/>
      <c r="BA1691" s="171" t="str">
        <f t="shared" si="18"/>
        <v>Archival</v>
      </c>
      <c r="BB1691" s="171" t="str">
        <f t="shared" si="19"/>
        <v/>
      </c>
      <c r="BC1691" s="171" t="str">
        <f t="shared" si="20"/>
        <v/>
      </c>
      <c r="BD1691" s="171" t="str">
        <f t="shared" si="21"/>
        <v/>
      </c>
      <c r="BE1691" s="171" t="str">
        <f t="shared" si="22"/>
        <v/>
      </c>
      <c r="BF1691" s="171" t="str">
        <f t="shared" si="23"/>
        <v>Archival</v>
      </c>
    </row>
    <row r="1692">
      <c r="A1692" s="171">
        <f t="array" ref="A1692">XLOOKUP(C1692,FSE!A:A,FSE!C:C,"XXXXX",0,1)</f>
        <v>2020</v>
      </c>
      <c r="B1692" s="213" t="s">
        <v>5676</v>
      </c>
      <c r="C1692" s="214">
        <v>376.0</v>
      </c>
      <c r="D1692" s="215" t="s">
        <v>6379</v>
      </c>
      <c r="E1692" s="197" t="str">
        <f t="array" ref="E1692">XLOOKUP(C1692,FSE!A:A,FSE!Z:Z,"XXXXX",0,1)</f>
        <v>Publicly Available (3)</v>
      </c>
      <c r="F1692" s="213" t="s">
        <v>3394</v>
      </c>
      <c r="G1692" s="163" t="str">
        <f t="array" ref="G1692">IF(B1692="ICSE",IF(COUNTIFS(B:B,B1692,C:C,C1692)=XLOOKUP(C1692,ICSE!A:A,ICSE!AA:AA,"ERROR",0,1),"OK","ERROR"),IF(B1692="FSE",IF(COUNTIFS(B:B,B1692,C:C,C1692)=XLOOKUP(C1692,FSE!A:A,FSE!AA:AA,"ERROR",0,1),"OK","ERROR")))</f>
        <v>OK</v>
      </c>
      <c r="H1692" s="199">
        <f t="shared" ref="H1692:O1692" si="8542">countif($D1692,"*"&amp;H$2&amp;"*")</f>
        <v>1</v>
      </c>
      <c r="I1692" s="200">
        <f t="shared" si="8542"/>
        <v>0</v>
      </c>
      <c r="J1692" s="200">
        <f t="shared" si="8542"/>
        <v>0</v>
      </c>
      <c r="K1692" s="200">
        <f t="shared" si="8542"/>
        <v>0</v>
      </c>
      <c r="L1692" s="200">
        <f t="shared" si="8542"/>
        <v>0</v>
      </c>
      <c r="M1692" s="200">
        <f t="shared" si="8542"/>
        <v>0</v>
      </c>
      <c r="N1692" s="200">
        <f t="shared" si="8542"/>
        <v>0</v>
      </c>
      <c r="O1692" s="200">
        <f t="shared" si="8542"/>
        <v>0</v>
      </c>
      <c r="P1692" s="200">
        <f t="shared" si="9"/>
        <v>0</v>
      </c>
      <c r="Q1692" s="200">
        <f t="shared" ref="Q1692:AC1692" si="8543">countif($D1692,"*"&amp;Q$2&amp;"*")</f>
        <v>0</v>
      </c>
      <c r="R1692" s="200">
        <f t="shared" si="8543"/>
        <v>0</v>
      </c>
      <c r="S1692" s="200">
        <f t="shared" si="8543"/>
        <v>0</v>
      </c>
      <c r="T1692" s="200">
        <f t="shared" si="8543"/>
        <v>0</v>
      </c>
      <c r="U1692" s="200">
        <f t="shared" si="8543"/>
        <v>0</v>
      </c>
      <c r="V1692" s="200">
        <f t="shared" si="8543"/>
        <v>0</v>
      </c>
      <c r="W1692" s="200">
        <f t="shared" si="8543"/>
        <v>0</v>
      </c>
      <c r="X1692" s="200">
        <f t="shared" si="8543"/>
        <v>0</v>
      </c>
      <c r="Y1692" s="200">
        <f t="shared" si="8543"/>
        <v>0</v>
      </c>
      <c r="Z1692" s="200">
        <f t="shared" si="8543"/>
        <v>0</v>
      </c>
      <c r="AA1692" s="200">
        <f t="shared" si="8543"/>
        <v>0</v>
      </c>
      <c r="AB1692" s="200">
        <f t="shared" si="8543"/>
        <v>0</v>
      </c>
      <c r="AC1692" s="200">
        <f t="shared" si="8543"/>
        <v>0</v>
      </c>
      <c r="AD1692" s="200">
        <f t="shared" si="11"/>
        <v>0</v>
      </c>
      <c r="AE1692" s="200">
        <f t="shared" ref="AE1692:AG1692" si="8544">countif($D1692,"*"&amp;AE$2&amp;"*")</f>
        <v>0</v>
      </c>
      <c r="AF1692" s="200">
        <f t="shared" si="8544"/>
        <v>0</v>
      </c>
      <c r="AG1692" s="200">
        <f t="shared" si="8544"/>
        <v>0</v>
      </c>
      <c r="AH1692" s="171">
        <f t="shared" si="13"/>
        <v>0</v>
      </c>
      <c r="AI1692" s="200">
        <f t="shared" si="14"/>
        <v>1</v>
      </c>
      <c r="AJ1692" s="200">
        <f t="shared" si="8474"/>
        <v>0</v>
      </c>
      <c r="AK1692" s="201">
        <f t="shared" ref="AK1692:AS1692" si="8545">countif($D1692,"*"&amp;AK$2&amp;"*")</f>
        <v>0</v>
      </c>
      <c r="AL1692" s="201">
        <f t="shared" si="8545"/>
        <v>0</v>
      </c>
      <c r="AM1692" s="201">
        <f t="shared" si="8545"/>
        <v>0</v>
      </c>
      <c r="AN1692" s="201">
        <f t="shared" si="8545"/>
        <v>0</v>
      </c>
      <c r="AO1692" s="201">
        <f t="shared" si="8545"/>
        <v>0</v>
      </c>
      <c r="AP1692" s="201">
        <f t="shared" si="8545"/>
        <v>0</v>
      </c>
      <c r="AQ1692" s="201">
        <f t="shared" si="8545"/>
        <v>0</v>
      </c>
      <c r="AR1692" s="200">
        <f t="shared" si="8545"/>
        <v>0</v>
      </c>
      <c r="AS1692" s="200">
        <f t="shared" si="8545"/>
        <v>0</v>
      </c>
      <c r="AT1692" s="173">
        <v>0.0</v>
      </c>
      <c r="AU1692" s="200">
        <f t="shared" ref="AU1692:AX1692" si="8546">countif($D1692,"*"&amp;AU$2&amp;"*")</f>
        <v>0</v>
      </c>
      <c r="AV1692" s="200">
        <f t="shared" si="8546"/>
        <v>0</v>
      </c>
      <c r="AW1692" s="200">
        <f t="shared" si="8546"/>
        <v>0</v>
      </c>
      <c r="AX1692" s="200">
        <f t="shared" si="8546"/>
        <v>1</v>
      </c>
      <c r="AY1692" s="202">
        <v>0.0</v>
      </c>
      <c r="AZ1692" s="200"/>
      <c r="BA1692" s="171" t="str">
        <f t="shared" si="18"/>
        <v>Archival</v>
      </c>
      <c r="BB1692" s="171" t="str">
        <f t="shared" si="19"/>
        <v/>
      </c>
      <c r="BC1692" s="171" t="str">
        <f t="shared" si="20"/>
        <v/>
      </c>
      <c r="BD1692" s="171" t="str">
        <f t="shared" si="21"/>
        <v/>
      </c>
      <c r="BE1692" s="171" t="str">
        <f t="shared" si="22"/>
        <v/>
      </c>
      <c r="BF1692" s="171" t="str">
        <f t="shared" si="23"/>
        <v>Archival</v>
      </c>
    </row>
    <row r="1693">
      <c r="A1693" s="171">
        <f t="array" ref="A1693">XLOOKUP(C1693,FSE!A:A,FSE!C:C,"XXXXX",0,1)</f>
        <v>2020</v>
      </c>
      <c r="B1693" s="213" t="s">
        <v>5676</v>
      </c>
      <c r="C1693" s="214">
        <v>377.0</v>
      </c>
      <c r="D1693" s="215" t="s">
        <v>4616</v>
      </c>
      <c r="E1693" s="197" t="str">
        <f t="array" ref="E1693">XLOOKUP(C1693,FSE!A:A,FSE!Z:Z,"XXXXX",0,1)</f>
        <v>Publicly Available (1)</v>
      </c>
      <c r="F1693" s="213" t="s">
        <v>3394</v>
      </c>
      <c r="G1693" s="163" t="str">
        <f t="array" ref="G1693">IF(B1693="ICSE",IF(COUNTIFS(B:B,B1693,C:C,C1693)=XLOOKUP(C1693,ICSE!A:A,ICSE!AA:AA,"ERROR",0,1),"OK","ERROR"),IF(B1693="FSE",IF(COUNTIFS(B:B,B1693,C:C,C1693)=XLOOKUP(C1693,FSE!A:A,FSE!AA:AA,"ERROR",0,1),"OK","ERROR")))</f>
        <v>OK</v>
      </c>
      <c r="H1693" s="199">
        <f t="shared" ref="H1693:O1693" si="8547">countif($D1693,"*"&amp;H$2&amp;"*")</f>
        <v>1</v>
      </c>
      <c r="I1693" s="200">
        <f t="shared" si="8547"/>
        <v>0</v>
      </c>
      <c r="J1693" s="200">
        <f t="shared" si="8547"/>
        <v>0</v>
      </c>
      <c r="K1693" s="200">
        <f t="shared" si="8547"/>
        <v>0</v>
      </c>
      <c r="L1693" s="200">
        <f t="shared" si="8547"/>
        <v>0</v>
      </c>
      <c r="M1693" s="200">
        <f t="shared" si="8547"/>
        <v>0</v>
      </c>
      <c r="N1693" s="200">
        <f t="shared" si="8547"/>
        <v>0</v>
      </c>
      <c r="O1693" s="200">
        <f t="shared" si="8547"/>
        <v>0</v>
      </c>
      <c r="P1693" s="200">
        <f t="shared" si="9"/>
        <v>0</v>
      </c>
      <c r="Q1693" s="200">
        <f t="shared" ref="Q1693:AC1693" si="8548">countif($D1693,"*"&amp;Q$2&amp;"*")</f>
        <v>0</v>
      </c>
      <c r="R1693" s="200">
        <f t="shared" si="8548"/>
        <v>0</v>
      </c>
      <c r="S1693" s="200">
        <f t="shared" si="8548"/>
        <v>0</v>
      </c>
      <c r="T1693" s="200">
        <f t="shared" si="8548"/>
        <v>0</v>
      </c>
      <c r="U1693" s="200">
        <f t="shared" si="8548"/>
        <v>0</v>
      </c>
      <c r="V1693" s="200">
        <f t="shared" si="8548"/>
        <v>0</v>
      </c>
      <c r="W1693" s="200">
        <f t="shared" si="8548"/>
        <v>0</v>
      </c>
      <c r="X1693" s="200">
        <f t="shared" si="8548"/>
        <v>0</v>
      </c>
      <c r="Y1693" s="200">
        <f t="shared" si="8548"/>
        <v>0</v>
      </c>
      <c r="Z1693" s="200">
        <f t="shared" si="8548"/>
        <v>0</v>
      </c>
      <c r="AA1693" s="200">
        <f t="shared" si="8548"/>
        <v>0</v>
      </c>
      <c r="AB1693" s="200">
        <f t="shared" si="8548"/>
        <v>0</v>
      </c>
      <c r="AC1693" s="200">
        <f t="shared" si="8548"/>
        <v>0</v>
      </c>
      <c r="AD1693" s="200">
        <f t="shared" si="11"/>
        <v>0</v>
      </c>
      <c r="AE1693" s="200">
        <f t="shared" ref="AE1693:AG1693" si="8549">countif($D1693,"*"&amp;AE$2&amp;"*")</f>
        <v>0</v>
      </c>
      <c r="AF1693" s="200">
        <f t="shared" si="8549"/>
        <v>0</v>
      </c>
      <c r="AG1693" s="200">
        <f t="shared" si="8549"/>
        <v>0</v>
      </c>
      <c r="AH1693" s="171">
        <f t="shared" si="13"/>
        <v>0</v>
      </c>
      <c r="AI1693" s="200">
        <f t="shared" si="14"/>
        <v>1</v>
      </c>
      <c r="AJ1693" s="200">
        <f t="shared" si="8474"/>
        <v>0</v>
      </c>
      <c r="AK1693" s="201">
        <f t="shared" ref="AK1693:AS1693" si="8550">countif($D1693,"*"&amp;AK$2&amp;"*")</f>
        <v>0</v>
      </c>
      <c r="AL1693" s="201">
        <f t="shared" si="8550"/>
        <v>0</v>
      </c>
      <c r="AM1693" s="201">
        <f t="shared" si="8550"/>
        <v>0</v>
      </c>
      <c r="AN1693" s="201">
        <f t="shared" si="8550"/>
        <v>0</v>
      </c>
      <c r="AO1693" s="201">
        <f t="shared" si="8550"/>
        <v>0</v>
      </c>
      <c r="AP1693" s="201">
        <f t="shared" si="8550"/>
        <v>0</v>
      </c>
      <c r="AQ1693" s="201">
        <f t="shared" si="8550"/>
        <v>0</v>
      </c>
      <c r="AR1693" s="200">
        <f t="shared" si="8550"/>
        <v>0</v>
      </c>
      <c r="AS1693" s="200">
        <f t="shared" si="8550"/>
        <v>0</v>
      </c>
      <c r="AT1693" s="173">
        <v>0.0</v>
      </c>
      <c r="AU1693" s="200">
        <f t="shared" ref="AU1693:AX1693" si="8551">countif($D1693,"*"&amp;AU$2&amp;"*")</f>
        <v>0</v>
      </c>
      <c r="AV1693" s="200">
        <f t="shared" si="8551"/>
        <v>0</v>
      </c>
      <c r="AW1693" s="200">
        <f t="shared" si="8551"/>
        <v>0</v>
      </c>
      <c r="AX1693" s="200">
        <f t="shared" si="8551"/>
        <v>1</v>
      </c>
      <c r="AY1693" s="202">
        <v>0.0</v>
      </c>
      <c r="AZ1693" s="200"/>
      <c r="BA1693" s="171" t="str">
        <f t="shared" si="18"/>
        <v>Archival</v>
      </c>
      <c r="BB1693" s="171" t="str">
        <f t="shared" si="19"/>
        <v/>
      </c>
      <c r="BC1693" s="171" t="str">
        <f t="shared" si="20"/>
        <v/>
      </c>
      <c r="BD1693" s="171" t="str">
        <f t="shared" si="21"/>
        <v/>
      </c>
      <c r="BE1693" s="171" t="str">
        <f t="shared" si="22"/>
        <v/>
      </c>
      <c r="BF1693" s="171" t="str">
        <f t="shared" si="23"/>
        <v>Archival</v>
      </c>
    </row>
    <row r="1694">
      <c r="A1694" s="171">
        <f t="array" ref="A1694">XLOOKUP(C1694,FSE!A:A,FSE!C:C,"XXXXX",0,1)</f>
        <v>2020</v>
      </c>
      <c r="B1694" s="213" t="s">
        <v>5676</v>
      </c>
      <c r="C1694" s="219">
        <v>378.0</v>
      </c>
      <c r="D1694" s="217" t="s">
        <v>6380</v>
      </c>
      <c r="E1694" s="197" t="str">
        <f t="array" ref="E1694">XLOOKUP(C1694,FSE!A:A,FSE!Z:Z,"XXXXX",0,1)</f>
        <v>Publicly Available (2)</v>
      </c>
      <c r="F1694" s="213" t="s">
        <v>3394</v>
      </c>
      <c r="G1694" s="163" t="str">
        <f t="array" ref="G1694">IF(B1694="ICSE",IF(COUNTIFS(B:B,B1694,C:C,C1694)=XLOOKUP(C1694,ICSE!A:A,ICSE!AA:AA,"ERROR",0,1),"OK","ERROR"),IF(B1694="FSE",IF(COUNTIFS(B:B,B1694,C:C,C1694)=XLOOKUP(C1694,FSE!A:A,FSE!AA:AA,"ERROR",0,1),"OK","ERROR")))</f>
        <v>OK</v>
      </c>
      <c r="H1694" s="199">
        <f t="shared" ref="H1694:O1694" si="8552">countif($D1694,"*"&amp;H$2&amp;"*")</f>
        <v>0</v>
      </c>
      <c r="I1694" s="200">
        <f t="shared" si="8552"/>
        <v>0</v>
      </c>
      <c r="J1694" s="200">
        <f t="shared" si="8552"/>
        <v>0</v>
      </c>
      <c r="K1694" s="200">
        <f t="shared" si="8552"/>
        <v>0</v>
      </c>
      <c r="L1694" s="200">
        <f t="shared" si="8552"/>
        <v>0</v>
      </c>
      <c r="M1694" s="200">
        <f t="shared" si="8552"/>
        <v>0</v>
      </c>
      <c r="N1694" s="200">
        <f t="shared" si="8552"/>
        <v>0</v>
      </c>
      <c r="O1694" s="200">
        <f t="shared" si="8552"/>
        <v>0</v>
      </c>
      <c r="P1694" s="200">
        <f t="shared" si="9"/>
        <v>1</v>
      </c>
      <c r="Q1694" s="200">
        <f t="shared" ref="Q1694:AC1694" si="8553">countif($D1694,"*"&amp;Q$2&amp;"*")</f>
        <v>0</v>
      </c>
      <c r="R1694" s="200">
        <f t="shared" si="8553"/>
        <v>0</v>
      </c>
      <c r="S1694" s="200">
        <f t="shared" si="8553"/>
        <v>0</v>
      </c>
      <c r="T1694" s="200">
        <f t="shared" si="8553"/>
        <v>0</v>
      </c>
      <c r="U1694" s="200">
        <f t="shared" si="8553"/>
        <v>0</v>
      </c>
      <c r="V1694" s="200">
        <f t="shared" si="8553"/>
        <v>0</v>
      </c>
      <c r="W1694" s="200">
        <f t="shared" si="8553"/>
        <v>0</v>
      </c>
      <c r="X1694" s="200">
        <f t="shared" si="8553"/>
        <v>0</v>
      </c>
      <c r="Y1694" s="200">
        <f t="shared" si="8553"/>
        <v>0</v>
      </c>
      <c r="Z1694" s="200">
        <f t="shared" si="8553"/>
        <v>0</v>
      </c>
      <c r="AA1694" s="200">
        <f t="shared" si="8553"/>
        <v>0</v>
      </c>
      <c r="AB1694" s="200">
        <f t="shared" si="8553"/>
        <v>0</v>
      </c>
      <c r="AC1694" s="200">
        <f t="shared" si="8553"/>
        <v>0</v>
      </c>
      <c r="AD1694" s="200">
        <f t="shared" si="11"/>
        <v>0</v>
      </c>
      <c r="AE1694" s="200">
        <f t="shared" ref="AE1694:AG1694" si="8554">countif($D1694,"*"&amp;AE$2&amp;"*")</f>
        <v>0</v>
      </c>
      <c r="AF1694" s="200">
        <f t="shared" si="8554"/>
        <v>0</v>
      </c>
      <c r="AG1694" s="200">
        <f t="shared" si="8554"/>
        <v>0</v>
      </c>
      <c r="AH1694" s="171">
        <f t="shared" si="13"/>
        <v>0</v>
      </c>
      <c r="AI1694" s="200">
        <f t="shared" si="14"/>
        <v>0</v>
      </c>
      <c r="AJ1694" s="200">
        <f t="shared" si="8474"/>
        <v>0</v>
      </c>
      <c r="AK1694" s="201">
        <f t="shared" ref="AK1694:AS1694" si="8555">countif($D1694,"*"&amp;AK$2&amp;"*")</f>
        <v>0</v>
      </c>
      <c r="AL1694" s="201">
        <f t="shared" si="8555"/>
        <v>0</v>
      </c>
      <c r="AM1694" s="201">
        <f t="shared" si="8555"/>
        <v>0</v>
      </c>
      <c r="AN1694" s="201">
        <f t="shared" si="8555"/>
        <v>0</v>
      </c>
      <c r="AO1694" s="201">
        <f t="shared" si="8555"/>
        <v>0</v>
      </c>
      <c r="AP1694" s="201">
        <f t="shared" si="8555"/>
        <v>0</v>
      </c>
      <c r="AQ1694" s="201">
        <f t="shared" si="8555"/>
        <v>0</v>
      </c>
      <c r="AR1694" s="200">
        <f t="shared" si="8555"/>
        <v>0</v>
      </c>
      <c r="AS1694" s="200">
        <f t="shared" si="8555"/>
        <v>0</v>
      </c>
      <c r="AT1694" s="173">
        <v>0.0</v>
      </c>
      <c r="AU1694" s="200">
        <f t="shared" ref="AU1694:AX1694" si="8556">countif($D1694,"*"&amp;AU$2&amp;"*")</f>
        <v>0</v>
      </c>
      <c r="AV1694" s="200">
        <f t="shared" si="8556"/>
        <v>1</v>
      </c>
      <c r="AW1694" s="200">
        <f t="shared" si="8556"/>
        <v>0</v>
      </c>
      <c r="AX1694" s="200">
        <f t="shared" si="8556"/>
        <v>0</v>
      </c>
      <c r="AY1694" s="202">
        <v>0.0</v>
      </c>
      <c r="AZ1694" s="200"/>
      <c r="BA1694" s="171" t="str">
        <f t="shared" si="18"/>
        <v/>
      </c>
      <c r="BB1694" s="171" t="str">
        <f t="shared" si="19"/>
        <v>Code</v>
      </c>
      <c r="BC1694" s="171" t="str">
        <f t="shared" si="20"/>
        <v/>
      </c>
      <c r="BD1694" s="171" t="str">
        <f t="shared" si="21"/>
        <v/>
      </c>
      <c r="BE1694" s="171" t="str">
        <f t="shared" si="22"/>
        <v/>
      </c>
      <c r="BF1694" s="171" t="str">
        <f t="shared" si="23"/>
        <v>Code</v>
      </c>
    </row>
    <row r="1695">
      <c r="A1695" s="171">
        <f t="array" ref="A1695">XLOOKUP(C1695,FSE!A:A,FSE!C:C,"XXXXX",0,1)</f>
        <v>2020</v>
      </c>
      <c r="B1695" s="213" t="s">
        <v>5676</v>
      </c>
      <c r="C1695" s="214">
        <v>378.0</v>
      </c>
      <c r="D1695" s="215" t="s">
        <v>6381</v>
      </c>
      <c r="E1695" s="197" t="str">
        <f t="array" ref="E1695">XLOOKUP(C1695,FSE!A:A,FSE!Z:Z,"XXXXX",0,1)</f>
        <v>Publicly Available (2)</v>
      </c>
      <c r="F1695" s="213" t="s">
        <v>3394</v>
      </c>
      <c r="G1695" s="163" t="str">
        <f t="array" ref="G1695">IF(B1695="ICSE",IF(COUNTIFS(B:B,B1695,C:C,C1695)=XLOOKUP(C1695,ICSE!A:A,ICSE!AA:AA,"ERROR",0,1),"OK","ERROR"),IF(B1695="FSE",IF(COUNTIFS(B:B,B1695,C:C,C1695)=XLOOKUP(C1695,FSE!A:A,FSE!AA:AA,"ERROR",0,1),"OK","ERROR")))</f>
        <v>OK</v>
      </c>
      <c r="H1695" s="199">
        <f t="shared" ref="H1695:O1695" si="8557">countif($D1695,"*"&amp;H$2&amp;"*")</f>
        <v>0</v>
      </c>
      <c r="I1695" s="200">
        <f t="shared" si="8557"/>
        <v>1</v>
      </c>
      <c r="J1695" s="200">
        <f t="shared" si="8557"/>
        <v>0</v>
      </c>
      <c r="K1695" s="200">
        <f t="shared" si="8557"/>
        <v>0</v>
      </c>
      <c r="L1695" s="200">
        <f t="shared" si="8557"/>
        <v>0</v>
      </c>
      <c r="M1695" s="200">
        <f t="shared" si="8557"/>
        <v>0</v>
      </c>
      <c r="N1695" s="200">
        <f t="shared" si="8557"/>
        <v>0</v>
      </c>
      <c r="O1695" s="200">
        <f t="shared" si="8557"/>
        <v>0</v>
      </c>
      <c r="P1695" s="200">
        <f t="shared" si="9"/>
        <v>0</v>
      </c>
      <c r="Q1695" s="200">
        <f t="shared" ref="Q1695:AC1695" si="8558">countif($D1695,"*"&amp;Q$2&amp;"*")</f>
        <v>0</v>
      </c>
      <c r="R1695" s="200">
        <f t="shared" si="8558"/>
        <v>0</v>
      </c>
      <c r="S1695" s="200">
        <f t="shared" si="8558"/>
        <v>0</v>
      </c>
      <c r="T1695" s="200">
        <f t="shared" si="8558"/>
        <v>0</v>
      </c>
      <c r="U1695" s="200">
        <f t="shared" si="8558"/>
        <v>0</v>
      </c>
      <c r="V1695" s="200">
        <f t="shared" si="8558"/>
        <v>0</v>
      </c>
      <c r="W1695" s="200">
        <f t="shared" si="8558"/>
        <v>0</v>
      </c>
      <c r="X1695" s="200">
        <f t="shared" si="8558"/>
        <v>0</v>
      </c>
      <c r="Y1695" s="200">
        <f t="shared" si="8558"/>
        <v>0</v>
      </c>
      <c r="Z1695" s="200">
        <f t="shared" si="8558"/>
        <v>0</v>
      </c>
      <c r="AA1695" s="200">
        <f t="shared" si="8558"/>
        <v>0</v>
      </c>
      <c r="AB1695" s="200">
        <f t="shared" si="8558"/>
        <v>0</v>
      </c>
      <c r="AC1695" s="200">
        <f t="shared" si="8558"/>
        <v>0</v>
      </c>
      <c r="AD1695" s="200">
        <f t="shared" si="11"/>
        <v>0</v>
      </c>
      <c r="AE1695" s="200">
        <f t="shared" ref="AE1695:AG1695" si="8559">countif($D1695,"*"&amp;AE$2&amp;"*")</f>
        <v>0</v>
      </c>
      <c r="AF1695" s="200">
        <f t="shared" si="8559"/>
        <v>0</v>
      </c>
      <c r="AG1695" s="200">
        <f t="shared" si="8559"/>
        <v>0</v>
      </c>
      <c r="AH1695" s="171">
        <f t="shared" si="13"/>
        <v>0</v>
      </c>
      <c r="AI1695" s="200">
        <f t="shared" si="14"/>
        <v>1</v>
      </c>
      <c r="AJ1695" s="200">
        <f t="shared" si="8474"/>
        <v>0</v>
      </c>
      <c r="AK1695" s="201">
        <f t="shared" ref="AK1695:AS1695" si="8560">countif($D1695,"*"&amp;AK$2&amp;"*")</f>
        <v>0</v>
      </c>
      <c r="AL1695" s="201">
        <f t="shared" si="8560"/>
        <v>0</v>
      </c>
      <c r="AM1695" s="201">
        <f t="shared" si="8560"/>
        <v>0</v>
      </c>
      <c r="AN1695" s="201">
        <f t="shared" si="8560"/>
        <v>0</v>
      </c>
      <c r="AO1695" s="201">
        <f t="shared" si="8560"/>
        <v>0</v>
      </c>
      <c r="AP1695" s="201">
        <f t="shared" si="8560"/>
        <v>0</v>
      </c>
      <c r="AQ1695" s="201">
        <f t="shared" si="8560"/>
        <v>0</v>
      </c>
      <c r="AR1695" s="200">
        <f t="shared" si="8560"/>
        <v>0</v>
      </c>
      <c r="AS1695" s="200">
        <f t="shared" si="8560"/>
        <v>0</v>
      </c>
      <c r="AT1695" s="173">
        <v>0.0</v>
      </c>
      <c r="AU1695" s="200">
        <f t="shared" ref="AU1695:AX1695" si="8561">countif($D1695,"*"&amp;AU$2&amp;"*")</f>
        <v>0</v>
      </c>
      <c r="AV1695" s="200">
        <f t="shared" si="8561"/>
        <v>0</v>
      </c>
      <c r="AW1695" s="200">
        <f t="shared" si="8561"/>
        <v>0</v>
      </c>
      <c r="AX1695" s="200">
        <f t="shared" si="8561"/>
        <v>0</v>
      </c>
      <c r="AY1695" s="204">
        <v>1.0</v>
      </c>
      <c r="AZ1695" s="200"/>
      <c r="BA1695" s="171" t="str">
        <f t="shared" si="18"/>
        <v>Archival</v>
      </c>
      <c r="BB1695" s="171" t="str">
        <f t="shared" si="19"/>
        <v/>
      </c>
      <c r="BC1695" s="171" t="str">
        <f t="shared" si="20"/>
        <v/>
      </c>
      <c r="BD1695" s="171" t="str">
        <f t="shared" si="21"/>
        <v/>
      </c>
      <c r="BE1695" s="171" t="str">
        <f t="shared" si="22"/>
        <v/>
      </c>
      <c r="BF1695" s="171" t="str">
        <f t="shared" si="23"/>
        <v>Archival</v>
      </c>
    </row>
    <row r="1696">
      <c r="A1696" s="171">
        <f t="array" ref="A1696">XLOOKUP(C1696,FSE!A:A,FSE!C:C,"XXXXX",0,1)</f>
        <v>2020</v>
      </c>
      <c r="B1696" s="213" t="s">
        <v>5676</v>
      </c>
      <c r="C1696" s="214">
        <v>379.0</v>
      </c>
      <c r="D1696" s="217" t="s">
        <v>6382</v>
      </c>
      <c r="E1696" s="197" t="str">
        <f t="array" ref="E1696">XLOOKUP(C1696,FSE!A:A,FSE!Z:Z,"XXXXX",0,1)</f>
        <v>Publicly Available (1)</v>
      </c>
      <c r="F1696" s="213" t="s">
        <v>3394</v>
      </c>
      <c r="G1696" s="163" t="str">
        <f t="array" ref="G1696">IF(B1696="ICSE",IF(COUNTIFS(B:B,B1696,C:C,C1696)=XLOOKUP(C1696,ICSE!A:A,ICSE!AA:AA,"ERROR",0,1),"OK","ERROR"),IF(B1696="FSE",IF(COUNTIFS(B:B,B1696,C:C,C1696)=XLOOKUP(C1696,FSE!A:A,FSE!AA:AA,"ERROR",0,1),"OK","ERROR")))</f>
        <v>OK</v>
      </c>
      <c r="H1696" s="199">
        <f t="shared" ref="H1696:O1696" si="8562">countif($D1696,"*"&amp;H$2&amp;"*")</f>
        <v>0</v>
      </c>
      <c r="I1696" s="200">
        <f t="shared" si="8562"/>
        <v>0</v>
      </c>
      <c r="J1696" s="200">
        <f t="shared" si="8562"/>
        <v>0</v>
      </c>
      <c r="K1696" s="200">
        <f t="shared" si="8562"/>
        <v>0</v>
      </c>
      <c r="L1696" s="200">
        <f t="shared" si="8562"/>
        <v>0</v>
      </c>
      <c r="M1696" s="200">
        <f t="shared" si="8562"/>
        <v>0</v>
      </c>
      <c r="N1696" s="200">
        <f t="shared" si="8562"/>
        <v>0</v>
      </c>
      <c r="O1696" s="200">
        <f t="shared" si="8562"/>
        <v>0</v>
      </c>
      <c r="P1696" s="200">
        <f t="shared" si="9"/>
        <v>0</v>
      </c>
      <c r="Q1696" s="200">
        <f t="shared" ref="Q1696:AC1696" si="8563">countif($D1696,"*"&amp;Q$2&amp;"*")</f>
        <v>0</v>
      </c>
      <c r="R1696" s="200">
        <f t="shared" si="8563"/>
        <v>0</v>
      </c>
      <c r="S1696" s="200">
        <f t="shared" si="8563"/>
        <v>0</v>
      </c>
      <c r="T1696" s="200">
        <f t="shared" si="8563"/>
        <v>0</v>
      </c>
      <c r="U1696" s="200">
        <f t="shared" si="8563"/>
        <v>0</v>
      </c>
      <c r="V1696" s="200">
        <f t="shared" si="8563"/>
        <v>0</v>
      </c>
      <c r="W1696" s="200">
        <f t="shared" si="8563"/>
        <v>0</v>
      </c>
      <c r="X1696" s="200">
        <f t="shared" si="8563"/>
        <v>0</v>
      </c>
      <c r="Y1696" s="200">
        <f t="shared" si="8563"/>
        <v>0</v>
      </c>
      <c r="Z1696" s="200">
        <f t="shared" si="8563"/>
        <v>0</v>
      </c>
      <c r="AA1696" s="200">
        <f t="shared" si="8563"/>
        <v>0</v>
      </c>
      <c r="AB1696" s="200">
        <f t="shared" si="8563"/>
        <v>0</v>
      </c>
      <c r="AC1696" s="200">
        <f t="shared" si="8563"/>
        <v>0</v>
      </c>
      <c r="AD1696" s="200">
        <f t="shared" si="11"/>
        <v>1</v>
      </c>
      <c r="AE1696" s="200">
        <f t="shared" ref="AE1696:AG1696" si="8564">countif($D1696,"*"&amp;AE$2&amp;"*")</f>
        <v>0</v>
      </c>
      <c r="AF1696" s="200">
        <f t="shared" si="8564"/>
        <v>0</v>
      </c>
      <c r="AG1696" s="200">
        <f t="shared" si="8564"/>
        <v>0</v>
      </c>
      <c r="AH1696" s="171">
        <f t="shared" si="13"/>
        <v>0</v>
      </c>
      <c r="AI1696" s="200">
        <f t="shared" si="14"/>
        <v>1</v>
      </c>
      <c r="AJ1696" s="200">
        <f>SUM(AK1696:AQ1696)</f>
        <v>0</v>
      </c>
      <c r="AK1696" s="201">
        <f t="shared" ref="AK1696:AS1696" si="8565">countif($D1696,"*"&amp;AK$2&amp;"*")</f>
        <v>0</v>
      </c>
      <c r="AL1696" s="201">
        <f t="shared" si="8565"/>
        <v>0</v>
      </c>
      <c r="AM1696" s="201">
        <f t="shared" si="8565"/>
        <v>0</v>
      </c>
      <c r="AN1696" s="201">
        <f t="shared" si="8565"/>
        <v>0</v>
      </c>
      <c r="AO1696" s="201">
        <f t="shared" si="8565"/>
        <v>0</v>
      </c>
      <c r="AP1696" s="201">
        <f t="shared" si="8565"/>
        <v>0</v>
      </c>
      <c r="AQ1696" s="201">
        <f t="shared" si="8565"/>
        <v>0</v>
      </c>
      <c r="AR1696" s="201">
        <f t="shared" si="8565"/>
        <v>0</v>
      </c>
      <c r="AS1696" s="200">
        <f t="shared" si="8565"/>
        <v>1</v>
      </c>
      <c r="AT1696" s="205">
        <v>0.0</v>
      </c>
      <c r="AU1696" s="200">
        <f t="shared" ref="AU1696:AX1696" si="8566">countif($D1696,"*"&amp;AU$2&amp;"*")</f>
        <v>1</v>
      </c>
      <c r="AV1696" s="200">
        <f t="shared" si="8566"/>
        <v>0</v>
      </c>
      <c r="AW1696" s="200">
        <f t="shared" si="8566"/>
        <v>0</v>
      </c>
      <c r="AX1696" s="200">
        <f t="shared" si="8566"/>
        <v>1</v>
      </c>
      <c r="AY1696" s="202">
        <v>0.0</v>
      </c>
      <c r="AZ1696" s="200"/>
      <c r="BA1696" s="171" t="str">
        <f t="shared" si="18"/>
        <v/>
      </c>
      <c r="BB1696" s="171" t="str">
        <f t="shared" si="19"/>
        <v/>
      </c>
      <c r="BC1696" s="171" t="str">
        <f t="shared" si="20"/>
        <v/>
      </c>
      <c r="BD1696" s="171" t="str">
        <f t="shared" si="21"/>
        <v>Institutional</v>
      </c>
      <c r="BE1696" s="171" t="str">
        <f t="shared" si="22"/>
        <v/>
      </c>
      <c r="BF1696" s="171" t="str">
        <f t="shared" si="23"/>
        <v>Institutional</v>
      </c>
    </row>
    <row r="1697">
      <c r="A1697" s="171">
        <f t="array" ref="A1697">XLOOKUP(C1697,FSE!A:A,FSE!C:C,"XXXXX",0,1)</f>
        <v>2020</v>
      </c>
      <c r="B1697" s="213" t="s">
        <v>5676</v>
      </c>
      <c r="C1697" s="219">
        <v>380.0</v>
      </c>
      <c r="D1697" s="217" t="s">
        <v>6383</v>
      </c>
      <c r="E1697" s="197" t="str">
        <f t="array" ref="E1697">XLOOKUP(C1697,FSE!A:A,FSE!Z:Z,"XXXXX",0,1)</f>
        <v>Publicly Available (2)
Not Available (1)</v>
      </c>
      <c r="F1697" s="213" t="s">
        <v>3394</v>
      </c>
      <c r="G1697" s="163" t="str">
        <f t="array" ref="G1697">IF(B1697="ICSE",IF(COUNTIFS(B:B,B1697,C:C,C1697)=XLOOKUP(C1697,ICSE!A:A,ICSE!AA:AA,"ERROR",0,1),"OK","ERROR"),IF(B1697="FSE",IF(COUNTIFS(B:B,B1697,C:C,C1697)=XLOOKUP(C1697,FSE!A:A,FSE!AA:AA,"ERROR",0,1),"OK","ERROR")))</f>
        <v>OK</v>
      </c>
      <c r="H1697" s="199">
        <f t="shared" ref="H1697:O1697" si="8567">countif($D1697,"*"&amp;H$2&amp;"*")</f>
        <v>0</v>
      </c>
      <c r="I1697" s="200">
        <f t="shared" si="8567"/>
        <v>0</v>
      </c>
      <c r="J1697" s="200">
        <f t="shared" si="8567"/>
        <v>0</v>
      </c>
      <c r="K1697" s="200">
        <f t="shared" si="8567"/>
        <v>0</v>
      </c>
      <c r="L1697" s="200">
        <f t="shared" si="8567"/>
        <v>0</v>
      </c>
      <c r="M1697" s="200">
        <f t="shared" si="8567"/>
        <v>0</v>
      </c>
      <c r="N1697" s="200">
        <f t="shared" si="8567"/>
        <v>0</v>
      </c>
      <c r="O1697" s="200">
        <f t="shared" si="8567"/>
        <v>0</v>
      </c>
      <c r="P1697" s="200">
        <f t="shared" si="9"/>
        <v>0</v>
      </c>
      <c r="Q1697" s="200">
        <f t="shared" ref="Q1697:AC1697" si="8568">countif($D1697,"*"&amp;Q$2&amp;"*")</f>
        <v>0</v>
      </c>
      <c r="R1697" s="200">
        <f t="shared" si="8568"/>
        <v>0</v>
      </c>
      <c r="S1697" s="200">
        <f t="shared" si="8568"/>
        <v>0</v>
      </c>
      <c r="T1697" s="200">
        <f t="shared" si="8568"/>
        <v>0</v>
      </c>
      <c r="U1697" s="200">
        <f t="shared" si="8568"/>
        <v>0</v>
      </c>
      <c r="V1697" s="200">
        <f t="shared" si="8568"/>
        <v>0</v>
      </c>
      <c r="W1697" s="200">
        <f t="shared" si="8568"/>
        <v>0</v>
      </c>
      <c r="X1697" s="200">
        <f t="shared" si="8568"/>
        <v>0</v>
      </c>
      <c r="Y1697" s="200">
        <f t="shared" si="8568"/>
        <v>0</v>
      </c>
      <c r="Z1697" s="200">
        <f t="shared" si="8568"/>
        <v>0</v>
      </c>
      <c r="AA1697" s="200">
        <f t="shared" si="8568"/>
        <v>0</v>
      </c>
      <c r="AB1697" s="200">
        <f t="shared" si="8568"/>
        <v>0</v>
      </c>
      <c r="AC1697" s="200">
        <f t="shared" si="8568"/>
        <v>0</v>
      </c>
      <c r="AD1697" s="200">
        <f t="shared" si="11"/>
        <v>0</v>
      </c>
      <c r="AE1697" s="200">
        <f t="shared" ref="AE1697:AG1697" si="8569">countif($D1697,"*"&amp;AE$2&amp;"*")</f>
        <v>0</v>
      </c>
      <c r="AF1697" s="200">
        <f t="shared" si="8569"/>
        <v>0</v>
      </c>
      <c r="AG1697" s="200">
        <f t="shared" si="8569"/>
        <v>0</v>
      </c>
      <c r="AH1697" s="171">
        <f t="shared" si="13"/>
        <v>1</v>
      </c>
      <c r="AI1697" s="200">
        <f t="shared" si="14"/>
        <v>0</v>
      </c>
      <c r="AJ1697" s="200">
        <f t="shared" ref="AJ1697:AJ1720" si="8575">SUM(AK1697:AR1697)</f>
        <v>0</v>
      </c>
      <c r="AK1697" s="201">
        <f t="shared" ref="AK1697:AS1697" si="8570">countif($D1697,"*"&amp;AK$2&amp;"*")</f>
        <v>0</v>
      </c>
      <c r="AL1697" s="201">
        <f t="shared" si="8570"/>
        <v>0</v>
      </c>
      <c r="AM1697" s="201">
        <f t="shared" si="8570"/>
        <v>0</v>
      </c>
      <c r="AN1697" s="201">
        <f t="shared" si="8570"/>
        <v>0</v>
      </c>
      <c r="AO1697" s="201">
        <f t="shared" si="8570"/>
        <v>0</v>
      </c>
      <c r="AP1697" s="201">
        <f t="shared" si="8570"/>
        <v>0</v>
      </c>
      <c r="AQ1697" s="201">
        <f t="shared" si="8570"/>
        <v>0</v>
      </c>
      <c r="AR1697" s="200">
        <f t="shared" si="8570"/>
        <v>0</v>
      </c>
      <c r="AS1697" s="200">
        <f t="shared" si="8570"/>
        <v>0</v>
      </c>
      <c r="AT1697" s="173">
        <v>0.0</v>
      </c>
      <c r="AU1697" s="200">
        <f t="shared" ref="AU1697:AX1697" si="8571">countif($D1697,"*"&amp;AU$2&amp;"*")</f>
        <v>0</v>
      </c>
      <c r="AV1697" s="200">
        <f t="shared" si="8571"/>
        <v>0</v>
      </c>
      <c r="AW1697" s="200">
        <f t="shared" si="8571"/>
        <v>0</v>
      </c>
      <c r="AX1697" s="200">
        <f t="shared" si="8571"/>
        <v>0</v>
      </c>
      <c r="AY1697" s="202">
        <v>0.0</v>
      </c>
      <c r="AZ1697" s="200"/>
      <c r="BA1697" s="171" t="str">
        <f t="shared" si="18"/>
        <v/>
      </c>
      <c r="BB1697" s="171" t="str">
        <f t="shared" si="19"/>
        <v/>
      </c>
      <c r="BC1697" s="171" t="str">
        <f t="shared" si="20"/>
        <v/>
      </c>
      <c r="BD1697" s="171" t="str">
        <f t="shared" si="21"/>
        <v/>
      </c>
      <c r="BE1697" s="171" t="str">
        <f t="shared" si="22"/>
        <v>Others</v>
      </c>
      <c r="BF1697" s="171" t="str">
        <f t="shared" si="23"/>
        <v>Others</v>
      </c>
    </row>
    <row r="1698">
      <c r="A1698" s="171">
        <f t="array" ref="A1698">XLOOKUP(C1698,FSE!A:A,FSE!C:C,"XXXXX",0,1)</f>
        <v>2020</v>
      </c>
      <c r="B1698" s="213" t="s">
        <v>5676</v>
      </c>
      <c r="C1698" s="219">
        <v>380.0</v>
      </c>
      <c r="D1698" s="217" t="s">
        <v>6384</v>
      </c>
      <c r="E1698" s="197" t="str">
        <f t="array" ref="E1698">XLOOKUP(C1698,FSE!A:A,FSE!Z:Z,"XXXXX",0,1)</f>
        <v>Publicly Available (2)
Not Available (1)</v>
      </c>
      <c r="F1698" s="213" t="s">
        <v>3395</v>
      </c>
      <c r="G1698" s="163" t="str">
        <f t="array" ref="G1698">IF(B1698="ICSE",IF(COUNTIFS(B:B,B1698,C:C,C1698)=XLOOKUP(C1698,ICSE!A:A,ICSE!AA:AA,"ERROR",0,1),"OK","ERROR"),IF(B1698="FSE",IF(COUNTIFS(B:B,B1698,C:C,C1698)=XLOOKUP(C1698,FSE!A:A,FSE!AA:AA,"ERROR",0,1),"OK","ERROR")))</f>
        <v>OK</v>
      </c>
      <c r="H1698" s="199">
        <f t="shared" ref="H1698:O1698" si="8572">countif($D1698,"*"&amp;H$2&amp;"*")</f>
        <v>0</v>
      </c>
      <c r="I1698" s="200">
        <f t="shared" si="8572"/>
        <v>0</v>
      </c>
      <c r="J1698" s="200">
        <f t="shared" si="8572"/>
        <v>0</v>
      </c>
      <c r="K1698" s="200">
        <f t="shared" si="8572"/>
        <v>0</v>
      </c>
      <c r="L1698" s="200">
        <f t="shared" si="8572"/>
        <v>0</v>
      </c>
      <c r="M1698" s="200">
        <f t="shared" si="8572"/>
        <v>0</v>
      </c>
      <c r="N1698" s="200">
        <f t="shared" si="8572"/>
        <v>0</v>
      </c>
      <c r="O1698" s="200">
        <f t="shared" si="8572"/>
        <v>0</v>
      </c>
      <c r="P1698" s="200">
        <f t="shared" si="9"/>
        <v>1</v>
      </c>
      <c r="Q1698" s="200">
        <f t="shared" ref="Q1698:AC1698" si="8573">countif($D1698,"*"&amp;Q$2&amp;"*")</f>
        <v>0</v>
      </c>
      <c r="R1698" s="200">
        <f t="shared" si="8573"/>
        <v>0</v>
      </c>
      <c r="S1698" s="200">
        <f t="shared" si="8573"/>
        <v>0</v>
      </c>
      <c r="T1698" s="200">
        <f t="shared" si="8573"/>
        <v>0</v>
      </c>
      <c r="U1698" s="200">
        <f t="shared" si="8573"/>
        <v>0</v>
      </c>
      <c r="V1698" s="200">
        <f t="shared" si="8573"/>
        <v>0</v>
      </c>
      <c r="W1698" s="200">
        <f t="shared" si="8573"/>
        <v>0</v>
      </c>
      <c r="X1698" s="200">
        <f t="shared" si="8573"/>
        <v>0</v>
      </c>
      <c r="Y1698" s="200">
        <f t="shared" si="8573"/>
        <v>0</v>
      </c>
      <c r="Z1698" s="200">
        <f t="shared" si="8573"/>
        <v>0</v>
      </c>
      <c r="AA1698" s="200">
        <f t="shared" si="8573"/>
        <v>0</v>
      </c>
      <c r="AB1698" s="200">
        <f t="shared" si="8573"/>
        <v>0</v>
      </c>
      <c r="AC1698" s="200">
        <f t="shared" si="8573"/>
        <v>0</v>
      </c>
      <c r="AD1698" s="200">
        <f t="shared" si="11"/>
        <v>0</v>
      </c>
      <c r="AE1698" s="200">
        <f t="shared" ref="AE1698:AG1698" si="8574">countif($D1698,"*"&amp;AE$2&amp;"*")</f>
        <v>0</v>
      </c>
      <c r="AF1698" s="200">
        <f t="shared" si="8574"/>
        <v>0</v>
      </c>
      <c r="AG1698" s="200">
        <f t="shared" si="8574"/>
        <v>0</v>
      </c>
      <c r="AH1698" s="171">
        <f t="shared" si="13"/>
        <v>0</v>
      </c>
      <c r="AI1698" s="200">
        <f t="shared" si="14"/>
        <v>0</v>
      </c>
      <c r="AJ1698" s="200">
        <f t="shared" si="8575"/>
        <v>0</v>
      </c>
      <c r="AK1698" s="201">
        <f t="shared" ref="AK1698:AS1698" si="8576">countif($D1698,"*"&amp;AK$2&amp;"*")</f>
        <v>0</v>
      </c>
      <c r="AL1698" s="201">
        <f t="shared" si="8576"/>
        <v>0</v>
      </c>
      <c r="AM1698" s="201">
        <f t="shared" si="8576"/>
        <v>0</v>
      </c>
      <c r="AN1698" s="201">
        <f t="shared" si="8576"/>
        <v>0</v>
      </c>
      <c r="AO1698" s="201">
        <f t="shared" si="8576"/>
        <v>0</v>
      </c>
      <c r="AP1698" s="201">
        <f t="shared" si="8576"/>
        <v>0</v>
      </c>
      <c r="AQ1698" s="201">
        <f t="shared" si="8576"/>
        <v>0</v>
      </c>
      <c r="AR1698" s="200">
        <f t="shared" si="8576"/>
        <v>0</v>
      </c>
      <c r="AS1698" s="200">
        <f t="shared" si="8576"/>
        <v>0</v>
      </c>
      <c r="AT1698" s="173">
        <v>0.0</v>
      </c>
      <c r="AU1698" s="200">
        <f t="shared" ref="AU1698:AX1698" si="8577">countif($D1698,"*"&amp;AU$2&amp;"*")</f>
        <v>0</v>
      </c>
      <c r="AV1698" s="200">
        <f t="shared" si="8577"/>
        <v>1</v>
      </c>
      <c r="AW1698" s="200">
        <f t="shared" si="8577"/>
        <v>0</v>
      </c>
      <c r="AX1698" s="200">
        <f t="shared" si="8577"/>
        <v>0</v>
      </c>
      <c r="AY1698" s="202">
        <v>0.0</v>
      </c>
      <c r="AZ1698" s="200"/>
      <c r="BA1698" s="171" t="str">
        <f t="shared" si="18"/>
        <v/>
      </c>
      <c r="BB1698" s="171" t="str">
        <f t="shared" si="19"/>
        <v>Code</v>
      </c>
      <c r="BC1698" s="171" t="str">
        <f t="shared" si="20"/>
        <v/>
      </c>
      <c r="BD1698" s="171" t="str">
        <f t="shared" si="21"/>
        <v/>
      </c>
      <c r="BE1698" s="171" t="str">
        <f t="shared" si="22"/>
        <v/>
      </c>
      <c r="BF1698" s="171" t="str">
        <f t="shared" si="23"/>
        <v>Code</v>
      </c>
    </row>
    <row r="1699">
      <c r="A1699" s="171">
        <f t="array" ref="A1699">XLOOKUP(C1699,FSE!A:A,FSE!C:C,"XXXXX",0,1)</f>
        <v>2020</v>
      </c>
      <c r="B1699" s="213" t="s">
        <v>5676</v>
      </c>
      <c r="C1699" s="214">
        <v>380.0</v>
      </c>
      <c r="D1699" s="215" t="s">
        <v>6385</v>
      </c>
      <c r="E1699" s="197" t="str">
        <f t="array" ref="E1699">XLOOKUP(C1699,FSE!A:A,FSE!Z:Z,"XXXXX",0,1)</f>
        <v>Publicly Available (2)
Not Available (1)</v>
      </c>
      <c r="F1699" s="213" t="s">
        <v>3394</v>
      </c>
      <c r="G1699" s="163" t="str">
        <f t="array" ref="G1699">IF(B1699="ICSE",IF(COUNTIFS(B:B,B1699,C:C,C1699)=XLOOKUP(C1699,ICSE!A:A,ICSE!AA:AA,"ERROR",0,1),"OK","ERROR"),IF(B1699="FSE",IF(COUNTIFS(B:B,B1699,C:C,C1699)=XLOOKUP(C1699,FSE!A:A,FSE!AA:AA,"ERROR",0,1),"OK","ERROR")))</f>
        <v>OK</v>
      </c>
      <c r="H1699" s="199">
        <f t="shared" ref="H1699:O1699" si="8578">countif($D1699,"*"&amp;H$2&amp;"*")</f>
        <v>0</v>
      </c>
      <c r="I1699" s="200">
        <f t="shared" si="8578"/>
        <v>1</v>
      </c>
      <c r="J1699" s="200">
        <f t="shared" si="8578"/>
        <v>0</v>
      </c>
      <c r="K1699" s="200">
        <f t="shared" si="8578"/>
        <v>0</v>
      </c>
      <c r="L1699" s="200">
        <f t="shared" si="8578"/>
        <v>0</v>
      </c>
      <c r="M1699" s="200">
        <f t="shared" si="8578"/>
        <v>0</v>
      </c>
      <c r="N1699" s="200">
        <f t="shared" si="8578"/>
        <v>0</v>
      </c>
      <c r="O1699" s="200">
        <f t="shared" si="8578"/>
        <v>0</v>
      </c>
      <c r="P1699" s="200">
        <f t="shared" si="9"/>
        <v>0</v>
      </c>
      <c r="Q1699" s="200">
        <f t="shared" ref="Q1699:AC1699" si="8579">countif($D1699,"*"&amp;Q$2&amp;"*")</f>
        <v>0</v>
      </c>
      <c r="R1699" s="200">
        <f t="shared" si="8579"/>
        <v>0</v>
      </c>
      <c r="S1699" s="200">
        <f t="shared" si="8579"/>
        <v>0</v>
      </c>
      <c r="T1699" s="200">
        <f t="shared" si="8579"/>
        <v>0</v>
      </c>
      <c r="U1699" s="200">
        <f t="shared" si="8579"/>
        <v>0</v>
      </c>
      <c r="V1699" s="200">
        <f t="shared" si="8579"/>
        <v>0</v>
      </c>
      <c r="W1699" s="200">
        <f t="shared" si="8579"/>
        <v>0</v>
      </c>
      <c r="X1699" s="200">
        <f t="shared" si="8579"/>
        <v>0</v>
      </c>
      <c r="Y1699" s="200">
        <f t="shared" si="8579"/>
        <v>0</v>
      </c>
      <c r="Z1699" s="200">
        <f t="shared" si="8579"/>
        <v>0</v>
      </c>
      <c r="AA1699" s="200">
        <f t="shared" si="8579"/>
        <v>0</v>
      </c>
      <c r="AB1699" s="200">
        <f t="shared" si="8579"/>
        <v>0</v>
      </c>
      <c r="AC1699" s="200">
        <f t="shared" si="8579"/>
        <v>0</v>
      </c>
      <c r="AD1699" s="200">
        <f t="shared" si="11"/>
        <v>0</v>
      </c>
      <c r="AE1699" s="200">
        <f t="shared" ref="AE1699:AG1699" si="8580">countif($D1699,"*"&amp;AE$2&amp;"*")</f>
        <v>0</v>
      </c>
      <c r="AF1699" s="200">
        <f t="shared" si="8580"/>
        <v>0</v>
      </c>
      <c r="AG1699" s="200">
        <f t="shared" si="8580"/>
        <v>0</v>
      </c>
      <c r="AH1699" s="171">
        <f t="shared" si="13"/>
        <v>0</v>
      </c>
      <c r="AI1699" s="200">
        <f t="shared" si="14"/>
        <v>1</v>
      </c>
      <c r="AJ1699" s="200">
        <f t="shared" si="8575"/>
        <v>0</v>
      </c>
      <c r="AK1699" s="201">
        <f t="shared" ref="AK1699:AS1699" si="8581">countif($D1699,"*"&amp;AK$2&amp;"*")</f>
        <v>0</v>
      </c>
      <c r="AL1699" s="201">
        <f t="shared" si="8581"/>
        <v>0</v>
      </c>
      <c r="AM1699" s="201">
        <f t="shared" si="8581"/>
        <v>0</v>
      </c>
      <c r="AN1699" s="201">
        <f t="shared" si="8581"/>
        <v>0</v>
      </c>
      <c r="AO1699" s="201">
        <f t="shared" si="8581"/>
        <v>0</v>
      </c>
      <c r="AP1699" s="201">
        <f t="shared" si="8581"/>
        <v>0</v>
      </c>
      <c r="AQ1699" s="201">
        <f t="shared" si="8581"/>
        <v>0</v>
      </c>
      <c r="AR1699" s="200">
        <f t="shared" si="8581"/>
        <v>0</v>
      </c>
      <c r="AS1699" s="200">
        <f t="shared" si="8581"/>
        <v>0</v>
      </c>
      <c r="AT1699" s="173">
        <v>0.0</v>
      </c>
      <c r="AU1699" s="200">
        <f t="shared" ref="AU1699:AX1699" si="8582">countif($D1699,"*"&amp;AU$2&amp;"*")</f>
        <v>0</v>
      </c>
      <c r="AV1699" s="200">
        <f t="shared" si="8582"/>
        <v>0</v>
      </c>
      <c r="AW1699" s="200">
        <f t="shared" si="8582"/>
        <v>0</v>
      </c>
      <c r="AX1699" s="200">
        <f t="shared" si="8582"/>
        <v>1</v>
      </c>
      <c r="AY1699" s="202">
        <v>0.0</v>
      </c>
      <c r="AZ1699" s="200"/>
      <c r="BA1699" s="171" t="str">
        <f t="shared" si="18"/>
        <v>Archival</v>
      </c>
      <c r="BB1699" s="171" t="str">
        <f t="shared" si="19"/>
        <v/>
      </c>
      <c r="BC1699" s="171" t="str">
        <f t="shared" si="20"/>
        <v/>
      </c>
      <c r="BD1699" s="171" t="str">
        <f t="shared" si="21"/>
        <v/>
      </c>
      <c r="BE1699" s="171" t="str">
        <f t="shared" si="22"/>
        <v/>
      </c>
      <c r="BF1699" s="171" t="str">
        <f t="shared" si="23"/>
        <v>Archival</v>
      </c>
    </row>
    <row r="1700">
      <c r="A1700" s="171">
        <f t="array" ref="A1700">XLOOKUP(C1700,FSE!A:A,FSE!C:C,"XXXXX",0,1)</f>
        <v>2020</v>
      </c>
      <c r="B1700" s="213" t="s">
        <v>5676</v>
      </c>
      <c r="C1700" s="214">
        <v>382.0</v>
      </c>
      <c r="D1700" s="215" t="s">
        <v>4632</v>
      </c>
      <c r="E1700" s="197" t="str">
        <f t="array" ref="E1700">XLOOKUP(C1700,FSE!A:A,FSE!Z:Z,"XXXXX",0,1)</f>
        <v>Publicly Available (1)</v>
      </c>
      <c r="F1700" s="213" t="s">
        <v>3394</v>
      </c>
      <c r="G1700" s="163" t="str">
        <f t="array" ref="G1700">IF(B1700="ICSE",IF(COUNTIFS(B:B,B1700,C:C,C1700)=XLOOKUP(C1700,ICSE!A:A,ICSE!AA:AA,"ERROR",0,1),"OK","ERROR"),IF(B1700="FSE",IF(COUNTIFS(B:B,B1700,C:C,C1700)=XLOOKUP(C1700,FSE!A:A,FSE!AA:AA,"ERROR",0,1),"OK","ERROR")))</f>
        <v>OK</v>
      </c>
      <c r="H1700" s="199">
        <f t="shared" ref="H1700:O1700" si="8583">countif($D1700,"*"&amp;H$2&amp;"*")</f>
        <v>0</v>
      </c>
      <c r="I1700" s="200">
        <f t="shared" si="8583"/>
        <v>0</v>
      </c>
      <c r="J1700" s="200">
        <f t="shared" si="8583"/>
        <v>0</v>
      </c>
      <c r="K1700" s="200">
        <f t="shared" si="8583"/>
        <v>0</v>
      </c>
      <c r="L1700" s="200">
        <f t="shared" si="8583"/>
        <v>0</v>
      </c>
      <c r="M1700" s="200">
        <f t="shared" si="8583"/>
        <v>0</v>
      </c>
      <c r="N1700" s="200">
        <f t="shared" si="8583"/>
        <v>0</v>
      </c>
      <c r="O1700" s="200">
        <f t="shared" si="8583"/>
        <v>0</v>
      </c>
      <c r="P1700" s="200">
        <f t="shared" si="9"/>
        <v>1</v>
      </c>
      <c r="Q1700" s="200">
        <f t="shared" ref="Q1700:AC1700" si="8584">countif($D1700,"*"&amp;Q$2&amp;"*")</f>
        <v>0</v>
      </c>
      <c r="R1700" s="200">
        <f t="shared" si="8584"/>
        <v>0</v>
      </c>
      <c r="S1700" s="200">
        <f t="shared" si="8584"/>
        <v>0</v>
      </c>
      <c r="T1700" s="200">
        <f t="shared" si="8584"/>
        <v>0</v>
      </c>
      <c r="U1700" s="200">
        <f t="shared" si="8584"/>
        <v>0</v>
      </c>
      <c r="V1700" s="200">
        <f t="shared" si="8584"/>
        <v>0</v>
      </c>
      <c r="W1700" s="200">
        <f t="shared" si="8584"/>
        <v>0</v>
      </c>
      <c r="X1700" s="200">
        <f t="shared" si="8584"/>
        <v>0</v>
      </c>
      <c r="Y1700" s="200">
        <f t="shared" si="8584"/>
        <v>0</v>
      </c>
      <c r="Z1700" s="200">
        <f t="shared" si="8584"/>
        <v>0</v>
      </c>
      <c r="AA1700" s="200">
        <f t="shared" si="8584"/>
        <v>0</v>
      </c>
      <c r="AB1700" s="200">
        <f t="shared" si="8584"/>
        <v>0</v>
      </c>
      <c r="AC1700" s="200">
        <f t="shared" si="8584"/>
        <v>0</v>
      </c>
      <c r="AD1700" s="200">
        <f t="shared" si="11"/>
        <v>0</v>
      </c>
      <c r="AE1700" s="200">
        <f t="shared" ref="AE1700:AG1700" si="8585">countif($D1700,"*"&amp;AE$2&amp;"*")</f>
        <v>0</v>
      </c>
      <c r="AF1700" s="200">
        <f t="shared" si="8585"/>
        <v>0</v>
      </c>
      <c r="AG1700" s="200">
        <f t="shared" si="8585"/>
        <v>0</v>
      </c>
      <c r="AH1700" s="171">
        <f t="shared" si="13"/>
        <v>0</v>
      </c>
      <c r="AI1700" s="200">
        <f t="shared" si="14"/>
        <v>0</v>
      </c>
      <c r="AJ1700" s="200">
        <f t="shared" si="8575"/>
        <v>0</v>
      </c>
      <c r="AK1700" s="201">
        <f t="shared" ref="AK1700:AS1700" si="8586">countif($D1700,"*"&amp;AK$2&amp;"*")</f>
        <v>0</v>
      </c>
      <c r="AL1700" s="201">
        <f t="shared" si="8586"/>
        <v>0</v>
      </c>
      <c r="AM1700" s="201">
        <f t="shared" si="8586"/>
        <v>0</v>
      </c>
      <c r="AN1700" s="201">
        <f t="shared" si="8586"/>
        <v>0</v>
      </c>
      <c r="AO1700" s="201">
        <f t="shared" si="8586"/>
        <v>0</v>
      </c>
      <c r="AP1700" s="201">
        <f t="shared" si="8586"/>
        <v>0</v>
      </c>
      <c r="AQ1700" s="201">
        <f t="shared" si="8586"/>
        <v>0</v>
      </c>
      <c r="AR1700" s="200">
        <f t="shared" si="8586"/>
        <v>0</v>
      </c>
      <c r="AS1700" s="200">
        <f t="shared" si="8586"/>
        <v>0</v>
      </c>
      <c r="AT1700" s="173">
        <v>0.0</v>
      </c>
      <c r="AU1700" s="200">
        <f t="shared" ref="AU1700:AX1700" si="8587">countif($D1700,"*"&amp;AU$2&amp;"*")</f>
        <v>0</v>
      </c>
      <c r="AV1700" s="200">
        <f t="shared" si="8587"/>
        <v>1</v>
      </c>
      <c r="AW1700" s="200">
        <f t="shared" si="8587"/>
        <v>0</v>
      </c>
      <c r="AX1700" s="200">
        <f t="shared" si="8587"/>
        <v>0</v>
      </c>
      <c r="AY1700" s="202">
        <v>0.0</v>
      </c>
      <c r="AZ1700" s="200"/>
      <c r="BA1700" s="171" t="str">
        <f t="shared" si="18"/>
        <v/>
      </c>
      <c r="BB1700" s="171" t="str">
        <f t="shared" si="19"/>
        <v>Code</v>
      </c>
      <c r="BC1700" s="171" t="str">
        <f t="shared" si="20"/>
        <v/>
      </c>
      <c r="BD1700" s="171" t="str">
        <f t="shared" si="21"/>
        <v/>
      </c>
      <c r="BE1700" s="171" t="str">
        <f t="shared" si="22"/>
        <v/>
      </c>
      <c r="BF1700" s="171" t="str">
        <f t="shared" si="23"/>
        <v>Code</v>
      </c>
    </row>
    <row r="1701">
      <c r="A1701" s="171">
        <f t="array" ref="A1701">XLOOKUP(C1701,FSE!A:A,FSE!C:C,"XXXXX",0,1)</f>
        <v>2020</v>
      </c>
      <c r="B1701" s="213" t="s">
        <v>5676</v>
      </c>
      <c r="C1701" s="214">
        <v>383.0</v>
      </c>
      <c r="D1701" s="215" t="s">
        <v>6386</v>
      </c>
      <c r="E1701" s="197" t="str">
        <f t="array" ref="E1701">XLOOKUP(C1701,FSE!A:A,FSE!Z:Z,"XXXXX",0,1)</f>
        <v>Publicly Available (2)</v>
      </c>
      <c r="F1701" s="213" t="s">
        <v>3394</v>
      </c>
      <c r="G1701" s="163" t="str">
        <f t="array" ref="G1701">IF(B1701="ICSE",IF(COUNTIFS(B:B,B1701,C:C,C1701)=XLOOKUP(C1701,ICSE!A:A,ICSE!AA:AA,"ERROR",0,1),"OK","ERROR"),IF(B1701="FSE",IF(COUNTIFS(B:B,B1701,C:C,C1701)=XLOOKUP(C1701,FSE!A:A,FSE!AA:AA,"ERROR",0,1),"OK","ERROR")))</f>
        <v>OK</v>
      </c>
      <c r="H1701" s="199">
        <f t="shared" ref="H1701:O1701" si="8588">countif($D1701,"*"&amp;H$2&amp;"*")</f>
        <v>0</v>
      </c>
      <c r="I1701" s="200">
        <f t="shared" si="8588"/>
        <v>1</v>
      </c>
      <c r="J1701" s="200">
        <f t="shared" si="8588"/>
        <v>0</v>
      </c>
      <c r="K1701" s="200">
        <f t="shared" si="8588"/>
        <v>0</v>
      </c>
      <c r="L1701" s="200">
        <f t="shared" si="8588"/>
        <v>0</v>
      </c>
      <c r="M1701" s="200">
        <f t="shared" si="8588"/>
        <v>0</v>
      </c>
      <c r="N1701" s="200">
        <f t="shared" si="8588"/>
        <v>0</v>
      </c>
      <c r="O1701" s="200">
        <f t="shared" si="8588"/>
        <v>0</v>
      </c>
      <c r="P1701" s="200">
        <f t="shared" si="9"/>
        <v>0</v>
      </c>
      <c r="Q1701" s="200">
        <f t="shared" ref="Q1701:AC1701" si="8589">countif($D1701,"*"&amp;Q$2&amp;"*")</f>
        <v>0</v>
      </c>
      <c r="R1701" s="200">
        <f t="shared" si="8589"/>
        <v>0</v>
      </c>
      <c r="S1701" s="200">
        <f t="shared" si="8589"/>
        <v>0</v>
      </c>
      <c r="T1701" s="200">
        <f t="shared" si="8589"/>
        <v>0</v>
      </c>
      <c r="U1701" s="200">
        <f t="shared" si="8589"/>
        <v>0</v>
      </c>
      <c r="V1701" s="200">
        <f t="shared" si="8589"/>
        <v>0</v>
      </c>
      <c r="W1701" s="200">
        <f t="shared" si="8589"/>
        <v>0</v>
      </c>
      <c r="X1701" s="200">
        <f t="shared" si="8589"/>
        <v>0</v>
      </c>
      <c r="Y1701" s="200">
        <f t="shared" si="8589"/>
        <v>0</v>
      </c>
      <c r="Z1701" s="200">
        <f t="shared" si="8589"/>
        <v>0</v>
      </c>
      <c r="AA1701" s="200">
        <f t="shared" si="8589"/>
        <v>0</v>
      </c>
      <c r="AB1701" s="200">
        <f t="shared" si="8589"/>
        <v>0</v>
      </c>
      <c r="AC1701" s="200">
        <f t="shared" si="8589"/>
        <v>0</v>
      </c>
      <c r="AD1701" s="200">
        <f t="shared" si="11"/>
        <v>0</v>
      </c>
      <c r="AE1701" s="200">
        <f t="shared" ref="AE1701:AG1701" si="8590">countif($D1701,"*"&amp;AE$2&amp;"*")</f>
        <v>0</v>
      </c>
      <c r="AF1701" s="200">
        <f t="shared" si="8590"/>
        <v>0</v>
      </c>
      <c r="AG1701" s="200">
        <f t="shared" si="8590"/>
        <v>0</v>
      </c>
      <c r="AH1701" s="171">
        <f t="shared" si="13"/>
        <v>0</v>
      </c>
      <c r="AI1701" s="200">
        <f t="shared" si="14"/>
        <v>1</v>
      </c>
      <c r="AJ1701" s="200">
        <f t="shared" si="8575"/>
        <v>0</v>
      </c>
      <c r="AK1701" s="201">
        <f t="shared" ref="AK1701:AS1701" si="8591">countif($D1701,"*"&amp;AK$2&amp;"*")</f>
        <v>0</v>
      </c>
      <c r="AL1701" s="201">
        <f t="shared" si="8591"/>
        <v>0</v>
      </c>
      <c r="AM1701" s="201">
        <f t="shared" si="8591"/>
        <v>0</v>
      </c>
      <c r="AN1701" s="201">
        <f t="shared" si="8591"/>
        <v>0</v>
      </c>
      <c r="AO1701" s="201">
        <f t="shared" si="8591"/>
        <v>0</v>
      </c>
      <c r="AP1701" s="201">
        <f t="shared" si="8591"/>
        <v>0</v>
      </c>
      <c r="AQ1701" s="201">
        <f t="shared" si="8591"/>
        <v>0</v>
      </c>
      <c r="AR1701" s="200">
        <f t="shared" si="8591"/>
        <v>0</v>
      </c>
      <c r="AS1701" s="200">
        <f t="shared" si="8591"/>
        <v>0</v>
      </c>
      <c r="AT1701" s="173">
        <v>0.0</v>
      </c>
      <c r="AU1701" s="200">
        <f t="shared" ref="AU1701:AX1701" si="8592">countif($D1701,"*"&amp;AU$2&amp;"*")</f>
        <v>0</v>
      </c>
      <c r="AV1701" s="200">
        <f t="shared" si="8592"/>
        <v>0</v>
      </c>
      <c r="AW1701" s="200">
        <f t="shared" si="8592"/>
        <v>0</v>
      </c>
      <c r="AX1701" s="200">
        <f t="shared" si="8592"/>
        <v>1</v>
      </c>
      <c r="AY1701" s="202">
        <v>0.0</v>
      </c>
      <c r="AZ1701" s="200"/>
      <c r="BA1701" s="171" t="str">
        <f t="shared" si="18"/>
        <v>Archival</v>
      </c>
      <c r="BB1701" s="171" t="str">
        <f t="shared" si="19"/>
        <v/>
      </c>
      <c r="BC1701" s="171" t="str">
        <f t="shared" si="20"/>
        <v/>
      </c>
      <c r="BD1701" s="171" t="str">
        <f t="shared" si="21"/>
        <v/>
      </c>
      <c r="BE1701" s="171" t="str">
        <f t="shared" si="22"/>
        <v/>
      </c>
      <c r="BF1701" s="171" t="str">
        <f t="shared" si="23"/>
        <v>Archival</v>
      </c>
    </row>
    <row r="1702">
      <c r="A1702" s="213">
        <f t="array" ref="A1702">XLOOKUP(C1702,FSE!A:A,FSE!C:C,"XXXXX",0,1)</f>
        <v>2020</v>
      </c>
      <c r="B1702" s="213" t="s">
        <v>5676</v>
      </c>
      <c r="C1702" s="220">
        <v>383.0</v>
      </c>
      <c r="D1702" s="217" t="s">
        <v>6387</v>
      </c>
      <c r="E1702" s="221" t="str">
        <f t="array" ref="E1702">XLOOKUP(C1702,FSE!A:A,FSE!Z:Z,"XXXXX",0,1)</f>
        <v>Publicly Available (2)</v>
      </c>
      <c r="F1702" s="213" t="s">
        <v>3394</v>
      </c>
      <c r="G1702" s="163" t="str">
        <f t="array" ref="G1702">IF(B1702="ICSE",IF(COUNTIFS(B:B,B1702,C:C,C1702)=XLOOKUP(C1702,ICSE!A:A,ICSE!AA:AA,"ERROR",0,1),"OK","ERROR"),IF(B1702="FSE",IF(COUNTIFS(B:B,B1702,C:C,C1702)=XLOOKUP(C1702,FSE!A:A,FSE!AA:AA,"ERROR",0,1),"OK","ERROR")))</f>
        <v>OK</v>
      </c>
      <c r="H1702" s="199">
        <f t="shared" ref="H1702:O1702" si="8593">countif($D1702,"*"&amp;H$2&amp;"*")</f>
        <v>0</v>
      </c>
      <c r="I1702" s="200">
        <f t="shared" si="8593"/>
        <v>0</v>
      </c>
      <c r="J1702" s="200">
        <f t="shared" si="8593"/>
        <v>0</v>
      </c>
      <c r="K1702" s="200">
        <f t="shared" si="8593"/>
        <v>0</v>
      </c>
      <c r="L1702" s="200">
        <f t="shared" si="8593"/>
        <v>0</v>
      </c>
      <c r="M1702" s="200">
        <f t="shared" si="8593"/>
        <v>0</v>
      </c>
      <c r="N1702" s="200">
        <f t="shared" si="8593"/>
        <v>0</v>
      </c>
      <c r="O1702" s="200">
        <f t="shared" si="8593"/>
        <v>0</v>
      </c>
      <c r="P1702" s="200">
        <f t="shared" si="9"/>
        <v>0</v>
      </c>
      <c r="Q1702" s="200">
        <f t="shared" ref="Q1702:AC1702" si="8594">countif($D1702,"*"&amp;Q$2&amp;"*")</f>
        <v>0</v>
      </c>
      <c r="R1702" s="200">
        <f t="shared" si="8594"/>
        <v>0</v>
      </c>
      <c r="S1702" s="200">
        <f t="shared" si="8594"/>
        <v>0</v>
      </c>
      <c r="T1702" s="200">
        <f t="shared" si="8594"/>
        <v>0</v>
      </c>
      <c r="U1702" s="200">
        <f t="shared" si="8594"/>
        <v>0</v>
      </c>
      <c r="V1702" s="200">
        <f t="shared" si="8594"/>
        <v>0</v>
      </c>
      <c r="W1702" s="200">
        <f t="shared" si="8594"/>
        <v>0</v>
      </c>
      <c r="X1702" s="200">
        <f t="shared" si="8594"/>
        <v>0</v>
      </c>
      <c r="Y1702" s="200">
        <f t="shared" si="8594"/>
        <v>0</v>
      </c>
      <c r="Z1702" s="200">
        <f t="shared" si="8594"/>
        <v>0</v>
      </c>
      <c r="AA1702" s="200">
        <f t="shared" si="8594"/>
        <v>0</v>
      </c>
      <c r="AB1702" s="200">
        <f t="shared" si="8594"/>
        <v>0</v>
      </c>
      <c r="AC1702" s="200">
        <f t="shared" si="8594"/>
        <v>1</v>
      </c>
      <c r="AD1702" s="222">
        <f t="shared" si="11"/>
        <v>0</v>
      </c>
      <c r="AE1702" s="200">
        <f t="shared" ref="AE1702:AG1702" si="8595">countif($D1702,"*"&amp;AE$2&amp;"*")</f>
        <v>0</v>
      </c>
      <c r="AF1702" s="200">
        <f t="shared" si="8595"/>
        <v>0</v>
      </c>
      <c r="AG1702" s="200">
        <f t="shared" si="8595"/>
        <v>0</v>
      </c>
      <c r="AH1702" s="171">
        <f t="shared" si="13"/>
        <v>0</v>
      </c>
      <c r="AI1702" s="200">
        <f t="shared" si="14"/>
        <v>0</v>
      </c>
      <c r="AJ1702" s="200">
        <f t="shared" si="8575"/>
        <v>0</v>
      </c>
      <c r="AK1702" s="201">
        <f t="shared" ref="AK1702:AS1702" si="8596">countif($D1702,"*"&amp;AK$2&amp;"*")</f>
        <v>0</v>
      </c>
      <c r="AL1702" s="201">
        <f t="shared" si="8596"/>
        <v>0</v>
      </c>
      <c r="AM1702" s="201">
        <f t="shared" si="8596"/>
        <v>0</v>
      </c>
      <c r="AN1702" s="201">
        <f t="shared" si="8596"/>
        <v>0</v>
      </c>
      <c r="AO1702" s="201">
        <f t="shared" si="8596"/>
        <v>0</v>
      </c>
      <c r="AP1702" s="201">
        <f t="shared" si="8596"/>
        <v>0</v>
      </c>
      <c r="AQ1702" s="201">
        <f t="shared" si="8596"/>
        <v>0</v>
      </c>
      <c r="AR1702" s="222">
        <f t="shared" si="8596"/>
        <v>0</v>
      </c>
      <c r="AS1702" s="200">
        <f t="shared" si="8596"/>
        <v>0</v>
      </c>
      <c r="AT1702" s="223">
        <v>0.0</v>
      </c>
      <c r="AU1702" s="200">
        <f t="shared" ref="AU1702:AX1702" si="8597">countif($D1702,"*"&amp;AU$2&amp;"*")</f>
        <v>0</v>
      </c>
      <c r="AV1702" s="200">
        <f t="shared" si="8597"/>
        <v>0</v>
      </c>
      <c r="AW1702" s="200">
        <f t="shared" si="8597"/>
        <v>0</v>
      </c>
      <c r="AX1702" s="200">
        <f t="shared" si="8597"/>
        <v>0</v>
      </c>
      <c r="AY1702" s="202">
        <v>0.0</v>
      </c>
      <c r="AZ1702" s="200"/>
      <c r="BA1702" s="171" t="str">
        <f t="shared" si="18"/>
        <v/>
      </c>
      <c r="BB1702" s="171" t="str">
        <f t="shared" si="19"/>
        <v/>
      </c>
      <c r="BC1702" s="171" t="str">
        <f t="shared" si="20"/>
        <v>General-purpose</v>
      </c>
      <c r="BD1702" s="171" t="str">
        <f t="shared" si="21"/>
        <v/>
      </c>
      <c r="BE1702" s="171" t="str">
        <f t="shared" si="22"/>
        <v/>
      </c>
      <c r="BF1702" s="171" t="str">
        <f t="shared" si="23"/>
        <v>General-purpose</v>
      </c>
    </row>
    <row r="1703">
      <c r="A1703" s="171">
        <f t="array" ref="A1703">XLOOKUP(C1703,FSE!A:A,FSE!C:C,"XXXXX",0,1)</f>
        <v>2020</v>
      </c>
      <c r="B1703" s="213" t="s">
        <v>5676</v>
      </c>
      <c r="C1703" s="214">
        <v>385.0</v>
      </c>
      <c r="D1703" s="215" t="s">
        <v>6388</v>
      </c>
      <c r="E1703" s="197" t="str">
        <f t="array" ref="E1703">XLOOKUP(C1703,FSE!A:A,FSE!Z:Z,"XXXXX",0,1)</f>
        <v>Publicly Available (2)</v>
      </c>
      <c r="F1703" s="213" t="s">
        <v>3394</v>
      </c>
      <c r="G1703" s="163" t="str">
        <f t="array" ref="G1703">IF(B1703="ICSE",IF(COUNTIFS(B:B,B1703,C:C,C1703)=XLOOKUP(C1703,ICSE!A:A,ICSE!AA:AA,"ERROR",0,1),"OK","ERROR"),IF(B1703="FSE",IF(COUNTIFS(B:B,B1703,C:C,C1703)=XLOOKUP(C1703,FSE!A:A,FSE!AA:AA,"ERROR",0,1),"OK","ERROR")))</f>
        <v>OK</v>
      </c>
      <c r="H1703" s="199">
        <f t="shared" ref="H1703:O1703" si="8598">countif($D1703,"*"&amp;H$2&amp;"*")</f>
        <v>1</v>
      </c>
      <c r="I1703" s="200">
        <f t="shared" si="8598"/>
        <v>0</v>
      </c>
      <c r="J1703" s="200">
        <f t="shared" si="8598"/>
        <v>0</v>
      </c>
      <c r="K1703" s="200">
        <f t="shared" si="8598"/>
        <v>0</v>
      </c>
      <c r="L1703" s="200">
        <f t="shared" si="8598"/>
        <v>0</v>
      </c>
      <c r="M1703" s="200">
        <f t="shared" si="8598"/>
        <v>0</v>
      </c>
      <c r="N1703" s="200">
        <f t="shared" si="8598"/>
        <v>0</v>
      </c>
      <c r="O1703" s="200">
        <f t="shared" si="8598"/>
        <v>0</v>
      </c>
      <c r="P1703" s="200">
        <f t="shared" si="9"/>
        <v>0</v>
      </c>
      <c r="Q1703" s="200">
        <f t="shared" ref="Q1703:AC1703" si="8599">countif($D1703,"*"&amp;Q$2&amp;"*")</f>
        <v>0</v>
      </c>
      <c r="R1703" s="200">
        <f t="shared" si="8599"/>
        <v>0</v>
      </c>
      <c r="S1703" s="200">
        <f t="shared" si="8599"/>
        <v>0</v>
      </c>
      <c r="T1703" s="200">
        <f t="shared" si="8599"/>
        <v>0</v>
      </c>
      <c r="U1703" s="200">
        <f t="shared" si="8599"/>
        <v>0</v>
      </c>
      <c r="V1703" s="200">
        <f t="shared" si="8599"/>
        <v>0</v>
      </c>
      <c r="W1703" s="200">
        <f t="shared" si="8599"/>
        <v>0</v>
      </c>
      <c r="X1703" s="200">
        <f t="shared" si="8599"/>
        <v>0</v>
      </c>
      <c r="Y1703" s="200">
        <f t="shared" si="8599"/>
        <v>0</v>
      </c>
      <c r="Z1703" s="200">
        <f t="shared" si="8599"/>
        <v>0</v>
      </c>
      <c r="AA1703" s="200">
        <f t="shared" si="8599"/>
        <v>0</v>
      </c>
      <c r="AB1703" s="200">
        <f t="shared" si="8599"/>
        <v>0</v>
      </c>
      <c r="AC1703" s="200">
        <f t="shared" si="8599"/>
        <v>0</v>
      </c>
      <c r="AD1703" s="200">
        <f t="shared" si="11"/>
        <v>0</v>
      </c>
      <c r="AE1703" s="200">
        <f t="shared" ref="AE1703:AG1703" si="8600">countif($D1703,"*"&amp;AE$2&amp;"*")</f>
        <v>0</v>
      </c>
      <c r="AF1703" s="200">
        <f t="shared" si="8600"/>
        <v>0</v>
      </c>
      <c r="AG1703" s="200">
        <f t="shared" si="8600"/>
        <v>0</v>
      </c>
      <c r="AH1703" s="171">
        <f t="shared" si="13"/>
        <v>0</v>
      </c>
      <c r="AI1703" s="200">
        <f t="shared" si="14"/>
        <v>1</v>
      </c>
      <c r="AJ1703" s="200">
        <f t="shared" si="8575"/>
        <v>0</v>
      </c>
      <c r="AK1703" s="201">
        <f t="shared" ref="AK1703:AS1703" si="8601">countif($D1703,"*"&amp;AK$2&amp;"*")</f>
        <v>0</v>
      </c>
      <c r="AL1703" s="201">
        <f t="shared" si="8601"/>
        <v>0</v>
      </c>
      <c r="AM1703" s="201">
        <f t="shared" si="8601"/>
        <v>0</v>
      </c>
      <c r="AN1703" s="201">
        <f t="shared" si="8601"/>
        <v>0</v>
      </c>
      <c r="AO1703" s="201">
        <f t="shared" si="8601"/>
        <v>0</v>
      </c>
      <c r="AP1703" s="201">
        <f t="shared" si="8601"/>
        <v>0</v>
      </c>
      <c r="AQ1703" s="201">
        <f t="shared" si="8601"/>
        <v>0</v>
      </c>
      <c r="AR1703" s="200">
        <f t="shared" si="8601"/>
        <v>0</v>
      </c>
      <c r="AS1703" s="200">
        <f t="shared" si="8601"/>
        <v>0</v>
      </c>
      <c r="AT1703" s="173">
        <v>0.0</v>
      </c>
      <c r="AU1703" s="200">
        <f t="shared" ref="AU1703:AX1703" si="8602">countif($D1703,"*"&amp;AU$2&amp;"*")</f>
        <v>0</v>
      </c>
      <c r="AV1703" s="200">
        <f t="shared" si="8602"/>
        <v>0</v>
      </c>
      <c r="AW1703" s="200">
        <f t="shared" si="8602"/>
        <v>0</v>
      </c>
      <c r="AX1703" s="200">
        <f t="shared" si="8602"/>
        <v>1</v>
      </c>
      <c r="AY1703" s="202">
        <v>0.0</v>
      </c>
      <c r="AZ1703" s="200"/>
      <c r="BA1703" s="171" t="str">
        <f t="shared" si="18"/>
        <v>Archival</v>
      </c>
      <c r="BB1703" s="171" t="str">
        <f t="shared" si="19"/>
        <v/>
      </c>
      <c r="BC1703" s="171" t="str">
        <f t="shared" si="20"/>
        <v/>
      </c>
      <c r="BD1703" s="171" t="str">
        <f t="shared" si="21"/>
        <v/>
      </c>
      <c r="BE1703" s="171" t="str">
        <f t="shared" si="22"/>
        <v/>
      </c>
      <c r="BF1703" s="171" t="str">
        <f t="shared" si="23"/>
        <v>Archival</v>
      </c>
    </row>
    <row r="1704">
      <c r="A1704" s="213">
        <f t="array" ref="A1704">XLOOKUP(C1704,FSE!A:A,FSE!C:C,"XXXXX",0,1)</f>
        <v>2020</v>
      </c>
      <c r="B1704" s="213" t="s">
        <v>5676</v>
      </c>
      <c r="C1704" s="220">
        <v>385.0</v>
      </c>
      <c r="D1704" s="217" t="s">
        <v>6389</v>
      </c>
      <c r="E1704" s="221" t="str">
        <f t="array" ref="E1704">XLOOKUP(C1704,FSE!A:A,FSE!Z:Z,"XXXXX",0,1)</f>
        <v>Publicly Available (2)</v>
      </c>
      <c r="F1704" s="213" t="s">
        <v>3394</v>
      </c>
      <c r="G1704" s="163" t="str">
        <f t="array" ref="G1704">IF(B1704="ICSE",IF(COUNTIFS(B:B,B1704,C:C,C1704)=XLOOKUP(C1704,ICSE!A:A,ICSE!AA:AA,"ERROR",0,1),"OK","ERROR"),IF(B1704="FSE",IF(COUNTIFS(B:B,B1704,C:C,C1704)=XLOOKUP(C1704,FSE!A:A,FSE!AA:AA,"ERROR",0,1),"OK","ERROR")))</f>
        <v>OK</v>
      </c>
      <c r="H1704" s="199">
        <f t="shared" ref="H1704:O1704" si="8603">countif($D1704,"*"&amp;H$2&amp;"*")</f>
        <v>0</v>
      </c>
      <c r="I1704" s="200">
        <f t="shared" si="8603"/>
        <v>0</v>
      </c>
      <c r="J1704" s="200">
        <f t="shared" si="8603"/>
        <v>0</v>
      </c>
      <c r="K1704" s="200">
        <f t="shared" si="8603"/>
        <v>0</v>
      </c>
      <c r="L1704" s="200">
        <f t="shared" si="8603"/>
        <v>0</v>
      </c>
      <c r="M1704" s="200">
        <f t="shared" si="8603"/>
        <v>0</v>
      </c>
      <c r="N1704" s="200">
        <f t="shared" si="8603"/>
        <v>0</v>
      </c>
      <c r="O1704" s="200">
        <f t="shared" si="8603"/>
        <v>0</v>
      </c>
      <c r="P1704" s="200">
        <f t="shared" si="9"/>
        <v>1</v>
      </c>
      <c r="Q1704" s="200">
        <f t="shared" ref="Q1704:AC1704" si="8604">countif($D1704,"*"&amp;Q$2&amp;"*")</f>
        <v>0</v>
      </c>
      <c r="R1704" s="200">
        <f t="shared" si="8604"/>
        <v>0</v>
      </c>
      <c r="S1704" s="200">
        <f t="shared" si="8604"/>
        <v>0</v>
      </c>
      <c r="T1704" s="200">
        <f t="shared" si="8604"/>
        <v>0</v>
      </c>
      <c r="U1704" s="200">
        <f t="shared" si="8604"/>
        <v>0</v>
      </c>
      <c r="V1704" s="200">
        <f t="shared" si="8604"/>
        <v>0</v>
      </c>
      <c r="W1704" s="200">
        <f t="shared" si="8604"/>
        <v>0</v>
      </c>
      <c r="X1704" s="200">
        <f t="shared" si="8604"/>
        <v>0</v>
      </c>
      <c r="Y1704" s="200">
        <f t="shared" si="8604"/>
        <v>0</v>
      </c>
      <c r="Z1704" s="200">
        <f t="shared" si="8604"/>
        <v>0</v>
      </c>
      <c r="AA1704" s="200">
        <f t="shared" si="8604"/>
        <v>0</v>
      </c>
      <c r="AB1704" s="200">
        <f t="shared" si="8604"/>
        <v>0</v>
      </c>
      <c r="AC1704" s="200">
        <f t="shared" si="8604"/>
        <v>0</v>
      </c>
      <c r="AD1704" s="222">
        <f t="shared" si="11"/>
        <v>0</v>
      </c>
      <c r="AE1704" s="200">
        <f t="shared" ref="AE1704:AG1704" si="8605">countif($D1704,"*"&amp;AE$2&amp;"*")</f>
        <v>0</v>
      </c>
      <c r="AF1704" s="200">
        <f t="shared" si="8605"/>
        <v>0</v>
      </c>
      <c r="AG1704" s="200">
        <f t="shared" si="8605"/>
        <v>0</v>
      </c>
      <c r="AH1704" s="171">
        <f t="shared" si="13"/>
        <v>0</v>
      </c>
      <c r="AI1704" s="200">
        <f t="shared" si="14"/>
        <v>0</v>
      </c>
      <c r="AJ1704" s="200">
        <f t="shared" si="8575"/>
        <v>0</v>
      </c>
      <c r="AK1704" s="201">
        <f t="shared" ref="AK1704:AS1704" si="8606">countif($D1704,"*"&amp;AK$2&amp;"*")</f>
        <v>0</v>
      </c>
      <c r="AL1704" s="201">
        <f t="shared" si="8606"/>
        <v>0</v>
      </c>
      <c r="AM1704" s="201">
        <f t="shared" si="8606"/>
        <v>0</v>
      </c>
      <c r="AN1704" s="201">
        <f t="shared" si="8606"/>
        <v>0</v>
      </c>
      <c r="AO1704" s="201">
        <f t="shared" si="8606"/>
        <v>0</v>
      </c>
      <c r="AP1704" s="201">
        <f t="shared" si="8606"/>
        <v>0</v>
      </c>
      <c r="AQ1704" s="201">
        <f t="shared" si="8606"/>
        <v>0</v>
      </c>
      <c r="AR1704" s="222">
        <f t="shared" si="8606"/>
        <v>0</v>
      </c>
      <c r="AS1704" s="200">
        <f t="shared" si="8606"/>
        <v>1</v>
      </c>
      <c r="AT1704" s="223">
        <v>0.0</v>
      </c>
      <c r="AU1704" s="200">
        <f t="shared" ref="AU1704:AX1704" si="8607">countif($D1704,"*"&amp;AU$2&amp;"*")</f>
        <v>0</v>
      </c>
      <c r="AV1704" s="200">
        <f t="shared" si="8607"/>
        <v>1</v>
      </c>
      <c r="AW1704" s="200">
        <f t="shared" si="8607"/>
        <v>0</v>
      </c>
      <c r="AX1704" s="200">
        <f t="shared" si="8607"/>
        <v>0</v>
      </c>
      <c r="AY1704" s="202">
        <v>0.0</v>
      </c>
      <c r="AZ1704" s="200"/>
      <c r="BA1704" s="171" t="str">
        <f t="shared" si="18"/>
        <v/>
      </c>
      <c r="BB1704" s="171" t="str">
        <f t="shared" si="19"/>
        <v>Code</v>
      </c>
      <c r="BC1704" s="171" t="str">
        <f t="shared" si="20"/>
        <v/>
      </c>
      <c r="BD1704" s="171" t="str">
        <f t="shared" si="21"/>
        <v/>
      </c>
      <c r="BE1704" s="171" t="str">
        <f t="shared" si="22"/>
        <v/>
      </c>
      <c r="BF1704" s="171" t="str">
        <f t="shared" si="23"/>
        <v>Code</v>
      </c>
    </row>
    <row r="1705">
      <c r="A1705" s="171">
        <f t="array" ref="A1705">XLOOKUP(C1705,FSE!A:A,FSE!C:C,"XXXXX",0,1)</f>
        <v>2020</v>
      </c>
      <c r="B1705" s="213" t="s">
        <v>5676</v>
      </c>
      <c r="C1705" s="214">
        <v>386.0</v>
      </c>
      <c r="D1705" s="215" t="s">
        <v>4643</v>
      </c>
      <c r="E1705" s="197" t="str">
        <f t="array" ref="E1705">XLOOKUP(C1705,FSE!A:A,FSE!Z:Z,"XXXXX",0,1)</f>
        <v>Publicly Available (1)</v>
      </c>
      <c r="F1705" s="213" t="s">
        <v>3394</v>
      </c>
      <c r="G1705" s="163" t="str">
        <f t="array" ref="G1705">IF(B1705="ICSE",IF(COUNTIFS(B:B,B1705,C:C,C1705)=XLOOKUP(C1705,ICSE!A:A,ICSE!AA:AA,"ERROR",0,1),"OK","ERROR"),IF(B1705="FSE",IF(COUNTIFS(B:B,B1705,C:C,C1705)=XLOOKUP(C1705,FSE!A:A,FSE!AA:AA,"ERROR",0,1),"OK","ERROR")))</f>
        <v>OK</v>
      </c>
      <c r="H1705" s="199">
        <f t="shared" ref="H1705:O1705" si="8608">countif($D1705,"*"&amp;H$2&amp;"*")</f>
        <v>0</v>
      </c>
      <c r="I1705" s="200">
        <f t="shared" si="8608"/>
        <v>0</v>
      </c>
      <c r="J1705" s="200">
        <f t="shared" si="8608"/>
        <v>0</v>
      </c>
      <c r="K1705" s="200">
        <f t="shared" si="8608"/>
        <v>0</v>
      </c>
      <c r="L1705" s="200">
        <f t="shared" si="8608"/>
        <v>0</v>
      </c>
      <c r="M1705" s="200">
        <f t="shared" si="8608"/>
        <v>0</v>
      </c>
      <c r="N1705" s="200">
        <f t="shared" si="8608"/>
        <v>0</v>
      </c>
      <c r="O1705" s="200">
        <f t="shared" si="8608"/>
        <v>0</v>
      </c>
      <c r="P1705" s="200">
        <f t="shared" si="9"/>
        <v>1</v>
      </c>
      <c r="Q1705" s="200">
        <f t="shared" ref="Q1705:AC1705" si="8609">countif($D1705,"*"&amp;Q$2&amp;"*")</f>
        <v>0</v>
      </c>
      <c r="R1705" s="200">
        <f t="shared" si="8609"/>
        <v>0</v>
      </c>
      <c r="S1705" s="200">
        <f t="shared" si="8609"/>
        <v>0</v>
      </c>
      <c r="T1705" s="200">
        <f t="shared" si="8609"/>
        <v>0</v>
      </c>
      <c r="U1705" s="200">
        <f t="shared" si="8609"/>
        <v>0</v>
      </c>
      <c r="V1705" s="200">
        <f t="shared" si="8609"/>
        <v>0</v>
      </c>
      <c r="W1705" s="200">
        <f t="shared" si="8609"/>
        <v>0</v>
      </c>
      <c r="X1705" s="200">
        <f t="shared" si="8609"/>
        <v>0</v>
      </c>
      <c r="Y1705" s="200">
        <f t="shared" si="8609"/>
        <v>0</v>
      </c>
      <c r="Z1705" s="200">
        <f t="shared" si="8609"/>
        <v>0</v>
      </c>
      <c r="AA1705" s="200">
        <f t="shared" si="8609"/>
        <v>0</v>
      </c>
      <c r="AB1705" s="200">
        <f t="shared" si="8609"/>
        <v>0</v>
      </c>
      <c r="AC1705" s="200">
        <f t="shared" si="8609"/>
        <v>0</v>
      </c>
      <c r="AD1705" s="200">
        <f t="shared" si="11"/>
        <v>0</v>
      </c>
      <c r="AE1705" s="200">
        <f t="shared" ref="AE1705:AG1705" si="8610">countif($D1705,"*"&amp;AE$2&amp;"*")</f>
        <v>0</v>
      </c>
      <c r="AF1705" s="200">
        <f t="shared" si="8610"/>
        <v>0</v>
      </c>
      <c r="AG1705" s="200">
        <f t="shared" si="8610"/>
        <v>0</v>
      </c>
      <c r="AH1705" s="171">
        <f t="shared" si="13"/>
        <v>0</v>
      </c>
      <c r="AI1705" s="200">
        <f t="shared" si="14"/>
        <v>0</v>
      </c>
      <c r="AJ1705" s="200">
        <f t="shared" si="8575"/>
        <v>0</v>
      </c>
      <c r="AK1705" s="201">
        <f t="shared" ref="AK1705:AS1705" si="8611">countif($D1705,"*"&amp;AK$2&amp;"*")</f>
        <v>0</v>
      </c>
      <c r="AL1705" s="201">
        <f t="shared" si="8611"/>
        <v>0</v>
      </c>
      <c r="AM1705" s="201">
        <f t="shared" si="8611"/>
        <v>0</v>
      </c>
      <c r="AN1705" s="201">
        <f t="shared" si="8611"/>
        <v>0</v>
      </c>
      <c r="AO1705" s="201">
        <f t="shared" si="8611"/>
        <v>0</v>
      </c>
      <c r="AP1705" s="201">
        <f t="shared" si="8611"/>
        <v>0</v>
      </c>
      <c r="AQ1705" s="201">
        <f t="shared" si="8611"/>
        <v>0</v>
      </c>
      <c r="AR1705" s="200">
        <f t="shared" si="8611"/>
        <v>0</v>
      </c>
      <c r="AS1705" s="200">
        <f t="shared" si="8611"/>
        <v>0</v>
      </c>
      <c r="AT1705" s="173">
        <v>0.0</v>
      </c>
      <c r="AU1705" s="200">
        <f t="shared" ref="AU1705:AX1705" si="8612">countif($D1705,"*"&amp;AU$2&amp;"*")</f>
        <v>0</v>
      </c>
      <c r="AV1705" s="200">
        <f t="shared" si="8612"/>
        <v>1</v>
      </c>
      <c r="AW1705" s="200">
        <f t="shared" si="8612"/>
        <v>0</v>
      </c>
      <c r="AX1705" s="200">
        <f t="shared" si="8612"/>
        <v>0</v>
      </c>
      <c r="AY1705" s="202">
        <v>0.0</v>
      </c>
      <c r="AZ1705" s="200"/>
      <c r="BA1705" s="171" t="str">
        <f t="shared" si="18"/>
        <v/>
      </c>
      <c r="BB1705" s="171" t="str">
        <f t="shared" si="19"/>
        <v>Code</v>
      </c>
      <c r="BC1705" s="171" t="str">
        <f t="shared" si="20"/>
        <v/>
      </c>
      <c r="BD1705" s="171" t="str">
        <f t="shared" si="21"/>
        <v/>
      </c>
      <c r="BE1705" s="171" t="str">
        <f t="shared" si="22"/>
        <v/>
      </c>
      <c r="BF1705" s="171" t="str">
        <f t="shared" si="23"/>
        <v>Code</v>
      </c>
    </row>
    <row r="1706">
      <c r="A1706" s="171">
        <f t="array" ref="A1706">XLOOKUP(C1706,FSE!A:A,FSE!C:C,"XXXXX",0,1)</f>
        <v>2020</v>
      </c>
      <c r="B1706" s="213" t="s">
        <v>5676</v>
      </c>
      <c r="C1706" s="214">
        <v>387.0</v>
      </c>
      <c r="D1706" s="215" t="s">
        <v>4646</v>
      </c>
      <c r="E1706" s="197" t="str">
        <f t="array" ref="E1706">XLOOKUP(C1706,FSE!A:A,FSE!Z:Z,"XXXXX",0,1)</f>
        <v>Publicly Available (1)</v>
      </c>
      <c r="F1706" s="213" t="s">
        <v>3394</v>
      </c>
      <c r="G1706" s="163" t="str">
        <f t="array" ref="G1706">IF(B1706="ICSE",IF(COUNTIFS(B:B,B1706,C:C,C1706)=XLOOKUP(C1706,ICSE!A:A,ICSE!AA:AA,"ERROR",0,1),"OK","ERROR"),IF(B1706="FSE",IF(COUNTIFS(B:B,B1706,C:C,C1706)=XLOOKUP(C1706,FSE!A:A,FSE!AA:AA,"ERROR",0,1),"OK","ERROR")))</f>
        <v>OK</v>
      </c>
      <c r="H1706" s="199">
        <f t="shared" ref="H1706:O1706" si="8613">countif($D1706,"*"&amp;H$2&amp;"*")</f>
        <v>0</v>
      </c>
      <c r="I1706" s="200">
        <f t="shared" si="8613"/>
        <v>0</v>
      </c>
      <c r="J1706" s="200">
        <f t="shared" si="8613"/>
        <v>0</v>
      </c>
      <c r="K1706" s="200">
        <f t="shared" si="8613"/>
        <v>0</v>
      </c>
      <c r="L1706" s="200">
        <f t="shared" si="8613"/>
        <v>0</v>
      </c>
      <c r="M1706" s="200">
        <f t="shared" si="8613"/>
        <v>0</v>
      </c>
      <c r="N1706" s="200">
        <f t="shared" si="8613"/>
        <v>0</v>
      </c>
      <c r="O1706" s="200">
        <f t="shared" si="8613"/>
        <v>0</v>
      </c>
      <c r="P1706" s="200">
        <f t="shared" si="9"/>
        <v>1</v>
      </c>
      <c r="Q1706" s="200">
        <f t="shared" ref="Q1706:AC1706" si="8614">countif($D1706,"*"&amp;Q$2&amp;"*")</f>
        <v>0</v>
      </c>
      <c r="R1706" s="200">
        <f t="shared" si="8614"/>
        <v>0</v>
      </c>
      <c r="S1706" s="200">
        <f t="shared" si="8614"/>
        <v>0</v>
      </c>
      <c r="T1706" s="200">
        <f t="shared" si="8614"/>
        <v>0</v>
      </c>
      <c r="U1706" s="200">
        <f t="shared" si="8614"/>
        <v>0</v>
      </c>
      <c r="V1706" s="200">
        <f t="shared" si="8614"/>
        <v>0</v>
      </c>
      <c r="W1706" s="200">
        <f t="shared" si="8614"/>
        <v>0</v>
      </c>
      <c r="X1706" s="200">
        <f t="shared" si="8614"/>
        <v>0</v>
      </c>
      <c r="Y1706" s="200">
        <f t="shared" si="8614"/>
        <v>0</v>
      </c>
      <c r="Z1706" s="200">
        <f t="shared" si="8614"/>
        <v>0</v>
      </c>
      <c r="AA1706" s="200">
        <f t="shared" si="8614"/>
        <v>0</v>
      </c>
      <c r="AB1706" s="200">
        <f t="shared" si="8614"/>
        <v>0</v>
      </c>
      <c r="AC1706" s="200">
        <f t="shared" si="8614"/>
        <v>0</v>
      </c>
      <c r="AD1706" s="200">
        <f t="shared" si="11"/>
        <v>0</v>
      </c>
      <c r="AE1706" s="200">
        <f t="shared" ref="AE1706:AG1706" si="8615">countif($D1706,"*"&amp;AE$2&amp;"*")</f>
        <v>0</v>
      </c>
      <c r="AF1706" s="200">
        <f t="shared" si="8615"/>
        <v>0</v>
      </c>
      <c r="AG1706" s="200">
        <f t="shared" si="8615"/>
        <v>0</v>
      </c>
      <c r="AH1706" s="171">
        <f t="shared" si="13"/>
        <v>0</v>
      </c>
      <c r="AI1706" s="200">
        <f t="shared" si="14"/>
        <v>0</v>
      </c>
      <c r="AJ1706" s="200">
        <f t="shared" si="8575"/>
        <v>0</v>
      </c>
      <c r="AK1706" s="201">
        <f t="shared" ref="AK1706:AS1706" si="8616">countif($D1706,"*"&amp;AK$2&amp;"*")</f>
        <v>0</v>
      </c>
      <c r="AL1706" s="201">
        <f t="shared" si="8616"/>
        <v>0</v>
      </c>
      <c r="AM1706" s="201">
        <f t="shared" si="8616"/>
        <v>0</v>
      </c>
      <c r="AN1706" s="201">
        <f t="shared" si="8616"/>
        <v>0</v>
      </c>
      <c r="AO1706" s="201">
        <f t="shared" si="8616"/>
        <v>0</v>
      </c>
      <c r="AP1706" s="201">
        <f t="shared" si="8616"/>
        <v>0</v>
      </c>
      <c r="AQ1706" s="201">
        <f t="shared" si="8616"/>
        <v>0</v>
      </c>
      <c r="AR1706" s="200">
        <f t="shared" si="8616"/>
        <v>0</v>
      </c>
      <c r="AS1706" s="200">
        <f t="shared" si="8616"/>
        <v>0</v>
      </c>
      <c r="AT1706" s="173">
        <v>0.0</v>
      </c>
      <c r="AU1706" s="200">
        <f t="shared" ref="AU1706:AX1706" si="8617">countif($D1706,"*"&amp;AU$2&amp;"*")</f>
        <v>0</v>
      </c>
      <c r="AV1706" s="200">
        <f t="shared" si="8617"/>
        <v>1</v>
      </c>
      <c r="AW1706" s="200">
        <f t="shared" si="8617"/>
        <v>0</v>
      </c>
      <c r="AX1706" s="200">
        <f t="shared" si="8617"/>
        <v>0</v>
      </c>
      <c r="AY1706" s="202">
        <v>0.0</v>
      </c>
      <c r="AZ1706" s="200"/>
      <c r="BA1706" s="171" t="str">
        <f t="shared" si="18"/>
        <v/>
      </c>
      <c r="BB1706" s="171" t="str">
        <f t="shared" si="19"/>
        <v>Code</v>
      </c>
      <c r="BC1706" s="171" t="str">
        <f t="shared" si="20"/>
        <v/>
      </c>
      <c r="BD1706" s="171" t="str">
        <f t="shared" si="21"/>
        <v/>
      </c>
      <c r="BE1706" s="171" t="str">
        <f t="shared" si="22"/>
        <v/>
      </c>
      <c r="BF1706" s="171" t="str">
        <f t="shared" si="23"/>
        <v>Code</v>
      </c>
    </row>
    <row r="1707">
      <c r="A1707" s="171">
        <f t="array" ref="A1707">XLOOKUP(C1707,FSE!A:A,FSE!C:C,"XXXXX",0,1)</f>
        <v>2020</v>
      </c>
      <c r="B1707" s="213" t="s">
        <v>5676</v>
      </c>
      <c r="C1707" s="214">
        <v>388.0</v>
      </c>
      <c r="D1707" s="215" t="s">
        <v>6390</v>
      </c>
      <c r="E1707" s="197" t="str">
        <f t="array" ref="E1707">XLOOKUP(C1707,FSE!A:A,FSE!Z:Z,"XXXXX",0,1)</f>
        <v>Publicly Available (2)</v>
      </c>
      <c r="F1707" s="213" t="s">
        <v>3394</v>
      </c>
      <c r="G1707" s="163" t="str">
        <f t="array" ref="G1707">IF(B1707="ICSE",IF(COUNTIFS(B:B,B1707,C:C,C1707)=XLOOKUP(C1707,ICSE!A:A,ICSE!AA:AA,"ERROR",0,1),"OK","ERROR"),IF(B1707="FSE",IF(COUNTIFS(B:B,B1707,C:C,C1707)=XLOOKUP(C1707,FSE!A:A,FSE!AA:AA,"ERROR",0,1),"OK","ERROR")))</f>
        <v>OK</v>
      </c>
      <c r="H1707" s="199">
        <f t="shared" ref="H1707:O1707" si="8618">countif($D1707,"*"&amp;H$2&amp;"*")</f>
        <v>0</v>
      </c>
      <c r="I1707" s="200">
        <f t="shared" si="8618"/>
        <v>0</v>
      </c>
      <c r="J1707" s="200">
        <f t="shared" si="8618"/>
        <v>0</v>
      </c>
      <c r="K1707" s="200">
        <f t="shared" si="8618"/>
        <v>0</v>
      </c>
      <c r="L1707" s="200">
        <f t="shared" si="8618"/>
        <v>0</v>
      </c>
      <c r="M1707" s="200">
        <f t="shared" si="8618"/>
        <v>0</v>
      </c>
      <c r="N1707" s="200">
        <f t="shared" si="8618"/>
        <v>0</v>
      </c>
      <c r="O1707" s="200">
        <f t="shared" si="8618"/>
        <v>0</v>
      </c>
      <c r="P1707" s="200">
        <f t="shared" si="9"/>
        <v>1</v>
      </c>
      <c r="Q1707" s="200">
        <f t="shared" ref="Q1707:AC1707" si="8619">countif($D1707,"*"&amp;Q$2&amp;"*")</f>
        <v>0</v>
      </c>
      <c r="R1707" s="200">
        <f t="shared" si="8619"/>
        <v>0</v>
      </c>
      <c r="S1707" s="200">
        <f t="shared" si="8619"/>
        <v>0</v>
      </c>
      <c r="T1707" s="200">
        <f t="shared" si="8619"/>
        <v>0</v>
      </c>
      <c r="U1707" s="200">
        <f t="shared" si="8619"/>
        <v>0</v>
      </c>
      <c r="V1707" s="200">
        <f t="shared" si="8619"/>
        <v>0</v>
      </c>
      <c r="W1707" s="200">
        <f t="shared" si="8619"/>
        <v>0</v>
      </c>
      <c r="X1707" s="200">
        <f t="shared" si="8619"/>
        <v>0</v>
      </c>
      <c r="Y1707" s="200">
        <f t="shared" si="8619"/>
        <v>0</v>
      </c>
      <c r="Z1707" s="200">
        <f t="shared" si="8619"/>
        <v>0</v>
      </c>
      <c r="AA1707" s="200">
        <f t="shared" si="8619"/>
        <v>0</v>
      </c>
      <c r="AB1707" s="200">
        <f t="shared" si="8619"/>
        <v>0</v>
      </c>
      <c r="AC1707" s="200">
        <f t="shared" si="8619"/>
        <v>0</v>
      </c>
      <c r="AD1707" s="200">
        <f t="shared" si="11"/>
        <v>0</v>
      </c>
      <c r="AE1707" s="200">
        <f t="shared" ref="AE1707:AG1707" si="8620">countif($D1707,"*"&amp;AE$2&amp;"*")</f>
        <v>0</v>
      </c>
      <c r="AF1707" s="200">
        <f t="shared" si="8620"/>
        <v>0</v>
      </c>
      <c r="AG1707" s="200">
        <f t="shared" si="8620"/>
        <v>0</v>
      </c>
      <c r="AH1707" s="171">
        <f t="shared" si="13"/>
        <v>0</v>
      </c>
      <c r="AI1707" s="200">
        <f t="shared" si="14"/>
        <v>0</v>
      </c>
      <c r="AJ1707" s="200">
        <f t="shared" si="8575"/>
        <v>0</v>
      </c>
      <c r="AK1707" s="201">
        <f t="shared" ref="AK1707:AS1707" si="8621">countif($D1707,"*"&amp;AK$2&amp;"*")</f>
        <v>0</v>
      </c>
      <c r="AL1707" s="201">
        <f t="shared" si="8621"/>
        <v>0</v>
      </c>
      <c r="AM1707" s="201">
        <f t="shared" si="8621"/>
        <v>0</v>
      </c>
      <c r="AN1707" s="201">
        <f t="shared" si="8621"/>
        <v>0</v>
      </c>
      <c r="AO1707" s="201">
        <f t="shared" si="8621"/>
        <v>0</v>
      </c>
      <c r="AP1707" s="201">
        <f t="shared" si="8621"/>
        <v>0</v>
      </c>
      <c r="AQ1707" s="201">
        <f t="shared" si="8621"/>
        <v>0</v>
      </c>
      <c r="AR1707" s="200">
        <f t="shared" si="8621"/>
        <v>0</v>
      </c>
      <c r="AS1707" s="200">
        <f t="shared" si="8621"/>
        <v>0</v>
      </c>
      <c r="AT1707" s="173">
        <v>0.0</v>
      </c>
      <c r="AU1707" s="200">
        <f t="shared" ref="AU1707:AX1707" si="8622">countif($D1707,"*"&amp;AU$2&amp;"*")</f>
        <v>0</v>
      </c>
      <c r="AV1707" s="200">
        <f t="shared" si="8622"/>
        <v>1</v>
      </c>
      <c r="AW1707" s="200">
        <f t="shared" si="8622"/>
        <v>0</v>
      </c>
      <c r="AX1707" s="200">
        <f t="shared" si="8622"/>
        <v>0</v>
      </c>
      <c r="AY1707" s="202">
        <v>0.0</v>
      </c>
      <c r="AZ1707" s="200"/>
      <c r="BA1707" s="171" t="str">
        <f t="shared" si="18"/>
        <v/>
      </c>
      <c r="BB1707" s="171" t="str">
        <f t="shared" si="19"/>
        <v>Code</v>
      </c>
      <c r="BC1707" s="171" t="str">
        <f t="shared" si="20"/>
        <v/>
      </c>
      <c r="BD1707" s="171" t="str">
        <f t="shared" si="21"/>
        <v/>
      </c>
      <c r="BE1707" s="171" t="str">
        <f t="shared" si="22"/>
        <v/>
      </c>
      <c r="BF1707" s="171" t="str">
        <f t="shared" si="23"/>
        <v>Code</v>
      </c>
    </row>
    <row r="1708">
      <c r="A1708" s="171">
        <f t="array" ref="A1708">XLOOKUP(C1708,FSE!A:A,FSE!C:C,"XXXXX",0,1)</f>
        <v>2020</v>
      </c>
      <c r="B1708" s="213" t="s">
        <v>5676</v>
      </c>
      <c r="C1708" s="214">
        <v>388.0</v>
      </c>
      <c r="D1708" s="215" t="s">
        <v>6391</v>
      </c>
      <c r="E1708" s="197" t="str">
        <f t="array" ref="E1708">XLOOKUP(C1708,FSE!A:A,FSE!Z:Z,"XXXXX",0,1)</f>
        <v>Publicly Available (2)</v>
      </c>
      <c r="F1708" s="213" t="s">
        <v>3394</v>
      </c>
      <c r="G1708" s="163" t="str">
        <f t="array" ref="G1708">IF(B1708="ICSE",IF(COUNTIFS(B:B,B1708,C:C,C1708)=XLOOKUP(C1708,ICSE!A:A,ICSE!AA:AA,"ERROR",0,1),"OK","ERROR"),IF(B1708="FSE",IF(COUNTIFS(B:B,B1708,C:C,C1708)=XLOOKUP(C1708,FSE!A:A,FSE!AA:AA,"ERROR",0,1),"OK","ERROR")))</f>
        <v>OK</v>
      </c>
      <c r="H1708" s="199">
        <f t="shared" ref="H1708:O1708" si="8623">countif($D1708,"*"&amp;H$2&amp;"*")</f>
        <v>0</v>
      </c>
      <c r="I1708" s="200">
        <f t="shared" si="8623"/>
        <v>0</v>
      </c>
      <c r="J1708" s="200">
        <f t="shared" si="8623"/>
        <v>0</v>
      </c>
      <c r="K1708" s="200">
        <f t="shared" si="8623"/>
        <v>0</v>
      </c>
      <c r="L1708" s="200">
        <f t="shared" si="8623"/>
        <v>0</v>
      </c>
      <c r="M1708" s="200">
        <f t="shared" si="8623"/>
        <v>0</v>
      </c>
      <c r="N1708" s="200">
        <f t="shared" si="8623"/>
        <v>0</v>
      </c>
      <c r="O1708" s="200">
        <f t="shared" si="8623"/>
        <v>0</v>
      </c>
      <c r="P1708" s="200">
        <f t="shared" si="9"/>
        <v>1</v>
      </c>
      <c r="Q1708" s="200">
        <f t="shared" ref="Q1708:AC1708" si="8624">countif($D1708,"*"&amp;Q$2&amp;"*")</f>
        <v>0</v>
      </c>
      <c r="R1708" s="200">
        <f t="shared" si="8624"/>
        <v>0</v>
      </c>
      <c r="S1708" s="200">
        <f t="shared" si="8624"/>
        <v>0</v>
      </c>
      <c r="T1708" s="200">
        <f t="shared" si="8624"/>
        <v>0</v>
      </c>
      <c r="U1708" s="200">
        <f t="shared" si="8624"/>
        <v>0</v>
      </c>
      <c r="V1708" s="200">
        <f t="shared" si="8624"/>
        <v>0</v>
      </c>
      <c r="W1708" s="200">
        <f t="shared" si="8624"/>
        <v>0</v>
      </c>
      <c r="X1708" s="200">
        <f t="shared" si="8624"/>
        <v>0</v>
      </c>
      <c r="Y1708" s="200">
        <f t="shared" si="8624"/>
        <v>0</v>
      </c>
      <c r="Z1708" s="200">
        <f t="shared" si="8624"/>
        <v>0</v>
      </c>
      <c r="AA1708" s="200">
        <f t="shared" si="8624"/>
        <v>0</v>
      </c>
      <c r="AB1708" s="200">
        <f t="shared" si="8624"/>
        <v>0</v>
      </c>
      <c r="AC1708" s="200">
        <f t="shared" si="8624"/>
        <v>0</v>
      </c>
      <c r="AD1708" s="200">
        <f t="shared" si="11"/>
        <v>0</v>
      </c>
      <c r="AE1708" s="200">
        <f t="shared" ref="AE1708:AG1708" si="8625">countif($D1708,"*"&amp;AE$2&amp;"*")</f>
        <v>0</v>
      </c>
      <c r="AF1708" s="200">
        <f t="shared" si="8625"/>
        <v>0</v>
      </c>
      <c r="AG1708" s="200">
        <f t="shared" si="8625"/>
        <v>0</v>
      </c>
      <c r="AH1708" s="171">
        <f t="shared" si="13"/>
        <v>0</v>
      </c>
      <c r="AI1708" s="200">
        <f t="shared" si="14"/>
        <v>0</v>
      </c>
      <c r="AJ1708" s="200">
        <f t="shared" si="8575"/>
        <v>0</v>
      </c>
      <c r="AK1708" s="201">
        <f t="shared" ref="AK1708:AS1708" si="8626">countif($D1708,"*"&amp;AK$2&amp;"*")</f>
        <v>0</v>
      </c>
      <c r="AL1708" s="201">
        <f t="shared" si="8626"/>
        <v>0</v>
      </c>
      <c r="AM1708" s="201">
        <f t="shared" si="8626"/>
        <v>0</v>
      </c>
      <c r="AN1708" s="201">
        <f t="shared" si="8626"/>
        <v>0</v>
      </c>
      <c r="AO1708" s="201">
        <f t="shared" si="8626"/>
        <v>0</v>
      </c>
      <c r="AP1708" s="201">
        <f t="shared" si="8626"/>
        <v>0</v>
      </c>
      <c r="AQ1708" s="201">
        <f t="shared" si="8626"/>
        <v>0</v>
      </c>
      <c r="AR1708" s="200">
        <f t="shared" si="8626"/>
        <v>0</v>
      </c>
      <c r="AS1708" s="200">
        <f t="shared" si="8626"/>
        <v>0</v>
      </c>
      <c r="AT1708" s="173">
        <v>0.0</v>
      </c>
      <c r="AU1708" s="200">
        <f t="shared" ref="AU1708:AX1708" si="8627">countif($D1708,"*"&amp;AU$2&amp;"*")</f>
        <v>0</v>
      </c>
      <c r="AV1708" s="200">
        <f t="shared" si="8627"/>
        <v>1</v>
      </c>
      <c r="AW1708" s="200">
        <f t="shared" si="8627"/>
        <v>0</v>
      </c>
      <c r="AX1708" s="200">
        <f t="shared" si="8627"/>
        <v>0</v>
      </c>
      <c r="AY1708" s="202">
        <v>0.0</v>
      </c>
      <c r="AZ1708" s="200"/>
      <c r="BA1708" s="171" t="str">
        <f t="shared" si="18"/>
        <v/>
      </c>
      <c r="BB1708" s="171" t="str">
        <f t="shared" si="19"/>
        <v>Code</v>
      </c>
      <c r="BC1708" s="171" t="str">
        <f t="shared" si="20"/>
        <v/>
      </c>
      <c r="BD1708" s="171" t="str">
        <f t="shared" si="21"/>
        <v/>
      </c>
      <c r="BE1708" s="171" t="str">
        <f t="shared" si="22"/>
        <v/>
      </c>
      <c r="BF1708" s="171" t="str">
        <f t="shared" si="23"/>
        <v>Code</v>
      </c>
    </row>
    <row r="1709">
      <c r="A1709" s="171">
        <f t="array" ref="A1709">XLOOKUP(C1709,FSE!A:A,FSE!C:C,"XXXXX",0,1)</f>
        <v>2020</v>
      </c>
      <c r="B1709" s="213" t="s">
        <v>5676</v>
      </c>
      <c r="C1709" s="214">
        <v>389.0</v>
      </c>
      <c r="D1709" s="215" t="s">
        <v>4652</v>
      </c>
      <c r="E1709" s="197" t="str">
        <f t="array" ref="E1709">XLOOKUP(C1709,FSE!A:A,FSE!Z:Z,"XXXXX",0,1)</f>
        <v>Publicly Available (1)</v>
      </c>
      <c r="F1709" s="213" t="s">
        <v>3394</v>
      </c>
      <c r="G1709" s="163" t="str">
        <f t="array" ref="G1709">IF(B1709="ICSE",IF(COUNTIFS(B:B,B1709,C:C,C1709)=XLOOKUP(C1709,ICSE!A:A,ICSE!AA:AA,"ERROR",0,1),"OK","ERROR"),IF(B1709="FSE",IF(COUNTIFS(B:B,B1709,C:C,C1709)=XLOOKUP(C1709,FSE!A:A,FSE!AA:AA,"ERROR",0,1),"OK","ERROR")))</f>
        <v>OK</v>
      </c>
      <c r="H1709" s="199">
        <f t="shared" ref="H1709:O1709" si="8628">countif($D1709,"*"&amp;H$2&amp;"*")</f>
        <v>0</v>
      </c>
      <c r="I1709" s="200">
        <f t="shared" si="8628"/>
        <v>0</v>
      </c>
      <c r="J1709" s="200">
        <f t="shared" si="8628"/>
        <v>0</v>
      </c>
      <c r="K1709" s="200">
        <f t="shared" si="8628"/>
        <v>0</v>
      </c>
      <c r="L1709" s="200">
        <f t="shared" si="8628"/>
        <v>0</v>
      </c>
      <c r="M1709" s="200">
        <f t="shared" si="8628"/>
        <v>0</v>
      </c>
      <c r="N1709" s="200">
        <f t="shared" si="8628"/>
        <v>0</v>
      </c>
      <c r="O1709" s="200">
        <f t="shared" si="8628"/>
        <v>0</v>
      </c>
      <c r="P1709" s="200">
        <f t="shared" si="9"/>
        <v>1</v>
      </c>
      <c r="Q1709" s="200">
        <f t="shared" ref="Q1709:AC1709" si="8629">countif($D1709,"*"&amp;Q$2&amp;"*")</f>
        <v>0</v>
      </c>
      <c r="R1709" s="200">
        <f t="shared" si="8629"/>
        <v>0</v>
      </c>
      <c r="S1709" s="200">
        <f t="shared" si="8629"/>
        <v>0</v>
      </c>
      <c r="T1709" s="200">
        <f t="shared" si="8629"/>
        <v>0</v>
      </c>
      <c r="U1709" s="200">
        <f t="shared" si="8629"/>
        <v>0</v>
      </c>
      <c r="V1709" s="200">
        <f t="shared" si="8629"/>
        <v>0</v>
      </c>
      <c r="W1709" s="200">
        <f t="shared" si="8629"/>
        <v>0</v>
      </c>
      <c r="X1709" s="200">
        <f t="shared" si="8629"/>
        <v>0</v>
      </c>
      <c r="Y1709" s="200">
        <f t="shared" si="8629"/>
        <v>0</v>
      </c>
      <c r="Z1709" s="200">
        <f t="shared" si="8629"/>
        <v>0</v>
      </c>
      <c r="AA1709" s="200">
        <f t="shared" si="8629"/>
        <v>0</v>
      </c>
      <c r="AB1709" s="200">
        <f t="shared" si="8629"/>
        <v>0</v>
      </c>
      <c r="AC1709" s="200">
        <f t="shared" si="8629"/>
        <v>0</v>
      </c>
      <c r="AD1709" s="200">
        <f t="shared" si="11"/>
        <v>0</v>
      </c>
      <c r="AE1709" s="200">
        <f t="shared" ref="AE1709:AG1709" si="8630">countif($D1709,"*"&amp;AE$2&amp;"*")</f>
        <v>0</v>
      </c>
      <c r="AF1709" s="200">
        <f t="shared" si="8630"/>
        <v>0</v>
      </c>
      <c r="AG1709" s="200">
        <f t="shared" si="8630"/>
        <v>0</v>
      </c>
      <c r="AH1709" s="171">
        <f t="shared" si="13"/>
        <v>0</v>
      </c>
      <c r="AI1709" s="200">
        <f t="shared" si="14"/>
        <v>0</v>
      </c>
      <c r="AJ1709" s="200">
        <f t="shared" si="8575"/>
        <v>0</v>
      </c>
      <c r="AK1709" s="201">
        <f t="shared" ref="AK1709:AS1709" si="8631">countif($D1709,"*"&amp;AK$2&amp;"*")</f>
        <v>0</v>
      </c>
      <c r="AL1709" s="201">
        <f t="shared" si="8631"/>
        <v>0</v>
      </c>
      <c r="AM1709" s="201">
        <f t="shared" si="8631"/>
        <v>0</v>
      </c>
      <c r="AN1709" s="201">
        <f t="shared" si="8631"/>
        <v>0</v>
      </c>
      <c r="AO1709" s="201">
        <f t="shared" si="8631"/>
        <v>0</v>
      </c>
      <c r="AP1709" s="201">
        <f t="shared" si="8631"/>
        <v>0</v>
      </c>
      <c r="AQ1709" s="201">
        <f t="shared" si="8631"/>
        <v>0</v>
      </c>
      <c r="AR1709" s="200">
        <f t="shared" si="8631"/>
        <v>0</v>
      </c>
      <c r="AS1709" s="200">
        <f t="shared" si="8631"/>
        <v>0</v>
      </c>
      <c r="AT1709" s="173">
        <v>0.0</v>
      </c>
      <c r="AU1709" s="200">
        <f t="shared" ref="AU1709:AX1709" si="8632">countif($D1709,"*"&amp;AU$2&amp;"*")</f>
        <v>0</v>
      </c>
      <c r="AV1709" s="200">
        <f t="shared" si="8632"/>
        <v>1</v>
      </c>
      <c r="AW1709" s="200">
        <f t="shared" si="8632"/>
        <v>0</v>
      </c>
      <c r="AX1709" s="200">
        <f t="shared" si="8632"/>
        <v>0</v>
      </c>
      <c r="AY1709" s="202">
        <v>0.0</v>
      </c>
      <c r="AZ1709" s="200"/>
      <c r="BA1709" s="171" t="str">
        <f t="shared" si="18"/>
        <v/>
      </c>
      <c r="BB1709" s="171" t="str">
        <f t="shared" si="19"/>
        <v>Code</v>
      </c>
      <c r="BC1709" s="171" t="str">
        <f t="shared" si="20"/>
        <v/>
      </c>
      <c r="BD1709" s="171" t="str">
        <f t="shared" si="21"/>
        <v/>
      </c>
      <c r="BE1709" s="171" t="str">
        <f t="shared" si="22"/>
        <v/>
      </c>
      <c r="BF1709" s="171" t="str">
        <f t="shared" si="23"/>
        <v>Code</v>
      </c>
    </row>
    <row r="1710">
      <c r="A1710" s="171">
        <f t="array" ref="A1710">XLOOKUP(C1710,FSE!A:A,FSE!C:C,"XXXXX",0,1)</f>
        <v>2020</v>
      </c>
      <c r="B1710" s="213" t="s">
        <v>5676</v>
      </c>
      <c r="C1710" s="214">
        <v>390.0</v>
      </c>
      <c r="D1710" s="215" t="s">
        <v>6392</v>
      </c>
      <c r="E1710" s="197" t="str">
        <f t="array" ref="E1710">XLOOKUP(C1710,FSE!A:A,FSE!Z:Z,"XXXXX",0,1)</f>
        <v>Publicly Available (2)</v>
      </c>
      <c r="F1710" s="213" t="s">
        <v>3394</v>
      </c>
      <c r="G1710" s="163" t="str">
        <f t="array" ref="G1710">IF(B1710="ICSE",IF(COUNTIFS(B:B,B1710,C:C,C1710)=XLOOKUP(C1710,ICSE!A:A,ICSE!AA:AA,"ERROR",0,1),"OK","ERROR"),IF(B1710="FSE",IF(COUNTIFS(B:B,B1710,C:C,C1710)=XLOOKUP(C1710,FSE!A:A,FSE!AA:AA,"ERROR",0,1),"OK","ERROR")))</f>
        <v>OK</v>
      </c>
      <c r="H1710" s="199">
        <f t="shared" ref="H1710:O1710" si="8633">countif($D1710,"*"&amp;H$2&amp;"*")</f>
        <v>0</v>
      </c>
      <c r="I1710" s="200">
        <f t="shared" si="8633"/>
        <v>0</v>
      </c>
      <c r="J1710" s="200">
        <f t="shared" si="8633"/>
        <v>0</v>
      </c>
      <c r="K1710" s="200">
        <f t="shared" si="8633"/>
        <v>0</v>
      </c>
      <c r="L1710" s="200">
        <f t="shared" si="8633"/>
        <v>0</v>
      </c>
      <c r="M1710" s="200">
        <f t="shared" si="8633"/>
        <v>0</v>
      </c>
      <c r="N1710" s="200">
        <f t="shared" si="8633"/>
        <v>0</v>
      </c>
      <c r="O1710" s="200">
        <f t="shared" si="8633"/>
        <v>0</v>
      </c>
      <c r="P1710" s="200">
        <f t="shared" si="9"/>
        <v>1</v>
      </c>
      <c r="Q1710" s="200">
        <f t="shared" ref="Q1710:AC1710" si="8634">countif($D1710,"*"&amp;Q$2&amp;"*")</f>
        <v>0</v>
      </c>
      <c r="R1710" s="200">
        <f t="shared" si="8634"/>
        <v>0</v>
      </c>
      <c r="S1710" s="200">
        <f t="shared" si="8634"/>
        <v>0</v>
      </c>
      <c r="T1710" s="200">
        <f t="shared" si="8634"/>
        <v>0</v>
      </c>
      <c r="U1710" s="200">
        <f t="shared" si="8634"/>
        <v>0</v>
      </c>
      <c r="V1710" s="200">
        <f t="shared" si="8634"/>
        <v>0</v>
      </c>
      <c r="W1710" s="200">
        <f t="shared" si="8634"/>
        <v>0</v>
      </c>
      <c r="X1710" s="200">
        <f t="shared" si="8634"/>
        <v>0</v>
      </c>
      <c r="Y1710" s="200">
        <f t="shared" si="8634"/>
        <v>0</v>
      </c>
      <c r="Z1710" s="200">
        <f t="shared" si="8634"/>
        <v>0</v>
      </c>
      <c r="AA1710" s="200">
        <f t="shared" si="8634"/>
        <v>0</v>
      </c>
      <c r="AB1710" s="200">
        <f t="shared" si="8634"/>
        <v>0</v>
      </c>
      <c r="AC1710" s="200">
        <f t="shared" si="8634"/>
        <v>0</v>
      </c>
      <c r="AD1710" s="200">
        <f t="shared" si="11"/>
        <v>0</v>
      </c>
      <c r="AE1710" s="200">
        <f t="shared" ref="AE1710:AG1710" si="8635">countif($D1710,"*"&amp;AE$2&amp;"*")</f>
        <v>0</v>
      </c>
      <c r="AF1710" s="200">
        <f t="shared" si="8635"/>
        <v>0</v>
      </c>
      <c r="AG1710" s="200">
        <f t="shared" si="8635"/>
        <v>0</v>
      </c>
      <c r="AH1710" s="171">
        <f t="shared" si="13"/>
        <v>0</v>
      </c>
      <c r="AI1710" s="200">
        <f t="shared" si="14"/>
        <v>0</v>
      </c>
      <c r="AJ1710" s="200">
        <f t="shared" si="8575"/>
        <v>0</v>
      </c>
      <c r="AK1710" s="201">
        <f t="shared" ref="AK1710:AS1710" si="8636">countif($D1710,"*"&amp;AK$2&amp;"*")</f>
        <v>0</v>
      </c>
      <c r="AL1710" s="201">
        <f t="shared" si="8636"/>
        <v>0</v>
      </c>
      <c r="AM1710" s="201">
        <f t="shared" si="8636"/>
        <v>0</v>
      </c>
      <c r="AN1710" s="201">
        <f t="shared" si="8636"/>
        <v>0</v>
      </c>
      <c r="AO1710" s="201">
        <f t="shared" si="8636"/>
        <v>0</v>
      </c>
      <c r="AP1710" s="201">
        <f t="shared" si="8636"/>
        <v>0</v>
      </c>
      <c r="AQ1710" s="201">
        <f t="shared" si="8636"/>
        <v>0</v>
      </c>
      <c r="AR1710" s="200">
        <f t="shared" si="8636"/>
        <v>0</v>
      </c>
      <c r="AS1710" s="200">
        <f t="shared" si="8636"/>
        <v>0</v>
      </c>
      <c r="AT1710" s="173">
        <v>0.0</v>
      </c>
      <c r="AU1710" s="200">
        <f t="shared" ref="AU1710:AX1710" si="8637">countif($D1710,"*"&amp;AU$2&amp;"*")</f>
        <v>0</v>
      </c>
      <c r="AV1710" s="200">
        <f t="shared" si="8637"/>
        <v>1</v>
      </c>
      <c r="AW1710" s="200">
        <f t="shared" si="8637"/>
        <v>0</v>
      </c>
      <c r="AX1710" s="200">
        <f t="shared" si="8637"/>
        <v>0</v>
      </c>
      <c r="AY1710" s="202">
        <v>0.0</v>
      </c>
      <c r="AZ1710" s="200"/>
      <c r="BA1710" s="171" t="str">
        <f t="shared" si="18"/>
        <v/>
      </c>
      <c r="BB1710" s="171" t="str">
        <f t="shared" si="19"/>
        <v>Code</v>
      </c>
      <c r="BC1710" s="171" t="str">
        <f t="shared" si="20"/>
        <v/>
      </c>
      <c r="BD1710" s="171" t="str">
        <f t="shared" si="21"/>
        <v/>
      </c>
      <c r="BE1710" s="171" t="str">
        <f t="shared" si="22"/>
        <v/>
      </c>
      <c r="BF1710" s="171" t="str">
        <f t="shared" si="23"/>
        <v>Code</v>
      </c>
    </row>
    <row r="1711">
      <c r="A1711" s="213">
        <f t="array" ref="A1711">XLOOKUP(C1711,FSE!A:A,FSE!C:C,"XXXXX",0,1)</f>
        <v>2020</v>
      </c>
      <c r="B1711" s="213" t="s">
        <v>5676</v>
      </c>
      <c r="C1711" s="220">
        <v>390.0</v>
      </c>
      <c r="D1711" s="217" t="s">
        <v>6393</v>
      </c>
      <c r="E1711" s="221" t="str">
        <f t="array" ref="E1711">XLOOKUP(C1711,FSE!A:A,FSE!Z:Z,"XXXXX",0,1)</f>
        <v>Publicly Available (2)</v>
      </c>
      <c r="F1711" s="213" t="s">
        <v>3394</v>
      </c>
      <c r="G1711" s="163" t="str">
        <f t="array" ref="G1711">IF(B1711="ICSE",IF(COUNTIFS(B:B,B1711,C:C,C1711)=XLOOKUP(C1711,ICSE!A:A,ICSE!AA:AA,"ERROR",0,1),"OK","ERROR"),IF(B1711="FSE",IF(COUNTIFS(B:B,B1711,C:C,C1711)=XLOOKUP(C1711,FSE!A:A,FSE!AA:AA,"ERROR",0,1),"OK","ERROR")))</f>
        <v>OK</v>
      </c>
      <c r="H1711" s="199">
        <f t="shared" ref="H1711:O1711" si="8638">countif($D1711,"*"&amp;H$2&amp;"*")</f>
        <v>0</v>
      </c>
      <c r="I1711" s="200">
        <f t="shared" si="8638"/>
        <v>0</v>
      </c>
      <c r="J1711" s="200">
        <f t="shared" si="8638"/>
        <v>1</v>
      </c>
      <c r="K1711" s="200">
        <f t="shared" si="8638"/>
        <v>0</v>
      </c>
      <c r="L1711" s="200">
        <f t="shared" si="8638"/>
        <v>0</v>
      </c>
      <c r="M1711" s="200">
        <f t="shared" si="8638"/>
        <v>0</v>
      </c>
      <c r="N1711" s="200">
        <f t="shared" si="8638"/>
        <v>0</v>
      </c>
      <c r="O1711" s="200">
        <f t="shared" si="8638"/>
        <v>0</v>
      </c>
      <c r="P1711" s="200">
        <f t="shared" si="9"/>
        <v>0</v>
      </c>
      <c r="Q1711" s="200">
        <f t="shared" ref="Q1711:AC1711" si="8639">countif($D1711,"*"&amp;Q$2&amp;"*")</f>
        <v>0</v>
      </c>
      <c r="R1711" s="200">
        <f t="shared" si="8639"/>
        <v>0</v>
      </c>
      <c r="S1711" s="200">
        <f t="shared" si="8639"/>
        <v>0</v>
      </c>
      <c r="T1711" s="200">
        <f t="shared" si="8639"/>
        <v>0</v>
      </c>
      <c r="U1711" s="200">
        <f t="shared" si="8639"/>
        <v>0</v>
      </c>
      <c r="V1711" s="200">
        <f t="shared" si="8639"/>
        <v>0</v>
      </c>
      <c r="W1711" s="200">
        <f t="shared" si="8639"/>
        <v>0</v>
      </c>
      <c r="X1711" s="200">
        <f t="shared" si="8639"/>
        <v>0</v>
      </c>
      <c r="Y1711" s="200">
        <f t="shared" si="8639"/>
        <v>0</v>
      </c>
      <c r="Z1711" s="200">
        <f t="shared" si="8639"/>
        <v>0</v>
      </c>
      <c r="AA1711" s="200">
        <f t="shared" si="8639"/>
        <v>0</v>
      </c>
      <c r="AB1711" s="200">
        <f t="shared" si="8639"/>
        <v>0</v>
      </c>
      <c r="AC1711" s="200">
        <f t="shared" si="8639"/>
        <v>0</v>
      </c>
      <c r="AD1711" s="222">
        <f t="shared" si="11"/>
        <v>0</v>
      </c>
      <c r="AE1711" s="200">
        <f t="shared" ref="AE1711:AG1711" si="8640">countif($D1711,"*"&amp;AE$2&amp;"*")</f>
        <v>0</v>
      </c>
      <c r="AF1711" s="200">
        <f t="shared" si="8640"/>
        <v>0</v>
      </c>
      <c r="AG1711" s="200">
        <f t="shared" si="8640"/>
        <v>0</v>
      </c>
      <c r="AH1711" s="171">
        <f t="shared" si="13"/>
        <v>0</v>
      </c>
      <c r="AI1711" s="200">
        <f t="shared" si="14"/>
        <v>0</v>
      </c>
      <c r="AJ1711" s="200">
        <f t="shared" si="8575"/>
        <v>0</v>
      </c>
      <c r="AK1711" s="201">
        <f t="shared" ref="AK1711:AS1711" si="8641">countif($D1711,"*"&amp;AK$2&amp;"*")</f>
        <v>0</v>
      </c>
      <c r="AL1711" s="201">
        <f t="shared" si="8641"/>
        <v>0</v>
      </c>
      <c r="AM1711" s="201">
        <f t="shared" si="8641"/>
        <v>0</v>
      </c>
      <c r="AN1711" s="201">
        <f t="shared" si="8641"/>
        <v>0</v>
      </c>
      <c r="AO1711" s="201">
        <f t="shared" si="8641"/>
        <v>0</v>
      </c>
      <c r="AP1711" s="201">
        <f t="shared" si="8641"/>
        <v>0</v>
      </c>
      <c r="AQ1711" s="201">
        <f t="shared" si="8641"/>
        <v>0</v>
      </c>
      <c r="AR1711" s="222">
        <f t="shared" si="8641"/>
        <v>0</v>
      </c>
      <c r="AS1711" s="200">
        <f t="shared" si="8641"/>
        <v>1</v>
      </c>
      <c r="AT1711" s="223">
        <v>0.0</v>
      </c>
      <c r="AU1711" s="200">
        <f t="shared" ref="AU1711:AX1711" si="8642">countif($D1711,"*"&amp;AU$2&amp;"*")</f>
        <v>0</v>
      </c>
      <c r="AV1711" s="200">
        <f t="shared" si="8642"/>
        <v>0</v>
      </c>
      <c r="AW1711" s="200">
        <f t="shared" si="8642"/>
        <v>0</v>
      </c>
      <c r="AX1711" s="200">
        <f t="shared" si="8642"/>
        <v>0</v>
      </c>
      <c r="AY1711" s="202">
        <v>0.0</v>
      </c>
      <c r="AZ1711" s="200"/>
      <c r="BA1711" s="171" t="str">
        <f t="shared" si="18"/>
        <v>Archival</v>
      </c>
      <c r="BB1711" s="171" t="str">
        <f t="shared" si="19"/>
        <v/>
      </c>
      <c r="BC1711" s="171" t="str">
        <f t="shared" si="20"/>
        <v/>
      </c>
      <c r="BD1711" s="171" t="str">
        <f t="shared" si="21"/>
        <v/>
      </c>
      <c r="BE1711" s="171" t="str">
        <f t="shared" si="22"/>
        <v/>
      </c>
      <c r="BF1711" s="171" t="str">
        <f t="shared" si="23"/>
        <v>Archival</v>
      </c>
    </row>
    <row r="1712">
      <c r="A1712" s="171">
        <f t="array" ref="A1712">XLOOKUP(C1712,FSE!A:A,FSE!C:C,"XXXXX",0,1)</f>
        <v>2020</v>
      </c>
      <c r="B1712" s="213" t="s">
        <v>5676</v>
      </c>
      <c r="C1712" s="214">
        <v>391.0</v>
      </c>
      <c r="D1712" s="215" t="s">
        <v>4658</v>
      </c>
      <c r="E1712" s="197" t="str">
        <f t="array" ref="E1712">XLOOKUP(C1712,FSE!A:A,FSE!Z:Z,"XXXXX",0,1)</f>
        <v>Publicly Available (1)</v>
      </c>
      <c r="F1712" s="213" t="s">
        <v>3394</v>
      </c>
      <c r="G1712" s="163" t="str">
        <f t="array" ref="G1712">IF(B1712="ICSE",IF(COUNTIFS(B:B,B1712,C:C,C1712)=XLOOKUP(C1712,ICSE!A:A,ICSE!AA:AA,"ERROR",0,1),"OK","ERROR"),IF(B1712="FSE",IF(COUNTIFS(B:B,B1712,C:C,C1712)=XLOOKUP(C1712,FSE!A:A,FSE!AA:AA,"ERROR",0,1),"OK","ERROR")))</f>
        <v>OK</v>
      </c>
      <c r="H1712" s="199">
        <f t="shared" ref="H1712:O1712" si="8643">countif($D1712,"*"&amp;H$2&amp;"*")</f>
        <v>0</v>
      </c>
      <c r="I1712" s="200">
        <f t="shared" si="8643"/>
        <v>0</v>
      </c>
      <c r="J1712" s="200">
        <f t="shared" si="8643"/>
        <v>0</v>
      </c>
      <c r="K1712" s="200">
        <f t="shared" si="8643"/>
        <v>0</v>
      </c>
      <c r="L1712" s="200">
        <f t="shared" si="8643"/>
        <v>0</v>
      </c>
      <c r="M1712" s="200">
        <f t="shared" si="8643"/>
        <v>0</v>
      </c>
      <c r="N1712" s="200">
        <f t="shared" si="8643"/>
        <v>0</v>
      </c>
      <c r="O1712" s="200">
        <f t="shared" si="8643"/>
        <v>0</v>
      </c>
      <c r="P1712" s="200">
        <f t="shared" si="9"/>
        <v>1</v>
      </c>
      <c r="Q1712" s="200">
        <f t="shared" ref="Q1712:AC1712" si="8644">countif($D1712,"*"&amp;Q$2&amp;"*")</f>
        <v>0</v>
      </c>
      <c r="R1712" s="200">
        <f t="shared" si="8644"/>
        <v>0</v>
      </c>
      <c r="S1712" s="200">
        <f t="shared" si="8644"/>
        <v>0</v>
      </c>
      <c r="T1712" s="200">
        <f t="shared" si="8644"/>
        <v>0</v>
      </c>
      <c r="U1712" s="200">
        <f t="shared" si="8644"/>
        <v>0</v>
      </c>
      <c r="V1712" s="200">
        <f t="shared" si="8644"/>
        <v>0</v>
      </c>
      <c r="W1712" s="200">
        <f t="shared" si="8644"/>
        <v>0</v>
      </c>
      <c r="X1712" s="200">
        <f t="shared" si="8644"/>
        <v>0</v>
      </c>
      <c r="Y1712" s="200">
        <f t="shared" si="8644"/>
        <v>0</v>
      </c>
      <c r="Z1712" s="200">
        <f t="shared" si="8644"/>
        <v>0</v>
      </c>
      <c r="AA1712" s="200">
        <f t="shared" si="8644"/>
        <v>0</v>
      </c>
      <c r="AB1712" s="200">
        <f t="shared" si="8644"/>
        <v>0</v>
      </c>
      <c r="AC1712" s="200">
        <f t="shared" si="8644"/>
        <v>0</v>
      </c>
      <c r="AD1712" s="200">
        <f t="shared" si="11"/>
        <v>0</v>
      </c>
      <c r="AE1712" s="200">
        <f t="shared" ref="AE1712:AG1712" si="8645">countif($D1712,"*"&amp;AE$2&amp;"*")</f>
        <v>0</v>
      </c>
      <c r="AF1712" s="200">
        <f t="shared" si="8645"/>
        <v>0</v>
      </c>
      <c r="AG1712" s="200">
        <f t="shared" si="8645"/>
        <v>0</v>
      </c>
      <c r="AH1712" s="171">
        <f t="shared" si="13"/>
        <v>0</v>
      </c>
      <c r="AI1712" s="200">
        <f t="shared" si="14"/>
        <v>0</v>
      </c>
      <c r="AJ1712" s="200">
        <f t="shared" si="8575"/>
        <v>0</v>
      </c>
      <c r="AK1712" s="201">
        <f t="shared" ref="AK1712:AS1712" si="8646">countif($D1712,"*"&amp;AK$2&amp;"*")</f>
        <v>0</v>
      </c>
      <c r="AL1712" s="201">
        <f t="shared" si="8646"/>
        <v>0</v>
      </c>
      <c r="AM1712" s="201">
        <f t="shared" si="8646"/>
        <v>0</v>
      </c>
      <c r="AN1712" s="201">
        <f t="shared" si="8646"/>
        <v>0</v>
      </c>
      <c r="AO1712" s="201">
        <f t="shared" si="8646"/>
        <v>0</v>
      </c>
      <c r="AP1712" s="201">
        <f t="shared" si="8646"/>
        <v>0</v>
      </c>
      <c r="AQ1712" s="201">
        <f t="shared" si="8646"/>
        <v>0</v>
      </c>
      <c r="AR1712" s="200">
        <f t="shared" si="8646"/>
        <v>0</v>
      </c>
      <c r="AS1712" s="200">
        <f t="shared" si="8646"/>
        <v>0</v>
      </c>
      <c r="AT1712" s="173">
        <v>0.0</v>
      </c>
      <c r="AU1712" s="200">
        <f t="shared" ref="AU1712:AX1712" si="8647">countif($D1712,"*"&amp;AU$2&amp;"*")</f>
        <v>0</v>
      </c>
      <c r="AV1712" s="200">
        <f t="shared" si="8647"/>
        <v>1</v>
      </c>
      <c r="AW1712" s="200">
        <f t="shared" si="8647"/>
        <v>0</v>
      </c>
      <c r="AX1712" s="200">
        <f t="shared" si="8647"/>
        <v>0</v>
      </c>
      <c r="AY1712" s="202">
        <v>0.0</v>
      </c>
      <c r="AZ1712" s="200"/>
      <c r="BA1712" s="171" t="str">
        <f t="shared" si="18"/>
        <v/>
      </c>
      <c r="BB1712" s="171" t="str">
        <f t="shared" si="19"/>
        <v>Code</v>
      </c>
      <c r="BC1712" s="171" t="str">
        <f t="shared" si="20"/>
        <v/>
      </c>
      <c r="BD1712" s="171" t="str">
        <f t="shared" si="21"/>
        <v/>
      </c>
      <c r="BE1712" s="171" t="str">
        <f t="shared" si="22"/>
        <v/>
      </c>
      <c r="BF1712" s="171" t="str">
        <f t="shared" si="23"/>
        <v>Code</v>
      </c>
    </row>
    <row r="1713">
      <c r="A1713" s="171">
        <f t="array" ref="A1713">XLOOKUP(C1713,FSE!A:A,FSE!C:C,"XXXXX",0,1)</f>
        <v>2020</v>
      </c>
      <c r="B1713" s="213" t="s">
        <v>5676</v>
      </c>
      <c r="C1713" s="214">
        <v>392.0</v>
      </c>
      <c r="D1713" s="215" t="s">
        <v>6394</v>
      </c>
      <c r="E1713" s="197" t="str">
        <f t="array" ref="E1713">XLOOKUP(C1713,FSE!A:A,FSE!Z:Z,"XXXXX",0,1)</f>
        <v>Publicly Available (2)</v>
      </c>
      <c r="F1713" s="213" t="s">
        <v>3394</v>
      </c>
      <c r="G1713" s="163" t="str">
        <f t="array" ref="G1713">IF(B1713="ICSE",IF(COUNTIFS(B:B,B1713,C:C,C1713)=XLOOKUP(C1713,ICSE!A:A,ICSE!AA:AA,"ERROR",0,1),"OK","ERROR"),IF(B1713="FSE",IF(COUNTIFS(B:B,B1713,C:C,C1713)=XLOOKUP(C1713,FSE!A:A,FSE!AA:AA,"ERROR",0,1),"OK","ERROR")))</f>
        <v>OK</v>
      </c>
      <c r="H1713" s="199">
        <f t="shared" ref="H1713:O1713" si="8648">countif($D1713,"*"&amp;H$2&amp;"*")</f>
        <v>0</v>
      </c>
      <c r="I1713" s="200">
        <f t="shared" si="8648"/>
        <v>0</v>
      </c>
      <c r="J1713" s="200">
        <f t="shared" si="8648"/>
        <v>0</v>
      </c>
      <c r="K1713" s="200">
        <f t="shared" si="8648"/>
        <v>0</v>
      </c>
      <c r="L1713" s="200">
        <f t="shared" si="8648"/>
        <v>0</v>
      </c>
      <c r="M1713" s="200">
        <f t="shared" si="8648"/>
        <v>0</v>
      </c>
      <c r="N1713" s="200">
        <f t="shared" si="8648"/>
        <v>0</v>
      </c>
      <c r="O1713" s="200">
        <f t="shared" si="8648"/>
        <v>0</v>
      </c>
      <c r="P1713" s="200">
        <f t="shared" si="9"/>
        <v>1</v>
      </c>
      <c r="Q1713" s="200">
        <f t="shared" ref="Q1713:AC1713" si="8649">countif($D1713,"*"&amp;Q$2&amp;"*")</f>
        <v>0</v>
      </c>
      <c r="R1713" s="200">
        <f t="shared" si="8649"/>
        <v>0</v>
      </c>
      <c r="S1713" s="200">
        <f t="shared" si="8649"/>
        <v>0</v>
      </c>
      <c r="T1713" s="200">
        <f t="shared" si="8649"/>
        <v>0</v>
      </c>
      <c r="U1713" s="200">
        <f t="shared" si="8649"/>
        <v>0</v>
      </c>
      <c r="V1713" s="200">
        <f t="shared" si="8649"/>
        <v>0</v>
      </c>
      <c r="W1713" s="200">
        <f t="shared" si="8649"/>
        <v>0</v>
      </c>
      <c r="X1713" s="200">
        <f t="shared" si="8649"/>
        <v>0</v>
      </c>
      <c r="Y1713" s="200">
        <f t="shared" si="8649"/>
        <v>0</v>
      </c>
      <c r="Z1713" s="200">
        <f t="shared" si="8649"/>
        <v>0</v>
      </c>
      <c r="AA1713" s="200">
        <f t="shared" si="8649"/>
        <v>0</v>
      </c>
      <c r="AB1713" s="200">
        <f t="shared" si="8649"/>
        <v>0</v>
      </c>
      <c r="AC1713" s="200">
        <f t="shared" si="8649"/>
        <v>0</v>
      </c>
      <c r="AD1713" s="200">
        <f t="shared" si="11"/>
        <v>0</v>
      </c>
      <c r="AE1713" s="200">
        <f t="shared" ref="AE1713:AG1713" si="8650">countif($D1713,"*"&amp;AE$2&amp;"*")</f>
        <v>0</v>
      </c>
      <c r="AF1713" s="200">
        <f t="shared" si="8650"/>
        <v>0</v>
      </c>
      <c r="AG1713" s="200">
        <f t="shared" si="8650"/>
        <v>0</v>
      </c>
      <c r="AH1713" s="171">
        <f t="shared" si="13"/>
        <v>0</v>
      </c>
      <c r="AI1713" s="200">
        <f t="shared" si="14"/>
        <v>0</v>
      </c>
      <c r="AJ1713" s="200">
        <f t="shared" si="8575"/>
        <v>0</v>
      </c>
      <c r="AK1713" s="201">
        <f t="shared" ref="AK1713:AS1713" si="8651">countif($D1713,"*"&amp;AK$2&amp;"*")</f>
        <v>0</v>
      </c>
      <c r="AL1713" s="201">
        <f t="shared" si="8651"/>
        <v>0</v>
      </c>
      <c r="AM1713" s="201">
        <f t="shared" si="8651"/>
        <v>0</v>
      </c>
      <c r="AN1713" s="201">
        <f t="shared" si="8651"/>
        <v>0</v>
      </c>
      <c r="AO1713" s="201">
        <f t="shared" si="8651"/>
        <v>0</v>
      </c>
      <c r="AP1713" s="201">
        <f t="shared" si="8651"/>
        <v>0</v>
      </c>
      <c r="AQ1713" s="201">
        <f t="shared" si="8651"/>
        <v>0</v>
      </c>
      <c r="AR1713" s="200">
        <f t="shared" si="8651"/>
        <v>0</v>
      </c>
      <c r="AS1713" s="200">
        <f t="shared" si="8651"/>
        <v>0</v>
      </c>
      <c r="AT1713" s="173">
        <v>0.0</v>
      </c>
      <c r="AU1713" s="200">
        <f t="shared" ref="AU1713:AX1713" si="8652">countif($D1713,"*"&amp;AU$2&amp;"*")</f>
        <v>0</v>
      </c>
      <c r="AV1713" s="200">
        <f t="shared" si="8652"/>
        <v>1</v>
      </c>
      <c r="AW1713" s="200">
        <f t="shared" si="8652"/>
        <v>0</v>
      </c>
      <c r="AX1713" s="200">
        <f t="shared" si="8652"/>
        <v>0</v>
      </c>
      <c r="AY1713" s="202">
        <v>0.0</v>
      </c>
      <c r="AZ1713" s="200"/>
      <c r="BA1713" s="171" t="str">
        <f t="shared" si="18"/>
        <v/>
      </c>
      <c r="BB1713" s="171" t="str">
        <f t="shared" si="19"/>
        <v>Code</v>
      </c>
      <c r="BC1713" s="171" t="str">
        <f t="shared" si="20"/>
        <v/>
      </c>
      <c r="BD1713" s="171" t="str">
        <f t="shared" si="21"/>
        <v/>
      </c>
      <c r="BE1713" s="171" t="str">
        <f t="shared" si="22"/>
        <v/>
      </c>
      <c r="BF1713" s="171" t="str">
        <f t="shared" si="23"/>
        <v>Code</v>
      </c>
    </row>
    <row r="1714">
      <c r="A1714" s="171">
        <f t="array" ref="A1714">XLOOKUP(C1714,FSE!A:A,FSE!C:C,"XXXXX",0,1)</f>
        <v>2020</v>
      </c>
      <c r="B1714" s="213" t="s">
        <v>5676</v>
      </c>
      <c r="C1714" s="214">
        <v>392.0</v>
      </c>
      <c r="D1714" s="215" t="s">
        <v>6395</v>
      </c>
      <c r="E1714" s="197" t="str">
        <f t="array" ref="E1714">XLOOKUP(C1714,FSE!A:A,FSE!Z:Z,"XXXXX",0,1)</f>
        <v>Publicly Available (2)</v>
      </c>
      <c r="F1714" s="213" t="s">
        <v>3394</v>
      </c>
      <c r="G1714" s="163" t="str">
        <f t="array" ref="G1714">IF(B1714="ICSE",IF(COUNTIFS(B:B,B1714,C:C,C1714)=XLOOKUP(C1714,ICSE!A:A,ICSE!AA:AA,"ERROR",0,1),"OK","ERROR"),IF(B1714="FSE",IF(COUNTIFS(B:B,B1714,C:C,C1714)=XLOOKUP(C1714,FSE!A:A,FSE!AA:AA,"ERROR",0,1),"OK","ERROR")))</f>
        <v>OK</v>
      </c>
      <c r="H1714" s="199">
        <f t="shared" ref="H1714:O1714" si="8653">countif($D1714,"*"&amp;H$2&amp;"*")</f>
        <v>1</v>
      </c>
      <c r="I1714" s="200">
        <f t="shared" si="8653"/>
        <v>0</v>
      </c>
      <c r="J1714" s="200">
        <f t="shared" si="8653"/>
        <v>0</v>
      </c>
      <c r="K1714" s="200">
        <f t="shared" si="8653"/>
        <v>0</v>
      </c>
      <c r="L1714" s="200">
        <f t="shared" si="8653"/>
        <v>0</v>
      </c>
      <c r="M1714" s="200">
        <f t="shared" si="8653"/>
        <v>0</v>
      </c>
      <c r="N1714" s="200">
        <f t="shared" si="8653"/>
        <v>0</v>
      </c>
      <c r="O1714" s="200">
        <f t="shared" si="8653"/>
        <v>0</v>
      </c>
      <c r="P1714" s="200">
        <f t="shared" si="9"/>
        <v>0</v>
      </c>
      <c r="Q1714" s="200">
        <f t="shared" ref="Q1714:AC1714" si="8654">countif($D1714,"*"&amp;Q$2&amp;"*")</f>
        <v>0</v>
      </c>
      <c r="R1714" s="200">
        <f t="shared" si="8654"/>
        <v>0</v>
      </c>
      <c r="S1714" s="200">
        <f t="shared" si="8654"/>
        <v>0</v>
      </c>
      <c r="T1714" s="200">
        <f t="shared" si="8654"/>
        <v>0</v>
      </c>
      <c r="U1714" s="200">
        <f t="shared" si="8654"/>
        <v>0</v>
      </c>
      <c r="V1714" s="200">
        <f t="shared" si="8654"/>
        <v>0</v>
      </c>
      <c r="W1714" s="200">
        <f t="shared" si="8654"/>
        <v>0</v>
      </c>
      <c r="X1714" s="200">
        <f t="shared" si="8654"/>
        <v>0</v>
      </c>
      <c r="Y1714" s="200">
        <f t="shared" si="8654"/>
        <v>0</v>
      </c>
      <c r="Z1714" s="200">
        <f t="shared" si="8654"/>
        <v>0</v>
      </c>
      <c r="AA1714" s="200">
        <f t="shared" si="8654"/>
        <v>0</v>
      </c>
      <c r="AB1714" s="200">
        <f t="shared" si="8654"/>
        <v>0</v>
      </c>
      <c r="AC1714" s="200">
        <f t="shared" si="8654"/>
        <v>0</v>
      </c>
      <c r="AD1714" s="200">
        <f t="shared" si="11"/>
        <v>0</v>
      </c>
      <c r="AE1714" s="200">
        <f t="shared" ref="AE1714:AG1714" si="8655">countif($D1714,"*"&amp;AE$2&amp;"*")</f>
        <v>0</v>
      </c>
      <c r="AF1714" s="200">
        <f t="shared" si="8655"/>
        <v>0</v>
      </c>
      <c r="AG1714" s="200">
        <f t="shared" si="8655"/>
        <v>0</v>
      </c>
      <c r="AH1714" s="171">
        <f t="shared" si="13"/>
        <v>0</v>
      </c>
      <c r="AI1714" s="200">
        <f t="shared" si="14"/>
        <v>1</v>
      </c>
      <c r="AJ1714" s="200">
        <f t="shared" si="8575"/>
        <v>0</v>
      </c>
      <c r="AK1714" s="201">
        <f t="shared" ref="AK1714:AS1714" si="8656">countif($D1714,"*"&amp;AK$2&amp;"*")</f>
        <v>0</v>
      </c>
      <c r="AL1714" s="201">
        <f t="shared" si="8656"/>
        <v>0</v>
      </c>
      <c r="AM1714" s="201">
        <f t="shared" si="8656"/>
        <v>0</v>
      </c>
      <c r="AN1714" s="201">
        <f t="shared" si="8656"/>
        <v>0</v>
      </c>
      <c r="AO1714" s="201">
        <f t="shared" si="8656"/>
        <v>0</v>
      </c>
      <c r="AP1714" s="201">
        <f t="shared" si="8656"/>
        <v>0</v>
      </c>
      <c r="AQ1714" s="201">
        <f t="shared" si="8656"/>
        <v>0</v>
      </c>
      <c r="AR1714" s="200">
        <f t="shared" si="8656"/>
        <v>0</v>
      </c>
      <c r="AS1714" s="200">
        <f t="shared" si="8656"/>
        <v>0</v>
      </c>
      <c r="AT1714" s="173">
        <v>0.0</v>
      </c>
      <c r="AU1714" s="200">
        <f t="shared" ref="AU1714:AX1714" si="8657">countif($D1714,"*"&amp;AU$2&amp;"*")</f>
        <v>0</v>
      </c>
      <c r="AV1714" s="200">
        <f t="shared" si="8657"/>
        <v>0</v>
      </c>
      <c r="AW1714" s="200">
        <f t="shared" si="8657"/>
        <v>0</v>
      </c>
      <c r="AX1714" s="200">
        <f t="shared" si="8657"/>
        <v>1</v>
      </c>
      <c r="AY1714" s="202">
        <v>0.0</v>
      </c>
      <c r="AZ1714" s="200"/>
      <c r="BA1714" s="171" t="str">
        <f t="shared" si="18"/>
        <v>Archival</v>
      </c>
      <c r="BB1714" s="171" t="str">
        <f t="shared" si="19"/>
        <v/>
      </c>
      <c r="BC1714" s="171" t="str">
        <f t="shared" si="20"/>
        <v/>
      </c>
      <c r="BD1714" s="171" t="str">
        <f t="shared" si="21"/>
        <v/>
      </c>
      <c r="BE1714" s="171" t="str">
        <f t="shared" si="22"/>
        <v/>
      </c>
      <c r="BF1714" s="171" t="str">
        <f t="shared" si="23"/>
        <v>Archival</v>
      </c>
    </row>
    <row r="1715">
      <c r="A1715" s="171">
        <f t="array" ref="A1715">XLOOKUP(C1715,FSE!A:A,FSE!C:C,"XXXXX",0,1)</f>
        <v>2020</v>
      </c>
      <c r="B1715" s="213" t="s">
        <v>5676</v>
      </c>
      <c r="C1715" s="214">
        <v>394.0</v>
      </c>
      <c r="D1715" s="215" t="s">
        <v>4666</v>
      </c>
      <c r="E1715" s="197" t="str">
        <f t="array" ref="E1715">XLOOKUP(C1715,FSE!A:A,FSE!Z:Z,"XXXXX",0,1)</f>
        <v>Publicly Available (1)</v>
      </c>
      <c r="F1715" s="213" t="s">
        <v>3394</v>
      </c>
      <c r="G1715" s="163" t="str">
        <f t="array" ref="G1715">IF(B1715="ICSE",IF(COUNTIFS(B:B,B1715,C:C,C1715)=XLOOKUP(C1715,ICSE!A:A,ICSE!AA:AA,"ERROR",0,1),"OK","ERROR"),IF(B1715="FSE",IF(COUNTIFS(B:B,B1715,C:C,C1715)=XLOOKUP(C1715,FSE!A:A,FSE!AA:AA,"ERROR",0,1),"OK","ERROR")))</f>
        <v>OK</v>
      </c>
      <c r="H1715" s="199">
        <f t="shared" ref="H1715:O1715" si="8658">countif($D1715,"*"&amp;H$2&amp;"*")</f>
        <v>1</v>
      </c>
      <c r="I1715" s="200">
        <f t="shared" si="8658"/>
        <v>0</v>
      </c>
      <c r="J1715" s="200">
        <f t="shared" si="8658"/>
        <v>0</v>
      </c>
      <c r="K1715" s="200">
        <f t="shared" si="8658"/>
        <v>0</v>
      </c>
      <c r="L1715" s="200">
        <f t="shared" si="8658"/>
        <v>0</v>
      </c>
      <c r="M1715" s="200">
        <f t="shared" si="8658"/>
        <v>0</v>
      </c>
      <c r="N1715" s="200">
        <f t="shared" si="8658"/>
        <v>0</v>
      </c>
      <c r="O1715" s="200">
        <f t="shared" si="8658"/>
        <v>0</v>
      </c>
      <c r="P1715" s="200">
        <f t="shared" si="9"/>
        <v>0</v>
      </c>
      <c r="Q1715" s="200">
        <f t="shared" ref="Q1715:AC1715" si="8659">countif($D1715,"*"&amp;Q$2&amp;"*")</f>
        <v>0</v>
      </c>
      <c r="R1715" s="200">
        <f t="shared" si="8659"/>
        <v>0</v>
      </c>
      <c r="S1715" s="200">
        <f t="shared" si="8659"/>
        <v>0</v>
      </c>
      <c r="T1715" s="200">
        <f t="shared" si="8659"/>
        <v>0</v>
      </c>
      <c r="U1715" s="200">
        <f t="shared" si="8659"/>
        <v>0</v>
      </c>
      <c r="V1715" s="200">
        <f t="shared" si="8659"/>
        <v>0</v>
      </c>
      <c r="W1715" s="200">
        <f t="shared" si="8659"/>
        <v>0</v>
      </c>
      <c r="X1715" s="200">
        <f t="shared" si="8659"/>
        <v>0</v>
      </c>
      <c r="Y1715" s="200">
        <f t="shared" si="8659"/>
        <v>0</v>
      </c>
      <c r="Z1715" s="200">
        <f t="shared" si="8659"/>
        <v>0</v>
      </c>
      <c r="AA1715" s="200">
        <f t="shared" si="8659"/>
        <v>0</v>
      </c>
      <c r="AB1715" s="200">
        <f t="shared" si="8659"/>
        <v>0</v>
      </c>
      <c r="AC1715" s="200">
        <f t="shared" si="8659"/>
        <v>0</v>
      </c>
      <c r="AD1715" s="200">
        <f t="shared" si="11"/>
        <v>0</v>
      </c>
      <c r="AE1715" s="200">
        <f t="shared" ref="AE1715:AG1715" si="8660">countif($D1715,"*"&amp;AE$2&amp;"*")</f>
        <v>0</v>
      </c>
      <c r="AF1715" s="200">
        <f t="shared" si="8660"/>
        <v>0</v>
      </c>
      <c r="AG1715" s="200">
        <f t="shared" si="8660"/>
        <v>0</v>
      </c>
      <c r="AH1715" s="171">
        <f t="shared" si="13"/>
        <v>0</v>
      </c>
      <c r="AI1715" s="200">
        <f t="shared" si="14"/>
        <v>1</v>
      </c>
      <c r="AJ1715" s="200">
        <f t="shared" si="8575"/>
        <v>0</v>
      </c>
      <c r="AK1715" s="201">
        <f t="shared" ref="AK1715:AS1715" si="8661">countif($D1715,"*"&amp;AK$2&amp;"*")</f>
        <v>0</v>
      </c>
      <c r="AL1715" s="201">
        <f t="shared" si="8661"/>
        <v>0</v>
      </c>
      <c r="AM1715" s="201">
        <f t="shared" si="8661"/>
        <v>0</v>
      </c>
      <c r="AN1715" s="201">
        <f t="shared" si="8661"/>
        <v>0</v>
      </c>
      <c r="AO1715" s="201">
        <f t="shared" si="8661"/>
        <v>0</v>
      </c>
      <c r="AP1715" s="201">
        <f t="shared" si="8661"/>
        <v>0</v>
      </c>
      <c r="AQ1715" s="201">
        <f t="shared" si="8661"/>
        <v>0</v>
      </c>
      <c r="AR1715" s="200">
        <f t="shared" si="8661"/>
        <v>0</v>
      </c>
      <c r="AS1715" s="200">
        <f t="shared" si="8661"/>
        <v>0</v>
      </c>
      <c r="AT1715" s="173">
        <v>0.0</v>
      </c>
      <c r="AU1715" s="200">
        <f t="shared" ref="AU1715:AX1715" si="8662">countif($D1715,"*"&amp;AU$2&amp;"*")</f>
        <v>0</v>
      </c>
      <c r="AV1715" s="200">
        <f t="shared" si="8662"/>
        <v>0</v>
      </c>
      <c r="AW1715" s="200">
        <f t="shared" si="8662"/>
        <v>0</v>
      </c>
      <c r="AX1715" s="200">
        <f t="shared" si="8662"/>
        <v>1</v>
      </c>
      <c r="AY1715" s="202">
        <v>0.0</v>
      </c>
      <c r="AZ1715" s="200"/>
      <c r="BA1715" s="171" t="str">
        <f t="shared" si="18"/>
        <v>Archival</v>
      </c>
      <c r="BB1715" s="171" t="str">
        <f t="shared" si="19"/>
        <v/>
      </c>
      <c r="BC1715" s="171" t="str">
        <f t="shared" si="20"/>
        <v/>
      </c>
      <c r="BD1715" s="171" t="str">
        <f t="shared" si="21"/>
        <v/>
      </c>
      <c r="BE1715" s="171" t="str">
        <f t="shared" si="22"/>
        <v/>
      </c>
      <c r="BF1715" s="171" t="str">
        <f t="shared" si="23"/>
        <v>Archival</v>
      </c>
    </row>
    <row r="1716">
      <c r="A1716" s="213">
        <f t="array" ref="A1716">XLOOKUP(C1716,FSE!A:A,FSE!C:C,"XXXXX",0,1)</f>
        <v>2020</v>
      </c>
      <c r="B1716" s="213" t="s">
        <v>5676</v>
      </c>
      <c r="C1716" s="220">
        <v>395.0</v>
      </c>
      <c r="D1716" s="217" t="s">
        <v>4669</v>
      </c>
      <c r="E1716" s="221" t="str">
        <f t="array" ref="E1716">XLOOKUP(C1716,FSE!A:A,FSE!Z:Z,"XXXXX",0,1)</f>
        <v>Publicly Available (1)</v>
      </c>
      <c r="F1716" s="213" t="s">
        <v>3394</v>
      </c>
      <c r="G1716" s="163" t="str">
        <f t="array" ref="G1716">IF(B1716="ICSE",IF(COUNTIFS(B:B,B1716,C:C,C1716)=XLOOKUP(C1716,ICSE!A:A,ICSE!AA:AA,"ERROR",0,1),"OK","ERROR"),IF(B1716="FSE",IF(COUNTIFS(B:B,B1716,C:C,C1716)=XLOOKUP(C1716,FSE!A:A,FSE!AA:AA,"ERROR",0,1),"OK","ERROR")))</f>
        <v>OK</v>
      </c>
      <c r="H1716" s="199">
        <f t="shared" ref="H1716:O1716" si="8663">countif($D1716,"*"&amp;H$2&amp;"*")</f>
        <v>0</v>
      </c>
      <c r="I1716" s="200">
        <f t="shared" si="8663"/>
        <v>0</v>
      </c>
      <c r="J1716" s="200">
        <f t="shared" si="8663"/>
        <v>0</v>
      </c>
      <c r="K1716" s="200">
        <f t="shared" si="8663"/>
        <v>0</v>
      </c>
      <c r="L1716" s="200">
        <f t="shared" si="8663"/>
        <v>0</v>
      </c>
      <c r="M1716" s="200">
        <f t="shared" si="8663"/>
        <v>0</v>
      </c>
      <c r="N1716" s="200">
        <f t="shared" si="8663"/>
        <v>0</v>
      </c>
      <c r="O1716" s="200">
        <f t="shared" si="8663"/>
        <v>0</v>
      </c>
      <c r="P1716" s="200">
        <f t="shared" si="9"/>
        <v>1</v>
      </c>
      <c r="Q1716" s="200">
        <f t="shared" ref="Q1716:AC1716" si="8664">countif($D1716,"*"&amp;Q$2&amp;"*")</f>
        <v>0</v>
      </c>
      <c r="R1716" s="200">
        <f t="shared" si="8664"/>
        <v>0</v>
      </c>
      <c r="S1716" s="200">
        <f t="shared" si="8664"/>
        <v>0</v>
      </c>
      <c r="T1716" s="200">
        <f t="shared" si="8664"/>
        <v>0</v>
      </c>
      <c r="U1716" s="200">
        <f t="shared" si="8664"/>
        <v>0</v>
      </c>
      <c r="V1716" s="200">
        <f t="shared" si="8664"/>
        <v>0</v>
      </c>
      <c r="W1716" s="200">
        <f t="shared" si="8664"/>
        <v>0</v>
      </c>
      <c r="X1716" s="200">
        <f t="shared" si="8664"/>
        <v>0</v>
      </c>
      <c r="Y1716" s="200">
        <f t="shared" si="8664"/>
        <v>0</v>
      </c>
      <c r="Z1716" s="200">
        <f t="shared" si="8664"/>
        <v>0</v>
      </c>
      <c r="AA1716" s="200">
        <f t="shared" si="8664"/>
        <v>0</v>
      </c>
      <c r="AB1716" s="200">
        <f t="shared" si="8664"/>
        <v>0</v>
      </c>
      <c r="AC1716" s="200">
        <f t="shared" si="8664"/>
        <v>0</v>
      </c>
      <c r="AD1716" s="222">
        <f t="shared" si="11"/>
        <v>0</v>
      </c>
      <c r="AE1716" s="200">
        <f t="shared" ref="AE1716:AG1716" si="8665">countif($D1716,"*"&amp;AE$2&amp;"*")</f>
        <v>0</v>
      </c>
      <c r="AF1716" s="200">
        <f t="shared" si="8665"/>
        <v>0</v>
      </c>
      <c r="AG1716" s="200">
        <f t="shared" si="8665"/>
        <v>0</v>
      </c>
      <c r="AH1716" s="171">
        <f t="shared" si="13"/>
        <v>0</v>
      </c>
      <c r="AI1716" s="200">
        <f t="shared" si="14"/>
        <v>0</v>
      </c>
      <c r="AJ1716" s="200">
        <f t="shared" si="8575"/>
        <v>0</v>
      </c>
      <c r="AK1716" s="201">
        <f t="shared" ref="AK1716:AS1716" si="8666">countif($D1716,"*"&amp;AK$2&amp;"*")</f>
        <v>0</v>
      </c>
      <c r="AL1716" s="201">
        <f t="shared" si="8666"/>
        <v>0</v>
      </c>
      <c r="AM1716" s="201">
        <f t="shared" si="8666"/>
        <v>0</v>
      </c>
      <c r="AN1716" s="201">
        <f t="shared" si="8666"/>
        <v>0</v>
      </c>
      <c r="AO1716" s="201">
        <f t="shared" si="8666"/>
        <v>0</v>
      </c>
      <c r="AP1716" s="201">
        <f t="shared" si="8666"/>
        <v>0</v>
      </c>
      <c r="AQ1716" s="201">
        <f t="shared" si="8666"/>
        <v>0</v>
      </c>
      <c r="AR1716" s="222">
        <f t="shared" si="8666"/>
        <v>0</v>
      </c>
      <c r="AS1716" s="200">
        <f t="shared" si="8666"/>
        <v>0</v>
      </c>
      <c r="AT1716" s="223">
        <v>0.0</v>
      </c>
      <c r="AU1716" s="200">
        <f t="shared" ref="AU1716:AX1716" si="8667">countif($D1716,"*"&amp;AU$2&amp;"*")</f>
        <v>0</v>
      </c>
      <c r="AV1716" s="200">
        <f t="shared" si="8667"/>
        <v>1</v>
      </c>
      <c r="AW1716" s="200">
        <f t="shared" si="8667"/>
        <v>0</v>
      </c>
      <c r="AX1716" s="200">
        <f t="shared" si="8667"/>
        <v>0</v>
      </c>
      <c r="AY1716" s="202">
        <v>0.0</v>
      </c>
      <c r="AZ1716" s="200"/>
      <c r="BA1716" s="171" t="str">
        <f t="shared" si="18"/>
        <v/>
      </c>
      <c r="BB1716" s="171" t="str">
        <f t="shared" si="19"/>
        <v>Code</v>
      </c>
      <c r="BC1716" s="171" t="str">
        <f t="shared" si="20"/>
        <v/>
      </c>
      <c r="BD1716" s="171" t="str">
        <f t="shared" si="21"/>
        <v/>
      </c>
      <c r="BE1716" s="171" t="str">
        <f t="shared" si="22"/>
        <v/>
      </c>
      <c r="BF1716" s="171" t="str">
        <f t="shared" si="23"/>
        <v>Code</v>
      </c>
    </row>
    <row r="1717">
      <c r="A1717" s="171">
        <f t="array" ref="A1717">XLOOKUP(C1717,FSE!A:A,FSE!C:C,"XXXXX",0,1)</f>
        <v>2020</v>
      </c>
      <c r="B1717" s="213" t="s">
        <v>5676</v>
      </c>
      <c r="C1717" s="214">
        <v>396.0</v>
      </c>
      <c r="D1717" s="215" t="s">
        <v>4672</v>
      </c>
      <c r="E1717" s="197" t="str">
        <f t="array" ref="E1717">XLOOKUP(C1717,FSE!A:A,FSE!Z:Z,"XXXXX",0,1)</f>
        <v>Publicly Available (1)</v>
      </c>
      <c r="F1717" s="213" t="s">
        <v>3394</v>
      </c>
      <c r="G1717" s="163" t="str">
        <f t="array" ref="G1717">IF(B1717="ICSE",IF(COUNTIFS(B:B,B1717,C:C,C1717)=XLOOKUP(C1717,ICSE!A:A,ICSE!AA:AA,"ERROR",0,1),"OK","ERROR"),IF(B1717="FSE",IF(COUNTIFS(B:B,B1717,C:C,C1717)=XLOOKUP(C1717,FSE!A:A,FSE!AA:AA,"ERROR",0,1),"OK","ERROR")))</f>
        <v>OK</v>
      </c>
      <c r="H1717" s="199">
        <f t="shared" ref="H1717:O1717" si="8668">countif($D1717,"*"&amp;H$2&amp;"*")</f>
        <v>0</v>
      </c>
      <c r="I1717" s="200">
        <f t="shared" si="8668"/>
        <v>0</v>
      </c>
      <c r="J1717" s="200">
        <f t="shared" si="8668"/>
        <v>0</v>
      </c>
      <c r="K1717" s="200">
        <f t="shared" si="8668"/>
        <v>0</v>
      </c>
      <c r="L1717" s="200">
        <f t="shared" si="8668"/>
        <v>0</v>
      </c>
      <c r="M1717" s="200">
        <f t="shared" si="8668"/>
        <v>0</v>
      </c>
      <c r="N1717" s="200">
        <f t="shared" si="8668"/>
        <v>0</v>
      </c>
      <c r="O1717" s="200">
        <f t="shared" si="8668"/>
        <v>0</v>
      </c>
      <c r="P1717" s="200">
        <f t="shared" si="9"/>
        <v>1</v>
      </c>
      <c r="Q1717" s="200">
        <f t="shared" ref="Q1717:AC1717" si="8669">countif($D1717,"*"&amp;Q$2&amp;"*")</f>
        <v>0</v>
      </c>
      <c r="R1717" s="200">
        <f t="shared" si="8669"/>
        <v>0</v>
      </c>
      <c r="S1717" s="200">
        <f t="shared" si="8669"/>
        <v>0</v>
      </c>
      <c r="T1717" s="200">
        <f t="shared" si="8669"/>
        <v>0</v>
      </c>
      <c r="U1717" s="200">
        <f t="shared" si="8669"/>
        <v>0</v>
      </c>
      <c r="V1717" s="200">
        <f t="shared" si="8669"/>
        <v>0</v>
      </c>
      <c r="W1717" s="200">
        <f t="shared" si="8669"/>
        <v>0</v>
      </c>
      <c r="X1717" s="200">
        <f t="shared" si="8669"/>
        <v>0</v>
      </c>
      <c r="Y1717" s="200">
        <f t="shared" si="8669"/>
        <v>0</v>
      </c>
      <c r="Z1717" s="200">
        <f t="shared" si="8669"/>
        <v>0</v>
      </c>
      <c r="AA1717" s="200">
        <f t="shared" si="8669"/>
        <v>0</v>
      </c>
      <c r="AB1717" s="200">
        <f t="shared" si="8669"/>
        <v>0</v>
      </c>
      <c r="AC1717" s="200">
        <f t="shared" si="8669"/>
        <v>0</v>
      </c>
      <c r="AD1717" s="200">
        <f t="shared" si="11"/>
        <v>0</v>
      </c>
      <c r="AE1717" s="200">
        <f t="shared" ref="AE1717:AG1717" si="8670">countif($D1717,"*"&amp;AE$2&amp;"*")</f>
        <v>0</v>
      </c>
      <c r="AF1717" s="200">
        <f t="shared" si="8670"/>
        <v>0</v>
      </c>
      <c r="AG1717" s="200">
        <f t="shared" si="8670"/>
        <v>0</v>
      </c>
      <c r="AH1717" s="171">
        <f t="shared" si="13"/>
        <v>0</v>
      </c>
      <c r="AI1717" s="200">
        <f t="shared" si="14"/>
        <v>0</v>
      </c>
      <c r="AJ1717" s="200">
        <f t="shared" si="8575"/>
        <v>0</v>
      </c>
      <c r="AK1717" s="201">
        <f t="shared" ref="AK1717:AS1717" si="8671">countif($D1717,"*"&amp;AK$2&amp;"*")</f>
        <v>0</v>
      </c>
      <c r="AL1717" s="201">
        <f t="shared" si="8671"/>
        <v>0</v>
      </c>
      <c r="AM1717" s="201">
        <f t="shared" si="8671"/>
        <v>0</v>
      </c>
      <c r="AN1717" s="201">
        <f t="shared" si="8671"/>
        <v>0</v>
      </c>
      <c r="AO1717" s="201">
        <f t="shared" si="8671"/>
        <v>0</v>
      </c>
      <c r="AP1717" s="201">
        <f t="shared" si="8671"/>
        <v>0</v>
      </c>
      <c r="AQ1717" s="201">
        <f t="shared" si="8671"/>
        <v>0</v>
      </c>
      <c r="AR1717" s="200">
        <f t="shared" si="8671"/>
        <v>0</v>
      </c>
      <c r="AS1717" s="200">
        <f t="shared" si="8671"/>
        <v>0</v>
      </c>
      <c r="AT1717" s="173">
        <v>0.0</v>
      </c>
      <c r="AU1717" s="200">
        <f t="shared" ref="AU1717:AX1717" si="8672">countif($D1717,"*"&amp;AU$2&amp;"*")</f>
        <v>0</v>
      </c>
      <c r="AV1717" s="200">
        <f t="shared" si="8672"/>
        <v>1</v>
      </c>
      <c r="AW1717" s="200">
        <f t="shared" si="8672"/>
        <v>0</v>
      </c>
      <c r="AX1717" s="200">
        <f t="shared" si="8672"/>
        <v>0</v>
      </c>
      <c r="AY1717" s="202">
        <v>0.0</v>
      </c>
      <c r="AZ1717" s="200"/>
      <c r="BA1717" s="171" t="str">
        <f t="shared" si="18"/>
        <v/>
      </c>
      <c r="BB1717" s="171" t="str">
        <f t="shared" si="19"/>
        <v>Code</v>
      </c>
      <c r="BC1717" s="171" t="str">
        <f t="shared" si="20"/>
        <v/>
      </c>
      <c r="BD1717" s="171" t="str">
        <f t="shared" si="21"/>
        <v/>
      </c>
      <c r="BE1717" s="171" t="str">
        <f t="shared" si="22"/>
        <v/>
      </c>
      <c r="BF1717" s="171" t="str">
        <f t="shared" si="23"/>
        <v>Code</v>
      </c>
    </row>
    <row r="1718">
      <c r="A1718" s="171">
        <f t="array" ref="A1718">XLOOKUP(C1718,FSE!A:A,FSE!C:C,"XXXXX",0,1)</f>
        <v>2020</v>
      </c>
      <c r="B1718" s="213" t="s">
        <v>5676</v>
      </c>
      <c r="C1718" s="214">
        <v>397.0</v>
      </c>
      <c r="D1718" s="215" t="s">
        <v>4675</v>
      </c>
      <c r="E1718" s="197" t="str">
        <f t="array" ref="E1718">XLOOKUP(C1718,FSE!A:A,FSE!Z:Z,"XXXXX",0,1)</f>
        <v>Publicly Available (1)</v>
      </c>
      <c r="F1718" s="213" t="s">
        <v>3394</v>
      </c>
      <c r="G1718" s="163" t="str">
        <f t="array" ref="G1718">IF(B1718="ICSE",IF(COUNTIFS(B:B,B1718,C:C,C1718)=XLOOKUP(C1718,ICSE!A:A,ICSE!AA:AA,"ERROR",0,1),"OK","ERROR"),IF(B1718="FSE",IF(COUNTIFS(B:B,B1718,C:C,C1718)=XLOOKUP(C1718,FSE!A:A,FSE!AA:AA,"ERROR",0,1),"OK","ERROR")))</f>
        <v>OK</v>
      </c>
      <c r="H1718" s="199">
        <f t="shared" ref="H1718:O1718" si="8673">countif($D1718,"*"&amp;H$2&amp;"*")</f>
        <v>1</v>
      </c>
      <c r="I1718" s="200">
        <f t="shared" si="8673"/>
        <v>0</v>
      </c>
      <c r="J1718" s="200">
        <f t="shared" si="8673"/>
        <v>0</v>
      </c>
      <c r="K1718" s="200">
        <f t="shared" si="8673"/>
        <v>0</v>
      </c>
      <c r="L1718" s="200">
        <f t="shared" si="8673"/>
        <v>0</v>
      </c>
      <c r="M1718" s="200">
        <f t="shared" si="8673"/>
        <v>0</v>
      </c>
      <c r="N1718" s="200">
        <f t="shared" si="8673"/>
        <v>0</v>
      </c>
      <c r="O1718" s="200">
        <f t="shared" si="8673"/>
        <v>0</v>
      </c>
      <c r="P1718" s="200">
        <f t="shared" si="9"/>
        <v>0</v>
      </c>
      <c r="Q1718" s="200">
        <f t="shared" ref="Q1718:AC1718" si="8674">countif($D1718,"*"&amp;Q$2&amp;"*")</f>
        <v>0</v>
      </c>
      <c r="R1718" s="200">
        <f t="shared" si="8674"/>
        <v>0</v>
      </c>
      <c r="S1718" s="200">
        <f t="shared" si="8674"/>
        <v>0</v>
      </c>
      <c r="T1718" s="200">
        <f t="shared" si="8674"/>
        <v>0</v>
      </c>
      <c r="U1718" s="200">
        <f t="shared" si="8674"/>
        <v>0</v>
      </c>
      <c r="V1718" s="200">
        <f t="shared" si="8674"/>
        <v>0</v>
      </c>
      <c r="W1718" s="200">
        <f t="shared" si="8674"/>
        <v>0</v>
      </c>
      <c r="X1718" s="200">
        <f t="shared" si="8674"/>
        <v>0</v>
      </c>
      <c r="Y1718" s="200">
        <f t="shared" si="8674"/>
        <v>0</v>
      </c>
      <c r="Z1718" s="200">
        <f t="shared" si="8674"/>
        <v>0</v>
      </c>
      <c r="AA1718" s="200">
        <f t="shared" si="8674"/>
        <v>0</v>
      </c>
      <c r="AB1718" s="200">
        <f t="shared" si="8674"/>
        <v>0</v>
      </c>
      <c r="AC1718" s="200">
        <f t="shared" si="8674"/>
        <v>0</v>
      </c>
      <c r="AD1718" s="200">
        <f t="shared" si="11"/>
        <v>0</v>
      </c>
      <c r="AE1718" s="200">
        <f t="shared" ref="AE1718:AG1718" si="8675">countif($D1718,"*"&amp;AE$2&amp;"*")</f>
        <v>0</v>
      </c>
      <c r="AF1718" s="200">
        <f t="shared" si="8675"/>
        <v>0</v>
      </c>
      <c r="AG1718" s="200">
        <f t="shared" si="8675"/>
        <v>0</v>
      </c>
      <c r="AH1718" s="171">
        <f t="shared" si="13"/>
        <v>0</v>
      </c>
      <c r="AI1718" s="200">
        <f t="shared" si="14"/>
        <v>1</v>
      </c>
      <c r="AJ1718" s="200">
        <f t="shared" si="8575"/>
        <v>0</v>
      </c>
      <c r="AK1718" s="201">
        <f t="shared" ref="AK1718:AS1718" si="8676">countif($D1718,"*"&amp;AK$2&amp;"*")</f>
        <v>0</v>
      </c>
      <c r="AL1718" s="201">
        <f t="shared" si="8676"/>
        <v>0</v>
      </c>
      <c r="AM1718" s="201">
        <f t="shared" si="8676"/>
        <v>0</v>
      </c>
      <c r="AN1718" s="201">
        <f t="shared" si="8676"/>
        <v>0</v>
      </c>
      <c r="AO1718" s="201">
        <f t="shared" si="8676"/>
        <v>0</v>
      </c>
      <c r="AP1718" s="201">
        <f t="shared" si="8676"/>
        <v>0</v>
      </c>
      <c r="AQ1718" s="201">
        <f t="shared" si="8676"/>
        <v>0</v>
      </c>
      <c r="AR1718" s="200">
        <f t="shared" si="8676"/>
        <v>0</v>
      </c>
      <c r="AS1718" s="200">
        <f t="shared" si="8676"/>
        <v>0</v>
      </c>
      <c r="AT1718" s="173">
        <v>0.0</v>
      </c>
      <c r="AU1718" s="200">
        <f t="shared" ref="AU1718:AX1718" si="8677">countif($D1718,"*"&amp;AU$2&amp;"*")</f>
        <v>0</v>
      </c>
      <c r="AV1718" s="200">
        <f t="shared" si="8677"/>
        <v>0</v>
      </c>
      <c r="AW1718" s="200">
        <f t="shared" si="8677"/>
        <v>0</v>
      </c>
      <c r="AX1718" s="200">
        <f t="shared" si="8677"/>
        <v>1</v>
      </c>
      <c r="AY1718" s="202">
        <v>0.0</v>
      </c>
      <c r="AZ1718" s="200"/>
      <c r="BA1718" s="171" t="str">
        <f t="shared" si="18"/>
        <v>Archival</v>
      </c>
      <c r="BB1718" s="171" t="str">
        <f t="shared" si="19"/>
        <v/>
      </c>
      <c r="BC1718" s="171" t="str">
        <f t="shared" si="20"/>
        <v/>
      </c>
      <c r="BD1718" s="171" t="str">
        <f t="shared" si="21"/>
        <v/>
      </c>
      <c r="BE1718" s="171" t="str">
        <f t="shared" si="22"/>
        <v/>
      </c>
      <c r="BF1718" s="171" t="str">
        <f t="shared" si="23"/>
        <v>Archival</v>
      </c>
    </row>
    <row r="1719">
      <c r="A1719" s="171">
        <f t="array" ref="A1719">XLOOKUP(C1719,FSE!A:A,FSE!C:C,"XXXXX",0,1)</f>
        <v>2020</v>
      </c>
      <c r="B1719" s="213" t="s">
        <v>5676</v>
      </c>
      <c r="C1719" s="214">
        <v>398.0</v>
      </c>
      <c r="D1719" s="215" t="s">
        <v>6396</v>
      </c>
      <c r="E1719" s="197" t="str">
        <f t="array" ref="E1719">XLOOKUP(C1719,FSE!A:A,FSE!Z:Z,"XXXXX",0,1)</f>
        <v>Publicly Available (1)</v>
      </c>
      <c r="F1719" s="213" t="s">
        <v>3394</v>
      </c>
      <c r="G1719" s="163" t="str">
        <f t="array" ref="G1719">IF(B1719="ICSE",IF(COUNTIFS(B:B,B1719,C:C,C1719)=XLOOKUP(C1719,ICSE!A:A,ICSE!AA:AA,"ERROR",0,1),"OK","ERROR"),IF(B1719="FSE",IF(COUNTIFS(B:B,B1719,C:C,C1719)=XLOOKUP(C1719,FSE!A:A,FSE!AA:AA,"ERROR",0,1),"OK","ERROR")))</f>
        <v>OK</v>
      </c>
      <c r="H1719" s="199">
        <f t="shared" ref="H1719:O1719" si="8678">countif($D1719,"*"&amp;H$2&amp;"*")</f>
        <v>0</v>
      </c>
      <c r="I1719" s="200">
        <f t="shared" si="8678"/>
        <v>0</v>
      </c>
      <c r="J1719" s="200">
        <f t="shared" si="8678"/>
        <v>0</v>
      </c>
      <c r="K1719" s="200">
        <f t="shared" si="8678"/>
        <v>0</v>
      </c>
      <c r="L1719" s="200">
        <f t="shared" si="8678"/>
        <v>0</v>
      </c>
      <c r="M1719" s="200">
        <f t="shared" si="8678"/>
        <v>0</v>
      </c>
      <c r="N1719" s="200">
        <f t="shared" si="8678"/>
        <v>0</v>
      </c>
      <c r="O1719" s="200">
        <f t="shared" si="8678"/>
        <v>0</v>
      </c>
      <c r="P1719" s="200">
        <f t="shared" si="9"/>
        <v>1</v>
      </c>
      <c r="Q1719" s="200">
        <f t="shared" ref="Q1719:AC1719" si="8679">countif($D1719,"*"&amp;Q$2&amp;"*")</f>
        <v>0</v>
      </c>
      <c r="R1719" s="200">
        <f t="shared" si="8679"/>
        <v>0</v>
      </c>
      <c r="S1719" s="200">
        <f t="shared" si="8679"/>
        <v>0</v>
      </c>
      <c r="T1719" s="200">
        <f t="shared" si="8679"/>
        <v>0</v>
      </c>
      <c r="U1719" s="200">
        <f t="shared" si="8679"/>
        <v>0</v>
      </c>
      <c r="V1719" s="200">
        <f t="shared" si="8679"/>
        <v>0</v>
      </c>
      <c r="W1719" s="200">
        <f t="shared" si="8679"/>
        <v>0</v>
      </c>
      <c r="X1719" s="200">
        <f t="shared" si="8679"/>
        <v>0</v>
      </c>
      <c r="Y1719" s="200">
        <f t="shared" si="8679"/>
        <v>0</v>
      </c>
      <c r="Z1719" s="200">
        <f t="shared" si="8679"/>
        <v>0</v>
      </c>
      <c r="AA1719" s="200">
        <f t="shared" si="8679"/>
        <v>0</v>
      </c>
      <c r="AB1719" s="200">
        <f t="shared" si="8679"/>
        <v>0</v>
      </c>
      <c r="AC1719" s="200">
        <f t="shared" si="8679"/>
        <v>0</v>
      </c>
      <c r="AD1719" s="200">
        <f t="shared" si="11"/>
        <v>0</v>
      </c>
      <c r="AE1719" s="200">
        <f t="shared" ref="AE1719:AG1719" si="8680">countif($D1719,"*"&amp;AE$2&amp;"*")</f>
        <v>0</v>
      </c>
      <c r="AF1719" s="200">
        <f t="shared" si="8680"/>
        <v>0</v>
      </c>
      <c r="AG1719" s="200">
        <f t="shared" si="8680"/>
        <v>0</v>
      </c>
      <c r="AH1719" s="171">
        <f t="shared" si="13"/>
        <v>0</v>
      </c>
      <c r="AI1719" s="200">
        <f t="shared" si="14"/>
        <v>0</v>
      </c>
      <c r="AJ1719" s="200">
        <f t="shared" si="8575"/>
        <v>0</v>
      </c>
      <c r="AK1719" s="201">
        <f t="shared" ref="AK1719:AS1719" si="8681">countif($D1719,"*"&amp;AK$2&amp;"*")</f>
        <v>0</v>
      </c>
      <c r="AL1719" s="201">
        <f t="shared" si="8681"/>
        <v>0</v>
      </c>
      <c r="AM1719" s="201">
        <f t="shared" si="8681"/>
        <v>0</v>
      </c>
      <c r="AN1719" s="201">
        <f t="shared" si="8681"/>
        <v>0</v>
      </c>
      <c r="AO1719" s="201">
        <f t="shared" si="8681"/>
        <v>0</v>
      </c>
      <c r="AP1719" s="201">
        <f t="shared" si="8681"/>
        <v>0</v>
      </c>
      <c r="AQ1719" s="201">
        <f t="shared" si="8681"/>
        <v>0</v>
      </c>
      <c r="AR1719" s="200">
        <f t="shared" si="8681"/>
        <v>0</v>
      </c>
      <c r="AS1719" s="200">
        <f t="shared" si="8681"/>
        <v>0</v>
      </c>
      <c r="AT1719" s="173">
        <v>0.0</v>
      </c>
      <c r="AU1719" s="200">
        <f t="shared" ref="AU1719:AX1719" si="8682">countif($D1719,"*"&amp;AU$2&amp;"*")</f>
        <v>0</v>
      </c>
      <c r="AV1719" s="200">
        <f t="shared" si="8682"/>
        <v>1</v>
      </c>
      <c r="AW1719" s="200">
        <f t="shared" si="8682"/>
        <v>0</v>
      </c>
      <c r="AX1719" s="200">
        <f t="shared" si="8682"/>
        <v>0</v>
      </c>
      <c r="AY1719" s="202">
        <v>0.0</v>
      </c>
      <c r="AZ1719" s="200"/>
      <c r="BA1719" s="171" t="str">
        <f t="shared" si="18"/>
        <v/>
      </c>
      <c r="BB1719" s="171" t="str">
        <f t="shared" si="19"/>
        <v>Code</v>
      </c>
      <c r="BC1719" s="171" t="str">
        <f t="shared" si="20"/>
        <v/>
      </c>
      <c r="BD1719" s="171" t="str">
        <f t="shared" si="21"/>
        <v/>
      </c>
      <c r="BE1719" s="171" t="str">
        <f t="shared" si="22"/>
        <v/>
      </c>
      <c r="BF1719" s="171" t="str">
        <f t="shared" si="23"/>
        <v>Code</v>
      </c>
    </row>
    <row r="1720">
      <c r="A1720" s="171">
        <f t="array" ref="A1720">XLOOKUP(C1720,FSE!A:A,FSE!C:C,"XXXXX",0,1)</f>
        <v>2020</v>
      </c>
      <c r="B1720" s="213" t="s">
        <v>5676</v>
      </c>
      <c r="C1720" s="214">
        <v>399.0</v>
      </c>
      <c r="D1720" s="215" t="s">
        <v>6397</v>
      </c>
      <c r="E1720" s="197" t="str">
        <f t="array" ref="E1720">XLOOKUP(C1720,FSE!A:A,FSE!Z:Z,"XXXXX",0,1)</f>
        <v>Publicly Available (1)</v>
      </c>
      <c r="F1720" s="213" t="s">
        <v>3394</v>
      </c>
      <c r="G1720" s="163" t="str">
        <f t="array" ref="G1720">IF(B1720="ICSE",IF(COUNTIFS(B:B,B1720,C:C,C1720)=XLOOKUP(C1720,ICSE!A:A,ICSE!AA:AA,"ERROR",0,1),"OK","ERROR"),IF(B1720="FSE",IF(COUNTIFS(B:B,B1720,C:C,C1720)=XLOOKUP(C1720,FSE!A:A,FSE!AA:AA,"ERROR",0,1),"OK","ERROR")))</f>
        <v>OK</v>
      </c>
      <c r="H1720" s="199">
        <f t="shared" ref="H1720:O1720" si="8683">countif($D1720,"*"&amp;H$2&amp;"*")</f>
        <v>0</v>
      </c>
      <c r="I1720" s="200">
        <f t="shared" si="8683"/>
        <v>0</v>
      </c>
      <c r="J1720" s="200">
        <f t="shared" si="8683"/>
        <v>0</v>
      </c>
      <c r="K1720" s="200">
        <f t="shared" si="8683"/>
        <v>0</v>
      </c>
      <c r="L1720" s="200">
        <f t="shared" si="8683"/>
        <v>0</v>
      </c>
      <c r="M1720" s="200">
        <f t="shared" si="8683"/>
        <v>0</v>
      </c>
      <c r="N1720" s="200">
        <f t="shared" si="8683"/>
        <v>0</v>
      </c>
      <c r="O1720" s="200">
        <f t="shared" si="8683"/>
        <v>0</v>
      </c>
      <c r="P1720" s="200">
        <f t="shared" si="9"/>
        <v>0</v>
      </c>
      <c r="Q1720" s="200">
        <f t="shared" ref="Q1720:AC1720" si="8684">countif($D1720,"*"&amp;Q$2&amp;"*")</f>
        <v>0</v>
      </c>
      <c r="R1720" s="200">
        <f t="shared" si="8684"/>
        <v>0</v>
      </c>
      <c r="S1720" s="200">
        <f t="shared" si="8684"/>
        <v>0</v>
      </c>
      <c r="T1720" s="200">
        <f t="shared" si="8684"/>
        <v>0</v>
      </c>
      <c r="U1720" s="200">
        <f t="shared" si="8684"/>
        <v>0</v>
      </c>
      <c r="V1720" s="200">
        <f t="shared" si="8684"/>
        <v>0</v>
      </c>
      <c r="W1720" s="200">
        <f t="shared" si="8684"/>
        <v>0</v>
      </c>
      <c r="X1720" s="200">
        <f t="shared" si="8684"/>
        <v>0</v>
      </c>
      <c r="Y1720" s="200">
        <f t="shared" si="8684"/>
        <v>0</v>
      </c>
      <c r="Z1720" s="200">
        <f t="shared" si="8684"/>
        <v>0</v>
      </c>
      <c r="AA1720" s="200">
        <f t="shared" si="8684"/>
        <v>1</v>
      </c>
      <c r="AB1720" s="200">
        <f t="shared" si="8684"/>
        <v>0</v>
      </c>
      <c r="AC1720" s="200">
        <f t="shared" si="8684"/>
        <v>0</v>
      </c>
      <c r="AD1720" s="200">
        <f t="shared" si="11"/>
        <v>0</v>
      </c>
      <c r="AE1720" s="200">
        <f t="shared" ref="AE1720:AG1720" si="8685">countif($D1720,"*"&amp;AE$2&amp;"*")</f>
        <v>0</v>
      </c>
      <c r="AF1720" s="200">
        <f t="shared" si="8685"/>
        <v>0</v>
      </c>
      <c r="AG1720" s="200">
        <f t="shared" si="8685"/>
        <v>0</v>
      </c>
      <c r="AH1720" s="171">
        <f t="shared" si="13"/>
        <v>0</v>
      </c>
      <c r="AI1720" s="200">
        <f t="shared" si="14"/>
        <v>0</v>
      </c>
      <c r="AJ1720" s="200">
        <f t="shared" si="8575"/>
        <v>0</v>
      </c>
      <c r="AK1720" s="201">
        <f t="shared" ref="AK1720:AS1720" si="8686">countif($D1720,"*"&amp;AK$2&amp;"*")</f>
        <v>0</v>
      </c>
      <c r="AL1720" s="201">
        <f t="shared" si="8686"/>
        <v>0</v>
      </c>
      <c r="AM1720" s="201">
        <f t="shared" si="8686"/>
        <v>0</v>
      </c>
      <c r="AN1720" s="201">
        <f t="shared" si="8686"/>
        <v>0</v>
      </c>
      <c r="AO1720" s="201">
        <f t="shared" si="8686"/>
        <v>0</v>
      </c>
      <c r="AP1720" s="201">
        <f t="shared" si="8686"/>
        <v>0</v>
      </c>
      <c r="AQ1720" s="201">
        <f t="shared" si="8686"/>
        <v>0</v>
      </c>
      <c r="AR1720" s="200">
        <f t="shared" si="8686"/>
        <v>0</v>
      </c>
      <c r="AS1720" s="200">
        <f t="shared" si="8686"/>
        <v>0</v>
      </c>
      <c r="AT1720" s="173">
        <v>0.0</v>
      </c>
      <c r="AU1720" s="200">
        <f t="shared" ref="AU1720:AX1720" si="8687">countif($D1720,"*"&amp;AU$2&amp;"*")</f>
        <v>0</v>
      </c>
      <c r="AV1720" s="200">
        <f t="shared" si="8687"/>
        <v>0</v>
      </c>
      <c r="AW1720" s="200">
        <f t="shared" si="8687"/>
        <v>0</v>
      </c>
      <c r="AX1720" s="200">
        <f t="shared" si="8687"/>
        <v>0</v>
      </c>
      <c r="AY1720" s="202">
        <v>0.0</v>
      </c>
      <c r="AZ1720" s="200"/>
      <c r="BA1720" s="171" t="str">
        <f t="shared" si="18"/>
        <v/>
      </c>
      <c r="BB1720" s="171" t="str">
        <f t="shared" si="19"/>
        <v/>
      </c>
      <c r="BC1720" s="171" t="str">
        <f t="shared" si="20"/>
        <v>General-purpose</v>
      </c>
      <c r="BD1720" s="171" t="str">
        <f t="shared" si="21"/>
        <v/>
      </c>
      <c r="BE1720" s="171" t="str">
        <f t="shared" si="22"/>
        <v/>
      </c>
      <c r="BF1720" s="171" t="str">
        <f t="shared" si="23"/>
        <v>General-purpose</v>
      </c>
    </row>
    <row r="1721">
      <c r="A1721" s="171">
        <f t="array" ref="A1721">XLOOKUP(C1721,FSE!A:A,FSE!C:C,"XXXXX",0,1)</f>
        <v>2020</v>
      </c>
      <c r="B1721" s="213" t="s">
        <v>5676</v>
      </c>
      <c r="C1721" s="214">
        <v>400.0</v>
      </c>
      <c r="D1721" s="215" t="s">
        <v>4685</v>
      </c>
      <c r="E1721" s="197" t="str">
        <f t="array" ref="E1721">XLOOKUP(C1721,FSE!A:A,FSE!Z:Z,"XXXXX",0,1)</f>
        <v>Publicly Available (1)</v>
      </c>
      <c r="F1721" s="213" t="s">
        <v>3394</v>
      </c>
      <c r="G1721" s="163" t="str">
        <f t="array" ref="G1721">IF(B1721="ICSE",IF(COUNTIFS(B:B,B1721,C:C,C1721)=XLOOKUP(C1721,ICSE!A:A,ICSE!AA:AA,"ERROR",0,1),"OK","ERROR"),IF(B1721="FSE",IF(COUNTIFS(B:B,B1721,C:C,C1721)=XLOOKUP(C1721,FSE!A:A,FSE!AA:AA,"ERROR",0,1),"OK","ERROR")))</f>
        <v>OK</v>
      </c>
      <c r="H1721" s="199">
        <f t="shared" ref="H1721:O1721" si="8688">countif($D1721,"*"&amp;H$2&amp;"*")</f>
        <v>0</v>
      </c>
      <c r="I1721" s="200">
        <f t="shared" si="8688"/>
        <v>0</v>
      </c>
      <c r="J1721" s="200">
        <f t="shared" si="8688"/>
        <v>0</v>
      </c>
      <c r="K1721" s="200">
        <f t="shared" si="8688"/>
        <v>0</v>
      </c>
      <c r="L1721" s="200">
        <f t="shared" si="8688"/>
        <v>0</v>
      </c>
      <c r="M1721" s="200">
        <f t="shared" si="8688"/>
        <v>0</v>
      </c>
      <c r="N1721" s="200">
        <f t="shared" si="8688"/>
        <v>0</v>
      </c>
      <c r="O1721" s="200">
        <f t="shared" si="8688"/>
        <v>0</v>
      </c>
      <c r="P1721" s="200">
        <f t="shared" si="9"/>
        <v>0</v>
      </c>
      <c r="Q1721" s="200">
        <f t="shared" ref="Q1721:AC1721" si="8689">countif($D1721,"*"&amp;Q$2&amp;"*")</f>
        <v>0</v>
      </c>
      <c r="R1721" s="200">
        <f t="shared" si="8689"/>
        <v>0</v>
      </c>
      <c r="S1721" s="200">
        <f t="shared" si="8689"/>
        <v>0</v>
      </c>
      <c r="T1721" s="200">
        <f t="shared" si="8689"/>
        <v>0</v>
      </c>
      <c r="U1721" s="200">
        <f t="shared" si="8689"/>
        <v>0</v>
      </c>
      <c r="V1721" s="200">
        <f t="shared" si="8689"/>
        <v>0</v>
      </c>
      <c r="W1721" s="200">
        <f t="shared" si="8689"/>
        <v>0</v>
      </c>
      <c r="X1721" s="200">
        <f t="shared" si="8689"/>
        <v>0</v>
      </c>
      <c r="Y1721" s="200">
        <f t="shared" si="8689"/>
        <v>0</v>
      </c>
      <c r="Z1721" s="200">
        <f t="shared" si="8689"/>
        <v>0</v>
      </c>
      <c r="AA1721" s="200">
        <f t="shared" si="8689"/>
        <v>0</v>
      </c>
      <c r="AB1721" s="200">
        <f t="shared" si="8689"/>
        <v>0</v>
      </c>
      <c r="AC1721" s="200">
        <f t="shared" si="8689"/>
        <v>0</v>
      </c>
      <c r="AD1721" s="200">
        <f t="shared" si="11"/>
        <v>1</v>
      </c>
      <c r="AE1721" s="200">
        <f t="shared" ref="AE1721:AG1721" si="8690">countif($D1721,"*"&amp;AE$2&amp;"*")</f>
        <v>0</v>
      </c>
      <c r="AF1721" s="200">
        <f t="shared" si="8690"/>
        <v>0</v>
      </c>
      <c r="AG1721" s="200">
        <f t="shared" si="8690"/>
        <v>0</v>
      </c>
      <c r="AH1721" s="171">
        <f t="shared" si="13"/>
        <v>0</v>
      </c>
      <c r="AI1721" s="200">
        <f t="shared" si="14"/>
        <v>0</v>
      </c>
      <c r="AJ1721" s="200">
        <f>SUM(AK1721:AQ1721)</f>
        <v>0</v>
      </c>
      <c r="AK1721" s="201">
        <f t="shared" ref="AK1721:AS1721" si="8691">countif($D1721,"*"&amp;AK$2&amp;"*")</f>
        <v>0</v>
      </c>
      <c r="AL1721" s="201">
        <f t="shared" si="8691"/>
        <v>0</v>
      </c>
      <c r="AM1721" s="201">
        <f t="shared" si="8691"/>
        <v>0</v>
      </c>
      <c r="AN1721" s="201">
        <f t="shared" si="8691"/>
        <v>0</v>
      </c>
      <c r="AO1721" s="201">
        <f t="shared" si="8691"/>
        <v>0</v>
      </c>
      <c r="AP1721" s="201">
        <f t="shared" si="8691"/>
        <v>0</v>
      </c>
      <c r="AQ1721" s="201">
        <f t="shared" si="8691"/>
        <v>0</v>
      </c>
      <c r="AR1721" s="201">
        <f t="shared" si="8691"/>
        <v>0</v>
      </c>
      <c r="AS1721" s="200">
        <f t="shared" si="8691"/>
        <v>0</v>
      </c>
      <c r="AT1721" s="205">
        <v>0.0</v>
      </c>
      <c r="AU1721" s="200">
        <f t="shared" ref="AU1721:AX1721" si="8692">countif($D1721,"*"&amp;AU$2&amp;"*")</f>
        <v>1</v>
      </c>
      <c r="AV1721" s="200">
        <f t="shared" si="8692"/>
        <v>0</v>
      </c>
      <c r="AW1721" s="200">
        <f t="shared" si="8692"/>
        <v>0</v>
      </c>
      <c r="AX1721" s="200">
        <f t="shared" si="8692"/>
        <v>0</v>
      </c>
      <c r="AY1721" s="202">
        <v>0.0</v>
      </c>
      <c r="AZ1721" s="200"/>
      <c r="BA1721" s="171" t="str">
        <f t="shared" si="18"/>
        <v/>
      </c>
      <c r="BB1721" s="171" t="str">
        <f t="shared" si="19"/>
        <v/>
      </c>
      <c r="BC1721" s="171" t="str">
        <f t="shared" si="20"/>
        <v/>
      </c>
      <c r="BD1721" s="171" t="str">
        <f t="shared" si="21"/>
        <v>Institutional</v>
      </c>
      <c r="BE1721" s="171" t="str">
        <f t="shared" si="22"/>
        <v/>
      </c>
      <c r="BF1721" s="171" t="str">
        <f t="shared" si="23"/>
        <v>Institutional</v>
      </c>
    </row>
    <row r="1722">
      <c r="A1722" s="171">
        <f t="array" ref="A1722">XLOOKUP(C1722,FSE!A:A,FSE!C:C,"XXXXX",0,1)</f>
        <v>2020</v>
      </c>
      <c r="B1722" s="213" t="s">
        <v>5676</v>
      </c>
      <c r="C1722" s="214">
        <v>401.0</v>
      </c>
      <c r="D1722" s="215" t="s">
        <v>6398</v>
      </c>
      <c r="E1722" s="197" t="str">
        <f t="array" ref="E1722">XLOOKUP(C1722,FSE!A:A,FSE!Z:Z,"XXXXX",0,1)</f>
        <v>Publicly Available (1)</v>
      </c>
      <c r="F1722" s="213" t="s">
        <v>3394</v>
      </c>
      <c r="G1722" s="163" t="str">
        <f t="array" ref="G1722">IF(B1722="ICSE",IF(COUNTIFS(B:B,B1722,C:C,C1722)=XLOOKUP(C1722,ICSE!A:A,ICSE!AA:AA,"ERROR",0,1),"OK","ERROR"),IF(B1722="FSE",IF(COUNTIFS(B:B,B1722,C:C,C1722)=XLOOKUP(C1722,FSE!A:A,FSE!AA:AA,"ERROR",0,1),"OK","ERROR")))</f>
        <v>OK</v>
      </c>
      <c r="H1722" s="199">
        <f t="shared" ref="H1722:O1722" si="8693">countif($D1722,"*"&amp;H$2&amp;"*")</f>
        <v>0</v>
      </c>
      <c r="I1722" s="200">
        <f t="shared" si="8693"/>
        <v>0</v>
      </c>
      <c r="J1722" s="200">
        <f t="shared" si="8693"/>
        <v>0</v>
      </c>
      <c r="K1722" s="200">
        <f t="shared" si="8693"/>
        <v>0</v>
      </c>
      <c r="L1722" s="200">
        <f t="shared" si="8693"/>
        <v>0</v>
      </c>
      <c r="M1722" s="200">
        <f t="shared" si="8693"/>
        <v>0</v>
      </c>
      <c r="N1722" s="200">
        <f t="shared" si="8693"/>
        <v>0</v>
      </c>
      <c r="O1722" s="200">
        <f t="shared" si="8693"/>
        <v>0</v>
      </c>
      <c r="P1722" s="200">
        <f t="shared" si="9"/>
        <v>1</v>
      </c>
      <c r="Q1722" s="200">
        <f t="shared" ref="Q1722:AC1722" si="8694">countif($D1722,"*"&amp;Q$2&amp;"*")</f>
        <v>0</v>
      </c>
      <c r="R1722" s="200">
        <f t="shared" si="8694"/>
        <v>0</v>
      </c>
      <c r="S1722" s="200">
        <f t="shared" si="8694"/>
        <v>0</v>
      </c>
      <c r="T1722" s="200">
        <f t="shared" si="8694"/>
        <v>0</v>
      </c>
      <c r="U1722" s="200">
        <f t="shared" si="8694"/>
        <v>0</v>
      </c>
      <c r="V1722" s="200">
        <f t="shared" si="8694"/>
        <v>0</v>
      </c>
      <c r="W1722" s="200">
        <f t="shared" si="8694"/>
        <v>0</v>
      </c>
      <c r="X1722" s="200">
        <f t="shared" si="8694"/>
        <v>0</v>
      </c>
      <c r="Y1722" s="200">
        <f t="shared" si="8694"/>
        <v>0</v>
      </c>
      <c r="Z1722" s="200">
        <f t="shared" si="8694"/>
        <v>0</v>
      </c>
      <c r="AA1722" s="200">
        <f t="shared" si="8694"/>
        <v>0</v>
      </c>
      <c r="AB1722" s="200">
        <f t="shared" si="8694"/>
        <v>0</v>
      </c>
      <c r="AC1722" s="200">
        <f t="shared" si="8694"/>
        <v>0</v>
      </c>
      <c r="AD1722" s="200">
        <f t="shared" si="11"/>
        <v>0</v>
      </c>
      <c r="AE1722" s="200">
        <f t="shared" ref="AE1722:AG1722" si="8695">countif($D1722,"*"&amp;AE$2&amp;"*")</f>
        <v>0</v>
      </c>
      <c r="AF1722" s="200">
        <f t="shared" si="8695"/>
        <v>0</v>
      </c>
      <c r="AG1722" s="200">
        <f t="shared" si="8695"/>
        <v>0</v>
      </c>
      <c r="AH1722" s="171">
        <f t="shared" si="13"/>
        <v>0</v>
      </c>
      <c r="AI1722" s="200">
        <f t="shared" si="14"/>
        <v>0</v>
      </c>
      <c r="AJ1722" s="200">
        <f t="shared" ref="AJ1722:AJ1754" si="8701">SUM(AK1722:AR1722)</f>
        <v>0</v>
      </c>
      <c r="AK1722" s="201">
        <f t="shared" ref="AK1722:AS1722" si="8696">countif($D1722,"*"&amp;AK$2&amp;"*")</f>
        <v>0</v>
      </c>
      <c r="AL1722" s="201">
        <f t="shared" si="8696"/>
        <v>0</v>
      </c>
      <c r="AM1722" s="201">
        <f t="shared" si="8696"/>
        <v>0</v>
      </c>
      <c r="AN1722" s="201">
        <f t="shared" si="8696"/>
        <v>0</v>
      </c>
      <c r="AO1722" s="201">
        <f t="shared" si="8696"/>
        <v>0</v>
      </c>
      <c r="AP1722" s="201">
        <f t="shared" si="8696"/>
        <v>0</v>
      </c>
      <c r="AQ1722" s="201">
        <f t="shared" si="8696"/>
        <v>0</v>
      </c>
      <c r="AR1722" s="200">
        <f t="shared" si="8696"/>
        <v>0</v>
      </c>
      <c r="AS1722" s="200">
        <f t="shared" si="8696"/>
        <v>0</v>
      </c>
      <c r="AT1722" s="173">
        <v>0.0</v>
      </c>
      <c r="AU1722" s="200">
        <f t="shared" ref="AU1722:AX1722" si="8697">countif($D1722,"*"&amp;AU$2&amp;"*")</f>
        <v>0</v>
      </c>
      <c r="AV1722" s="200">
        <f t="shared" si="8697"/>
        <v>1</v>
      </c>
      <c r="AW1722" s="200">
        <f t="shared" si="8697"/>
        <v>0</v>
      </c>
      <c r="AX1722" s="200">
        <f t="shared" si="8697"/>
        <v>0</v>
      </c>
      <c r="AY1722" s="202">
        <v>0.0</v>
      </c>
      <c r="AZ1722" s="200"/>
      <c r="BA1722" s="171" t="str">
        <f t="shared" si="18"/>
        <v/>
      </c>
      <c r="BB1722" s="171" t="str">
        <f t="shared" si="19"/>
        <v>Code</v>
      </c>
      <c r="BC1722" s="171" t="str">
        <f t="shared" si="20"/>
        <v/>
      </c>
      <c r="BD1722" s="171" t="str">
        <f t="shared" si="21"/>
        <v/>
      </c>
      <c r="BE1722" s="171" t="str">
        <f t="shared" si="22"/>
        <v/>
      </c>
      <c r="BF1722" s="171" t="str">
        <f t="shared" si="23"/>
        <v>Code</v>
      </c>
    </row>
    <row r="1723">
      <c r="A1723" s="171">
        <f t="array" ref="A1723">XLOOKUP(C1723,FSE!A:A,FSE!C:C,"XXXXX",0,1)</f>
        <v>2020</v>
      </c>
      <c r="B1723" s="213" t="s">
        <v>5676</v>
      </c>
      <c r="C1723" s="214">
        <v>402.0</v>
      </c>
      <c r="D1723" s="215" t="s">
        <v>4692</v>
      </c>
      <c r="E1723" s="197" t="str">
        <f t="array" ref="E1723">XLOOKUP(C1723,FSE!A:A,FSE!Z:Z,"XXXXX",0,1)</f>
        <v>Publicly Available (1)</v>
      </c>
      <c r="F1723" s="213" t="s">
        <v>3394</v>
      </c>
      <c r="G1723" s="163" t="str">
        <f t="array" ref="G1723">IF(B1723="ICSE",IF(COUNTIFS(B:B,B1723,C:C,C1723)=XLOOKUP(C1723,ICSE!A:A,ICSE!AA:AA,"ERROR",0,1),"OK","ERROR"),IF(B1723="FSE",IF(COUNTIFS(B:B,B1723,C:C,C1723)=XLOOKUP(C1723,FSE!A:A,FSE!AA:AA,"ERROR",0,1),"OK","ERROR")))</f>
        <v>OK</v>
      </c>
      <c r="H1723" s="199">
        <f t="shared" ref="H1723:O1723" si="8698">countif($D1723,"*"&amp;H$2&amp;"*")</f>
        <v>0</v>
      </c>
      <c r="I1723" s="200">
        <f t="shared" si="8698"/>
        <v>0</v>
      </c>
      <c r="J1723" s="200">
        <f t="shared" si="8698"/>
        <v>0</v>
      </c>
      <c r="K1723" s="200">
        <f t="shared" si="8698"/>
        <v>0</v>
      </c>
      <c r="L1723" s="200">
        <f t="shared" si="8698"/>
        <v>0</v>
      </c>
      <c r="M1723" s="200">
        <f t="shared" si="8698"/>
        <v>0</v>
      </c>
      <c r="N1723" s="200">
        <f t="shared" si="8698"/>
        <v>0</v>
      </c>
      <c r="O1723" s="200">
        <f t="shared" si="8698"/>
        <v>0</v>
      </c>
      <c r="P1723" s="200">
        <f t="shared" si="9"/>
        <v>1</v>
      </c>
      <c r="Q1723" s="200">
        <f t="shared" ref="Q1723:AC1723" si="8699">countif($D1723,"*"&amp;Q$2&amp;"*")</f>
        <v>0</v>
      </c>
      <c r="R1723" s="200">
        <f t="shared" si="8699"/>
        <v>0</v>
      </c>
      <c r="S1723" s="200">
        <f t="shared" si="8699"/>
        <v>0</v>
      </c>
      <c r="T1723" s="200">
        <f t="shared" si="8699"/>
        <v>0</v>
      </c>
      <c r="U1723" s="200">
        <f t="shared" si="8699"/>
        <v>0</v>
      </c>
      <c r="V1723" s="200">
        <f t="shared" si="8699"/>
        <v>0</v>
      </c>
      <c r="W1723" s="200">
        <f t="shared" si="8699"/>
        <v>0</v>
      </c>
      <c r="X1723" s="200">
        <f t="shared" si="8699"/>
        <v>0</v>
      </c>
      <c r="Y1723" s="200">
        <f t="shared" si="8699"/>
        <v>0</v>
      </c>
      <c r="Z1723" s="200">
        <f t="shared" si="8699"/>
        <v>0</v>
      </c>
      <c r="AA1723" s="200">
        <f t="shared" si="8699"/>
        <v>0</v>
      </c>
      <c r="AB1723" s="200">
        <f t="shared" si="8699"/>
        <v>0</v>
      </c>
      <c r="AC1723" s="200">
        <f t="shared" si="8699"/>
        <v>0</v>
      </c>
      <c r="AD1723" s="200">
        <f t="shared" si="11"/>
        <v>0</v>
      </c>
      <c r="AE1723" s="200">
        <f t="shared" ref="AE1723:AG1723" si="8700">countif($D1723,"*"&amp;AE$2&amp;"*")</f>
        <v>0</v>
      </c>
      <c r="AF1723" s="200">
        <f t="shared" si="8700"/>
        <v>0</v>
      </c>
      <c r="AG1723" s="200">
        <f t="shared" si="8700"/>
        <v>0</v>
      </c>
      <c r="AH1723" s="171">
        <f t="shared" si="13"/>
        <v>0</v>
      </c>
      <c r="AI1723" s="200">
        <f t="shared" si="14"/>
        <v>0</v>
      </c>
      <c r="AJ1723" s="200">
        <f t="shared" si="8701"/>
        <v>0</v>
      </c>
      <c r="AK1723" s="201">
        <f t="shared" ref="AK1723:AS1723" si="8702">countif($D1723,"*"&amp;AK$2&amp;"*")</f>
        <v>0</v>
      </c>
      <c r="AL1723" s="201">
        <f t="shared" si="8702"/>
        <v>0</v>
      </c>
      <c r="AM1723" s="201">
        <f t="shared" si="8702"/>
        <v>0</v>
      </c>
      <c r="AN1723" s="201">
        <f t="shared" si="8702"/>
        <v>0</v>
      </c>
      <c r="AO1723" s="201">
        <f t="shared" si="8702"/>
        <v>0</v>
      </c>
      <c r="AP1723" s="201">
        <f t="shared" si="8702"/>
        <v>0</v>
      </c>
      <c r="AQ1723" s="201">
        <f t="shared" si="8702"/>
        <v>0</v>
      </c>
      <c r="AR1723" s="200">
        <f t="shared" si="8702"/>
        <v>0</v>
      </c>
      <c r="AS1723" s="200">
        <f t="shared" si="8702"/>
        <v>0</v>
      </c>
      <c r="AT1723" s="173">
        <v>0.0</v>
      </c>
      <c r="AU1723" s="200">
        <f t="shared" ref="AU1723:AX1723" si="8703">countif($D1723,"*"&amp;AU$2&amp;"*")</f>
        <v>0</v>
      </c>
      <c r="AV1723" s="200">
        <f t="shared" si="8703"/>
        <v>1</v>
      </c>
      <c r="AW1723" s="200">
        <f t="shared" si="8703"/>
        <v>0</v>
      </c>
      <c r="AX1723" s="200">
        <f t="shared" si="8703"/>
        <v>0</v>
      </c>
      <c r="AY1723" s="202">
        <v>0.0</v>
      </c>
      <c r="AZ1723" s="200"/>
      <c r="BA1723" s="171" t="str">
        <f t="shared" si="18"/>
        <v/>
      </c>
      <c r="BB1723" s="171" t="str">
        <f t="shared" si="19"/>
        <v>Code</v>
      </c>
      <c r="BC1723" s="171" t="str">
        <f t="shared" si="20"/>
        <v/>
      </c>
      <c r="BD1723" s="171" t="str">
        <f t="shared" si="21"/>
        <v/>
      </c>
      <c r="BE1723" s="171" t="str">
        <f t="shared" si="22"/>
        <v/>
      </c>
      <c r="BF1723" s="171" t="str">
        <f t="shared" si="23"/>
        <v>Code</v>
      </c>
    </row>
    <row r="1724">
      <c r="A1724" s="171">
        <f t="array" ref="A1724">XLOOKUP(C1724,FSE!A:A,FSE!C:C,"XXXXX",0,1)</f>
        <v>2020</v>
      </c>
      <c r="B1724" s="213" t="s">
        <v>5676</v>
      </c>
      <c r="C1724" s="214">
        <v>403.0</v>
      </c>
      <c r="D1724" s="215" t="s">
        <v>4695</v>
      </c>
      <c r="E1724" s="197" t="str">
        <f t="array" ref="E1724">XLOOKUP(C1724,FSE!A:A,FSE!Z:Z,"XXXXX",0,1)</f>
        <v>Publicly Available (1)</v>
      </c>
      <c r="F1724" s="213" t="s">
        <v>3394</v>
      </c>
      <c r="G1724" s="163" t="str">
        <f t="array" ref="G1724">IF(B1724="ICSE",IF(COUNTIFS(B:B,B1724,C:C,C1724)=XLOOKUP(C1724,ICSE!A:A,ICSE!AA:AA,"ERROR",0,1),"OK","ERROR"),IF(B1724="FSE",IF(COUNTIFS(B:B,B1724,C:C,C1724)=XLOOKUP(C1724,FSE!A:A,FSE!AA:AA,"ERROR",0,1),"OK","ERROR")))</f>
        <v>OK</v>
      </c>
      <c r="H1724" s="199">
        <f t="shared" ref="H1724:O1724" si="8704">countif($D1724,"*"&amp;H$2&amp;"*")</f>
        <v>0</v>
      </c>
      <c r="I1724" s="200">
        <f t="shared" si="8704"/>
        <v>0</v>
      </c>
      <c r="J1724" s="200">
        <f t="shared" si="8704"/>
        <v>0</v>
      </c>
      <c r="K1724" s="200">
        <f t="shared" si="8704"/>
        <v>0</v>
      </c>
      <c r="L1724" s="200">
        <f t="shared" si="8704"/>
        <v>0</v>
      </c>
      <c r="M1724" s="200">
        <f t="shared" si="8704"/>
        <v>0</v>
      </c>
      <c r="N1724" s="200">
        <f t="shared" si="8704"/>
        <v>0</v>
      </c>
      <c r="O1724" s="200">
        <f t="shared" si="8704"/>
        <v>0</v>
      </c>
      <c r="P1724" s="200">
        <f t="shared" si="9"/>
        <v>0</v>
      </c>
      <c r="Q1724" s="200">
        <f t="shared" ref="Q1724:AC1724" si="8705">countif($D1724,"*"&amp;Q$2&amp;"*")</f>
        <v>0</v>
      </c>
      <c r="R1724" s="200">
        <f t="shared" si="8705"/>
        <v>0</v>
      </c>
      <c r="S1724" s="200">
        <f t="shared" si="8705"/>
        <v>0</v>
      </c>
      <c r="T1724" s="200">
        <f t="shared" si="8705"/>
        <v>0</v>
      </c>
      <c r="U1724" s="200">
        <f t="shared" si="8705"/>
        <v>0</v>
      </c>
      <c r="V1724" s="200">
        <f t="shared" si="8705"/>
        <v>0</v>
      </c>
      <c r="W1724" s="200">
        <f t="shared" si="8705"/>
        <v>0</v>
      </c>
      <c r="X1724" s="200">
        <f t="shared" si="8705"/>
        <v>0</v>
      </c>
      <c r="Y1724" s="200">
        <f t="shared" si="8705"/>
        <v>0</v>
      </c>
      <c r="Z1724" s="200">
        <f t="shared" si="8705"/>
        <v>0</v>
      </c>
      <c r="AA1724" s="200">
        <f t="shared" si="8705"/>
        <v>1</v>
      </c>
      <c r="AB1724" s="200">
        <f t="shared" si="8705"/>
        <v>0</v>
      </c>
      <c r="AC1724" s="200">
        <f t="shared" si="8705"/>
        <v>0</v>
      </c>
      <c r="AD1724" s="200">
        <f t="shared" si="11"/>
        <v>0</v>
      </c>
      <c r="AE1724" s="200">
        <f t="shared" ref="AE1724:AG1724" si="8706">countif($D1724,"*"&amp;AE$2&amp;"*")</f>
        <v>0</v>
      </c>
      <c r="AF1724" s="200">
        <f t="shared" si="8706"/>
        <v>0</v>
      </c>
      <c r="AG1724" s="200">
        <f t="shared" si="8706"/>
        <v>0</v>
      </c>
      <c r="AH1724" s="171">
        <f t="shared" si="13"/>
        <v>0</v>
      </c>
      <c r="AI1724" s="200">
        <f t="shared" si="14"/>
        <v>0</v>
      </c>
      <c r="AJ1724" s="200">
        <f t="shared" si="8701"/>
        <v>0</v>
      </c>
      <c r="AK1724" s="201">
        <f t="shared" ref="AK1724:AS1724" si="8707">countif($D1724,"*"&amp;AK$2&amp;"*")</f>
        <v>0</v>
      </c>
      <c r="AL1724" s="201">
        <f t="shared" si="8707"/>
        <v>0</v>
      </c>
      <c r="AM1724" s="201">
        <f t="shared" si="8707"/>
        <v>0</v>
      </c>
      <c r="AN1724" s="201">
        <f t="shared" si="8707"/>
        <v>0</v>
      </c>
      <c r="AO1724" s="201">
        <f t="shared" si="8707"/>
        <v>0</v>
      </c>
      <c r="AP1724" s="201">
        <f t="shared" si="8707"/>
        <v>0</v>
      </c>
      <c r="AQ1724" s="201">
        <f t="shared" si="8707"/>
        <v>0</v>
      </c>
      <c r="AR1724" s="200">
        <f t="shared" si="8707"/>
        <v>0</v>
      </c>
      <c r="AS1724" s="200">
        <f t="shared" si="8707"/>
        <v>0</v>
      </c>
      <c r="AT1724" s="173">
        <v>0.0</v>
      </c>
      <c r="AU1724" s="200">
        <f t="shared" ref="AU1724:AX1724" si="8708">countif($D1724,"*"&amp;AU$2&amp;"*")</f>
        <v>0</v>
      </c>
      <c r="AV1724" s="200">
        <f t="shared" si="8708"/>
        <v>0</v>
      </c>
      <c r="AW1724" s="200">
        <f t="shared" si="8708"/>
        <v>0</v>
      </c>
      <c r="AX1724" s="200">
        <f t="shared" si="8708"/>
        <v>0</v>
      </c>
      <c r="AY1724" s="202">
        <v>0.0</v>
      </c>
      <c r="AZ1724" s="200"/>
      <c r="BA1724" s="171" t="str">
        <f t="shared" si="18"/>
        <v/>
      </c>
      <c r="BB1724" s="171" t="str">
        <f t="shared" si="19"/>
        <v/>
      </c>
      <c r="BC1724" s="171" t="str">
        <f t="shared" si="20"/>
        <v>General-purpose</v>
      </c>
      <c r="BD1724" s="171" t="str">
        <f t="shared" si="21"/>
        <v/>
      </c>
      <c r="BE1724" s="171" t="str">
        <f t="shared" si="22"/>
        <v/>
      </c>
      <c r="BF1724" s="171" t="str">
        <f t="shared" si="23"/>
        <v>General-purpose</v>
      </c>
    </row>
    <row r="1725">
      <c r="A1725" s="171">
        <f t="array" ref="A1725">XLOOKUP(C1725,FSE!A:A,FSE!C:C,"XXXXX",0,1)</f>
        <v>2020</v>
      </c>
      <c r="B1725" s="213" t="s">
        <v>5676</v>
      </c>
      <c r="C1725" s="214">
        <v>404.0</v>
      </c>
      <c r="D1725" s="215" t="s">
        <v>4698</v>
      </c>
      <c r="E1725" s="197" t="str">
        <f t="array" ref="E1725">XLOOKUP(C1725,FSE!A:A,FSE!Z:Z,"XXXXX",0,1)</f>
        <v>Publicly Available (1)</v>
      </c>
      <c r="F1725" s="213" t="s">
        <v>3394</v>
      </c>
      <c r="G1725" s="163" t="str">
        <f t="array" ref="G1725">IF(B1725="ICSE",IF(COUNTIFS(B:B,B1725,C:C,C1725)=XLOOKUP(C1725,ICSE!A:A,ICSE!AA:AA,"ERROR",0,1),"OK","ERROR"),IF(B1725="FSE",IF(COUNTIFS(B:B,B1725,C:C,C1725)=XLOOKUP(C1725,FSE!A:A,FSE!AA:AA,"ERROR",0,1),"OK","ERROR")))</f>
        <v>OK</v>
      </c>
      <c r="H1725" s="199">
        <f t="shared" ref="H1725:O1725" si="8709">countif($D1725,"*"&amp;H$2&amp;"*")</f>
        <v>0</v>
      </c>
      <c r="I1725" s="200">
        <f t="shared" si="8709"/>
        <v>0</v>
      </c>
      <c r="J1725" s="200">
        <f t="shared" si="8709"/>
        <v>0</v>
      </c>
      <c r="K1725" s="200">
        <f t="shared" si="8709"/>
        <v>0</v>
      </c>
      <c r="L1725" s="200">
        <f t="shared" si="8709"/>
        <v>0</v>
      </c>
      <c r="M1725" s="200">
        <f t="shared" si="8709"/>
        <v>0</v>
      </c>
      <c r="N1725" s="200">
        <f t="shared" si="8709"/>
        <v>0</v>
      </c>
      <c r="O1725" s="200">
        <f t="shared" si="8709"/>
        <v>0</v>
      </c>
      <c r="P1725" s="200">
        <f t="shared" si="9"/>
        <v>1</v>
      </c>
      <c r="Q1725" s="200">
        <f t="shared" ref="Q1725:AC1725" si="8710">countif($D1725,"*"&amp;Q$2&amp;"*")</f>
        <v>0</v>
      </c>
      <c r="R1725" s="200">
        <f t="shared" si="8710"/>
        <v>0</v>
      </c>
      <c r="S1725" s="200">
        <f t="shared" si="8710"/>
        <v>0</v>
      </c>
      <c r="T1725" s="200">
        <f t="shared" si="8710"/>
        <v>0</v>
      </c>
      <c r="U1725" s="200">
        <f t="shared" si="8710"/>
        <v>0</v>
      </c>
      <c r="V1725" s="200">
        <f t="shared" si="8710"/>
        <v>0</v>
      </c>
      <c r="W1725" s="200">
        <f t="shared" si="8710"/>
        <v>0</v>
      </c>
      <c r="X1725" s="200">
        <f t="shared" si="8710"/>
        <v>0</v>
      </c>
      <c r="Y1725" s="200">
        <f t="shared" si="8710"/>
        <v>0</v>
      </c>
      <c r="Z1725" s="200">
        <f t="shared" si="8710"/>
        <v>0</v>
      </c>
      <c r="AA1725" s="200">
        <f t="shared" si="8710"/>
        <v>0</v>
      </c>
      <c r="AB1725" s="200">
        <f t="shared" si="8710"/>
        <v>0</v>
      </c>
      <c r="AC1725" s="200">
        <f t="shared" si="8710"/>
        <v>0</v>
      </c>
      <c r="AD1725" s="200">
        <f t="shared" si="11"/>
        <v>0</v>
      </c>
      <c r="AE1725" s="200">
        <f t="shared" ref="AE1725:AG1725" si="8711">countif($D1725,"*"&amp;AE$2&amp;"*")</f>
        <v>0</v>
      </c>
      <c r="AF1725" s="200">
        <f t="shared" si="8711"/>
        <v>0</v>
      </c>
      <c r="AG1725" s="200">
        <f t="shared" si="8711"/>
        <v>0</v>
      </c>
      <c r="AH1725" s="171">
        <f t="shared" si="13"/>
        <v>0</v>
      </c>
      <c r="AI1725" s="200">
        <f t="shared" si="14"/>
        <v>0</v>
      </c>
      <c r="AJ1725" s="200">
        <f t="shared" si="8701"/>
        <v>0</v>
      </c>
      <c r="AK1725" s="201">
        <f t="shared" ref="AK1725:AS1725" si="8712">countif($D1725,"*"&amp;AK$2&amp;"*")</f>
        <v>0</v>
      </c>
      <c r="AL1725" s="201">
        <f t="shared" si="8712"/>
        <v>0</v>
      </c>
      <c r="AM1725" s="201">
        <f t="shared" si="8712"/>
        <v>0</v>
      </c>
      <c r="AN1725" s="201">
        <f t="shared" si="8712"/>
        <v>0</v>
      </c>
      <c r="AO1725" s="201">
        <f t="shared" si="8712"/>
        <v>0</v>
      </c>
      <c r="AP1725" s="201">
        <f t="shared" si="8712"/>
        <v>0</v>
      </c>
      <c r="AQ1725" s="201">
        <f t="shared" si="8712"/>
        <v>0</v>
      </c>
      <c r="AR1725" s="200">
        <f t="shared" si="8712"/>
        <v>0</v>
      </c>
      <c r="AS1725" s="200">
        <f t="shared" si="8712"/>
        <v>0</v>
      </c>
      <c r="AT1725" s="173">
        <v>0.0</v>
      </c>
      <c r="AU1725" s="200">
        <f t="shared" ref="AU1725:AX1725" si="8713">countif($D1725,"*"&amp;AU$2&amp;"*")</f>
        <v>0</v>
      </c>
      <c r="AV1725" s="200">
        <f t="shared" si="8713"/>
        <v>1</v>
      </c>
      <c r="AW1725" s="200">
        <f t="shared" si="8713"/>
        <v>0</v>
      </c>
      <c r="AX1725" s="200">
        <f t="shared" si="8713"/>
        <v>0</v>
      </c>
      <c r="AY1725" s="202">
        <v>0.0</v>
      </c>
      <c r="AZ1725" s="200"/>
      <c r="BA1725" s="171" t="str">
        <f t="shared" si="18"/>
        <v/>
      </c>
      <c r="BB1725" s="171" t="str">
        <f t="shared" si="19"/>
        <v>Code</v>
      </c>
      <c r="BC1725" s="171" t="str">
        <f t="shared" si="20"/>
        <v/>
      </c>
      <c r="BD1725" s="171" t="str">
        <f t="shared" si="21"/>
        <v/>
      </c>
      <c r="BE1725" s="171" t="str">
        <f t="shared" si="22"/>
        <v/>
      </c>
      <c r="BF1725" s="171" t="str">
        <f t="shared" si="23"/>
        <v>Code</v>
      </c>
    </row>
    <row r="1726">
      <c r="A1726" s="171">
        <f t="array" ref="A1726">XLOOKUP(C1726,FSE!A:A,FSE!C:C,"XXXXX",0,1)</f>
        <v>2020</v>
      </c>
      <c r="B1726" s="213" t="s">
        <v>5676</v>
      </c>
      <c r="C1726" s="214">
        <v>405.0</v>
      </c>
      <c r="D1726" s="215" t="s">
        <v>6399</v>
      </c>
      <c r="E1726" s="197" t="str">
        <f t="array" ref="E1726">XLOOKUP(C1726,FSE!A:A,FSE!Z:Z,"XXXXX",0,1)</f>
        <v>Publicly Available (2)</v>
      </c>
      <c r="F1726" s="213" t="s">
        <v>3394</v>
      </c>
      <c r="G1726" s="163" t="str">
        <f t="array" ref="G1726">IF(B1726="ICSE",IF(COUNTIFS(B:B,B1726,C:C,C1726)=XLOOKUP(C1726,ICSE!A:A,ICSE!AA:AA,"ERROR",0,1),"OK","ERROR"),IF(B1726="FSE",IF(COUNTIFS(B:B,B1726,C:C,C1726)=XLOOKUP(C1726,FSE!A:A,FSE!AA:AA,"ERROR",0,1),"OK","ERROR")))</f>
        <v>OK</v>
      </c>
      <c r="H1726" s="199">
        <f t="shared" ref="H1726:O1726" si="8714">countif($D1726,"*"&amp;H$2&amp;"*")</f>
        <v>0</v>
      </c>
      <c r="I1726" s="200">
        <f t="shared" si="8714"/>
        <v>1</v>
      </c>
      <c r="J1726" s="200">
        <f t="shared" si="8714"/>
        <v>0</v>
      </c>
      <c r="K1726" s="200">
        <f t="shared" si="8714"/>
        <v>0</v>
      </c>
      <c r="L1726" s="200">
        <f t="shared" si="8714"/>
        <v>0</v>
      </c>
      <c r="M1726" s="200">
        <f t="shared" si="8714"/>
        <v>0</v>
      </c>
      <c r="N1726" s="200">
        <f t="shared" si="8714"/>
        <v>0</v>
      </c>
      <c r="O1726" s="200">
        <f t="shared" si="8714"/>
        <v>0</v>
      </c>
      <c r="P1726" s="200">
        <f t="shared" si="9"/>
        <v>0</v>
      </c>
      <c r="Q1726" s="200">
        <f t="shared" ref="Q1726:AC1726" si="8715">countif($D1726,"*"&amp;Q$2&amp;"*")</f>
        <v>0</v>
      </c>
      <c r="R1726" s="200">
        <f t="shared" si="8715"/>
        <v>0</v>
      </c>
      <c r="S1726" s="200">
        <f t="shared" si="8715"/>
        <v>0</v>
      </c>
      <c r="T1726" s="200">
        <f t="shared" si="8715"/>
        <v>0</v>
      </c>
      <c r="U1726" s="200">
        <f t="shared" si="8715"/>
        <v>0</v>
      </c>
      <c r="V1726" s="200">
        <f t="shared" si="8715"/>
        <v>0</v>
      </c>
      <c r="W1726" s="200">
        <f t="shared" si="8715"/>
        <v>0</v>
      </c>
      <c r="X1726" s="200">
        <f t="shared" si="8715"/>
        <v>0</v>
      </c>
      <c r="Y1726" s="200">
        <f t="shared" si="8715"/>
        <v>0</v>
      </c>
      <c r="Z1726" s="200">
        <f t="shared" si="8715"/>
        <v>0</v>
      </c>
      <c r="AA1726" s="200">
        <f t="shared" si="8715"/>
        <v>0</v>
      </c>
      <c r="AB1726" s="200">
        <f t="shared" si="8715"/>
        <v>0</v>
      </c>
      <c r="AC1726" s="200">
        <f t="shared" si="8715"/>
        <v>0</v>
      </c>
      <c r="AD1726" s="200">
        <f t="shared" si="11"/>
        <v>0</v>
      </c>
      <c r="AE1726" s="200">
        <f t="shared" ref="AE1726:AG1726" si="8716">countif($D1726,"*"&amp;AE$2&amp;"*")</f>
        <v>0</v>
      </c>
      <c r="AF1726" s="200">
        <f t="shared" si="8716"/>
        <v>0</v>
      </c>
      <c r="AG1726" s="200">
        <f t="shared" si="8716"/>
        <v>0</v>
      </c>
      <c r="AH1726" s="171">
        <f t="shared" si="13"/>
        <v>0</v>
      </c>
      <c r="AI1726" s="200">
        <f t="shared" si="14"/>
        <v>1</v>
      </c>
      <c r="AJ1726" s="200">
        <f t="shared" si="8701"/>
        <v>0</v>
      </c>
      <c r="AK1726" s="201">
        <f t="shared" ref="AK1726:AS1726" si="8717">countif($D1726,"*"&amp;AK$2&amp;"*")</f>
        <v>0</v>
      </c>
      <c r="AL1726" s="201">
        <f t="shared" si="8717"/>
        <v>0</v>
      </c>
      <c r="AM1726" s="201">
        <f t="shared" si="8717"/>
        <v>0</v>
      </c>
      <c r="AN1726" s="201">
        <f t="shared" si="8717"/>
        <v>0</v>
      </c>
      <c r="AO1726" s="201">
        <f t="shared" si="8717"/>
        <v>0</v>
      </c>
      <c r="AP1726" s="201">
        <f t="shared" si="8717"/>
        <v>0</v>
      </c>
      <c r="AQ1726" s="201">
        <f t="shared" si="8717"/>
        <v>0</v>
      </c>
      <c r="AR1726" s="200">
        <f t="shared" si="8717"/>
        <v>0</v>
      </c>
      <c r="AS1726" s="200">
        <f t="shared" si="8717"/>
        <v>0</v>
      </c>
      <c r="AT1726" s="173">
        <v>0.0</v>
      </c>
      <c r="AU1726" s="200">
        <f t="shared" ref="AU1726:AX1726" si="8718">countif($D1726,"*"&amp;AU$2&amp;"*")</f>
        <v>0</v>
      </c>
      <c r="AV1726" s="200">
        <f t="shared" si="8718"/>
        <v>0</v>
      </c>
      <c r="AW1726" s="200">
        <f t="shared" si="8718"/>
        <v>0</v>
      </c>
      <c r="AX1726" s="200">
        <f t="shared" si="8718"/>
        <v>1</v>
      </c>
      <c r="AY1726" s="202">
        <v>0.0</v>
      </c>
      <c r="AZ1726" s="200"/>
      <c r="BA1726" s="171" t="str">
        <f t="shared" si="18"/>
        <v>Archival</v>
      </c>
      <c r="BB1726" s="171" t="str">
        <f t="shared" si="19"/>
        <v/>
      </c>
      <c r="BC1726" s="171" t="str">
        <f t="shared" si="20"/>
        <v/>
      </c>
      <c r="BD1726" s="171" t="str">
        <f t="shared" si="21"/>
        <v/>
      </c>
      <c r="BE1726" s="171" t="str">
        <f t="shared" si="22"/>
        <v/>
      </c>
      <c r="BF1726" s="171" t="str">
        <f t="shared" si="23"/>
        <v>Archival</v>
      </c>
    </row>
    <row r="1727">
      <c r="A1727" s="213">
        <f t="array" ref="A1727">XLOOKUP(C1727,FSE!A:A,FSE!C:C,"XXXXX",0,1)</f>
        <v>2020</v>
      </c>
      <c r="B1727" s="213" t="s">
        <v>5676</v>
      </c>
      <c r="C1727" s="220">
        <v>405.0</v>
      </c>
      <c r="D1727" s="217" t="s">
        <v>6400</v>
      </c>
      <c r="E1727" s="221" t="str">
        <f t="array" ref="E1727">XLOOKUP(C1727,FSE!A:A,FSE!Z:Z,"XXXXX",0,1)</f>
        <v>Publicly Available (2)</v>
      </c>
      <c r="F1727" s="213" t="s">
        <v>3394</v>
      </c>
      <c r="G1727" s="163" t="str">
        <f t="array" ref="G1727">IF(B1727="ICSE",IF(COUNTIFS(B:B,B1727,C:C,C1727)=XLOOKUP(C1727,ICSE!A:A,ICSE!AA:AA,"ERROR",0,1),"OK","ERROR"),IF(B1727="FSE",IF(COUNTIFS(B:B,B1727,C:C,C1727)=XLOOKUP(C1727,FSE!A:A,FSE!AA:AA,"ERROR",0,1),"OK","ERROR")))</f>
        <v>OK</v>
      </c>
      <c r="H1727" s="199">
        <f t="shared" ref="H1727:O1727" si="8719">countif($D1727,"*"&amp;H$2&amp;"*")</f>
        <v>0</v>
      </c>
      <c r="I1727" s="200">
        <f t="shared" si="8719"/>
        <v>0</v>
      </c>
      <c r="J1727" s="200">
        <f t="shared" si="8719"/>
        <v>0</v>
      </c>
      <c r="K1727" s="200">
        <f t="shared" si="8719"/>
        <v>0</v>
      </c>
      <c r="L1727" s="200">
        <f t="shared" si="8719"/>
        <v>0</v>
      </c>
      <c r="M1727" s="200">
        <f t="shared" si="8719"/>
        <v>0</v>
      </c>
      <c r="N1727" s="200">
        <f t="shared" si="8719"/>
        <v>0</v>
      </c>
      <c r="O1727" s="200">
        <f t="shared" si="8719"/>
        <v>0</v>
      </c>
      <c r="P1727" s="200">
        <f t="shared" si="9"/>
        <v>1</v>
      </c>
      <c r="Q1727" s="200">
        <f t="shared" ref="Q1727:AC1727" si="8720">countif($D1727,"*"&amp;Q$2&amp;"*")</f>
        <v>0</v>
      </c>
      <c r="R1727" s="200">
        <f t="shared" si="8720"/>
        <v>0</v>
      </c>
      <c r="S1727" s="200">
        <f t="shared" si="8720"/>
        <v>0</v>
      </c>
      <c r="T1727" s="200">
        <f t="shared" si="8720"/>
        <v>0</v>
      </c>
      <c r="U1727" s="200">
        <f t="shared" si="8720"/>
        <v>0</v>
      </c>
      <c r="V1727" s="200">
        <f t="shared" si="8720"/>
        <v>0</v>
      </c>
      <c r="W1727" s="200">
        <f t="shared" si="8720"/>
        <v>0</v>
      </c>
      <c r="X1727" s="200">
        <f t="shared" si="8720"/>
        <v>0</v>
      </c>
      <c r="Y1727" s="200">
        <f t="shared" si="8720"/>
        <v>0</v>
      </c>
      <c r="Z1727" s="200">
        <f t="shared" si="8720"/>
        <v>0</v>
      </c>
      <c r="AA1727" s="200">
        <f t="shared" si="8720"/>
        <v>0</v>
      </c>
      <c r="AB1727" s="200">
        <f t="shared" si="8720"/>
        <v>0</v>
      </c>
      <c r="AC1727" s="200">
        <f t="shared" si="8720"/>
        <v>0</v>
      </c>
      <c r="AD1727" s="222">
        <f t="shared" si="11"/>
        <v>0</v>
      </c>
      <c r="AE1727" s="200">
        <f t="shared" ref="AE1727:AG1727" si="8721">countif($D1727,"*"&amp;AE$2&amp;"*")</f>
        <v>0</v>
      </c>
      <c r="AF1727" s="200">
        <f t="shared" si="8721"/>
        <v>0</v>
      </c>
      <c r="AG1727" s="200">
        <f t="shared" si="8721"/>
        <v>0</v>
      </c>
      <c r="AH1727" s="171">
        <f t="shared" si="13"/>
        <v>0</v>
      </c>
      <c r="AI1727" s="200">
        <f t="shared" si="14"/>
        <v>0</v>
      </c>
      <c r="AJ1727" s="200">
        <f t="shared" si="8701"/>
        <v>0</v>
      </c>
      <c r="AK1727" s="201">
        <f t="shared" ref="AK1727:AS1727" si="8722">countif($D1727,"*"&amp;AK$2&amp;"*")</f>
        <v>0</v>
      </c>
      <c r="AL1727" s="201">
        <f t="shared" si="8722"/>
        <v>0</v>
      </c>
      <c r="AM1727" s="201">
        <f t="shared" si="8722"/>
        <v>0</v>
      </c>
      <c r="AN1727" s="201">
        <f t="shared" si="8722"/>
        <v>0</v>
      </c>
      <c r="AO1727" s="201">
        <f t="shared" si="8722"/>
        <v>0</v>
      </c>
      <c r="AP1727" s="201">
        <f t="shared" si="8722"/>
        <v>0</v>
      </c>
      <c r="AQ1727" s="201">
        <f t="shared" si="8722"/>
        <v>0</v>
      </c>
      <c r="AR1727" s="222">
        <f t="shared" si="8722"/>
        <v>0</v>
      </c>
      <c r="AS1727" s="200">
        <f t="shared" si="8722"/>
        <v>0</v>
      </c>
      <c r="AT1727" s="223">
        <v>0.0</v>
      </c>
      <c r="AU1727" s="200">
        <f t="shared" ref="AU1727:AX1727" si="8723">countif($D1727,"*"&amp;AU$2&amp;"*")</f>
        <v>0</v>
      </c>
      <c r="AV1727" s="200">
        <f t="shared" si="8723"/>
        <v>1</v>
      </c>
      <c r="AW1727" s="200">
        <f t="shared" si="8723"/>
        <v>0</v>
      </c>
      <c r="AX1727" s="200">
        <f t="shared" si="8723"/>
        <v>0</v>
      </c>
      <c r="AY1727" s="202">
        <v>0.0</v>
      </c>
      <c r="AZ1727" s="200"/>
      <c r="BA1727" s="171" t="str">
        <f t="shared" si="18"/>
        <v/>
      </c>
      <c r="BB1727" s="171" t="str">
        <f t="shared" si="19"/>
        <v>Code</v>
      </c>
      <c r="BC1727" s="171" t="str">
        <f t="shared" si="20"/>
        <v/>
      </c>
      <c r="BD1727" s="171" t="str">
        <f t="shared" si="21"/>
        <v/>
      </c>
      <c r="BE1727" s="171" t="str">
        <f t="shared" si="22"/>
        <v/>
      </c>
      <c r="BF1727" s="171" t="str">
        <f t="shared" si="23"/>
        <v>Code</v>
      </c>
    </row>
    <row r="1728">
      <c r="A1728" s="171">
        <f t="array" ref="A1728">XLOOKUP(C1728,FSE!A:A,FSE!C:C,"XXXXX",0,1)</f>
        <v>2020</v>
      </c>
      <c r="B1728" s="213" t="s">
        <v>5676</v>
      </c>
      <c r="C1728" s="214">
        <v>406.0</v>
      </c>
      <c r="D1728" s="215" t="s">
        <v>6401</v>
      </c>
      <c r="E1728" s="197" t="str">
        <f t="array" ref="E1728">XLOOKUP(C1728,FSE!A:A,FSE!Z:Z,"XXXXX",0,1)</f>
        <v>Publicly Available (2)</v>
      </c>
      <c r="F1728" s="213" t="s">
        <v>3394</v>
      </c>
      <c r="G1728" s="163" t="str">
        <f t="array" ref="G1728">IF(B1728="ICSE",IF(COUNTIFS(B:B,B1728,C:C,C1728)=XLOOKUP(C1728,ICSE!A:A,ICSE!AA:AA,"ERROR",0,1),"OK","ERROR"),IF(B1728="FSE",IF(COUNTIFS(B:B,B1728,C:C,C1728)=XLOOKUP(C1728,FSE!A:A,FSE!AA:AA,"ERROR",0,1),"OK","ERROR")))</f>
        <v>OK</v>
      </c>
      <c r="H1728" s="199">
        <f t="shared" ref="H1728:O1728" si="8724">countif($D1728,"*"&amp;H$2&amp;"*")</f>
        <v>0</v>
      </c>
      <c r="I1728" s="200">
        <f t="shared" si="8724"/>
        <v>0</v>
      </c>
      <c r="J1728" s="200">
        <f t="shared" si="8724"/>
        <v>0</v>
      </c>
      <c r="K1728" s="200">
        <f t="shared" si="8724"/>
        <v>0</v>
      </c>
      <c r="L1728" s="200">
        <f t="shared" si="8724"/>
        <v>0</v>
      </c>
      <c r="M1728" s="200">
        <f t="shared" si="8724"/>
        <v>0</v>
      </c>
      <c r="N1728" s="200">
        <f t="shared" si="8724"/>
        <v>0</v>
      </c>
      <c r="O1728" s="200">
        <f t="shared" si="8724"/>
        <v>0</v>
      </c>
      <c r="P1728" s="200">
        <f t="shared" si="9"/>
        <v>1</v>
      </c>
      <c r="Q1728" s="200">
        <f t="shared" ref="Q1728:AC1728" si="8725">countif($D1728,"*"&amp;Q$2&amp;"*")</f>
        <v>0</v>
      </c>
      <c r="R1728" s="200">
        <f t="shared" si="8725"/>
        <v>0</v>
      </c>
      <c r="S1728" s="200">
        <f t="shared" si="8725"/>
        <v>0</v>
      </c>
      <c r="T1728" s="200">
        <f t="shared" si="8725"/>
        <v>0</v>
      </c>
      <c r="U1728" s="200">
        <f t="shared" si="8725"/>
        <v>0</v>
      </c>
      <c r="V1728" s="200">
        <f t="shared" si="8725"/>
        <v>0</v>
      </c>
      <c r="W1728" s="200">
        <f t="shared" si="8725"/>
        <v>0</v>
      </c>
      <c r="X1728" s="200">
        <f t="shared" si="8725"/>
        <v>0</v>
      </c>
      <c r="Y1728" s="200">
        <f t="shared" si="8725"/>
        <v>0</v>
      </c>
      <c r="Z1728" s="200">
        <f t="shared" si="8725"/>
        <v>0</v>
      </c>
      <c r="AA1728" s="200">
        <f t="shared" si="8725"/>
        <v>0</v>
      </c>
      <c r="AB1728" s="200">
        <f t="shared" si="8725"/>
        <v>0</v>
      </c>
      <c r="AC1728" s="200">
        <f t="shared" si="8725"/>
        <v>0</v>
      </c>
      <c r="AD1728" s="200">
        <f t="shared" si="11"/>
        <v>0</v>
      </c>
      <c r="AE1728" s="200">
        <f t="shared" ref="AE1728:AG1728" si="8726">countif($D1728,"*"&amp;AE$2&amp;"*")</f>
        <v>0</v>
      </c>
      <c r="AF1728" s="200">
        <f t="shared" si="8726"/>
        <v>0</v>
      </c>
      <c r="AG1728" s="200">
        <f t="shared" si="8726"/>
        <v>0</v>
      </c>
      <c r="AH1728" s="171">
        <f t="shared" si="13"/>
        <v>0</v>
      </c>
      <c r="AI1728" s="200">
        <f t="shared" si="14"/>
        <v>0</v>
      </c>
      <c r="AJ1728" s="200">
        <f t="shared" si="8701"/>
        <v>0</v>
      </c>
      <c r="AK1728" s="201">
        <f t="shared" ref="AK1728:AS1728" si="8727">countif($D1728,"*"&amp;AK$2&amp;"*")</f>
        <v>0</v>
      </c>
      <c r="AL1728" s="201">
        <f t="shared" si="8727"/>
        <v>0</v>
      </c>
      <c r="AM1728" s="201">
        <f t="shared" si="8727"/>
        <v>0</v>
      </c>
      <c r="AN1728" s="201">
        <f t="shared" si="8727"/>
        <v>0</v>
      </c>
      <c r="AO1728" s="201">
        <f t="shared" si="8727"/>
        <v>0</v>
      </c>
      <c r="AP1728" s="201">
        <f t="shared" si="8727"/>
        <v>0</v>
      </c>
      <c r="AQ1728" s="201">
        <f t="shared" si="8727"/>
        <v>0</v>
      </c>
      <c r="AR1728" s="200">
        <f t="shared" si="8727"/>
        <v>0</v>
      </c>
      <c r="AS1728" s="200">
        <f t="shared" si="8727"/>
        <v>0</v>
      </c>
      <c r="AT1728" s="173">
        <v>0.0</v>
      </c>
      <c r="AU1728" s="200">
        <f t="shared" ref="AU1728:AX1728" si="8728">countif($D1728,"*"&amp;AU$2&amp;"*")</f>
        <v>0</v>
      </c>
      <c r="AV1728" s="200">
        <f t="shared" si="8728"/>
        <v>1</v>
      </c>
      <c r="AW1728" s="200">
        <f t="shared" si="8728"/>
        <v>0</v>
      </c>
      <c r="AX1728" s="200">
        <f t="shared" si="8728"/>
        <v>0</v>
      </c>
      <c r="AY1728" s="202">
        <v>0.0</v>
      </c>
      <c r="AZ1728" s="200"/>
      <c r="BA1728" s="171" t="str">
        <f t="shared" si="18"/>
        <v/>
      </c>
      <c r="BB1728" s="171" t="str">
        <f t="shared" si="19"/>
        <v>Code</v>
      </c>
      <c r="BC1728" s="171" t="str">
        <f t="shared" si="20"/>
        <v/>
      </c>
      <c r="BD1728" s="171" t="str">
        <f t="shared" si="21"/>
        <v/>
      </c>
      <c r="BE1728" s="171" t="str">
        <f t="shared" si="22"/>
        <v/>
      </c>
      <c r="BF1728" s="171" t="str">
        <f t="shared" si="23"/>
        <v>Code</v>
      </c>
    </row>
    <row r="1729">
      <c r="A1729" s="171">
        <f t="array" ref="A1729">XLOOKUP(C1729,FSE!A:A,FSE!C:C,"XXXXX",0,1)</f>
        <v>2020</v>
      </c>
      <c r="B1729" s="213" t="s">
        <v>5676</v>
      </c>
      <c r="C1729" s="214">
        <v>406.0</v>
      </c>
      <c r="D1729" s="215" t="s">
        <v>6402</v>
      </c>
      <c r="E1729" s="197" t="str">
        <f t="array" ref="E1729">XLOOKUP(C1729,FSE!A:A,FSE!Z:Z,"XXXXX",0,1)</f>
        <v>Publicly Available (2)</v>
      </c>
      <c r="F1729" s="213" t="s">
        <v>3394</v>
      </c>
      <c r="G1729" s="163" t="str">
        <f t="array" ref="G1729">IF(B1729="ICSE",IF(COUNTIFS(B:B,B1729,C:C,C1729)=XLOOKUP(C1729,ICSE!A:A,ICSE!AA:AA,"ERROR",0,1),"OK","ERROR"),IF(B1729="FSE",IF(COUNTIFS(B:B,B1729,C:C,C1729)=XLOOKUP(C1729,FSE!A:A,FSE!AA:AA,"ERROR",0,1),"OK","ERROR")))</f>
        <v>OK</v>
      </c>
      <c r="H1729" s="199">
        <f t="shared" ref="H1729:O1729" si="8729">countif($D1729,"*"&amp;H$2&amp;"*")</f>
        <v>1</v>
      </c>
      <c r="I1729" s="200">
        <f t="shared" si="8729"/>
        <v>0</v>
      </c>
      <c r="J1729" s="200">
        <f t="shared" si="8729"/>
        <v>0</v>
      </c>
      <c r="K1729" s="200">
        <f t="shared" si="8729"/>
        <v>0</v>
      </c>
      <c r="L1729" s="200">
        <f t="shared" si="8729"/>
        <v>0</v>
      </c>
      <c r="M1729" s="200">
        <f t="shared" si="8729"/>
        <v>0</v>
      </c>
      <c r="N1729" s="200">
        <f t="shared" si="8729"/>
        <v>0</v>
      </c>
      <c r="O1729" s="200">
        <f t="shared" si="8729"/>
        <v>0</v>
      </c>
      <c r="P1729" s="200">
        <f t="shared" si="9"/>
        <v>0</v>
      </c>
      <c r="Q1729" s="200">
        <f t="shared" ref="Q1729:AC1729" si="8730">countif($D1729,"*"&amp;Q$2&amp;"*")</f>
        <v>0</v>
      </c>
      <c r="R1729" s="200">
        <f t="shared" si="8730"/>
        <v>0</v>
      </c>
      <c r="S1729" s="200">
        <f t="shared" si="8730"/>
        <v>0</v>
      </c>
      <c r="T1729" s="200">
        <f t="shared" si="8730"/>
        <v>0</v>
      </c>
      <c r="U1729" s="200">
        <f t="shared" si="8730"/>
        <v>0</v>
      </c>
      <c r="V1729" s="200">
        <f t="shared" si="8730"/>
        <v>0</v>
      </c>
      <c r="W1729" s="200">
        <f t="shared" si="8730"/>
        <v>0</v>
      </c>
      <c r="X1729" s="200">
        <f t="shared" si="8730"/>
        <v>0</v>
      </c>
      <c r="Y1729" s="200">
        <f t="shared" si="8730"/>
        <v>0</v>
      </c>
      <c r="Z1729" s="200">
        <f t="shared" si="8730"/>
        <v>0</v>
      </c>
      <c r="AA1729" s="200">
        <f t="shared" si="8730"/>
        <v>0</v>
      </c>
      <c r="AB1729" s="200">
        <f t="shared" si="8730"/>
        <v>0</v>
      </c>
      <c r="AC1729" s="200">
        <f t="shared" si="8730"/>
        <v>0</v>
      </c>
      <c r="AD1729" s="200">
        <f t="shared" si="11"/>
        <v>0</v>
      </c>
      <c r="AE1729" s="200">
        <f t="shared" ref="AE1729:AG1729" si="8731">countif($D1729,"*"&amp;AE$2&amp;"*")</f>
        <v>0</v>
      </c>
      <c r="AF1729" s="200">
        <f t="shared" si="8731"/>
        <v>0</v>
      </c>
      <c r="AG1729" s="200">
        <f t="shared" si="8731"/>
        <v>0</v>
      </c>
      <c r="AH1729" s="171">
        <f t="shared" si="13"/>
        <v>0</v>
      </c>
      <c r="AI1729" s="200">
        <f t="shared" si="14"/>
        <v>1</v>
      </c>
      <c r="AJ1729" s="200">
        <f t="shared" si="8701"/>
        <v>0</v>
      </c>
      <c r="AK1729" s="201">
        <f t="shared" ref="AK1729:AS1729" si="8732">countif($D1729,"*"&amp;AK$2&amp;"*")</f>
        <v>0</v>
      </c>
      <c r="AL1729" s="201">
        <f t="shared" si="8732"/>
        <v>0</v>
      </c>
      <c r="AM1729" s="201">
        <f t="shared" si="8732"/>
        <v>0</v>
      </c>
      <c r="AN1729" s="201">
        <f t="shared" si="8732"/>
        <v>0</v>
      </c>
      <c r="AO1729" s="201">
        <f t="shared" si="8732"/>
        <v>0</v>
      </c>
      <c r="AP1729" s="201">
        <f t="shared" si="8732"/>
        <v>0</v>
      </c>
      <c r="AQ1729" s="201">
        <f t="shared" si="8732"/>
        <v>0</v>
      </c>
      <c r="AR1729" s="200">
        <f t="shared" si="8732"/>
        <v>0</v>
      </c>
      <c r="AS1729" s="200">
        <f t="shared" si="8732"/>
        <v>0</v>
      </c>
      <c r="AT1729" s="173">
        <v>0.0</v>
      </c>
      <c r="AU1729" s="200">
        <f t="shared" ref="AU1729:AX1729" si="8733">countif($D1729,"*"&amp;AU$2&amp;"*")</f>
        <v>0</v>
      </c>
      <c r="AV1729" s="200">
        <f t="shared" si="8733"/>
        <v>0</v>
      </c>
      <c r="AW1729" s="200">
        <f t="shared" si="8733"/>
        <v>0</v>
      </c>
      <c r="AX1729" s="200">
        <f t="shared" si="8733"/>
        <v>1</v>
      </c>
      <c r="AY1729" s="202">
        <v>0.0</v>
      </c>
      <c r="AZ1729" s="200"/>
      <c r="BA1729" s="171" t="str">
        <f t="shared" si="18"/>
        <v>Archival</v>
      </c>
      <c r="BB1729" s="171" t="str">
        <f t="shared" si="19"/>
        <v/>
      </c>
      <c r="BC1729" s="171" t="str">
        <f t="shared" si="20"/>
        <v/>
      </c>
      <c r="BD1729" s="171" t="str">
        <f t="shared" si="21"/>
        <v/>
      </c>
      <c r="BE1729" s="171" t="str">
        <f t="shared" si="22"/>
        <v/>
      </c>
      <c r="BF1729" s="171" t="str">
        <f t="shared" si="23"/>
        <v>Archival</v>
      </c>
    </row>
    <row r="1730">
      <c r="A1730" s="171">
        <f t="array" ref="A1730">XLOOKUP(C1730,FSE!A:A,FSE!C:C,"XXXXX",0,1)</f>
        <v>2020</v>
      </c>
      <c r="B1730" s="213" t="s">
        <v>5676</v>
      </c>
      <c r="C1730" s="214">
        <v>407.0</v>
      </c>
      <c r="D1730" s="215" t="s">
        <v>6403</v>
      </c>
      <c r="E1730" s="197" t="str">
        <f t="array" ref="E1730">XLOOKUP(C1730,FSE!A:A,FSE!Z:Z,"XXXXX",0,1)</f>
        <v>Publicly Available (2)</v>
      </c>
      <c r="F1730" s="213" t="s">
        <v>3394</v>
      </c>
      <c r="G1730" s="163" t="str">
        <f t="array" ref="G1730">IF(B1730="ICSE",IF(COUNTIFS(B:B,B1730,C:C,C1730)=XLOOKUP(C1730,ICSE!A:A,ICSE!AA:AA,"ERROR",0,1),"OK","ERROR"),IF(B1730="FSE",IF(COUNTIFS(B:B,B1730,C:C,C1730)=XLOOKUP(C1730,FSE!A:A,FSE!AA:AA,"ERROR",0,1),"OK","ERROR")))</f>
        <v>OK</v>
      </c>
      <c r="H1730" s="199">
        <f t="shared" ref="H1730:O1730" si="8734">countif($D1730,"*"&amp;H$2&amp;"*")</f>
        <v>0</v>
      </c>
      <c r="I1730" s="200">
        <f t="shared" si="8734"/>
        <v>0</v>
      </c>
      <c r="J1730" s="200">
        <f t="shared" si="8734"/>
        <v>0</v>
      </c>
      <c r="K1730" s="200">
        <f t="shared" si="8734"/>
        <v>0</v>
      </c>
      <c r="L1730" s="200">
        <f t="shared" si="8734"/>
        <v>0</v>
      </c>
      <c r="M1730" s="200">
        <f t="shared" si="8734"/>
        <v>0</v>
      </c>
      <c r="N1730" s="200">
        <f t="shared" si="8734"/>
        <v>0</v>
      </c>
      <c r="O1730" s="200">
        <f t="shared" si="8734"/>
        <v>0</v>
      </c>
      <c r="P1730" s="200">
        <f t="shared" si="9"/>
        <v>1</v>
      </c>
      <c r="Q1730" s="200">
        <f t="shared" ref="Q1730:AC1730" si="8735">countif($D1730,"*"&amp;Q$2&amp;"*")</f>
        <v>0</v>
      </c>
      <c r="R1730" s="200">
        <f t="shared" si="8735"/>
        <v>0</v>
      </c>
      <c r="S1730" s="200">
        <f t="shared" si="8735"/>
        <v>0</v>
      </c>
      <c r="T1730" s="200">
        <f t="shared" si="8735"/>
        <v>0</v>
      </c>
      <c r="U1730" s="200">
        <f t="shared" si="8735"/>
        <v>0</v>
      </c>
      <c r="V1730" s="200">
        <f t="shared" si="8735"/>
        <v>0</v>
      </c>
      <c r="W1730" s="200">
        <f t="shared" si="8735"/>
        <v>0</v>
      </c>
      <c r="X1730" s="200">
        <f t="shared" si="8735"/>
        <v>0</v>
      </c>
      <c r="Y1730" s="200">
        <f t="shared" si="8735"/>
        <v>0</v>
      </c>
      <c r="Z1730" s="200">
        <f t="shared" si="8735"/>
        <v>0</v>
      </c>
      <c r="AA1730" s="200">
        <f t="shared" si="8735"/>
        <v>0</v>
      </c>
      <c r="AB1730" s="200">
        <f t="shared" si="8735"/>
        <v>0</v>
      </c>
      <c r="AC1730" s="200">
        <f t="shared" si="8735"/>
        <v>0</v>
      </c>
      <c r="AD1730" s="200">
        <f t="shared" si="11"/>
        <v>0</v>
      </c>
      <c r="AE1730" s="200">
        <f t="shared" ref="AE1730:AG1730" si="8736">countif($D1730,"*"&amp;AE$2&amp;"*")</f>
        <v>0</v>
      </c>
      <c r="AF1730" s="200">
        <f t="shared" si="8736"/>
        <v>0</v>
      </c>
      <c r="AG1730" s="200">
        <f t="shared" si="8736"/>
        <v>0</v>
      </c>
      <c r="AH1730" s="171">
        <f t="shared" si="13"/>
        <v>0</v>
      </c>
      <c r="AI1730" s="200">
        <f t="shared" si="14"/>
        <v>0</v>
      </c>
      <c r="AJ1730" s="200">
        <f t="shared" si="8701"/>
        <v>0</v>
      </c>
      <c r="AK1730" s="201">
        <f t="shared" ref="AK1730:AS1730" si="8737">countif($D1730,"*"&amp;AK$2&amp;"*")</f>
        <v>0</v>
      </c>
      <c r="AL1730" s="201">
        <f t="shared" si="8737"/>
        <v>0</v>
      </c>
      <c r="AM1730" s="201">
        <f t="shared" si="8737"/>
        <v>0</v>
      </c>
      <c r="AN1730" s="201">
        <f t="shared" si="8737"/>
        <v>0</v>
      </c>
      <c r="AO1730" s="201">
        <f t="shared" si="8737"/>
        <v>0</v>
      </c>
      <c r="AP1730" s="201">
        <f t="shared" si="8737"/>
        <v>0</v>
      </c>
      <c r="AQ1730" s="201">
        <f t="shared" si="8737"/>
        <v>0</v>
      </c>
      <c r="AR1730" s="200">
        <f t="shared" si="8737"/>
        <v>0</v>
      </c>
      <c r="AS1730" s="200">
        <f t="shared" si="8737"/>
        <v>0</v>
      </c>
      <c r="AT1730" s="173">
        <v>0.0</v>
      </c>
      <c r="AU1730" s="200">
        <f t="shared" ref="AU1730:AX1730" si="8738">countif($D1730,"*"&amp;AU$2&amp;"*")</f>
        <v>0</v>
      </c>
      <c r="AV1730" s="200">
        <f t="shared" si="8738"/>
        <v>1</v>
      </c>
      <c r="AW1730" s="200">
        <f t="shared" si="8738"/>
        <v>0</v>
      </c>
      <c r="AX1730" s="200">
        <f t="shared" si="8738"/>
        <v>0</v>
      </c>
      <c r="AY1730" s="202">
        <v>0.0</v>
      </c>
      <c r="AZ1730" s="200"/>
      <c r="BA1730" s="171" t="str">
        <f t="shared" si="18"/>
        <v/>
      </c>
      <c r="BB1730" s="171" t="str">
        <f t="shared" si="19"/>
        <v>Code</v>
      </c>
      <c r="BC1730" s="171" t="str">
        <f t="shared" si="20"/>
        <v/>
      </c>
      <c r="BD1730" s="171" t="str">
        <f t="shared" si="21"/>
        <v/>
      </c>
      <c r="BE1730" s="171" t="str">
        <f t="shared" si="22"/>
        <v/>
      </c>
      <c r="BF1730" s="171" t="str">
        <f t="shared" si="23"/>
        <v>Code</v>
      </c>
    </row>
    <row r="1731">
      <c r="A1731" s="213">
        <f t="array" ref="A1731">XLOOKUP(C1731,FSE!A:A,FSE!C:C,"XXXXX",0,1)</f>
        <v>2020</v>
      </c>
      <c r="B1731" s="213" t="s">
        <v>5676</v>
      </c>
      <c r="C1731" s="220">
        <v>407.0</v>
      </c>
      <c r="D1731" s="217" t="s">
        <v>6404</v>
      </c>
      <c r="E1731" s="221" t="str">
        <f t="array" ref="E1731">XLOOKUP(C1731,FSE!A:A,FSE!Z:Z,"XXXXX",0,1)</f>
        <v>Publicly Available (2)</v>
      </c>
      <c r="F1731" s="213" t="s">
        <v>3394</v>
      </c>
      <c r="G1731" s="163" t="str">
        <f t="array" ref="G1731">IF(B1731="ICSE",IF(COUNTIFS(B:B,B1731,C:C,C1731)=XLOOKUP(C1731,ICSE!A:A,ICSE!AA:AA,"ERROR",0,1),"OK","ERROR"),IF(B1731="FSE",IF(COUNTIFS(B:B,B1731,C:C,C1731)=XLOOKUP(C1731,FSE!A:A,FSE!AA:AA,"ERROR",0,1),"OK","ERROR")))</f>
        <v>OK</v>
      </c>
      <c r="H1731" s="199">
        <f t="shared" ref="H1731:O1731" si="8739">countif($D1731,"*"&amp;H$2&amp;"*")</f>
        <v>0</v>
      </c>
      <c r="I1731" s="200">
        <f t="shared" si="8739"/>
        <v>0</v>
      </c>
      <c r="J1731" s="200">
        <f t="shared" si="8739"/>
        <v>0</v>
      </c>
      <c r="K1731" s="200">
        <f t="shared" si="8739"/>
        <v>0</v>
      </c>
      <c r="L1731" s="200">
        <f t="shared" si="8739"/>
        <v>0</v>
      </c>
      <c r="M1731" s="200">
        <f t="shared" si="8739"/>
        <v>0</v>
      </c>
      <c r="N1731" s="200">
        <f t="shared" si="8739"/>
        <v>0</v>
      </c>
      <c r="O1731" s="200">
        <f t="shared" si="8739"/>
        <v>0</v>
      </c>
      <c r="P1731" s="200">
        <f t="shared" si="9"/>
        <v>0</v>
      </c>
      <c r="Q1731" s="200">
        <f t="shared" ref="Q1731:AC1731" si="8740">countif($D1731,"*"&amp;Q$2&amp;"*")</f>
        <v>0</v>
      </c>
      <c r="R1731" s="200">
        <f t="shared" si="8740"/>
        <v>0</v>
      </c>
      <c r="S1731" s="200">
        <f t="shared" si="8740"/>
        <v>0</v>
      </c>
      <c r="T1731" s="200">
        <f t="shared" si="8740"/>
        <v>0</v>
      </c>
      <c r="U1731" s="200">
        <f t="shared" si="8740"/>
        <v>0</v>
      </c>
      <c r="V1731" s="200">
        <f t="shared" si="8740"/>
        <v>0</v>
      </c>
      <c r="W1731" s="200">
        <f t="shared" si="8740"/>
        <v>0</v>
      </c>
      <c r="X1731" s="200">
        <f t="shared" si="8740"/>
        <v>0</v>
      </c>
      <c r="Y1731" s="200">
        <f t="shared" si="8740"/>
        <v>0</v>
      </c>
      <c r="Z1731" s="200">
        <f t="shared" si="8740"/>
        <v>0</v>
      </c>
      <c r="AA1731" s="200">
        <f t="shared" si="8740"/>
        <v>0</v>
      </c>
      <c r="AB1731" s="200">
        <f t="shared" si="8740"/>
        <v>0</v>
      </c>
      <c r="AC1731" s="200">
        <f t="shared" si="8740"/>
        <v>0</v>
      </c>
      <c r="AD1731" s="222">
        <f t="shared" si="11"/>
        <v>0</v>
      </c>
      <c r="AE1731" s="200">
        <f t="shared" ref="AE1731:AG1731" si="8741">countif($D1731,"*"&amp;AE$2&amp;"*")</f>
        <v>0</v>
      </c>
      <c r="AF1731" s="200">
        <f t="shared" si="8741"/>
        <v>0</v>
      </c>
      <c r="AG1731" s="200">
        <f t="shared" si="8741"/>
        <v>0</v>
      </c>
      <c r="AH1731" s="171">
        <f t="shared" si="13"/>
        <v>1</v>
      </c>
      <c r="AI1731" s="200">
        <f t="shared" si="14"/>
        <v>0</v>
      </c>
      <c r="AJ1731" s="200">
        <f t="shared" si="8701"/>
        <v>0</v>
      </c>
      <c r="AK1731" s="201">
        <f t="shared" ref="AK1731:AS1731" si="8742">countif($D1731,"*"&amp;AK$2&amp;"*")</f>
        <v>0</v>
      </c>
      <c r="AL1731" s="201">
        <f t="shared" si="8742"/>
        <v>0</v>
      </c>
      <c r="AM1731" s="201">
        <f t="shared" si="8742"/>
        <v>0</v>
      </c>
      <c r="AN1731" s="201">
        <f t="shared" si="8742"/>
        <v>0</v>
      </c>
      <c r="AO1731" s="201">
        <f t="shared" si="8742"/>
        <v>0</v>
      </c>
      <c r="AP1731" s="201">
        <f t="shared" si="8742"/>
        <v>0</v>
      </c>
      <c r="AQ1731" s="201">
        <f t="shared" si="8742"/>
        <v>0</v>
      </c>
      <c r="AR1731" s="222">
        <f t="shared" si="8742"/>
        <v>0</v>
      </c>
      <c r="AS1731" s="200">
        <f t="shared" si="8742"/>
        <v>0</v>
      </c>
      <c r="AT1731" s="223">
        <v>0.0</v>
      </c>
      <c r="AU1731" s="200">
        <f t="shared" ref="AU1731:AX1731" si="8743">countif($D1731,"*"&amp;AU$2&amp;"*")</f>
        <v>0</v>
      </c>
      <c r="AV1731" s="200">
        <f t="shared" si="8743"/>
        <v>0</v>
      </c>
      <c r="AW1731" s="200">
        <f t="shared" si="8743"/>
        <v>0</v>
      </c>
      <c r="AX1731" s="200">
        <f t="shared" si="8743"/>
        <v>0</v>
      </c>
      <c r="AY1731" s="202">
        <v>0.0</v>
      </c>
      <c r="AZ1731" s="200"/>
      <c r="BA1731" s="171" t="str">
        <f t="shared" si="18"/>
        <v/>
      </c>
      <c r="BB1731" s="171" t="str">
        <f t="shared" si="19"/>
        <v/>
      </c>
      <c r="BC1731" s="171" t="str">
        <f t="shared" si="20"/>
        <v/>
      </c>
      <c r="BD1731" s="171" t="str">
        <f t="shared" si="21"/>
        <v/>
      </c>
      <c r="BE1731" s="171" t="str">
        <f t="shared" si="22"/>
        <v>Others</v>
      </c>
      <c r="BF1731" s="171" t="str">
        <f t="shared" si="23"/>
        <v>Others</v>
      </c>
    </row>
    <row r="1732">
      <c r="A1732" s="171">
        <f t="array" ref="A1732">XLOOKUP(C1732,FSE!A:A,FSE!C:C,"XXXXX",0,1)</f>
        <v>2020</v>
      </c>
      <c r="B1732" s="213" t="s">
        <v>5676</v>
      </c>
      <c r="C1732" s="214">
        <v>408.0</v>
      </c>
      <c r="D1732" s="217" t="s">
        <v>6405</v>
      </c>
      <c r="E1732" s="197" t="str">
        <f t="array" ref="E1732">XLOOKUP(C1732,FSE!A:A,FSE!Z:Z,"XXXXX",0,1)</f>
        <v>Publicly Available (2)</v>
      </c>
      <c r="F1732" s="213" t="s">
        <v>3394</v>
      </c>
      <c r="G1732" s="163" t="str">
        <f t="array" ref="G1732">IF(B1732="ICSE",IF(COUNTIFS(B:B,B1732,C:C,C1732)=XLOOKUP(C1732,ICSE!A:A,ICSE!AA:AA,"ERROR",0,1),"OK","ERROR"),IF(B1732="FSE",IF(COUNTIFS(B:B,B1732,C:C,C1732)=XLOOKUP(C1732,FSE!A:A,FSE!AA:AA,"ERROR",0,1),"OK","ERROR")))</f>
        <v>OK</v>
      </c>
      <c r="H1732" s="199">
        <f t="shared" ref="H1732:O1732" si="8744">countif($D1732,"*"&amp;H$2&amp;"*")</f>
        <v>0</v>
      </c>
      <c r="I1732" s="200">
        <f t="shared" si="8744"/>
        <v>0</v>
      </c>
      <c r="J1732" s="200">
        <f t="shared" si="8744"/>
        <v>0</v>
      </c>
      <c r="K1732" s="200">
        <f t="shared" si="8744"/>
        <v>0</v>
      </c>
      <c r="L1732" s="200">
        <f t="shared" si="8744"/>
        <v>0</v>
      </c>
      <c r="M1732" s="200">
        <f t="shared" si="8744"/>
        <v>0</v>
      </c>
      <c r="N1732" s="200">
        <f t="shared" si="8744"/>
        <v>0</v>
      </c>
      <c r="O1732" s="200">
        <f t="shared" si="8744"/>
        <v>0</v>
      </c>
      <c r="P1732" s="200">
        <f t="shared" si="9"/>
        <v>0</v>
      </c>
      <c r="Q1732" s="200">
        <f t="shared" ref="Q1732:AC1732" si="8745">countif($D1732,"*"&amp;Q$2&amp;"*")</f>
        <v>0</v>
      </c>
      <c r="R1732" s="200">
        <f t="shared" si="8745"/>
        <v>1</v>
      </c>
      <c r="S1732" s="200">
        <f t="shared" si="8745"/>
        <v>0</v>
      </c>
      <c r="T1732" s="200">
        <f t="shared" si="8745"/>
        <v>0</v>
      </c>
      <c r="U1732" s="200">
        <f t="shared" si="8745"/>
        <v>0</v>
      </c>
      <c r="V1732" s="200">
        <f t="shared" si="8745"/>
        <v>0</v>
      </c>
      <c r="W1732" s="200">
        <f t="shared" si="8745"/>
        <v>0</v>
      </c>
      <c r="X1732" s="200">
        <f t="shared" si="8745"/>
        <v>0</v>
      </c>
      <c r="Y1732" s="200">
        <f t="shared" si="8745"/>
        <v>0</v>
      </c>
      <c r="Z1732" s="200">
        <f t="shared" si="8745"/>
        <v>0</v>
      </c>
      <c r="AA1732" s="200">
        <f t="shared" si="8745"/>
        <v>0</v>
      </c>
      <c r="AB1732" s="200">
        <f t="shared" si="8745"/>
        <v>0</v>
      </c>
      <c r="AC1732" s="200">
        <f t="shared" si="8745"/>
        <v>0</v>
      </c>
      <c r="AD1732" s="200">
        <f t="shared" si="11"/>
        <v>0</v>
      </c>
      <c r="AE1732" s="200">
        <f t="shared" ref="AE1732:AG1732" si="8746">countif($D1732,"*"&amp;AE$2&amp;"*")</f>
        <v>0</v>
      </c>
      <c r="AF1732" s="200">
        <f t="shared" si="8746"/>
        <v>0</v>
      </c>
      <c r="AG1732" s="200">
        <f t="shared" si="8746"/>
        <v>0</v>
      </c>
      <c r="AH1732" s="171">
        <f t="shared" si="13"/>
        <v>0</v>
      </c>
      <c r="AI1732" s="200">
        <f t="shared" si="14"/>
        <v>0</v>
      </c>
      <c r="AJ1732" s="200">
        <f t="shared" si="8701"/>
        <v>0</v>
      </c>
      <c r="AK1732" s="201">
        <f t="shared" ref="AK1732:AS1732" si="8747">countif($D1732,"*"&amp;AK$2&amp;"*")</f>
        <v>0</v>
      </c>
      <c r="AL1732" s="201">
        <f t="shared" si="8747"/>
        <v>0</v>
      </c>
      <c r="AM1732" s="201">
        <f t="shared" si="8747"/>
        <v>0</v>
      </c>
      <c r="AN1732" s="201">
        <f t="shared" si="8747"/>
        <v>0</v>
      </c>
      <c r="AO1732" s="201">
        <f t="shared" si="8747"/>
        <v>0</v>
      </c>
      <c r="AP1732" s="201">
        <f t="shared" si="8747"/>
        <v>0</v>
      </c>
      <c r="AQ1732" s="201">
        <f t="shared" si="8747"/>
        <v>0</v>
      </c>
      <c r="AR1732" s="200">
        <f t="shared" si="8747"/>
        <v>0</v>
      </c>
      <c r="AS1732" s="200">
        <f t="shared" si="8747"/>
        <v>1</v>
      </c>
      <c r="AT1732" s="173">
        <v>0.0</v>
      </c>
      <c r="AU1732" s="200">
        <f t="shared" ref="AU1732:AX1732" si="8748">countif($D1732,"*"&amp;AU$2&amp;"*")</f>
        <v>0</v>
      </c>
      <c r="AV1732" s="200">
        <f t="shared" si="8748"/>
        <v>0</v>
      </c>
      <c r="AW1732" s="200">
        <f t="shared" si="8748"/>
        <v>0</v>
      </c>
      <c r="AX1732" s="200">
        <f t="shared" si="8748"/>
        <v>0</v>
      </c>
      <c r="AY1732" s="202">
        <v>0.0</v>
      </c>
      <c r="AZ1732" s="200"/>
      <c r="BA1732" s="171" t="str">
        <f t="shared" si="18"/>
        <v/>
      </c>
      <c r="BB1732" s="171" t="str">
        <f t="shared" si="19"/>
        <v>Code</v>
      </c>
      <c r="BC1732" s="171" t="str">
        <f t="shared" si="20"/>
        <v/>
      </c>
      <c r="BD1732" s="171" t="str">
        <f t="shared" si="21"/>
        <v/>
      </c>
      <c r="BE1732" s="171" t="str">
        <f t="shared" si="22"/>
        <v/>
      </c>
      <c r="BF1732" s="171" t="str">
        <f t="shared" si="23"/>
        <v>Code</v>
      </c>
    </row>
    <row r="1733">
      <c r="A1733" s="213">
        <f t="array" ref="A1733">XLOOKUP(C1733,FSE!A:A,FSE!C:C,"XXXXX",0,1)</f>
        <v>2020</v>
      </c>
      <c r="B1733" s="213" t="s">
        <v>5676</v>
      </c>
      <c r="C1733" s="220">
        <v>408.0</v>
      </c>
      <c r="D1733" s="217" t="s">
        <v>6406</v>
      </c>
      <c r="E1733" s="221" t="str">
        <f t="array" ref="E1733">XLOOKUP(C1733,FSE!A:A,FSE!Z:Z,"XXXXX",0,1)</f>
        <v>Publicly Available (2)</v>
      </c>
      <c r="F1733" s="213" t="s">
        <v>3394</v>
      </c>
      <c r="G1733" s="163" t="str">
        <f t="array" ref="G1733">IF(B1733="ICSE",IF(COUNTIFS(B:B,B1733,C:C,C1733)=XLOOKUP(C1733,ICSE!A:A,ICSE!AA:AA,"ERROR",0,1),"OK","ERROR"),IF(B1733="FSE",IF(COUNTIFS(B:B,B1733,C:C,C1733)=XLOOKUP(C1733,FSE!A:A,FSE!AA:AA,"ERROR",0,1),"OK","ERROR")))</f>
        <v>OK</v>
      </c>
      <c r="H1733" s="199">
        <f t="shared" ref="H1733:O1733" si="8749">countif($D1733,"*"&amp;H$2&amp;"*")</f>
        <v>0</v>
      </c>
      <c r="I1733" s="200">
        <f t="shared" si="8749"/>
        <v>0</v>
      </c>
      <c r="J1733" s="200">
        <f t="shared" si="8749"/>
        <v>0</v>
      </c>
      <c r="K1733" s="200">
        <f t="shared" si="8749"/>
        <v>0</v>
      </c>
      <c r="L1733" s="200">
        <f t="shared" si="8749"/>
        <v>0</v>
      </c>
      <c r="M1733" s="200">
        <f t="shared" si="8749"/>
        <v>0</v>
      </c>
      <c r="N1733" s="200">
        <f t="shared" si="8749"/>
        <v>0</v>
      </c>
      <c r="O1733" s="200">
        <f t="shared" si="8749"/>
        <v>0</v>
      </c>
      <c r="P1733" s="200">
        <f t="shared" si="9"/>
        <v>0</v>
      </c>
      <c r="Q1733" s="200">
        <f t="shared" ref="Q1733:AC1733" si="8750">countif($D1733,"*"&amp;Q$2&amp;"*")</f>
        <v>0</v>
      </c>
      <c r="R1733" s="200">
        <f t="shared" si="8750"/>
        <v>1</v>
      </c>
      <c r="S1733" s="200">
        <f t="shared" si="8750"/>
        <v>0</v>
      </c>
      <c r="T1733" s="200">
        <f t="shared" si="8750"/>
        <v>0</v>
      </c>
      <c r="U1733" s="200">
        <f t="shared" si="8750"/>
        <v>0</v>
      </c>
      <c r="V1733" s="200">
        <f t="shared" si="8750"/>
        <v>0</v>
      </c>
      <c r="W1733" s="200">
        <f t="shared" si="8750"/>
        <v>0</v>
      </c>
      <c r="X1733" s="200">
        <f t="shared" si="8750"/>
        <v>0</v>
      </c>
      <c r="Y1733" s="200">
        <f t="shared" si="8750"/>
        <v>0</v>
      </c>
      <c r="Z1733" s="200">
        <f t="shared" si="8750"/>
        <v>0</v>
      </c>
      <c r="AA1733" s="200">
        <f t="shared" si="8750"/>
        <v>0</v>
      </c>
      <c r="AB1733" s="200">
        <f t="shared" si="8750"/>
        <v>0</v>
      </c>
      <c r="AC1733" s="200">
        <f t="shared" si="8750"/>
        <v>0</v>
      </c>
      <c r="AD1733" s="222">
        <f t="shared" si="11"/>
        <v>0</v>
      </c>
      <c r="AE1733" s="200">
        <f t="shared" ref="AE1733:AG1733" si="8751">countif($D1733,"*"&amp;AE$2&amp;"*")</f>
        <v>0</v>
      </c>
      <c r="AF1733" s="200">
        <f t="shared" si="8751"/>
        <v>0</v>
      </c>
      <c r="AG1733" s="200">
        <f t="shared" si="8751"/>
        <v>0</v>
      </c>
      <c r="AH1733" s="171">
        <f t="shared" si="13"/>
        <v>0</v>
      </c>
      <c r="AI1733" s="200">
        <f t="shared" si="14"/>
        <v>0</v>
      </c>
      <c r="AJ1733" s="200">
        <f t="shared" si="8701"/>
        <v>0</v>
      </c>
      <c r="AK1733" s="201">
        <f t="shared" ref="AK1733:AS1733" si="8752">countif($D1733,"*"&amp;AK$2&amp;"*")</f>
        <v>0</v>
      </c>
      <c r="AL1733" s="201">
        <f t="shared" si="8752"/>
        <v>0</v>
      </c>
      <c r="AM1733" s="201">
        <f t="shared" si="8752"/>
        <v>0</v>
      </c>
      <c r="AN1733" s="201">
        <f t="shared" si="8752"/>
        <v>0</v>
      </c>
      <c r="AO1733" s="201">
        <f t="shared" si="8752"/>
        <v>0</v>
      </c>
      <c r="AP1733" s="201">
        <f t="shared" si="8752"/>
        <v>0</v>
      </c>
      <c r="AQ1733" s="201">
        <f t="shared" si="8752"/>
        <v>0</v>
      </c>
      <c r="AR1733" s="222">
        <f t="shared" si="8752"/>
        <v>0</v>
      </c>
      <c r="AS1733" s="200">
        <f t="shared" si="8752"/>
        <v>1</v>
      </c>
      <c r="AT1733" s="223">
        <v>0.0</v>
      </c>
      <c r="AU1733" s="200">
        <f t="shared" ref="AU1733:AX1733" si="8753">countif($D1733,"*"&amp;AU$2&amp;"*")</f>
        <v>0</v>
      </c>
      <c r="AV1733" s="200">
        <f t="shared" si="8753"/>
        <v>0</v>
      </c>
      <c r="AW1733" s="200">
        <f t="shared" si="8753"/>
        <v>0</v>
      </c>
      <c r="AX1733" s="200">
        <f t="shared" si="8753"/>
        <v>0</v>
      </c>
      <c r="AY1733" s="202">
        <v>0.0</v>
      </c>
      <c r="AZ1733" s="200"/>
      <c r="BA1733" s="171" t="str">
        <f t="shared" si="18"/>
        <v/>
      </c>
      <c r="BB1733" s="171" t="str">
        <f t="shared" si="19"/>
        <v>Code</v>
      </c>
      <c r="BC1733" s="171" t="str">
        <f t="shared" si="20"/>
        <v/>
      </c>
      <c r="BD1733" s="171" t="str">
        <f t="shared" si="21"/>
        <v/>
      </c>
      <c r="BE1733" s="171" t="str">
        <f t="shared" si="22"/>
        <v/>
      </c>
      <c r="BF1733" s="171" t="str">
        <f t="shared" si="23"/>
        <v>Code</v>
      </c>
    </row>
    <row r="1734">
      <c r="A1734" s="171">
        <f t="array" ref="A1734">XLOOKUP(C1734,FSE!A:A,FSE!C:C,"XXXXX",0,1)</f>
        <v>2020</v>
      </c>
      <c r="B1734" s="213" t="s">
        <v>5676</v>
      </c>
      <c r="C1734" s="214">
        <v>409.0</v>
      </c>
      <c r="D1734" s="215" t="s">
        <v>4715</v>
      </c>
      <c r="E1734" s="197" t="str">
        <f t="array" ref="E1734">XLOOKUP(C1734,FSE!A:A,FSE!Z:Z,"XXXXX",0,1)</f>
        <v>Publicly Available (1)</v>
      </c>
      <c r="F1734" s="213" t="s">
        <v>3394</v>
      </c>
      <c r="G1734" s="163" t="str">
        <f t="array" ref="G1734">IF(B1734="ICSE",IF(COUNTIFS(B:B,B1734,C:C,C1734)=XLOOKUP(C1734,ICSE!A:A,ICSE!AA:AA,"ERROR",0,1),"OK","ERROR"),IF(B1734="FSE",IF(COUNTIFS(B:B,B1734,C:C,C1734)=XLOOKUP(C1734,FSE!A:A,FSE!AA:AA,"ERROR",0,1),"OK","ERROR")))</f>
        <v>OK</v>
      </c>
      <c r="H1734" s="199">
        <f t="shared" ref="H1734:O1734" si="8754">countif($D1734,"*"&amp;H$2&amp;"*")</f>
        <v>1</v>
      </c>
      <c r="I1734" s="200">
        <f t="shared" si="8754"/>
        <v>0</v>
      </c>
      <c r="J1734" s="200">
        <f t="shared" si="8754"/>
        <v>0</v>
      </c>
      <c r="K1734" s="200">
        <f t="shared" si="8754"/>
        <v>0</v>
      </c>
      <c r="L1734" s="200">
        <f t="shared" si="8754"/>
        <v>0</v>
      </c>
      <c r="M1734" s="200">
        <f t="shared" si="8754"/>
        <v>0</v>
      </c>
      <c r="N1734" s="200">
        <f t="shared" si="8754"/>
        <v>0</v>
      </c>
      <c r="O1734" s="200">
        <f t="shared" si="8754"/>
        <v>0</v>
      </c>
      <c r="P1734" s="200">
        <f t="shared" si="9"/>
        <v>0</v>
      </c>
      <c r="Q1734" s="200">
        <f t="shared" ref="Q1734:AC1734" si="8755">countif($D1734,"*"&amp;Q$2&amp;"*")</f>
        <v>0</v>
      </c>
      <c r="R1734" s="200">
        <f t="shared" si="8755"/>
        <v>0</v>
      </c>
      <c r="S1734" s="200">
        <f t="shared" si="8755"/>
        <v>0</v>
      </c>
      <c r="T1734" s="200">
        <f t="shared" si="8755"/>
        <v>0</v>
      </c>
      <c r="U1734" s="200">
        <f t="shared" si="8755"/>
        <v>0</v>
      </c>
      <c r="V1734" s="200">
        <f t="shared" si="8755"/>
        <v>0</v>
      </c>
      <c r="W1734" s="200">
        <f t="shared" si="8755"/>
        <v>0</v>
      </c>
      <c r="X1734" s="200">
        <f t="shared" si="8755"/>
        <v>0</v>
      </c>
      <c r="Y1734" s="200">
        <f t="shared" si="8755"/>
        <v>0</v>
      </c>
      <c r="Z1734" s="200">
        <f t="shared" si="8755"/>
        <v>0</v>
      </c>
      <c r="AA1734" s="200">
        <f t="shared" si="8755"/>
        <v>0</v>
      </c>
      <c r="AB1734" s="200">
        <f t="shared" si="8755"/>
        <v>0</v>
      </c>
      <c r="AC1734" s="200">
        <f t="shared" si="8755"/>
        <v>0</v>
      </c>
      <c r="AD1734" s="200">
        <f t="shared" si="11"/>
        <v>0</v>
      </c>
      <c r="AE1734" s="200">
        <f t="shared" ref="AE1734:AG1734" si="8756">countif($D1734,"*"&amp;AE$2&amp;"*")</f>
        <v>0</v>
      </c>
      <c r="AF1734" s="200">
        <f t="shared" si="8756"/>
        <v>0</v>
      </c>
      <c r="AG1734" s="200">
        <f t="shared" si="8756"/>
        <v>0</v>
      </c>
      <c r="AH1734" s="171">
        <f t="shared" si="13"/>
        <v>0</v>
      </c>
      <c r="AI1734" s="200">
        <f t="shared" si="14"/>
        <v>1</v>
      </c>
      <c r="AJ1734" s="200">
        <f t="shared" si="8701"/>
        <v>0</v>
      </c>
      <c r="AK1734" s="201">
        <f t="shared" ref="AK1734:AS1734" si="8757">countif($D1734,"*"&amp;AK$2&amp;"*")</f>
        <v>0</v>
      </c>
      <c r="AL1734" s="201">
        <f t="shared" si="8757"/>
        <v>0</v>
      </c>
      <c r="AM1734" s="201">
        <f t="shared" si="8757"/>
        <v>0</v>
      </c>
      <c r="AN1734" s="201">
        <f t="shared" si="8757"/>
        <v>0</v>
      </c>
      <c r="AO1734" s="201">
        <f t="shared" si="8757"/>
        <v>0</v>
      </c>
      <c r="AP1734" s="201">
        <f t="shared" si="8757"/>
        <v>0</v>
      </c>
      <c r="AQ1734" s="201">
        <f t="shared" si="8757"/>
        <v>0</v>
      </c>
      <c r="AR1734" s="200">
        <f t="shared" si="8757"/>
        <v>0</v>
      </c>
      <c r="AS1734" s="200">
        <f t="shared" si="8757"/>
        <v>0</v>
      </c>
      <c r="AT1734" s="173">
        <v>0.0</v>
      </c>
      <c r="AU1734" s="200">
        <f t="shared" ref="AU1734:AX1734" si="8758">countif($D1734,"*"&amp;AU$2&amp;"*")</f>
        <v>0</v>
      </c>
      <c r="AV1734" s="200">
        <f t="shared" si="8758"/>
        <v>0</v>
      </c>
      <c r="AW1734" s="200">
        <f t="shared" si="8758"/>
        <v>0</v>
      </c>
      <c r="AX1734" s="200">
        <f t="shared" si="8758"/>
        <v>1</v>
      </c>
      <c r="AY1734" s="202">
        <v>0.0</v>
      </c>
      <c r="AZ1734" s="200"/>
      <c r="BA1734" s="171" t="str">
        <f t="shared" si="18"/>
        <v>Archival</v>
      </c>
      <c r="BB1734" s="171" t="str">
        <f t="shared" si="19"/>
        <v/>
      </c>
      <c r="BC1734" s="171" t="str">
        <f t="shared" si="20"/>
        <v/>
      </c>
      <c r="BD1734" s="171" t="str">
        <f t="shared" si="21"/>
        <v/>
      </c>
      <c r="BE1734" s="171" t="str">
        <f t="shared" si="22"/>
        <v/>
      </c>
      <c r="BF1734" s="171" t="str">
        <f t="shared" si="23"/>
        <v>Archival</v>
      </c>
    </row>
    <row r="1735">
      <c r="A1735" s="171">
        <f t="array" ref="A1735">XLOOKUP(C1735,FSE!A:A,FSE!C:C,"XXXXX",0,1)</f>
        <v>2020</v>
      </c>
      <c r="B1735" s="213" t="s">
        <v>5676</v>
      </c>
      <c r="C1735" s="214">
        <v>410.0</v>
      </c>
      <c r="D1735" s="215" t="s">
        <v>4718</v>
      </c>
      <c r="E1735" s="197" t="str">
        <f t="array" ref="E1735">XLOOKUP(C1735,FSE!A:A,FSE!Z:Z,"XXXXX",0,1)</f>
        <v>Publicly Available (1)</v>
      </c>
      <c r="F1735" s="213" t="s">
        <v>3394</v>
      </c>
      <c r="G1735" s="163" t="str">
        <f t="array" ref="G1735">IF(B1735="ICSE",IF(COUNTIFS(B:B,B1735,C:C,C1735)=XLOOKUP(C1735,ICSE!A:A,ICSE!AA:AA,"ERROR",0,1),"OK","ERROR"),IF(B1735="FSE",IF(COUNTIFS(B:B,B1735,C:C,C1735)=XLOOKUP(C1735,FSE!A:A,FSE!AA:AA,"ERROR",0,1),"OK","ERROR")))</f>
        <v>OK</v>
      </c>
      <c r="H1735" s="199">
        <f t="shared" ref="H1735:O1735" si="8759">countif($D1735,"*"&amp;H$2&amp;"*")</f>
        <v>0</v>
      </c>
      <c r="I1735" s="200">
        <f t="shared" si="8759"/>
        <v>1</v>
      </c>
      <c r="J1735" s="200">
        <f t="shared" si="8759"/>
        <v>0</v>
      </c>
      <c r="K1735" s="200">
        <f t="shared" si="8759"/>
        <v>0</v>
      </c>
      <c r="L1735" s="200">
        <f t="shared" si="8759"/>
        <v>0</v>
      </c>
      <c r="M1735" s="200">
        <f t="shared" si="8759"/>
        <v>0</v>
      </c>
      <c r="N1735" s="200">
        <f t="shared" si="8759"/>
        <v>0</v>
      </c>
      <c r="O1735" s="200">
        <f t="shared" si="8759"/>
        <v>0</v>
      </c>
      <c r="P1735" s="200">
        <f t="shared" si="9"/>
        <v>0</v>
      </c>
      <c r="Q1735" s="200">
        <f t="shared" ref="Q1735:AC1735" si="8760">countif($D1735,"*"&amp;Q$2&amp;"*")</f>
        <v>0</v>
      </c>
      <c r="R1735" s="200">
        <f t="shared" si="8760"/>
        <v>0</v>
      </c>
      <c r="S1735" s="200">
        <f t="shared" si="8760"/>
        <v>0</v>
      </c>
      <c r="T1735" s="200">
        <f t="shared" si="8760"/>
        <v>0</v>
      </c>
      <c r="U1735" s="200">
        <f t="shared" si="8760"/>
        <v>0</v>
      </c>
      <c r="V1735" s="200">
        <f t="shared" si="8760"/>
        <v>0</v>
      </c>
      <c r="W1735" s="200">
        <f t="shared" si="8760"/>
        <v>0</v>
      </c>
      <c r="X1735" s="200">
        <f t="shared" si="8760"/>
        <v>0</v>
      </c>
      <c r="Y1735" s="200">
        <f t="shared" si="8760"/>
        <v>0</v>
      </c>
      <c r="Z1735" s="200">
        <f t="shared" si="8760"/>
        <v>0</v>
      </c>
      <c r="AA1735" s="200">
        <f t="shared" si="8760"/>
        <v>0</v>
      </c>
      <c r="AB1735" s="200">
        <f t="shared" si="8760"/>
        <v>0</v>
      </c>
      <c r="AC1735" s="200">
        <f t="shared" si="8760"/>
        <v>0</v>
      </c>
      <c r="AD1735" s="200">
        <f t="shared" si="11"/>
        <v>0</v>
      </c>
      <c r="AE1735" s="200">
        <f t="shared" ref="AE1735:AG1735" si="8761">countif($D1735,"*"&amp;AE$2&amp;"*")</f>
        <v>0</v>
      </c>
      <c r="AF1735" s="200">
        <f t="shared" si="8761"/>
        <v>0</v>
      </c>
      <c r="AG1735" s="200">
        <f t="shared" si="8761"/>
        <v>0</v>
      </c>
      <c r="AH1735" s="171">
        <f t="shared" si="13"/>
        <v>0</v>
      </c>
      <c r="AI1735" s="200">
        <f t="shared" si="14"/>
        <v>1</v>
      </c>
      <c r="AJ1735" s="200">
        <f t="shared" si="8701"/>
        <v>0</v>
      </c>
      <c r="AK1735" s="201">
        <f t="shared" ref="AK1735:AS1735" si="8762">countif($D1735,"*"&amp;AK$2&amp;"*")</f>
        <v>0</v>
      </c>
      <c r="AL1735" s="201">
        <f t="shared" si="8762"/>
        <v>0</v>
      </c>
      <c r="AM1735" s="201">
        <f t="shared" si="8762"/>
        <v>0</v>
      </c>
      <c r="AN1735" s="201">
        <f t="shared" si="8762"/>
        <v>0</v>
      </c>
      <c r="AO1735" s="201">
        <f t="shared" si="8762"/>
        <v>0</v>
      </c>
      <c r="AP1735" s="201">
        <f t="shared" si="8762"/>
        <v>0</v>
      </c>
      <c r="AQ1735" s="201">
        <f t="shared" si="8762"/>
        <v>0</v>
      </c>
      <c r="AR1735" s="200">
        <f t="shared" si="8762"/>
        <v>0</v>
      </c>
      <c r="AS1735" s="200">
        <f t="shared" si="8762"/>
        <v>0</v>
      </c>
      <c r="AT1735" s="173">
        <v>0.0</v>
      </c>
      <c r="AU1735" s="200">
        <f t="shared" ref="AU1735:AX1735" si="8763">countif($D1735,"*"&amp;AU$2&amp;"*")</f>
        <v>0</v>
      </c>
      <c r="AV1735" s="200">
        <f t="shared" si="8763"/>
        <v>0</v>
      </c>
      <c r="AW1735" s="200">
        <f t="shared" si="8763"/>
        <v>0</v>
      </c>
      <c r="AX1735" s="200">
        <f t="shared" si="8763"/>
        <v>1</v>
      </c>
      <c r="AY1735" s="202">
        <v>0.0</v>
      </c>
      <c r="AZ1735" s="200"/>
      <c r="BA1735" s="171" t="str">
        <f t="shared" si="18"/>
        <v>Archival</v>
      </c>
      <c r="BB1735" s="171" t="str">
        <f t="shared" si="19"/>
        <v/>
      </c>
      <c r="BC1735" s="171" t="str">
        <f t="shared" si="20"/>
        <v/>
      </c>
      <c r="BD1735" s="171" t="str">
        <f t="shared" si="21"/>
        <v/>
      </c>
      <c r="BE1735" s="171" t="str">
        <f t="shared" si="22"/>
        <v/>
      </c>
      <c r="BF1735" s="171" t="str">
        <f t="shared" si="23"/>
        <v>Archival</v>
      </c>
    </row>
    <row r="1736">
      <c r="A1736" s="171">
        <f t="array" ref="A1736">XLOOKUP(C1736,FSE!A:A,FSE!C:C,"XXXXX",0,1)</f>
        <v>2020</v>
      </c>
      <c r="B1736" s="213" t="s">
        <v>5676</v>
      </c>
      <c r="C1736" s="214">
        <v>411.0</v>
      </c>
      <c r="D1736" s="215" t="s">
        <v>4721</v>
      </c>
      <c r="E1736" s="197" t="str">
        <f t="array" ref="E1736">XLOOKUP(C1736,FSE!A:A,FSE!Z:Z,"XXXXX",0,1)</f>
        <v>Publicly Available (1)</v>
      </c>
      <c r="F1736" s="213" t="s">
        <v>3394</v>
      </c>
      <c r="G1736" s="163" t="str">
        <f t="array" ref="G1736">IF(B1736="ICSE",IF(COUNTIFS(B:B,B1736,C:C,C1736)=XLOOKUP(C1736,ICSE!A:A,ICSE!AA:AA,"ERROR",0,1),"OK","ERROR"),IF(B1736="FSE",IF(COUNTIFS(B:B,B1736,C:C,C1736)=XLOOKUP(C1736,FSE!A:A,FSE!AA:AA,"ERROR",0,1),"OK","ERROR")))</f>
        <v>OK</v>
      </c>
      <c r="H1736" s="199">
        <f t="shared" ref="H1736:O1736" si="8764">countif($D1736,"*"&amp;H$2&amp;"*")</f>
        <v>0</v>
      </c>
      <c r="I1736" s="200">
        <f t="shared" si="8764"/>
        <v>0</v>
      </c>
      <c r="J1736" s="200">
        <f t="shared" si="8764"/>
        <v>0</v>
      </c>
      <c r="K1736" s="200">
        <f t="shared" si="8764"/>
        <v>0</v>
      </c>
      <c r="L1736" s="200">
        <f t="shared" si="8764"/>
        <v>0</v>
      </c>
      <c r="M1736" s="200">
        <f t="shared" si="8764"/>
        <v>0</v>
      </c>
      <c r="N1736" s="200">
        <f t="shared" si="8764"/>
        <v>0</v>
      </c>
      <c r="O1736" s="200">
        <f t="shared" si="8764"/>
        <v>0</v>
      </c>
      <c r="P1736" s="200">
        <f t="shared" si="9"/>
        <v>1</v>
      </c>
      <c r="Q1736" s="200">
        <f t="shared" ref="Q1736:AC1736" si="8765">countif($D1736,"*"&amp;Q$2&amp;"*")</f>
        <v>0</v>
      </c>
      <c r="R1736" s="200">
        <f t="shared" si="8765"/>
        <v>0</v>
      </c>
      <c r="S1736" s="200">
        <f t="shared" si="8765"/>
        <v>0</v>
      </c>
      <c r="T1736" s="200">
        <f t="shared" si="8765"/>
        <v>0</v>
      </c>
      <c r="U1736" s="200">
        <f t="shared" si="8765"/>
        <v>0</v>
      </c>
      <c r="V1736" s="200">
        <f t="shared" si="8765"/>
        <v>0</v>
      </c>
      <c r="W1736" s="200">
        <f t="shared" si="8765"/>
        <v>0</v>
      </c>
      <c r="X1736" s="200">
        <f t="shared" si="8765"/>
        <v>0</v>
      </c>
      <c r="Y1736" s="200">
        <f t="shared" si="8765"/>
        <v>0</v>
      </c>
      <c r="Z1736" s="200">
        <f t="shared" si="8765"/>
        <v>0</v>
      </c>
      <c r="AA1736" s="200">
        <f t="shared" si="8765"/>
        <v>0</v>
      </c>
      <c r="AB1736" s="200">
        <f t="shared" si="8765"/>
        <v>0</v>
      </c>
      <c r="AC1736" s="200">
        <f t="shared" si="8765"/>
        <v>0</v>
      </c>
      <c r="AD1736" s="200">
        <f t="shared" si="11"/>
        <v>0</v>
      </c>
      <c r="AE1736" s="200">
        <f t="shared" ref="AE1736:AG1736" si="8766">countif($D1736,"*"&amp;AE$2&amp;"*")</f>
        <v>0</v>
      </c>
      <c r="AF1736" s="200">
        <f t="shared" si="8766"/>
        <v>0</v>
      </c>
      <c r="AG1736" s="200">
        <f t="shared" si="8766"/>
        <v>0</v>
      </c>
      <c r="AH1736" s="171">
        <f t="shared" si="13"/>
        <v>0</v>
      </c>
      <c r="AI1736" s="200">
        <f t="shared" si="14"/>
        <v>0</v>
      </c>
      <c r="AJ1736" s="200">
        <f t="shared" si="8701"/>
        <v>0</v>
      </c>
      <c r="AK1736" s="201">
        <f t="shared" ref="AK1736:AS1736" si="8767">countif($D1736,"*"&amp;AK$2&amp;"*")</f>
        <v>0</v>
      </c>
      <c r="AL1736" s="201">
        <f t="shared" si="8767"/>
        <v>0</v>
      </c>
      <c r="AM1736" s="201">
        <f t="shared" si="8767"/>
        <v>0</v>
      </c>
      <c r="AN1736" s="201">
        <f t="shared" si="8767"/>
        <v>0</v>
      </c>
      <c r="AO1736" s="201">
        <f t="shared" si="8767"/>
        <v>0</v>
      </c>
      <c r="AP1736" s="201">
        <f t="shared" si="8767"/>
        <v>0</v>
      </c>
      <c r="AQ1736" s="201">
        <f t="shared" si="8767"/>
        <v>0</v>
      </c>
      <c r="AR1736" s="200">
        <f t="shared" si="8767"/>
        <v>0</v>
      </c>
      <c r="AS1736" s="200">
        <f t="shared" si="8767"/>
        <v>0</v>
      </c>
      <c r="AT1736" s="173">
        <v>0.0</v>
      </c>
      <c r="AU1736" s="200">
        <f t="shared" ref="AU1736:AX1736" si="8768">countif($D1736,"*"&amp;AU$2&amp;"*")</f>
        <v>0</v>
      </c>
      <c r="AV1736" s="200">
        <f t="shared" si="8768"/>
        <v>1</v>
      </c>
      <c r="AW1736" s="200">
        <f t="shared" si="8768"/>
        <v>0</v>
      </c>
      <c r="AX1736" s="200">
        <f t="shared" si="8768"/>
        <v>0</v>
      </c>
      <c r="AY1736" s="202">
        <v>0.0</v>
      </c>
      <c r="AZ1736" s="200"/>
      <c r="BA1736" s="171" t="str">
        <f t="shared" si="18"/>
        <v/>
      </c>
      <c r="BB1736" s="171" t="str">
        <f t="shared" si="19"/>
        <v>Code</v>
      </c>
      <c r="BC1736" s="171" t="str">
        <f t="shared" si="20"/>
        <v/>
      </c>
      <c r="BD1736" s="171" t="str">
        <f t="shared" si="21"/>
        <v/>
      </c>
      <c r="BE1736" s="171" t="str">
        <f t="shared" si="22"/>
        <v/>
      </c>
      <c r="BF1736" s="171" t="str">
        <f t="shared" si="23"/>
        <v>Code</v>
      </c>
    </row>
    <row r="1737">
      <c r="A1737" s="171">
        <f t="array" ref="A1737">XLOOKUP(C1737,FSE!A:A,FSE!C:C,"XXXXX",0,1)</f>
        <v>2020</v>
      </c>
      <c r="B1737" s="213" t="s">
        <v>5676</v>
      </c>
      <c r="C1737" s="214">
        <v>412.0</v>
      </c>
      <c r="D1737" s="206" t="s">
        <v>6407</v>
      </c>
      <c r="E1737" s="197" t="str">
        <f t="array" ref="E1737">XLOOKUP(C1737,FSE!A:A,FSE!Z:Z,"XXXXX",0,1)</f>
        <v>Publicly Available (1)</v>
      </c>
      <c r="F1737" s="213" t="s">
        <v>3394</v>
      </c>
      <c r="G1737" s="163" t="str">
        <f t="array" ref="G1737">IF(B1737="ICSE",IF(COUNTIFS(B:B,B1737,C:C,C1737)=XLOOKUP(C1737,ICSE!A:A,ICSE!AA:AA,"ERROR",0,1),"OK","ERROR"),IF(B1737="FSE",IF(COUNTIFS(B:B,B1737,C:C,C1737)=XLOOKUP(C1737,FSE!A:A,FSE!AA:AA,"ERROR",0,1),"OK","ERROR")))</f>
        <v>OK</v>
      </c>
      <c r="H1737" s="199">
        <f t="shared" ref="H1737:O1737" si="8769">countif($D1737,"*"&amp;H$2&amp;"*")</f>
        <v>1</v>
      </c>
      <c r="I1737" s="200">
        <f t="shared" si="8769"/>
        <v>0</v>
      </c>
      <c r="J1737" s="200">
        <f t="shared" si="8769"/>
        <v>0</v>
      </c>
      <c r="K1737" s="200">
        <f t="shared" si="8769"/>
        <v>0</v>
      </c>
      <c r="L1737" s="200">
        <f t="shared" si="8769"/>
        <v>0</v>
      </c>
      <c r="M1737" s="200">
        <f t="shared" si="8769"/>
        <v>0</v>
      </c>
      <c r="N1737" s="200">
        <f t="shared" si="8769"/>
        <v>0</v>
      </c>
      <c r="O1737" s="200">
        <f t="shared" si="8769"/>
        <v>0</v>
      </c>
      <c r="P1737" s="200">
        <f t="shared" si="9"/>
        <v>0</v>
      </c>
      <c r="Q1737" s="200">
        <f t="shared" ref="Q1737:AC1737" si="8770">countif($D1737,"*"&amp;Q$2&amp;"*")</f>
        <v>0</v>
      </c>
      <c r="R1737" s="200">
        <f t="shared" si="8770"/>
        <v>0</v>
      </c>
      <c r="S1737" s="200">
        <f t="shared" si="8770"/>
        <v>0</v>
      </c>
      <c r="T1737" s="200">
        <f t="shared" si="8770"/>
        <v>0</v>
      </c>
      <c r="U1737" s="200">
        <f t="shared" si="8770"/>
        <v>0</v>
      </c>
      <c r="V1737" s="200">
        <f t="shared" si="8770"/>
        <v>0</v>
      </c>
      <c r="W1737" s="200">
        <f t="shared" si="8770"/>
        <v>0</v>
      </c>
      <c r="X1737" s="200">
        <f t="shared" si="8770"/>
        <v>0</v>
      </c>
      <c r="Y1737" s="200">
        <f t="shared" si="8770"/>
        <v>0</v>
      </c>
      <c r="Z1737" s="200">
        <f t="shared" si="8770"/>
        <v>0</v>
      </c>
      <c r="AA1737" s="200">
        <f t="shared" si="8770"/>
        <v>0</v>
      </c>
      <c r="AB1737" s="200">
        <f t="shared" si="8770"/>
        <v>0</v>
      </c>
      <c r="AC1737" s="200">
        <f t="shared" si="8770"/>
        <v>0</v>
      </c>
      <c r="AD1737" s="200">
        <f t="shared" si="11"/>
        <v>0</v>
      </c>
      <c r="AE1737" s="200">
        <f t="shared" ref="AE1737:AG1737" si="8771">countif($D1737,"*"&amp;AE$2&amp;"*")</f>
        <v>0</v>
      </c>
      <c r="AF1737" s="200">
        <f t="shared" si="8771"/>
        <v>0</v>
      </c>
      <c r="AG1737" s="200">
        <f t="shared" si="8771"/>
        <v>0</v>
      </c>
      <c r="AH1737" s="171">
        <f t="shared" si="13"/>
        <v>0</v>
      </c>
      <c r="AI1737" s="200">
        <f t="shared" si="14"/>
        <v>1</v>
      </c>
      <c r="AJ1737" s="200">
        <f t="shared" si="8701"/>
        <v>0</v>
      </c>
      <c r="AK1737" s="201">
        <f t="shared" ref="AK1737:AS1737" si="8772">countif($D1737,"*"&amp;AK$2&amp;"*")</f>
        <v>0</v>
      </c>
      <c r="AL1737" s="201">
        <f t="shared" si="8772"/>
        <v>0</v>
      </c>
      <c r="AM1737" s="201">
        <f t="shared" si="8772"/>
        <v>0</v>
      </c>
      <c r="AN1737" s="201">
        <f t="shared" si="8772"/>
        <v>0</v>
      </c>
      <c r="AO1737" s="201">
        <f t="shared" si="8772"/>
        <v>0</v>
      </c>
      <c r="AP1737" s="201">
        <f t="shared" si="8772"/>
        <v>0</v>
      </c>
      <c r="AQ1737" s="201">
        <f t="shared" si="8772"/>
        <v>0</v>
      </c>
      <c r="AR1737" s="200">
        <f t="shared" si="8772"/>
        <v>0</v>
      </c>
      <c r="AS1737" s="200">
        <f t="shared" si="8772"/>
        <v>1</v>
      </c>
      <c r="AT1737" s="173">
        <v>0.0</v>
      </c>
      <c r="AU1737" s="200">
        <f t="shared" ref="AU1737:AX1737" si="8773">countif($D1737,"*"&amp;AU$2&amp;"*")</f>
        <v>0</v>
      </c>
      <c r="AV1737" s="200">
        <f t="shared" si="8773"/>
        <v>0</v>
      </c>
      <c r="AW1737" s="200">
        <f t="shared" si="8773"/>
        <v>0</v>
      </c>
      <c r="AX1737" s="200">
        <f t="shared" si="8773"/>
        <v>1</v>
      </c>
      <c r="AY1737" s="202">
        <v>0.0</v>
      </c>
      <c r="AZ1737" s="200"/>
      <c r="BA1737" s="171" t="str">
        <f t="shared" si="18"/>
        <v>Archival</v>
      </c>
      <c r="BB1737" s="171" t="str">
        <f t="shared" si="19"/>
        <v/>
      </c>
      <c r="BC1737" s="171" t="str">
        <f t="shared" si="20"/>
        <v/>
      </c>
      <c r="BD1737" s="171" t="str">
        <f t="shared" si="21"/>
        <v/>
      </c>
      <c r="BE1737" s="171" t="str">
        <f t="shared" si="22"/>
        <v/>
      </c>
      <c r="BF1737" s="171" t="str">
        <f t="shared" si="23"/>
        <v>Archival</v>
      </c>
    </row>
    <row r="1738">
      <c r="A1738" s="171">
        <f t="array" ref="A1738">XLOOKUP(C1738,FSE!A:A,FSE!C:C,"XXXXX",0,1)</f>
        <v>2020</v>
      </c>
      <c r="B1738" s="213" t="s">
        <v>5676</v>
      </c>
      <c r="C1738" s="214">
        <v>413.0</v>
      </c>
      <c r="D1738" s="215" t="s">
        <v>6408</v>
      </c>
      <c r="E1738" s="197" t="str">
        <f t="array" ref="E1738">XLOOKUP(C1738,FSE!A:A,FSE!Z:Z,"XXXXX",0,1)</f>
        <v>Not Available (1)
Publicly Available (1)</v>
      </c>
      <c r="F1738" s="213" t="s">
        <v>3395</v>
      </c>
      <c r="G1738" s="163" t="str">
        <f t="array" ref="G1738">IF(B1738="ICSE",IF(COUNTIFS(B:B,B1738,C:C,C1738)=XLOOKUP(C1738,ICSE!A:A,ICSE!AA:AA,"ERROR",0,1),"OK","ERROR"),IF(B1738="FSE",IF(COUNTIFS(B:B,B1738,C:C,C1738)=XLOOKUP(C1738,FSE!A:A,FSE!AA:AA,"ERROR",0,1),"OK","ERROR")))</f>
        <v>OK</v>
      </c>
      <c r="H1738" s="199">
        <f t="shared" ref="H1738:O1738" si="8774">countif($D1738,"*"&amp;H$2&amp;"*")</f>
        <v>0</v>
      </c>
      <c r="I1738" s="200">
        <f t="shared" si="8774"/>
        <v>0</v>
      </c>
      <c r="J1738" s="200">
        <f t="shared" si="8774"/>
        <v>0</v>
      </c>
      <c r="K1738" s="200">
        <f t="shared" si="8774"/>
        <v>0</v>
      </c>
      <c r="L1738" s="200">
        <f t="shared" si="8774"/>
        <v>0</v>
      </c>
      <c r="M1738" s="200">
        <f t="shared" si="8774"/>
        <v>0</v>
      </c>
      <c r="N1738" s="200">
        <f t="shared" si="8774"/>
        <v>0</v>
      </c>
      <c r="O1738" s="200">
        <f t="shared" si="8774"/>
        <v>0</v>
      </c>
      <c r="P1738" s="200">
        <f t="shared" si="9"/>
        <v>0</v>
      </c>
      <c r="Q1738" s="200">
        <f t="shared" ref="Q1738:AC1738" si="8775">countif($D1738,"*"&amp;Q$2&amp;"*")</f>
        <v>0</v>
      </c>
      <c r="R1738" s="200">
        <f t="shared" si="8775"/>
        <v>0</v>
      </c>
      <c r="S1738" s="200">
        <f t="shared" si="8775"/>
        <v>0</v>
      </c>
      <c r="T1738" s="200">
        <f t="shared" si="8775"/>
        <v>0</v>
      </c>
      <c r="U1738" s="200">
        <f t="shared" si="8775"/>
        <v>0</v>
      </c>
      <c r="V1738" s="200">
        <f t="shared" si="8775"/>
        <v>0</v>
      </c>
      <c r="W1738" s="200">
        <f t="shared" si="8775"/>
        <v>0</v>
      </c>
      <c r="X1738" s="200">
        <f t="shared" si="8775"/>
        <v>0</v>
      </c>
      <c r="Y1738" s="200">
        <f t="shared" si="8775"/>
        <v>0</v>
      </c>
      <c r="Z1738" s="200">
        <f t="shared" si="8775"/>
        <v>0</v>
      </c>
      <c r="AA1738" s="200">
        <f t="shared" si="8775"/>
        <v>0</v>
      </c>
      <c r="AB1738" s="200">
        <f t="shared" si="8775"/>
        <v>0</v>
      </c>
      <c r="AC1738" s="200">
        <f t="shared" si="8775"/>
        <v>1</v>
      </c>
      <c r="AD1738" s="200">
        <f t="shared" si="11"/>
        <v>0</v>
      </c>
      <c r="AE1738" s="200">
        <f t="shared" ref="AE1738:AG1738" si="8776">countif($D1738,"*"&amp;AE$2&amp;"*")</f>
        <v>0</v>
      </c>
      <c r="AF1738" s="200">
        <f t="shared" si="8776"/>
        <v>0</v>
      </c>
      <c r="AG1738" s="200">
        <f t="shared" si="8776"/>
        <v>0</v>
      </c>
      <c r="AH1738" s="171">
        <f t="shared" si="13"/>
        <v>0</v>
      </c>
      <c r="AI1738" s="200">
        <f t="shared" si="14"/>
        <v>0</v>
      </c>
      <c r="AJ1738" s="200">
        <f t="shared" si="8701"/>
        <v>0</v>
      </c>
      <c r="AK1738" s="201">
        <f t="shared" ref="AK1738:AS1738" si="8777">countif($D1738,"*"&amp;AK$2&amp;"*")</f>
        <v>0</v>
      </c>
      <c r="AL1738" s="201">
        <f t="shared" si="8777"/>
        <v>0</v>
      </c>
      <c r="AM1738" s="201">
        <f t="shared" si="8777"/>
        <v>0</v>
      </c>
      <c r="AN1738" s="201">
        <f t="shared" si="8777"/>
        <v>0</v>
      </c>
      <c r="AO1738" s="201">
        <f t="shared" si="8777"/>
        <v>0</v>
      </c>
      <c r="AP1738" s="201">
        <f t="shared" si="8777"/>
        <v>0</v>
      </c>
      <c r="AQ1738" s="201">
        <f t="shared" si="8777"/>
        <v>0</v>
      </c>
      <c r="AR1738" s="200">
        <f t="shared" si="8777"/>
        <v>0</v>
      </c>
      <c r="AS1738" s="200">
        <f t="shared" si="8777"/>
        <v>0</v>
      </c>
      <c r="AT1738" s="173">
        <v>0.0</v>
      </c>
      <c r="AU1738" s="200">
        <f t="shared" ref="AU1738:AX1738" si="8778">countif($D1738,"*"&amp;AU$2&amp;"*")</f>
        <v>0</v>
      </c>
      <c r="AV1738" s="200">
        <f t="shared" si="8778"/>
        <v>0</v>
      </c>
      <c r="AW1738" s="200">
        <f t="shared" si="8778"/>
        <v>0</v>
      </c>
      <c r="AX1738" s="200">
        <f t="shared" si="8778"/>
        <v>0</v>
      </c>
      <c r="AY1738" s="202">
        <v>0.0</v>
      </c>
      <c r="AZ1738" s="200"/>
      <c r="BA1738" s="171" t="str">
        <f t="shared" si="18"/>
        <v/>
      </c>
      <c r="BB1738" s="171" t="str">
        <f t="shared" si="19"/>
        <v/>
      </c>
      <c r="BC1738" s="171" t="str">
        <f t="shared" si="20"/>
        <v>General-purpose</v>
      </c>
      <c r="BD1738" s="171" t="str">
        <f t="shared" si="21"/>
        <v/>
      </c>
      <c r="BE1738" s="171" t="str">
        <f t="shared" si="22"/>
        <v/>
      </c>
      <c r="BF1738" s="171" t="str">
        <f t="shared" si="23"/>
        <v>General-purpose</v>
      </c>
    </row>
    <row r="1739">
      <c r="A1739" s="213">
        <f t="array" ref="A1739">XLOOKUP(C1739,FSE!A:A,FSE!C:C,"XXXXX",0,1)</f>
        <v>2020</v>
      </c>
      <c r="B1739" s="213" t="s">
        <v>5676</v>
      </c>
      <c r="C1739" s="220">
        <v>413.0</v>
      </c>
      <c r="D1739" s="217" t="s">
        <v>6409</v>
      </c>
      <c r="E1739" s="221" t="str">
        <f t="array" ref="E1739">XLOOKUP(C1739,FSE!A:A,FSE!Z:Z,"XXXXX",0,1)</f>
        <v>Not Available (1)
Publicly Available (1)</v>
      </c>
      <c r="F1739" s="213" t="s">
        <v>3394</v>
      </c>
      <c r="G1739" s="163" t="str">
        <f t="array" ref="G1739">IF(B1739="ICSE",IF(COUNTIFS(B:B,B1739,C:C,C1739)=XLOOKUP(C1739,ICSE!A:A,ICSE!AA:AA,"ERROR",0,1),"OK","ERROR"),IF(B1739="FSE",IF(COUNTIFS(B:B,B1739,C:C,C1739)=XLOOKUP(C1739,FSE!A:A,FSE!AA:AA,"ERROR",0,1),"OK","ERROR")))</f>
        <v>OK</v>
      </c>
      <c r="H1739" s="199">
        <f t="shared" ref="H1739:O1739" si="8779">countif($D1739,"*"&amp;H$2&amp;"*")</f>
        <v>0</v>
      </c>
      <c r="I1739" s="200">
        <f t="shared" si="8779"/>
        <v>0</v>
      </c>
      <c r="J1739" s="200">
        <f t="shared" si="8779"/>
        <v>0</v>
      </c>
      <c r="K1739" s="200">
        <f t="shared" si="8779"/>
        <v>0</v>
      </c>
      <c r="L1739" s="200">
        <f t="shared" si="8779"/>
        <v>0</v>
      </c>
      <c r="M1739" s="200">
        <f t="shared" si="8779"/>
        <v>0</v>
      </c>
      <c r="N1739" s="200">
        <f t="shared" si="8779"/>
        <v>0</v>
      </c>
      <c r="O1739" s="200">
        <f t="shared" si="8779"/>
        <v>0</v>
      </c>
      <c r="P1739" s="200">
        <f t="shared" si="9"/>
        <v>1</v>
      </c>
      <c r="Q1739" s="200">
        <f t="shared" ref="Q1739:AC1739" si="8780">countif($D1739,"*"&amp;Q$2&amp;"*")</f>
        <v>0</v>
      </c>
      <c r="R1739" s="200">
        <f t="shared" si="8780"/>
        <v>0</v>
      </c>
      <c r="S1739" s="200">
        <f t="shared" si="8780"/>
        <v>0</v>
      </c>
      <c r="T1739" s="200">
        <f t="shared" si="8780"/>
        <v>0</v>
      </c>
      <c r="U1739" s="200">
        <f t="shared" si="8780"/>
        <v>0</v>
      </c>
      <c r="V1739" s="200">
        <f t="shared" si="8780"/>
        <v>0</v>
      </c>
      <c r="W1739" s="200">
        <f t="shared" si="8780"/>
        <v>0</v>
      </c>
      <c r="X1739" s="200">
        <f t="shared" si="8780"/>
        <v>0</v>
      </c>
      <c r="Y1739" s="200">
        <f t="shared" si="8780"/>
        <v>0</v>
      </c>
      <c r="Z1739" s="200">
        <f t="shared" si="8780"/>
        <v>0</v>
      </c>
      <c r="AA1739" s="200">
        <f t="shared" si="8780"/>
        <v>0</v>
      </c>
      <c r="AB1739" s="200">
        <f t="shared" si="8780"/>
        <v>0</v>
      </c>
      <c r="AC1739" s="200">
        <f t="shared" si="8780"/>
        <v>0</v>
      </c>
      <c r="AD1739" s="222">
        <f t="shared" si="11"/>
        <v>0</v>
      </c>
      <c r="AE1739" s="200">
        <f t="shared" ref="AE1739:AG1739" si="8781">countif($D1739,"*"&amp;AE$2&amp;"*")</f>
        <v>0</v>
      </c>
      <c r="AF1739" s="200">
        <f t="shared" si="8781"/>
        <v>0</v>
      </c>
      <c r="AG1739" s="200">
        <f t="shared" si="8781"/>
        <v>0</v>
      </c>
      <c r="AH1739" s="171">
        <f t="shared" si="13"/>
        <v>0</v>
      </c>
      <c r="AI1739" s="200">
        <f t="shared" si="14"/>
        <v>0</v>
      </c>
      <c r="AJ1739" s="200">
        <f t="shared" si="8701"/>
        <v>0</v>
      </c>
      <c r="AK1739" s="201">
        <f t="shared" ref="AK1739:AS1739" si="8782">countif($D1739,"*"&amp;AK$2&amp;"*")</f>
        <v>0</v>
      </c>
      <c r="AL1739" s="201">
        <f t="shared" si="8782"/>
        <v>0</v>
      </c>
      <c r="AM1739" s="201">
        <f t="shared" si="8782"/>
        <v>0</v>
      </c>
      <c r="AN1739" s="201">
        <f t="shared" si="8782"/>
        <v>0</v>
      </c>
      <c r="AO1739" s="201">
        <f t="shared" si="8782"/>
        <v>0</v>
      </c>
      <c r="AP1739" s="201">
        <f t="shared" si="8782"/>
        <v>0</v>
      </c>
      <c r="AQ1739" s="201">
        <f t="shared" si="8782"/>
        <v>0</v>
      </c>
      <c r="AR1739" s="222">
        <f t="shared" si="8782"/>
        <v>0</v>
      </c>
      <c r="AS1739" s="200">
        <f t="shared" si="8782"/>
        <v>0</v>
      </c>
      <c r="AT1739" s="223">
        <v>0.0</v>
      </c>
      <c r="AU1739" s="200">
        <f t="shared" ref="AU1739:AX1739" si="8783">countif($D1739,"*"&amp;AU$2&amp;"*")</f>
        <v>0</v>
      </c>
      <c r="AV1739" s="200">
        <f t="shared" si="8783"/>
        <v>1</v>
      </c>
      <c r="AW1739" s="200">
        <f t="shared" si="8783"/>
        <v>0</v>
      </c>
      <c r="AX1739" s="200">
        <f t="shared" si="8783"/>
        <v>0</v>
      </c>
      <c r="AY1739" s="202">
        <v>0.0</v>
      </c>
      <c r="AZ1739" s="200"/>
      <c r="BA1739" s="171" t="str">
        <f t="shared" si="18"/>
        <v/>
      </c>
      <c r="BB1739" s="171" t="str">
        <f t="shared" si="19"/>
        <v>Code</v>
      </c>
      <c r="BC1739" s="171" t="str">
        <f t="shared" si="20"/>
        <v/>
      </c>
      <c r="BD1739" s="171" t="str">
        <f t="shared" si="21"/>
        <v/>
      </c>
      <c r="BE1739" s="171" t="str">
        <f t="shared" si="22"/>
        <v/>
      </c>
      <c r="BF1739" s="171" t="str">
        <f t="shared" si="23"/>
        <v>Code</v>
      </c>
    </row>
    <row r="1740">
      <c r="A1740" s="171">
        <f t="array" ref="A1740">XLOOKUP(C1740,FSE!A:A,FSE!C:C,"XXXXX",0,1)</f>
        <v>2020</v>
      </c>
      <c r="B1740" s="213" t="s">
        <v>5676</v>
      </c>
      <c r="C1740" s="214">
        <v>414.0</v>
      </c>
      <c r="D1740" s="215" t="s">
        <v>6410</v>
      </c>
      <c r="E1740" s="197" t="str">
        <f t="array" ref="E1740">XLOOKUP(C1740,FSE!A:A,FSE!Z:Z,"XXXXX",0,1)</f>
        <v>Publicly Available (2)</v>
      </c>
      <c r="F1740" s="213" t="s">
        <v>3394</v>
      </c>
      <c r="G1740" s="163" t="str">
        <f t="array" ref="G1740">IF(B1740="ICSE",IF(COUNTIFS(B:B,B1740,C:C,C1740)=XLOOKUP(C1740,ICSE!A:A,ICSE!AA:AA,"ERROR",0,1),"OK","ERROR"),IF(B1740="FSE",IF(COUNTIFS(B:B,B1740,C:C,C1740)=XLOOKUP(C1740,FSE!A:A,FSE!AA:AA,"ERROR",0,1),"OK","ERROR")))</f>
        <v>OK</v>
      </c>
      <c r="H1740" s="199">
        <f t="shared" ref="H1740:O1740" si="8784">countif($D1740,"*"&amp;H$2&amp;"*")</f>
        <v>0</v>
      </c>
      <c r="I1740" s="200">
        <f t="shared" si="8784"/>
        <v>0</v>
      </c>
      <c r="J1740" s="200">
        <f t="shared" si="8784"/>
        <v>0</v>
      </c>
      <c r="K1740" s="200">
        <f t="shared" si="8784"/>
        <v>0</v>
      </c>
      <c r="L1740" s="200">
        <f t="shared" si="8784"/>
        <v>0</v>
      </c>
      <c r="M1740" s="200">
        <f t="shared" si="8784"/>
        <v>0</v>
      </c>
      <c r="N1740" s="200">
        <f t="shared" si="8784"/>
        <v>0</v>
      </c>
      <c r="O1740" s="200">
        <f t="shared" si="8784"/>
        <v>0</v>
      </c>
      <c r="P1740" s="200">
        <f t="shared" si="9"/>
        <v>1</v>
      </c>
      <c r="Q1740" s="200">
        <f t="shared" ref="Q1740:AC1740" si="8785">countif($D1740,"*"&amp;Q$2&amp;"*")</f>
        <v>0</v>
      </c>
      <c r="R1740" s="200">
        <f t="shared" si="8785"/>
        <v>0</v>
      </c>
      <c r="S1740" s="200">
        <f t="shared" si="8785"/>
        <v>0</v>
      </c>
      <c r="T1740" s="200">
        <f t="shared" si="8785"/>
        <v>0</v>
      </c>
      <c r="U1740" s="200">
        <f t="shared" si="8785"/>
        <v>0</v>
      </c>
      <c r="V1740" s="200">
        <f t="shared" si="8785"/>
        <v>0</v>
      </c>
      <c r="W1740" s="200">
        <f t="shared" si="8785"/>
        <v>0</v>
      </c>
      <c r="X1740" s="200">
        <f t="shared" si="8785"/>
        <v>0</v>
      </c>
      <c r="Y1740" s="200">
        <f t="shared" si="8785"/>
        <v>0</v>
      </c>
      <c r="Z1740" s="200">
        <f t="shared" si="8785"/>
        <v>0</v>
      </c>
      <c r="AA1740" s="200">
        <f t="shared" si="8785"/>
        <v>0</v>
      </c>
      <c r="AB1740" s="200">
        <f t="shared" si="8785"/>
        <v>0</v>
      </c>
      <c r="AC1740" s="200">
        <f t="shared" si="8785"/>
        <v>0</v>
      </c>
      <c r="AD1740" s="200">
        <f t="shared" si="11"/>
        <v>0</v>
      </c>
      <c r="AE1740" s="200">
        <f t="shared" ref="AE1740:AG1740" si="8786">countif($D1740,"*"&amp;AE$2&amp;"*")</f>
        <v>0</v>
      </c>
      <c r="AF1740" s="200">
        <f t="shared" si="8786"/>
        <v>0</v>
      </c>
      <c r="AG1740" s="200">
        <f t="shared" si="8786"/>
        <v>0</v>
      </c>
      <c r="AH1740" s="171">
        <f t="shared" si="13"/>
        <v>0</v>
      </c>
      <c r="AI1740" s="200">
        <f t="shared" si="14"/>
        <v>0</v>
      </c>
      <c r="AJ1740" s="200">
        <f t="shared" si="8701"/>
        <v>0</v>
      </c>
      <c r="AK1740" s="201">
        <f t="shared" ref="AK1740:AS1740" si="8787">countif($D1740,"*"&amp;AK$2&amp;"*")</f>
        <v>0</v>
      </c>
      <c r="AL1740" s="201">
        <f t="shared" si="8787"/>
        <v>0</v>
      </c>
      <c r="AM1740" s="201">
        <f t="shared" si="8787"/>
        <v>0</v>
      </c>
      <c r="AN1740" s="201">
        <f t="shared" si="8787"/>
        <v>0</v>
      </c>
      <c r="AO1740" s="201">
        <f t="shared" si="8787"/>
        <v>0</v>
      </c>
      <c r="AP1740" s="201">
        <f t="shared" si="8787"/>
        <v>0</v>
      </c>
      <c r="AQ1740" s="201">
        <f t="shared" si="8787"/>
        <v>0</v>
      </c>
      <c r="AR1740" s="200">
        <f t="shared" si="8787"/>
        <v>0</v>
      </c>
      <c r="AS1740" s="200">
        <f t="shared" si="8787"/>
        <v>0</v>
      </c>
      <c r="AT1740" s="173">
        <v>0.0</v>
      </c>
      <c r="AU1740" s="200">
        <f t="shared" ref="AU1740:AX1740" si="8788">countif($D1740,"*"&amp;AU$2&amp;"*")</f>
        <v>0</v>
      </c>
      <c r="AV1740" s="200">
        <f t="shared" si="8788"/>
        <v>1</v>
      </c>
      <c r="AW1740" s="200">
        <f t="shared" si="8788"/>
        <v>0</v>
      </c>
      <c r="AX1740" s="200">
        <f t="shared" si="8788"/>
        <v>0</v>
      </c>
      <c r="AY1740" s="202">
        <v>0.0</v>
      </c>
      <c r="AZ1740" s="200"/>
      <c r="BA1740" s="171" t="str">
        <f t="shared" si="18"/>
        <v/>
      </c>
      <c r="BB1740" s="171" t="str">
        <f t="shared" si="19"/>
        <v>Code</v>
      </c>
      <c r="BC1740" s="171" t="str">
        <f t="shared" si="20"/>
        <v/>
      </c>
      <c r="BD1740" s="171" t="str">
        <f t="shared" si="21"/>
        <v/>
      </c>
      <c r="BE1740" s="171" t="str">
        <f t="shared" si="22"/>
        <v/>
      </c>
      <c r="BF1740" s="171" t="str">
        <f t="shared" si="23"/>
        <v>Code</v>
      </c>
    </row>
    <row r="1741">
      <c r="A1741" s="213">
        <f t="array" ref="A1741">XLOOKUP(C1741,FSE!A:A,FSE!C:C,"XXXXX",0,1)</f>
        <v>2020</v>
      </c>
      <c r="B1741" s="213" t="s">
        <v>5676</v>
      </c>
      <c r="C1741" s="220">
        <v>414.0</v>
      </c>
      <c r="D1741" s="217" t="s">
        <v>6411</v>
      </c>
      <c r="E1741" s="221" t="str">
        <f t="array" ref="E1741">XLOOKUP(C1741,FSE!A:A,FSE!Z:Z,"XXXXX",0,1)</f>
        <v>Publicly Available (2)</v>
      </c>
      <c r="F1741" s="213" t="s">
        <v>3394</v>
      </c>
      <c r="G1741" s="163" t="str">
        <f t="array" ref="G1741">IF(B1741="ICSE",IF(COUNTIFS(B:B,B1741,C:C,C1741)=XLOOKUP(C1741,ICSE!A:A,ICSE!AA:AA,"ERROR",0,1),"OK","ERROR"),IF(B1741="FSE",IF(COUNTIFS(B:B,B1741,C:C,C1741)=XLOOKUP(C1741,FSE!A:A,FSE!AA:AA,"ERROR",0,1),"OK","ERROR")))</f>
        <v>OK</v>
      </c>
      <c r="H1741" s="199">
        <f t="shared" ref="H1741:O1741" si="8789">countif($D1741,"*"&amp;H$2&amp;"*")</f>
        <v>0</v>
      </c>
      <c r="I1741" s="200">
        <f t="shared" si="8789"/>
        <v>0</v>
      </c>
      <c r="J1741" s="200">
        <f t="shared" si="8789"/>
        <v>0</v>
      </c>
      <c r="K1741" s="200">
        <f t="shared" si="8789"/>
        <v>0</v>
      </c>
      <c r="L1741" s="200">
        <f t="shared" si="8789"/>
        <v>0</v>
      </c>
      <c r="M1741" s="200">
        <f t="shared" si="8789"/>
        <v>0</v>
      </c>
      <c r="N1741" s="200">
        <f t="shared" si="8789"/>
        <v>0</v>
      </c>
      <c r="O1741" s="200">
        <f t="shared" si="8789"/>
        <v>0</v>
      </c>
      <c r="P1741" s="200">
        <f t="shared" si="9"/>
        <v>0</v>
      </c>
      <c r="Q1741" s="200">
        <f t="shared" ref="Q1741:AC1741" si="8790">countif($D1741,"*"&amp;Q$2&amp;"*")</f>
        <v>0</v>
      </c>
      <c r="R1741" s="200">
        <f t="shared" si="8790"/>
        <v>0</v>
      </c>
      <c r="S1741" s="200">
        <f t="shared" si="8790"/>
        <v>0</v>
      </c>
      <c r="T1741" s="200">
        <f t="shared" si="8790"/>
        <v>0</v>
      </c>
      <c r="U1741" s="200">
        <f t="shared" si="8790"/>
        <v>0</v>
      </c>
      <c r="V1741" s="200">
        <f t="shared" si="8790"/>
        <v>0</v>
      </c>
      <c r="W1741" s="200">
        <f t="shared" si="8790"/>
        <v>0</v>
      </c>
      <c r="X1741" s="200">
        <f t="shared" si="8790"/>
        <v>0</v>
      </c>
      <c r="Y1741" s="200">
        <f t="shared" si="8790"/>
        <v>0</v>
      </c>
      <c r="Z1741" s="200">
        <f t="shared" si="8790"/>
        <v>0</v>
      </c>
      <c r="AA1741" s="200">
        <f t="shared" si="8790"/>
        <v>0</v>
      </c>
      <c r="AB1741" s="200">
        <f t="shared" si="8790"/>
        <v>0</v>
      </c>
      <c r="AC1741" s="200">
        <f t="shared" si="8790"/>
        <v>0</v>
      </c>
      <c r="AD1741" s="222">
        <f t="shared" si="11"/>
        <v>0</v>
      </c>
      <c r="AE1741" s="200">
        <f t="shared" ref="AE1741:AG1741" si="8791">countif($D1741,"*"&amp;AE$2&amp;"*")</f>
        <v>0</v>
      </c>
      <c r="AF1741" s="200">
        <f t="shared" si="8791"/>
        <v>0</v>
      </c>
      <c r="AG1741" s="200">
        <f t="shared" si="8791"/>
        <v>0</v>
      </c>
      <c r="AH1741" s="171">
        <f t="shared" si="13"/>
        <v>1</v>
      </c>
      <c r="AI1741" s="200">
        <f t="shared" si="14"/>
        <v>0</v>
      </c>
      <c r="AJ1741" s="200">
        <f t="shared" si="8701"/>
        <v>0</v>
      </c>
      <c r="AK1741" s="201">
        <f t="shared" ref="AK1741:AS1741" si="8792">countif($D1741,"*"&amp;AK$2&amp;"*")</f>
        <v>0</v>
      </c>
      <c r="AL1741" s="201">
        <f t="shared" si="8792"/>
        <v>0</v>
      </c>
      <c r="AM1741" s="201">
        <f t="shared" si="8792"/>
        <v>0</v>
      </c>
      <c r="AN1741" s="201">
        <f t="shared" si="8792"/>
        <v>0</v>
      </c>
      <c r="AO1741" s="201">
        <f t="shared" si="8792"/>
        <v>0</v>
      </c>
      <c r="AP1741" s="201">
        <f t="shared" si="8792"/>
        <v>0</v>
      </c>
      <c r="AQ1741" s="201">
        <f t="shared" si="8792"/>
        <v>0</v>
      </c>
      <c r="AR1741" s="222">
        <f t="shared" si="8792"/>
        <v>0</v>
      </c>
      <c r="AS1741" s="200">
        <f t="shared" si="8792"/>
        <v>0</v>
      </c>
      <c r="AT1741" s="223">
        <v>0.0</v>
      </c>
      <c r="AU1741" s="200">
        <f t="shared" ref="AU1741:AX1741" si="8793">countif($D1741,"*"&amp;AU$2&amp;"*")</f>
        <v>0</v>
      </c>
      <c r="AV1741" s="200">
        <f t="shared" si="8793"/>
        <v>0</v>
      </c>
      <c r="AW1741" s="200">
        <f t="shared" si="8793"/>
        <v>0</v>
      </c>
      <c r="AX1741" s="200">
        <f t="shared" si="8793"/>
        <v>0</v>
      </c>
      <c r="AY1741" s="202">
        <v>0.0</v>
      </c>
      <c r="AZ1741" s="200"/>
      <c r="BA1741" s="171" t="str">
        <f t="shared" si="18"/>
        <v/>
      </c>
      <c r="BB1741" s="171" t="str">
        <f t="shared" si="19"/>
        <v/>
      </c>
      <c r="BC1741" s="171" t="str">
        <f t="shared" si="20"/>
        <v/>
      </c>
      <c r="BD1741" s="171" t="str">
        <f t="shared" si="21"/>
        <v/>
      </c>
      <c r="BE1741" s="171" t="str">
        <f t="shared" si="22"/>
        <v>Others</v>
      </c>
      <c r="BF1741" s="171" t="str">
        <f t="shared" si="23"/>
        <v>Others</v>
      </c>
    </row>
    <row r="1742">
      <c r="A1742" s="171">
        <f t="array" ref="A1742">XLOOKUP(C1742,FSE!A:A,FSE!C:C,"XXXXX",0,1)</f>
        <v>2020</v>
      </c>
      <c r="B1742" s="213" t="s">
        <v>5676</v>
      </c>
      <c r="C1742" s="214">
        <v>415.0</v>
      </c>
      <c r="D1742" s="215" t="s">
        <v>6412</v>
      </c>
      <c r="E1742" s="197" t="str">
        <f t="array" ref="E1742">XLOOKUP(C1742,FSE!A:A,FSE!Z:Z,"XXXXX",0,1)</f>
        <v>Publicly Available (3)</v>
      </c>
      <c r="F1742" s="213" t="s">
        <v>3394</v>
      </c>
      <c r="G1742" s="163" t="str">
        <f t="array" ref="G1742">IF(B1742="ICSE",IF(COUNTIFS(B:B,B1742,C:C,C1742)=XLOOKUP(C1742,ICSE!A:A,ICSE!AA:AA,"ERROR",0,1),"OK","ERROR"),IF(B1742="FSE",IF(COUNTIFS(B:B,B1742,C:C,C1742)=XLOOKUP(C1742,FSE!A:A,FSE!AA:AA,"ERROR",0,1),"OK","ERROR")))</f>
        <v>OK</v>
      </c>
      <c r="H1742" s="199">
        <f t="shared" ref="H1742:O1742" si="8794">countif($D1742,"*"&amp;H$2&amp;"*")</f>
        <v>1</v>
      </c>
      <c r="I1742" s="200">
        <f t="shared" si="8794"/>
        <v>0</v>
      </c>
      <c r="J1742" s="200">
        <f t="shared" si="8794"/>
        <v>0</v>
      </c>
      <c r="K1742" s="200">
        <f t="shared" si="8794"/>
        <v>0</v>
      </c>
      <c r="L1742" s="200">
        <f t="shared" si="8794"/>
        <v>0</v>
      </c>
      <c r="M1742" s="200">
        <f t="shared" si="8794"/>
        <v>0</v>
      </c>
      <c r="N1742" s="200">
        <f t="shared" si="8794"/>
        <v>0</v>
      </c>
      <c r="O1742" s="200">
        <f t="shared" si="8794"/>
        <v>0</v>
      </c>
      <c r="P1742" s="200">
        <f t="shared" si="9"/>
        <v>0</v>
      </c>
      <c r="Q1742" s="200">
        <f t="shared" ref="Q1742:AC1742" si="8795">countif($D1742,"*"&amp;Q$2&amp;"*")</f>
        <v>0</v>
      </c>
      <c r="R1742" s="200">
        <f t="shared" si="8795"/>
        <v>0</v>
      </c>
      <c r="S1742" s="200">
        <f t="shared" si="8795"/>
        <v>0</v>
      </c>
      <c r="T1742" s="200">
        <f t="shared" si="8795"/>
        <v>0</v>
      </c>
      <c r="U1742" s="200">
        <f t="shared" si="8795"/>
        <v>0</v>
      </c>
      <c r="V1742" s="200">
        <f t="shared" si="8795"/>
        <v>0</v>
      </c>
      <c r="W1742" s="200">
        <f t="shared" si="8795"/>
        <v>0</v>
      </c>
      <c r="X1742" s="200">
        <f t="shared" si="8795"/>
        <v>0</v>
      </c>
      <c r="Y1742" s="200">
        <f t="shared" si="8795"/>
        <v>0</v>
      </c>
      <c r="Z1742" s="200">
        <f t="shared" si="8795"/>
        <v>0</v>
      </c>
      <c r="AA1742" s="200">
        <f t="shared" si="8795"/>
        <v>0</v>
      </c>
      <c r="AB1742" s="200">
        <f t="shared" si="8795"/>
        <v>0</v>
      </c>
      <c r="AC1742" s="200">
        <f t="shared" si="8795"/>
        <v>0</v>
      </c>
      <c r="AD1742" s="200">
        <f t="shared" si="11"/>
        <v>0</v>
      </c>
      <c r="AE1742" s="200">
        <f t="shared" ref="AE1742:AG1742" si="8796">countif($D1742,"*"&amp;AE$2&amp;"*")</f>
        <v>0</v>
      </c>
      <c r="AF1742" s="200">
        <f t="shared" si="8796"/>
        <v>0</v>
      </c>
      <c r="AG1742" s="200">
        <f t="shared" si="8796"/>
        <v>0</v>
      </c>
      <c r="AH1742" s="171">
        <f t="shared" si="13"/>
        <v>0</v>
      </c>
      <c r="AI1742" s="200">
        <f t="shared" si="14"/>
        <v>1</v>
      </c>
      <c r="AJ1742" s="200">
        <f t="shared" si="8701"/>
        <v>0</v>
      </c>
      <c r="AK1742" s="201">
        <f t="shared" ref="AK1742:AS1742" si="8797">countif($D1742,"*"&amp;AK$2&amp;"*")</f>
        <v>0</v>
      </c>
      <c r="AL1742" s="201">
        <f t="shared" si="8797"/>
        <v>0</v>
      </c>
      <c r="AM1742" s="201">
        <f t="shared" si="8797"/>
        <v>0</v>
      </c>
      <c r="AN1742" s="201">
        <f t="shared" si="8797"/>
        <v>0</v>
      </c>
      <c r="AO1742" s="201">
        <f t="shared" si="8797"/>
        <v>0</v>
      </c>
      <c r="AP1742" s="201">
        <f t="shared" si="8797"/>
        <v>0</v>
      </c>
      <c r="AQ1742" s="201">
        <f t="shared" si="8797"/>
        <v>0</v>
      </c>
      <c r="AR1742" s="200">
        <f t="shared" si="8797"/>
        <v>0</v>
      </c>
      <c r="AS1742" s="200">
        <f t="shared" si="8797"/>
        <v>0</v>
      </c>
      <c r="AT1742" s="173">
        <v>0.0</v>
      </c>
      <c r="AU1742" s="200">
        <f t="shared" ref="AU1742:AX1742" si="8798">countif($D1742,"*"&amp;AU$2&amp;"*")</f>
        <v>0</v>
      </c>
      <c r="AV1742" s="200">
        <f t="shared" si="8798"/>
        <v>0</v>
      </c>
      <c r="AW1742" s="200">
        <f t="shared" si="8798"/>
        <v>0</v>
      </c>
      <c r="AX1742" s="200">
        <f t="shared" si="8798"/>
        <v>1</v>
      </c>
      <c r="AY1742" s="202">
        <v>0.0</v>
      </c>
      <c r="AZ1742" s="200"/>
      <c r="BA1742" s="171" t="str">
        <f t="shared" si="18"/>
        <v>Archival</v>
      </c>
      <c r="BB1742" s="171" t="str">
        <f t="shared" si="19"/>
        <v/>
      </c>
      <c r="BC1742" s="171" t="str">
        <f t="shared" si="20"/>
        <v/>
      </c>
      <c r="BD1742" s="171" t="str">
        <f t="shared" si="21"/>
        <v/>
      </c>
      <c r="BE1742" s="171" t="str">
        <f t="shared" si="22"/>
        <v/>
      </c>
      <c r="BF1742" s="171" t="str">
        <f t="shared" si="23"/>
        <v>Archival</v>
      </c>
    </row>
    <row r="1743">
      <c r="A1743" s="213">
        <f t="array" ref="A1743">XLOOKUP(C1743,FSE!A:A,FSE!C:C,"XXXXX",0,1)</f>
        <v>2020</v>
      </c>
      <c r="B1743" s="213" t="s">
        <v>5676</v>
      </c>
      <c r="C1743" s="220">
        <v>415.0</v>
      </c>
      <c r="D1743" s="217" t="s">
        <v>6413</v>
      </c>
      <c r="E1743" s="221" t="str">
        <f t="array" ref="E1743">XLOOKUP(C1743,FSE!A:A,FSE!Z:Z,"XXXXX",0,1)</f>
        <v>Publicly Available (3)</v>
      </c>
      <c r="F1743" s="213" t="s">
        <v>3394</v>
      </c>
      <c r="G1743" s="163" t="str">
        <f t="array" ref="G1743">IF(B1743="ICSE",IF(COUNTIFS(B:B,B1743,C:C,C1743)=XLOOKUP(C1743,ICSE!A:A,ICSE!AA:AA,"ERROR",0,1),"OK","ERROR"),IF(B1743="FSE",IF(COUNTIFS(B:B,B1743,C:C,C1743)=XLOOKUP(C1743,FSE!A:A,FSE!AA:AA,"ERROR",0,1),"OK","ERROR")))</f>
        <v>OK</v>
      </c>
      <c r="H1743" s="199">
        <f t="shared" ref="H1743:O1743" si="8799">countif($D1743,"*"&amp;H$2&amp;"*")</f>
        <v>0</v>
      </c>
      <c r="I1743" s="200">
        <f t="shared" si="8799"/>
        <v>0</v>
      </c>
      <c r="J1743" s="200">
        <f t="shared" si="8799"/>
        <v>0</v>
      </c>
      <c r="K1743" s="200">
        <f t="shared" si="8799"/>
        <v>0</v>
      </c>
      <c r="L1743" s="200">
        <f t="shared" si="8799"/>
        <v>0</v>
      </c>
      <c r="M1743" s="200">
        <f t="shared" si="8799"/>
        <v>0</v>
      </c>
      <c r="N1743" s="200">
        <f t="shared" si="8799"/>
        <v>0</v>
      </c>
      <c r="O1743" s="200">
        <f t="shared" si="8799"/>
        <v>0</v>
      </c>
      <c r="P1743" s="200">
        <f t="shared" si="9"/>
        <v>1</v>
      </c>
      <c r="Q1743" s="200">
        <f t="shared" ref="Q1743:AC1743" si="8800">countif($D1743,"*"&amp;Q$2&amp;"*")</f>
        <v>0</v>
      </c>
      <c r="R1743" s="200">
        <f t="shared" si="8800"/>
        <v>0</v>
      </c>
      <c r="S1743" s="200">
        <f t="shared" si="8800"/>
        <v>0</v>
      </c>
      <c r="T1743" s="200">
        <f t="shared" si="8800"/>
        <v>0</v>
      </c>
      <c r="U1743" s="200">
        <f t="shared" si="8800"/>
        <v>0</v>
      </c>
      <c r="V1743" s="200">
        <f t="shared" si="8800"/>
        <v>0</v>
      </c>
      <c r="W1743" s="200">
        <f t="shared" si="8800"/>
        <v>0</v>
      </c>
      <c r="X1743" s="200">
        <f t="shared" si="8800"/>
        <v>0</v>
      </c>
      <c r="Y1743" s="200">
        <f t="shared" si="8800"/>
        <v>0</v>
      </c>
      <c r="Z1743" s="200">
        <f t="shared" si="8800"/>
        <v>0</v>
      </c>
      <c r="AA1743" s="200">
        <f t="shared" si="8800"/>
        <v>0</v>
      </c>
      <c r="AB1743" s="200">
        <f t="shared" si="8800"/>
        <v>0</v>
      </c>
      <c r="AC1743" s="200">
        <f t="shared" si="8800"/>
        <v>0</v>
      </c>
      <c r="AD1743" s="222">
        <f t="shared" si="11"/>
        <v>0</v>
      </c>
      <c r="AE1743" s="200">
        <f t="shared" ref="AE1743:AG1743" si="8801">countif($D1743,"*"&amp;AE$2&amp;"*")</f>
        <v>0</v>
      </c>
      <c r="AF1743" s="200">
        <f t="shared" si="8801"/>
        <v>0</v>
      </c>
      <c r="AG1743" s="200">
        <f t="shared" si="8801"/>
        <v>0</v>
      </c>
      <c r="AH1743" s="171">
        <f t="shared" si="13"/>
        <v>0</v>
      </c>
      <c r="AI1743" s="200">
        <f t="shared" si="14"/>
        <v>0</v>
      </c>
      <c r="AJ1743" s="200">
        <f t="shared" si="8701"/>
        <v>0</v>
      </c>
      <c r="AK1743" s="201">
        <f t="shared" ref="AK1743:AS1743" si="8802">countif($D1743,"*"&amp;AK$2&amp;"*")</f>
        <v>0</v>
      </c>
      <c r="AL1743" s="201">
        <f t="shared" si="8802"/>
        <v>0</v>
      </c>
      <c r="AM1743" s="201">
        <f t="shared" si="8802"/>
        <v>0</v>
      </c>
      <c r="AN1743" s="201">
        <f t="shared" si="8802"/>
        <v>0</v>
      </c>
      <c r="AO1743" s="201">
        <f t="shared" si="8802"/>
        <v>0</v>
      </c>
      <c r="AP1743" s="201">
        <f t="shared" si="8802"/>
        <v>0</v>
      </c>
      <c r="AQ1743" s="201">
        <f t="shared" si="8802"/>
        <v>0</v>
      </c>
      <c r="AR1743" s="222">
        <f t="shared" si="8802"/>
        <v>0</v>
      </c>
      <c r="AS1743" s="200">
        <f t="shared" si="8802"/>
        <v>0</v>
      </c>
      <c r="AT1743" s="223">
        <v>0.0</v>
      </c>
      <c r="AU1743" s="200">
        <f t="shared" ref="AU1743:AX1743" si="8803">countif($D1743,"*"&amp;AU$2&amp;"*")</f>
        <v>0</v>
      </c>
      <c r="AV1743" s="200">
        <f t="shared" si="8803"/>
        <v>1</v>
      </c>
      <c r="AW1743" s="200">
        <f t="shared" si="8803"/>
        <v>0</v>
      </c>
      <c r="AX1743" s="200">
        <f t="shared" si="8803"/>
        <v>0</v>
      </c>
      <c r="AY1743" s="202">
        <v>0.0</v>
      </c>
      <c r="AZ1743" s="200"/>
      <c r="BA1743" s="171" t="str">
        <f t="shared" si="18"/>
        <v/>
      </c>
      <c r="BB1743" s="171" t="str">
        <f t="shared" si="19"/>
        <v>Code</v>
      </c>
      <c r="BC1743" s="171" t="str">
        <f t="shared" si="20"/>
        <v/>
      </c>
      <c r="BD1743" s="171" t="str">
        <f t="shared" si="21"/>
        <v/>
      </c>
      <c r="BE1743" s="171" t="str">
        <f t="shared" si="22"/>
        <v/>
      </c>
      <c r="BF1743" s="171" t="str">
        <f t="shared" si="23"/>
        <v>Code</v>
      </c>
    </row>
    <row r="1744">
      <c r="A1744" s="213">
        <f t="array" ref="A1744">XLOOKUP(C1744,FSE!A:A,FSE!C:C,"XXXXX",0,1)</f>
        <v>2020</v>
      </c>
      <c r="B1744" s="213" t="s">
        <v>5676</v>
      </c>
      <c r="C1744" s="220">
        <v>415.0</v>
      </c>
      <c r="D1744" s="217" t="s">
        <v>6414</v>
      </c>
      <c r="E1744" s="221" t="str">
        <f t="array" ref="E1744">XLOOKUP(C1744,FSE!A:A,FSE!Z:Z,"XXXXX",0,1)</f>
        <v>Publicly Available (3)</v>
      </c>
      <c r="F1744" s="213" t="s">
        <v>3394</v>
      </c>
      <c r="G1744" s="163" t="str">
        <f t="array" ref="G1744">IF(B1744="ICSE",IF(COUNTIFS(B:B,B1744,C:C,C1744)=XLOOKUP(C1744,ICSE!A:A,ICSE!AA:AA,"ERROR",0,1),"OK","ERROR"),IF(B1744="FSE",IF(COUNTIFS(B:B,B1744,C:C,C1744)=XLOOKUP(C1744,FSE!A:A,FSE!AA:AA,"ERROR",0,1),"OK","ERROR")))</f>
        <v>OK</v>
      </c>
      <c r="H1744" s="199">
        <f t="shared" ref="H1744:O1744" si="8804">countif($D1744,"*"&amp;H$2&amp;"*")</f>
        <v>1</v>
      </c>
      <c r="I1744" s="200">
        <f t="shared" si="8804"/>
        <v>0</v>
      </c>
      <c r="J1744" s="200">
        <f t="shared" si="8804"/>
        <v>0</v>
      </c>
      <c r="K1744" s="200">
        <f t="shared" si="8804"/>
        <v>0</v>
      </c>
      <c r="L1744" s="200">
        <f t="shared" si="8804"/>
        <v>0</v>
      </c>
      <c r="M1744" s="200">
        <f t="shared" si="8804"/>
        <v>0</v>
      </c>
      <c r="N1744" s="200">
        <f t="shared" si="8804"/>
        <v>0</v>
      </c>
      <c r="O1744" s="200">
        <f t="shared" si="8804"/>
        <v>0</v>
      </c>
      <c r="P1744" s="200">
        <f t="shared" si="9"/>
        <v>0</v>
      </c>
      <c r="Q1744" s="200">
        <f t="shared" ref="Q1744:AC1744" si="8805">countif($D1744,"*"&amp;Q$2&amp;"*")</f>
        <v>0</v>
      </c>
      <c r="R1744" s="200">
        <f t="shared" si="8805"/>
        <v>0</v>
      </c>
      <c r="S1744" s="200">
        <f t="shared" si="8805"/>
        <v>0</v>
      </c>
      <c r="T1744" s="200">
        <f t="shared" si="8805"/>
        <v>0</v>
      </c>
      <c r="U1744" s="200">
        <f t="shared" si="8805"/>
        <v>0</v>
      </c>
      <c r="V1744" s="200">
        <f t="shared" si="8805"/>
        <v>0</v>
      </c>
      <c r="W1744" s="200">
        <f t="shared" si="8805"/>
        <v>0</v>
      </c>
      <c r="X1744" s="200">
        <f t="shared" si="8805"/>
        <v>0</v>
      </c>
      <c r="Y1744" s="200">
        <f t="shared" si="8805"/>
        <v>0</v>
      </c>
      <c r="Z1744" s="200">
        <f t="shared" si="8805"/>
        <v>0</v>
      </c>
      <c r="AA1744" s="200">
        <f t="shared" si="8805"/>
        <v>0</v>
      </c>
      <c r="AB1744" s="200">
        <f t="shared" si="8805"/>
        <v>0</v>
      </c>
      <c r="AC1744" s="200">
        <f t="shared" si="8805"/>
        <v>0</v>
      </c>
      <c r="AD1744" s="222">
        <f t="shared" si="11"/>
        <v>0</v>
      </c>
      <c r="AE1744" s="200">
        <f t="shared" ref="AE1744:AG1744" si="8806">countif($D1744,"*"&amp;AE$2&amp;"*")</f>
        <v>0</v>
      </c>
      <c r="AF1744" s="200">
        <f t="shared" si="8806"/>
        <v>0</v>
      </c>
      <c r="AG1744" s="200">
        <f t="shared" si="8806"/>
        <v>0</v>
      </c>
      <c r="AH1744" s="171">
        <f t="shared" si="13"/>
        <v>0</v>
      </c>
      <c r="AI1744" s="200">
        <f t="shared" si="14"/>
        <v>1</v>
      </c>
      <c r="AJ1744" s="200">
        <f t="shared" si="8701"/>
        <v>0</v>
      </c>
      <c r="AK1744" s="201">
        <f t="shared" ref="AK1744:AS1744" si="8807">countif($D1744,"*"&amp;AK$2&amp;"*")</f>
        <v>0</v>
      </c>
      <c r="AL1744" s="201">
        <f t="shared" si="8807"/>
        <v>0</v>
      </c>
      <c r="AM1744" s="201">
        <f t="shared" si="8807"/>
        <v>0</v>
      </c>
      <c r="AN1744" s="201">
        <f t="shared" si="8807"/>
        <v>0</v>
      </c>
      <c r="AO1744" s="201">
        <f t="shared" si="8807"/>
        <v>0</v>
      </c>
      <c r="AP1744" s="201">
        <f t="shared" si="8807"/>
        <v>0</v>
      </c>
      <c r="AQ1744" s="201">
        <f t="shared" si="8807"/>
        <v>0</v>
      </c>
      <c r="AR1744" s="222">
        <f t="shared" si="8807"/>
        <v>0</v>
      </c>
      <c r="AS1744" s="200">
        <f t="shared" si="8807"/>
        <v>0</v>
      </c>
      <c r="AT1744" s="223">
        <v>0.0</v>
      </c>
      <c r="AU1744" s="200">
        <f t="shared" ref="AU1744:AX1744" si="8808">countif($D1744,"*"&amp;AU$2&amp;"*")</f>
        <v>0</v>
      </c>
      <c r="AV1744" s="200">
        <f t="shared" si="8808"/>
        <v>0</v>
      </c>
      <c r="AW1744" s="200">
        <f t="shared" si="8808"/>
        <v>0</v>
      </c>
      <c r="AX1744" s="200">
        <f t="shared" si="8808"/>
        <v>1</v>
      </c>
      <c r="AY1744" s="202">
        <v>0.0</v>
      </c>
      <c r="AZ1744" s="200"/>
      <c r="BA1744" s="171" t="str">
        <f t="shared" si="18"/>
        <v>Archival</v>
      </c>
      <c r="BB1744" s="171" t="str">
        <f t="shared" si="19"/>
        <v/>
      </c>
      <c r="BC1744" s="171" t="str">
        <f t="shared" si="20"/>
        <v/>
      </c>
      <c r="BD1744" s="171" t="str">
        <f t="shared" si="21"/>
        <v/>
      </c>
      <c r="BE1744" s="171" t="str">
        <f t="shared" si="22"/>
        <v/>
      </c>
      <c r="BF1744" s="171" t="str">
        <f t="shared" si="23"/>
        <v>Archival</v>
      </c>
    </row>
    <row r="1745">
      <c r="A1745" s="171">
        <f t="array" ref="A1745">XLOOKUP(C1745,FSE!A:A,FSE!C:C,"XXXXX",0,1)</f>
        <v>2020</v>
      </c>
      <c r="B1745" s="213" t="s">
        <v>5676</v>
      </c>
      <c r="C1745" s="214">
        <v>416.0</v>
      </c>
      <c r="D1745" s="217" t="s">
        <v>6415</v>
      </c>
      <c r="E1745" s="197" t="str">
        <f t="array" ref="E1745">XLOOKUP(C1745,FSE!A:A,FSE!Z:Z,"XXXXX",0,1)</f>
        <v>Publicly Available (1)</v>
      </c>
      <c r="F1745" s="213" t="s">
        <v>3394</v>
      </c>
      <c r="G1745" s="163" t="str">
        <f t="array" ref="G1745">IF(B1745="ICSE",IF(COUNTIFS(B:B,B1745,C:C,C1745)=XLOOKUP(C1745,ICSE!A:A,ICSE!AA:AA,"ERROR",0,1),"OK","ERROR"),IF(B1745="FSE",IF(COUNTIFS(B:B,B1745,C:C,C1745)=XLOOKUP(C1745,FSE!A:A,FSE!AA:AA,"ERROR",0,1),"OK","ERROR")))</f>
        <v>OK</v>
      </c>
      <c r="H1745" s="199">
        <f t="shared" ref="H1745:O1745" si="8809">countif($D1745,"*"&amp;H$2&amp;"*")</f>
        <v>0</v>
      </c>
      <c r="I1745" s="200">
        <f t="shared" si="8809"/>
        <v>0</v>
      </c>
      <c r="J1745" s="200">
        <f t="shared" si="8809"/>
        <v>0</v>
      </c>
      <c r="K1745" s="200">
        <f t="shared" si="8809"/>
        <v>0</v>
      </c>
      <c r="L1745" s="200">
        <f t="shared" si="8809"/>
        <v>0</v>
      </c>
      <c r="M1745" s="200">
        <f t="shared" si="8809"/>
        <v>0</v>
      </c>
      <c r="N1745" s="200">
        <f t="shared" si="8809"/>
        <v>0</v>
      </c>
      <c r="O1745" s="200">
        <f t="shared" si="8809"/>
        <v>0</v>
      </c>
      <c r="P1745" s="200">
        <f t="shared" si="9"/>
        <v>0</v>
      </c>
      <c r="Q1745" s="200">
        <f t="shared" ref="Q1745:AC1745" si="8810">countif($D1745,"*"&amp;Q$2&amp;"*")</f>
        <v>0</v>
      </c>
      <c r="R1745" s="200">
        <f t="shared" si="8810"/>
        <v>0</v>
      </c>
      <c r="S1745" s="200">
        <f t="shared" si="8810"/>
        <v>0</v>
      </c>
      <c r="T1745" s="200">
        <f t="shared" si="8810"/>
        <v>0</v>
      </c>
      <c r="U1745" s="200">
        <f t="shared" si="8810"/>
        <v>0</v>
      </c>
      <c r="V1745" s="200">
        <f t="shared" si="8810"/>
        <v>0</v>
      </c>
      <c r="W1745" s="200">
        <f t="shared" si="8810"/>
        <v>0</v>
      </c>
      <c r="X1745" s="200">
        <f t="shared" si="8810"/>
        <v>0</v>
      </c>
      <c r="Y1745" s="200">
        <f t="shared" si="8810"/>
        <v>0</v>
      </c>
      <c r="Z1745" s="200">
        <f t="shared" si="8810"/>
        <v>0</v>
      </c>
      <c r="AA1745" s="200">
        <f t="shared" si="8810"/>
        <v>0</v>
      </c>
      <c r="AB1745" s="200">
        <f t="shared" si="8810"/>
        <v>0</v>
      </c>
      <c r="AC1745" s="200">
        <f t="shared" si="8810"/>
        <v>0</v>
      </c>
      <c r="AD1745" s="200">
        <f t="shared" si="11"/>
        <v>1</v>
      </c>
      <c r="AE1745" s="200">
        <f t="shared" ref="AE1745:AG1745" si="8811">countif($D1745,"*"&amp;AE$2&amp;"*")</f>
        <v>0</v>
      </c>
      <c r="AF1745" s="200">
        <f t="shared" si="8811"/>
        <v>0</v>
      </c>
      <c r="AG1745" s="200">
        <f t="shared" si="8811"/>
        <v>0</v>
      </c>
      <c r="AH1745" s="171">
        <f t="shared" si="13"/>
        <v>0</v>
      </c>
      <c r="AI1745" s="200">
        <f t="shared" si="14"/>
        <v>1</v>
      </c>
      <c r="AJ1745" s="200">
        <f t="shared" si="8701"/>
        <v>0</v>
      </c>
      <c r="AK1745" s="201">
        <f t="shared" ref="AK1745:AS1745" si="8812">countif($D1745,"*"&amp;AK$2&amp;"*")</f>
        <v>0</v>
      </c>
      <c r="AL1745" s="201">
        <f t="shared" si="8812"/>
        <v>0</v>
      </c>
      <c r="AM1745" s="201">
        <f t="shared" si="8812"/>
        <v>0</v>
      </c>
      <c r="AN1745" s="201">
        <f t="shared" si="8812"/>
        <v>0</v>
      </c>
      <c r="AO1745" s="201">
        <f t="shared" si="8812"/>
        <v>0</v>
      </c>
      <c r="AP1745" s="201">
        <f t="shared" si="8812"/>
        <v>0</v>
      </c>
      <c r="AQ1745" s="201">
        <f t="shared" si="8812"/>
        <v>0</v>
      </c>
      <c r="AR1745" s="200">
        <f t="shared" si="8812"/>
        <v>0</v>
      </c>
      <c r="AS1745" s="200">
        <f t="shared" si="8812"/>
        <v>1</v>
      </c>
      <c r="AT1745" s="173">
        <v>1.0</v>
      </c>
      <c r="AU1745" s="200">
        <f t="shared" ref="AU1745:AX1745" si="8813">countif($D1745,"*"&amp;AU$2&amp;"*")</f>
        <v>0</v>
      </c>
      <c r="AV1745" s="200">
        <f t="shared" si="8813"/>
        <v>0</v>
      </c>
      <c r="AW1745" s="200">
        <f t="shared" si="8813"/>
        <v>0</v>
      </c>
      <c r="AX1745" s="200">
        <f t="shared" si="8813"/>
        <v>1</v>
      </c>
      <c r="AY1745" s="202">
        <v>0.0</v>
      </c>
      <c r="AZ1745" s="200"/>
      <c r="BA1745" s="171" t="str">
        <f t="shared" si="18"/>
        <v/>
      </c>
      <c r="BB1745" s="171" t="str">
        <f t="shared" si="19"/>
        <v/>
      </c>
      <c r="BC1745" s="171" t="str">
        <f t="shared" si="20"/>
        <v/>
      </c>
      <c r="BD1745" s="171" t="str">
        <f t="shared" si="21"/>
        <v>Institutional</v>
      </c>
      <c r="BE1745" s="171" t="str">
        <f t="shared" si="22"/>
        <v/>
      </c>
      <c r="BF1745" s="171" t="str">
        <f t="shared" si="23"/>
        <v>Institutional</v>
      </c>
    </row>
    <row r="1746">
      <c r="A1746" s="171">
        <f t="array" ref="A1746">XLOOKUP(C1746,FSE!A:A,FSE!C:C,"XXXXX",0,1)</f>
        <v>2020</v>
      </c>
      <c r="B1746" s="213" t="s">
        <v>5676</v>
      </c>
      <c r="C1746" s="214">
        <v>417.0</v>
      </c>
      <c r="D1746" s="215" t="s">
        <v>6416</v>
      </c>
      <c r="E1746" s="197" t="str">
        <f t="array" ref="E1746">XLOOKUP(C1746,FSE!A:A,FSE!Z:Z,"XXXXX",0,1)</f>
        <v>Publicly Available (2)</v>
      </c>
      <c r="F1746" s="213" t="s">
        <v>3394</v>
      </c>
      <c r="G1746" s="163" t="str">
        <f t="array" ref="G1746">IF(B1746="ICSE",IF(COUNTIFS(B:B,B1746,C:C,C1746)=XLOOKUP(C1746,ICSE!A:A,ICSE!AA:AA,"ERROR",0,1),"OK","ERROR"),IF(B1746="FSE",IF(COUNTIFS(B:B,B1746,C:C,C1746)=XLOOKUP(C1746,FSE!A:A,FSE!AA:AA,"ERROR",0,1),"OK","ERROR")))</f>
        <v>OK</v>
      </c>
      <c r="H1746" s="199">
        <f t="shared" ref="H1746:O1746" si="8814">countif($D1746,"*"&amp;H$2&amp;"*")</f>
        <v>0</v>
      </c>
      <c r="I1746" s="200">
        <f t="shared" si="8814"/>
        <v>0</v>
      </c>
      <c r="J1746" s="200">
        <f t="shared" si="8814"/>
        <v>0</v>
      </c>
      <c r="K1746" s="200">
        <f t="shared" si="8814"/>
        <v>0</v>
      </c>
      <c r="L1746" s="200">
        <f t="shared" si="8814"/>
        <v>0</v>
      </c>
      <c r="M1746" s="200">
        <f t="shared" si="8814"/>
        <v>0</v>
      </c>
      <c r="N1746" s="200">
        <f t="shared" si="8814"/>
        <v>0</v>
      </c>
      <c r="O1746" s="200">
        <f t="shared" si="8814"/>
        <v>0</v>
      </c>
      <c r="P1746" s="200">
        <f t="shared" si="9"/>
        <v>1</v>
      </c>
      <c r="Q1746" s="200">
        <f t="shared" ref="Q1746:AC1746" si="8815">countif($D1746,"*"&amp;Q$2&amp;"*")</f>
        <v>0</v>
      </c>
      <c r="R1746" s="200">
        <f t="shared" si="8815"/>
        <v>0</v>
      </c>
      <c r="S1746" s="200">
        <f t="shared" si="8815"/>
        <v>0</v>
      </c>
      <c r="T1746" s="200">
        <f t="shared" si="8815"/>
        <v>0</v>
      </c>
      <c r="U1746" s="200">
        <f t="shared" si="8815"/>
        <v>0</v>
      </c>
      <c r="V1746" s="200">
        <f t="shared" si="8815"/>
        <v>0</v>
      </c>
      <c r="W1746" s="200">
        <f t="shared" si="8815"/>
        <v>0</v>
      </c>
      <c r="X1746" s="200">
        <f t="shared" si="8815"/>
        <v>0</v>
      </c>
      <c r="Y1746" s="200">
        <f t="shared" si="8815"/>
        <v>0</v>
      </c>
      <c r="Z1746" s="200">
        <f t="shared" si="8815"/>
        <v>0</v>
      </c>
      <c r="AA1746" s="200">
        <f t="shared" si="8815"/>
        <v>0</v>
      </c>
      <c r="AB1746" s="200">
        <f t="shared" si="8815"/>
        <v>0</v>
      </c>
      <c r="AC1746" s="200">
        <f t="shared" si="8815"/>
        <v>0</v>
      </c>
      <c r="AD1746" s="200">
        <f t="shared" si="11"/>
        <v>0</v>
      </c>
      <c r="AE1746" s="200">
        <f t="shared" ref="AE1746:AG1746" si="8816">countif($D1746,"*"&amp;AE$2&amp;"*")</f>
        <v>0</v>
      </c>
      <c r="AF1746" s="200">
        <f t="shared" si="8816"/>
        <v>0</v>
      </c>
      <c r="AG1746" s="200">
        <f t="shared" si="8816"/>
        <v>0</v>
      </c>
      <c r="AH1746" s="171">
        <f t="shared" si="13"/>
        <v>0</v>
      </c>
      <c r="AI1746" s="200">
        <f t="shared" si="14"/>
        <v>0</v>
      </c>
      <c r="AJ1746" s="200">
        <f t="shared" si="8701"/>
        <v>0</v>
      </c>
      <c r="AK1746" s="201">
        <f t="shared" ref="AK1746:AS1746" si="8817">countif($D1746,"*"&amp;AK$2&amp;"*")</f>
        <v>0</v>
      </c>
      <c r="AL1746" s="201">
        <f t="shared" si="8817"/>
        <v>0</v>
      </c>
      <c r="AM1746" s="201">
        <f t="shared" si="8817"/>
        <v>0</v>
      </c>
      <c r="AN1746" s="201">
        <f t="shared" si="8817"/>
        <v>0</v>
      </c>
      <c r="AO1746" s="201">
        <f t="shared" si="8817"/>
        <v>0</v>
      </c>
      <c r="AP1746" s="201">
        <f t="shared" si="8817"/>
        <v>0</v>
      </c>
      <c r="AQ1746" s="201">
        <f t="shared" si="8817"/>
        <v>0</v>
      </c>
      <c r="AR1746" s="200">
        <f t="shared" si="8817"/>
        <v>0</v>
      </c>
      <c r="AS1746" s="200">
        <f t="shared" si="8817"/>
        <v>0</v>
      </c>
      <c r="AT1746" s="173">
        <v>0.0</v>
      </c>
      <c r="AU1746" s="200">
        <f t="shared" ref="AU1746:AX1746" si="8818">countif($D1746,"*"&amp;AU$2&amp;"*")</f>
        <v>0</v>
      </c>
      <c r="AV1746" s="200">
        <f t="shared" si="8818"/>
        <v>1</v>
      </c>
      <c r="AW1746" s="200">
        <f t="shared" si="8818"/>
        <v>0</v>
      </c>
      <c r="AX1746" s="200">
        <f t="shared" si="8818"/>
        <v>0</v>
      </c>
      <c r="AY1746" s="202">
        <v>0.0</v>
      </c>
      <c r="AZ1746" s="200"/>
      <c r="BA1746" s="171" t="str">
        <f t="shared" si="18"/>
        <v/>
      </c>
      <c r="BB1746" s="171" t="str">
        <f t="shared" si="19"/>
        <v>Code</v>
      </c>
      <c r="BC1746" s="171" t="str">
        <f t="shared" si="20"/>
        <v/>
      </c>
      <c r="BD1746" s="171" t="str">
        <f t="shared" si="21"/>
        <v/>
      </c>
      <c r="BE1746" s="171" t="str">
        <f t="shared" si="22"/>
        <v/>
      </c>
      <c r="BF1746" s="171" t="str">
        <f t="shared" si="23"/>
        <v>Code</v>
      </c>
    </row>
    <row r="1747">
      <c r="A1747" s="171">
        <f t="array" ref="A1747">XLOOKUP(C1747,FSE!A:A,FSE!C:C,"XXXXX",0,1)</f>
        <v>2020</v>
      </c>
      <c r="B1747" s="213" t="s">
        <v>5676</v>
      </c>
      <c r="C1747" s="214">
        <v>417.0</v>
      </c>
      <c r="D1747" s="215" t="s">
        <v>6417</v>
      </c>
      <c r="E1747" s="197" t="str">
        <f t="array" ref="E1747">XLOOKUP(C1747,FSE!A:A,FSE!Z:Z,"XXXXX",0,1)</f>
        <v>Publicly Available (2)</v>
      </c>
      <c r="F1747" s="213" t="s">
        <v>3394</v>
      </c>
      <c r="G1747" s="163" t="str">
        <f t="array" ref="G1747">IF(B1747="ICSE",IF(COUNTIFS(B:B,B1747,C:C,C1747)=XLOOKUP(C1747,ICSE!A:A,ICSE!AA:AA,"ERROR",0,1),"OK","ERROR"),IF(B1747="FSE",IF(COUNTIFS(B:B,B1747,C:C,C1747)=XLOOKUP(C1747,FSE!A:A,FSE!AA:AA,"ERROR",0,1),"OK","ERROR")))</f>
        <v>OK</v>
      </c>
      <c r="H1747" s="199">
        <f t="shared" ref="H1747:O1747" si="8819">countif($D1747,"*"&amp;H$2&amp;"*")</f>
        <v>1</v>
      </c>
      <c r="I1747" s="200">
        <f t="shared" si="8819"/>
        <v>0</v>
      </c>
      <c r="J1747" s="200">
        <f t="shared" si="8819"/>
        <v>0</v>
      </c>
      <c r="K1747" s="200">
        <f t="shared" si="8819"/>
        <v>0</v>
      </c>
      <c r="L1747" s="200">
        <f t="shared" si="8819"/>
        <v>0</v>
      </c>
      <c r="M1747" s="200">
        <f t="shared" si="8819"/>
        <v>0</v>
      </c>
      <c r="N1747" s="200">
        <f t="shared" si="8819"/>
        <v>0</v>
      </c>
      <c r="O1747" s="200">
        <f t="shared" si="8819"/>
        <v>0</v>
      </c>
      <c r="P1747" s="200">
        <f t="shared" si="9"/>
        <v>0</v>
      </c>
      <c r="Q1747" s="200">
        <f t="shared" ref="Q1747:AC1747" si="8820">countif($D1747,"*"&amp;Q$2&amp;"*")</f>
        <v>0</v>
      </c>
      <c r="R1747" s="200">
        <f t="shared" si="8820"/>
        <v>0</v>
      </c>
      <c r="S1747" s="200">
        <f t="shared" si="8820"/>
        <v>0</v>
      </c>
      <c r="T1747" s="200">
        <f t="shared" si="8820"/>
        <v>0</v>
      </c>
      <c r="U1747" s="200">
        <f t="shared" si="8820"/>
        <v>0</v>
      </c>
      <c r="V1747" s="200">
        <f t="shared" si="8820"/>
        <v>0</v>
      </c>
      <c r="W1747" s="200">
        <f t="shared" si="8820"/>
        <v>0</v>
      </c>
      <c r="X1747" s="200">
        <f t="shared" si="8820"/>
        <v>0</v>
      </c>
      <c r="Y1747" s="200">
        <f t="shared" si="8820"/>
        <v>0</v>
      </c>
      <c r="Z1747" s="200">
        <f t="shared" si="8820"/>
        <v>0</v>
      </c>
      <c r="AA1747" s="200">
        <f t="shared" si="8820"/>
        <v>0</v>
      </c>
      <c r="AB1747" s="200">
        <f t="shared" si="8820"/>
        <v>0</v>
      </c>
      <c r="AC1747" s="200">
        <f t="shared" si="8820"/>
        <v>0</v>
      </c>
      <c r="AD1747" s="200">
        <f t="shared" si="11"/>
        <v>0</v>
      </c>
      <c r="AE1747" s="200">
        <f t="shared" ref="AE1747:AG1747" si="8821">countif($D1747,"*"&amp;AE$2&amp;"*")</f>
        <v>0</v>
      </c>
      <c r="AF1747" s="200">
        <f t="shared" si="8821"/>
        <v>0</v>
      </c>
      <c r="AG1747" s="200">
        <f t="shared" si="8821"/>
        <v>0</v>
      </c>
      <c r="AH1747" s="171">
        <f t="shared" si="13"/>
        <v>0</v>
      </c>
      <c r="AI1747" s="200">
        <f t="shared" si="14"/>
        <v>1</v>
      </c>
      <c r="AJ1747" s="200">
        <f t="shared" si="8701"/>
        <v>0</v>
      </c>
      <c r="AK1747" s="201">
        <f t="shared" ref="AK1747:AS1747" si="8822">countif($D1747,"*"&amp;AK$2&amp;"*")</f>
        <v>0</v>
      </c>
      <c r="AL1747" s="201">
        <f t="shared" si="8822"/>
        <v>0</v>
      </c>
      <c r="AM1747" s="201">
        <f t="shared" si="8822"/>
        <v>0</v>
      </c>
      <c r="AN1747" s="201">
        <f t="shared" si="8822"/>
        <v>0</v>
      </c>
      <c r="AO1747" s="201">
        <f t="shared" si="8822"/>
        <v>0</v>
      </c>
      <c r="AP1747" s="201">
        <f t="shared" si="8822"/>
        <v>0</v>
      </c>
      <c r="AQ1747" s="201">
        <f t="shared" si="8822"/>
        <v>0</v>
      </c>
      <c r="AR1747" s="200">
        <f t="shared" si="8822"/>
        <v>0</v>
      </c>
      <c r="AS1747" s="200">
        <f t="shared" si="8822"/>
        <v>0</v>
      </c>
      <c r="AT1747" s="173">
        <v>0.0</v>
      </c>
      <c r="AU1747" s="200">
        <f t="shared" ref="AU1747:AX1747" si="8823">countif($D1747,"*"&amp;AU$2&amp;"*")</f>
        <v>0</v>
      </c>
      <c r="AV1747" s="200">
        <f t="shared" si="8823"/>
        <v>0</v>
      </c>
      <c r="AW1747" s="200">
        <f t="shared" si="8823"/>
        <v>0</v>
      </c>
      <c r="AX1747" s="200">
        <f t="shared" si="8823"/>
        <v>1</v>
      </c>
      <c r="AY1747" s="202">
        <v>0.0</v>
      </c>
      <c r="AZ1747" s="200"/>
      <c r="BA1747" s="171" t="str">
        <f t="shared" si="18"/>
        <v>Archival</v>
      </c>
      <c r="BB1747" s="171" t="str">
        <f t="shared" si="19"/>
        <v/>
      </c>
      <c r="BC1747" s="171" t="str">
        <f t="shared" si="20"/>
        <v/>
      </c>
      <c r="BD1747" s="171" t="str">
        <f t="shared" si="21"/>
        <v/>
      </c>
      <c r="BE1747" s="171" t="str">
        <f t="shared" si="22"/>
        <v/>
      </c>
      <c r="BF1747" s="171" t="str">
        <f t="shared" si="23"/>
        <v>Archival</v>
      </c>
    </row>
    <row r="1748">
      <c r="A1748" s="171">
        <f t="array" ref="A1748">XLOOKUP(C1748,FSE!A:A,FSE!C:C,"XXXXX",0,1)</f>
        <v>2020</v>
      </c>
      <c r="B1748" s="213" t="s">
        <v>5676</v>
      </c>
      <c r="C1748" s="214">
        <v>418.0</v>
      </c>
      <c r="D1748" s="215" t="s">
        <v>4745</v>
      </c>
      <c r="E1748" s="197" t="str">
        <f t="array" ref="E1748">XLOOKUP(C1748,FSE!A:A,FSE!Z:Z,"XXXXX",0,1)</f>
        <v>Publicly Available (1)</v>
      </c>
      <c r="F1748" s="213" t="s">
        <v>3394</v>
      </c>
      <c r="G1748" s="163" t="str">
        <f t="array" ref="G1748">IF(B1748="ICSE",IF(COUNTIFS(B:B,B1748,C:C,C1748)=XLOOKUP(C1748,ICSE!A:A,ICSE!AA:AA,"ERROR",0,1),"OK","ERROR"),IF(B1748="FSE",IF(COUNTIFS(B:B,B1748,C:C,C1748)=XLOOKUP(C1748,FSE!A:A,FSE!AA:AA,"ERROR",0,1),"OK","ERROR")))</f>
        <v>OK</v>
      </c>
      <c r="H1748" s="199">
        <f t="shared" ref="H1748:O1748" si="8824">countif($D1748,"*"&amp;H$2&amp;"*")</f>
        <v>1</v>
      </c>
      <c r="I1748" s="200">
        <f t="shared" si="8824"/>
        <v>0</v>
      </c>
      <c r="J1748" s="200">
        <f t="shared" si="8824"/>
        <v>0</v>
      </c>
      <c r="K1748" s="200">
        <f t="shared" si="8824"/>
        <v>0</v>
      </c>
      <c r="L1748" s="200">
        <f t="shared" si="8824"/>
        <v>0</v>
      </c>
      <c r="M1748" s="200">
        <f t="shared" si="8824"/>
        <v>0</v>
      </c>
      <c r="N1748" s="200">
        <f t="shared" si="8824"/>
        <v>0</v>
      </c>
      <c r="O1748" s="200">
        <f t="shared" si="8824"/>
        <v>0</v>
      </c>
      <c r="P1748" s="200">
        <f t="shared" si="9"/>
        <v>0</v>
      </c>
      <c r="Q1748" s="200">
        <f t="shared" ref="Q1748:AC1748" si="8825">countif($D1748,"*"&amp;Q$2&amp;"*")</f>
        <v>0</v>
      </c>
      <c r="R1748" s="200">
        <f t="shared" si="8825"/>
        <v>0</v>
      </c>
      <c r="S1748" s="200">
        <f t="shared" si="8825"/>
        <v>0</v>
      </c>
      <c r="T1748" s="200">
        <f t="shared" si="8825"/>
        <v>0</v>
      </c>
      <c r="U1748" s="200">
        <f t="shared" si="8825"/>
        <v>0</v>
      </c>
      <c r="V1748" s="200">
        <f t="shared" si="8825"/>
        <v>0</v>
      </c>
      <c r="W1748" s="200">
        <f t="shared" si="8825"/>
        <v>0</v>
      </c>
      <c r="X1748" s="200">
        <f t="shared" si="8825"/>
        <v>0</v>
      </c>
      <c r="Y1748" s="200">
        <f t="shared" si="8825"/>
        <v>0</v>
      </c>
      <c r="Z1748" s="200">
        <f t="shared" si="8825"/>
        <v>0</v>
      </c>
      <c r="AA1748" s="200">
        <f t="shared" si="8825"/>
        <v>0</v>
      </c>
      <c r="AB1748" s="200">
        <f t="shared" si="8825"/>
        <v>0</v>
      </c>
      <c r="AC1748" s="200">
        <f t="shared" si="8825"/>
        <v>0</v>
      </c>
      <c r="AD1748" s="200">
        <f t="shared" si="11"/>
        <v>0</v>
      </c>
      <c r="AE1748" s="200">
        <f t="shared" ref="AE1748:AG1748" si="8826">countif($D1748,"*"&amp;AE$2&amp;"*")</f>
        <v>0</v>
      </c>
      <c r="AF1748" s="200">
        <f t="shared" si="8826"/>
        <v>0</v>
      </c>
      <c r="AG1748" s="200">
        <f t="shared" si="8826"/>
        <v>0</v>
      </c>
      <c r="AH1748" s="171">
        <f t="shared" si="13"/>
        <v>0</v>
      </c>
      <c r="AI1748" s="200">
        <f t="shared" si="14"/>
        <v>1</v>
      </c>
      <c r="AJ1748" s="200">
        <f t="shared" si="8701"/>
        <v>0</v>
      </c>
      <c r="AK1748" s="201">
        <f t="shared" ref="AK1748:AS1748" si="8827">countif($D1748,"*"&amp;AK$2&amp;"*")</f>
        <v>0</v>
      </c>
      <c r="AL1748" s="201">
        <f t="shared" si="8827"/>
        <v>0</v>
      </c>
      <c r="AM1748" s="201">
        <f t="shared" si="8827"/>
        <v>0</v>
      </c>
      <c r="AN1748" s="201">
        <f t="shared" si="8827"/>
        <v>0</v>
      </c>
      <c r="AO1748" s="201">
        <f t="shared" si="8827"/>
        <v>0</v>
      </c>
      <c r="AP1748" s="201">
        <f t="shared" si="8827"/>
        <v>0</v>
      </c>
      <c r="AQ1748" s="201">
        <f t="shared" si="8827"/>
        <v>0</v>
      </c>
      <c r="AR1748" s="200">
        <f t="shared" si="8827"/>
        <v>0</v>
      </c>
      <c r="AS1748" s="200">
        <f t="shared" si="8827"/>
        <v>0</v>
      </c>
      <c r="AT1748" s="173">
        <v>0.0</v>
      </c>
      <c r="AU1748" s="200">
        <f t="shared" ref="AU1748:AX1748" si="8828">countif($D1748,"*"&amp;AU$2&amp;"*")</f>
        <v>0</v>
      </c>
      <c r="AV1748" s="200">
        <f t="shared" si="8828"/>
        <v>0</v>
      </c>
      <c r="AW1748" s="200">
        <f t="shared" si="8828"/>
        <v>0</v>
      </c>
      <c r="AX1748" s="200">
        <f t="shared" si="8828"/>
        <v>1</v>
      </c>
      <c r="AY1748" s="202">
        <v>0.0</v>
      </c>
      <c r="AZ1748" s="200"/>
      <c r="BA1748" s="171" t="str">
        <f t="shared" si="18"/>
        <v>Archival</v>
      </c>
      <c r="BB1748" s="171" t="str">
        <f t="shared" si="19"/>
        <v/>
      </c>
      <c r="BC1748" s="171" t="str">
        <f t="shared" si="20"/>
        <v/>
      </c>
      <c r="BD1748" s="171" t="str">
        <f t="shared" si="21"/>
        <v/>
      </c>
      <c r="BE1748" s="171" t="str">
        <f t="shared" si="22"/>
        <v/>
      </c>
      <c r="BF1748" s="171" t="str">
        <f t="shared" si="23"/>
        <v>Archival</v>
      </c>
    </row>
    <row r="1749">
      <c r="A1749" s="171">
        <f t="array" ref="A1749">XLOOKUP(C1749,FSE!A:A,FSE!C:C,"XXXXX",0,1)</f>
        <v>2020</v>
      </c>
      <c r="B1749" s="213" t="s">
        <v>5676</v>
      </c>
      <c r="C1749" s="214">
        <v>419.0</v>
      </c>
      <c r="D1749" s="215" t="s">
        <v>4748</v>
      </c>
      <c r="E1749" s="197" t="str">
        <f t="array" ref="E1749">XLOOKUP(C1749,FSE!A:A,FSE!Z:Z,"XXXXX",0,1)</f>
        <v>Publicly Available (1)</v>
      </c>
      <c r="F1749" s="213" t="s">
        <v>3394</v>
      </c>
      <c r="G1749" s="163" t="str">
        <f t="array" ref="G1749">IF(B1749="ICSE",IF(COUNTIFS(B:B,B1749,C:C,C1749)=XLOOKUP(C1749,ICSE!A:A,ICSE!AA:AA,"ERROR",0,1),"OK","ERROR"),IF(B1749="FSE",IF(COUNTIFS(B:B,B1749,C:C,C1749)=XLOOKUP(C1749,FSE!A:A,FSE!AA:AA,"ERROR",0,1),"OK","ERROR")))</f>
        <v>OK</v>
      </c>
      <c r="H1749" s="199">
        <f t="shared" ref="H1749:O1749" si="8829">countif($D1749,"*"&amp;H$2&amp;"*")</f>
        <v>0</v>
      </c>
      <c r="I1749" s="200">
        <f t="shared" si="8829"/>
        <v>0</v>
      </c>
      <c r="J1749" s="200">
        <f t="shared" si="8829"/>
        <v>0</v>
      </c>
      <c r="K1749" s="200">
        <f t="shared" si="8829"/>
        <v>0</v>
      </c>
      <c r="L1749" s="200">
        <f t="shared" si="8829"/>
        <v>0</v>
      </c>
      <c r="M1749" s="200">
        <f t="shared" si="8829"/>
        <v>0</v>
      </c>
      <c r="N1749" s="200">
        <f t="shared" si="8829"/>
        <v>0</v>
      </c>
      <c r="O1749" s="200">
        <f t="shared" si="8829"/>
        <v>0</v>
      </c>
      <c r="P1749" s="200">
        <f t="shared" si="9"/>
        <v>1</v>
      </c>
      <c r="Q1749" s="200">
        <f t="shared" ref="Q1749:AC1749" si="8830">countif($D1749,"*"&amp;Q$2&amp;"*")</f>
        <v>0</v>
      </c>
      <c r="R1749" s="200">
        <f t="shared" si="8830"/>
        <v>0</v>
      </c>
      <c r="S1749" s="200">
        <f t="shared" si="8830"/>
        <v>0</v>
      </c>
      <c r="T1749" s="200">
        <f t="shared" si="8830"/>
        <v>0</v>
      </c>
      <c r="U1749" s="200">
        <f t="shared" si="8830"/>
        <v>0</v>
      </c>
      <c r="V1749" s="200">
        <f t="shared" si="8830"/>
        <v>0</v>
      </c>
      <c r="W1749" s="200">
        <f t="shared" si="8830"/>
        <v>0</v>
      </c>
      <c r="X1749" s="200">
        <f t="shared" si="8830"/>
        <v>0</v>
      </c>
      <c r="Y1749" s="200">
        <f t="shared" si="8830"/>
        <v>0</v>
      </c>
      <c r="Z1749" s="200">
        <f t="shared" si="8830"/>
        <v>0</v>
      </c>
      <c r="AA1749" s="200">
        <f t="shared" si="8830"/>
        <v>0</v>
      </c>
      <c r="AB1749" s="200">
        <f t="shared" si="8830"/>
        <v>0</v>
      </c>
      <c r="AC1749" s="200">
        <f t="shared" si="8830"/>
        <v>0</v>
      </c>
      <c r="AD1749" s="200">
        <f t="shared" si="11"/>
        <v>0</v>
      </c>
      <c r="AE1749" s="200">
        <f t="shared" ref="AE1749:AG1749" si="8831">countif($D1749,"*"&amp;AE$2&amp;"*")</f>
        <v>0</v>
      </c>
      <c r="AF1749" s="200">
        <f t="shared" si="8831"/>
        <v>0</v>
      </c>
      <c r="AG1749" s="200">
        <f t="shared" si="8831"/>
        <v>0</v>
      </c>
      <c r="AH1749" s="171">
        <f t="shared" si="13"/>
        <v>0</v>
      </c>
      <c r="AI1749" s="200">
        <f t="shared" si="14"/>
        <v>0</v>
      </c>
      <c r="AJ1749" s="200">
        <f t="shared" si="8701"/>
        <v>0</v>
      </c>
      <c r="AK1749" s="201">
        <f t="shared" ref="AK1749:AS1749" si="8832">countif($D1749,"*"&amp;AK$2&amp;"*")</f>
        <v>0</v>
      </c>
      <c r="AL1749" s="201">
        <f t="shared" si="8832"/>
        <v>0</v>
      </c>
      <c r="AM1749" s="201">
        <f t="shared" si="8832"/>
        <v>0</v>
      </c>
      <c r="AN1749" s="201">
        <f t="shared" si="8832"/>
        <v>0</v>
      </c>
      <c r="AO1749" s="201">
        <f t="shared" si="8832"/>
        <v>0</v>
      </c>
      <c r="AP1749" s="201">
        <f t="shared" si="8832"/>
        <v>0</v>
      </c>
      <c r="AQ1749" s="201">
        <f t="shared" si="8832"/>
        <v>0</v>
      </c>
      <c r="AR1749" s="200">
        <f t="shared" si="8832"/>
        <v>0</v>
      </c>
      <c r="AS1749" s="200">
        <f t="shared" si="8832"/>
        <v>0</v>
      </c>
      <c r="AT1749" s="173">
        <v>0.0</v>
      </c>
      <c r="AU1749" s="200">
        <f t="shared" ref="AU1749:AX1749" si="8833">countif($D1749,"*"&amp;AU$2&amp;"*")</f>
        <v>0</v>
      </c>
      <c r="AV1749" s="200">
        <f t="shared" si="8833"/>
        <v>1</v>
      </c>
      <c r="AW1749" s="200">
        <f t="shared" si="8833"/>
        <v>0</v>
      </c>
      <c r="AX1749" s="200">
        <f t="shared" si="8833"/>
        <v>0</v>
      </c>
      <c r="AY1749" s="202">
        <v>0.0</v>
      </c>
      <c r="AZ1749" s="200"/>
      <c r="BA1749" s="171" t="str">
        <f t="shared" si="18"/>
        <v/>
      </c>
      <c r="BB1749" s="171" t="str">
        <f t="shared" si="19"/>
        <v>Code</v>
      </c>
      <c r="BC1749" s="171" t="str">
        <f t="shared" si="20"/>
        <v/>
      </c>
      <c r="BD1749" s="171" t="str">
        <f t="shared" si="21"/>
        <v/>
      </c>
      <c r="BE1749" s="171" t="str">
        <f t="shared" si="22"/>
        <v/>
      </c>
      <c r="BF1749" s="171" t="str">
        <f t="shared" si="23"/>
        <v>Code</v>
      </c>
    </row>
    <row r="1750">
      <c r="A1750" s="171">
        <f t="array" ref="A1750">XLOOKUP(C1750,FSE!A:A,FSE!C:C,"XXXXX",0,1)</f>
        <v>2020</v>
      </c>
      <c r="B1750" s="213" t="s">
        <v>5676</v>
      </c>
      <c r="C1750" s="214">
        <v>420.0</v>
      </c>
      <c r="D1750" s="215" t="s">
        <v>6418</v>
      </c>
      <c r="E1750" s="197" t="str">
        <f t="array" ref="E1750">XLOOKUP(C1750,FSE!A:A,FSE!Z:Z,"XXXXX",0,1)</f>
        <v>Publicly Available (2)</v>
      </c>
      <c r="F1750" s="213" t="s">
        <v>3394</v>
      </c>
      <c r="G1750" s="163" t="str">
        <f t="array" ref="G1750">IF(B1750="ICSE",IF(COUNTIFS(B:B,B1750,C:C,C1750)=XLOOKUP(C1750,ICSE!A:A,ICSE!AA:AA,"ERROR",0,1),"OK","ERROR"),IF(B1750="FSE",IF(COUNTIFS(B:B,B1750,C:C,C1750)=XLOOKUP(C1750,FSE!A:A,FSE!AA:AA,"ERROR",0,1),"OK","ERROR")))</f>
        <v>OK</v>
      </c>
      <c r="H1750" s="199">
        <f t="shared" ref="H1750:O1750" si="8834">countif($D1750,"*"&amp;H$2&amp;"*")</f>
        <v>1</v>
      </c>
      <c r="I1750" s="200">
        <f t="shared" si="8834"/>
        <v>0</v>
      </c>
      <c r="J1750" s="200">
        <f t="shared" si="8834"/>
        <v>0</v>
      </c>
      <c r="K1750" s="200">
        <f t="shared" si="8834"/>
        <v>0</v>
      </c>
      <c r="L1750" s="200">
        <f t="shared" si="8834"/>
        <v>0</v>
      </c>
      <c r="M1750" s="200">
        <f t="shared" si="8834"/>
        <v>0</v>
      </c>
      <c r="N1750" s="200">
        <f t="shared" si="8834"/>
        <v>0</v>
      </c>
      <c r="O1750" s="200">
        <f t="shared" si="8834"/>
        <v>0</v>
      </c>
      <c r="P1750" s="200">
        <f t="shared" si="9"/>
        <v>0</v>
      </c>
      <c r="Q1750" s="200">
        <f t="shared" ref="Q1750:AC1750" si="8835">countif($D1750,"*"&amp;Q$2&amp;"*")</f>
        <v>0</v>
      </c>
      <c r="R1750" s="200">
        <f t="shared" si="8835"/>
        <v>0</v>
      </c>
      <c r="S1750" s="200">
        <f t="shared" si="8835"/>
        <v>0</v>
      </c>
      <c r="T1750" s="200">
        <f t="shared" si="8835"/>
        <v>0</v>
      </c>
      <c r="U1750" s="200">
        <f t="shared" si="8835"/>
        <v>0</v>
      </c>
      <c r="V1750" s="200">
        <f t="shared" si="8835"/>
        <v>0</v>
      </c>
      <c r="W1750" s="200">
        <f t="shared" si="8835"/>
        <v>0</v>
      </c>
      <c r="X1750" s="200">
        <f t="shared" si="8835"/>
        <v>0</v>
      </c>
      <c r="Y1750" s="200">
        <f t="shared" si="8835"/>
        <v>0</v>
      </c>
      <c r="Z1750" s="200">
        <f t="shared" si="8835"/>
        <v>0</v>
      </c>
      <c r="AA1750" s="200">
        <f t="shared" si="8835"/>
        <v>0</v>
      </c>
      <c r="AB1750" s="200">
        <f t="shared" si="8835"/>
        <v>0</v>
      </c>
      <c r="AC1750" s="200">
        <f t="shared" si="8835"/>
        <v>0</v>
      </c>
      <c r="AD1750" s="200">
        <f t="shared" si="11"/>
        <v>0</v>
      </c>
      <c r="AE1750" s="200">
        <f t="shared" ref="AE1750:AG1750" si="8836">countif($D1750,"*"&amp;AE$2&amp;"*")</f>
        <v>0</v>
      </c>
      <c r="AF1750" s="200">
        <f t="shared" si="8836"/>
        <v>0</v>
      </c>
      <c r="AG1750" s="200">
        <f t="shared" si="8836"/>
        <v>0</v>
      </c>
      <c r="AH1750" s="171">
        <f t="shared" si="13"/>
        <v>0</v>
      </c>
      <c r="AI1750" s="200">
        <f t="shared" si="14"/>
        <v>1</v>
      </c>
      <c r="AJ1750" s="200">
        <f t="shared" si="8701"/>
        <v>0</v>
      </c>
      <c r="AK1750" s="201">
        <f t="shared" ref="AK1750:AS1750" si="8837">countif($D1750,"*"&amp;AK$2&amp;"*")</f>
        <v>0</v>
      </c>
      <c r="AL1750" s="201">
        <f t="shared" si="8837"/>
        <v>0</v>
      </c>
      <c r="AM1750" s="201">
        <f t="shared" si="8837"/>
        <v>0</v>
      </c>
      <c r="AN1750" s="201">
        <f t="shared" si="8837"/>
        <v>0</v>
      </c>
      <c r="AO1750" s="201">
        <f t="shared" si="8837"/>
        <v>0</v>
      </c>
      <c r="AP1750" s="201">
        <f t="shared" si="8837"/>
        <v>0</v>
      </c>
      <c r="AQ1750" s="201">
        <f t="shared" si="8837"/>
        <v>0</v>
      </c>
      <c r="AR1750" s="200">
        <f t="shared" si="8837"/>
        <v>0</v>
      </c>
      <c r="AS1750" s="200">
        <f t="shared" si="8837"/>
        <v>0</v>
      </c>
      <c r="AT1750" s="173">
        <v>0.0</v>
      </c>
      <c r="AU1750" s="200">
        <f t="shared" ref="AU1750:AX1750" si="8838">countif($D1750,"*"&amp;AU$2&amp;"*")</f>
        <v>0</v>
      </c>
      <c r="AV1750" s="200">
        <f t="shared" si="8838"/>
        <v>0</v>
      </c>
      <c r="AW1750" s="200">
        <f t="shared" si="8838"/>
        <v>0</v>
      </c>
      <c r="AX1750" s="200">
        <f t="shared" si="8838"/>
        <v>1</v>
      </c>
      <c r="AY1750" s="202">
        <v>0.0</v>
      </c>
      <c r="AZ1750" s="200"/>
      <c r="BA1750" s="171" t="str">
        <f t="shared" si="18"/>
        <v>Archival</v>
      </c>
      <c r="BB1750" s="171" t="str">
        <f t="shared" si="19"/>
        <v/>
      </c>
      <c r="BC1750" s="171" t="str">
        <f t="shared" si="20"/>
        <v/>
      </c>
      <c r="BD1750" s="171" t="str">
        <f t="shared" si="21"/>
        <v/>
      </c>
      <c r="BE1750" s="171" t="str">
        <f t="shared" si="22"/>
        <v/>
      </c>
      <c r="BF1750" s="171" t="str">
        <f t="shared" si="23"/>
        <v>Archival</v>
      </c>
    </row>
    <row r="1751">
      <c r="A1751" s="171">
        <f t="array" ref="A1751">XLOOKUP(C1751,FSE!A:A,FSE!C:C,"XXXXX",0,1)</f>
        <v>2020</v>
      </c>
      <c r="B1751" s="213" t="s">
        <v>5676</v>
      </c>
      <c r="C1751" s="214">
        <v>420.0</v>
      </c>
      <c r="D1751" s="215" t="s">
        <v>6419</v>
      </c>
      <c r="E1751" s="197" t="str">
        <f t="array" ref="E1751">XLOOKUP(C1751,FSE!A:A,FSE!Z:Z,"XXXXX",0,1)</f>
        <v>Publicly Available (2)</v>
      </c>
      <c r="F1751" s="213" t="s">
        <v>3394</v>
      </c>
      <c r="G1751" s="163" t="str">
        <f t="array" ref="G1751">IF(B1751="ICSE",IF(COUNTIFS(B:B,B1751,C:C,C1751)=XLOOKUP(C1751,ICSE!A:A,ICSE!AA:AA,"ERROR",0,1),"OK","ERROR"),IF(B1751="FSE",IF(COUNTIFS(B:B,B1751,C:C,C1751)=XLOOKUP(C1751,FSE!A:A,FSE!AA:AA,"ERROR",0,1),"OK","ERROR")))</f>
        <v>OK</v>
      </c>
      <c r="H1751" s="199">
        <f t="shared" ref="H1751:O1751" si="8839">countif($D1751,"*"&amp;H$2&amp;"*")</f>
        <v>1</v>
      </c>
      <c r="I1751" s="200">
        <f t="shared" si="8839"/>
        <v>0</v>
      </c>
      <c r="J1751" s="200">
        <f t="shared" si="8839"/>
        <v>0</v>
      </c>
      <c r="K1751" s="200">
        <f t="shared" si="8839"/>
        <v>0</v>
      </c>
      <c r="L1751" s="200">
        <f t="shared" si="8839"/>
        <v>0</v>
      </c>
      <c r="M1751" s="200">
        <f t="shared" si="8839"/>
        <v>0</v>
      </c>
      <c r="N1751" s="200">
        <f t="shared" si="8839"/>
        <v>0</v>
      </c>
      <c r="O1751" s="200">
        <f t="shared" si="8839"/>
        <v>0</v>
      </c>
      <c r="P1751" s="200">
        <f t="shared" si="9"/>
        <v>0</v>
      </c>
      <c r="Q1751" s="200">
        <f t="shared" ref="Q1751:AC1751" si="8840">countif($D1751,"*"&amp;Q$2&amp;"*")</f>
        <v>0</v>
      </c>
      <c r="R1751" s="200">
        <f t="shared" si="8840"/>
        <v>0</v>
      </c>
      <c r="S1751" s="200">
        <f t="shared" si="8840"/>
        <v>0</v>
      </c>
      <c r="T1751" s="200">
        <f t="shared" si="8840"/>
        <v>0</v>
      </c>
      <c r="U1751" s="200">
        <f t="shared" si="8840"/>
        <v>0</v>
      </c>
      <c r="V1751" s="200">
        <f t="shared" si="8840"/>
        <v>0</v>
      </c>
      <c r="W1751" s="200">
        <f t="shared" si="8840"/>
        <v>0</v>
      </c>
      <c r="X1751" s="200">
        <f t="shared" si="8840"/>
        <v>0</v>
      </c>
      <c r="Y1751" s="200">
        <f t="shared" si="8840"/>
        <v>0</v>
      </c>
      <c r="Z1751" s="200">
        <f t="shared" si="8840"/>
        <v>0</v>
      </c>
      <c r="AA1751" s="200">
        <f t="shared" si="8840"/>
        <v>0</v>
      </c>
      <c r="AB1751" s="200">
        <f t="shared" si="8840"/>
        <v>0</v>
      </c>
      <c r="AC1751" s="200">
        <f t="shared" si="8840"/>
        <v>0</v>
      </c>
      <c r="AD1751" s="200">
        <f t="shared" si="11"/>
        <v>0</v>
      </c>
      <c r="AE1751" s="200">
        <f t="shared" ref="AE1751:AG1751" si="8841">countif($D1751,"*"&amp;AE$2&amp;"*")</f>
        <v>0</v>
      </c>
      <c r="AF1751" s="200">
        <f t="shared" si="8841"/>
        <v>0</v>
      </c>
      <c r="AG1751" s="200">
        <f t="shared" si="8841"/>
        <v>0</v>
      </c>
      <c r="AH1751" s="171">
        <f t="shared" si="13"/>
        <v>0</v>
      </c>
      <c r="AI1751" s="200">
        <f t="shared" si="14"/>
        <v>1</v>
      </c>
      <c r="AJ1751" s="200">
        <f t="shared" si="8701"/>
        <v>0</v>
      </c>
      <c r="AK1751" s="201">
        <f t="shared" ref="AK1751:AS1751" si="8842">countif($D1751,"*"&amp;AK$2&amp;"*")</f>
        <v>0</v>
      </c>
      <c r="AL1751" s="201">
        <f t="shared" si="8842"/>
        <v>0</v>
      </c>
      <c r="AM1751" s="201">
        <f t="shared" si="8842"/>
        <v>0</v>
      </c>
      <c r="AN1751" s="201">
        <f t="shared" si="8842"/>
        <v>0</v>
      </c>
      <c r="AO1751" s="201">
        <f t="shared" si="8842"/>
        <v>0</v>
      </c>
      <c r="AP1751" s="201">
        <f t="shared" si="8842"/>
        <v>0</v>
      </c>
      <c r="AQ1751" s="201">
        <f t="shared" si="8842"/>
        <v>0</v>
      </c>
      <c r="AR1751" s="200">
        <f t="shared" si="8842"/>
        <v>0</v>
      </c>
      <c r="AS1751" s="200">
        <f t="shared" si="8842"/>
        <v>0</v>
      </c>
      <c r="AT1751" s="173">
        <v>0.0</v>
      </c>
      <c r="AU1751" s="200">
        <f t="shared" ref="AU1751:AX1751" si="8843">countif($D1751,"*"&amp;AU$2&amp;"*")</f>
        <v>0</v>
      </c>
      <c r="AV1751" s="200">
        <f t="shared" si="8843"/>
        <v>0</v>
      </c>
      <c r="AW1751" s="200">
        <f t="shared" si="8843"/>
        <v>0</v>
      </c>
      <c r="AX1751" s="200">
        <f t="shared" si="8843"/>
        <v>1</v>
      </c>
      <c r="AY1751" s="202">
        <v>0.0</v>
      </c>
      <c r="AZ1751" s="200"/>
      <c r="BA1751" s="171" t="str">
        <f t="shared" si="18"/>
        <v>Archival</v>
      </c>
      <c r="BB1751" s="171" t="str">
        <f t="shared" si="19"/>
        <v/>
      </c>
      <c r="BC1751" s="171" t="str">
        <f t="shared" si="20"/>
        <v/>
      </c>
      <c r="BD1751" s="171" t="str">
        <f t="shared" si="21"/>
        <v/>
      </c>
      <c r="BE1751" s="171" t="str">
        <f t="shared" si="22"/>
        <v/>
      </c>
      <c r="BF1751" s="171" t="str">
        <f t="shared" si="23"/>
        <v>Archival</v>
      </c>
    </row>
    <row r="1752">
      <c r="A1752" s="171">
        <f t="array" ref="A1752">XLOOKUP(C1752,FSE!A:A,FSE!C:C,"XXXXX",0,1)</f>
        <v>2020</v>
      </c>
      <c r="B1752" s="213" t="s">
        <v>5676</v>
      </c>
      <c r="C1752" s="214">
        <v>421.0</v>
      </c>
      <c r="D1752" s="215" t="s">
        <v>4755</v>
      </c>
      <c r="E1752" s="197" t="str">
        <f t="array" ref="E1752">XLOOKUP(C1752,FSE!A:A,FSE!Z:Z,"XXXXX",0,1)</f>
        <v>Publicly Available (1)</v>
      </c>
      <c r="F1752" s="213" t="s">
        <v>3394</v>
      </c>
      <c r="G1752" s="163" t="str">
        <f t="array" ref="G1752">IF(B1752="ICSE",IF(COUNTIFS(B:B,B1752,C:C,C1752)=XLOOKUP(C1752,ICSE!A:A,ICSE!AA:AA,"ERROR",0,1),"OK","ERROR"),IF(B1752="FSE",IF(COUNTIFS(B:B,B1752,C:C,C1752)=XLOOKUP(C1752,FSE!A:A,FSE!AA:AA,"ERROR",0,1),"OK","ERROR")))</f>
        <v>OK</v>
      </c>
      <c r="H1752" s="199">
        <f t="shared" ref="H1752:O1752" si="8844">countif($D1752,"*"&amp;H$2&amp;"*")</f>
        <v>0</v>
      </c>
      <c r="I1752" s="200">
        <f t="shared" si="8844"/>
        <v>0</v>
      </c>
      <c r="J1752" s="200">
        <f t="shared" si="8844"/>
        <v>0</v>
      </c>
      <c r="K1752" s="200">
        <f t="shared" si="8844"/>
        <v>0</v>
      </c>
      <c r="L1752" s="200">
        <f t="shared" si="8844"/>
        <v>0</v>
      </c>
      <c r="M1752" s="200">
        <f t="shared" si="8844"/>
        <v>0</v>
      </c>
      <c r="N1752" s="200">
        <f t="shared" si="8844"/>
        <v>0</v>
      </c>
      <c r="O1752" s="200">
        <f t="shared" si="8844"/>
        <v>0</v>
      </c>
      <c r="P1752" s="200">
        <f t="shared" si="9"/>
        <v>1</v>
      </c>
      <c r="Q1752" s="200">
        <f t="shared" ref="Q1752:AC1752" si="8845">countif($D1752,"*"&amp;Q$2&amp;"*")</f>
        <v>0</v>
      </c>
      <c r="R1752" s="200">
        <f t="shared" si="8845"/>
        <v>0</v>
      </c>
      <c r="S1752" s="200">
        <f t="shared" si="8845"/>
        <v>0</v>
      </c>
      <c r="T1752" s="200">
        <f t="shared" si="8845"/>
        <v>0</v>
      </c>
      <c r="U1752" s="200">
        <f t="shared" si="8845"/>
        <v>0</v>
      </c>
      <c r="V1752" s="200">
        <f t="shared" si="8845"/>
        <v>0</v>
      </c>
      <c r="W1752" s="200">
        <f t="shared" si="8845"/>
        <v>0</v>
      </c>
      <c r="X1752" s="200">
        <f t="shared" si="8845"/>
        <v>0</v>
      </c>
      <c r="Y1752" s="200">
        <f t="shared" si="8845"/>
        <v>0</v>
      </c>
      <c r="Z1752" s="200">
        <f t="shared" si="8845"/>
        <v>0</v>
      </c>
      <c r="AA1752" s="200">
        <f t="shared" si="8845"/>
        <v>0</v>
      </c>
      <c r="AB1752" s="200">
        <f t="shared" si="8845"/>
        <v>0</v>
      </c>
      <c r="AC1752" s="200">
        <f t="shared" si="8845"/>
        <v>0</v>
      </c>
      <c r="AD1752" s="200">
        <f t="shared" si="11"/>
        <v>0</v>
      </c>
      <c r="AE1752" s="200">
        <f t="shared" ref="AE1752:AG1752" si="8846">countif($D1752,"*"&amp;AE$2&amp;"*")</f>
        <v>0</v>
      </c>
      <c r="AF1752" s="200">
        <f t="shared" si="8846"/>
        <v>0</v>
      </c>
      <c r="AG1752" s="200">
        <f t="shared" si="8846"/>
        <v>0</v>
      </c>
      <c r="AH1752" s="171">
        <f t="shared" si="13"/>
        <v>0</v>
      </c>
      <c r="AI1752" s="200">
        <f t="shared" si="14"/>
        <v>0</v>
      </c>
      <c r="AJ1752" s="200">
        <f t="shared" si="8701"/>
        <v>0</v>
      </c>
      <c r="AK1752" s="201">
        <f t="shared" ref="AK1752:AS1752" si="8847">countif($D1752,"*"&amp;AK$2&amp;"*")</f>
        <v>0</v>
      </c>
      <c r="AL1752" s="201">
        <f t="shared" si="8847"/>
        <v>0</v>
      </c>
      <c r="AM1752" s="201">
        <f t="shared" si="8847"/>
        <v>0</v>
      </c>
      <c r="AN1752" s="201">
        <f t="shared" si="8847"/>
        <v>0</v>
      </c>
      <c r="AO1752" s="201">
        <f t="shared" si="8847"/>
        <v>0</v>
      </c>
      <c r="AP1752" s="201">
        <f t="shared" si="8847"/>
        <v>0</v>
      </c>
      <c r="AQ1752" s="201">
        <f t="shared" si="8847"/>
        <v>0</v>
      </c>
      <c r="AR1752" s="200">
        <f t="shared" si="8847"/>
        <v>0</v>
      </c>
      <c r="AS1752" s="200">
        <f t="shared" si="8847"/>
        <v>0</v>
      </c>
      <c r="AT1752" s="173">
        <v>0.0</v>
      </c>
      <c r="AU1752" s="200">
        <f t="shared" ref="AU1752:AX1752" si="8848">countif($D1752,"*"&amp;AU$2&amp;"*")</f>
        <v>0</v>
      </c>
      <c r="AV1752" s="200">
        <f t="shared" si="8848"/>
        <v>1</v>
      </c>
      <c r="AW1752" s="200">
        <f t="shared" si="8848"/>
        <v>0</v>
      </c>
      <c r="AX1752" s="200">
        <f t="shared" si="8848"/>
        <v>0</v>
      </c>
      <c r="AY1752" s="202">
        <v>0.0</v>
      </c>
      <c r="AZ1752" s="200"/>
      <c r="BA1752" s="171" t="str">
        <f t="shared" si="18"/>
        <v/>
      </c>
      <c r="BB1752" s="171" t="str">
        <f t="shared" si="19"/>
        <v>Code</v>
      </c>
      <c r="BC1752" s="171" t="str">
        <f t="shared" si="20"/>
        <v/>
      </c>
      <c r="BD1752" s="171" t="str">
        <f t="shared" si="21"/>
        <v/>
      </c>
      <c r="BE1752" s="171" t="str">
        <f t="shared" si="22"/>
        <v/>
      </c>
      <c r="BF1752" s="171" t="str">
        <f t="shared" si="23"/>
        <v>Code</v>
      </c>
    </row>
    <row r="1753">
      <c r="A1753" s="171">
        <f t="array" ref="A1753">XLOOKUP(C1753,FSE!A:A,FSE!C:C,"XXXXX",0,1)</f>
        <v>2020</v>
      </c>
      <c r="B1753" s="213" t="s">
        <v>5676</v>
      </c>
      <c r="C1753" s="214">
        <v>422.0</v>
      </c>
      <c r="D1753" s="215" t="s">
        <v>4758</v>
      </c>
      <c r="E1753" s="197" t="str">
        <f t="array" ref="E1753">XLOOKUP(C1753,FSE!A:A,FSE!Z:Z,"XXXXX",0,1)</f>
        <v>Publicly Available (1)</v>
      </c>
      <c r="F1753" s="213" t="s">
        <v>3394</v>
      </c>
      <c r="G1753" s="163" t="str">
        <f t="array" ref="G1753">IF(B1753="ICSE",IF(COUNTIFS(B:B,B1753,C:C,C1753)=XLOOKUP(C1753,ICSE!A:A,ICSE!AA:AA,"ERROR",0,1),"OK","ERROR"),IF(B1753="FSE",IF(COUNTIFS(B:B,B1753,C:C,C1753)=XLOOKUP(C1753,FSE!A:A,FSE!AA:AA,"ERROR",0,1),"OK","ERROR")))</f>
        <v>OK</v>
      </c>
      <c r="H1753" s="199">
        <f t="shared" ref="H1753:O1753" si="8849">countif($D1753,"*"&amp;H$2&amp;"*")</f>
        <v>0</v>
      </c>
      <c r="I1753" s="200">
        <f t="shared" si="8849"/>
        <v>0</v>
      </c>
      <c r="J1753" s="200">
        <f t="shared" si="8849"/>
        <v>0</v>
      </c>
      <c r="K1753" s="200">
        <f t="shared" si="8849"/>
        <v>0</v>
      </c>
      <c r="L1753" s="200">
        <f t="shared" si="8849"/>
        <v>0</v>
      </c>
      <c r="M1753" s="200">
        <f t="shared" si="8849"/>
        <v>0</v>
      </c>
      <c r="N1753" s="200">
        <f t="shared" si="8849"/>
        <v>0</v>
      </c>
      <c r="O1753" s="200">
        <f t="shared" si="8849"/>
        <v>0</v>
      </c>
      <c r="P1753" s="200">
        <f t="shared" si="9"/>
        <v>1</v>
      </c>
      <c r="Q1753" s="200">
        <f t="shared" ref="Q1753:AC1753" si="8850">countif($D1753,"*"&amp;Q$2&amp;"*")</f>
        <v>0</v>
      </c>
      <c r="R1753" s="200">
        <f t="shared" si="8850"/>
        <v>0</v>
      </c>
      <c r="S1753" s="200">
        <f t="shared" si="8850"/>
        <v>0</v>
      </c>
      <c r="T1753" s="200">
        <f t="shared" si="8850"/>
        <v>0</v>
      </c>
      <c r="U1753" s="200">
        <f t="shared" si="8850"/>
        <v>0</v>
      </c>
      <c r="V1753" s="200">
        <f t="shared" si="8850"/>
        <v>0</v>
      </c>
      <c r="W1753" s="200">
        <f t="shared" si="8850"/>
        <v>0</v>
      </c>
      <c r="X1753" s="200">
        <f t="shared" si="8850"/>
        <v>0</v>
      </c>
      <c r="Y1753" s="200">
        <f t="shared" si="8850"/>
        <v>0</v>
      </c>
      <c r="Z1753" s="200">
        <f t="shared" si="8850"/>
        <v>0</v>
      </c>
      <c r="AA1753" s="200">
        <f t="shared" si="8850"/>
        <v>0</v>
      </c>
      <c r="AB1753" s="200">
        <f t="shared" si="8850"/>
        <v>0</v>
      </c>
      <c r="AC1753" s="200">
        <f t="shared" si="8850"/>
        <v>0</v>
      </c>
      <c r="AD1753" s="200">
        <f t="shared" si="11"/>
        <v>0</v>
      </c>
      <c r="AE1753" s="200">
        <f t="shared" ref="AE1753:AG1753" si="8851">countif($D1753,"*"&amp;AE$2&amp;"*")</f>
        <v>0</v>
      </c>
      <c r="AF1753" s="200">
        <f t="shared" si="8851"/>
        <v>0</v>
      </c>
      <c r="AG1753" s="200">
        <f t="shared" si="8851"/>
        <v>0</v>
      </c>
      <c r="AH1753" s="171">
        <f t="shared" si="13"/>
        <v>0</v>
      </c>
      <c r="AI1753" s="200">
        <f t="shared" si="14"/>
        <v>0</v>
      </c>
      <c r="AJ1753" s="200">
        <f t="shared" si="8701"/>
        <v>0</v>
      </c>
      <c r="AK1753" s="201">
        <f t="shared" ref="AK1753:AS1753" si="8852">countif($D1753,"*"&amp;AK$2&amp;"*")</f>
        <v>0</v>
      </c>
      <c r="AL1753" s="201">
        <f t="shared" si="8852"/>
        <v>0</v>
      </c>
      <c r="AM1753" s="201">
        <f t="shared" si="8852"/>
        <v>0</v>
      </c>
      <c r="AN1753" s="201">
        <f t="shared" si="8852"/>
        <v>0</v>
      </c>
      <c r="AO1753" s="201">
        <f t="shared" si="8852"/>
        <v>0</v>
      </c>
      <c r="AP1753" s="201">
        <f t="shared" si="8852"/>
        <v>0</v>
      </c>
      <c r="AQ1753" s="201">
        <f t="shared" si="8852"/>
        <v>0</v>
      </c>
      <c r="AR1753" s="200">
        <f t="shared" si="8852"/>
        <v>0</v>
      </c>
      <c r="AS1753" s="200">
        <f t="shared" si="8852"/>
        <v>0</v>
      </c>
      <c r="AT1753" s="173">
        <v>0.0</v>
      </c>
      <c r="AU1753" s="200">
        <f t="shared" ref="AU1753:AX1753" si="8853">countif($D1753,"*"&amp;AU$2&amp;"*")</f>
        <v>0</v>
      </c>
      <c r="AV1753" s="200">
        <f t="shared" si="8853"/>
        <v>1</v>
      </c>
      <c r="AW1753" s="200">
        <f t="shared" si="8853"/>
        <v>0</v>
      </c>
      <c r="AX1753" s="200">
        <f t="shared" si="8853"/>
        <v>0</v>
      </c>
      <c r="AY1753" s="202">
        <v>0.0</v>
      </c>
      <c r="AZ1753" s="200"/>
      <c r="BA1753" s="171" t="str">
        <f t="shared" si="18"/>
        <v/>
      </c>
      <c r="BB1753" s="171" t="str">
        <f t="shared" si="19"/>
        <v>Code</v>
      </c>
      <c r="BC1753" s="171" t="str">
        <f t="shared" si="20"/>
        <v/>
      </c>
      <c r="BD1753" s="171" t="str">
        <f t="shared" si="21"/>
        <v/>
      </c>
      <c r="BE1753" s="171" t="str">
        <f t="shared" si="22"/>
        <v/>
      </c>
      <c r="BF1753" s="171" t="str">
        <f t="shared" si="23"/>
        <v>Code</v>
      </c>
    </row>
    <row r="1754">
      <c r="A1754" s="171">
        <f t="array" ref="A1754">XLOOKUP(C1754,FSE!A:A,FSE!C:C,"XXXXX",0,1)</f>
        <v>2020</v>
      </c>
      <c r="B1754" s="213" t="s">
        <v>5676</v>
      </c>
      <c r="C1754" s="214">
        <v>423.0</v>
      </c>
      <c r="D1754" s="215" t="s">
        <v>6420</v>
      </c>
      <c r="E1754" s="197" t="str">
        <f t="array" ref="E1754">XLOOKUP(C1754,FSE!A:A,FSE!Z:Z,"XXXXX",0,1)</f>
        <v>Publicly Available (4)</v>
      </c>
      <c r="F1754" s="213" t="s">
        <v>3394</v>
      </c>
      <c r="G1754" s="163" t="str">
        <f t="array" ref="G1754">IF(B1754="ICSE",IF(COUNTIFS(B:B,B1754,C:C,C1754)=XLOOKUP(C1754,ICSE!A:A,ICSE!AA:AA,"ERROR",0,1),"OK","ERROR"),IF(B1754="FSE",IF(COUNTIFS(B:B,B1754,C:C,C1754)=XLOOKUP(C1754,FSE!A:A,FSE!AA:AA,"ERROR",0,1),"OK","ERROR")))</f>
        <v>OK</v>
      </c>
      <c r="H1754" s="199">
        <f t="shared" ref="H1754:O1754" si="8854">countif($D1754,"*"&amp;H$2&amp;"*")</f>
        <v>1</v>
      </c>
      <c r="I1754" s="200">
        <f t="shared" si="8854"/>
        <v>0</v>
      </c>
      <c r="J1754" s="200">
        <f t="shared" si="8854"/>
        <v>0</v>
      </c>
      <c r="K1754" s="200">
        <f t="shared" si="8854"/>
        <v>0</v>
      </c>
      <c r="L1754" s="200">
        <f t="shared" si="8854"/>
        <v>0</v>
      </c>
      <c r="M1754" s="200">
        <f t="shared" si="8854"/>
        <v>0</v>
      </c>
      <c r="N1754" s="200">
        <f t="shared" si="8854"/>
        <v>0</v>
      </c>
      <c r="O1754" s="200">
        <f t="shared" si="8854"/>
        <v>0</v>
      </c>
      <c r="P1754" s="200">
        <f t="shared" si="9"/>
        <v>0</v>
      </c>
      <c r="Q1754" s="200">
        <f t="shared" ref="Q1754:AC1754" si="8855">countif($D1754,"*"&amp;Q$2&amp;"*")</f>
        <v>0</v>
      </c>
      <c r="R1754" s="200">
        <f t="shared" si="8855"/>
        <v>0</v>
      </c>
      <c r="S1754" s="200">
        <f t="shared" si="8855"/>
        <v>0</v>
      </c>
      <c r="T1754" s="200">
        <f t="shared" si="8855"/>
        <v>0</v>
      </c>
      <c r="U1754" s="200">
        <f t="shared" si="8855"/>
        <v>0</v>
      </c>
      <c r="V1754" s="200">
        <f t="shared" si="8855"/>
        <v>0</v>
      </c>
      <c r="W1754" s="200">
        <f t="shared" si="8855"/>
        <v>0</v>
      </c>
      <c r="X1754" s="200">
        <f t="shared" si="8855"/>
        <v>0</v>
      </c>
      <c r="Y1754" s="200">
        <f t="shared" si="8855"/>
        <v>0</v>
      </c>
      <c r="Z1754" s="200">
        <f t="shared" si="8855"/>
        <v>0</v>
      </c>
      <c r="AA1754" s="200">
        <f t="shared" si="8855"/>
        <v>0</v>
      </c>
      <c r="AB1754" s="200">
        <f t="shared" si="8855"/>
        <v>0</v>
      </c>
      <c r="AC1754" s="200">
        <f t="shared" si="8855"/>
        <v>0</v>
      </c>
      <c r="AD1754" s="200">
        <f t="shared" si="11"/>
        <v>0</v>
      </c>
      <c r="AE1754" s="200">
        <f t="shared" ref="AE1754:AG1754" si="8856">countif($D1754,"*"&amp;AE$2&amp;"*")</f>
        <v>0</v>
      </c>
      <c r="AF1754" s="200">
        <f t="shared" si="8856"/>
        <v>0</v>
      </c>
      <c r="AG1754" s="200">
        <f t="shared" si="8856"/>
        <v>0</v>
      </c>
      <c r="AH1754" s="171">
        <f t="shared" si="13"/>
        <v>0</v>
      </c>
      <c r="AI1754" s="200">
        <f t="shared" si="14"/>
        <v>1</v>
      </c>
      <c r="AJ1754" s="200">
        <f t="shared" si="8701"/>
        <v>0</v>
      </c>
      <c r="AK1754" s="201">
        <f t="shared" ref="AK1754:AS1754" si="8857">countif($D1754,"*"&amp;AK$2&amp;"*")</f>
        <v>0</v>
      </c>
      <c r="AL1754" s="201">
        <f t="shared" si="8857"/>
        <v>0</v>
      </c>
      <c r="AM1754" s="201">
        <f t="shared" si="8857"/>
        <v>0</v>
      </c>
      <c r="AN1754" s="201">
        <f t="shared" si="8857"/>
        <v>0</v>
      </c>
      <c r="AO1754" s="201">
        <f t="shared" si="8857"/>
        <v>0</v>
      </c>
      <c r="AP1754" s="201">
        <f t="shared" si="8857"/>
        <v>0</v>
      </c>
      <c r="AQ1754" s="201">
        <f t="shared" si="8857"/>
        <v>0</v>
      </c>
      <c r="AR1754" s="200">
        <f t="shared" si="8857"/>
        <v>0</v>
      </c>
      <c r="AS1754" s="200">
        <f t="shared" si="8857"/>
        <v>0</v>
      </c>
      <c r="AT1754" s="173">
        <v>0.0</v>
      </c>
      <c r="AU1754" s="200">
        <f t="shared" ref="AU1754:AX1754" si="8858">countif($D1754,"*"&amp;AU$2&amp;"*")</f>
        <v>0</v>
      </c>
      <c r="AV1754" s="200">
        <f t="shared" si="8858"/>
        <v>0</v>
      </c>
      <c r="AW1754" s="200">
        <f t="shared" si="8858"/>
        <v>0</v>
      </c>
      <c r="AX1754" s="200">
        <f t="shared" si="8858"/>
        <v>1</v>
      </c>
      <c r="AY1754" s="202">
        <v>0.0</v>
      </c>
      <c r="AZ1754" s="200"/>
      <c r="BA1754" s="171" t="str">
        <f t="shared" si="18"/>
        <v>Archival</v>
      </c>
      <c r="BB1754" s="171" t="str">
        <f t="shared" si="19"/>
        <v/>
      </c>
      <c r="BC1754" s="171" t="str">
        <f t="shared" si="20"/>
        <v/>
      </c>
      <c r="BD1754" s="171" t="str">
        <f t="shared" si="21"/>
        <v/>
      </c>
      <c r="BE1754" s="171" t="str">
        <f t="shared" si="22"/>
        <v/>
      </c>
      <c r="BF1754" s="171" t="str">
        <f t="shared" si="23"/>
        <v>Archival</v>
      </c>
    </row>
    <row r="1755">
      <c r="A1755" s="171">
        <f t="array" ref="A1755">XLOOKUP(C1755,FSE!A:A,FSE!C:C,"XXXXX",0,1)</f>
        <v>2020</v>
      </c>
      <c r="B1755" s="213" t="s">
        <v>5676</v>
      </c>
      <c r="C1755" s="214">
        <v>423.0</v>
      </c>
      <c r="D1755" s="215" t="s">
        <v>6421</v>
      </c>
      <c r="E1755" s="197" t="str">
        <f t="array" ref="E1755">XLOOKUP(C1755,FSE!A:A,FSE!Z:Z,"XXXXX",0,1)</f>
        <v>Publicly Available (4)</v>
      </c>
      <c r="F1755" s="213" t="s">
        <v>3394</v>
      </c>
      <c r="G1755" s="163" t="str">
        <f t="array" ref="G1755">IF(B1755="ICSE",IF(COUNTIFS(B:B,B1755,C:C,C1755)=XLOOKUP(C1755,ICSE!A:A,ICSE!AA:AA,"ERROR",0,1),"OK","ERROR"),IF(B1755="FSE",IF(COUNTIFS(B:B,B1755,C:C,C1755)=XLOOKUP(C1755,FSE!A:A,FSE!AA:AA,"ERROR",0,1),"OK","ERROR")))</f>
        <v>OK</v>
      </c>
      <c r="H1755" s="199">
        <f t="shared" ref="H1755:O1755" si="8859">countif($D1755,"*"&amp;H$2&amp;"*")</f>
        <v>0</v>
      </c>
      <c r="I1755" s="200">
        <f t="shared" si="8859"/>
        <v>0</v>
      </c>
      <c r="J1755" s="200">
        <f t="shared" si="8859"/>
        <v>0</v>
      </c>
      <c r="K1755" s="200">
        <f t="shared" si="8859"/>
        <v>0</v>
      </c>
      <c r="L1755" s="200">
        <f t="shared" si="8859"/>
        <v>0</v>
      </c>
      <c r="M1755" s="200">
        <f t="shared" si="8859"/>
        <v>0</v>
      </c>
      <c r="N1755" s="200">
        <f t="shared" si="8859"/>
        <v>0</v>
      </c>
      <c r="O1755" s="200">
        <f t="shared" si="8859"/>
        <v>0</v>
      </c>
      <c r="P1755" s="200">
        <f t="shared" si="9"/>
        <v>0</v>
      </c>
      <c r="Q1755" s="200">
        <f t="shared" ref="Q1755:AC1755" si="8860">countif($D1755,"*"&amp;Q$2&amp;"*")</f>
        <v>0</v>
      </c>
      <c r="R1755" s="200">
        <f t="shared" si="8860"/>
        <v>0</v>
      </c>
      <c r="S1755" s="200">
        <f t="shared" si="8860"/>
        <v>0</v>
      </c>
      <c r="T1755" s="200">
        <f t="shared" si="8860"/>
        <v>0</v>
      </c>
      <c r="U1755" s="200">
        <f t="shared" si="8860"/>
        <v>0</v>
      </c>
      <c r="V1755" s="200">
        <f t="shared" si="8860"/>
        <v>0</v>
      </c>
      <c r="W1755" s="200">
        <f t="shared" si="8860"/>
        <v>0</v>
      </c>
      <c r="X1755" s="200">
        <f t="shared" si="8860"/>
        <v>0</v>
      </c>
      <c r="Y1755" s="200">
        <f t="shared" si="8860"/>
        <v>0</v>
      </c>
      <c r="Z1755" s="200">
        <f t="shared" si="8860"/>
        <v>0</v>
      </c>
      <c r="AA1755" s="200">
        <f t="shared" si="8860"/>
        <v>0</v>
      </c>
      <c r="AB1755" s="200">
        <f t="shared" si="8860"/>
        <v>0</v>
      </c>
      <c r="AC1755" s="200">
        <f t="shared" si="8860"/>
        <v>0</v>
      </c>
      <c r="AD1755" s="200">
        <f t="shared" si="11"/>
        <v>1</v>
      </c>
      <c r="AE1755" s="200">
        <f t="shared" ref="AE1755:AG1755" si="8861">countif($D1755,"*"&amp;AE$2&amp;"*")</f>
        <v>0</v>
      </c>
      <c r="AF1755" s="200">
        <f t="shared" si="8861"/>
        <v>0</v>
      </c>
      <c r="AG1755" s="200">
        <f t="shared" si="8861"/>
        <v>0</v>
      </c>
      <c r="AH1755" s="171">
        <f t="shared" si="13"/>
        <v>0</v>
      </c>
      <c r="AI1755" s="200">
        <f t="shared" si="14"/>
        <v>0</v>
      </c>
      <c r="AJ1755" s="200">
        <f>SUM(AK1755:AQ1755)</f>
        <v>0</v>
      </c>
      <c r="AK1755" s="201">
        <f t="shared" ref="AK1755:AS1755" si="8862">countif($D1755,"*"&amp;AK$2&amp;"*")</f>
        <v>0</v>
      </c>
      <c r="AL1755" s="201">
        <f t="shared" si="8862"/>
        <v>0</v>
      </c>
      <c r="AM1755" s="201">
        <f t="shared" si="8862"/>
        <v>0</v>
      </c>
      <c r="AN1755" s="201">
        <f t="shared" si="8862"/>
        <v>0</v>
      </c>
      <c r="AO1755" s="201">
        <f t="shared" si="8862"/>
        <v>0</v>
      </c>
      <c r="AP1755" s="201">
        <f t="shared" si="8862"/>
        <v>0</v>
      </c>
      <c r="AQ1755" s="201">
        <f t="shared" si="8862"/>
        <v>0</v>
      </c>
      <c r="AR1755" s="201">
        <f t="shared" si="8862"/>
        <v>0</v>
      </c>
      <c r="AS1755" s="200">
        <f t="shared" si="8862"/>
        <v>0</v>
      </c>
      <c r="AT1755" s="205">
        <v>0.0</v>
      </c>
      <c r="AU1755" s="200">
        <f t="shared" ref="AU1755:AX1755" si="8863">countif($D1755,"*"&amp;AU$2&amp;"*")</f>
        <v>1</v>
      </c>
      <c r="AV1755" s="200">
        <f t="shared" si="8863"/>
        <v>0</v>
      </c>
      <c r="AW1755" s="200">
        <f t="shared" si="8863"/>
        <v>0</v>
      </c>
      <c r="AX1755" s="200">
        <f t="shared" si="8863"/>
        <v>0</v>
      </c>
      <c r="AY1755" s="202">
        <v>0.0</v>
      </c>
      <c r="AZ1755" s="200"/>
      <c r="BA1755" s="171" t="str">
        <f t="shared" si="18"/>
        <v/>
      </c>
      <c r="BB1755" s="171" t="str">
        <f t="shared" si="19"/>
        <v/>
      </c>
      <c r="BC1755" s="171" t="str">
        <f t="shared" si="20"/>
        <v/>
      </c>
      <c r="BD1755" s="171" t="str">
        <f t="shared" si="21"/>
        <v>Institutional</v>
      </c>
      <c r="BE1755" s="171" t="str">
        <f t="shared" si="22"/>
        <v/>
      </c>
      <c r="BF1755" s="171" t="str">
        <f t="shared" si="23"/>
        <v>Institutional</v>
      </c>
    </row>
    <row r="1756">
      <c r="A1756" s="171">
        <f t="array" ref="A1756">XLOOKUP(C1756,FSE!A:A,FSE!C:C,"XXXXX",0,1)</f>
        <v>2020</v>
      </c>
      <c r="B1756" s="213" t="s">
        <v>5676</v>
      </c>
      <c r="C1756" s="214">
        <v>423.0</v>
      </c>
      <c r="D1756" s="215" t="s">
        <v>6422</v>
      </c>
      <c r="E1756" s="197" t="str">
        <f t="array" ref="E1756">XLOOKUP(C1756,FSE!A:A,FSE!Z:Z,"XXXXX",0,1)</f>
        <v>Publicly Available (4)</v>
      </c>
      <c r="F1756" s="213" t="s">
        <v>3394</v>
      </c>
      <c r="G1756" s="163" t="str">
        <f t="array" ref="G1756">IF(B1756="ICSE",IF(COUNTIFS(B:B,B1756,C:C,C1756)=XLOOKUP(C1756,ICSE!A:A,ICSE!AA:AA,"ERROR",0,1),"OK","ERROR"),IF(B1756="FSE",IF(COUNTIFS(B:B,B1756,C:C,C1756)=XLOOKUP(C1756,FSE!A:A,FSE!AA:AA,"ERROR",0,1),"OK","ERROR")))</f>
        <v>OK</v>
      </c>
      <c r="H1756" s="199">
        <f t="shared" ref="H1756:O1756" si="8864">countif($D1756,"*"&amp;H$2&amp;"*")</f>
        <v>1</v>
      </c>
      <c r="I1756" s="200">
        <f t="shared" si="8864"/>
        <v>0</v>
      </c>
      <c r="J1756" s="200">
        <f t="shared" si="8864"/>
        <v>0</v>
      </c>
      <c r="K1756" s="200">
        <f t="shared" si="8864"/>
        <v>0</v>
      </c>
      <c r="L1756" s="200">
        <f t="shared" si="8864"/>
        <v>0</v>
      </c>
      <c r="M1756" s="200">
        <f t="shared" si="8864"/>
        <v>0</v>
      </c>
      <c r="N1756" s="200">
        <f t="shared" si="8864"/>
        <v>0</v>
      </c>
      <c r="O1756" s="200">
        <f t="shared" si="8864"/>
        <v>0</v>
      </c>
      <c r="P1756" s="200">
        <f t="shared" si="9"/>
        <v>0</v>
      </c>
      <c r="Q1756" s="200">
        <f t="shared" ref="Q1756:AC1756" si="8865">countif($D1756,"*"&amp;Q$2&amp;"*")</f>
        <v>0</v>
      </c>
      <c r="R1756" s="200">
        <f t="shared" si="8865"/>
        <v>0</v>
      </c>
      <c r="S1756" s="200">
        <f t="shared" si="8865"/>
        <v>0</v>
      </c>
      <c r="T1756" s="200">
        <f t="shared" si="8865"/>
        <v>0</v>
      </c>
      <c r="U1756" s="200">
        <f t="shared" si="8865"/>
        <v>0</v>
      </c>
      <c r="V1756" s="200">
        <f t="shared" si="8865"/>
        <v>0</v>
      </c>
      <c r="W1756" s="200">
        <f t="shared" si="8865"/>
        <v>0</v>
      </c>
      <c r="X1756" s="200">
        <f t="shared" si="8865"/>
        <v>0</v>
      </c>
      <c r="Y1756" s="200">
        <f t="shared" si="8865"/>
        <v>0</v>
      </c>
      <c r="Z1756" s="200">
        <f t="shared" si="8865"/>
        <v>0</v>
      </c>
      <c r="AA1756" s="200">
        <f t="shared" si="8865"/>
        <v>0</v>
      </c>
      <c r="AB1756" s="200">
        <f t="shared" si="8865"/>
        <v>0</v>
      </c>
      <c r="AC1756" s="200">
        <f t="shared" si="8865"/>
        <v>0</v>
      </c>
      <c r="AD1756" s="200">
        <f t="shared" si="11"/>
        <v>0</v>
      </c>
      <c r="AE1756" s="200">
        <f t="shared" ref="AE1756:AG1756" si="8866">countif($D1756,"*"&amp;AE$2&amp;"*")</f>
        <v>0</v>
      </c>
      <c r="AF1756" s="200">
        <f t="shared" si="8866"/>
        <v>0</v>
      </c>
      <c r="AG1756" s="200">
        <f t="shared" si="8866"/>
        <v>0</v>
      </c>
      <c r="AH1756" s="171">
        <f t="shared" si="13"/>
        <v>0</v>
      </c>
      <c r="AI1756" s="200">
        <f t="shared" si="14"/>
        <v>1</v>
      </c>
      <c r="AJ1756" s="200">
        <f t="shared" ref="AJ1756:AJ1772" si="8872">SUM(AK1756:AR1756)</f>
        <v>0</v>
      </c>
      <c r="AK1756" s="201">
        <f t="shared" ref="AK1756:AS1756" si="8867">countif($D1756,"*"&amp;AK$2&amp;"*")</f>
        <v>0</v>
      </c>
      <c r="AL1756" s="201">
        <f t="shared" si="8867"/>
        <v>0</v>
      </c>
      <c r="AM1756" s="201">
        <f t="shared" si="8867"/>
        <v>0</v>
      </c>
      <c r="AN1756" s="201">
        <f t="shared" si="8867"/>
        <v>0</v>
      </c>
      <c r="AO1756" s="201">
        <f t="shared" si="8867"/>
        <v>0</v>
      </c>
      <c r="AP1756" s="201">
        <f t="shared" si="8867"/>
        <v>0</v>
      </c>
      <c r="AQ1756" s="201">
        <f t="shared" si="8867"/>
        <v>0</v>
      </c>
      <c r="AR1756" s="200">
        <f t="shared" si="8867"/>
        <v>0</v>
      </c>
      <c r="AS1756" s="200">
        <f t="shared" si="8867"/>
        <v>0</v>
      </c>
      <c r="AT1756" s="173">
        <v>0.0</v>
      </c>
      <c r="AU1756" s="200">
        <f t="shared" ref="AU1756:AX1756" si="8868">countif($D1756,"*"&amp;AU$2&amp;"*")</f>
        <v>0</v>
      </c>
      <c r="AV1756" s="200">
        <f t="shared" si="8868"/>
        <v>0</v>
      </c>
      <c r="AW1756" s="200">
        <f t="shared" si="8868"/>
        <v>0</v>
      </c>
      <c r="AX1756" s="200">
        <f t="shared" si="8868"/>
        <v>1</v>
      </c>
      <c r="AY1756" s="202">
        <v>0.0</v>
      </c>
      <c r="AZ1756" s="200"/>
      <c r="BA1756" s="171" t="str">
        <f t="shared" si="18"/>
        <v>Archival</v>
      </c>
      <c r="BB1756" s="171" t="str">
        <f t="shared" si="19"/>
        <v/>
      </c>
      <c r="BC1756" s="171" t="str">
        <f t="shared" si="20"/>
        <v/>
      </c>
      <c r="BD1756" s="171" t="str">
        <f t="shared" si="21"/>
        <v/>
      </c>
      <c r="BE1756" s="171" t="str">
        <f t="shared" si="22"/>
        <v/>
      </c>
      <c r="BF1756" s="171" t="str">
        <f t="shared" si="23"/>
        <v>Archival</v>
      </c>
    </row>
    <row r="1757">
      <c r="A1757" s="171">
        <f t="array" ref="A1757">XLOOKUP(C1757,FSE!A:A,FSE!C:C,"XXXXX",0,1)</f>
        <v>2020</v>
      </c>
      <c r="B1757" s="213" t="s">
        <v>5676</v>
      </c>
      <c r="C1757" s="214">
        <v>423.0</v>
      </c>
      <c r="D1757" s="215" t="s">
        <v>6423</v>
      </c>
      <c r="E1757" s="197" t="str">
        <f t="array" ref="E1757">XLOOKUP(C1757,FSE!A:A,FSE!Z:Z,"XXXXX",0,1)</f>
        <v>Publicly Available (4)</v>
      </c>
      <c r="F1757" s="213" t="s">
        <v>3394</v>
      </c>
      <c r="G1757" s="163" t="str">
        <f t="array" ref="G1757">IF(B1757="ICSE",IF(COUNTIFS(B:B,B1757,C:C,C1757)=XLOOKUP(C1757,ICSE!A:A,ICSE!AA:AA,"ERROR",0,1),"OK","ERROR"),IF(B1757="FSE",IF(COUNTIFS(B:B,B1757,C:C,C1757)=XLOOKUP(C1757,FSE!A:A,FSE!AA:AA,"ERROR",0,1),"OK","ERROR")))</f>
        <v>OK</v>
      </c>
      <c r="H1757" s="199">
        <f t="shared" ref="H1757:O1757" si="8869">countif($D1757,"*"&amp;H$2&amp;"*")</f>
        <v>1</v>
      </c>
      <c r="I1757" s="200">
        <f t="shared" si="8869"/>
        <v>0</v>
      </c>
      <c r="J1757" s="200">
        <f t="shared" si="8869"/>
        <v>0</v>
      </c>
      <c r="K1757" s="200">
        <f t="shared" si="8869"/>
        <v>0</v>
      </c>
      <c r="L1757" s="200">
        <f t="shared" si="8869"/>
        <v>0</v>
      </c>
      <c r="M1757" s="200">
        <f t="shared" si="8869"/>
        <v>0</v>
      </c>
      <c r="N1757" s="200">
        <f t="shared" si="8869"/>
        <v>0</v>
      </c>
      <c r="O1757" s="200">
        <f t="shared" si="8869"/>
        <v>0</v>
      </c>
      <c r="P1757" s="200">
        <f t="shared" si="9"/>
        <v>0</v>
      </c>
      <c r="Q1757" s="200">
        <f t="shared" ref="Q1757:AC1757" si="8870">countif($D1757,"*"&amp;Q$2&amp;"*")</f>
        <v>0</v>
      </c>
      <c r="R1757" s="200">
        <f t="shared" si="8870"/>
        <v>0</v>
      </c>
      <c r="S1757" s="200">
        <f t="shared" si="8870"/>
        <v>0</v>
      </c>
      <c r="T1757" s="200">
        <f t="shared" si="8870"/>
        <v>0</v>
      </c>
      <c r="U1757" s="200">
        <f t="shared" si="8870"/>
        <v>0</v>
      </c>
      <c r="V1757" s="200">
        <f t="shared" si="8870"/>
        <v>0</v>
      </c>
      <c r="W1757" s="200">
        <f t="shared" si="8870"/>
        <v>0</v>
      </c>
      <c r="X1757" s="200">
        <f t="shared" si="8870"/>
        <v>0</v>
      </c>
      <c r="Y1757" s="200">
        <f t="shared" si="8870"/>
        <v>0</v>
      </c>
      <c r="Z1757" s="200">
        <f t="shared" si="8870"/>
        <v>0</v>
      </c>
      <c r="AA1757" s="200">
        <f t="shared" si="8870"/>
        <v>0</v>
      </c>
      <c r="AB1757" s="200">
        <f t="shared" si="8870"/>
        <v>0</v>
      </c>
      <c r="AC1757" s="200">
        <f t="shared" si="8870"/>
        <v>0</v>
      </c>
      <c r="AD1757" s="200">
        <f t="shared" si="11"/>
        <v>0</v>
      </c>
      <c r="AE1757" s="200">
        <f t="shared" ref="AE1757:AG1757" si="8871">countif($D1757,"*"&amp;AE$2&amp;"*")</f>
        <v>0</v>
      </c>
      <c r="AF1757" s="200">
        <f t="shared" si="8871"/>
        <v>0</v>
      </c>
      <c r="AG1757" s="200">
        <f t="shared" si="8871"/>
        <v>0</v>
      </c>
      <c r="AH1757" s="171">
        <f t="shared" si="13"/>
        <v>0</v>
      </c>
      <c r="AI1757" s="200">
        <f t="shared" si="14"/>
        <v>1</v>
      </c>
      <c r="AJ1757" s="200">
        <f t="shared" si="8872"/>
        <v>0</v>
      </c>
      <c r="AK1757" s="201">
        <f t="shared" ref="AK1757:AS1757" si="8873">countif($D1757,"*"&amp;AK$2&amp;"*")</f>
        <v>0</v>
      </c>
      <c r="AL1757" s="201">
        <f t="shared" si="8873"/>
        <v>0</v>
      </c>
      <c r="AM1757" s="201">
        <f t="shared" si="8873"/>
        <v>0</v>
      </c>
      <c r="AN1757" s="201">
        <f t="shared" si="8873"/>
        <v>0</v>
      </c>
      <c r="AO1757" s="201">
        <f t="shared" si="8873"/>
        <v>0</v>
      </c>
      <c r="AP1757" s="201">
        <f t="shared" si="8873"/>
        <v>0</v>
      </c>
      <c r="AQ1757" s="201">
        <f t="shared" si="8873"/>
        <v>0</v>
      </c>
      <c r="AR1757" s="200">
        <f t="shared" si="8873"/>
        <v>0</v>
      </c>
      <c r="AS1757" s="200">
        <f t="shared" si="8873"/>
        <v>0</v>
      </c>
      <c r="AT1757" s="173">
        <v>0.0</v>
      </c>
      <c r="AU1757" s="200">
        <f t="shared" ref="AU1757:AX1757" si="8874">countif($D1757,"*"&amp;AU$2&amp;"*")</f>
        <v>0</v>
      </c>
      <c r="AV1757" s="200">
        <f t="shared" si="8874"/>
        <v>0</v>
      </c>
      <c r="AW1757" s="200">
        <f t="shared" si="8874"/>
        <v>0</v>
      </c>
      <c r="AX1757" s="200">
        <f t="shared" si="8874"/>
        <v>1</v>
      </c>
      <c r="AY1757" s="202">
        <v>0.0</v>
      </c>
      <c r="AZ1757" s="200"/>
      <c r="BA1757" s="171" t="str">
        <f t="shared" si="18"/>
        <v>Archival</v>
      </c>
      <c r="BB1757" s="171" t="str">
        <f t="shared" si="19"/>
        <v/>
      </c>
      <c r="BC1757" s="171" t="str">
        <f t="shared" si="20"/>
        <v/>
      </c>
      <c r="BD1757" s="171" t="str">
        <f t="shared" si="21"/>
        <v/>
      </c>
      <c r="BE1757" s="171" t="str">
        <f t="shared" si="22"/>
        <v/>
      </c>
      <c r="BF1757" s="171" t="str">
        <f t="shared" si="23"/>
        <v>Archival</v>
      </c>
    </row>
    <row r="1758">
      <c r="A1758" s="171">
        <f t="array" ref="A1758">XLOOKUP(C1758,FSE!A:A,FSE!C:C,"XXXXX",0,1)</f>
        <v>2020</v>
      </c>
      <c r="B1758" s="213" t="s">
        <v>5676</v>
      </c>
      <c r="C1758" s="214">
        <v>424.0</v>
      </c>
      <c r="D1758" s="215" t="s">
        <v>4765</v>
      </c>
      <c r="E1758" s="197" t="str">
        <f t="array" ref="E1758">XLOOKUP(C1758,FSE!A:A,FSE!Z:Z,"XXXXX",0,1)</f>
        <v>Publicly Available (1)</v>
      </c>
      <c r="F1758" s="213" t="s">
        <v>3394</v>
      </c>
      <c r="G1758" s="163" t="str">
        <f t="array" ref="G1758">IF(B1758="ICSE",IF(COUNTIFS(B:B,B1758,C:C,C1758)=XLOOKUP(C1758,ICSE!A:A,ICSE!AA:AA,"ERROR",0,1),"OK","ERROR"),IF(B1758="FSE",IF(COUNTIFS(B:B,B1758,C:C,C1758)=XLOOKUP(C1758,FSE!A:A,FSE!AA:AA,"ERROR",0,1),"OK","ERROR")))</f>
        <v>OK</v>
      </c>
      <c r="H1758" s="199">
        <f t="shared" ref="H1758:O1758" si="8875">countif($D1758,"*"&amp;H$2&amp;"*")</f>
        <v>1</v>
      </c>
      <c r="I1758" s="200">
        <f t="shared" si="8875"/>
        <v>0</v>
      </c>
      <c r="J1758" s="200">
        <f t="shared" si="8875"/>
        <v>0</v>
      </c>
      <c r="K1758" s="200">
        <f t="shared" si="8875"/>
        <v>0</v>
      </c>
      <c r="L1758" s="200">
        <f t="shared" si="8875"/>
        <v>0</v>
      </c>
      <c r="M1758" s="200">
        <f t="shared" si="8875"/>
        <v>0</v>
      </c>
      <c r="N1758" s="200">
        <f t="shared" si="8875"/>
        <v>0</v>
      </c>
      <c r="O1758" s="200">
        <f t="shared" si="8875"/>
        <v>0</v>
      </c>
      <c r="P1758" s="200">
        <f t="shared" si="9"/>
        <v>0</v>
      </c>
      <c r="Q1758" s="200">
        <f t="shared" ref="Q1758:AC1758" si="8876">countif($D1758,"*"&amp;Q$2&amp;"*")</f>
        <v>0</v>
      </c>
      <c r="R1758" s="200">
        <f t="shared" si="8876"/>
        <v>0</v>
      </c>
      <c r="S1758" s="200">
        <f t="shared" si="8876"/>
        <v>0</v>
      </c>
      <c r="T1758" s="200">
        <f t="shared" si="8876"/>
        <v>0</v>
      </c>
      <c r="U1758" s="200">
        <f t="shared" si="8876"/>
        <v>0</v>
      </c>
      <c r="V1758" s="200">
        <f t="shared" si="8876"/>
        <v>0</v>
      </c>
      <c r="W1758" s="200">
        <f t="shared" si="8876"/>
        <v>0</v>
      </c>
      <c r="X1758" s="200">
        <f t="shared" si="8876"/>
        <v>0</v>
      </c>
      <c r="Y1758" s="200">
        <f t="shared" si="8876"/>
        <v>0</v>
      </c>
      <c r="Z1758" s="200">
        <f t="shared" si="8876"/>
        <v>0</v>
      </c>
      <c r="AA1758" s="200">
        <f t="shared" si="8876"/>
        <v>0</v>
      </c>
      <c r="AB1758" s="200">
        <f t="shared" si="8876"/>
        <v>0</v>
      </c>
      <c r="AC1758" s="200">
        <f t="shared" si="8876"/>
        <v>0</v>
      </c>
      <c r="AD1758" s="200">
        <f t="shared" si="11"/>
        <v>0</v>
      </c>
      <c r="AE1758" s="200">
        <f t="shared" ref="AE1758:AG1758" si="8877">countif($D1758,"*"&amp;AE$2&amp;"*")</f>
        <v>0</v>
      </c>
      <c r="AF1758" s="200">
        <f t="shared" si="8877"/>
        <v>0</v>
      </c>
      <c r="AG1758" s="200">
        <f t="shared" si="8877"/>
        <v>0</v>
      </c>
      <c r="AH1758" s="171">
        <f t="shared" si="13"/>
        <v>0</v>
      </c>
      <c r="AI1758" s="200">
        <f t="shared" si="14"/>
        <v>1</v>
      </c>
      <c r="AJ1758" s="200">
        <f t="shared" si="8872"/>
        <v>0</v>
      </c>
      <c r="AK1758" s="201">
        <f t="shared" ref="AK1758:AS1758" si="8878">countif($D1758,"*"&amp;AK$2&amp;"*")</f>
        <v>0</v>
      </c>
      <c r="AL1758" s="201">
        <f t="shared" si="8878"/>
        <v>0</v>
      </c>
      <c r="AM1758" s="201">
        <f t="shared" si="8878"/>
        <v>0</v>
      </c>
      <c r="AN1758" s="201">
        <f t="shared" si="8878"/>
        <v>0</v>
      </c>
      <c r="AO1758" s="201">
        <f t="shared" si="8878"/>
        <v>0</v>
      </c>
      <c r="AP1758" s="201">
        <f t="shared" si="8878"/>
        <v>0</v>
      </c>
      <c r="AQ1758" s="201">
        <f t="shared" si="8878"/>
        <v>0</v>
      </c>
      <c r="AR1758" s="200">
        <f t="shared" si="8878"/>
        <v>0</v>
      </c>
      <c r="AS1758" s="200">
        <f t="shared" si="8878"/>
        <v>0</v>
      </c>
      <c r="AT1758" s="173">
        <v>0.0</v>
      </c>
      <c r="AU1758" s="200">
        <f t="shared" ref="AU1758:AX1758" si="8879">countif($D1758,"*"&amp;AU$2&amp;"*")</f>
        <v>0</v>
      </c>
      <c r="AV1758" s="200">
        <f t="shared" si="8879"/>
        <v>0</v>
      </c>
      <c r="AW1758" s="200">
        <f t="shared" si="8879"/>
        <v>0</v>
      </c>
      <c r="AX1758" s="200">
        <f t="shared" si="8879"/>
        <v>0</v>
      </c>
      <c r="AY1758" s="204">
        <v>1.0</v>
      </c>
      <c r="AZ1758" s="200"/>
      <c r="BA1758" s="171" t="str">
        <f t="shared" si="18"/>
        <v>Archival</v>
      </c>
      <c r="BB1758" s="171" t="str">
        <f t="shared" si="19"/>
        <v/>
      </c>
      <c r="BC1758" s="171" t="str">
        <f t="shared" si="20"/>
        <v/>
      </c>
      <c r="BD1758" s="171" t="str">
        <f t="shared" si="21"/>
        <v/>
      </c>
      <c r="BE1758" s="171" t="str">
        <f t="shared" si="22"/>
        <v/>
      </c>
      <c r="BF1758" s="171" t="str">
        <f t="shared" si="23"/>
        <v>Archival</v>
      </c>
    </row>
    <row r="1759">
      <c r="A1759" s="171">
        <f t="array" ref="A1759">XLOOKUP(C1759,FSE!A:A,FSE!C:C,"XXXXX",0,1)</f>
        <v>2019</v>
      </c>
      <c r="B1759" s="213" t="s">
        <v>5676</v>
      </c>
      <c r="C1759" s="214">
        <v>426.0</v>
      </c>
      <c r="D1759" s="215" t="s">
        <v>4253</v>
      </c>
      <c r="E1759" s="197" t="str">
        <f t="array" ref="E1759">XLOOKUP(C1759,FSE!A:A,FSE!Z:Z,"XXXXX",0,1)</f>
        <v>Publicly Available (1)</v>
      </c>
      <c r="F1759" s="213" t="s">
        <v>3394</v>
      </c>
      <c r="G1759" s="163" t="str">
        <f t="array" ref="G1759">IF(B1759="ICSE",IF(COUNTIFS(B:B,B1759,C:C,C1759)=XLOOKUP(C1759,ICSE!A:A,ICSE!AA:AA,"ERROR",0,1),"OK","ERROR"),IF(B1759="FSE",IF(COUNTIFS(B:B,B1759,C:C,C1759)=XLOOKUP(C1759,FSE!A:A,FSE!AA:AA,"ERROR",0,1),"OK","ERROR")))</f>
        <v>OK</v>
      </c>
      <c r="H1759" s="199">
        <f t="shared" ref="H1759:O1759" si="8880">countif($D1759,"*"&amp;H$2&amp;"*")</f>
        <v>0</v>
      </c>
      <c r="I1759" s="200">
        <f t="shared" si="8880"/>
        <v>0</v>
      </c>
      <c r="J1759" s="200">
        <f t="shared" si="8880"/>
        <v>0</v>
      </c>
      <c r="K1759" s="200">
        <f t="shared" si="8880"/>
        <v>0</v>
      </c>
      <c r="L1759" s="200">
        <f t="shared" si="8880"/>
        <v>0</v>
      </c>
      <c r="M1759" s="200">
        <f t="shared" si="8880"/>
        <v>0</v>
      </c>
      <c r="N1759" s="200">
        <f t="shared" si="8880"/>
        <v>0</v>
      </c>
      <c r="O1759" s="200">
        <f t="shared" si="8880"/>
        <v>0</v>
      </c>
      <c r="P1759" s="200">
        <f t="shared" si="9"/>
        <v>0</v>
      </c>
      <c r="Q1759" s="200">
        <f t="shared" ref="Q1759:AC1759" si="8881">countif($D1759,"*"&amp;Q$2&amp;"*")</f>
        <v>0</v>
      </c>
      <c r="R1759" s="200">
        <f t="shared" si="8881"/>
        <v>0</v>
      </c>
      <c r="S1759" s="200">
        <f t="shared" si="8881"/>
        <v>0</v>
      </c>
      <c r="T1759" s="200">
        <f t="shared" si="8881"/>
        <v>0</v>
      </c>
      <c r="U1759" s="200">
        <f t="shared" si="8881"/>
        <v>0</v>
      </c>
      <c r="V1759" s="200">
        <f t="shared" si="8881"/>
        <v>0</v>
      </c>
      <c r="W1759" s="200">
        <f t="shared" si="8881"/>
        <v>0</v>
      </c>
      <c r="X1759" s="200">
        <f t="shared" si="8881"/>
        <v>0</v>
      </c>
      <c r="Y1759" s="200">
        <f t="shared" si="8881"/>
        <v>0</v>
      </c>
      <c r="Z1759" s="200">
        <f t="shared" si="8881"/>
        <v>0</v>
      </c>
      <c r="AA1759" s="200">
        <f t="shared" si="8881"/>
        <v>1</v>
      </c>
      <c r="AB1759" s="200">
        <f t="shared" si="8881"/>
        <v>0</v>
      </c>
      <c r="AC1759" s="200">
        <f t="shared" si="8881"/>
        <v>0</v>
      </c>
      <c r="AD1759" s="200">
        <f t="shared" si="11"/>
        <v>0</v>
      </c>
      <c r="AE1759" s="200">
        <f t="shared" ref="AE1759:AG1759" si="8882">countif($D1759,"*"&amp;AE$2&amp;"*")</f>
        <v>0</v>
      </c>
      <c r="AF1759" s="200">
        <f t="shared" si="8882"/>
        <v>0</v>
      </c>
      <c r="AG1759" s="200">
        <f t="shared" si="8882"/>
        <v>0</v>
      </c>
      <c r="AH1759" s="171">
        <f t="shared" si="13"/>
        <v>0</v>
      </c>
      <c r="AI1759" s="200">
        <f t="shared" si="14"/>
        <v>0</v>
      </c>
      <c r="AJ1759" s="200">
        <f t="shared" si="8872"/>
        <v>0</v>
      </c>
      <c r="AK1759" s="201">
        <f t="shared" ref="AK1759:AS1759" si="8883">countif($D1759,"*"&amp;AK$2&amp;"*")</f>
        <v>0</v>
      </c>
      <c r="AL1759" s="201">
        <f t="shared" si="8883"/>
        <v>0</v>
      </c>
      <c r="AM1759" s="201">
        <f t="shared" si="8883"/>
        <v>0</v>
      </c>
      <c r="AN1759" s="201">
        <f t="shared" si="8883"/>
        <v>0</v>
      </c>
      <c r="AO1759" s="201">
        <f t="shared" si="8883"/>
        <v>0</v>
      </c>
      <c r="AP1759" s="201">
        <f t="shared" si="8883"/>
        <v>0</v>
      </c>
      <c r="AQ1759" s="201">
        <f t="shared" si="8883"/>
        <v>0</v>
      </c>
      <c r="AR1759" s="200">
        <f t="shared" si="8883"/>
        <v>0</v>
      </c>
      <c r="AS1759" s="200">
        <f t="shared" si="8883"/>
        <v>0</v>
      </c>
      <c r="AT1759" s="173">
        <v>0.0</v>
      </c>
      <c r="AU1759" s="200">
        <f t="shared" ref="AU1759:AX1759" si="8884">countif($D1759,"*"&amp;AU$2&amp;"*")</f>
        <v>0</v>
      </c>
      <c r="AV1759" s="200">
        <f t="shared" si="8884"/>
        <v>0</v>
      </c>
      <c r="AW1759" s="200">
        <f t="shared" si="8884"/>
        <v>0</v>
      </c>
      <c r="AX1759" s="200">
        <f t="shared" si="8884"/>
        <v>0</v>
      </c>
      <c r="AY1759" s="202">
        <v>0.0</v>
      </c>
      <c r="AZ1759" s="200"/>
      <c r="BA1759" s="171" t="str">
        <f t="shared" si="18"/>
        <v/>
      </c>
      <c r="BB1759" s="171" t="str">
        <f t="shared" si="19"/>
        <v/>
      </c>
      <c r="BC1759" s="171" t="str">
        <f t="shared" si="20"/>
        <v>General-purpose</v>
      </c>
      <c r="BD1759" s="171" t="str">
        <f t="shared" si="21"/>
        <v/>
      </c>
      <c r="BE1759" s="171" t="str">
        <f t="shared" si="22"/>
        <v/>
      </c>
      <c r="BF1759" s="171" t="str">
        <f t="shared" si="23"/>
        <v>General-purpose</v>
      </c>
    </row>
    <row r="1760">
      <c r="A1760" s="171">
        <f t="array" ref="A1760">XLOOKUP(C1760,FSE!A:A,FSE!C:C,"XXXXX",0,1)</f>
        <v>2019</v>
      </c>
      <c r="B1760" s="213" t="s">
        <v>5676</v>
      </c>
      <c r="C1760" s="214">
        <v>427.0</v>
      </c>
      <c r="D1760" s="215" t="s">
        <v>6424</v>
      </c>
      <c r="E1760" s="197" t="str">
        <f t="array" ref="E1760">XLOOKUP(C1760,FSE!A:A,FSE!Z:Z,"XXXXX",0,1)</f>
        <v>Publicly Available (2)</v>
      </c>
      <c r="F1760" s="213" t="s">
        <v>3394</v>
      </c>
      <c r="G1760" s="163" t="str">
        <f t="array" ref="G1760">IF(B1760="ICSE",IF(COUNTIFS(B:B,B1760,C:C,C1760)=XLOOKUP(C1760,ICSE!A:A,ICSE!AA:AA,"ERROR",0,1),"OK","ERROR"),IF(B1760="FSE",IF(COUNTIFS(B:B,B1760,C:C,C1760)=XLOOKUP(C1760,FSE!A:A,FSE!AA:AA,"ERROR",0,1),"OK","ERROR")))</f>
        <v>OK</v>
      </c>
      <c r="H1760" s="199">
        <f t="shared" ref="H1760:O1760" si="8885">countif($D1760,"*"&amp;H$2&amp;"*")</f>
        <v>0</v>
      </c>
      <c r="I1760" s="200">
        <f t="shared" si="8885"/>
        <v>0</v>
      </c>
      <c r="J1760" s="200">
        <f t="shared" si="8885"/>
        <v>0</v>
      </c>
      <c r="K1760" s="200">
        <f t="shared" si="8885"/>
        <v>0</v>
      </c>
      <c r="L1760" s="200">
        <f t="shared" si="8885"/>
        <v>0</v>
      </c>
      <c r="M1760" s="200">
        <f t="shared" si="8885"/>
        <v>0</v>
      </c>
      <c r="N1760" s="200">
        <f t="shared" si="8885"/>
        <v>0</v>
      </c>
      <c r="O1760" s="200">
        <f t="shared" si="8885"/>
        <v>0</v>
      </c>
      <c r="P1760" s="200">
        <f t="shared" si="9"/>
        <v>1</v>
      </c>
      <c r="Q1760" s="200">
        <f t="shared" ref="Q1760:AC1760" si="8886">countif($D1760,"*"&amp;Q$2&amp;"*")</f>
        <v>0</v>
      </c>
      <c r="R1760" s="200">
        <f t="shared" si="8886"/>
        <v>0</v>
      </c>
      <c r="S1760" s="200">
        <f t="shared" si="8886"/>
        <v>0</v>
      </c>
      <c r="T1760" s="200">
        <f t="shared" si="8886"/>
        <v>0</v>
      </c>
      <c r="U1760" s="200">
        <f t="shared" si="8886"/>
        <v>0</v>
      </c>
      <c r="V1760" s="200">
        <f t="shared" si="8886"/>
        <v>0</v>
      </c>
      <c r="W1760" s="200">
        <f t="shared" si="8886"/>
        <v>0</v>
      </c>
      <c r="X1760" s="200">
        <f t="shared" si="8886"/>
        <v>0</v>
      </c>
      <c r="Y1760" s="200">
        <f t="shared" si="8886"/>
        <v>0</v>
      </c>
      <c r="Z1760" s="200">
        <f t="shared" si="8886"/>
        <v>0</v>
      </c>
      <c r="AA1760" s="200">
        <f t="shared" si="8886"/>
        <v>0</v>
      </c>
      <c r="AB1760" s="200">
        <f t="shared" si="8886"/>
        <v>0</v>
      </c>
      <c r="AC1760" s="200">
        <f t="shared" si="8886"/>
        <v>0</v>
      </c>
      <c r="AD1760" s="200">
        <f t="shared" si="11"/>
        <v>0</v>
      </c>
      <c r="AE1760" s="200">
        <f t="shared" ref="AE1760:AG1760" si="8887">countif($D1760,"*"&amp;AE$2&amp;"*")</f>
        <v>0</v>
      </c>
      <c r="AF1760" s="200">
        <f t="shared" si="8887"/>
        <v>0</v>
      </c>
      <c r="AG1760" s="200">
        <f t="shared" si="8887"/>
        <v>0</v>
      </c>
      <c r="AH1760" s="171">
        <f t="shared" si="13"/>
        <v>0</v>
      </c>
      <c r="AI1760" s="200">
        <f t="shared" si="14"/>
        <v>0</v>
      </c>
      <c r="AJ1760" s="200">
        <f t="shared" si="8872"/>
        <v>0</v>
      </c>
      <c r="AK1760" s="201">
        <f t="shared" ref="AK1760:AS1760" si="8888">countif($D1760,"*"&amp;AK$2&amp;"*")</f>
        <v>0</v>
      </c>
      <c r="AL1760" s="201">
        <f t="shared" si="8888"/>
        <v>0</v>
      </c>
      <c r="AM1760" s="201">
        <f t="shared" si="8888"/>
        <v>0</v>
      </c>
      <c r="AN1760" s="201">
        <f t="shared" si="8888"/>
        <v>0</v>
      </c>
      <c r="AO1760" s="201">
        <f t="shared" si="8888"/>
        <v>0</v>
      </c>
      <c r="AP1760" s="201">
        <f t="shared" si="8888"/>
        <v>0</v>
      </c>
      <c r="AQ1760" s="201">
        <f t="shared" si="8888"/>
        <v>0</v>
      </c>
      <c r="AR1760" s="200">
        <f t="shared" si="8888"/>
        <v>0</v>
      </c>
      <c r="AS1760" s="200">
        <f t="shared" si="8888"/>
        <v>0</v>
      </c>
      <c r="AT1760" s="173">
        <v>0.0</v>
      </c>
      <c r="AU1760" s="200">
        <f t="shared" ref="AU1760:AX1760" si="8889">countif($D1760,"*"&amp;AU$2&amp;"*")</f>
        <v>0</v>
      </c>
      <c r="AV1760" s="200">
        <f t="shared" si="8889"/>
        <v>1</v>
      </c>
      <c r="AW1760" s="200">
        <f t="shared" si="8889"/>
        <v>0</v>
      </c>
      <c r="AX1760" s="200">
        <f t="shared" si="8889"/>
        <v>0</v>
      </c>
      <c r="AY1760" s="202">
        <v>0.0</v>
      </c>
      <c r="AZ1760" s="200"/>
      <c r="BA1760" s="171" t="str">
        <f t="shared" si="18"/>
        <v/>
      </c>
      <c r="BB1760" s="171" t="str">
        <f t="shared" si="19"/>
        <v>Code</v>
      </c>
      <c r="BC1760" s="171" t="str">
        <f t="shared" si="20"/>
        <v/>
      </c>
      <c r="BD1760" s="171" t="str">
        <f t="shared" si="21"/>
        <v/>
      </c>
      <c r="BE1760" s="171" t="str">
        <f t="shared" si="22"/>
        <v/>
      </c>
      <c r="BF1760" s="171" t="str">
        <f t="shared" si="23"/>
        <v>Code</v>
      </c>
    </row>
    <row r="1761">
      <c r="A1761" s="213">
        <f t="array" ref="A1761">XLOOKUP(C1761,FSE!A:A,FSE!C:C,"XXXXX",0,1)</f>
        <v>2019</v>
      </c>
      <c r="B1761" s="213" t="s">
        <v>5676</v>
      </c>
      <c r="C1761" s="220">
        <v>427.0</v>
      </c>
      <c r="D1761" s="217" t="s">
        <v>6425</v>
      </c>
      <c r="E1761" s="221" t="str">
        <f t="array" ref="E1761">XLOOKUP(C1761,FSE!A:A,FSE!Z:Z,"XXXXX",0,1)</f>
        <v>Publicly Available (2)</v>
      </c>
      <c r="F1761" s="213" t="s">
        <v>3394</v>
      </c>
      <c r="G1761" s="163" t="str">
        <f t="array" ref="G1761">IF(B1761="ICSE",IF(COUNTIFS(B:B,B1761,C:C,C1761)=XLOOKUP(C1761,ICSE!A:A,ICSE!AA:AA,"ERROR",0,1),"OK","ERROR"),IF(B1761="FSE",IF(COUNTIFS(B:B,B1761,C:C,C1761)=XLOOKUP(C1761,FSE!A:A,FSE!AA:AA,"ERROR",0,1),"OK","ERROR")))</f>
        <v>OK</v>
      </c>
      <c r="H1761" s="199">
        <f t="shared" ref="H1761:O1761" si="8890">countif($D1761,"*"&amp;H$2&amp;"*")</f>
        <v>1</v>
      </c>
      <c r="I1761" s="200">
        <f t="shared" si="8890"/>
        <v>0</v>
      </c>
      <c r="J1761" s="200">
        <f t="shared" si="8890"/>
        <v>0</v>
      </c>
      <c r="K1761" s="200">
        <f t="shared" si="8890"/>
        <v>0</v>
      </c>
      <c r="L1761" s="200">
        <f t="shared" si="8890"/>
        <v>0</v>
      </c>
      <c r="M1761" s="200">
        <f t="shared" si="8890"/>
        <v>0</v>
      </c>
      <c r="N1761" s="200">
        <f t="shared" si="8890"/>
        <v>0</v>
      </c>
      <c r="O1761" s="200">
        <f t="shared" si="8890"/>
        <v>0</v>
      </c>
      <c r="P1761" s="200">
        <f t="shared" si="9"/>
        <v>0</v>
      </c>
      <c r="Q1761" s="200">
        <f t="shared" ref="Q1761:AC1761" si="8891">countif($D1761,"*"&amp;Q$2&amp;"*")</f>
        <v>0</v>
      </c>
      <c r="R1761" s="200">
        <f t="shared" si="8891"/>
        <v>0</v>
      </c>
      <c r="S1761" s="200">
        <f t="shared" si="8891"/>
        <v>0</v>
      </c>
      <c r="T1761" s="200">
        <f t="shared" si="8891"/>
        <v>0</v>
      </c>
      <c r="U1761" s="200">
        <f t="shared" si="8891"/>
        <v>0</v>
      </c>
      <c r="V1761" s="200">
        <f t="shared" si="8891"/>
        <v>0</v>
      </c>
      <c r="W1761" s="200">
        <f t="shared" si="8891"/>
        <v>0</v>
      </c>
      <c r="X1761" s="200">
        <f t="shared" si="8891"/>
        <v>0</v>
      </c>
      <c r="Y1761" s="200">
        <f t="shared" si="8891"/>
        <v>0</v>
      </c>
      <c r="Z1761" s="200">
        <f t="shared" si="8891"/>
        <v>0</v>
      </c>
      <c r="AA1761" s="200">
        <f t="shared" si="8891"/>
        <v>0</v>
      </c>
      <c r="AB1761" s="200">
        <f t="shared" si="8891"/>
        <v>0</v>
      </c>
      <c r="AC1761" s="200">
        <f t="shared" si="8891"/>
        <v>0</v>
      </c>
      <c r="AD1761" s="222">
        <f t="shared" si="11"/>
        <v>0</v>
      </c>
      <c r="AE1761" s="200">
        <f t="shared" ref="AE1761:AG1761" si="8892">countif($D1761,"*"&amp;AE$2&amp;"*")</f>
        <v>0</v>
      </c>
      <c r="AF1761" s="200">
        <f t="shared" si="8892"/>
        <v>0</v>
      </c>
      <c r="AG1761" s="200">
        <f t="shared" si="8892"/>
        <v>0</v>
      </c>
      <c r="AH1761" s="171">
        <f t="shared" si="13"/>
        <v>0</v>
      </c>
      <c r="AI1761" s="200">
        <f t="shared" si="14"/>
        <v>1</v>
      </c>
      <c r="AJ1761" s="200">
        <f t="shared" si="8872"/>
        <v>0</v>
      </c>
      <c r="AK1761" s="201">
        <f t="shared" ref="AK1761:AS1761" si="8893">countif($D1761,"*"&amp;AK$2&amp;"*")</f>
        <v>0</v>
      </c>
      <c r="AL1761" s="201">
        <f t="shared" si="8893"/>
        <v>0</v>
      </c>
      <c r="AM1761" s="201">
        <f t="shared" si="8893"/>
        <v>0</v>
      </c>
      <c r="AN1761" s="201">
        <f t="shared" si="8893"/>
        <v>0</v>
      </c>
      <c r="AO1761" s="201">
        <f t="shared" si="8893"/>
        <v>0</v>
      </c>
      <c r="AP1761" s="201">
        <f t="shared" si="8893"/>
        <v>0</v>
      </c>
      <c r="AQ1761" s="201">
        <f t="shared" si="8893"/>
        <v>0</v>
      </c>
      <c r="AR1761" s="222">
        <f t="shared" si="8893"/>
        <v>0</v>
      </c>
      <c r="AS1761" s="200">
        <f t="shared" si="8893"/>
        <v>0</v>
      </c>
      <c r="AT1761" s="223">
        <v>0.0</v>
      </c>
      <c r="AU1761" s="200">
        <f t="shared" ref="AU1761:AX1761" si="8894">countif($D1761,"*"&amp;AU$2&amp;"*")</f>
        <v>0</v>
      </c>
      <c r="AV1761" s="200">
        <f t="shared" si="8894"/>
        <v>0</v>
      </c>
      <c r="AW1761" s="200">
        <f t="shared" si="8894"/>
        <v>0</v>
      </c>
      <c r="AX1761" s="200">
        <f t="shared" si="8894"/>
        <v>1</v>
      </c>
      <c r="AY1761" s="202">
        <v>0.0</v>
      </c>
      <c r="AZ1761" s="200"/>
      <c r="BA1761" s="171" t="str">
        <f t="shared" si="18"/>
        <v>Archival</v>
      </c>
      <c r="BB1761" s="171" t="str">
        <f t="shared" si="19"/>
        <v/>
      </c>
      <c r="BC1761" s="171" t="str">
        <f t="shared" si="20"/>
        <v/>
      </c>
      <c r="BD1761" s="171" t="str">
        <f t="shared" si="21"/>
        <v/>
      </c>
      <c r="BE1761" s="171" t="str">
        <f t="shared" si="22"/>
        <v/>
      </c>
      <c r="BF1761" s="171" t="str">
        <f t="shared" si="23"/>
        <v>Archival</v>
      </c>
    </row>
    <row r="1762">
      <c r="A1762" s="171">
        <f t="array" ref="A1762">XLOOKUP(C1762,FSE!A:A,FSE!C:C,"XXXXX",0,1)</f>
        <v>2019</v>
      </c>
      <c r="B1762" s="213" t="s">
        <v>5676</v>
      </c>
      <c r="C1762" s="214">
        <v>428.0</v>
      </c>
      <c r="D1762" s="215" t="s">
        <v>6426</v>
      </c>
      <c r="E1762" s="197" t="str">
        <f t="array" ref="E1762">XLOOKUP(C1762,FSE!A:A,FSE!Z:Z,"XXXXX",0,1)</f>
        <v>Publicly Available (2)</v>
      </c>
      <c r="F1762" s="213" t="s">
        <v>3394</v>
      </c>
      <c r="G1762" s="163" t="str">
        <f t="array" ref="G1762">IF(B1762="ICSE",IF(COUNTIFS(B:B,B1762,C:C,C1762)=XLOOKUP(C1762,ICSE!A:A,ICSE!AA:AA,"ERROR",0,1),"OK","ERROR"),IF(B1762="FSE",IF(COUNTIFS(B:B,B1762,C:C,C1762)=XLOOKUP(C1762,FSE!A:A,FSE!AA:AA,"ERROR",0,1),"OK","ERROR")))</f>
        <v>OK</v>
      </c>
      <c r="H1762" s="199">
        <f t="shared" ref="H1762:O1762" si="8895">countif($D1762,"*"&amp;H$2&amp;"*")</f>
        <v>0</v>
      </c>
      <c r="I1762" s="200">
        <f t="shared" si="8895"/>
        <v>0</v>
      </c>
      <c r="J1762" s="200">
        <f t="shared" si="8895"/>
        <v>0</v>
      </c>
      <c r="K1762" s="200">
        <f t="shared" si="8895"/>
        <v>0</v>
      </c>
      <c r="L1762" s="200">
        <f t="shared" si="8895"/>
        <v>0</v>
      </c>
      <c r="M1762" s="200">
        <f t="shared" si="8895"/>
        <v>0</v>
      </c>
      <c r="N1762" s="200">
        <f t="shared" si="8895"/>
        <v>0</v>
      </c>
      <c r="O1762" s="200">
        <f t="shared" si="8895"/>
        <v>0</v>
      </c>
      <c r="P1762" s="200">
        <f t="shared" si="9"/>
        <v>0</v>
      </c>
      <c r="Q1762" s="200">
        <f t="shared" ref="Q1762:AC1762" si="8896">countif($D1762,"*"&amp;Q$2&amp;"*")</f>
        <v>0</v>
      </c>
      <c r="R1762" s="200">
        <f t="shared" si="8896"/>
        <v>1</v>
      </c>
      <c r="S1762" s="200">
        <f t="shared" si="8896"/>
        <v>0</v>
      </c>
      <c r="T1762" s="200">
        <f t="shared" si="8896"/>
        <v>0</v>
      </c>
      <c r="U1762" s="200">
        <f t="shared" si="8896"/>
        <v>0</v>
      </c>
      <c r="V1762" s="200">
        <f t="shared" si="8896"/>
        <v>0</v>
      </c>
      <c r="W1762" s="200">
        <f t="shared" si="8896"/>
        <v>0</v>
      </c>
      <c r="X1762" s="200">
        <f t="shared" si="8896"/>
        <v>0</v>
      </c>
      <c r="Y1762" s="200">
        <f t="shared" si="8896"/>
        <v>0</v>
      </c>
      <c r="Z1762" s="200">
        <f t="shared" si="8896"/>
        <v>0</v>
      </c>
      <c r="AA1762" s="200">
        <f t="shared" si="8896"/>
        <v>0</v>
      </c>
      <c r="AB1762" s="200">
        <f t="shared" si="8896"/>
        <v>0</v>
      </c>
      <c r="AC1762" s="200">
        <f t="shared" si="8896"/>
        <v>0</v>
      </c>
      <c r="AD1762" s="200">
        <f t="shared" si="11"/>
        <v>0</v>
      </c>
      <c r="AE1762" s="200">
        <f t="shared" ref="AE1762:AG1762" si="8897">countif($D1762,"*"&amp;AE$2&amp;"*")</f>
        <v>0</v>
      </c>
      <c r="AF1762" s="200">
        <f t="shared" si="8897"/>
        <v>0</v>
      </c>
      <c r="AG1762" s="200">
        <f t="shared" si="8897"/>
        <v>0</v>
      </c>
      <c r="AH1762" s="171">
        <f t="shared" si="13"/>
        <v>0</v>
      </c>
      <c r="AI1762" s="200">
        <f t="shared" si="14"/>
        <v>0</v>
      </c>
      <c r="AJ1762" s="200">
        <f t="shared" si="8872"/>
        <v>0</v>
      </c>
      <c r="AK1762" s="201">
        <f t="shared" ref="AK1762:AS1762" si="8898">countif($D1762,"*"&amp;AK$2&amp;"*")</f>
        <v>0</v>
      </c>
      <c r="AL1762" s="201">
        <f t="shared" si="8898"/>
        <v>0</v>
      </c>
      <c r="AM1762" s="201">
        <f t="shared" si="8898"/>
        <v>0</v>
      </c>
      <c r="AN1762" s="201">
        <f t="shared" si="8898"/>
        <v>0</v>
      </c>
      <c r="AO1762" s="201">
        <f t="shared" si="8898"/>
        <v>0</v>
      </c>
      <c r="AP1762" s="201">
        <f t="shared" si="8898"/>
        <v>0</v>
      </c>
      <c r="AQ1762" s="201">
        <f t="shared" si="8898"/>
        <v>0</v>
      </c>
      <c r="AR1762" s="200">
        <f t="shared" si="8898"/>
        <v>0</v>
      </c>
      <c r="AS1762" s="200">
        <f t="shared" si="8898"/>
        <v>0</v>
      </c>
      <c r="AT1762" s="173">
        <v>0.0</v>
      </c>
      <c r="AU1762" s="200">
        <f t="shared" ref="AU1762:AX1762" si="8899">countif($D1762,"*"&amp;AU$2&amp;"*")</f>
        <v>0</v>
      </c>
      <c r="AV1762" s="200">
        <f t="shared" si="8899"/>
        <v>0</v>
      </c>
      <c r="AW1762" s="200">
        <f t="shared" si="8899"/>
        <v>0</v>
      </c>
      <c r="AX1762" s="200">
        <f t="shared" si="8899"/>
        <v>0</v>
      </c>
      <c r="AY1762" s="202">
        <v>0.0</v>
      </c>
      <c r="AZ1762" s="200"/>
      <c r="BA1762" s="171" t="str">
        <f t="shared" si="18"/>
        <v/>
      </c>
      <c r="BB1762" s="171" t="str">
        <f t="shared" si="19"/>
        <v>Code</v>
      </c>
      <c r="BC1762" s="171" t="str">
        <f t="shared" si="20"/>
        <v/>
      </c>
      <c r="BD1762" s="171" t="str">
        <f t="shared" si="21"/>
        <v/>
      </c>
      <c r="BE1762" s="171" t="str">
        <f t="shared" si="22"/>
        <v/>
      </c>
      <c r="BF1762" s="171" t="str">
        <f t="shared" si="23"/>
        <v>Code</v>
      </c>
    </row>
    <row r="1763">
      <c r="A1763" s="171">
        <f t="array" ref="A1763">XLOOKUP(C1763,FSE!A:A,FSE!C:C,"XXXXX",0,1)</f>
        <v>2019</v>
      </c>
      <c r="B1763" s="213" t="s">
        <v>5676</v>
      </c>
      <c r="C1763" s="214">
        <v>428.0</v>
      </c>
      <c r="D1763" s="215" t="s">
        <v>6427</v>
      </c>
      <c r="E1763" s="197" t="str">
        <f t="array" ref="E1763">XLOOKUP(C1763,FSE!A:A,FSE!Z:Z,"XXXXX",0,1)</f>
        <v>Publicly Available (2)</v>
      </c>
      <c r="F1763" s="213" t="s">
        <v>3394</v>
      </c>
      <c r="G1763" s="163" t="str">
        <f t="array" ref="G1763">IF(B1763="ICSE",IF(COUNTIFS(B:B,B1763,C:C,C1763)=XLOOKUP(C1763,ICSE!A:A,ICSE!AA:AA,"ERROR",0,1),"OK","ERROR"),IF(B1763="FSE",IF(COUNTIFS(B:B,B1763,C:C,C1763)=XLOOKUP(C1763,FSE!A:A,FSE!AA:AA,"ERROR",0,1),"OK","ERROR")))</f>
        <v>OK</v>
      </c>
      <c r="H1763" s="199">
        <f t="shared" ref="H1763:O1763" si="8900">countif($D1763,"*"&amp;H$2&amp;"*")</f>
        <v>0</v>
      </c>
      <c r="I1763" s="200">
        <f t="shared" si="8900"/>
        <v>0</v>
      </c>
      <c r="J1763" s="200">
        <f t="shared" si="8900"/>
        <v>0</v>
      </c>
      <c r="K1763" s="200">
        <f t="shared" si="8900"/>
        <v>0</v>
      </c>
      <c r="L1763" s="200">
        <f t="shared" si="8900"/>
        <v>0</v>
      </c>
      <c r="M1763" s="200">
        <f t="shared" si="8900"/>
        <v>0</v>
      </c>
      <c r="N1763" s="200">
        <f t="shared" si="8900"/>
        <v>0</v>
      </c>
      <c r="O1763" s="200">
        <f t="shared" si="8900"/>
        <v>0</v>
      </c>
      <c r="P1763" s="200">
        <f t="shared" si="9"/>
        <v>1</v>
      </c>
      <c r="Q1763" s="200">
        <f t="shared" ref="Q1763:AC1763" si="8901">countif($D1763,"*"&amp;Q$2&amp;"*")</f>
        <v>0</v>
      </c>
      <c r="R1763" s="200">
        <f t="shared" si="8901"/>
        <v>0</v>
      </c>
      <c r="S1763" s="200">
        <f t="shared" si="8901"/>
        <v>0</v>
      </c>
      <c r="T1763" s="200">
        <f t="shared" si="8901"/>
        <v>0</v>
      </c>
      <c r="U1763" s="200">
        <f t="shared" si="8901"/>
        <v>0</v>
      </c>
      <c r="V1763" s="200">
        <f t="shared" si="8901"/>
        <v>0</v>
      </c>
      <c r="W1763" s="200">
        <f t="shared" si="8901"/>
        <v>0</v>
      </c>
      <c r="X1763" s="200">
        <f t="shared" si="8901"/>
        <v>0</v>
      </c>
      <c r="Y1763" s="200">
        <f t="shared" si="8901"/>
        <v>0</v>
      </c>
      <c r="Z1763" s="200">
        <f t="shared" si="8901"/>
        <v>0</v>
      </c>
      <c r="AA1763" s="200">
        <f t="shared" si="8901"/>
        <v>0</v>
      </c>
      <c r="AB1763" s="200">
        <f t="shared" si="8901"/>
        <v>0</v>
      </c>
      <c r="AC1763" s="200">
        <f t="shared" si="8901"/>
        <v>0</v>
      </c>
      <c r="AD1763" s="200">
        <f t="shared" si="11"/>
        <v>0</v>
      </c>
      <c r="AE1763" s="200">
        <f t="shared" ref="AE1763:AG1763" si="8902">countif($D1763,"*"&amp;AE$2&amp;"*")</f>
        <v>0</v>
      </c>
      <c r="AF1763" s="200">
        <f t="shared" si="8902"/>
        <v>0</v>
      </c>
      <c r="AG1763" s="200">
        <f t="shared" si="8902"/>
        <v>0</v>
      </c>
      <c r="AH1763" s="171">
        <f t="shared" si="13"/>
        <v>0</v>
      </c>
      <c r="AI1763" s="200">
        <f t="shared" si="14"/>
        <v>0</v>
      </c>
      <c r="AJ1763" s="200">
        <f t="shared" si="8872"/>
        <v>0</v>
      </c>
      <c r="AK1763" s="201">
        <f t="shared" ref="AK1763:AS1763" si="8903">countif($D1763,"*"&amp;AK$2&amp;"*")</f>
        <v>0</v>
      </c>
      <c r="AL1763" s="201">
        <f t="shared" si="8903"/>
        <v>0</v>
      </c>
      <c r="AM1763" s="201">
        <f t="shared" si="8903"/>
        <v>0</v>
      </c>
      <c r="AN1763" s="201">
        <f t="shared" si="8903"/>
        <v>0</v>
      </c>
      <c r="AO1763" s="201">
        <f t="shared" si="8903"/>
        <v>0</v>
      </c>
      <c r="AP1763" s="201">
        <f t="shared" si="8903"/>
        <v>0</v>
      </c>
      <c r="AQ1763" s="201">
        <f t="shared" si="8903"/>
        <v>0</v>
      </c>
      <c r="AR1763" s="200">
        <f t="shared" si="8903"/>
        <v>0</v>
      </c>
      <c r="AS1763" s="200">
        <f t="shared" si="8903"/>
        <v>0</v>
      </c>
      <c r="AT1763" s="173">
        <v>0.0</v>
      </c>
      <c r="AU1763" s="200">
        <f t="shared" ref="AU1763:AX1763" si="8904">countif($D1763,"*"&amp;AU$2&amp;"*")</f>
        <v>0</v>
      </c>
      <c r="AV1763" s="200">
        <f t="shared" si="8904"/>
        <v>1</v>
      </c>
      <c r="AW1763" s="200">
        <f t="shared" si="8904"/>
        <v>0</v>
      </c>
      <c r="AX1763" s="200">
        <f t="shared" si="8904"/>
        <v>0</v>
      </c>
      <c r="AY1763" s="202">
        <v>0.0</v>
      </c>
      <c r="AZ1763" s="200"/>
      <c r="BA1763" s="171" t="str">
        <f t="shared" si="18"/>
        <v/>
      </c>
      <c r="BB1763" s="171" t="str">
        <f t="shared" si="19"/>
        <v>Code</v>
      </c>
      <c r="BC1763" s="171" t="str">
        <f t="shared" si="20"/>
        <v/>
      </c>
      <c r="BD1763" s="171" t="str">
        <f t="shared" si="21"/>
        <v/>
      </c>
      <c r="BE1763" s="171" t="str">
        <f t="shared" si="22"/>
        <v/>
      </c>
      <c r="BF1763" s="171" t="str">
        <f t="shared" si="23"/>
        <v>Code</v>
      </c>
    </row>
    <row r="1764">
      <c r="A1764" s="171">
        <f t="array" ref="A1764">XLOOKUP(C1764,FSE!A:A,FSE!C:C,"XXXXX",0,1)</f>
        <v>2019</v>
      </c>
      <c r="B1764" s="213" t="s">
        <v>5676</v>
      </c>
      <c r="C1764" s="214">
        <v>429.0</v>
      </c>
      <c r="D1764" s="215" t="s">
        <v>4263</v>
      </c>
      <c r="E1764" s="197" t="str">
        <f t="array" ref="E1764">XLOOKUP(C1764,FSE!A:A,FSE!Z:Z,"XXXXX",0,1)</f>
        <v>Publicly Available (1)</v>
      </c>
      <c r="F1764" s="213" t="s">
        <v>3394</v>
      </c>
      <c r="G1764" s="163" t="str">
        <f t="array" ref="G1764">IF(B1764="ICSE",IF(COUNTIFS(B:B,B1764,C:C,C1764)=XLOOKUP(C1764,ICSE!A:A,ICSE!AA:AA,"ERROR",0,1),"OK","ERROR"),IF(B1764="FSE",IF(COUNTIFS(B:B,B1764,C:C,C1764)=XLOOKUP(C1764,FSE!A:A,FSE!AA:AA,"ERROR",0,1),"OK","ERROR")))</f>
        <v>OK</v>
      </c>
      <c r="H1764" s="199">
        <f t="shared" ref="H1764:O1764" si="8905">countif($D1764,"*"&amp;H$2&amp;"*")</f>
        <v>0</v>
      </c>
      <c r="I1764" s="200">
        <f t="shared" si="8905"/>
        <v>0</v>
      </c>
      <c r="J1764" s="200">
        <f t="shared" si="8905"/>
        <v>0</v>
      </c>
      <c r="K1764" s="200">
        <f t="shared" si="8905"/>
        <v>0</v>
      </c>
      <c r="L1764" s="200">
        <f t="shared" si="8905"/>
        <v>0</v>
      </c>
      <c r="M1764" s="200">
        <f t="shared" si="8905"/>
        <v>0</v>
      </c>
      <c r="N1764" s="200">
        <f t="shared" si="8905"/>
        <v>0</v>
      </c>
      <c r="O1764" s="200">
        <f t="shared" si="8905"/>
        <v>0</v>
      </c>
      <c r="P1764" s="200">
        <f t="shared" si="9"/>
        <v>1</v>
      </c>
      <c r="Q1764" s="200">
        <f t="shared" ref="Q1764:AC1764" si="8906">countif($D1764,"*"&amp;Q$2&amp;"*")</f>
        <v>0</v>
      </c>
      <c r="R1764" s="200">
        <f t="shared" si="8906"/>
        <v>0</v>
      </c>
      <c r="S1764" s="200">
        <f t="shared" si="8906"/>
        <v>0</v>
      </c>
      <c r="T1764" s="200">
        <f t="shared" si="8906"/>
        <v>0</v>
      </c>
      <c r="U1764" s="200">
        <f t="shared" si="8906"/>
        <v>0</v>
      </c>
      <c r="V1764" s="200">
        <f t="shared" si="8906"/>
        <v>0</v>
      </c>
      <c r="W1764" s="200">
        <f t="shared" si="8906"/>
        <v>0</v>
      </c>
      <c r="X1764" s="200">
        <f t="shared" si="8906"/>
        <v>0</v>
      </c>
      <c r="Y1764" s="200">
        <f t="shared" si="8906"/>
        <v>0</v>
      </c>
      <c r="Z1764" s="200">
        <f t="shared" si="8906"/>
        <v>0</v>
      </c>
      <c r="AA1764" s="200">
        <f t="shared" si="8906"/>
        <v>0</v>
      </c>
      <c r="AB1764" s="200">
        <f t="shared" si="8906"/>
        <v>0</v>
      </c>
      <c r="AC1764" s="200">
        <f t="shared" si="8906"/>
        <v>0</v>
      </c>
      <c r="AD1764" s="200">
        <f t="shared" si="11"/>
        <v>0</v>
      </c>
      <c r="AE1764" s="200">
        <f t="shared" ref="AE1764:AG1764" si="8907">countif($D1764,"*"&amp;AE$2&amp;"*")</f>
        <v>0</v>
      </c>
      <c r="AF1764" s="200">
        <f t="shared" si="8907"/>
        <v>0</v>
      </c>
      <c r="AG1764" s="200">
        <f t="shared" si="8907"/>
        <v>0</v>
      </c>
      <c r="AH1764" s="171">
        <f t="shared" si="13"/>
        <v>0</v>
      </c>
      <c r="AI1764" s="200">
        <f t="shared" si="14"/>
        <v>0</v>
      </c>
      <c r="AJ1764" s="200">
        <f t="shared" si="8872"/>
        <v>0</v>
      </c>
      <c r="AK1764" s="201">
        <f t="shared" ref="AK1764:AS1764" si="8908">countif($D1764,"*"&amp;AK$2&amp;"*")</f>
        <v>0</v>
      </c>
      <c r="AL1764" s="201">
        <f t="shared" si="8908"/>
        <v>0</v>
      </c>
      <c r="AM1764" s="201">
        <f t="shared" si="8908"/>
        <v>0</v>
      </c>
      <c r="AN1764" s="201">
        <f t="shared" si="8908"/>
        <v>0</v>
      </c>
      <c r="AO1764" s="201">
        <f t="shared" si="8908"/>
        <v>0</v>
      </c>
      <c r="AP1764" s="201">
        <f t="shared" si="8908"/>
        <v>0</v>
      </c>
      <c r="AQ1764" s="201">
        <f t="shared" si="8908"/>
        <v>0</v>
      </c>
      <c r="AR1764" s="200">
        <f t="shared" si="8908"/>
        <v>0</v>
      </c>
      <c r="AS1764" s="200">
        <f t="shared" si="8908"/>
        <v>0</v>
      </c>
      <c r="AT1764" s="173">
        <v>0.0</v>
      </c>
      <c r="AU1764" s="200">
        <f t="shared" ref="AU1764:AX1764" si="8909">countif($D1764,"*"&amp;AU$2&amp;"*")</f>
        <v>0</v>
      </c>
      <c r="AV1764" s="200">
        <f t="shared" si="8909"/>
        <v>1</v>
      </c>
      <c r="AW1764" s="200">
        <f t="shared" si="8909"/>
        <v>0</v>
      </c>
      <c r="AX1764" s="200">
        <f t="shared" si="8909"/>
        <v>0</v>
      </c>
      <c r="AY1764" s="202">
        <v>0.0</v>
      </c>
      <c r="AZ1764" s="200"/>
      <c r="BA1764" s="171" t="str">
        <f t="shared" si="18"/>
        <v/>
      </c>
      <c r="BB1764" s="171" t="str">
        <f t="shared" si="19"/>
        <v>Code</v>
      </c>
      <c r="BC1764" s="171" t="str">
        <f t="shared" si="20"/>
        <v/>
      </c>
      <c r="BD1764" s="171" t="str">
        <f t="shared" si="21"/>
        <v/>
      </c>
      <c r="BE1764" s="171" t="str">
        <f t="shared" si="22"/>
        <v/>
      </c>
      <c r="BF1764" s="171" t="str">
        <f t="shared" si="23"/>
        <v>Code</v>
      </c>
    </row>
    <row r="1765">
      <c r="A1765" s="171">
        <f t="array" ref="A1765">XLOOKUP(C1765,FSE!A:A,FSE!C:C,"XXXXX",0,1)</f>
        <v>2019</v>
      </c>
      <c r="B1765" s="213" t="s">
        <v>5676</v>
      </c>
      <c r="C1765" s="214">
        <v>430.0</v>
      </c>
      <c r="D1765" s="215" t="s">
        <v>4266</v>
      </c>
      <c r="E1765" s="197" t="str">
        <f t="array" ref="E1765">XLOOKUP(C1765,FSE!A:A,FSE!Z:Z,"XXXXX",0,1)</f>
        <v>Publicly Available (1)</v>
      </c>
      <c r="F1765" s="213" t="s">
        <v>3394</v>
      </c>
      <c r="G1765" s="163" t="str">
        <f t="array" ref="G1765">IF(B1765="ICSE",IF(COUNTIFS(B:B,B1765,C:C,C1765)=XLOOKUP(C1765,ICSE!A:A,ICSE!AA:AA,"ERROR",0,1),"OK","ERROR"),IF(B1765="FSE",IF(COUNTIFS(B:B,B1765,C:C,C1765)=XLOOKUP(C1765,FSE!A:A,FSE!AA:AA,"ERROR",0,1),"OK","ERROR")))</f>
        <v>OK</v>
      </c>
      <c r="H1765" s="199">
        <f t="shared" ref="H1765:O1765" si="8910">countif($D1765,"*"&amp;H$2&amp;"*")</f>
        <v>0</v>
      </c>
      <c r="I1765" s="200">
        <f t="shared" si="8910"/>
        <v>0</v>
      </c>
      <c r="J1765" s="200">
        <f t="shared" si="8910"/>
        <v>0</v>
      </c>
      <c r="K1765" s="200">
        <f t="shared" si="8910"/>
        <v>0</v>
      </c>
      <c r="L1765" s="200">
        <f t="shared" si="8910"/>
        <v>0</v>
      </c>
      <c r="M1765" s="200">
        <f t="shared" si="8910"/>
        <v>0</v>
      </c>
      <c r="N1765" s="200">
        <f t="shared" si="8910"/>
        <v>0</v>
      </c>
      <c r="O1765" s="200">
        <f t="shared" si="8910"/>
        <v>0</v>
      </c>
      <c r="P1765" s="200">
        <f t="shared" si="9"/>
        <v>0</v>
      </c>
      <c r="Q1765" s="200">
        <f t="shared" ref="Q1765:AC1765" si="8911">countif($D1765,"*"&amp;Q$2&amp;"*")</f>
        <v>0</v>
      </c>
      <c r="R1765" s="200">
        <f t="shared" si="8911"/>
        <v>1</v>
      </c>
      <c r="S1765" s="200">
        <f t="shared" si="8911"/>
        <v>0</v>
      </c>
      <c r="T1765" s="200">
        <f t="shared" si="8911"/>
        <v>0</v>
      </c>
      <c r="U1765" s="200">
        <f t="shared" si="8911"/>
        <v>0</v>
      </c>
      <c r="V1765" s="200">
        <f t="shared" si="8911"/>
        <v>0</v>
      </c>
      <c r="W1765" s="200">
        <f t="shared" si="8911"/>
        <v>0</v>
      </c>
      <c r="X1765" s="200">
        <f t="shared" si="8911"/>
        <v>0</v>
      </c>
      <c r="Y1765" s="200">
        <f t="shared" si="8911"/>
        <v>0</v>
      </c>
      <c r="Z1765" s="200">
        <f t="shared" si="8911"/>
        <v>0</v>
      </c>
      <c r="AA1765" s="200">
        <f t="shared" si="8911"/>
        <v>0</v>
      </c>
      <c r="AB1765" s="200">
        <f t="shared" si="8911"/>
        <v>0</v>
      </c>
      <c r="AC1765" s="200">
        <f t="shared" si="8911"/>
        <v>0</v>
      </c>
      <c r="AD1765" s="200">
        <f t="shared" si="11"/>
        <v>0</v>
      </c>
      <c r="AE1765" s="200">
        <f t="shared" ref="AE1765:AG1765" si="8912">countif($D1765,"*"&amp;AE$2&amp;"*")</f>
        <v>0</v>
      </c>
      <c r="AF1765" s="200">
        <f t="shared" si="8912"/>
        <v>0</v>
      </c>
      <c r="AG1765" s="200">
        <f t="shared" si="8912"/>
        <v>0</v>
      </c>
      <c r="AH1765" s="171">
        <f t="shared" si="13"/>
        <v>0</v>
      </c>
      <c r="AI1765" s="200">
        <f t="shared" si="14"/>
        <v>0</v>
      </c>
      <c r="AJ1765" s="200">
        <f t="shared" si="8872"/>
        <v>0</v>
      </c>
      <c r="AK1765" s="201">
        <f t="shared" ref="AK1765:AS1765" si="8913">countif($D1765,"*"&amp;AK$2&amp;"*")</f>
        <v>0</v>
      </c>
      <c r="AL1765" s="201">
        <f t="shared" si="8913"/>
        <v>0</v>
      </c>
      <c r="AM1765" s="201">
        <f t="shared" si="8913"/>
        <v>0</v>
      </c>
      <c r="AN1765" s="201">
        <f t="shared" si="8913"/>
        <v>0</v>
      </c>
      <c r="AO1765" s="201">
        <f t="shared" si="8913"/>
        <v>0</v>
      </c>
      <c r="AP1765" s="201">
        <f t="shared" si="8913"/>
        <v>0</v>
      </c>
      <c r="AQ1765" s="201">
        <f t="shared" si="8913"/>
        <v>0</v>
      </c>
      <c r="AR1765" s="200">
        <f t="shared" si="8913"/>
        <v>0</v>
      </c>
      <c r="AS1765" s="200">
        <f t="shared" si="8913"/>
        <v>0</v>
      </c>
      <c r="AT1765" s="173">
        <v>0.0</v>
      </c>
      <c r="AU1765" s="200">
        <f t="shared" ref="AU1765:AX1765" si="8914">countif($D1765,"*"&amp;AU$2&amp;"*")</f>
        <v>0</v>
      </c>
      <c r="AV1765" s="200">
        <f t="shared" si="8914"/>
        <v>0</v>
      </c>
      <c r="AW1765" s="200">
        <f t="shared" si="8914"/>
        <v>0</v>
      </c>
      <c r="AX1765" s="200">
        <f t="shared" si="8914"/>
        <v>0</v>
      </c>
      <c r="AY1765" s="202">
        <v>0.0</v>
      </c>
      <c r="AZ1765" s="200"/>
      <c r="BA1765" s="171" t="str">
        <f t="shared" si="18"/>
        <v/>
      </c>
      <c r="BB1765" s="171" t="str">
        <f t="shared" si="19"/>
        <v>Code</v>
      </c>
      <c r="BC1765" s="171" t="str">
        <f t="shared" si="20"/>
        <v/>
      </c>
      <c r="BD1765" s="171" t="str">
        <f t="shared" si="21"/>
        <v/>
      </c>
      <c r="BE1765" s="171" t="str">
        <f t="shared" si="22"/>
        <v/>
      </c>
      <c r="BF1765" s="171" t="str">
        <f t="shared" si="23"/>
        <v>Code</v>
      </c>
    </row>
    <row r="1766">
      <c r="A1766" s="171">
        <f t="array" ref="A1766">XLOOKUP(C1766,FSE!A:A,FSE!C:C,"XXXXX",0,1)</f>
        <v>2019</v>
      </c>
      <c r="B1766" s="213" t="s">
        <v>5676</v>
      </c>
      <c r="C1766" s="214">
        <v>431.0</v>
      </c>
      <c r="D1766" s="215" t="s">
        <v>6428</v>
      </c>
      <c r="E1766" s="197" t="str">
        <f t="array" ref="E1766">XLOOKUP(C1766,FSE!A:A,FSE!Z:Z,"XXXXX",0,1)</f>
        <v>Publicly Available (6)
Not Available (1)</v>
      </c>
      <c r="F1766" s="213" t="s">
        <v>3394</v>
      </c>
      <c r="G1766" s="163" t="str">
        <f t="array" ref="G1766">IF(B1766="ICSE",IF(COUNTIFS(B:B,B1766,C:C,C1766)=XLOOKUP(C1766,ICSE!A:A,ICSE!AA:AA,"ERROR",0,1),"OK","ERROR"),IF(B1766="FSE",IF(COUNTIFS(B:B,B1766,C:C,C1766)=XLOOKUP(C1766,FSE!A:A,FSE!AA:AA,"ERROR",0,1),"OK","ERROR")))</f>
        <v>OK</v>
      </c>
      <c r="H1766" s="199">
        <f t="shared" ref="H1766:O1766" si="8915">countif($D1766,"*"&amp;H$2&amp;"*")</f>
        <v>0</v>
      </c>
      <c r="I1766" s="200">
        <f t="shared" si="8915"/>
        <v>0</v>
      </c>
      <c r="J1766" s="200">
        <f t="shared" si="8915"/>
        <v>0</v>
      </c>
      <c r="K1766" s="200">
        <f t="shared" si="8915"/>
        <v>0</v>
      </c>
      <c r="L1766" s="200">
        <f t="shared" si="8915"/>
        <v>0</v>
      </c>
      <c r="M1766" s="200">
        <f t="shared" si="8915"/>
        <v>0</v>
      </c>
      <c r="N1766" s="200">
        <f t="shared" si="8915"/>
        <v>0</v>
      </c>
      <c r="O1766" s="200">
        <f t="shared" si="8915"/>
        <v>0</v>
      </c>
      <c r="P1766" s="200">
        <f t="shared" si="9"/>
        <v>1</v>
      </c>
      <c r="Q1766" s="200">
        <f t="shared" ref="Q1766:AC1766" si="8916">countif($D1766,"*"&amp;Q$2&amp;"*")</f>
        <v>0</v>
      </c>
      <c r="R1766" s="200">
        <f t="shared" si="8916"/>
        <v>0</v>
      </c>
      <c r="S1766" s="200">
        <f t="shared" si="8916"/>
        <v>0</v>
      </c>
      <c r="T1766" s="200">
        <f t="shared" si="8916"/>
        <v>0</v>
      </c>
      <c r="U1766" s="200">
        <f t="shared" si="8916"/>
        <v>0</v>
      </c>
      <c r="V1766" s="200">
        <f t="shared" si="8916"/>
        <v>0</v>
      </c>
      <c r="W1766" s="200">
        <f t="shared" si="8916"/>
        <v>0</v>
      </c>
      <c r="X1766" s="200">
        <f t="shared" si="8916"/>
        <v>0</v>
      </c>
      <c r="Y1766" s="200">
        <f t="shared" si="8916"/>
        <v>0</v>
      </c>
      <c r="Z1766" s="200">
        <f t="shared" si="8916"/>
        <v>0</v>
      </c>
      <c r="AA1766" s="200">
        <f t="shared" si="8916"/>
        <v>0</v>
      </c>
      <c r="AB1766" s="200">
        <f t="shared" si="8916"/>
        <v>0</v>
      </c>
      <c r="AC1766" s="200">
        <f t="shared" si="8916"/>
        <v>0</v>
      </c>
      <c r="AD1766" s="200">
        <f t="shared" si="11"/>
        <v>0</v>
      </c>
      <c r="AE1766" s="200">
        <f t="shared" ref="AE1766:AG1766" si="8917">countif($D1766,"*"&amp;AE$2&amp;"*")</f>
        <v>0</v>
      </c>
      <c r="AF1766" s="200">
        <f t="shared" si="8917"/>
        <v>0</v>
      </c>
      <c r="AG1766" s="200">
        <f t="shared" si="8917"/>
        <v>0</v>
      </c>
      <c r="AH1766" s="171">
        <f t="shared" si="13"/>
        <v>0</v>
      </c>
      <c r="AI1766" s="200">
        <f t="shared" si="14"/>
        <v>0</v>
      </c>
      <c r="AJ1766" s="200">
        <f t="shared" si="8872"/>
        <v>0</v>
      </c>
      <c r="AK1766" s="201">
        <f t="shared" ref="AK1766:AS1766" si="8918">countif($D1766,"*"&amp;AK$2&amp;"*")</f>
        <v>0</v>
      </c>
      <c r="AL1766" s="201">
        <f t="shared" si="8918"/>
        <v>0</v>
      </c>
      <c r="AM1766" s="201">
        <f t="shared" si="8918"/>
        <v>0</v>
      </c>
      <c r="AN1766" s="201">
        <f t="shared" si="8918"/>
        <v>0</v>
      </c>
      <c r="AO1766" s="201">
        <f t="shared" si="8918"/>
        <v>0</v>
      </c>
      <c r="AP1766" s="201">
        <f t="shared" si="8918"/>
        <v>0</v>
      </c>
      <c r="AQ1766" s="201">
        <f t="shared" si="8918"/>
        <v>0</v>
      </c>
      <c r="AR1766" s="200">
        <f t="shared" si="8918"/>
        <v>0</v>
      </c>
      <c r="AS1766" s="200">
        <f t="shared" si="8918"/>
        <v>0</v>
      </c>
      <c r="AT1766" s="173">
        <v>0.0</v>
      </c>
      <c r="AU1766" s="200">
        <f t="shared" ref="AU1766:AX1766" si="8919">countif($D1766,"*"&amp;AU$2&amp;"*")</f>
        <v>0</v>
      </c>
      <c r="AV1766" s="200">
        <f t="shared" si="8919"/>
        <v>1</v>
      </c>
      <c r="AW1766" s="200">
        <f t="shared" si="8919"/>
        <v>0</v>
      </c>
      <c r="AX1766" s="200">
        <f t="shared" si="8919"/>
        <v>0</v>
      </c>
      <c r="AY1766" s="202">
        <v>0.0</v>
      </c>
      <c r="AZ1766" s="200"/>
      <c r="BA1766" s="171" t="str">
        <f t="shared" si="18"/>
        <v/>
      </c>
      <c r="BB1766" s="171" t="str">
        <f t="shared" si="19"/>
        <v>Code</v>
      </c>
      <c r="BC1766" s="171" t="str">
        <f t="shared" si="20"/>
        <v/>
      </c>
      <c r="BD1766" s="171" t="str">
        <f t="shared" si="21"/>
        <v/>
      </c>
      <c r="BE1766" s="171" t="str">
        <f t="shared" si="22"/>
        <v/>
      </c>
      <c r="BF1766" s="171" t="str">
        <f t="shared" si="23"/>
        <v>Code</v>
      </c>
    </row>
    <row r="1767">
      <c r="A1767" s="213">
        <f t="array" ref="A1767">XLOOKUP(C1767,FSE!A:A,FSE!C:C,"XXXXX",0,1)</f>
        <v>2019</v>
      </c>
      <c r="B1767" s="213" t="s">
        <v>5676</v>
      </c>
      <c r="C1767" s="220">
        <v>431.0</v>
      </c>
      <c r="D1767" s="217" t="s">
        <v>6429</v>
      </c>
      <c r="E1767" s="221" t="str">
        <f t="array" ref="E1767">XLOOKUP(C1767,FSE!A:A,FSE!Z:Z,"XXXXX",0,1)</f>
        <v>Publicly Available (6)
Not Available (1)</v>
      </c>
      <c r="F1767" s="213" t="s">
        <v>3394</v>
      </c>
      <c r="G1767" s="163" t="str">
        <f t="array" ref="G1767">IF(B1767="ICSE",IF(COUNTIFS(B:B,B1767,C:C,C1767)=XLOOKUP(C1767,ICSE!A:A,ICSE!AA:AA,"ERROR",0,1),"OK","ERROR"),IF(B1767="FSE",IF(COUNTIFS(B:B,B1767,C:C,C1767)=XLOOKUP(C1767,FSE!A:A,FSE!AA:AA,"ERROR",0,1),"OK","ERROR")))</f>
        <v>OK</v>
      </c>
      <c r="H1767" s="199">
        <f t="shared" ref="H1767:O1767" si="8920">countif($D1767,"*"&amp;H$2&amp;"*")</f>
        <v>0</v>
      </c>
      <c r="I1767" s="200">
        <f t="shared" si="8920"/>
        <v>0</v>
      </c>
      <c r="J1767" s="200">
        <f t="shared" si="8920"/>
        <v>0</v>
      </c>
      <c r="K1767" s="200">
        <f t="shared" si="8920"/>
        <v>0</v>
      </c>
      <c r="L1767" s="200">
        <f t="shared" si="8920"/>
        <v>0</v>
      </c>
      <c r="M1767" s="200">
        <f t="shared" si="8920"/>
        <v>0</v>
      </c>
      <c r="N1767" s="200">
        <f t="shared" si="8920"/>
        <v>0</v>
      </c>
      <c r="O1767" s="200">
        <f t="shared" si="8920"/>
        <v>0</v>
      </c>
      <c r="P1767" s="200">
        <f t="shared" si="9"/>
        <v>0</v>
      </c>
      <c r="Q1767" s="200">
        <f t="shared" ref="Q1767:AC1767" si="8921">countif($D1767,"*"&amp;Q$2&amp;"*")</f>
        <v>0</v>
      </c>
      <c r="R1767" s="200">
        <f t="shared" si="8921"/>
        <v>0</v>
      </c>
      <c r="S1767" s="200">
        <f t="shared" si="8921"/>
        <v>0</v>
      </c>
      <c r="T1767" s="200">
        <f t="shared" si="8921"/>
        <v>0</v>
      </c>
      <c r="U1767" s="200">
        <f t="shared" si="8921"/>
        <v>0</v>
      </c>
      <c r="V1767" s="200">
        <f t="shared" si="8921"/>
        <v>0</v>
      </c>
      <c r="W1767" s="200">
        <f t="shared" si="8921"/>
        <v>0</v>
      </c>
      <c r="X1767" s="200">
        <f t="shared" si="8921"/>
        <v>0</v>
      </c>
      <c r="Y1767" s="200">
        <f t="shared" si="8921"/>
        <v>0</v>
      </c>
      <c r="Z1767" s="200">
        <f t="shared" si="8921"/>
        <v>0</v>
      </c>
      <c r="AA1767" s="200">
        <f t="shared" si="8921"/>
        <v>0</v>
      </c>
      <c r="AB1767" s="200">
        <f t="shared" si="8921"/>
        <v>0</v>
      </c>
      <c r="AC1767" s="200">
        <f t="shared" si="8921"/>
        <v>0</v>
      </c>
      <c r="AD1767" s="222">
        <f t="shared" si="11"/>
        <v>0</v>
      </c>
      <c r="AE1767" s="200">
        <f t="shared" ref="AE1767:AG1767" si="8922">countif($D1767,"*"&amp;AE$2&amp;"*")</f>
        <v>0</v>
      </c>
      <c r="AF1767" s="200">
        <f t="shared" si="8922"/>
        <v>0</v>
      </c>
      <c r="AG1767" s="200">
        <f t="shared" si="8922"/>
        <v>0</v>
      </c>
      <c r="AH1767" s="171">
        <f t="shared" si="13"/>
        <v>1</v>
      </c>
      <c r="AI1767" s="200">
        <f t="shared" si="14"/>
        <v>0</v>
      </c>
      <c r="AJ1767" s="200">
        <f t="shared" si="8872"/>
        <v>0</v>
      </c>
      <c r="AK1767" s="201">
        <f t="shared" ref="AK1767:AS1767" si="8923">countif($D1767,"*"&amp;AK$2&amp;"*")</f>
        <v>0</v>
      </c>
      <c r="AL1767" s="201">
        <f t="shared" si="8923"/>
        <v>0</v>
      </c>
      <c r="AM1767" s="201">
        <f t="shared" si="8923"/>
        <v>0</v>
      </c>
      <c r="AN1767" s="201">
        <f t="shared" si="8923"/>
        <v>0</v>
      </c>
      <c r="AO1767" s="201">
        <f t="shared" si="8923"/>
        <v>0</v>
      </c>
      <c r="AP1767" s="201">
        <f t="shared" si="8923"/>
        <v>0</v>
      </c>
      <c r="AQ1767" s="201">
        <f t="shared" si="8923"/>
        <v>0</v>
      </c>
      <c r="AR1767" s="222">
        <f t="shared" si="8923"/>
        <v>0</v>
      </c>
      <c r="AS1767" s="200">
        <f t="shared" si="8923"/>
        <v>0</v>
      </c>
      <c r="AT1767" s="223">
        <v>0.0</v>
      </c>
      <c r="AU1767" s="200">
        <f t="shared" ref="AU1767:AX1767" si="8924">countif($D1767,"*"&amp;AU$2&amp;"*")</f>
        <v>0</v>
      </c>
      <c r="AV1767" s="200">
        <f t="shared" si="8924"/>
        <v>0</v>
      </c>
      <c r="AW1767" s="200">
        <f t="shared" si="8924"/>
        <v>0</v>
      </c>
      <c r="AX1767" s="200">
        <f t="shared" si="8924"/>
        <v>0</v>
      </c>
      <c r="AY1767" s="202">
        <v>0.0</v>
      </c>
      <c r="AZ1767" s="200"/>
      <c r="BA1767" s="171" t="str">
        <f t="shared" si="18"/>
        <v/>
      </c>
      <c r="BB1767" s="171" t="str">
        <f t="shared" si="19"/>
        <v/>
      </c>
      <c r="BC1767" s="171" t="str">
        <f t="shared" si="20"/>
        <v/>
      </c>
      <c r="BD1767" s="171" t="str">
        <f t="shared" si="21"/>
        <v/>
      </c>
      <c r="BE1767" s="171" t="str">
        <f t="shared" si="22"/>
        <v>Others</v>
      </c>
      <c r="BF1767" s="171" t="str">
        <f t="shared" si="23"/>
        <v>Others</v>
      </c>
    </row>
    <row r="1768">
      <c r="A1768" s="213">
        <f t="array" ref="A1768">XLOOKUP(C1768,FSE!A:A,FSE!C:C,"XXXXX",0,1)</f>
        <v>2019</v>
      </c>
      <c r="B1768" s="213" t="s">
        <v>5676</v>
      </c>
      <c r="C1768" s="220">
        <v>431.0</v>
      </c>
      <c r="D1768" s="217" t="s">
        <v>6430</v>
      </c>
      <c r="E1768" s="221" t="str">
        <f t="array" ref="E1768">XLOOKUP(C1768,FSE!A:A,FSE!Z:Z,"XXXXX",0,1)</f>
        <v>Publicly Available (6)
Not Available (1)</v>
      </c>
      <c r="F1768" s="213" t="s">
        <v>3394</v>
      </c>
      <c r="G1768" s="163" t="str">
        <f t="array" ref="G1768">IF(B1768="ICSE",IF(COUNTIFS(B:B,B1768,C:C,C1768)=XLOOKUP(C1768,ICSE!A:A,ICSE!AA:AA,"ERROR",0,1),"OK","ERROR"),IF(B1768="FSE",IF(COUNTIFS(B:B,B1768,C:C,C1768)=XLOOKUP(C1768,FSE!A:A,FSE!AA:AA,"ERROR",0,1),"OK","ERROR")))</f>
        <v>OK</v>
      </c>
      <c r="H1768" s="199">
        <f t="shared" ref="H1768:O1768" si="8925">countif($D1768,"*"&amp;H$2&amp;"*")</f>
        <v>0</v>
      </c>
      <c r="I1768" s="200">
        <f t="shared" si="8925"/>
        <v>0</v>
      </c>
      <c r="J1768" s="200">
        <f t="shared" si="8925"/>
        <v>0</v>
      </c>
      <c r="K1768" s="200">
        <f t="shared" si="8925"/>
        <v>0</v>
      </c>
      <c r="L1768" s="200">
        <f t="shared" si="8925"/>
        <v>0</v>
      </c>
      <c r="M1768" s="200">
        <f t="shared" si="8925"/>
        <v>0</v>
      </c>
      <c r="N1768" s="200">
        <f t="shared" si="8925"/>
        <v>0</v>
      </c>
      <c r="O1768" s="200">
        <f t="shared" si="8925"/>
        <v>0</v>
      </c>
      <c r="P1768" s="200">
        <f t="shared" si="9"/>
        <v>1</v>
      </c>
      <c r="Q1768" s="200">
        <f t="shared" ref="Q1768:AC1768" si="8926">countif($D1768,"*"&amp;Q$2&amp;"*")</f>
        <v>0</v>
      </c>
      <c r="R1768" s="200">
        <f t="shared" si="8926"/>
        <v>0</v>
      </c>
      <c r="S1768" s="200">
        <f t="shared" si="8926"/>
        <v>0</v>
      </c>
      <c r="T1768" s="200">
        <f t="shared" si="8926"/>
        <v>0</v>
      </c>
      <c r="U1768" s="200">
        <f t="shared" si="8926"/>
        <v>0</v>
      </c>
      <c r="V1768" s="200">
        <f t="shared" si="8926"/>
        <v>0</v>
      </c>
      <c r="W1768" s="200">
        <f t="shared" si="8926"/>
        <v>0</v>
      </c>
      <c r="X1768" s="200">
        <f t="shared" si="8926"/>
        <v>0</v>
      </c>
      <c r="Y1768" s="200">
        <f t="shared" si="8926"/>
        <v>0</v>
      </c>
      <c r="Z1768" s="200">
        <f t="shared" si="8926"/>
        <v>0</v>
      </c>
      <c r="AA1768" s="200">
        <f t="shared" si="8926"/>
        <v>0</v>
      </c>
      <c r="AB1768" s="200">
        <f t="shared" si="8926"/>
        <v>0</v>
      </c>
      <c r="AC1768" s="200">
        <f t="shared" si="8926"/>
        <v>0</v>
      </c>
      <c r="AD1768" s="222">
        <f t="shared" si="11"/>
        <v>0</v>
      </c>
      <c r="AE1768" s="200">
        <f t="shared" ref="AE1768:AG1768" si="8927">countif($D1768,"*"&amp;AE$2&amp;"*")</f>
        <v>0</v>
      </c>
      <c r="AF1768" s="200">
        <f t="shared" si="8927"/>
        <v>0</v>
      </c>
      <c r="AG1768" s="200">
        <f t="shared" si="8927"/>
        <v>0</v>
      </c>
      <c r="AH1768" s="171">
        <f t="shared" si="13"/>
        <v>0</v>
      </c>
      <c r="AI1768" s="200">
        <f t="shared" si="14"/>
        <v>0</v>
      </c>
      <c r="AJ1768" s="200">
        <f t="shared" si="8872"/>
        <v>0</v>
      </c>
      <c r="AK1768" s="201">
        <f t="shared" ref="AK1768:AS1768" si="8928">countif($D1768,"*"&amp;AK$2&amp;"*")</f>
        <v>0</v>
      </c>
      <c r="AL1768" s="201">
        <f t="shared" si="8928"/>
        <v>0</v>
      </c>
      <c r="AM1768" s="201">
        <f t="shared" si="8928"/>
        <v>0</v>
      </c>
      <c r="AN1768" s="201">
        <f t="shared" si="8928"/>
        <v>0</v>
      </c>
      <c r="AO1768" s="201">
        <f t="shared" si="8928"/>
        <v>0</v>
      </c>
      <c r="AP1768" s="201">
        <f t="shared" si="8928"/>
        <v>0</v>
      </c>
      <c r="AQ1768" s="201">
        <f t="shared" si="8928"/>
        <v>0</v>
      </c>
      <c r="AR1768" s="222">
        <f t="shared" si="8928"/>
        <v>0</v>
      </c>
      <c r="AS1768" s="200">
        <f t="shared" si="8928"/>
        <v>0</v>
      </c>
      <c r="AT1768" s="223">
        <v>0.0</v>
      </c>
      <c r="AU1768" s="200">
        <f t="shared" ref="AU1768:AX1768" si="8929">countif($D1768,"*"&amp;AU$2&amp;"*")</f>
        <v>0</v>
      </c>
      <c r="AV1768" s="200">
        <f t="shared" si="8929"/>
        <v>1</v>
      </c>
      <c r="AW1768" s="200">
        <f t="shared" si="8929"/>
        <v>0</v>
      </c>
      <c r="AX1768" s="200">
        <f t="shared" si="8929"/>
        <v>0</v>
      </c>
      <c r="AY1768" s="202">
        <v>0.0</v>
      </c>
      <c r="AZ1768" s="200"/>
      <c r="BA1768" s="171" t="str">
        <f t="shared" si="18"/>
        <v/>
      </c>
      <c r="BB1768" s="171" t="str">
        <f t="shared" si="19"/>
        <v>Code</v>
      </c>
      <c r="BC1768" s="171" t="str">
        <f t="shared" si="20"/>
        <v/>
      </c>
      <c r="BD1768" s="171" t="str">
        <f t="shared" si="21"/>
        <v/>
      </c>
      <c r="BE1768" s="171" t="str">
        <f t="shared" si="22"/>
        <v/>
      </c>
      <c r="BF1768" s="171" t="str">
        <f t="shared" si="23"/>
        <v>Code</v>
      </c>
    </row>
    <row r="1769">
      <c r="A1769" s="213">
        <f t="array" ref="A1769">XLOOKUP(C1769,FSE!A:A,FSE!C:C,"XXXXX",0,1)</f>
        <v>2019</v>
      </c>
      <c r="B1769" s="213" t="s">
        <v>5676</v>
      </c>
      <c r="C1769" s="220">
        <v>431.0</v>
      </c>
      <c r="D1769" s="217" t="s">
        <v>6431</v>
      </c>
      <c r="E1769" s="221" t="str">
        <f t="array" ref="E1769">XLOOKUP(C1769,FSE!A:A,FSE!Z:Z,"XXXXX",0,1)</f>
        <v>Publicly Available (6)
Not Available (1)</v>
      </c>
      <c r="F1769" s="213" t="s">
        <v>3394</v>
      </c>
      <c r="G1769" s="163" t="str">
        <f t="array" ref="G1769">IF(B1769="ICSE",IF(COUNTIFS(B:B,B1769,C:C,C1769)=XLOOKUP(C1769,ICSE!A:A,ICSE!AA:AA,"ERROR",0,1),"OK","ERROR"),IF(B1769="FSE",IF(COUNTIFS(B:B,B1769,C:C,C1769)=XLOOKUP(C1769,FSE!A:A,FSE!AA:AA,"ERROR",0,1),"OK","ERROR")))</f>
        <v>OK</v>
      </c>
      <c r="H1769" s="199">
        <f t="shared" ref="H1769:O1769" si="8930">countif($D1769,"*"&amp;H$2&amp;"*")</f>
        <v>0</v>
      </c>
      <c r="I1769" s="200">
        <f t="shared" si="8930"/>
        <v>0</v>
      </c>
      <c r="J1769" s="200">
        <f t="shared" si="8930"/>
        <v>0</v>
      </c>
      <c r="K1769" s="200">
        <f t="shared" si="8930"/>
        <v>0</v>
      </c>
      <c r="L1769" s="200">
        <f t="shared" si="8930"/>
        <v>0</v>
      </c>
      <c r="M1769" s="200">
        <f t="shared" si="8930"/>
        <v>0</v>
      </c>
      <c r="N1769" s="200">
        <f t="shared" si="8930"/>
        <v>0</v>
      </c>
      <c r="O1769" s="200">
        <f t="shared" si="8930"/>
        <v>0</v>
      </c>
      <c r="P1769" s="200">
        <f t="shared" si="9"/>
        <v>1</v>
      </c>
      <c r="Q1769" s="200">
        <f t="shared" ref="Q1769:AC1769" si="8931">countif($D1769,"*"&amp;Q$2&amp;"*")</f>
        <v>0</v>
      </c>
      <c r="R1769" s="200">
        <f t="shared" si="8931"/>
        <v>0</v>
      </c>
      <c r="S1769" s="200">
        <f t="shared" si="8931"/>
        <v>0</v>
      </c>
      <c r="T1769" s="200">
        <f t="shared" si="8931"/>
        <v>0</v>
      </c>
      <c r="U1769" s="200">
        <f t="shared" si="8931"/>
        <v>0</v>
      </c>
      <c r="V1769" s="200">
        <f t="shared" si="8931"/>
        <v>0</v>
      </c>
      <c r="W1769" s="200">
        <f t="shared" si="8931"/>
        <v>0</v>
      </c>
      <c r="X1769" s="200">
        <f t="shared" si="8931"/>
        <v>0</v>
      </c>
      <c r="Y1769" s="200">
        <f t="shared" si="8931"/>
        <v>0</v>
      </c>
      <c r="Z1769" s="200">
        <f t="shared" si="8931"/>
        <v>0</v>
      </c>
      <c r="AA1769" s="200">
        <f t="shared" si="8931"/>
        <v>0</v>
      </c>
      <c r="AB1769" s="200">
        <f t="shared" si="8931"/>
        <v>0</v>
      </c>
      <c r="AC1769" s="200">
        <f t="shared" si="8931"/>
        <v>0</v>
      </c>
      <c r="AD1769" s="222">
        <f t="shared" si="11"/>
        <v>0</v>
      </c>
      <c r="AE1769" s="200">
        <f t="shared" ref="AE1769:AG1769" si="8932">countif($D1769,"*"&amp;AE$2&amp;"*")</f>
        <v>0</v>
      </c>
      <c r="AF1769" s="200">
        <f t="shared" si="8932"/>
        <v>0</v>
      </c>
      <c r="AG1769" s="200">
        <f t="shared" si="8932"/>
        <v>0</v>
      </c>
      <c r="AH1769" s="171">
        <f t="shared" si="13"/>
        <v>0</v>
      </c>
      <c r="AI1769" s="200">
        <f t="shared" si="14"/>
        <v>0</v>
      </c>
      <c r="AJ1769" s="200">
        <f t="shared" si="8872"/>
        <v>0</v>
      </c>
      <c r="AK1769" s="201">
        <f t="shared" ref="AK1769:AS1769" si="8933">countif($D1769,"*"&amp;AK$2&amp;"*")</f>
        <v>0</v>
      </c>
      <c r="AL1769" s="201">
        <f t="shared" si="8933"/>
        <v>0</v>
      </c>
      <c r="AM1769" s="201">
        <f t="shared" si="8933"/>
        <v>0</v>
      </c>
      <c r="AN1769" s="201">
        <f t="shared" si="8933"/>
        <v>0</v>
      </c>
      <c r="AO1769" s="201">
        <f t="shared" si="8933"/>
        <v>0</v>
      </c>
      <c r="AP1769" s="201">
        <f t="shared" si="8933"/>
        <v>0</v>
      </c>
      <c r="AQ1769" s="201">
        <f t="shared" si="8933"/>
        <v>0</v>
      </c>
      <c r="AR1769" s="222">
        <f t="shared" si="8933"/>
        <v>0</v>
      </c>
      <c r="AS1769" s="200">
        <f t="shared" si="8933"/>
        <v>0</v>
      </c>
      <c r="AT1769" s="223">
        <v>0.0</v>
      </c>
      <c r="AU1769" s="200">
        <f t="shared" ref="AU1769:AX1769" si="8934">countif($D1769,"*"&amp;AU$2&amp;"*")</f>
        <v>0</v>
      </c>
      <c r="AV1769" s="200">
        <f t="shared" si="8934"/>
        <v>1</v>
      </c>
      <c r="AW1769" s="200">
        <f t="shared" si="8934"/>
        <v>0</v>
      </c>
      <c r="AX1769" s="200">
        <f t="shared" si="8934"/>
        <v>0</v>
      </c>
      <c r="AY1769" s="202">
        <v>0.0</v>
      </c>
      <c r="AZ1769" s="200"/>
      <c r="BA1769" s="171" t="str">
        <f t="shared" si="18"/>
        <v/>
      </c>
      <c r="BB1769" s="171" t="str">
        <f t="shared" si="19"/>
        <v>Code</v>
      </c>
      <c r="BC1769" s="171" t="str">
        <f t="shared" si="20"/>
        <v/>
      </c>
      <c r="BD1769" s="171" t="str">
        <f t="shared" si="21"/>
        <v/>
      </c>
      <c r="BE1769" s="171" t="str">
        <f t="shared" si="22"/>
        <v/>
      </c>
      <c r="BF1769" s="171" t="str">
        <f t="shared" si="23"/>
        <v>Code</v>
      </c>
    </row>
    <row r="1770">
      <c r="A1770" s="213">
        <f t="array" ref="A1770">XLOOKUP(C1770,FSE!A:A,FSE!C:C,"XXXXX",0,1)</f>
        <v>2019</v>
      </c>
      <c r="B1770" s="213" t="s">
        <v>5676</v>
      </c>
      <c r="C1770" s="220">
        <v>431.0</v>
      </c>
      <c r="D1770" s="217" t="s">
        <v>6432</v>
      </c>
      <c r="E1770" s="221" t="str">
        <f t="array" ref="E1770">XLOOKUP(C1770,FSE!A:A,FSE!Z:Z,"XXXXX",0,1)</f>
        <v>Publicly Available (6)
Not Available (1)</v>
      </c>
      <c r="F1770" s="218" t="s">
        <v>3395</v>
      </c>
      <c r="G1770" s="163" t="str">
        <f t="array" ref="G1770">IF(B1770="ICSE",IF(COUNTIFS(B:B,B1770,C:C,C1770)=XLOOKUP(C1770,ICSE!A:A,ICSE!AA:AA,"ERROR",0,1),"OK","ERROR"),IF(B1770="FSE",IF(COUNTIFS(B:B,B1770,C:C,C1770)=XLOOKUP(C1770,FSE!A:A,FSE!AA:AA,"ERROR",0,1),"OK","ERROR")))</f>
        <v>OK</v>
      </c>
      <c r="H1770" s="199">
        <f t="shared" ref="H1770:O1770" si="8935">countif($D1770,"*"&amp;H$2&amp;"*")</f>
        <v>0</v>
      </c>
      <c r="I1770" s="200">
        <f t="shared" si="8935"/>
        <v>0</v>
      </c>
      <c r="J1770" s="200">
        <f t="shared" si="8935"/>
        <v>0</v>
      </c>
      <c r="K1770" s="200">
        <f t="shared" si="8935"/>
        <v>0</v>
      </c>
      <c r="L1770" s="200">
        <f t="shared" si="8935"/>
        <v>0</v>
      </c>
      <c r="M1770" s="200">
        <f t="shared" si="8935"/>
        <v>0</v>
      </c>
      <c r="N1770" s="200">
        <f t="shared" si="8935"/>
        <v>0</v>
      </c>
      <c r="O1770" s="200">
        <f t="shared" si="8935"/>
        <v>0</v>
      </c>
      <c r="P1770" s="200">
        <f t="shared" si="9"/>
        <v>0</v>
      </c>
      <c r="Q1770" s="200">
        <f t="shared" ref="Q1770:AC1770" si="8936">countif($D1770,"*"&amp;Q$2&amp;"*")</f>
        <v>0</v>
      </c>
      <c r="R1770" s="200">
        <f t="shared" si="8936"/>
        <v>0</v>
      </c>
      <c r="S1770" s="200">
        <f t="shared" si="8936"/>
        <v>0</v>
      </c>
      <c r="T1770" s="200">
        <f t="shared" si="8936"/>
        <v>0</v>
      </c>
      <c r="U1770" s="200">
        <f t="shared" si="8936"/>
        <v>0</v>
      </c>
      <c r="V1770" s="200">
        <f t="shared" si="8936"/>
        <v>0</v>
      </c>
      <c r="W1770" s="200">
        <f t="shared" si="8936"/>
        <v>0</v>
      </c>
      <c r="X1770" s="200">
        <f t="shared" si="8936"/>
        <v>0</v>
      </c>
      <c r="Y1770" s="200">
        <f t="shared" si="8936"/>
        <v>0</v>
      </c>
      <c r="Z1770" s="200">
        <f t="shared" si="8936"/>
        <v>0</v>
      </c>
      <c r="AA1770" s="200">
        <f t="shared" si="8936"/>
        <v>0</v>
      </c>
      <c r="AB1770" s="200">
        <f t="shared" si="8936"/>
        <v>0</v>
      </c>
      <c r="AC1770" s="200">
        <f t="shared" si="8936"/>
        <v>0</v>
      </c>
      <c r="AD1770" s="222">
        <f t="shared" si="11"/>
        <v>0</v>
      </c>
      <c r="AE1770" s="200">
        <f t="shared" ref="AE1770:AG1770" si="8937">countif($D1770,"*"&amp;AE$2&amp;"*")</f>
        <v>0</v>
      </c>
      <c r="AF1770" s="200">
        <f t="shared" si="8937"/>
        <v>0</v>
      </c>
      <c r="AG1770" s="200">
        <f t="shared" si="8937"/>
        <v>0</v>
      </c>
      <c r="AH1770" s="171">
        <f t="shared" si="13"/>
        <v>1</v>
      </c>
      <c r="AI1770" s="200">
        <f t="shared" si="14"/>
        <v>0</v>
      </c>
      <c r="AJ1770" s="200">
        <f t="shared" si="8872"/>
        <v>0</v>
      </c>
      <c r="AK1770" s="201">
        <f t="shared" ref="AK1770:AS1770" si="8938">countif($D1770,"*"&amp;AK$2&amp;"*")</f>
        <v>0</v>
      </c>
      <c r="AL1770" s="201">
        <f t="shared" si="8938"/>
        <v>0</v>
      </c>
      <c r="AM1770" s="201">
        <f t="shared" si="8938"/>
        <v>0</v>
      </c>
      <c r="AN1770" s="201">
        <f t="shared" si="8938"/>
        <v>0</v>
      </c>
      <c r="AO1770" s="201">
        <f t="shared" si="8938"/>
        <v>0</v>
      </c>
      <c r="AP1770" s="201">
        <f t="shared" si="8938"/>
        <v>0</v>
      </c>
      <c r="AQ1770" s="201">
        <f t="shared" si="8938"/>
        <v>0</v>
      </c>
      <c r="AR1770" s="222">
        <f t="shared" si="8938"/>
        <v>0</v>
      </c>
      <c r="AS1770" s="200">
        <f t="shared" si="8938"/>
        <v>0</v>
      </c>
      <c r="AT1770" s="223">
        <v>0.0</v>
      </c>
      <c r="AU1770" s="200">
        <f t="shared" ref="AU1770:AX1770" si="8939">countif($D1770,"*"&amp;AU$2&amp;"*")</f>
        <v>0</v>
      </c>
      <c r="AV1770" s="200">
        <f t="shared" si="8939"/>
        <v>0</v>
      </c>
      <c r="AW1770" s="200">
        <f t="shared" si="8939"/>
        <v>0</v>
      </c>
      <c r="AX1770" s="200">
        <f t="shared" si="8939"/>
        <v>0</v>
      </c>
      <c r="AY1770" s="202">
        <v>0.0</v>
      </c>
      <c r="AZ1770" s="200"/>
      <c r="BA1770" s="171" t="str">
        <f t="shared" si="18"/>
        <v/>
      </c>
      <c r="BB1770" s="171" t="str">
        <f t="shared" si="19"/>
        <v/>
      </c>
      <c r="BC1770" s="171" t="str">
        <f t="shared" si="20"/>
        <v/>
      </c>
      <c r="BD1770" s="171" t="str">
        <f t="shared" si="21"/>
        <v/>
      </c>
      <c r="BE1770" s="171" t="str">
        <f t="shared" si="22"/>
        <v>Others</v>
      </c>
      <c r="BF1770" s="171" t="str">
        <f t="shared" si="23"/>
        <v>Others</v>
      </c>
    </row>
    <row r="1771">
      <c r="A1771" s="213">
        <f t="array" ref="A1771">XLOOKUP(C1771,FSE!A:A,FSE!C:C,"XXXXX",0,1)</f>
        <v>2019</v>
      </c>
      <c r="B1771" s="213" t="s">
        <v>5676</v>
      </c>
      <c r="C1771" s="220">
        <v>431.0</v>
      </c>
      <c r="D1771" s="217" t="s">
        <v>6433</v>
      </c>
      <c r="E1771" s="221" t="str">
        <f t="array" ref="E1771">XLOOKUP(C1771,FSE!A:A,FSE!Z:Z,"XXXXX",0,1)</f>
        <v>Publicly Available (6)
Not Available (1)</v>
      </c>
      <c r="F1771" s="213" t="s">
        <v>3394</v>
      </c>
      <c r="G1771" s="163" t="str">
        <f t="array" ref="G1771">IF(B1771="ICSE",IF(COUNTIFS(B:B,B1771,C:C,C1771)=XLOOKUP(C1771,ICSE!A:A,ICSE!AA:AA,"ERROR",0,1),"OK","ERROR"),IF(B1771="FSE",IF(COUNTIFS(B:B,B1771,C:C,C1771)=XLOOKUP(C1771,FSE!A:A,FSE!AA:AA,"ERROR",0,1),"OK","ERROR")))</f>
        <v>OK</v>
      </c>
      <c r="H1771" s="199">
        <f t="shared" ref="H1771:O1771" si="8940">countif($D1771,"*"&amp;H$2&amp;"*")</f>
        <v>0</v>
      </c>
      <c r="I1771" s="200">
        <f t="shared" si="8940"/>
        <v>0</v>
      </c>
      <c r="J1771" s="200">
        <f t="shared" si="8940"/>
        <v>0</v>
      </c>
      <c r="K1771" s="200">
        <f t="shared" si="8940"/>
        <v>0</v>
      </c>
      <c r="L1771" s="200">
        <f t="shared" si="8940"/>
        <v>0</v>
      </c>
      <c r="M1771" s="200">
        <f t="shared" si="8940"/>
        <v>0</v>
      </c>
      <c r="N1771" s="200">
        <f t="shared" si="8940"/>
        <v>0</v>
      </c>
      <c r="O1771" s="200">
        <f t="shared" si="8940"/>
        <v>0</v>
      </c>
      <c r="P1771" s="200">
        <f t="shared" si="9"/>
        <v>1</v>
      </c>
      <c r="Q1771" s="200">
        <f t="shared" ref="Q1771:AC1771" si="8941">countif($D1771,"*"&amp;Q$2&amp;"*")</f>
        <v>0</v>
      </c>
      <c r="R1771" s="200">
        <f t="shared" si="8941"/>
        <v>0</v>
      </c>
      <c r="S1771" s="200">
        <f t="shared" si="8941"/>
        <v>0</v>
      </c>
      <c r="T1771" s="200">
        <f t="shared" si="8941"/>
        <v>0</v>
      </c>
      <c r="U1771" s="200">
        <f t="shared" si="8941"/>
        <v>0</v>
      </c>
      <c r="V1771" s="200">
        <f t="shared" si="8941"/>
        <v>0</v>
      </c>
      <c r="W1771" s="200">
        <f t="shared" si="8941"/>
        <v>0</v>
      </c>
      <c r="X1771" s="200">
        <f t="shared" si="8941"/>
        <v>0</v>
      </c>
      <c r="Y1771" s="200">
        <f t="shared" si="8941"/>
        <v>0</v>
      </c>
      <c r="Z1771" s="200">
        <f t="shared" si="8941"/>
        <v>0</v>
      </c>
      <c r="AA1771" s="200">
        <f t="shared" si="8941"/>
        <v>0</v>
      </c>
      <c r="AB1771" s="200">
        <f t="shared" si="8941"/>
        <v>0</v>
      </c>
      <c r="AC1771" s="200">
        <f t="shared" si="8941"/>
        <v>0</v>
      </c>
      <c r="AD1771" s="222">
        <f t="shared" si="11"/>
        <v>0</v>
      </c>
      <c r="AE1771" s="200">
        <f t="shared" ref="AE1771:AG1771" si="8942">countif($D1771,"*"&amp;AE$2&amp;"*")</f>
        <v>0</v>
      </c>
      <c r="AF1771" s="200">
        <f t="shared" si="8942"/>
        <v>0</v>
      </c>
      <c r="AG1771" s="200">
        <f t="shared" si="8942"/>
        <v>0</v>
      </c>
      <c r="AH1771" s="171">
        <f t="shared" si="13"/>
        <v>0</v>
      </c>
      <c r="AI1771" s="200">
        <f t="shared" si="14"/>
        <v>0</v>
      </c>
      <c r="AJ1771" s="200">
        <f t="shared" si="8872"/>
        <v>0</v>
      </c>
      <c r="AK1771" s="201">
        <f t="shared" ref="AK1771:AS1771" si="8943">countif($D1771,"*"&amp;AK$2&amp;"*")</f>
        <v>0</v>
      </c>
      <c r="AL1771" s="201">
        <f t="shared" si="8943"/>
        <v>0</v>
      </c>
      <c r="AM1771" s="201">
        <f t="shared" si="8943"/>
        <v>0</v>
      </c>
      <c r="AN1771" s="201">
        <f t="shared" si="8943"/>
        <v>0</v>
      </c>
      <c r="AO1771" s="201">
        <f t="shared" si="8943"/>
        <v>0</v>
      </c>
      <c r="AP1771" s="201">
        <f t="shared" si="8943"/>
        <v>0</v>
      </c>
      <c r="AQ1771" s="201">
        <f t="shared" si="8943"/>
        <v>0</v>
      </c>
      <c r="AR1771" s="222">
        <f t="shared" si="8943"/>
        <v>0</v>
      </c>
      <c r="AS1771" s="200">
        <f t="shared" si="8943"/>
        <v>0</v>
      </c>
      <c r="AT1771" s="223">
        <v>0.0</v>
      </c>
      <c r="AU1771" s="200">
        <f t="shared" ref="AU1771:AX1771" si="8944">countif($D1771,"*"&amp;AU$2&amp;"*")</f>
        <v>0</v>
      </c>
      <c r="AV1771" s="200">
        <f t="shared" si="8944"/>
        <v>1</v>
      </c>
      <c r="AW1771" s="200">
        <f t="shared" si="8944"/>
        <v>0</v>
      </c>
      <c r="AX1771" s="200">
        <f t="shared" si="8944"/>
        <v>0</v>
      </c>
      <c r="AY1771" s="202">
        <v>0.0</v>
      </c>
      <c r="AZ1771" s="200"/>
      <c r="BA1771" s="171" t="str">
        <f t="shared" si="18"/>
        <v/>
      </c>
      <c r="BB1771" s="171" t="str">
        <f t="shared" si="19"/>
        <v>Code</v>
      </c>
      <c r="BC1771" s="171" t="str">
        <f t="shared" si="20"/>
        <v/>
      </c>
      <c r="BD1771" s="171" t="str">
        <f t="shared" si="21"/>
        <v/>
      </c>
      <c r="BE1771" s="171" t="str">
        <f t="shared" si="22"/>
        <v/>
      </c>
      <c r="BF1771" s="171" t="str">
        <f t="shared" si="23"/>
        <v>Code</v>
      </c>
    </row>
    <row r="1772">
      <c r="A1772" s="213">
        <f t="array" ref="A1772">XLOOKUP(C1772,FSE!A:A,FSE!C:C,"XXXXX",0,1)</f>
        <v>2019</v>
      </c>
      <c r="B1772" s="213" t="s">
        <v>5676</v>
      </c>
      <c r="C1772" s="220">
        <v>431.0</v>
      </c>
      <c r="D1772" s="217" t="s">
        <v>6434</v>
      </c>
      <c r="E1772" s="221" t="str">
        <f t="array" ref="E1772">XLOOKUP(C1772,FSE!A:A,FSE!Z:Z,"XXXXX",0,1)</f>
        <v>Publicly Available (6)
Not Available (1)</v>
      </c>
      <c r="F1772" s="213" t="s">
        <v>3394</v>
      </c>
      <c r="G1772" s="163" t="str">
        <f t="array" ref="G1772">IF(B1772="ICSE",IF(COUNTIFS(B:B,B1772,C:C,C1772)=XLOOKUP(C1772,ICSE!A:A,ICSE!AA:AA,"ERROR",0,1),"OK","ERROR"),IF(B1772="FSE",IF(COUNTIFS(B:B,B1772,C:C,C1772)=XLOOKUP(C1772,FSE!A:A,FSE!AA:AA,"ERROR",0,1),"OK","ERROR")))</f>
        <v>OK</v>
      </c>
      <c r="H1772" s="199">
        <f t="shared" ref="H1772:O1772" si="8945">countif($D1772,"*"&amp;H$2&amp;"*")</f>
        <v>0</v>
      </c>
      <c r="I1772" s="200">
        <f t="shared" si="8945"/>
        <v>0</v>
      </c>
      <c r="J1772" s="200">
        <f t="shared" si="8945"/>
        <v>0</v>
      </c>
      <c r="K1772" s="200">
        <f t="shared" si="8945"/>
        <v>0</v>
      </c>
      <c r="L1772" s="200">
        <f t="shared" si="8945"/>
        <v>0</v>
      </c>
      <c r="M1772" s="200">
        <f t="shared" si="8945"/>
        <v>0</v>
      </c>
      <c r="N1772" s="200">
        <f t="shared" si="8945"/>
        <v>0</v>
      </c>
      <c r="O1772" s="200">
        <f t="shared" si="8945"/>
        <v>0</v>
      </c>
      <c r="P1772" s="200">
        <f t="shared" si="9"/>
        <v>0</v>
      </c>
      <c r="Q1772" s="200">
        <f t="shared" ref="Q1772:AC1772" si="8946">countif($D1772,"*"&amp;Q$2&amp;"*")</f>
        <v>0</v>
      </c>
      <c r="R1772" s="200">
        <f t="shared" si="8946"/>
        <v>0</v>
      </c>
      <c r="S1772" s="200">
        <f t="shared" si="8946"/>
        <v>0</v>
      </c>
      <c r="T1772" s="200">
        <f t="shared" si="8946"/>
        <v>0</v>
      </c>
      <c r="U1772" s="200">
        <f t="shared" si="8946"/>
        <v>0</v>
      </c>
      <c r="V1772" s="200">
        <f t="shared" si="8946"/>
        <v>0</v>
      </c>
      <c r="W1772" s="200">
        <f t="shared" si="8946"/>
        <v>0</v>
      </c>
      <c r="X1772" s="200">
        <f t="shared" si="8946"/>
        <v>0</v>
      </c>
      <c r="Y1772" s="200">
        <f t="shared" si="8946"/>
        <v>0</v>
      </c>
      <c r="Z1772" s="200">
        <f t="shared" si="8946"/>
        <v>0</v>
      </c>
      <c r="AA1772" s="200">
        <f t="shared" si="8946"/>
        <v>0</v>
      </c>
      <c r="AB1772" s="200">
        <f t="shared" si="8946"/>
        <v>0</v>
      </c>
      <c r="AC1772" s="200">
        <f t="shared" si="8946"/>
        <v>0</v>
      </c>
      <c r="AD1772" s="222">
        <f t="shared" si="11"/>
        <v>0</v>
      </c>
      <c r="AE1772" s="200">
        <f t="shared" ref="AE1772:AG1772" si="8947">countif($D1772,"*"&amp;AE$2&amp;"*")</f>
        <v>0</v>
      </c>
      <c r="AF1772" s="200">
        <f t="shared" si="8947"/>
        <v>0</v>
      </c>
      <c r="AG1772" s="200">
        <f t="shared" si="8947"/>
        <v>0</v>
      </c>
      <c r="AH1772" s="171">
        <f t="shared" si="13"/>
        <v>1</v>
      </c>
      <c r="AI1772" s="200">
        <f t="shared" si="14"/>
        <v>0</v>
      </c>
      <c r="AJ1772" s="200">
        <f t="shared" si="8872"/>
        <v>0</v>
      </c>
      <c r="AK1772" s="201">
        <f t="shared" ref="AK1772:AS1772" si="8948">countif($D1772,"*"&amp;AK$2&amp;"*")</f>
        <v>0</v>
      </c>
      <c r="AL1772" s="201">
        <f t="shared" si="8948"/>
        <v>0</v>
      </c>
      <c r="AM1772" s="201">
        <f t="shared" si="8948"/>
        <v>0</v>
      </c>
      <c r="AN1772" s="201">
        <f t="shared" si="8948"/>
        <v>0</v>
      </c>
      <c r="AO1772" s="201">
        <f t="shared" si="8948"/>
        <v>0</v>
      </c>
      <c r="AP1772" s="201">
        <f t="shared" si="8948"/>
        <v>0</v>
      </c>
      <c r="AQ1772" s="201">
        <f t="shared" si="8948"/>
        <v>0</v>
      </c>
      <c r="AR1772" s="222">
        <f t="shared" si="8948"/>
        <v>0</v>
      </c>
      <c r="AS1772" s="200">
        <f t="shared" si="8948"/>
        <v>0</v>
      </c>
      <c r="AT1772" s="223">
        <v>0.0</v>
      </c>
      <c r="AU1772" s="200">
        <f t="shared" ref="AU1772:AX1772" si="8949">countif($D1772,"*"&amp;AU$2&amp;"*")</f>
        <v>0</v>
      </c>
      <c r="AV1772" s="200">
        <f t="shared" si="8949"/>
        <v>0</v>
      </c>
      <c r="AW1772" s="200">
        <f t="shared" si="8949"/>
        <v>0</v>
      </c>
      <c r="AX1772" s="200">
        <f t="shared" si="8949"/>
        <v>0</v>
      </c>
      <c r="AY1772" s="202">
        <v>0.0</v>
      </c>
      <c r="AZ1772" s="200"/>
      <c r="BA1772" s="171" t="str">
        <f t="shared" si="18"/>
        <v/>
      </c>
      <c r="BB1772" s="171" t="str">
        <f t="shared" si="19"/>
        <v/>
      </c>
      <c r="BC1772" s="171" t="str">
        <f t="shared" si="20"/>
        <v/>
      </c>
      <c r="BD1772" s="171" t="str">
        <f t="shared" si="21"/>
        <v/>
      </c>
      <c r="BE1772" s="171" t="str">
        <f t="shared" si="22"/>
        <v>Others</v>
      </c>
      <c r="BF1772" s="171" t="str">
        <f t="shared" si="23"/>
        <v>Others</v>
      </c>
    </row>
    <row r="1773">
      <c r="A1773" s="171">
        <f t="array" ref="A1773">XLOOKUP(C1773,FSE!A:A,FSE!C:C,"XXXXX",0,1)</f>
        <v>2019</v>
      </c>
      <c r="B1773" s="213" t="s">
        <v>5676</v>
      </c>
      <c r="C1773" s="214">
        <v>432.0</v>
      </c>
      <c r="D1773" s="215" t="s">
        <v>4273</v>
      </c>
      <c r="E1773" s="197" t="str">
        <f t="array" ref="E1773">XLOOKUP(C1773,FSE!A:A,FSE!Z:Z,"XXXXX",0,1)</f>
        <v>Not Available (1)</v>
      </c>
      <c r="F1773" s="213" t="s">
        <v>3395</v>
      </c>
      <c r="G1773" s="163" t="str">
        <f t="array" ref="G1773">IF(B1773="ICSE",IF(COUNTIFS(B:B,B1773,C:C,C1773)=XLOOKUP(C1773,ICSE!A:A,ICSE!AA:AA,"ERROR",0,1),"OK","ERROR"),IF(B1773="FSE",IF(COUNTIFS(B:B,B1773,C:C,C1773)=XLOOKUP(C1773,FSE!A:A,FSE!AA:AA,"ERROR",0,1),"OK","ERROR")))</f>
        <v>OK</v>
      </c>
      <c r="H1773" s="199">
        <f t="shared" ref="H1773:O1773" si="8950">countif($D1773,"*"&amp;H$2&amp;"*")</f>
        <v>0</v>
      </c>
      <c r="I1773" s="200">
        <f t="shared" si="8950"/>
        <v>0</v>
      </c>
      <c r="J1773" s="200">
        <f t="shared" si="8950"/>
        <v>0</v>
      </c>
      <c r="K1773" s="200">
        <f t="shared" si="8950"/>
        <v>0</v>
      </c>
      <c r="L1773" s="200">
        <f t="shared" si="8950"/>
        <v>0</v>
      </c>
      <c r="M1773" s="200">
        <f t="shared" si="8950"/>
        <v>0</v>
      </c>
      <c r="N1773" s="200">
        <f t="shared" si="8950"/>
        <v>0</v>
      </c>
      <c r="O1773" s="200">
        <f t="shared" si="8950"/>
        <v>0</v>
      </c>
      <c r="P1773" s="200">
        <f t="shared" si="9"/>
        <v>0</v>
      </c>
      <c r="Q1773" s="200">
        <f t="shared" ref="Q1773:AC1773" si="8951">countif($D1773,"*"&amp;Q$2&amp;"*")</f>
        <v>0</v>
      </c>
      <c r="R1773" s="200">
        <f t="shared" si="8951"/>
        <v>0</v>
      </c>
      <c r="S1773" s="200">
        <f t="shared" si="8951"/>
        <v>0</v>
      </c>
      <c r="T1773" s="200">
        <f t="shared" si="8951"/>
        <v>0</v>
      </c>
      <c r="U1773" s="200">
        <f t="shared" si="8951"/>
        <v>0</v>
      </c>
      <c r="V1773" s="200">
        <f t="shared" si="8951"/>
        <v>0</v>
      </c>
      <c r="W1773" s="200">
        <f t="shared" si="8951"/>
        <v>0</v>
      </c>
      <c r="X1773" s="200">
        <f t="shared" si="8951"/>
        <v>0</v>
      </c>
      <c r="Y1773" s="200">
        <f t="shared" si="8951"/>
        <v>0</v>
      </c>
      <c r="Z1773" s="200">
        <f t="shared" si="8951"/>
        <v>0</v>
      </c>
      <c r="AA1773" s="200">
        <f t="shared" si="8951"/>
        <v>0</v>
      </c>
      <c r="AB1773" s="200">
        <f t="shared" si="8951"/>
        <v>0</v>
      </c>
      <c r="AC1773" s="200">
        <f t="shared" si="8951"/>
        <v>0</v>
      </c>
      <c r="AD1773" s="200">
        <f t="shared" si="11"/>
        <v>1</v>
      </c>
      <c r="AE1773" s="200">
        <f t="shared" ref="AE1773:AG1773" si="8952">countif($D1773,"*"&amp;AE$2&amp;"*")</f>
        <v>0</v>
      </c>
      <c r="AF1773" s="200">
        <f t="shared" si="8952"/>
        <v>0</v>
      </c>
      <c r="AG1773" s="200">
        <f t="shared" si="8952"/>
        <v>0</v>
      </c>
      <c r="AH1773" s="171">
        <f t="shared" si="13"/>
        <v>0</v>
      </c>
      <c r="AI1773" s="200">
        <f t="shared" si="14"/>
        <v>0</v>
      </c>
      <c r="AJ1773" s="200">
        <f>SUM(AK1773:AQ1773)</f>
        <v>0</v>
      </c>
      <c r="AK1773" s="201">
        <f t="shared" ref="AK1773:AS1773" si="8953">countif($D1773,"*"&amp;AK$2&amp;"*")</f>
        <v>0</v>
      </c>
      <c r="AL1773" s="201">
        <f t="shared" si="8953"/>
        <v>0</v>
      </c>
      <c r="AM1773" s="201">
        <f t="shared" si="8953"/>
        <v>0</v>
      </c>
      <c r="AN1773" s="201">
        <f t="shared" si="8953"/>
        <v>0</v>
      </c>
      <c r="AO1773" s="201">
        <f t="shared" si="8953"/>
        <v>0</v>
      </c>
      <c r="AP1773" s="201">
        <f t="shared" si="8953"/>
        <v>0</v>
      </c>
      <c r="AQ1773" s="201">
        <f t="shared" si="8953"/>
        <v>0</v>
      </c>
      <c r="AR1773" s="201">
        <f t="shared" si="8953"/>
        <v>0</v>
      </c>
      <c r="AS1773" s="200">
        <f t="shared" si="8953"/>
        <v>0</v>
      </c>
      <c r="AT1773" s="205">
        <v>0.0</v>
      </c>
      <c r="AU1773" s="200">
        <f t="shared" ref="AU1773:AX1773" si="8954">countif($D1773,"*"&amp;AU$2&amp;"*")</f>
        <v>1</v>
      </c>
      <c r="AV1773" s="200">
        <f t="shared" si="8954"/>
        <v>0</v>
      </c>
      <c r="AW1773" s="200">
        <f t="shared" si="8954"/>
        <v>0</v>
      </c>
      <c r="AX1773" s="200">
        <f t="shared" si="8954"/>
        <v>0</v>
      </c>
      <c r="AY1773" s="202">
        <v>0.0</v>
      </c>
      <c r="AZ1773" s="200"/>
      <c r="BA1773" s="171" t="str">
        <f t="shared" si="18"/>
        <v/>
      </c>
      <c r="BB1773" s="171" t="str">
        <f t="shared" si="19"/>
        <v/>
      </c>
      <c r="BC1773" s="171" t="str">
        <f t="shared" si="20"/>
        <v/>
      </c>
      <c r="BD1773" s="171" t="str">
        <f t="shared" si="21"/>
        <v>Institutional</v>
      </c>
      <c r="BE1773" s="171" t="str">
        <f t="shared" si="22"/>
        <v/>
      </c>
      <c r="BF1773" s="171" t="str">
        <f t="shared" si="23"/>
        <v>Institutional</v>
      </c>
    </row>
    <row r="1774">
      <c r="A1774" s="171">
        <f t="array" ref="A1774">XLOOKUP(C1774,FSE!A:A,FSE!C:C,"XXXXX",0,1)</f>
        <v>2019</v>
      </c>
      <c r="B1774" s="213" t="s">
        <v>5676</v>
      </c>
      <c r="C1774" s="214">
        <v>433.0</v>
      </c>
      <c r="D1774" s="215" t="s">
        <v>4276</v>
      </c>
      <c r="E1774" s="197" t="str">
        <f t="array" ref="E1774">XLOOKUP(C1774,FSE!A:A,FSE!Z:Z,"XXXXX",0,1)</f>
        <v>Not Available (1)</v>
      </c>
      <c r="F1774" s="213" t="s">
        <v>3395</v>
      </c>
      <c r="G1774" s="163" t="str">
        <f t="array" ref="G1774">IF(B1774="ICSE",IF(COUNTIFS(B:B,B1774,C:C,C1774)=XLOOKUP(C1774,ICSE!A:A,ICSE!AA:AA,"ERROR",0,1),"OK","ERROR"),IF(B1774="FSE",IF(COUNTIFS(B:B,B1774,C:C,C1774)=XLOOKUP(C1774,FSE!A:A,FSE!AA:AA,"ERROR",0,1),"OK","ERROR")))</f>
        <v>OK</v>
      </c>
      <c r="H1774" s="199">
        <f t="shared" ref="H1774:O1774" si="8955">countif($D1774,"*"&amp;H$2&amp;"*")</f>
        <v>0</v>
      </c>
      <c r="I1774" s="200">
        <f t="shared" si="8955"/>
        <v>0</v>
      </c>
      <c r="J1774" s="200">
        <f t="shared" si="8955"/>
        <v>0</v>
      </c>
      <c r="K1774" s="200">
        <f t="shared" si="8955"/>
        <v>0</v>
      </c>
      <c r="L1774" s="200">
        <f t="shared" si="8955"/>
        <v>0</v>
      </c>
      <c r="M1774" s="200">
        <f t="shared" si="8955"/>
        <v>0</v>
      </c>
      <c r="N1774" s="200">
        <f t="shared" si="8955"/>
        <v>0</v>
      </c>
      <c r="O1774" s="200">
        <f t="shared" si="8955"/>
        <v>0</v>
      </c>
      <c r="P1774" s="200">
        <f t="shared" si="9"/>
        <v>1</v>
      </c>
      <c r="Q1774" s="200">
        <f t="shared" ref="Q1774:AC1774" si="8956">countif($D1774,"*"&amp;Q$2&amp;"*")</f>
        <v>0</v>
      </c>
      <c r="R1774" s="200">
        <f t="shared" si="8956"/>
        <v>0</v>
      </c>
      <c r="S1774" s="200">
        <f t="shared" si="8956"/>
        <v>0</v>
      </c>
      <c r="T1774" s="200">
        <f t="shared" si="8956"/>
        <v>0</v>
      </c>
      <c r="U1774" s="200">
        <f t="shared" si="8956"/>
        <v>0</v>
      </c>
      <c r="V1774" s="200">
        <f t="shared" si="8956"/>
        <v>0</v>
      </c>
      <c r="W1774" s="200">
        <f t="shared" si="8956"/>
        <v>0</v>
      </c>
      <c r="X1774" s="200">
        <f t="shared" si="8956"/>
        <v>0</v>
      </c>
      <c r="Y1774" s="200">
        <f t="shared" si="8956"/>
        <v>0</v>
      </c>
      <c r="Z1774" s="200">
        <f t="shared" si="8956"/>
        <v>0</v>
      </c>
      <c r="AA1774" s="200">
        <f t="shared" si="8956"/>
        <v>0</v>
      </c>
      <c r="AB1774" s="200">
        <f t="shared" si="8956"/>
        <v>0</v>
      </c>
      <c r="AC1774" s="200">
        <f t="shared" si="8956"/>
        <v>0</v>
      </c>
      <c r="AD1774" s="200">
        <f t="shared" si="11"/>
        <v>0</v>
      </c>
      <c r="AE1774" s="200">
        <f t="shared" ref="AE1774:AG1774" si="8957">countif($D1774,"*"&amp;AE$2&amp;"*")</f>
        <v>0</v>
      </c>
      <c r="AF1774" s="200">
        <f t="shared" si="8957"/>
        <v>0</v>
      </c>
      <c r="AG1774" s="200">
        <f t="shared" si="8957"/>
        <v>0</v>
      </c>
      <c r="AH1774" s="171">
        <f t="shared" si="13"/>
        <v>0</v>
      </c>
      <c r="AI1774" s="200">
        <f t="shared" si="14"/>
        <v>0</v>
      </c>
      <c r="AJ1774" s="200">
        <f t="shared" ref="AJ1774:AJ1811" si="8963">SUM(AK1774:AR1774)</f>
        <v>0</v>
      </c>
      <c r="AK1774" s="201">
        <f t="shared" ref="AK1774:AS1774" si="8958">countif($D1774,"*"&amp;AK$2&amp;"*")</f>
        <v>0</v>
      </c>
      <c r="AL1774" s="201">
        <f t="shared" si="8958"/>
        <v>0</v>
      </c>
      <c r="AM1774" s="201">
        <f t="shared" si="8958"/>
        <v>0</v>
      </c>
      <c r="AN1774" s="201">
        <f t="shared" si="8958"/>
        <v>0</v>
      </c>
      <c r="AO1774" s="201">
        <f t="shared" si="8958"/>
        <v>0</v>
      </c>
      <c r="AP1774" s="201">
        <f t="shared" si="8958"/>
        <v>0</v>
      </c>
      <c r="AQ1774" s="201">
        <f t="shared" si="8958"/>
        <v>0</v>
      </c>
      <c r="AR1774" s="200">
        <f t="shared" si="8958"/>
        <v>0</v>
      </c>
      <c r="AS1774" s="200">
        <f t="shared" si="8958"/>
        <v>0</v>
      </c>
      <c r="AT1774" s="173">
        <v>0.0</v>
      </c>
      <c r="AU1774" s="200">
        <f t="shared" ref="AU1774:AX1774" si="8959">countif($D1774,"*"&amp;AU$2&amp;"*")</f>
        <v>0</v>
      </c>
      <c r="AV1774" s="200">
        <f t="shared" si="8959"/>
        <v>1</v>
      </c>
      <c r="AW1774" s="200">
        <f t="shared" si="8959"/>
        <v>0</v>
      </c>
      <c r="AX1774" s="200">
        <f t="shared" si="8959"/>
        <v>0</v>
      </c>
      <c r="AY1774" s="202">
        <v>0.0</v>
      </c>
      <c r="AZ1774" s="200"/>
      <c r="BA1774" s="171" t="str">
        <f t="shared" si="18"/>
        <v/>
      </c>
      <c r="BB1774" s="171" t="str">
        <f t="shared" si="19"/>
        <v>Code</v>
      </c>
      <c r="BC1774" s="171" t="str">
        <f t="shared" si="20"/>
        <v/>
      </c>
      <c r="BD1774" s="171" t="str">
        <f t="shared" si="21"/>
        <v/>
      </c>
      <c r="BE1774" s="171" t="str">
        <f t="shared" si="22"/>
        <v/>
      </c>
      <c r="BF1774" s="171" t="str">
        <f t="shared" si="23"/>
        <v>Code</v>
      </c>
    </row>
    <row r="1775">
      <c r="A1775" s="171">
        <f t="array" ref="A1775">XLOOKUP(C1775,FSE!A:A,FSE!C:C,"XXXXX",0,1)</f>
        <v>2019</v>
      </c>
      <c r="B1775" s="213" t="s">
        <v>5676</v>
      </c>
      <c r="C1775" s="214">
        <v>434.0</v>
      </c>
      <c r="D1775" s="215" t="s">
        <v>4279</v>
      </c>
      <c r="E1775" s="197" t="str">
        <f t="array" ref="E1775">XLOOKUP(C1775,FSE!A:A,FSE!Z:Z,"XXXXX",0,1)</f>
        <v>Publicly Available (1)</v>
      </c>
      <c r="F1775" s="213" t="s">
        <v>3394</v>
      </c>
      <c r="G1775" s="163" t="str">
        <f t="array" ref="G1775">IF(B1775="ICSE",IF(COUNTIFS(B:B,B1775,C:C,C1775)=XLOOKUP(C1775,ICSE!A:A,ICSE!AA:AA,"ERROR",0,1),"OK","ERROR"),IF(B1775="FSE",IF(COUNTIFS(B:B,B1775,C:C,C1775)=XLOOKUP(C1775,FSE!A:A,FSE!AA:AA,"ERROR",0,1),"OK","ERROR")))</f>
        <v>OK</v>
      </c>
      <c r="H1775" s="199">
        <f t="shared" ref="H1775:O1775" si="8960">countif($D1775,"*"&amp;H$2&amp;"*")</f>
        <v>1</v>
      </c>
      <c r="I1775" s="200">
        <f t="shared" si="8960"/>
        <v>0</v>
      </c>
      <c r="J1775" s="200">
        <f t="shared" si="8960"/>
        <v>0</v>
      </c>
      <c r="K1775" s="200">
        <f t="shared" si="8960"/>
        <v>0</v>
      </c>
      <c r="L1775" s="200">
        <f t="shared" si="8960"/>
        <v>0</v>
      </c>
      <c r="M1775" s="200">
        <f t="shared" si="8960"/>
        <v>0</v>
      </c>
      <c r="N1775" s="200">
        <f t="shared" si="8960"/>
        <v>0</v>
      </c>
      <c r="O1775" s="200">
        <f t="shared" si="8960"/>
        <v>0</v>
      </c>
      <c r="P1775" s="200">
        <f t="shared" si="9"/>
        <v>0</v>
      </c>
      <c r="Q1775" s="200">
        <f t="shared" ref="Q1775:AC1775" si="8961">countif($D1775,"*"&amp;Q$2&amp;"*")</f>
        <v>0</v>
      </c>
      <c r="R1775" s="200">
        <f t="shared" si="8961"/>
        <v>0</v>
      </c>
      <c r="S1775" s="200">
        <f t="shared" si="8961"/>
        <v>0</v>
      </c>
      <c r="T1775" s="200">
        <f t="shared" si="8961"/>
        <v>0</v>
      </c>
      <c r="U1775" s="200">
        <f t="shared" si="8961"/>
        <v>0</v>
      </c>
      <c r="V1775" s="200">
        <f t="shared" si="8961"/>
        <v>0</v>
      </c>
      <c r="W1775" s="200">
        <f t="shared" si="8961"/>
        <v>0</v>
      </c>
      <c r="X1775" s="200">
        <f t="shared" si="8961"/>
        <v>0</v>
      </c>
      <c r="Y1775" s="200">
        <f t="shared" si="8961"/>
        <v>0</v>
      </c>
      <c r="Z1775" s="200">
        <f t="shared" si="8961"/>
        <v>0</v>
      </c>
      <c r="AA1775" s="200">
        <f t="shared" si="8961"/>
        <v>0</v>
      </c>
      <c r="AB1775" s="200">
        <f t="shared" si="8961"/>
        <v>0</v>
      </c>
      <c r="AC1775" s="200">
        <f t="shared" si="8961"/>
        <v>0</v>
      </c>
      <c r="AD1775" s="200">
        <f t="shared" si="11"/>
        <v>0</v>
      </c>
      <c r="AE1775" s="200">
        <f t="shared" ref="AE1775:AG1775" si="8962">countif($D1775,"*"&amp;AE$2&amp;"*")</f>
        <v>0</v>
      </c>
      <c r="AF1775" s="200">
        <f t="shared" si="8962"/>
        <v>0</v>
      </c>
      <c r="AG1775" s="200">
        <f t="shared" si="8962"/>
        <v>0</v>
      </c>
      <c r="AH1775" s="171">
        <f t="shared" si="13"/>
        <v>0</v>
      </c>
      <c r="AI1775" s="200">
        <f t="shared" si="14"/>
        <v>1</v>
      </c>
      <c r="AJ1775" s="200">
        <f t="shared" si="8963"/>
        <v>0</v>
      </c>
      <c r="AK1775" s="201">
        <f t="shared" ref="AK1775:AS1775" si="8964">countif($D1775,"*"&amp;AK$2&amp;"*")</f>
        <v>0</v>
      </c>
      <c r="AL1775" s="201">
        <f t="shared" si="8964"/>
        <v>0</v>
      </c>
      <c r="AM1775" s="201">
        <f t="shared" si="8964"/>
        <v>0</v>
      </c>
      <c r="AN1775" s="201">
        <f t="shared" si="8964"/>
        <v>0</v>
      </c>
      <c r="AO1775" s="201">
        <f t="shared" si="8964"/>
        <v>0</v>
      </c>
      <c r="AP1775" s="201">
        <f t="shared" si="8964"/>
        <v>0</v>
      </c>
      <c r="AQ1775" s="201">
        <f t="shared" si="8964"/>
        <v>0</v>
      </c>
      <c r="AR1775" s="200">
        <f t="shared" si="8964"/>
        <v>0</v>
      </c>
      <c r="AS1775" s="200">
        <f t="shared" si="8964"/>
        <v>0</v>
      </c>
      <c r="AT1775" s="173">
        <v>0.0</v>
      </c>
      <c r="AU1775" s="200">
        <f t="shared" ref="AU1775:AX1775" si="8965">countif($D1775,"*"&amp;AU$2&amp;"*")</f>
        <v>0</v>
      </c>
      <c r="AV1775" s="200">
        <f t="shared" si="8965"/>
        <v>0</v>
      </c>
      <c r="AW1775" s="200">
        <f t="shared" si="8965"/>
        <v>0</v>
      </c>
      <c r="AX1775" s="200">
        <f t="shared" si="8965"/>
        <v>1</v>
      </c>
      <c r="AY1775" s="202">
        <v>0.0</v>
      </c>
      <c r="AZ1775" s="200"/>
      <c r="BA1775" s="171" t="str">
        <f t="shared" si="18"/>
        <v>Archival</v>
      </c>
      <c r="BB1775" s="171" t="str">
        <f t="shared" si="19"/>
        <v/>
      </c>
      <c r="BC1775" s="171" t="str">
        <f t="shared" si="20"/>
        <v/>
      </c>
      <c r="BD1775" s="171" t="str">
        <f t="shared" si="21"/>
        <v/>
      </c>
      <c r="BE1775" s="171" t="str">
        <f t="shared" si="22"/>
        <v/>
      </c>
      <c r="BF1775" s="171" t="str">
        <f t="shared" si="23"/>
        <v>Archival</v>
      </c>
    </row>
    <row r="1776">
      <c r="A1776" s="171">
        <f t="array" ref="A1776">XLOOKUP(C1776,FSE!A:A,FSE!C:C,"XXXXX",0,1)</f>
        <v>2019</v>
      </c>
      <c r="B1776" s="213" t="s">
        <v>5676</v>
      </c>
      <c r="C1776" s="214">
        <v>435.0</v>
      </c>
      <c r="D1776" s="215" t="s">
        <v>4282</v>
      </c>
      <c r="E1776" s="197" t="str">
        <f t="array" ref="E1776">XLOOKUP(C1776,FSE!A:A,FSE!Z:Z,"XXXXX",0,1)</f>
        <v>Publicly Available (1)</v>
      </c>
      <c r="F1776" s="213" t="s">
        <v>3394</v>
      </c>
      <c r="G1776" s="163" t="str">
        <f t="array" ref="G1776">IF(B1776="ICSE",IF(COUNTIFS(B:B,B1776,C:C,C1776)=XLOOKUP(C1776,ICSE!A:A,ICSE!AA:AA,"ERROR",0,1),"OK","ERROR"),IF(B1776="FSE",IF(COUNTIFS(B:B,B1776,C:C,C1776)=XLOOKUP(C1776,FSE!A:A,FSE!AA:AA,"ERROR",0,1),"OK","ERROR")))</f>
        <v>OK</v>
      </c>
      <c r="H1776" s="199">
        <f t="shared" ref="H1776:O1776" si="8966">countif($D1776,"*"&amp;H$2&amp;"*")</f>
        <v>0</v>
      </c>
      <c r="I1776" s="200">
        <f t="shared" si="8966"/>
        <v>0</v>
      </c>
      <c r="J1776" s="200">
        <f t="shared" si="8966"/>
        <v>0</v>
      </c>
      <c r="K1776" s="200">
        <f t="shared" si="8966"/>
        <v>0</v>
      </c>
      <c r="L1776" s="200">
        <f t="shared" si="8966"/>
        <v>0</v>
      </c>
      <c r="M1776" s="200">
        <f t="shared" si="8966"/>
        <v>0</v>
      </c>
      <c r="N1776" s="200">
        <f t="shared" si="8966"/>
        <v>0</v>
      </c>
      <c r="O1776" s="200">
        <f t="shared" si="8966"/>
        <v>0</v>
      </c>
      <c r="P1776" s="200">
        <f t="shared" si="9"/>
        <v>1</v>
      </c>
      <c r="Q1776" s="200">
        <f t="shared" ref="Q1776:AC1776" si="8967">countif($D1776,"*"&amp;Q$2&amp;"*")</f>
        <v>0</v>
      </c>
      <c r="R1776" s="200">
        <f t="shared" si="8967"/>
        <v>0</v>
      </c>
      <c r="S1776" s="200">
        <f t="shared" si="8967"/>
        <v>0</v>
      </c>
      <c r="T1776" s="200">
        <f t="shared" si="8967"/>
        <v>0</v>
      </c>
      <c r="U1776" s="200">
        <f t="shared" si="8967"/>
        <v>0</v>
      </c>
      <c r="V1776" s="200">
        <f t="shared" si="8967"/>
        <v>0</v>
      </c>
      <c r="W1776" s="200">
        <f t="shared" si="8967"/>
        <v>0</v>
      </c>
      <c r="X1776" s="200">
        <f t="shared" si="8967"/>
        <v>0</v>
      </c>
      <c r="Y1776" s="200">
        <f t="shared" si="8967"/>
        <v>0</v>
      </c>
      <c r="Z1776" s="200">
        <f t="shared" si="8967"/>
        <v>0</v>
      </c>
      <c r="AA1776" s="200">
        <f t="shared" si="8967"/>
        <v>0</v>
      </c>
      <c r="AB1776" s="200">
        <f t="shared" si="8967"/>
        <v>0</v>
      </c>
      <c r="AC1776" s="200">
        <f t="shared" si="8967"/>
        <v>0</v>
      </c>
      <c r="AD1776" s="200">
        <f t="shared" si="11"/>
        <v>0</v>
      </c>
      <c r="AE1776" s="200">
        <f t="shared" ref="AE1776:AG1776" si="8968">countif($D1776,"*"&amp;AE$2&amp;"*")</f>
        <v>0</v>
      </c>
      <c r="AF1776" s="200">
        <f t="shared" si="8968"/>
        <v>0</v>
      </c>
      <c r="AG1776" s="200">
        <f t="shared" si="8968"/>
        <v>0</v>
      </c>
      <c r="AH1776" s="171">
        <f t="shared" si="13"/>
        <v>0</v>
      </c>
      <c r="AI1776" s="200">
        <f t="shared" si="14"/>
        <v>0</v>
      </c>
      <c r="AJ1776" s="200">
        <f t="shared" si="8963"/>
        <v>0</v>
      </c>
      <c r="AK1776" s="201">
        <f t="shared" ref="AK1776:AS1776" si="8969">countif($D1776,"*"&amp;AK$2&amp;"*")</f>
        <v>0</v>
      </c>
      <c r="AL1776" s="201">
        <f t="shared" si="8969"/>
        <v>0</v>
      </c>
      <c r="AM1776" s="201">
        <f t="shared" si="8969"/>
        <v>0</v>
      </c>
      <c r="AN1776" s="201">
        <f t="shared" si="8969"/>
        <v>0</v>
      </c>
      <c r="AO1776" s="201">
        <f t="shared" si="8969"/>
        <v>0</v>
      </c>
      <c r="AP1776" s="201">
        <f t="shared" si="8969"/>
        <v>0</v>
      </c>
      <c r="AQ1776" s="201">
        <f t="shared" si="8969"/>
        <v>0</v>
      </c>
      <c r="AR1776" s="200">
        <f t="shared" si="8969"/>
        <v>0</v>
      </c>
      <c r="AS1776" s="200">
        <f t="shared" si="8969"/>
        <v>0</v>
      </c>
      <c r="AT1776" s="173">
        <v>0.0</v>
      </c>
      <c r="AU1776" s="200">
        <f t="shared" ref="AU1776:AX1776" si="8970">countif($D1776,"*"&amp;AU$2&amp;"*")</f>
        <v>0</v>
      </c>
      <c r="AV1776" s="200">
        <f t="shared" si="8970"/>
        <v>1</v>
      </c>
      <c r="AW1776" s="200">
        <f t="shared" si="8970"/>
        <v>0</v>
      </c>
      <c r="AX1776" s="200">
        <f t="shared" si="8970"/>
        <v>0</v>
      </c>
      <c r="AY1776" s="202">
        <v>0.0</v>
      </c>
      <c r="AZ1776" s="200"/>
      <c r="BA1776" s="171" t="str">
        <f t="shared" si="18"/>
        <v/>
      </c>
      <c r="BB1776" s="171" t="str">
        <f t="shared" si="19"/>
        <v>Code</v>
      </c>
      <c r="BC1776" s="171" t="str">
        <f t="shared" si="20"/>
        <v/>
      </c>
      <c r="BD1776" s="171" t="str">
        <f t="shared" si="21"/>
        <v/>
      </c>
      <c r="BE1776" s="171" t="str">
        <f t="shared" si="22"/>
        <v/>
      </c>
      <c r="BF1776" s="171" t="str">
        <f t="shared" si="23"/>
        <v>Code</v>
      </c>
    </row>
    <row r="1777">
      <c r="A1777" s="171">
        <f t="array" ref="A1777">XLOOKUP(C1777,FSE!A:A,FSE!C:C,"XXXXX",0,1)</f>
        <v>2019</v>
      </c>
      <c r="B1777" s="213" t="s">
        <v>5676</v>
      </c>
      <c r="C1777" s="214">
        <v>436.0</v>
      </c>
      <c r="D1777" s="215" t="s">
        <v>4285</v>
      </c>
      <c r="E1777" s="197" t="str">
        <f t="array" ref="E1777">XLOOKUP(C1777,FSE!A:A,FSE!Z:Z,"XXXXX",0,1)</f>
        <v>Publicly Available (1)</v>
      </c>
      <c r="F1777" s="213" t="s">
        <v>3394</v>
      </c>
      <c r="G1777" s="163" t="str">
        <f t="array" ref="G1777">IF(B1777="ICSE",IF(COUNTIFS(B:B,B1777,C:C,C1777)=XLOOKUP(C1777,ICSE!A:A,ICSE!AA:AA,"ERROR",0,1),"OK","ERROR"),IF(B1777="FSE",IF(COUNTIFS(B:B,B1777,C:C,C1777)=XLOOKUP(C1777,FSE!A:A,FSE!AA:AA,"ERROR",0,1),"OK","ERROR")))</f>
        <v>OK</v>
      </c>
      <c r="H1777" s="199">
        <f t="shared" ref="H1777:O1777" si="8971">countif($D1777,"*"&amp;H$2&amp;"*")</f>
        <v>0</v>
      </c>
      <c r="I1777" s="200">
        <f t="shared" si="8971"/>
        <v>0</v>
      </c>
      <c r="J1777" s="200">
        <f t="shared" si="8971"/>
        <v>0</v>
      </c>
      <c r="K1777" s="200">
        <f t="shared" si="8971"/>
        <v>0</v>
      </c>
      <c r="L1777" s="200">
        <f t="shared" si="8971"/>
        <v>0</v>
      </c>
      <c r="M1777" s="200">
        <f t="shared" si="8971"/>
        <v>0</v>
      </c>
      <c r="N1777" s="200">
        <f t="shared" si="8971"/>
        <v>0</v>
      </c>
      <c r="O1777" s="200">
        <f t="shared" si="8971"/>
        <v>0</v>
      </c>
      <c r="P1777" s="200">
        <f t="shared" si="9"/>
        <v>1</v>
      </c>
      <c r="Q1777" s="200">
        <f t="shared" ref="Q1777:AC1777" si="8972">countif($D1777,"*"&amp;Q$2&amp;"*")</f>
        <v>0</v>
      </c>
      <c r="R1777" s="200">
        <f t="shared" si="8972"/>
        <v>0</v>
      </c>
      <c r="S1777" s="200">
        <f t="shared" si="8972"/>
        <v>0</v>
      </c>
      <c r="T1777" s="200">
        <f t="shared" si="8972"/>
        <v>0</v>
      </c>
      <c r="U1777" s="200">
        <f t="shared" si="8972"/>
        <v>0</v>
      </c>
      <c r="V1777" s="200">
        <f t="shared" si="8972"/>
        <v>0</v>
      </c>
      <c r="W1777" s="200">
        <f t="shared" si="8972"/>
        <v>0</v>
      </c>
      <c r="X1777" s="200">
        <f t="shared" si="8972"/>
        <v>0</v>
      </c>
      <c r="Y1777" s="200">
        <f t="shared" si="8972"/>
        <v>0</v>
      </c>
      <c r="Z1777" s="200">
        <f t="shared" si="8972"/>
        <v>0</v>
      </c>
      <c r="AA1777" s="200">
        <f t="shared" si="8972"/>
        <v>0</v>
      </c>
      <c r="AB1777" s="200">
        <f t="shared" si="8972"/>
        <v>0</v>
      </c>
      <c r="AC1777" s="200">
        <f t="shared" si="8972"/>
        <v>0</v>
      </c>
      <c r="AD1777" s="200">
        <f t="shared" si="11"/>
        <v>0</v>
      </c>
      <c r="AE1777" s="200">
        <f t="shared" ref="AE1777:AG1777" si="8973">countif($D1777,"*"&amp;AE$2&amp;"*")</f>
        <v>0</v>
      </c>
      <c r="AF1777" s="200">
        <f t="shared" si="8973"/>
        <v>0</v>
      </c>
      <c r="AG1777" s="200">
        <f t="shared" si="8973"/>
        <v>0</v>
      </c>
      <c r="AH1777" s="171">
        <f t="shared" si="13"/>
        <v>0</v>
      </c>
      <c r="AI1777" s="200">
        <f t="shared" si="14"/>
        <v>0</v>
      </c>
      <c r="AJ1777" s="200">
        <f t="shared" si="8963"/>
        <v>0</v>
      </c>
      <c r="AK1777" s="201">
        <f t="shared" ref="AK1777:AS1777" si="8974">countif($D1777,"*"&amp;AK$2&amp;"*")</f>
        <v>0</v>
      </c>
      <c r="AL1777" s="201">
        <f t="shared" si="8974"/>
        <v>0</v>
      </c>
      <c r="AM1777" s="201">
        <f t="shared" si="8974"/>
        <v>0</v>
      </c>
      <c r="AN1777" s="201">
        <f t="shared" si="8974"/>
        <v>0</v>
      </c>
      <c r="AO1777" s="201">
        <f t="shared" si="8974"/>
        <v>0</v>
      </c>
      <c r="AP1777" s="201">
        <f t="shared" si="8974"/>
        <v>0</v>
      </c>
      <c r="AQ1777" s="201">
        <f t="shared" si="8974"/>
        <v>0</v>
      </c>
      <c r="AR1777" s="200">
        <f t="shared" si="8974"/>
        <v>0</v>
      </c>
      <c r="AS1777" s="200">
        <f t="shared" si="8974"/>
        <v>0</v>
      </c>
      <c r="AT1777" s="173">
        <v>0.0</v>
      </c>
      <c r="AU1777" s="200">
        <f t="shared" ref="AU1777:AX1777" si="8975">countif($D1777,"*"&amp;AU$2&amp;"*")</f>
        <v>0</v>
      </c>
      <c r="AV1777" s="200">
        <f t="shared" si="8975"/>
        <v>1</v>
      </c>
      <c r="AW1777" s="200">
        <f t="shared" si="8975"/>
        <v>0</v>
      </c>
      <c r="AX1777" s="200">
        <f t="shared" si="8975"/>
        <v>0</v>
      </c>
      <c r="AY1777" s="202">
        <v>0.0</v>
      </c>
      <c r="AZ1777" s="200"/>
      <c r="BA1777" s="171" t="str">
        <f t="shared" si="18"/>
        <v/>
      </c>
      <c r="BB1777" s="171" t="str">
        <f t="shared" si="19"/>
        <v>Code</v>
      </c>
      <c r="BC1777" s="171" t="str">
        <f t="shared" si="20"/>
        <v/>
      </c>
      <c r="BD1777" s="171" t="str">
        <f t="shared" si="21"/>
        <v/>
      </c>
      <c r="BE1777" s="171" t="str">
        <f t="shared" si="22"/>
        <v/>
      </c>
      <c r="BF1777" s="171" t="str">
        <f t="shared" si="23"/>
        <v>Code</v>
      </c>
    </row>
    <row r="1778">
      <c r="A1778" s="171">
        <f t="array" ref="A1778">XLOOKUP(C1778,FSE!A:A,FSE!C:C,"XXXXX",0,1)</f>
        <v>2019</v>
      </c>
      <c r="B1778" s="213" t="s">
        <v>5676</v>
      </c>
      <c r="C1778" s="214">
        <v>437.0</v>
      </c>
      <c r="D1778" s="215" t="s">
        <v>4288</v>
      </c>
      <c r="E1778" s="197" t="str">
        <f t="array" ref="E1778">XLOOKUP(C1778,FSE!A:A,FSE!Z:Z,"XXXXX",0,1)</f>
        <v>Publicly Available (1)</v>
      </c>
      <c r="F1778" s="213" t="s">
        <v>3394</v>
      </c>
      <c r="G1778" s="163" t="str">
        <f t="array" ref="G1778">IF(B1778="ICSE",IF(COUNTIFS(B:B,B1778,C:C,C1778)=XLOOKUP(C1778,ICSE!A:A,ICSE!AA:AA,"ERROR",0,1),"OK","ERROR"),IF(B1778="FSE",IF(COUNTIFS(B:B,B1778,C:C,C1778)=XLOOKUP(C1778,FSE!A:A,FSE!AA:AA,"ERROR",0,1),"OK","ERROR")))</f>
        <v>OK</v>
      </c>
      <c r="H1778" s="199">
        <f t="shared" ref="H1778:O1778" si="8976">countif($D1778,"*"&amp;H$2&amp;"*")</f>
        <v>0</v>
      </c>
      <c r="I1778" s="200">
        <f t="shared" si="8976"/>
        <v>0</v>
      </c>
      <c r="J1778" s="200">
        <f t="shared" si="8976"/>
        <v>0</v>
      </c>
      <c r="K1778" s="200">
        <f t="shared" si="8976"/>
        <v>0</v>
      </c>
      <c r="L1778" s="200">
        <f t="shared" si="8976"/>
        <v>0</v>
      </c>
      <c r="M1778" s="200">
        <f t="shared" si="8976"/>
        <v>0</v>
      </c>
      <c r="N1778" s="200">
        <f t="shared" si="8976"/>
        <v>0</v>
      </c>
      <c r="O1778" s="200">
        <f t="shared" si="8976"/>
        <v>0</v>
      </c>
      <c r="P1778" s="200">
        <f t="shared" si="9"/>
        <v>1</v>
      </c>
      <c r="Q1778" s="200">
        <f t="shared" ref="Q1778:AC1778" si="8977">countif($D1778,"*"&amp;Q$2&amp;"*")</f>
        <v>0</v>
      </c>
      <c r="R1778" s="200">
        <f t="shared" si="8977"/>
        <v>0</v>
      </c>
      <c r="S1778" s="200">
        <f t="shared" si="8977"/>
        <v>0</v>
      </c>
      <c r="T1778" s="200">
        <f t="shared" si="8977"/>
        <v>0</v>
      </c>
      <c r="U1778" s="200">
        <f t="shared" si="8977"/>
        <v>0</v>
      </c>
      <c r="V1778" s="200">
        <f t="shared" si="8977"/>
        <v>0</v>
      </c>
      <c r="W1778" s="200">
        <f t="shared" si="8977"/>
        <v>0</v>
      </c>
      <c r="X1778" s="200">
        <f t="shared" si="8977"/>
        <v>0</v>
      </c>
      <c r="Y1778" s="200">
        <f t="shared" si="8977"/>
        <v>0</v>
      </c>
      <c r="Z1778" s="200">
        <f t="shared" si="8977"/>
        <v>0</v>
      </c>
      <c r="AA1778" s="200">
        <f t="shared" si="8977"/>
        <v>0</v>
      </c>
      <c r="AB1778" s="200">
        <f t="shared" si="8977"/>
        <v>0</v>
      </c>
      <c r="AC1778" s="200">
        <f t="shared" si="8977"/>
        <v>0</v>
      </c>
      <c r="AD1778" s="200">
        <f t="shared" si="11"/>
        <v>0</v>
      </c>
      <c r="AE1778" s="200">
        <f t="shared" ref="AE1778:AG1778" si="8978">countif($D1778,"*"&amp;AE$2&amp;"*")</f>
        <v>0</v>
      </c>
      <c r="AF1778" s="200">
        <f t="shared" si="8978"/>
        <v>0</v>
      </c>
      <c r="AG1778" s="200">
        <f t="shared" si="8978"/>
        <v>0</v>
      </c>
      <c r="AH1778" s="171">
        <f t="shared" si="13"/>
        <v>0</v>
      </c>
      <c r="AI1778" s="200">
        <f t="shared" si="14"/>
        <v>0</v>
      </c>
      <c r="AJ1778" s="200">
        <f t="shared" si="8963"/>
        <v>0</v>
      </c>
      <c r="AK1778" s="201">
        <f t="shared" ref="AK1778:AS1778" si="8979">countif($D1778,"*"&amp;AK$2&amp;"*")</f>
        <v>0</v>
      </c>
      <c r="AL1778" s="201">
        <f t="shared" si="8979"/>
        <v>0</v>
      </c>
      <c r="AM1778" s="201">
        <f t="shared" si="8979"/>
        <v>0</v>
      </c>
      <c r="AN1778" s="201">
        <f t="shared" si="8979"/>
        <v>0</v>
      </c>
      <c r="AO1778" s="201">
        <f t="shared" si="8979"/>
        <v>0</v>
      </c>
      <c r="AP1778" s="201">
        <f t="shared" si="8979"/>
        <v>0</v>
      </c>
      <c r="AQ1778" s="201">
        <f t="shared" si="8979"/>
        <v>0</v>
      </c>
      <c r="AR1778" s="200">
        <f t="shared" si="8979"/>
        <v>0</v>
      </c>
      <c r="AS1778" s="200">
        <f t="shared" si="8979"/>
        <v>0</v>
      </c>
      <c r="AT1778" s="173">
        <v>0.0</v>
      </c>
      <c r="AU1778" s="200">
        <f t="shared" ref="AU1778:AX1778" si="8980">countif($D1778,"*"&amp;AU$2&amp;"*")</f>
        <v>0</v>
      </c>
      <c r="AV1778" s="200">
        <f t="shared" si="8980"/>
        <v>1</v>
      </c>
      <c r="AW1778" s="200">
        <f t="shared" si="8980"/>
        <v>0</v>
      </c>
      <c r="AX1778" s="200">
        <f t="shared" si="8980"/>
        <v>0</v>
      </c>
      <c r="AY1778" s="202">
        <v>0.0</v>
      </c>
      <c r="AZ1778" s="200"/>
      <c r="BA1778" s="171" t="str">
        <f t="shared" si="18"/>
        <v/>
      </c>
      <c r="BB1778" s="171" t="str">
        <f t="shared" si="19"/>
        <v>Code</v>
      </c>
      <c r="BC1778" s="171" t="str">
        <f t="shared" si="20"/>
        <v/>
      </c>
      <c r="BD1778" s="171" t="str">
        <f t="shared" si="21"/>
        <v/>
      </c>
      <c r="BE1778" s="171" t="str">
        <f t="shared" si="22"/>
        <v/>
      </c>
      <c r="BF1778" s="171" t="str">
        <f t="shared" si="23"/>
        <v>Code</v>
      </c>
    </row>
    <row r="1779">
      <c r="A1779" s="171">
        <f t="array" ref="A1779">XLOOKUP(C1779,FSE!A:A,FSE!C:C,"XXXXX",0,1)</f>
        <v>2019</v>
      </c>
      <c r="B1779" s="213" t="s">
        <v>5676</v>
      </c>
      <c r="C1779" s="214">
        <v>438.0</v>
      </c>
      <c r="D1779" s="215" t="s">
        <v>4291</v>
      </c>
      <c r="E1779" s="197" t="str">
        <f t="array" ref="E1779">XLOOKUP(C1779,FSE!A:A,FSE!Z:Z,"XXXXX",0,1)</f>
        <v>Publicly Available (1)</v>
      </c>
      <c r="F1779" s="213" t="s">
        <v>3394</v>
      </c>
      <c r="G1779" s="163" t="str">
        <f t="array" ref="G1779">IF(B1779="ICSE",IF(COUNTIFS(B:B,B1779,C:C,C1779)=XLOOKUP(C1779,ICSE!A:A,ICSE!AA:AA,"ERROR",0,1),"OK","ERROR"),IF(B1779="FSE",IF(COUNTIFS(B:B,B1779,C:C,C1779)=XLOOKUP(C1779,FSE!A:A,FSE!AA:AA,"ERROR",0,1),"OK","ERROR")))</f>
        <v>OK</v>
      </c>
      <c r="H1779" s="199">
        <f t="shared" ref="H1779:O1779" si="8981">countif($D1779,"*"&amp;H$2&amp;"*")</f>
        <v>0</v>
      </c>
      <c r="I1779" s="200">
        <f t="shared" si="8981"/>
        <v>0</v>
      </c>
      <c r="J1779" s="200">
        <f t="shared" si="8981"/>
        <v>0</v>
      </c>
      <c r="K1779" s="200">
        <f t="shared" si="8981"/>
        <v>0</v>
      </c>
      <c r="L1779" s="200">
        <f t="shared" si="8981"/>
        <v>0</v>
      </c>
      <c r="M1779" s="200">
        <f t="shared" si="8981"/>
        <v>0</v>
      </c>
      <c r="N1779" s="200">
        <f t="shared" si="8981"/>
        <v>0</v>
      </c>
      <c r="O1779" s="200">
        <f t="shared" si="8981"/>
        <v>0</v>
      </c>
      <c r="P1779" s="200">
        <f t="shared" si="9"/>
        <v>1</v>
      </c>
      <c r="Q1779" s="200">
        <f t="shared" ref="Q1779:AC1779" si="8982">countif($D1779,"*"&amp;Q$2&amp;"*")</f>
        <v>0</v>
      </c>
      <c r="R1779" s="200">
        <f t="shared" si="8982"/>
        <v>0</v>
      </c>
      <c r="S1779" s="200">
        <f t="shared" si="8982"/>
        <v>0</v>
      </c>
      <c r="T1779" s="200">
        <f t="shared" si="8982"/>
        <v>0</v>
      </c>
      <c r="U1779" s="200">
        <f t="shared" si="8982"/>
        <v>0</v>
      </c>
      <c r="V1779" s="200">
        <f t="shared" si="8982"/>
        <v>0</v>
      </c>
      <c r="W1779" s="200">
        <f t="shared" si="8982"/>
        <v>0</v>
      </c>
      <c r="X1779" s="200">
        <f t="shared" si="8982"/>
        <v>0</v>
      </c>
      <c r="Y1779" s="200">
        <f t="shared" si="8982"/>
        <v>0</v>
      </c>
      <c r="Z1779" s="200">
        <f t="shared" si="8982"/>
        <v>0</v>
      </c>
      <c r="AA1779" s="200">
        <f t="shared" si="8982"/>
        <v>0</v>
      </c>
      <c r="AB1779" s="200">
        <f t="shared" si="8982"/>
        <v>0</v>
      </c>
      <c r="AC1779" s="200">
        <f t="shared" si="8982"/>
        <v>0</v>
      </c>
      <c r="AD1779" s="200">
        <f t="shared" si="11"/>
        <v>0</v>
      </c>
      <c r="AE1779" s="200">
        <f t="shared" ref="AE1779:AG1779" si="8983">countif($D1779,"*"&amp;AE$2&amp;"*")</f>
        <v>0</v>
      </c>
      <c r="AF1779" s="200">
        <f t="shared" si="8983"/>
        <v>0</v>
      </c>
      <c r="AG1779" s="200">
        <f t="shared" si="8983"/>
        <v>0</v>
      </c>
      <c r="AH1779" s="171">
        <f t="shared" si="13"/>
        <v>0</v>
      </c>
      <c r="AI1779" s="200">
        <f t="shared" si="14"/>
        <v>0</v>
      </c>
      <c r="AJ1779" s="200">
        <f t="shared" si="8963"/>
        <v>0</v>
      </c>
      <c r="AK1779" s="201">
        <f t="shared" ref="AK1779:AS1779" si="8984">countif($D1779,"*"&amp;AK$2&amp;"*")</f>
        <v>0</v>
      </c>
      <c r="AL1779" s="201">
        <f t="shared" si="8984"/>
        <v>0</v>
      </c>
      <c r="AM1779" s="201">
        <f t="shared" si="8984"/>
        <v>0</v>
      </c>
      <c r="AN1779" s="201">
        <f t="shared" si="8984"/>
        <v>0</v>
      </c>
      <c r="AO1779" s="201">
        <f t="shared" si="8984"/>
        <v>0</v>
      </c>
      <c r="AP1779" s="201">
        <f t="shared" si="8984"/>
        <v>0</v>
      </c>
      <c r="AQ1779" s="201">
        <f t="shared" si="8984"/>
        <v>0</v>
      </c>
      <c r="AR1779" s="200">
        <f t="shared" si="8984"/>
        <v>0</v>
      </c>
      <c r="AS1779" s="200">
        <f t="shared" si="8984"/>
        <v>0</v>
      </c>
      <c r="AT1779" s="173">
        <v>0.0</v>
      </c>
      <c r="AU1779" s="200">
        <f t="shared" ref="AU1779:AX1779" si="8985">countif($D1779,"*"&amp;AU$2&amp;"*")</f>
        <v>0</v>
      </c>
      <c r="AV1779" s="200">
        <f t="shared" si="8985"/>
        <v>1</v>
      </c>
      <c r="AW1779" s="200">
        <f t="shared" si="8985"/>
        <v>0</v>
      </c>
      <c r="AX1779" s="200">
        <f t="shared" si="8985"/>
        <v>0</v>
      </c>
      <c r="AY1779" s="202">
        <v>0.0</v>
      </c>
      <c r="AZ1779" s="200"/>
      <c r="BA1779" s="171" t="str">
        <f t="shared" si="18"/>
        <v/>
      </c>
      <c r="BB1779" s="171" t="str">
        <f t="shared" si="19"/>
        <v>Code</v>
      </c>
      <c r="BC1779" s="171" t="str">
        <f t="shared" si="20"/>
        <v/>
      </c>
      <c r="BD1779" s="171" t="str">
        <f t="shared" si="21"/>
        <v/>
      </c>
      <c r="BE1779" s="171" t="str">
        <f t="shared" si="22"/>
        <v/>
      </c>
      <c r="BF1779" s="171" t="str">
        <f t="shared" si="23"/>
        <v>Code</v>
      </c>
    </row>
    <row r="1780">
      <c r="A1780" s="171">
        <f t="array" ref="A1780">XLOOKUP(C1780,FSE!A:A,FSE!C:C,"XXXXX",0,1)</f>
        <v>2019</v>
      </c>
      <c r="B1780" s="213" t="s">
        <v>5676</v>
      </c>
      <c r="C1780" s="214">
        <v>439.0</v>
      </c>
      <c r="D1780" s="215" t="s">
        <v>6435</v>
      </c>
      <c r="E1780" s="197" t="str">
        <f t="array" ref="E1780">XLOOKUP(C1780,FSE!A:A,FSE!Z:Z,"XXXXX",0,1)</f>
        <v>Publicly Available (2)</v>
      </c>
      <c r="F1780" s="213" t="s">
        <v>3394</v>
      </c>
      <c r="G1780" s="163" t="str">
        <f t="array" ref="G1780">IF(B1780="ICSE",IF(COUNTIFS(B:B,B1780,C:C,C1780)=XLOOKUP(C1780,ICSE!A:A,ICSE!AA:AA,"ERROR",0,1),"OK","ERROR"),IF(B1780="FSE",IF(COUNTIFS(B:B,B1780,C:C,C1780)=XLOOKUP(C1780,FSE!A:A,FSE!AA:AA,"ERROR",0,1),"OK","ERROR")))</f>
        <v>OK</v>
      </c>
      <c r="H1780" s="199">
        <f t="shared" ref="H1780:O1780" si="8986">countif($D1780,"*"&amp;H$2&amp;"*")</f>
        <v>0</v>
      </c>
      <c r="I1780" s="200">
        <f t="shared" si="8986"/>
        <v>0</v>
      </c>
      <c r="J1780" s="200">
        <f t="shared" si="8986"/>
        <v>0</v>
      </c>
      <c r="K1780" s="200">
        <f t="shared" si="8986"/>
        <v>0</v>
      </c>
      <c r="L1780" s="200">
        <f t="shared" si="8986"/>
        <v>0</v>
      </c>
      <c r="M1780" s="200">
        <f t="shared" si="8986"/>
        <v>0</v>
      </c>
      <c r="N1780" s="200">
        <f t="shared" si="8986"/>
        <v>0</v>
      </c>
      <c r="O1780" s="200">
        <f t="shared" si="8986"/>
        <v>0</v>
      </c>
      <c r="P1780" s="200">
        <f t="shared" si="9"/>
        <v>1</v>
      </c>
      <c r="Q1780" s="200">
        <f t="shared" ref="Q1780:AC1780" si="8987">countif($D1780,"*"&amp;Q$2&amp;"*")</f>
        <v>0</v>
      </c>
      <c r="R1780" s="200">
        <f t="shared" si="8987"/>
        <v>0</v>
      </c>
      <c r="S1780" s="200">
        <f t="shared" si="8987"/>
        <v>0</v>
      </c>
      <c r="T1780" s="200">
        <f t="shared" si="8987"/>
        <v>0</v>
      </c>
      <c r="U1780" s="200">
        <f t="shared" si="8987"/>
        <v>0</v>
      </c>
      <c r="V1780" s="200">
        <f t="shared" si="8987"/>
        <v>0</v>
      </c>
      <c r="W1780" s="200">
        <f t="shared" si="8987"/>
        <v>0</v>
      </c>
      <c r="X1780" s="200">
        <f t="shared" si="8987"/>
        <v>0</v>
      </c>
      <c r="Y1780" s="200">
        <f t="shared" si="8987"/>
        <v>0</v>
      </c>
      <c r="Z1780" s="200">
        <f t="shared" si="8987"/>
        <v>0</v>
      </c>
      <c r="AA1780" s="200">
        <f t="shared" si="8987"/>
        <v>0</v>
      </c>
      <c r="AB1780" s="200">
        <f t="shared" si="8987"/>
        <v>0</v>
      </c>
      <c r="AC1780" s="200">
        <f t="shared" si="8987"/>
        <v>0</v>
      </c>
      <c r="AD1780" s="200">
        <f t="shared" si="11"/>
        <v>0</v>
      </c>
      <c r="AE1780" s="200">
        <f t="shared" ref="AE1780:AG1780" si="8988">countif($D1780,"*"&amp;AE$2&amp;"*")</f>
        <v>0</v>
      </c>
      <c r="AF1780" s="200">
        <f t="shared" si="8988"/>
        <v>0</v>
      </c>
      <c r="AG1780" s="200">
        <f t="shared" si="8988"/>
        <v>0</v>
      </c>
      <c r="AH1780" s="171">
        <f t="shared" si="13"/>
        <v>0</v>
      </c>
      <c r="AI1780" s="200">
        <f t="shared" si="14"/>
        <v>0</v>
      </c>
      <c r="AJ1780" s="200">
        <f t="shared" si="8963"/>
        <v>0</v>
      </c>
      <c r="AK1780" s="201">
        <f t="shared" ref="AK1780:AS1780" si="8989">countif($D1780,"*"&amp;AK$2&amp;"*")</f>
        <v>0</v>
      </c>
      <c r="AL1780" s="201">
        <f t="shared" si="8989"/>
        <v>0</v>
      </c>
      <c r="AM1780" s="201">
        <f t="shared" si="8989"/>
        <v>0</v>
      </c>
      <c r="AN1780" s="201">
        <f t="shared" si="8989"/>
        <v>0</v>
      </c>
      <c r="AO1780" s="201">
        <f t="shared" si="8989"/>
        <v>0</v>
      </c>
      <c r="AP1780" s="201">
        <f t="shared" si="8989"/>
        <v>0</v>
      </c>
      <c r="AQ1780" s="201">
        <f t="shared" si="8989"/>
        <v>0</v>
      </c>
      <c r="AR1780" s="200">
        <f t="shared" si="8989"/>
        <v>0</v>
      </c>
      <c r="AS1780" s="200">
        <f t="shared" si="8989"/>
        <v>0</v>
      </c>
      <c r="AT1780" s="173">
        <v>0.0</v>
      </c>
      <c r="AU1780" s="200">
        <f t="shared" ref="AU1780:AX1780" si="8990">countif($D1780,"*"&amp;AU$2&amp;"*")</f>
        <v>0</v>
      </c>
      <c r="AV1780" s="200">
        <f t="shared" si="8990"/>
        <v>1</v>
      </c>
      <c r="AW1780" s="200">
        <f t="shared" si="8990"/>
        <v>0</v>
      </c>
      <c r="AX1780" s="200">
        <f t="shared" si="8990"/>
        <v>0</v>
      </c>
      <c r="AY1780" s="202">
        <v>0.0</v>
      </c>
      <c r="AZ1780" s="200"/>
      <c r="BA1780" s="171" t="str">
        <f t="shared" si="18"/>
        <v/>
      </c>
      <c r="BB1780" s="171" t="str">
        <f t="shared" si="19"/>
        <v>Code</v>
      </c>
      <c r="BC1780" s="171" t="str">
        <f t="shared" si="20"/>
        <v/>
      </c>
      <c r="BD1780" s="171" t="str">
        <f t="shared" si="21"/>
        <v/>
      </c>
      <c r="BE1780" s="171" t="str">
        <f t="shared" si="22"/>
        <v/>
      </c>
      <c r="BF1780" s="171" t="str">
        <f t="shared" si="23"/>
        <v>Code</v>
      </c>
    </row>
    <row r="1781">
      <c r="A1781" s="213">
        <f t="array" ref="A1781">XLOOKUP(C1781,FSE!A:A,FSE!C:C,"XXXXX",0,1)</f>
        <v>2019</v>
      </c>
      <c r="B1781" s="213" t="s">
        <v>5676</v>
      </c>
      <c r="C1781" s="220">
        <v>439.0</v>
      </c>
      <c r="D1781" s="217" t="s">
        <v>6436</v>
      </c>
      <c r="E1781" s="221" t="str">
        <f t="array" ref="E1781">XLOOKUP(C1781,FSE!A:A,FSE!Z:Z,"XXXXX",0,1)</f>
        <v>Publicly Available (2)</v>
      </c>
      <c r="F1781" s="213" t="s">
        <v>3394</v>
      </c>
      <c r="G1781" s="163" t="str">
        <f t="array" ref="G1781">IF(B1781="ICSE",IF(COUNTIFS(B:B,B1781,C:C,C1781)=XLOOKUP(C1781,ICSE!A:A,ICSE!AA:AA,"ERROR",0,1),"OK","ERROR"),IF(B1781="FSE",IF(COUNTIFS(B:B,B1781,C:C,C1781)=XLOOKUP(C1781,FSE!A:A,FSE!AA:AA,"ERROR",0,1),"OK","ERROR")))</f>
        <v>OK</v>
      </c>
      <c r="H1781" s="199">
        <f t="shared" ref="H1781:O1781" si="8991">countif($D1781,"*"&amp;H$2&amp;"*")</f>
        <v>0</v>
      </c>
      <c r="I1781" s="200">
        <f t="shared" si="8991"/>
        <v>0</v>
      </c>
      <c r="J1781" s="200">
        <f t="shared" si="8991"/>
        <v>0</v>
      </c>
      <c r="K1781" s="200">
        <f t="shared" si="8991"/>
        <v>0</v>
      </c>
      <c r="L1781" s="200">
        <f t="shared" si="8991"/>
        <v>0</v>
      </c>
      <c r="M1781" s="200">
        <f t="shared" si="8991"/>
        <v>0</v>
      </c>
      <c r="N1781" s="200">
        <f t="shared" si="8991"/>
        <v>0</v>
      </c>
      <c r="O1781" s="200">
        <f t="shared" si="8991"/>
        <v>0</v>
      </c>
      <c r="P1781" s="200">
        <f t="shared" si="9"/>
        <v>1</v>
      </c>
      <c r="Q1781" s="200">
        <f t="shared" ref="Q1781:AC1781" si="8992">countif($D1781,"*"&amp;Q$2&amp;"*")</f>
        <v>0</v>
      </c>
      <c r="R1781" s="200">
        <f t="shared" si="8992"/>
        <v>0</v>
      </c>
      <c r="S1781" s="200">
        <f t="shared" si="8992"/>
        <v>0</v>
      </c>
      <c r="T1781" s="200">
        <f t="shared" si="8992"/>
        <v>0</v>
      </c>
      <c r="U1781" s="200">
        <f t="shared" si="8992"/>
        <v>0</v>
      </c>
      <c r="V1781" s="200">
        <f t="shared" si="8992"/>
        <v>0</v>
      </c>
      <c r="W1781" s="200">
        <f t="shared" si="8992"/>
        <v>0</v>
      </c>
      <c r="X1781" s="200">
        <f t="shared" si="8992"/>
        <v>0</v>
      </c>
      <c r="Y1781" s="200">
        <f t="shared" si="8992"/>
        <v>0</v>
      </c>
      <c r="Z1781" s="200">
        <f t="shared" si="8992"/>
        <v>0</v>
      </c>
      <c r="AA1781" s="200">
        <f t="shared" si="8992"/>
        <v>0</v>
      </c>
      <c r="AB1781" s="200">
        <f t="shared" si="8992"/>
        <v>0</v>
      </c>
      <c r="AC1781" s="200">
        <f t="shared" si="8992"/>
        <v>0</v>
      </c>
      <c r="AD1781" s="222">
        <f t="shared" si="11"/>
        <v>0</v>
      </c>
      <c r="AE1781" s="200">
        <f t="shared" ref="AE1781:AG1781" si="8993">countif($D1781,"*"&amp;AE$2&amp;"*")</f>
        <v>0</v>
      </c>
      <c r="AF1781" s="200">
        <f t="shared" si="8993"/>
        <v>0</v>
      </c>
      <c r="AG1781" s="200">
        <f t="shared" si="8993"/>
        <v>0</v>
      </c>
      <c r="AH1781" s="171">
        <f t="shared" si="13"/>
        <v>0</v>
      </c>
      <c r="AI1781" s="200">
        <f t="shared" si="14"/>
        <v>0</v>
      </c>
      <c r="AJ1781" s="200">
        <f t="shared" si="8963"/>
        <v>0</v>
      </c>
      <c r="AK1781" s="201">
        <f t="shared" ref="AK1781:AS1781" si="8994">countif($D1781,"*"&amp;AK$2&amp;"*")</f>
        <v>0</v>
      </c>
      <c r="AL1781" s="201">
        <f t="shared" si="8994"/>
        <v>0</v>
      </c>
      <c r="AM1781" s="201">
        <f t="shared" si="8994"/>
        <v>0</v>
      </c>
      <c r="AN1781" s="201">
        <f t="shared" si="8994"/>
        <v>0</v>
      </c>
      <c r="AO1781" s="201">
        <f t="shared" si="8994"/>
        <v>0</v>
      </c>
      <c r="AP1781" s="201">
        <f t="shared" si="8994"/>
        <v>0</v>
      </c>
      <c r="AQ1781" s="201">
        <f t="shared" si="8994"/>
        <v>0</v>
      </c>
      <c r="AR1781" s="222">
        <f t="shared" si="8994"/>
        <v>0</v>
      </c>
      <c r="AS1781" s="200">
        <f t="shared" si="8994"/>
        <v>0</v>
      </c>
      <c r="AT1781" s="223">
        <v>0.0</v>
      </c>
      <c r="AU1781" s="200">
        <f t="shared" ref="AU1781:AX1781" si="8995">countif($D1781,"*"&amp;AU$2&amp;"*")</f>
        <v>0</v>
      </c>
      <c r="AV1781" s="200">
        <f t="shared" si="8995"/>
        <v>1</v>
      </c>
      <c r="AW1781" s="200">
        <f t="shared" si="8995"/>
        <v>0</v>
      </c>
      <c r="AX1781" s="200">
        <f t="shared" si="8995"/>
        <v>0</v>
      </c>
      <c r="AY1781" s="202">
        <v>0.0</v>
      </c>
      <c r="AZ1781" s="200"/>
      <c r="BA1781" s="171" t="str">
        <f t="shared" si="18"/>
        <v/>
      </c>
      <c r="BB1781" s="171" t="str">
        <f t="shared" si="19"/>
        <v>Code</v>
      </c>
      <c r="BC1781" s="171" t="str">
        <f t="shared" si="20"/>
        <v/>
      </c>
      <c r="BD1781" s="171" t="str">
        <f t="shared" si="21"/>
        <v/>
      </c>
      <c r="BE1781" s="171" t="str">
        <f t="shared" si="22"/>
        <v/>
      </c>
      <c r="BF1781" s="171" t="str">
        <f t="shared" si="23"/>
        <v>Code</v>
      </c>
    </row>
    <row r="1782">
      <c r="A1782" s="171">
        <f t="array" ref="A1782">XLOOKUP(C1782,FSE!A:A,FSE!C:C,"XXXXX",0,1)</f>
        <v>2019</v>
      </c>
      <c r="B1782" s="213" t="s">
        <v>5676</v>
      </c>
      <c r="C1782" s="214">
        <v>440.0</v>
      </c>
      <c r="D1782" s="215" t="s">
        <v>4297</v>
      </c>
      <c r="E1782" s="197" t="str">
        <f t="array" ref="E1782">XLOOKUP(C1782,FSE!A:A,FSE!Z:Z,"XXXXX",0,1)</f>
        <v>Not Available (1)</v>
      </c>
      <c r="F1782" s="213" t="s">
        <v>3395</v>
      </c>
      <c r="G1782" s="163" t="str">
        <f t="array" ref="G1782">IF(B1782="ICSE",IF(COUNTIFS(B:B,B1782,C:C,C1782)=XLOOKUP(C1782,ICSE!A:A,ICSE!AA:AA,"ERROR",0,1),"OK","ERROR"),IF(B1782="FSE",IF(COUNTIFS(B:B,B1782,C:C,C1782)=XLOOKUP(C1782,FSE!A:A,FSE!AA:AA,"ERROR",0,1),"OK","ERROR")))</f>
        <v>OK</v>
      </c>
      <c r="H1782" s="199">
        <f t="shared" ref="H1782:O1782" si="8996">countif($D1782,"*"&amp;H$2&amp;"*")</f>
        <v>0</v>
      </c>
      <c r="I1782" s="200">
        <f t="shared" si="8996"/>
        <v>0</v>
      </c>
      <c r="J1782" s="200">
        <f t="shared" si="8996"/>
        <v>0</v>
      </c>
      <c r="K1782" s="200">
        <f t="shared" si="8996"/>
        <v>0</v>
      </c>
      <c r="L1782" s="200">
        <f t="shared" si="8996"/>
        <v>0</v>
      </c>
      <c r="M1782" s="200">
        <f t="shared" si="8996"/>
        <v>0</v>
      </c>
      <c r="N1782" s="200">
        <f t="shared" si="8996"/>
        <v>0</v>
      </c>
      <c r="O1782" s="200">
        <f t="shared" si="8996"/>
        <v>0</v>
      </c>
      <c r="P1782" s="200">
        <f t="shared" si="9"/>
        <v>1</v>
      </c>
      <c r="Q1782" s="200">
        <f t="shared" ref="Q1782:AC1782" si="8997">countif($D1782,"*"&amp;Q$2&amp;"*")</f>
        <v>0</v>
      </c>
      <c r="R1782" s="200">
        <f t="shared" si="8997"/>
        <v>0</v>
      </c>
      <c r="S1782" s="200">
        <f t="shared" si="8997"/>
        <v>0</v>
      </c>
      <c r="T1782" s="200">
        <f t="shared" si="8997"/>
        <v>0</v>
      </c>
      <c r="U1782" s="200">
        <f t="shared" si="8997"/>
        <v>0</v>
      </c>
      <c r="V1782" s="200">
        <f t="shared" si="8997"/>
        <v>0</v>
      </c>
      <c r="W1782" s="200">
        <f t="shared" si="8997"/>
        <v>0</v>
      </c>
      <c r="X1782" s="200">
        <f t="shared" si="8997"/>
        <v>0</v>
      </c>
      <c r="Y1782" s="200">
        <f t="shared" si="8997"/>
        <v>0</v>
      </c>
      <c r="Z1782" s="200">
        <f t="shared" si="8997"/>
        <v>0</v>
      </c>
      <c r="AA1782" s="200">
        <f t="shared" si="8997"/>
        <v>0</v>
      </c>
      <c r="AB1782" s="200">
        <f t="shared" si="8997"/>
        <v>0</v>
      </c>
      <c r="AC1782" s="200">
        <f t="shared" si="8997"/>
        <v>0</v>
      </c>
      <c r="AD1782" s="200">
        <f t="shared" si="11"/>
        <v>0</v>
      </c>
      <c r="AE1782" s="200">
        <f t="shared" ref="AE1782:AG1782" si="8998">countif($D1782,"*"&amp;AE$2&amp;"*")</f>
        <v>0</v>
      </c>
      <c r="AF1782" s="200">
        <f t="shared" si="8998"/>
        <v>0</v>
      </c>
      <c r="AG1782" s="200">
        <f t="shared" si="8998"/>
        <v>0</v>
      </c>
      <c r="AH1782" s="171">
        <f t="shared" si="13"/>
        <v>0</v>
      </c>
      <c r="AI1782" s="200">
        <f t="shared" si="14"/>
        <v>0</v>
      </c>
      <c r="AJ1782" s="200">
        <f t="shared" si="8963"/>
        <v>0</v>
      </c>
      <c r="AK1782" s="201">
        <f t="shared" ref="AK1782:AS1782" si="8999">countif($D1782,"*"&amp;AK$2&amp;"*")</f>
        <v>0</v>
      </c>
      <c r="AL1782" s="201">
        <f t="shared" si="8999"/>
        <v>0</v>
      </c>
      <c r="AM1782" s="201">
        <f t="shared" si="8999"/>
        <v>0</v>
      </c>
      <c r="AN1782" s="201">
        <f t="shared" si="8999"/>
        <v>0</v>
      </c>
      <c r="AO1782" s="201">
        <f t="shared" si="8999"/>
        <v>0</v>
      </c>
      <c r="AP1782" s="201">
        <f t="shared" si="8999"/>
        <v>0</v>
      </c>
      <c r="AQ1782" s="201">
        <f t="shared" si="8999"/>
        <v>0</v>
      </c>
      <c r="AR1782" s="200">
        <f t="shared" si="8999"/>
        <v>0</v>
      </c>
      <c r="AS1782" s="200">
        <f t="shared" si="8999"/>
        <v>0</v>
      </c>
      <c r="AT1782" s="173">
        <v>0.0</v>
      </c>
      <c r="AU1782" s="200">
        <f t="shared" ref="AU1782:AX1782" si="9000">countif($D1782,"*"&amp;AU$2&amp;"*")</f>
        <v>0</v>
      </c>
      <c r="AV1782" s="200">
        <f t="shared" si="9000"/>
        <v>1</v>
      </c>
      <c r="AW1782" s="200">
        <f t="shared" si="9000"/>
        <v>0</v>
      </c>
      <c r="AX1782" s="200">
        <f t="shared" si="9000"/>
        <v>0</v>
      </c>
      <c r="AY1782" s="202">
        <v>0.0</v>
      </c>
      <c r="AZ1782" s="200"/>
      <c r="BA1782" s="171" t="str">
        <f t="shared" si="18"/>
        <v/>
      </c>
      <c r="BB1782" s="171" t="str">
        <f t="shared" si="19"/>
        <v>Code</v>
      </c>
      <c r="BC1782" s="171" t="str">
        <f t="shared" si="20"/>
        <v/>
      </c>
      <c r="BD1782" s="171" t="str">
        <f t="shared" si="21"/>
        <v/>
      </c>
      <c r="BE1782" s="171" t="str">
        <f t="shared" si="22"/>
        <v/>
      </c>
      <c r="BF1782" s="171" t="str">
        <f t="shared" si="23"/>
        <v>Code</v>
      </c>
    </row>
    <row r="1783">
      <c r="A1783" s="171">
        <f t="array" ref="A1783">XLOOKUP(C1783,FSE!A:A,FSE!C:C,"XXXXX",0,1)</f>
        <v>2019</v>
      </c>
      <c r="B1783" s="213" t="s">
        <v>5676</v>
      </c>
      <c r="C1783" s="214">
        <v>441.0</v>
      </c>
      <c r="D1783" s="215" t="s">
        <v>4300</v>
      </c>
      <c r="E1783" s="197" t="str">
        <f t="array" ref="E1783">XLOOKUP(C1783,FSE!A:A,FSE!Z:Z,"XXXXX",0,1)</f>
        <v>Publicly Available (1)</v>
      </c>
      <c r="F1783" s="213" t="s">
        <v>3394</v>
      </c>
      <c r="G1783" s="163" t="str">
        <f t="array" ref="G1783">IF(B1783="ICSE",IF(COUNTIFS(B:B,B1783,C:C,C1783)=XLOOKUP(C1783,ICSE!A:A,ICSE!AA:AA,"ERROR",0,1),"OK","ERROR"),IF(B1783="FSE",IF(COUNTIFS(B:B,B1783,C:C,C1783)=XLOOKUP(C1783,FSE!A:A,FSE!AA:AA,"ERROR",0,1),"OK","ERROR")))</f>
        <v>OK</v>
      </c>
      <c r="H1783" s="199">
        <f t="shared" ref="H1783:O1783" si="9001">countif($D1783,"*"&amp;H$2&amp;"*")</f>
        <v>0</v>
      </c>
      <c r="I1783" s="200">
        <f t="shared" si="9001"/>
        <v>1</v>
      </c>
      <c r="J1783" s="200">
        <f t="shared" si="9001"/>
        <v>0</v>
      </c>
      <c r="K1783" s="200">
        <f t="shared" si="9001"/>
        <v>0</v>
      </c>
      <c r="L1783" s="200">
        <f t="shared" si="9001"/>
        <v>0</v>
      </c>
      <c r="M1783" s="200">
        <f t="shared" si="9001"/>
        <v>0</v>
      </c>
      <c r="N1783" s="200">
        <f t="shared" si="9001"/>
        <v>0</v>
      </c>
      <c r="O1783" s="200">
        <f t="shared" si="9001"/>
        <v>0</v>
      </c>
      <c r="P1783" s="200">
        <f t="shared" si="9"/>
        <v>0</v>
      </c>
      <c r="Q1783" s="200">
        <f t="shared" ref="Q1783:AC1783" si="9002">countif($D1783,"*"&amp;Q$2&amp;"*")</f>
        <v>0</v>
      </c>
      <c r="R1783" s="200">
        <f t="shared" si="9002"/>
        <v>0</v>
      </c>
      <c r="S1783" s="200">
        <f t="shared" si="9002"/>
        <v>0</v>
      </c>
      <c r="T1783" s="200">
        <f t="shared" si="9002"/>
        <v>0</v>
      </c>
      <c r="U1783" s="200">
        <f t="shared" si="9002"/>
        <v>0</v>
      </c>
      <c r="V1783" s="200">
        <f t="shared" si="9002"/>
        <v>0</v>
      </c>
      <c r="W1783" s="200">
        <f t="shared" si="9002"/>
        <v>0</v>
      </c>
      <c r="X1783" s="200">
        <f t="shared" si="9002"/>
        <v>0</v>
      </c>
      <c r="Y1783" s="200">
        <f t="shared" si="9002"/>
        <v>0</v>
      </c>
      <c r="Z1783" s="200">
        <f t="shared" si="9002"/>
        <v>0</v>
      </c>
      <c r="AA1783" s="200">
        <f t="shared" si="9002"/>
        <v>0</v>
      </c>
      <c r="AB1783" s="200">
        <f t="shared" si="9002"/>
        <v>0</v>
      </c>
      <c r="AC1783" s="200">
        <f t="shared" si="9002"/>
        <v>0</v>
      </c>
      <c r="AD1783" s="200">
        <f t="shared" si="11"/>
        <v>0</v>
      </c>
      <c r="AE1783" s="200">
        <f t="shared" ref="AE1783:AG1783" si="9003">countif($D1783,"*"&amp;AE$2&amp;"*")</f>
        <v>0</v>
      </c>
      <c r="AF1783" s="200">
        <f t="shared" si="9003"/>
        <v>0</v>
      </c>
      <c r="AG1783" s="200">
        <f t="shared" si="9003"/>
        <v>0</v>
      </c>
      <c r="AH1783" s="171">
        <f t="shared" si="13"/>
        <v>0</v>
      </c>
      <c r="AI1783" s="200">
        <f t="shared" si="14"/>
        <v>1</v>
      </c>
      <c r="AJ1783" s="200">
        <f t="shared" si="8963"/>
        <v>0</v>
      </c>
      <c r="AK1783" s="201">
        <f t="shared" ref="AK1783:AS1783" si="9004">countif($D1783,"*"&amp;AK$2&amp;"*")</f>
        <v>0</v>
      </c>
      <c r="AL1783" s="201">
        <f t="shared" si="9004"/>
        <v>0</v>
      </c>
      <c r="AM1783" s="201">
        <f t="shared" si="9004"/>
        <v>0</v>
      </c>
      <c r="AN1783" s="201">
        <f t="shared" si="9004"/>
        <v>0</v>
      </c>
      <c r="AO1783" s="201">
        <f t="shared" si="9004"/>
        <v>0</v>
      </c>
      <c r="AP1783" s="201">
        <f t="shared" si="9004"/>
        <v>0</v>
      </c>
      <c r="AQ1783" s="201">
        <f t="shared" si="9004"/>
        <v>0</v>
      </c>
      <c r="AR1783" s="200">
        <f t="shared" si="9004"/>
        <v>0</v>
      </c>
      <c r="AS1783" s="200">
        <f t="shared" si="9004"/>
        <v>0</v>
      </c>
      <c r="AT1783" s="173">
        <v>0.0</v>
      </c>
      <c r="AU1783" s="200">
        <f t="shared" ref="AU1783:AX1783" si="9005">countif($D1783,"*"&amp;AU$2&amp;"*")</f>
        <v>0</v>
      </c>
      <c r="AV1783" s="200">
        <f t="shared" si="9005"/>
        <v>0</v>
      </c>
      <c r="AW1783" s="200">
        <f t="shared" si="9005"/>
        <v>0</v>
      </c>
      <c r="AX1783" s="200">
        <f t="shared" si="9005"/>
        <v>1</v>
      </c>
      <c r="AY1783" s="202">
        <v>0.0</v>
      </c>
      <c r="AZ1783" s="200"/>
      <c r="BA1783" s="171" t="str">
        <f t="shared" si="18"/>
        <v>Archival</v>
      </c>
      <c r="BB1783" s="171" t="str">
        <f t="shared" si="19"/>
        <v/>
      </c>
      <c r="BC1783" s="171" t="str">
        <f t="shared" si="20"/>
        <v/>
      </c>
      <c r="BD1783" s="171" t="str">
        <f t="shared" si="21"/>
        <v/>
      </c>
      <c r="BE1783" s="171" t="str">
        <f t="shared" si="22"/>
        <v/>
      </c>
      <c r="BF1783" s="171" t="str">
        <f t="shared" si="23"/>
        <v>Archival</v>
      </c>
    </row>
    <row r="1784">
      <c r="A1784" s="171">
        <f t="array" ref="A1784">XLOOKUP(C1784,FSE!A:A,FSE!C:C,"XXXXX",0,1)</f>
        <v>2019</v>
      </c>
      <c r="B1784" s="213" t="s">
        <v>5676</v>
      </c>
      <c r="C1784" s="214">
        <v>442.0</v>
      </c>
      <c r="D1784" s="215" t="s">
        <v>6437</v>
      </c>
      <c r="E1784" s="197" t="str">
        <f t="array" ref="E1784">XLOOKUP(C1784,FSE!A:A,FSE!Z:Z,"XXXXX",0,1)</f>
        <v>Publicly Available (3)</v>
      </c>
      <c r="F1784" s="213" t="s">
        <v>3394</v>
      </c>
      <c r="G1784" s="163" t="str">
        <f t="array" ref="G1784">IF(B1784="ICSE",IF(COUNTIFS(B:B,B1784,C:C,C1784)=XLOOKUP(C1784,ICSE!A:A,ICSE!AA:AA,"ERROR",0,1),"OK","ERROR"),IF(B1784="FSE",IF(COUNTIFS(B:B,B1784,C:C,C1784)=XLOOKUP(C1784,FSE!A:A,FSE!AA:AA,"ERROR",0,1),"OK","ERROR")))</f>
        <v>OK</v>
      </c>
      <c r="H1784" s="199">
        <f t="shared" ref="H1784:O1784" si="9006">countif($D1784,"*"&amp;H$2&amp;"*")</f>
        <v>0</v>
      </c>
      <c r="I1784" s="200">
        <f t="shared" si="9006"/>
        <v>1</v>
      </c>
      <c r="J1784" s="200">
        <f t="shared" si="9006"/>
        <v>0</v>
      </c>
      <c r="K1784" s="200">
        <f t="shared" si="9006"/>
        <v>0</v>
      </c>
      <c r="L1784" s="200">
        <f t="shared" si="9006"/>
        <v>0</v>
      </c>
      <c r="M1784" s="200">
        <f t="shared" si="9006"/>
        <v>0</v>
      </c>
      <c r="N1784" s="200">
        <f t="shared" si="9006"/>
        <v>0</v>
      </c>
      <c r="O1784" s="200">
        <f t="shared" si="9006"/>
        <v>0</v>
      </c>
      <c r="P1784" s="200">
        <f t="shared" si="9"/>
        <v>0</v>
      </c>
      <c r="Q1784" s="200">
        <f t="shared" ref="Q1784:AC1784" si="9007">countif($D1784,"*"&amp;Q$2&amp;"*")</f>
        <v>0</v>
      </c>
      <c r="R1784" s="200">
        <f t="shared" si="9007"/>
        <v>0</v>
      </c>
      <c r="S1784" s="200">
        <f t="shared" si="9007"/>
        <v>0</v>
      </c>
      <c r="T1784" s="200">
        <f t="shared" si="9007"/>
        <v>0</v>
      </c>
      <c r="U1784" s="200">
        <f t="shared" si="9007"/>
        <v>0</v>
      </c>
      <c r="V1784" s="200">
        <f t="shared" si="9007"/>
        <v>0</v>
      </c>
      <c r="W1784" s="200">
        <f t="shared" si="9007"/>
        <v>0</v>
      </c>
      <c r="X1784" s="200">
        <f t="shared" si="9007"/>
        <v>0</v>
      </c>
      <c r="Y1784" s="200">
        <f t="shared" si="9007"/>
        <v>0</v>
      </c>
      <c r="Z1784" s="200">
        <f t="shared" si="9007"/>
        <v>0</v>
      </c>
      <c r="AA1784" s="200">
        <f t="shared" si="9007"/>
        <v>0</v>
      </c>
      <c r="AB1784" s="200">
        <f t="shared" si="9007"/>
        <v>0</v>
      </c>
      <c r="AC1784" s="200">
        <f t="shared" si="9007"/>
        <v>0</v>
      </c>
      <c r="AD1784" s="200">
        <f t="shared" si="11"/>
        <v>0</v>
      </c>
      <c r="AE1784" s="200">
        <f t="shared" ref="AE1784:AG1784" si="9008">countif($D1784,"*"&amp;AE$2&amp;"*")</f>
        <v>0</v>
      </c>
      <c r="AF1784" s="200">
        <f t="shared" si="9008"/>
        <v>0</v>
      </c>
      <c r="AG1784" s="200">
        <f t="shared" si="9008"/>
        <v>0</v>
      </c>
      <c r="AH1784" s="171">
        <f t="shared" si="13"/>
        <v>0</v>
      </c>
      <c r="AI1784" s="200">
        <f t="shared" si="14"/>
        <v>1</v>
      </c>
      <c r="AJ1784" s="200">
        <f t="shared" si="8963"/>
        <v>0</v>
      </c>
      <c r="AK1784" s="201">
        <f t="shared" ref="AK1784:AS1784" si="9009">countif($D1784,"*"&amp;AK$2&amp;"*")</f>
        <v>0</v>
      </c>
      <c r="AL1784" s="201">
        <f t="shared" si="9009"/>
        <v>0</v>
      </c>
      <c r="AM1784" s="201">
        <f t="shared" si="9009"/>
        <v>0</v>
      </c>
      <c r="AN1784" s="201">
        <f t="shared" si="9009"/>
        <v>0</v>
      </c>
      <c r="AO1784" s="201">
        <f t="shared" si="9009"/>
        <v>0</v>
      </c>
      <c r="AP1784" s="201">
        <f t="shared" si="9009"/>
        <v>0</v>
      </c>
      <c r="AQ1784" s="201">
        <f t="shared" si="9009"/>
        <v>0</v>
      </c>
      <c r="AR1784" s="200">
        <f t="shared" si="9009"/>
        <v>0</v>
      </c>
      <c r="AS1784" s="200">
        <f t="shared" si="9009"/>
        <v>0</v>
      </c>
      <c r="AT1784" s="173">
        <v>0.0</v>
      </c>
      <c r="AU1784" s="200">
        <f t="shared" ref="AU1784:AX1784" si="9010">countif($D1784,"*"&amp;AU$2&amp;"*")</f>
        <v>0</v>
      </c>
      <c r="AV1784" s="200">
        <f t="shared" si="9010"/>
        <v>0</v>
      </c>
      <c r="AW1784" s="200">
        <f t="shared" si="9010"/>
        <v>0</v>
      </c>
      <c r="AX1784" s="200">
        <f t="shared" si="9010"/>
        <v>1</v>
      </c>
      <c r="AY1784" s="202">
        <v>0.0</v>
      </c>
      <c r="AZ1784" s="200"/>
      <c r="BA1784" s="171" t="str">
        <f t="shared" si="18"/>
        <v>Archival</v>
      </c>
      <c r="BB1784" s="171" t="str">
        <f t="shared" si="19"/>
        <v/>
      </c>
      <c r="BC1784" s="171" t="str">
        <f t="shared" si="20"/>
        <v/>
      </c>
      <c r="BD1784" s="171" t="str">
        <f t="shared" si="21"/>
        <v/>
      </c>
      <c r="BE1784" s="171" t="str">
        <f t="shared" si="22"/>
        <v/>
      </c>
      <c r="BF1784" s="171" t="str">
        <f t="shared" si="23"/>
        <v>Archival</v>
      </c>
    </row>
    <row r="1785">
      <c r="A1785" s="171">
        <f t="array" ref="A1785">XLOOKUP(C1785,FSE!A:A,FSE!C:C,"XXXXX",0,1)</f>
        <v>2019</v>
      </c>
      <c r="B1785" s="213" t="s">
        <v>5676</v>
      </c>
      <c r="C1785" s="214">
        <v>442.0</v>
      </c>
      <c r="D1785" s="215" t="s">
        <v>6438</v>
      </c>
      <c r="E1785" s="197" t="str">
        <f t="array" ref="E1785">XLOOKUP(C1785,FSE!A:A,FSE!Z:Z,"XXXXX",0,1)</f>
        <v>Publicly Available (3)</v>
      </c>
      <c r="F1785" s="213" t="s">
        <v>3394</v>
      </c>
      <c r="G1785" s="163" t="str">
        <f t="array" ref="G1785">IF(B1785="ICSE",IF(COUNTIFS(B:B,B1785,C:C,C1785)=XLOOKUP(C1785,ICSE!A:A,ICSE!AA:AA,"ERROR",0,1),"OK","ERROR"),IF(B1785="FSE",IF(COUNTIFS(B:B,B1785,C:C,C1785)=XLOOKUP(C1785,FSE!A:A,FSE!AA:AA,"ERROR",0,1),"OK","ERROR")))</f>
        <v>OK</v>
      </c>
      <c r="H1785" s="199">
        <f t="shared" ref="H1785:O1785" si="9011">countif($D1785,"*"&amp;H$2&amp;"*")</f>
        <v>0</v>
      </c>
      <c r="I1785" s="200">
        <f t="shared" si="9011"/>
        <v>1</v>
      </c>
      <c r="J1785" s="200">
        <f t="shared" si="9011"/>
        <v>0</v>
      </c>
      <c r="K1785" s="200">
        <f t="shared" si="9011"/>
        <v>0</v>
      </c>
      <c r="L1785" s="200">
        <f t="shared" si="9011"/>
        <v>0</v>
      </c>
      <c r="M1785" s="200">
        <f t="shared" si="9011"/>
        <v>0</v>
      </c>
      <c r="N1785" s="200">
        <f t="shared" si="9011"/>
        <v>0</v>
      </c>
      <c r="O1785" s="200">
        <f t="shared" si="9011"/>
        <v>0</v>
      </c>
      <c r="P1785" s="200">
        <f t="shared" si="9"/>
        <v>0</v>
      </c>
      <c r="Q1785" s="200">
        <f t="shared" ref="Q1785:AC1785" si="9012">countif($D1785,"*"&amp;Q$2&amp;"*")</f>
        <v>0</v>
      </c>
      <c r="R1785" s="200">
        <f t="shared" si="9012"/>
        <v>0</v>
      </c>
      <c r="S1785" s="200">
        <f t="shared" si="9012"/>
        <v>0</v>
      </c>
      <c r="T1785" s="200">
        <f t="shared" si="9012"/>
        <v>0</v>
      </c>
      <c r="U1785" s="200">
        <f t="shared" si="9012"/>
        <v>0</v>
      </c>
      <c r="V1785" s="200">
        <f t="shared" si="9012"/>
        <v>0</v>
      </c>
      <c r="W1785" s="200">
        <f t="shared" si="9012"/>
        <v>0</v>
      </c>
      <c r="X1785" s="200">
        <f t="shared" si="9012"/>
        <v>0</v>
      </c>
      <c r="Y1785" s="200">
        <f t="shared" si="9012"/>
        <v>0</v>
      </c>
      <c r="Z1785" s="200">
        <f t="shared" si="9012"/>
        <v>0</v>
      </c>
      <c r="AA1785" s="200">
        <f t="shared" si="9012"/>
        <v>0</v>
      </c>
      <c r="AB1785" s="200">
        <f t="shared" si="9012"/>
        <v>0</v>
      </c>
      <c r="AC1785" s="200">
        <f t="shared" si="9012"/>
        <v>0</v>
      </c>
      <c r="AD1785" s="200">
        <f t="shared" si="11"/>
        <v>0</v>
      </c>
      <c r="AE1785" s="200">
        <f t="shared" ref="AE1785:AG1785" si="9013">countif($D1785,"*"&amp;AE$2&amp;"*")</f>
        <v>0</v>
      </c>
      <c r="AF1785" s="200">
        <f t="shared" si="9013"/>
        <v>0</v>
      </c>
      <c r="AG1785" s="200">
        <f t="shared" si="9013"/>
        <v>0</v>
      </c>
      <c r="AH1785" s="171">
        <f t="shared" si="13"/>
        <v>0</v>
      </c>
      <c r="AI1785" s="200">
        <f t="shared" si="14"/>
        <v>1</v>
      </c>
      <c r="AJ1785" s="200">
        <f t="shared" si="8963"/>
        <v>0</v>
      </c>
      <c r="AK1785" s="201">
        <f t="shared" ref="AK1785:AS1785" si="9014">countif($D1785,"*"&amp;AK$2&amp;"*")</f>
        <v>0</v>
      </c>
      <c r="AL1785" s="201">
        <f t="shared" si="9014"/>
        <v>0</v>
      </c>
      <c r="AM1785" s="201">
        <f t="shared" si="9014"/>
        <v>0</v>
      </c>
      <c r="AN1785" s="201">
        <f t="shared" si="9014"/>
        <v>0</v>
      </c>
      <c r="AO1785" s="201">
        <f t="shared" si="9014"/>
        <v>0</v>
      </c>
      <c r="AP1785" s="201">
        <f t="shared" si="9014"/>
        <v>0</v>
      </c>
      <c r="AQ1785" s="201">
        <f t="shared" si="9014"/>
        <v>0</v>
      </c>
      <c r="AR1785" s="200">
        <f t="shared" si="9014"/>
        <v>0</v>
      </c>
      <c r="AS1785" s="200">
        <f t="shared" si="9014"/>
        <v>0</v>
      </c>
      <c r="AT1785" s="173">
        <v>0.0</v>
      </c>
      <c r="AU1785" s="200">
        <f t="shared" ref="AU1785:AX1785" si="9015">countif($D1785,"*"&amp;AU$2&amp;"*")</f>
        <v>0</v>
      </c>
      <c r="AV1785" s="200">
        <f t="shared" si="9015"/>
        <v>0</v>
      </c>
      <c r="AW1785" s="200">
        <f t="shared" si="9015"/>
        <v>0</v>
      </c>
      <c r="AX1785" s="200">
        <f t="shared" si="9015"/>
        <v>1</v>
      </c>
      <c r="AY1785" s="202">
        <v>0.0</v>
      </c>
      <c r="AZ1785" s="200"/>
      <c r="BA1785" s="171" t="str">
        <f t="shared" si="18"/>
        <v>Archival</v>
      </c>
      <c r="BB1785" s="171" t="str">
        <f t="shared" si="19"/>
        <v/>
      </c>
      <c r="BC1785" s="171" t="str">
        <f t="shared" si="20"/>
        <v/>
      </c>
      <c r="BD1785" s="171" t="str">
        <f t="shared" si="21"/>
        <v/>
      </c>
      <c r="BE1785" s="171" t="str">
        <f t="shared" si="22"/>
        <v/>
      </c>
      <c r="BF1785" s="171" t="str">
        <f t="shared" si="23"/>
        <v>Archival</v>
      </c>
    </row>
    <row r="1786">
      <c r="A1786" s="171">
        <f t="array" ref="A1786">XLOOKUP(C1786,FSE!A:A,FSE!C:C,"XXXXX",0,1)</f>
        <v>2019</v>
      </c>
      <c r="B1786" s="213" t="s">
        <v>5676</v>
      </c>
      <c r="C1786" s="214">
        <v>442.0</v>
      </c>
      <c r="D1786" s="215" t="s">
        <v>6439</v>
      </c>
      <c r="E1786" s="197" t="str">
        <f t="array" ref="E1786">XLOOKUP(C1786,FSE!A:A,FSE!Z:Z,"XXXXX",0,1)</f>
        <v>Publicly Available (3)</v>
      </c>
      <c r="F1786" s="213" t="s">
        <v>3394</v>
      </c>
      <c r="G1786" s="163" t="str">
        <f t="array" ref="G1786">IF(B1786="ICSE",IF(COUNTIFS(B:B,B1786,C:C,C1786)=XLOOKUP(C1786,ICSE!A:A,ICSE!AA:AA,"ERROR",0,1),"OK","ERROR"),IF(B1786="FSE",IF(COUNTIFS(B:B,B1786,C:C,C1786)=XLOOKUP(C1786,FSE!A:A,FSE!AA:AA,"ERROR",0,1),"OK","ERROR")))</f>
        <v>OK</v>
      </c>
      <c r="H1786" s="199">
        <f t="shared" ref="H1786:O1786" si="9016">countif($D1786,"*"&amp;H$2&amp;"*")</f>
        <v>0</v>
      </c>
      <c r="I1786" s="200">
        <f t="shared" si="9016"/>
        <v>1</v>
      </c>
      <c r="J1786" s="200">
        <f t="shared" si="9016"/>
        <v>0</v>
      </c>
      <c r="K1786" s="200">
        <f t="shared" si="9016"/>
        <v>0</v>
      </c>
      <c r="L1786" s="200">
        <f t="shared" si="9016"/>
        <v>0</v>
      </c>
      <c r="M1786" s="200">
        <f t="shared" si="9016"/>
        <v>0</v>
      </c>
      <c r="N1786" s="200">
        <f t="shared" si="9016"/>
        <v>0</v>
      </c>
      <c r="O1786" s="200">
        <f t="shared" si="9016"/>
        <v>0</v>
      </c>
      <c r="P1786" s="200">
        <f t="shared" si="9"/>
        <v>0</v>
      </c>
      <c r="Q1786" s="200">
        <f t="shared" ref="Q1786:AC1786" si="9017">countif($D1786,"*"&amp;Q$2&amp;"*")</f>
        <v>0</v>
      </c>
      <c r="R1786" s="200">
        <f t="shared" si="9017"/>
        <v>0</v>
      </c>
      <c r="S1786" s="200">
        <f t="shared" si="9017"/>
        <v>0</v>
      </c>
      <c r="T1786" s="200">
        <f t="shared" si="9017"/>
        <v>0</v>
      </c>
      <c r="U1786" s="200">
        <f t="shared" si="9017"/>
        <v>0</v>
      </c>
      <c r="V1786" s="200">
        <f t="shared" si="9017"/>
        <v>0</v>
      </c>
      <c r="W1786" s="200">
        <f t="shared" si="9017"/>
        <v>0</v>
      </c>
      <c r="X1786" s="200">
        <f t="shared" si="9017"/>
        <v>0</v>
      </c>
      <c r="Y1786" s="200">
        <f t="shared" si="9017"/>
        <v>0</v>
      </c>
      <c r="Z1786" s="200">
        <f t="shared" si="9017"/>
        <v>0</v>
      </c>
      <c r="AA1786" s="200">
        <f t="shared" si="9017"/>
        <v>0</v>
      </c>
      <c r="AB1786" s="200">
        <f t="shared" si="9017"/>
        <v>0</v>
      </c>
      <c r="AC1786" s="200">
        <f t="shared" si="9017"/>
        <v>0</v>
      </c>
      <c r="AD1786" s="200">
        <f t="shared" si="11"/>
        <v>0</v>
      </c>
      <c r="AE1786" s="200">
        <f t="shared" ref="AE1786:AG1786" si="9018">countif($D1786,"*"&amp;AE$2&amp;"*")</f>
        <v>0</v>
      </c>
      <c r="AF1786" s="200">
        <f t="shared" si="9018"/>
        <v>0</v>
      </c>
      <c r="AG1786" s="200">
        <f t="shared" si="9018"/>
        <v>0</v>
      </c>
      <c r="AH1786" s="171">
        <f t="shared" si="13"/>
        <v>0</v>
      </c>
      <c r="AI1786" s="200">
        <f t="shared" si="14"/>
        <v>1</v>
      </c>
      <c r="AJ1786" s="200">
        <f t="shared" si="8963"/>
        <v>0</v>
      </c>
      <c r="AK1786" s="201">
        <f t="shared" ref="AK1786:AS1786" si="9019">countif($D1786,"*"&amp;AK$2&amp;"*")</f>
        <v>0</v>
      </c>
      <c r="AL1786" s="201">
        <f t="shared" si="9019"/>
        <v>0</v>
      </c>
      <c r="AM1786" s="201">
        <f t="shared" si="9019"/>
        <v>0</v>
      </c>
      <c r="AN1786" s="201">
        <f t="shared" si="9019"/>
        <v>0</v>
      </c>
      <c r="AO1786" s="201">
        <f t="shared" si="9019"/>
        <v>0</v>
      </c>
      <c r="AP1786" s="201">
        <f t="shared" si="9019"/>
        <v>0</v>
      </c>
      <c r="AQ1786" s="201">
        <f t="shared" si="9019"/>
        <v>0</v>
      </c>
      <c r="AR1786" s="200">
        <f t="shared" si="9019"/>
        <v>0</v>
      </c>
      <c r="AS1786" s="200">
        <f t="shared" si="9019"/>
        <v>0</v>
      </c>
      <c r="AT1786" s="173">
        <v>0.0</v>
      </c>
      <c r="AU1786" s="200">
        <f t="shared" ref="AU1786:AX1786" si="9020">countif($D1786,"*"&amp;AU$2&amp;"*")</f>
        <v>0</v>
      </c>
      <c r="AV1786" s="200">
        <f t="shared" si="9020"/>
        <v>0</v>
      </c>
      <c r="AW1786" s="200">
        <f t="shared" si="9020"/>
        <v>0</v>
      </c>
      <c r="AX1786" s="200">
        <f t="shared" si="9020"/>
        <v>1</v>
      </c>
      <c r="AY1786" s="202">
        <v>0.0</v>
      </c>
      <c r="AZ1786" s="200"/>
      <c r="BA1786" s="171" t="str">
        <f t="shared" si="18"/>
        <v>Archival</v>
      </c>
      <c r="BB1786" s="171" t="str">
        <f t="shared" si="19"/>
        <v/>
      </c>
      <c r="BC1786" s="171" t="str">
        <f t="shared" si="20"/>
        <v/>
      </c>
      <c r="BD1786" s="171" t="str">
        <f t="shared" si="21"/>
        <v/>
      </c>
      <c r="BE1786" s="171" t="str">
        <f t="shared" si="22"/>
        <v/>
      </c>
      <c r="BF1786" s="171" t="str">
        <f t="shared" si="23"/>
        <v>Archival</v>
      </c>
    </row>
    <row r="1787">
      <c r="A1787" s="171">
        <f t="array" ref="A1787">XLOOKUP(C1787,FSE!A:A,FSE!C:C,"XXXXX",0,1)</f>
        <v>2019</v>
      </c>
      <c r="B1787" s="213" t="s">
        <v>5676</v>
      </c>
      <c r="C1787" s="214">
        <v>443.0</v>
      </c>
      <c r="D1787" s="215" t="s">
        <v>4307</v>
      </c>
      <c r="E1787" s="197" t="str">
        <f t="array" ref="E1787">XLOOKUP(C1787,FSE!A:A,FSE!Z:Z,"XXXXX",0,1)</f>
        <v>Publicly Available (1)</v>
      </c>
      <c r="F1787" s="213" t="s">
        <v>3394</v>
      </c>
      <c r="G1787" s="163" t="str">
        <f t="array" ref="G1787">IF(B1787="ICSE",IF(COUNTIFS(B:B,B1787,C:C,C1787)=XLOOKUP(C1787,ICSE!A:A,ICSE!AA:AA,"ERROR",0,1),"OK","ERROR"),IF(B1787="FSE",IF(COUNTIFS(B:B,B1787,C:C,C1787)=XLOOKUP(C1787,FSE!A:A,FSE!AA:AA,"ERROR",0,1),"OK","ERROR")))</f>
        <v>OK</v>
      </c>
      <c r="H1787" s="199">
        <f t="shared" ref="H1787:O1787" si="9021">countif($D1787,"*"&amp;H$2&amp;"*")</f>
        <v>0</v>
      </c>
      <c r="I1787" s="200">
        <f t="shared" si="9021"/>
        <v>0</v>
      </c>
      <c r="J1787" s="200">
        <f t="shared" si="9021"/>
        <v>0</v>
      </c>
      <c r="K1787" s="200">
        <f t="shared" si="9021"/>
        <v>0</v>
      </c>
      <c r="L1787" s="200">
        <f t="shared" si="9021"/>
        <v>0</v>
      </c>
      <c r="M1787" s="200">
        <f t="shared" si="9021"/>
        <v>0</v>
      </c>
      <c r="N1787" s="200">
        <f t="shared" si="9021"/>
        <v>0</v>
      </c>
      <c r="O1787" s="200">
        <f t="shared" si="9021"/>
        <v>0</v>
      </c>
      <c r="P1787" s="200">
        <f t="shared" si="9"/>
        <v>1</v>
      </c>
      <c r="Q1787" s="200">
        <f t="shared" ref="Q1787:AC1787" si="9022">countif($D1787,"*"&amp;Q$2&amp;"*")</f>
        <v>0</v>
      </c>
      <c r="R1787" s="200">
        <f t="shared" si="9022"/>
        <v>0</v>
      </c>
      <c r="S1787" s="200">
        <f t="shared" si="9022"/>
        <v>0</v>
      </c>
      <c r="T1787" s="200">
        <f t="shared" si="9022"/>
        <v>0</v>
      </c>
      <c r="U1787" s="200">
        <f t="shared" si="9022"/>
        <v>0</v>
      </c>
      <c r="V1787" s="200">
        <f t="shared" si="9022"/>
        <v>0</v>
      </c>
      <c r="W1787" s="200">
        <f t="shared" si="9022"/>
        <v>0</v>
      </c>
      <c r="X1787" s="200">
        <f t="shared" si="9022"/>
        <v>0</v>
      </c>
      <c r="Y1787" s="200">
        <f t="shared" si="9022"/>
        <v>0</v>
      </c>
      <c r="Z1787" s="200">
        <f t="shared" si="9022"/>
        <v>0</v>
      </c>
      <c r="AA1787" s="200">
        <f t="shared" si="9022"/>
        <v>0</v>
      </c>
      <c r="AB1787" s="200">
        <f t="shared" si="9022"/>
        <v>0</v>
      </c>
      <c r="AC1787" s="200">
        <f t="shared" si="9022"/>
        <v>0</v>
      </c>
      <c r="AD1787" s="200">
        <f t="shared" si="11"/>
        <v>0</v>
      </c>
      <c r="AE1787" s="200">
        <f t="shared" ref="AE1787:AG1787" si="9023">countif($D1787,"*"&amp;AE$2&amp;"*")</f>
        <v>0</v>
      </c>
      <c r="AF1787" s="200">
        <f t="shared" si="9023"/>
        <v>0</v>
      </c>
      <c r="AG1787" s="200">
        <f t="shared" si="9023"/>
        <v>0</v>
      </c>
      <c r="AH1787" s="171">
        <f t="shared" si="13"/>
        <v>0</v>
      </c>
      <c r="AI1787" s="200">
        <f t="shared" si="14"/>
        <v>0</v>
      </c>
      <c r="AJ1787" s="200">
        <f t="shared" si="8963"/>
        <v>0</v>
      </c>
      <c r="AK1787" s="201">
        <f t="shared" ref="AK1787:AS1787" si="9024">countif($D1787,"*"&amp;AK$2&amp;"*")</f>
        <v>0</v>
      </c>
      <c r="AL1787" s="201">
        <f t="shared" si="9024"/>
        <v>0</v>
      </c>
      <c r="AM1787" s="201">
        <f t="shared" si="9024"/>
        <v>0</v>
      </c>
      <c r="AN1787" s="201">
        <f t="shared" si="9024"/>
        <v>0</v>
      </c>
      <c r="AO1787" s="201">
        <f t="shared" si="9024"/>
        <v>0</v>
      </c>
      <c r="AP1787" s="201">
        <f t="shared" si="9024"/>
        <v>0</v>
      </c>
      <c r="AQ1787" s="201">
        <f t="shared" si="9024"/>
        <v>0</v>
      </c>
      <c r="AR1787" s="200">
        <f t="shared" si="9024"/>
        <v>0</v>
      </c>
      <c r="AS1787" s="200">
        <f t="shared" si="9024"/>
        <v>0</v>
      </c>
      <c r="AT1787" s="173">
        <v>0.0</v>
      </c>
      <c r="AU1787" s="200">
        <f t="shared" ref="AU1787:AX1787" si="9025">countif($D1787,"*"&amp;AU$2&amp;"*")</f>
        <v>0</v>
      </c>
      <c r="AV1787" s="200">
        <f t="shared" si="9025"/>
        <v>1</v>
      </c>
      <c r="AW1787" s="200">
        <f t="shared" si="9025"/>
        <v>0</v>
      </c>
      <c r="AX1787" s="200">
        <f t="shared" si="9025"/>
        <v>0</v>
      </c>
      <c r="AY1787" s="202">
        <v>0.0</v>
      </c>
      <c r="AZ1787" s="200"/>
      <c r="BA1787" s="171" t="str">
        <f t="shared" si="18"/>
        <v/>
      </c>
      <c r="BB1787" s="171" t="str">
        <f t="shared" si="19"/>
        <v>Code</v>
      </c>
      <c r="BC1787" s="171" t="str">
        <f t="shared" si="20"/>
        <v/>
      </c>
      <c r="BD1787" s="171" t="str">
        <f t="shared" si="21"/>
        <v/>
      </c>
      <c r="BE1787" s="171" t="str">
        <f t="shared" si="22"/>
        <v/>
      </c>
      <c r="BF1787" s="171" t="str">
        <f t="shared" si="23"/>
        <v>Code</v>
      </c>
    </row>
    <row r="1788">
      <c r="A1788" s="171">
        <f t="array" ref="A1788">XLOOKUP(C1788,FSE!A:A,FSE!C:C,"XXXXX",0,1)</f>
        <v>2019</v>
      </c>
      <c r="B1788" s="213" t="s">
        <v>5676</v>
      </c>
      <c r="C1788" s="214">
        <v>444.0</v>
      </c>
      <c r="D1788" s="215" t="s">
        <v>6440</v>
      </c>
      <c r="E1788" s="197" t="str">
        <f t="array" ref="E1788">XLOOKUP(C1788,FSE!A:A,FSE!Z:Z,"XXXXX",0,1)</f>
        <v>Publicly Available (1)</v>
      </c>
      <c r="F1788" s="213" t="s">
        <v>3394</v>
      </c>
      <c r="G1788" s="163" t="str">
        <f t="array" ref="G1788">IF(B1788="ICSE",IF(COUNTIFS(B:B,B1788,C:C,C1788)=XLOOKUP(C1788,ICSE!A:A,ICSE!AA:AA,"ERROR",0,1),"OK","ERROR"),IF(B1788="FSE",IF(COUNTIFS(B:B,B1788,C:C,C1788)=XLOOKUP(C1788,FSE!A:A,FSE!AA:AA,"ERROR",0,1),"OK","ERROR")))</f>
        <v>OK</v>
      </c>
      <c r="H1788" s="199">
        <f t="shared" ref="H1788:O1788" si="9026">countif($D1788,"*"&amp;H$2&amp;"*")</f>
        <v>0</v>
      </c>
      <c r="I1788" s="200">
        <f t="shared" si="9026"/>
        <v>0</v>
      </c>
      <c r="J1788" s="200">
        <f t="shared" si="9026"/>
        <v>0</v>
      </c>
      <c r="K1788" s="200">
        <f t="shared" si="9026"/>
        <v>0</v>
      </c>
      <c r="L1788" s="200">
        <f t="shared" si="9026"/>
        <v>0</v>
      </c>
      <c r="M1788" s="200">
        <f t="shared" si="9026"/>
        <v>0</v>
      </c>
      <c r="N1788" s="200">
        <f t="shared" si="9026"/>
        <v>0</v>
      </c>
      <c r="O1788" s="200">
        <f t="shared" si="9026"/>
        <v>0</v>
      </c>
      <c r="P1788" s="200">
        <f t="shared" si="9"/>
        <v>1</v>
      </c>
      <c r="Q1788" s="200">
        <f t="shared" ref="Q1788:AC1788" si="9027">countif($D1788,"*"&amp;Q$2&amp;"*")</f>
        <v>0</v>
      </c>
      <c r="R1788" s="200">
        <f t="shared" si="9027"/>
        <v>0</v>
      </c>
      <c r="S1788" s="200">
        <f t="shared" si="9027"/>
        <v>0</v>
      </c>
      <c r="T1788" s="200">
        <f t="shared" si="9027"/>
        <v>0</v>
      </c>
      <c r="U1788" s="200">
        <f t="shared" si="9027"/>
        <v>0</v>
      </c>
      <c r="V1788" s="200">
        <f t="shared" si="9027"/>
        <v>0</v>
      </c>
      <c r="W1788" s="200">
        <f t="shared" si="9027"/>
        <v>0</v>
      </c>
      <c r="X1788" s="200">
        <f t="shared" si="9027"/>
        <v>0</v>
      </c>
      <c r="Y1788" s="200">
        <f t="shared" si="9027"/>
        <v>0</v>
      </c>
      <c r="Z1788" s="200">
        <f t="shared" si="9027"/>
        <v>0</v>
      </c>
      <c r="AA1788" s="200">
        <f t="shared" si="9027"/>
        <v>0</v>
      </c>
      <c r="AB1788" s="200">
        <f t="shared" si="9027"/>
        <v>0</v>
      </c>
      <c r="AC1788" s="200">
        <f t="shared" si="9027"/>
        <v>0</v>
      </c>
      <c r="AD1788" s="200">
        <f t="shared" si="11"/>
        <v>0</v>
      </c>
      <c r="AE1788" s="200">
        <f t="shared" ref="AE1788:AG1788" si="9028">countif($D1788,"*"&amp;AE$2&amp;"*")</f>
        <v>0</v>
      </c>
      <c r="AF1788" s="200">
        <f t="shared" si="9028"/>
        <v>0</v>
      </c>
      <c r="AG1788" s="200">
        <f t="shared" si="9028"/>
        <v>0</v>
      </c>
      <c r="AH1788" s="171">
        <f t="shared" si="13"/>
        <v>0</v>
      </c>
      <c r="AI1788" s="200">
        <f t="shared" si="14"/>
        <v>0</v>
      </c>
      <c r="AJ1788" s="200">
        <f t="shared" si="8963"/>
        <v>0</v>
      </c>
      <c r="AK1788" s="201">
        <f t="shared" ref="AK1788:AS1788" si="9029">countif($D1788,"*"&amp;AK$2&amp;"*")</f>
        <v>0</v>
      </c>
      <c r="AL1788" s="201">
        <f t="shared" si="9029"/>
        <v>0</v>
      </c>
      <c r="AM1788" s="201">
        <f t="shared" si="9029"/>
        <v>0</v>
      </c>
      <c r="AN1788" s="201">
        <f t="shared" si="9029"/>
        <v>0</v>
      </c>
      <c r="AO1788" s="201">
        <f t="shared" si="9029"/>
        <v>0</v>
      </c>
      <c r="AP1788" s="201">
        <f t="shared" si="9029"/>
        <v>0</v>
      </c>
      <c r="AQ1788" s="201">
        <f t="shared" si="9029"/>
        <v>0</v>
      </c>
      <c r="AR1788" s="200">
        <f t="shared" si="9029"/>
        <v>0</v>
      </c>
      <c r="AS1788" s="200">
        <f t="shared" si="9029"/>
        <v>0</v>
      </c>
      <c r="AT1788" s="173">
        <v>0.0</v>
      </c>
      <c r="AU1788" s="200">
        <f t="shared" ref="AU1788:AX1788" si="9030">countif($D1788,"*"&amp;AU$2&amp;"*")</f>
        <v>0</v>
      </c>
      <c r="AV1788" s="200">
        <f t="shared" si="9030"/>
        <v>1</v>
      </c>
      <c r="AW1788" s="200">
        <f t="shared" si="9030"/>
        <v>0</v>
      </c>
      <c r="AX1788" s="200">
        <f t="shared" si="9030"/>
        <v>0</v>
      </c>
      <c r="AY1788" s="202">
        <v>0.0</v>
      </c>
      <c r="AZ1788" s="200"/>
      <c r="BA1788" s="171" t="str">
        <f t="shared" si="18"/>
        <v/>
      </c>
      <c r="BB1788" s="171" t="str">
        <f t="shared" si="19"/>
        <v>Code</v>
      </c>
      <c r="BC1788" s="171" t="str">
        <f t="shared" si="20"/>
        <v/>
      </c>
      <c r="BD1788" s="171" t="str">
        <f t="shared" si="21"/>
        <v/>
      </c>
      <c r="BE1788" s="171" t="str">
        <f t="shared" si="22"/>
        <v/>
      </c>
      <c r="BF1788" s="171" t="str">
        <f t="shared" si="23"/>
        <v>Code</v>
      </c>
    </row>
    <row r="1789">
      <c r="A1789" s="171">
        <f t="array" ref="A1789">XLOOKUP(C1789,FSE!A:A,FSE!C:C,"XXXXX",0,1)</f>
        <v>2019</v>
      </c>
      <c r="B1789" s="213" t="s">
        <v>5676</v>
      </c>
      <c r="C1789" s="214">
        <v>445.0</v>
      </c>
      <c r="D1789" s="215" t="s">
        <v>4313</v>
      </c>
      <c r="E1789" s="197" t="str">
        <f t="array" ref="E1789">XLOOKUP(C1789,FSE!A:A,FSE!Z:Z,"XXXXX",0,1)</f>
        <v>Publicly Available (1)</v>
      </c>
      <c r="F1789" s="213" t="s">
        <v>3394</v>
      </c>
      <c r="G1789" s="163" t="str">
        <f t="array" ref="G1789">IF(B1789="ICSE",IF(COUNTIFS(B:B,B1789,C:C,C1789)=XLOOKUP(C1789,ICSE!A:A,ICSE!AA:AA,"ERROR",0,1),"OK","ERROR"),IF(B1789="FSE",IF(COUNTIFS(B:B,B1789,C:C,C1789)=XLOOKUP(C1789,FSE!A:A,FSE!AA:AA,"ERROR",0,1),"OK","ERROR")))</f>
        <v>OK</v>
      </c>
      <c r="H1789" s="199">
        <f t="shared" ref="H1789:O1789" si="9031">countif($D1789,"*"&amp;H$2&amp;"*")</f>
        <v>0</v>
      </c>
      <c r="I1789" s="200">
        <f t="shared" si="9031"/>
        <v>0</v>
      </c>
      <c r="J1789" s="200">
        <f t="shared" si="9031"/>
        <v>0</v>
      </c>
      <c r="K1789" s="200">
        <f t="shared" si="9031"/>
        <v>0</v>
      </c>
      <c r="L1789" s="200">
        <f t="shared" si="9031"/>
        <v>0</v>
      </c>
      <c r="M1789" s="200">
        <f t="shared" si="9031"/>
        <v>0</v>
      </c>
      <c r="N1789" s="200">
        <f t="shared" si="9031"/>
        <v>0</v>
      </c>
      <c r="O1789" s="200">
        <f t="shared" si="9031"/>
        <v>0</v>
      </c>
      <c r="P1789" s="200">
        <f t="shared" si="9"/>
        <v>1</v>
      </c>
      <c r="Q1789" s="200">
        <f t="shared" ref="Q1789:AC1789" si="9032">countif($D1789,"*"&amp;Q$2&amp;"*")</f>
        <v>0</v>
      </c>
      <c r="R1789" s="200">
        <f t="shared" si="9032"/>
        <v>0</v>
      </c>
      <c r="S1789" s="200">
        <f t="shared" si="9032"/>
        <v>0</v>
      </c>
      <c r="T1789" s="200">
        <f t="shared" si="9032"/>
        <v>0</v>
      </c>
      <c r="U1789" s="200">
        <f t="shared" si="9032"/>
        <v>0</v>
      </c>
      <c r="V1789" s="200">
        <f t="shared" si="9032"/>
        <v>0</v>
      </c>
      <c r="W1789" s="200">
        <f t="shared" si="9032"/>
        <v>0</v>
      </c>
      <c r="X1789" s="200">
        <f t="shared" si="9032"/>
        <v>0</v>
      </c>
      <c r="Y1789" s="200">
        <f t="shared" si="9032"/>
        <v>0</v>
      </c>
      <c r="Z1789" s="200">
        <f t="shared" si="9032"/>
        <v>0</v>
      </c>
      <c r="AA1789" s="200">
        <f t="shared" si="9032"/>
        <v>0</v>
      </c>
      <c r="AB1789" s="200">
        <f t="shared" si="9032"/>
        <v>0</v>
      </c>
      <c r="AC1789" s="200">
        <f t="shared" si="9032"/>
        <v>0</v>
      </c>
      <c r="AD1789" s="200">
        <f t="shared" si="11"/>
        <v>0</v>
      </c>
      <c r="AE1789" s="200">
        <f t="shared" ref="AE1789:AG1789" si="9033">countif($D1789,"*"&amp;AE$2&amp;"*")</f>
        <v>0</v>
      </c>
      <c r="AF1789" s="200">
        <f t="shared" si="9033"/>
        <v>0</v>
      </c>
      <c r="AG1789" s="200">
        <f t="shared" si="9033"/>
        <v>0</v>
      </c>
      <c r="AH1789" s="171">
        <f t="shared" si="13"/>
        <v>0</v>
      </c>
      <c r="AI1789" s="200">
        <f t="shared" si="14"/>
        <v>0</v>
      </c>
      <c r="AJ1789" s="200">
        <f t="shared" si="8963"/>
        <v>0</v>
      </c>
      <c r="AK1789" s="201">
        <f t="shared" ref="AK1789:AS1789" si="9034">countif($D1789,"*"&amp;AK$2&amp;"*")</f>
        <v>0</v>
      </c>
      <c r="AL1789" s="201">
        <f t="shared" si="9034"/>
        <v>0</v>
      </c>
      <c r="AM1789" s="201">
        <f t="shared" si="9034"/>
        <v>0</v>
      </c>
      <c r="AN1789" s="201">
        <f t="shared" si="9034"/>
        <v>0</v>
      </c>
      <c r="AO1789" s="201">
        <f t="shared" si="9034"/>
        <v>0</v>
      </c>
      <c r="AP1789" s="201">
        <f t="shared" si="9034"/>
        <v>0</v>
      </c>
      <c r="AQ1789" s="201">
        <f t="shared" si="9034"/>
        <v>0</v>
      </c>
      <c r="AR1789" s="200">
        <f t="shared" si="9034"/>
        <v>0</v>
      </c>
      <c r="AS1789" s="200">
        <f t="shared" si="9034"/>
        <v>0</v>
      </c>
      <c r="AT1789" s="173">
        <v>0.0</v>
      </c>
      <c r="AU1789" s="200">
        <f t="shared" ref="AU1789:AX1789" si="9035">countif($D1789,"*"&amp;AU$2&amp;"*")</f>
        <v>0</v>
      </c>
      <c r="AV1789" s="200">
        <f t="shared" si="9035"/>
        <v>1</v>
      </c>
      <c r="AW1789" s="200">
        <f t="shared" si="9035"/>
        <v>0</v>
      </c>
      <c r="AX1789" s="200">
        <f t="shared" si="9035"/>
        <v>0</v>
      </c>
      <c r="AY1789" s="202">
        <v>0.0</v>
      </c>
      <c r="AZ1789" s="200"/>
      <c r="BA1789" s="171" t="str">
        <f t="shared" si="18"/>
        <v/>
      </c>
      <c r="BB1789" s="171" t="str">
        <f t="shared" si="19"/>
        <v>Code</v>
      </c>
      <c r="BC1789" s="171" t="str">
        <f t="shared" si="20"/>
        <v/>
      </c>
      <c r="BD1789" s="171" t="str">
        <f t="shared" si="21"/>
        <v/>
      </c>
      <c r="BE1789" s="171" t="str">
        <f t="shared" si="22"/>
        <v/>
      </c>
      <c r="BF1789" s="171" t="str">
        <f t="shared" si="23"/>
        <v>Code</v>
      </c>
    </row>
    <row r="1790">
      <c r="A1790" s="171">
        <f t="array" ref="A1790">XLOOKUP(C1790,FSE!A:A,FSE!C:C,"XXXXX",0,1)</f>
        <v>2019</v>
      </c>
      <c r="B1790" s="213" t="s">
        <v>5676</v>
      </c>
      <c r="C1790" s="214">
        <v>447.0</v>
      </c>
      <c r="D1790" s="215" t="s">
        <v>4317</v>
      </c>
      <c r="E1790" s="197" t="str">
        <f t="array" ref="E1790">XLOOKUP(C1790,FSE!A:A,FSE!Z:Z,"XXXXX",0,1)</f>
        <v>Publicly Available (1)</v>
      </c>
      <c r="F1790" s="213" t="s">
        <v>3394</v>
      </c>
      <c r="G1790" s="163" t="str">
        <f t="array" ref="G1790">IF(B1790="ICSE",IF(COUNTIFS(B:B,B1790,C:C,C1790)=XLOOKUP(C1790,ICSE!A:A,ICSE!AA:AA,"ERROR",0,1),"OK","ERROR"),IF(B1790="FSE",IF(COUNTIFS(B:B,B1790,C:C,C1790)=XLOOKUP(C1790,FSE!A:A,FSE!AA:AA,"ERROR",0,1),"OK","ERROR")))</f>
        <v>OK</v>
      </c>
      <c r="H1790" s="199">
        <f t="shared" ref="H1790:O1790" si="9036">countif($D1790,"*"&amp;H$2&amp;"*")</f>
        <v>0</v>
      </c>
      <c r="I1790" s="200">
        <f t="shared" si="9036"/>
        <v>0</v>
      </c>
      <c r="J1790" s="200">
        <f t="shared" si="9036"/>
        <v>0</v>
      </c>
      <c r="K1790" s="200">
        <f t="shared" si="9036"/>
        <v>0</v>
      </c>
      <c r="L1790" s="200">
        <f t="shared" si="9036"/>
        <v>0</v>
      </c>
      <c r="M1790" s="200">
        <f t="shared" si="9036"/>
        <v>0</v>
      </c>
      <c r="N1790" s="200">
        <f t="shared" si="9036"/>
        <v>0</v>
      </c>
      <c r="O1790" s="200">
        <f t="shared" si="9036"/>
        <v>0</v>
      </c>
      <c r="P1790" s="200">
        <f t="shared" si="9"/>
        <v>1</v>
      </c>
      <c r="Q1790" s="200">
        <f t="shared" ref="Q1790:AC1790" si="9037">countif($D1790,"*"&amp;Q$2&amp;"*")</f>
        <v>0</v>
      </c>
      <c r="R1790" s="200">
        <f t="shared" si="9037"/>
        <v>0</v>
      </c>
      <c r="S1790" s="200">
        <f t="shared" si="9037"/>
        <v>0</v>
      </c>
      <c r="T1790" s="200">
        <f t="shared" si="9037"/>
        <v>0</v>
      </c>
      <c r="U1790" s="200">
        <f t="shared" si="9037"/>
        <v>0</v>
      </c>
      <c r="V1790" s="200">
        <f t="shared" si="9037"/>
        <v>0</v>
      </c>
      <c r="W1790" s="200">
        <f t="shared" si="9037"/>
        <v>0</v>
      </c>
      <c r="X1790" s="200">
        <f t="shared" si="9037"/>
        <v>0</v>
      </c>
      <c r="Y1790" s="200">
        <f t="shared" si="9037"/>
        <v>0</v>
      </c>
      <c r="Z1790" s="200">
        <f t="shared" si="9037"/>
        <v>0</v>
      </c>
      <c r="AA1790" s="200">
        <f t="shared" si="9037"/>
        <v>0</v>
      </c>
      <c r="AB1790" s="200">
        <f t="shared" si="9037"/>
        <v>0</v>
      </c>
      <c r="AC1790" s="200">
        <f t="shared" si="9037"/>
        <v>0</v>
      </c>
      <c r="AD1790" s="200">
        <f t="shared" si="11"/>
        <v>0</v>
      </c>
      <c r="AE1790" s="200">
        <f t="shared" ref="AE1790:AG1790" si="9038">countif($D1790,"*"&amp;AE$2&amp;"*")</f>
        <v>0</v>
      </c>
      <c r="AF1790" s="200">
        <f t="shared" si="9038"/>
        <v>0</v>
      </c>
      <c r="AG1790" s="200">
        <f t="shared" si="9038"/>
        <v>0</v>
      </c>
      <c r="AH1790" s="171">
        <f t="shared" si="13"/>
        <v>0</v>
      </c>
      <c r="AI1790" s="200">
        <f t="shared" si="14"/>
        <v>0</v>
      </c>
      <c r="AJ1790" s="200">
        <f t="shared" si="8963"/>
        <v>0</v>
      </c>
      <c r="AK1790" s="201">
        <f t="shared" ref="AK1790:AS1790" si="9039">countif($D1790,"*"&amp;AK$2&amp;"*")</f>
        <v>0</v>
      </c>
      <c r="AL1790" s="201">
        <f t="shared" si="9039"/>
        <v>0</v>
      </c>
      <c r="AM1790" s="201">
        <f t="shared" si="9039"/>
        <v>0</v>
      </c>
      <c r="AN1790" s="201">
        <f t="shared" si="9039"/>
        <v>0</v>
      </c>
      <c r="AO1790" s="201">
        <f t="shared" si="9039"/>
        <v>0</v>
      </c>
      <c r="AP1790" s="201">
        <f t="shared" si="9039"/>
        <v>0</v>
      </c>
      <c r="AQ1790" s="201">
        <f t="shared" si="9039"/>
        <v>0</v>
      </c>
      <c r="AR1790" s="200">
        <f t="shared" si="9039"/>
        <v>0</v>
      </c>
      <c r="AS1790" s="200">
        <f t="shared" si="9039"/>
        <v>0</v>
      </c>
      <c r="AT1790" s="173">
        <v>0.0</v>
      </c>
      <c r="AU1790" s="200">
        <f t="shared" ref="AU1790:AX1790" si="9040">countif($D1790,"*"&amp;AU$2&amp;"*")</f>
        <v>0</v>
      </c>
      <c r="AV1790" s="200">
        <f t="shared" si="9040"/>
        <v>1</v>
      </c>
      <c r="AW1790" s="200">
        <f t="shared" si="9040"/>
        <v>0</v>
      </c>
      <c r="AX1790" s="200">
        <f t="shared" si="9040"/>
        <v>0</v>
      </c>
      <c r="AY1790" s="202">
        <v>0.0</v>
      </c>
      <c r="AZ1790" s="200"/>
      <c r="BA1790" s="171" t="str">
        <f t="shared" si="18"/>
        <v/>
      </c>
      <c r="BB1790" s="171" t="str">
        <f t="shared" si="19"/>
        <v>Code</v>
      </c>
      <c r="BC1790" s="171" t="str">
        <f t="shared" si="20"/>
        <v/>
      </c>
      <c r="BD1790" s="171" t="str">
        <f t="shared" si="21"/>
        <v/>
      </c>
      <c r="BE1790" s="171" t="str">
        <f t="shared" si="22"/>
        <v/>
      </c>
      <c r="BF1790" s="171" t="str">
        <f t="shared" si="23"/>
        <v>Code</v>
      </c>
    </row>
    <row r="1791">
      <c r="A1791" s="171">
        <f t="array" ref="A1791">XLOOKUP(C1791,FSE!A:A,FSE!C:C,"XXXXX",0,1)</f>
        <v>2019</v>
      </c>
      <c r="B1791" s="213" t="s">
        <v>5676</v>
      </c>
      <c r="C1791" s="214">
        <v>448.0</v>
      </c>
      <c r="D1791" s="215" t="s">
        <v>4320</v>
      </c>
      <c r="E1791" s="197" t="str">
        <f t="array" ref="E1791">XLOOKUP(C1791,FSE!A:A,FSE!Z:Z,"XXXXX",0,1)</f>
        <v>Publicly Available (1)</v>
      </c>
      <c r="F1791" s="213" t="s">
        <v>3394</v>
      </c>
      <c r="G1791" s="163" t="str">
        <f t="array" ref="G1791">IF(B1791="ICSE",IF(COUNTIFS(B:B,B1791,C:C,C1791)=XLOOKUP(C1791,ICSE!A:A,ICSE!AA:AA,"ERROR",0,1),"OK","ERROR"),IF(B1791="FSE",IF(COUNTIFS(B:B,B1791,C:C,C1791)=XLOOKUP(C1791,FSE!A:A,FSE!AA:AA,"ERROR",0,1),"OK","ERROR")))</f>
        <v>OK</v>
      </c>
      <c r="H1791" s="199">
        <f t="shared" ref="H1791:O1791" si="9041">countif($D1791,"*"&amp;H$2&amp;"*")</f>
        <v>0</v>
      </c>
      <c r="I1791" s="200">
        <f t="shared" si="9041"/>
        <v>0</v>
      </c>
      <c r="J1791" s="200">
        <f t="shared" si="9041"/>
        <v>0</v>
      </c>
      <c r="K1791" s="200">
        <f t="shared" si="9041"/>
        <v>0</v>
      </c>
      <c r="L1791" s="200">
        <f t="shared" si="9041"/>
        <v>0</v>
      </c>
      <c r="M1791" s="200">
        <f t="shared" si="9041"/>
        <v>0</v>
      </c>
      <c r="N1791" s="200">
        <f t="shared" si="9041"/>
        <v>0</v>
      </c>
      <c r="O1791" s="200">
        <f t="shared" si="9041"/>
        <v>0</v>
      </c>
      <c r="P1791" s="200">
        <f t="shared" si="9"/>
        <v>1</v>
      </c>
      <c r="Q1791" s="200">
        <f t="shared" ref="Q1791:AC1791" si="9042">countif($D1791,"*"&amp;Q$2&amp;"*")</f>
        <v>0</v>
      </c>
      <c r="R1791" s="200">
        <f t="shared" si="9042"/>
        <v>0</v>
      </c>
      <c r="S1791" s="200">
        <f t="shared" si="9042"/>
        <v>0</v>
      </c>
      <c r="T1791" s="200">
        <f t="shared" si="9042"/>
        <v>0</v>
      </c>
      <c r="U1791" s="200">
        <f t="shared" si="9042"/>
        <v>0</v>
      </c>
      <c r="V1791" s="200">
        <f t="shared" si="9042"/>
        <v>0</v>
      </c>
      <c r="W1791" s="200">
        <f t="shared" si="9042"/>
        <v>0</v>
      </c>
      <c r="X1791" s="200">
        <f t="shared" si="9042"/>
        <v>0</v>
      </c>
      <c r="Y1791" s="200">
        <f t="shared" si="9042"/>
        <v>0</v>
      </c>
      <c r="Z1791" s="200">
        <f t="shared" si="9042"/>
        <v>0</v>
      </c>
      <c r="AA1791" s="200">
        <f t="shared" si="9042"/>
        <v>0</v>
      </c>
      <c r="AB1791" s="200">
        <f t="shared" si="9042"/>
        <v>0</v>
      </c>
      <c r="AC1791" s="200">
        <f t="shared" si="9042"/>
        <v>0</v>
      </c>
      <c r="AD1791" s="200">
        <f t="shared" si="11"/>
        <v>0</v>
      </c>
      <c r="AE1791" s="200">
        <f t="shared" ref="AE1791:AG1791" si="9043">countif($D1791,"*"&amp;AE$2&amp;"*")</f>
        <v>0</v>
      </c>
      <c r="AF1791" s="200">
        <f t="shared" si="9043"/>
        <v>0</v>
      </c>
      <c r="AG1791" s="200">
        <f t="shared" si="9043"/>
        <v>0</v>
      </c>
      <c r="AH1791" s="171">
        <f t="shared" si="13"/>
        <v>0</v>
      </c>
      <c r="AI1791" s="200">
        <f t="shared" si="14"/>
        <v>0</v>
      </c>
      <c r="AJ1791" s="200">
        <f t="shared" si="8963"/>
        <v>0</v>
      </c>
      <c r="AK1791" s="201">
        <f t="shared" ref="AK1791:AS1791" si="9044">countif($D1791,"*"&amp;AK$2&amp;"*")</f>
        <v>0</v>
      </c>
      <c r="AL1791" s="201">
        <f t="shared" si="9044"/>
        <v>0</v>
      </c>
      <c r="AM1791" s="201">
        <f t="shared" si="9044"/>
        <v>0</v>
      </c>
      <c r="AN1791" s="201">
        <f t="shared" si="9044"/>
        <v>0</v>
      </c>
      <c r="AO1791" s="201">
        <f t="shared" si="9044"/>
        <v>0</v>
      </c>
      <c r="AP1791" s="201">
        <f t="shared" si="9044"/>
        <v>0</v>
      </c>
      <c r="AQ1791" s="201">
        <f t="shared" si="9044"/>
        <v>0</v>
      </c>
      <c r="AR1791" s="200">
        <f t="shared" si="9044"/>
        <v>0</v>
      </c>
      <c r="AS1791" s="200">
        <f t="shared" si="9044"/>
        <v>0</v>
      </c>
      <c r="AT1791" s="173">
        <v>0.0</v>
      </c>
      <c r="AU1791" s="200">
        <f t="shared" ref="AU1791:AX1791" si="9045">countif($D1791,"*"&amp;AU$2&amp;"*")</f>
        <v>0</v>
      </c>
      <c r="AV1791" s="200">
        <f t="shared" si="9045"/>
        <v>1</v>
      </c>
      <c r="AW1791" s="200">
        <f t="shared" si="9045"/>
        <v>0</v>
      </c>
      <c r="AX1791" s="200">
        <f t="shared" si="9045"/>
        <v>0</v>
      </c>
      <c r="AY1791" s="202">
        <v>0.0</v>
      </c>
      <c r="AZ1791" s="200"/>
      <c r="BA1791" s="171" t="str">
        <f t="shared" si="18"/>
        <v/>
      </c>
      <c r="BB1791" s="171" t="str">
        <f t="shared" si="19"/>
        <v>Code</v>
      </c>
      <c r="BC1791" s="171" t="str">
        <f t="shared" si="20"/>
        <v/>
      </c>
      <c r="BD1791" s="171" t="str">
        <f t="shared" si="21"/>
        <v/>
      </c>
      <c r="BE1791" s="171" t="str">
        <f t="shared" si="22"/>
        <v/>
      </c>
      <c r="BF1791" s="171" t="str">
        <f t="shared" si="23"/>
        <v>Code</v>
      </c>
    </row>
    <row r="1792">
      <c r="A1792" s="171">
        <f t="array" ref="A1792">XLOOKUP(C1792,FSE!A:A,FSE!C:C,"XXXXX",0,1)</f>
        <v>2019</v>
      </c>
      <c r="B1792" s="213" t="s">
        <v>5676</v>
      </c>
      <c r="C1792" s="214">
        <v>450.0</v>
      </c>
      <c r="D1792" s="215" t="s">
        <v>4324</v>
      </c>
      <c r="E1792" s="197" t="str">
        <f t="array" ref="E1792">XLOOKUP(C1792,FSE!A:A,FSE!Z:Z,"XXXXX",0,1)</f>
        <v>Publicly Available (1)</v>
      </c>
      <c r="F1792" s="213" t="s">
        <v>3394</v>
      </c>
      <c r="G1792" s="163" t="str">
        <f t="array" ref="G1792">IF(B1792="ICSE",IF(COUNTIFS(B:B,B1792,C:C,C1792)=XLOOKUP(C1792,ICSE!A:A,ICSE!AA:AA,"ERROR",0,1),"OK","ERROR"),IF(B1792="FSE",IF(COUNTIFS(B:B,B1792,C:C,C1792)=XLOOKUP(C1792,FSE!A:A,FSE!AA:AA,"ERROR",0,1),"OK","ERROR")))</f>
        <v>OK</v>
      </c>
      <c r="H1792" s="199">
        <f t="shared" ref="H1792:O1792" si="9046">countif($D1792,"*"&amp;H$2&amp;"*")</f>
        <v>0</v>
      </c>
      <c r="I1792" s="200">
        <f t="shared" si="9046"/>
        <v>0</v>
      </c>
      <c r="J1792" s="200">
        <f t="shared" si="9046"/>
        <v>0</v>
      </c>
      <c r="K1792" s="200">
        <f t="shared" si="9046"/>
        <v>0</v>
      </c>
      <c r="L1792" s="200">
        <f t="shared" si="9046"/>
        <v>0</v>
      </c>
      <c r="M1792" s="200">
        <f t="shared" si="9046"/>
        <v>0</v>
      </c>
      <c r="N1792" s="200">
        <f t="shared" si="9046"/>
        <v>0</v>
      </c>
      <c r="O1792" s="200">
        <f t="shared" si="9046"/>
        <v>0</v>
      </c>
      <c r="P1792" s="200">
        <f t="shared" si="9"/>
        <v>1</v>
      </c>
      <c r="Q1792" s="200">
        <f t="shared" ref="Q1792:AC1792" si="9047">countif($D1792,"*"&amp;Q$2&amp;"*")</f>
        <v>0</v>
      </c>
      <c r="R1792" s="200">
        <f t="shared" si="9047"/>
        <v>0</v>
      </c>
      <c r="S1792" s="200">
        <f t="shared" si="9047"/>
        <v>0</v>
      </c>
      <c r="T1792" s="200">
        <f t="shared" si="9047"/>
        <v>0</v>
      </c>
      <c r="U1792" s="200">
        <f t="shared" si="9047"/>
        <v>0</v>
      </c>
      <c r="V1792" s="200">
        <f t="shared" si="9047"/>
        <v>0</v>
      </c>
      <c r="W1792" s="200">
        <f t="shared" si="9047"/>
        <v>0</v>
      </c>
      <c r="X1792" s="200">
        <f t="shared" si="9047"/>
        <v>0</v>
      </c>
      <c r="Y1792" s="200">
        <f t="shared" si="9047"/>
        <v>0</v>
      </c>
      <c r="Z1792" s="200">
        <f t="shared" si="9047"/>
        <v>0</v>
      </c>
      <c r="AA1792" s="200">
        <f t="shared" si="9047"/>
        <v>0</v>
      </c>
      <c r="AB1792" s="200">
        <f t="shared" si="9047"/>
        <v>0</v>
      </c>
      <c r="AC1792" s="200">
        <f t="shared" si="9047"/>
        <v>0</v>
      </c>
      <c r="AD1792" s="200">
        <f t="shared" si="11"/>
        <v>0</v>
      </c>
      <c r="AE1792" s="200">
        <f t="shared" ref="AE1792:AG1792" si="9048">countif($D1792,"*"&amp;AE$2&amp;"*")</f>
        <v>0</v>
      </c>
      <c r="AF1792" s="200">
        <f t="shared" si="9048"/>
        <v>0</v>
      </c>
      <c r="AG1792" s="200">
        <f t="shared" si="9048"/>
        <v>0</v>
      </c>
      <c r="AH1792" s="171">
        <f t="shared" si="13"/>
        <v>0</v>
      </c>
      <c r="AI1792" s="200">
        <f t="shared" si="14"/>
        <v>0</v>
      </c>
      <c r="AJ1792" s="200">
        <f t="shared" si="8963"/>
        <v>0</v>
      </c>
      <c r="AK1792" s="201">
        <f t="shared" ref="AK1792:AS1792" si="9049">countif($D1792,"*"&amp;AK$2&amp;"*")</f>
        <v>0</v>
      </c>
      <c r="AL1792" s="201">
        <f t="shared" si="9049"/>
        <v>0</v>
      </c>
      <c r="AM1792" s="201">
        <f t="shared" si="9049"/>
        <v>0</v>
      </c>
      <c r="AN1792" s="201">
        <f t="shared" si="9049"/>
        <v>0</v>
      </c>
      <c r="AO1792" s="201">
        <f t="shared" si="9049"/>
        <v>0</v>
      </c>
      <c r="AP1792" s="201">
        <f t="shared" si="9049"/>
        <v>0</v>
      </c>
      <c r="AQ1792" s="201">
        <f t="shared" si="9049"/>
        <v>0</v>
      </c>
      <c r="AR1792" s="200">
        <f t="shared" si="9049"/>
        <v>0</v>
      </c>
      <c r="AS1792" s="200">
        <f t="shared" si="9049"/>
        <v>0</v>
      </c>
      <c r="AT1792" s="173">
        <v>0.0</v>
      </c>
      <c r="AU1792" s="200">
        <f t="shared" ref="AU1792:AX1792" si="9050">countif($D1792,"*"&amp;AU$2&amp;"*")</f>
        <v>0</v>
      </c>
      <c r="AV1792" s="200">
        <f t="shared" si="9050"/>
        <v>1</v>
      </c>
      <c r="AW1792" s="200">
        <f t="shared" si="9050"/>
        <v>0</v>
      </c>
      <c r="AX1792" s="200">
        <f t="shared" si="9050"/>
        <v>0</v>
      </c>
      <c r="AY1792" s="202">
        <v>0.0</v>
      </c>
      <c r="AZ1792" s="200"/>
      <c r="BA1792" s="171" t="str">
        <f t="shared" si="18"/>
        <v/>
      </c>
      <c r="BB1792" s="171" t="str">
        <f t="shared" si="19"/>
        <v>Code</v>
      </c>
      <c r="BC1792" s="171" t="str">
        <f t="shared" si="20"/>
        <v/>
      </c>
      <c r="BD1792" s="171" t="str">
        <f t="shared" si="21"/>
        <v/>
      </c>
      <c r="BE1792" s="171" t="str">
        <f t="shared" si="22"/>
        <v/>
      </c>
      <c r="BF1792" s="171" t="str">
        <f t="shared" si="23"/>
        <v>Code</v>
      </c>
    </row>
    <row r="1793">
      <c r="A1793" s="171">
        <f t="array" ref="A1793">XLOOKUP(C1793,FSE!A:A,FSE!C:C,"XXXXX",0,1)</f>
        <v>2019</v>
      </c>
      <c r="B1793" s="213" t="s">
        <v>5676</v>
      </c>
      <c r="C1793" s="214">
        <v>451.0</v>
      </c>
      <c r="D1793" s="224" t="s">
        <v>6441</v>
      </c>
      <c r="E1793" s="197" t="str">
        <f t="array" ref="E1793">XLOOKUP(C1793,FSE!A:A,FSE!Z:Z,"XXXXX",0,1)</f>
        <v>Publicly Available (4)
Not Available (1)</v>
      </c>
      <c r="F1793" s="213" t="s">
        <v>3394</v>
      </c>
      <c r="G1793" s="163" t="str">
        <f t="array" ref="G1793">IF(B1793="ICSE",IF(COUNTIFS(B:B,B1793,C:C,C1793)=XLOOKUP(C1793,ICSE!A:A,ICSE!AA:AA,"ERROR",0,1),"OK","ERROR"),IF(B1793="FSE",IF(COUNTIFS(B:B,B1793,C:C,C1793)=XLOOKUP(C1793,FSE!A:A,FSE!AA:AA,"ERROR",0,1),"OK","ERROR")))</f>
        <v>OK</v>
      </c>
      <c r="H1793" s="199">
        <f t="shared" ref="H1793:O1793" si="9051">countif($D1793,"*"&amp;H$2&amp;"*")</f>
        <v>0</v>
      </c>
      <c r="I1793" s="200">
        <f t="shared" si="9051"/>
        <v>0</v>
      </c>
      <c r="J1793" s="200">
        <f t="shared" si="9051"/>
        <v>0</v>
      </c>
      <c r="K1793" s="200">
        <f t="shared" si="9051"/>
        <v>0</v>
      </c>
      <c r="L1793" s="200">
        <f t="shared" si="9051"/>
        <v>0</v>
      </c>
      <c r="M1793" s="200">
        <f t="shared" si="9051"/>
        <v>0</v>
      </c>
      <c r="N1793" s="200">
        <f t="shared" si="9051"/>
        <v>0</v>
      </c>
      <c r="O1793" s="200">
        <f t="shared" si="9051"/>
        <v>0</v>
      </c>
      <c r="P1793" s="200">
        <f t="shared" si="9"/>
        <v>1</v>
      </c>
      <c r="Q1793" s="200">
        <f t="shared" ref="Q1793:AC1793" si="9052">countif($D1793,"*"&amp;Q$2&amp;"*")</f>
        <v>0</v>
      </c>
      <c r="R1793" s="200">
        <f t="shared" si="9052"/>
        <v>0</v>
      </c>
      <c r="S1793" s="200">
        <f t="shared" si="9052"/>
        <v>0</v>
      </c>
      <c r="T1793" s="200">
        <f t="shared" si="9052"/>
        <v>0</v>
      </c>
      <c r="U1793" s="200">
        <f t="shared" si="9052"/>
        <v>0</v>
      </c>
      <c r="V1793" s="200">
        <f t="shared" si="9052"/>
        <v>0</v>
      </c>
      <c r="W1793" s="200">
        <f t="shared" si="9052"/>
        <v>0</v>
      </c>
      <c r="X1793" s="200">
        <f t="shared" si="9052"/>
        <v>0</v>
      </c>
      <c r="Y1793" s="200">
        <f t="shared" si="9052"/>
        <v>0</v>
      </c>
      <c r="Z1793" s="200">
        <f t="shared" si="9052"/>
        <v>0</v>
      </c>
      <c r="AA1793" s="200">
        <f t="shared" si="9052"/>
        <v>0</v>
      </c>
      <c r="AB1793" s="200">
        <f t="shared" si="9052"/>
        <v>0</v>
      </c>
      <c r="AC1793" s="200">
        <f t="shared" si="9052"/>
        <v>0</v>
      </c>
      <c r="AD1793" s="200">
        <f t="shared" si="11"/>
        <v>0</v>
      </c>
      <c r="AE1793" s="200">
        <f t="shared" ref="AE1793:AG1793" si="9053">countif($D1793,"*"&amp;AE$2&amp;"*")</f>
        <v>0</v>
      </c>
      <c r="AF1793" s="200">
        <f t="shared" si="9053"/>
        <v>0</v>
      </c>
      <c r="AG1793" s="200">
        <f t="shared" si="9053"/>
        <v>0</v>
      </c>
      <c r="AH1793" s="171">
        <f t="shared" si="13"/>
        <v>0</v>
      </c>
      <c r="AI1793" s="200">
        <f t="shared" si="14"/>
        <v>0</v>
      </c>
      <c r="AJ1793" s="200">
        <f t="shared" si="8963"/>
        <v>0</v>
      </c>
      <c r="AK1793" s="201">
        <f t="shared" ref="AK1793:AS1793" si="9054">countif($D1793,"*"&amp;AK$2&amp;"*")</f>
        <v>0</v>
      </c>
      <c r="AL1793" s="201">
        <f t="shared" si="9054"/>
        <v>0</v>
      </c>
      <c r="AM1793" s="201">
        <f t="shared" si="9054"/>
        <v>0</v>
      </c>
      <c r="AN1793" s="201">
        <f t="shared" si="9054"/>
        <v>0</v>
      </c>
      <c r="AO1793" s="201">
        <f t="shared" si="9054"/>
        <v>0</v>
      </c>
      <c r="AP1793" s="201">
        <f t="shared" si="9054"/>
        <v>0</v>
      </c>
      <c r="AQ1793" s="201">
        <f t="shared" si="9054"/>
        <v>0</v>
      </c>
      <c r="AR1793" s="200">
        <f t="shared" si="9054"/>
        <v>0</v>
      </c>
      <c r="AS1793" s="200">
        <f t="shared" si="9054"/>
        <v>1</v>
      </c>
      <c r="AT1793" s="173">
        <v>0.0</v>
      </c>
      <c r="AU1793" s="200">
        <f t="shared" ref="AU1793:AX1793" si="9055">countif($D1793,"*"&amp;AU$2&amp;"*")</f>
        <v>0</v>
      </c>
      <c r="AV1793" s="200">
        <f t="shared" si="9055"/>
        <v>1</v>
      </c>
      <c r="AW1793" s="200">
        <f t="shared" si="9055"/>
        <v>0</v>
      </c>
      <c r="AX1793" s="200">
        <f t="shared" si="9055"/>
        <v>0</v>
      </c>
      <c r="AY1793" s="202">
        <v>0.0</v>
      </c>
      <c r="AZ1793" s="200"/>
      <c r="BA1793" s="171" t="str">
        <f t="shared" si="18"/>
        <v/>
      </c>
      <c r="BB1793" s="171" t="str">
        <f t="shared" si="19"/>
        <v>Code</v>
      </c>
      <c r="BC1793" s="171" t="str">
        <f t="shared" si="20"/>
        <v/>
      </c>
      <c r="BD1793" s="171" t="str">
        <f t="shared" si="21"/>
        <v/>
      </c>
      <c r="BE1793" s="171" t="str">
        <f t="shared" si="22"/>
        <v/>
      </c>
      <c r="BF1793" s="171" t="str">
        <f t="shared" si="23"/>
        <v>Code</v>
      </c>
    </row>
    <row r="1794">
      <c r="A1794" s="171">
        <f t="array" ref="A1794">XLOOKUP(C1794,FSE!A:A,FSE!C:C,"XXXXX",0,1)</f>
        <v>2019</v>
      </c>
      <c r="B1794" s="213" t="s">
        <v>5676</v>
      </c>
      <c r="C1794" s="214">
        <v>451.0</v>
      </c>
      <c r="D1794" s="217" t="s">
        <v>6442</v>
      </c>
      <c r="E1794" s="197" t="str">
        <f t="array" ref="E1794">XLOOKUP(C1794,FSE!A:A,FSE!Z:Z,"XXXXX",0,1)</f>
        <v>Publicly Available (4)
Not Available (1)</v>
      </c>
      <c r="F1794" s="213" t="s">
        <v>3395</v>
      </c>
      <c r="G1794" s="163" t="str">
        <f t="array" ref="G1794">IF(B1794="ICSE",IF(COUNTIFS(B:B,B1794,C:C,C1794)=XLOOKUP(C1794,ICSE!A:A,ICSE!AA:AA,"ERROR",0,1),"OK","ERROR"),IF(B1794="FSE",IF(COUNTIFS(B:B,B1794,C:C,C1794)=XLOOKUP(C1794,FSE!A:A,FSE!AA:AA,"ERROR",0,1),"OK","ERROR")))</f>
        <v>OK</v>
      </c>
      <c r="H1794" s="199">
        <f t="shared" ref="H1794:O1794" si="9056">countif($D1794,"*"&amp;H$2&amp;"*")</f>
        <v>0</v>
      </c>
      <c r="I1794" s="200">
        <f t="shared" si="9056"/>
        <v>0</v>
      </c>
      <c r="J1794" s="200">
        <f t="shared" si="9056"/>
        <v>0</v>
      </c>
      <c r="K1794" s="200">
        <f t="shared" si="9056"/>
        <v>0</v>
      </c>
      <c r="L1794" s="200">
        <f t="shared" si="9056"/>
        <v>0</v>
      </c>
      <c r="M1794" s="200">
        <f t="shared" si="9056"/>
        <v>0</v>
      </c>
      <c r="N1794" s="200">
        <f t="shared" si="9056"/>
        <v>0</v>
      </c>
      <c r="O1794" s="200">
        <f t="shared" si="9056"/>
        <v>0</v>
      </c>
      <c r="P1794" s="200">
        <f t="shared" si="9"/>
        <v>1</v>
      </c>
      <c r="Q1794" s="200">
        <f t="shared" ref="Q1794:AC1794" si="9057">countif($D1794,"*"&amp;Q$2&amp;"*")</f>
        <v>0</v>
      </c>
      <c r="R1794" s="200">
        <f t="shared" si="9057"/>
        <v>0</v>
      </c>
      <c r="S1794" s="200">
        <f t="shared" si="9057"/>
        <v>0</v>
      </c>
      <c r="T1794" s="200">
        <f t="shared" si="9057"/>
        <v>0</v>
      </c>
      <c r="U1794" s="200">
        <f t="shared" si="9057"/>
        <v>0</v>
      </c>
      <c r="V1794" s="200">
        <f t="shared" si="9057"/>
        <v>0</v>
      </c>
      <c r="W1794" s="200">
        <f t="shared" si="9057"/>
        <v>0</v>
      </c>
      <c r="X1794" s="200">
        <f t="shared" si="9057"/>
        <v>0</v>
      </c>
      <c r="Y1794" s="200">
        <f t="shared" si="9057"/>
        <v>0</v>
      </c>
      <c r="Z1794" s="200">
        <f t="shared" si="9057"/>
        <v>0</v>
      </c>
      <c r="AA1794" s="200">
        <f t="shared" si="9057"/>
        <v>0</v>
      </c>
      <c r="AB1794" s="200">
        <f t="shared" si="9057"/>
        <v>0</v>
      </c>
      <c r="AC1794" s="200">
        <f t="shared" si="9057"/>
        <v>0</v>
      </c>
      <c r="AD1794" s="200">
        <f t="shared" si="11"/>
        <v>0</v>
      </c>
      <c r="AE1794" s="200">
        <f t="shared" ref="AE1794:AG1794" si="9058">countif($D1794,"*"&amp;AE$2&amp;"*")</f>
        <v>0</v>
      </c>
      <c r="AF1794" s="200">
        <f t="shared" si="9058"/>
        <v>0</v>
      </c>
      <c r="AG1794" s="200">
        <f t="shared" si="9058"/>
        <v>0</v>
      </c>
      <c r="AH1794" s="171">
        <f t="shared" si="13"/>
        <v>0</v>
      </c>
      <c r="AI1794" s="200">
        <f t="shared" si="14"/>
        <v>0</v>
      </c>
      <c r="AJ1794" s="200">
        <f t="shared" si="8963"/>
        <v>0</v>
      </c>
      <c r="AK1794" s="201">
        <f t="shared" ref="AK1794:AS1794" si="9059">countif($D1794,"*"&amp;AK$2&amp;"*")</f>
        <v>0</v>
      </c>
      <c r="AL1794" s="201">
        <f t="shared" si="9059"/>
        <v>0</v>
      </c>
      <c r="AM1794" s="201">
        <f t="shared" si="9059"/>
        <v>0</v>
      </c>
      <c r="AN1794" s="201">
        <f t="shared" si="9059"/>
        <v>0</v>
      </c>
      <c r="AO1794" s="201">
        <f t="shared" si="9059"/>
        <v>0</v>
      </c>
      <c r="AP1794" s="201">
        <f t="shared" si="9059"/>
        <v>0</v>
      </c>
      <c r="AQ1794" s="201">
        <f t="shared" si="9059"/>
        <v>0</v>
      </c>
      <c r="AR1794" s="200">
        <f t="shared" si="9059"/>
        <v>0</v>
      </c>
      <c r="AS1794" s="200">
        <f t="shared" si="9059"/>
        <v>1</v>
      </c>
      <c r="AT1794" s="173">
        <v>0.0</v>
      </c>
      <c r="AU1794" s="200">
        <f t="shared" ref="AU1794:AX1794" si="9060">countif($D1794,"*"&amp;AU$2&amp;"*")</f>
        <v>0</v>
      </c>
      <c r="AV1794" s="200">
        <f t="shared" si="9060"/>
        <v>1</v>
      </c>
      <c r="AW1794" s="200">
        <f t="shared" si="9060"/>
        <v>0</v>
      </c>
      <c r="AX1794" s="200">
        <f t="shared" si="9060"/>
        <v>0</v>
      </c>
      <c r="AY1794" s="202">
        <v>0.0</v>
      </c>
      <c r="AZ1794" s="200"/>
      <c r="BA1794" s="171" t="str">
        <f t="shared" si="18"/>
        <v/>
      </c>
      <c r="BB1794" s="171" t="str">
        <f t="shared" si="19"/>
        <v>Code</v>
      </c>
      <c r="BC1794" s="171" t="str">
        <f t="shared" si="20"/>
        <v/>
      </c>
      <c r="BD1794" s="171" t="str">
        <f t="shared" si="21"/>
        <v/>
      </c>
      <c r="BE1794" s="171" t="str">
        <f t="shared" si="22"/>
        <v/>
      </c>
      <c r="BF1794" s="171" t="str">
        <f t="shared" si="23"/>
        <v>Code</v>
      </c>
    </row>
    <row r="1795">
      <c r="A1795" s="213">
        <f t="array" ref="A1795">XLOOKUP(C1795,FSE!A:A,FSE!C:C,"XXXXX",0,1)</f>
        <v>2019</v>
      </c>
      <c r="B1795" s="213" t="s">
        <v>5676</v>
      </c>
      <c r="C1795" s="220">
        <v>451.0</v>
      </c>
      <c r="D1795" s="217" t="s">
        <v>6443</v>
      </c>
      <c r="E1795" s="221" t="str">
        <f t="array" ref="E1795">XLOOKUP(C1795,FSE!A:A,FSE!Z:Z,"XXXXX",0,1)</f>
        <v>Publicly Available (4)
Not Available (1)</v>
      </c>
      <c r="F1795" s="213" t="s">
        <v>3394</v>
      </c>
      <c r="G1795" s="163" t="str">
        <f t="array" ref="G1795">IF(B1795="ICSE",IF(COUNTIFS(B:B,B1795,C:C,C1795)=XLOOKUP(C1795,ICSE!A:A,ICSE!AA:AA,"ERROR",0,1),"OK","ERROR"),IF(B1795="FSE",IF(COUNTIFS(B:B,B1795,C:C,C1795)=XLOOKUP(C1795,FSE!A:A,FSE!AA:AA,"ERROR",0,1),"OK","ERROR")))</f>
        <v>OK</v>
      </c>
      <c r="H1795" s="199">
        <f t="shared" ref="H1795:O1795" si="9061">countif($D1795,"*"&amp;H$2&amp;"*")</f>
        <v>0</v>
      </c>
      <c r="I1795" s="200">
        <f t="shared" si="9061"/>
        <v>0</v>
      </c>
      <c r="J1795" s="200">
        <f t="shared" si="9061"/>
        <v>0</v>
      </c>
      <c r="K1795" s="200">
        <f t="shared" si="9061"/>
        <v>0</v>
      </c>
      <c r="L1795" s="200">
        <f t="shared" si="9061"/>
        <v>0</v>
      </c>
      <c r="M1795" s="200">
        <f t="shared" si="9061"/>
        <v>0</v>
      </c>
      <c r="N1795" s="200">
        <f t="shared" si="9061"/>
        <v>0</v>
      </c>
      <c r="O1795" s="200">
        <f t="shared" si="9061"/>
        <v>0</v>
      </c>
      <c r="P1795" s="200">
        <f t="shared" si="9"/>
        <v>1</v>
      </c>
      <c r="Q1795" s="200">
        <f t="shared" ref="Q1795:AC1795" si="9062">countif($D1795,"*"&amp;Q$2&amp;"*")</f>
        <v>0</v>
      </c>
      <c r="R1795" s="200">
        <f t="shared" si="9062"/>
        <v>0</v>
      </c>
      <c r="S1795" s="200">
        <f t="shared" si="9062"/>
        <v>0</v>
      </c>
      <c r="T1795" s="200">
        <f t="shared" si="9062"/>
        <v>0</v>
      </c>
      <c r="U1795" s="200">
        <f t="shared" si="9062"/>
        <v>0</v>
      </c>
      <c r="V1795" s="200">
        <f t="shared" si="9062"/>
        <v>0</v>
      </c>
      <c r="W1795" s="200">
        <f t="shared" si="9062"/>
        <v>0</v>
      </c>
      <c r="X1795" s="200">
        <f t="shared" si="9062"/>
        <v>0</v>
      </c>
      <c r="Y1795" s="200">
        <f t="shared" si="9062"/>
        <v>0</v>
      </c>
      <c r="Z1795" s="200">
        <f t="shared" si="9062"/>
        <v>0</v>
      </c>
      <c r="AA1795" s="200">
        <f t="shared" si="9062"/>
        <v>0</v>
      </c>
      <c r="AB1795" s="200">
        <f t="shared" si="9062"/>
        <v>0</v>
      </c>
      <c r="AC1795" s="200">
        <f t="shared" si="9062"/>
        <v>0</v>
      </c>
      <c r="AD1795" s="222">
        <f t="shared" si="11"/>
        <v>0</v>
      </c>
      <c r="AE1795" s="200">
        <f t="shared" ref="AE1795:AG1795" si="9063">countif($D1795,"*"&amp;AE$2&amp;"*")</f>
        <v>0</v>
      </c>
      <c r="AF1795" s="200">
        <f t="shared" si="9063"/>
        <v>0</v>
      </c>
      <c r="AG1795" s="200">
        <f t="shared" si="9063"/>
        <v>0</v>
      </c>
      <c r="AH1795" s="171">
        <f t="shared" si="13"/>
        <v>0</v>
      </c>
      <c r="AI1795" s="200">
        <f t="shared" si="14"/>
        <v>0</v>
      </c>
      <c r="AJ1795" s="200">
        <f t="shared" si="8963"/>
        <v>0</v>
      </c>
      <c r="AK1795" s="201">
        <f t="shared" ref="AK1795:AS1795" si="9064">countif($D1795,"*"&amp;AK$2&amp;"*")</f>
        <v>0</v>
      </c>
      <c r="AL1795" s="201">
        <f t="shared" si="9064"/>
        <v>0</v>
      </c>
      <c r="AM1795" s="201">
        <f t="shared" si="9064"/>
        <v>0</v>
      </c>
      <c r="AN1795" s="201">
        <f t="shared" si="9064"/>
        <v>0</v>
      </c>
      <c r="AO1795" s="201">
        <f t="shared" si="9064"/>
        <v>0</v>
      </c>
      <c r="AP1795" s="201">
        <f t="shared" si="9064"/>
        <v>0</v>
      </c>
      <c r="AQ1795" s="201">
        <f t="shared" si="9064"/>
        <v>0</v>
      </c>
      <c r="AR1795" s="222">
        <f t="shared" si="9064"/>
        <v>0</v>
      </c>
      <c r="AS1795" s="200">
        <f t="shared" si="9064"/>
        <v>0</v>
      </c>
      <c r="AT1795" s="223">
        <v>0.0</v>
      </c>
      <c r="AU1795" s="200">
        <f t="shared" ref="AU1795:AX1795" si="9065">countif($D1795,"*"&amp;AU$2&amp;"*")</f>
        <v>0</v>
      </c>
      <c r="AV1795" s="200">
        <f t="shared" si="9065"/>
        <v>1</v>
      </c>
      <c r="AW1795" s="200">
        <f t="shared" si="9065"/>
        <v>0</v>
      </c>
      <c r="AX1795" s="200">
        <f t="shared" si="9065"/>
        <v>0</v>
      </c>
      <c r="AY1795" s="202">
        <v>0.0</v>
      </c>
      <c r="AZ1795" s="200"/>
      <c r="BA1795" s="171" t="str">
        <f t="shared" si="18"/>
        <v/>
      </c>
      <c r="BB1795" s="171" t="str">
        <f t="shared" si="19"/>
        <v>Code</v>
      </c>
      <c r="BC1795" s="171" t="str">
        <f t="shared" si="20"/>
        <v/>
      </c>
      <c r="BD1795" s="171" t="str">
        <f t="shared" si="21"/>
        <v/>
      </c>
      <c r="BE1795" s="171" t="str">
        <f t="shared" si="22"/>
        <v/>
      </c>
      <c r="BF1795" s="171" t="str">
        <f t="shared" si="23"/>
        <v>Code</v>
      </c>
    </row>
    <row r="1796">
      <c r="A1796" s="213">
        <f t="array" ref="A1796">XLOOKUP(C1796,FSE!A:A,FSE!C:C,"XXXXX",0,1)</f>
        <v>2019</v>
      </c>
      <c r="B1796" s="213" t="s">
        <v>5676</v>
      </c>
      <c r="C1796" s="220">
        <v>451.0</v>
      </c>
      <c r="D1796" s="217" t="s">
        <v>6444</v>
      </c>
      <c r="E1796" s="221" t="str">
        <f t="array" ref="E1796">XLOOKUP(C1796,FSE!A:A,FSE!Z:Z,"XXXXX",0,1)</f>
        <v>Publicly Available (4)
Not Available (1)</v>
      </c>
      <c r="F1796" s="213" t="s">
        <v>3394</v>
      </c>
      <c r="G1796" s="163" t="str">
        <f t="array" ref="G1796">IF(B1796="ICSE",IF(COUNTIFS(B:B,B1796,C:C,C1796)=XLOOKUP(C1796,ICSE!A:A,ICSE!AA:AA,"ERROR",0,1),"OK","ERROR"),IF(B1796="FSE",IF(COUNTIFS(B:B,B1796,C:C,C1796)=XLOOKUP(C1796,FSE!A:A,FSE!AA:AA,"ERROR",0,1),"OK","ERROR")))</f>
        <v>OK</v>
      </c>
      <c r="H1796" s="199">
        <f t="shared" ref="H1796:O1796" si="9066">countif($D1796,"*"&amp;H$2&amp;"*")</f>
        <v>0</v>
      </c>
      <c r="I1796" s="200">
        <f t="shared" si="9066"/>
        <v>0</v>
      </c>
      <c r="J1796" s="200">
        <f t="shared" si="9066"/>
        <v>0</v>
      </c>
      <c r="K1796" s="200">
        <f t="shared" si="9066"/>
        <v>0</v>
      </c>
      <c r="L1796" s="200">
        <f t="shared" si="9066"/>
        <v>0</v>
      </c>
      <c r="M1796" s="200">
        <f t="shared" si="9066"/>
        <v>0</v>
      </c>
      <c r="N1796" s="200">
        <f t="shared" si="9066"/>
        <v>0</v>
      </c>
      <c r="O1796" s="200">
        <f t="shared" si="9066"/>
        <v>0</v>
      </c>
      <c r="P1796" s="200">
        <f t="shared" si="9"/>
        <v>1</v>
      </c>
      <c r="Q1796" s="200">
        <f t="shared" ref="Q1796:AC1796" si="9067">countif($D1796,"*"&amp;Q$2&amp;"*")</f>
        <v>0</v>
      </c>
      <c r="R1796" s="200">
        <f t="shared" si="9067"/>
        <v>0</v>
      </c>
      <c r="S1796" s="200">
        <f t="shared" si="9067"/>
        <v>0</v>
      </c>
      <c r="T1796" s="200">
        <f t="shared" si="9067"/>
        <v>0</v>
      </c>
      <c r="U1796" s="200">
        <f t="shared" si="9067"/>
        <v>0</v>
      </c>
      <c r="V1796" s="200">
        <f t="shared" si="9067"/>
        <v>0</v>
      </c>
      <c r="W1796" s="200">
        <f t="shared" si="9067"/>
        <v>0</v>
      </c>
      <c r="X1796" s="200">
        <f t="shared" si="9067"/>
        <v>0</v>
      </c>
      <c r="Y1796" s="200">
        <f t="shared" si="9067"/>
        <v>0</v>
      </c>
      <c r="Z1796" s="200">
        <f t="shared" si="9067"/>
        <v>0</v>
      </c>
      <c r="AA1796" s="200">
        <f t="shared" si="9067"/>
        <v>0</v>
      </c>
      <c r="AB1796" s="200">
        <f t="shared" si="9067"/>
        <v>0</v>
      </c>
      <c r="AC1796" s="200">
        <f t="shared" si="9067"/>
        <v>0</v>
      </c>
      <c r="AD1796" s="222">
        <f t="shared" si="11"/>
        <v>0</v>
      </c>
      <c r="AE1796" s="200">
        <f t="shared" ref="AE1796:AG1796" si="9068">countif($D1796,"*"&amp;AE$2&amp;"*")</f>
        <v>0</v>
      </c>
      <c r="AF1796" s="200">
        <f t="shared" si="9068"/>
        <v>0</v>
      </c>
      <c r="AG1796" s="200">
        <f t="shared" si="9068"/>
        <v>0</v>
      </c>
      <c r="AH1796" s="171">
        <f t="shared" si="13"/>
        <v>0</v>
      </c>
      <c r="AI1796" s="200">
        <f t="shared" si="14"/>
        <v>0</v>
      </c>
      <c r="AJ1796" s="200">
        <f t="shared" si="8963"/>
        <v>0</v>
      </c>
      <c r="AK1796" s="201">
        <f t="shared" ref="AK1796:AS1796" si="9069">countif($D1796,"*"&amp;AK$2&amp;"*")</f>
        <v>0</v>
      </c>
      <c r="AL1796" s="201">
        <f t="shared" si="9069"/>
        <v>0</v>
      </c>
      <c r="AM1796" s="201">
        <f t="shared" si="9069"/>
        <v>0</v>
      </c>
      <c r="AN1796" s="201">
        <f t="shared" si="9069"/>
        <v>0</v>
      </c>
      <c r="AO1796" s="201">
        <f t="shared" si="9069"/>
        <v>0</v>
      </c>
      <c r="AP1796" s="201">
        <f t="shared" si="9069"/>
        <v>0</v>
      </c>
      <c r="AQ1796" s="201">
        <f t="shared" si="9069"/>
        <v>0</v>
      </c>
      <c r="AR1796" s="222">
        <f t="shared" si="9069"/>
        <v>0</v>
      </c>
      <c r="AS1796" s="200">
        <f t="shared" si="9069"/>
        <v>0</v>
      </c>
      <c r="AT1796" s="223">
        <v>0.0</v>
      </c>
      <c r="AU1796" s="200">
        <f t="shared" ref="AU1796:AX1796" si="9070">countif($D1796,"*"&amp;AU$2&amp;"*")</f>
        <v>0</v>
      </c>
      <c r="AV1796" s="200">
        <f t="shared" si="9070"/>
        <v>1</v>
      </c>
      <c r="AW1796" s="200">
        <f t="shared" si="9070"/>
        <v>0</v>
      </c>
      <c r="AX1796" s="200">
        <f t="shared" si="9070"/>
        <v>0</v>
      </c>
      <c r="AY1796" s="202">
        <v>0.0</v>
      </c>
      <c r="AZ1796" s="200"/>
      <c r="BA1796" s="171" t="str">
        <f t="shared" si="18"/>
        <v/>
      </c>
      <c r="BB1796" s="171" t="str">
        <f t="shared" si="19"/>
        <v>Code</v>
      </c>
      <c r="BC1796" s="171" t="str">
        <f t="shared" si="20"/>
        <v/>
      </c>
      <c r="BD1796" s="171" t="str">
        <f t="shared" si="21"/>
        <v/>
      </c>
      <c r="BE1796" s="171" t="str">
        <f t="shared" si="22"/>
        <v/>
      </c>
      <c r="BF1796" s="171" t="str">
        <f t="shared" si="23"/>
        <v>Code</v>
      </c>
    </row>
    <row r="1797">
      <c r="A1797" s="213">
        <f t="array" ref="A1797">XLOOKUP(C1797,FSE!A:A,FSE!C:C,"XXXXX",0,1)</f>
        <v>2019</v>
      </c>
      <c r="B1797" s="213" t="s">
        <v>5676</v>
      </c>
      <c r="C1797" s="220">
        <v>451.0</v>
      </c>
      <c r="D1797" s="217" t="s">
        <v>6445</v>
      </c>
      <c r="E1797" s="221" t="str">
        <f t="array" ref="E1797">XLOOKUP(C1797,FSE!A:A,FSE!Z:Z,"XXXXX",0,1)</f>
        <v>Publicly Available (4)
Not Available (1)</v>
      </c>
      <c r="F1797" s="213" t="s">
        <v>3394</v>
      </c>
      <c r="G1797" s="163" t="str">
        <f t="array" ref="G1797">IF(B1797="ICSE",IF(COUNTIFS(B:B,B1797,C:C,C1797)=XLOOKUP(C1797,ICSE!A:A,ICSE!AA:AA,"ERROR",0,1),"OK","ERROR"),IF(B1797="FSE",IF(COUNTIFS(B:B,B1797,C:C,C1797)=XLOOKUP(C1797,FSE!A:A,FSE!AA:AA,"ERROR",0,1),"OK","ERROR")))</f>
        <v>OK</v>
      </c>
      <c r="H1797" s="199">
        <f t="shared" ref="H1797:O1797" si="9071">countif($D1797,"*"&amp;H$2&amp;"*")</f>
        <v>0</v>
      </c>
      <c r="I1797" s="200">
        <f t="shared" si="9071"/>
        <v>0</v>
      </c>
      <c r="J1797" s="200">
        <f t="shared" si="9071"/>
        <v>0</v>
      </c>
      <c r="K1797" s="200">
        <f t="shared" si="9071"/>
        <v>0</v>
      </c>
      <c r="L1797" s="200">
        <f t="shared" si="9071"/>
        <v>0</v>
      </c>
      <c r="M1797" s="200">
        <f t="shared" si="9071"/>
        <v>0</v>
      </c>
      <c r="N1797" s="200">
        <f t="shared" si="9071"/>
        <v>0</v>
      </c>
      <c r="O1797" s="200">
        <f t="shared" si="9071"/>
        <v>0</v>
      </c>
      <c r="P1797" s="200">
        <f t="shared" si="9"/>
        <v>0</v>
      </c>
      <c r="Q1797" s="200">
        <f t="shared" ref="Q1797:AC1797" si="9072">countif($D1797,"*"&amp;Q$2&amp;"*")</f>
        <v>0</v>
      </c>
      <c r="R1797" s="200">
        <f t="shared" si="9072"/>
        <v>0</v>
      </c>
      <c r="S1797" s="200">
        <f t="shared" si="9072"/>
        <v>0</v>
      </c>
      <c r="T1797" s="200">
        <f t="shared" si="9072"/>
        <v>0</v>
      </c>
      <c r="U1797" s="200">
        <f t="shared" si="9072"/>
        <v>0</v>
      </c>
      <c r="V1797" s="200">
        <f t="shared" si="9072"/>
        <v>0</v>
      </c>
      <c r="W1797" s="200">
        <f t="shared" si="9072"/>
        <v>0</v>
      </c>
      <c r="X1797" s="200">
        <f t="shared" si="9072"/>
        <v>0</v>
      </c>
      <c r="Y1797" s="200">
        <f t="shared" si="9072"/>
        <v>0</v>
      </c>
      <c r="Z1797" s="200">
        <f t="shared" si="9072"/>
        <v>0</v>
      </c>
      <c r="AA1797" s="200">
        <f t="shared" si="9072"/>
        <v>0</v>
      </c>
      <c r="AB1797" s="200">
        <f t="shared" si="9072"/>
        <v>0</v>
      </c>
      <c r="AC1797" s="200">
        <f t="shared" si="9072"/>
        <v>0</v>
      </c>
      <c r="AD1797" s="222">
        <f t="shared" si="11"/>
        <v>0</v>
      </c>
      <c r="AE1797" s="200">
        <f t="shared" ref="AE1797:AG1797" si="9073">countif($D1797,"*"&amp;AE$2&amp;"*")</f>
        <v>0</v>
      </c>
      <c r="AF1797" s="200">
        <f t="shared" si="9073"/>
        <v>0</v>
      </c>
      <c r="AG1797" s="200">
        <f t="shared" si="9073"/>
        <v>0</v>
      </c>
      <c r="AH1797" s="171">
        <f t="shared" si="13"/>
        <v>1</v>
      </c>
      <c r="AI1797" s="200">
        <f t="shared" si="14"/>
        <v>0</v>
      </c>
      <c r="AJ1797" s="200">
        <f t="shared" si="8963"/>
        <v>0</v>
      </c>
      <c r="AK1797" s="201">
        <f t="shared" ref="AK1797:AS1797" si="9074">countif($D1797,"*"&amp;AK$2&amp;"*")</f>
        <v>0</v>
      </c>
      <c r="AL1797" s="201">
        <f t="shared" si="9074"/>
        <v>0</v>
      </c>
      <c r="AM1797" s="201">
        <f t="shared" si="9074"/>
        <v>0</v>
      </c>
      <c r="AN1797" s="201">
        <f t="shared" si="9074"/>
        <v>0</v>
      </c>
      <c r="AO1797" s="201">
        <f t="shared" si="9074"/>
        <v>0</v>
      </c>
      <c r="AP1797" s="201">
        <f t="shared" si="9074"/>
        <v>0</v>
      </c>
      <c r="AQ1797" s="201">
        <f t="shared" si="9074"/>
        <v>0</v>
      </c>
      <c r="AR1797" s="222">
        <f t="shared" si="9074"/>
        <v>0</v>
      </c>
      <c r="AS1797" s="200">
        <f t="shared" si="9074"/>
        <v>0</v>
      </c>
      <c r="AT1797" s="223">
        <v>0.0</v>
      </c>
      <c r="AU1797" s="200">
        <f t="shared" ref="AU1797:AX1797" si="9075">countif($D1797,"*"&amp;AU$2&amp;"*")</f>
        <v>0</v>
      </c>
      <c r="AV1797" s="200">
        <f t="shared" si="9075"/>
        <v>0</v>
      </c>
      <c r="AW1797" s="200">
        <f t="shared" si="9075"/>
        <v>0</v>
      </c>
      <c r="AX1797" s="200">
        <f t="shared" si="9075"/>
        <v>0</v>
      </c>
      <c r="AY1797" s="202">
        <v>0.0</v>
      </c>
      <c r="AZ1797" s="200"/>
      <c r="BA1797" s="171" t="str">
        <f t="shared" si="18"/>
        <v/>
      </c>
      <c r="BB1797" s="171" t="str">
        <f t="shared" si="19"/>
        <v/>
      </c>
      <c r="BC1797" s="171" t="str">
        <f t="shared" si="20"/>
        <v/>
      </c>
      <c r="BD1797" s="171" t="str">
        <f t="shared" si="21"/>
        <v/>
      </c>
      <c r="BE1797" s="171" t="str">
        <f t="shared" si="22"/>
        <v>Others</v>
      </c>
      <c r="BF1797" s="171" t="str">
        <f t="shared" si="23"/>
        <v>Others</v>
      </c>
    </row>
    <row r="1798">
      <c r="A1798" s="171">
        <f t="array" ref="A1798">XLOOKUP(C1798,FSE!A:A,FSE!C:C,"XXXXX",0,1)</f>
        <v>2019</v>
      </c>
      <c r="B1798" s="213" t="s">
        <v>5676</v>
      </c>
      <c r="C1798" s="214">
        <v>452.0</v>
      </c>
      <c r="D1798" s="215" t="s">
        <v>4332</v>
      </c>
      <c r="E1798" s="197" t="str">
        <f t="array" ref="E1798">XLOOKUP(C1798,FSE!A:A,FSE!Z:Z,"XXXXX",0,1)</f>
        <v>Publicly Available (1)</v>
      </c>
      <c r="F1798" s="213" t="s">
        <v>3394</v>
      </c>
      <c r="G1798" s="163" t="str">
        <f t="array" ref="G1798">IF(B1798="ICSE",IF(COUNTIFS(B:B,B1798,C:C,C1798)=XLOOKUP(C1798,ICSE!A:A,ICSE!AA:AA,"ERROR",0,1),"OK","ERROR"),IF(B1798="FSE",IF(COUNTIFS(B:B,B1798,C:C,C1798)=XLOOKUP(C1798,FSE!A:A,FSE!AA:AA,"ERROR",0,1),"OK","ERROR")))</f>
        <v>OK</v>
      </c>
      <c r="H1798" s="199">
        <f t="shared" ref="H1798:O1798" si="9076">countif($D1798,"*"&amp;H$2&amp;"*")</f>
        <v>0</v>
      </c>
      <c r="I1798" s="200">
        <f t="shared" si="9076"/>
        <v>0</v>
      </c>
      <c r="J1798" s="200">
        <f t="shared" si="9076"/>
        <v>0</v>
      </c>
      <c r="K1798" s="200">
        <f t="shared" si="9076"/>
        <v>0</v>
      </c>
      <c r="L1798" s="200">
        <f t="shared" si="9076"/>
        <v>0</v>
      </c>
      <c r="M1798" s="200">
        <f t="shared" si="9076"/>
        <v>0</v>
      </c>
      <c r="N1798" s="200">
        <f t="shared" si="9076"/>
        <v>0</v>
      </c>
      <c r="O1798" s="200">
        <f t="shared" si="9076"/>
        <v>0</v>
      </c>
      <c r="P1798" s="200">
        <f t="shared" si="9"/>
        <v>1</v>
      </c>
      <c r="Q1798" s="200">
        <f t="shared" ref="Q1798:AC1798" si="9077">countif($D1798,"*"&amp;Q$2&amp;"*")</f>
        <v>0</v>
      </c>
      <c r="R1798" s="200">
        <f t="shared" si="9077"/>
        <v>0</v>
      </c>
      <c r="S1798" s="200">
        <f t="shared" si="9077"/>
        <v>0</v>
      </c>
      <c r="T1798" s="200">
        <f t="shared" si="9077"/>
        <v>0</v>
      </c>
      <c r="U1798" s="200">
        <f t="shared" si="9077"/>
        <v>0</v>
      </c>
      <c r="V1798" s="200">
        <f t="shared" si="9077"/>
        <v>0</v>
      </c>
      <c r="W1798" s="200">
        <f t="shared" si="9077"/>
        <v>0</v>
      </c>
      <c r="X1798" s="200">
        <f t="shared" si="9077"/>
        <v>0</v>
      </c>
      <c r="Y1798" s="200">
        <f t="shared" si="9077"/>
        <v>0</v>
      </c>
      <c r="Z1798" s="200">
        <f t="shared" si="9077"/>
        <v>0</v>
      </c>
      <c r="AA1798" s="200">
        <f t="shared" si="9077"/>
        <v>0</v>
      </c>
      <c r="AB1798" s="200">
        <f t="shared" si="9077"/>
        <v>0</v>
      </c>
      <c r="AC1798" s="200">
        <f t="shared" si="9077"/>
        <v>0</v>
      </c>
      <c r="AD1798" s="200">
        <f t="shared" si="11"/>
        <v>0</v>
      </c>
      <c r="AE1798" s="200">
        <f t="shared" ref="AE1798:AG1798" si="9078">countif($D1798,"*"&amp;AE$2&amp;"*")</f>
        <v>0</v>
      </c>
      <c r="AF1798" s="200">
        <f t="shared" si="9078"/>
        <v>0</v>
      </c>
      <c r="AG1798" s="200">
        <f t="shared" si="9078"/>
        <v>0</v>
      </c>
      <c r="AH1798" s="171">
        <f t="shared" si="13"/>
        <v>0</v>
      </c>
      <c r="AI1798" s="200">
        <f t="shared" si="14"/>
        <v>0</v>
      </c>
      <c r="AJ1798" s="200">
        <f t="shared" si="8963"/>
        <v>0</v>
      </c>
      <c r="AK1798" s="201">
        <f t="shared" ref="AK1798:AS1798" si="9079">countif($D1798,"*"&amp;AK$2&amp;"*")</f>
        <v>0</v>
      </c>
      <c r="AL1798" s="201">
        <f t="shared" si="9079"/>
        <v>0</v>
      </c>
      <c r="AM1798" s="201">
        <f t="shared" si="9079"/>
        <v>0</v>
      </c>
      <c r="AN1798" s="201">
        <f t="shared" si="9079"/>
        <v>0</v>
      </c>
      <c r="AO1798" s="201">
        <f t="shared" si="9079"/>
        <v>0</v>
      </c>
      <c r="AP1798" s="201">
        <f t="shared" si="9079"/>
        <v>0</v>
      </c>
      <c r="AQ1798" s="201">
        <f t="shared" si="9079"/>
        <v>0</v>
      </c>
      <c r="AR1798" s="200">
        <f t="shared" si="9079"/>
        <v>0</v>
      </c>
      <c r="AS1798" s="200">
        <f t="shared" si="9079"/>
        <v>0</v>
      </c>
      <c r="AT1798" s="173">
        <v>0.0</v>
      </c>
      <c r="AU1798" s="200">
        <f t="shared" ref="AU1798:AX1798" si="9080">countif($D1798,"*"&amp;AU$2&amp;"*")</f>
        <v>0</v>
      </c>
      <c r="AV1798" s="200">
        <f t="shared" si="9080"/>
        <v>1</v>
      </c>
      <c r="AW1798" s="200">
        <f t="shared" si="9080"/>
        <v>0</v>
      </c>
      <c r="AX1798" s="200">
        <f t="shared" si="9080"/>
        <v>0</v>
      </c>
      <c r="AY1798" s="202">
        <v>0.0</v>
      </c>
      <c r="AZ1798" s="200"/>
      <c r="BA1798" s="171" t="str">
        <f t="shared" si="18"/>
        <v/>
      </c>
      <c r="BB1798" s="171" t="str">
        <f t="shared" si="19"/>
        <v>Code</v>
      </c>
      <c r="BC1798" s="171" t="str">
        <f t="shared" si="20"/>
        <v/>
      </c>
      <c r="BD1798" s="171" t="str">
        <f t="shared" si="21"/>
        <v/>
      </c>
      <c r="BE1798" s="171" t="str">
        <f t="shared" si="22"/>
        <v/>
      </c>
      <c r="BF1798" s="171" t="str">
        <f t="shared" si="23"/>
        <v>Code</v>
      </c>
    </row>
    <row r="1799">
      <c r="A1799" s="171">
        <f t="array" ref="A1799">XLOOKUP(C1799,FSE!A:A,FSE!C:C,"XXXXX",0,1)</f>
        <v>2019</v>
      </c>
      <c r="B1799" s="213" t="s">
        <v>5676</v>
      </c>
      <c r="C1799" s="214">
        <v>453.0</v>
      </c>
      <c r="D1799" s="215" t="s">
        <v>4335</v>
      </c>
      <c r="E1799" s="197" t="str">
        <f t="array" ref="E1799">XLOOKUP(C1799,FSE!A:A,FSE!Z:Z,"XXXXX",0,1)</f>
        <v>Publicly Available (1)</v>
      </c>
      <c r="F1799" s="213" t="s">
        <v>3394</v>
      </c>
      <c r="G1799" s="163" t="str">
        <f t="array" ref="G1799">IF(B1799="ICSE",IF(COUNTIFS(B:B,B1799,C:C,C1799)=XLOOKUP(C1799,ICSE!A:A,ICSE!AA:AA,"ERROR",0,1),"OK","ERROR"),IF(B1799="FSE",IF(COUNTIFS(B:B,B1799,C:C,C1799)=XLOOKUP(C1799,FSE!A:A,FSE!AA:AA,"ERROR",0,1),"OK","ERROR")))</f>
        <v>OK</v>
      </c>
      <c r="H1799" s="199">
        <f t="shared" ref="H1799:O1799" si="9081">countif($D1799,"*"&amp;H$2&amp;"*")</f>
        <v>0</v>
      </c>
      <c r="I1799" s="200">
        <f t="shared" si="9081"/>
        <v>0</v>
      </c>
      <c r="J1799" s="200">
        <f t="shared" si="9081"/>
        <v>0</v>
      </c>
      <c r="K1799" s="200">
        <f t="shared" si="9081"/>
        <v>0</v>
      </c>
      <c r="L1799" s="200">
        <f t="shared" si="9081"/>
        <v>0</v>
      </c>
      <c r="M1799" s="200">
        <f t="shared" si="9081"/>
        <v>0</v>
      </c>
      <c r="N1799" s="200">
        <f t="shared" si="9081"/>
        <v>0</v>
      </c>
      <c r="O1799" s="200">
        <f t="shared" si="9081"/>
        <v>0</v>
      </c>
      <c r="P1799" s="200">
        <f t="shared" si="9"/>
        <v>1</v>
      </c>
      <c r="Q1799" s="200">
        <f t="shared" ref="Q1799:AC1799" si="9082">countif($D1799,"*"&amp;Q$2&amp;"*")</f>
        <v>0</v>
      </c>
      <c r="R1799" s="200">
        <f t="shared" si="9082"/>
        <v>0</v>
      </c>
      <c r="S1799" s="200">
        <f t="shared" si="9082"/>
        <v>0</v>
      </c>
      <c r="T1799" s="200">
        <f t="shared" si="9082"/>
        <v>0</v>
      </c>
      <c r="U1799" s="200">
        <f t="shared" si="9082"/>
        <v>0</v>
      </c>
      <c r="V1799" s="200">
        <f t="shared" si="9082"/>
        <v>0</v>
      </c>
      <c r="W1799" s="200">
        <f t="shared" si="9082"/>
        <v>0</v>
      </c>
      <c r="X1799" s="200">
        <f t="shared" si="9082"/>
        <v>0</v>
      </c>
      <c r="Y1799" s="200">
        <f t="shared" si="9082"/>
        <v>0</v>
      </c>
      <c r="Z1799" s="200">
        <f t="shared" si="9082"/>
        <v>0</v>
      </c>
      <c r="AA1799" s="200">
        <f t="shared" si="9082"/>
        <v>0</v>
      </c>
      <c r="AB1799" s="200">
        <f t="shared" si="9082"/>
        <v>0</v>
      </c>
      <c r="AC1799" s="200">
        <f t="shared" si="9082"/>
        <v>0</v>
      </c>
      <c r="AD1799" s="200">
        <f t="shared" si="11"/>
        <v>0</v>
      </c>
      <c r="AE1799" s="200">
        <f t="shared" ref="AE1799:AG1799" si="9083">countif($D1799,"*"&amp;AE$2&amp;"*")</f>
        <v>0</v>
      </c>
      <c r="AF1799" s="200">
        <f t="shared" si="9083"/>
        <v>0</v>
      </c>
      <c r="AG1799" s="200">
        <f t="shared" si="9083"/>
        <v>0</v>
      </c>
      <c r="AH1799" s="171">
        <f t="shared" si="13"/>
        <v>0</v>
      </c>
      <c r="AI1799" s="200">
        <f t="shared" si="14"/>
        <v>0</v>
      </c>
      <c r="AJ1799" s="200">
        <f t="shared" si="8963"/>
        <v>0</v>
      </c>
      <c r="AK1799" s="201">
        <f t="shared" ref="AK1799:AS1799" si="9084">countif($D1799,"*"&amp;AK$2&amp;"*")</f>
        <v>0</v>
      </c>
      <c r="AL1799" s="201">
        <f t="shared" si="9084"/>
        <v>0</v>
      </c>
      <c r="AM1799" s="201">
        <f t="shared" si="9084"/>
        <v>0</v>
      </c>
      <c r="AN1799" s="201">
        <f t="shared" si="9084"/>
        <v>0</v>
      </c>
      <c r="AO1799" s="201">
        <f t="shared" si="9084"/>
        <v>0</v>
      </c>
      <c r="AP1799" s="201">
        <f t="shared" si="9084"/>
        <v>0</v>
      </c>
      <c r="AQ1799" s="201">
        <f t="shared" si="9084"/>
        <v>0</v>
      </c>
      <c r="AR1799" s="200">
        <f t="shared" si="9084"/>
        <v>0</v>
      </c>
      <c r="AS1799" s="200">
        <f t="shared" si="9084"/>
        <v>0</v>
      </c>
      <c r="AT1799" s="173">
        <v>0.0</v>
      </c>
      <c r="AU1799" s="200">
        <f t="shared" ref="AU1799:AX1799" si="9085">countif($D1799,"*"&amp;AU$2&amp;"*")</f>
        <v>0</v>
      </c>
      <c r="AV1799" s="200">
        <f t="shared" si="9085"/>
        <v>1</v>
      </c>
      <c r="AW1799" s="200">
        <f t="shared" si="9085"/>
        <v>0</v>
      </c>
      <c r="AX1799" s="200">
        <f t="shared" si="9085"/>
        <v>0</v>
      </c>
      <c r="AY1799" s="202">
        <v>0.0</v>
      </c>
      <c r="AZ1799" s="200"/>
      <c r="BA1799" s="171" t="str">
        <f t="shared" si="18"/>
        <v/>
      </c>
      <c r="BB1799" s="171" t="str">
        <f t="shared" si="19"/>
        <v>Code</v>
      </c>
      <c r="BC1799" s="171" t="str">
        <f t="shared" si="20"/>
        <v/>
      </c>
      <c r="BD1799" s="171" t="str">
        <f t="shared" si="21"/>
        <v/>
      </c>
      <c r="BE1799" s="171" t="str">
        <f t="shared" si="22"/>
        <v/>
      </c>
      <c r="BF1799" s="171" t="str">
        <f t="shared" si="23"/>
        <v>Code</v>
      </c>
    </row>
    <row r="1800">
      <c r="A1800" s="171">
        <f t="array" ref="A1800">XLOOKUP(C1800,FSE!A:A,FSE!C:C,"XXXXX",0,1)</f>
        <v>2019</v>
      </c>
      <c r="B1800" s="213" t="s">
        <v>5676</v>
      </c>
      <c r="C1800" s="214">
        <v>454.0</v>
      </c>
      <c r="D1800" s="215" t="s">
        <v>4338</v>
      </c>
      <c r="E1800" s="197" t="str">
        <f t="array" ref="E1800">XLOOKUP(C1800,FSE!A:A,FSE!Z:Z,"XXXXX",0,1)</f>
        <v>Publicly Available (1)</v>
      </c>
      <c r="F1800" s="213" t="s">
        <v>3394</v>
      </c>
      <c r="G1800" s="163" t="str">
        <f t="array" ref="G1800">IF(B1800="ICSE",IF(COUNTIFS(B:B,B1800,C:C,C1800)=XLOOKUP(C1800,ICSE!A:A,ICSE!AA:AA,"ERROR",0,1),"OK","ERROR"),IF(B1800="FSE",IF(COUNTIFS(B:B,B1800,C:C,C1800)=XLOOKUP(C1800,FSE!A:A,FSE!AA:AA,"ERROR",0,1),"OK","ERROR")))</f>
        <v>OK</v>
      </c>
      <c r="H1800" s="199">
        <f t="shared" ref="H1800:O1800" si="9086">countif($D1800,"*"&amp;H$2&amp;"*")</f>
        <v>1</v>
      </c>
      <c r="I1800" s="200">
        <f t="shared" si="9086"/>
        <v>0</v>
      </c>
      <c r="J1800" s="200">
        <f t="shared" si="9086"/>
        <v>0</v>
      </c>
      <c r="K1800" s="200">
        <f t="shared" si="9086"/>
        <v>0</v>
      </c>
      <c r="L1800" s="200">
        <f t="shared" si="9086"/>
        <v>0</v>
      </c>
      <c r="M1800" s="200">
        <f t="shared" si="9086"/>
        <v>0</v>
      </c>
      <c r="N1800" s="200">
        <f t="shared" si="9086"/>
        <v>0</v>
      </c>
      <c r="O1800" s="200">
        <f t="shared" si="9086"/>
        <v>0</v>
      </c>
      <c r="P1800" s="200">
        <f t="shared" si="9"/>
        <v>0</v>
      </c>
      <c r="Q1800" s="200">
        <f t="shared" ref="Q1800:AC1800" si="9087">countif($D1800,"*"&amp;Q$2&amp;"*")</f>
        <v>0</v>
      </c>
      <c r="R1800" s="200">
        <f t="shared" si="9087"/>
        <v>0</v>
      </c>
      <c r="S1800" s="200">
        <f t="shared" si="9087"/>
        <v>0</v>
      </c>
      <c r="T1800" s="200">
        <f t="shared" si="9087"/>
        <v>0</v>
      </c>
      <c r="U1800" s="200">
        <f t="shared" si="9087"/>
        <v>0</v>
      </c>
      <c r="V1800" s="200">
        <f t="shared" si="9087"/>
        <v>0</v>
      </c>
      <c r="W1800" s="200">
        <f t="shared" si="9087"/>
        <v>0</v>
      </c>
      <c r="X1800" s="200">
        <f t="shared" si="9087"/>
        <v>0</v>
      </c>
      <c r="Y1800" s="200">
        <f t="shared" si="9087"/>
        <v>0</v>
      </c>
      <c r="Z1800" s="200">
        <f t="shared" si="9087"/>
        <v>0</v>
      </c>
      <c r="AA1800" s="200">
        <f t="shared" si="9087"/>
        <v>0</v>
      </c>
      <c r="AB1800" s="200">
        <f t="shared" si="9087"/>
        <v>0</v>
      </c>
      <c r="AC1800" s="200">
        <f t="shared" si="9087"/>
        <v>0</v>
      </c>
      <c r="AD1800" s="200">
        <f t="shared" si="11"/>
        <v>0</v>
      </c>
      <c r="AE1800" s="200">
        <f t="shared" ref="AE1800:AG1800" si="9088">countif($D1800,"*"&amp;AE$2&amp;"*")</f>
        <v>0</v>
      </c>
      <c r="AF1800" s="200">
        <f t="shared" si="9088"/>
        <v>0</v>
      </c>
      <c r="AG1800" s="200">
        <f t="shared" si="9088"/>
        <v>0</v>
      </c>
      <c r="AH1800" s="171">
        <f t="shared" si="13"/>
        <v>0</v>
      </c>
      <c r="AI1800" s="200">
        <f t="shared" si="14"/>
        <v>1</v>
      </c>
      <c r="AJ1800" s="200">
        <f t="shared" si="8963"/>
        <v>0</v>
      </c>
      <c r="AK1800" s="201">
        <f t="shared" ref="AK1800:AS1800" si="9089">countif($D1800,"*"&amp;AK$2&amp;"*")</f>
        <v>0</v>
      </c>
      <c r="AL1800" s="201">
        <f t="shared" si="9089"/>
        <v>0</v>
      </c>
      <c r="AM1800" s="201">
        <f t="shared" si="9089"/>
        <v>0</v>
      </c>
      <c r="AN1800" s="201">
        <f t="shared" si="9089"/>
        <v>0</v>
      </c>
      <c r="AO1800" s="201">
        <f t="shared" si="9089"/>
        <v>0</v>
      </c>
      <c r="AP1800" s="201">
        <f t="shared" si="9089"/>
        <v>0</v>
      </c>
      <c r="AQ1800" s="201">
        <f t="shared" si="9089"/>
        <v>0</v>
      </c>
      <c r="AR1800" s="200">
        <f t="shared" si="9089"/>
        <v>0</v>
      </c>
      <c r="AS1800" s="200">
        <f t="shared" si="9089"/>
        <v>0</v>
      </c>
      <c r="AT1800" s="173">
        <v>0.0</v>
      </c>
      <c r="AU1800" s="200">
        <f t="shared" ref="AU1800:AX1800" si="9090">countif($D1800,"*"&amp;AU$2&amp;"*")</f>
        <v>0</v>
      </c>
      <c r="AV1800" s="200">
        <f t="shared" si="9090"/>
        <v>0</v>
      </c>
      <c r="AW1800" s="200">
        <f t="shared" si="9090"/>
        <v>0</v>
      </c>
      <c r="AX1800" s="200">
        <f t="shared" si="9090"/>
        <v>1</v>
      </c>
      <c r="AY1800" s="202">
        <v>0.0</v>
      </c>
      <c r="AZ1800" s="200"/>
      <c r="BA1800" s="171" t="str">
        <f t="shared" si="18"/>
        <v>Archival</v>
      </c>
      <c r="BB1800" s="171" t="str">
        <f t="shared" si="19"/>
        <v/>
      </c>
      <c r="BC1800" s="171" t="str">
        <f t="shared" si="20"/>
        <v/>
      </c>
      <c r="BD1800" s="171" t="str">
        <f t="shared" si="21"/>
        <v/>
      </c>
      <c r="BE1800" s="171" t="str">
        <f t="shared" si="22"/>
        <v/>
      </c>
      <c r="BF1800" s="171" t="str">
        <f t="shared" si="23"/>
        <v>Archival</v>
      </c>
    </row>
    <row r="1801">
      <c r="A1801" s="171">
        <f t="array" ref="A1801">XLOOKUP(C1801,FSE!A:A,FSE!C:C,"XXXXX",0,1)</f>
        <v>2019</v>
      </c>
      <c r="B1801" s="213" t="s">
        <v>5676</v>
      </c>
      <c r="C1801" s="214">
        <v>455.0</v>
      </c>
      <c r="D1801" s="215" t="s">
        <v>4341</v>
      </c>
      <c r="E1801" s="197" t="str">
        <f t="array" ref="E1801">XLOOKUP(C1801,FSE!A:A,FSE!Z:Z,"XXXXX",0,1)</f>
        <v>Publicly Available (1)</v>
      </c>
      <c r="F1801" s="213" t="s">
        <v>3394</v>
      </c>
      <c r="G1801" s="163" t="str">
        <f t="array" ref="G1801">IF(B1801="ICSE",IF(COUNTIFS(B:B,B1801,C:C,C1801)=XLOOKUP(C1801,ICSE!A:A,ICSE!AA:AA,"ERROR",0,1),"OK","ERROR"),IF(B1801="FSE",IF(COUNTIFS(B:B,B1801,C:C,C1801)=XLOOKUP(C1801,FSE!A:A,FSE!AA:AA,"ERROR",0,1),"OK","ERROR")))</f>
        <v>OK</v>
      </c>
      <c r="H1801" s="199">
        <f t="shared" ref="H1801:O1801" si="9091">countif($D1801,"*"&amp;H$2&amp;"*")</f>
        <v>1</v>
      </c>
      <c r="I1801" s="200">
        <f t="shared" si="9091"/>
        <v>0</v>
      </c>
      <c r="J1801" s="200">
        <f t="shared" si="9091"/>
        <v>0</v>
      </c>
      <c r="K1801" s="200">
        <f t="shared" si="9091"/>
        <v>0</v>
      </c>
      <c r="L1801" s="200">
        <f t="shared" si="9091"/>
        <v>0</v>
      </c>
      <c r="M1801" s="200">
        <f t="shared" si="9091"/>
        <v>0</v>
      </c>
      <c r="N1801" s="200">
        <f t="shared" si="9091"/>
        <v>0</v>
      </c>
      <c r="O1801" s="200">
        <f t="shared" si="9091"/>
        <v>0</v>
      </c>
      <c r="P1801" s="200">
        <f t="shared" si="9"/>
        <v>0</v>
      </c>
      <c r="Q1801" s="200">
        <f t="shared" ref="Q1801:AC1801" si="9092">countif($D1801,"*"&amp;Q$2&amp;"*")</f>
        <v>0</v>
      </c>
      <c r="R1801" s="200">
        <f t="shared" si="9092"/>
        <v>0</v>
      </c>
      <c r="S1801" s="200">
        <f t="shared" si="9092"/>
        <v>0</v>
      </c>
      <c r="T1801" s="200">
        <f t="shared" si="9092"/>
        <v>0</v>
      </c>
      <c r="U1801" s="200">
        <f t="shared" si="9092"/>
        <v>0</v>
      </c>
      <c r="V1801" s="200">
        <f t="shared" si="9092"/>
        <v>0</v>
      </c>
      <c r="W1801" s="200">
        <f t="shared" si="9092"/>
        <v>0</v>
      </c>
      <c r="X1801" s="200">
        <f t="shared" si="9092"/>
        <v>0</v>
      </c>
      <c r="Y1801" s="200">
        <f t="shared" si="9092"/>
        <v>0</v>
      </c>
      <c r="Z1801" s="200">
        <f t="shared" si="9092"/>
        <v>0</v>
      </c>
      <c r="AA1801" s="200">
        <f t="shared" si="9092"/>
        <v>0</v>
      </c>
      <c r="AB1801" s="200">
        <f t="shared" si="9092"/>
        <v>0</v>
      </c>
      <c r="AC1801" s="200">
        <f t="shared" si="9092"/>
        <v>0</v>
      </c>
      <c r="AD1801" s="200">
        <f t="shared" si="11"/>
        <v>0</v>
      </c>
      <c r="AE1801" s="200">
        <f t="shared" ref="AE1801:AG1801" si="9093">countif($D1801,"*"&amp;AE$2&amp;"*")</f>
        <v>0</v>
      </c>
      <c r="AF1801" s="200">
        <f t="shared" si="9093"/>
        <v>0</v>
      </c>
      <c r="AG1801" s="200">
        <f t="shared" si="9093"/>
        <v>0</v>
      </c>
      <c r="AH1801" s="171">
        <f t="shared" si="13"/>
        <v>0</v>
      </c>
      <c r="AI1801" s="200">
        <f t="shared" si="14"/>
        <v>1</v>
      </c>
      <c r="AJ1801" s="200">
        <f t="shared" si="8963"/>
        <v>0</v>
      </c>
      <c r="AK1801" s="201">
        <f t="shared" ref="AK1801:AS1801" si="9094">countif($D1801,"*"&amp;AK$2&amp;"*")</f>
        <v>0</v>
      </c>
      <c r="AL1801" s="201">
        <f t="shared" si="9094"/>
        <v>0</v>
      </c>
      <c r="AM1801" s="201">
        <f t="shared" si="9094"/>
        <v>0</v>
      </c>
      <c r="AN1801" s="201">
        <f t="shared" si="9094"/>
        <v>0</v>
      </c>
      <c r="AO1801" s="201">
        <f t="shared" si="9094"/>
        <v>0</v>
      </c>
      <c r="AP1801" s="201">
        <f t="shared" si="9094"/>
        <v>0</v>
      </c>
      <c r="AQ1801" s="201">
        <f t="shared" si="9094"/>
        <v>0</v>
      </c>
      <c r="AR1801" s="200">
        <f t="shared" si="9094"/>
        <v>0</v>
      </c>
      <c r="AS1801" s="200">
        <f t="shared" si="9094"/>
        <v>0</v>
      </c>
      <c r="AT1801" s="173">
        <v>0.0</v>
      </c>
      <c r="AU1801" s="200">
        <f t="shared" ref="AU1801:AX1801" si="9095">countif($D1801,"*"&amp;AU$2&amp;"*")</f>
        <v>0</v>
      </c>
      <c r="AV1801" s="200">
        <f t="shared" si="9095"/>
        <v>0</v>
      </c>
      <c r="AW1801" s="200">
        <f t="shared" si="9095"/>
        <v>0</v>
      </c>
      <c r="AX1801" s="200">
        <f t="shared" si="9095"/>
        <v>1</v>
      </c>
      <c r="AY1801" s="202">
        <v>0.0</v>
      </c>
      <c r="AZ1801" s="200"/>
      <c r="BA1801" s="171" t="str">
        <f t="shared" si="18"/>
        <v>Archival</v>
      </c>
      <c r="BB1801" s="171" t="str">
        <f t="shared" si="19"/>
        <v/>
      </c>
      <c r="BC1801" s="171" t="str">
        <f t="shared" si="20"/>
        <v/>
      </c>
      <c r="BD1801" s="171" t="str">
        <f t="shared" si="21"/>
        <v/>
      </c>
      <c r="BE1801" s="171" t="str">
        <f t="shared" si="22"/>
        <v/>
      </c>
      <c r="BF1801" s="171" t="str">
        <f t="shared" si="23"/>
        <v>Archival</v>
      </c>
    </row>
    <row r="1802">
      <c r="A1802" s="171">
        <f t="array" ref="A1802">XLOOKUP(C1802,FSE!A:A,FSE!C:C,"XXXXX",0,1)</f>
        <v>2019</v>
      </c>
      <c r="B1802" s="213" t="s">
        <v>5676</v>
      </c>
      <c r="C1802" s="214">
        <v>456.0</v>
      </c>
      <c r="D1802" s="215" t="s">
        <v>4344</v>
      </c>
      <c r="E1802" s="197" t="str">
        <f t="array" ref="E1802">XLOOKUP(C1802,FSE!A:A,FSE!Z:Z,"XXXXX",0,1)</f>
        <v>Publicly Available (1)</v>
      </c>
      <c r="F1802" s="213" t="s">
        <v>3394</v>
      </c>
      <c r="G1802" s="163" t="str">
        <f t="array" ref="G1802">IF(B1802="ICSE",IF(COUNTIFS(B:B,B1802,C:C,C1802)=XLOOKUP(C1802,ICSE!A:A,ICSE!AA:AA,"ERROR",0,1),"OK","ERROR"),IF(B1802="FSE",IF(COUNTIFS(B:B,B1802,C:C,C1802)=XLOOKUP(C1802,FSE!A:A,FSE!AA:AA,"ERROR",0,1),"OK","ERROR")))</f>
        <v>OK</v>
      </c>
      <c r="H1802" s="199">
        <f t="shared" ref="H1802:O1802" si="9096">countif($D1802,"*"&amp;H$2&amp;"*")</f>
        <v>0</v>
      </c>
      <c r="I1802" s="200">
        <f t="shared" si="9096"/>
        <v>0</v>
      </c>
      <c r="J1802" s="200">
        <f t="shared" si="9096"/>
        <v>0</v>
      </c>
      <c r="K1802" s="200">
        <f t="shared" si="9096"/>
        <v>0</v>
      </c>
      <c r="L1802" s="200">
        <f t="shared" si="9096"/>
        <v>0</v>
      </c>
      <c r="M1802" s="200">
        <f t="shared" si="9096"/>
        <v>0</v>
      </c>
      <c r="N1802" s="200">
        <f t="shared" si="9096"/>
        <v>0</v>
      </c>
      <c r="O1802" s="200">
        <f t="shared" si="9096"/>
        <v>0</v>
      </c>
      <c r="P1802" s="200">
        <f t="shared" si="9"/>
        <v>1</v>
      </c>
      <c r="Q1802" s="200">
        <f t="shared" ref="Q1802:AC1802" si="9097">countif($D1802,"*"&amp;Q$2&amp;"*")</f>
        <v>0</v>
      </c>
      <c r="R1802" s="200">
        <f t="shared" si="9097"/>
        <v>0</v>
      </c>
      <c r="S1802" s="200">
        <f t="shared" si="9097"/>
        <v>0</v>
      </c>
      <c r="T1802" s="200">
        <f t="shared" si="9097"/>
        <v>0</v>
      </c>
      <c r="U1802" s="200">
        <f t="shared" si="9097"/>
        <v>0</v>
      </c>
      <c r="V1802" s="200">
        <f t="shared" si="9097"/>
        <v>0</v>
      </c>
      <c r="W1802" s="200">
        <f t="shared" si="9097"/>
        <v>0</v>
      </c>
      <c r="X1802" s="200">
        <f t="shared" si="9097"/>
        <v>0</v>
      </c>
      <c r="Y1802" s="200">
        <f t="shared" si="9097"/>
        <v>0</v>
      </c>
      <c r="Z1802" s="200">
        <f t="shared" si="9097"/>
        <v>0</v>
      </c>
      <c r="AA1802" s="200">
        <f t="shared" si="9097"/>
        <v>0</v>
      </c>
      <c r="AB1802" s="200">
        <f t="shared" si="9097"/>
        <v>0</v>
      </c>
      <c r="AC1802" s="200">
        <f t="shared" si="9097"/>
        <v>0</v>
      </c>
      <c r="AD1802" s="200">
        <f t="shared" si="11"/>
        <v>0</v>
      </c>
      <c r="AE1802" s="200">
        <f t="shared" ref="AE1802:AG1802" si="9098">countif($D1802,"*"&amp;AE$2&amp;"*")</f>
        <v>0</v>
      </c>
      <c r="AF1802" s="200">
        <f t="shared" si="9098"/>
        <v>0</v>
      </c>
      <c r="AG1802" s="200">
        <f t="shared" si="9098"/>
        <v>0</v>
      </c>
      <c r="AH1802" s="171">
        <f t="shared" si="13"/>
        <v>0</v>
      </c>
      <c r="AI1802" s="200">
        <f t="shared" si="14"/>
        <v>0</v>
      </c>
      <c r="AJ1802" s="200">
        <f t="shared" si="8963"/>
        <v>0</v>
      </c>
      <c r="AK1802" s="201">
        <f t="shared" ref="AK1802:AS1802" si="9099">countif($D1802,"*"&amp;AK$2&amp;"*")</f>
        <v>0</v>
      </c>
      <c r="AL1802" s="201">
        <f t="shared" si="9099"/>
        <v>0</v>
      </c>
      <c r="AM1802" s="201">
        <f t="shared" si="9099"/>
        <v>0</v>
      </c>
      <c r="AN1802" s="201">
        <f t="shared" si="9099"/>
        <v>0</v>
      </c>
      <c r="AO1802" s="201">
        <f t="shared" si="9099"/>
        <v>0</v>
      </c>
      <c r="AP1802" s="201">
        <f t="shared" si="9099"/>
        <v>0</v>
      </c>
      <c r="AQ1802" s="201">
        <f t="shared" si="9099"/>
        <v>0</v>
      </c>
      <c r="AR1802" s="200">
        <f t="shared" si="9099"/>
        <v>0</v>
      </c>
      <c r="AS1802" s="200">
        <f t="shared" si="9099"/>
        <v>0</v>
      </c>
      <c r="AT1802" s="173">
        <v>0.0</v>
      </c>
      <c r="AU1802" s="200">
        <f t="shared" ref="AU1802:AX1802" si="9100">countif($D1802,"*"&amp;AU$2&amp;"*")</f>
        <v>0</v>
      </c>
      <c r="AV1802" s="200">
        <f t="shared" si="9100"/>
        <v>1</v>
      </c>
      <c r="AW1802" s="200">
        <f t="shared" si="9100"/>
        <v>0</v>
      </c>
      <c r="AX1802" s="200">
        <f t="shared" si="9100"/>
        <v>0</v>
      </c>
      <c r="AY1802" s="202">
        <v>0.0</v>
      </c>
      <c r="AZ1802" s="200"/>
      <c r="BA1802" s="171" t="str">
        <f t="shared" si="18"/>
        <v/>
      </c>
      <c r="BB1802" s="171" t="str">
        <f t="shared" si="19"/>
        <v>Code</v>
      </c>
      <c r="BC1802" s="171" t="str">
        <f t="shared" si="20"/>
        <v/>
      </c>
      <c r="BD1802" s="171" t="str">
        <f t="shared" si="21"/>
        <v/>
      </c>
      <c r="BE1802" s="171" t="str">
        <f t="shared" si="22"/>
        <v/>
      </c>
      <c r="BF1802" s="171" t="str">
        <f t="shared" si="23"/>
        <v>Code</v>
      </c>
    </row>
    <row r="1803">
      <c r="A1803" s="171">
        <f t="array" ref="A1803">XLOOKUP(C1803,FSE!A:A,FSE!C:C,"XXXXX",0,1)</f>
        <v>2019</v>
      </c>
      <c r="B1803" s="213" t="s">
        <v>5676</v>
      </c>
      <c r="C1803" s="219">
        <v>457.0</v>
      </c>
      <c r="D1803" s="217" t="s">
        <v>6446</v>
      </c>
      <c r="E1803" s="197" t="str">
        <f t="array" ref="E1803">XLOOKUP(C1803,FSE!A:A,FSE!Z:Z,"XXXXX",0,1)</f>
        <v>Publicly Available (9)</v>
      </c>
      <c r="F1803" s="213" t="s">
        <v>3394</v>
      </c>
      <c r="G1803" s="163" t="str">
        <f t="array" ref="G1803">IF(B1803="ICSE",IF(COUNTIFS(B:B,B1803,C:C,C1803)=XLOOKUP(C1803,ICSE!A:A,ICSE!AA:AA,"ERROR",0,1),"OK","ERROR"),IF(B1803="FSE",IF(COUNTIFS(B:B,B1803,C:C,C1803)=XLOOKUP(C1803,FSE!A:A,FSE!AA:AA,"ERROR",0,1),"OK","ERROR")))</f>
        <v>OK</v>
      </c>
      <c r="H1803" s="199">
        <f t="shared" ref="H1803:O1803" si="9101">countif($D1803,"*"&amp;H$2&amp;"*")</f>
        <v>0</v>
      </c>
      <c r="I1803" s="200">
        <f t="shared" si="9101"/>
        <v>0</v>
      </c>
      <c r="J1803" s="200">
        <f t="shared" si="9101"/>
        <v>0</v>
      </c>
      <c r="K1803" s="200">
        <f t="shared" si="9101"/>
        <v>0</v>
      </c>
      <c r="L1803" s="200">
        <f t="shared" si="9101"/>
        <v>0</v>
      </c>
      <c r="M1803" s="200">
        <f t="shared" si="9101"/>
        <v>0</v>
      </c>
      <c r="N1803" s="200">
        <f t="shared" si="9101"/>
        <v>0</v>
      </c>
      <c r="O1803" s="200">
        <f t="shared" si="9101"/>
        <v>0</v>
      </c>
      <c r="P1803" s="200">
        <f t="shared" si="9"/>
        <v>1</v>
      </c>
      <c r="Q1803" s="200">
        <f t="shared" ref="Q1803:AC1803" si="9102">countif($D1803,"*"&amp;Q$2&amp;"*")</f>
        <v>0</v>
      </c>
      <c r="R1803" s="200">
        <f t="shared" si="9102"/>
        <v>0</v>
      </c>
      <c r="S1803" s="200">
        <f t="shared" si="9102"/>
        <v>0</v>
      </c>
      <c r="T1803" s="200">
        <f t="shared" si="9102"/>
        <v>0</v>
      </c>
      <c r="U1803" s="200">
        <f t="shared" si="9102"/>
        <v>0</v>
      </c>
      <c r="V1803" s="200">
        <f t="shared" si="9102"/>
        <v>0</v>
      </c>
      <c r="W1803" s="200">
        <f t="shared" si="9102"/>
        <v>0</v>
      </c>
      <c r="X1803" s="200">
        <f t="shared" si="9102"/>
        <v>0</v>
      </c>
      <c r="Y1803" s="200">
        <f t="shared" si="9102"/>
        <v>0</v>
      </c>
      <c r="Z1803" s="200">
        <f t="shared" si="9102"/>
        <v>0</v>
      </c>
      <c r="AA1803" s="200">
        <f t="shared" si="9102"/>
        <v>0</v>
      </c>
      <c r="AB1803" s="200">
        <f t="shared" si="9102"/>
        <v>0</v>
      </c>
      <c r="AC1803" s="200">
        <f t="shared" si="9102"/>
        <v>0</v>
      </c>
      <c r="AD1803" s="200">
        <f t="shared" si="11"/>
        <v>0</v>
      </c>
      <c r="AE1803" s="200">
        <f t="shared" ref="AE1803:AG1803" si="9103">countif($D1803,"*"&amp;AE$2&amp;"*")</f>
        <v>0</v>
      </c>
      <c r="AF1803" s="200">
        <f t="shared" si="9103"/>
        <v>0</v>
      </c>
      <c r="AG1803" s="200">
        <f t="shared" si="9103"/>
        <v>0</v>
      </c>
      <c r="AH1803" s="171">
        <f t="shared" si="13"/>
        <v>0</v>
      </c>
      <c r="AI1803" s="200">
        <f t="shared" si="14"/>
        <v>0</v>
      </c>
      <c r="AJ1803" s="200">
        <f t="shared" si="8963"/>
        <v>0</v>
      </c>
      <c r="AK1803" s="201">
        <f t="shared" ref="AK1803:AS1803" si="9104">countif($D1803,"*"&amp;AK$2&amp;"*")</f>
        <v>0</v>
      </c>
      <c r="AL1803" s="201">
        <f t="shared" si="9104"/>
        <v>0</v>
      </c>
      <c r="AM1803" s="201">
        <f t="shared" si="9104"/>
        <v>0</v>
      </c>
      <c r="AN1803" s="201">
        <f t="shared" si="9104"/>
        <v>0</v>
      </c>
      <c r="AO1803" s="201">
        <f t="shared" si="9104"/>
        <v>0</v>
      </c>
      <c r="AP1803" s="201">
        <f t="shared" si="9104"/>
        <v>0</v>
      </c>
      <c r="AQ1803" s="201">
        <f t="shared" si="9104"/>
        <v>0</v>
      </c>
      <c r="AR1803" s="200">
        <f t="shared" si="9104"/>
        <v>0</v>
      </c>
      <c r="AS1803" s="200">
        <f t="shared" si="9104"/>
        <v>0</v>
      </c>
      <c r="AT1803" s="173">
        <v>0.0</v>
      </c>
      <c r="AU1803" s="200">
        <f t="shared" ref="AU1803:AX1803" si="9105">countif($D1803,"*"&amp;AU$2&amp;"*")</f>
        <v>0</v>
      </c>
      <c r="AV1803" s="200">
        <f t="shared" si="9105"/>
        <v>1</v>
      </c>
      <c r="AW1803" s="200">
        <f t="shared" si="9105"/>
        <v>0</v>
      </c>
      <c r="AX1803" s="200">
        <f t="shared" si="9105"/>
        <v>0</v>
      </c>
      <c r="AY1803" s="202">
        <v>0.0</v>
      </c>
      <c r="AZ1803" s="200"/>
      <c r="BA1803" s="171" t="str">
        <f t="shared" si="18"/>
        <v/>
      </c>
      <c r="BB1803" s="171" t="str">
        <f t="shared" si="19"/>
        <v>Code</v>
      </c>
      <c r="BC1803" s="171" t="str">
        <f t="shared" si="20"/>
        <v/>
      </c>
      <c r="BD1803" s="171" t="str">
        <f t="shared" si="21"/>
        <v/>
      </c>
      <c r="BE1803" s="171" t="str">
        <f t="shared" si="22"/>
        <v/>
      </c>
      <c r="BF1803" s="171" t="str">
        <f t="shared" si="23"/>
        <v>Code</v>
      </c>
    </row>
    <row r="1804">
      <c r="A1804" s="171">
        <f t="array" ref="A1804">XLOOKUP(C1804,FSE!A:A,FSE!C:C,"XXXXX",0,1)</f>
        <v>2019</v>
      </c>
      <c r="B1804" s="213" t="s">
        <v>5676</v>
      </c>
      <c r="C1804" s="214">
        <v>457.0</v>
      </c>
      <c r="D1804" s="215" t="s">
        <v>6447</v>
      </c>
      <c r="E1804" s="197" t="str">
        <f t="array" ref="E1804">XLOOKUP(C1804,FSE!A:A,FSE!Z:Z,"XXXXX",0,1)</f>
        <v>Publicly Available (9)</v>
      </c>
      <c r="F1804" s="213" t="s">
        <v>3394</v>
      </c>
      <c r="G1804" s="163" t="str">
        <f t="array" ref="G1804">IF(B1804="ICSE",IF(COUNTIFS(B:B,B1804,C:C,C1804)=XLOOKUP(C1804,ICSE!A:A,ICSE!AA:AA,"ERROR",0,1),"OK","ERROR"),IF(B1804="FSE",IF(COUNTIFS(B:B,B1804,C:C,C1804)=XLOOKUP(C1804,FSE!A:A,FSE!AA:AA,"ERROR",0,1),"OK","ERROR")))</f>
        <v>OK</v>
      </c>
      <c r="H1804" s="199">
        <f t="shared" ref="H1804:O1804" si="9106">countif($D1804,"*"&amp;H$2&amp;"*")</f>
        <v>0</v>
      </c>
      <c r="I1804" s="200">
        <f t="shared" si="9106"/>
        <v>0</v>
      </c>
      <c r="J1804" s="200">
        <f t="shared" si="9106"/>
        <v>0</v>
      </c>
      <c r="K1804" s="200">
        <f t="shared" si="9106"/>
        <v>0</v>
      </c>
      <c r="L1804" s="200">
        <f t="shared" si="9106"/>
        <v>0</v>
      </c>
      <c r="M1804" s="200">
        <f t="shared" si="9106"/>
        <v>0</v>
      </c>
      <c r="N1804" s="200">
        <f t="shared" si="9106"/>
        <v>0</v>
      </c>
      <c r="O1804" s="200">
        <f t="shared" si="9106"/>
        <v>0</v>
      </c>
      <c r="P1804" s="200">
        <f t="shared" si="9"/>
        <v>1</v>
      </c>
      <c r="Q1804" s="200">
        <f t="shared" ref="Q1804:AC1804" si="9107">countif($D1804,"*"&amp;Q$2&amp;"*")</f>
        <v>0</v>
      </c>
      <c r="R1804" s="200">
        <f t="shared" si="9107"/>
        <v>0</v>
      </c>
      <c r="S1804" s="200">
        <f t="shared" si="9107"/>
        <v>0</v>
      </c>
      <c r="T1804" s="200">
        <f t="shared" si="9107"/>
        <v>0</v>
      </c>
      <c r="U1804" s="200">
        <f t="shared" si="9107"/>
        <v>0</v>
      </c>
      <c r="V1804" s="200">
        <f t="shared" si="9107"/>
        <v>0</v>
      </c>
      <c r="W1804" s="200">
        <f t="shared" si="9107"/>
        <v>0</v>
      </c>
      <c r="X1804" s="200">
        <f t="shared" si="9107"/>
        <v>0</v>
      </c>
      <c r="Y1804" s="200">
        <f t="shared" si="9107"/>
        <v>0</v>
      </c>
      <c r="Z1804" s="200">
        <f t="shared" si="9107"/>
        <v>0</v>
      </c>
      <c r="AA1804" s="200">
        <f t="shared" si="9107"/>
        <v>0</v>
      </c>
      <c r="AB1804" s="200">
        <f t="shared" si="9107"/>
        <v>0</v>
      </c>
      <c r="AC1804" s="200">
        <f t="shared" si="9107"/>
        <v>0</v>
      </c>
      <c r="AD1804" s="200">
        <f t="shared" si="11"/>
        <v>0</v>
      </c>
      <c r="AE1804" s="200">
        <f t="shared" ref="AE1804:AG1804" si="9108">countif($D1804,"*"&amp;AE$2&amp;"*")</f>
        <v>0</v>
      </c>
      <c r="AF1804" s="200">
        <f t="shared" si="9108"/>
        <v>0</v>
      </c>
      <c r="AG1804" s="200">
        <f t="shared" si="9108"/>
        <v>0</v>
      </c>
      <c r="AH1804" s="171">
        <f t="shared" si="13"/>
        <v>0</v>
      </c>
      <c r="AI1804" s="200">
        <f t="shared" si="14"/>
        <v>0</v>
      </c>
      <c r="AJ1804" s="200">
        <f t="shared" si="8963"/>
        <v>0</v>
      </c>
      <c r="AK1804" s="201">
        <f t="shared" ref="AK1804:AS1804" si="9109">countif($D1804,"*"&amp;AK$2&amp;"*")</f>
        <v>0</v>
      </c>
      <c r="AL1804" s="201">
        <f t="shared" si="9109"/>
        <v>0</v>
      </c>
      <c r="AM1804" s="201">
        <f t="shared" si="9109"/>
        <v>0</v>
      </c>
      <c r="AN1804" s="201">
        <f t="shared" si="9109"/>
        <v>0</v>
      </c>
      <c r="AO1804" s="201">
        <f t="shared" si="9109"/>
        <v>0</v>
      </c>
      <c r="AP1804" s="201">
        <f t="shared" si="9109"/>
        <v>0</v>
      </c>
      <c r="AQ1804" s="201">
        <f t="shared" si="9109"/>
        <v>0</v>
      </c>
      <c r="AR1804" s="200">
        <f t="shared" si="9109"/>
        <v>0</v>
      </c>
      <c r="AS1804" s="200">
        <f t="shared" si="9109"/>
        <v>0</v>
      </c>
      <c r="AT1804" s="173">
        <v>0.0</v>
      </c>
      <c r="AU1804" s="200">
        <f t="shared" ref="AU1804:AX1804" si="9110">countif($D1804,"*"&amp;AU$2&amp;"*")</f>
        <v>0</v>
      </c>
      <c r="AV1804" s="200">
        <f t="shared" si="9110"/>
        <v>1</v>
      </c>
      <c r="AW1804" s="200">
        <f t="shared" si="9110"/>
        <v>0</v>
      </c>
      <c r="AX1804" s="200">
        <f t="shared" si="9110"/>
        <v>0</v>
      </c>
      <c r="AY1804" s="202">
        <v>0.0</v>
      </c>
      <c r="AZ1804" s="200"/>
      <c r="BA1804" s="171" t="str">
        <f t="shared" si="18"/>
        <v/>
      </c>
      <c r="BB1804" s="171" t="str">
        <f t="shared" si="19"/>
        <v>Code</v>
      </c>
      <c r="BC1804" s="171" t="str">
        <f t="shared" si="20"/>
        <v/>
      </c>
      <c r="BD1804" s="171" t="str">
        <f t="shared" si="21"/>
        <v/>
      </c>
      <c r="BE1804" s="171" t="str">
        <f t="shared" si="22"/>
        <v/>
      </c>
      <c r="BF1804" s="171" t="str">
        <f t="shared" si="23"/>
        <v>Code</v>
      </c>
    </row>
    <row r="1805">
      <c r="A1805" s="213">
        <f t="array" ref="A1805">XLOOKUP(C1805,FSE!A:A,FSE!C:C,"XXXXX",0,1)</f>
        <v>2019</v>
      </c>
      <c r="B1805" s="213" t="s">
        <v>5676</v>
      </c>
      <c r="C1805" s="220">
        <v>457.0</v>
      </c>
      <c r="D1805" s="217" t="s">
        <v>6448</v>
      </c>
      <c r="E1805" s="221" t="str">
        <f t="array" ref="E1805">XLOOKUP(C1805,FSE!A:A,FSE!Z:Z,"XXXXX",0,1)</f>
        <v>Publicly Available (9)</v>
      </c>
      <c r="F1805" s="213" t="s">
        <v>3394</v>
      </c>
      <c r="G1805" s="163" t="str">
        <f t="array" ref="G1805">IF(B1805="ICSE",IF(COUNTIFS(B:B,B1805,C:C,C1805)=XLOOKUP(C1805,ICSE!A:A,ICSE!AA:AA,"ERROR",0,1),"OK","ERROR"),IF(B1805="FSE",IF(COUNTIFS(B:B,B1805,C:C,C1805)=XLOOKUP(C1805,FSE!A:A,FSE!AA:AA,"ERROR",0,1),"OK","ERROR")))</f>
        <v>OK</v>
      </c>
      <c r="H1805" s="199">
        <f t="shared" ref="H1805:O1805" si="9111">countif($D1805,"*"&amp;H$2&amp;"*")</f>
        <v>0</v>
      </c>
      <c r="I1805" s="200">
        <f t="shared" si="9111"/>
        <v>0</v>
      </c>
      <c r="J1805" s="200">
        <f t="shared" si="9111"/>
        <v>0</v>
      </c>
      <c r="K1805" s="200">
        <f t="shared" si="9111"/>
        <v>0</v>
      </c>
      <c r="L1805" s="200">
        <f t="shared" si="9111"/>
        <v>0</v>
      </c>
      <c r="M1805" s="200">
        <f t="shared" si="9111"/>
        <v>0</v>
      </c>
      <c r="N1805" s="200">
        <f t="shared" si="9111"/>
        <v>0</v>
      </c>
      <c r="O1805" s="200">
        <f t="shared" si="9111"/>
        <v>0</v>
      </c>
      <c r="P1805" s="200">
        <f t="shared" si="9"/>
        <v>1</v>
      </c>
      <c r="Q1805" s="200">
        <f t="shared" ref="Q1805:AC1805" si="9112">countif($D1805,"*"&amp;Q$2&amp;"*")</f>
        <v>0</v>
      </c>
      <c r="R1805" s="200">
        <f t="shared" si="9112"/>
        <v>0</v>
      </c>
      <c r="S1805" s="200">
        <f t="shared" si="9112"/>
        <v>0</v>
      </c>
      <c r="T1805" s="200">
        <f t="shared" si="9112"/>
        <v>0</v>
      </c>
      <c r="U1805" s="200">
        <f t="shared" si="9112"/>
        <v>0</v>
      </c>
      <c r="V1805" s="200">
        <f t="shared" si="9112"/>
        <v>0</v>
      </c>
      <c r="W1805" s="200">
        <f t="shared" si="9112"/>
        <v>0</v>
      </c>
      <c r="X1805" s="200">
        <f t="shared" si="9112"/>
        <v>0</v>
      </c>
      <c r="Y1805" s="200">
        <f t="shared" si="9112"/>
        <v>0</v>
      </c>
      <c r="Z1805" s="200">
        <f t="shared" si="9112"/>
        <v>0</v>
      </c>
      <c r="AA1805" s="200">
        <f t="shared" si="9112"/>
        <v>0</v>
      </c>
      <c r="AB1805" s="200">
        <f t="shared" si="9112"/>
        <v>0</v>
      </c>
      <c r="AC1805" s="200">
        <f t="shared" si="9112"/>
        <v>0</v>
      </c>
      <c r="AD1805" s="222">
        <f t="shared" si="11"/>
        <v>0</v>
      </c>
      <c r="AE1805" s="200">
        <f t="shared" ref="AE1805:AG1805" si="9113">countif($D1805,"*"&amp;AE$2&amp;"*")</f>
        <v>0</v>
      </c>
      <c r="AF1805" s="200">
        <f t="shared" si="9113"/>
        <v>0</v>
      </c>
      <c r="AG1805" s="200">
        <f t="shared" si="9113"/>
        <v>0</v>
      </c>
      <c r="AH1805" s="171">
        <f t="shared" si="13"/>
        <v>0</v>
      </c>
      <c r="AI1805" s="200">
        <f t="shared" si="14"/>
        <v>0</v>
      </c>
      <c r="AJ1805" s="200">
        <f t="shared" si="8963"/>
        <v>0</v>
      </c>
      <c r="AK1805" s="201">
        <f t="shared" ref="AK1805:AS1805" si="9114">countif($D1805,"*"&amp;AK$2&amp;"*")</f>
        <v>0</v>
      </c>
      <c r="AL1805" s="201">
        <f t="shared" si="9114"/>
        <v>0</v>
      </c>
      <c r="AM1805" s="201">
        <f t="shared" si="9114"/>
        <v>0</v>
      </c>
      <c r="AN1805" s="201">
        <f t="shared" si="9114"/>
        <v>0</v>
      </c>
      <c r="AO1805" s="201">
        <f t="shared" si="9114"/>
        <v>0</v>
      </c>
      <c r="AP1805" s="201">
        <f t="shared" si="9114"/>
        <v>0</v>
      </c>
      <c r="AQ1805" s="201">
        <f t="shared" si="9114"/>
        <v>0</v>
      </c>
      <c r="AR1805" s="222">
        <f t="shared" si="9114"/>
        <v>0</v>
      </c>
      <c r="AS1805" s="200">
        <f t="shared" si="9114"/>
        <v>0</v>
      </c>
      <c r="AT1805" s="223">
        <v>0.0</v>
      </c>
      <c r="AU1805" s="200">
        <f t="shared" ref="AU1805:AX1805" si="9115">countif($D1805,"*"&amp;AU$2&amp;"*")</f>
        <v>0</v>
      </c>
      <c r="AV1805" s="200">
        <f t="shared" si="9115"/>
        <v>1</v>
      </c>
      <c r="AW1805" s="200">
        <f t="shared" si="9115"/>
        <v>0</v>
      </c>
      <c r="AX1805" s="200">
        <f t="shared" si="9115"/>
        <v>0</v>
      </c>
      <c r="AY1805" s="202">
        <v>0.0</v>
      </c>
      <c r="AZ1805" s="200"/>
      <c r="BA1805" s="171" t="str">
        <f t="shared" si="18"/>
        <v/>
      </c>
      <c r="BB1805" s="171" t="str">
        <f t="shared" si="19"/>
        <v>Code</v>
      </c>
      <c r="BC1805" s="171" t="str">
        <f t="shared" si="20"/>
        <v/>
      </c>
      <c r="BD1805" s="171" t="str">
        <f t="shared" si="21"/>
        <v/>
      </c>
      <c r="BE1805" s="171" t="str">
        <f t="shared" si="22"/>
        <v/>
      </c>
      <c r="BF1805" s="171" t="str">
        <f t="shared" si="23"/>
        <v>Code</v>
      </c>
    </row>
    <row r="1806">
      <c r="A1806" s="213">
        <f t="array" ref="A1806">XLOOKUP(C1806,FSE!A:A,FSE!C:C,"XXXXX",0,1)</f>
        <v>2019</v>
      </c>
      <c r="B1806" s="213" t="s">
        <v>5676</v>
      </c>
      <c r="C1806" s="220">
        <v>457.0</v>
      </c>
      <c r="D1806" s="217" t="s">
        <v>6449</v>
      </c>
      <c r="E1806" s="221" t="str">
        <f t="array" ref="E1806">XLOOKUP(C1806,FSE!A:A,FSE!Z:Z,"XXXXX",0,1)</f>
        <v>Publicly Available (9)</v>
      </c>
      <c r="F1806" s="213" t="s">
        <v>3394</v>
      </c>
      <c r="G1806" s="163" t="str">
        <f t="array" ref="G1806">IF(B1806="ICSE",IF(COUNTIFS(B:B,B1806,C:C,C1806)=XLOOKUP(C1806,ICSE!A:A,ICSE!AA:AA,"ERROR",0,1),"OK","ERROR"),IF(B1806="FSE",IF(COUNTIFS(B:B,B1806,C:C,C1806)=XLOOKUP(C1806,FSE!A:A,FSE!AA:AA,"ERROR",0,1),"OK","ERROR")))</f>
        <v>OK</v>
      </c>
      <c r="H1806" s="199">
        <f t="shared" ref="H1806:O1806" si="9116">countif($D1806,"*"&amp;H$2&amp;"*")</f>
        <v>0</v>
      </c>
      <c r="I1806" s="200">
        <f t="shared" si="9116"/>
        <v>0</v>
      </c>
      <c r="J1806" s="200">
        <f t="shared" si="9116"/>
        <v>0</v>
      </c>
      <c r="K1806" s="200">
        <f t="shared" si="9116"/>
        <v>0</v>
      </c>
      <c r="L1806" s="200">
        <f t="shared" si="9116"/>
        <v>0</v>
      </c>
      <c r="M1806" s="200">
        <f t="shared" si="9116"/>
        <v>0</v>
      </c>
      <c r="N1806" s="200">
        <f t="shared" si="9116"/>
        <v>0</v>
      </c>
      <c r="O1806" s="200">
        <f t="shared" si="9116"/>
        <v>0</v>
      </c>
      <c r="P1806" s="200">
        <f t="shared" si="9"/>
        <v>1</v>
      </c>
      <c r="Q1806" s="200">
        <f t="shared" ref="Q1806:AC1806" si="9117">countif($D1806,"*"&amp;Q$2&amp;"*")</f>
        <v>0</v>
      </c>
      <c r="R1806" s="200">
        <f t="shared" si="9117"/>
        <v>0</v>
      </c>
      <c r="S1806" s="200">
        <f t="shared" si="9117"/>
        <v>0</v>
      </c>
      <c r="T1806" s="200">
        <f t="shared" si="9117"/>
        <v>0</v>
      </c>
      <c r="U1806" s="200">
        <f t="shared" si="9117"/>
        <v>0</v>
      </c>
      <c r="V1806" s="200">
        <f t="shared" si="9117"/>
        <v>0</v>
      </c>
      <c r="W1806" s="200">
        <f t="shared" si="9117"/>
        <v>0</v>
      </c>
      <c r="X1806" s="200">
        <f t="shared" si="9117"/>
        <v>0</v>
      </c>
      <c r="Y1806" s="200">
        <f t="shared" si="9117"/>
        <v>0</v>
      </c>
      <c r="Z1806" s="200">
        <f t="shared" si="9117"/>
        <v>0</v>
      </c>
      <c r="AA1806" s="200">
        <f t="shared" si="9117"/>
        <v>0</v>
      </c>
      <c r="AB1806" s="200">
        <f t="shared" si="9117"/>
        <v>0</v>
      </c>
      <c r="AC1806" s="200">
        <f t="shared" si="9117"/>
        <v>0</v>
      </c>
      <c r="AD1806" s="222">
        <f t="shared" si="11"/>
        <v>0</v>
      </c>
      <c r="AE1806" s="200">
        <f t="shared" ref="AE1806:AG1806" si="9118">countif($D1806,"*"&amp;AE$2&amp;"*")</f>
        <v>0</v>
      </c>
      <c r="AF1806" s="200">
        <f t="shared" si="9118"/>
        <v>0</v>
      </c>
      <c r="AG1806" s="200">
        <f t="shared" si="9118"/>
        <v>0</v>
      </c>
      <c r="AH1806" s="171">
        <f t="shared" si="13"/>
        <v>0</v>
      </c>
      <c r="AI1806" s="200">
        <f t="shared" si="14"/>
        <v>0</v>
      </c>
      <c r="AJ1806" s="200">
        <f t="shared" si="8963"/>
        <v>0</v>
      </c>
      <c r="AK1806" s="201">
        <f t="shared" ref="AK1806:AS1806" si="9119">countif($D1806,"*"&amp;AK$2&amp;"*")</f>
        <v>0</v>
      </c>
      <c r="AL1806" s="201">
        <f t="shared" si="9119"/>
        <v>0</v>
      </c>
      <c r="AM1806" s="201">
        <f t="shared" si="9119"/>
        <v>0</v>
      </c>
      <c r="AN1806" s="201">
        <f t="shared" si="9119"/>
        <v>0</v>
      </c>
      <c r="AO1806" s="201">
        <f t="shared" si="9119"/>
        <v>0</v>
      </c>
      <c r="AP1806" s="201">
        <f t="shared" si="9119"/>
        <v>0</v>
      </c>
      <c r="AQ1806" s="201">
        <f t="shared" si="9119"/>
        <v>0</v>
      </c>
      <c r="AR1806" s="222">
        <f t="shared" si="9119"/>
        <v>0</v>
      </c>
      <c r="AS1806" s="200">
        <f t="shared" si="9119"/>
        <v>0</v>
      </c>
      <c r="AT1806" s="223">
        <v>0.0</v>
      </c>
      <c r="AU1806" s="200">
        <f t="shared" ref="AU1806:AX1806" si="9120">countif($D1806,"*"&amp;AU$2&amp;"*")</f>
        <v>0</v>
      </c>
      <c r="AV1806" s="200">
        <f t="shared" si="9120"/>
        <v>1</v>
      </c>
      <c r="AW1806" s="200">
        <f t="shared" si="9120"/>
        <v>0</v>
      </c>
      <c r="AX1806" s="200">
        <f t="shared" si="9120"/>
        <v>0</v>
      </c>
      <c r="AY1806" s="202">
        <v>0.0</v>
      </c>
      <c r="AZ1806" s="200"/>
      <c r="BA1806" s="171" t="str">
        <f t="shared" si="18"/>
        <v/>
      </c>
      <c r="BB1806" s="171" t="str">
        <f t="shared" si="19"/>
        <v>Code</v>
      </c>
      <c r="BC1806" s="171" t="str">
        <f t="shared" si="20"/>
        <v/>
      </c>
      <c r="BD1806" s="171" t="str">
        <f t="shared" si="21"/>
        <v/>
      </c>
      <c r="BE1806" s="171" t="str">
        <f t="shared" si="22"/>
        <v/>
      </c>
      <c r="BF1806" s="171" t="str">
        <f t="shared" si="23"/>
        <v>Code</v>
      </c>
    </row>
    <row r="1807">
      <c r="A1807" s="213">
        <f t="array" ref="A1807">XLOOKUP(C1807,FSE!A:A,FSE!C:C,"XXXXX",0,1)</f>
        <v>2019</v>
      </c>
      <c r="B1807" s="213" t="s">
        <v>5676</v>
      </c>
      <c r="C1807" s="220">
        <v>457.0</v>
      </c>
      <c r="D1807" s="217" t="s">
        <v>6450</v>
      </c>
      <c r="E1807" s="221" t="str">
        <f t="array" ref="E1807">XLOOKUP(C1807,FSE!A:A,FSE!Z:Z,"XXXXX",0,1)</f>
        <v>Publicly Available (9)</v>
      </c>
      <c r="F1807" s="213" t="s">
        <v>3394</v>
      </c>
      <c r="G1807" s="163" t="str">
        <f t="array" ref="G1807">IF(B1807="ICSE",IF(COUNTIFS(B:B,B1807,C:C,C1807)=XLOOKUP(C1807,ICSE!A:A,ICSE!AA:AA,"ERROR",0,1),"OK","ERROR"),IF(B1807="FSE",IF(COUNTIFS(B:B,B1807,C:C,C1807)=XLOOKUP(C1807,FSE!A:A,FSE!AA:AA,"ERROR",0,1),"OK","ERROR")))</f>
        <v>OK</v>
      </c>
      <c r="H1807" s="199">
        <f t="shared" ref="H1807:O1807" si="9121">countif($D1807,"*"&amp;H$2&amp;"*")</f>
        <v>0</v>
      </c>
      <c r="I1807" s="200">
        <f t="shared" si="9121"/>
        <v>0</v>
      </c>
      <c r="J1807" s="200">
        <f t="shared" si="9121"/>
        <v>0</v>
      </c>
      <c r="K1807" s="200">
        <f t="shared" si="9121"/>
        <v>0</v>
      </c>
      <c r="L1807" s="200">
        <f t="shared" si="9121"/>
        <v>0</v>
      </c>
      <c r="M1807" s="200">
        <f t="shared" si="9121"/>
        <v>0</v>
      </c>
      <c r="N1807" s="200">
        <f t="shared" si="9121"/>
        <v>0</v>
      </c>
      <c r="O1807" s="200">
        <f t="shared" si="9121"/>
        <v>0</v>
      </c>
      <c r="P1807" s="200">
        <f t="shared" si="9"/>
        <v>1</v>
      </c>
      <c r="Q1807" s="200">
        <f t="shared" ref="Q1807:AC1807" si="9122">countif($D1807,"*"&amp;Q$2&amp;"*")</f>
        <v>0</v>
      </c>
      <c r="R1807" s="200">
        <f t="shared" si="9122"/>
        <v>0</v>
      </c>
      <c r="S1807" s="200">
        <f t="shared" si="9122"/>
        <v>0</v>
      </c>
      <c r="T1807" s="200">
        <f t="shared" si="9122"/>
        <v>0</v>
      </c>
      <c r="U1807" s="200">
        <f t="shared" si="9122"/>
        <v>0</v>
      </c>
      <c r="V1807" s="200">
        <f t="shared" si="9122"/>
        <v>0</v>
      </c>
      <c r="W1807" s="200">
        <f t="shared" si="9122"/>
        <v>0</v>
      </c>
      <c r="X1807" s="200">
        <f t="shared" si="9122"/>
        <v>0</v>
      </c>
      <c r="Y1807" s="200">
        <f t="shared" si="9122"/>
        <v>0</v>
      </c>
      <c r="Z1807" s="200">
        <f t="shared" si="9122"/>
        <v>0</v>
      </c>
      <c r="AA1807" s="200">
        <f t="shared" si="9122"/>
        <v>0</v>
      </c>
      <c r="AB1807" s="200">
        <f t="shared" si="9122"/>
        <v>0</v>
      </c>
      <c r="AC1807" s="200">
        <f t="shared" si="9122"/>
        <v>0</v>
      </c>
      <c r="AD1807" s="222">
        <f t="shared" si="11"/>
        <v>0</v>
      </c>
      <c r="AE1807" s="200">
        <f t="shared" ref="AE1807:AG1807" si="9123">countif($D1807,"*"&amp;AE$2&amp;"*")</f>
        <v>0</v>
      </c>
      <c r="AF1807" s="200">
        <f t="shared" si="9123"/>
        <v>0</v>
      </c>
      <c r="AG1807" s="200">
        <f t="shared" si="9123"/>
        <v>0</v>
      </c>
      <c r="AH1807" s="171">
        <f t="shared" si="13"/>
        <v>0</v>
      </c>
      <c r="AI1807" s="200">
        <f t="shared" si="14"/>
        <v>0</v>
      </c>
      <c r="AJ1807" s="200">
        <f t="shared" si="8963"/>
        <v>0</v>
      </c>
      <c r="AK1807" s="201">
        <f t="shared" ref="AK1807:AS1807" si="9124">countif($D1807,"*"&amp;AK$2&amp;"*")</f>
        <v>0</v>
      </c>
      <c r="AL1807" s="201">
        <f t="shared" si="9124"/>
        <v>0</v>
      </c>
      <c r="AM1807" s="201">
        <f t="shared" si="9124"/>
        <v>0</v>
      </c>
      <c r="AN1807" s="201">
        <f t="shared" si="9124"/>
        <v>0</v>
      </c>
      <c r="AO1807" s="201">
        <f t="shared" si="9124"/>
        <v>0</v>
      </c>
      <c r="AP1807" s="201">
        <f t="shared" si="9124"/>
        <v>0</v>
      </c>
      <c r="AQ1807" s="201">
        <f t="shared" si="9124"/>
        <v>0</v>
      </c>
      <c r="AR1807" s="222">
        <f t="shared" si="9124"/>
        <v>0</v>
      </c>
      <c r="AS1807" s="200">
        <f t="shared" si="9124"/>
        <v>0</v>
      </c>
      <c r="AT1807" s="223">
        <v>0.0</v>
      </c>
      <c r="AU1807" s="200">
        <f t="shared" ref="AU1807:AX1807" si="9125">countif($D1807,"*"&amp;AU$2&amp;"*")</f>
        <v>0</v>
      </c>
      <c r="AV1807" s="200">
        <f t="shared" si="9125"/>
        <v>1</v>
      </c>
      <c r="AW1807" s="200">
        <f t="shared" si="9125"/>
        <v>0</v>
      </c>
      <c r="AX1807" s="200">
        <f t="shared" si="9125"/>
        <v>0</v>
      </c>
      <c r="AY1807" s="202">
        <v>0.0</v>
      </c>
      <c r="AZ1807" s="200"/>
      <c r="BA1807" s="171" t="str">
        <f t="shared" si="18"/>
        <v/>
      </c>
      <c r="BB1807" s="171" t="str">
        <f t="shared" si="19"/>
        <v>Code</v>
      </c>
      <c r="BC1807" s="171" t="str">
        <f t="shared" si="20"/>
        <v/>
      </c>
      <c r="BD1807" s="171" t="str">
        <f t="shared" si="21"/>
        <v/>
      </c>
      <c r="BE1807" s="171" t="str">
        <f t="shared" si="22"/>
        <v/>
      </c>
      <c r="BF1807" s="171" t="str">
        <f t="shared" si="23"/>
        <v>Code</v>
      </c>
    </row>
    <row r="1808">
      <c r="A1808" s="213">
        <f t="array" ref="A1808">XLOOKUP(C1808,FSE!A:A,FSE!C:C,"XXXXX",0,1)</f>
        <v>2019</v>
      </c>
      <c r="B1808" s="213" t="s">
        <v>5676</v>
      </c>
      <c r="C1808" s="220">
        <v>457.0</v>
      </c>
      <c r="D1808" s="217" t="s">
        <v>6451</v>
      </c>
      <c r="E1808" s="221" t="str">
        <f t="array" ref="E1808">XLOOKUP(C1808,FSE!A:A,FSE!Z:Z,"XXXXX",0,1)</f>
        <v>Publicly Available (9)</v>
      </c>
      <c r="F1808" s="213" t="s">
        <v>3394</v>
      </c>
      <c r="G1808" s="163" t="str">
        <f t="array" ref="G1808">IF(B1808="ICSE",IF(COUNTIFS(B:B,B1808,C:C,C1808)=XLOOKUP(C1808,ICSE!A:A,ICSE!AA:AA,"ERROR",0,1),"OK","ERROR"),IF(B1808="FSE",IF(COUNTIFS(B:B,B1808,C:C,C1808)=XLOOKUP(C1808,FSE!A:A,FSE!AA:AA,"ERROR",0,1),"OK","ERROR")))</f>
        <v>OK</v>
      </c>
      <c r="H1808" s="199">
        <f t="shared" ref="H1808:O1808" si="9126">countif($D1808,"*"&amp;H$2&amp;"*")</f>
        <v>0</v>
      </c>
      <c r="I1808" s="200">
        <f t="shared" si="9126"/>
        <v>0</v>
      </c>
      <c r="J1808" s="200">
        <f t="shared" si="9126"/>
        <v>0</v>
      </c>
      <c r="K1808" s="200">
        <f t="shared" si="9126"/>
        <v>0</v>
      </c>
      <c r="L1808" s="200">
        <f t="shared" si="9126"/>
        <v>0</v>
      </c>
      <c r="M1808" s="200">
        <f t="shared" si="9126"/>
        <v>0</v>
      </c>
      <c r="N1808" s="200">
        <f t="shared" si="9126"/>
        <v>0</v>
      </c>
      <c r="O1808" s="200">
        <f t="shared" si="9126"/>
        <v>0</v>
      </c>
      <c r="P1808" s="200">
        <f t="shared" si="9"/>
        <v>1</v>
      </c>
      <c r="Q1808" s="200">
        <f t="shared" ref="Q1808:AC1808" si="9127">countif($D1808,"*"&amp;Q$2&amp;"*")</f>
        <v>0</v>
      </c>
      <c r="R1808" s="200">
        <f t="shared" si="9127"/>
        <v>0</v>
      </c>
      <c r="S1808" s="200">
        <f t="shared" si="9127"/>
        <v>0</v>
      </c>
      <c r="T1808" s="200">
        <f t="shared" si="9127"/>
        <v>0</v>
      </c>
      <c r="U1808" s="200">
        <f t="shared" si="9127"/>
        <v>0</v>
      </c>
      <c r="V1808" s="200">
        <f t="shared" si="9127"/>
        <v>0</v>
      </c>
      <c r="W1808" s="200">
        <f t="shared" si="9127"/>
        <v>0</v>
      </c>
      <c r="X1808" s="200">
        <f t="shared" si="9127"/>
        <v>0</v>
      </c>
      <c r="Y1808" s="200">
        <f t="shared" si="9127"/>
        <v>0</v>
      </c>
      <c r="Z1808" s="200">
        <f t="shared" si="9127"/>
        <v>0</v>
      </c>
      <c r="AA1808" s="200">
        <f t="shared" si="9127"/>
        <v>0</v>
      </c>
      <c r="AB1808" s="200">
        <f t="shared" si="9127"/>
        <v>0</v>
      </c>
      <c r="AC1808" s="200">
        <f t="shared" si="9127"/>
        <v>0</v>
      </c>
      <c r="AD1808" s="222">
        <f t="shared" si="11"/>
        <v>0</v>
      </c>
      <c r="AE1808" s="200">
        <f t="shared" ref="AE1808:AG1808" si="9128">countif($D1808,"*"&amp;AE$2&amp;"*")</f>
        <v>0</v>
      </c>
      <c r="AF1808" s="200">
        <f t="shared" si="9128"/>
        <v>0</v>
      </c>
      <c r="AG1808" s="200">
        <f t="shared" si="9128"/>
        <v>0</v>
      </c>
      <c r="AH1808" s="171">
        <f t="shared" si="13"/>
        <v>0</v>
      </c>
      <c r="AI1808" s="200">
        <f t="shared" si="14"/>
        <v>0</v>
      </c>
      <c r="AJ1808" s="200">
        <f t="shared" si="8963"/>
        <v>0</v>
      </c>
      <c r="AK1808" s="201">
        <f t="shared" ref="AK1808:AS1808" si="9129">countif($D1808,"*"&amp;AK$2&amp;"*")</f>
        <v>0</v>
      </c>
      <c r="AL1808" s="201">
        <f t="shared" si="9129"/>
        <v>0</v>
      </c>
      <c r="AM1808" s="201">
        <f t="shared" si="9129"/>
        <v>0</v>
      </c>
      <c r="AN1808" s="201">
        <f t="shared" si="9129"/>
        <v>0</v>
      </c>
      <c r="AO1808" s="201">
        <f t="shared" si="9129"/>
        <v>0</v>
      </c>
      <c r="AP1808" s="201">
        <f t="shared" si="9129"/>
        <v>0</v>
      </c>
      <c r="AQ1808" s="201">
        <f t="shared" si="9129"/>
        <v>0</v>
      </c>
      <c r="AR1808" s="222">
        <f t="shared" si="9129"/>
        <v>0</v>
      </c>
      <c r="AS1808" s="200">
        <f t="shared" si="9129"/>
        <v>0</v>
      </c>
      <c r="AT1808" s="223">
        <v>0.0</v>
      </c>
      <c r="AU1808" s="200">
        <f t="shared" ref="AU1808:AX1808" si="9130">countif($D1808,"*"&amp;AU$2&amp;"*")</f>
        <v>0</v>
      </c>
      <c r="AV1808" s="200">
        <f t="shared" si="9130"/>
        <v>1</v>
      </c>
      <c r="AW1808" s="200">
        <f t="shared" si="9130"/>
        <v>0</v>
      </c>
      <c r="AX1808" s="200">
        <f t="shared" si="9130"/>
        <v>0</v>
      </c>
      <c r="AY1808" s="202">
        <v>0.0</v>
      </c>
      <c r="AZ1808" s="200"/>
      <c r="BA1808" s="171" t="str">
        <f t="shared" si="18"/>
        <v/>
      </c>
      <c r="BB1808" s="171" t="str">
        <f t="shared" si="19"/>
        <v>Code</v>
      </c>
      <c r="BC1808" s="171" t="str">
        <f t="shared" si="20"/>
        <v/>
      </c>
      <c r="BD1808" s="171" t="str">
        <f t="shared" si="21"/>
        <v/>
      </c>
      <c r="BE1808" s="171" t="str">
        <f t="shared" si="22"/>
        <v/>
      </c>
      <c r="BF1808" s="171" t="str">
        <f t="shared" si="23"/>
        <v>Code</v>
      </c>
    </row>
    <row r="1809">
      <c r="A1809" s="213">
        <f t="array" ref="A1809">XLOOKUP(C1809,FSE!A:A,FSE!C:C,"XXXXX",0,1)</f>
        <v>2019</v>
      </c>
      <c r="B1809" s="213" t="s">
        <v>5676</v>
      </c>
      <c r="C1809" s="220">
        <v>457.0</v>
      </c>
      <c r="D1809" s="217" t="s">
        <v>6452</v>
      </c>
      <c r="E1809" s="221" t="str">
        <f t="array" ref="E1809">XLOOKUP(C1809,FSE!A:A,FSE!Z:Z,"XXXXX",0,1)</f>
        <v>Publicly Available (9)</v>
      </c>
      <c r="F1809" s="213" t="s">
        <v>3394</v>
      </c>
      <c r="G1809" s="163" t="str">
        <f t="array" ref="G1809">IF(B1809="ICSE",IF(COUNTIFS(B:B,B1809,C:C,C1809)=XLOOKUP(C1809,ICSE!A:A,ICSE!AA:AA,"ERROR",0,1),"OK","ERROR"),IF(B1809="FSE",IF(COUNTIFS(B:B,B1809,C:C,C1809)=XLOOKUP(C1809,FSE!A:A,FSE!AA:AA,"ERROR",0,1),"OK","ERROR")))</f>
        <v>OK</v>
      </c>
      <c r="H1809" s="199">
        <f t="shared" ref="H1809:O1809" si="9131">countif($D1809,"*"&amp;H$2&amp;"*")</f>
        <v>0</v>
      </c>
      <c r="I1809" s="200">
        <f t="shared" si="9131"/>
        <v>0</v>
      </c>
      <c r="J1809" s="200">
        <f t="shared" si="9131"/>
        <v>0</v>
      </c>
      <c r="K1809" s="200">
        <f t="shared" si="9131"/>
        <v>0</v>
      </c>
      <c r="L1809" s="200">
        <f t="shared" si="9131"/>
        <v>0</v>
      </c>
      <c r="M1809" s="200">
        <f t="shared" si="9131"/>
        <v>0</v>
      </c>
      <c r="N1809" s="200">
        <f t="shared" si="9131"/>
        <v>0</v>
      </c>
      <c r="O1809" s="200">
        <f t="shared" si="9131"/>
        <v>0</v>
      </c>
      <c r="P1809" s="200">
        <f t="shared" si="9"/>
        <v>1</v>
      </c>
      <c r="Q1809" s="200">
        <f t="shared" ref="Q1809:AC1809" si="9132">countif($D1809,"*"&amp;Q$2&amp;"*")</f>
        <v>0</v>
      </c>
      <c r="R1809" s="200">
        <f t="shared" si="9132"/>
        <v>0</v>
      </c>
      <c r="S1809" s="200">
        <f t="shared" si="9132"/>
        <v>0</v>
      </c>
      <c r="T1809" s="200">
        <f t="shared" si="9132"/>
        <v>0</v>
      </c>
      <c r="U1809" s="200">
        <f t="shared" si="9132"/>
        <v>0</v>
      </c>
      <c r="V1809" s="200">
        <f t="shared" si="9132"/>
        <v>0</v>
      </c>
      <c r="W1809" s="200">
        <f t="shared" si="9132"/>
        <v>0</v>
      </c>
      <c r="X1809" s="200">
        <f t="shared" si="9132"/>
        <v>0</v>
      </c>
      <c r="Y1809" s="200">
        <f t="shared" si="9132"/>
        <v>0</v>
      </c>
      <c r="Z1809" s="200">
        <f t="shared" si="9132"/>
        <v>0</v>
      </c>
      <c r="AA1809" s="200">
        <f t="shared" si="9132"/>
        <v>0</v>
      </c>
      <c r="AB1809" s="200">
        <f t="shared" si="9132"/>
        <v>0</v>
      </c>
      <c r="AC1809" s="200">
        <f t="shared" si="9132"/>
        <v>0</v>
      </c>
      <c r="AD1809" s="222">
        <f t="shared" si="11"/>
        <v>0</v>
      </c>
      <c r="AE1809" s="200">
        <f t="shared" ref="AE1809:AG1809" si="9133">countif($D1809,"*"&amp;AE$2&amp;"*")</f>
        <v>0</v>
      </c>
      <c r="AF1809" s="200">
        <f t="shared" si="9133"/>
        <v>0</v>
      </c>
      <c r="AG1809" s="200">
        <f t="shared" si="9133"/>
        <v>0</v>
      </c>
      <c r="AH1809" s="171">
        <f t="shared" si="13"/>
        <v>0</v>
      </c>
      <c r="AI1809" s="200">
        <f t="shared" si="14"/>
        <v>0</v>
      </c>
      <c r="AJ1809" s="200">
        <f t="shared" si="8963"/>
        <v>0</v>
      </c>
      <c r="AK1809" s="201">
        <f t="shared" ref="AK1809:AS1809" si="9134">countif($D1809,"*"&amp;AK$2&amp;"*")</f>
        <v>0</v>
      </c>
      <c r="AL1809" s="201">
        <f t="shared" si="9134"/>
        <v>0</v>
      </c>
      <c r="AM1809" s="201">
        <f t="shared" si="9134"/>
        <v>0</v>
      </c>
      <c r="AN1809" s="201">
        <f t="shared" si="9134"/>
        <v>0</v>
      </c>
      <c r="AO1809" s="201">
        <f t="shared" si="9134"/>
        <v>0</v>
      </c>
      <c r="AP1809" s="201">
        <f t="shared" si="9134"/>
        <v>0</v>
      </c>
      <c r="AQ1809" s="201">
        <f t="shared" si="9134"/>
        <v>0</v>
      </c>
      <c r="AR1809" s="222">
        <f t="shared" si="9134"/>
        <v>0</v>
      </c>
      <c r="AS1809" s="200">
        <f t="shared" si="9134"/>
        <v>0</v>
      </c>
      <c r="AT1809" s="223">
        <v>0.0</v>
      </c>
      <c r="AU1809" s="200">
        <f t="shared" ref="AU1809:AX1809" si="9135">countif($D1809,"*"&amp;AU$2&amp;"*")</f>
        <v>0</v>
      </c>
      <c r="AV1809" s="200">
        <f t="shared" si="9135"/>
        <v>1</v>
      </c>
      <c r="AW1809" s="200">
        <f t="shared" si="9135"/>
        <v>0</v>
      </c>
      <c r="AX1809" s="200">
        <f t="shared" si="9135"/>
        <v>0</v>
      </c>
      <c r="AY1809" s="202">
        <v>0.0</v>
      </c>
      <c r="AZ1809" s="200"/>
      <c r="BA1809" s="171" t="str">
        <f t="shared" si="18"/>
        <v/>
      </c>
      <c r="BB1809" s="171" t="str">
        <f t="shared" si="19"/>
        <v>Code</v>
      </c>
      <c r="BC1809" s="171" t="str">
        <f t="shared" si="20"/>
        <v/>
      </c>
      <c r="BD1809" s="171" t="str">
        <f t="shared" si="21"/>
        <v/>
      </c>
      <c r="BE1809" s="171" t="str">
        <f t="shared" si="22"/>
        <v/>
      </c>
      <c r="BF1809" s="171" t="str">
        <f t="shared" si="23"/>
        <v>Code</v>
      </c>
    </row>
    <row r="1810">
      <c r="A1810" s="213">
        <f t="array" ref="A1810">XLOOKUP(C1810,FSE!A:A,FSE!C:C,"XXXXX",0,1)</f>
        <v>2019</v>
      </c>
      <c r="B1810" s="213" t="s">
        <v>5676</v>
      </c>
      <c r="C1810" s="220">
        <v>457.0</v>
      </c>
      <c r="D1810" s="217" t="s">
        <v>6453</v>
      </c>
      <c r="E1810" s="221" t="str">
        <f t="array" ref="E1810">XLOOKUP(C1810,FSE!A:A,FSE!Z:Z,"XXXXX",0,1)</f>
        <v>Publicly Available (9)</v>
      </c>
      <c r="F1810" s="213" t="s">
        <v>3394</v>
      </c>
      <c r="G1810" s="163" t="str">
        <f t="array" ref="G1810">IF(B1810="ICSE",IF(COUNTIFS(B:B,B1810,C:C,C1810)=XLOOKUP(C1810,ICSE!A:A,ICSE!AA:AA,"ERROR",0,1),"OK","ERROR"),IF(B1810="FSE",IF(COUNTIFS(B:B,B1810,C:C,C1810)=XLOOKUP(C1810,FSE!A:A,FSE!AA:AA,"ERROR",0,1),"OK","ERROR")))</f>
        <v>OK</v>
      </c>
      <c r="H1810" s="199">
        <f t="shared" ref="H1810:O1810" si="9136">countif($D1810,"*"&amp;H$2&amp;"*")</f>
        <v>0</v>
      </c>
      <c r="I1810" s="200">
        <f t="shared" si="9136"/>
        <v>0</v>
      </c>
      <c r="J1810" s="200">
        <f t="shared" si="9136"/>
        <v>0</v>
      </c>
      <c r="K1810" s="200">
        <f t="shared" si="9136"/>
        <v>0</v>
      </c>
      <c r="L1810" s="200">
        <f t="shared" si="9136"/>
        <v>0</v>
      </c>
      <c r="M1810" s="200">
        <f t="shared" si="9136"/>
        <v>0</v>
      </c>
      <c r="N1810" s="200">
        <f t="shared" si="9136"/>
        <v>0</v>
      </c>
      <c r="O1810" s="200">
        <f t="shared" si="9136"/>
        <v>0</v>
      </c>
      <c r="P1810" s="200">
        <f t="shared" si="9"/>
        <v>1</v>
      </c>
      <c r="Q1810" s="200">
        <f t="shared" ref="Q1810:AC1810" si="9137">countif($D1810,"*"&amp;Q$2&amp;"*")</f>
        <v>0</v>
      </c>
      <c r="R1810" s="200">
        <f t="shared" si="9137"/>
        <v>0</v>
      </c>
      <c r="S1810" s="200">
        <f t="shared" si="9137"/>
        <v>0</v>
      </c>
      <c r="T1810" s="200">
        <f t="shared" si="9137"/>
        <v>0</v>
      </c>
      <c r="U1810" s="200">
        <f t="shared" si="9137"/>
        <v>0</v>
      </c>
      <c r="V1810" s="200">
        <f t="shared" si="9137"/>
        <v>0</v>
      </c>
      <c r="W1810" s="200">
        <f t="shared" si="9137"/>
        <v>0</v>
      </c>
      <c r="X1810" s="200">
        <f t="shared" si="9137"/>
        <v>0</v>
      </c>
      <c r="Y1810" s="200">
        <f t="shared" si="9137"/>
        <v>0</v>
      </c>
      <c r="Z1810" s="200">
        <f t="shared" si="9137"/>
        <v>0</v>
      </c>
      <c r="AA1810" s="200">
        <f t="shared" si="9137"/>
        <v>0</v>
      </c>
      <c r="AB1810" s="200">
        <f t="shared" si="9137"/>
        <v>0</v>
      </c>
      <c r="AC1810" s="200">
        <f t="shared" si="9137"/>
        <v>0</v>
      </c>
      <c r="AD1810" s="222">
        <f t="shared" si="11"/>
        <v>0</v>
      </c>
      <c r="AE1810" s="200">
        <f t="shared" ref="AE1810:AG1810" si="9138">countif($D1810,"*"&amp;AE$2&amp;"*")</f>
        <v>0</v>
      </c>
      <c r="AF1810" s="200">
        <f t="shared" si="9138"/>
        <v>0</v>
      </c>
      <c r="AG1810" s="200">
        <f t="shared" si="9138"/>
        <v>0</v>
      </c>
      <c r="AH1810" s="171">
        <f t="shared" si="13"/>
        <v>0</v>
      </c>
      <c r="AI1810" s="200">
        <f t="shared" si="14"/>
        <v>0</v>
      </c>
      <c r="AJ1810" s="200">
        <f t="shared" si="8963"/>
        <v>0</v>
      </c>
      <c r="AK1810" s="201">
        <f t="shared" ref="AK1810:AS1810" si="9139">countif($D1810,"*"&amp;AK$2&amp;"*")</f>
        <v>0</v>
      </c>
      <c r="AL1810" s="201">
        <f t="shared" si="9139"/>
        <v>0</v>
      </c>
      <c r="AM1810" s="201">
        <f t="shared" si="9139"/>
        <v>0</v>
      </c>
      <c r="AN1810" s="201">
        <f t="shared" si="9139"/>
        <v>0</v>
      </c>
      <c r="AO1810" s="201">
        <f t="shared" si="9139"/>
        <v>0</v>
      </c>
      <c r="AP1810" s="201">
        <f t="shared" si="9139"/>
        <v>0</v>
      </c>
      <c r="AQ1810" s="201">
        <f t="shared" si="9139"/>
        <v>0</v>
      </c>
      <c r="AR1810" s="222">
        <f t="shared" si="9139"/>
        <v>0</v>
      </c>
      <c r="AS1810" s="200">
        <f t="shared" si="9139"/>
        <v>0</v>
      </c>
      <c r="AT1810" s="223">
        <v>0.0</v>
      </c>
      <c r="AU1810" s="200">
        <f t="shared" ref="AU1810:AX1810" si="9140">countif($D1810,"*"&amp;AU$2&amp;"*")</f>
        <v>0</v>
      </c>
      <c r="AV1810" s="200">
        <f t="shared" si="9140"/>
        <v>1</v>
      </c>
      <c r="AW1810" s="200">
        <f t="shared" si="9140"/>
        <v>0</v>
      </c>
      <c r="AX1810" s="200">
        <f t="shared" si="9140"/>
        <v>0</v>
      </c>
      <c r="AY1810" s="202">
        <v>0.0</v>
      </c>
      <c r="AZ1810" s="200"/>
      <c r="BA1810" s="171" t="str">
        <f t="shared" si="18"/>
        <v/>
      </c>
      <c r="BB1810" s="171" t="str">
        <f t="shared" si="19"/>
        <v>Code</v>
      </c>
      <c r="BC1810" s="171" t="str">
        <f t="shared" si="20"/>
        <v/>
      </c>
      <c r="BD1810" s="171" t="str">
        <f t="shared" si="21"/>
        <v/>
      </c>
      <c r="BE1810" s="171" t="str">
        <f t="shared" si="22"/>
        <v/>
      </c>
      <c r="BF1810" s="171" t="str">
        <f t="shared" si="23"/>
        <v>Code</v>
      </c>
    </row>
    <row r="1811">
      <c r="A1811" s="213">
        <f t="array" ref="A1811">XLOOKUP(C1811,FSE!A:A,FSE!C:C,"XXXXX",0,1)</f>
        <v>2019</v>
      </c>
      <c r="B1811" s="213" t="s">
        <v>5676</v>
      </c>
      <c r="C1811" s="220">
        <v>457.0</v>
      </c>
      <c r="D1811" s="217" t="s">
        <v>6454</v>
      </c>
      <c r="E1811" s="221" t="str">
        <f t="array" ref="E1811">XLOOKUP(C1811,FSE!A:A,FSE!Z:Z,"XXXXX",0,1)</f>
        <v>Publicly Available (9)</v>
      </c>
      <c r="F1811" s="213" t="s">
        <v>3394</v>
      </c>
      <c r="G1811" s="163" t="str">
        <f t="array" ref="G1811">IF(B1811="ICSE",IF(COUNTIFS(B:B,B1811,C:C,C1811)=XLOOKUP(C1811,ICSE!A:A,ICSE!AA:AA,"ERROR",0,1),"OK","ERROR"),IF(B1811="FSE",IF(COUNTIFS(B:B,B1811,C:C,C1811)=XLOOKUP(C1811,FSE!A:A,FSE!AA:AA,"ERROR",0,1),"OK","ERROR")))</f>
        <v>OK</v>
      </c>
      <c r="H1811" s="199">
        <f t="shared" ref="H1811:O1811" si="9141">countif($D1811,"*"&amp;H$2&amp;"*")</f>
        <v>0</v>
      </c>
      <c r="I1811" s="200">
        <f t="shared" si="9141"/>
        <v>0</v>
      </c>
      <c r="J1811" s="200">
        <f t="shared" si="9141"/>
        <v>0</v>
      </c>
      <c r="K1811" s="200">
        <f t="shared" si="9141"/>
        <v>0</v>
      </c>
      <c r="L1811" s="200">
        <f t="shared" si="9141"/>
        <v>0</v>
      </c>
      <c r="M1811" s="200">
        <f t="shared" si="9141"/>
        <v>0</v>
      </c>
      <c r="N1811" s="200">
        <f t="shared" si="9141"/>
        <v>0</v>
      </c>
      <c r="O1811" s="200">
        <f t="shared" si="9141"/>
        <v>0</v>
      </c>
      <c r="P1811" s="200">
        <f t="shared" si="9"/>
        <v>1</v>
      </c>
      <c r="Q1811" s="200">
        <f t="shared" ref="Q1811:AC1811" si="9142">countif($D1811,"*"&amp;Q$2&amp;"*")</f>
        <v>0</v>
      </c>
      <c r="R1811" s="200">
        <f t="shared" si="9142"/>
        <v>0</v>
      </c>
      <c r="S1811" s="200">
        <f t="shared" si="9142"/>
        <v>0</v>
      </c>
      <c r="T1811" s="200">
        <f t="shared" si="9142"/>
        <v>0</v>
      </c>
      <c r="U1811" s="200">
        <f t="shared" si="9142"/>
        <v>0</v>
      </c>
      <c r="V1811" s="200">
        <f t="shared" si="9142"/>
        <v>0</v>
      </c>
      <c r="W1811" s="200">
        <f t="shared" si="9142"/>
        <v>0</v>
      </c>
      <c r="X1811" s="200">
        <f t="shared" si="9142"/>
        <v>0</v>
      </c>
      <c r="Y1811" s="200">
        <f t="shared" si="9142"/>
        <v>0</v>
      </c>
      <c r="Z1811" s="200">
        <f t="shared" si="9142"/>
        <v>0</v>
      </c>
      <c r="AA1811" s="200">
        <f t="shared" si="9142"/>
        <v>0</v>
      </c>
      <c r="AB1811" s="200">
        <f t="shared" si="9142"/>
        <v>0</v>
      </c>
      <c r="AC1811" s="200">
        <f t="shared" si="9142"/>
        <v>0</v>
      </c>
      <c r="AD1811" s="222">
        <f t="shared" si="11"/>
        <v>0</v>
      </c>
      <c r="AE1811" s="200">
        <f t="shared" ref="AE1811:AG1811" si="9143">countif($D1811,"*"&amp;AE$2&amp;"*")</f>
        <v>0</v>
      </c>
      <c r="AF1811" s="200">
        <f t="shared" si="9143"/>
        <v>0</v>
      </c>
      <c r="AG1811" s="200">
        <f t="shared" si="9143"/>
        <v>0</v>
      </c>
      <c r="AH1811" s="171">
        <f t="shared" si="13"/>
        <v>0</v>
      </c>
      <c r="AI1811" s="200">
        <f t="shared" si="14"/>
        <v>0</v>
      </c>
      <c r="AJ1811" s="200">
        <f t="shared" si="8963"/>
        <v>0</v>
      </c>
      <c r="AK1811" s="201">
        <f t="shared" ref="AK1811:AS1811" si="9144">countif($D1811,"*"&amp;AK$2&amp;"*")</f>
        <v>0</v>
      </c>
      <c r="AL1811" s="201">
        <f t="shared" si="9144"/>
        <v>0</v>
      </c>
      <c r="AM1811" s="201">
        <f t="shared" si="9144"/>
        <v>0</v>
      </c>
      <c r="AN1811" s="201">
        <f t="shared" si="9144"/>
        <v>0</v>
      </c>
      <c r="AO1811" s="201">
        <f t="shared" si="9144"/>
        <v>0</v>
      </c>
      <c r="AP1811" s="201">
        <f t="shared" si="9144"/>
        <v>0</v>
      </c>
      <c r="AQ1811" s="201">
        <f t="shared" si="9144"/>
        <v>0</v>
      </c>
      <c r="AR1811" s="222">
        <f t="shared" si="9144"/>
        <v>0</v>
      </c>
      <c r="AS1811" s="200">
        <f t="shared" si="9144"/>
        <v>0</v>
      </c>
      <c r="AT1811" s="223">
        <v>0.0</v>
      </c>
      <c r="AU1811" s="200">
        <f t="shared" ref="AU1811:AX1811" si="9145">countif($D1811,"*"&amp;AU$2&amp;"*")</f>
        <v>0</v>
      </c>
      <c r="AV1811" s="200">
        <f t="shared" si="9145"/>
        <v>1</v>
      </c>
      <c r="AW1811" s="200">
        <f t="shared" si="9145"/>
        <v>0</v>
      </c>
      <c r="AX1811" s="200">
        <f t="shared" si="9145"/>
        <v>0</v>
      </c>
      <c r="AY1811" s="202">
        <v>0.0</v>
      </c>
      <c r="AZ1811" s="200"/>
      <c r="BA1811" s="171" t="str">
        <f t="shared" si="18"/>
        <v/>
      </c>
      <c r="BB1811" s="171" t="str">
        <f t="shared" si="19"/>
        <v>Code</v>
      </c>
      <c r="BC1811" s="171" t="str">
        <f t="shared" si="20"/>
        <v/>
      </c>
      <c r="BD1811" s="171" t="str">
        <f t="shared" si="21"/>
        <v/>
      </c>
      <c r="BE1811" s="171" t="str">
        <f t="shared" si="22"/>
        <v/>
      </c>
      <c r="BF1811" s="171" t="str">
        <f t="shared" si="23"/>
        <v>Code</v>
      </c>
    </row>
    <row r="1812">
      <c r="A1812" s="171">
        <f t="array" ref="A1812">XLOOKUP(C1812,FSE!A:A,FSE!C:C,"XXXXX",0,1)</f>
        <v>2019</v>
      </c>
      <c r="B1812" s="213" t="s">
        <v>5676</v>
      </c>
      <c r="C1812" s="214">
        <v>458.0</v>
      </c>
      <c r="D1812" s="215" t="s">
        <v>4352</v>
      </c>
      <c r="E1812" s="197" t="str">
        <f t="array" ref="E1812">XLOOKUP(C1812,FSE!A:A,FSE!Z:Z,"XXXXX",0,1)</f>
        <v>Not Available (1)</v>
      </c>
      <c r="F1812" s="213" t="s">
        <v>3395</v>
      </c>
      <c r="G1812" s="163" t="str">
        <f t="array" ref="G1812">IF(B1812="ICSE",IF(COUNTIFS(B:B,B1812,C:C,C1812)=XLOOKUP(C1812,ICSE!A:A,ICSE!AA:AA,"ERROR",0,1),"OK","ERROR"),IF(B1812="FSE",IF(COUNTIFS(B:B,B1812,C:C,C1812)=XLOOKUP(C1812,FSE!A:A,FSE!AA:AA,"ERROR",0,1),"OK","ERROR")))</f>
        <v>OK</v>
      </c>
      <c r="H1812" s="199">
        <f t="shared" ref="H1812:O1812" si="9146">countif($D1812,"*"&amp;H$2&amp;"*")</f>
        <v>0</v>
      </c>
      <c r="I1812" s="200">
        <f t="shared" si="9146"/>
        <v>0</v>
      </c>
      <c r="J1812" s="200">
        <f t="shared" si="9146"/>
        <v>0</v>
      </c>
      <c r="K1812" s="200">
        <f t="shared" si="9146"/>
        <v>0</v>
      </c>
      <c r="L1812" s="200">
        <f t="shared" si="9146"/>
        <v>0</v>
      </c>
      <c r="M1812" s="200">
        <f t="shared" si="9146"/>
        <v>0</v>
      </c>
      <c r="N1812" s="200">
        <f t="shared" si="9146"/>
        <v>0</v>
      </c>
      <c r="O1812" s="200">
        <f t="shared" si="9146"/>
        <v>0</v>
      </c>
      <c r="P1812" s="200">
        <f t="shared" si="9"/>
        <v>0</v>
      </c>
      <c r="Q1812" s="200">
        <f t="shared" ref="Q1812:AC1812" si="9147">countif($D1812,"*"&amp;Q$2&amp;"*")</f>
        <v>0</v>
      </c>
      <c r="R1812" s="200">
        <f t="shared" si="9147"/>
        <v>0</v>
      </c>
      <c r="S1812" s="200">
        <f t="shared" si="9147"/>
        <v>0</v>
      </c>
      <c r="T1812" s="200">
        <f t="shared" si="9147"/>
        <v>0</v>
      </c>
      <c r="U1812" s="200">
        <f t="shared" si="9147"/>
        <v>0</v>
      </c>
      <c r="V1812" s="200">
        <f t="shared" si="9147"/>
        <v>0</v>
      </c>
      <c r="W1812" s="200">
        <f t="shared" si="9147"/>
        <v>0</v>
      </c>
      <c r="X1812" s="200">
        <f t="shared" si="9147"/>
        <v>0</v>
      </c>
      <c r="Y1812" s="200">
        <f t="shared" si="9147"/>
        <v>0</v>
      </c>
      <c r="Z1812" s="200">
        <f t="shared" si="9147"/>
        <v>0</v>
      </c>
      <c r="AA1812" s="200">
        <f t="shared" si="9147"/>
        <v>0</v>
      </c>
      <c r="AB1812" s="200">
        <f t="shared" si="9147"/>
        <v>0</v>
      </c>
      <c r="AC1812" s="200">
        <f t="shared" si="9147"/>
        <v>0</v>
      </c>
      <c r="AD1812" s="200">
        <f t="shared" si="11"/>
        <v>1</v>
      </c>
      <c r="AE1812" s="200">
        <f t="shared" ref="AE1812:AG1812" si="9148">countif($D1812,"*"&amp;AE$2&amp;"*")</f>
        <v>0</v>
      </c>
      <c r="AF1812" s="200">
        <f t="shared" si="9148"/>
        <v>0</v>
      </c>
      <c r="AG1812" s="200">
        <f t="shared" si="9148"/>
        <v>0</v>
      </c>
      <c r="AH1812" s="171">
        <f t="shared" si="13"/>
        <v>0</v>
      </c>
      <c r="AI1812" s="200">
        <f t="shared" si="14"/>
        <v>0</v>
      </c>
      <c r="AJ1812" s="200">
        <f>SUM(AK1812:AQ1812)</f>
        <v>0</v>
      </c>
      <c r="AK1812" s="201">
        <f t="shared" ref="AK1812:AS1812" si="9149">countif($D1812,"*"&amp;AK$2&amp;"*")</f>
        <v>0</v>
      </c>
      <c r="AL1812" s="201">
        <f t="shared" si="9149"/>
        <v>0</v>
      </c>
      <c r="AM1812" s="201">
        <f t="shared" si="9149"/>
        <v>0</v>
      </c>
      <c r="AN1812" s="201">
        <f t="shared" si="9149"/>
        <v>0</v>
      </c>
      <c r="AO1812" s="201">
        <f t="shared" si="9149"/>
        <v>0</v>
      </c>
      <c r="AP1812" s="201">
        <f t="shared" si="9149"/>
        <v>0</v>
      </c>
      <c r="AQ1812" s="201">
        <f t="shared" si="9149"/>
        <v>0</v>
      </c>
      <c r="AR1812" s="201">
        <f t="shared" si="9149"/>
        <v>0</v>
      </c>
      <c r="AS1812" s="200">
        <f t="shared" si="9149"/>
        <v>0</v>
      </c>
      <c r="AT1812" s="205">
        <v>0.0</v>
      </c>
      <c r="AU1812" s="200">
        <f t="shared" ref="AU1812:AX1812" si="9150">countif($D1812,"*"&amp;AU$2&amp;"*")</f>
        <v>1</v>
      </c>
      <c r="AV1812" s="200">
        <f t="shared" si="9150"/>
        <v>0</v>
      </c>
      <c r="AW1812" s="200">
        <f t="shared" si="9150"/>
        <v>0</v>
      </c>
      <c r="AX1812" s="200">
        <f t="shared" si="9150"/>
        <v>0</v>
      </c>
      <c r="AY1812" s="202">
        <v>0.0</v>
      </c>
      <c r="AZ1812" s="200"/>
      <c r="BA1812" s="171" t="str">
        <f t="shared" si="18"/>
        <v/>
      </c>
      <c r="BB1812" s="171" t="str">
        <f t="shared" si="19"/>
        <v/>
      </c>
      <c r="BC1812" s="171" t="str">
        <f t="shared" si="20"/>
        <v/>
      </c>
      <c r="BD1812" s="171" t="str">
        <f t="shared" si="21"/>
        <v>Institutional</v>
      </c>
      <c r="BE1812" s="171" t="str">
        <f t="shared" si="22"/>
        <v/>
      </c>
      <c r="BF1812" s="171" t="str">
        <f t="shared" si="23"/>
        <v>Institutional</v>
      </c>
    </row>
    <row r="1813">
      <c r="A1813" s="171">
        <f t="array" ref="A1813">XLOOKUP(C1813,FSE!A:A,FSE!C:C,"XXXXX",0,1)</f>
        <v>2019</v>
      </c>
      <c r="B1813" s="213" t="s">
        <v>5676</v>
      </c>
      <c r="C1813" s="214">
        <v>459.0</v>
      </c>
      <c r="D1813" s="215" t="s">
        <v>4355</v>
      </c>
      <c r="E1813" s="197" t="str">
        <f t="array" ref="E1813">XLOOKUP(C1813,FSE!A:A,FSE!Z:Z,"XXXXX",0,1)</f>
        <v>Publicly Available (1)</v>
      </c>
      <c r="F1813" s="213" t="s">
        <v>3394</v>
      </c>
      <c r="G1813" s="163" t="str">
        <f t="array" ref="G1813">IF(B1813="ICSE",IF(COUNTIFS(B:B,B1813,C:C,C1813)=XLOOKUP(C1813,ICSE!A:A,ICSE!AA:AA,"ERROR",0,1),"OK","ERROR"),IF(B1813="FSE",IF(COUNTIFS(B:B,B1813,C:C,C1813)=XLOOKUP(C1813,FSE!A:A,FSE!AA:AA,"ERROR",0,1),"OK","ERROR")))</f>
        <v>OK</v>
      </c>
      <c r="H1813" s="199">
        <f t="shared" ref="H1813:O1813" si="9151">countif($D1813,"*"&amp;H$2&amp;"*")</f>
        <v>1</v>
      </c>
      <c r="I1813" s="200">
        <f t="shared" si="9151"/>
        <v>0</v>
      </c>
      <c r="J1813" s="200">
        <f t="shared" si="9151"/>
        <v>0</v>
      </c>
      <c r="K1813" s="200">
        <f t="shared" si="9151"/>
        <v>0</v>
      </c>
      <c r="L1813" s="200">
        <f t="shared" si="9151"/>
        <v>0</v>
      </c>
      <c r="M1813" s="200">
        <f t="shared" si="9151"/>
        <v>0</v>
      </c>
      <c r="N1813" s="200">
        <f t="shared" si="9151"/>
        <v>0</v>
      </c>
      <c r="O1813" s="200">
        <f t="shared" si="9151"/>
        <v>0</v>
      </c>
      <c r="P1813" s="200">
        <f t="shared" si="9"/>
        <v>0</v>
      </c>
      <c r="Q1813" s="200">
        <f t="shared" ref="Q1813:AC1813" si="9152">countif($D1813,"*"&amp;Q$2&amp;"*")</f>
        <v>0</v>
      </c>
      <c r="R1813" s="200">
        <f t="shared" si="9152"/>
        <v>0</v>
      </c>
      <c r="S1813" s="200">
        <f t="shared" si="9152"/>
        <v>0</v>
      </c>
      <c r="T1813" s="200">
        <f t="shared" si="9152"/>
        <v>0</v>
      </c>
      <c r="U1813" s="200">
        <f t="shared" si="9152"/>
        <v>0</v>
      </c>
      <c r="V1813" s="200">
        <f t="shared" si="9152"/>
        <v>0</v>
      </c>
      <c r="W1813" s="200">
        <f t="shared" si="9152"/>
        <v>0</v>
      </c>
      <c r="X1813" s="200">
        <f t="shared" si="9152"/>
        <v>0</v>
      </c>
      <c r="Y1813" s="200">
        <f t="shared" si="9152"/>
        <v>0</v>
      </c>
      <c r="Z1813" s="200">
        <f t="shared" si="9152"/>
        <v>0</v>
      </c>
      <c r="AA1813" s="200">
        <f t="shared" si="9152"/>
        <v>0</v>
      </c>
      <c r="AB1813" s="200">
        <f t="shared" si="9152"/>
        <v>0</v>
      </c>
      <c r="AC1813" s="200">
        <f t="shared" si="9152"/>
        <v>0</v>
      </c>
      <c r="AD1813" s="200">
        <f t="shared" si="11"/>
        <v>0</v>
      </c>
      <c r="AE1813" s="200">
        <f t="shared" ref="AE1813:AG1813" si="9153">countif($D1813,"*"&amp;AE$2&amp;"*")</f>
        <v>0</v>
      </c>
      <c r="AF1813" s="200">
        <f t="shared" si="9153"/>
        <v>0</v>
      </c>
      <c r="AG1813" s="200">
        <f t="shared" si="9153"/>
        <v>0</v>
      </c>
      <c r="AH1813" s="171">
        <f t="shared" si="13"/>
        <v>0</v>
      </c>
      <c r="AI1813" s="200">
        <f t="shared" si="14"/>
        <v>1</v>
      </c>
      <c r="AJ1813" s="200">
        <f t="shared" ref="AJ1813:AJ1833" si="9159">SUM(AK1813:AR1813)</f>
        <v>0</v>
      </c>
      <c r="AK1813" s="201">
        <f t="shared" ref="AK1813:AS1813" si="9154">countif($D1813,"*"&amp;AK$2&amp;"*")</f>
        <v>0</v>
      </c>
      <c r="AL1813" s="201">
        <f t="shared" si="9154"/>
        <v>0</v>
      </c>
      <c r="AM1813" s="201">
        <f t="shared" si="9154"/>
        <v>0</v>
      </c>
      <c r="AN1813" s="201">
        <f t="shared" si="9154"/>
        <v>0</v>
      </c>
      <c r="AO1813" s="201">
        <f t="shared" si="9154"/>
        <v>0</v>
      </c>
      <c r="AP1813" s="201">
        <f t="shared" si="9154"/>
        <v>0</v>
      </c>
      <c r="AQ1813" s="201">
        <f t="shared" si="9154"/>
        <v>0</v>
      </c>
      <c r="AR1813" s="200">
        <f t="shared" si="9154"/>
        <v>0</v>
      </c>
      <c r="AS1813" s="200">
        <f t="shared" si="9154"/>
        <v>0</v>
      </c>
      <c r="AT1813" s="173">
        <v>0.0</v>
      </c>
      <c r="AU1813" s="200">
        <f t="shared" ref="AU1813:AX1813" si="9155">countif($D1813,"*"&amp;AU$2&amp;"*")</f>
        <v>0</v>
      </c>
      <c r="AV1813" s="200">
        <f t="shared" si="9155"/>
        <v>0</v>
      </c>
      <c r="AW1813" s="200">
        <f t="shared" si="9155"/>
        <v>0</v>
      </c>
      <c r="AX1813" s="200">
        <f t="shared" si="9155"/>
        <v>1</v>
      </c>
      <c r="AY1813" s="202">
        <v>0.0</v>
      </c>
      <c r="AZ1813" s="200"/>
      <c r="BA1813" s="171" t="str">
        <f t="shared" si="18"/>
        <v>Archival</v>
      </c>
      <c r="BB1813" s="171" t="str">
        <f t="shared" si="19"/>
        <v/>
      </c>
      <c r="BC1813" s="171" t="str">
        <f t="shared" si="20"/>
        <v/>
      </c>
      <c r="BD1813" s="171" t="str">
        <f t="shared" si="21"/>
        <v/>
      </c>
      <c r="BE1813" s="171" t="str">
        <f t="shared" si="22"/>
        <v/>
      </c>
      <c r="BF1813" s="171" t="str">
        <f t="shared" si="23"/>
        <v>Archival</v>
      </c>
    </row>
    <row r="1814">
      <c r="A1814" s="171">
        <f t="array" ref="A1814">XLOOKUP(C1814,FSE!A:A,FSE!C:C,"XXXXX",0,1)</f>
        <v>2019</v>
      </c>
      <c r="B1814" s="213" t="s">
        <v>5676</v>
      </c>
      <c r="C1814" s="214">
        <v>460.0</v>
      </c>
      <c r="D1814" s="215" t="s">
        <v>4358</v>
      </c>
      <c r="E1814" s="197" t="str">
        <f t="array" ref="E1814">XLOOKUP(C1814,FSE!A:A,FSE!Z:Z,"XXXXX",0,1)</f>
        <v>Publicly Available (1)</v>
      </c>
      <c r="F1814" s="213" t="s">
        <v>3394</v>
      </c>
      <c r="G1814" s="163" t="str">
        <f t="array" ref="G1814">IF(B1814="ICSE",IF(COUNTIFS(B:B,B1814,C:C,C1814)=XLOOKUP(C1814,ICSE!A:A,ICSE!AA:AA,"ERROR",0,1),"OK","ERROR"),IF(B1814="FSE",IF(COUNTIFS(B:B,B1814,C:C,C1814)=XLOOKUP(C1814,FSE!A:A,FSE!AA:AA,"ERROR",0,1),"OK","ERROR")))</f>
        <v>OK</v>
      </c>
      <c r="H1814" s="199">
        <f t="shared" ref="H1814:O1814" si="9156">countif($D1814,"*"&amp;H$2&amp;"*")</f>
        <v>0</v>
      </c>
      <c r="I1814" s="200">
        <f t="shared" si="9156"/>
        <v>0</v>
      </c>
      <c r="J1814" s="200">
        <f t="shared" si="9156"/>
        <v>0</v>
      </c>
      <c r="K1814" s="200">
        <f t="shared" si="9156"/>
        <v>0</v>
      </c>
      <c r="L1814" s="200">
        <f t="shared" si="9156"/>
        <v>0</v>
      </c>
      <c r="M1814" s="200">
        <f t="shared" si="9156"/>
        <v>0</v>
      </c>
      <c r="N1814" s="200">
        <f t="shared" si="9156"/>
        <v>0</v>
      </c>
      <c r="O1814" s="200">
        <f t="shared" si="9156"/>
        <v>0</v>
      </c>
      <c r="P1814" s="200">
        <f t="shared" si="9"/>
        <v>0</v>
      </c>
      <c r="Q1814" s="200">
        <f t="shared" ref="Q1814:AC1814" si="9157">countif($D1814,"*"&amp;Q$2&amp;"*")</f>
        <v>0</v>
      </c>
      <c r="R1814" s="200">
        <f t="shared" si="9157"/>
        <v>0</v>
      </c>
      <c r="S1814" s="200">
        <f t="shared" si="9157"/>
        <v>0</v>
      </c>
      <c r="T1814" s="200">
        <f t="shared" si="9157"/>
        <v>0</v>
      </c>
      <c r="U1814" s="200">
        <f t="shared" si="9157"/>
        <v>0</v>
      </c>
      <c r="V1814" s="200">
        <f t="shared" si="9157"/>
        <v>0</v>
      </c>
      <c r="W1814" s="200">
        <f t="shared" si="9157"/>
        <v>0</v>
      </c>
      <c r="X1814" s="200">
        <f t="shared" si="9157"/>
        <v>0</v>
      </c>
      <c r="Y1814" s="200">
        <f t="shared" si="9157"/>
        <v>0</v>
      </c>
      <c r="Z1814" s="200">
        <f t="shared" si="9157"/>
        <v>0</v>
      </c>
      <c r="AA1814" s="200">
        <f t="shared" si="9157"/>
        <v>0</v>
      </c>
      <c r="AB1814" s="200">
        <f t="shared" si="9157"/>
        <v>0</v>
      </c>
      <c r="AC1814" s="200">
        <f t="shared" si="9157"/>
        <v>0</v>
      </c>
      <c r="AD1814" s="200">
        <f t="shared" si="11"/>
        <v>0</v>
      </c>
      <c r="AE1814" s="200">
        <f t="shared" ref="AE1814:AG1814" si="9158">countif($D1814,"*"&amp;AE$2&amp;"*")</f>
        <v>0</v>
      </c>
      <c r="AF1814" s="200">
        <f t="shared" si="9158"/>
        <v>0</v>
      </c>
      <c r="AG1814" s="200">
        <f t="shared" si="9158"/>
        <v>0</v>
      </c>
      <c r="AH1814" s="171">
        <f t="shared" si="13"/>
        <v>1</v>
      </c>
      <c r="AI1814" s="200">
        <f t="shared" si="14"/>
        <v>0</v>
      </c>
      <c r="AJ1814" s="200">
        <f t="shared" si="9159"/>
        <v>0</v>
      </c>
      <c r="AK1814" s="201">
        <f t="shared" ref="AK1814:AS1814" si="9160">countif($D1814,"*"&amp;AK$2&amp;"*")</f>
        <v>0</v>
      </c>
      <c r="AL1814" s="201">
        <f t="shared" si="9160"/>
        <v>0</v>
      </c>
      <c r="AM1814" s="201">
        <f t="shared" si="9160"/>
        <v>0</v>
      </c>
      <c r="AN1814" s="201">
        <f t="shared" si="9160"/>
        <v>0</v>
      </c>
      <c r="AO1814" s="201">
        <f t="shared" si="9160"/>
        <v>0</v>
      </c>
      <c r="AP1814" s="201">
        <f t="shared" si="9160"/>
        <v>0</v>
      </c>
      <c r="AQ1814" s="201">
        <f t="shared" si="9160"/>
        <v>0</v>
      </c>
      <c r="AR1814" s="200">
        <f t="shared" si="9160"/>
        <v>0</v>
      </c>
      <c r="AS1814" s="200">
        <f t="shared" si="9160"/>
        <v>0</v>
      </c>
      <c r="AT1814" s="173">
        <v>0.0</v>
      </c>
      <c r="AU1814" s="200">
        <f t="shared" ref="AU1814:AX1814" si="9161">countif($D1814,"*"&amp;AU$2&amp;"*")</f>
        <v>0</v>
      </c>
      <c r="AV1814" s="200">
        <f t="shared" si="9161"/>
        <v>0</v>
      </c>
      <c r="AW1814" s="200">
        <f t="shared" si="9161"/>
        <v>0</v>
      </c>
      <c r="AX1814" s="200">
        <f t="shared" si="9161"/>
        <v>0</v>
      </c>
      <c r="AY1814" s="202">
        <v>0.0</v>
      </c>
      <c r="AZ1814" s="200"/>
      <c r="BA1814" s="171" t="str">
        <f t="shared" si="18"/>
        <v/>
      </c>
      <c r="BB1814" s="171" t="str">
        <f t="shared" si="19"/>
        <v/>
      </c>
      <c r="BC1814" s="171" t="str">
        <f t="shared" si="20"/>
        <v/>
      </c>
      <c r="BD1814" s="171" t="str">
        <f t="shared" si="21"/>
        <v/>
      </c>
      <c r="BE1814" s="171" t="str">
        <f t="shared" si="22"/>
        <v>Others</v>
      </c>
      <c r="BF1814" s="171" t="str">
        <f t="shared" si="23"/>
        <v>Others</v>
      </c>
    </row>
    <row r="1815">
      <c r="A1815" s="171">
        <f t="array" ref="A1815">XLOOKUP(C1815,FSE!A:A,FSE!C:C,"XXXXX",0,1)</f>
        <v>2019</v>
      </c>
      <c r="B1815" s="213" t="s">
        <v>5676</v>
      </c>
      <c r="C1815" s="214">
        <v>462.0</v>
      </c>
      <c r="D1815" s="217" t="s">
        <v>6455</v>
      </c>
      <c r="E1815" s="197" t="str">
        <f t="array" ref="E1815">XLOOKUP(C1815,FSE!A:A,FSE!Z:Z,"XXXXX",0,1)</f>
        <v>Publicly Available (1)</v>
      </c>
      <c r="F1815" s="213" t="s">
        <v>3394</v>
      </c>
      <c r="G1815" s="163" t="str">
        <f t="array" ref="G1815">IF(B1815="ICSE",IF(COUNTIFS(B:B,B1815,C:C,C1815)=XLOOKUP(C1815,ICSE!A:A,ICSE!AA:AA,"ERROR",0,1),"OK","ERROR"),IF(B1815="FSE",IF(COUNTIFS(B:B,B1815,C:C,C1815)=XLOOKUP(C1815,FSE!A:A,FSE!AA:AA,"ERROR",0,1),"OK","ERROR")))</f>
        <v>OK</v>
      </c>
      <c r="H1815" s="199">
        <f t="shared" ref="H1815:O1815" si="9162">countif($D1815,"*"&amp;H$2&amp;"*")</f>
        <v>0</v>
      </c>
      <c r="I1815" s="200">
        <f t="shared" si="9162"/>
        <v>0</v>
      </c>
      <c r="J1815" s="200">
        <f t="shared" si="9162"/>
        <v>0</v>
      </c>
      <c r="K1815" s="200">
        <f t="shared" si="9162"/>
        <v>0</v>
      </c>
      <c r="L1815" s="200">
        <f t="shared" si="9162"/>
        <v>0</v>
      </c>
      <c r="M1815" s="200">
        <f t="shared" si="9162"/>
        <v>0</v>
      </c>
      <c r="N1815" s="200">
        <f t="shared" si="9162"/>
        <v>0</v>
      </c>
      <c r="O1815" s="200">
        <f t="shared" si="9162"/>
        <v>0</v>
      </c>
      <c r="P1815" s="200">
        <f t="shared" si="9"/>
        <v>0</v>
      </c>
      <c r="Q1815" s="200">
        <f t="shared" ref="Q1815:AC1815" si="9163">countif($D1815,"*"&amp;Q$2&amp;"*")</f>
        <v>0</v>
      </c>
      <c r="R1815" s="200">
        <f t="shared" si="9163"/>
        <v>0</v>
      </c>
      <c r="S1815" s="200">
        <f t="shared" si="9163"/>
        <v>0</v>
      </c>
      <c r="T1815" s="200">
        <f t="shared" si="9163"/>
        <v>0</v>
      </c>
      <c r="U1815" s="200">
        <f t="shared" si="9163"/>
        <v>0</v>
      </c>
      <c r="V1815" s="200">
        <f t="shared" si="9163"/>
        <v>0</v>
      </c>
      <c r="W1815" s="200">
        <f t="shared" si="9163"/>
        <v>1</v>
      </c>
      <c r="X1815" s="200">
        <f t="shared" si="9163"/>
        <v>0</v>
      </c>
      <c r="Y1815" s="200">
        <f t="shared" si="9163"/>
        <v>0</v>
      </c>
      <c r="Z1815" s="200">
        <f t="shared" si="9163"/>
        <v>0</v>
      </c>
      <c r="AA1815" s="200">
        <f t="shared" si="9163"/>
        <v>0</v>
      </c>
      <c r="AB1815" s="200">
        <f t="shared" si="9163"/>
        <v>0</v>
      </c>
      <c r="AC1815" s="200">
        <f t="shared" si="9163"/>
        <v>0</v>
      </c>
      <c r="AD1815" s="200">
        <f t="shared" si="11"/>
        <v>0</v>
      </c>
      <c r="AE1815" s="200">
        <f t="shared" ref="AE1815:AG1815" si="9164">countif($D1815,"*"&amp;AE$2&amp;"*")</f>
        <v>0</v>
      </c>
      <c r="AF1815" s="200">
        <f t="shared" si="9164"/>
        <v>0</v>
      </c>
      <c r="AG1815" s="200">
        <f t="shared" si="9164"/>
        <v>0</v>
      </c>
      <c r="AH1815" s="171">
        <f t="shared" si="13"/>
        <v>0</v>
      </c>
      <c r="AI1815" s="200">
        <f t="shared" si="14"/>
        <v>0</v>
      </c>
      <c r="AJ1815" s="200">
        <f t="shared" si="9159"/>
        <v>1</v>
      </c>
      <c r="AK1815" s="201">
        <f t="shared" ref="AK1815:AS1815" si="9165">countif($D1815,"*"&amp;AK$2&amp;"*")</f>
        <v>0</v>
      </c>
      <c r="AL1815" s="201">
        <f t="shared" si="9165"/>
        <v>0</v>
      </c>
      <c r="AM1815" s="201">
        <f t="shared" si="9165"/>
        <v>1</v>
      </c>
      <c r="AN1815" s="201">
        <f t="shared" si="9165"/>
        <v>0</v>
      </c>
      <c r="AO1815" s="201">
        <f t="shared" si="9165"/>
        <v>0</v>
      </c>
      <c r="AP1815" s="201">
        <f t="shared" si="9165"/>
        <v>0</v>
      </c>
      <c r="AQ1815" s="201">
        <f t="shared" si="9165"/>
        <v>0</v>
      </c>
      <c r="AR1815" s="200">
        <f t="shared" si="9165"/>
        <v>0</v>
      </c>
      <c r="AS1815" s="200">
        <f t="shared" si="9165"/>
        <v>1</v>
      </c>
      <c r="AT1815" s="173">
        <v>0.0</v>
      </c>
      <c r="AU1815" s="200">
        <f t="shared" ref="AU1815:AX1815" si="9166">countif($D1815,"*"&amp;AU$2&amp;"*")</f>
        <v>0</v>
      </c>
      <c r="AV1815" s="200">
        <f t="shared" si="9166"/>
        <v>0</v>
      </c>
      <c r="AW1815" s="200">
        <f t="shared" si="9166"/>
        <v>0</v>
      </c>
      <c r="AX1815" s="200">
        <f t="shared" si="9166"/>
        <v>0</v>
      </c>
      <c r="AY1815" s="202">
        <v>0.0</v>
      </c>
      <c r="AZ1815" s="200"/>
      <c r="BA1815" s="171" t="str">
        <f t="shared" si="18"/>
        <v/>
      </c>
      <c r="BB1815" s="171" t="str">
        <f t="shared" si="19"/>
        <v/>
      </c>
      <c r="BC1815" s="171" t="str">
        <f t="shared" si="20"/>
        <v>General-purpose</v>
      </c>
      <c r="BD1815" s="171" t="str">
        <f t="shared" si="21"/>
        <v/>
      </c>
      <c r="BE1815" s="171" t="str">
        <f t="shared" si="22"/>
        <v/>
      </c>
      <c r="BF1815" s="171" t="str">
        <f t="shared" si="23"/>
        <v>General-purpose</v>
      </c>
    </row>
    <row r="1816">
      <c r="A1816" s="171">
        <f t="array" ref="A1816">XLOOKUP(C1816,FSE!A:A,FSE!C:C,"XXXXX",0,1)</f>
        <v>2019</v>
      </c>
      <c r="B1816" s="213" t="s">
        <v>5676</v>
      </c>
      <c r="C1816" s="214">
        <v>463.0</v>
      </c>
      <c r="D1816" s="215" t="s">
        <v>4367</v>
      </c>
      <c r="E1816" s="197" t="str">
        <f t="array" ref="E1816">XLOOKUP(C1816,FSE!A:A,FSE!Z:Z,"XXXXX",0,1)</f>
        <v>Publicly Available (1)</v>
      </c>
      <c r="F1816" s="213" t="s">
        <v>3394</v>
      </c>
      <c r="G1816" s="163" t="str">
        <f t="array" ref="G1816">IF(B1816="ICSE",IF(COUNTIFS(B:B,B1816,C:C,C1816)=XLOOKUP(C1816,ICSE!A:A,ICSE!AA:AA,"ERROR",0,1),"OK","ERROR"),IF(B1816="FSE",IF(COUNTIFS(B:B,B1816,C:C,C1816)=XLOOKUP(C1816,FSE!A:A,FSE!AA:AA,"ERROR",0,1),"OK","ERROR")))</f>
        <v>OK</v>
      </c>
      <c r="H1816" s="199">
        <f t="shared" ref="H1816:O1816" si="9167">countif($D1816,"*"&amp;H$2&amp;"*")</f>
        <v>1</v>
      </c>
      <c r="I1816" s="200">
        <f t="shared" si="9167"/>
        <v>0</v>
      </c>
      <c r="J1816" s="200">
        <f t="shared" si="9167"/>
        <v>0</v>
      </c>
      <c r="K1816" s="200">
        <f t="shared" si="9167"/>
        <v>0</v>
      </c>
      <c r="L1816" s="200">
        <f t="shared" si="9167"/>
        <v>0</v>
      </c>
      <c r="M1816" s="200">
        <f t="shared" si="9167"/>
        <v>0</v>
      </c>
      <c r="N1816" s="200">
        <f t="shared" si="9167"/>
        <v>0</v>
      </c>
      <c r="O1816" s="200">
        <f t="shared" si="9167"/>
        <v>0</v>
      </c>
      <c r="P1816" s="200">
        <f t="shared" si="9"/>
        <v>0</v>
      </c>
      <c r="Q1816" s="200">
        <f t="shared" ref="Q1816:AC1816" si="9168">countif($D1816,"*"&amp;Q$2&amp;"*")</f>
        <v>0</v>
      </c>
      <c r="R1816" s="200">
        <f t="shared" si="9168"/>
        <v>0</v>
      </c>
      <c r="S1816" s="200">
        <f t="shared" si="9168"/>
        <v>0</v>
      </c>
      <c r="T1816" s="200">
        <f t="shared" si="9168"/>
        <v>0</v>
      </c>
      <c r="U1816" s="200">
        <f t="shared" si="9168"/>
        <v>0</v>
      </c>
      <c r="V1816" s="200">
        <f t="shared" si="9168"/>
        <v>0</v>
      </c>
      <c r="W1816" s="200">
        <f t="shared" si="9168"/>
        <v>0</v>
      </c>
      <c r="X1816" s="200">
        <f t="shared" si="9168"/>
        <v>0</v>
      </c>
      <c r="Y1816" s="200">
        <f t="shared" si="9168"/>
        <v>0</v>
      </c>
      <c r="Z1816" s="200">
        <f t="shared" si="9168"/>
        <v>0</v>
      </c>
      <c r="AA1816" s="200">
        <f t="shared" si="9168"/>
        <v>0</v>
      </c>
      <c r="AB1816" s="200">
        <f t="shared" si="9168"/>
        <v>0</v>
      </c>
      <c r="AC1816" s="200">
        <f t="shared" si="9168"/>
        <v>0</v>
      </c>
      <c r="AD1816" s="200">
        <f t="shared" si="11"/>
        <v>0</v>
      </c>
      <c r="AE1816" s="200">
        <f t="shared" ref="AE1816:AG1816" si="9169">countif($D1816,"*"&amp;AE$2&amp;"*")</f>
        <v>0</v>
      </c>
      <c r="AF1816" s="200">
        <f t="shared" si="9169"/>
        <v>0</v>
      </c>
      <c r="AG1816" s="200">
        <f t="shared" si="9169"/>
        <v>0</v>
      </c>
      <c r="AH1816" s="171">
        <f t="shared" si="13"/>
        <v>0</v>
      </c>
      <c r="AI1816" s="200">
        <f t="shared" si="14"/>
        <v>1</v>
      </c>
      <c r="AJ1816" s="200">
        <f t="shared" si="9159"/>
        <v>0</v>
      </c>
      <c r="AK1816" s="201">
        <f t="shared" ref="AK1816:AS1816" si="9170">countif($D1816,"*"&amp;AK$2&amp;"*")</f>
        <v>0</v>
      </c>
      <c r="AL1816" s="201">
        <f t="shared" si="9170"/>
        <v>0</v>
      </c>
      <c r="AM1816" s="201">
        <f t="shared" si="9170"/>
        <v>0</v>
      </c>
      <c r="AN1816" s="201">
        <f t="shared" si="9170"/>
        <v>0</v>
      </c>
      <c r="AO1816" s="201">
        <f t="shared" si="9170"/>
        <v>0</v>
      </c>
      <c r="AP1816" s="201">
        <f t="shared" si="9170"/>
        <v>0</v>
      </c>
      <c r="AQ1816" s="201">
        <f t="shared" si="9170"/>
        <v>0</v>
      </c>
      <c r="AR1816" s="200">
        <f t="shared" si="9170"/>
        <v>0</v>
      </c>
      <c r="AS1816" s="200">
        <f t="shared" si="9170"/>
        <v>0</v>
      </c>
      <c r="AT1816" s="173">
        <v>0.0</v>
      </c>
      <c r="AU1816" s="200">
        <f t="shared" ref="AU1816:AX1816" si="9171">countif($D1816,"*"&amp;AU$2&amp;"*")</f>
        <v>0</v>
      </c>
      <c r="AV1816" s="200">
        <f t="shared" si="9171"/>
        <v>0</v>
      </c>
      <c r="AW1816" s="200">
        <f t="shared" si="9171"/>
        <v>0</v>
      </c>
      <c r="AX1816" s="200">
        <f t="shared" si="9171"/>
        <v>1</v>
      </c>
      <c r="AY1816" s="202">
        <v>0.0</v>
      </c>
      <c r="AZ1816" s="200"/>
      <c r="BA1816" s="171" t="str">
        <f t="shared" si="18"/>
        <v>Archival</v>
      </c>
      <c r="BB1816" s="171" t="str">
        <f t="shared" si="19"/>
        <v/>
      </c>
      <c r="BC1816" s="171" t="str">
        <f t="shared" si="20"/>
        <v/>
      </c>
      <c r="BD1816" s="171" t="str">
        <f t="shared" si="21"/>
        <v/>
      </c>
      <c r="BE1816" s="171" t="str">
        <f t="shared" si="22"/>
        <v/>
      </c>
      <c r="BF1816" s="171" t="str">
        <f t="shared" si="23"/>
        <v>Archival</v>
      </c>
    </row>
    <row r="1817">
      <c r="A1817" s="171">
        <f t="array" ref="A1817">XLOOKUP(C1817,FSE!A:A,FSE!C:C,"XXXXX",0,1)</f>
        <v>2019</v>
      </c>
      <c r="B1817" s="213" t="s">
        <v>5676</v>
      </c>
      <c r="C1817" s="214">
        <v>465.0</v>
      </c>
      <c r="D1817" s="215" t="s">
        <v>4371</v>
      </c>
      <c r="E1817" s="197" t="str">
        <f t="array" ref="E1817">XLOOKUP(C1817,FSE!A:A,FSE!Z:Z,"XXXXX",0,1)</f>
        <v>Publicly Available (1)</v>
      </c>
      <c r="F1817" s="213" t="s">
        <v>3394</v>
      </c>
      <c r="G1817" s="163" t="str">
        <f t="array" ref="G1817">IF(B1817="ICSE",IF(COUNTIFS(B:B,B1817,C:C,C1817)=XLOOKUP(C1817,ICSE!A:A,ICSE!AA:AA,"ERROR",0,1),"OK","ERROR"),IF(B1817="FSE",IF(COUNTIFS(B:B,B1817,C:C,C1817)=XLOOKUP(C1817,FSE!A:A,FSE!AA:AA,"ERROR",0,1),"OK","ERROR")))</f>
        <v>OK</v>
      </c>
      <c r="H1817" s="199">
        <f t="shared" ref="H1817:O1817" si="9172">countif($D1817,"*"&amp;H$2&amp;"*")</f>
        <v>0</v>
      </c>
      <c r="I1817" s="200">
        <f t="shared" si="9172"/>
        <v>0</v>
      </c>
      <c r="J1817" s="200">
        <f t="shared" si="9172"/>
        <v>0</v>
      </c>
      <c r="K1817" s="200">
        <f t="shared" si="9172"/>
        <v>0</v>
      </c>
      <c r="L1817" s="200">
        <f t="shared" si="9172"/>
        <v>0</v>
      </c>
      <c r="M1817" s="200">
        <f t="shared" si="9172"/>
        <v>0</v>
      </c>
      <c r="N1817" s="200">
        <f t="shared" si="9172"/>
        <v>0</v>
      </c>
      <c r="O1817" s="200">
        <f t="shared" si="9172"/>
        <v>0</v>
      </c>
      <c r="P1817" s="200">
        <f t="shared" si="9"/>
        <v>1</v>
      </c>
      <c r="Q1817" s="200">
        <f t="shared" ref="Q1817:AC1817" si="9173">countif($D1817,"*"&amp;Q$2&amp;"*")</f>
        <v>0</v>
      </c>
      <c r="R1817" s="200">
        <f t="shared" si="9173"/>
        <v>0</v>
      </c>
      <c r="S1817" s="200">
        <f t="shared" si="9173"/>
        <v>0</v>
      </c>
      <c r="T1817" s="200">
        <f t="shared" si="9173"/>
        <v>0</v>
      </c>
      <c r="U1817" s="200">
        <f t="shared" si="9173"/>
        <v>0</v>
      </c>
      <c r="V1817" s="200">
        <f t="shared" si="9173"/>
        <v>0</v>
      </c>
      <c r="W1817" s="200">
        <f t="shared" si="9173"/>
        <v>0</v>
      </c>
      <c r="X1817" s="200">
        <f t="shared" si="9173"/>
        <v>0</v>
      </c>
      <c r="Y1817" s="200">
        <f t="shared" si="9173"/>
        <v>0</v>
      </c>
      <c r="Z1817" s="200">
        <f t="shared" si="9173"/>
        <v>0</v>
      </c>
      <c r="AA1817" s="200">
        <f t="shared" si="9173"/>
        <v>0</v>
      </c>
      <c r="AB1817" s="200">
        <f t="shared" si="9173"/>
        <v>0</v>
      </c>
      <c r="AC1817" s="200">
        <f t="shared" si="9173"/>
        <v>0</v>
      </c>
      <c r="AD1817" s="200">
        <f t="shared" si="11"/>
        <v>0</v>
      </c>
      <c r="AE1817" s="200">
        <f t="shared" ref="AE1817:AG1817" si="9174">countif($D1817,"*"&amp;AE$2&amp;"*")</f>
        <v>0</v>
      </c>
      <c r="AF1817" s="200">
        <f t="shared" si="9174"/>
        <v>0</v>
      </c>
      <c r="AG1817" s="200">
        <f t="shared" si="9174"/>
        <v>0</v>
      </c>
      <c r="AH1817" s="171">
        <f t="shared" si="13"/>
        <v>0</v>
      </c>
      <c r="AI1817" s="200">
        <f t="shared" si="14"/>
        <v>0</v>
      </c>
      <c r="AJ1817" s="200">
        <f t="shared" si="9159"/>
        <v>0</v>
      </c>
      <c r="AK1817" s="201">
        <f t="shared" ref="AK1817:AS1817" si="9175">countif($D1817,"*"&amp;AK$2&amp;"*")</f>
        <v>0</v>
      </c>
      <c r="AL1817" s="201">
        <f t="shared" si="9175"/>
        <v>0</v>
      </c>
      <c r="AM1817" s="201">
        <f t="shared" si="9175"/>
        <v>0</v>
      </c>
      <c r="AN1817" s="201">
        <f t="shared" si="9175"/>
        <v>0</v>
      </c>
      <c r="AO1817" s="201">
        <f t="shared" si="9175"/>
        <v>0</v>
      </c>
      <c r="AP1817" s="201">
        <f t="shared" si="9175"/>
        <v>0</v>
      </c>
      <c r="AQ1817" s="201">
        <f t="shared" si="9175"/>
        <v>0</v>
      </c>
      <c r="AR1817" s="200">
        <f t="shared" si="9175"/>
        <v>0</v>
      </c>
      <c r="AS1817" s="200">
        <f t="shared" si="9175"/>
        <v>0</v>
      </c>
      <c r="AT1817" s="173">
        <v>0.0</v>
      </c>
      <c r="AU1817" s="200">
        <f t="shared" ref="AU1817:AX1817" si="9176">countif($D1817,"*"&amp;AU$2&amp;"*")</f>
        <v>0</v>
      </c>
      <c r="AV1817" s="200">
        <f t="shared" si="9176"/>
        <v>1</v>
      </c>
      <c r="AW1817" s="200">
        <f t="shared" si="9176"/>
        <v>0</v>
      </c>
      <c r="AX1817" s="200">
        <f t="shared" si="9176"/>
        <v>0</v>
      </c>
      <c r="AY1817" s="202">
        <v>0.0</v>
      </c>
      <c r="AZ1817" s="200"/>
      <c r="BA1817" s="171" t="str">
        <f t="shared" si="18"/>
        <v/>
      </c>
      <c r="BB1817" s="171" t="str">
        <f t="shared" si="19"/>
        <v>Code</v>
      </c>
      <c r="BC1817" s="171" t="str">
        <f t="shared" si="20"/>
        <v/>
      </c>
      <c r="BD1817" s="171" t="str">
        <f t="shared" si="21"/>
        <v/>
      </c>
      <c r="BE1817" s="171" t="str">
        <f t="shared" si="22"/>
        <v/>
      </c>
      <c r="BF1817" s="171" t="str">
        <f t="shared" si="23"/>
        <v>Code</v>
      </c>
    </row>
    <row r="1818">
      <c r="A1818" s="213">
        <f t="array" ref="A1818">XLOOKUP(C1818,FSE!A:A,FSE!C:C,"XXXXX",0,1)</f>
        <v>2019</v>
      </c>
      <c r="B1818" s="213" t="s">
        <v>5676</v>
      </c>
      <c r="C1818" s="220">
        <v>466.0</v>
      </c>
      <c r="D1818" s="217" t="s">
        <v>4373</v>
      </c>
      <c r="E1818" s="221" t="str">
        <f t="array" ref="E1818">XLOOKUP(C1818,FSE!A:A,FSE!Z:Z,"XXXXX",0,1)</f>
        <v>Publicly Available (1)</v>
      </c>
      <c r="F1818" s="213" t="s">
        <v>3394</v>
      </c>
      <c r="G1818" s="163" t="str">
        <f t="array" ref="G1818">IF(B1818="ICSE",IF(COUNTIFS(B:B,B1818,C:C,C1818)=XLOOKUP(C1818,ICSE!A:A,ICSE!AA:AA,"ERROR",0,1),"OK","ERROR"),IF(B1818="FSE",IF(COUNTIFS(B:B,B1818,C:C,C1818)=XLOOKUP(C1818,FSE!A:A,FSE!AA:AA,"ERROR",0,1),"OK","ERROR")))</f>
        <v>OK</v>
      </c>
      <c r="H1818" s="199">
        <f t="shared" ref="H1818:O1818" si="9177">countif($D1818,"*"&amp;H$2&amp;"*")</f>
        <v>0</v>
      </c>
      <c r="I1818" s="200">
        <f t="shared" si="9177"/>
        <v>0</v>
      </c>
      <c r="J1818" s="200">
        <f t="shared" si="9177"/>
        <v>0</v>
      </c>
      <c r="K1818" s="200">
        <f t="shared" si="9177"/>
        <v>0</v>
      </c>
      <c r="L1818" s="200">
        <f t="shared" si="9177"/>
        <v>0</v>
      </c>
      <c r="M1818" s="200">
        <f t="shared" si="9177"/>
        <v>0</v>
      </c>
      <c r="N1818" s="200">
        <f t="shared" si="9177"/>
        <v>0</v>
      </c>
      <c r="O1818" s="200">
        <f t="shared" si="9177"/>
        <v>0</v>
      </c>
      <c r="P1818" s="200">
        <f t="shared" si="9"/>
        <v>0</v>
      </c>
      <c r="Q1818" s="200">
        <f t="shared" ref="Q1818:AC1818" si="9178">countif($D1818,"*"&amp;Q$2&amp;"*")</f>
        <v>0</v>
      </c>
      <c r="R1818" s="200">
        <f t="shared" si="9178"/>
        <v>0</v>
      </c>
      <c r="S1818" s="200">
        <f t="shared" si="9178"/>
        <v>0</v>
      </c>
      <c r="T1818" s="200">
        <f t="shared" si="9178"/>
        <v>0</v>
      </c>
      <c r="U1818" s="200">
        <f t="shared" si="9178"/>
        <v>0</v>
      </c>
      <c r="V1818" s="200">
        <f t="shared" si="9178"/>
        <v>0</v>
      </c>
      <c r="W1818" s="200">
        <f t="shared" si="9178"/>
        <v>0</v>
      </c>
      <c r="X1818" s="200">
        <f t="shared" si="9178"/>
        <v>0</v>
      </c>
      <c r="Y1818" s="200">
        <f t="shared" si="9178"/>
        <v>0</v>
      </c>
      <c r="Z1818" s="200">
        <f t="shared" si="9178"/>
        <v>0</v>
      </c>
      <c r="AA1818" s="200">
        <f t="shared" si="9178"/>
        <v>1</v>
      </c>
      <c r="AB1818" s="200">
        <f t="shared" si="9178"/>
        <v>0</v>
      </c>
      <c r="AC1818" s="200">
        <f t="shared" si="9178"/>
        <v>0</v>
      </c>
      <c r="AD1818" s="222">
        <f t="shared" si="11"/>
        <v>0</v>
      </c>
      <c r="AE1818" s="200">
        <f t="shared" ref="AE1818:AG1818" si="9179">countif($D1818,"*"&amp;AE$2&amp;"*")</f>
        <v>0</v>
      </c>
      <c r="AF1818" s="200">
        <f t="shared" si="9179"/>
        <v>0</v>
      </c>
      <c r="AG1818" s="200">
        <f t="shared" si="9179"/>
        <v>0</v>
      </c>
      <c r="AH1818" s="171">
        <f t="shared" si="13"/>
        <v>0</v>
      </c>
      <c r="AI1818" s="200">
        <f t="shared" si="14"/>
        <v>0</v>
      </c>
      <c r="AJ1818" s="200">
        <f t="shared" si="9159"/>
        <v>0</v>
      </c>
      <c r="AK1818" s="201">
        <f t="shared" ref="AK1818:AS1818" si="9180">countif($D1818,"*"&amp;AK$2&amp;"*")</f>
        <v>0</v>
      </c>
      <c r="AL1818" s="201">
        <f t="shared" si="9180"/>
        <v>0</v>
      </c>
      <c r="AM1818" s="201">
        <f t="shared" si="9180"/>
        <v>0</v>
      </c>
      <c r="AN1818" s="201">
        <f t="shared" si="9180"/>
        <v>0</v>
      </c>
      <c r="AO1818" s="201">
        <f t="shared" si="9180"/>
        <v>0</v>
      </c>
      <c r="AP1818" s="201">
        <f t="shared" si="9180"/>
        <v>0</v>
      </c>
      <c r="AQ1818" s="201">
        <f t="shared" si="9180"/>
        <v>0</v>
      </c>
      <c r="AR1818" s="222">
        <f t="shared" si="9180"/>
        <v>0</v>
      </c>
      <c r="AS1818" s="200">
        <f t="shared" si="9180"/>
        <v>0</v>
      </c>
      <c r="AT1818" s="223">
        <v>0.0</v>
      </c>
      <c r="AU1818" s="200">
        <f t="shared" ref="AU1818:AX1818" si="9181">countif($D1818,"*"&amp;AU$2&amp;"*")</f>
        <v>0</v>
      </c>
      <c r="AV1818" s="200">
        <f t="shared" si="9181"/>
        <v>0</v>
      </c>
      <c r="AW1818" s="200">
        <f t="shared" si="9181"/>
        <v>0</v>
      </c>
      <c r="AX1818" s="200">
        <f t="shared" si="9181"/>
        <v>0</v>
      </c>
      <c r="AY1818" s="202">
        <v>0.0</v>
      </c>
      <c r="AZ1818" s="200"/>
      <c r="BA1818" s="171" t="str">
        <f t="shared" si="18"/>
        <v/>
      </c>
      <c r="BB1818" s="171" t="str">
        <f t="shared" si="19"/>
        <v/>
      </c>
      <c r="BC1818" s="171" t="str">
        <f t="shared" si="20"/>
        <v>General-purpose</v>
      </c>
      <c r="BD1818" s="171" t="str">
        <f t="shared" si="21"/>
        <v/>
      </c>
      <c r="BE1818" s="171" t="str">
        <f t="shared" si="22"/>
        <v/>
      </c>
      <c r="BF1818" s="171" t="str">
        <f t="shared" si="23"/>
        <v>General-purpose</v>
      </c>
    </row>
    <row r="1819">
      <c r="A1819" s="171">
        <f t="array" ref="A1819">XLOOKUP(C1819,FSE!A:A,FSE!C:C,"XXXXX",0,1)</f>
        <v>2019</v>
      </c>
      <c r="B1819" s="213" t="s">
        <v>5676</v>
      </c>
      <c r="C1819" s="214">
        <v>467.0</v>
      </c>
      <c r="D1819" s="215" t="s">
        <v>4375</v>
      </c>
      <c r="E1819" s="197" t="str">
        <f t="array" ref="E1819">XLOOKUP(C1819,FSE!A:A,FSE!Z:Z,"XXXXX",0,1)</f>
        <v>Not Available (1)</v>
      </c>
      <c r="F1819" s="213" t="s">
        <v>3395</v>
      </c>
      <c r="G1819" s="163" t="str">
        <f t="array" ref="G1819">IF(B1819="ICSE",IF(COUNTIFS(B:B,B1819,C:C,C1819)=XLOOKUP(C1819,ICSE!A:A,ICSE!AA:AA,"ERROR",0,1),"OK","ERROR"),IF(B1819="FSE",IF(COUNTIFS(B:B,B1819,C:C,C1819)=XLOOKUP(C1819,FSE!A:A,FSE!AA:AA,"ERROR",0,1),"OK","ERROR")))</f>
        <v>OK</v>
      </c>
      <c r="H1819" s="199">
        <f t="shared" ref="H1819:O1819" si="9182">countif($D1819,"*"&amp;H$2&amp;"*")</f>
        <v>0</v>
      </c>
      <c r="I1819" s="200">
        <f t="shared" si="9182"/>
        <v>0</v>
      </c>
      <c r="J1819" s="200">
        <f t="shared" si="9182"/>
        <v>0</v>
      </c>
      <c r="K1819" s="200">
        <f t="shared" si="9182"/>
        <v>0</v>
      </c>
      <c r="L1819" s="200">
        <f t="shared" si="9182"/>
        <v>0</v>
      </c>
      <c r="M1819" s="200">
        <f t="shared" si="9182"/>
        <v>0</v>
      </c>
      <c r="N1819" s="200">
        <f t="shared" si="9182"/>
        <v>0</v>
      </c>
      <c r="O1819" s="200">
        <f t="shared" si="9182"/>
        <v>0</v>
      </c>
      <c r="P1819" s="200">
        <f t="shared" si="9"/>
        <v>0</v>
      </c>
      <c r="Q1819" s="200">
        <f t="shared" ref="Q1819:AC1819" si="9183">countif($D1819,"*"&amp;Q$2&amp;"*")</f>
        <v>0</v>
      </c>
      <c r="R1819" s="200">
        <f t="shared" si="9183"/>
        <v>0</v>
      </c>
      <c r="S1819" s="200">
        <f t="shared" si="9183"/>
        <v>0</v>
      </c>
      <c r="T1819" s="200">
        <f t="shared" si="9183"/>
        <v>0</v>
      </c>
      <c r="U1819" s="200">
        <f t="shared" si="9183"/>
        <v>0</v>
      </c>
      <c r="V1819" s="200">
        <f t="shared" si="9183"/>
        <v>0</v>
      </c>
      <c r="W1819" s="200">
        <f t="shared" si="9183"/>
        <v>0</v>
      </c>
      <c r="X1819" s="200">
        <f t="shared" si="9183"/>
        <v>0</v>
      </c>
      <c r="Y1819" s="200">
        <f t="shared" si="9183"/>
        <v>0</v>
      </c>
      <c r="Z1819" s="200">
        <f t="shared" si="9183"/>
        <v>0</v>
      </c>
      <c r="AA1819" s="200">
        <f t="shared" si="9183"/>
        <v>1</v>
      </c>
      <c r="AB1819" s="200">
        <f t="shared" si="9183"/>
        <v>0</v>
      </c>
      <c r="AC1819" s="200">
        <f t="shared" si="9183"/>
        <v>0</v>
      </c>
      <c r="AD1819" s="200">
        <f t="shared" si="11"/>
        <v>0</v>
      </c>
      <c r="AE1819" s="200">
        <f t="shared" ref="AE1819:AG1819" si="9184">countif($D1819,"*"&amp;AE$2&amp;"*")</f>
        <v>0</v>
      </c>
      <c r="AF1819" s="200">
        <f t="shared" si="9184"/>
        <v>0</v>
      </c>
      <c r="AG1819" s="200">
        <f t="shared" si="9184"/>
        <v>0</v>
      </c>
      <c r="AH1819" s="171">
        <f t="shared" si="13"/>
        <v>0</v>
      </c>
      <c r="AI1819" s="200">
        <f t="shared" si="14"/>
        <v>0</v>
      </c>
      <c r="AJ1819" s="200">
        <f t="shared" si="9159"/>
        <v>0</v>
      </c>
      <c r="AK1819" s="201">
        <f t="shared" ref="AK1819:AS1819" si="9185">countif($D1819,"*"&amp;AK$2&amp;"*")</f>
        <v>0</v>
      </c>
      <c r="AL1819" s="201">
        <f t="shared" si="9185"/>
        <v>0</v>
      </c>
      <c r="AM1819" s="201">
        <f t="shared" si="9185"/>
        <v>0</v>
      </c>
      <c r="AN1819" s="201">
        <f t="shared" si="9185"/>
        <v>0</v>
      </c>
      <c r="AO1819" s="201">
        <f t="shared" si="9185"/>
        <v>0</v>
      </c>
      <c r="AP1819" s="201">
        <f t="shared" si="9185"/>
        <v>0</v>
      </c>
      <c r="AQ1819" s="201">
        <f t="shared" si="9185"/>
        <v>0</v>
      </c>
      <c r="AR1819" s="200">
        <f t="shared" si="9185"/>
        <v>0</v>
      </c>
      <c r="AS1819" s="200">
        <f t="shared" si="9185"/>
        <v>0</v>
      </c>
      <c r="AT1819" s="173">
        <v>0.0</v>
      </c>
      <c r="AU1819" s="200">
        <f t="shared" ref="AU1819:AX1819" si="9186">countif($D1819,"*"&amp;AU$2&amp;"*")</f>
        <v>0</v>
      </c>
      <c r="AV1819" s="200">
        <f t="shared" si="9186"/>
        <v>0</v>
      </c>
      <c r="AW1819" s="200">
        <f t="shared" si="9186"/>
        <v>0</v>
      </c>
      <c r="AX1819" s="200">
        <f t="shared" si="9186"/>
        <v>0</v>
      </c>
      <c r="AY1819" s="202">
        <v>0.0</v>
      </c>
      <c r="AZ1819" s="200"/>
      <c r="BA1819" s="171" t="str">
        <f t="shared" si="18"/>
        <v/>
      </c>
      <c r="BB1819" s="171" t="str">
        <f t="shared" si="19"/>
        <v/>
      </c>
      <c r="BC1819" s="171" t="str">
        <f t="shared" si="20"/>
        <v>General-purpose</v>
      </c>
      <c r="BD1819" s="171" t="str">
        <f t="shared" si="21"/>
        <v/>
      </c>
      <c r="BE1819" s="171" t="str">
        <f t="shared" si="22"/>
        <v/>
      </c>
      <c r="BF1819" s="171" t="str">
        <f t="shared" si="23"/>
        <v>General-purpose</v>
      </c>
    </row>
    <row r="1820">
      <c r="A1820" s="171">
        <f t="array" ref="A1820">XLOOKUP(C1820,FSE!A:A,FSE!C:C,"XXXXX",0,1)</f>
        <v>2019</v>
      </c>
      <c r="B1820" s="213" t="s">
        <v>5676</v>
      </c>
      <c r="C1820" s="214">
        <v>468.0</v>
      </c>
      <c r="D1820" s="215" t="s">
        <v>4378</v>
      </c>
      <c r="E1820" s="197" t="str">
        <f t="array" ref="E1820">XLOOKUP(C1820,FSE!A:A,FSE!Z:Z,"XXXXX",0,1)</f>
        <v>Publicly Available (1)</v>
      </c>
      <c r="F1820" s="213" t="s">
        <v>3394</v>
      </c>
      <c r="G1820" s="163" t="str">
        <f t="array" ref="G1820">IF(B1820="ICSE",IF(COUNTIFS(B:B,B1820,C:C,C1820)=XLOOKUP(C1820,ICSE!A:A,ICSE!AA:AA,"ERROR",0,1),"OK","ERROR"),IF(B1820="FSE",IF(COUNTIFS(B:B,B1820,C:C,C1820)=XLOOKUP(C1820,FSE!A:A,FSE!AA:AA,"ERROR",0,1),"OK","ERROR")))</f>
        <v>OK</v>
      </c>
      <c r="H1820" s="199">
        <f t="shared" ref="H1820:O1820" si="9187">countif($D1820,"*"&amp;H$2&amp;"*")</f>
        <v>0</v>
      </c>
      <c r="I1820" s="200">
        <f t="shared" si="9187"/>
        <v>0</v>
      </c>
      <c r="J1820" s="200">
        <f t="shared" si="9187"/>
        <v>0</v>
      </c>
      <c r="K1820" s="200">
        <f t="shared" si="9187"/>
        <v>0</v>
      </c>
      <c r="L1820" s="200">
        <f t="shared" si="9187"/>
        <v>0</v>
      </c>
      <c r="M1820" s="200">
        <f t="shared" si="9187"/>
        <v>0</v>
      </c>
      <c r="N1820" s="200">
        <f t="shared" si="9187"/>
        <v>0</v>
      </c>
      <c r="O1820" s="200">
        <f t="shared" si="9187"/>
        <v>0</v>
      </c>
      <c r="P1820" s="200">
        <f t="shared" si="9"/>
        <v>1</v>
      </c>
      <c r="Q1820" s="200">
        <f t="shared" ref="Q1820:AC1820" si="9188">countif($D1820,"*"&amp;Q$2&amp;"*")</f>
        <v>0</v>
      </c>
      <c r="R1820" s="200">
        <f t="shared" si="9188"/>
        <v>0</v>
      </c>
      <c r="S1820" s="200">
        <f t="shared" si="9188"/>
        <v>0</v>
      </c>
      <c r="T1820" s="200">
        <f t="shared" si="9188"/>
        <v>0</v>
      </c>
      <c r="U1820" s="200">
        <f t="shared" si="9188"/>
        <v>0</v>
      </c>
      <c r="V1820" s="200">
        <f t="shared" si="9188"/>
        <v>0</v>
      </c>
      <c r="W1820" s="200">
        <f t="shared" si="9188"/>
        <v>0</v>
      </c>
      <c r="X1820" s="200">
        <f t="shared" si="9188"/>
        <v>0</v>
      </c>
      <c r="Y1820" s="200">
        <f t="shared" si="9188"/>
        <v>0</v>
      </c>
      <c r="Z1820" s="200">
        <f t="shared" si="9188"/>
        <v>0</v>
      </c>
      <c r="AA1820" s="200">
        <f t="shared" si="9188"/>
        <v>0</v>
      </c>
      <c r="AB1820" s="200">
        <f t="shared" si="9188"/>
        <v>0</v>
      </c>
      <c r="AC1820" s="200">
        <f t="shared" si="9188"/>
        <v>0</v>
      </c>
      <c r="AD1820" s="200">
        <f t="shared" si="11"/>
        <v>0</v>
      </c>
      <c r="AE1820" s="200">
        <f t="shared" ref="AE1820:AG1820" si="9189">countif($D1820,"*"&amp;AE$2&amp;"*")</f>
        <v>0</v>
      </c>
      <c r="AF1820" s="200">
        <f t="shared" si="9189"/>
        <v>0</v>
      </c>
      <c r="AG1820" s="200">
        <f t="shared" si="9189"/>
        <v>0</v>
      </c>
      <c r="AH1820" s="171">
        <f t="shared" si="13"/>
        <v>0</v>
      </c>
      <c r="AI1820" s="200">
        <f t="shared" si="14"/>
        <v>0</v>
      </c>
      <c r="AJ1820" s="200">
        <f t="shared" si="9159"/>
        <v>0</v>
      </c>
      <c r="AK1820" s="201">
        <f t="shared" ref="AK1820:AS1820" si="9190">countif($D1820,"*"&amp;AK$2&amp;"*")</f>
        <v>0</v>
      </c>
      <c r="AL1820" s="201">
        <f t="shared" si="9190"/>
        <v>0</v>
      </c>
      <c r="AM1820" s="201">
        <f t="shared" si="9190"/>
        <v>0</v>
      </c>
      <c r="AN1820" s="201">
        <f t="shared" si="9190"/>
        <v>0</v>
      </c>
      <c r="AO1820" s="201">
        <f t="shared" si="9190"/>
        <v>0</v>
      </c>
      <c r="AP1820" s="201">
        <f t="shared" si="9190"/>
        <v>0</v>
      </c>
      <c r="AQ1820" s="201">
        <f t="shared" si="9190"/>
        <v>0</v>
      </c>
      <c r="AR1820" s="200">
        <f t="shared" si="9190"/>
        <v>0</v>
      </c>
      <c r="AS1820" s="200">
        <f t="shared" si="9190"/>
        <v>0</v>
      </c>
      <c r="AT1820" s="173">
        <v>0.0</v>
      </c>
      <c r="AU1820" s="200">
        <f t="shared" ref="AU1820:AX1820" si="9191">countif($D1820,"*"&amp;AU$2&amp;"*")</f>
        <v>0</v>
      </c>
      <c r="AV1820" s="200">
        <f t="shared" si="9191"/>
        <v>1</v>
      </c>
      <c r="AW1820" s="200">
        <f t="shared" si="9191"/>
        <v>0</v>
      </c>
      <c r="AX1820" s="200">
        <f t="shared" si="9191"/>
        <v>0</v>
      </c>
      <c r="AY1820" s="202">
        <v>0.0</v>
      </c>
      <c r="AZ1820" s="200"/>
      <c r="BA1820" s="171" t="str">
        <f t="shared" si="18"/>
        <v/>
      </c>
      <c r="BB1820" s="171" t="str">
        <f t="shared" si="19"/>
        <v>Code</v>
      </c>
      <c r="BC1820" s="171" t="str">
        <f t="shared" si="20"/>
        <v/>
      </c>
      <c r="BD1820" s="171" t="str">
        <f t="shared" si="21"/>
        <v/>
      </c>
      <c r="BE1820" s="171" t="str">
        <f t="shared" si="22"/>
        <v/>
      </c>
      <c r="BF1820" s="171" t="str">
        <f t="shared" si="23"/>
        <v>Code</v>
      </c>
    </row>
    <row r="1821">
      <c r="A1821" s="171">
        <f t="array" ref="A1821">XLOOKUP(C1821,FSE!A:A,FSE!C:C,"XXXXX",0,1)</f>
        <v>2019</v>
      </c>
      <c r="B1821" s="213" t="s">
        <v>5676</v>
      </c>
      <c r="C1821" s="214">
        <v>470.0</v>
      </c>
      <c r="D1821" s="215" t="s">
        <v>6456</v>
      </c>
      <c r="E1821" s="197" t="str">
        <f t="array" ref="E1821">XLOOKUP(C1821,FSE!A:A,FSE!Z:Z,"XXXXX",0,1)</f>
        <v>Publicly Available (2)</v>
      </c>
      <c r="F1821" s="213" t="s">
        <v>3394</v>
      </c>
      <c r="G1821" s="163" t="str">
        <f t="array" ref="G1821">IF(B1821="ICSE",IF(COUNTIFS(B:B,B1821,C:C,C1821)=XLOOKUP(C1821,ICSE!A:A,ICSE!AA:AA,"ERROR",0,1),"OK","ERROR"),IF(B1821="FSE",IF(COUNTIFS(B:B,B1821,C:C,C1821)=XLOOKUP(C1821,FSE!A:A,FSE!AA:AA,"ERROR",0,1),"OK","ERROR")))</f>
        <v>OK</v>
      </c>
      <c r="H1821" s="199">
        <f t="shared" ref="H1821:O1821" si="9192">countif($D1821,"*"&amp;H$2&amp;"*")</f>
        <v>0</v>
      </c>
      <c r="I1821" s="200">
        <f t="shared" si="9192"/>
        <v>0</v>
      </c>
      <c r="J1821" s="200">
        <f t="shared" si="9192"/>
        <v>0</v>
      </c>
      <c r="K1821" s="200">
        <f t="shared" si="9192"/>
        <v>0</v>
      </c>
      <c r="L1821" s="200">
        <f t="shared" si="9192"/>
        <v>0</v>
      </c>
      <c r="M1821" s="200">
        <f t="shared" si="9192"/>
        <v>0</v>
      </c>
      <c r="N1821" s="200">
        <f t="shared" si="9192"/>
        <v>0</v>
      </c>
      <c r="O1821" s="200">
        <f t="shared" si="9192"/>
        <v>0</v>
      </c>
      <c r="P1821" s="200">
        <f t="shared" si="9"/>
        <v>1</v>
      </c>
      <c r="Q1821" s="200">
        <f t="shared" ref="Q1821:AC1821" si="9193">countif($D1821,"*"&amp;Q$2&amp;"*")</f>
        <v>0</v>
      </c>
      <c r="R1821" s="200">
        <f t="shared" si="9193"/>
        <v>0</v>
      </c>
      <c r="S1821" s="200">
        <f t="shared" si="9193"/>
        <v>0</v>
      </c>
      <c r="T1821" s="200">
        <f t="shared" si="9193"/>
        <v>0</v>
      </c>
      <c r="U1821" s="200">
        <f t="shared" si="9193"/>
        <v>0</v>
      </c>
      <c r="V1821" s="200">
        <f t="shared" si="9193"/>
        <v>0</v>
      </c>
      <c r="W1821" s="200">
        <f t="shared" si="9193"/>
        <v>0</v>
      </c>
      <c r="X1821" s="200">
        <f t="shared" si="9193"/>
        <v>0</v>
      </c>
      <c r="Y1821" s="200">
        <f t="shared" si="9193"/>
        <v>0</v>
      </c>
      <c r="Z1821" s="200">
        <f t="shared" si="9193"/>
        <v>0</v>
      </c>
      <c r="AA1821" s="200">
        <f t="shared" si="9193"/>
        <v>0</v>
      </c>
      <c r="AB1821" s="200">
        <f t="shared" si="9193"/>
        <v>0</v>
      </c>
      <c r="AC1821" s="200">
        <f t="shared" si="9193"/>
        <v>0</v>
      </c>
      <c r="AD1821" s="200">
        <f t="shared" si="11"/>
        <v>0</v>
      </c>
      <c r="AE1821" s="200">
        <f t="shared" ref="AE1821:AG1821" si="9194">countif($D1821,"*"&amp;AE$2&amp;"*")</f>
        <v>0</v>
      </c>
      <c r="AF1821" s="200">
        <f t="shared" si="9194"/>
        <v>0</v>
      </c>
      <c r="AG1821" s="200">
        <f t="shared" si="9194"/>
        <v>0</v>
      </c>
      <c r="AH1821" s="171">
        <f t="shared" si="13"/>
        <v>0</v>
      </c>
      <c r="AI1821" s="200">
        <f t="shared" si="14"/>
        <v>0</v>
      </c>
      <c r="AJ1821" s="200">
        <f t="shared" si="9159"/>
        <v>0</v>
      </c>
      <c r="AK1821" s="201">
        <f t="shared" ref="AK1821:AS1821" si="9195">countif($D1821,"*"&amp;AK$2&amp;"*")</f>
        <v>0</v>
      </c>
      <c r="AL1821" s="201">
        <f t="shared" si="9195"/>
        <v>0</v>
      </c>
      <c r="AM1821" s="201">
        <f t="shared" si="9195"/>
        <v>0</v>
      </c>
      <c r="AN1821" s="201">
        <f t="shared" si="9195"/>
        <v>0</v>
      </c>
      <c r="AO1821" s="201">
        <f t="shared" si="9195"/>
        <v>0</v>
      </c>
      <c r="AP1821" s="201">
        <f t="shared" si="9195"/>
        <v>0</v>
      </c>
      <c r="AQ1821" s="201">
        <f t="shared" si="9195"/>
        <v>0</v>
      </c>
      <c r="AR1821" s="200">
        <f t="shared" si="9195"/>
        <v>0</v>
      </c>
      <c r="AS1821" s="200">
        <f t="shared" si="9195"/>
        <v>0</v>
      </c>
      <c r="AT1821" s="173">
        <v>0.0</v>
      </c>
      <c r="AU1821" s="200">
        <f t="shared" ref="AU1821:AX1821" si="9196">countif($D1821,"*"&amp;AU$2&amp;"*")</f>
        <v>0</v>
      </c>
      <c r="AV1821" s="200">
        <f t="shared" si="9196"/>
        <v>1</v>
      </c>
      <c r="AW1821" s="200">
        <f t="shared" si="9196"/>
        <v>0</v>
      </c>
      <c r="AX1821" s="200">
        <f t="shared" si="9196"/>
        <v>0</v>
      </c>
      <c r="AY1821" s="202">
        <v>0.0</v>
      </c>
      <c r="AZ1821" s="200"/>
      <c r="BA1821" s="171" t="str">
        <f t="shared" si="18"/>
        <v/>
      </c>
      <c r="BB1821" s="171" t="str">
        <f t="shared" si="19"/>
        <v>Code</v>
      </c>
      <c r="BC1821" s="171" t="str">
        <f t="shared" si="20"/>
        <v/>
      </c>
      <c r="BD1821" s="171" t="str">
        <f t="shared" si="21"/>
        <v/>
      </c>
      <c r="BE1821" s="171" t="str">
        <f t="shared" si="22"/>
        <v/>
      </c>
      <c r="BF1821" s="171" t="str">
        <f t="shared" si="23"/>
        <v>Code</v>
      </c>
    </row>
    <row r="1822">
      <c r="A1822" s="171">
        <f t="array" ref="A1822">XLOOKUP(C1822,FSE!A:A,FSE!C:C,"XXXXX",0,1)</f>
        <v>2019</v>
      </c>
      <c r="B1822" s="213" t="s">
        <v>5676</v>
      </c>
      <c r="C1822" s="214">
        <v>470.0</v>
      </c>
      <c r="D1822" s="215" t="s">
        <v>6457</v>
      </c>
      <c r="E1822" s="197" t="str">
        <f t="array" ref="E1822">XLOOKUP(C1822,FSE!A:A,FSE!Z:Z,"XXXXX",0,1)</f>
        <v>Publicly Available (2)</v>
      </c>
      <c r="F1822" s="213" t="s">
        <v>3394</v>
      </c>
      <c r="G1822" s="163" t="str">
        <f t="array" ref="G1822">IF(B1822="ICSE",IF(COUNTIFS(B:B,B1822,C:C,C1822)=XLOOKUP(C1822,ICSE!A:A,ICSE!AA:AA,"ERROR",0,1),"OK","ERROR"),IF(B1822="FSE",IF(COUNTIFS(B:B,B1822,C:C,C1822)=XLOOKUP(C1822,FSE!A:A,FSE!AA:AA,"ERROR",0,1),"OK","ERROR")))</f>
        <v>OK</v>
      </c>
      <c r="H1822" s="199">
        <f t="shared" ref="H1822:O1822" si="9197">countif($D1822,"*"&amp;H$2&amp;"*")</f>
        <v>0</v>
      </c>
      <c r="I1822" s="200">
        <f t="shared" si="9197"/>
        <v>0</v>
      </c>
      <c r="J1822" s="200">
        <f t="shared" si="9197"/>
        <v>0</v>
      </c>
      <c r="K1822" s="200">
        <f t="shared" si="9197"/>
        <v>0</v>
      </c>
      <c r="L1822" s="200">
        <f t="shared" si="9197"/>
        <v>0</v>
      </c>
      <c r="M1822" s="200">
        <f t="shared" si="9197"/>
        <v>0</v>
      </c>
      <c r="N1822" s="200">
        <f t="shared" si="9197"/>
        <v>0</v>
      </c>
      <c r="O1822" s="200">
        <f t="shared" si="9197"/>
        <v>0</v>
      </c>
      <c r="P1822" s="200">
        <f t="shared" si="9"/>
        <v>1</v>
      </c>
      <c r="Q1822" s="200">
        <f t="shared" ref="Q1822:AC1822" si="9198">countif($D1822,"*"&amp;Q$2&amp;"*")</f>
        <v>0</v>
      </c>
      <c r="R1822" s="200">
        <f t="shared" si="9198"/>
        <v>0</v>
      </c>
      <c r="S1822" s="200">
        <f t="shared" si="9198"/>
        <v>0</v>
      </c>
      <c r="T1822" s="200">
        <f t="shared" si="9198"/>
        <v>0</v>
      </c>
      <c r="U1822" s="200">
        <f t="shared" si="9198"/>
        <v>0</v>
      </c>
      <c r="V1822" s="200">
        <f t="shared" si="9198"/>
        <v>0</v>
      </c>
      <c r="W1822" s="200">
        <f t="shared" si="9198"/>
        <v>0</v>
      </c>
      <c r="X1822" s="200">
        <f t="shared" si="9198"/>
        <v>0</v>
      </c>
      <c r="Y1822" s="200">
        <f t="shared" si="9198"/>
        <v>0</v>
      </c>
      <c r="Z1822" s="200">
        <f t="shared" si="9198"/>
        <v>0</v>
      </c>
      <c r="AA1822" s="200">
        <f t="shared" si="9198"/>
        <v>0</v>
      </c>
      <c r="AB1822" s="200">
        <f t="shared" si="9198"/>
        <v>0</v>
      </c>
      <c r="AC1822" s="200">
        <f t="shared" si="9198"/>
        <v>0</v>
      </c>
      <c r="AD1822" s="200">
        <f t="shared" si="11"/>
        <v>0</v>
      </c>
      <c r="AE1822" s="200">
        <f t="shared" ref="AE1822:AG1822" si="9199">countif($D1822,"*"&amp;AE$2&amp;"*")</f>
        <v>0</v>
      </c>
      <c r="AF1822" s="200">
        <f t="shared" si="9199"/>
        <v>0</v>
      </c>
      <c r="AG1822" s="200">
        <f t="shared" si="9199"/>
        <v>0</v>
      </c>
      <c r="AH1822" s="171">
        <f t="shared" si="13"/>
        <v>0</v>
      </c>
      <c r="AI1822" s="200">
        <f t="shared" si="14"/>
        <v>0</v>
      </c>
      <c r="AJ1822" s="200">
        <f t="shared" si="9159"/>
        <v>0</v>
      </c>
      <c r="AK1822" s="201">
        <f t="shared" ref="AK1822:AS1822" si="9200">countif($D1822,"*"&amp;AK$2&amp;"*")</f>
        <v>0</v>
      </c>
      <c r="AL1822" s="201">
        <f t="shared" si="9200"/>
        <v>0</v>
      </c>
      <c r="AM1822" s="201">
        <f t="shared" si="9200"/>
        <v>0</v>
      </c>
      <c r="AN1822" s="201">
        <f t="shared" si="9200"/>
        <v>0</v>
      </c>
      <c r="AO1822" s="201">
        <f t="shared" si="9200"/>
        <v>0</v>
      </c>
      <c r="AP1822" s="201">
        <f t="shared" si="9200"/>
        <v>0</v>
      </c>
      <c r="AQ1822" s="201">
        <f t="shared" si="9200"/>
        <v>0</v>
      </c>
      <c r="AR1822" s="200">
        <f t="shared" si="9200"/>
        <v>0</v>
      </c>
      <c r="AS1822" s="200">
        <f t="shared" si="9200"/>
        <v>0</v>
      </c>
      <c r="AT1822" s="173">
        <v>0.0</v>
      </c>
      <c r="AU1822" s="200">
        <f t="shared" ref="AU1822:AX1822" si="9201">countif($D1822,"*"&amp;AU$2&amp;"*")</f>
        <v>0</v>
      </c>
      <c r="AV1822" s="200">
        <f t="shared" si="9201"/>
        <v>1</v>
      </c>
      <c r="AW1822" s="200">
        <f t="shared" si="9201"/>
        <v>0</v>
      </c>
      <c r="AX1822" s="200">
        <f t="shared" si="9201"/>
        <v>0</v>
      </c>
      <c r="AY1822" s="202">
        <v>0.0</v>
      </c>
      <c r="AZ1822" s="200"/>
      <c r="BA1822" s="171" t="str">
        <f t="shared" si="18"/>
        <v/>
      </c>
      <c r="BB1822" s="171" t="str">
        <f t="shared" si="19"/>
        <v>Code</v>
      </c>
      <c r="BC1822" s="171" t="str">
        <f t="shared" si="20"/>
        <v/>
      </c>
      <c r="BD1822" s="171" t="str">
        <f t="shared" si="21"/>
        <v/>
      </c>
      <c r="BE1822" s="171" t="str">
        <f t="shared" si="22"/>
        <v/>
      </c>
      <c r="BF1822" s="171" t="str">
        <f t="shared" si="23"/>
        <v>Code</v>
      </c>
    </row>
    <row r="1823">
      <c r="A1823" s="171">
        <f t="array" ref="A1823">XLOOKUP(C1823,FSE!A:A,FSE!C:C,"XXXXX",0,1)</f>
        <v>2019</v>
      </c>
      <c r="B1823" s="213" t="s">
        <v>5676</v>
      </c>
      <c r="C1823" s="214">
        <v>471.0</v>
      </c>
      <c r="D1823" s="215" t="s">
        <v>4385</v>
      </c>
      <c r="E1823" s="197" t="str">
        <f t="array" ref="E1823">XLOOKUP(C1823,FSE!A:A,FSE!Z:Z,"XXXXX",0,1)</f>
        <v>Publicly Available (1)</v>
      </c>
      <c r="F1823" s="213" t="s">
        <v>3394</v>
      </c>
      <c r="G1823" s="163" t="str">
        <f t="array" ref="G1823">IF(B1823="ICSE",IF(COUNTIFS(B:B,B1823,C:C,C1823)=XLOOKUP(C1823,ICSE!A:A,ICSE!AA:AA,"ERROR",0,1),"OK","ERROR"),IF(B1823="FSE",IF(COUNTIFS(B:B,B1823,C:C,C1823)=XLOOKUP(C1823,FSE!A:A,FSE!AA:AA,"ERROR",0,1),"OK","ERROR")))</f>
        <v>OK</v>
      </c>
      <c r="H1823" s="199">
        <f t="shared" ref="H1823:O1823" si="9202">countif($D1823,"*"&amp;H$2&amp;"*")</f>
        <v>0</v>
      </c>
      <c r="I1823" s="200">
        <f t="shared" si="9202"/>
        <v>0</v>
      </c>
      <c r="J1823" s="200">
        <f t="shared" si="9202"/>
        <v>0</v>
      </c>
      <c r="K1823" s="200">
        <f t="shared" si="9202"/>
        <v>0</v>
      </c>
      <c r="L1823" s="200">
        <f t="shared" si="9202"/>
        <v>0</v>
      </c>
      <c r="M1823" s="200">
        <f t="shared" si="9202"/>
        <v>0</v>
      </c>
      <c r="N1823" s="200">
        <f t="shared" si="9202"/>
        <v>0</v>
      </c>
      <c r="O1823" s="200">
        <f t="shared" si="9202"/>
        <v>0</v>
      </c>
      <c r="P1823" s="200">
        <f t="shared" si="9"/>
        <v>0</v>
      </c>
      <c r="Q1823" s="200">
        <f t="shared" ref="Q1823:AC1823" si="9203">countif($D1823,"*"&amp;Q$2&amp;"*")</f>
        <v>0</v>
      </c>
      <c r="R1823" s="200">
        <f t="shared" si="9203"/>
        <v>0</v>
      </c>
      <c r="S1823" s="200">
        <f t="shared" si="9203"/>
        <v>0</v>
      </c>
      <c r="T1823" s="200">
        <f t="shared" si="9203"/>
        <v>0</v>
      </c>
      <c r="U1823" s="200">
        <f t="shared" si="9203"/>
        <v>0</v>
      </c>
      <c r="V1823" s="200">
        <f t="shared" si="9203"/>
        <v>0</v>
      </c>
      <c r="W1823" s="200">
        <f t="shared" si="9203"/>
        <v>0</v>
      </c>
      <c r="X1823" s="200">
        <f t="shared" si="9203"/>
        <v>0</v>
      </c>
      <c r="Y1823" s="200">
        <f t="shared" si="9203"/>
        <v>0</v>
      </c>
      <c r="Z1823" s="200">
        <f t="shared" si="9203"/>
        <v>0</v>
      </c>
      <c r="AA1823" s="200">
        <f t="shared" si="9203"/>
        <v>1</v>
      </c>
      <c r="AB1823" s="200">
        <f t="shared" si="9203"/>
        <v>0</v>
      </c>
      <c r="AC1823" s="200">
        <f t="shared" si="9203"/>
        <v>0</v>
      </c>
      <c r="AD1823" s="200">
        <f t="shared" si="11"/>
        <v>0</v>
      </c>
      <c r="AE1823" s="200">
        <f t="shared" ref="AE1823:AG1823" si="9204">countif($D1823,"*"&amp;AE$2&amp;"*")</f>
        <v>0</v>
      </c>
      <c r="AF1823" s="200">
        <f t="shared" si="9204"/>
        <v>0</v>
      </c>
      <c r="AG1823" s="200">
        <f t="shared" si="9204"/>
        <v>0</v>
      </c>
      <c r="AH1823" s="171">
        <f t="shared" si="13"/>
        <v>0</v>
      </c>
      <c r="AI1823" s="200">
        <f t="shared" si="14"/>
        <v>0</v>
      </c>
      <c r="AJ1823" s="200">
        <f t="shared" si="9159"/>
        <v>0</v>
      </c>
      <c r="AK1823" s="201">
        <f t="shared" ref="AK1823:AS1823" si="9205">countif($D1823,"*"&amp;AK$2&amp;"*")</f>
        <v>0</v>
      </c>
      <c r="AL1823" s="201">
        <f t="shared" si="9205"/>
        <v>0</v>
      </c>
      <c r="AM1823" s="201">
        <f t="shared" si="9205"/>
        <v>0</v>
      </c>
      <c r="AN1823" s="201">
        <f t="shared" si="9205"/>
        <v>0</v>
      </c>
      <c r="AO1823" s="201">
        <f t="shared" si="9205"/>
        <v>0</v>
      </c>
      <c r="AP1823" s="201">
        <f t="shared" si="9205"/>
        <v>0</v>
      </c>
      <c r="AQ1823" s="201">
        <f t="shared" si="9205"/>
        <v>0</v>
      </c>
      <c r="AR1823" s="200">
        <f t="shared" si="9205"/>
        <v>0</v>
      </c>
      <c r="AS1823" s="200">
        <f t="shared" si="9205"/>
        <v>0</v>
      </c>
      <c r="AT1823" s="173">
        <v>0.0</v>
      </c>
      <c r="AU1823" s="200">
        <f t="shared" ref="AU1823:AX1823" si="9206">countif($D1823,"*"&amp;AU$2&amp;"*")</f>
        <v>0</v>
      </c>
      <c r="AV1823" s="200">
        <f t="shared" si="9206"/>
        <v>0</v>
      </c>
      <c r="AW1823" s="200">
        <f t="shared" si="9206"/>
        <v>0</v>
      </c>
      <c r="AX1823" s="200">
        <f t="shared" si="9206"/>
        <v>0</v>
      </c>
      <c r="AY1823" s="202">
        <v>0.0</v>
      </c>
      <c r="AZ1823" s="200"/>
      <c r="BA1823" s="171" t="str">
        <f t="shared" si="18"/>
        <v/>
      </c>
      <c r="BB1823" s="171" t="str">
        <f t="shared" si="19"/>
        <v/>
      </c>
      <c r="BC1823" s="171" t="str">
        <f t="shared" si="20"/>
        <v>General-purpose</v>
      </c>
      <c r="BD1823" s="171" t="str">
        <f t="shared" si="21"/>
        <v/>
      </c>
      <c r="BE1823" s="171" t="str">
        <f t="shared" si="22"/>
        <v/>
      </c>
      <c r="BF1823" s="171" t="str">
        <f t="shared" si="23"/>
        <v>General-purpose</v>
      </c>
    </row>
    <row r="1824">
      <c r="A1824" s="171">
        <f t="array" ref="A1824">XLOOKUP(C1824,FSE!A:A,FSE!C:C,"XXXXX",0,1)</f>
        <v>2019</v>
      </c>
      <c r="B1824" s="213" t="s">
        <v>5676</v>
      </c>
      <c r="C1824" s="214">
        <v>472.0</v>
      </c>
      <c r="D1824" s="215" t="s">
        <v>4388</v>
      </c>
      <c r="E1824" s="197" t="str">
        <f t="array" ref="E1824">XLOOKUP(C1824,FSE!A:A,FSE!Z:Z,"XXXXX",0,1)</f>
        <v>Publicly Available (1)</v>
      </c>
      <c r="F1824" s="213" t="s">
        <v>3394</v>
      </c>
      <c r="G1824" s="163" t="str">
        <f t="array" ref="G1824">IF(B1824="ICSE",IF(COUNTIFS(B:B,B1824,C:C,C1824)=XLOOKUP(C1824,ICSE!A:A,ICSE!AA:AA,"ERROR",0,1),"OK","ERROR"),IF(B1824="FSE",IF(COUNTIFS(B:B,B1824,C:C,C1824)=XLOOKUP(C1824,FSE!A:A,FSE!AA:AA,"ERROR",0,1),"OK","ERROR")))</f>
        <v>OK</v>
      </c>
      <c r="H1824" s="199">
        <f t="shared" ref="H1824:O1824" si="9207">countif($D1824,"*"&amp;H$2&amp;"*")</f>
        <v>0</v>
      </c>
      <c r="I1824" s="200">
        <f t="shared" si="9207"/>
        <v>0</v>
      </c>
      <c r="J1824" s="200">
        <f t="shared" si="9207"/>
        <v>0</v>
      </c>
      <c r="K1824" s="200">
        <f t="shared" si="9207"/>
        <v>0</v>
      </c>
      <c r="L1824" s="200">
        <f t="shared" si="9207"/>
        <v>0</v>
      </c>
      <c r="M1824" s="200">
        <f t="shared" si="9207"/>
        <v>0</v>
      </c>
      <c r="N1824" s="200">
        <f t="shared" si="9207"/>
        <v>0</v>
      </c>
      <c r="O1824" s="200">
        <f t="shared" si="9207"/>
        <v>0</v>
      </c>
      <c r="P1824" s="200">
        <f t="shared" si="9"/>
        <v>0</v>
      </c>
      <c r="Q1824" s="200">
        <f t="shared" ref="Q1824:AC1824" si="9208">countif($D1824,"*"&amp;Q$2&amp;"*")</f>
        <v>0</v>
      </c>
      <c r="R1824" s="200">
        <f t="shared" si="9208"/>
        <v>0</v>
      </c>
      <c r="S1824" s="200">
        <f t="shared" si="9208"/>
        <v>0</v>
      </c>
      <c r="T1824" s="200">
        <f t="shared" si="9208"/>
        <v>0</v>
      </c>
      <c r="U1824" s="200">
        <f t="shared" si="9208"/>
        <v>0</v>
      </c>
      <c r="V1824" s="200">
        <f t="shared" si="9208"/>
        <v>0</v>
      </c>
      <c r="W1824" s="200">
        <f t="shared" si="9208"/>
        <v>0</v>
      </c>
      <c r="X1824" s="200">
        <f t="shared" si="9208"/>
        <v>0</v>
      </c>
      <c r="Y1824" s="200">
        <f t="shared" si="9208"/>
        <v>0</v>
      </c>
      <c r="Z1824" s="200">
        <f t="shared" si="9208"/>
        <v>0</v>
      </c>
      <c r="AA1824" s="200">
        <f t="shared" si="9208"/>
        <v>1</v>
      </c>
      <c r="AB1824" s="200">
        <f t="shared" si="9208"/>
        <v>0</v>
      </c>
      <c r="AC1824" s="200">
        <f t="shared" si="9208"/>
        <v>0</v>
      </c>
      <c r="AD1824" s="200">
        <f t="shared" si="11"/>
        <v>0</v>
      </c>
      <c r="AE1824" s="200">
        <f t="shared" ref="AE1824:AG1824" si="9209">countif($D1824,"*"&amp;AE$2&amp;"*")</f>
        <v>0</v>
      </c>
      <c r="AF1824" s="200">
        <f t="shared" si="9209"/>
        <v>0</v>
      </c>
      <c r="AG1824" s="200">
        <f t="shared" si="9209"/>
        <v>0</v>
      </c>
      <c r="AH1824" s="171">
        <f t="shared" si="13"/>
        <v>0</v>
      </c>
      <c r="AI1824" s="200">
        <f t="shared" si="14"/>
        <v>0</v>
      </c>
      <c r="AJ1824" s="200">
        <f t="shared" si="9159"/>
        <v>0</v>
      </c>
      <c r="AK1824" s="201">
        <f t="shared" ref="AK1824:AS1824" si="9210">countif($D1824,"*"&amp;AK$2&amp;"*")</f>
        <v>0</v>
      </c>
      <c r="AL1824" s="201">
        <f t="shared" si="9210"/>
        <v>0</v>
      </c>
      <c r="AM1824" s="201">
        <f t="shared" si="9210"/>
        <v>0</v>
      </c>
      <c r="AN1824" s="201">
        <f t="shared" si="9210"/>
        <v>0</v>
      </c>
      <c r="AO1824" s="201">
        <f t="shared" si="9210"/>
        <v>0</v>
      </c>
      <c r="AP1824" s="201">
        <f t="shared" si="9210"/>
        <v>0</v>
      </c>
      <c r="AQ1824" s="201">
        <f t="shared" si="9210"/>
        <v>0</v>
      </c>
      <c r="AR1824" s="200">
        <f t="shared" si="9210"/>
        <v>0</v>
      </c>
      <c r="AS1824" s="200">
        <f t="shared" si="9210"/>
        <v>0</v>
      </c>
      <c r="AT1824" s="173">
        <v>0.0</v>
      </c>
      <c r="AU1824" s="200">
        <f t="shared" ref="AU1824:AX1824" si="9211">countif($D1824,"*"&amp;AU$2&amp;"*")</f>
        <v>0</v>
      </c>
      <c r="AV1824" s="200">
        <f t="shared" si="9211"/>
        <v>0</v>
      </c>
      <c r="AW1824" s="200">
        <f t="shared" si="9211"/>
        <v>0</v>
      </c>
      <c r="AX1824" s="200">
        <f t="shared" si="9211"/>
        <v>0</v>
      </c>
      <c r="AY1824" s="202">
        <v>0.0</v>
      </c>
      <c r="AZ1824" s="200"/>
      <c r="BA1824" s="171" t="str">
        <f t="shared" si="18"/>
        <v/>
      </c>
      <c r="BB1824" s="171" t="str">
        <f t="shared" si="19"/>
        <v/>
      </c>
      <c r="BC1824" s="171" t="str">
        <f t="shared" si="20"/>
        <v>General-purpose</v>
      </c>
      <c r="BD1824" s="171" t="str">
        <f t="shared" si="21"/>
        <v/>
      </c>
      <c r="BE1824" s="171" t="str">
        <f t="shared" si="22"/>
        <v/>
      </c>
      <c r="BF1824" s="171" t="str">
        <f t="shared" si="23"/>
        <v>General-purpose</v>
      </c>
    </row>
    <row r="1825">
      <c r="A1825" s="171">
        <f t="array" ref="A1825">XLOOKUP(C1825,FSE!A:A,FSE!C:C,"XXXXX",0,1)</f>
        <v>2019</v>
      </c>
      <c r="B1825" s="213" t="s">
        <v>5676</v>
      </c>
      <c r="C1825" s="214">
        <v>473.0</v>
      </c>
      <c r="D1825" s="215" t="s">
        <v>6458</v>
      </c>
      <c r="E1825" s="197" t="str">
        <f t="array" ref="E1825">XLOOKUP(C1825,FSE!A:A,FSE!Z:Z,"XXXXX",0,1)</f>
        <v>Publicly Available (3)</v>
      </c>
      <c r="F1825" s="213" t="s">
        <v>3394</v>
      </c>
      <c r="G1825" s="163" t="str">
        <f t="array" ref="G1825">IF(B1825="ICSE",IF(COUNTIFS(B:B,B1825,C:C,C1825)=XLOOKUP(C1825,ICSE!A:A,ICSE!AA:AA,"ERROR",0,1),"OK","ERROR"),IF(B1825="FSE",IF(COUNTIFS(B:B,B1825,C:C,C1825)=XLOOKUP(C1825,FSE!A:A,FSE!AA:AA,"ERROR",0,1),"OK","ERROR")))</f>
        <v>OK</v>
      </c>
      <c r="H1825" s="199">
        <f t="shared" ref="H1825:O1825" si="9212">countif($D1825,"*"&amp;H$2&amp;"*")</f>
        <v>0</v>
      </c>
      <c r="I1825" s="200">
        <f t="shared" si="9212"/>
        <v>0</v>
      </c>
      <c r="J1825" s="200">
        <f t="shared" si="9212"/>
        <v>0</v>
      </c>
      <c r="K1825" s="200">
        <f t="shared" si="9212"/>
        <v>0</v>
      </c>
      <c r="L1825" s="200">
        <f t="shared" si="9212"/>
        <v>0</v>
      </c>
      <c r="M1825" s="200">
        <f t="shared" si="9212"/>
        <v>0</v>
      </c>
      <c r="N1825" s="200">
        <f t="shared" si="9212"/>
        <v>0</v>
      </c>
      <c r="O1825" s="200">
        <f t="shared" si="9212"/>
        <v>0</v>
      </c>
      <c r="P1825" s="200">
        <f t="shared" si="9"/>
        <v>1</v>
      </c>
      <c r="Q1825" s="200">
        <f t="shared" ref="Q1825:AC1825" si="9213">countif($D1825,"*"&amp;Q$2&amp;"*")</f>
        <v>0</v>
      </c>
      <c r="R1825" s="200">
        <f t="shared" si="9213"/>
        <v>0</v>
      </c>
      <c r="S1825" s="200">
        <f t="shared" si="9213"/>
        <v>0</v>
      </c>
      <c r="T1825" s="200">
        <f t="shared" si="9213"/>
        <v>0</v>
      </c>
      <c r="U1825" s="200">
        <f t="shared" si="9213"/>
        <v>0</v>
      </c>
      <c r="V1825" s="200">
        <f t="shared" si="9213"/>
        <v>0</v>
      </c>
      <c r="W1825" s="200">
        <f t="shared" si="9213"/>
        <v>0</v>
      </c>
      <c r="X1825" s="200">
        <f t="shared" si="9213"/>
        <v>0</v>
      </c>
      <c r="Y1825" s="200">
        <f t="shared" si="9213"/>
        <v>0</v>
      </c>
      <c r="Z1825" s="200">
        <f t="shared" si="9213"/>
        <v>0</v>
      </c>
      <c r="AA1825" s="200">
        <f t="shared" si="9213"/>
        <v>0</v>
      </c>
      <c r="AB1825" s="200">
        <f t="shared" si="9213"/>
        <v>0</v>
      </c>
      <c r="AC1825" s="200">
        <f t="shared" si="9213"/>
        <v>0</v>
      </c>
      <c r="AD1825" s="200">
        <f t="shared" si="11"/>
        <v>0</v>
      </c>
      <c r="AE1825" s="200">
        <f t="shared" ref="AE1825:AG1825" si="9214">countif($D1825,"*"&amp;AE$2&amp;"*")</f>
        <v>0</v>
      </c>
      <c r="AF1825" s="200">
        <f t="shared" si="9214"/>
        <v>0</v>
      </c>
      <c r="AG1825" s="200">
        <f t="shared" si="9214"/>
        <v>0</v>
      </c>
      <c r="AH1825" s="171">
        <f t="shared" si="13"/>
        <v>0</v>
      </c>
      <c r="AI1825" s="200">
        <f t="shared" si="14"/>
        <v>0</v>
      </c>
      <c r="AJ1825" s="200">
        <f t="shared" si="9159"/>
        <v>0</v>
      </c>
      <c r="AK1825" s="201">
        <f t="shared" ref="AK1825:AS1825" si="9215">countif($D1825,"*"&amp;AK$2&amp;"*")</f>
        <v>0</v>
      </c>
      <c r="AL1825" s="201">
        <f t="shared" si="9215"/>
        <v>0</v>
      </c>
      <c r="AM1825" s="201">
        <f t="shared" si="9215"/>
        <v>0</v>
      </c>
      <c r="AN1825" s="201">
        <f t="shared" si="9215"/>
        <v>0</v>
      </c>
      <c r="AO1825" s="201">
        <f t="shared" si="9215"/>
        <v>0</v>
      </c>
      <c r="AP1825" s="201">
        <f t="shared" si="9215"/>
        <v>0</v>
      </c>
      <c r="AQ1825" s="201">
        <f t="shared" si="9215"/>
        <v>0</v>
      </c>
      <c r="AR1825" s="200">
        <f t="shared" si="9215"/>
        <v>0</v>
      </c>
      <c r="AS1825" s="200">
        <f t="shared" si="9215"/>
        <v>0</v>
      </c>
      <c r="AT1825" s="173">
        <v>0.0</v>
      </c>
      <c r="AU1825" s="200">
        <f t="shared" ref="AU1825:AX1825" si="9216">countif($D1825,"*"&amp;AU$2&amp;"*")</f>
        <v>0</v>
      </c>
      <c r="AV1825" s="200">
        <f t="shared" si="9216"/>
        <v>1</v>
      </c>
      <c r="AW1825" s="200">
        <f t="shared" si="9216"/>
        <v>0</v>
      </c>
      <c r="AX1825" s="200">
        <f t="shared" si="9216"/>
        <v>0</v>
      </c>
      <c r="AY1825" s="202">
        <v>0.0</v>
      </c>
      <c r="AZ1825" s="200"/>
      <c r="BA1825" s="171" t="str">
        <f t="shared" si="18"/>
        <v/>
      </c>
      <c r="BB1825" s="171" t="str">
        <f t="shared" si="19"/>
        <v>Code</v>
      </c>
      <c r="BC1825" s="171" t="str">
        <f t="shared" si="20"/>
        <v/>
      </c>
      <c r="BD1825" s="171" t="str">
        <f t="shared" si="21"/>
        <v/>
      </c>
      <c r="BE1825" s="171" t="str">
        <f t="shared" si="22"/>
        <v/>
      </c>
      <c r="BF1825" s="171" t="str">
        <f t="shared" si="23"/>
        <v>Code</v>
      </c>
    </row>
    <row r="1826">
      <c r="A1826" s="171">
        <f t="array" ref="A1826">XLOOKUP(C1826,FSE!A:A,FSE!C:C,"XXXXX",0,1)</f>
        <v>2019</v>
      </c>
      <c r="B1826" s="213" t="s">
        <v>5676</v>
      </c>
      <c r="C1826" s="214">
        <v>473.0</v>
      </c>
      <c r="D1826" s="215" t="s">
        <v>6459</v>
      </c>
      <c r="E1826" s="197" t="str">
        <f t="array" ref="E1826">XLOOKUP(C1826,FSE!A:A,FSE!Z:Z,"XXXXX",0,1)</f>
        <v>Publicly Available (3)</v>
      </c>
      <c r="F1826" s="213" t="s">
        <v>3394</v>
      </c>
      <c r="G1826" s="163" t="str">
        <f t="array" ref="G1826">IF(B1826="ICSE",IF(COUNTIFS(B:B,B1826,C:C,C1826)=XLOOKUP(C1826,ICSE!A:A,ICSE!AA:AA,"ERROR",0,1),"OK","ERROR"),IF(B1826="FSE",IF(COUNTIFS(B:B,B1826,C:C,C1826)=XLOOKUP(C1826,FSE!A:A,FSE!AA:AA,"ERROR",0,1),"OK","ERROR")))</f>
        <v>OK</v>
      </c>
      <c r="H1826" s="199">
        <f t="shared" ref="H1826:O1826" si="9217">countif($D1826,"*"&amp;H$2&amp;"*")</f>
        <v>1</v>
      </c>
      <c r="I1826" s="200">
        <f t="shared" si="9217"/>
        <v>0</v>
      </c>
      <c r="J1826" s="200">
        <f t="shared" si="9217"/>
        <v>0</v>
      </c>
      <c r="K1826" s="200">
        <f t="shared" si="9217"/>
        <v>0</v>
      </c>
      <c r="L1826" s="200">
        <f t="shared" si="9217"/>
        <v>0</v>
      </c>
      <c r="M1826" s="200">
        <f t="shared" si="9217"/>
        <v>0</v>
      </c>
      <c r="N1826" s="200">
        <f t="shared" si="9217"/>
        <v>0</v>
      </c>
      <c r="O1826" s="200">
        <f t="shared" si="9217"/>
        <v>0</v>
      </c>
      <c r="P1826" s="200">
        <f t="shared" si="9"/>
        <v>0</v>
      </c>
      <c r="Q1826" s="200">
        <f t="shared" ref="Q1826:AC1826" si="9218">countif($D1826,"*"&amp;Q$2&amp;"*")</f>
        <v>0</v>
      </c>
      <c r="R1826" s="200">
        <f t="shared" si="9218"/>
        <v>0</v>
      </c>
      <c r="S1826" s="200">
        <f t="shared" si="9218"/>
        <v>0</v>
      </c>
      <c r="T1826" s="200">
        <f t="shared" si="9218"/>
        <v>0</v>
      </c>
      <c r="U1826" s="200">
        <f t="shared" si="9218"/>
        <v>0</v>
      </c>
      <c r="V1826" s="200">
        <f t="shared" si="9218"/>
        <v>0</v>
      </c>
      <c r="W1826" s="200">
        <f t="shared" si="9218"/>
        <v>0</v>
      </c>
      <c r="X1826" s="200">
        <f t="shared" si="9218"/>
        <v>0</v>
      </c>
      <c r="Y1826" s="200">
        <f t="shared" si="9218"/>
        <v>0</v>
      </c>
      <c r="Z1826" s="200">
        <f t="shared" si="9218"/>
        <v>0</v>
      </c>
      <c r="AA1826" s="200">
        <f t="shared" si="9218"/>
        <v>0</v>
      </c>
      <c r="AB1826" s="200">
        <f t="shared" si="9218"/>
        <v>0</v>
      </c>
      <c r="AC1826" s="200">
        <f t="shared" si="9218"/>
        <v>0</v>
      </c>
      <c r="AD1826" s="200">
        <f t="shared" si="11"/>
        <v>0</v>
      </c>
      <c r="AE1826" s="200">
        <f t="shared" ref="AE1826:AG1826" si="9219">countif($D1826,"*"&amp;AE$2&amp;"*")</f>
        <v>0</v>
      </c>
      <c r="AF1826" s="200">
        <f t="shared" si="9219"/>
        <v>0</v>
      </c>
      <c r="AG1826" s="200">
        <f t="shared" si="9219"/>
        <v>0</v>
      </c>
      <c r="AH1826" s="171">
        <f t="shared" si="13"/>
        <v>0</v>
      </c>
      <c r="AI1826" s="200">
        <f t="shared" si="14"/>
        <v>1</v>
      </c>
      <c r="AJ1826" s="200">
        <f t="shared" si="9159"/>
        <v>0</v>
      </c>
      <c r="AK1826" s="201">
        <f t="shared" ref="AK1826:AS1826" si="9220">countif($D1826,"*"&amp;AK$2&amp;"*")</f>
        <v>0</v>
      </c>
      <c r="AL1826" s="201">
        <f t="shared" si="9220"/>
        <v>0</v>
      </c>
      <c r="AM1826" s="201">
        <f t="shared" si="9220"/>
        <v>0</v>
      </c>
      <c r="AN1826" s="201">
        <f t="shared" si="9220"/>
        <v>0</v>
      </c>
      <c r="AO1826" s="201">
        <f t="shared" si="9220"/>
        <v>0</v>
      </c>
      <c r="AP1826" s="201">
        <f t="shared" si="9220"/>
        <v>0</v>
      </c>
      <c r="AQ1826" s="201">
        <f t="shared" si="9220"/>
        <v>0</v>
      </c>
      <c r="AR1826" s="200">
        <f t="shared" si="9220"/>
        <v>0</v>
      </c>
      <c r="AS1826" s="200">
        <f t="shared" si="9220"/>
        <v>0</v>
      </c>
      <c r="AT1826" s="173">
        <v>0.0</v>
      </c>
      <c r="AU1826" s="200">
        <f t="shared" ref="AU1826:AX1826" si="9221">countif($D1826,"*"&amp;AU$2&amp;"*")</f>
        <v>0</v>
      </c>
      <c r="AV1826" s="200">
        <f t="shared" si="9221"/>
        <v>0</v>
      </c>
      <c r="AW1826" s="200">
        <f t="shared" si="9221"/>
        <v>0</v>
      </c>
      <c r="AX1826" s="200">
        <f t="shared" si="9221"/>
        <v>1</v>
      </c>
      <c r="AY1826" s="202">
        <v>0.0</v>
      </c>
      <c r="AZ1826" s="200"/>
      <c r="BA1826" s="171" t="str">
        <f t="shared" si="18"/>
        <v>Archival</v>
      </c>
      <c r="BB1826" s="171" t="str">
        <f t="shared" si="19"/>
        <v/>
      </c>
      <c r="BC1826" s="171" t="str">
        <f t="shared" si="20"/>
        <v/>
      </c>
      <c r="BD1826" s="171" t="str">
        <f t="shared" si="21"/>
        <v/>
      </c>
      <c r="BE1826" s="171" t="str">
        <f t="shared" si="22"/>
        <v/>
      </c>
      <c r="BF1826" s="171" t="str">
        <f t="shared" si="23"/>
        <v>Archival</v>
      </c>
    </row>
    <row r="1827">
      <c r="A1827" s="171">
        <f t="array" ref="A1827">XLOOKUP(C1827,FSE!A:A,FSE!C:C,"XXXXX",0,1)</f>
        <v>2019</v>
      </c>
      <c r="B1827" s="213" t="s">
        <v>5676</v>
      </c>
      <c r="C1827" s="214">
        <v>473.0</v>
      </c>
      <c r="D1827" s="215" t="s">
        <v>6460</v>
      </c>
      <c r="E1827" s="197" t="str">
        <f t="array" ref="E1827">XLOOKUP(C1827,FSE!A:A,FSE!Z:Z,"XXXXX",0,1)</f>
        <v>Publicly Available (3)</v>
      </c>
      <c r="F1827" s="213" t="s">
        <v>3394</v>
      </c>
      <c r="G1827" s="163" t="str">
        <f t="array" ref="G1827">IF(B1827="ICSE",IF(COUNTIFS(B:B,B1827,C:C,C1827)=XLOOKUP(C1827,ICSE!A:A,ICSE!AA:AA,"ERROR",0,1),"OK","ERROR"),IF(B1827="FSE",IF(COUNTIFS(B:B,B1827,C:C,C1827)=XLOOKUP(C1827,FSE!A:A,FSE!AA:AA,"ERROR",0,1),"OK","ERROR")))</f>
        <v>OK</v>
      </c>
      <c r="H1827" s="199">
        <f t="shared" ref="H1827:O1827" si="9222">countif($D1827,"*"&amp;H$2&amp;"*")</f>
        <v>1</v>
      </c>
      <c r="I1827" s="200">
        <f t="shared" si="9222"/>
        <v>0</v>
      </c>
      <c r="J1827" s="200">
        <f t="shared" si="9222"/>
        <v>0</v>
      </c>
      <c r="K1827" s="200">
        <f t="shared" si="9222"/>
        <v>0</v>
      </c>
      <c r="L1827" s="200">
        <f t="shared" si="9222"/>
        <v>0</v>
      </c>
      <c r="M1827" s="200">
        <f t="shared" si="9222"/>
        <v>0</v>
      </c>
      <c r="N1827" s="200">
        <f t="shared" si="9222"/>
        <v>0</v>
      </c>
      <c r="O1827" s="200">
        <f t="shared" si="9222"/>
        <v>0</v>
      </c>
      <c r="P1827" s="200">
        <f t="shared" si="9"/>
        <v>0</v>
      </c>
      <c r="Q1827" s="200">
        <f t="shared" ref="Q1827:AC1827" si="9223">countif($D1827,"*"&amp;Q$2&amp;"*")</f>
        <v>0</v>
      </c>
      <c r="R1827" s="200">
        <f t="shared" si="9223"/>
        <v>0</v>
      </c>
      <c r="S1827" s="200">
        <f t="shared" si="9223"/>
        <v>0</v>
      </c>
      <c r="T1827" s="200">
        <f t="shared" si="9223"/>
        <v>0</v>
      </c>
      <c r="U1827" s="200">
        <f t="shared" si="9223"/>
        <v>0</v>
      </c>
      <c r="V1827" s="200">
        <f t="shared" si="9223"/>
        <v>0</v>
      </c>
      <c r="W1827" s="200">
        <f t="shared" si="9223"/>
        <v>0</v>
      </c>
      <c r="X1827" s="200">
        <f t="shared" si="9223"/>
        <v>0</v>
      </c>
      <c r="Y1827" s="200">
        <f t="shared" si="9223"/>
        <v>0</v>
      </c>
      <c r="Z1827" s="200">
        <f t="shared" si="9223"/>
        <v>0</v>
      </c>
      <c r="AA1827" s="200">
        <f t="shared" si="9223"/>
        <v>0</v>
      </c>
      <c r="AB1827" s="200">
        <f t="shared" si="9223"/>
        <v>0</v>
      </c>
      <c r="AC1827" s="200">
        <f t="shared" si="9223"/>
        <v>0</v>
      </c>
      <c r="AD1827" s="200">
        <f t="shared" si="11"/>
        <v>0</v>
      </c>
      <c r="AE1827" s="200">
        <f t="shared" ref="AE1827:AG1827" si="9224">countif($D1827,"*"&amp;AE$2&amp;"*")</f>
        <v>0</v>
      </c>
      <c r="AF1827" s="200">
        <f t="shared" si="9224"/>
        <v>0</v>
      </c>
      <c r="AG1827" s="200">
        <f t="shared" si="9224"/>
        <v>0</v>
      </c>
      <c r="AH1827" s="171">
        <f t="shared" si="13"/>
        <v>0</v>
      </c>
      <c r="AI1827" s="200">
        <f t="shared" si="14"/>
        <v>1</v>
      </c>
      <c r="AJ1827" s="200">
        <f t="shared" si="9159"/>
        <v>0</v>
      </c>
      <c r="AK1827" s="201">
        <f t="shared" ref="AK1827:AS1827" si="9225">countif($D1827,"*"&amp;AK$2&amp;"*")</f>
        <v>0</v>
      </c>
      <c r="AL1827" s="201">
        <f t="shared" si="9225"/>
        <v>0</v>
      </c>
      <c r="AM1827" s="201">
        <f t="shared" si="9225"/>
        <v>0</v>
      </c>
      <c r="AN1827" s="201">
        <f t="shared" si="9225"/>
        <v>0</v>
      </c>
      <c r="AO1827" s="201">
        <f t="shared" si="9225"/>
        <v>0</v>
      </c>
      <c r="AP1827" s="201">
        <f t="shared" si="9225"/>
        <v>0</v>
      </c>
      <c r="AQ1827" s="201">
        <f t="shared" si="9225"/>
        <v>0</v>
      </c>
      <c r="AR1827" s="200">
        <f t="shared" si="9225"/>
        <v>0</v>
      </c>
      <c r="AS1827" s="200">
        <f t="shared" si="9225"/>
        <v>0</v>
      </c>
      <c r="AT1827" s="173">
        <v>0.0</v>
      </c>
      <c r="AU1827" s="200">
        <f t="shared" ref="AU1827:AX1827" si="9226">countif($D1827,"*"&amp;AU$2&amp;"*")</f>
        <v>0</v>
      </c>
      <c r="AV1827" s="200">
        <f t="shared" si="9226"/>
        <v>0</v>
      </c>
      <c r="AW1827" s="200">
        <f t="shared" si="9226"/>
        <v>0</v>
      </c>
      <c r="AX1827" s="200">
        <f t="shared" si="9226"/>
        <v>1</v>
      </c>
      <c r="AY1827" s="202">
        <v>0.0</v>
      </c>
      <c r="AZ1827" s="200"/>
      <c r="BA1827" s="171" t="str">
        <f t="shared" si="18"/>
        <v>Archival</v>
      </c>
      <c r="BB1827" s="171" t="str">
        <f t="shared" si="19"/>
        <v/>
      </c>
      <c r="BC1827" s="171" t="str">
        <f t="shared" si="20"/>
        <v/>
      </c>
      <c r="BD1827" s="171" t="str">
        <f t="shared" si="21"/>
        <v/>
      </c>
      <c r="BE1827" s="171" t="str">
        <f t="shared" si="22"/>
        <v/>
      </c>
      <c r="BF1827" s="171" t="str">
        <f t="shared" si="23"/>
        <v>Archival</v>
      </c>
    </row>
    <row r="1828">
      <c r="A1828" s="171">
        <f t="array" ref="A1828">XLOOKUP(C1828,FSE!A:A,FSE!C:C,"XXXXX",0,1)</f>
        <v>2019</v>
      </c>
      <c r="B1828" s="213" t="s">
        <v>5676</v>
      </c>
      <c r="C1828" s="214">
        <v>474.0</v>
      </c>
      <c r="D1828" s="215" t="s">
        <v>6461</v>
      </c>
      <c r="E1828" s="197" t="str">
        <f t="array" ref="E1828">XLOOKUP(C1828,FSE!A:A,FSE!Z:Z,"XXXXX",0,1)</f>
        <v>Publicly Available (2)</v>
      </c>
      <c r="F1828" s="213" t="s">
        <v>3394</v>
      </c>
      <c r="G1828" s="163" t="str">
        <f t="array" ref="G1828">IF(B1828="ICSE",IF(COUNTIFS(B:B,B1828,C:C,C1828)=XLOOKUP(C1828,ICSE!A:A,ICSE!AA:AA,"ERROR",0,1),"OK","ERROR"),IF(B1828="FSE",IF(COUNTIFS(B:B,B1828,C:C,C1828)=XLOOKUP(C1828,FSE!A:A,FSE!AA:AA,"ERROR",0,1),"OK","ERROR")))</f>
        <v>OK</v>
      </c>
      <c r="H1828" s="199">
        <f t="shared" ref="H1828:O1828" si="9227">countif($D1828,"*"&amp;H$2&amp;"*")</f>
        <v>0</v>
      </c>
      <c r="I1828" s="200">
        <f t="shared" si="9227"/>
        <v>0</v>
      </c>
      <c r="J1828" s="200">
        <f t="shared" si="9227"/>
        <v>0</v>
      </c>
      <c r="K1828" s="200">
        <f t="shared" si="9227"/>
        <v>0</v>
      </c>
      <c r="L1828" s="200">
        <f t="shared" si="9227"/>
        <v>0</v>
      </c>
      <c r="M1828" s="200">
        <f t="shared" si="9227"/>
        <v>0</v>
      </c>
      <c r="N1828" s="200">
        <f t="shared" si="9227"/>
        <v>0</v>
      </c>
      <c r="O1828" s="200">
        <f t="shared" si="9227"/>
        <v>0</v>
      </c>
      <c r="P1828" s="200">
        <f t="shared" si="9"/>
        <v>1</v>
      </c>
      <c r="Q1828" s="200">
        <f t="shared" ref="Q1828:AC1828" si="9228">countif($D1828,"*"&amp;Q$2&amp;"*")</f>
        <v>0</v>
      </c>
      <c r="R1828" s="200">
        <f t="shared" si="9228"/>
        <v>0</v>
      </c>
      <c r="S1828" s="200">
        <f t="shared" si="9228"/>
        <v>0</v>
      </c>
      <c r="T1828" s="200">
        <f t="shared" si="9228"/>
        <v>0</v>
      </c>
      <c r="U1828" s="200">
        <f t="shared" si="9228"/>
        <v>0</v>
      </c>
      <c r="V1828" s="200">
        <f t="shared" si="9228"/>
        <v>0</v>
      </c>
      <c r="W1828" s="200">
        <f t="shared" si="9228"/>
        <v>0</v>
      </c>
      <c r="X1828" s="200">
        <f t="shared" si="9228"/>
        <v>0</v>
      </c>
      <c r="Y1828" s="200">
        <f t="shared" si="9228"/>
        <v>0</v>
      </c>
      <c r="Z1828" s="200">
        <f t="shared" si="9228"/>
        <v>0</v>
      </c>
      <c r="AA1828" s="200">
        <f t="shared" si="9228"/>
        <v>0</v>
      </c>
      <c r="AB1828" s="200">
        <f t="shared" si="9228"/>
        <v>0</v>
      </c>
      <c r="AC1828" s="200">
        <f t="shared" si="9228"/>
        <v>0</v>
      </c>
      <c r="AD1828" s="200">
        <f t="shared" si="11"/>
        <v>0</v>
      </c>
      <c r="AE1828" s="200">
        <f t="shared" ref="AE1828:AG1828" si="9229">countif($D1828,"*"&amp;AE$2&amp;"*")</f>
        <v>0</v>
      </c>
      <c r="AF1828" s="200">
        <f t="shared" si="9229"/>
        <v>0</v>
      </c>
      <c r="AG1828" s="200">
        <f t="shared" si="9229"/>
        <v>0</v>
      </c>
      <c r="AH1828" s="171">
        <f t="shared" si="13"/>
        <v>0</v>
      </c>
      <c r="AI1828" s="200">
        <f t="shared" si="14"/>
        <v>0</v>
      </c>
      <c r="AJ1828" s="200">
        <f t="shared" si="9159"/>
        <v>0</v>
      </c>
      <c r="AK1828" s="201">
        <f t="shared" ref="AK1828:AS1828" si="9230">countif($D1828,"*"&amp;AK$2&amp;"*")</f>
        <v>0</v>
      </c>
      <c r="AL1828" s="201">
        <f t="shared" si="9230"/>
        <v>0</v>
      </c>
      <c r="AM1828" s="201">
        <f t="shared" si="9230"/>
        <v>0</v>
      </c>
      <c r="AN1828" s="201">
        <f t="shared" si="9230"/>
        <v>0</v>
      </c>
      <c r="AO1828" s="201">
        <f t="shared" si="9230"/>
        <v>0</v>
      </c>
      <c r="AP1828" s="201">
        <f t="shared" si="9230"/>
        <v>0</v>
      </c>
      <c r="AQ1828" s="201">
        <f t="shared" si="9230"/>
        <v>0</v>
      </c>
      <c r="AR1828" s="200">
        <f t="shared" si="9230"/>
        <v>0</v>
      </c>
      <c r="AS1828" s="200">
        <f t="shared" si="9230"/>
        <v>0</v>
      </c>
      <c r="AT1828" s="173">
        <v>0.0</v>
      </c>
      <c r="AU1828" s="200">
        <f t="shared" ref="AU1828:AX1828" si="9231">countif($D1828,"*"&amp;AU$2&amp;"*")</f>
        <v>0</v>
      </c>
      <c r="AV1828" s="200">
        <f t="shared" si="9231"/>
        <v>1</v>
      </c>
      <c r="AW1828" s="200">
        <f t="shared" si="9231"/>
        <v>0</v>
      </c>
      <c r="AX1828" s="200">
        <f t="shared" si="9231"/>
        <v>0</v>
      </c>
      <c r="AY1828" s="202">
        <v>0.0</v>
      </c>
      <c r="AZ1828" s="200"/>
      <c r="BA1828" s="171" t="str">
        <f t="shared" si="18"/>
        <v/>
      </c>
      <c r="BB1828" s="171" t="str">
        <f t="shared" si="19"/>
        <v>Code</v>
      </c>
      <c r="BC1828" s="171" t="str">
        <f t="shared" si="20"/>
        <v/>
      </c>
      <c r="BD1828" s="171" t="str">
        <f t="shared" si="21"/>
        <v/>
      </c>
      <c r="BE1828" s="171" t="str">
        <f t="shared" si="22"/>
        <v/>
      </c>
      <c r="BF1828" s="171" t="str">
        <f t="shared" si="23"/>
        <v>Code</v>
      </c>
    </row>
    <row r="1829">
      <c r="A1829" s="171">
        <f t="array" ref="A1829">XLOOKUP(C1829,FSE!A:A,FSE!C:C,"XXXXX",0,1)</f>
        <v>2019</v>
      </c>
      <c r="B1829" s="213" t="s">
        <v>5676</v>
      </c>
      <c r="C1829" s="214">
        <v>474.0</v>
      </c>
      <c r="D1829" s="215" t="s">
        <v>6462</v>
      </c>
      <c r="E1829" s="197" t="str">
        <f t="array" ref="E1829">XLOOKUP(C1829,FSE!A:A,FSE!Z:Z,"XXXXX",0,1)</f>
        <v>Publicly Available (2)</v>
      </c>
      <c r="F1829" s="213" t="s">
        <v>3394</v>
      </c>
      <c r="G1829" s="163" t="str">
        <f t="array" ref="G1829">IF(B1829="ICSE",IF(COUNTIFS(B:B,B1829,C:C,C1829)=XLOOKUP(C1829,ICSE!A:A,ICSE!AA:AA,"ERROR",0,1),"OK","ERROR"),IF(B1829="FSE",IF(COUNTIFS(B:B,B1829,C:C,C1829)=XLOOKUP(C1829,FSE!A:A,FSE!AA:AA,"ERROR",0,1),"OK","ERROR")))</f>
        <v>OK</v>
      </c>
      <c r="H1829" s="199">
        <f t="shared" ref="H1829:O1829" si="9232">countif($D1829,"*"&amp;H$2&amp;"*")</f>
        <v>0</v>
      </c>
      <c r="I1829" s="200">
        <f t="shared" si="9232"/>
        <v>0</v>
      </c>
      <c r="J1829" s="200">
        <f t="shared" si="9232"/>
        <v>0</v>
      </c>
      <c r="K1829" s="200">
        <f t="shared" si="9232"/>
        <v>0</v>
      </c>
      <c r="L1829" s="200">
        <f t="shared" si="9232"/>
        <v>0</v>
      </c>
      <c r="M1829" s="200">
        <f t="shared" si="9232"/>
        <v>0</v>
      </c>
      <c r="N1829" s="200">
        <f t="shared" si="9232"/>
        <v>0</v>
      </c>
      <c r="O1829" s="200">
        <f t="shared" si="9232"/>
        <v>0</v>
      </c>
      <c r="P1829" s="200">
        <f t="shared" si="9"/>
        <v>1</v>
      </c>
      <c r="Q1829" s="200">
        <f t="shared" ref="Q1829:AC1829" si="9233">countif($D1829,"*"&amp;Q$2&amp;"*")</f>
        <v>0</v>
      </c>
      <c r="R1829" s="200">
        <f t="shared" si="9233"/>
        <v>0</v>
      </c>
      <c r="S1829" s="200">
        <f t="shared" si="9233"/>
        <v>0</v>
      </c>
      <c r="T1829" s="200">
        <f t="shared" si="9233"/>
        <v>0</v>
      </c>
      <c r="U1829" s="200">
        <f t="shared" si="9233"/>
        <v>0</v>
      </c>
      <c r="V1829" s="200">
        <f t="shared" si="9233"/>
        <v>0</v>
      </c>
      <c r="W1829" s="200">
        <f t="shared" si="9233"/>
        <v>0</v>
      </c>
      <c r="X1829" s="200">
        <f t="shared" si="9233"/>
        <v>0</v>
      </c>
      <c r="Y1829" s="200">
        <f t="shared" si="9233"/>
        <v>0</v>
      </c>
      <c r="Z1829" s="200">
        <f t="shared" si="9233"/>
        <v>0</v>
      </c>
      <c r="AA1829" s="200">
        <f t="shared" si="9233"/>
        <v>0</v>
      </c>
      <c r="AB1829" s="200">
        <f t="shared" si="9233"/>
        <v>0</v>
      </c>
      <c r="AC1829" s="200">
        <f t="shared" si="9233"/>
        <v>0</v>
      </c>
      <c r="AD1829" s="200">
        <f t="shared" si="11"/>
        <v>0</v>
      </c>
      <c r="AE1829" s="200">
        <f t="shared" ref="AE1829:AG1829" si="9234">countif($D1829,"*"&amp;AE$2&amp;"*")</f>
        <v>0</v>
      </c>
      <c r="AF1829" s="200">
        <f t="shared" si="9234"/>
        <v>0</v>
      </c>
      <c r="AG1829" s="200">
        <f t="shared" si="9234"/>
        <v>0</v>
      </c>
      <c r="AH1829" s="171">
        <f t="shared" si="13"/>
        <v>0</v>
      </c>
      <c r="AI1829" s="200">
        <f t="shared" si="14"/>
        <v>0</v>
      </c>
      <c r="AJ1829" s="200">
        <f t="shared" si="9159"/>
        <v>0</v>
      </c>
      <c r="AK1829" s="201">
        <f t="shared" ref="AK1829:AS1829" si="9235">countif($D1829,"*"&amp;AK$2&amp;"*")</f>
        <v>0</v>
      </c>
      <c r="AL1829" s="201">
        <f t="shared" si="9235"/>
        <v>0</v>
      </c>
      <c r="AM1829" s="201">
        <f t="shared" si="9235"/>
        <v>0</v>
      </c>
      <c r="AN1829" s="201">
        <f t="shared" si="9235"/>
        <v>0</v>
      </c>
      <c r="AO1829" s="201">
        <f t="shared" si="9235"/>
        <v>0</v>
      </c>
      <c r="AP1829" s="201">
        <f t="shared" si="9235"/>
        <v>0</v>
      </c>
      <c r="AQ1829" s="201">
        <f t="shared" si="9235"/>
        <v>0</v>
      </c>
      <c r="AR1829" s="200">
        <f t="shared" si="9235"/>
        <v>0</v>
      </c>
      <c r="AS1829" s="200">
        <f t="shared" si="9235"/>
        <v>0</v>
      </c>
      <c r="AT1829" s="173">
        <v>0.0</v>
      </c>
      <c r="AU1829" s="200">
        <f t="shared" ref="AU1829:AX1829" si="9236">countif($D1829,"*"&amp;AU$2&amp;"*")</f>
        <v>0</v>
      </c>
      <c r="AV1829" s="200">
        <f t="shared" si="9236"/>
        <v>1</v>
      </c>
      <c r="AW1829" s="200">
        <f t="shared" si="9236"/>
        <v>0</v>
      </c>
      <c r="AX1829" s="200">
        <f t="shared" si="9236"/>
        <v>0</v>
      </c>
      <c r="AY1829" s="202">
        <v>0.0</v>
      </c>
      <c r="AZ1829" s="200"/>
      <c r="BA1829" s="171" t="str">
        <f t="shared" si="18"/>
        <v/>
      </c>
      <c r="BB1829" s="171" t="str">
        <f t="shared" si="19"/>
        <v>Code</v>
      </c>
      <c r="BC1829" s="171" t="str">
        <f t="shared" si="20"/>
        <v/>
      </c>
      <c r="BD1829" s="171" t="str">
        <f t="shared" si="21"/>
        <v/>
      </c>
      <c r="BE1829" s="171" t="str">
        <f t="shared" si="22"/>
        <v/>
      </c>
      <c r="BF1829" s="171" t="str">
        <f t="shared" si="23"/>
        <v>Code</v>
      </c>
    </row>
    <row r="1830">
      <c r="A1830" s="171">
        <f t="array" ref="A1830">XLOOKUP(C1830,FSE!A:A,FSE!C:C,"XXXXX",0,1)</f>
        <v>2019</v>
      </c>
      <c r="B1830" s="213" t="s">
        <v>5676</v>
      </c>
      <c r="C1830" s="214">
        <v>475.0</v>
      </c>
      <c r="D1830" s="217" t="s">
        <v>4398</v>
      </c>
      <c r="E1830" s="197" t="str">
        <f t="array" ref="E1830">XLOOKUP(C1830,FSE!A:A,FSE!Z:Z,"XXXXX",0,1)</f>
        <v>Publicly Available (1)</v>
      </c>
      <c r="F1830" s="213" t="s">
        <v>3394</v>
      </c>
      <c r="G1830" s="163" t="str">
        <f t="array" ref="G1830">IF(B1830="ICSE",IF(COUNTIFS(B:B,B1830,C:C,C1830)=XLOOKUP(C1830,ICSE!A:A,ICSE!AA:AA,"ERROR",0,1),"OK","ERROR"),IF(B1830="FSE",IF(COUNTIFS(B:B,B1830,C:C,C1830)=XLOOKUP(C1830,FSE!A:A,FSE!AA:AA,"ERROR",0,1),"OK","ERROR")))</f>
        <v>OK</v>
      </c>
      <c r="H1830" s="199">
        <f t="shared" ref="H1830:O1830" si="9237">countif($D1830,"*"&amp;H$2&amp;"*")</f>
        <v>0</v>
      </c>
      <c r="I1830" s="200">
        <f t="shared" si="9237"/>
        <v>0</v>
      </c>
      <c r="J1830" s="200">
        <f t="shared" si="9237"/>
        <v>0</v>
      </c>
      <c r="K1830" s="200">
        <f t="shared" si="9237"/>
        <v>0</v>
      </c>
      <c r="L1830" s="200">
        <f t="shared" si="9237"/>
        <v>0</v>
      </c>
      <c r="M1830" s="200">
        <f t="shared" si="9237"/>
        <v>0</v>
      </c>
      <c r="N1830" s="200">
        <f t="shared" si="9237"/>
        <v>0</v>
      </c>
      <c r="O1830" s="200">
        <f t="shared" si="9237"/>
        <v>0</v>
      </c>
      <c r="P1830" s="200">
        <f t="shared" si="9"/>
        <v>1</v>
      </c>
      <c r="Q1830" s="200">
        <f t="shared" ref="Q1830:AC1830" si="9238">countif($D1830,"*"&amp;Q$2&amp;"*")</f>
        <v>0</v>
      </c>
      <c r="R1830" s="200">
        <f t="shared" si="9238"/>
        <v>0</v>
      </c>
      <c r="S1830" s="200">
        <f t="shared" si="9238"/>
        <v>0</v>
      </c>
      <c r="T1830" s="200">
        <f t="shared" si="9238"/>
        <v>0</v>
      </c>
      <c r="U1830" s="200">
        <f t="shared" si="9238"/>
        <v>0</v>
      </c>
      <c r="V1830" s="200">
        <f t="shared" si="9238"/>
        <v>0</v>
      </c>
      <c r="W1830" s="200">
        <f t="shared" si="9238"/>
        <v>0</v>
      </c>
      <c r="X1830" s="200">
        <f t="shared" si="9238"/>
        <v>0</v>
      </c>
      <c r="Y1830" s="200">
        <f t="shared" si="9238"/>
        <v>0</v>
      </c>
      <c r="Z1830" s="200">
        <f t="shared" si="9238"/>
        <v>0</v>
      </c>
      <c r="AA1830" s="200">
        <f t="shared" si="9238"/>
        <v>0</v>
      </c>
      <c r="AB1830" s="200">
        <f t="shared" si="9238"/>
        <v>0</v>
      </c>
      <c r="AC1830" s="200">
        <f t="shared" si="9238"/>
        <v>0</v>
      </c>
      <c r="AD1830" s="200">
        <f t="shared" si="11"/>
        <v>0</v>
      </c>
      <c r="AE1830" s="200">
        <f t="shared" ref="AE1830:AG1830" si="9239">countif($D1830,"*"&amp;AE$2&amp;"*")</f>
        <v>0</v>
      </c>
      <c r="AF1830" s="200">
        <f t="shared" si="9239"/>
        <v>0</v>
      </c>
      <c r="AG1830" s="200">
        <f t="shared" si="9239"/>
        <v>0</v>
      </c>
      <c r="AH1830" s="171">
        <f t="shared" si="13"/>
        <v>0</v>
      </c>
      <c r="AI1830" s="200">
        <f t="shared" si="14"/>
        <v>0</v>
      </c>
      <c r="AJ1830" s="200">
        <f t="shared" si="9159"/>
        <v>0</v>
      </c>
      <c r="AK1830" s="201">
        <f t="shared" ref="AK1830:AS1830" si="9240">countif($D1830,"*"&amp;AK$2&amp;"*")</f>
        <v>0</v>
      </c>
      <c r="AL1830" s="201">
        <f t="shared" si="9240"/>
        <v>0</v>
      </c>
      <c r="AM1830" s="201">
        <f t="shared" si="9240"/>
        <v>0</v>
      </c>
      <c r="AN1830" s="201">
        <f t="shared" si="9240"/>
        <v>0</v>
      </c>
      <c r="AO1830" s="201">
        <f t="shared" si="9240"/>
        <v>0</v>
      </c>
      <c r="AP1830" s="201">
        <f t="shared" si="9240"/>
        <v>0</v>
      </c>
      <c r="AQ1830" s="201">
        <f t="shared" si="9240"/>
        <v>0</v>
      </c>
      <c r="AR1830" s="200">
        <f t="shared" si="9240"/>
        <v>0</v>
      </c>
      <c r="AS1830" s="200">
        <f t="shared" si="9240"/>
        <v>0</v>
      </c>
      <c r="AT1830" s="173">
        <v>0.0</v>
      </c>
      <c r="AU1830" s="200">
        <f t="shared" ref="AU1830:AX1830" si="9241">countif($D1830,"*"&amp;AU$2&amp;"*")</f>
        <v>0</v>
      </c>
      <c r="AV1830" s="200">
        <f t="shared" si="9241"/>
        <v>1</v>
      </c>
      <c r="AW1830" s="200">
        <f t="shared" si="9241"/>
        <v>0</v>
      </c>
      <c r="AX1830" s="200">
        <f t="shared" si="9241"/>
        <v>0</v>
      </c>
      <c r="AY1830" s="202">
        <v>0.0</v>
      </c>
      <c r="AZ1830" s="200"/>
      <c r="BA1830" s="171" t="str">
        <f t="shared" si="18"/>
        <v/>
      </c>
      <c r="BB1830" s="171" t="str">
        <f t="shared" si="19"/>
        <v>Code</v>
      </c>
      <c r="BC1830" s="171" t="str">
        <f t="shared" si="20"/>
        <v/>
      </c>
      <c r="BD1830" s="171" t="str">
        <f t="shared" si="21"/>
        <v/>
      </c>
      <c r="BE1830" s="171" t="str">
        <f t="shared" si="22"/>
        <v/>
      </c>
      <c r="BF1830" s="171" t="str">
        <f t="shared" si="23"/>
        <v>Code</v>
      </c>
    </row>
    <row r="1831">
      <c r="A1831" s="171">
        <f t="array" ref="A1831">XLOOKUP(C1831,FSE!A:A,FSE!C:C,"XXXXX",0,1)</f>
        <v>2019</v>
      </c>
      <c r="B1831" s="213" t="s">
        <v>5676</v>
      </c>
      <c r="C1831" s="214">
        <v>478.0</v>
      </c>
      <c r="D1831" s="215" t="s">
        <v>4403</v>
      </c>
      <c r="E1831" s="197" t="str">
        <f t="array" ref="E1831">XLOOKUP(C1831,FSE!A:A,FSE!Z:Z,"XXXXX",0,1)</f>
        <v>Publicly Available (1)</v>
      </c>
      <c r="F1831" s="213" t="s">
        <v>3394</v>
      </c>
      <c r="G1831" s="163" t="str">
        <f t="array" ref="G1831">IF(B1831="ICSE",IF(COUNTIFS(B:B,B1831,C:C,C1831)=XLOOKUP(C1831,ICSE!A:A,ICSE!AA:AA,"ERROR",0,1),"OK","ERROR"),IF(B1831="FSE",IF(COUNTIFS(B:B,B1831,C:C,C1831)=XLOOKUP(C1831,FSE!A:A,FSE!AA:AA,"ERROR",0,1),"OK","ERROR")))</f>
        <v>OK</v>
      </c>
      <c r="H1831" s="199">
        <f t="shared" ref="H1831:O1831" si="9242">countif($D1831,"*"&amp;H$2&amp;"*")</f>
        <v>0</v>
      </c>
      <c r="I1831" s="200">
        <f t="shared" si="9242"/>
        <v>1</v>
      </c>
      <c r="J1831" s="200">
        <f t="shared" si="9242"/>
        <v>0</v>
      </c>
      <c r="K1831" s="200">
        <f t="shared" si="9242"/>
        <v>0</v>
      </c>
      <c r="L1831" s="200">
        <f t="shared" si="9242"/>
        <v>0</v>
      </c>
      <c r="M1831" s="200">
        <f t="shared" si="9242"/>
        <v>0</v>
      </c>
      <c r="N1831" s="200">
        <f t="shared" si="9242"/>
        <v>0</v>
      </c>
      <c r="O1831" s="200">
        <f t="shared" si="9242"/>
        <v>0</v>
      </c>
      <c r="P1831" s="200">
        <f t="shared" si="9"/>
        <v>0</v>
      </c>
      <c r="Q1831" s="200">
        <f t="shared" ref="Q1831:AC1831" si="9243">countif($D1831,"*"&amp;Q$2&amp;"*")</f>
        <v>0</v>
      </c>
      <c r="R1831" s="200">
        <f t="shared" si="9243"/>
        <v>0</v>
      </c>
      <c r="S1831" s="200">
        <f t="shared" si="9243"/>
        <v>0</v>
      </c>
      <c r="T1831" s="200">
        <f t="shared" si="9243"/>
        <v>0</v>
      </c>
      <c r="U1831" s="200">
        <f t="shared" si="9243"/>
        <v>0</v>
      </c>
      <c r="V1831" s="200">
        <f t="shared" si="9243"/>
        <v>0</v>
      </c>
      <c r="W1831" s="200">
        <f t="shared" si="9243"/>
        <v>0</v>
      </c>
      <c r="X1831" s="200">
        <f t="shared" si="9243"/>
        <v>0</v>
      </c>
      <c r="Y1831" s="200">
        <f t="shared" si="9243"/>
        <v>0</v>
      </c>
      <c r="Z1831" s="200">
        <f t="shared" si="9243"/>
        <v>0</v>
      </c>
      <c r="AA1831" s="200">
        <f t="shared" si="9243"/>
        <v>0</v>
      </c>
      <c r="AB1831" s="200">
        <f t="shared" si="9243"/>
        <v>0</v>
      </c>
      <c r="AC1831" s="200">
        <f t="shared" si="9243"/>
        <v>0</v>
      </c>
      <c r="AD1831" s="200">
        <f t="shared" si="11"/>
        <v>0</v>
      </c>
      <c r="AE1831" s="200">
        <f t="shared" ref="AE1831:AG1831" si="9244">countif($D1831,"*"&amp;AE$2&amp;"*")</f>
        <v>0</v>
      </c>
      <c r="AF1831" s="200">
        <f t="shared" si="9244"/>
        <v>0</v>
      </c>
      <c r="AG1831" s="200">
        <f t="shared" si="9244"/>
        <v>0</v>
      </c>
      <c r="AH1831" s="171">
        <f t="shared" si="13"/>
        <v>0</v>
      </c>
      <c r="AI1831" s="200">
        <f t="shared" si="14"/>
        <v>1</v>
      </c>
      <c r="AJ1831" s="200">
        <f t="shared" si="9159"/>
        <v>0</v>
      </c>
      <c r="AK1831" s="201">
        <f t="shared" ref="AK1831:AS1831" si="9245">countif($D1831,"*"&amp;AK$2&amp;"*")</f>
        <v>0</v>
      </c>
      <c r="AL1831" s="201">
        <f t="shared" si="9245"/>
        <v>0</v>
      </c>
      <c r="AM1831" s="201">
        <f t="shared" si="9245"/>
        <v>0</v>
      </c>
      <c r="AN1831" s="201">
        <f t="shared" si="9245"/>
        <v>0</v>
      </c>
      <c r="AO1831" s="201">
        <f t="shared" si="9245"/>
        <v>0</v>
      </c>
      <c r="AP1831" s="201">
        <f t="shared" si="9245"/>
        <v>0</v>
      </c>
      <c r="AQ1831" s="201">
        <f t="shared" si="9245"/>
        <v>0</v>
      </c>
      <c r="AR1831" s="200">
        <f t="shared" si="9245"/>
        <v>0</v>
      </c>
      <c r="AS1831" s="200">
        <f t="shared" si="9245"/>
        <v>0</v>
      </c>
      <c r="AT1831" s="173">
        <v>0.0</v>
      </c>
      <c r="AU1831" s="200">
        <f t="shared" ref="AU1831:AX1831" si="9246">countif($D1831,"*"&amp;AU$2&amp;"*")</f>
        <v>0</v>
      </c>
      <c r="AV1831" s="200">
        <f t="shared" si="9246"/>
        <v>0</v>
      </c>
      <c r="AW1831" s="200">
        <f t="shared" si="9246"/>
        <v>0</v>
      </c>
      <c r="AX1831" s="200">
        <f t="shared" si="9246"/>
        <v>0</v>
      </c>
      <c r="AY1831" s="204">
        <v>1.0</v>
      </c>
      <c r="AZ1831" s="200"/>
      <c r="BA1831" s="171" t="str">
        <f t="shared" si="18"/>
        <v>Archival</v>
      </c>
      <c r="BB1831" s="171" t="str">
        <f t="shared" si="19"/>
        <v/>
      </c>
      <c r="BC1831" s="171" t="str">
        <f t="shared" si="20"/>
        <v/>
      </c>
      <c r="BD1831" s="171" t="str">
        <f t="shared" si="21"/>
        <v/>
      </c>
      <c r="BE1831" s="171" t="str">
        <f t="shared" si="22"/>
        <v/>
      </c>
      <c r="BF1831" s="171" t="str">
        <f t="shared" si="23"/>
        <v>Archival</v>
      </c>
    </row>
    <row r="1832">
      <c r="A1832" s="171">
        <f t="array" ref="A1832">XLOOKUP(C1832,FSE!A:A,FSE!C:C,"XXXXX",0,1)</f>
        <v>2019</v>
      </c>
      <c r="B1832" s="213" t="s">
        <v>5676</v>
      </c>
      <c r="C1832" s="214">
        <v>480.0</v>
      </c>
      <c r="D1832" s="225" t="s">
        <v>6463</v>
      </c>
      <c r="E1832" s="197" t="str">
        <f t="array" ref="E1832">XLOOKUP(C1832,FSE!A:A,FSE!Z:Z,"XXXXX",0,1)</f>
        <v>Publicly Available (1)</v>
      </c>
      <c r="F1832" s="213" t="s">
        <v>3394</v>
      </c>
      <c r="G1832" s="163" t="str">
        <f t="array" ref="G1832">IF(B1832="ICSE",IF(COUNTIFS(B:B,B1832,C:C,C1832)=XLOOKUP(C1832,ICSE!A:A,ICSE!AA:AA,"ERROR",0,1),"OK","ERROR"),IF(B1832="FSE",IF(COUNTIFS(B:B,B1832,C:C,C1832)=XLOOKUP(C1832,FSE!A:A,FSE!AA:AA,"ERROR",0,1),"OK","ERROR")))</f>
        <v>OK</v>
      </c>
      <c r="H1832" s="199">
        <f t="shared" ref="H1832:O1832" si="9247">countif($D1832,"*"&amp;H$2&amp;"*")</f>
        <v>0</v>
      </c>
      <c r="I1832" s="200">
        <f t="shared" si="9247"/>
        <v>0</v>
      </c>
      <c r="J1832" s="200">
        <f t="shared" si="9247"/>
        <v>0</v>
      </c>
      <c r="K1832" s="200">
        <f t="shared" si="9247"/>
        <v>0</v>
      </c>
      <c r="L1832" s="200">
        <f t="shared" si="9247"/>
        <v>0</v>
      </c>
      <c r="M1832" s="200">
        <f t="shared" si="9247"/>
        <v>0</v>
      </c>
      <c r="N1832" s="200">
        <f t="shared" si="9247"/>
        <v>0</v>
      </c>
      <c r="O1832" s="200">
        <f t="shared" si="9247"/>
        <v>0</v>
      </c>
      <c r="P1832" s="200">
        <f t="shared" si="9"/>
        <v>1</v>
      </c>
      <c r="Q1832" s="200">
        <f t="shared" ref="Q1832:AC1832" si="9248">countif($D1832,"*"&amp;Q$2&amp;"*")</f>
        <v>0</v>
      </c>
      <c r="R1832" s="200">
        <f t="shared" si="9248"/>
        <v>0</v>
      </c>
      <c r="S1832" s="200">
        <f t="shared" si="9248"/>
        <v>0</v>
      </c>
      <c r="T1832" s="200">
        <f t="shared" si="9248"/>
        <v>0</v>
      </c>
      <c r="U1832" s="200">
        <f t="shared" si="9248"/>
        <v>0</v>
      </c>
      <c r="V1832" s="200">
        <f t="shared" si="9248"/>
        <v>0</v>
      </c>
      <c r="W1832" s="200">
        <f t="shared" si="9248"/>
        <v>0</v>
      </c>
      <c r="X1832" s="200">
        <f t="shared" si="9248"/>
        <v>0</v>
      </c>
      <c r="Y1832" s="200">
        <f t="shared" si="9248"/>
        <v>0</v>
      </c>
      <c r="Z1832" s="200">
        <f t="shared" si="9248"/>
        <v>0</v>
      </c>
      <c r="AA1832" s="200">
        <f t="shared" si="9248"/>
        <v>0</v>
      </c>
      <c r="AB1832" s="200">
        <f t="shared" si="9248"/>
        <v>0</v>
      </c>
      <c r="AC1832" s="200">
        <f t="shared" si="9248"/>
        <v>0</v>
      </c>
      <c r="AD1832" s="200">
        <f t="shared" si="11"/>
        <v>0</v>
      </c>
      <c r="AE1832" s="200">
        <f t="shared" ref="AE1832:AG1832" si="9249">countif($D1832,"*"&amp;AE$2&amp;"*")</f>
        <v>0</v>
      </c>
      <c r="AF1832" s="200">
        <f t="shared" si="9249"/>
        <v>0</v>
      </c>
      <c r="AG1832" s="200">
        <f t="shared" si="9249"/>
        <v>0</v>
      </c>
      <c r="AH1832" s="171">
        <f t="shared" si="13"/>
        <v>0</v>
      </c>
      <c r="AI1832" s="200">
        <f t="shared" si="14"/>
        <v>0</v>
      </c>
      <c r="AJ1832" s="200">
        <f t="shared" si="9159"/>
        <v>0</v>
      </c>
      <c r="AK1832" s="201">
        <f t="shared" ref="AK1832:AS1832" si="9250">countif($D1832,"*"&amp;AK$2&amp;"*")</f>
        <v>0</v>
      </c>
      <c r="AL1832" s="201">
        <f t="shared" si="9250"/>
        <v>0</v>
      </c>
      <c r="AM1832" s="201">
        <f t="shared" si="9250"/>
        <v>0</v>
      </c>
      <c r="AN1832" s="201">
        <f t="shared" si="9250"/>
        <v>0</v>
      </c>
      <c r="AO1832" s="201">
        <f t="shared" si="9250"/>
        <v>0</v>
      </c>
      <c r="AP1832" s="201">
        <f t="shared" si="9250"/>
        <v>0</v>
      </c>
      <c r="AQ1832" s="201">
        <f t="shared" si="9250"/>
        <v>0</v>
      </c>
      <c r="AR1832" s="200">
        <f t="shared" si="9250"/>
        <v>0</v>
      </c>
      <c r="AS1832" s="200">
        <f t="shared" si="9250"/>
        <v>1</v>
      </c>
      <c r="AT1832" s="173">
        <v>0.0</v>
      </c>
      <c r="AU1832" s="209">
        <v>0.0</v>
      </c>
      <c r="AV1832" s="200">
        <f t="shared" ref="AV1832:AX1832" si="9251">countif($D1832,"*"&amp;AV$2&amp;"*")</f>
        <v>1</v>
      </c>
      <c r="AW1832" s="200">
        <f t="shared" si="9251"/>
        <v>0</v>
      </c>
      <c r="AX1832" s="200">
        <f t="shared" si="9251"/>
        <v>0</v>
      </c>
      <c r="AY1832" s="202">
        <v>0.0</v>
      </c>
      <c r="AZ1832" s="200"/>
      <c r="BA1832" s="171" t="str">
        <f t="shared" si="18"/>
        <v/>
      </c>
      <c r="BB1832" s="171" t="str">
        <f t="shared" si="19"/>
        <v>Code</v>
      </c>
      <c r="BC1832" s="171" t="str">
        <f t="shared" si="20"/>
        <v/>
      </c>
      <c r="BD1832" s="171" t="str">
        <f t="shared" si="21"/>
        <v/>
      </c>
      <c r="BE1832" s="171" t="str">
        <f t="shared" si="22"/>
        <v/>
      </c>
      <c r="BF1832" s="171" t="str">
        <f t="shared" si="23"/>
        <v>Code</v>
      </c>
    </row>
    <row r="1833">
      <c r="A1833" s="171">
        <f t="array" ref="A1833">XLOOKUP(C1833,FSE!A:A,FSE!C:C,"XXXXX",0,1)</f>
        <v>2019</v>
      </c>
      <c r="B1833" s="213" t="s">
        <v>5676</v>
      </c>
      <c r="C1833" s="214">
        <v>481.0</v>
      </c>
      <c r="D1833" s="217" t="s">
        <v>4411</v>
      </c>
      <c r="E1833" s="197" t="str">
        <f t="array" ref="E1833">XLOOKUP(C1833,FSE!A:A,FSE!Z:Z,"XXXXX",0,1)</f>
        <v>Publicly Available (1)</v>
      </c>
      <c r="F1833" s="213" t="s">
        <v>3394</v>
      </c>
      <c r="G1833" s="163" t="str">
        <f t="array" ref="G1833">IF(B1833="ICSE",IF(COUNTIFS(B:B,B1833,C:C,C1833)=XLOOKUP(C1833,ICSE!A:A,ICSE!AA:AA,"ERROR",0,1),"OK","ERROR"),IF(B1833="FSE",IF(COUNTIFS(B:B,B1833,C:C,C1833)=XLOOKUP(C1833,FSE!A:A,FSE!AA:AA,"ERROR",0,1),"OK","ERROR")))</f>
        <v>OK</v>
      </c>
      <c r="H1833" s="199">
        <f t="shared" ref="H1833:O1833" si="9252">countif($D1833,"*"&amp;H$2&amp;"*")</f>
        <v>1</v>
      </c>
      <c r="I1833" s="200">
        <f t="shared" si="9252"/>
        <v>0</v>
      </c>
      <c r="J1833" s="200">
        <f t="shared" si="9252"/>
        <v>0</v>
      </c>
      <c r="K1833" s="200">
        <f t="shared" si="9252"/>
        <v>0</v>
      </c>
      <c r="L1833" s="200">
        <f t="shared" si="9252"/>
        <v>0</v>
      </c>
      <c r="M1833" s="200">
        <f t="shared" si="9252"/>
        <v>0</v>
      </c>
      <c r="N1833" s="200">
        <f t="shared" si="9252"/>
        <v>0</v>
      </c>
      <c r="O1833" s="200">
        <f t="shared" si="9252"/>
        <v>0</v>
      </c>
      <c r="P1833" s="200">
        <f t="shared" si="9"/>
        <v>0</v>
      </c>
      <c r="Q1833" s="200">
        <f t="shared" ref="Q1833:AC1833" si="9253">countif($D1833,"*"&amp;Q$2&amp;"*")</f>
        <v>0</v>
      </c>
      <c r="R1833" s="200">
        <f t="shared" si="9253"/>
        <v>0</v>
      </c>
      <c r="S1833" s="200">
        <f t="shared" si="9253"/>
        <v>0</v>
      </c>
      <c r="T1833" s="200">
        <f t="shared" si="9253"/>
        <v>0</v>
      </c>
      <c r="U1833" s="200">
        <f t="shared" si="9253"/>
        <v>0</v>
      </c>
      <c r="V1833" s="200">
        <f t="shared" si="9253"/>
        <v>0</v>
      </c>
      <c r="W1833" s="200">
        <f t="shared" si="9253"/>
        <v>0</v>
      </c>
      <c r="X1833" s="200">
        <f t="shared" si="9253"/>
        <v>0</v>
      </c>
      <c r="Y1833" s="200">
        <f t="shared" si="9253"/>
        <v>0</v>
      </c>
      <c r="Z1833" s="200">
        <f t="shared" si="9253"/>
        <v>0</v>
      </c>
      <c r="AA1833" s="200">
        <f t="shared" si="9253"/>
        <v>0</v>
      </c>
      <c r="AB1833" s="200">
        <f t="shared" si="9253"/>
        <v>0</v>
      </c>
      <c r="AC1833" s="200">
        <f t="shared" si="9253"/>
        <v>0</v>
      </c>
      <c r="AD1833" s="200">
        <f t="shared" si="11"/>
        <v>0</v>
      </c>
      <c r="AE1833" s="200">
        <f t="shared" ref="AE1833:AG1833" si="9254">countif($D1833,"*"&amp;AE$2&amp;"*")</f>
        <v>0</v>
      </c>
      <c r="AF1833" s="200">
        <f t="shared" si="9254"/>
        <v>0</v>
      </c>
      <c r="AG1833" s="200">
        <f t="shared" si="9254"/>
        <v>0</v>
      </c>
      <c r="AH1833" s="171">
        <f t="shared" si="13"/>
        <v>0</v>
      </c>
      <c r="AI1833" s="200">
        <f t="shared" si="14"/>
        <v>1</v>
      </c>
      <c r="AJ1833" s="200">
        <f t="shared" si="9159"/>
        <v>0</v>
      </c>
      <c r="AK1833" s="201">
        <f t="shared" ref="AK1833:AS1833" si="9255">countif($D1833,"*"&amp;AK$2&amp;"*")</f>
        <v>0</v>
      </c>
      <c r="AL1833" s="201">
        <f t="shared" si="9255"/>
        <v>0</v>
      </c>
      <c r="AM1833" s="201">
        <f t="shared" si="9255"/>
        <v>0</v>
      </c>
      <c r="AN1833" s="201">
        <f t="shared" si="9255"/>
        <v>0</v>
      </c>
      <c r="AO1833" s="201">
        <f t="shared" si="9255"/>
        <v>0</v>
      </c>
      <c r="AP1833" s="201">
        <f t="shared" si="9255"/>
        <v>0</v>
      </c>
      <c r="AQ1833" s="201">
        <f t="shared" si="9255"/>
        <v>0</v>
      </c>
      <c r="AR1833" s="200">
        <f t="shared" si="9255"/>
        <v>0</v>
      </c>
      <c r="AS1833" s="200">
        <f t="shared" si="9255"/>
        <v>0</v>
      </c>
      <c r="AT1833" s="173">
        <v>0.0</v>
      </c>
      <c r="AU1833" s="200">
        <f t="shared" ref="AU1833:AX1833" si="9256">countif($D1833,"*"&amp;AU$2&amp;"*")</f>
        <v>0</v>
      </c>
      <c r="AV1833" s="200">
        <f t="shared" si="9256"/>
        <v>0</v>
      </c>
      <c r="AW1833" s="200">
        <f t="shared" si="9256"/>
        <v>0</v>
      </c>
      <c r="AX1833" s="200">
        <f t="shared" si="9256"/>
        <v>0</v>
      </c>
      <c r="AY1833" s="204">
        <v>1.0</v>
      </c>
      <c r="AZ1833" s="200"/>
      <c r="BA1833" s="171" t="str">
        <f t="shared" si="18"/>
        <v>Archival</v>
      </c>
      <c r="BB1833" s="171" t="str">
        <f t="shared" si="19"/>
        <v/>
      </c>
      <c r="BC1833" s="171" t="str">
        <f t="shared" si="20"/>
        <v/>
      </c>
      <c r="BD1833" s="171" t="str">
        <f t="shared" si="21"/>
        <v/>
      </c>
      <c r="BE1833" s="171" t="str">
        <f t="shared" si="22"/>
        <v/>
      </c>
      <c r="BF1833" s="171" t="str">
        <f t="shared" si="23"/>
        <v>Archival</v>
      </c>
    </row>
    <row r="1834">
      <c r="A1834" s="171">
        <f t="array" ref="A1834">XLOOKUP(C1834,FSE!A:A,FSE!C:C,"XXXXX",0,1)</f>
        <v>2019</v>
      </c>
      <c r="B1834" s="213" t="s">
        <v>5676</v>
      </c>
      <c r="C1834" s="214">
        <v>482.0</v>
      </c>
      <c r="D1834" s="215" t="s">
        <v>4414</v>
      </c>
      <c r="E1834" s="197" t="str">
        <f t="array" ref="E1834">XLOOKUP(C1834,FSE!A:A,FSE!Z:Z,"XXXXX",0,1)</f>
        <v>Not Available (1)</v>
      </c>
      <c r="F1834" s="213" t="s">
        <v>3395</v>
      </c>
      <c r="G1834" s="163" t="str">
        <f t="array" ref="G1834">IF(B1834="ICSE",IF(COUNTIFS(B:B,B1834,C:C,C1834)=XLOOKUP(C1834,ICSE!A:A,ICSE!AA:AA,"ERROR",0,1),"OK","ERROR"),IF(B1834="FSE",IF(COUNTIFS(B:B,B1834,C:C,C1834)=XLOOKUP(C1834,FSE!A:A,FSE!AA:AA,"ERROR",0,1),"OK","ERROR")))</f>
        <v>OK</v>
      </c>
      <c r="H1834" s="199">
        <f t="shared" ref="H1834:O1834" si="9257">countif($D1834,"*"&amp;H$2&amp;"*")</f>
        <v>0</v>
      </c>
      <c r="I1834" s="200">
        <f t="shared" si="9257"/>
        <v>0</v>
      </c>
      <c r="J1834" s="200">
        <f t="shared" si="9257"/>
        <v>0</v>
      </c>
      <c r="K1834" s="200">
        <f t="shared" si="9257"/>
        <v>0</v>
      </c>
      <c r="L1834" s="200">
        <f t="shared" si="9257"/>
        <v>0</v>
      </c>
      <c r="M1834" s="200">
        <f t="shared" si="9257"/>
        <v>0</v>
      </c>
      <c r="N1834" s="200">
        <f t="shared" si="9257"/>
        <v>0</v>
      </c>
      <c r="O1834" s="200">
        <f t="shared" si="9257"/>
        <v>0</v>
      </c>
      <c r="P1834" s="200">
        <f t="shared" si="9"/>
        <v>0</v>
      </c>
      <c r="Q1834" s="200">
        <f t="shared" ref="Q1834:AC1834" si="9258">countif($D1834,"*"&amp;Q$2&amp;"*")</f>
        <v>0</v>
      </c>
      <c r="R1834" s="200">
        <f t="shared" si="9258"/>
        <v>0</v>
      </c>
      <c r="S1834" s="200">
        <f t="shared" si="9258"/>
        <v>0</v>
      </c>
      <c r="T1834" s="200">
        <f t="shared" si="9258"/>
        <v>0</v>
      </c>
      <c r="U1834" s="200">
        <f t="shared" si="9258"/>
        <v>0</v>
      </c>
      <c r="V1834" s="200">
        <f t="shared" si="9258"/>
        <v>0</v>
      </c>
      <c r="W1834" s="200">
        <f t="shared" si="9258"/>
        <v>0</v>
      </c>
      <c r="X1834" s="200">
        <f t="shared" si="9258"/>
        <v>0</v>
      </c>
      <c r="Y1834" s="200">
        <f t="shared" si="9258"/>
        <v>0</v>
      </c>
      <c r="Z1834" s="200">
        <f t="shared" si="9258"/>
        <v>0</v>
      </c>
      <c r="AA1834" s="200">
        <f t="shared" si="9258"/>
        <v>0</v>
      </c>
      <c r="AB1834" s="200">
        <f t="shared" si="9258"/>
        <v>0</v>
      </c>
      <c r="AC1834" s="200">
        <f t="shared" si="9258"/>
        <v>0</v>
      </c>
      <c r="AD1834" s="200">
        <f t="shared" si="11"/>
        <v>1</v>
      </c>
      <c r="AE1834" s="200">
        <f t="shared" ref="AE1834:AG1834" si="9259">countif($D1834,"*"&amp;AE$2&amp;"*")</f>
        <v>0</v>
      </c>
      <c r="AF1834" s="200">
        <f t="shared" si="9259"/>
        <v>0</v>
      </c>
      <c r="AG1834" s="200">
        <f t="shared" si="9259"/>
        <v>0</v>
      </c>
      <c r="AH1834" s="171">
        <f t="shared" si="13"/>
        <v>0</v>
      </c>
      <c r="AI1834" s="200">
        <f t="shared" si="14"/>
        <v>0</v>
      </c>
      <c r="AJ1834" s="200">
        <f>SUM(AK1834:AQ1834)</f>
        <v>0</v>
      </c>
      <c r="AK1834" s="201">
        <f t="shared" ref="AK1834:AS1834" si="9260">countif($D1834,"*"&amp;AK$2&amp;"*")</f>
        <v>0</v>
      </c>
      <c r="AL1834" s="201">
        <f t="shared" si="9260"/>
        <v>0</v>
      </c>
      <c r="AM1834" s="201">
        <f t="shared" si="9260"/>
        <v>0</v>
      </c>
      <c r="AN1834" s="201">
        <f t="shared" si="9260"/>
        <v>0</v>
      </c>
      <c r="AO1834" s="201">
        <f t="shared" si="9260"/>
        <v>0</v>
      </c>
      <c r="AP1834" s="201">
        <f t="shared" si="9260"/>
        <v>0</v>
      </c>
      <c r="AQ1834" s="201">
        <f t="shared" si="9260"/>
        <v>0</v>
      </c>
      <c r="AR1834" s="201">
        <f t="shared" si="9260"/>
        <v>0</v>
      </c>
      <c r="AS1834" s="200">
        <f t="shared" si="9260"/>
        <v>0</v>
      </c>
      <c r="AT1834" s="205">
        <v>0.0</v>
      </c>
      <c r="AU1834" s="200">
        <f t="shared" ref="AU1834:AX1834" si="9261">countif($D1834,"*"&amp;AU$2&amp;"*")</f>
        <v>1</v>
      </c>
      <c r="AV1834" s="200">
        <f t="shared" si="9261"/>
        <v>0</v>
      </c>
      <c r="AW1834" s="200">
        <f t="shared" si="9261"/>
        <v>0</v>
      </c>
      <c r="AX1834" s="200">
        <f t="shared" si="9261"/>
        <v>0</v>
      </c>
      <c r="AY1834" s="202">
        <v>0.0</v>
      </c>
      <c r="AZ1834" s="200"/>
      <c r="BA1834" s="171" t="str">
        <f t="shared" si="18"/>
        <v/>
      </c>
      <c r="BB1834" s="171" t="str">
        <f t="shared" si="19"/>
        <v/>
      </c>
      <c r="BC1834" s="171" t="str">
        <f t="shared" si="20"/>
        <v/>
      </c>
      <c r="BD1834" s="171" t="str">
        <f t="shared" si="21"/>
        <v>Institutional</v>
      </c>
      <c r="BE1834" s="171" t="str">
        <f t="shared" si="22"/>
        <v/>
      </c>
      <c r="BF1834" s="171" t="str">
        <f t="shared" si="23"/>
        <v>Institutional</v>
      </c>
    </row>
    <row r="1835">
      <c r="A1835" s="171">
        <f t="array" ref="A1835">XLOOKUP(C1835,FSE!A:A,FSE!C:C,"XXXXX",0,1)</f>
        <v>2019</v>
      </c>
      <c r="B1835" s="213" t="s">
        <v>5676</v>
      </c>
      <c r="C1835" s="214">
        <v>483.0</v>
      </c>
      <c r="D1835" s="215" t="s">
        <v>4416</v>
      </c>
      <c r="E1835" s="197" t="str">
        <f t="array" ref="E1835">XLOOKUP(C1835,FSE!A:A,FSE!Z:Z,"XXXXX",0,1)</f>
        <v>Publicly Available (1)</v>
      </c>
      <c r="F1835" s="213" t="s">
        <v>3394</v>
      </c>
      <c r="G1835" s="163" t="str">
        <f t="array" ref="G1835">IF(B1835="ICSE",IF(COUNTIFS(B:B,B1835,C:C,C1835)=XLOOKUP(C1835,ICSE!A:A,ICSE!AA:AA,"ERROR",0,1),"OK","ERROR"),IF(B1835="FSE",IF(COUNTIFS(B:B,B1835,C:C,C1835)=XLOOKUP(C1835,FSE!A:A,FSE!AA:AA,"ERROR",0,1),"OK","ERROR")))</f>
        <v>OK</v>
      </c>
      <c r="H1835" s="199">
        <f t="shared" ref="H1835:O1835" si="9262">countif($D1835,"*"&amp;H$2&amp;"*")</f>
        <v>0</v>
      </c>
      <c r="I1835" s="200">
        <f t="shared" si="9262"/>
        <v>0</v>
      </c>
      <c r="J1835" s="200">
        <f t="shared" si="9262"/>
        <v>0</v>
      </c>
      <c r="K1835" s="200">
        <f t="shared" si="9262"/>
        <v>0</v>
      </c>
      <c r="L1835" s="200">
        <f t="shared" si="9262"/>
        <v>0</v>
      </c>
      <c r="M1835" s="200">
        <f t="shared" si="9262"/>
        <v>0</v>
      </c>
      <c r="N1835" s="200">
        <f t="shared" si="9262"/>
        <v>0</v>
      </c>
      <c r="O1835" s="200">
        <f t="shared" si="9262"/>
        <v>0</v>
      </c>
      <c r="P1835" s="200">
        <f t="shared" si="9"/>
        <v>1</v>
      </c>
      <c r="Q1835" s="200">
        <f t="shared" ref="Q1835:AC1835" si="9263">countif($D1835,"*"&amp;Q$2&amp;"*")</f>
        <v>0</v>
      </c>
      <c r="R1835" s="200">
        <f t="shared" si="9263"/>
        <v>0</v>
      </c>
      <c r="S1835" s="200">
        <f t="shared" si="9263"/>
        <v>0</v>
      </c>
      <c r="T1835" s="200">
        <f t="shared" si="9263"/>
        <v>0</v>
      </c>
      <c r="U1835" s="200">
        <f t="shared" si="9263"/>
        <v>0</v>
      </c>
      <c r="V1835" s="200">
        <f t="shared" si="9263"/>
        <v>0</v>
      </c>
      <c r="W1835" s="200">
        <f t="shared" si="9263"/>
        <v>0</v>
      </c>
      <c r="X1835" s="200">
        <f t="shared" si="9263"/>
        <v>0</v>
      </c>
      <c r="Y1835" s="200">
        <f t="shared" si="9263"/>
        <v>0</v>
      </c>
      <c r="Z1835" s="200">
        <f t="shared" si="9263"/>
        <v>0</v>
      </c>
      <c r="AA1835" s="200">
        <f t="shared" si="9263"/>
        <v>0</v>
      </c>
      <c r="AB1835" s="200">
        <f t="shared" si="9263"/>
        <v>0</v>
      </c>
      <c r="AC1835" s="200">
        <f t="shared" si="9263"/>
        <v>0</v>
      </c>
      <c r="AD1835" s="200">
        <f t="shared" si="11"/>
        <v>0</v>
      </c>
      <c r="AE1835" s="200">
        <f t="shared" ref="AE1835:AG1835" si="9264">countif($D1835,"*"&amp;AE$2&amp;"*")</f>
        <v>0</v>
      </c>
      <c r="AF1835" s="200">
        <f t="shared" si="9264"/>
        <v>0</v>
      </c>
      <c r="AG1835" s="200">
        <f t="shared" si="9264"/>
        <v>0</v>
      </c>
      <c r="AH1835" s="171">
        <f t="shared" si="13"/>
        <v>0</v>
      </c>
      <c r="AI1835" s="200">
        <f t="shared" si="14"/>
        <v>0</v>
      </c>
      <c r="AJ1835" s="200">
        <f t="shared" ref="AJ1835:AJ1897" si="9270">SUM(AK1835:AR1835)</f>
        <v>0</v>
      </c>
      <c r="AK1835" s="201">
        <f t="shared" ref="AK1835:AS1835" si="9265">countif($D1835,"*"&amp;AK$2&amp;"*")</f>
        <v>0</v>
      </c>
      <c r="AL1835" s="201">
        <f t="shared" si="9265"/>
        <v>0</v>
      </c>
      <c r="AM1835" s="201">
        <f t="shared" si="9265"/>
        <v>0</v>
      </c>
      <c r="AN1835" s="201">
        <f t="shared" si="9265"/>
        <v>0</v>
      </c>
      <c r="AO1835" s="201">
        <f t="shared" si="9265"/>
        <v>0</v>
      </c>
      <c r="AP1835" s="201">
        <f t="shared" si="9265"/>
        <v>0</v>
      </c>
      <c r="AQ1835" s="201">
        <f t="shared" si="9265"/>
        <v>0</v>
      </c>
      <c r="AR1835" s="200">
        <f t="shared" si="9265"/>
        <v>0</v>
      </c>
      <c r="AS1835" s="200">
        <f t="shared" si="9265"/>
        <v>0</v>
      </c>
      <c r="AT1835" s="173">
        <v>0.0</v>
      </c>
      <c r="AU1835" s="200">
        <f t="shared" ref="AU1835:AX1835" si="9266">countif($D1835,"*"&amp;AU$2&amp;"*")</f>
        <v>0</v>
      </c>
      <c r="AV1835" s="200">
        <f t="shared" si="9266"/>
        <v>1</v>
      </c>
      <c r="AW1835" s="200">
        <f t="shared" si="9266"/>
        <v>0</v>
      </c>
      <c r="AX1835" s="200">
        <f t="shared" si="9266"/>
        <v>0</v>
      </c>
      <c r="AY1835" s="202">
        <v>0.0</v>
      </c>
      <c r="AZ1835" s="200"/>
      <c r="BA1835" s="171" t="str">
        <f t="shared" si="18"/>
        <v/>
      </c>
      <c r="BB1835" s="171" t="str">
        <f t="shared" si="19"/>
        <v>Code</v>
      </c>
      <c r="BC1835" s="171" t="str">
        <f t="shared" si="20"/>
        <v/>
      </c>
      <c r="BD1835" s="171" t="str">
        <f t="shared" si="21"/>
        <v/>
      </c>
      <c r="BE1835" s="171" t="str">
        <f t="shared" si="22"/>
        <v/>
      </c>
      <c r="BF1835" s="171" t="str">
        <f t="shared" si="23"/>
        <v>Code</v>
      </c>
    </row>
    <row r="1836">
      <c r="A1836" s="171">
        <f t="array" ref="A1836">XLOOKUP(C1836,FSE!A:A,FSE!C:C,"XXXXX",0,1)</f>
        <v>2019</v>
      </c>
      <c r="B1836" s="213" t="s">
        <v>5676</v>
      </c>
      <c r="C1836" s="214">
        <v>484.0</v>
      </c>
      <c r="D1836" s="215" t="s">
        <v>4419</v>
      </c>
      <c r="E1836" s="197" t="str">
        <f t="array" ref="E1836">XLOOKUP(C1836,FSE!A:A,FSE!Z:Z,"XXXXX",0,1)</f>
        <v>Publicly Available (1)</v>
      </c>
      <c r="F1836" s="213" t="s">
        <v>3394</v>
      </c>
      <c r="G1836" s="163" t="str">
        <f t="array" ref="G1836">IF(B1836="ICSE",IF(COUNTIFS(B:B,B1836,C:C,C1836)=XLOOKUP(C1836,ICSE!A:A,ICSE!AA:AA,"ERROR",0,1),"OK","ERROR"),IF(B1836="FSE",IF(COUNTIFS(B:B,B1836,C:C,C1836)=XLOOKUP(C1836,FSE!A:A,FSE!AA:AA,"ERROR",0,1),"OK","ERROR")))</f>
        <v>OK</v>
      </c>
      <c r="H1836" s="199">
        <f t="shared" ref="H1836:O1836" si="9267">countif($D1836,"*"&amp;H$2&amp;"*")</f>
        <v>0</v>
      </c>
      <c r="I1836" s="200">
        <f t="shared" si="9267"/>
        <v>0</v>
      </c>
      <c r="J1836" s="200">
        <f t="shared" si="9267"/>
        <v>0</v>
      </c>
      <c r="K1836" s="200">
        <f t="shared" si="9267"/>
        <v>0</v>
      </c>
      <c r="L1836" s="200">
        <f t="shared" si="9267"/>
        <v>0</v>
      </c>
      <c r="M1836" s="200">
        <f t="shared" si="9267"/>
        <v>0</v>
      </c>
      <c r="N1836" s="200">
        <f t="shared" si="9267"/>
        <v>0</v>
      </c>
      <c r="O1836" s="200">
        <f t="shared" si="9267"/>
        <v>0</v>
      </c>
      <c r="P1836" s="200">
        <f t="shared" si="9"/>
        <v>1</v>
      </c>
      <c r="Q1836" s="200">
        <f t="shared" ref="Q1836:AC1836" si="9268">countif($D1836,"*"&amp;Q$2&amp;"*")</f>
        <v>0</v>
      </c>
      <c r="R1836" s="200">
        <f t="shared" si="9268"/>
        <v>0</v>
      </c>
      <c r="S1836" s="200">
        <f t="shared" si="9268"/>
        <v>0</v>
      </c>
      <c r="T1836" s="200">
        <f t="shared" si="9268"/>
        <v>0</v>
      </c>
      <c r="U1836" s="200">
        <f t="shared" si="9268"/>
        <v>0</v>
      </c>
      <c r="V1836" s="200">
        <f t="shared" si="9268"/>
        <v>0</v>
      </c>
      <c r="W1836" s="200">
        <f t="shared" si="9268"/>
        <v>0</v>
      </c>
      <c r="X1836" s="200">
        <f t="shared" si="9268"/>
        <v>0</v>
      </c>
      <c r="Y1836" s="200">
        <f t="shared" si="9268"/>
        <v>0</v>
      </c>
      <c r="Z1836" s="200">
        <f t="shared" si="9268"/>
        <v>0</v>
      </c>
      <c r="AA1836" s="200">
        <f t="shared" si="9268"/>
        <v>0</v>
      </c>
      <c r="AB1836" s="200">
        <f t="shared" si="9268"/>
        <v>0</v>
      </c>
      <c r="AC1836" s="200">
        <f t="shared" si="9268"/>
        <v>0</v>
      </c>
      <c r="AD1836" s="200">
        <f t="shared" si="11"/>
        <v>0</v>
      </c>
      <c r="AE1836" s="200">
        <f t="shared" ref="AE1836:AG1836" si="9269">countif($D1836,"*"&amp;AE$2&amp;"*")</f>
        <v>0</v>
      </c>
      <c r="AF1836" s="200">
        <f t="shared" si="9269"/>
        <v>0</v>
      </c>
      <c r="AG1836" s="200">
        <f t="shared" si="9269"/>
        <v>0</v>
      </c>
      <c r="AH1836" s="171">
        <f t="shared" si="13"/>
        <v>0</v>
      </c>
      <c r="AI1836" s="200">
        <f t="shared" si="14"/>
        <v>0</v>
      </c>
      <c r="AJ1836" s="200">
        <f t="shared" si="9270"/>
        <v>0</v>
      </c>
      <c r="AK1836" s="201">
        <f t="shared" ref="AK1836:AS1836" si="9271">countif($D1836,"*"&amp;AK$2&amp;"*")</f>
        <v>0</v>
      </c>
      <c r="AL1836" s="201">
        <f t="shared" si="9271"/>
        <v>0</v>
      </c>
      <c r="AM1836" s="201">
        <f t="shared" si="9271"/>
        <v>0</v>
      </c>
      <c r="AN1836" s="201">
        <f t="shared" si="9271"/>
        <v>0</v>
      </c>
      <c r="AO1836" s="201">
        <f t="shared" si="9271"/>
        <v>0</v>
      </c>
      <c r="AP1836" s="201">
        <f t="shared" si="9271"/>
        <v>0</v>
      </c>
      <c r="AQ1836" s="201">
        <f t="shared" si="9271"/>
        <v>0</v>
      </c>
      <c r="AR1836" s="200">
        <f t="shared" si="9271"/>
        <v>0</v>
      </c>
      <c r="AS1836" s="200">
        <f t="shared" si="9271"/>
        <v>0</v>
      </c>
      <c r="AT1836" s="173">
        <v>0.0</v>
      </c>
      <c r="AU1836" s="200">
        <f t="shared" ref="AU1836:AX1836" si="9272">countif($D1836,"*"&amp;AU$2&amp;"*")</f>
        <v>0</v>
      </c>
      <c r="AV1836" s="200">
        <f t="shared" si="9272"/>
        <v>1</v>
      </c>
      <c r="AW1836" s="200">
        <f t="shared" si="9272"/>
        <v>0</v>
      </c>
      <c r="AX1836" s="200">
        <f t="shared" si="9272"/>
        <v>0</v>
      </c>
      <c r="AY1836" s="202">
        <v>0.0</v>
      </c>
      <c r="AZ1836" s="200"/>
      <c r="BA1836" s="171" t="str">
        <f t="shared" si="18"/>
        <v/>
      </c>
      <c r="BB1836" s="171" t="str">
        <f t="shared" si="19"/>
        <v>Code</v>
      </c>
      <c r="BC1836" s="171" t="str">
        <f t="shared" si="20"/>
        <v/>
      </c>
      <c r="BD1836" s="171" t="str">
        <f t="shared" si="21"/>
        <v/>
      </c>
      <c r="BE1836" s="171" t="str">
        <f t="shared" si="22"/>
        <v/>
      </c>
      <c r="BF1836" s="171" t="str">
        <f t="shared" si="23"/>
        <v>Code</v>
      </c>
    </row>
    <row r="1837">
      <c r="A1837" s="171">
        <f t="array" ref="A1837">XLOOKUP(C1837,FSE!A:A,FSE!C:C,"XXXXX",0,1)</f>
        <v>2019</v>
      </c>
      <c r="B1837" s="213" t="s">
        <v>5676</v>
      </c>
      <c r="C1837" s="214">
        <v>485.0</v>
      </c>
      <c r="D1837" s="215" t="s">
        <v>4422</v>
      </c>
      <c r="E1837" s="197" t="str">
        <f t="array" ref="E1837">XLOOKUP(C1837,FSE!A:A,FSE!Z:Z,"XXXXX",0,1)</f>
        <v>Publicly Available (1)</v>
      </c>
      <c r="F1837" s="213" t="s">
        <v>3394</v>
      </c>
      <c r="G1837" s="163" t="str">
        <f t="array" ref="G1837">IF(B1837="ICSE",IF(COUNTIFS(B:B,B1837,C:C,C1837)=XLOOKUP(C1837,ICSE!A:A,ICSE!AA:AA,"ERROR",0,1),"OK","ERROR"),IF(B1837="FSE",IF(COUNTIFS(B:B,B1837,C:C,C1837)=XLOOKUP(C1837,FSE!A:A,FSE!AA:AA,"ERROR",0,1),"OK","ERROR")))</f>
        <v>OK</v>
      </c>
      <c r="H1837" s="199">
        <f t="shared" ref="H1837:O1837" si="9273">countif($D1837,"*"&amp;H$2&amp;"*")</f>
        <v>0</v>
      </c>
      <c r="I1837" s="200">
        <f t="shared" si="9273"/>
        <v>0</v>
      </c>
      <c r="J1837" s="200">
        <f t="shared" si="9273"/>
        <v>0</v>
      </c>
      <c r="K1837" s="200">
        <f t="shared" si="9273"/>
        <v>0</v>
      </c>
      <c r="L1837" s="200">
        <f t="shared" si="9273"/>
        <v>0</v>
      </c>
      <c r="M1837" s="200">
        <f t="shared" si="9273"/>
        <v>0</v>
      </c>
      <c r="N1837" s="200">
        <f t="shared" si="9273"/>
        <v>0</v>
      </c>
      <c r="O1837" s="200">
        <f t="shared" si="9273"/>
        <v>0</v>
      </c>
      <c r="P1837" s="200">
        <f t="shared" si="9"/>
        <v>1</v>
      </c>
      <c r="Q1837" s="200">
        <f t="shared" ref="Q1837:AC1837" si="9274">countif($D1837,"*"&amp;Q$2&amp;"*")</f>
        <v>0</v>
      </c>
      <c r="R1837" s="200">
        <f t="shared" si="9274"/>
        <v>0</v>
      </c>
      <c r="S1837" s="200">
        <f t="shared" si="9274"/>
        <v>0</v>
      </c>
      <c r="T1837" s="200">
        <f t="shared" si="9274"/>
        <v>0</v>
      </c>
      <c r="U1837" s="200">
        <f t="shared" si="9274"/>
        <v>0</v>
      </c>
      <c r="V1837" s="200">
        <f t="shared" si="9274"/>
        <v>0</v>
      </c>
      <c r="W1837" s="200">
        <f t="shared" si="9274"/>
        <v>0</v>
      </c>
      <c r="X1837" s="200">
        <f t="shared" si="9274"/>
        <v>0</v>
      </c>
      <c r="Y1837" s="200">
        <f t="shared" si="9274"/>
        <v>0</v>
      </c>
      <c r="Z1837" s="200">
        <f t="shared" si="9274"/>
        <v>0</v>
      </c>
      <c r="AA1837" s="200">
        <f t="shared" si="9274"/>
        <v>0</v>
      </c>
      <c r="AB1837" s="200">
        <f t="shared" si="9274"/>
        <v>0</v>
      </c>
      <c r="AC1837" s="200">
        <f t="shared" si="9274"/>
        <v>0</v>
      </c>
      <c r="AD1837" s="200">
        <f t="shared" si="11"/>
        <v>0</v>
      </c>
      <c r="AE1837" s="200">
        <f t="shared" ref="AE1837:AG1837" si="9275">countif($D1837,"*"&amp;AE$2&amp;"*")</f>
        <v>0</v>
      </c>
      <c r="AF1837" s="200">
        <f t="shared" si="9275"/>
        <v>0</v>
      </c>
      <c r="AG1837" s="200">
        <f t="shared" si="9275"/>
        <v>0</v>
      </c>
      <c r="AH1837" s="171">
        <f t="shared" si="13"/>
        <v>0</v>
      </c>
      <c r="AI1837" s="200">
        <f t="shared" si="14"/>
        <v>0</v>
      </c>
      <c r="AJ1837" s="200">
        <f t="shared" si="9270"/>
        <v>0</v>
      </c>
      <c r="AK1837" s="201">
        <f t="shared" ref="AK1837:AS1837" si="9276">countif($D1837,"*"&amp;AK$2&amp;"*")</f>
        <v>0</v>
      </c>
      <c r="AL1837" s="201">
        <f t="shared" si="9276"/>
        <v>0</v>
      </c>
      <c r="AM1837" s="201">
        <f t="shared" si="9276"/>
        <v>0</v>
      </c>
      <c r="AN1837" s="201">
        <f t="shared" si="9276"/>
        <v>0</v>
      </c>
      <c r="AO1837" s="201">
        <f t="shared" si="9276"/>
        <v>0</v>
      </c>
      <c r="AP1837" s="201">
        <f t="shared" si="9276"/>
        <v>0</v>
      </c>
      <c r="AQ1837" s="201">
        <f t="shared" si="9276"/>
        <v>0</v>
      </c>
      <c r="AR1837" s="200">
        <f t="shared" si="9276"/>
        <v>0</v>
      </c>
      <c r="AS1837" s="200">
        <f t="shared" si="9276"/>
        <v>0</v>
      </c>
      <c r="AT1837" s="173">
        <v>0.0</v>
      </c>
      <c r="AU1837" s="200">
        <f t="shared" ref="AU1837:AX1837" si="9277">countif($D1837,"*"&amp;AU$2&amp;"*")</f>
        <v>0</v>
      </c>
      <c r="AV1837" s="200">
        <f t="shared" si="9277"/>
        <v>1</v>
      </c>
      <c r="AW1837" s="200">
        <f t="shared" si="9277"/>
        <v>0</v>
      </c>
      <c r="AX1837" s="200">
        <f t="shared" si="9277"/>
        <v>0</v>
      </c>
      <c r="AY1837" s="202">
        <v>0.0</v>
      </c>
      <c r="AZ1837" s="200"/>
      <c r="BA1837" s="171" t="str">
        <f t="shared" si="18"/>
        <v/>
      </c>
      <c r="BB1837" s="171" t="str">
        <f t="shared" si="19"/>
        <v>Code</v>
      </c>
      <c r="BC1837" s="171" t="str">
        <f t="shared" si="20"/>
        <v/>
      </c>
      <c r="BD1837" s="171" t="str">
        <f t="shared" si="21"/>
        <v/>
      </c>
      <c r="BE1837" s="171" t="str">
        <f t="shared" si="22"/>
        <v/>
      </c>
      <c r="BF1837" s="171" t="str">
        <f t="shared" si="23"/>
        <v>Code</v>
      </c>
    </row>
    <row r="1838">
      <c r="A1838" s="171">
        <f t="array" ref="A1838">XLOOKUP(C1838,FSE!A:A,FSE!C:C,"XXXXX",0,1)</f>
        <v>2019</v>
      </c>
      <c r="B1838" s="213" t="s">
        <v>5676</v>
      </c>
      <c r="C1838" s="214">
        <v>486.0</v>
      </c>
      <c r="D1838" s="215" t="s">
        <v>4424</v>
      </c>
      <c r="E1838" s="197" t="str">
        <f t="array" ref="E1838">XLOOKUP(C1838,FSE!A:A,FSE!Z:Z,"XXXXX",0,1)</f>
        <v>Publicly Available (1)</v>
      </c>
      <c r="F1838" s="213" t="s">
        <v>3394</v>
      </c>
      <c r="G1838" s="163" t="str">
        <f t="array" ref="G1838">IF(B1838="ICSE",IF(COUNTIFS(B:B,B1838,C:C,C1838)=XLOOKUP(C1838,ICSE!A:A,ICSE!AA:AA,"ERROR",0,1),"OK","ERROR"),IF(B1838="FSE",IF(COUNTIFS(B:B,B1838,C:C,C1838)=XLOOKUP(C1838,FSE!A:A,FSE!AA:AA,"ERROR",0,1),"OK","ERROR")))</f>
        <v>OK</v>
      </c>
      <c r="H1838" s="199">
        <f t="shared" ref="H1838:O1838" si="9278">countif($D1838,"*"&amp;H$2&amp;"*")</f>
        <v>0</v>
      </c>
      <c r="I1838" s="200">
        <f t="shared" si="9278"/>
        <v>0</v>
      </c>
      <c r="J1838" s="200">
        <f t="shared" si="9278"/>
        <v>0</v>
      </c>
      <c r="K1838" s="200">
        <f t="shared" si="9278"/>
        <v>0</v>
      </c>
      <c r="L1838" s="200">
        <f t="shared" si="9278"/>
        <v>0</v>
      </c>
      <c r="M1838" s="200">
        <f t="shared" si="9278"/>
        <v>0</v>
      </c>
      <c r="N1838" s="200">
        <f t="shared" si="9278"/>
        <v>0</v>
      </c>
      <c r="O1838" s="200">
        <f t="shared" si="9278"/>
        <v>0</v>
      </c>
      <c r="P1838" s="200">
        <f t="shared" si="9"/>
        <v>1</v>
      </c>
      <c r="Q1838" s="200">
        <f t="shared" ref="Q1838:AC1838" si="9279">countif($D1838,"*"&amp;Q$2&amp;"*")</f>
        <v>0</v>
      </c>
      <c r="R1838" s="200">
        <f t="shared" si="9279"/>
        <v>0</v>
      </c>
      <c r="S1838" s="200">
        <f t="shared" si="9279"/>
        <v>0</v>
      </c>
      <c r="T1838" s="200">
        <f t="shared" si="9279"/>
        <v>0</v>
      </c>
      <c r="U1838" s="200">
        <f t="shared" si="9279"/>
        <v>0</v>
      </c>
      <c r="V1838" s="200">
        <f t="shared" si="9279"/>
        <v>0</v>
      </c>
      <c r="W1838" s="200">
        <f t="shared" si="9279"/>
        <v>0</v>
      </c>
      <c r="X1838" s="200">
        <f t="shared" si="9279"/>
        <v>0</v>
      </c>
      <c r="Y1838" s="200">
        <f t="shared" si="9279"/>
        <v>0</v>
      </c>
      <c r="Z1838" s="200">
        <f t="shared" si="9279"/>
        <v>0</v>
      </c>
      <c r="AA1838" s="200">
        <f t="shared" si="9279"/>
        <v>0</v>
      </c>
      <c r="AB1838" s="200">
        <f t="shared" si="9279"/>
        <v>0</v>
      </c>
      <c r="AC1838" s="200">
        <f t="shared" si="9279"/>
        <v>0</v>
      </c>
      <c r="AD1838" s="200">
        <f t="shared" si="11"/>
        <v>0</v>
      </c>
      <c r="AE1838" s="200">
        <f t="shared" ref="AE1838:AG1838" si="9280">countif($D1838,"*"&amp;AE$2&amp;"*")</f>
        <v>0</v>
      </c>
      <c r="AF1838" s="200">
        <f t="shared" si="9280"/>
        <v>0</v>
      </c>
      <c r="AG1838" s="200">
        <f t="shared" si="9280"/>
        <v>0</v>
      </c>
      <c r="AH1838" s="171">
        <f t="shared" si="13"/>
        <v>0</v>
      </c>
      <c r="AI1838" s="200">
        <f t="shared" si="14"/>
        <v>0</v>
      </c>
      <c r="AJ1838" s="200">
        <f t="shared" si="9270"/>
        <v>0</v>
      </c>
      <c r="AK1838" s="201">
        <f t="shared" ref="AK1838:AS1838" si="9281">countif($D1838,"*"&amp;AK$2&amp;"*")</f>
        <v>0</v>
      </c>
      <c r="AL1838" s="201">
        <f t="shared" si="9281"/>
        <v>0</v>
      </c>
      <c r="AM1838" s="201">
        <f t="shared" si="9281"/>
        <v>0</v>
      </c>
      <c r="AN1838" s="201">
        <f t="shared" si="9281"/>
        <v>0</v>
      </c>
      <c r="AO1838" s="201">
        <f t="shared" si="9281"/>
        <v>0</v>
      </c>
      <c r="AP1838" s="201">
        <f t="shared" si="9281"/>
        <v>0</v>
      </c>
      <c r="AQ1838" s="201">
        <f t="shared" si="9281"/>
        <v>0</v>
      </c>
      <c r="AR1838" s="200">
        <f t="shared" si="9281"/>
        <v>0</v>
      </c>
      <c r="AS1838" s="200">
        <f t="shared" si="9281"/>
        <v>0</v>
      </c>
      <c r="AT1838" s="173">
        <v>0.0</v>
      </c>
      <c r="AU1838" s="200">
        <f t="shared" ref="AU1838:AX1838" si="9282">countif($D1838,"*"&amp;AU$2&amp;"*")</f>
        <v>0</v>
      </c>
      <c r="AV1838" s="200">
        <f t="shared" si="9282"/>
        <v>1</v>
      </c>
      <c r="AW1838" s="200">
        <f t="shared" si="9282"/>
        <v>0</v>
      </c>
      <c r="AX1838" s="200">
        <f t="shared" si="9282"/>
        <v>0</v>
      </c>
      <c r="AY1838" s="202">
        <v>0.0</v>
      </c>
      <c r="AZ1838" s="200"/>
      <c r="BA1838" s="171" t="str">
        <f t="shared" si="18"/>
        <v/>
      </c>
      <c r="BB1838" s="171" t="str">
        <f t="shared" si="19"/>
        <v>Code</v>
      </c>
      <c r="BC1838" s="171" t="str">
        <f t="shared" si="20"/>
        <v/>
      </c>
      <c r="BD1838" s="171" t="str">
        <f t="shared" si="21"/>
        <v/>
      </c>
      <c r="BE1838" s="171" t="str">
        <f t="shared" si="22"/>
        <v/>
      </c>
      <c r="BF1838" s="171" t="str">
        <f t="shared" si="23"/>
        <v>Code</v>
      </c>
    </row>
    <row r="1839">
      <c r="A1839" s="171">
        <f t="array" ref="A1839">XLOOKUP(C1839,FSE!A:A,FSE!C:C,"XXXXX",0,1)</f>
        <v>2019</v>
      </c>
      <c r="B1839" s="213" t="s">
        <v>5676</v>
      </c>
      <c r="C1839" s="214">
        <v>488.0</v>
      </c>
      <c r="D1839" s="215" t="s">
        <v>4428</v>
      </c>
      <c r="E1839" s="197" t="str">
        <f t="array" ref="E1839">XLOOKUP(C1839,FSE!A:A,FSE!Z:Z,"XXXXX",0,1)</f>
        <v>Restrict Access (1)</v>
      </c>
      <c r="F1839" s="213" t="s">
        <v>3396</v>
      </c>
      <c r="G1839" s="163" t="str">
        <f t="array" ref="G1839">IF(B1839="ICSE",IF(COUNTIFS(B:B,B1839,C:C,C1839)=XLOOKUP(C1839,ICSE!A:A,ICSE!AA:AA,"ERROR",0,1),"OK","ERROR"),IF(B1839="FSE",IF(COUNTIFS(B:B,B1839,C:C,C1839)=XLOOKUP(C1839,FSE!A:A,FSE!AA:AA,"ERROR",0,1),"OK","ERROR")))</f>
        <v>OK</v>
      </c>
      <c r="H1839" s="199">
        <f t="shared" ref="H1839:O1839" si="9283">countif($D1839,"*"&amp;H$2&amp;"*")</f>
        <v>0</v>
      </c>
      <c r="I1839" s="200">
        <f t="shared" si="9283"/>
        <v>0</v>
      </c>
      <c r="J1839" s="200">
        <f t="shared" si="9283"/>
        <v>0</v>
      </c>
      <c r="K1839" s="200">
        <f t="shared" si="9283"/>
        <v>0</v>
      </c>
      <c r="L1839" s="200">
        <f t="shared" si="9283"/>
        <v>0</v>
      </c>
      <c r="M1839" s="200">
        <f t="shared" si="9283"/>
        <v>0</v>
      </c>
      <c r="N1839" s="200">
        <f t="shared" si="9283"/>
        <v>0</v>
      </c>
      <c r="O1839" s="200">
        <f t="shared" si="9283"/>
        <v>0</v>
      </c>
      <c r="P1839" s="200">
        <f t="shared" si="9"/>
        <v>0</v>
      </c>
      <c r="Q1839" s="200">
        <f t="shared" ref="Q1839:AC1839" si="9284">countif($D1839,"*"&amp;Q$2&amp;"*")</f>
        <v>0</v>
      </c>
      <c r="R1839" s="200">
        <f t="shared" si="9284"/>
        <v>0</v>
      </c>
      <c r="S1839" s="200">
        <f t="shared" si="9284"/>
        <v>0</v>
      </c>
      <c r="T1839" s="200">
        <f t="shared" si="9284"/>
        <v>0</v>
      </c>
      <c r="U1839" s="200">
        <f t="shared" si="9284"/>
        <v>0</v>
      </c>
      <c r="V1839" s="200">
        <f t="shared" si="9284"/>
        <v>0</v>
      </c>
      <c r="W1839" s="200">
        <f t="shared" si="9284"/>
        <v>0</v>
      </c>
      <c r="X1839" s="200">
        <f t="shared" si="9284"/>
        <v>0</v>
      </c>
      <c r="Y1839" s="200">
        <f t="shared" si="9284"/>
        <v>0</v>
      </c>
      <c r="Z1839" s="200">
        <f t="shared" si="9284"/>
        <v>0</v>
      </c>
      <c r="AA1839" s="200">
        <f t="shared" si="9284"/>
        <v>0</v>
      </c>
      <c r="AB1839" s="200">
        <f t="shared" si="9284"/>
        <v>0</v>
      </c>
      <c r="AC1839" s="200">
        <f t="shared" si="9284"/>
        <v>0</v>
      </c>
      <c r="AD1839" s="200">
        <f t="shared" si="11"/>
        <v>0</v>
      </c>
      <c r="AE1839" s="200">
        <f t="shared" ref="AE1839:AG1839" si="9285">countif($D1839,"*"&amp;AE$2&amp;"*")</f>
        <v>0</v>
      </c>
      <c r="AF1839" s="200">
        <f t="shared" si="9285"/>
        <v>0</v>
      </c>
      <c r="AG1839" s="200">
        <f t="shared" si="9285"/>
        <v>0</v>
      </c>
      <c r="AH1839" s="171">
        <f t="shared" si="13"/>
        <v>1</v>
      </c>
      <c r="AI1839" s="200">
        <f t="shared" si="14"/>
        <v>0</v>
      </c>
      <c r="AJ1839" s="200">
        <f t="shared" si="9270"/>
        <v>0</v>
      </c>
      <c r="AK1839" s="201">
        <f t="shared" ref="AK1839:AS1839" si="9286">countif($D1839,"*"&amp;AK$2&amp;"*")</f>
        <v>0</v>
      </c>
      <c r="AL1839" s="201">
        <f t="shared" si="9286"/>
        <v>0</v>
      </c>
      <c r="AM1839" s="201">
        <f t="shared" si="9286"/>
        <v>0</v>
      </c>
      <c r="AN1839" s="201">
        <f t="shared" si="9286"/>
        <v>0</v>
      </c>
      <c r="AO1839" s="201">
        <f t="shared" si="9286"/>
        <v>0</v>
      </c>
      <c r="AP1839" s="201">
        <f t="shared" si="9286"/>
        <v>0</v>
      </c>
      <c r="AQ1839" s="201">
        <f t="shared" si="9286"/>
        <v>0</v>
      </c>
      <c r="AR1839" s="200">
        <f t="shared" si="9286"/>
        <v>0</v>
      </c>
      <c r="AS1839" s="200">
        <f t="shared" si="9286"/>
        <v>0</v>
      </c>
      <c r="AT1839" s="173">
        <v>0.0</v>
      </c>
      <c r="AU1839" s="200">
        <f t="shared" ref="AU1839:AX1839" si="9287">countif($D1839,"*"&amp;AU$2&amp;"*")</f>
        <v>0</v>
      </c>
      <c r="AV1839" s="200">
        <f t="shared" si="9287"/>
        <v>0</v>
      </c>
      <c r="AW1839" s="200">
        <f t="shared" si="9287"/>
        <v>0</v>
      </c>
      <c r="AX1839" s="200">
        <f t="shared" si="9287"/>
        <v>0</v>
      </c>
      <c r="AY1839" s="202">
        <v>0.0</v>
      </c>
      <c r="AZ1839" s="200"/>
      <c r="BA1839" s="171" t="str">
        <f t="shared" si="18"/>
        <v/>
      </c>
      <c r="BB1839" s="171" t="str">
        <f t="shared" si="19"/>
        <v/>
      </c>
      <c r="BC1839" s="171" t="str">
        <f t="shared" si="20"/>
        <v/>
      </c>
      <c r="BD1839" s="171" t="str">
        <f t="shared" si="21"/>
        <v/>
      </c>
      <c r="BE1839" s="171" t="str">
        <f t="shared" si="22"/>
        <v>Others</v>
      </c>
      <c r="BF1839" s="171" t="str">
        <f t="shared" si="23"/>
        <v>Others</v>
      </c>
    </row>
    <row r="1840">
      <c r="A1840" s="171">
        <f t="array" ref="A1840">XLOOKUP(C1840,FSE!A:A,FSE!C:C,"XXXXX",0,1)</f>
        <v>2019</v>
      </c>
      <c r="B1840" s="213" t="s">
        <v>5676</v>
      </c>
      <c r="C1840" s="214">
        <v>489.0</v>
      </c>
      <c r="D1840" s="215" t="s">
        <v>6464</v>
      </c>
      <c r="E1840" s="197" t="str">
        <f t="array" ref="E1840">XLOOKUP(C1840,FSE!A:A,FSE!Z:Z,"XXXXX",0,1)</f>
        <v>Publicly Available (3)</v>
      </c>
      <c r="F1840" s="213" t="s">
        <v>3394</v>
      </c>
      <c r="G1840" s="163" t="str">
        <f t="array" ref="G1840">IF(B1840="ICSE",IF(COUNTIFS(B:B,B1840,C:C,C1840)=XLOOKUP(C1840,ICSE!A:A,ICSE!AA:AA,"ERROR",0,1),"OK","ERROR"),IF(B1840="FSE",IF(COUNTIFS(B:B,B1840,C:C,C1840)=XLOOKUP(C1840,FSE!A:A,FSE!AA:AA,"ERROR",0,1),"OK","ERROR")))</f>
        <v>OK</v>
      </c>
      <c r="H1840" s="199">
        <f t="shared" ref="H1840:O1840" si="9288">countif($D1840,"*"&amp;H$2&amp;"*")</f>
        <v>0</v>
      </c>
      <c r="I1840" s="200">
        <f t="shared" si="9288"/>
        <v>1</v>
      </c>
      <c r="J1840" s="200">
        <f t="shared" si="9288"/>
        <v>0</v>
      </c>
      <c r="K1840" s="200">
        <f t="shared" si="9288"/>
        <v>0</v>
      </c>
      <c r="L1840" s="200">
        <f t="shared" si="9288"/>
        <v>0</v>
      </c>
      <c r="M1840" s="200">
        <f t="shared" si="9288"/>
        <v>0</v>
      </c>
      <c r="N1840" s="200">
        <f t="shared" si="9288"/>
        <v>0</v>
      </c>
      <c r="O1840" s="200">
        <f t="shared" si="9288"/>
        <v>0</v>
      </c>
      <c r="P1840" s="200">
        <f t="shared" si="9"/>
        <v>0</v>
      </c>
      <c r="Q1840" s="200">
        <f t="shared" ref="Q1840:AC1840" si="9289">countif($D1840,"*"&amp;Q$2&amp;"*")</f>
        <v>0</v>
      </c>
      <c r="R1840" s="200">
        <f t="shared" si="9289"/>
        <v>0</v>
      </c>
      <c r="S1840" s="200">
        <f t="shared" si="9289"/>
        <v>0</v>
      </c>
      <c r="T1840" s="200">
        <f t="shared" si="9289"/>
        <v>0</v>
      </c>
      <c r="U1840" s="200">
        <f t="shared" si="9289"/>
        <v>0</v>
      </c>
      <c r="V1840" s="200">
        <f t="shared" si="9289"/>
        <v>0</v>
      </c>
      <c r="W1840" s="200">
        <f t="shared" si="9289"/>
        <v>0</v>
      </c>
      <c r="X1840" s="200">
        <f t="shared" si="9289"/>
        <v>0</v>
      </c>
      <c r="Y1840" s="200">
        <f t="shared" si="9289"/>
        <v>0</v>
      </c>
      <c r="Z1840" s="200">
        <f t="shared" si="9289"/>
        <v>0</v>
      </c>
      <c r="AA1840" s="200">
        <f t="shared" si="9289"/>
        <v>0</v>
      </c>
      <c r="AB1840" s="200">
        <f t="shared" si="9289"/>
        <v>0</v>
      </c>
      <c r="AC1840" s="200">
        <f t="shared" si="9289"/>
        <v>0</v>
      </c>
      <c r="AD1840" s="200">
        <f t="shared" si="11"/>
        <v>0</v>
      </c>
      <c r="AE1840" s="200">
        <f t="shared" ref="AE1840:AG1840" si="9290">countif($D1840,"*"&amp;AE$2&amp;"*")</f>
        <v>0</v>
      </c>
      <c r="AF1840" s="200">
        <f t="shared" si="9290"/>
        <v>0</v>
      </c>
      <c r="AG1840" s="200">
        <f t="shared" si="9290"/>
        <v>0</v>
      </c>
      <c r="AH1840" s="171">
        <f t="shared" si="13"/>
        <v>0</v>
      </c>
      <c r="AI1840" s="200">
        <f t="shared" si="14"/>
        <v>1</v>
      </c>
      <c r="AJ1840" s="200">
        <f t="shared" si="9270"/>
        <v>0</v>
      </c>
      <c r="AK1840" s="201">
        <f t="shared" ref="AK1840:AS1840" si="9291">countif($D1840,"*"&amp;AK$2&amp;"*")</f>
        <v>0</v>
      </c>
      <c r="AL1840" s="201">
        <f t="shared" si="9291"/>
        <v>0</v>
      </c>
      <c r="AM1840" s="201">
        <f t="shared" si="9291"/>
        <v>0</v>
      </c>
      <c r="AN1840" s="201">
        <f t="shared" si="9291"/>
        <v>0</v>
      </c>
      <c r="AO1840" s="201">
        <f t="shared" si="9291"/>
        <v>0</v>
      </c>
      <c r="AP1840" s="201">
        <f t="shared" si="9291"/>
        <v>0</v>
      </c>
      <c r="AQ1840" s="201">
        <f t="shared" si="9291"/>
        <v>0</v>
      </c>
      <c r="AR1840" s="200">
        <f t="shared" si="9291"/>
        <v>0</v>
      </c>
      <c r="AS1840" s="200">
        <f t="shared" si="9291"/>
        <v>0</v>
      </c>
      <c r="AT1840" s="173">
        <v>0.0</v>
      </c>
      <c r="AU1840" s="200">
        <f t="shared" ref="AU1840:AX1840" si="9292">countif($D1840,"*"&amp;AU$2&amp;"*")</f>
        <v>0</v>
      </c>
      <c r="AV1840" s="200">
        <f t="shared" si="9292"/>
        <v>0</v>
      </c>
      <c r="AW1840" s="200">
        <f t="shared" si="9292"/>
        <v>0</v>
      </c>
      <c r="AX1840" s="200">
        <f t="shared" si="9292"/>
        <v>0</v>
      </c>
      <c r="AY1840" s="204">
        <v>1.0</v>
      </c>
      <c r="AZ1840" s="200"/>
      <c r="BA1840" s="171" t="str">
        <f t="shared" si="18"/>
        <v>Archival</v>
      </c>
      <c r="BB1840" s="171" t="str">
        <f t="shared" si="19"/>
        <v/>
      </c>
      <c r="BC1840" s="171" t="str">
        <f t="shared" si="20"/>
        <v/>
      </c>
      <c r="BD1840" s="171" t="str">
        <f t="shared" si="21"/>
        <v/>
      </c>
      <c r="BE1840" s="171" t="str">
        <f t="shared" si="22"/>
        <v/>
      </c>
      <c r="BF1840" s="171" t="str">
        <f t="shared" si="23"/>
        <v>Archival</v>
      </c>
    </row>
    <row r="1841">
      <c r="A1841" s="213">
        <f t="array" ref="A1841">XLOOKUP(C1841,FSE!A:A,FSE!C:C,"XXXXX",0,1)</f>
        <v>2019</v>
      </c>
      <c r="B1841" s="213" t="s">
        <v>5676</v>
      </c>
      <c r="C1841" s="220">
        <v>489.0</v>
      </c>
      <c r="D1841" s="217" t="s">
        <v>6465</v>
      </c>
      <c r="E1841" s="221" t="str">
        <f t="array" ref="E1841">XLOOKUP(C1841,FSE!A:A,FSE!Z:Z,"XXXXX",0,1)</f>
        <v>Publicly Available (3)</v>
      </c>
      <c r="F1841" s="213" t="s">
        <v>3394</v>
      </c>
      <c r="G1841" s="163" t="str">
        <f t="array" ref="G1841">IF(B1841="ICSE",IF(COUNTIFS(B:B,B1841,C:C,C1841)=XLOOKUP(C1841,ICSE!A:A,ICSE!AA:AA,"ERROR",0,1),"OK","ERROR"),IF(B1841="FSE",IF(COUNTIFS(B:B,B1841,C:C,C1841)=XLOOKUP(C1841,FSE!A:A,FSE!AA:AA,"ERROR",0,1),"OK","ERROR")))</f>
        <v>OK</v>
      </c>
      <c r="H1841" s="199">
        <f t="shared" ref="H1841:O1841" si="9293">countif($D1841,"*"&amp;H$2&amp;"*")</f>
        <v>0</v>
      </c>
      <c r="I1841" s="200">
        <f t="shared" si="9293"/>
        <v>0</v>
      </c>
      <c r="J1841" s="200">
        <f t="shared" si="9293"/>
        <v>0</v>
      </c>
      <c r="K1841" s="200">
        <f t="shared" si="9293"/>
        <v>0</v>
      </c>
      <c r="L1841" s="200">
        <f t="shared" si="9293"/>
        <v>0</v>
      </c>
      <c r="M1841" s="200">
        <f t="shared" si="9293"/>
        <v>0</v>
      </c>
      <c r="N1841" s="200">
        <f t="shared" si="9293"/>
        <v>0</v>
      </c>
      <c r="O1841" s="200">
        <f t="shared" si="9293"/>
        <v>0</v>
      </c>
      <c r="P1841" s="200">
        <f t="shared" si="9"/>
        <v>1</v>
      </c>
      <c r="Q1841" s="200">
        <f t="shared" ref="Q1841:AC1841" si="9294">countif($D1841,"*"&amp;Q$2&amp;"*")</f>
        <v>0</v>
      </c>
      <c r="R1841" s="200">
        <f t="shared" si="9294"/>
        <v>0</v>
      </c>
      <c r="S1841" s="200">
        <f t="shared" si="9294"/>
        <v>0</v>
      </c>
      <c r="T1841" s="200">
        <f t="shared" si="9294"/>
        <v>0</v>
      </c>
      <c r="U1841" s="200">
        <f t="shared" si="9294"/>
        <v>0</v>
      </c>
      <c r="V1841" s="200">
        <f t="shared" si="9294"/>
        <v>0</v>
      </c>
      <c r="W1841" s="200">
        <f t="shared" si="9294"/>
        <v>0</v>
      </c>
      <c r="X1841" s="200">
        <f t="shared" si="9294"/>
        <v>0</v>
      </c>
      <c r="Y1841" s="200">
        <f t="shared" si="9294"/>
        <v>0</v>
      </c>
      <c r="Z1841" s="200">
        <f t="shared" si="9294"/>
        <v>0</v>
      </c>
      <c r="AA1841" s="200">
        <f t="shared" si="9294"/>
        <v>0</v>
      </c>
      <c r="AB1841" s="200">
        <f t="shared" si="9294"/>
        <v>0</v>
      </c>
      <c r="AC1841" s="200">
        <f t="shared" si="9294"/>
        <v>0</v>
      </c>
      <c r="AD1841" s="222">
        <f t="shared" si="11"/>
        <v>0</v>
      </c>
      <c r="AE1841" s="200">
        <f t="shared" ref="AE1841:AG1841" si="9295">countif($D1841,"*"&amp;AE$2&amp;"*")</f>
        <v>0</v>
      </c>
      <c r="AF1841" s="200">
        <f t="shared" si="9295"/>
        <v>0</v>
      </c>
      <c r="AG1841" s="200">
        <f t="shared" si="9295"/>
        <v>0</v>
      </c>
      <c r="AH1841" s="171">
        <f t="shared" si="13"/>
        <v>0</v>
      </c>
      <c r="AI1841" s="200">
        <f t="shared" si="14"/>
        <v>0</v>
      </c>
      <c r="AJ1841" s="200">
        <f t="shared" si="9270"/>
        <v>0</v>
      </c>
      <c r="AK1841" s="201">
        <f t="shared" ref="AK1841:AS1841" si="9296">countif($D1841,"*"&amp;AK$2&amp;"*")</f>
        <v>0</v>
      </c>
      <c r="AL1841" s="201">
        <f t="shared" si="9296"/>
        <v>0</v>
      </c>
      <c r="AM1841" s="201">
        <f t="shared" si="9296"/>
        <v>0</v>
      </c>
      <c r="AN1841" s="201">
        <f t="shared" si="9296"/>
        <v>0</v>
      </c>
      <c r="AO1841" s="201">
        <f t="shared" si="9296"/>
        <v>0</v>
      </c>
      <c r="AP1841" s="201">
        <f t="shared" si="9296"/>
        <v>0</v>
      </c>
      <c r="AQ1841" s="201">
        <f t="shared" si="9296"/>
        <v>0</v>
      </c>
      <c r="AR1841" s="222">
        <f t="shared" si="9296"/>
        <v>0</v>
      </c>
      <c r="AS1841" s="200">
        <f t="shared" si="9296"/>
        <v>0</v>
      </c>
      <c r="AT1841" s="223">
        <v>0.0</v>
      </c>
      <c r="AU1841" s="200">
        <f t="shared" ref="AU1841:AX1841" si="9297">countif($D1841,"*"&amp;AU$2&amp;"*")</f>
        <v>0</v>
      </c>
      <c r="AV1841" s="200">
        <f t="shared" si="9297"/>
        <v>1</v>
      </c>
      <c r="AW1841" s="200">
        <f t="shared" si="9297"/>
        <v>0</v>
      </c>
      <c r="AX1841" s="200">
        <f t="shared" si="9297"/>
        <v>0</v>
      </c>
      <c r="AY1841" s="202">
        <v>0.0</v>
      </c>
      <c r="AZ1841" s="200"/>
      <c r="BA1841" s="171" t="str">
        <f t="shared" si="18"/>
        <v/>
      </c>
      <c r="BB1841" s="171" t="str">
        <f t="shared" si="19"/>
        <v>Code</v>
      </c>
      <c r="BC1841" s="171" t="str">
        <f t="shared" si="20"/>
        <v/>
      </c>
      <c r="BD1841" s="171" t="str">
        <f t="shared" si="21"/>
        <v/>
      </c>
      <c r="BE1841" s="171" t="str">
        <f t="shared" si="22"/>
        <v/>
      </c>
      <c r="BF1841" s="171" t="str">
        <f t="shared" si="23"/>
        <v>Code</v>
      </c>
    </row>
    <row r="1842">
      <c r="A1842" s="213">
        <f t="array" ref="A1842">XLOOKUP(C1842,FSE!A:A,FSE!C:C,"XXXXX",0,1)</f>
        <v>2019</v>
      </c>
      <c r="B1842" s="213" t="s">
        <v>5676</v>
      </c>
      <c r="C1842" s="220">
        <v>489.0</v>
      </c>
      <c r="D1842" s="217" t="s">
        <v>6466</v>
      </c>
      <c r="E1842" s="221" t="str">
        <f t="array" ref="E1842">XLOOKUP(C1842,FSE!A:A,FSE!Z:Z,"XXXXX",0,1)</f>
        <v>Publicly Available (3)</v>
      </c>
      <c r="F1842" s="213" t="s">
        <v>3394</v>
      </c>
      <c r="G1842" s="163" t="str">
        <f t="array" ref="G1842">IF(B1842="ICSE",IF(COUNTIFS(B:B,B1842,C:C,C1842)=XLOOKUP(C1842,ICSE!A:A,ICSE!AA:AA,"ERROR",0,1),"OK","ERROR"),IF(B1842="FSE",IF(COUNTIFS(B:B,B1842,C:C,C1842)=XLOOKUP(C1842,FSE!A:A,FSE!AA:AA,"ERROR",0,1),"OK","ERROR")))</f>
        <v>OK</v>
      </c>
      <c r="H1842" s="199">
        <f t="shared" ref="H1842:O1842" si="9298">countif($D1842,"*"&amp;H$2&amp;"*")</f>
        <v>0</v>
      </c>
      <c r="I1842" s="200">
        <f t="shared" si="9298"/>
        <v>0</v>
      </c>
      <c r="J1842" s="200">
        <f t="shared" si="9298"/>
        <v>0</v>
      </c>
      <c r="K1842" s="200">
        <f t="shared" si="9298"/>
        <v>0</v>
      </c>
      <c r="L1842" s="200">
        <f t="shared" si="9298"/>
        <v>0</v>
      </c>
      <c r="M1842" s="200">
        <f t="shared" si="9298"/>
        <v>0</v>
      </c>
      <c r="N1842" s="200">
        <f t="shared" si="9298"/>
        <v>0</v>
      </c>
      <c r="O1842" s="200">
        <f t="shared" si="9298"/>
        <v>0</v>
      </c>
      <c r="P1842" s="200">
        <f t="shared" si="9"/>
        <v>1</v>
      </c>
      <c r="Q1842" s="200">
        <f t="shared" ref="Q1842:AC1842" si="9299">countif($D1842,"*"&amp;Q$2&amp;"*")</f>
        <v>0</v>
      </c>
      <c r="R1842" s="200">
        <f t="shared" si="9299"/>
        <v>0</v>
      </c>
      <c r="S1842" s="200">
        <f t="shared" si="9299"/>
        <v>0</v>
      </c>
      <c r="T1842" s="200">
        <f t="shared" si="9299"/>
        <v>0</v>
      </c>
      <c r="U1842" s="200">
        <f t="shared" si="9299"/>
        <v>0</v>
      </c>
      <c r="V1842" s="200">
        <f t="shared" si="9299"/>
        <v>0</v>
      </c>
      <c r="W1842" s="200">
        <f t="shared" si="9299"/>
        <v>0</v>
      </c>
      <c r="X1842" s="200">
        <f t="shared" si="9299"/>
        <v>0</v>
      </c>
      <c r="Y1842" s="200">
        <f t="shared" si="9299"/>
        <v>0</v>
      </c>
      <c r="Z1842" s="200">
        <f t="shared" si="9299"/>
        <v>0</v>
      </c>
      <c r="AA1842" s="200">
        <f t="shared" si="9299"/>
        <v>0</v>
      </c>
      <c r="AB1842" s="200">
        <f t="shared" si="9299"/>
        <v>0</v>
      </c>
      <c r="AC1842" s="200">
        <f t="shared" si="9299"/>
        <v>0</v>
      </c>
      <c r="AD1842" s="222">
        <f t="shared" si="11"/>
        <v>0</v>
      </c>
      <c r="AE1842" s="200">
        <f t="shared" ref="AE1842:AG1842" si="9300">countif($D1842,"*"&amp;AE$2&amp;"*")</f>
        <v>0</v>
      </c>
      <c r="AF1842" s="200">
        <f t="shared" si="9300"/>
        <v>0</v>
      </c>
      <c r="AG1842" s="200">
        <f t="shared" si="9300"/>
        <v>0</v>
      </c>
      <c r="AH1842" s="171">
        <f t="shared" si="13"/>
        <v>0</v>
      </c>
      <c r="AI1842" s="200">
        <f t="shared" si="14"/>
        <v>0</v>
      </c>
      <c r="AJ1842" s="200">
        <f t="shared" si="9270"/>
        <v>0</v>
      </c>
      <c r="AK1842" s="201">
        <f t="shared" ref="AK1842:AS1842" si="9301">countif($D1842,"*"&amp;AK$2&amp;"*")</f>
        <v>0</v>
      </c>
      <c r="AL1842" s="201">
        <f t="shared" si="9301"/>
        <v>0</v>
      </c>
      <c r="AM1842" s="201">
        <f t="shared" si="9301"/>
        <v>0</v>
      </c>
      <c r="AN1842" s="201">
        <f t="shared" si="9301"/>
        <v>0</v>
      </c>
      <c r="AO1842" s="201">
        <f t="shared" si="9301"/>
        <v>0</v>
      </c>
      <c r="AP1842" s="201">
        <f t="shared" si="9301"/>
        <v>0</v>
      </c>
      <c r="AQ1842" s="201">
        <f t="shared" si="9301"/>
        <v>0</v>
      </c>
      <c r="AR1842" s="222">
        <f t="shared" si="9301"/>
        <v>0</v>
      </c>
      <c r="AS1842" s="200">
        <f t="shared" si="9301"/>
        <v>0</v>
      </c>
      <c r="AT1842" s="223">
        <v>0.0</v>
      </c>
      <c r="AU1842" s="200">
        <f t="shared" ref="AU1842:AX1842" si="9302">countif($D1842,"*"&amp;AU$2&amp;"*")</f>
        <v>0</v>
      </c>
      <c r="AV1842" s="200">
        <f t="shared" si="9302"/>
        <v>1</v>
      </c>
      <c r="AW1842" s="200">
        <f t="shared" si="9302"/>
        <v>0</v>
      </c>
      <c r="AX1842" s="200">
        <f t="shared" si="9302"/>
        <v>0</v>
      </c>
      <c r="AY1842" s="202">
        <v>0.0</v>
      </c>
      <c r="AZ1842" s="200"/>
      <c r="BA1842" s="171" t="str">
        <f t="shared" si="18"/>
        <v/>
      </c>
      <c r="BB1842" s="171" t="str">
        <f t="shared" si="19"/>
        <v>Code</v>
      </c>
      <c r="BC1842" s="171" t="str">
        <f t="shared" si="20"/>
        <v/>
      </c>
      <c r="BD1842" s="171" t="str">
        <f t="shared" si="21"/>
        <v/>
      </c>
      <c r="BE1842" s="171" t="str">
        <f t="shared" si="22"/>
        <v/>
      </c>
      <c r="BF1842" s="171" t="str">
        <f t="shared" si="23"/>
        <v>Code</v>
      </c>
    </row>
    <row r="1843">
      <c r="A1843" s="171">
        <f t="array" ref="A1843">XLOOKUP(C1843,FSE!A:A,FSE!C:C,"XXXXX",0,1)</f>
        <v>2019</v>
      </c>
      <c r="B1843" s="213" t="s">
        <v>5676</v>
      </c>
      <c r="C1843" s="214">
        <v>490.0</v>
      </c>
      <c r="D1843" s="215" t="s">
        <v>4433</v>
      </c>
      <c r="E1843" s="197" t="str">
        <f t="array" ref="E1843">XLOOKUP(C1843,FSE!A:A,FSE!Z:Z,"XXXXX",0,1)</f>
        <v>Publicly Available (1)</v>
      </c>
      <c r="F1843" s="213" t="s">
        <v>3394</v>
      </c>
      <c r="G1843" s="163" t="str">
        <f t="array" ref="G1843">IF(B1843="ICSE",IF(COUNTIFS(B:B,B1843,C:C,C1843)=XLOOKUP(C1843,ICSE!A:A,ICSE!AA:AA,"ERROR",0,1),"OK","ERROR"),IF(B1843="FSE",IF(COUNTIFS(B:B,B1843,C:C,C1843)=XLOOKUP(C1843,FSE!A:A,FSE!AA:AA,"ERROR",0,1),"OK","ERROR")))</f>
        <v>OK</v>
      </c>
      <c r="H1843" s="199">
        <f t="shared" ref="H1843:O1843" si="9303">countif($D1843,"*"&amp;H$2&amp;"*")</f>
        <v>0</v>
      </c>
      <c r="I1843" s="200">
        <f t="shared" si="9303"/>
        <v>0</v>
      </c>
      <c r="J1843" s="200">
        <f t="shared" si="9303"/>
        <v>0</v>
      </c>
      <c r="K1843" s="200">
        <f t="shared" si="9303"/>
        <v>0</v>
      </c>
      <c r="L1843" s="200">
        <f t="shared" si="9303"/>
        <v>0</v>
      </c>
      <c r="M1843" s="200">
        <f t="shared" si="9303"/>
        <v>0</v>
      </c>
      <c r="N1843" s="200">
        <f t="shared" si="9303"/>
        <v>0</v>
      </c>
      <c r="O1843" s="200">
        <f t="shared" si="9303"/>
        <v>0</v>
      </c>
      <c r="P1843" s="200">
        <f t="shared" si="9"/>
        <v>1</v>
      </c>
      <c r="Q1843" s="200">
        <f t="shared" ref="Q1843:AC1843" si="9304">countif($D1843,"*"&amp;Q$2&amp;"*")</f>
        <v>0</v>
      </c>
      <c r="R1843" s="200">
        <f t="shared" si="9304"/>
        <v>0</v>
      </c>
      <c r="S1843" s="200">
        <f t="shared" si="9304"/>
        <v>0</v>
      </c>
      <c r="T1843" s="200">
        <f t="shared" si="9304"/>
        <v>0</v>
      </c>
      <c r="U1843" s="200">
        <f t="shared" si="9304"/>
        <v>0</v>
      </c>
      <c r="V1843" s="200">
        <f t="shared" si="9304"/>
        <v>0</v>
      </c>
      <c r="W1843" s="200">
        <f t="shared" si="9304"/>
        <v>0</v>
      </c>
      <c r="X1843" s="200">
        <f t="shared" si="9304"/>
        <v>0</v>
      </c>
      <c r="Y1843" s="200">
        <f t="shared" si="9304"/>
        <v>0</v>
      </c>
      <c r="Z1843" s="200">
        <f t="shared" si="9304"/>
        <v>0</v>
      </c>
      <c r="AA1843" s="200">
        <f t="shared" si="9304"/>
        <v>0</v>
      </c>
      <c r="AB1843" s="200">
        <f t="shared" si="9304"/>
        <v>0</v>
      </c>
      <c r="AC1843" s="200">
        <f t="shared" si="9304"/>
        <v>0</v>
      </c>
      <c r="AD1843" s="200">
        <f t="shared" si="11"/>
        <v>0</v>
      </c>
      <c r="AE1843" s="200">
        <f t="shared" ref="AE1843:AG1843" si="9305">countif($D1843,"*"&amp;AE$2&amp;"*")</f>
        <v>0</v>
      </c>
      <c r="AF1843" s="200">
        <f t="shared" si="9305"/>
        <v>0</v>
      </c>
      <c r="AG1843" s="200">
        <f t="shared" si="9305"/>
        <v>0</v>
      </c>
      <c r="AH1843" s="171">
        <f t="shared" si="13"/>
        <v>0</v>
      </c>
      <c r="AI1843" s="200">
        <f t="shared" si="14"/>
        <v>0</v>
      </c>
      <c r="AJ1843" s="200">
        <f t="shared" si="9270"/>
        <v>0</v>
      </c>
      <c r="AK1843" s="201">
        <f t="shared" ref="AK1843:AS1843" si="9306">countif($D1843,"*"&amp;AK$2&amp;"*")</f>
        <v>0</v>
      </c>
      <c r="AL1843" s="201">
        <f t="shared" si="9306"/>
        <v>0</v>
      </c>
      <c r="AM1843" s="201">
        <f t="shared" si="9306"/>
        <v>0</v>
      </c>
      <c r="AN1843" s="201">
        <f t="shared" si="9306"/>
        <v>0</v>
      </c>
      <c r="AO1843" s="201">
        <f t="shared" si="9306"/>
        <v>0</v>
      </c>
      <c r="AP1843" s="201">
        <f t="shared" si="9306"/>
        <v>0</v>
      </c>
      <c r="AQ1843" s="201">
        <f t="shared" si="9306"/>
        <v>0</v>
      </c>
      <c r="AR1843" s="200">
        <f t="shared" si="9306"/>
        <v>0</v>
      </c>
      <c r="AS1843" s="200">
        <f t="shared" si="9306"/>
        <v>0</v>
      </c>
      <c r="AT1843" s="173">
        <v>0.0</v>
      </c>
      <c r="AU1843" s="200">
        <f t="shared" ref="AU1843:AX1843" si="9307">countif($D1843,"*"&amp;AU$2&amp;"*")</f>
        <v>0</v>
      </c>
      <c r="AV1843" s="200">
        <f t="shared" si="9307"/>
        <v>1</v>
      </c>
      <c r="AW1843" s="200">
        <f t="shared" si="9307"/>
        <v>0</v>
      </c>
      <c r="AX1843" s="200">
        <f t="shared" si="9307"/>
        <v>0</v>
      </c>
      <c r="AY1843" s="202">
        <v>0.0</v>
      </c>
      <c r="AZ1843" s="200"/>
      <c r="BA1843" s="171" t="str">
        <f t="shared" si="18"/>
        <v/>
      </c>
      <c r="BB1843" s="171" t="str">
        <f t="shared" si="19"/>
        <v>Code</v>
      </c>
      <c r="BC1843" s="171" t="str">
        <f t="shared" si="20"/>
        <v/>
      </c>
      <c r="BD1843" s="171" t="str">
        <f t="shared" si="21"/>
        <v/>
      </c>
      <c r="BE1843" s="171" t="str">
        <f t="shared" si="22"/>
        <v/>
      </c>
      <c r="BF1843" s="171" t="str">
        <f t="shared" si="23"/>
        <v>Code</v>
      </c>
    </row>
    <row r="1844">
      <c r="A1844" s="171">
        <f t="array" ref="A1844">XLOOKUP(C1844,FSE!A:A,FSE!C:C,"XXXXX",0,1)</f>
        <v>2019</v>
      </c>
      <c r="B1844" s="213" t="s">
        <v>5676</v>
      </c>
      <c r="C1844" s="214">
        <v>491.0</v>
      </c>
      <c r="D1844" s="215" t="s">
        <v>4436</v>
      </c>
      <c r="E1844" s="197" t="str">
        <f t="array" ref="E1844">XLOOKUP(C1844,FSE!A:A,FSE!Z:Z,"XXXXX",0,1)</f>
        <v>Publicly Available (1)</v>
      </c>
      <c r="F1844" s="213" t="s">
        <v>3394</v>
      </c>
      <c r="G1844" s="163" t="str">
        <f t="array" ref="G1844">IF(B1844="ICSE",IF(COUNTIFS(B:B,B1844,C:C,C1844)=XLOOKUP(C1844,ICSE!A:A,ICSE!AA:AA,"ERROR",0,1),"OK","ERROR"),IF(B1844="FSE",IF(COUNTIFS(B:B,B1844,C:C,C1844)=XLOOKUP(C1844,FSE!A:A,FSE!AA:AA,"ERROR",0,1),"OK","ERROR")))</f>
        <v>OK</v>
      </c>
      <c r="H1844" s="199">
        <f t="shared" ref="H1844:O1844" si="9308">countif($D1844,"*"&amp;H$2&amp;"*")</f>
        <v>0</v>
      </c>
      <c r="I1844" s="200">
        <f t="shared" si="9308"/>
        <v>0</v>
      </c>
      <c r="J1844" s="200">
        <f t="shared" si="9308"/>
        <v>0</v>
      </c>
      <c r="K1844" s="200">
        <f t="shared" si="9308"/>
        <v>0</v>
      </c>
      <c r="L1844" s="200">
        <f t="shared" si="9308"/>
        <v>0</v>
      </c>
      <c r="M1844" s="200">
        <f t="shared" si="9308"/>
        <v>0</v>
      </c>
      <c r="N1844" s="200">
        <f t="shared" si="9308"/>
        <v>0</v>
      </c>
      <c r="O1844" s="200">
        <f t="shared" si="9308"/>
        <v>0</v>
      </c>
      <c r="P1844" s="200">
        <f t="shared" si="9"/>
        <v>1</v>
      </c>
      <c r="Q1844" s="200">
        <f t="shared" ref="Q1844:AC1844" si="9309">countif($D1844,"*"&amp;Q$2&amp;"*")</f>
        <v>0</v>
      </c>
      <c r="R1844" s="200">
        <f t="shared" si="9309"/>
        <v>0</v>
      </c>
      <c r="S1844" s="200">
        <f t="shared" si="9309"/>
        <v>0</v>
      </c>
      <c r="T1844" s="200">
        <f t="shared" si="9309"/>
        <v>0</v>
      </c>
      <c r="U1844" s="200">
        <f t="shared" si="9309"/>
        <v>0</v>
      </c>
      <c r="V1844" s="200">
        <f t="shared" si="9309"/>
        <v>0</v>
      </c>
      <c r="W1844" s="200">
        <f t="shared" si="9309"/>
        <v>0</v>
      </c>
      <c r="X1844" s="200">
        <f t="shared" si="9309"/>
        <v>0</v>
      </c>
      <c r="Y1844" s="200">
        <f t="shared" si="9309"/>
        <v>0</v>
      </c>
      <c r="Z1844" s="200">
        <f t="shared" si="9309"/>
        <v>0</v>
      </c>
      <c r="AA1844" s="200">
        <f t="shared" si="9309"/>
        <v>0</v>
      </c>
      <c r="AB1844" s="200">
        <f t="shared" si="9309"/>
        <v>0</v>
      </c>
      <c r="AC1844" s="200">
        <f t="shared" si="9309"/>
        <v>0</v>
      </c>
      <c r="AD1844" s="200">
        <f t="shared" si="11"/>
        <v>0</v>
      </c>
      <c r="AE1844" s="200">
        <f t="shared" ref="AE1844:AG1844" si="9310">countif($D1844,"*"&amp;AE$2&amp;"*")</f>
        <v>0</v>
      </c>
      <c r="AF1844" s="200">
        <f t="shared" si="9310"/>
        <v>0</v>
      </c>
      <c r="AG1844" s="200">
        <f t="shared" si="9310"/>
        <v>0</v>
      </c>
      <c r="AH1844" s="171">
        <f t="shared" si="13"/>
        <v>0</v>
      </c>
      <c r="AI1844" s="200">
        <f t="shared" si="14"/>
        <v>0</v>
      </c>
      <c r="AJ1844" s="200">
        <f t="shared" si="9270"/>
        <v>0</v>
      </c>
      <c r="AK1844" s="201">
        <f t="shared" ref="AK1844:AS1844" si="9311">countif($D1844,"*"&amp;AK$2&amp;"*")</f>
        <v>0</v>
      </c>
      <c r="AL1844" s="201">
        <f t="shared" si="9311"/>
        <v>0</v>
      </c>
      <c r="AM1844" s="201">
        <f t="shared" si="9311"/>
        <v>0</v>
      </c>
      <c r="AN1844" s="201">
        <f t="shared" si="9311"/>
        <v>0</v>
      </c>
      <c r="AO1844" s="201">
        <f t="shared" si="9311"/>
        <v>0</v>
      </c>
      <c r="AP1844" s="201">
        <f t="shared" si="9311"/>
        <v>0</v>
      </c>
      <c r="AQ1844" s="201">
        <f t="shared" si="9311"/>
        <v>0</v>
      </c>
      <c r="AR1844" s="200">
        <f t="shared" si="9311"/>
        <v>0</v>
      </c>
      <c r="AS1844" s="200">
        <f t="shared" si="9311"/>
        <v>0</v>
      </c>
      <c r="AT1844" s="173">
        <v>0.0</v>
      </c>
      <c r="AU1844" s="200">
        <f t="shared" ref="AU1844:AX1844" si="9312">countif($D1844,"*"&amp;AU$2&amp;"*")</f>
        <v>0</v>
      </c>
      <c r="AV1844" s="200">
        <f t="shared" si="9312"/>
        <v>1</v>
      </c>
      <c r="AW1844" s="200">
        <f t="shared" si="9312"/>
        <v>0</v>
      </c>
      <c r="AX1844" s="200">
        <f t="shared" si="9312"/>
        <v>0</v>
      </c>
      <c r="AY1844" s="202">
        <v>0.0</v>
      </c>
      <c r="AZ1844" s="200"/>
      <c r="BA1844" s="171" t="str">
        <f t="shared" si="18"/>
        <v/>
      </c>
      <c r="BB1844" s="171" t="str">
        <f t="shared" si="19"/>
        <v>Code</v>
      </c>
      <c r="BC1844" s="171" t="str">
        <f t="shared" si="20"/>
        <v/>
      </c>
      <c r="BD1844" s="171" t="str">
        <f t="shared" si="21"/>
        <v/>
      </c>
      <c r="BE1844" s="171" t="str">
        <f t="shared" si="22"/>
        <v/>
      </c>
      <c r="BF1844" s="171" t="str">
        <f t="shared" si="23"/>
        <v>Code</v>
      </c>
    </row>
    <row r="1845">
      <c r="A1845" s="171">
        <f t="array" ref="A1845">XLOOKUP(C1845,FSE!A:A,FSE!C:C,"XXXXX",0,1)</f>
        <v>2019</v>
      </c>
      <c r="B1845" s="213" t="s">
        <v>5676</v>
      </c>
      <c r="C1845" s="214">
        <v>493.0</v>
      </c>
      <c r="D1845" s="215" t="s">
        <v>4440</v>
      </c>
      <c r="E1845" s="197" t="str">
        <f t="array" ref="E1845">XLOOKUP(C1845,FSE!A:A,FSE!Z:Z,"XXXXX",0,1)</f>
        <v>Publicly Available (1)</v>
      </c>
      <c r="F1845" s="213" t="s">
        <v>3394</v>
      </c>
      <c r="G1845" s="163" t="str">
        <f t="array" ref="G1845">IF(B1845="ICSE",IF(COUNTIFS(B:B,B1845,C:C,C1845)=XLOOKUP(C1845,ICSE!A:A,ICSE!AA:AA,"ERROR",0,1),"OK","ERROR"),IF(B1845="FSE",IF(COUNTIFS(B:B,B1845,C:C,C1845)=XLOOKUP(C1845,FSE!A:A,FSE!AA:AA,"ERROR",0,1),"OK","ERROR")))</f>
        <v>OK</v>
      </c>
      <c r="H1845" s="199">
        <f t="shared" ref="H1845:O1845" si="9313">countif($D1845,"*"&amp;H$2&amp;"*")</f>
        <v>0</v>
      </c>
      <c r="I1845" s="200">
        <f t="shared" si="9313"/>
        <v>1</v>
      </c>
      <c r="J1845" s="200">
        <f t="shared" si="9313"/>
        <v>0</v>
      </c>
      <c r="K1845" s="200">
        <f t="shared" si="9313"/>
        <v>0</v>
      </c>
      <c r="L1845" s="200">
        <f t="shared" si="9313"/>
        <v>0</v>
      </c>
      <c r="M1845" s="200">
        <f t="shared" si="9313"/>
        <v>0</v>
      </c>
      <c r="N1845" s="200">
        <f t="shared" si="9313"/>
        <v>0</v>
      </c>
      <c r="O1845" s="200">
        <f t="shared" si="9313"/>
        <v>0</v>
      </c>
      <c r="P1845" s="200">
        <f t="shared" si="9"/>
        <v>0</v>
      </c>
      <c r="Q1845" s="200">
        <f t="shared" ref="Q1845:AC1845" si="9314">countif($D1845,"*"&amp;Q$2&amp;"*")</f>
        <v>0</v>
      </c>
      <c r="R1845" s="200">
        <f t="shared" si="9314"/>
        <v>0</v>
      </c>
      <c r="S1845" s="200">
        <f t="shared" si="9314"/>
        <v>0</v>
      </c>
      <c r="T1845" s="200">
        <f t="shared" si="9314"/>
        <v>0</v>
      </c>
      <c r="U1845" s="200">
        <f t="shared" si="9314"/>
        <v>0</v>
      </c>
      <c r="V1845" s="200">
        <f t="shared" si="9314"/>
        <v>0</v>
      </c>
      <c r="W1845" s="200">
        <f t="shared" si="9314"/>
        <v>0</v>
      </c>
      <c r="X1845" s="200">
        <f t="shared" si="9314"/>
        <v>0</v>
      </c>
      <c r="Y1845" s="200">
        <f t="shared" si="9314"/>
        <v>0</v>
      </c>
      <c r="Z1845" s="200">
        <f t="shared" si="9314"/>
        <v>0</v>
      </c>
      <c r="AA1845" s="200">
        <f t="shared" si="9314"/>
        <v>0</v>
      </c>
      <c r="AB1845" s="200">
        <f t="shared" si="9314"/>
        <v>0</v>
      </c>
      <c r="AC1845" s="200">
        <f t="shared" si="9314"/>
        <v>0</v>
      </c>
      <c r="AD1845" s="200">
        <f t="shared" si="11"/>
        <v>0</v>
      </c>
      <c r="AE1845" s="200">
        <f t="shared" ref="AE1845:AG1845" si="9315">countif($D1845,"*"&amp;AE$2&amp;"*")</f>
        <v>0</v>
      </c>
      <c r="AF1845" s="200">
        <f t="shared" si="9315"/>
        <v>0</v>
      </c>
      <c r="AG1845" s="200">
        <f t="shared" si="9315"/>
        <v>0</v>
      </c>
      <c r="AH1845" s="171">
        <f t="shared" si="13"/>
        <v>0</v>
      </c>
      <c r="AI1845" s="200">
        <f t="shared" si="14"/>
        <v>1</v>
      </c>
      <c r="AJ1845" s="200">
        <f t="shared" si="9270"/>
        <v>0</v>
      </c>
      <c r="AK1845" s="201">
        <f t="shared" ref="AK1845:AS1845" si="9316">countif($D1845,"*"&amp;AK$2&amp;"*")</f>
        <v>0</v>
      </c>
      <c r="AL1845" s="201">
        <f t="shared" si="9316"/>
        <v>0</v>
      </c>
      <c r="AM1845" s="201">
        <f t="shared" si="9316"/>
        <v>0</v>
      </c>
      <c r="AN1845" s="201">
        <f t="shared" si="9316"/>
        <v>0</v>
      </c>
      <c r="AO1845" s="201">
        <f t="shared" si="9316"/>
        <v>0</v>
      </c>
      <c r="AP1845" s="201">
        <f t="shared" si="9316"/>
        <v>0</v>
      </c>
      <c r="AQ1845" s="201">
        <f t="shared" si="9316"/>
        <v>0</v>
      </c>
      <c r="AR1845" s="200">
        <f t="shared" si="9316"/>
        <v>0</v>
      </c>
      <c r="AS1845" s="200">
        <f t="shared" si="9316"/>
        <v>0</v>
      </c>
      <c r="AT1845" s="173">
        <v>0.0</v>
      </c>
      <c r="AU1845" s="200">
        <f t="shared" ref="AU1845:AX1845" si="9317">countif($D1845,"*"&amp;AU$2&amp;"*")</f>
        <v>0</v>
      </c>
      <c r="AV1845" s="200">
        <f t="shared" si="9317"/>
        <v>0</v>
      </c>
      <c r="AW1845" s="200">
        <f t="shared" si="9317"/>
        <v>0</v>
      </c>
      <c r="AX1845" s="200">
        <f t="shared" si="9317"/>
        <v>0</v>
      </c>
      <c r="AY1845" s="204">
        <v>1.0</v>
      </c>
      <c r="AZ1845" s="200"/>
      <c r="BA1845" s="171" t="str">
        <f t="shared" si="18"/>
        <v>Archival</v>
      </c>
      <c r="BB1845" s="171" t="str">
        <f t="shared" si="19"/>
        <v/>
      </c>
      <c r="BC1845" s="171" t="str">
        <f t="shared" si="20"/>
        <v/>
      </c>
      <c r="BD1845" s="171" t="str">
        <f t="shared" si="21"/>
        <v/>
      </c>
      <c r="BE1845" s="171" t="str">
        <f t="shared" si="22"/>
        <v/>
      </c>
      <c r="BF1845" s="171" t="str">
        <f t="shared" si="23"/>
        <v>Archival</v>
      </c>
    </row>
    <row r="1846">
      <c r="A1846" s="171">
        <f t="array" ref="A1846">XLOOKUP(C1846,FSE!A:A,FSE!C:C,"XXXXX",0,1)</f>
        <v>2019</v>
      </c>
      <c r="B1846" s="213" t="s">
        <v>5676</v>
      </c>
      <c r="C1846" s="214">
        <v>494.0</v>
      </c>
      <c r="D1846" s="215" t="s">
        <v>4444</v>
      </c>
      <c r="E1846" s="197" t="str">
        <f t="array" ref="E1846">XLOOKUP(C1846,FSE!A:A,FSE!Z:Z,"XXXXX",0,1)</f>
        <v>Publicly Available (1)</v>
      </c>
      <c r="F1846" s="213" t="s">
        <v>3394</v>
      </c>
      <c r="G1846" s="163" t="str">
        <f t="array" ref="G1846">IF(B1846="ICSE",IF(COUNTIFS(B:B,B1846,C:C,C1846)=XLOOKUP(C1846,ICSE!A:A,ICSE!AA:AA,"ERROR",0,1),"OK","ERROR"),IF(B1846="FSE",IF(COUNTIFS(B:B,B1846,C:C,C1846)=XLOOKUP(C1846,FSE!A:A,FSE!AA:AA,"ERROR",0,1),"OK","ERROR")))</f>
        <v>OK</v>
      </c>
      <c r="H1846" s="199">
        <f t="shared" ref="H1846:O1846" si="9318">countif($D1846,"*"&amp;H$2&amp;"*")</f>
        <v>0</v>
      </c>
      <c r="I1846" s="200">
        <f t="shared" si="9318"/>
        <v>0</v>
      </c>
      <c r="J1846" s="200">
        <f t="shared" si="9318"/>
        <v>0</v>
      </c>
      <c r="K1846" s="200">
        <f t="shared" si="9318"/>
        <v>0</v>
      </c>
      <c r="L1846" s="200">
        <f t="shared" si="9318"/>
        <v>0</v>
      </c>
      <c r="M1846" s="200">
        <f t="shared" si="9318"/>
        <v>0</v>
      </c>
      <c r="N1846" s="200">
        <f t="shared" si="9318"/>
        <v>0</v>
      </c>
      <c r="O1846" s="200">
        <f t="shared" si="9318"/>
        <v>0</v>
      </c>
      <c r="P1846" s="200">
        <f t="shared" si="9"/>
        <v>1</v>
      </c>
      <c r="Q1846" s="200">
        <f t="shared" ref="Q1846:AC1846" si="9319">countif($D1846,"*"&amp;Q$2&amp;"*")</f>
        <v>0</v>
      </c>
      <c r="R1846" s="200">
        <f t="shared" si="9319"/>
        <v>0</v>
      </c>
      <c r="S1846" s="200">
        <f t="shared" si="9319"/>
        <v>0</v>
      </c>
      <c r="T1846" s="200">
        <f t="shared" si="9319"/>
        <v>0</v>
      </c>
      <c r="U1846" s="200">
        <f t="shared" si="9319"/>
        <v>0</v>
      </c>
      <c r="V1846" s="200">
        <f t="shared" si="9319"/>
        <v>0</v>
      </c>
      <c r="W1846" s="200">
        <f t="shared" si="9319"/>
        <v>0</v>
      </c>
      <c r="X1846" s="200">
        <f t="shared" si="9319"/>
        <v>0</v>
      </c>
      <c r="Y1846" s="200">
        <f t="shared" si="9319"/>
        <v>0</v>
      </c>
      <c r="Z1846" s="200">
        <f t="shared" si="9319"/>
        <v>0</v>
      </c>
      <c r="AA1846" s="200">
        <f t="shared" si="9319"/>
        <v>0</v>
      </c>
      <c r="AB1846" s="200">
        <f t="shared" si="9319"/>
        <v>0</v>
      </c>
      <c r="AC1846" s="200">
        <f t="shared" si="9319"/>
        <v>0</v>
      </c>
      <c r="AD1846" s="200">
        <f t="shared" si="11"/>
        <v>0</v>
      </c>
      <c r="AE1846" s="200">
        <f t="shared" ref="AE1846:AG1846" si="9320">countif($D1846,"*"&amp;AE$2&amp;"*")</f>
        <v>0</v>
      </c>
      <c r="AF1846" s="200">
        <f t="shared" si="9320"/>
        <v>0</v>
      </c>
      <c r="AG1846" s="200">
        <f t="shared" si="9320"/>
        <v>0</v>
      </c>
      <c r="AH1846" s="171">
        <f t="shared" si="13"/>
        <v>0</v>
      </c>
      <c r="AI1846" s="200">
        <f t="shared" si="14"/>
        <v>0</v>
      </c>
      <c r="AJ1846" s="200">
        <f t="shared" si="9270"/>
        <v>0</v>
      </c>
      <c r="AK1846" s="201">
        <f t="shared" ref="AK1846:AS1846" si="9321">countif($D1846,"*"&amp;AK$2&amp;"*")</f>
        <v>0</v>
      </c>
      <c r="AL1846" s="201">
        <f t="shared" si="9321"/>
        <v>0</v>
      </c>
      <c r="AM1846" s="201">
        <f t="shared" si="9321"/>
        <v>0</v>
      </c>
      <c r="AN1846" s="201">
        <f t="shared" si="9321"/>
        <v>0</v>
      </c>
      <c r="AO1846" s="201">
        <f t="shared" si="9321"/>
        <v>0</v>
      </c>
      <c r="AP1846" s="201">
        <f t="shared" si="9321"/>
        <v>0</v>
      </c>
      <c r="AQ1846" s="201">
        <f t="shared" si="9321"/>
        <v>0</v>
      </c>
      <c r="AR1846" s="200">
        <f t="shared" si="9321"/>
        <v>0</v>
      </c>
      <c r="AS1846" s="200">
        <f t="shared" si="9321"/>
        <v>0</v>
      </c>
      <c r="AT1846" s="173">
        <v>0.0</v>
      </c>
      <c r="AU1846" s="200">
        <f t="shared" ref="AU1846:AX1846" si="9322">countif($D1846,"*"&amp;AU$2&amp;"*")</f>
        <v>0</v>
      </c>
      <c r="AV1846" s="200">
        <f t="shared" si="9322"/>
        <v>1</v>
      </c>
      <c r="AW1846" s="200">
        <f t="shared" si="9322"/>
        <v>0</v>
      </c>
      <c r="AX1846" s="200">
        <f t="shared" si="9322"/>
        <v>0</v>
      </c>
      <c r="AY1846" s="202">
        <v>0.0</v>
      </c>
      <c r="AZ1846" s="200"/>
      <c r="BA1846" s="171" t="str">
        <f t="shared" si="18"/>
        <v/>
      </c>
      <c r="BB1846" s="171" t="str">
        <f t="shared" si="19"/>
        <v>Code</v>
      </c>
      <c r="BC1846" s="171" t="str">
        <f t="shared" si="20"/>
        <v/>
      </c>
      <c r="BD1846" s="171" t="str">
        <f t="shared" si="21"/>
        <v/>
      </c>
      <c r="BE1846" s="171" t="str">
        <f t="shared" si="22"/>
        <v/>
      </c>
      <c r="BF1846" s="171" t="str">
        <f t="shared" si="23"/>
        <v>Code</v>
      </c>
    </row>
    <row r="1847">
      <c r="A1847" s="213">
        <f t="array" ref="A1847">XLOOKUP(C1847,FSE!A:A,FSE!C:C,"XXXXX",0,1)</f>
        <v>2019</v>
      </c>
      <c r="B1847" s="213" t="s">
        <v>5676</v>
      </c>
      <c r="C1847" s="220">
        <v>496.0</v>
      </c>
      <c r="D1847" s="217" t="s">
        <v>4448</v>
      </c>
      <c r="E1847" s="221" t="str">
        <f t="array" ref="E1847">XLOOKUP(C1847,FSE!A:A,FSE!Z:Z,"XXXXX",0,1)</f>
        <v>Publicly Available (1)</v>
      </c>
      <c r="F1847" s="213" t="s">
        <v>3394</v>
      </c>
      <c r="G1847" s="163" t="str">
        <f t="array" ref="G1847">IF(B1847="ICSE",IF(COUNTIFS(B:B,B1847,C:C,C1847)=XLOOKUP(C1847,ICSE!A:A,ICSE!AA:AA,"ERROR",0,1),"OK","ERROR"),IF(B1847="FSE",IF(COUNTIFS(B:B,B1847,C:C,C1847)=XLOOKUP(C1847,FSE!A:A,FSE!AA:AA,"ERROR",0,1),"OK","ERROR")))</f>
        <v>OK</v>
      </c>
      <c r="H1847" s="199">
        <f t="shared" ref="H1847:O1847" si="9323">countif($D1847,"*"&amp;H$2&amp;"*")</f>
        <v>0</v>
      </c>
      <c r="I1847" s="200">
        <f t="shared" si="9323"/>
        <v>0</v>
      </c>
      <c r="J1847" s="200">
        <f t="shared" si="9323"/>
        <v>1</v>
      </c>
      <c r="K1847" s="200">
        <f t="shared" si="9323"/>
        <v>0</v>
      </c>
      <c r="L1847" s="200">
        <f t="shared" si="9323"/>
        <v>0</v>
      </c>
      <c r="M1847" s="200">
        <f t="shared" si="9323"/>
        <v>0</v>
      </c>
      <c r="N1847" s="200">
        <f t="shared" si="9323"/>
        <v>0</v>
      </c>
      <c r="O1847" s="200">
        <f t="shared" si="9323"/>
        <v>0</v>
      </c>
      <c r="P1847" s="200">
        <f t="shared" si="9"/>
        <v>0</v>
      </c>
      <c r="Q1847" s="200">
        <f t="shared" ref="Q1847:AC1847" si="9324">countif($D1847,"*"&amp;Q$2&amp;"*")</f>
        <v>0</v>
      </c>
      <c r="R1847" s="200">
        <f t="shared" si="9324"/>
        <v>0</v>
      </c>
      <c r="S1847" s="200">
        <f t="shared" si="9324"/>
        <v>0</v>
      </c>
      <c r="T1847" s="200">
        <f t="shared" si="9324"/>
        <v>0</v>
      </c>
      <c r="U1847" s="200">
        <f t="shared" si="9324"/>
        <v>0</v>
      </c>
      <c r="V1847" s="200">
        <f t="shared" si="9324"/>
        <v>0</v>
      </c>
      <c r="W1847" s="200">
        <f t="shared" si="9324"/>
        <v>0</v>
      </c>
      <c r="X1847" s="200">
        <f t="shared" si="9324"/>
        <v>0</v>
      </c>
      <c r="Y1847" s="200">
        <f t="shared" si="9324"/>
        <v>0</v>
      </c>
      <c r="Z1847" s="200">
        <f t="shared" si="9324"/>
        <v>0</v>
      </c>
      <c r="AA1847" s="200">
        <f t="shared" si="9324"/>
        <v>0</v>
      </c>
      <c r="AB1847" s="200">
        <f t="shared" si="9324"/>
        <v>0</v>
      </c>
      <c r="AC1847" s="200">
        <f t="shared" si="9324"/>
        <v>0</v>
      </c>
      <c r="AD1847" s="222">
        <f t="shared" si="11"/>
        <v>0</v>
      </c>
      <c r="AE1847" s="200">
        <f t="shared" ref="AE1847:AG1847" si="9325">countif($D1847,"*"&amp;AE$2&amp;"*")</f>
        <v>0</v>
      </c>
      <c r="AF1847" s="200">
        <f t="shared" si="9325"/>
        <v>0</v>
      </c>
      <c r="AG1847" s="200">
        <f t="shared" si="9325"/>
        <v>0</v>
      </c>
      <c r="AH1847" s="171">
        <f t="shared" si="13"/>
        <v>0</v>
      </c>
      <c r="AI1847" s="200">
        <f t="shared" si="14"/>
        <v>0</v>
      </c>
      <c r="AJ1847" s="200">
        <f t="shared" si="9270"/>
        <v>0</v>
      </c>
      <c r="AK1847" s="201">
        <f t="shared" ref="AK1847:AS1847" si="9326">countif($D1847,"*"&amp;AK$2&amp;"*")</f>
        <v>0</v>
      </c>
      <c r="AL1847" s="201">
        <f t="shared" si="9326"/>
        <v>0</v>
      </c>
      <c r="AM1847" s="201">
        <f t="shared" si="9326"/>
        <v>0</v>
      </c>
      <c r="AN1847" s="201">
        <f t="shared" si="9326"/>
        <v>0</v>
      </c>
      <c r="AO1847" s="201">
        <f t="shared" si="9326"/>
        <v>0</v>
      </c>
      <c r="AP1847" s="201">
        <f t="shared" si="9326"/>
        <v>0</v>
      </c>
      <c r="AQ1847" s="201">
        <f t="shared" si="9326"/>
        <v>0</v>
      </c>
      <c r="AR1847" s="222">
        <f t="shared" si="9326"/>
        <v>0</v>
      </c>
      <c r="AS1847" s="200">
        <f t="shared" si="9326"/>
        <v>1</v>
      </c>
      <c r="AT1847" s="223">
        <v>0.0</v>
      </c>
      <c r="AU1847" s="200">
        <f t="shared" ref="AU1847:AX1847" si="9327">countif($D1847,"*"&amp;AU$2&amp;"*")</f>
        <v>0</v>
      </c>
      <c r="AV1847" s="200">
        <f t="shared" si="9327"/>
        <v>0</v>
      </c>
      <c r="AW1847" s="200">
        <f t="shared" si="9327"/>
        <v>0</v>
      </c>
      <c r="AX1847" s="200">
        <f t="shared" si="9327"/>
        <v>0</v>
      </c>
      <c r="AY1847" s="202">
        <v>0.0</v>
      </c>
      <c r="AZ1847" s="200"/>
      <c r="BA1847" s="171" t="str">
        <f t="shared" si="18"/>
        <v>Archival</v>
      </c>
      <c r="BB1847" s="171" t="str">
        <f t="shared" si="19"/>
        <v/>
      </c>
      <c r="BC1847" s="171" t="str">
        <f t="shared" si="20"/>
        <v/>
      </c>
      <c r="BD1847" s="171" t="str">
        <f t="shared" si="21"/>
        <v/>
      </c>
      <c r="BE1847" s="171" t="str">
        <f t="shared" si="22"/>
        <v/>
      </c>
      <c r="BF1847" s="171" t="str">
        <f t="shared" si="23"/>
        <v>Archival</v>
      </c>
    </row>
    <row r="1848">
      <c r="A1848" s="171">
        <f t="array" ref="A1848">XLOOKUP(C1848,FSE!A:A,FSE!C:C,"XXXXX",0,1)</f>
        <v>2019</v>
      </c>
      <c r="B1848" s="213" t="s">
        <v>5676</v>
      </c>
      <c r="C1848" s="214">
        <v>497.0</v>
      </c>
      <c r="D1848" s="215" t="s">
        <v>6467</v>
      </c>
      <c r="E1848" s="197" t="str">
        <f t="array" ref="E1848">XLOOKUP(C1848,FSE!A:A,FSE!Z:Z,"XXXXX",0,1)</f>
        <v>Not Available (2)</v>
      </c>
      <c r="F1848" s="213" t="s">
        <v>3395</v>
      </c>
      <c r="G1848" s="163" t="str">
        <f t="array" ref="G1848">IF(B1848="ICSE",IF(COUNTIFS(B:B,B1848,C:C,C1848)=XLOOKUP(C1848,ICSE!A:A,ICSE!AA:AA,"ERROR",0,1),"OK","ERROR"),IF(B1848="FSE",IF(COUNTIFS(B:B,B1848,C:C,C1848)=XLOOKUP(C1848,FSE!A:A,FSE!AA:AA,"ERROR",0,1),"OK","ERROR")))</f>
        <v>OK</v>
      </c>
      <c r="H1848" s="199">
        <f t="shared" ref="H1848:O1848" si="9328">countif($D1848,"*"&amp;H$2&amp;"*")</f>
        <v>1</v>
      </c>
      <c r="I1848" s="200">
        <f t="shared" si="9328"/>
        <v>0</v>
      </c>
      <c r="J1848" s="200">
        <f t="shared" si="9328"/>
        <v>0</v>
      </c>
      <c r="K1848" s="200">
        <f t="shared" si="9328"/>
        <v>0</v>
      </c>
      <c r="L1848" s="200">
        <f t="shared" si="9328"/>
        <v>0</v>
      </c>
      <c r="M1848" s="200">
        <f t="shared" si="9328"/>
        <v>0</v>
      </c>
      <c r="N1848" s="200">
        <f t="shared" si="9328"/>
        <v>0</v>
      </c>
      <c r="O1848" s="200">
        <f t="shared" si="9328"/>
        <v>0</v>
      </c>
      <c r="P1848" s="200">
        <f t="shared" si="9"/>
        <v>0</v>
      </c>
      <c r="Q1848" s="200">
        <f t="shared" ref="Q1848:AC1848" si="9329">countif($D1848,"*"&amp;Q$2&amp;"*")</f>
        <v>0</v>
      </c>
      <c r="R1848" s="200">
        <f t="shared" si="9329"/>
        <v>0</v>
      </c>
      <c r="S1848" s="200">
        <f t="shared" si="9329"/>
        <v>0</v>
      </c>
      <c r="T1848" s="200">
        <f t="shared" si="9329"/>
        <v>0</v>
      </c>
      <c r="U1848" s="200">
        <f t="shared" si="9329"/>
        <v>0</v>
      </c>
      <c r="V1848" s="200">
        <f t="shared" si="9329"/>
        <v>0</v>
      </c>
      <c r="W1848" s="200">
        <f t="shared" si="9329"/>
        <v>0</v>
      </c>
      <c r="X1848" s="200">
        <f t="shared" si="9329"/>
        <v>0</v>
      </c>
      <c r="Y1848" s="200">
        <f t="shared" si="9329"/>
        <v>0</v>
      </c>
      <c r="Z1848" s="200">
        <f t="shared" si="9329"/>
        <v>0</v>
      </c>
      <c r="AA1848" s="200">
        <f t="shared" si="9329"/>
        <v>0</v>
      </c>
      <c r="AB1848" s="200">
        <f t="shared" si="9329"/>
        <v>0</v>
      </c>
      <c r="AC1848" s="200">
        <f t="shared" si="9329"/>
        <v>0</v>
      </c>
      <c r="AD1848" s="200">
        <f t="shared" si="11"/>
        <v>0</v>
      </c>
      <c r="AE1848" s="200">
        <f t="shared" ref="AE1848:AG1848" si="9330">countif($D1848,"*"&amp;AE$2&amp;"*")</f>
        <v>0</v>
      </c>
      <c r="AF1848" s="200">
        <f t="shared" si="9330"/>
        <v>0</v>
      </c>
      <c r="AG1848" s="200">
        <f t="shared" si="9330"/>
        <v>0</v>
      </c>
      <c r="AH1848" s="171">
        <f t="shared" si="13"/>
        <v>0</v>
      </c>
      <c r="AI1848" s="200">
        <f t="shared" si="14"/>
        <v>1</v>
      </c>
      <c r="AJ1848" s="200">
        <f t="shared" si="9270"/>
        <v>0</v>
      </c>
      <c r="AK1848" s="201">
        <f t="shared" ref="AK1848:AS1848" si="9331">countif($D1848,"*"&amp;AK$2&amp;"*")</f>
        <v>0</v>
      </c>
      <c r="AL1848" s="201">
        <f t="shared" si="9331"/>
        <v>0</v>
      </c>
      <c r="AM1848" s="201">
        <f t="shared" si="9331"/>
        <v>0</v>
      </c>
      <c r="AN1848" s="201">
        <f t="shared" si="9331"/>
        <v>0</v>
      </c>
      <c r="AO1848" s="201">
        <f t="shared" si="9331"/>
        <v>0</v>
      </c>
      <c r="AP1848" s="201">
        <f t="shared" si="9331"/>
        <v>0</v>
      </c>
      <c r="AQ1848" s="201">
        <f t="shared" si="9331"/>
        <v>0</v>
      </c>
      <c r="AR1848" s="200">
        <f t="shared" si="9331"/>
        <v>0</v>
      </c>
      <c r="AS1848" s="200">
        <f t="shared" si="9331"/>
        <v>0</v>
      </c>
      <c r="AT1848" s="173">
        <v>0.0</v>
      </c>
      <c r="AU1848" s="200">
        <f t="shared" ref="AU1848:AX1848" si="9332">countif($D1848,"*"&amp;AU$2&amp;"*")</f>
        <v>0</v>
      </c>
      <c r="AV1848" s="200">
        <f t="shared" si="9332"/>
        <v>0</v>
      </c>
      <c r="AW1848" s="200">
        <f t="shared" si="9332"/>
        <v>0</v>
      </c>
      <c r="AX1848" s="200">
        <f t="shared" si="9332"/>
        <v>1</v>
      </c>
      <c r="AY1848" s="202">
        <v>0.0</v>
      </c>
      <c r="AZ1848" s="200"/>
      <c r="BA1848" s="171" t="str">
        <f t="shared" si="18"/>
        <v>Archival</v>
      </c>
      <c r="BB1848" s="171" t="str">
        <f t="shared" si="19"/>
        <v/>
      </c>
      <c r="BC1848" s="171" t="str">
        <f t="shared" si="20"/>
        <v/>
      </c>
      <c r="BD1848" s="171" t="str">
        <f t="shared" si="21"/>
        <v/>
      </c>
      <c r="BE1848" s="171" t="str">
        <f t="shared" si="22"/>
        <v/>
      </c>
      <c r="BF1848" s="171" t="str">
        <f t="shared" si="23"/>
        <v>Archival</v>
      </c>
    </row>
    <row r="1849">
      <c r="A1849" s="213">
        <f t="array" ref="A1849">XLOOKUP(C1849,FSE!A:A,FSE!C:C,"XXXXX",0,1)</f>
        <v>2019</v>
      </c>
      <c r="B1849" s="213" t="s">
        <v>5676</v>
      </c>
      <c r="C1849" s="220">
        <v>497.0</v>
      </c>
      <c r="D1849" s="217" t="s">
        <v>6468</v>
      </c>
      <c r="E1849" s="221" t="str">
        <f t="array" ref="E1849">XLOOKUP(C1849,FSE!A:A,FSE!Z:Z,"XXXXX",0,1)</f>
        <v>Not Available (2)</v>
      </c>
      <c r="F1849" s="218" t="s">
        <v>3395</v>
      </c>
      <c r="G1849" s="163" t="str">
        <f t="array" ref="G1849">IF(B1849="ICSE",IF(COUNTIFS(B:B,B1849,C:C,C1849)=XLOOKUP(C1849,ICSE!A:A,ICSE!AA:AA,"ERROR",0,1),"OK","ERROR"),IF(B1849="FSE",IF(COUNTIFS(B:B,B1849,C:C,C1849)=XLOOKUP(C1849,FSE!A:A,FSE!AA:AA,"ERROR",0,1),"OK","ERROR")))</f>
        <v>OK</v>
      </c>
      <c r="H1849" s="199">
        <f t="shared" ref="H1849:O1849" si="9333">countif($D1849,"*"&amp;H$2&amp;"*")</f>
        <v>1</v>
      </c>
      <c r="I1849" s="200">
        <f t="shared" si="9333"/>
        <v>0</v>
      </c>
      <c r="J1849" s="200">
        <f t="shared" si="9333"/>
        <v>0</v>
      </c>
      <c r="K1849" s="200">
        <f t="shared" si="9333"/>
        <v>0</v>
      </c>
      <c r="L1849" s="200">
        <f t="shared" si="9333"/>
        <v>0</v>
      </c>
      <c r="M1849" s="200">
        <f t="shared" si="9333"/>
        <v>0</v>
      </c>
      <c r="N1849" s="200">
        <f t="shared" si="9333"/>
        <v>0</v>
      </c>
      <c r="O1849" s="200">
        <f t="shared" si="9333"/>
        <v>0</v>
      </c>
      <c r="P1849" s="200">
        <f t="shared" si="9"/>
        <v>0</v>
      </c>
      <c r="Q1849" s="200">
        <f t="shared" ref="Q1849:AC1849" si="9334">countif($D1849,"*"&amp;Q$2&amp;"*")</f>
        <v>0</v>
      </c>
      <c r="R1849" s="200">
        <f t="shared" si="9334"/>
        <v>0</v>
      </c>
      <c r="S1849" s="200">
        <f t="shared" si="9334"/>
        <v>0</v>
      </c>
      <c r="T1849" s="200">
        <f t="shared" si="9334"/>
        <v>0</v>
      </c>
      <c r="U1849" s="200">
        <f t="shared" si="9334"/>
        <v>0</v>
      </c>
      <c r="V1849" s="200">
        <f t="shared" si="9334"/>
        <v>0</v>
      </c>
      <c r="W1849" s="200">
        <f t="shared" si="9334"/>
        <v>0</v>
      </c>
      <c r="X1849" s="200">
        <f t="shared" si="9334"/>
        <v>0</v>
      </c>
      <c r="Y1849" s="200">
        <f t="shared" si="9334"/>
        <v>0</v>
      </c>
      <c r="Z1849" s="200">
        <f t="shared" si="9334"/>
        <v>0</v>
      </c>
      <c r="AA1849" s="200">
        <f t="shared" si="9334"/>
        <v>0</v>
      </c>
      <c r="AB1849" s="200">
        <f t="shared" si="9334"/>
        <v>0</v>
      </c>
      <c r="AC1849" s="200">
        <f t="shared" si="9334"/>
        <v>0</v>
      </c>
      <c r="AD1849" s="222">
        <f t="shared" si="11"/>
        <v>0</v>
      </c>
      <c r="AE1849" s="200">
        <f t="shared" ref="AE1849:AG1849" si="9335">countif($D1849,"*"&amp;AE$2&amp;"*")</f>
        <v>0</v>
      </c>
      <c r="AF1849" s="200">
        <f t="shared" si="9335"/>
        <v>0</v>
      </c>
      <c r="AG1849" s="200">
        <f t="shared" si="9335"/>
        <v>0</v>
      </c>
      <c r="AH1849" s="171">
        <f t="shared" si="13"/>
        <v>0</v>
      </c>
      <c r="AI1849" s="200">
        <f t="shared" si="14"/>
        <v>1</v>
      </c>
      <c r="AJ1849" s="200">
        <f t="shared" si="9270"/>
        <v>0</v>
      </c>
      <c r="AK1849" s="201">
        <f t="shared" ref="AK1849:AS1849" si="9336">countif($D1849,"*"&amp;AK$2&amp;"*")</f>
        <v>0</v>
      </c>
      <c r="AL1849" s="201">
        <f t="shared" si="9336"/>
        <v>0</v>
      </c>
      <c r="AM1849" s="201">
        <f t="shared" si="9336"/>
        <v>0</v>
      </c>
      <c r="AN1849" s="201">
        <f t="shared" si="9336"/>
        <v>0</v>
      </c>
      <c r="AO1849" s="201">
        <f t="shared" si="9336"/>
        <v>0</v>
      </c>
      <c r="AP1849" s="201">
        <f t="shared" si="9336"/>
        <v>0</v>
      </c>
      <c r="AQ1849" s="201">
        <f t="shared" si="9336"/>
        <v>0</v>
      </c>
      <c r="AR1849" s="222">
        <f t="shared" si="9336"/>
        <v>0</v>
      </c>
      <c r="AS1849" s="200">
        <f t="shared" si="9336"/>
        <v>0</v>
      </c>
      <c r="AT1849" s="223">
        <v>0.0</v>
      </c>
      <c r="AU1849" s="200">
        <f t="shared" ref="AU1849:AX1849" si="9337">countif($D1849,"*"&amp;AU$2&amp;"*")</f>
        <v>0</v>
      </c>
      <c r="AV1849" s="200">
        <f t="shared" si="9337"/>
        <v>0</v>
      </c>
      <c r="AW1849" s="200">
        <f t="shared" si="9337"/>
        <v>0</v>
      </c>
      <c r="AX1849" s="200">
        <f t="shared" si="9337"/>
        <v>1</v>
      </c>
      <c r="AY1849" s="202">
        <v>0.0</v>
      </c>
      <c r="AZ1849" s="200"/>
      <c r="BA1849" s="171" t="str">
        <f t="shared" si="18"/>
        <v>Archival</v>
      </c>
      <c r="BB1849" s="171" t="str">
        <f t="shared" si="19"/>
        <v/>
      </c>
      <c r="BC1849" s="171" t="str">
        <f t="shared" si="20"/>
        <v/>
      </c>
      <c r="BD1849" s="171" t="str">
        <f t="shared" si="21"/>
        <v/>
      </c>
      <c r="BE1849" s="171" t="str">
        <f t="shared" si="22"/>
        <v/>
      </c>
      <c r="BF1849" s="171" t="str">
        <f t="shared" si="23"/>
        <v>Archival</v>
      </c>
    </row>
    <row r="1850">
      <c r="A1850" s="171">
        <f t="array" ref="A1850">XLOOKUP(C1850,FSE!A:A,FSE!C:C,"XXXXX",0,1)</f>
        <v>2019</v>
      </c>
      <c r="B1850" s="213" t="s">
        <v>5676</v>
      </c>
      <c r="C1850" s="214">
        <v>498.0</v>
      </c>
      <c r="D1850" s="215" t="s">
        <v>4454</v>
      </c>
      <c r="E1850" s="197" t="str">
        <f t="array" ref="E1850">XLOOKUP(C1850,FSE!A:A,FSE!Z:Z,"XXXXX",0,1)</f>
        <v>Publicly Available (1)</v>
      </c>
      <c r="F1850" s="213" t="s">
        <v>3394</v>
      </c>
      <c r="G1850" s="163" t="str">
        <f t="array" ref="G1850">IF(B1850="ICSE",IF(COUNTIFS(B:B,B1850,C:C,C1850)=XLOOKUP(C1850,ICSE!A:A,ICSE!AA:AA,"ERROR",0,1),"OK","ERROR"),IF(B1850="FSE",IF(COUNTIFS(B:B,B1850,C:C,C1850)=XLOOKUP(C1850,FSE!A:A,FSE!AA:AA,"ERROR",0,1),"OK","ERROR")))</f>
        <v>OK</v>
      </c>
      <c r="H1850" s="199">
        <f t="shared" ref="H1850:O1850" si="9338">countif($D1850,"*"&amp;H$2&amp;"*")</f>
        <v>0</v>
      </c>
      <c r="I1850" s="200">
        <f t="shared" si="9338"/>
        <v>0</v>
      </c>
      <c r="J1850" s="200">
        <f t="shared" si="9338"/>
        <v>0</v>
      </c>
      <c r="K1850" s="200">
        <f t="shared" si="9338"/>
        <v>0</v>
      </c>
      <c r="L1850" s="200">
        <f t="shared" si="9338"/>
        <v>0</v>
      </c>
      <c r="M1850" s="200">
        <f t="shared" si="9338"/>
        <v>0</v>
      </c>
      <c r="N1850" s="200">
        <f t="shared" si="9338"/>
        <v>0</v>
      </c>
      <c r="O1850" s="200">
        <f t="shared" si="9338"/>
        <v>0</v>
      </c>
      <c r="P1850" s="200">
        <f t="shared" si="9"/>
        <v>1</v>
      </c>
      <c r="Q1850" s="200">
        <f t="shared" ref="Q1850:AC1850" si="9339">countif($D1850,"*"&amp;Q$2&amp;"*")</f>
        <v>0</v>
      </c>
      <c r="R1850" s="200">
        <f t="shared" si="9339"/>
        <v>0</v>
      </c>
      <c r="S1850" s="200">
        <f t="shared" si="9339"/>
        <v>0</v>
      </c>
      <c r="T1850" s="200">
        <f t="shared" si="9339"/>
        <v>0</v>
      </c>
      <c r="U1850" s="200">
        <f t="shared" si="9339"/>
        <v>0</v>
      </c>
      <c r="V1850" s="200">
        <f t="shared" si="9339"/>
        <v>0</v>
      </c>
      <c r="W1850" s="200">
        <f t="shared" si="9339"/>
        <v>0</v>
      </c>
      <c r="X1850" s="200">
        <f t="shared" si="9339"/>
        <v>0</v>
      </c>
      <c r="Y1850" s="200">
        <f t="shared" si="9339"/>
        <v>0</v>
      </c>
      <c r="Z1850" s="200">
        <f t="shared" si="9339"/>
        <v>0</v>
      </c>
      <c r="AA1850" s="200">
        <f t="shared" si="9339"/>
        <v>0</v>
      </c>
      <c r="AB1850" s="200">
        <f t="shared" si="9339"/>
        <v>0</v>
      </c>
      <c r="AC1850" s="200">
        <f t="shared" si="9339"/>
        <v>0</v>
      </c>
      <c r="AD1850" s="200">
        <f t="shared" si="11"/>
        <v>0</v>
      </c>
      <c r="AE1850" s="200">
        <f t="shared" ref="AE1850:AG1850" si="9340">countif($D1850,"*"&amp;AE$2&amp;"*")</f>
        <v>0</v>
      </c>
      <c r="AF1850" s="200">
        <f t="shared" si="9340"/>
        <v>0</v>
      </c>
      <c r="AG1850" s="200">
        <f t="shared" si="9340"/>
        <v>0</v>
      </c>
      <c r="AH1850" s="171">
        <f t="shared" si="13"/>
        <v>0</v>
      </c>
      <c r="AI1850" s="200">
        <f t="shared" si="14"/>
        <v>0</v>
      </c>
      <c r="AJ1850" s="200">
        <f t="shared" si="9270"/>
        <v>0</v>
      </c>
      <c r="AK1850" s="201">
        <f t="shared" ref="AK1850:AS1850" si="9341">countif($D1850,"*"&amp;AK$2&amp;"*")</f>
        <v>0</v>
      </c>
      <c r="AL1850" s="201">
        <f t="shared" si="9341"/>
        <v>0</v>
      </c>
      <c r="AM1850" s="201">
        <f t="shared" si="9341"/>
        <v>0</v>
      </c>
      <c r="AN1850" s="201">
        <f t="shared" si="9341"/>
        <v>0</v>
      </c>
      <c r="AO1850" s="201">
        <f t="shared" si="9341"/>
        <v>0</v>
      </c>
      <c r="AP1850" s="201">
        <f t="shared" si="9341"/>
        <v>0</v>
      </c>
      <c r="AQ1850" s="201">
        <f t="shared" si="9341"/>
        <v>0</v>
      </c>
      <c r="AR1850" s="200">
        <f t="shared" si="9341"/>
        <v>0</v>
      </c>
      <c r="AS1850" s="200">
        <f t="shared" si="9341"/>
        <v>0</v>
      </c>
      <c r="AT1850" s="173">
        <v>0.0</v>
      </c>
      <c r="AU1850" s="200">
        <f t="shared" ref="AU1850:AX1850" si="9342">countif($D1850,"*"&amp;AU$2&amp;"*")</f>
        <v>0</v>
      </c>
      <c r="AV1850" s="200">
        <f t="shared" si="9342"/>
        <v>1</v>
      </c>
      <c r="AW1850" s="200">
        <f t="shared" si="9342"/>
        <v>0</v>
      </c>
      <c r="AX1850" s="200">
        <f t="shared" si="9342"/>
        <v>0</v>
      </c>
      <c r="AY1850" s="202">
        <v>0.0</v>
      </c>
      <c r="AZ1850" s="200"/>
      <c r="BA1850" s="171" t="str">
        <f t="shared" si="18"/>
        <v/>
      </c>
      <c r="BB1850" s="171" t="str">
        <f t="shared" si="19"/>
        <v>Code</v>
      </c>
      <c r="BC1850" s="171" t="str">
        <f t="shared" si="20"/>
        <v/>
      </c>
      <c r="BD1850" s="171" t="str">
        <f t="shared" si="21"/>
        <v/>
      </c>
      <c r="BE1850" s="171" t="str">
        <f t="shared" si="22"/>
        <v/>
      </c>
      <c r="BF1850" s="171" t="str">
        <f t="shared" si="23"/>
        <v>Code</v>
      </c>
    </row>
    <row r="1851">
      <c r="A1851" s="171">
        <f t="array" ref="A1851">XLOOKUP(C1851,FSE!A:A,FSE!C:C,"XXXXX",0,1)</f>
        <v>2018</v>
      </c>
      <c r="B1851" s="213" t="s">
        <v>5676</v>
      </c>
      <c r="C1851" s="214">
        <v>500.0</v>
      </c>
      <c r="D1851" s="215" t="s">
        <v>4095</v>
      </c>
      <c r="E1851" s="197" t="str">
        <f t="array" ref="E1851">XLOOKUP(C1851,FSE!A:A,FSE!Z:Z,"XXXXX",0,1)</f>
        <v>Publicly Available (1)</v>
      </c>
      <c r="F1851" s="213" t="s">
        <v>3394</v>
      </c>
      <c r="G1851" s="163" t="str">
        <f t="array" ref="G1851">IF(B1851="ICSE",IF(COUNTIFS(B:B,B1851,C:C,C1851)=XLOOKUP(C1851,ICSE!A:A,ICSE!AA:AA,"ERROR",0,1),"OK","ERROR"),IF(B1851="FSE",IF(COUNTIFS(B:B,B1851,C:C,C1851)=XLOOKUP(C1851,FSE!A:A,FSE!AA:AA,"ERROR",0,1),"OK","ERROR")))</f>
        <v>OK</v>
      </c>
      <c r="H1851" s="199">
        <f t="shared" ref="H1851:O1851" si="9343">countif($D1851,"*"&amp;H$2&amp;"*")</f>
        <v>0</v>
      </c>
      <c r="I1851" s="200">
        <f t="shared" si="9343"/>
        <v>0</v>
      </c>
      <c r="J1851" s="200">
        <f t="shared" si="9343"/>
        <v>0</v>
      </c>
      <c r="K1851" s="200">
        <f t="shared" si="9343"/>
        <v>0</v>
      </c>
      <c r="L1851" s="200">
        <f t="shared" si="9343"/>
        <v>0</v>
      </c>
      <c r="M1851" s="200">
        <f t="shared" si="9343"/>
        <v>0</v>
      </c>
      <c r="N1851" s="200">
        <f t="shared" si="9343"/>
        <v>0</v>
      </c>
      <c r="O1851" s="200">
        <f t="shared" si="9343"/>
        <v>0</v>
      </c>
      <c r="P1851" s="200">
        <f t="shared" si="9"/>
        <v>1</v>
      </c>
      <c r="Q1851" s="200">
        <f t="shared" ref="Q1851:AC1851" si="9344">countif($D1851,"*"&amp;Q$2&amp;"*")</f>
        <v>0</v>
      </c>
      <c r="R1851" s="200">
        <f t="shared" si="9344"/>
        <v>0</v>
      </c>
      <c r="S1851" s="200">
        <f t="shared" si="9344"/>
        <v>0</v>
      </c>
      <c r="T1851" s="200">
        <f t="shared" si="9344"/>
        <v>0</v>
      </c>
      <c r="U1851" s="200">
        <f t="shared" si="9344"/>
        <v>0</v>
      </c>
      <c r="V1851" s="200">
        <f t="shared" si="9344"/>
        <v>0</v>
      </c>
      <c r="W1851" s="200">
        <f t="shared" si="9344"/>
        <v>0</v>
      </c>
      <c r="X1851" s="200">
        <f t="shared" si="9344"/>
        <v>0</v>
      </c>
      <c r="Y1851" s="200">
        <f t="shared" si="9344"/>
        <v>0</v>
      </c>
      <c r="Z1851" s="200">
        <f t="shared" si="9344"/>
        <v>0</v>
      </c>
      <c r="AA1851" s="200">
        <f t="shared" si="9344"/>
        <v>0</v>
      </c>
      <c r="AB1851" s="200">
        <f t="shared" si="9344"/>
        <v>0</v>
      </c>
      <c r="AC1851" s="200">
        <f t="shared" si="9344"/>
        <v>0</v>
      </c>
      <c r="AD1851" s="200">
        <f t="shared" si="11"/>
        <v>0</v>
      </c>
      <c r="AE1851" s="200">
        <f t="shared" ref="AE1851:AG1851" si="9345">countif($D1851,"*"&amp;AE$2&amp;"*")</f>
        <v>0</v>
      </c>
      <c r="AF1851" s="200">
        <f t="shared" si="9345"/>
        <v>0</v>
      </c>
      <c r="AG1851" s="200">
        <f t="shared" si="9345"/>
        <v>0</v>
      </c>
      <c r="AH1851" s="171">
        <f t="shared" si="13"/>
        <v>0</v>
      </c>
      <c r="AI1851" s="200">
        <f t="shared" si="14"/>
        <v>0</v>
      </c>
      <c r="AJ1851" s="200">
        <f t="shared" si="9270"/>
        <v>0</v>
      </c>
      <c r="AK1851" s="201">
        <f t="shared" ref="AK1851:AS1851" si="9346">countif($D1851,"*"&amp;AK$2&amp;"*")</f>
        <v>0</v>
      </c>
      <c r="AL1851" s="201">
        <f t="shared" si="9346"/>
        <v>0</v>
      </c>
      <c r="AM1851" s="201">
        <f t="shared" si="9346"/>
        <v>0</v>
      </c>
      <c r="AN1851" s="201">
        <f t="shared" si="9346"/>
        <v>0</v>
      </c>
      <c r="AO1851" s="201">
        <f t="shared" si="9346"/>
        <v>0</v>
      </c>
      <c r="AP1851" s="201">
        <f t="shared" si="9346"/>
        <v>0</v>
      </c>
      <c r="AQ1851" s="201">
        <f t="shared" si="9346"/>
        <v>0</v>
      </c>
      <c r="AR1851" s="200">
        <f t="shared" si="9346"/>
        <v>0</v>
      </c>
      <c r="AS1851" s="200">
        <f t="shared" si="9346"/>
        <v>0</v>
      </c>
      <c r="AT1851" s="173">
        <v>0.0</v>
      </c>
      <c r="AU1851" s="200">
        <f t="shared" ref="AU1851:AX1851" si="9347">countif($D1851,"*"&amp;AU$2&amp;"*")</f>
        <v>0</v>
      </c>
      <c r="AV1851" s="200">
        <f t="shared" si="9347"/>
        <v>1</v>
      </c>
      <c r="AW1851" s="200">
        <f t="shared" si="9347"/>
        <v>0</v>
      </c>
      <c r="AX1851" s="200">
        <f t="shared" si="9347"/>
        <v>0</v>
      </c>
      <c r="AY1851" s="202">
        <v>0.0</v>
      </c>
      <c r="AZ1851" s="200"/>
      <c r="BA1851" s="171" t="str">
        <f t="shared" si="18"/>
        <v/>
      </c>
      <c r="BB1851" s="171" t="str">
        <f t="shared" si="19"/>
        <v>Code</v>
      </c>
      <c r="BC1851" s="171" t="str">
        <f t="shared" si="20"/>
        <v/>
      </c>
      <c r="BD1851" s="171" t="str">
        <f t="shared" si="21"/>
        <v/>
      </c>
      <c r="BE1851" s="171" t="str">
        <f t="shared" si="22"/>
        <v/>
      </c>
      <c r="BF1851" s="171" t="str">
        <f t="shared" si="23"/>
        <v>Code</v>
      </c>
    </row>
    <row r="1852">
      <c r="A1852" s="171">
        <f t="array" ref="A1852">XLOOKUP(C1852,FSE!A:A,FSE!C:C,"XXXXX",0,1)</f>
        <v>2018</v>
      </c>
      <c r="B1852" s="213" t="s">
        <v>5676</v>
      </c>
      <c r="C1852" s="214">
        <v>501.0</v>
      </c>
      <c r="D1852" s="215" t="s">
        <v>6469</v>
      </c>
      <c r="E1852" s="197" t="str">
        <f t="array" ref="E1852">XLOOKUP(C1852,FSE!A:A,FSE!Z:Z,"XXXXX",0,1)</f>
        <v>Publicly Available (2)</v>
      </c>
      <c r="F1852" s="213" t="s">
        <v>3394</v>
      </c>
      <c r="G1852" s="163" t="str">
        <f t="array" ref="G1852">IF(B1852="ICSE",IF(COUNTIFS(B:B,B1852,C:C,C1852)=XLOOKUP(C1852,ICSE!A:A,ICSE!AA:AA,"ERROR",0,1),"OK","ERROR"),IF(B1852="FSE",IF(COUNTIFS(B:B,B1852,C:C,C1852)=XLOOKUP(C1852,FSE!A:A,FSE!AA:AA,"ERROR",0,1),"OK","ERROR")))</f>
        <v>OK</v>
      </c>
      <c r="H1852" s="199">
        <f t="shared" ref="H1852:O1852" si="9348">countif($D1852,"*"&amp;H$2&amp;"*")</f>
        <v>0</v>
      </c>
      <c r="I1852" s="200">
        <f t="shared" si="9348"/>
        <v>0</v>
      </c>
      <c r="J1852" s="200">
        <f t="shared" si="9348"/>
        <v>0</v>
      </c>
      <c r="K1852" s="200">
        <f t="shared" si="9348"/>
        <v>0</v>
      </c>
      <c r="L1852" s="200">
        <f t="shared" si="9348"/>
        <v>0</v>
      </c>
      <c r="M1852" s="200">
        <f t="shared" si="9348"/>
        <v>0</v>
      </c>
      <c r="N1852" s="200">
        <f t="shared" si="9348"/>
        <v>0</v>
      </c>
      <c r="O1852" s="200">
        <f t="shared" si="9348"/>
        <v>0</v>
      </c>
      <c r="P1852" s="200">
        <f t="shared" si="9"/>
        <v>1</v>
      </c>
      <c r="Q1852" s="200">
        <f t="shared" ref="Q1852:AC1852" si="9349">countif($D1852,"*"&amp;Q$2&amp;"*")</f>
        <v>0</v>
      </c>
      <c r="R1852" s="200">
        <f t="shared" si="9349"/>
        <v>0</v>
      </c>
      <c r="S1852" s="200">
        <f t="shared" si="9349"/>
        <v>0</v>
      </c>
      <c r="T1852" s="200">
        <f t="shared" si="9349"/>
        <v>0</v>
      </c>
      <c r="U1852" s="200">
        <f t="shared" si="9349"/>
        <v>0</v>
      </c>
      <c r="V1852" s="200">
        <f t="shared" si="9349"/>
        <v>0</v>
      </c>
      <c r="W1852" s="200">
        <f t="shared" si="9349"/>
        <v>0</v>
      </c>
      <c r="X1852" s="200">
        <f t="shared" si="9349"/>
        <v>0</v>
      </c>
      <c r="Y1852" s="200">
        <f t="shared" si="9349"/>
        <v>0</v>
      </c>
      <c r="Z1852" s="200">
        <f t="shared" si="9349"/>
        <v>0</v>
      </c>
      <c r="AA1852" s="200">
        <f t="shared" si="9349"/>
        <v>0</v>
      </c>
      <c r="AB1852" s="200">
        <f t="shared" si="9349"/>
        <v>0</v>
      </c>
      <c r="AC1852" s="200">
        <f t="shared" si="9349"/>
        <v>0</v>
      </c>
      <c r="AD1852" s="200">
        <f t="shared" si="11"/>
        <v>0</v>
      </c>
      <c r="AE1852" s="200">
        <f t="shared" ref="AE1852:AG1852" si="9350">countif($D1852,"*"&amp;AE$2&amp;"*")</f>
        <v>0</v>
      </c>
      <c r="AF1852" s="200">
        <f t="shared" si="9350"/>
        <v>0</v>
      </c>
      <c r="AG1852" s="200">
        <f t="shared" si="9350"/>
        <v>0</v>
      </c>
      <c r="AH1852" s="171">
        <f t="shared" si="13"/>
        <v>0</v>
      </c>
      <c r="AI1852" s="200">
        <f t="shared" si="14"/>
        <v>0</v>
      </c>
      <c r="AJ1852" s="200">
        <f t="shared" si="9270"/>
        <v>0</v>
      </c>
      <c r="AK1852" s="201">
        <f t="shared" ref="AK1852:AS1852" si="9351">countif($D1852,"*"&amp;AK$2&amp;"*")</f>
        <v>0</v>
      </c>
      <c r="AL1852" s="201">
        <f t="shared" si="9351"/>
        <v>0</v>
      </c>
      <c r="AM1852" s="201">
        <f t="shared" si="9351"/>
        <v>0</v>
      </c>
      <c r="AN1852" s="201">
        <f t="shared" si="9351"/>
        <v>0</v>
      </c>
      <c r="AO1852" s="201">
        <f t="shared" si="9351"/>
        <v>0</v>
      </c>
      <c r="AP1852" s="201">
        <f t="shared" si="9351"/>
        <v>0</v>
      </c>
      <c r="AQ1852" s="201">
        <f t="shared" si="9351"/>
        <v>0</v>
      </c>
      <c r="AR1852" s="200">
        <f t="shared" si="9351"/>
        <v>0</v>
      </c>
      <c r="AS1852" s="200">
        <f t="shared" si="9351"/>
        <v>0</v>
      </c>
      <c r="AT1852" s="173">
        <v>0.0</v>
      </c>
      <c r="AU1852" s="200">
        <f t="shared" ref="AU1852:AX1852" si="9352">countif($D1852,"*"&amp;AU$2&amp;"*")</f>
        <v>0</v>
      </c>
      <c r="AV1852" s="200">
        <f t="shared" si="9352"/>
        <v>1</v>
      </c>
      <c r="AW1852" s="200">
        <f t="shared" si="9352"/>
        <v>0</v>
      </c>
      <c r="AX1852" s="200">
        <f t="shared" si="9352"/>
        <v>0</v>
      </c>
      <c r="AY1852" s="202">
        <v>0.0</v>
      </c>
      <c r="AZ1852" s="200"/>
      <c r="BA1852" s="171" t="str">
        <f t="shared" si="18"/>
        <v/>
      </c>
      <c r="BB1852" s="171" t="str">
        <f t="shared" si="19"/>
        <v>Code</v>
      </c>
      <c r="BC1852" s="171" t="str">
        <f t="shared" si="20"/>
        <v/>
      </c>
      <c r="BD1852" s="171" t="str">
        <f t="shared" si="21"/>
        <v/>
      </c>
      <c r="BE1852" s="171" t="str">
        <f t="shared" si="22"/>
        <v/>
      </c>
      <c r="BF1852" s="171" t="str">
        <f t="shared" si="23"/>
        <v>Code</v>
      </c>
    </row>
    <row r="1853">
      <c r="A1853" s="171">
        <f t="array" ref="A1853">XLOOKUP(C1853,FSE!A:A,FSE!C:C,"XXXXX",0,1)</f>
        <v>2018</v>
      </c>
      <c r="B1853" s="213" t="s">
        <v>5676</v>
      </c>
      <c r="C1853" s="214">
        <v>501.0</v>
      </c>
      <c r="D1853" s="215" t="s">
        <v>6470</v>
      </c>
      <c r="E1853" s="197" t="str">
        <f t="array" ref="E1853">XLOOKUP(C1853,FSE!A:A,FSE!Z:Z,"XXXXX",0,1)</f>
        <v>Publicly Available (2)</v>
      </c>
      <c r="F1853" s="213" t="s">
        <v>3394</v>
      </c>
      <c r="G1853" s="163" t="str">
        <f t="array" ref="G1853">IF(B1853="ICSE",IF(COUNTIFS(B:B,B1853,C:C,C1853)=XLOOKUP(C1853,ICSE!A:A,ICSE!AA:AA,"ERROR",0,1),"OK","ERROR"),IF(B1853="FSE",IF(COUNTIFS(B:B,B1853,C:C,C1853)=XLOOKUP(C1853,FSE!A:A,FSE!AA:AA,"ERROR",0,1),"OK","ERROR")))</f>
        <v>OK</v>
      </c>
      <c r="H1853" s="199">
        <f t="shared" ref="H1853:O1853" si="9353">countif($D1853,"*"&amp;H$2&amp;"*")</f>
        <v>0</v>
      </c>
      <c r="I1853" s="200">
        <f t="shared" si="9353"/>
        <v>0</v>
      </c>
      <c r="J1853" s="200">
        <f t="shared" si="9353"/>
        <v>1</v>
      </c>
      <c r="K1853" s="200">
        <f t="shared" si="9353"/>
        <v>0</v>
      </c>
      <c r="L1853" s="200">
        <f t="shared" si="9353"/>
        <v>0</v>
      </c>
      <c r="M1853" s="200">
        <f t="shared" si="9353"/>
        <v>0</v>
      </c>
      <c r="N1853" s="200">
        <f t="shared" si="9353"/>
        <v>0</v>
      </c>
      <c r="O1853" s="200">
        <f t="shared" si="9353"/>
        <v>0</v>
      </c>
      <c r="P1853" s="200">
        <f t="shared" si="9"/>
        <v>0</v>
      </c>
      <c r="Q1853" s="200">
        <f t="shared" ref="Q1853:AC1853" si="9354">countif($D1853,"*"&amp;Q$2&amp;"*")</f>
        <v>0</v>
      </c>
      <c r="R1853" s="200">
        <f t="shared" si="9354"/>
        <v>0</v>
      </c>
      <c r="S1853" s="200">
        <f t="shared" si="9354"/>
        <v>0</v>
      </c>
      <c r="T1853" s="200">
        <f t="shared" si="9354"/>
        <v>0</v>
      </c>
      <c r="U1853" s="200">
        <f t="shared" si="9354"/>
        <v>0</v>
      </c>
      <c r="V1853" s="200">
        <f t="shared" si="9354"/>
        <v>0</v>
      </c>
      <c r="W1853" s="200">
        <f t="shared" si="9354"/>
        <v>0</v>
      </c>
      <c r="X1853" s="200">
        <f t="shared" si="9354"/>
        <v>0</v>
      </c>
      <c r="Y1853" s="200">
        <f t="shared" si="9354"/>
        <v>0</v>
      </c>
      <c r="Z1853" s="200">
        <f t="shared" si="9354"/>
        <v>0</v>
      </c>
      <c r="AA1853" s="200">
        <f t="shared" si="9354"/>
        <v>0</v>
      </c>
      <c r="AB1853" s="200">
        <f t="shared" si="9354"/>
        <v>0</v>
      </c>
      <c r="AC1853" s="200">
        <f t="shared" si="9354"/>
        <v>0</v>
      </c>
      <c r="AD1853" s="200">
        <f t="shared" si="11"/>
        <v>0</v>
      </c>
      <c r="AE1853" s="200">
        <f t="shared" ref="AE1853:AG1853" si="9355">countif($D1853,"*"&amp;AE$2&amp;"*")</f>
        <v>0</v>
      </c>
      <c r="AF1853" s="200">
        <f t="shared" si="9355"/>
        <v>0</v>
      </c>
      <c r="AG1853" s="200">
        <f t="shared" si="9355"/>
        <v>0</v>
      </c>
      <c r="AH1853" s="171">
        <f t="shared" si="13"/>
        <v>0</v>
      </c>
      <c r="AI1853" s="200">
        <f t="shared" si="14"/>
        <v>1</v>
      </c>
      <c r="AJ1853" s="200">
        <f t="shared" si="9270"/>
        <v>0</v>
      </c>
      <c r="AK1853" s="201">
        <f t="shared" ref="AK1853:AS1853" si="9356">countif($D1853,"*"&amp;AK$2&amp;"*")</f>
        <v>0</v>
      </c>
      <c r="AL1853" s="201">
        <f t="shared" si="9356"/>
        <v>0</v>
      </c>
      <c r="AM1853" s="201">
        <f t="shared" si="9356"/>
        <v>0</v>
      </c>
      <c r="AN1853" s="201">
        <f t="shared" si="9356"/>
        <v>0</v>
      </c>
      <c r="AO1853" s="201">
        <f t="shared" si="9356"/>
        <v>0</v>
      </c>
      <c r="AP1853" s="201">
        <f t="shared" si="9356"/>
        <v>0</v>
      </c>
      <c r="AQ1853" s="201">
        <f t="shared" si="9356"/>
        <v>0</v>
      </c>
      <c r="AR1853" s="200">
        <f t="shared" si="9356"/>
        <v>0</v>
      </c>
      <c r="AS1853" s="200">
        <f t="shared" si="9356"/>
        <v>0</v>
      </c>
      <c r="AT1853" s="173">
        <v>0.0</v>
      </c>
      <c r="AU1853" s="200">
        <f t="shared" ref="AU1853:AX1853" si="9357">countif($D1853,"*"&amp;AU$2&amp;"*")</f>
        <v>0</v>
      </c>
      <c r="AV1853" s="200">
        <f t="shared" si="9357"/>
        <v>0</v>
      </c>
      <c r="AW1853" s="200">
        <f t="shared" si="9357"/>
        <v>0</v>
      </c>
      <c r="AX1853" s="200">
        <f t="shared" si="9357"/>
        <v>0</v>
      </c>
      <c r="AY1853" s="204">
        <v>1.0</v>
      </c>
      <c r="AZ1853" s="200"/>
      <c r="BA1853" s="171" t="str">
        <f t="shared" si="18"/>
        <v>Archival</v>
      </c>
      <c r="BB1853" s="171" t="str">
        <f t="shared" si="19"/>
        <v/>
      </c>
      <c r="BC1853" s="171" t="str">
        <f t="shared" si="20"/>
        <v/>
      </c>
      <c r="BD1853" s="171" t="str">
        <f t="shared" si="21"/>
        <v/>
      </c>
      <c r="BE1853" s="171" t="str">
        <f t="shared" si="22"/>
        <v/>
      </c>
      <c r="BF1853" s="171" t="str">
        <f t="shared" si="23"/>
        <v>Archival</v>
      </c>
    </row>
    <row r="1854">
      <c r="A1854" s="171">
        <f t="array" ref="A1854">XLOOKUP(C1854,FSE!A:A,FSE!C:C,"XXXXX",0,1)</f>
        <v>2018</v>
      </c>
      <c r="B1854" s="213" t="s">
        <v>5676</v>
      </c>
      <c r="C1854" s="214">
        <v>502.0</v>
      </c>
      <c r="D1854" s="215" t="s">
        <v>4102</v>
      </c>
      <c r="E1854" s="197" t="str">
        <f t="array" ref="E1854">XLOOKUP(C1854,FSE!A:A,FSE!Z:Z,"XXXXX",0,1)</f>
        <v>Publicly Available (1)</v>
      </c>
      <c r="F1854" s="213" t="s">
        <v>3394</v>
      </c>
      <c r="G1854" s="163" t="str">
        <f t="array" ref="G1854">IF(B1854="ICSE",IF(COUNTIFS(B:B,B1854,C:C,C1854)=XLOOKUP(C1854,ICSE!A:A,ICSE!AA:AA,"ERROR",0,1),"OK","ERROR"),IF(B1854="FSE",IF(COUNTIFS(B:B,B1854,C:C,C1854)=XLOOKUP(C1854,FSE!A:A,FSE!AA:AA,"ERROR",0,1),"OK","ERROR")))</f>
        <v>OK</v>
      </c>
      <c r="H1854" s="199">
        <f t="shared" ref="H1854:O1854" si="9358">countif($D1854,"*"&amp;H$2&amp;"*")</f>
        <v>0</v>
      </c>
      <c r="I1854" s="200">
        <f t="shared" si="9358"/>
        <v>0</v>
      </c>
      <c r="J1854" s="200">
        <f t="shared" si="9358"/>
        <v>0</v>
      </c>
      <c r="K1854" s="200">
        <f t="shared" si="9358"/>
        <v>0</v>
      </c>
      <c r="L1854" s="200">
        <f t="shared" si="9358"/>
        <v>0</v>
      </c>
      <c r="M1854" s="200">
        <f t="shared" si="9358"/>
        <v>0</v>
      </c>
      <c r="N1854" s="200">
        <f t="shared" si="9358"/>
        <v>0</v>
      </c>
      <c r="O1854" s="200">
        <f t="shared" si="9358"/>
        <v>0</v>
      </c>
      <c r="P1854" s="200">
        <f t="shared" si="9"/>
        <v>0</v>
      </c>
      <c r="Q1854" s="200">
        <f t="shared" ref="Q1854:AC1854" si="9359">countif($D1854,"*"&amp;Q$2&amp;"*")</f>
        <v>0</v>
      </c>
      <c r="R1854" s="200">
        <f t="shared" si="9359"/>
        <v>0</v>
      </c>
      <c r="S1854" s="200">
        <f t="shared" si="9359"/>
        <v>0</v>
      </c>
      <c r="T1854" s="200">
        <f t="shared" si="9359"/>
        <v>0</v>
      </c>
      <c r="U1854" s="200">
        <f t="shared" si="9359"/>
        <v>0</v>
      </c>
      <c r="V1854" s="200">
        <f t="shared" si="9359"/>
        <v>0</v>
      </c>
      <c r="W1854" s="200">
        <f t="shared" si="9359"/>
        <v>0</v>
      </c>
      <c r="X1854" s="200">
        <f t="shared" si="9359"/>
        <v>0</v>
      </c>
      <c r="Y1854" s="200">
        <f t="shared" si="9359"/>
        <v>0</v>
      </c>
      <c r="Z1854" s="200">
        <f t="shared" si="9359"/>
        <v>0</v>
      </c>
      <c r="AA1854" s="200">
        <f t="shared" si="9359"/>
        <v>0</v>
      </c>
      <c r="AB1854" s="200">
        <f t="shared" si="9359"/>
        <v>0</v>
      </c>
      <c r="AC1854" s="200">
        <f t="shared" si="9359"/>
        <v>0</v>
      </c>
      <c r="AD1854" s="200">
        <f t="shared" si="11"/>
        <v>0</v>
      </c>
      <c r="AE1854" s="200">
        <f t="shared" ref="AE1854:AG1854" si="9360">countif($D1854,"*"&amp;AE$2&amp;"*")</f>
        <v>0</v>
      </c>
      <c r="AF1854" s="200">
        <f t="shared" si="9360"/>
        <v>0</v>
      </c>
      <c r="AG1854" s="200">
        <f t="shared" si="9360"/>
        <v>0</v>
      </c>
      <c r="AH1854" s="171">
        <f t="shared" si="13"/>
        <v>1</v>
      </c>
      <c r="AI1854" s="200">
        <f t="shared" si="14"/>
        <v>0</v>
      </c>
      <c r="AJ1854" s="200">
        <f t="shared" si="9270"/>
        <v>0</v>
      </c>
      <c r="AK1854" s="201">
        <f t="shared" ref="AK1854:AS1854" si="9361">countif($D1854,"*"&amp;AK$2&amp;"*")</f>
        <v>0</v>
      </c>
      <c r="AL1854" s="201">
        <f t="shared" si="9361"/>
        <v>0</v>
      </c>
      <c r="AM1854" s="201">
        <f t="shared" si="9361"/>
        <v>0</v>
      </c>
      <c r="AN1854" s="201">
        <f t="shared" si="9361"/>
        <v>0</v>
      </c>
      <c r="AO1854" s="201">
        <f t="shared" si="9361"/>
        <v>0</v>
      </c>
      <c r="AP1854" s="201">
        <f t="shared" si="9361"/>
        <v>0</v>
      </c>
      <c r="AQ1854" s="201">
        <f t="shared" si="9361"/>
        <v>0</v>
      </c>
      <c r="AR1854" s="200">
        <f t="shared" si="9361"/>
        <v>0</v>
      </c>
      <c r="AS1854" s="200">
        <f t="shared" si="9361"/>
        <v>0</v>
      </c>
      <c r="AT1854" s="173">
        <v>0.0</v>
      </c>
      <c r="AU1854" s="200">
        <f t="shared" ref="AU1854:AX1854" si="9362">countif($D1854,"*"&amp;AU$2&amp;"*")</f>
        <v>0</v>
      </c>
      <c r="AV1854" s="200">
        <f t="shared" si="9362"/>
        <v>0</v>
      </c>
      <c r="AW1854" s="200">
        <f t="shared" si="9362"/>
        <v>0</v>
      </c>
      <c r="AX1854" s="200">
        <f t="shared" si="9362"/>
        <v>0</v>
      </c>
      <c r="AY1854" s="202">
        <v>0.0</v>
      </c>
      <c r="AZ1854" s="200"/>
      <c r="BA1854" s="171" t="str">
        <f t="shared" si="18"/>
        <v/>
      </c>
      <c r="BB1854" s="171" t="str">
        <f t="shared" si="19"/>
        <v/>
      </c>
      <c r="BC1854" s="171" t="str">
        <f t="shared" si="20"/>
        <v/>
      </c>
      <c r="BD1854" s="171" t="str">
        <f t="shared" si="21"/>
        <v/>
      </c>
      <c r="BE1854" s="171" t="str">
        <f t="shared" si="22"/>
        <v>Others</v>
      </c>
      <c r="BF1854" s="171" t="str">
        <f t="shared" si="23"/>
        <v>Others</v>
      </c>
    </row>
    <row r="1855">
      <c r="A1855" s="171">
        <f t="array" ref="A1855">XLOOKUP(C1855,FSE!A:A,FSE!C:C,"XXXXX",0,1)</f>
        <v>2018</v>
      </c>
      <c r="B1855" s="213" t="s">
        <v>5676</v>
      </c>
      <c r="C1855" s="214">
        <v>503.0</v>
      </c>
      <c r="D1855" s="215" t="s">
        <v>4105</v>
      </c>
      <c r="E1855" s="197" t="str">
        <f t="array" ref="E1855">XLOOKUP(C1855,FSE!A:A,FSE!Z:Z,"XXXXX",0,1)</f>
        <v>Publicly Available (1)</v>
      </c>
      <c r="F1855" s="213" t="s">
        <v>3394</v>
      </c>
      <c r="G1855" s="163" t="str">
        <f t="array" ref="G1855">IF(B1855="ICSE",IF(COUNTIFS(B:B,B1855,C:C,C1855)=XLOOKUP(C1855,ICSE!A:A,ICSE!AA:AA,"ERROR",0,1),"OK","ERROR"),IF(B1855="FSE",IF(COUNTIFS(B:B,B1855,C:C,C1855)=XLOOKUP(C1855,FSE!A:A,FSE!AA:AA,"ERROR",0,1),"OK","ERROR")))</f>
        <v>OK</v>
      </c>
      <c r="H1855" s="199">
        <f t="shared" ref="H1855:O1855" si="9363">countif($D1855,"*"&amp;H$2&amp;"*")</f>
        <v>0</v>
      </c>
      <c r="I1855" s="200">
        <f t="shared" si="9363"/>
        <v>0</v>
      </c>
      <c r="J1855" s="200">
        <f t="shared" si="9363"/>
        <v>0</v>
      </c>
      <c r="K1855" s="200">
        <f t="shared" si="9363"/>
        <v>0</v>
      </c>
      <c r="L1855" s="200">
        <f t="shared" si="9363"/>
        <v>0</v>
      </c>
      <c r="M1855" s="200">
        <f t="shared" si="9363"/>
        <v>0</v>
      </c>
      <c r="N1855" s="200">
        <f t="shared" si="9363"/>
        <v>0</v>
      </c>
      <c r="O1855" s="200">
        <f t="shared" si="9363"/>
        <v>0</v>
      </c>
      <c r="P1855" s="200">
        <f t="shared" si="9"/>
        <v>0</v>
      </c>
      <c r="Q1855" s="200">
        <f t="shared" ref="Q1855:AC1855" si="9364">countif($D1855,"*"&amp;Q$2&amp;"*")</f>
        <v>0</v>
      </c>
      <c r="R1855" s="200">
        <f t="shared" si="9364"/>
        <v>0</v>
      </c>
      <c r="S1855" s="200">
        <f t="shared" si="9364"/>
        <v>0</v>
      </c>
      <c r="T1855" s="200">
        <f t="shared" si="9364"/>
        <v>0</v>
      </c>
      <c r="U1855" s="200">
        <f t="shared" si="9364"/>
        <v>0</v>
      </c>
      <c r="V1855" s="200">
        <f t="shared" si="9364"/>
        <v>0</v>
      </c>
      <c r="W1855" s="200">
        <f t="shared" si="9364"/>
        <v>0</v>
      </c>
      <c r="X1855" s="200">
        <f t="shared" si="9364"/>
        <v>0</v>
      </c>
      <c r="Y1855" s="200">
        <f t="shared" si="9364"/>
        <v>0</v>
      </c>
      <c r="Z1855" s="200">
        <f t="shared" si="9364"/>
        <v>0</v>
      </c>
      <c r="AA1855" s="200">
        <f t="shared" si="9364"/>
        <v>0</v>
      </c>
      <c r="AB1855" s="200">
        <f t="shared" si="9364"/>
        <v>0</v>
      </c>
      <c r="AC1855" s="200">
        <f t="shared" si="9364"/>
        <v>0</v>
      </c>
      <c r="AD1855" s="200">
        <f t="shared" si="11"/>
        <v>1</v>
      </c>
      <c r="AE1855" s="200">
        <f t="shared" ref="AE1855:AG1855" si="9365">countif($D1855,"*"&amp;AE$2&amp;"*")</f>
        <v>0</v>
      </c>
      <c r="AF1855" s="200">
        <f t="shared" si="9365"/>
        <v>0</v>
      </c>
      <c r="AG1855" s="200">
        <f t="shared" si="9365"/>
        <v>0</v>
      </c>
      <c r="AH1855" s="171">
        <f t="shared" si="13"/>
        <v>0</v>
      </c>
      <c r="AI1855" s="200">
        <f t="shared" si="14"/>
        <v>0</v>
      </c>
      <c r="AJ1855" s="200">
        <f t="shared" si="9270"/>
        <v>0</v>
      </c>
      <c r="AK1855" s="201">
        <f t="shared" ref="AK1855:AS1855" si="9366">countif($D1855,"*"&amp;AK$2&amp;"*")</f>
        <v>0</v>
      </c>
      <c r="AL1855" s="201">
        <f t="shared" si="9366"/>
        <v>0</v>
      </c>
      <c r="AM1855" s="201">
        <f t="shared" si="9366"/>
        <v>0</v>
      </c>
      <c r="AN1855" s="201">
        <f t="shared" si="9366"/>
        <v>0</v>
      </c>
      <c r="AO1855" s="201">
        <f t="shared" si="9366"/>
        <v>0</v>
      </c>
      <c r="AP1855" s="201">
        <f t="shared" si="9366"/>
        <v>0</v>
      </c>
      <c r="AQ1855" s="201">
        <f t="shared" si="9366"/>
        <v>0</v>
      </c>
      <c r="AR1855" s="200">
        <f t="shared" si="9366"/>
        <v>0</v>
      </c>
      <c r="AS1855" s="200">
        <f t="shared" si="9366"/>
        <v>0</v>
      </c>
      <c r="AT1855" s="173">
        <v>1.0</v>
      </c>
      <c r="AU1855" s="200">
        <f t="shared" ref="AU1855:AX1855" si="9367">countif($D1855,"*"&amp;AU$2&amp;"*")</f>
        <v>0</v>
      </c>
      <c r="AV1855" s="200">
        <f t="shared" si="9367"/>
        <v>0</v>
      </c>
      <c r="AW1855" s="200">
        <f t="shared" si="9367"/>
        <v>0</v>
      </c>
      <c r="AX1855" s="200">
        <f t="shared" si="9367"/>
        <v>0</v>
      </c>
      <c r="AY1855" s="202">
        <v>0.0</v>
      </c>
      <c r="AZ1855" s="200"/>
      <c r="BA1855" s="171" t="str">
        <f t="shared" si="18"/>
        <v/>
      </c>
      <c r="BB1855" s="171" t="str">
        <f t="shared" si="19"/>
        <v/>
      </c>
      <c r="BC1855" s="171" t="str">
        <f t="shared" si="20"/>
        <v/>
      </c>
      <c r="BD1855" s="171" t="str">
        <f t="shared" si="21"/>
        <v>Institutional</v>
      </c>
      <c r="BE1855" s="171" t="str">
        <f t="shared" si="22"/>
        <v/>
      </c>
      <c r="BF1855" s="171" t="str">
        <f t="shared" si="23"/>
        <v>Institutional</v>
      </c>
    </row>
    <row r="1856">
      <c r="A1856" s="171">
        <f t="array" ref="A1856">XLOOKUP(C1856,FSE!A:A,FSE!C:C,"XXXXX",0,1)</f>
        <v>2018</v>
      </c>
      <c r="B1856" s="213" t="s">
        <v>5676</v>
      </c>
      <c r="C1856" s="214">
        <v>504.0</v>
      </c>
      <c r="D1856" s="215" t="s">
        <v>4107</v>
      </c>
      <c r="E1856" s="197" t="str">
        <f t="array" ref="E1856">XLOOKUP(C1856,FSE!A:A,FSE!Z:Z,"XXXXX",0,1)</f>
        <v>Publicly Available (1)</v>
      </c>
      <c r="F1856" s="213" t="s">
        <v>3394</v>
      </c>
      <c r="G1856" s="163" t="str">
        <f t="array" ref="G1856">IF(B1856="ICSE",IF(COUNTIFS(B:B,B1856,C:C,C1856)=XLOOKUP(C1856,ICSE!A:A,ICSE!AA:AA,"ERROR",0,1),"OK","ERROR"),IF(B1856="FSE",IF(COUNTIFS(B:B,B1856,C:C,C1856)=XLOOKUP(C1856,FSE!A:A,FSE!AA:AA,"ERROR",0,1),"OK","ERROR")))</f>
        <v>OK</v>
      </c>
      <c r="H1856" s="199">
        <f t="shared" ref="H1856:O1856" si="9368">countif($D1856,"*"&amp;H$2&amp;"*")</f>
        <v>0</v>
      </c>
      <c r="I1856" s="200">
        <f t="shared" si="9368"/>
        <v>0</v>
      </c>
      <c r="J1856" s="200">
        <f t="shared" si="9368"/>
        <v>0</v>
      </c>
      <c r="K1856" s="200">
        <f t="shared" si="9368"/>
        <v>0</v>
      </c>
      <c r="L1856" s="200">
        <f t="shared" si="9368"/>
        <v>0</v>
      </c>
      <c r="M1856" s="200">
        <f t="shared" si="9368"/>
        <v>0</v>
      </c>
      <c r="N1856" s="200">
        <f t="shared" si="9368"/>
        <v>0</v>
      </c>
      <c r="O1856" s="200">
        <f t="shared" si="9368"/>
        <v>0</v>
      </c>
      <c r="P1856" s="200">
        <f t="shared" si="9"/>
        <v>1</v>
      </c>
      <c r="Q1856" s="200">
        <f t="shared" ref="Q1856:AC1856" si="9369">countif($D1856,"*"&amp;Q$2&amp;"*")</f>
        <v>0</v>
      </c>
      <c r="R1856" s="200">
        <f t="shared" si="9369"/>
        <v>0</v>
      </c>
      <c r="S1856" s="200">
        <f t="shared" si="9369"/>
        <v>0</v>
      </c>
      <c r="T1856" s="200">
        <f t="shared" si="9369"/>
        <v>0</v>
      </c>
      <c r="U1856" s="200">
        <f t="shared" si="9369"/>
        <v>0</v>
      </c>
      <c r="V1856" s="200">
        <f t="shared" si="9369"/>
        <v>0</v>
      </c>
      <c r="W1856" s="200">
        <f t="shared" si="9369"/>
        <v>0</v>
      </c>
      <c r="X1856" s="200">
        <f t="shared" si="9369"/>
        <v>0</v>
      </c>
      <c r="Y1856" s="200">
        <f t="shared" si="9369"/>
        <v>0</v>
      </c>
      <c r="Z1856" s="200">
        <f t="shared" si="9369"/>
        <v>0</v>
      </c>
      <c r="AA1856" s="200">
        <f t="shared" si="9369"/>
        <v>0</v>
      </c>
      <c r="AB1856" s="200">
        <f t="shared" si="9369"/>
        <v>0</v>
      </c>
      <c r="AC1856" s="200">
        <f t="shared" si="9369"/>
        <v>0</v>
      </c>
      <c r="AD1856" s="200">
        <f t="shared" si="11"/>
        <v>0</v>
      </c>
      <c r="AE1856" s="200">
        <f t="shared" ref="AE1856:AG1856" si="9370">countif($D1856,"*"&amp;AE$2&amp;"*")</f>
        <v>0</v>
      </c>
      <c r="AF1856" s="200">
        <f t="shared" si="9370"/>
        <v>0</v>
      </c>
      <c r="AG1856" s="200">
        <f t="shared" si="9370"/>
        <v>0</v>
      </c>
      <c r="AH1856" s="171">
        <f t="shared" si="13"/>
        <v>0</v>
      </c>
      <c r="AI1856" s="200">
        <f t="shared" si="14"/>
        <v>0</v>
      </c>
      <c r="AJ1856" s="200">
        <f t="shared" si="9270"/>
        <v>0</v>
      </c>
      <c r="AK1856" s="201">
        <f t="shared" ref="AK1856:AS1856" si="9371">countif($D1856,"*"&amp;AK$2&amp;"*")</f>
        <v>0</v>
      </c>
      <c r="AL1856" s="201">
        <f t="shared" si="9371"/>
        <v>0</v>
      </c>
      <c r="AM1856" s="201">
        <f t="shared" si="9371"/>
        <v>0</v>
      </c>
      <c r="AN1856" s="201">
        <f t="shared" si="9371"/>
        <v>0</v>
      </c>
      <c r="AO1856" s="201">
        <f t="shared" si="9371"/>
        <v>0</v>
      </c>
      <c r="AP1856" s="201">
        <f t="shared" si="9371"/>
        <v>0</v>
      </c>
      <c r="AQ1856" s="201">
        <f t="shared" si="9371"/>
        <v>0</v>
      </c>
      <c r="AR1856" s="200">
        <f t="shared" si="9371"/>
        <v>0</v>
      </c>
      <c r="AS1856" s="200">
        <f t="shared" si="9371"/>
        <v>0</v>
      </c>
      <c r="AT1856" s="173">
        <v>0.0</v>
      </c>
      <c r="AU1856" s="200">
        <f t="shared" ref="AU1856:AX1856" si="9372">countif($D1856,"*"&amp;AU$2&amp;"*")</f>
        <v>0</v>
      </c>
      <c r="AV1856" s="200">
        <f t="shared" si="9372"/>
        <v>1</v>
      </c>
      <c r="AW1856" s="200">
        <f t="shared" si="9372"/>
        <v>0</v>
      </c>
      <c r="AX1856" s="200">
        <f t="shared" si="9372"/>
        <v>0</v>
      </c>
      <c r="AY1856" s="202">
        <v>0.0</v>
      </c>
      <c r="AZ1856" s="200"/>
      <c r="BA1856" s="171" t="str">
        <f t="shared" si="18"/>
        <v/>
      </c>
      <c r="BB1856" s="171" t="str">
        <f t="shared" si="19"/>
        <v>Code</v>
      </c>
      <c r="BC1856" s="171" t="str">
        <f t="shared" si="20"/>
        <v/>
      </c>
      <c r="BD1856" s="171" t="str">
        <f t="shared" si="21"/>
        <v/>
      </c>
      <c r="BE1856" s="171" t="str">
        <f t="shared" si="22"/>
        <v/>
      </c>
      <c r="BF1856" s="171" t="str">
        <f t="shared" si="23"/>
        <v>Code</v>
      </c>
    </row>
    <row r="1857">
      <c r="A1857" s="171">
        <f t="array" ref="A1857">XLOOKUP(C1857,FSE!A:A,FSE!C:C,"XXXXX",0,1)</f>
        <v>2018</v>
      </c>
      <c r="B1857" s="213" t="s">
        <v>5676</v>
      </c>
      <c r="C1857" s="214">
        <v>505.0</v>
      </c>
      <c r="D1857" s="215" t="s">
        <v>6471</v>
      </c>
      <c r="E1857" s="197" t="str">
        <f t="array" ref="E1857">XLOOKUP(C1857,FSE!A:A,FSE!Z:Z,"XXXXX",0,1)</f>
        <v>Publicly Available (3)</v>
      </c>
      <c r="F1857" s="213" t="s">
        <v>3394</v>
      </c>
      <c r="G1857" s="163" t="str">
        <f t="array" ref="G1857">IF(B1857="ICSE",IF(COUNTIFS(B:B,B1857,C:C,C1857)=XLOOKUP(C1857,ICSE!A:A,ICSE!AA:AA,"ERROR",0,1),"OK","ERROR"),IF(B1857="FSE",IF(COUNTIFS(B:B,B1857,C:C,C1857)=XLOOKUP(C1857,FSE!A:A,FSE!AA:AA,"ERROR",0,1),"OK","ERROR")))</f>
        <v>OK</v>
      </c>
      <c r="H1857" s="199">
        <f t="shared" ref="H1857:O1857" si="9373">countif($D1857,"*"&amp;H$2&amp;"*")</f>
        <v>0</v>
      </c>
      <c r="I1857" s="200">
        <f t="shared" si="9373"/>
        <v>0</v>
      </c>
      <c r="J1857" s="200">
        <f t="shared" si="9373"/>
        <v>0</v>
      </c>
      <c r="K1857" s="200">
        <f t="shared" si="9373"/>
        <v>0</v>
      </c>
      <c r="L1857" s="200">
        <f t="shared" si="9373"/>
        <v>0</v>
      </c>
      <c r="M1857" s="200">
        <f t="shared" si="9373"/>
        <v>0</v>
      </c>
      <c r="N1857" s="200">
        <f t="shared" si="9373"/>
        <v>0</v>
      </c>
      <c r="O1857" s="200">
        <f t="shared" si="9373"/>
        <v>0</v>
      </c>
      <c r="P1857" s="200">
        <f t="shared" si="9"/>
        <v>1</v>
      </c>
      <c r="Q1857" s="200">
        <f t="shared" ref="Q1857:AC1857" si="9374">countif($D1857,"*"&amp;Q$2&amp;"*")</f>
        <v>0</v>
      </c>
      <c r="R1857" s="200">
        <f t="shared" si="9374"/>
        <v>0</v>
      </c>
      <c r="S1857" s="200">
        <f t="shared" si="9374"/>
        <v>0</v>
      </c>
      <c r="T1857" s="200">
        <f t="shared" si="9374"/>
        <v>0</v>
      </c>
      <c r="U1857" s="200">
        <f t="shared" si="9374"/>
        <v>0</v>
      </c>
      <c r="V1857" s="200">
        <f t="shared" si="9374"/>
        <v>0</v>
      </c>
      <c r="W1857" s="200">
        <f t="shared" si="9374"/>
        <v>0</v>
      </c>
      <c r="X1857" s="200">
        <f t="shared" si="9374"/>
        <v>0</v>
      </c>
      <c r="Y1857" s="200">
        <f t="shared" si="9374"/>
        <v>0</v>
      </c>
      <c r="Z1857" s="200">
        <f t="shared" si="9374"/>
        <v>0</v>
      </c>
      <c r="AA1857" s="200">
        <f t="shared" si="9374"/>
        <v>0</v>
      </c>
      <c r="AB1857" s="200">
        <f t="shared" si="9374"/>
        <v>0</v>
      </c>
      <c r="AC1857" s="200">
        <f t="shared" si="9374"/>
        <v>0</v>
      </c>
      <c r="AD1857" s="200">
        <f t="shared" si="11"/>
        <v>0</v>
      </c>
      <c r="AE1857" s="200">
        <f t="shared" ref="AE1857:AG1857" si="9375">countif($D1857,"*"&amp;AE$2&amp;"*")</f>
        <v>0</v>
      </c>
      <c r="AF1857" s="200">
        <f t="shared" si="9375"/>
        <v>0</v>
      </c>
      <c r="AG1857" s="200">
        <f t="shared" si="9375"/>
        <v>0</v>
      </c>
      <c r="AH1857" s="171">
        <f t="shared" si="13"/>
        <v>0</v>
      </c>
      <c r="AI1857" s="200">
        <f t="shared" si="14"/>
        <v>0</v>
      </c>
      <c r="AJ1857" s="200">
        <f t="shared" si="9270"/>
        <v>0</v>
      </c>
      <c r="AK1857" s="201">
        <f t="shared" ref="AK1857:AS1857" si="9376">countif($D1857,"*"&amp;AK$2&amp;"*")</f>
        <v>0</v>
      </c>
      <c r="AL1857" s="201">
        <f t="shared" si="9376"/>
        <v>0</v>
      </c>
      <c r="AM1857" s="201">
        <f t="shared" si="9376"/>
        <v>0</v>
      </c>
      <c r="AN1857" s="201">
        <f t="shared" si="9376"/>
        <v>0</v>
      </c>
      <c r="AO1857" s="201">
        <f t="shared" si="9376"/>
        <v>0</v>
      </c>
      <c r="AP1857" s="201">
        <f t="shared" si="9376"/>
        <v>0</v>
      </c>
      <c r="AQ1857" s="201">
        <f t="shared" si="9376"/>
        <v>0</v>
      </c>
      <c r="AR1857" s="200">
        <f t="shared" si="9376"/>
        <v>0</v>
      </c>
      <c r="AS1857" s="200">
        <f t="shared" si="9376"/>
        <v>0</v>
      </c>
      <c r="AT1857" s="173">
        <v>0.0</v>
      </c>
      <c r="AU1857" s="200">
        <f t="shared" ref="AU1857:AX1857" si="9377">countif($D1857,"*"&amp;AU$2&amp;"*")</f>
        <v>0</v>
      </c>
      <c r="AV1857" s="200">
        <f t="shared" si="9377"/>
        <v>1</v>
      </c>
      <c r="AW1857" s="200">
        <f t="shared" si="9377"/>
        <v>0</v>
      </c>
      <c r="AX1857" s="200">
        <f t="shared" si="9377"/>
        <v>0</v>
      </c>
      <c r="AY1857" s="202">
        <v>0.0</v>
      </c>
      <c r="AZ1857" s="200"/>
      <c r="BA1857" s="171" t="str">
        <f t="shared" si="18"/>
        <v/>
      </c>
      <c r="BB1857" s="171" t="str">
        <f t="shared" si="19"/>
        <v>Code</v>
      </c>
      <c r="BC1857" s="171" t="str">
        <f t="shared" si="20"/>
        <v/>
      </c>
      <c r="BD1857" s="171" t="str">
        <f t="shared" si="21"/>
        <v/>
      </c>
      <c r="BE1857" s="171" t="str">
        <f t="shared" si="22"/>
        <v/>
      </c>
      <c r="BF1857" s="171" t="str">
        <f t="shared" si="23"/>
        <v>Code</v>
      </c>
    </row>
    <row r="1858">
      <c r="A1858" s="171">
        <f t="array" ref="A1858">XLOOKUP(C1858,FSE!A:A,FSE!C:C,"XXXXX",0,1)</f>
        <v>2018</v>
      </c>
      <c r="B1858" s="213" t="s">
        <v>5676</v>
      </c>
      <c r="C1858" s="214">
        <v>505.0</v>
      </c>
      <c r="D1858" s="215" t="s">
        <v>6472</v>
      </c>
      <c r="E1858" s="197" t="str">
        <f t="array" ref="E1858">XLOOKUP(C1858,FSE!A:A,FSE!Z:Z,"XXXXX",0,1)</f>
        <v>Publicly Available (3)</v>
      </c>
      <c r="F1858" s="213" t="s">
        <v>3394</v>
      </c>
      <c r="G1858" s="163" t="str">
        <f t="array" ref="G1858">IF(B1858="ICSE",IF(COUNTIFS(B:B,B1858,C:C,C1858)=XLOOKUP(C1858,ICSE!A:A,ICSE!AA:AA,"ERROR",0,1),"OK","ERROR"),IF(B1858="FSE",IF(COUNTIFS(B:B,B1858,C:C,C1858)=XLOOKUP(C1858,FSE!A:A,FSE!AA:AA,"ERROR",0,1),"OK","ERROR")))</f>
        <v>OK</v>
      </c>
      <c r="H1858" s="199">
        <f t="shared" ref="H1858:O1858" si="9378">countif($D1858,"*"&amp;H$2&amp;"*")</f>
        <v>0</v>
      </c>
      <c r="I1858" s="200">
        <f t="shared" si="9378"/>
        <v>0</v>
      </c>
      <c r="J1858" s="200">
        <f t="shared" si="9378"/>
        <v>0</v>
      </c>
      <c r="K1858" s="200">
        <f t="shared" si="9378"/>
        <v>0</v>
      </c>
      <c r="L1858" s="200">
        <f t="shared" si="9378"/>
        <v>0</v>
      </c>
      <c r="M1858" s="200">
        <f t="shared" si="9378"/>
        <v>0</v>
      </c>
      <c r="N1858" s="200">
        <f t="shared" si="9378"/>
        <v>0</v>
      </c>
      <c r="O1858" s="200">
        <f t="shared" si="9378"/>
        <v>0</v>
      </c>
      <c r="P1858" s="200">
        <f t="shared" si="9"/>
        <v>1</v>
      </c>
      <c r="Q1858" s="200">
        <f t="shared" ref="Q1858:AC1858" si="9379">countif($D1858,"*"&amp;Q$2&amp;"*")</f>
        <v>0</v>
      </c>
      <c r="R1858" s="200">
        <f t="shared" si="9379"/>
        <v>0</v>
      </c>
      <c r="S1858" s="200">
        <f t="shared" si="9379"/>
        <v>0</v>
      </c>
      <c r="T1858" s="200">
        <f t="shared" si="9379"/>
        <v>0</v>
      </c>
      <c r="U1858" s="200">
        <f t="shared" si="9379"/>
        <v>0</v>
      </c>
      <c r="V1858" s="200">
        <f t="shared" si="9379"/>
        <v>0</v>
      </c>
      <c r="W1858" s="200">
        <f t="shared" si="9379"/>
        <v>0</v>
      </c>
      <c r="X1858" s="200">
        <f t="shared" si="9379"/>
        <v>0</v>
      </c>
      <c r="Y1858" s="200">
        <f t="shared" si="9379"/>
        <v>0</v>
      </c>
      <c r="Z1858" s="200">
        <f t="shared" si="9379"/>
        <v>0</v>
      </c>
      <c r="AA1858" s="200">
        <f t="shared" si="9379"/>
        <v>0</v>
      </c>
      <c r="AB1858" s="200">
        <f t="shared" si="9379"/>
        <v>0</v>
      </c>
      <c r="AC1858" s="200">
        <f t="shared" si="9379"/>
        <v>0</v>
      </c>
      <c r="AD1858" s="200">
        <f t="shared" si="11"/>
        <v>0</v>
      </c>
      <c r="AE1858" s="200">
        <f t="shared" ref="AE1858:AG1858" si="9380">countif($D1858,"*"&amp;AE$2&amp;"*")</f>
        <v>0</v>
      </c>
      <c r="AF1858" s="200">
        <f t="shared" si="9380"/>
        <v>0</v>
      </c>
      <c r="AG1858" s="200">
        <f t="shared" si="9380"/>
        <v>0</v>
      </c>
      <c r="AH1858" s="171">
        <f t="shared" si="13"/>
        <v>0</v>
      </c>
      <c r="AI1858" s="200">
        <f t="shared" si="14"/>
        <v>0</v>
      </c>
      <c r="AJ1858" s="200">
        <f t="shared" si="9270"/>
        <v>0</v>
      </c>
      <c r="AK1858" s="201">
        <f t="shared" ref="AK1858:AS1858" si="9381">countif($D1858,"*"&amp;AK$2&amp;"*")</f>
        <v>0</v>
      </c>
      <c r="AL1858" s="201">
        <f t="shared" si="9381"/>
        <v>0</v>
      </c>
      <c r="AM1858" s="201">
        <f t="shared" si="9381"/>
        <v>0</v>
      </c>
      <c r="AN1858" s="201">
        <f t="shared" si="9381"/>
        <v>0</v>
      </c>
      <c r="AO1858" s="201">
        <f t="shared" si="9381"/>
        <v>0</v>
      </c>
      <c r="AP1858" s="201">
        <f t="shared" si="9381"/>
        <v>0</v>
      </c>
      <c r="AQ1858" s="201">
        <f t="shared" si="9381"/>
        <v>0</v>
      </c>
      <c r="AR1858" s="200">
        <f t="shared" si="9381"/>
        <v>0</v>
      </c>
      <c r="AS1858" s="200">
        <f t="shared" si="9381"/>
        <v>0</v>
      </c>
      <c r="AT1858" s="173">
        <v>0.0</v>
      </c>
      <c r="AU1858" s="200">
        <f t="shared" ref="AU1858:AX1858" si="9382">countif($D1858,"*"&amp;AU$2&amp;"*")</f>
        <v>0</v>
      </c>
      <c r="AV1858" s="200">
        <f t="shared" si="9382"/>
        <v>1</v>
      </c>
      <c r="AW1858" s="200">
        <f t="shared" si="9382"/>
        <v>0</v>
      </c>
      <c r="AX1858" s="200">
        <f t="shared" si="9382"/>
        <v>0</v>
      </c>
      <c r="AY1858" s="202">
        <v>0.0</v>
      </c>
      <c r="AZ1858" s="200"/>
      <c r="BA1858" s="171" t="str">
        <f t="shared" si="18"/>
        <v/>
      </c>
      <c r="BB1858" s="171" t="str">
        <f t="shared" si="19"/>
        <v>Code</v>
      </c>
      <c r="BC1858" s="171" t="str">
        <f t="shared" si="20"/>
        <v/>
      </c>
      <c r="BD1858" s="171" t="str">
        <f t="shared" si="21"/>
        <v/>
      </c>
      <c r="BE1858" s="171" t="str">
        <f t="shared" si="22"/>
        <v/>
      </c>
      <c r="BF1858" s="171" t="str">
        <f t="shared" si="23"/>
        <v>Code</v>
      </c>
    </row>
    <row r="1859">
      <c r="A1859" s="171">
        <f t="array" ref="A1859">XLOOKUP(C1859,FSE!A:A,FSE!C:C,"XXXXX",0,1)</f>
        <v>2018</v>
      </c>
      <c r="B1859" s="213" t="s">
        <v>5676</v>
      </c>
      <c r="C1859" s="214">
        <v>505.0</v>
      </c>
      <c r="D1859" s="215" t="s">
        <v>6473</v>
      </c>
      <c r="E1859" s="197" t="str">
        <f t="array" ref="E1859">XLOOKUP(C1859,FSE!A:A,FSE!Z:Z,"XXXXX",0,1)</f>
        <v>Publicly Available (3)</v>
      </c>
      <c r="F1859" s="213" t="s">
        <v>3394</v>
      </c>
      <c r="G1859" s="163" t="str">
        <f t="array" ref="G1859">IF(B1859="ICSE",IF(COUNTIFS(B:B,B1859,C:C,C1859)=XLOOKUP(C1859,ICSE!A:A,ICSE!AA:AA,"ERROR",0,1),"OK","ERROR"),IF(B1859="FSE",IF(COUNTIFS(B:B,B1859,C:C,C1859)=XLOOKUP(C1859,FSE!A:A,FSE!AA:AA,"ERROR",0,1),"OK","ERROR")))</f>
        <v>OK</v>
      </c>
      <c r="H1859" s="199">
        <f t="shared" ref="H1859:O1859" si="9383">countif($D1859,"*"&amp;H$2&amp;"*")</f>
        <v>0</v>
      </c>
      <c r="I1859" s="200">
        <f t="shared" si="9383"/>
        <v>0</v>
      </c>
      <c r="J1859" s="200">
        <f t="shared" si="9383"/>
        <v>0</v>
      </c>
      <c r="K1859" s="200">
        <f t="shared" si="9383"/>
        <v>0</v>
      </c>
      <c r="L1859" s="200">
        <f t="shared" si="9383"/>
        <v>0</v>
      </c>
      <c r="M1859" s="200">
        <f t="shared" si="9383"/>
        <v>0</v>
      </c>
      <c r="N1859" s="200">
        <f t="shared" si="9383"/>
        <v>0</v>
      </c>
      <c r="O1859" s="200">
        <f t="shared" si="9383"/>
        <v>0</v>
      </c>
      <c r="P1859" s="200">
        <f t="shared" si="9"/>
        <v>1</v>
      </c>
      <c r="Q1859" s="200">
        <f t="shared" ref="Q1859:AC1859" si="9384">countif($D1859,"*"&amp;Q$2&amp;"*")</f>
        <v>0</v>
      </c>
      <c r="R1859" s="200">
        <f t="shared" si="9384"/>
        <v>0</v>
      </c>
      <c r="S1859" s="200">
        <f t="shared" si="9384"/>
        <v>0</v>
      </c>
      <c r="T1859" s="200">
        <f t="shared" si="9384"/>
        <v>0</v>
      </c>
      <c r="U1859" s="200">
        <f t="shared" si="9384"/>
        <v>0</v>
      </c>
      <c r="V1859" s="200">
        <f t="shared" si="9384"/>
        <v>0</v>
      </c>
      <c r="W1859" s="200">
        <f t="shared" si="9384"/>
        <v>0</v>
      </c>
      <c r="X1859" s="200">
        <f t="shared" si="9384"/>
        <v>0</v>
      </c>
      <c r="Y1859" s="200">
        <f t="shared" si="9384"/>
        <v>0</v>
      </c>
      <c r="Z1859" s="200">
        <f t="shared" si="9384"/>
        <v>0</v>
      </c>
      <c r="AA1859" s="200">
        <f t="shared" si="9384"/>
        <v>0</v>
      </c>
      <c r="AB1859" s="200">
        <f t="shared" si="9384"/>
        <v>0</v>
      </c>
      <c r="AC1859" s="200">
        <f t="shared" si="9384"/>
        <v>0</v>
      </c>
      <c r="AD1859" s="200">
        <f t="shared" si="11"/>
        <v>0</v>
      </c>
      <c r="AE1859" s="200">
        <f t="shared" ref="AE1859:AG1859" si="9385">countif($D1859,"*"&amp;AE$2&amp;"*")</f>
        <v>0</v>
      </c>
      <c r="AF1859" s="200">
        <f t="shared" si="9385"/>
        <v>0</v>
      </c>
      <c r="AG1859" s="200">
        <f t="shared" si="9385"/>
        <v>0</v>
      </c>
      <c r="AH1859" s="171">
        <f t="shared" si="13"/>
        <v>0</v>
      </c>
      <c r="AI1859" s="200">
        <f t="shared" si="14"/>
        <v>0</v>
      </c>
      <c r="AJ1859" s="200">
        <f t="shared" si="9270"/>
        <v>0</v>
      </c>
      <c r="AK1859" s="201">
        <f t="shared" ref="AK1859:AS1859" si="9386">countif($D1859,"*"&amp;AK$2&amp;"*")</f>
        <v>0</v>
      </c>
      <c r="AL1859" s="201">
        <f t="shared" si="9386"/>
        <v>0</v>
      </c>
      <c r="AM1859" s="201">
        <f t="shared" si="9386"/>
        <v>0</v>
      </c>
      <c r="AN1859" s="201">
        <f t="shared" si="9386"/>
        <v>0</v>
      </c>
      <c r="AO1859" s="201">
        <f t="shared" si="9386"/>
        <v>0</v>
      </c>
      <c r="AP1859" s="201">
        <f t="shared" si="9386"/>
        <v>0</v>
      </c>
      <c r="AQ1859" s="201">
        <f t="shared" si="9386"/>
        <v>0</v>
      </c>
      <c r="AR1859" s="200">
        <f t="shared" si="9386"/>
        <v>0</v>
      </c>
      <c r="AS1859" s="200">
        <f t="shared" si="9386"/>
        <v>0</v>
      </c>
      <c r="AT1859" s="173">
        <v>0.0</v>
      </c>
      <c r="AU1859" s="200">
        <f t="shared" ref="AU1859:AX1859" si="9387">countif($D1859,"*"&amp;AU$2&amp;"*")</f>
        <v>0</v>
      </c>
      <c r="AV1859" s="200">
        <f t="shared" si="9387"/>
        <v>1</v>
      </c>
      <c r="AW1859" s="200">
        <f t="shared" si="9387"/>
        <v>0</v>
      </c>
      <c r="AX1859" s="200">
        <f t="shared" si="9387"/>
        <v>0</v>
      </c>
      <c r="AY1859" s="202">
        <v>0.0</v>
      </c>
      <c r="AZ1859" s="200"/>
      <c r="BA1859" s="171" t="str">
        <f t="shared" si="18"/>
        <v/>
      </c>
      <c r="BB1859" s="171" t="str">
        <f t="shared" si="19"/>
        <v>Code</v>
      </c>
      <c r="BC1859" s="171" t="str">
        <f t="shared" si="20"/>
        <v/>
      </c>
      <c r="BD1859" s="171" t="str">
        <f t="shared" si="21"/>
        <v/>
      </c>
      <c r="BE1859" s="171" t="str">
        <f t="shared" si="22"/>
        <v/>
      </c>
      <c r="BF1859" s="171" t="str">
        <f t="shared" si="23"/>
        <v>Code</v>
      </c>
    </row>
    <row r="1860">
      <c r="A1860" s="171">
        <f t="array" ref="A1860">XLOOKUP(C1860,FSE!A:A,FSE!C:C,"XXXXX",0,1)</f>
        <v>2018</v>
      </c>
      <c r="B1860" s="213" t="s">
        <v>5676</v>
      </c>
      <c r="C1860" s="214">
        <v>506.0</v>
      </c>
      <c r="D1860" s="217" t="s">
        <v>6474</v>
      </c>
      <c r="E1860" s="197" t="str">
        <f t="array" ref="E1860">XLOOKUP(C1860,FSE!A:A,FSE!Z:Z,"XXXXX",0,1)</f>
        <v>Publicly Available (1)</v>
      </c>
      <c r="F1860" s="213" t="s">
        <v>3394</v>
      </c>
      <c r="G1860" s="163" t="str">
        <f t="array" ref="G1860">IF(B1860="ICSE",IF(COUNTIFS(B:B,B1860,C:C,C1860)=XLOOKUP(C1860,ICSE!A:A,ICSE!AA:AA,"ERROR",0,1),"OK","ERROR"),IF(B1860="FSE",IF(COUNTIFS(B:B,B1860,C:C,C1860)=XLOOKUP(C1860,FSE!A:A,FSE!AA:AA,"ERROR",0,1),"OK","ERROR")))</f>
        <v>OK</v>
      </c>
      <c r="H1860" s="199">
        <f t="shared" ref="H1860:O1860" si="9388">countif($D1860,"*"&amp;H$2&amp;"*")</f>
        <v>0</v>
      </c>
      <c r="I1860" s="200">
        <f t="shared" si="9388"/>
        <v>0</v>
      </c>
      <c r="J1860" s="200">
        <f t="shared" si="9388"/>
        <v>0</v>
      </c>
      <c r="K1860" s="200">
        <f t="shared" si="9388"/>
        <v>0</v>
      </c>
      <c r="L1860" s="200">
        <f t="shared" si="9388"/>
        <v>0</v>
      </c>
      <c r="M1860" s="200">
        <f t="shared" si="9388"/>
        <v>0</v>
      </c>
      <c r="N1860" s="200">
        <f t="shared" si="9388"/>
        <v>0</v>
      </c>
      <c r="O1860" s="200">
        <f t="shared" si="9388"/>
        <v>0</v>
      </c>
      <c r="P1860" s="200">
        <f t="shared" si="9"/>
        <v>0</v>
      </c>
      <c r="Q1860" s="200">
        <f t="shared" ref="Q1860:AC1860" si="9389">countif($D1860,"*"&amp;Q$2&amp;"*")</f>
        <v>0</v>
      </c>
      <c r="R1860" s="200">
        <f t="shared" si="9389"/>
        <v>0</v>
      </c>
      <c r="S1860" s="200">
        <f t="shared" si="9389"/>
        <v>0</v>
      </c>
      <c r="T1860" s="200">
        <f t="shared" si="9389"/>
        <v>0</v>
      </c>
      <c r="U1860" s="200">
        <f t="shared" si="9389"/>
        <v>0</v>
      </c>
      <c r="V1860" s="200">
        <f t="shared" si="9389"/>
        <v>1</v>
      </c>
      <c r="W1860" s="200">
        <f t="shared" si="9389"/>
        <v>0</v>
      </c>
      <c r="X1860" s="200">
        <f t="shared" si="9389"/>
        <v>0</v>
      </c>
      <c r="Y1860" s="200">
        <f t="shared" si="9389"/>
        <v>0</v>
      </c>
      <c r="Z1860" s="200">
        <f t="shared" si="9389"/>
        <v>0</v>
      </c>
      <c r="AA1860" s="200">
        <f t="shared" si="9389"/>
        <v>0</v>
      </c>
      <c r="AB1860" s="200">
        <f t="shared" si="9389"/>
        <v>0</v>
      </c>
      <c r="AC1860" s="200">
        <f t="shared" si="9389"/>
        <v>0</v>
      </c>
      <c r="AD1860" s="200">
        <f t="shared" si="11"/>
        <v>0</v>
      </c>
      <c r="AE1860" s="200">
        <f t="shared" ref="AE1860:AG1860" si="9390">countif($D1860,"*"&amp;AE$2&amp;"*")</f>
        <v>0</v>
      </c>
      <c r="AF1860" s="200">
        <f t="shared" si="9390"/>
        <v>0</v>
      </c>
      <c r="AG1860" s="200">
        <f t="shared" si="9390"/>
        <v>0</v>
      </c>
      <c r="AH1860" s="171">
        <f t="shared" si="13"/>
        <v>0</v>
      </c>
      <c r="AI1860" s="200">
        <f t="shared" si="14"/>
        <v>0</v>
      </c>
      <c r="AJ1860" s="200">
        <f t="shared" si="9270"/>
        <v>1</v>
      </c>
      <c r="AK1860" s="201">
        <f t="shared" ref="AK1860:AS1860" si="9391">countif($D1860,"*"&amp;AK$2&amp;"*")</f>
        <v>0</v>
      </c>
      <c r="AL1860" s="201">
        <f t="shared" si="9391"/>
        <v>1</v>
      </c>
      <c r="AM1860" s="201">
        <f t="shared" si="9391"/>
        <v>0</v>
      </c>
      <c r="AN1860" s="201">
        <f t="shared" si="9391"/>
        <v>0</v>
      </c>
      <c r="AO1860" s="201">
        <f t="shared" si="9391"/>
        <v>0</v>
      </c>
      <c r="AP1860" s="201">
        <f t="shared" si="9391"/>
        <v>0</v>
      </c>
      <c r="AQ1860" s="201">
        <f t="shared" si="9391"/>
        <v>0</v>
      </c>
      <c r="AR1860" s="200">
        <f t="shared" si="9391"/>
        <v>0</v>
      </c>
      <c r="AS1860" s="200">
        <f t="shared" si="9391"/>
        <v>1</v>
      </c>
      <c r="AT1860" s="173">
        <v>0.0</v>
      </c>
      <c r="AU1860" s="200">
        <f t="shared" ref="AU1860:AX1860" si="9392">countif($D1860,"*"&amp;AU$2&amp;"*")</f>
        <v>0</v>
      </c>
      <c r="AV1860" s="200">
        <f t="shared" si="9392"/>
        <v>0</v>
      </c>
      <c r="AW1860" s="200">
        <f t="shared" si="9392"/>
        <v>0</v>
      </c>
      <c r="AX1860" s="200">
        <f t="shared" si="9392"/>
        <v>0</v>
      </c>
      <c r="AY1860" s="202">
        <v>0.0</v>
      </c>
      <c r="AZ1860" s="200"/>
      <c r="BA1860" s="171" t="str">
        <f t="shared" si="18"/>
        <v/>
      </c>
      <c r="BB1860" s="171" t="str">
        <f t="shared" si="19"/>
        <v/>
      </c>
      <c r="BC1860" s="171" t="str">
        <f t="shared" si="20"/>
        <v>General-purpose</v>
      </c>
      <c r="BD1860" s="171" t="str">
        <f t="shared" si="21"/>
        <v/>
      </c>
      <c r="BE1860" s="171" t="str">
        <f t="shared" si="22"/>
        <v/>
      </c>
      <c r="BF1860" s="171" t="str">
        <f t="shared" si="23"/>
        <v>General-purpose</v>
      </c>
    </row>
    <row r="1861">
      <c r="A1861" s="171">
        <f t="array" ref="A1861">XLOOKUP(C1861,FSE!A:A,FSE!C:C,"XXXXX",0,1)</f>
        <v>2018</v>
      </c>
      <c r="B1861" s="213" t="s">
        <v>5676</v>
      </c>
      <c r="C1861" s="214">
        <v>507.0</v>
      </c>
      <c r="D1861" s="215" t="s">
        <v>4117</v>
      </c>
      <c r="E1861" s="197" t="str">
        <f t="array" ref="E1861">XLOOKUP(C1861,FSE!A:A,FSE!Z:Z,"XXXXX",0,1)</f>
        <v>Not Available (1)</v>
      </c>
      <c r="F1861" s="213" t="s">
        <v>3395</v>
      </c>
      <c r="G1861" s="163" t="str">
        <f t="array" ref="G1861">IF(B1861="ICSE",IF(COUNTIFS(B:B,B1861,C:C,C1861)=XLOOKUP(C1861,ICSE!A:A,ICSE!AA:AA,"ERROR",0,1),"OK","ERROR"),IF(B1861="FSE",IF(COUNTIFS(B:B,B1861,C:C,C1861)=XLOOKUP(C1861,FSE!A:A,FSE!AA:AA,"ERROR",0,1),"OK","ERROR")))</f>
        <v>OK</v>
      </c>
      <c r="H1861" s="199">
        <f t="shared" ref="H1861:O1861" si="9393">countif($D1861,"*"&amp;H$2&amp;"*")</f>
        <v>0</v>
      </c>
      <c r="I1861" s="200">
        <f t="shared" si="9393"/>
        <v>0</v>
      </c>
      <c r="J1861" s="200">
        <f t="shared" si="9393"/>
        <v>0</v>
      </c>
      <c r="K1861" s="200">
        <f t="shared" si="9393"/>
        <v>0</v>
      </c>
      <c r="L1861" s="200">
        <f t="shared" si="9393"/>
        <v>0</v>
      </c>
      <c r="M1861" s="200">
        <f t="shared" si="9393"/>
        <v>0</v>
      </c>
      <c r="N1861" s="200">
        <f t="shared" si="9393"/>
        <v>0</v>
      </c>
      <c r="O1861" s="200">
        <f t="shared" si="9393"/>
        <v>0</v>
      </c>
      <c r="P1861" s="200">
        <f t="shared" si="9"/>
        <v>0</v>
      </c>
      <c r="Q1861" s="200">
        <f t="shared" ref="Q1861:AC1861" si="9394">countif($D1861,"*"&amp;Q$2&amp;"*")</f>
        <v>0</v>
      </c>
      <c r="R1861" s="200">
        <f t="shared" si="9394"/>
        <v>0</v>
      </c>
      <c r="S1861" s="200">
        <f t="shared" si="9394"/>
        <v>0</v>
      </c>
      <c r="T1861" s="200">
        <f t="shared" si="9394"/>
        <v>0</v>
      </c>
      <c r="U1861" s="200">
        <f t="shared" si="9394"/>
        <v>0</v>
      </c>
      <c r="V1861" s="200">
        <f t="shared" si="9394"/>
        <v>0</v>
      </c>
      <c r="W1861" s="200">
        <f t="shared" si="9394"/>
        <v>0</v>
      </c>
      <c r="X1861" s="200">
        <f t="shared" si="9394"/>
        <v>0</v>
      </c>
      <c r="Y1861" s="200">
        <f t="shared" si="9394"/>
        <v>0</v>
      </c>
      <c r="Z1861" s="200">
        <f t="shared" si="9394"/>
        <v>0</v>
      </c>
      <c r="AA1861" s="200">
        <f t="shared" si="9394"/>
        <v>0</v>
      </c>
      <c r="AB1861" s="200">
        <f t="shared" si="9394"/>
        <v>0</v>
      </c>
      <c r="AC1861" s="200">
        <f t="shared" si="9394"/>
        <v>0</v>
      </c>
      <c r="AD1861" s="200">
        <f t="shared" si="11"/>
        <v>1</v>
      </c>
      <c r="AE1861" s="200">
        <f t="shared" ref="AE1861:AG1861" si="9395">countif($D1861,"*"&amp;AE$2&amp;"*")</f>
        <v>0</v>
      </c>
      <c r="AF1861" s="200">
        <f t="shared" si="9395"/>
        <v>0</v>
      </c>
      <c r="AG1861" s="200">
        <f t="shared" si="9395"/>
        <v>0</v>
      </c>
      <c r="AH1861" s="171">
        <f t="shared" si="13"/>
        <v>0</v>
      </c>
      <c r="AI1861" s="200">
        <f t="shared" si="14"/>
        <v>0</v>
      </c>
      <c r="AJ1861" s="200">
        <f t="shared" si="9270"/>
        <v>0</v>
      </c>
      <c r="AK1861" s="201">
        <f t="shared" ref="AK1861:AS1861" si="9396">countif($D1861,"*"&amp;AK$2&amp;"*")</f>
        <v>0</v>
      </c>
      <c r="AL1861" s="201">
        <f t="shared" si="9396"/>
        <v>0</v>
      </c>
      <c r="AM1861" s="201">
        <f t="shared" si="9396"/>
        <v>0</v>
      </c>
      <c r="AN1861" s="201">
        <f t="shared" si="9396"/>
        <v>0</v>
      </c>
      <c r="AO1861" s="201">
        <f t="shared" si="9396"/>
        <v>0</v>
      </c>
      <c r="AP1861" s="201">
        <f t="shared" si="9396"/>
        <v>0</v>
      </c>
      <c r="AQ1861" s="201">
        <f t="shared" si="9396"/>
        <v>0</v>
      </c>
      <c r="AR1861" s="200">
        <f t="shared" si="9396"/>
        <v>0</v>
      </c>
      <c r="AS1861" s="200">
        <f t="shared" si="9396"/>
        <v>0</v>
      </c>
      <c r="AT1861" s="173">
        <v>1.0</v>
      </c>
      <c r="AU1861" s="200">
        <f t="shared" ref="AU1861:AX1861" si="9397">countif($D1861,"*"&amp;AU$2&amp;"*")</f>
        <v>0</v>
      </c>
      <c r="AV1861" s="200">
        <f t="shared" si="9397"/>
        <v>0</v>
      </c>
      <c r="AW1861" s="200">
        <f t="shared" si="9397"/>
        <v>0</v>
      </c>
      <c r="AX1861" s="200">
        <f t="shared" si="9397"/>
        <v>0</v>
      </c>
      <c r="AY1861" s="202">
        <v>0.0</v>
      </c>
      <c r="AZ1861" s="200"/>
      <c r="BA1861" s="171" t="str">
        <f t="shared" si="18"/>
        <v/>
      </c>
      <c r="BB1861" s="171" t="str">
        <f t="shared" si="19"/>
        <v/>
      </c>
      <c r="BC1861" s="171" t="str">
        <f t="shared" si="20"/>
        <v/>
      </c>
      <c r="BD1861" s="171" t="str">
        <f t="shared" si="21"/>
        <v>Institutional</v>
      </c>
      <c r="BE1861" s="171" t="str">
        <f t="shared" si="22"/>
        <v/>
      </c>
      <c r="BF1861" s="171" t="str">
        <f t="shared" si="23"/>
        <v>Institutional</v>
      </c>
    </row>
    <row r="1862">
      <c r="A1862" s="171">
        <f t="array" ref="A1862">XLOOKUP(C1862,FSE!A:A,FSE!C:C,"XXXXX",0,1)</f>
        <v>2018</v>
      </c>
      <c r="B1862" s="213" t="s">
        <v>5676</v>
      </c>
      <c r="C1862" s="214">
        <v>508.0</v>
      </c>
      <c r="D1862" s="215" t="s">
        <v>4119</v>
      </c>
      <c r="E1862" s="197" t="str">
        <f t="array" ref="E1862">XLOOKUP(C1862,FSE!A:A,FSE!Z:Z,"XXXXX",0,1)</f>
        <v>Publicly Available (1)</v>
      </c>
      <c r="F1862" s="213" t="s">
        <v>3394</v>
      </c>
      <c r="G1862" s="163" t="str">
        <f t="array" ref="G1862">IF(B1862="ICSE",IF(COUNTIFS(B:B,B1862,C:C,C1862)=XLOOKUP(C1862,ICSE!A:A,ICSE!AA:AA,"ERROR",0,1),"OK","ERROR"),IF(B1862="FSE",IF(COUNTIFS(B:B,B1862,C:C,C1862)=XLOOKUP(C1862,FSE!A:A,FSE!AA:AA,"ERROR",0,1),"OK","ERROR")))</f>
        <v>OK</v>
      </c>
      <c r="H1862" s="199">
        <f t="shared" ref="H1862:O1862" si="9398">countif($D1862,"*"&amp;H$2&amp;"*")</f>
        <v>0</v>
      </c>
      <c r="I1862" s="200">
        <f t="shared" si="9398"/>
        <v>0</v>
      </c>
      <c r="J1862" s="200">
        <f t="shared" si="9398"/>
        <v>0</v>
      </c>
      <c r="K1862" s="200">
        <f t="shared" si="9398"/>
        <v>0</v>
      </c>
      <c r="L1862" s="200">
        <f t="shared" si="9398"/>
        <v>0</v>
      </c>
      <c r="M1862" s="200">
        <f t="shared" si="9398"/>
        <v>0</v>
      </c>
      <c r="N1862" s="200">
        <f t="shared" si="9398"/>
        <v>0</v>
      </c>
      <c r="O1862" s="200">
        <f t="shared" si="9398"/>
        <v>0</v>
      </c>
      <c r="P1862" s="200">
        <f t="shared" si="9"/>
        <v>1</v>
      </c>
      <c r="Q1862" s="200">
        <f t="shared" ref="Q1862:AC1862" si="9399">countif($D1862,"*"&amp;Q$2&amp;"*")</f>
        <v>0</v>
      </c>
      <c r="R1862" s="200">
        <f t="shared" si="9399"/>
        <v>0</v>
      </c>
      <c r="S1862" s="200">
        <f t="shared" si="9399"/>
        <v>0</v>
      </c>
      <c r="T1862" s="200">
        <f t="shared" si="9399"/>
        <v>0</v>
      </c>
      <c r="U1862" s="200">
        <f t="shared" si="9399"/>
        <v>0</v>
      </c>
      <c r="V1862" s="200">
        <f t="shared" si="9399"/>
        <v>0</v>
      </c>
      <c r="W1862" s="200">
        <f t="shared" si="9399"/>
        <v>0</v>
      </c>
      <c r="X1862" s="200">
        <f t="shared" si="9399"/>
        <v>0</v>
      </c>
      <c r="Y1862" s="200">
        <f t="shared" si="9399"/>
        <v>0</v>
      </c>
      <c r="Z1862" s="200">
        <f t="shared" si="9399"/>
        <v>0</v>
      </c>
      <c r="AA1862" s="200">
        <f t="shared" si="9399"/>
        <v>0</v>
      </c>
      <c r="AB1862" s="200">
        <f t="shared" si="9399"/>
        <v>0</v>
      </c>
      <c r="AC1862" s="200">
        <f t="shared" si="9399"/>
        <v>0</v>
      </c>
      <c r="AD1862" s="200">
        <f t="shared" si="11"/>
        <v>0</v>
      </c>
      <c r="AE1862" s="200">
        <f t="shared" ref="AE1862:AG1862" si="9400">countif($D1862,"*"&amp;AE$2&amp;"*")</f>
        <v>0</v>
      </c>
      <c r="AF1862" s="200">
        <f t="shared" si="9400"/>
        <v>0</v>
      </c>
      <c r="AG1862" s="200">
        <f t="shared" si="9400"/>
        <v>0</v>
      </c>
      <c r="AH1862" s="171">
        <f t="shared" si="13"/>
        <v>0</v>
      </c>
      <c r="AI1862" s="200">
        <f t="shared" si="14"/>
        <v>0</v>
      </c>
      <c r="AJ1862" s="200">
        <f t="shared" si="9270"/>
        <v>0</v>
      </c>
      <c r="AK1862" s="201">
        <f t="shared" ref="AK1862:AS1862" si="9401">countif($D1862,"*"&amp;AK$2&amp;"*")</f>
        <v>0</v>
      </c>
      <c r="AL1862" s="201">
        <f t="shared" si="9401"/>
        <v>0</v>
      </c>
      <c r="AM1862" s="201">
        <f t="shared" si="9401"/>
        <v>0</v>
      </c>
      <c r="AN1862" s="201">
        <f t="shared" si="9401"/>
        <v>0</v>
      </c>
      <c r="AO1862" s="201">
        <f t="shared" si="9401"/>
        <v>0</v>
      </c>
      <c r="AP1862" s="201">
        <f t="shared" si="9401"/>
        <v>0</v>
      </c>
      <c r="AQ1862" s="201">
        <f t="shared" si="9401"/>
        <v>0</v>
      </c>
      <c r="AR1862" s="200">
        <f t="shared" si="9401"/>
        <v>0</v>
      </c>
      <c r="AS1862" s="200">
        <f t="shared" si="9401"/>
        <v>0</v>
      </c>
      <c r="AT1862" s="173">
        <v>0.0</v>
      </c>
      <c r="AU1862" s="200">
        <f t="shared" ref="AU1862:AX1862" si="9402">countif($D1862,"*"&amp;AU$2&amp;"*")</f>
        <v>0</v>
      </c>
      <c r="AV1862" s="200">
        <f t="shared" si="9402"/>
        <v>1</v>
      </c>
      <c r="AW1862" s="200">
        <f t="shared" si="9402"/>
        <v>0</v>
      </c>
      <c r="AX1862" s="200">
        <f t="shared" si="9402"/>
        <v>0</v>
      </c>
      <c r="AY1862" s="202">
        <v>0.0</v>
      </c>
      <c r="AZ1862" s="200"/>
      <c r="BA1862" s="171" t="str">
        <f t="shared" si="18"/>
        <v/>
      </c>
      <c r="BB1862" s="171" t="str">
        <f t="shared" si="19"/>
        <v>Code</v>
      </c>
      <c r="BC1862" s="171" t="str">
        <f t="shared" si="20"/>
        <v/>
      </c>
      <c r="BD1862" s="171" t="str">
        <f t="shared" si="21"/>
        <v/>
      </c>
      <c r="BE1862" s="171" t="str">
        <f t="shared" si="22"/>
        <v/>
      </c>
      <c r="BF1862" s="171" t="str">
        <f t="shared" si="23"/>
        <v>Code</v>
      </c>
    </row>
    <row r="1863">
      <c r="A1863" s="171">
        <f t="array" ref="A1863">XLOOKUP(C1863,FSE!A:A,FSE!C:C,"XXXXX",0,1)</f>
        <v>2018</v>
      </c>
      <c r="B1863" s="213" t="s">
        <v>5676</v>
      </c>
      <c r="C1863" s="214">
        <v>509.0</v>
      </c>
      <c r="D1863" s="215" t="s">
        <v>6475</v>
      </c>
      <c r="E1863" s="197" t="str">
        <f t="array" ref="E1863">XLOOKUP(C1863,FSE!A:A,FSE!Z:Z,"XXXXX",0,1)</f>
        <v>Not Available (2)</v>
      </c>
      <c r="F1863" s="213" t="s">
        <v>3395</v>
      </c>
      <c r="G1863" s="163" t="str">
        <f t="array" ref="G1863">IF(B1863="ICSE",IF(COUNTIFS(B:B,B1863,C:C,C1863)=XLOOKUP(C1863,ICSE!A:A,ICSE!AA:AA,"ERROR",0,1),"OK","ERROR"),IF(B1863="FSE",IF(COUNTIFS(B:B,B1863,C:C,C1863)=XLOOKUP(C1863,FSE!A:A,FSE!AA:AA,"ERROR",0,1),"OK","ERROR")))</f>
        <v>OK</v>
      </c>
      <c r="H1863" s="199">
        <f t="shared" ref="H1863:O1863" si="9403">countif($D1863,"*"&amp;H$2&amp;"*")</f>
        <v>0</v>
      </c>
      <c r="I1863" s="200">
        <f t="shared" si="9403"/>
        <v>0</v>
      </c>
      <c r="J1863" s="200">
        <f t="shared" si="9403"/>
        <v>0</v>
      </c>
      <c r="K1863" s="200">
        <f t="shared" si="9403"/>
        <v>0</v>
      </c>
      <c r="L1863" s="200">
        <f t="shared" si="9403"/>
        <v>0</v>
      </c>
      <c r="M1863" s="200">
        <f t="shared" si="9403"/>
        <v>0</v>
      </c>
      <c r="N1863" s="200">
        <f t="shared" si="9403"/>
        <v>0</v>
      </c>
      <c r="O1863" s="200">
        <f t="shared" si="9403"/>
        <v>0</v>
      </c>
      <c r="P1863" s="200">
        <f t="shared" si="9"/>
        <v>0</v>
      </c>
      <c r="Q1863" s="200">
        <f t="shared" ref="Q1863:AC1863" si="9404">countif($D1863,"*"&amp;Q$2&amp;"*")</f>
        <v>0</v>
      </c>
      <c r="R1863" s="200">
        <f t="shared" si="9404"/>
        <v>0</v>
      </c>
      <c r="S1863" s="200">
        <f t="shared" si="9404"/>
        <v>0</v>
      </c>
      <c r="T1863" s="200">
        <f t="shared" si="9404"/>
        <v>0</v>
      </c>
      <c r="U1863" s="200">
        <f t="shared" si="9404"/>
        <v>0</v>
      </c>
      <c r="V1863" s="200">
        <f t="shared" si="9404"/>
        <v>0</v>
      </c>
      <c r="W1863" s="200">
        <f t="shared" si="9404"/>
        <v>0</v>
      </c>
      <c r="X1863" s="200">
        <f t="shared" si="9404"/>
        <v>0</v>
      </c>
      <c r="Y1863" s="200">
        <f t="shared" si="9404"/>
        <v>0</v>
      </c>
      <c r="Z1863" s="200">
        <f t="shared" si="9404"/>
        <v>0</v>
      </c>
      <c r="AA1863" s="200">
        <f t="shared" si="9404"/>
        <v>0</v>
      </c>
      <c r="AB1863" s="200">
        <f t="shared" si="9404"/>
        <v>0</v>
      </c>
      <c r="AC1863" s="200">
        <f t="shared" si="9404"/>
        <v>0</v>
      </c>
      <c r="AD1863" s="200">
        <f t="shared" si="11"/>
        <v>0</v>
      </c>
      <c r="AE1863" s="200">
        <f t="shared" ref="AE1863:AG1863" si="9405">countif($D1863,"*"&amp;AE$2&amp;"*")</f>
        <v>0</v>
      </c>
      <c r="AF1863" s="200">
        <f t="shared" si="9405"/>
        <v>0</v>
      </c>
      <c r="AG1863" s="200">
        <f t="shared" si="9405"/>
        <v>0</v>
      </c>
      <c r="AH1863" s="171">
        <f t="shared" si="13"/>
        <v>1</v>
      </c>
      <c r="AI1863" s="200">
        <f t="shared" si="14"/>
        <v>0</v>
      </c>
      <c r="AJ1863" s="200">
        <f t="shared" si="9270"/>
        <v>0</v>
      </c>
      <c r="AK1863" s="201">
        <f t="shared" ref="AK1863:AS1863" si="9406">countif($D1863,"*"&amp;AK$2&amp;"*")</f>
        <v>0</v>
      </c>
      <c r="AL1863" s="201">
        <f t="shared" si="9406"/>
        <v>0</v>
      </c>
      <c r="AM1863" s="201">
        <f t="shared" si="9406"/>
        <v>0</v>
      </c>
      <c r="AN1863" s="201">
        <f t="shared" si="9406"/>
        <v>0</v>
      </c>
      <c r="AO1863" s="201">
        <f t="shared" si="9406"/>
        <v>0</v>
      </c>
      <c r="AP1863" s="201">
        <f t="shared" si="9406"/>
        <v>0</v>
      </c>
      <c r="AQ1863" s="201">
        <f t="shared" si="9406"/>
        <v>0</v>
      </c>
      <c r="AR1863" s="200">
        <f t="shared" si="9406"/>
        <v>0</v>
      </c>
      <c r="AS1863" s="200">
        <f t="shared" si="9406"/>
        <v>0</v>
      </c>
      <c r="AT1863" s="173">
        <v>0.0</v>
      </c>
      <c r="AU1863" s="200">
        <f t="shared" ref="AU1863:AX1863" si="9407">countif($D1863,"*"&amp;AU$2&amp;"*")</f>
        <v>0</v>
      </c>
      <c r="AV1863" s="200">
        <f t="shared" si="9407"/>
        <v>0</v>
      </c>
      <c r="AW1863" s="200">
        <f t="shared" si="9407"/>
        <v>0</v>
      </c>
      <c r="AX1863" s="200">
        <f t="shared" si="9407"/>
        <v>0</v>
      </c>
      <c r="AY1863" s="202">
        <v>0.0</v>
      </c>
      <c r="AZ1863" s="200"/>
      <c r="BA1863" s="171" t="str">
        <f t="shared" si="18"/>
        <v/>
      </c>
      <c r="BB1863" s="171" t="str">
        <f t="shared" si="19"/>
        <v/>
      </c>
      <c r="BC1863" s="171" t="str">
        <f t="shared" si="20"/>
        <v/>
      </c>
      <c r="BD1863" s="171" t="str">
        <f t="shared" si="21"/>
        <v/>
      </c>
      <c r="BE1863" s="171" t="str">
        <f t="shared" si="22"/>
        <v>Others</v>
      </c>
      <c r="BF1863" s="171" t="str">
        <f t="shared" si="23"/>
        <v>Others</v>
      </c>
    </row>
    <row r="1864">
      <c r="A1864" s="171">
        <f t="array" ref="A1864">XLOOKUP(C1864,FSE!A:A,FSE!C:C,"XXXXX",0,1)</f>
        <v>2018</v>
      </c>
      <c r="B1864" s="213" t="s">
        <v>5676</v>
      </c>
      <c r="C1864" s="214">
        <v>509.0</v>
      </c>
      <c r="D1864" s="215" t="s">
        <v>6476</v>
      </c>
      <c r="E1864" s="197" t="str">
        <f t="array" ref="E1864">XLOOKUP(C1864,FSE!A:A,FSE!Z:Z,"XXXXX",0,1)</f>
        <v>Not Available (2)</v>
      </c>
      <c r="F1864" s="213" t="s">
        <v>3395</v>
      </c>
      <c r="G1864" s="163" t="str">
        <f t="array" ref="G1864">IF(B1864="ICSE",IF(COUNTIFS(B:B,B1864,C:C,C1864)=XLOOKUP(C1864,ICSE!A:A,ICSE!AA:AA,"ERROR",0,1),"OK","ERROR"),IF(B1864="FSE",IF(COUNTIFS(B:B,B1864,C:C,C1864)=XLOOKUP(C1864,FSE!A:A,FSE!AA:AA,"ERROR",0,1),"OK","ERROR")))</f>
        <v>OK</v>
      </c>
      <c r="H1864" s="199">
        <f t="shared" ref="H1864:O1864" si="9408">countif($D1864,"*"&amp;H$2&amp;"*")</f>
        <v>0</v>
      </c>
      <c r="I1864" s="200">
        <f t="shared" si="9408"/>
        <v>0</v>
      </c>
      <c r="J1864" s="200">
        <f t="shared" si="9408"/>
        <v>0</v>
      </c>
      <c r="K1864" s="200">
        <f t="shared" si="9408"/>
        <v>0</v>
      </c>
      <c r="L1864" s="200">
        <f t="shared" si="9408"/>
        <v>0</v>
      </c>
      <c r="M1864" s="200">
        <f t="shared" si="9408"/>
        <v>0</v>
      </c>
      <c r="N1864" s="200">
        <f t="shared" si="9408"/>
        <v>0</v>
      </c>
      <c r="O1864" s="200">
        <f t="shared" si="9408"/>
        <v>0</v>
      </c>
      <c r="P1864" s="200">
        <f t="shared" si="9"/>
        <v>0</v>
      </c>
      <c r="Q1864" s="200">
        <f t="shared" ref="Q1864:AC1864" si="9409">countif($D1864,"*"&amp;Q$2&amp;"*")</f>
        <v>0</v>
      </c>
      <c r="R1864" s="200">
        <f t="shared" si="9409"/>
        <v>0</v>
      </c>
      <c r="S1864" s="200">
        <f t="shared" si="9409"/>
        <v>0</v>
      </c>
      <c r="T1864" s="200">
        <f t="shared" si="9409"/>
        <v>0</v>
      </c>
      <c r="U1864" s="200">
        <f t="shared" si="9409"/>
        <v>0</v>
      </c>
      <c r="V1864" s="200">
        <f t="shared" si="9409"/>
        <v>0</v>
      </c>
      <c r="W1864" s="200">
        <f t="shared" si="9409"/>
        <v>0</v>
      </c>
      <c r="X1864" s="200">
        <f t="shared" si="9409"/>
        <v>0</v>
      </c>
      <c r="Y1864" s="200">
        <f t="shared" si="9409"/>
        <v>0</v>
      </c>
      <c r="Z1864" s="200">
        <f t="shared" si="9409"/>
        <v>0</v>
      </c>
      <c r="AA1864" s="200">
        <f t="shared" si="9409"/>
        <v>0</v>
      </c>
      <c r="AB1864" s="200">
        <f t="shared" si="9409"/>
        <v>0</v>
      </c>
      <c r="AC1864" s="200">
        <f t="shared" si="9409"/>
        <v>0</v>
      </c>
      <c r="AD1864" s="200">
        <f t="shared" si="11"/>
        <v>0</v>
      </c>
      <c r="AE1864" s="200">
        <f t="shared" ref="AE1864:AG1864" si="9410">countif($D1864,"*"&amp;AE$2&amp;"*")</f>
        <v>0</v>
      </c>
      <c r="AF1864" s="200">
        <f t="shared" si="9410"/>
        <v>0</v>
      </c>
      <c r="AG1864" s="200">
        <f t="shared" si="9410"/>
        <v>0</v>
      </c>
      <c r="AH1864" s="171">
        <f t="shared" si="13"/>
        <v>1</v>
      </c>
      <c r="AI1864" s="200">
        <f t="shared" si="14"/>
        <v>0</v>
      </c>
      <c r="AJ1864" s="200">
        <f t="shared" si="9270"/>
        <v>0</v>
      </c>
      <c r="AK1864" s="201">
        <f t="shared" ref="AK1864:AS1864" si="9411">countif($D1864,"*"&amp;AK$2&amp;"*")</f>
        <v>0</v>
      </c>
      <c r="AL1864" s="201">
        <f t="shared" si="9411"/>
        <v>0</v>
      </c>
      <c r="AM1864" s="201">
        <f t="shared" si="9411"/>
        <v>0</v>
      </c>
      <c r="AN1864" s="201">
        <f t="shared" si="9411"/>
        <v>0</v>
      </c>
      <c r="AO1864" s="201">
        <f t="shared" si="9411"/>
        <v>0</v>
      </c>
      <c r="AP1864" s="201">
        <f t="shared" si="9411"/>
        <v>0</v>
      </c>
      <c r="AQ1864" s="201">
        <f t="shared" si="9411"/>
        <v>0</v>
      </c>
      <c r="AR1864" s="200">
        <f t="shared" si="9411"/>
        <v>0</v>
      </c>
      <c r="AS1864" s="200">
        <f t="shared" si="9411"/>
        <v>0</v>
      </c>
      <c r="AT1864" s="173">
        <v>0.0</v>
      </c>
      <c r="AU1864" s="200">
        <f t="shared" ref="AU1864:AX1864" si="9412">countif($D1864,"*"&amp;AU$2&amp;"*")</f>
        <v>0</v>
      </c>
      <c r="AV1864" s="200">
        <f t="shared" si="9412"/>
        <v>0</v>
      </c>
      <c r="AW1864" s="200">
        <f t="shared" si="9412"/>
        <v>0</v>
      </c>
      <c r="AX1864" s="200">
        <f t="shared" si="9412"/>
        <v>0</v>
      </c>
      <c r="AY1864" s="202">
        <v>0.0</v>
      </c>
      <c r="AZ1864" s="200"/>
      <c r="BA1864" s="171" t="str">
        <f t="shared" si="18"/>
        <v/>
      </c>
      <c r="BB1864" s="171" t="str">
        <f t="shared" si="19"/>
        <v/>
      </c>
      <c r="BC1864" s="171" t="str">
        <f t="shared" si="20"/>
        <v/>
      </c>
      <c r="BD1864" s="171" t="str">
        <f t="shared" si="21"/>
        <v/>
      </c>
      <c r="BE1864" s="171" t="str">
        <f t="shared" si="22"/>
        <v>Others</v>
      </c>
      <c r="BF1864" s="171" t="str">
        <f t="shared" si="23"/>
        <v>Others</v>
      </c>
    </row>
    <row r="1865">
      <c r="A1865" s="171">
        <f t="array" ref="A1865">XLOOKUP(C1865,FSE!A:A,FSE!C:C,"XXXXX",0,1)</f>
        <v>2018</v>
      </c>
      <c r="B1865" s="213" t="s">
        <v>5676</v>
      </c>
      <c r="C1865" s="214">
        <v>510.0</v>
      </c>
      <c r="D1865" s="215" t="s">
        <v>4124</v>
      </c>
      <c r="E1865" s="197" t="str">
        <f t="array" ref="E1865">XLOOKUP(C1865,FSE!A:A,FSE!Z:Z,"XXXXX",0,1)</f>
        <v>Publicly Available (1)</v>
      </c>
      <c r="F1865" s="213" t="s">
        <v>3394</v>
      </c>
      <c r="G1865" s="163" t="str">
        <f t="array" ref="G1865">IF(B1865="ICSE",IF(COUNTIFS(B:B,B1865,C:C,C1865)=XLOOKUP(C1865,ICSE!A:A,ICSE!AA:AA,"ERROR",0,1),"OK","ERROR"),IF(B1865="FSE",IF(COUNTIFS(B:B,B1865,C:C,C1865)=XLOOKUP(C1865,FSE!A:A,FSE!AA:AA,"ERROR",0,1),"OK","ERROR")))</f>
        <v>OK</v>
      </c>
      <c r="H1865" s="199">
        <f t="shared" ref="H1865:O1865" si="9413">countif($D1865,"*"&amp;H$2&amp;"*")</f>
        <v>0</v>
      </c>
      <c r="I1865" s="200">
        <f t="shared" si="9413"/>
        <v>0</v>
      </c>
      <c r="J1865" s="200">
        <f t="shared" si="9413"/>
        <v>0</v>
      </c>
      <c r="K1865" s="200">
        <f t="shared" si="9413"/>
        <v>0</v>
      </c>
      <c r="L1865" s="200">
        <f t="shared" si="9413"/>
        <v>0</v>
      </c>
      <c r="M1865" s="200">
        <f t="shared" si="9413"/>
        <v>0</v>
      </c>
      <c r="N1865" s="200">
        <f t="shared" si="9413"/>
        <v>0</v>
      </c>
      <c r="O1865" s="200">
        <f t="shared" si="9413"/>
        <v>0</v>
      </c>
      <c r="P1865" s="200">
        <f t="shared" si="9"/>
        <v>0</v>
      </c>
      <c r="Q1865" s="200">
        <f t="shared" ref="Q1865:AC1865" si="9414">countif($D1865,"*"&amp;Q$2&amp;"*")</f>
        <v>0</v>
      </c>
      <c r="R1865" s="200">
        <f t="shared" si="9414"/>
        <v>0</v>
      </c>
      <c r="S1865" s="200">
        <f t="shared" si="9414"/>
        <v>0</v>
      </c>
      <c r="T1865" s="200">
        <f t="shared" si="9414"/>
        <v>0</v>
      </c>
      <c r="U1865" s="200">
        <f t="shared" si="9414"/>
        <v>0</v>
      </c>
      <c r="V1865" s="200">
        <f t="shared" si="9414"/>
        <v>0</v>
      </c>
      <c r="W1865" s="200">
        <f t="shared" si="9414"/>
        <v>0</v>
      </c>
      <c r="X1865" s="200">
        <f t="shared" si="9414"/>
        <v>0</v>
      </c>
      <c r="Y1865" s="200">
        <f t="shared" si="9414"/>
        <v>0</v>
      </c>
      <c r="Z1865" s="200">
        <f t="shared" si="9414"/>
        <v>0</v>
      </c>
      <c r="AA1865" s="200">
        <f t="shared" si="9414"/>
        <v>0</v>
      </c>
      <c r="AB1865" s="200">
        <f t="shared" si="9414"/>
        <v>0</v>
      </c>
      <c r="AC1865" s="200">
        <f t="shared" si="9414"/>
        <v>0</v>
      </c>
      <c r="AD1865" s="200">
        <f t="shared" si="11"/>
        <v>0</v>
      </c>
      <c r="AE1865" s="200">
        <f t="shared" ref="AE1865:AG1865" si="9415">countif($D1865,"*"&amp;AE$2&amp;"*")</f>
        <v>0</v>
      </c>
      <c r="AF1865" s="200">
        <f t="shared" si="9415"/>
        <v>0</v>
      </c>
      <c r="AG1865" s="200">
        <f t="shared" si="9415"/>
        <v>0</v>
      </c>
      <c r="AH1865" s="171">
        <f t="shared" si="13"/>
        <v>1</v>
      </c>
      <c r="AI1865" s="200">
        <f t="shared" si="14"/>
        <v>0</v>
      </c>
      <c r="AJ1865" s="200">
        <f t="shared" si="9270"/>
        <v>0</v>
      </c>
      <c r="AK1865" s="201">
        <f t="shared" ref="AK1865:AS1865" si="9416">countif($D1865,"*"&amp;AK$2&amp;"*")</f>
        <v>0</v>
      </c>
      <c r="AL1865" s="201">
        <f t="shared" si="9416"/>
        <v>0</v>
      </c>
      <c r="AM1865" s="201">
        <f t="shared" si="9416"/>
        <v>0</v>
      </c>
      <c r="AN1865" s="201">
        <f t="shared" si="9416"/>
        <v>0</v>
      </c>
      <c r="AO1865" s="201">
        <f t="shared" si="9416"/>
        <v>0</v>
      </c>
      <c r="AP1865" s="201">
        <f t="shared" si="9416"/>
        <v>0</v>
      </c>
      <c r="AQ1865" s="201">
        <f t="shared" si="9416"/>
        <v>0</v>
      </c>
      <c r="AR1865" s="200">
        <f t="shared" si="9416"/>
        <v>0</v>
      </c>
      <c r="AS1865" s="200">
        <f t="shared" si="9416"/>
        <v>0</v>
      </c>
      <c r="AT1865" s="173">
        <v>0.0</v>
      </c>
      <c r="AU1865" s="200">
        <f t="shared" ref="AU1865:AX1865" si="9417">countif($D1865,"*"&amp;AU$2&amp;"*")</f>
        <v>0</v>
      </c>
      <c r="AV1865" s="200">
        <f t="shared" si="9417"/>
        <v>0</v>
      </c>
      <c r="AW1865" s="200">
        <f t="shared" si="9417"/>
        <v>0</v>
      </c>
      <c r="AX1865" s="200">
        <f t="shared" si="9417"/>
        <v>0</v>
      </c>
      <c r="AY1865" s="202">
        <v>0.0</v>
      </c>
      <c r="AZ1865" s="200"/>
      <c r="BA1865" s="171" t="str">
        <f t="shared" si="18"/>
        <v/>
      </c>
      <c r="BB1865" s="171" t="str">
        <f t="shared" si="19"/>
        <v/>
      </c>
      <c r="BC1865" s="171" t="str">
        <f t="shared" si="20"/>
        <v/>
      </c>
      <c r="BD1865" s="171" t="str">
        <f t="shared" si="21"/>
        <v/>
      </c>
      <c r="BE1865" s="171" t="str">
        <f t="shared" si="22"/>
        <v>Others</v>
      </c>
      <c r="BF1865" s="171" t="str">
        <f t="shared" si="23"/>
        <v>Others</v>
      </c>
    </row>
    <row r="1866">
      <c r="A1866" s="171">
        <f t="array" ref="A1866">XLOOKUP(C1866,FSE!A:A,FSE!C:C,"XXXXX",0,1)</f>
        <v>2018</v>
      </c>
      <c r="B1866" s="213" t="s">
        <v>5676</v>
      </c>
      <c r="C1866" s="214">
        <v>511.0</v>
      </c>
      <c r="D1866" s="215" t="s">
        <v>4126</v>
      </c>
      <c r="E1866" s="197" t="str">
        <f t="array" ref="E1866">XLOOKUP(C1866,FSE!A:A,FSE!Z:Z,"XXXXX",0,1)</f>
        <v>Publicly Available (1)</v>
      </c>
      <c r="F1866" s="213" t="s">
        <v>3394</v>
      </c>
      <c r="G1866" s="163" t="str">
        <f t="array" ref="G1866">IF(B1866="ICSE",IF(COUNTIFS(B:B,B1866,C:C,C1866)=XLOOKUP(C1866,ICSE!A:A,ICSE!AA:AA,"ERROR",0,1),"OK","ERROR"),IF(B1866="FSE",IF(COUNTIFS(B:B,B1866,C:C,C1866)=XLOOKUP(C1866,FSE!A:A,FSE!AA:AA,"ERROR",0,1),"OK","ERROR")))</f>
        <v>OK</v>
      </c>
      <c r="H1866" s="199">
        <f t="shared" ref="H1866:O1866" si="9418">countif($D1866,"*"&amp;H$2&amp;"*")</f>
        <v>0</v>
      </c>
      <c r="I1866" s="200">
        <f t="shared" si="9418"/>
        <v>0</v>
      </c>
      <c r="J1866" s="200">
        <f t="shared" si="9418"/>
        <v>0</v>
      </c>
      <c r="K1866" s="200">
        <f t="shared" si="9418"/>
        <v>0</v>
      </c>
      <c r="L1866" s="200">
        <f t="shared" si="9418"/>
        <v>0</v>
      </c>
      <c r="M1866" s="200">
        <f t="shared" si="9418"/>
        <v>0</v>
      </c>
      <c r="N1866" s="200">
        <f t="shared" si="9418"/>
        <v>0</v>
      </c>
      <c r="O1866" s="200">
        <f t="shared" si="9418"/>
        <v>0</v>
      </c>
      <c r="P1866" s="200">
        <f t="shared" si="9"/>
        <v>1</v>
      </c>
      <c r="Q1866" s="200">
        <f t="shared" ref="Q1866:AC1866" si="9419">countif($D1866,"*"&amp;Q$2&amp;"*")</f>
        <v>0</v>
      </c>
      <c r="R1866" s="200">
        <f t="shared" si="9419"/>
        <v>0</v>
      </c>
      <c r="S1866" s="200">
        <f t="shared" si="9419"/>
        <v>0</v>
      </c>
      <c r="T1866" s="200">
        <f t="shared" si="9419"/>
        <v>0</v>
      </c>
      <c r="U1866" s="200">
        <f t="shared" si="9419"/>
        <v>0</v>
      </c>
      <c r="V1866" s="200">
        <f t="shared" si="9419"/>
        <v>0</v>
      </c>
      <c r="W1866" s="200">
        <f t="shared" si="9419"/>
        <v>0</v>
      </c>
      <c r="X1866" s="200">
        <f t="shared" si="9419"/>
        <v>0</v>
      </c>
      <c r="Y1866" s="200">
        <f t="shared" si="9419"/>
        <v>0</v>
      </c>
      <c r="Z1866" s="200">
        <f t="shared" si="9419"/>
        <v>0</v>
      </c>
      <c r="AA1866" s="200">
        <f t="shared" si="9419"/>
        <v>0</v>
      </c>
      <c r="AB1866" s="200">
        <f t="shared" si="9419"/>
        <v>0</v>
      </c>
      <c r="AC1866" s="200">
        <f t="shared" si="9419"/>
        <v>0</v>
      </c>
      <c r="AD1866" s="200">
        <f t="shared" si="11"/>
        <v>0</v>
      </c>
      <c r="AE1866" s="200">
        <f t="shared" ref="AE1866:AG1866" si="9420">countif($D1866,"*"&amp;AE$2&amp;"*")</f>
        <v>0</v>
      </c>
      <c r="AF1866" s="200">
        <f t="shared" si="9420"/>
        <v>0</v>
      </c>
      <c r="AG1866" s="200">
        <f t="shared" si="9420"/>
        <v>0</v>
      </c>
      <c r="AH1866" s="171">
        <f t="shared" si="13"/>
        <v>0</v>
      </c>
      <c r="AI1866" s="200">
        <f t="shared" si="14"/>
        <v>0</v>
      </c>
      <c r="AJ1866" s="200">
        <f t="shared" si="9270"/>
        <v>0</v>
      </c>
      <c r="AK1866" s="201">
        <f t="shared" ref="AK1866:AS1866" si="9421">countif($D1866,"*"&amp;AK$2&amp;"*")</f>
        <v>0</v>
      </c>
      <c r="AL1866" s="201">
        <f t="shared" si="9421"/>
        <v>0</v>
      </c>
      <c r="AM1866" s="201">
        <f t="shared" si="9421"/>
        <v>0</v>
      </c>
      <c r="AN1866" s="201">
        <f t="shared" si="9421"/>
        <v>0</v>
      </c>
      <c r="AO1866" s="201">
        <f t="shared" si="9421"/>
        <v>0</v>
      </c>
      <c r="AP1866" s="201">
        <f t="shared" si="9421"/>
        <v>0</v>
      </c>
      <c r="AQ1866" s="201">
        <f t="shared" si="9421"/>
        <v>0</v>
      </c>
      <c r="AR1866" s="200">
        <f t="shared" si="9421"/>
        <v>0</v>
      </c>
      <c r="AS1866" s="200">
        <f t="shared" si="9421"/>
        <v>0</v>
      </c>
      <c r="AT1866" s="173">
        <v>0.0</v>
      </c>
      <c r="AU1866" s="200">
        <f t="shared" ref="AU1866:AX1866" si="9422">countif($D1866,"*"&amp;AU$2&amp;"*")</f>
        <v>0</v>
      </c>
      <c r="AV1866" s="200">
        <f t="shared" si="9422"/>
        <v>1</v>
      </c>
      <c r="AW1866" s="200">
        <f t="shared" si="9422"/>
        <v>0</v>
      </c>
      <c r="AX1866" s="200">
        <f t="shared" si="9422"/>
        <v>0</v>
      </c>
      <c r="AY1866" s="202">
        <v>0.0</v>
      </c>
      <c r="AZ1866" s="200"/>
      <c r="BA1866" s="171" t="str">
        <f t="shared" si="18"/>
        <v/>
      </c>
      <c r="BB1866" s="171" t="str">
        <f t="shared" si="19"/>
        <v>Code</v>
      </c>
      <c r="BC1866" s="171" t="str">
        <f t="shared" si="20"/>
        <v/>
      </c>
      <c r="BD1866" s="171" t="str">
        <f t="shared" si="21"/>
        <v/>
      </c>
      <c r="BE1866" s="171" t="str">
        <f t="shared" si="22"/>
        <v/>
      </c>
      <c r="BF1866" s="171" t="str">
        <f t="shared" si="23"/>
        <v>Code</v>
      </c>
    </row>
    <row r="1867">
      <c r="A1867" s="171">
        <f t="array" ref="A1867">XLOOKUP(C1867,FSE!A:A,FSE!C:C,"XXXXX",0,1)</f>
        <v>2018</v>
      </c>
      <c r="B1867" s="213" t="s">
        <v>5676</v>
      </c>
      <c r="C1867" s="214">
        <v>512.0</v>
      </c>
      <c r="D1867" s="215" t="s">
        <v>4129</v>
      </c>
      <c r="E1867" s="197" t="str">
        <f t="array" ref="E1867">XLOOKUP(C1867,FSE!A:A,FSE!Z:Z,"XXXXX",0,1)</f>
        <v>Publicly Available (1)</v>
      </c>
      <c r="F1867" s="213" t="s">
        <v>3394</v>
      </c>
      <c r="G1867" s="163" t="str">
        <f t="array" ref="G1867">IF(B1867="ICSE",IF(COUNTIFS(B:B,B1867,C:C,C1867)=XLOOKUP(C1867,ICSE!A:A,ICSE!AA:AA,"ERROR",0,1),"OK","ERROR"),IF(B1867="FSE",IF(COUNTIFS(B:B,B1867,C:C,C1867)=XLOOKUP(C1867,FSE!A:A,FSE!AA:AA,"ERROR",0,1),"OK","ERROR")))</f>
        <v>OK</v>
      </c>
      <c r="H1867" s="199">
        <f t="shared" ref="H1867:O1867" si="9423">countif($D1867,"*"&amp;H$2&amp;"*")</f>
        <v>0</v>
      </c>
      <c r="I1867" s="200">
        <f t="shared" si="9423"/>
        <v>0</v>
      </c>
      <c r="J1867" s="200">
        <f t="shared" si="9423"/>
        <v>0</v>
      </c>
      <c r="K1867" s="200">
        <f t="shared" si="9423"/>
        <v>0</v>
      </c>
      <c r="L1867" s="200">
        <f t="shared" si="9423"/>
        <v>0</v>
      </c>
      <c r="M1867" s="200">
        <f t="shared" si="9423"/>
        <v>0</v>
      </c>
      <c r="N1867" s="200">
        <f t="shared" si="9423"/>
        <v>0</v>
      </c>
      <c r="O1867" s="200">
        <f t="shared" si="9423"/>
        <v>0</v>
      </c>
      <c r="P1867" s="200">
        <f t="shared" si="9"/>
        <v>1</v>
      </c>
      <c r="Q1867" s="200">
        <f t="shared" ref="Q1867:AC1867" si="9424">countif($D1867,"*"&amp;Q$2&amp;"*")</f>
        <v>0</v>
      </c>
      <c r="R1867" s="200">
        <f t="shared" si="9424"/>
        <v>0</v>
      </c>
      <c r="S1867" s="200">
        <f t="shared" si="9424"/>
        <v>0</v>
      </c>
      <c r="T1867" s="200">
        <f t="shared" si="9424"/>
        <v>0</v>
      </c>
      <c r="U1867" s="200">
        <f t="shared" si="9424"/>
        <v>0</v>
      </c>
      <c r="V1867" s="200">
        <f t="shared" si="9424"/>
        <v>0</v>
      </c>
      <c r="W1867" s="200">
        <f t="shared" si="9424"/>
        <v>0</v>
      </c>
      <c r="X1867" s="200">
        <f t="shared" si="9424"/>
        <v>0</v>
      </c>
      <c r="Y1867" s="200">
        <f t="shared" si="9424"/>
        <v>0</v>
      </c>
      <c r="Z1867" s="200">
        <f t="shared" si="9424"/>
        <v>0</v>
      </c>
      <c r="AA1867" s="200">
        <f t="shared" si="9424"/>
        <v>0</v>
      </c>
      <c r="AB1867" s="200">
        <f t="shared" si="9424"/>
        <v>0</v>
      </c>
      <c r="AC1867" s="200">
        <f t="shared" si="9424"/>
        <v>0</v>
      </c>
      <c r="AD1867" s="200">
        <f t="shared" si="11"/>
        <v>0</v>
      </c>
      <c r="AE1867" s="200">
        <f t="shared" ref="AE1867:AG1867" si="9425">countif($D1867,"*"&amp;AE$2&amp;"*")</f>
        <v>0</v>
      </c>
      <c r="AF1867" s="200">
        <f t="shared" si="9425"/>
        <v>0</v>
      </c>
      <c r="AG1867" s="200">
        <f t="shared" si="9425"/>
        <v>0</v>
      </c>
      <c r="AH1867" s="171">
        <f t="shared" si="13"/>
        <v>0</v>
      </c>
      <c r="AI1867" s="200">
        <f t="shared" si="14"/>
        <v>0</v>
      </c>
      <c r="AJ1867" s="200">
        <f t="shared" si="9270"/>
        <v>0</v>
      </c>
      <c r="AK1867" s="201">
        <f t="shared" ref="AK1867:AS1867" si="9426">countif($D1867,"*"&amp;AK$2&amp;"*")</f>
        <v>0</v>
      </c>
      <c r="AL1867" s="201">
        <f t="shared" si="9426"/>
        <v>0</v>
      </c>
      <c r="AM1867" s="201">
        <f t="shared" si="9426"/>
        <v>0</v>
      </c>
      <c r="AN1867" s="201">
        <f t="shared" si="9426"/>
        <v>0</v>
      </c>
      <c r="AO1867" s="201">
        <f t="shared" si="9426"/>
        <v>0</v>
      </c>
      <c r="AP1867" s="201">
        <f t="shared" si="9426"/>
        <v>0</v>
      </c>
      <c r="AQ1867" s="201">
        <f t="shared" si="9426"/>
        <v>0</v>
      </c>
      <c r="AR1867" s="200">
        <f t="shared" si="9426"/>
        <v>0</v>
      </c>
      <c r="AS1867" s="200">
        <f t="shared" si="9426"/>
        <v>0</v>
      </c>
      <c r="AT1867" s="173">
        <v>0.0</v>
      </c>
      <c r="AU1867" s="200">
        <f t="shared" ref="AU1867:AX1867" si="9427">countif($D1867,"*"&amp;AU$2&amp;"*")</f>
        <v>0</v>
      </c>
      <c r="AV1867" s="200">
        <f t="shared" si="9427"/>
        <v>1</v>
      </c>
      <c r="AW1867" s="200">
        <f t="shared" si="9427"/>
        <v>0</v>
      </c>
      <c r="AX1867" s="200">
        <f t="shared" si="9427"/>
        <v>0</v>
      </c>
      <c r="AY1867" s="202">
        <v>0.0</v>
      </c>
      <c r="AZ1867" s="200"/>
      <c r="BA1867" s="171" t="str">
        <f t="shared" si="18"/>
        <v/>
      </c>
      <c r="BB1867" s="171" t="str">
        <f t="shared" si="19"/>
        <v>Code</v>
      </c>
      <c r="BC1867" s="171" t="str">
        <f t="shared" si="20"/>
        <v/>
      </c>
      <c r="BD1867" s="171" t="str">
        <f t="shared" si="21"/>
        <v/>
      </c>
      <c r="BE1867" s="171" t="str">
        <f t="shared" si="22"/>
        <v/>
      </c>
      <c r="BF1867" s="171" t="str">
        <f t="shared" si="23"/>
        <v>Code</v>
      </c>
    </row>
    <row r="1868">
      <c r="A1868" s="171">
        <f t="array" ref="A1868">XLOOKUP(C1868,FSE!A:A,FSE!C:C,"XXXXX",0,1)</f>
        <v>2018</v>
      </c>
      <c r="B1868" s="213" t="s">
        <v>5676</v>
      </c>
      <c r="C1868" s="219">
        <v>513.0</v>
      </c>
      <c r="D1868" s="226" t="s">
        <v>6477</v>
      </c>
      <c r="E1868" s="197" t="str">
        <f t="array" ref="E1868">XLOOKUP(C1868,FSE!A:A,FSE!Z:Z,"XXXXX",0,1)</f>
        <v>Publicly Available (4)</v>
      </c>
      <c r="F1868" s="213" t="s">
        <v>3394</v>
      </c>
      <c r="G1868" s="163" t="str">
        <f t="array" ref="G1868">IF(B1868="ICSE",IF(COUNTIFS(B:B,B1868,C:C,C1868)=XLOOKUP(C1868,ICSE!A:A,ICSE!AA:AA,"ERROR",0,1),"OK","ERROR"),IF(B1868="FSE",IF(COUNTIFS(B:B,B1868,C:C,C1868)=XLOOKUP(C1868,FSE!A:A,FSE!AA:AA,"ERROR",0,1),"OK","ERROR")))</f>
        <v>OK</v>
      </c>
      <c r="H1868" s="199">
        <f t="shared" ref="H1868:O1868" si="9428">countif($D1868,"*"&amp;H$2&amp;"*")</f>
        <v>1</v>
      </c>
      <c r="I1868" s="200">
        <f t="shared" si="9428"/>
        <v>0</v>
      </c>
      <c r="J1868" s="200">
        <f t="shared" si="9428"/>
        <v>0</v>
      </c>
      <c r="K1868" s="200">
        <f t="shared" si="9428"/>
        <v>0</v>
      </c>
      <c r="L1868" s="200">
        <f t="shared" si="9428"/>
        <v>0</v>
      </c>
      <c r="M1868" s="200">
        <f t="shared" si="9428"/>
        <v>0</v>
      </c>
      <c r="N1868" s="200">
        <f t="shared" si="9428"/>
        <v>0</v>
      </c>
      <c r="O1868" s="200">
        <f t="shared" si="9428"/>
        <v>0</v>
      </c>
      <c r="P1868" s="200">
        <f t="shared" si="9"/>
        <v>0</v>
      </c>
      <c r="Q1868" s="200">
        <f t="shared" ref="Q1868:AC1868" si="9429">countif($D1868,"*"&amp;Q$2&amp;"*")</f>
        <v>0</v>
      </c>
      <c r="R1868" s="200">
        <f t="shared" si="9429"/>
        <v>0</v>
      </c>
      <c r="S1868" s="200">
        <f t="shared" si="9429"/>
        <v>0</v>
      </c>
      <c r="T1868" s="200">
        <f t="shared" si="9429"/>
        <v>0</v>
      </c>
      <c r="U1868" s="200">
        <f t="shared" si="9429"/>
        <v>0</v>
      </c>
      <c r="V1868" s="200">
        <f t="shared" si="9429"/>
        <v>0</v>
      </c>
      <c r="W1868" s="200">
        <f t="shared" si="9429"/>
        <v>0</v>
      </c>
      <c r="X1868" s="200">
        <f t="shared" si="9429"/>
        <v>0</v>
      </c>
      <c r="Y1868" s="200">
        <f t="shared" si="9429"/>
        <v>0</v>
      </c>
      <c r="Z1868" s="200">
        <f t="shared" si="9429"/>
        <v>0</v>
      </c>
      <c r="AA1868" s="200">
        <f t="shared" si="9429"/>
        <v>0</v>
      </c>
      <c r="AB1868" s="200">
        <f t="shared" si="9429"/>
        <v>0</v>
      </c>
      <c r="AC1868" s="200">
        <f t="shared" si="9429"/>
        <v>0</v>
      </c>
      <c r="AD1868" s="200">
        <f t="shared" si="11"/>
        <v>0</v>
      </c>
      <c r="AE1868" s="200">
        <f t="shared" ref="AE1868:AG1868" si="9430">countif($D1868,"*"&amp;AE$2&amp;"*")</f>
        <v>0</v>
      </c>
      <c r="AF1868" s="200">
        <f t="shared" si="9430"/>
        <v>0</v>
      </c>
      <c r="AG1868" s="200">
        <f t="shared" si="9430"/>
        <v>0</v>
      </c>
      <c r="AH1868" s="171">
        <f t="shared" si="13"/>
        <v>0</v>
      </c>
      <c r="AI1868" s="200">
        <f t="shared" si="14"/>
        <v>1</v>
      </c>
      <c r="AJ1868" s="200">
        <f t="shared" si="9270"/>
        <v>0</v>
      </c>
      <c r="AK1868" s="201">
        <f t="shared" ref="AK1868:AS1868" si="9431">countif($D1868,"*"&amp;AK$2&amp;"*")</f>
        <v>0</v>
      </c>
      <c r="AL1868" s="201">
        <f t="shared" si="9431"/>
        <v>0</v>
      </c>
      <c r="AM1868" s="201">
        <f t="shared" si="9431"/>
        <v>0</v>
      </c>
      <c r="AN1868" s="201">
        <f t="shared" si="9431"/>
        <v>0</v>
      </c>
      <c r="AO1868" s="201">
        <f t="shared" si="9431"/>
        <v>0</v>
      </c>
      <c r="AP1868" s="201">
        <f t="shared" si="9431"/>
        <v>0</v>
      </c>
      <c r="AQ1868" s="201">
        <f t="shared" si="9431"/>
        <v>0</v>
      </c>
      <c r="AR1868" s="200">
        <f t="shared" si="9431"/>
        <v>0</v>
      </c>
      <c r="AS1868" s="200">
        <f t="shared" si="9431"/>
        <v>0</v>
      </c>
      <c r="AT1868" s="173">
        <v>0.0</v>
      </c>
      <c r="AU1868" s="200">
        <f t="shared" ref="AU1868:AX1868" si="9432">countif($D1868,"*"&amp;AU$2&amp;"*")</f>
        <v>0</v>
      </c>
      <c r="AV1868" s="200">
        <f t="shared" si="9432"/>
        <v>0</v>
      </c>
      <c r="AW1868" s="200">
        <f t="shared" si="9432"/>
        <v>0</v>
      </c>
      <c r="AX1868" s="200">
        <f t="shared" si="9432"/>
        <v>1</v>
      </c>
      <c r="AY1868" s="202">
        <v>0.0</v>
      </c>
      <c r="AZ1868" s="200"/>
      <c r="BA1868" s="171" t="str">
        <f t="shared" si="18"/>
        <v>Archival</v>
      </c>
      <c r="BB1868" s="171" t="str">
        <f t="shared" si="19"/>
        <v/>
      </c>
      <c r="BC1868" s="171" t="str">
        <f t="shared" si="20"/>
        <v/>
      </c>
      <c r="BD1868" s="171" t="str">
        <f t="shared" si="21"/>
        <v/>
      </c>
      <c r="BE1868" s="171" t="str">
        <f t="shared" si="22"/>
        <v/>
      </c>
      <c r="BF1868" s="171" t="str">
        <f t="shared" si="23"/>
        <v>Archival</v>
      </c>
    </row>
    <row r="1869">
      <c r="A1869" s="171">
        <f t="array" ref="A1869">XLOOKUP(C1869,FSE!A:A,FSE!C:C,"XXXXX",0,1)</f>
        <v>2018</v>
      </c>
      <c r="B1869" s="213" t="s">
        <v>5676</v>
      </c>
      <c r="C1869" s="214">
        <v>513.0</v>
      </c>
      <c r="D1869" s="215" t="s">
        <v>6478</v>
      </c>
      <c r="E1869" s="197" t="str">
        <f t="array" ref="E1869">XLOOKUP(C1869,FSE!A:A,FSE!Z:Z,"XXXXX",0,1)</f>
        <v>Publicly Available (4)</v>
      </c>
      <c r="F1869" s="213" t="s">
        <v>3394</v>
      </c>
      <c r="G1869" s="163" t="str">
        <f t="array" ref="G1869">IF(B1869="ICSE",IF(COUNTIFS(B:B,B1869,C:C,C1869)=XLOOKUP(C1869,ICSE!A:A,ICSE!AA:AA,"ERROR",0,1),"OK","ERROR"),IF(B1869="FSE",IF(COUNTIFS(B:B,B1869,C:C,C1869)=XLOOKUP(C1869,FSE!A:A,FSE!AA:AA,"ERROR",0,1),"OK","ERROR")))</f>
        <v>OK</v>
      </c>
      <c r="H1869" s="199">
        <f t="shared" ref="H1869:O1869" si="9433">countif($D1869,"*"&amp;H$2&amp;"*")</f>
        <v>0</v>
      </c>
      <c r="I1869" s="200">
        <f t="shared" si="9433"/>
        <v>0</v>
      </c>
      <c r="J1869" s="200">
        <f t="shared" si="9433"/>
        <v>0</v>
      </c>
      <c r="K1869" s="200">
        <f t="shared" si="9433"/>
        <v>0</v>
      </c>
      <c r="L1869" s="200">
        <f t="shared" si="9433"/>
        <v>0</v>
      </c>
      <c r="M1869" s="200">
        <f t="shared" si="9433"/>
        <v>0</v>
      </c>
      <c r="N1869" s="200">
        <f t="shared" si="9433"/>
        <v>0</v>
      </c>
      <c r="O1869" s="200">
        <f t="shared" si="9433"/>
        <v>0</v>
      </c>
      <c r="P1869" s="200">
        <f t="shared" si="9"/>
        <v>1</v>
      </c>
      <c r="Q1869" s="200">
        <f t="shared" ref="Q1869:AC1869" si="9434">countif($D1869,"*"&amp;Q$2&amp;"*")</f>
        <v>0</v>
      </c>
      <c r="R1869" s="200">
        <f t="shared" si="9434"/>
        <v>0</v>
      </c>
      <c r="S1869" s="200">
        <f t="shared" si="9434"/>
        <v>0</v>
      </c>
      <c r="T1869" s="200">
        <f t="shared" si="9434"/>
        <v>0</v>
      </c>
      <c r="U1869" s="200">
        <f t="shared" si="9434"/>
        <v>0</v>
      </c>
      <c r="V1869" s="200">
        <f t="shared" si="9434"/>
        <v>0</v>
      </c>
      <c r="W1869" s="200">
        <f t="shared" si="9434"/>
        <v>0</v>
      </c>
      <c r="X1869" s="200">
        <f t="shared" si="9434"/>
        <v>0</v>
      </c>
      <c r="Y1869" s="200">
        <f t="shared" si="9434"/>
        <v>0</v>
      </c>
      <c r="Z1869" s="200">
        <f t="shared" si="9434"/>
        <v>0</v>
      </c>
      <c r="AA1869" s="200">
        <f t="shared" si="9434"/>
        <v>0</v>
      </c>
      <c r="AB1869" s="200">
        <f t="shared" si="9434"/>
        <v>0</v>
      </c>
      <c r="AC1869" s="200">
        <f t="shared" si="9434"/>
        <v>0</v>
      </c>
      <c r="AD1869" s="200">
        <f t="shared" si="11"/>
        <v>0</v>
      </c>
      <c r="AE1869" s="200">
        <f t="shared" ref="AE1869:AG1869" si="9435">countif($D1869,"*"&amp;AE$2&amp;"*")</f>
        <v>0</v>
      </c>
      <c r="AF1869" s="200">
        <f t="shared" si="9435"/>
        <v>0</v>
      </c>
      <c r="AG1869" s="200">
        <f t="shared" si="9435"/>
        <v>0</v>
      </c>
      <c r="AH1869" s="171">
        <f t="shared" si="13"/>
        <v>0</v>
      </c>
      <c r="AI1869" s="200">
        <f t="shared" si="14"/>
        <v>0</v>
      </c>
      <c r="AJ1869" s="200">
        <f t="shared" si="9270"/>
        <v>0</v>
      </c>
      <c r="AK1869" s="201">
        <f t="shared" ref="AK1869:AS1869" si="9436">countif($D1869,"*"&amp;AK$2&amp;"*")</f>
        <v>0</v>
      </c>
      <c r="AL1869" s="201">
        <f t="shared" si="9436"/>
        <v>0</v>
      </c>
      <c r="AM1869" s="201">
        <f t="shared" si="9436"/>
        <v>0</v>
      </c>
      <c r="AN1869" s="201">
        <f t="shared" si="9436"/>
        <v>0</v>
      </c>
      <c r="AO1869" s="201">
        <f t="shared" si="9436"/>
        <v>0</v>
      </c>
      <c r="AP1869" s="201">
        <f t="shared" si="9436"/>
        <v>0</v>
      </c>
      <c r="AQ1869" s="201">
        <f t="shared" si="9436"/>
        <v>0</v>
      </c>
      <c r="AR1869" s="200">
        <f t="shared" si="9436"/>
        <v>0</v>
      </c>
      <c r="AS1869" s="200">
        <f t="shared" si="9436"/>
        <v>0</v>
      </c>
      <c r="AT1869" s="173">
        <v>0.0</v>
      </c>
      <c r="AU1869" s="200">
        <f t="shared" ref="AU1869:AX1869" si="9437">countif($D1869,"*"&amp;AU$2&amp;"*")</f>
        <v>0</v>
      </c>
      <c r="AV1869" s="200">
        <f t="shared" si="9437"/>
        <v>1</v>
      </c>
      <c r="AW1869" s="200">
        <f t="shared" si="9437"/>
        <v>0</v>
      </c>
      <c r="AX1869" s="200">
        <f t="shared" si="9437"/>
        <v>0</v>
      </c>
      <c r="AY1869" s="202">
        <v>0.0</v>
      </c>
      <c r="AZ1869" s="200"/>
      <c r="BA1869" s="171" t="str">
        <f t="shared" si="18"/>
        <v/>
      </c>
      <c r="BB1869" s="171" t="str">
        <f t="shared" si="19"/>
        <v>Code</v>
      </c>
      <c r="BC1869" s="171" t="str">
        <f t="shared" si="20"/>
        <v/>
      </c>
      <c r="BD1869" s="171" t="str">
        <f t="shared" si="21"/>
        <v/>
      </c>
      <c r="BE1869" s="171" t="str">
        <f t="shared" si="22"/>
        <v/>
      </c>
      <c r="BF1869" s="171" t="str">
        <f t="shared" si="23"/>
        <v>Code</v>
      </c>
    </row>
    <row r="1870">
      <c r="A1870" s="171">
        <f t="array" ref="A1870">XLOOKUP(C1870,FSE!A:A,FSE!C:C,"XXXXX",0,1)</f>
        <v>2018</v>
      </c>
      <c r="B1870" s="213" t="s">
        <v>5676</v>
      </c>
      <c r="C1870" s="214">
        <v>513.0</v>
      </c>
      <c r="D1870" s="215" t="s">
        <v>6479</v>
      </c>
      <c r="E1870" s="197" t="str">
        <f t="array" ref="E1870">XLOOKUP(C1870,FSE!A:A,FSE!Z:Z,"XXXXX",0,1)</f>
        <v>Publicly Available (4)</v>
      </c>
      <c r="F1870" s="213" t="s">
        <v>3394</v>
      </c>
      <c r="G1870" s="163" t="str">
        <f t="array" ref="G1870">IF(B1870="ICSE",IF(COUNTIFS(B:B,B1870,C:C,C1870)=XLOOKUP(C1870,ICSE!A:A,ICSE!AA:AA,"ERROR",0,1),"OK","ERROR"),IF(B1870="FSE",IF(COUNTIFS(B:B,B1870,C:C,C1870)=XLOOKUP(C1870,FSE!A:A,FSE!AA:AA,"ERROR",0,1),"OK","ERROR")))</f>
        <v>OK</v>
      </c>
      <c r="H1870" s="199">
        <f t="shared" ref="H1870:O1870" si="9438">countif($D1870,"*"&amp;H$2&amp;"*")</f>
        <v>0</v>
      </c>
      <c r="I1870" s="200">
        <f t="shared" si="9438"/>
        <v>0</v>
      </c>
      <c r="J1870" s="200">
        <f t="shared" si="9438"/>
        <v>0</v>
      </c>
      <c r="K1870" s="200">
        <f t="shared" si="9438"/>
        <v>0</v>
      </c>
      <c r="L1870" s="200">
        <f t="shared" si="9438"/>
        <v>0</v>
      </c>
      <c r="M1870" s="200">
        <f t="shared" si="9438"/>
        <v>0</v>
      </c>
      <c r="N1870" s="200">
        <f t="shared" si="9438"/>
        <v>0</v>
      </c>
      <c r="O1870" s="200">
        <f t="shared" si="9438"/>
        <v>0</v>
      </c>
      <c r="P1870" s="200">
        <f t="shared" si="9"/>
        <v>1</v>
      </c>
      <c r="Q1870" s="200">
        <f t="shared" ref="Q1870:AC1870" si="9439">countif($D1870,"*"&amp;Q$2&amp;"*")</f>
        <v>0</v>
      </c>
      <c r="R1870" s="200">
        <f t="shared" si="9439"/>
        <v>0</v>
      </c>
      <c r="S1870" s="200">
        <f t="shared" si="9439"/>
        <v>0</v>
      </c>
      <c r="T1870" s="200">
        <f t="shared" si="9439"/>
        <v>0</v>
      </c>
      <c r="U1870" s="200">
        <f t="shared" si="9439"/>
        <v>0</v>
      </c>
      <c r="V1870" s="200">
        <f t="shared" si="9439"/>
        <v>0</v>
      </c>
      <c r="W1870" s="200">
        <f t="shared" si="9439"/>
        <v>0</v>
      </c>
      <c r="X1870" s="200">
        <f t="shared" si="9439"/>
        <v>0</v>
      </c>
      <c r="Y1870" s="200">
        <f t="shared" si="9439"/>
        <v>0</v>
      </c>
      <c r="Z1870" s="200">
        <f t="shared" si="9439"/>
        <v>0</v>
      </c>
      <c r="AA1870" s="200">
        <f t="shared" si="9439"/>
        <v>0</v>
      </c>
      <c r="AB1870" s="200">
        <f t="shared" si="9439"/>
        <v>0</v>
      </c>
      <c r="AC1870" s="200">
        <f t="shared" si="9439"/>
        <v>0</v>
      </c>
      <c r="AD1870" s="200">
        <f t="shared" si="11"/>
        <v>0</v>
      </c>
      <c r="AE1870" s="200">
        <f t="shared" ref="AE1870:AG1870" si="9440">countif($D1870,"*"&amp;AE$2&amp;"*")</f>
        <v>0</v>
      </c>
      <c r="AF1870" s="200">
        <f t="shared" si="9440"/>
        <v>0</v>
      </c>
      <c r="AG1870" s="200">
        <f t="shared" si="9440"/>
        <v>0</v>
      </c>
      <c r="AH1870" s="171">
        <f t="shared" si="13"/>
        <v>0</v>
      </c>
      <c r="AI1870" s="200">
        <f t="shared" si="14"/>
        <v>0</v>
      </c>
      <c r="AJ1870" s="200">
        <f t="shared" si="9270"/>
        <v>0</v>
      </c>
      <c r="AK1870" s="201">
        <f t="shared" ref="AK1870:AS1870" si="9441">countif($D1870,"*"&amp;AK$2&amp;"*")</f>
        <v>0</v>
      </c>
      <c r="AL1870" s="201">
        <f t="shared" si="9441"/>
        <v>0</v>
      </c>
      <c r="AM1870" s="201">
        <f t="shared" si="9441"/>
        <v>0</v>
      </c>
      <c r="AN1870" s="201">
        <f t="shared" si="9441"/>
        <v>0</v>
      </c>
      <c r="AO1870" s="201">
        <f t="shared" si="9441"/>
        <v>0</v>
      </c>
      <c r="AP1870" s="201">
        <f t="shared" si="9441"/>
        <v>0</v>
      </c>
      <c r="AQ1870" s="201">
        <f t="shared" si="9441"/>
        <v>0</v>
      </c>
      <c r="AR1870" s="200">
        <f t="shared" si="9441"/>
        <v>0</v>
      </c>
      <c r="AS1870" s="200">
        <f t="shared" si="9441"/>
        <v>0</v>
      </c>
      <c r="AT1870" s="173">
        <v>0.0</v>
      </c>
      <c r="AU1870" s="200">
        <f t="shared" ref="AU1870:AX1870" si="9442">countif($D1870,"*"&amp;AU$2&amp;"*")</f>
        <v>0</v>
      </c>
      <c r="AV1870" s="200">
        <f t="shared" si="9442"/>
        <v>1</v>
      </c>
      <c r="AW1870" s="200">
        <f t="shared" si="9442"/>
        <v>0</v>
      </c>
      <c r="AX1870" s="200">
        <f t="shared" si="9442"/>
        <v>0</v>
      </c>
      <c r="AY1870" s="202">
        <v>0.0</v>
      </c>
      <c r="AZ1870" s="200"/>
      <c r="BA1870" s="171" t="str">
        <f t="shared" si="18"/>
        <v/>
      </c>
      <c r="BB1870" s="171" t="str">
        <f t="shared" si="19"/>
        <v>Code</v>
      </c>
      <c r="BC1870" s="171" t="str">
        <f t="shared" si="20"/>
        <v/>
      </c>
      <c r="BD1870" s="171" t="str">
        <f t="shared" si="21"/>
        <v/>
      </c>
      <c r="BE1870" s="171" t="str">
        <f t="shared" si="22"/>
        <v/>
      </c>
      <c r="BF1870" s="171" t="str">
        <f t="shared" si="23"/>
        <v>Code</v>
      </c>
    </row>
    <row r="1871">
      <c r="A1871" s="171">
        <f t="array" ref="A1871">XLOOKUP(C1871,FSE!A:A,FSE!C:C,"XXXXX",0,1)</f>
        <v>2018</v>
      </c>
      <c r="B1871" s="213" t="s">
        <v>5676</v>
      </c>
      <c r="C1871" s="214">
        <v>513.0</v>
      </c>
      <c r="D1871" s="215" t="s">
        <v>6480</v>
      </c>
      <c r="E1871" s="197" t="str">
        <f t="array" ref="E1871">XLOOKUP(C1871,FSE!A:A,FSE!Z:Z,"XXXXX",0,1)</f>
        <v>Publicly Available (4)</v>
      </c>
      <c r="F1871" s="213" t="s">
        <v>3394</v>
      </c>
      <c r="G1871" s="163" t="str">
        <f t="array" ref="G1871">IF(B1871="ICSE",IF(COUNTIFS(B:B,B1871,C:C,C1871)=XLOOKUP(C1871,ICSE!A:A,ICSE!AA:AA,"ERROR",0,1),"OK","ERROR"),IF(B1871="FSE",IF(COUNTIFS(B:B,B1871,C:C,C1871)=XLOOKUP(C1871,FSE!A:A,FSE!AA:AA,"ERROR",0,1),"OK","ERROR")))</f>
        <v>OK</v>
      </c>
      <c r="H1871" s="199">
        <f t="shared" ref="H1871:O1871" si="9443">countif($D1871,"*"&amp;H$2&amp;"*")</f>
        <v>0</v>
      </c>
      <c r="I1871" s="200">
        <f t="shared" si="9443"/>
        <v>0</v>
      </c>
      <c r="J1871" s="200">
        <f t="shared" si="9443"/>
        <v>0</v>
      </c>
      <c r="K1871" s="200">
        <f t="shared" si="9443"/>
        <v>0</v>
      </c>
      <c r="L1871" s="200">
        <f t="shared" si="9443"/>
        <v>0</v>
      </c>
      <c r="M1871" s="200">
        <f t="shared" si="9443"/>
        <v>0</v>
      </c>
      <c r="N1871" s="200">
        <f t="shared" si="9443"/>
        <v>0</v>
      </c>
      <c r="O1871" s="200">
        <f t="shared" si="9443"/>
        <v>0</v>
      </c>
      <c r="P1871" s="200">
        <f t="shared" si="9"/>
        <v>1</v>
      </c>
      <c r="Q1871" s="200">
        <f t="shared" ref="Q1871:AC1871" si="9444">countif($D1871,"*"&amp;Q$2&amp;"*")</f>
        <v>0</v>
      </c>
      <c r="R1871" s="200">
        <f t="shared" si="9444"/>
        <v>0</v>
      </c>
      <c r="S1871" s="200">
        <f t="shared" si="9444"/>
        <v>0</v>
      </c>
      <c r="T1871" s="200">
        <f t="shared" si="9444"/>
        <v>0</v>
      </c>
      <c r="U1871" s="200">
        <f t="shared" si="9444"/>
        <v>0</v>
      </c>
      <c r="V1871" s="200">
        <f t="shared" si="9444"/>
        <v>0</v>
      </c>
      <c r="W1871" s="200">
        <f t="shared" si="9444"/>
        <v>0</v>
      </c>
      <c r="X1871" s="200">
        <f t="shared" si="9444"/>
        <v>0</v>
      </c>
      <c r="Y1871" s="200">
        <f t="shared" si="9444"/>
        <v>0</v>
      </c>
      <c r="Z1871" s="200">
        <f t="shared" si="9444"/>
        <v>0</v>
      </c>
      <c r="AA1871" s="200">
        <f t="shared" si="9444"/>
        <v>0</v>
      </c>
      <c r="AB1871" s="200">
        <f t="shared" si="9444"/>
        <v>0</v>
      </c>
      <c r="AC1871" s="200">
        <f t="shared" si="9444"/>
        <v>0</v>
      </c>
      <c r="AD1871" s="200">
        <f t="shared" si="11"/>
        <v>0</v>
      </c>
      <c r="AE1871" s="200">
        <f t="shared" ref="AE1871:AG1871" si="9445">countif($D1871,"*"&amp;AE$2&amp;"*")</f>
        <v>0</v>
      </c>
      <c r="AF1871" s="200">
        <f t="shared" si="9445"/>
        <v>0</v>
      </c>
      <c r="AG1871" s="200">
        <f t="shared" si="9445"/>
        <v>0</v>
      </c>
      <c r="AH1871" s="171">
        <f t="shared" si="13"/>
        <v>0</v>
      </c>
      <c r="AI1871" s="200">
        <f t="shared" si="14"/>
        <v>0</v>
      </c>
      <c r="AJ1871" s="200">
        <f t="shared" si="9270"/>
        <v>0</v>
      </c>
      <c r="AK1871" s="201">
        <f t="shared" ref="AK1871:AS1871" si="9446">countif($D1871,"*"&amp;AK$2&amp;"*")</f>
        <v>0</v>
      </c>
      <c r="AL1871" s="201">
        <f t="shared" si="9446"/>
        <v>0</v>
      </c>
      <c r="AM1871" s="201">
        <f t="shared" si="9446"/>
        <v>0</v>
      </c>
      <c r="AN1871" s="201">
        <f t="shared" si="9446"/>
        <v>0</v>
      </c>
      <c r="AO1871" s="201">
        <f t="shared" si="9446"/>
        <v>0</v>
      </c>
      <c r="AP1871" s="201">
        <f t="shared" si="9446"/>
        <v>0</v>
      </c>
      <c r="AQ1871" s="201">
        <f t="shared" si="9446"/>
        <v>0</v>
      </c>
      <c r="AR1871" s="200">
        <f t="shared" si="9446"/>
        <v>0</v>
      </c>
      <c r="AS1871" s="200">
        <f t="shared" si="9446"/>
        <v>0</v>
      </c>
      <c r="AT1871" s="173">
        <v>0.0</v>
      </c>
      <c r="AU1871" s="200">
        <f t="shared" ref="AU1871:AX1871" si="9447">countif($D1871,"*"&amp;AU$2&amp;"*")</f>
        <v>0</v>
      </c>
      <c r="AV1871" s="200">
        <f t="shared" si="9447"/>
        <v>1</v>
      </c>
      <c r="AW1871" s="200">
        <f t="shared" si="9447"/>
        <v>0</v>
      </c>
      <c r="AX1871" s="200">
        <f t="shared" si="9447"/>
        <v>0</v>
      </c>
      <c r="AY1871" s="202">
        <v>0.0</v>
      </c>
      <c r="AZ1871" s="200"/>
      <c r="BA1871" s="171" t="str">
        <f t="shared" si="18"/>
        <v/>
      </c>
      <c r="BB1871" s="171" t="str">
        <f t="shared" si="19"/>
        <v>Code</v>
      </c>
      <c r="BC1871" s="171" t="str">
        <f t="shared" si="20"/>
        <v/>
      </c>
      <c r="BD1871" s="171" t="str">
        <f t="shared" si="21"/>
        <v/>
      </c>
      <c r="BE1871" s="171" t="str">
        <f t="shared" si="22"/>
        <v/>
      </c>
      <c r="BF1871" s="171" t="str">
        <f t="shared" si="23"/>
        <v>Code</v>
      </c>
    </row>
    <row r="1872">
      <c r="A1872" s="171">
        <f t="array" ref="A1872">XLOOKUP(C1872,FSE!A:A,FSE!C:C,"XXXXX",0,1)</f>
        <v>2018</v>
      </c>
      <c r="B1872" s="213" t="s">
        <v>5676</v>
      </c>
      <c r="C1872" s="214">
        <v>514.0</v>
      </c>
      <c r="D1872" s="215" t="s">
        <v>4138</v>
      </c>
      <c r="E1872" s="197" t="str">
        <f t="array" ref="E1872">XLOOKUP(C1872,FSE!A:A,FSE!Z:Z,"XXXXX",0,1)</f>
        <v>Publicly Available (1)</v>
      </c>
      <c r="F1872" s="213" t="s">
        <v>3394</v>
      </c>
      <c r="G1872" s="163" t="str">
        <f t="array" ref="G1872">IF(B1872="ICSE",IF(COUNTIFS(B:B,B1872,C:C,C1872)=XLOOKUP(C1872,ICSE!A:A,ICSE!AA:AA,"ERROR",0,1),"OK","ERROR"),IF(B1872="FSE",IF(COUNTIFS(B:B,B1872,C:C,C1872)=XLOOKUP(C1872,FSE!A:A,FSE!AA:AA,"ERROR",0,1),"OK","ERROR")))</f>
        <v>OK</v>
      </c>
      <c r="H1872" s="199">
        <f t="shared" ref="H1872:O1872" si="9448">countif($D1872,"*"&amp;H$2&amp;"*")</f>
        <v>0</v>
      </c>
      <c r="I1872" s="200">
        <f t="shared" si="9448"/>
        <v>0</v>
      </c>
      <c r="J1872" s="200">
        <f t="shared" si="9448"/>
        <v>0</v>
      </c>
      <c r="K1872" s="200">
        <f t="shared" si="9448"/>
        <v>0</v>
      </c>
      <c r="L1872" s="200">
        <f t="shared" si="9448"/>
        <v>0</v>
      </c>
      <c r="M1872" s="200">
        <f t="shared" si="9448"/>
        <v>0</v>
      </c>
      <c r="N1872" s="200">
        <f t="shared" si="9448"/>
        <v>0</v>
      </c>
      <c r="O1872" s="200">
        <f t="shared" si="9448"/>
        <v>0</v>
      </c>
      <c r="P1872" s="200">
        <f t="shared" si="9"/>
        <v>1</v>
      </c>
      <c r="Q1872" s="200">
        <f t="shared" ref="Q1872:AC1872" si="9449">countif($D1872,"*"&amp;Q$2&amp;"*")</f>
        <v>0</v>
      </c>
      <c r="R1872" s="200">
        <f t="shared" si="9449"/>
        <v>0</v>
      </c>
      <c r="S1872" s="200">
        <f t="shared" si="9449"/>
        <v>0</v>
      </c>
      <c r="T1872" s="200">
        <f t="shared" si="9449"/>
        <v>0</v>
      </c>
      <c r="U1872" s="200">
        <f t="shared" si="9449"/>
        <v>0</v>
      </c>
      <c r="V1872" s="200">
        <f t="shared" si="9449"/>
        <v>0</v>
      </c>
      <c r="W1872" s="200">
        <f t="shared" si="9449"/>
        <v>0</v>
      </c>
      <c r="X1872" s="200">
        <f t="shared" si="9449"/>
        <v>0</v>
      </c>
      <c r="Y1872" s="200">
        <f t="shared" si="9449"/>
        <v>0</v>
      </c>
      <c r="Z1872" s="200">
        <f t="shared" si="9449"/>
        <v>0</v>
      </c>
      <c r="AA1872" s="200">
        <f t="shared" si="9449"/>
        <v>0</v>
      </c>
      <c r="AB1872" s="200">
        <f t="shared" si="9449"/>
        <v>0</v>
      </c>
      <c r="AC1872" s="200">
        <f t="shared" si="9449"/>
        <v>0</v>
      </c>
      <c r="AD1872" s="200">
        <f t="shared" si="11"/>
        <v>0</v>
      </c>
      <c r="AE1872" s="200">
        <f t="shared" ref="AE1872:AG1872" si="9450">countif($D1872,"*"&amp;AE$2&amp;"*")</f>
        <v>0</v>
      </c>
      <c r="AF1872" s="200">
        <f t="shared" si="9450"/>
        <v>0</v>
      </c>
      <c r="AG1872" s="200">
        <f t="shared" si="9450"/>
        <v>0</v>
      </c>
      <c r="AH1872" s="171">
        <f t="shared" si="13"/>
        <v>0</v>
      </c>
      <c r="AI1872" s="200">
        <f t="shared" si="14"/>
        <v>0</v>
      </c>
      <c r="AJ1872" s="200">
        <f t="shared" si="9270"/>
        <v>0</v>
      </c>
      <c r="AK1872" s="201">
        <f t="shared" ref="AK1872:AS1872" si="9451">countif($D1872,"*"&amp;AK$2&amp;"*")</f>
        <v>0</v>
      </c>
      <c r="AL1872" s="201">
        <f t="shared" si="9451"/>
        <v>0</v>
      </c>
      <c r="AM1872" s="201">
        <f t="shared" si="9451"/>
        <v>0</v>
      </c>
      <c r="AN1872" s="201">
        <f t="shared" si="9451"/>
        <v>0</v>
      </c>
      <c r="AO1872" s="201">
        <f t="shared" si="9451"/>
        <v>0</v>
      </c>
      <c r="AP1872" s="201">
        <f t="shared" si="9451"/>
        <v>0</v>
      </c>
      <c r="AQ1872" s="201">
        <f t="shared" si="9451"/>
        <v>0</v>
      </c>
      <c r="AR1872" s="200">
        <f t="shared" si="9451"/>
        <v>0</v>
      </c>
      <c r="AS1872" s="200">
        <f t="shared" si="9451"/>
        <v>0</v>
      </c>
      <c r="AT1872" s="173">
        <v>0.0</v>
      </c>
      <c r="AU1872" s="200">
        <f t="shared" ref="AU1872:AX1872" si="9452">countif($D1872,"*"&amp;AU$2&amp;"*")</f>
        <v>0</v>
      </c>
      <c r="AV1872" s="200">
        <f t="shared" si="9452"/>
        <v>1</v>
      </c>
      <c r="AW1872" s="200">
        <f t="shared" si="9452"/>
        <v>0</v>
      </c>
      <c r="AX1872" s="200">
        <f t="shared" si="9452"/>
        <v>0</v>
      </c>
      <c r="AY1872" s="202">
        <v>0.0</v>
      </c>
      <c r="AZ1872" s="200"/>
      <c r="BA1872" s="171" t="str">
        <f t="shared" si="18"/>
        <v/>
      </c>
      <c r="BB1872" s="171" t="str">
        <f t="shared" si="19"/>
        <v>Code</v>
      </c>
      <c r="BC1872" s="171" t="str">
        <f t="shared" si="20"/>
        <v/>
      </c>
      <c r="BD1872" s="171" t="str">
        <f t="shared" si="21"/>
        <v/>
      </c>
      <c r="BE1872" s="171" t="str">
        <f t="shared" si="22"/>
        <v/>
      </c>
      <c r="BF1872" s="171" t="str">
        <f t="shared" si="23"/>
        <v>Code</v>
      </c>
    </row>
    <row r="1873">
      <c r="A1873" s="171">
        <f t="array" ref="A1873">XLOOKUP(C1873,FSE!A:A,FSE!C:C,"XXXXX",0,1)</f>
        <v>2018</v>
      </c>
      <c r="B1873" s="213" t="s">
        <v>5676</v>
      </c>
      <c r="C1873" s="214">
        <v>515.0</v>
      </c>
      <c r="D1873" s="215" t="s">
        <v>4141</v>
      </c>
      <c r="E1873" s="197" t="str">
        <f t="array" ref="E1873">XLOOKUP(C1873,FSE!A:A,FSE!Z:Z,"XXXXX",0,1)</f>
        <v>Publicly Available (1)</v>
      </c>
      <c r="F1873" s="213" t="s">
        <v>3394</v>
      </c>
      <c r="G1873" s="163" t="str">
        <f t="array" ref="G1873">IF(B1873="ICSE",IF(COUNTIFS(B:B,B1873,C:C,C1873)=XLOOKUP(C1873,ICSE!A:A,ICSE!AA:AA,"ERROR",0,1),"OK","ERROR"),IF(B1873="FSE",IF(COUNTIFS(B:B,B1873,C:C,C1873)=XLOOKUP(C1873,FSE!A:A,FSE!AA:AA,"ERROR",0,1),"OK","ERROR")))</f>
        <v>OK</v>
      </c>
      <c r="H1873" s="199">
        <f t="shared" ref="H1873:O1873" si="9453">countif($D1873,"*"&amp;H$2&amp;"*")</f>
        <v>1</v>
      </c>
      <c r="I1873" s="200">
        <f t="shared" si="9453"/>
        <v>0</v>
      </c>
      <c r="J1873" s="200">
        <f t="shared" si="9453"/>
        <v>0</v>
      </c>
      <c r="K1873" s="200">
        <f t="shared" si="9453"/>
        <v>0</v>
      </c>
      <c r="L1873" s="200">
        <f t="shared" si="9453"/>
        <v>0</v>
      </c>
      <c r="M1873" s="200">
        <f t="shared" si="9453"/>
        <v>0</v>
      </c>
      <c r="N1873" s="200">
        <f t="shared" si="9453"/>
        <v>0</v>
      </c>
      <c r="O1873" s="200">
        <f t="shared" si="9453"/>
        <v>0</v>
      </c>
      <c r="P1873" s="200">
        <f t="shared" si="9"/>
        <v>0</v>
      </c>
      <c r="Q1873" s="200">
        <f t="shared" ref="Q1873:AC1873" si="9454">countif($D1873,"*"&amp;Q$2&amp;"*")</f>
        <v>0</v>
      </c>
      <c r="R1873" s="200">
        <f t="shared" si="9454"/>
        <v>0</v>
      </c>
      <c r="S1873" s="200">
        <f t="shared" si="9454"/>
        <v>0</v>
      </c>
      <c r="T1873" s="200">
        <f t="shared" si="9454"/>
        <v>0</v>
      </c>
      <c r="U1873" s="200">
        <f t="shared" si="9454"/>
        <v>0</v>
      </c>
      <c r="V1873" s="200">
        <f t="shared" si="9454"/>
        <v>0</v>
      </c>
      <c r="W1873" s="200">
        <f t="shared" si="9454"/>
        <v>0</v>
      </c>
      <c r="X1873" s="200">
        <f t="shared" si="9454"/>
        <v>0</v>
      </c>
      <c r="Y1873" s="200">
        <f t="shared" si="9454"/>
        <v>0</v>
      </c>
      <c r="Z1873" s="200">
        <f t="shared" si="9454"/>
        <v>0</v>
      </c>
      <c r="AA1873" s="200">
        <f t="shared" si="9454"/>
        <v>0</v>
      </c>
      <c r="AB1873" s="200">
        <f t="shared" si="9454"/>
        <v>0</v>
      </c>
      <c r="AC1873" s="200">
        <f t="shared" si="9454"/>
        <v>0</v>
      </c>
      <c r="AD1873" s="200">
        <f t="shared" si="11"/>
        <v>0</v>
      </c>
      <c r="AE1873" s="200">
        <f t="shared" ref="AE1873:AG1873" si="9455">countif($D1873,"*"&amp;AE$2&amp;"*")</f>
        <v>0</v>
      </c>
      <c r="AF1873" s="200">
        <f t="shared" si="9455"/>
        <v>0</v>
      </c>
      <c r="AG1873" s="200">
        <f t="shared" si="9455"/>
        <v>0</v>
      </c>
      <c r="AH1873" s="171">
        <f t="shared" si="13"/>
        <v>0</v>
      </c>
      <c r="AI1873" s="200">
        <f t="shared" si="14"/>
        <v>1</v>
      </c>
      <c r="AJ1873" s="200">
        <f t="shared" si="9270"/>
        <v>0</v>
      </c>
      <c r="AK1873" s="201">
        <f t="shared" ref="AK1873:AS1873" si="9456">countif($D1873,"*"&amp;AK$2&amp;"*")</f>
        <v>0</v>
      </c>
      <c r="AL1873" s="201">
        <f t="shared" si="9456"/>
        <v>0</v>
      </c>
      <c r="AM1873" s="201">
        <f t="shared" si="9456"/>
        <v>0</v>
      </c>
      <c r="AN1873" s="201">
        <f t="shared" si="9456"/>
        <v>0</v>
      </c>
      <c r="AO1873" s="201">
        <f t="shared" si="9456"/>
        <v>0</v>
      </c>
      <c r="AP1873" s="201">
        <f t="shared" si="9456"/>
        <v>0</v>
      </c>
      <c r="AQ1873" s="201">
        <f t="shared" si="9456"/>
        <v>0</v>
      </c>
      <c r="AR1873" s="200">
        <f t="shared" si="9456"/>
        <v>0</v>
      </c>
      <c r="AS1873" s="200">
        <f t="shared" si="9456"/>
        <v>0</v>
      </c>
      <c r="AT1873" s="173">
        <v>0.0</v>
      </c>
      <c r="AU1873" s="200">
        <f t="shared" ref="AU1873:AX1873" si="9457">countif($D1873,"*"&amp;AU$2&amp;"*")</f>
        <v>0</v>
      </c>
      <c r="AV1873" s="200">
        <f t="shared" si="9457"/>
        <v>0</v>
      </c>
      <c r="AW1873" s="200">
        <f t="shared" si="9457"/>
        <v>0</v>
      </c>
      <c r="AX1873" s="200">
        <f t="shared" si="9457"/>
        <v>1</v>
      </c>
      <c r="AY1873" s="202">
        <v>0.0</v>
      </c>
      <c r="AZ1873" s="200"/>
      <c r="BA1873" s="171" t="str">
        <f t="shared" si="18"/>
        <v>Archival</v>
      </c>
      <c r="BB1873" s="171" t="str">
        <f t="shared" si="19"/>
        <v/>
      </c>
      <c r="BC1873" s="171" t="str">
        <f t="shared" si="20"/>
        <v/>
      </c>
      <c r="BD1873" s="171" t="str">
        <f t="shared" si="21"/>
        <v/>
      </c>
      <c r="BE1873" s="171" t="str">
        <f t="shared" si="22"/>
        <v/>
      </c>
      <c r="BF1873" s="171" t="str">
        <f t="shared" si="23"/>
        <v>Archival</v>
      </c>
    </row>
    <row r="1874">
      <c r="A1874" s="171">
        <f t="array" ref="A1874">XLOOKUP(C1874,FSE!A:A,FSE!C:C,"XXXXX",0,1)</f>
        <v>2018</v>
      </c>
      <c r="B1874" s="213" t="s">
        <v>5676</v>
      </c>
      <c r="C1874" s="214">
        <v>516.0</v>
      </c>
      <c r="D1874" s="215" t="s">
        <v>4145</v>
      </c>
      <c r="E1874" s="197" t="str">
        <f t="array" ref="E1874">XLOOKUP(C1874,FSE!A:A,FSE!Z:Z,"XXXXX",0,1)</f>
        <v>Publicly Available (1)</v>
      </c>
      <c r="F1874" s="213" t="s">
        <v>3394</v>
      </c>
      <c r="G1874" s="163" t="str">
        <f t="array" ref="G1874">IF(B1874="ICSE",IF(COUNTIFS(B:B,B1874,C:C,C1874)=XLOOKUP(C1874,ICSE!A:A,ICSE!AA:AA,"ERROR",0,1),"OK","ERROR"),IF(B1874="FSE",IF(COUNTIFS(B:B,B1874,C:C,C1874)=XLOOKUP(C1874,FSE!A:A,FSE!AA:AA,"ERROR",0,1),"OK","ERROR")))</f>
        <v>OK</v>
      </c>
      <c r="H1874" s="199">
        <f t="shared" ref="H1874:O1874" si="9458">countif($D1874,"*"&amp;H$2&amp;"*")</f>
        <v>1</v>
      </c>
      <c r="I1874" s="200">
        <f t="shared" si="9458"/>
        <v>0</v>
      </c>
      <c r="J1874" s="200">
        <f t="shared" si="9458"/>
        <v>0</v>
      </c>
      <c r="K1874" s="200">
        <f t="shared" si="9458"/>
        <v>0</v>
      </c>
      <c r="L1874" s="200">
        <f t="shared" si="9458"/>
        <v>0</v>
      </c>
      <c r="M1874" s="200">
        <f t="shared" si="9458"/>
        <v>0</v>
      </c>
      <c r="N1874" s="200">
        <f t="shared" si="9458"/>
        <v>0</v>
      </c>
      <c r="O1874" s="200">
        <f t="shared" si="9458"/>
        <v>0</v>
      </c>
      <c r="P1874" s="200">
        <f t="shared" si="9"/>
        <v>0</v>
      </c>
      <c r="Q1874" s="200">
        <f t="shared" ref="Q1874:AC1874" si="9459">countif($D1874,"*"&amp;Q$2&amp;"*")</f>
        <v>0</v>
      </c>
      <c r="R1874" s="200">
        <f t="shared" si="9459"/>
        <v>0</v>
      </c>
      <c r="S1874" s="200">
        <f t="shared" si="9459"/>
        <v>0</v>
      </c>
      <c r="T1874" s="200">
        <f t="shared" si="9459"/>
        <v>0</v>
      </c>
      <c r="U1874" s="200">
        <f t="shared" si="9459"/>
        <v>0</v>
      </c>
      <c r="V1874" s="200">
        <f t="shared" si="9459"/>
        <v>0</v>
      </c>
      <c r="W1874" s="200">
        <f t="shared" si="9459"/>
        <v>0</v>
      </c>
      <c r="X1874" s="200">
        <f t="shared" si="9459"/>
        <v>0</v>
      </c>
      <c r="Y1874" s="200">
        <f t="shared" si="9459"/>
        <v>0</v>
      </c>
      <c r="Z1874" s="200">
        <f t="shared" si="9459"/>
        <v>0</v>
      </c>
      <c r="AA1874" s="200">
        <f t="shared" si="9459"/>
        <v>0</v>
      </c>
      <c r="AB1874" s="200">
        <f t="shared" si="9459"/>
        <v>0</v>
      </c>
      <c r="AC1874" s="200">
        <f t="shared" si="9459"/>
        <v>0</v>
      </c>
      <c r="AD1874" s="200">
        <f t="shared" si="11"/>
        <v>0</v>
      </c>
      <c r="AE1874" s="200">
        <f t="shared" ref="AE1874:AG1874" si="9460">countif($D1874,"*"&amp;AE$2&amp;"*")</f>
        <v>0</v>
      </c>
      <c r="AF1874" s="200">
        <f t="shared" si="9460"/>
        <v>0</v>
      </c>
      <c r="AG1874" s="200">
        <f t="shared" si="9460"/>
        <v>0</v>
      </c>
      <c r="AH1874" s="171">
        <f t="shared" si="13"/>
        <v>0</v>
      </c>
      <c r="AI1874" s="200">
        <f t="shared" si="14"/>
        <v>1</v>
      </c>
      <c r="AJ1874" s="200">
        <f t="shared" si="9270"/>
        <v>0</v>
      </c>
      <c r="AK1874" s="201">
        <f t="shared" ref="AK1874:AS1874" si="9461">countif($D1874,"*"&amp;AK$2&amp;"*")</f>
        <v>0</v>
      </c>
      <c r="AL1874" s="201">
        <f t="shared" si="9461"/>
        <v>0</v>
      </c>
      <c r="AM1874" s="201">
        <f t="shared" si="9461"/>
        <v>0</v>
      </c>
      <c r="AN1874" s="201">
        <f t="shared" si="9461"/>
        <v>0</v>
      </c>
      <c r="AO1874" s="201">
        <f t="shared" si="9461"/>
        <v>0</v>
      </c>
      <c r="AP1874" s="201">
        <f t="shared" si="9461"/>
        <v>0</v>
      </c>
      <c r="AQ1874" s="201">
        <f t="shared" si="9461"/>
        <v>0</v>
      </c>
      <c r="AR1874" s="200">
        <f t="shared" si="9461"/>
        <v>0</v>
      </c>
      <c r="AS1874" s="200">
        <f t="shared" si="9461"/>
        <v>0</v>
      </c>
      <c r="AT1874" s="173">
        <v>0.0</v>
      </c>
      <c r="AU1874" s="200">
        <f t="shared" ref="AU1874:AX1874" si="9462">countif($D1874,"*"&amp;AU$2&amp;"*")</f>
        <v>0</v>
      </c>
      <c r="AV1874" s="200">
        <f t="shared" si="9462"/>
        <v>0</v>
      </c>
      <c r="AW1874" s="200">
        <f t="shared" si="9462"/>
        <v>0</v>
      </c>
      <c r="AX1874" s="200">
        <f t="shared" si="9462"/>
        <v>1</v>
      </c>
      <c r="AY1874" s="202">
        <v>0.0</v>
      </c>
      <c r="AZ1874" s="200"/>
      <c r="BA1874" s="171" t="str">
        <f t="shared" si="18"/>
        <v>Archival</v>
      </c>
      <c r="BB1874" s="171" t="str">
        <f t="shared" si="19"/>
        <v/>
      </c>
      <c r="BC1874" s="171" t="str">
        <f t="shared" si="20"/>
        <v/>
      </c>
      <c r="BD1874" s="171" t="str">
        <f t="shared" si="21"/>
        <v/>
      </c>
      <c r="BE1874" s="171" t="str">
        <f t="shared" si="22"/>
        <v/>
      </c>
      <c r="BF1874" s="171" t="str">
        <f t="shared" si="23"/>
        <v>Archival</v>
      </c>
    </row>
    <row r="1875">
      <c r="A1875" s="171">
        <f t="array" ref="A1875">XLOOKUP(C1875,FSE!A:A,FSE!C:C,"XXXXX",0,1)</f>
        <v>2018</v>
      </c>
      <c r="B1875" s="213" t="s">
        <v>5676</v>
      </c>
      <c r="C1875" s="214">
        <v>517.0</v>
      </c>
      <c r="D1875" s="215" t="s">
        <v>4149</v>
      </c>
      <c r="E1875" s="197" t="str">
        <f t="array" ref="E1875">XLOOKUP(C1875,FSE!A:A,FSE!Z:Z,"XXXXX",0,1)</f>
        <v>Publicly Available (1)</v>
      </c>
      <c r="F1875" s="213" t="s">
        <v>3394</v>
      </c>
      <c r="G1875" s="163" t="str">
        <f t="array" ref="G1875">IF(B1875="ICSE",IF(COUNTIFS(B:B,B1875,C:C,C1875)=XLOOKUP(C1875,ICSE!A:A,ICSE!AA:AA,"ERROR",0,1),"OK","ERROR"),IF(B1875="FSE",IF(COUNTIFS(B:B,B1875,C:C,C1875)=XLOOKUP(C1875,FSE!A:A,FSE!AA:AA,"ERROR",0,1),"OK","ERROR")))</f>
        <v>OK</v>
      </c>
      <c r="H1875" s="199">
        <f t="shared" ref="H1875:O1875" si="9463">countif($D1875,"*"&amp;H$2&amp;"*")</f>
        <v>0</v>
      </c>
      <c r="I1875" s="200">
        <f t="shared" si="9463"/>
        <v>0</v>
      </c>
      <c r="J1875" s="200">
        <f t="shared" si="9463"/>
        <v>0</v>
      </c>
      <c r="K1875" s="200">
        <f t="shared" si="9463"/>
        <v>0</v>
      </c>
      <c r="L1875" s="200">
        <f t="shared" si="9463"/>
        <v>0</v>
      </c>
      <c r="M1875" s="200">
        <f t="shared" si="9463"/>
        <v>0</v>
      </c>
      <c r="N1875" s="200">
        <f t="shared" si="9463"/>
        <v>0</v>
      </c>
      <c r="O1875" s="200">
        <f t="shared" si="9463"/>
        <v>0</v>
      </c>
      <c r="P1875" s="200">
        <f t="shared" si="9"/>
        <v>1</v>
      </c>
      <c r="Q1875" s="200">
        <f t="shared" ref="Q1875:AC1875" si="9464">countif($D1875,"*"&amp;Q$2&amp;"*")</f>
        <v>0</v>
      </c>
      <c r="R1875" s="200">
        <f t="shared" si="9464"/>
        <v>0</v>
      </c>
      <c r="S1875" s="200">
        <f t="shared" si="9464"/>
        <v>0</v>
      </c>
      <c r="T1875" s="200">
        <f t="shared" si="9464"/>
        <v>0</v>
      </c>
      <c r="U1875" s="200">
        <f t="shared" si="9464"/>
        <v>0</v>
      </c>
      <c r="V1875" s="200">
        <f t="shared" si="9464"/>
        <v>0</v>
      </c>
      <c r="W1875" s="200">
        <f t="shared" si="9464"/>
        <v>0</v>
      </c>
      <c r="X1875" s="200">
        <f t="shared" si="9464"/>
        <v>0</v>
      </c>
      <c r="Y1875" s="200">
        <f t="shared" si="9464"/>
        <v>0</v>
      </c>
      <c r="Z1875" s="200">
        <f t="shared" si="9464"/>
        <v>0</v>
      </c>
      <c r="AA1875" s="200">
        <f t="shared" si="9464"/>
        <v>0</v>
      </c>
      <c r="AB1875" s="200">
        <f t="shared" si="9464"/>
        <v>0</v>
      </c>
      <c r="AC1875" s="200">
        <f t="shared" si="9464"/>
        <v>0</v>
      </c>
      <c r="AD1875" s="200">
        <f t="shared" si="11"/>
        <v>0</v>
      </c>
      <c r="AE1875" s="200">
        <f t="shared" ref="AE1875:AG1875" si="9465">countif($D1875,"*"&amp;AE$2&amp;"*")</f>
        <v>0</v>
      </c>
      <c r="AF1875" s="200">
        <f t="shared" si="9465"/>
        <v>0</v>
      </c>
      <c r="AG1875" s="200">
        <f t="shared" si="9465"/>
        <v>0</v>
      </c>
      <c r="AH1875" s="171">
        <f t="shared" si="13"/>
        <v>0</v>
      </c>
      <c r="AI1875" s="200">
        <f t="shared" si="14"/>
        <v>0</v>
      </c>
      <c r="AJ1875" s="200">
        <f t="shared" si="9270"/>
        <v>0</v>
      </c>
      <c r="AK1875" s="201">
        <f t="shared" ref="AK1875:AS1875" si="9466">countif($D1875,"*"&amp;AK$2&amp;"*")</f>
        <v>0</v>
      </c>
      <c r="AL1875" s="201">
        <f t="shared" si="9466"/>
        <v>0</v>
      </c>
      <c r="AM1875" s="201">
        <f t="shared" si="9466"/>
        <v>0</v>
      </c>
      <c r="AN1875" s="201">
        <f t="shared" si="9466"/>
        <v>0</v>
      </c>
      <c r="AO1875" s="201">
        <f t="shared" si="9466"/>
        <v>0</v>
      </c>
      <c r="AP1875" s="201">
        <f t="shared" si="9466"/>
        <v>0</v>
      </c>
      <c r="AQ1875" s="201">
        <f t="shared" si="9466"/>
        <v>0</v>
      </c>
      <c r="AR1875" s="200">
        <f t="shared" si="9466"/>
        <v>0</v>
      </c>
      <c r="AS1875" s="200">
        <f t="shared" si="9466"/>
        <v>0</v>
      </c>
      <c r="AT1875" s="173">
        <v>0.0</v>
      </c>
      <c r="AU1875" s="200">
        <f t="shared" ref="AU1875:AX1875" si="9467">countif($D1875,"*"&amp;AU$2&amp;"*")</f>
        <v>0</v>
      </c>
      <c r="AV1875" s="200">
        <f t="shared" si="9467"/>
        <v>1</v>
      </c>
      <c r="AW1875" s="200">
        <f t="shared" si="9467"/>
        <v>0</v>
      </c>
      <c r="AX1875" s="200">
        <f t="shared" si="9467"/>
        <v>0</v>
      </c>
      <c r="AY1875" s="202">
        <v>0.0</v>
      </c>
      <c r="AZ1875" s="200"/>
      <c r="BA1875" s="171" t="str">
        <f t="shared" si="18"/>
        <v/>
      </c>
      <c r="BB1875" s="171" t="str">
        <f t="shared" si="19"/>
        <v>Code</v>
      </c>
      <c r="BC1875" s="171" t="str">
        <f t="shared" si="20"/>
        <v/>
      </c>
      <c r="BD1875" s="171" t="str">
        <f t="shared" si="21"/>
        <v/>
      </c>
      <c r="BE1875" s="171" t="str">
        <f t="shared" si="22"/>
        <v/>
      </c>
      <c r="BF1875" s="171" t="str">
        <f t="shared" si="23"/>
        <v>Code</v>
      </c>
    </row>
    <row r="1876">
      <c r="A1876" s="171">
        <f t="array" ref="A1876">XLOOKUP(C1876,FSE!A:A,FSE!C:C,"XXXXX",0,1)</f>
        <v>2018</v>
      </c>
      <c r="B1876" s="213" t="s">
        <v>5676</v>
      </c>
      <c r="C1876" s="214">
        <v>519.0</v>
      </c>
      <c r="D1876" s="215" t="s">
        <v>4152</v>
      </c>
      <c r="E1876" s="197" t="str">
        <f t="array" ref="E1876">XLOOKUP(C1876,FSE!A:A,FSE!Z:Z,"XXXXX",0,1)</f>
        <v>Publicly Available (1)</v>
      </c>
      <c r="F1876" s="213" t="s">
        <v>3394</v>
      </c>
      <c r="G1876" s="163" t="str">
        <f t="array" ref="G1876">IF(B1876="ICSE",IF(COUNTIFS(B:B,B1876,C:C,C1876)=XLOOKUP(C1876,ICSE!A:A,ICSE!AA:AA,"ERROR",0,1),"OK","ERROR"),IF(B1876="FSE",IF(COUNTIFS(B:B,B1876,C:C,C1876)=XLOOKUP(C1876,FSE!A:A,FSE!AA:AA,"ERROR",0,1),"OK","ERROR")))</f>
        <v>OK</v>
      </c>
      <c r="H1876" s="199">
        <f t="shared" ref="H1876:O1876" si="9468">countif($D1876,"*"&amp;H$2&amp;"*")</f>
        <v>0</v>
      </c>
      <c r="I1876" s="200">
        <f t="shared" si="9468"/>
        <v>0</v>
      </c>
      <c r="J1876" s="200">
        <f t="shared" si="9468"/>
        <v>0</v>
      </c>
      <c r="K1876" s="200">
        <f t="shared" si="9468"/>
        <v>0</v>
      </c>
      <c r="L1876" s="200">
        <f t="shared" si="9468"/>
        <v>0</v>
      </c>
      <c r="M1876" s="200">
        <f t="shared" si="9468"/>
        <v>0</v>
      </c>
      <c r="N1876" s="200">
        <f t="shared" si="9468"/>
        <v>0</v>
      </c>
      <c r="O1876" s="200">
        <f t="shared" si="9468"/>
        <v>0</v>
      </c>
      <c r="P1876" s="200">
        <f t="shared" si="9"/>
        <v>0</v>
      </c>
      <c r="Q1876" s="200">
        <f t="shared" ref="Q1876:AC1876" si="9469">countif($D1876,"*"&amp;Q$2&amp;"*")</f>
        <v>0</v>
      </c>
      <c r="R1876" s="200">
        <f t="shared" si="9469"/>
        <v>0</v>
      </c>
      <c r="S1876" s="200">
        <f t="shared" si="9469"/>
        <v>0</v>
      </c>
      <c r="T1876" s="200">
        <f t="shared" si="9469"/>
        <v>0</v>
      </c>
      <c r="U1876" s="200">
        <f t="shared" si="9469"/>
        <v>0</v>
      </c>
      <c r="V1876" s="200">
        <f t="shared" si="9469"/>
        <v>0</v>
      </c>
      <c r="W1876" s="200">
        <f t="shared" si="9469"/>
        <v>0</v>
      </c>
      <c r="X1876" s="200">
        <f t="shared" si="9469"/>
        <v>0</v>
      </c>
      <c r="Y1876" s="200">
        <f t="shared" si="9469"/>
        <v>0</v>
      </c>
      <c r="Z1876" s="200">
        <f t="shared" si="9469"/>
        <v>0</v>
      </c>
      <c r="AA1876" s="200">
        <f t="shared" si="9469"/>
        <v>0</v>
      </c>
      <c r="AB1876" s="200">
        <f t="shared" si="9469"/>
        <v>0</v>
      </c>
      <c r="AC1876" s="200">
        <f t="shared" si="9469"/>
        <v>0</v>
      </c>
      <c r="AD1876" s="200">
        <f t="shared" si="11"/>
        <v>1</v>
      </c>
      <c r="AE1876" s="200">
        <f t="shared" ref="AE1876:AG1876" si="9470">countif($D1876,"*"&amp;AE$2&amp;"*")</f>
        <v>0</v>
      </c>
      <c r="AF1876" s="200">
        <f t="shared" si="9470"/>
        <v>0</v>
      </c>
      <c r="AG1876" s="200">
        <f t="shared" si="9470"/>
        <v>0</v>
      </c>
      <c r="AH1876" s="171">
        <f t="shared" si="13"/>
        <v>0</v>
      </c>
      <c r="AI1876" s="200">
        <f t="shared" si="14"/>
        <v>0</v>
      </c>
      <c r="AJ1876" s="200">
        <f t="shared" si="9270"/>
        <v>0</v>
      </c>
      <c r="AK1876" s="201">
        <f t="shared" ref="AK1876:AS1876" si="9471">countif($D1876,"*"&amp;AK$2&amp;"*")</f>
        <v>0</v>
      </c>
      <c r="AL1876" s="201">
        <f t="shared" si="9471"/>
        <v>0</v>
      </c>
      <c r="AM1876" s="201">
        <f t="shared" si="9471"/>
        <v>0</v>
      </c>
      <c r="AN1876" s="201">
        <f t="shared" si="9471"/>
        <v>0</v>
      </c>
      <c r="AO1876" s="201">
        <f t="shared" si="9471"/>
        <v>0</v>
      </c>
      <c r="AP1876" s="201">
        <f t="shared" si="9471"/>
        <v>0</v>
      </c>
      <c r="AQ1876" s="201">
        <f t="shared" si="9471"/>
        <v>0</v>
      </c>
      <c r="AR1876" s="200">
        <f t="shared" si="9471"/>
        <v>0</v>
      </c>
      <c r="AS1876" s="200">
        <f t="shared" si="9471"/>
        <v>0</v>
      </c>
      <c r="AT1876" s="173">
        <v>1.0</v>
      </c>
      <c r="AU1876" s="200">
        <f t="shared" ref="AU1876:AX1876" si="9472">countif($D1876,"*"&amp;AU$2&amp;"*")</f>
        <v>0</v>
      </c>
      <c r="AV1876" s="200">
        <f t="shared" si="9472"/>
        <v>0</v>
      </c>
      <c r="AW1876" s="200">
        <f t="shared" si="9472"/>
        <v>0</v>
      </c>
      <c r="AX1876" s="200">
        <f t="shared" si="9472"/>
        <v>0</v>
      </c>
      <c r="AY1876" s="202">
        <v>0.0</v>
      </c>
      <c r="AZ1876" s="200"/>
      <c r="BA1876" s="171" t="str">
        <f t="shared" si="18"/>
        <v/>
      </c>
      <c r="BB1876" s="171" t="str">
        <f t="shared" si="19"/>
        <v/>
      </c>
      <c r="BC1876" s="171" t="str">
        <f t="shared" si="20"/>
        <v/>
      </c>
      <c r="BD1876" s="171" t="str">
        <f t="shared" si="21"/>
        <v>Institutional</v>
      </c>
      <c r="BE1876" s="171" t="str">
        <f t="shared" si="22"/>
        <v/>
      </c>
      <c r="BF1876" s="171" t="str">
        <f t="shared" si="23"/>
        <v>Institutional</v>
      </c>
    </row>
    <row r="1877">
      <c r="A1877" s="171">
        <f t="array" ref="A1877">XLOOKUP(C1877,FSE!A:A,FSE!C:C,"XXXXX",0,1)</f>
        <v>2018</v>
      </c>
      <c r="B1877" s="213" t="s">
        <v>5676</v>
      </c>
      <c r="C1877" s="214">
        <v>520.0</v>
      </c>
      <c r="D1877" s="215" t="s">
        <v>4154</v>
      </c>
      <c r="E1877" s="197" t="str">
        <f t="array" ref="E1877">XLOOKUP(C1877,FSE!A:A,FSE!Z:Z,"XXXXX",0,1)</f>
        <v>Publicly Available (1)</v>
      </c>
      <c r="F1877" s="213" t="s">
        <v>3394</v>
      </c>
      <c r="G1877" s="163" t="str">
        <f t="array" ref="G1877">IF(B1877="ICSE",IF(COUNTIFS(B:B,B1877,C:C,C1877)=XLOOKUP(C1877,ICSE!A:A,ICSE!AA:AA,"ERROR",0,1),"OK","ERROR"),IF(B1877="FSE",IF(COUNTIFS(B:B,B1877,C:C,C1877)=XLOOKUP(C1877,FSE!A:A,FSE!AA:AA,"ERROR",0,1),"OK","ERROR")))</f>
        <v>OK</v>
      </c>
      <c r="H1877" s="199">
        <f t="shared" ref="H1877:O1877" si="9473">countif($D1877,"*"&amp;H$2&amp;"*")</f>
        <v>1</v>
      </c>
      <c r="I1877" s="200">
        <f t="shared" si="9473"/>
        <v>0</v>
      </c>
      <c r="J1877" s="200">
        <f t="shared" si="9473"/>
        <v>0</v>
      </c>
      <c r="K1877" s="200">
        <f t="shared" si="9473"/>
        <v>0</v>
      </c>
      <c r="L1877" s="200">
        <f t="shared" si="9473"/>
        <v>0</v>
      </c>
      <c r="M1877" s="200">
        <f t="shared" si="9473"/>
        <v>0</v>
      </c>
      <c r="N1877" s="200">
        <f t="shared" si="9473"/>
        <v>0</v>
      </c>
      <c r="O1877" s="200">
        <f t="shared" si="9473"/>
        <v>0</v>
      </c>
      <c r="P1877" s="200">
        <f t="shared" si="9"/>
        <v>0</v>
      </c>
      <c r="Q1877" s="200">
        <f t="shared" ref="Q1877:AC1877" si="9474">countif($D1877,"*"&amp;Q$2&amp;"*")</f>
        <v>0</v>
      </c>
      <c r="R1877" s="200">
        <f t="shared" si="9474"/>
        <v>0</v>
      </c>
      <c r="S1877" s="200">
        <f t="shared" si="9474"/>
        <v>0</v>
      </c>
      <c r="T1877" s="200">
        <f t="shared" si="9474"/>
        <v>0</v>
      </c>
      <c r="U1877" s="200">
        <f t="shared" si="9474"/>
        <v>0</v>
      </c>
      <c r="V1877" s="200">
        <f t="shared" si="9474"/>
        <v>0</v>
      </c>
      <c r="W1877" s="200">
        <f t="shared" si="9474"/>
        <v>0</v>
      </c>
      <c r="X1877" s="200">
        <f t="shared" si="9474"/>
        <v>0</v>
      </c>
      <c r="Y1877" s="200">
        <f t="shared" si="9474"/>
        <v>0</v>
      </c>
      <c r="Z1877" s="200">
        <f t="shared" si="9474"/>
        <v>0</v>
      </c>
      <c r="AA1877" s="200">
        <f t="shared" si="9474"/>
        <v>0</v>
      </c>
      <c r="AB1877" s="200">
        <f t="shared" si="9474"/>
        <v>0</v>
      </c>
      <c r="AC1877" s="200">
        <f t="shared" si="9474"/>
        <v>0</v>
      </c>
      <c r="AD1877" s="200">
        <f t="shared" si="11"/>
        <v>0</v>
      </c>
      <c r="AE1877" s="200">
        <f t="shared" ref="AE1877:AG1877" si="9475">countif($D1877,"*"&amp;AE$2&amp;"*")</f>
        <v>0</v>
      </c>
      <c r="AF1877" s="200">
        <f t="shared" si="9475"/>
        <v>0</v>
      </c>
      <c r="AG1877" s="200">
        <f t="shared" si="9475"/>
        <v>0</v>
      </c>
      <c r="AH1877" s="171">
        <f t="shared" si="13"/>
        <v>0</v>
      </c>
      <c r="AI1877" s="200">
        <f t="shared" si="14"/>
        <v>1</v>
      </c>
      <c r="AJ1877" s="200">
        <f t="shared" si="9270"/>
        <v>0</v>
      </c>
      <c r="AK1877" s="201">
        <f t="shared" ref="AK1877:AS1877" si="9476">countif($D1877,"*"&amp;AK$2&amp;"*")</f>
        <v>0</v>
      </c>
      <c r="AL1877" s="201">
        <f t="shared" si="9476"/>
        <v>0</v>
      </c>
      <c r="AM1877" s="201">
        <f t="shared" si="9476"/>
        <v>0</v>
      </c>
      <c r="AN1877" s="201">
        <f t="shared" si="9476"/>
        <v>0</v>
      </c>
      <c r="AO1877" s="201">
        <f t="shared" si="9476"/>
        <v>0</v>
      </c>
      <c r="AP1877" s="201">
        <f t="shared" si="9476"/>
        <v>0</v>
      </c>
      <c r="AQ1877" s="201">
        <f t="shared" si="9476"/>
        <v>0</v>
      </c>
      <c r="AR1877" s="200">
        <f t="shared" si="9476"/>
        <v>0</v>
      </c>
      <c r="AS1877" s="200">
        <f t="shared" si="9476"/>
        <v>0</v>
      </c>
      <c r="AT1877" s="173">
        <v>0.0</v>
      </c>
      <c r="AU1877" s="200">
        <f t="shared" ref="AU1877:AX1877" si="9477">countif($D1877,"*"&amp;AU$2&amp;"*")</f>
        <v>0</v>
      </c>
      <c r="AV1877" s="200">
        <f t="shared" si="9477"/>
        <v>0</v>
      </c>
      <c r="AW1877" s="200">
        <f t="shared" si="9477"/>
        <v>0</v>
      </c>
      <c r="AX1877" s="200">
        <f t="shared" si="9477"/>
        <v>1</v>
      </c>
      <c r="AY1877" s="202">
        <v>0.0</v>
      </c>
      <c r="AZ1877" s="200"/>
      <c r="BA1877" s="171" t="str">
        <f t="shared" si="18"/>
        <v>Archival</v>
      </c>
      <c r="BB1877" s="171" t="str">
        <f t="shared" si="19"/>
        <v/>
      </c>
      <c r="BC1877" s="171" t="str">
        <f t="shared" si="20"/>
        <v/>
      </c>
      <c r="BD1877" s="171" t="str">
        <f t="shared" si="21"/>
        <v/>
      </c>
      <c r="BE1877" s="171" t="str">
        <f t="shared" si="22"/>
        <v/>
      </c>
      <c r="BF1877" s="171" t="str">
        <f t="shared" si="23"/>
        <v>Archival</v>
      </c>
    </row>
    <row r="1878">
      <c r="A1878" s="171">
        <f t="array" ref="A1878">XLOOKUP(C1878,FSE!A:A,FSE!C:C,"XXXXX",0,1)</f>
        <v>2018</v>
      </c>
      <c r="B1878" s="213" t="s">
        <v>5676</v>
      </c>
      <c r="C1878" s="214">
        <v>521.0</v>
      </c>
      <c r="D1878" s="215" t="s">
        <v>4156</v>
      </c>
      <c r="E1878" s="197" t="str">
        <f t="array" ref="E1878">XLOOKUP(C1878,FSE!A:A,FSE!Z:Z,"XXXXX",0,1)</f>
        <v>Publicly Available (1)</v>
      </c>
      <c r="F1878" s="213" t="s">
        <v>3394</v>
      </c>
      <c r="G1878" s="163" t="str">
        <f t="array" ref="G1878">IF(B1878="ICSE",IF(COUNTIFS(B:B,B1878,C:C,C1878)=XLOOKUP(C1878,ICSE!A:A,ICSE!AA:AA,"ERROR",0,1),"OK","ERROR"),IF(B1878="FSE",IF(COUNTIFS(B:B,B1878,C:C,C1878)=XLOOKUP(C1878,FSE!A:A,FSE!AA:AA,"ERROR",0,1),"OK","ERROR")))</f>
        <v>OK</v>
      </c>
      <c r="H1878" s="199">
        <f t="shared" ref="H1878:O1878" si="9478">countif($D1878,"*"&amp;H$2&amp;"*")</f>
        <v>0</v>
      </c>
      <c r="I1878" s="200">
        <f t="shared" si="9478"/>
        <v>0</v>
      </c>
      <c r="J1878" s="200">
        <f t="shared" si="9478"/>
        <v>0</v>
      </c>
      <c r="K1878" s="200">
        <f t="shared" si="9478"/>
        <v>0</v>
      </c>
      <c r="L1878" s="200">
        <f t="shared" si="9478"/>
        <v>0</v>
      </c>
      <c r="M1878" s="200">
        <f t="shared" si="9478"/>
        <v>0</v>
      </c>
      <c r="N1878" s="200">
        <f t="shared" si="9478"/>
        <v>0</v>
      </c>
      <c r="O1878" s="200">
        <f t="shared" si="9478"/>
        <v>0</v>
      </c>
      <c r="P1878" s="200">
        <f t="shared" si="9"/>
        <v>1</v>
      </c>
      <c r="Q1878" s="200">
        <f t="shared" ref="Q1878:AC1878" si="9479">countif($D1878,"*"&amp;Q$2&amp;"*")</f>
        <v>0</v>
      </c>
      <c r="R1878" s="200">
        <f t="shared" si="9479"/>
        <v>0</v>
      </c>
      <c r="S1878" s="200">
        <f t="shared" si="9479"/>
        <v>0</v>
      </c>
      <c r="T1878" s="200">
        <f t="shared" si="9479"/>
        <v>0</v>
      </c>
      <c r="U1878" s="200">
        <f t="shared" si="9479"/>
        <v>0</v>
      </c>
      <c r="V1878" s="200">
        <f t="shared" si="9479"/>
        <v>0</v>
      </c>
      <c r="W1878" s="200">
        <f t="shared" si="9479"/>
        <v>0</v>
      </c>
      <c r="X1878" s="200">
        <f t="shared" si="9479"/>
        <v>0</v>
      </c>
      <c r="Y1878" s="200">
        <f t="shared" si="9479"/>
        <v>0</v>
      </c>
      <c r="Z1878" s="200">
        <f t="shared" si="9479"/>
        <v>0</v>
      </c>
      <c r="AA1878" s="200">
        <f t="shared" si="9479"/>
        <v>0</v>
      </c>
      <c r="AB1878" s="200">
        <f t="shared" si="9479"/>
        <v>0</v>
      </c>
      <c r="AC1878" s="200">
        <f t="shared" si="9479"/>
        <v>0</v>
      </c>
      <c r="AD1878" s="200">
        <f t="shared" si="11"/>
        <v>0</v>
      </c>
      <c r="AE1878" s="200">
        <f t="shared" ref="AE1878:AG1878" si="9480">countif($D1878,"*"&amp;AE$2&amp;"*")</f>
        <v>0</v>
      </c>
      <c r="AF1878" s="200">
        <f t="shared" si="9480"/>
        <v>0</v>
      </c>
      <c r="AG1878" s="200">
        <f t="shared" si="9480"/>
        <v>0</v>
      </c>
      <c r="AH1878" s="171">
        <f t="shared" si="13"/>
        <v>0</v>
      </c>
      <c r="AI1878" s="200">
        <f t="shared" si="14"/>
        <v>0</v>
      </c>
      <c r="AJ1878" s="200">
        <f t="shared" si="9270"/>
        <v>0</v>
      </c>
      <c r="AK1878" s="201">
        <f t="shared" ref="AK1878:AS1878" si="9481">countif($D1878,"*"&amp;AK$2&amp;"*")</f>
        <v>0</v>
      </c>
      <c r="AL1878" s="201">
        <f t="shared" si="9481"/>
        <v>0</v>
      </c>
      <c r="AM1878" s="201">
        <f t="shared" si="9481"/>
        <v>0</v>
      </c>
      <c r="AN1878" s="201">
        <f t="shared" si="9481"/>
        <v>0</v>
      </c>
      <c r="AO1878" s="201">
        <f t="shared" si="9481"/>
        <v>0</v>
      </c>
      <c r="AP1878" s="201">
        <f t="shared" si="9481"/>
        <v>0</v>
      </c>
      <c r="AQ1878" s="201">
        <f t="shared" si="9481"/>
        <v>0</v>
      </c>
      <c r="AR1878" s="200">
        <f t="shared" si="9481"/>
        <v>0</v>
      </c>
      <c r="AS1878" s="200">
        <f t="shared" si="9481"/>
        <v>0</v>
      </c>
      <c r="AT1878" s="173">
        <v>0.0</v>
      </c>
      <c r="AU1878" s="200">
        <f t="shared" ref="AU1878:AX1878" si="9482">countif($D1878,"*"&amp;AU$2&amp;"*")</f>
        <v>0</v>
      </c>
      <c r="AV1878" s="200">
        <f t="shared" si="9482"/>
        <v>1</v>
      </c>
      <c r="AW1878" s="200">
        <f t="shared" si="9482"/>
        <v>0</v>
      </c>
      <c r="AX1878" s="200">
        <f t="shared" si="9482"/>
        <v>0</v>
      </c>
      <c r="AY1878" s="202">
        <v>0.0</v>
      </c>
      <c r="AZ1878" s="200"/>
      <c r="BA1878" s="171" t="str">
        <f t="shared" si="18"/>
        <v/>
      </c>
      <c r="BB1878" s="171" t="str">
        <f t="shared" si="19"/>
        <v>Code</v>
      </c>
      <c r="BC1878" s="171" t="str">
        <f t="shared" si="20"/>
        <v/>
      </c>
      <c r="BD1878" s="171" t="str">
        <f t="shared" si="21"/>
        <v/>
      </c>
      <c r="BE1878" s="171" t="str">
        <f t="shared" si="22"/>
        <v/>
      </c>
      <c r="BF1878" s="171" t="str">
        <f t="shared" si="23"/>
        <v>Code</v>
      </c>
    </row>
    <row r="1879">
      <c r="A1879" s="171">
        <f t="array" ref="A1879">XLOOKUP(C1879,FSE!A:A,FSE!C:C,"XXXXX",0,1)</f>
        <v>2018</v>
      </c>
      <c r="B1879" s="213" t="s">
        <v>5676</v>
      </c>
      <c r="C1879" s="214">
        <v>522.0</v>
      </c>
      <c r="D1879" s="215" t="s">
        <v>6481</v>
      </c>
      <c r="E1879" s="197" t="str">
        <f t="array" ref="E1879">XLOOKUP(C1879,FSE!A:A,FSE!Z:Z,"XXXXX",0,1)</f>
        <v>Publicly Available (2)</v>
      </c>
      <c r="F1879" s="213" t="s">
        <v>3394</v>
      </c>
      <c r="G1879" s="163" t="str">
        <f t="array" ref="G1879">IF(B1879="ICSE",IF(COUNTIFS(B:B,B1879,C:C,C1879)=XLOOKUP(C1879,ICSE!A:A,ICSE!AA:AA,"ERROR",0,1),"OK","ERROR"),IF(B1879="FSE",IF(COUNTIFS(B:B,B1879,C:C,C1879)=XLOOKUP(C1879,FSE!A:A,FSE!AA:AA,"ERROR",0,1),"OK","ERROR")))</f>
        <v>OK</v>
      </c>
      <c r="H1879" s="199">
        <f t="shared" ref="H1879:O1879" si="9483">countif($D1879,"*"&amp;H$2&amp;"*")</f>
        <v>0</v>
      </c>
      <c r="I1879" s="200">
        <f t="shared" si="9483"/>
        <v>0</v>
      </c>
      <c r="J1879" s="200">
        <f t="shared" si="9483"/>
        <v>0</v>
      </c>
      <c r="K1879" s="200">
        <f t="shared" si="9483"/>
        <v>0</v>
      </c>
      <c r="L1879" s="200">
        <f t="shared" si="9483"/>
        <v>0</v>
      </c>
      <c r="M1879" s="200">
        <f t="shared" si="9483"/>
        <v>0</v>
      </c>
      <c r="N1879" s="200">
        <f t="shared" si="9483"/>
        <v>0</v>
      </c>
      <c r="O1879" s="200">
        <f t="shared" si="9483"/>
        <v>0</v>
      </c>
      <c r="P1879" s="200">
        <f t="shared" si="9"/>
        <v>1</v>
      </c>
      <c r="Q1879" s="200">
        <f t="shared" ref="Q1879:AC1879" si="9484">countif($D1879,"*"&amp;Q$2&amp;"*")</f>
        <v>0</v>
      </c>
      <c r="R1879" s="200">
        <f t="shared" si="9484"/>
        <v>0</v>
      </c>
      <c r="S1879" s="200">
        <f t="shared" si="9484"/>
        <v>0</v>
      </c>
      <c r="T1879" s="200">
        <f t="shared" si="9484"/>
        <v>0</v>
      </c>
      <c r="U1879" s="200">
        <f t="shared" si="9484"/>
        <v>0</v>
      </c>
      <c r="V1879" s="200">
        <f t="shared" si="9484"/>
        <v>0</v>
      </c>
      <c r="W1879" s="200">
        <f t="shared" si="9484"/>
        <v>0</v>
      </c>
      <c r="X1879" s="200">
        <f t="shared" si="9484"/>
        <v>0</v>
      </c>
      <c r="Y1879" s="200">
        <f t="shared" si="9484"/>
        <v>0</v>
      </c>
      <c r="Z1879" s="200">
        <f t="shared" si="9484"/>
        <v>0</v>
      </c>
      <c r="AA1879" s="200">
        <f t="shared" si="9484"/>
        <v>0</v>
      </c>
      <c r="AB1879" s="200">
        <f t="shared" si="9484"/>
        <v>0</v>
      </c>
      <c r="AC1879" s="200">
        <f t="shared" si="9484"/>
        <v>0</v>
      </c>
      <c r="AD1879" s="200">
        <f t="shared" si="11"/>
        <v>0</v>
      </c>
      <c r="AE1879" s="200">
        <f t="shared" ref="AE1879:AG1879" si="9485">countif($D1879,"*"&amp;AE$2&amp;"*")</f>
        <v>0</v>
      </c>
      <c r="AF1879" s="200">
        <f t="shared" si="9485"/>
        <v>0</v>
      </c>
      <c r="AG1879" s="200">
        <f t="shared" si="9485"/>
        <v>0</v>
      </c>
      <c r="AH1879" s="171">
        <f t="shared" si="13"/>
        <v>0</v>
      </c>
      <c r="AI1879" s="200">
        <f t="shared" si="14"/>
        <v>0</v>
      </c>
      <c r="AJ1879" s="200">
        <f t="shared" si="9270"/>
        <v>0</v>
      </c>
      <c r="AK1879" s="201">
        <f t="shared" ref="AK1879:AS1879" si="9486">countif($D1879,"*"&amp;AK$2&amp;"*")</f>
        <v>0</v>
      </c>
      <c r="AL1879" s="201">
        <f t="shared" si="9486"/>
        <v>0</v>
      </c>
      <c r="AM1879" s="201">
        <f t="shared" si="9486"/>
        <v>0</v>
      </c>
      <c r="AN1879" s="201">
        <f t="shared" si="9486"/>
        <v>0</v>
      </c>
      <c r="AO1879" s="201">
        <f t="shared" si="9486"/>
        <v>0</v>
      </c>
      <c r="AP1879" s="201">
        <f t="shared" si="9486"/>
        <v>0</v>
      </c>
      <c r="AQ1879" s="201">
        <f t="shared" si="9486"/>
        <v>0</v>
      </c>
      <c r="AR1879" s="200">
        <f t="shared" si="9486"/>
        <v>0</v>
      </c>
      <c r="AS1879" s="200">
        <f t="shared" si="9486"/>
        <v>0</v>
      </c>
      <c r="AT1879" s="173">
        <v>0.0</v>
      </c>
      <c r="AU1879" s="200">
        <f t="shared" ref="AU1879:AX1879" si="9487">countif($D1879,"*"&amp;AU$2&amp;"*")</f>
        <v>0</v>
      </c>
      <c r="AV1879" s="200">
        <f t="shared" si="9487"/>
        <v>1</v>
      </c>
      <c r="AW1879" s="200">
        <f t="shared" si="9487"/>
        <v>0</v>
      </c>
      <c r="AX1879" s="200">
        <f t="shared" si="9487"/>
        <v>0</v>
      </c>
      <c r="AY1879" s="202">
        <v>0.0</v>
      </c>
      <c r="AZ1879" s="200"/>
      <c r="BA1879" s="171" t="str">
        <f t="shared" si="18"/>
        <v/>
      </c>
      <c r="BB1879" s="171" t="str">
        <f t="shared" si="19"/>
        <v>Code</v>
      </c>
      <c r="BC1879" s="171" t="str">
        <f t="shared" si="20"/>
        <v/>
      </c>
      <c r="BD1879" s="171" t="str">
        <f t="shared" si="21"/>
        <v/>
      </c>
      <c r="BE1879" s="171" t="str">
        <f t="shared" si="22"/>
        <v/>
      </c>
      <c r="BF1879" s="171" t="str">
        <f t="shared" si="23"/>
        <v>Code</v>
      </c>
    </row>
    <row r="1880">
      <c r="A1880" s="171">
        <f t="array" ref="A1880">XLOOKUP(C1880,FSE!A:A,FSE!C:C,"XXXXX",0,1)</f>
        <v>2018</v>
      </c>
      <c r="B1880" s="213" t="s">
        <v>5676</v>
      </c>
      <c r="C1880" s="214">
        <v>522.0</v>
      </c>
      <c r="D1880" s="215" t="s">
        <v>6482</v>
      </c>
      <c r="E1880" s="197" t="str">
        <f t="array" ref="E1880">XLOOKUP(C1880,FSE!A:A,FSE!Z:Z,"XXXXX",0,1)</f>
        <v>Publicly Available (2)</v>
      </c>
      <c r="F1880" s="213" t="s">
        <v>3394</v>
      </c>
      <c r="G1880" s="163" t="str">
        <f t="array" ref="G1880">IF(B1880="ICSE",IF(COUNTIFS(B:B,B1880,C:C,C1880)=XLOOKUP(C1880,ICSE!A:A,ICSE!AA:AA,"ERROR",0,1),"OK","ERROR"),IF(B1880="FSE",IF(COUNTIFS(B:B,B1880,C:C,C1880)=XLOOKUP(C1880,FSE!A:A,FSE!AA:AA,"ERROR",0,1),"OK","ERROR")))</f>
        <v>OK</v>
      </c>
      <c r="H1880" s="199">
        <f t="shared" ref="H1880:O1880" si="9488">countif($D1880,"*"&amp;H$2&amp;"*")</f>
        <v>0</v>
      </c>
      <c r="I1880" s="200">
        <f t="shared" si="9488"/>
        <v>0</v>
      </c>
      <c r="J1880" s="200">
        <f t="shared" si="9488"/>
        <v>0</v>
      </c>
      <c r="K1880" s="200">
        <f t="shared" si="9488"/>
        <v>0</v>
      </c>
      <c r="L1880" s="200">
        <f t="shared" si="9488"/>
        <v>0</v>
      </c>
      <c r="M1880" s="200">
        <f t="shared" si="9488"/>
        <v>0</v>
      </c>
      <c r="N1880" s="200">
        <f t="shared" si="9488"/>
        <v>0</v>
      </c>
      <c r="O1880" s="200">
        <f t="shared" si="9488"/>
        <v>0</v>
      </c>
      <c r="P1880" s="200">
        <f t="shared" si="9"/>
        <v>1</v>
      </c>
      <c r="Q1880" s="200">
        <f t="shared" ref="Q1880:AC1880" si="9489">countif($D1880,"*"&amp;Q$2&amp;"*")</f>
        <v>0</v>
      </c>
      <c r="R1880" s="200">
        <f t="shared" si="9489"/>
        <v>0</v>
      </c>
      <c r="S1880" s="200">
        <f t="shared" si="9489"/>
        <v>0</v>
      </c>
      <c r="T1880" s="200">
        <f t="shared" si="9489"/>
        <v>0</v>
      </c>
      <c r="U1880" s="200">
        <f t="shared" si="9489"/>
        <v>0</v>
      </c>
      <c r="V1880" s="200">
        <f t="shared" si="9489"/>
        <v>0</v>
      </c>
      <c r="W1880" s="200">
        <f t="shared" si="9489"/>
        <v>0</v>
      </c>
      <c r="X1880" s="200">
        <f t="shared" si="9489"/>
        <v>0</v>
      </c>
      <c r="Y1880" s="200">
        <f t="shared" si="9489"/>
        <v>0</v>
      </c>
      <c r="Z1880" s="200">
        <f t="shared" si="9489"/>
        <v>0</v>
      </c>
      <c r="AA1880" s="200">
        <f t="shared" si="9489"/>
        <v>0</v>
      </c>
      <c r="AB1880" s="200">
        <f t="shared" si="9489"/>
        <v>0</v>
      </c>
      <c r="AC1880" s="200">
        <f t="shared" si="9489"/>
        <v>0</v>
      </c>
      <c r="AD1880" s="200">
        <f t="shared" si="11"/>
        <v>0</v>
      </c>
      <c r="AE1880" s="200">
        <f t="shared" ref="AE1880:AG1880" si="9490">countif($D1880,"*"&amp;AE$2&amp;"*")</f>
        <v>0</v>
      </c>
      <c r="AF1880" s="200">
        <f t="shared" si="9490"/>
        <v>0</v>
      </c>
      <c r="AG1880" s="200">
        <f t="shared" si="9490"/>
        <v>0</v>
      </c>
      <c r="AH1880" s="171">
        <f t="shared" si="13"/>
        <v>0</v>
      </c>
      <c r="AI1880" s="200">
        <f t="shared" si="14"/>
        <v>0</v>
      </c>
      <c r="AJ1880" s="200">
        <f t="shared" si="9270"/>
        <v>0</v>
      </c>
      <c r="AK1880" s="201">
        <f t="shared" ref="AK1880:AS1880" si="9491">countif($D1880,"*"&amp;AK$2&amp;"*")</f>
        <v>0</v>
      </c>
      <c r="AL1880" s="201">
        <f t="shared" si="9491"/>
        <v>0</v>
      </c>
      <c r="AM1880" s="201">
        <f t="shared" si="9491"/>
        <v>0</v>
      </c>
      <c r="AN1880" s="201">
        <f t="shared" si="9491"/>
        <v>0</v>
      </c>
      <c r="AO1880" s="201">
        <f t="shared" si="9491"/>
        <v>0</v>
      </c>
      <c r="AP1880" s="201">
        <f t="shared" si="9491"/>
        <v>0</v>
      </c>
      <c r="AQ1880" s="201">
        <f t="shared" si="9491"/>
        <v>0</v>
      </c>
      <c r="AR1880" s="200">
        <f t="shared" si="9491"/>
        <v>0</v>
      </c>
      <c r="AS1880" s="200">
        <f t="shared" si="9491"/>
        <v>0</v>
      </c>
      <c r="AT1880" s="173">
        <v>0.0</v>
      </c>
      <c r="AU1880" s="200">
        <f t="shared" ref="AU1880:AX1880" si="9492">countif($D1880,"*"&amp;AU$2&amp;"*")</f>
        <v>0</v>
      </c>
      <c r="AV1880" s="200">
        <f t="shared" si="9492"/>
        <v>1</v>
      </c>
      <c r="AW1880" s="200">
        <f t="shared" si="9492"/>
        <v>0</v>
      </c>
      <c r="AX1880" s="200">
        <f t="shared" si="9492"/>
        <v>0</v>
      </c>
      <c r="AY1880" s="202">
        <v>0.0</v>
      </c>
      <c r="AZ1880" s="200"/>
      <c r="BA1880" s="171" t="str">
        <f t="shared" si="18"/>
        <v/>
      </c>
      <c r="BB1880" s="171" t="str">
        <f t="shared" si="19"/>
        <v>Code</v>
      </c>
      <c r="BC1880" s="171" t="str">
        <f t="shared" si="20"/>
        <v/>
      </c>
      <c r="BD1880" s="171" t="str">
        <f t="shared" si="21"/>
        <v/>
      </c>
      <c r="BE1880" s="171" t="str">
        <f t="shared" si="22"/>
        <v/>
      </c>
      <c r="BF1880" s="171" t="str">
        <f t="shared" si="23"/>
        <v>Code</v>
      </c>
    </row>
    <row r="1881">
      <c r="A1881" s="171">
        <f t="array" ref="A1881">XLOOKUP(C1881,FSE!A:A,FSE!C:C,"XXXXX",0,1)</f>
        <v>2018</v>
      </c>
      <c r="B1881" s="213" t="s">
        <v>5676</v>
      </c>
      <c r="C1881" s="214">
        <v>524.0</v>
      </c>
      <c r="D1881" s="215" t="s">
        <v>4161</v>
      </c>
      <c r="E1881" s="197" t="str">
        <f t="array" ref="E1881">XLOOKUP(C1881,FSE!A:A,FSE!Z:Z,"XXXXX",0,1)</f>
        <v>Publicly Available (1)</v>
      </c>
      <c r="F1881" s="213" t="s">
        <v>3394</v>
      </c>
      <c r="G1881" s="163" t="str">
        <f t="array" ref="G1881">IF(B1881="ICSE",IF(COUNTIFS(B:B,B1881,C:C,C1881)=XLOOKUP(C1881,ICSE!A:A,ICSE!AA:AA,"ERROR",0,1),"OK","ERROR"),IF(B1881="FSE",IF(COUNTIFS(B:B,B1881,C:C,C1881)=XLOOKUP(C1881,FSE!A:A,FSE!AA:AA,"ERROR",0,1),"OK","ERROR")))</f>
        <v>OK</v>
      </c>
      <c r="H1881" s="199">
        <f t="shared" ref="H1881:O1881" si="9493">countif($D1881,"*"&amp;H$2&amp;"*")</f>
        <v>0</v>
      </c>
      <c r="I1881" s="200">
        <f t="shared" si="9493"/>
        <v>0</v>
      </c>
      <c r="J1881" s="200">
        <f t="shared" si="9493"/>
        <v>0</v>
      </c>
      <c r="K1881" s="200">
        <f t="shared" si="9493"/>
        <v>0</v>
      </c>
      <c r="L1881" s="200">
        <f t="shared" si="9493"/>
        <v>0</v>
      </c>
      <c r="M1881" s="200">
        <f t="shared" si="9493"/>
        <v>0</v>
      </c>
      <c r="N1881" s="200">
        <f t="shared" si="9493"/>
        <v>0</v>
      </c>
      <c r="O1881" s="200">
        <f t="shared" si="9493"/>
        <v>0</v>
      </c>
      <c r="P1881" s="200">
        <f t="shared" si="9"/>
        <v>1</v>
      </c>
      <c r="Q1881" s="200">
        <f t="shared" ref="Q1881:AC1881" si="9494">countif($D1881,"*"&amp;Q$2&amp;"*")</f>
        <v>0</v>
      </c>
      <c r="R1881" s="200">
        <f t="shared" si="9494"/>
        <v>0</v>
      </c>
      <c r="S1881" s="200">
        <f t="shared" si="9494"/>
        <v>0</v>
      </c>
      <c r="T1881" s="200">
        <f t="shared" si="9494"/>
        <v>0</v>
      </c>
      <c r="U1881" s="200">
        <f t="shared" si="9494"/>
        <v>0</v>
      </c>
      <c r="V1881" s="200">
        <f t="shared" si="9494"/>
        <v>0</v>
      </c>
      <c r="W1881" s="200">
        <f t="shared" si="9494"/>
        <v>0</v>
      </c>
      <c r="X1881" s="200">
        <f t="shared" si="9494"/>
        <v>0</v>
      </c>
      <c r="Y1881" s="200">
        <f t="shared" si="9494"/>
        <v>0</v>
      </c>
      <c r="Z1881" s="200">
        <f t="shared" si="9494"/>
        <v>0</v>
      </c>
      <c r="AA1881" s="200">
        <f t="shared" si="9494"/>
        <v>0</v>
      </c>
      <c r="AB1881" s="200">
        <f t="shared" si="9494"/>
        <v>0</v>
      </c>
      <c r="AC1881" s="200">
        <f t="shared" si="9494"/>
        <v>0</v>
      </c>
      <c r="AD1881" s="200">
        <f t="shared" si="11"/>
        <v>0</v>
      </c>
      <c r="AE1881" s="200">
        <f t="shared" ref="AE1881:AG1881" si="9495">countif($D1881,"*"&amp;AE$2&amp;"*")</f>
        <v>0</v>
      </c>
      <c r="AF1881" s="200">
        <f t="shared" si="9495"/>
        <v>0</v>
      </c>
      <c r="AG1881" s="200">
        <f t="shared" si="9495"/>
        <v>0</v>
      </c>
      <c r="AH1881" s="171">
        <f t="shared" si="13"/>
        <v>0</v>
      </c>
      <c r="AI1881" s="200">
        <f t="shared" si="14"/>
        <v>0</v>
      </c>
      <c r="AJ1881" s="200">
        <f t="shared" si="9270"/>
        <v>0</v>
      </c>
      <c r="AK1881" s="201">
        <f t="shared" ref="AK1881:AS1881" si="9496">countif($D1881,"*"&amp;AK$2&amp;"*")</f>
        <v>0</v>
      </c>
      <c r="AL1881" s="201">
        <f t="shared" si="9496"/>
        <v>0</v>
      </c>
      <c r="AM1881" s="201">
        <f t="shared" si="9496"/>
        <v>0</v>
      </c>
      <c r="AN1881" s="201">
        <f t="shared" si="9496"/>
        <v>0</v>
      </c>
      <c r="AO1881" s="201">
        <f t="shared" si="9496"/>
        <v>0</v>
      </c>
      <c r="AP1881" s="201">
        <f t="shared" si="9496"/>
        <v>0</v>
      </c>
      <c r="AQ1881" s="201">
        <f t="shared" si="9496"/>
        <v>0</v>
      </c>
      <c r="AR1881" s="200">
        <f t="shared" si="9496"/>
        <v>0</v>
      </c>
      <c r="AS1881" s="200">
        <f t="shared" si="9496"/>
        <v>0</v>
      </c>
      <c r="AT1881" s="173">
        <v>0.0</v>
      </c>
      <c r="AU1881" s="200">
        <f t="shared" ref="AU1881:AX1881" si="9497">countif($D1881,"*"&amp;AU$2&amp;"*")</f>
        <v>0</v>
      </c>
      <c r="AV1881" s="200">
        <f t="shared" si="9497"/>
        <v>1</v>
      </c>
      <c r="AW1881" s="200">
        <f t="shared" si="9497"/>
        <v>0</v>
      </c>
      <c r="AX1881" s="200">
        <f t="shared" si="9497"/>
        <v>0</v>
      </c>
      <c r="AY1881" s="202">
        <v>0.0</v>
      </c>
      <c r="AZ1881" s="200"/>
      <c r="BA1881" s="171" t="str">
        <f t="shared" si="18"/>
        <v/>
      </c>
      <c r="BB1881" s="171" t="str">
        <f t="shared" si="19"/>
        <v>Code</v>
      </c>
      <c r="BC1881" s="171" t="str">
        <f t="shared" si="20"/>
        <v/>
      </c>
      <c r="BD1881" s="171" t="str">
        <f t="shared" si="21"/>
        <v/>
      </c>
      <c r="BE1881" s="171" t="str">
        <f t="shared" si="22"/>
        <v/>
      </c>
      <c r="BF1881" s="171" t="str">
        <f t="shared" si="23"/>
        <v>Code</v>
      </c>
    </row>
    <row r="1882">
      <c r="A1882" s="171">
        <f t="array" ref="A1882">XLOOKUP(C1882,FSE!A:A,FSE!C:C,"XXXXX",0,1)</f>
        <v>2018</v>
      </c>
      <c r="B1882" s="213" t="s">
        <v>5676</v>
      </c>
      <c r="C1882" s="214">
        <v>525.0</v>
      </c>
      <c r="D1882" s="217" t="s">
        <v>4163</v>
      </c>
      <c r="E1882" s="197" t="str">
        <f t="array" ref="E1882">XLOOKUP(C1882,FSE!A:A,FSE!Z:Z,"XXXXX",0,1)</f>
        <v>Publicly Available (1)</v>
      </c>
      <c r="F1882" s="213" t="s">
        <v>3394</v>
      </c>
      <c r="G1882" s="163" t="str">
        <f t="array" ref="G1882">IF(B1882="ICSE",IF(COUNTIFS(B:B,B1882,C:C,C1882)=XLOOKUP(C1882,ICSE!A:A,ICSE!AA:AA,"ERROR",0,1),"OK","ERROR"),IF(B1882="FSE",IF(COUNTIFS(B:B,B1882,C:C,C1882)=XLOOKUP(C1882,FSE!A:A,FSE!AA:AA,"ERROR",0,1),"OK","ERROR")))</f>
        <v>OK</v>
      </c>
      <c r="H1882" s="199">
        <f t="shared" ref="H1882:O1882" si="9498">countif($D1882,"*"&amp;H$2&amp;"*")</f>
        <v>0</v>
      </c>
      <c r="I1882" s="200">
        <f t="shared" si="9498"/>
        <v>0</v>
      </c>
      <c r="J1882" s="200">
        <f t="shared" si="9498"/>
        <v>0</v>
      </c>
      <c r="K1882" s="200">
        <f t="shared" si="9498"/>
        <v>0</v>
      </c>
      <c r="L1882" s="200">
        <f t="shared" si="9498"/>
        <v>0</v>
      </c>
      <c r="M1882" s="200">
        <f t="shared" si="9498"/>
        <v>0</v>
      </c>
      <c r="N1882" s="200">
        <f t="shared" si="9498"/>
        <v>0</v>
      </c>
      <c r="O1882" s="200">
        <f t="shared" si="9498"/>
        <v>0</v>
      </c>
      <c r="P1882" s="200">
        <f t="shared" si="9"/>
        <v>1</v>
      </c>
      <c r="Q1882" s="200">
        <f t="shared" ref="Q1882:AC1882" si="9499">countif($D1882,"*"&amp;Q$2&amp;"*")</f>
        <v>0</v>
      </c>
      <c r="R1882" s="200">
        <f t="shared" si="9499"/>
        <v>0</v>
      </c>
      <c r="S1882" s="200">
        <f t="shared" si="9499"/>
        <v>0</v>
      </c>
      <c r="T1882" s="200">
        <f t="shared" si="9499"/>
        <v>0</v>
      </c>
      <c r="U1882" s="200">
        <f t="shared" si="9499"/>
        <v>0</v>
      </c>
      <c r="V1882" s="200">
        <f t="shared" si="9499"/>
        <v>0</v>
      </c>
      <c r="W1882" s="200">
        <f t="shared" si="9499"/>
        <v>0</v>
      </c>
      <c r="X1882" s="200">
        <f t="shared" si="9499"/>
        <v>0</v>
      </c>
      <c r="Y1882" s="200">
        <f t="shared" si="9499"/>
        <v>0</v>
      </c>
      <c r="Z1882" s="200">
        <f t="shared" si="9499"/>
        <v>0</v>
      </c>
      <c r="AA1882" s="200">
        <f t="shared" si="9499"/>
        <v>0</v>
      </c>
      <c r="AB1882" s="200">
        <f t="shared" si="9499"/>
        <v>0</v>
      </c>
      <c r="AC1882" s="200">
        <f t="shared" si="9499"/>
        <v>0</v>
      </c>
      <c r="AD1882" s="200">
        <f t="shared" si="11"/>
        <v>0</v>
      </c>
      <c r="AE1882" s="200">
        <f t="shared" ref="AE1882:AG1882" si="9500">countif($D1882,"*"&amp;AE$2&amp;"*")</f>
        <v>0</v>
      </c>
      <c r="AF1882" s="200">
        <f t="shared" si="9500"/>
        <v>0</v>
      </c>
      <c r="AG1882" s="200">
        <f t="shared" si="9500"/>
        <v>0</v>
      </c>
      <c r="AH1882" s="171">
        <f t="shared" si="13"/>
        <v>0</v>
      </c>
      <c r="AI1882" s="200">
        <f t="shared" si="14"/>
        <v>0</v>
      </c>
      <c r="AJ1882" s="200">
        <f t="shared" si="9270"/>
        <v>0</v>
      </c>
      <c r="AK1882" s="201">
        <f t="shared" ref="AK1882:AS1882" si="9501">countif($D1882,"*"&amp;AK$2&amp;"*")</f>
        <v>0</v>
      </c>
      <c r="AL1882" s="201">
        <f t="shared" si="9501"/>
        <v>0</v>
      </c>
      <c r="AM1882" s="201">
        <f t="shared" si="9501"/>
        <v>0</v>
      </c>
      <c r="AN1882" s="201">
        <f t="shared" si="9501"/>
        <v>0</v>
      </c>
      <c r="AO1882" s="201">
        <f t="shared" si="9501"/>
        <v>0</v>
      </c>
      <c r="AP1882" s="201">
        <f t="shared" si="9501"/>
        <v>0</v>
      </c>
      <c r="AQ1882" s="201">
        <f t="shared" si="9501"/>
        <v>0</v>
      </c>
      <c r="AR1882" s="200">
        <f t="shared" si="9501"/>
        <v>0</v>
      </c>
      <c r="AS1882" s="200">
        <f t="shared" si="9501"/>
        <v>0</v>
      </c>
      <c r="AT1882" s="173">
        <v>0.0</v>
      </c>
      <c r="AU1882" s="200">
        <f t="shared" ref="AU1882:AX1882" si="9502">countif($D1882,"*"&amp;AU$2&amp;"*")</f>
        <v>0</v>
      </c>
      <c r="AV1882" s="200">
        <f t="shared" si="9502"/>
        <v>1</v>
      </c>
      <c r="AW1882" s="200">
        <f t="shared" si="9502"/>
        <v>0</v>
      </c>
      <c r="AX1882" s="200">
        <f t="shared" si="9502"/>
        <v>0</v>
      </c>
      <c r="AY1882" s="202">
        <v>0.0</v>
      </c>
      <c r="AZ1882" s="200"/>
      <c r="BA1882" s="171" t="str">
        <f t="shared" si="18"/>
        <v/>
      </c>
      <c r="BB1882" s="171" t="str">
        <f t="shared" si="19"/>
        <v>Code</v>
      </c>
      <c r="BC1882" s="171" t="str">
        <f t="shared" si="20"/>
        <v/>
      </c>
      <c r="BD1882" s="171" t="str">
        <f t="shared" si="21"/>
        <v/>
      </c>
      <c r="BE1882" s="171" t="str">
        <f t="shared" si="22"/>
        <v/>
      </c>
      <c r="BF1882" s="171" t="str">
        <f t="shared" si="23"/>
        <v>Code</v>
      </c>
    </row>
    <row r="1883">
      <c r="A1883" s="171">
        <f t="array" ref="A1883">XLOOKUP(C1883,FSE!A:A,FSE!C:C,"XXXXX",0,1)</f>
        <v>2018</v>
      </c>
      <c r="B1883" s="213" t="s">
        <v>5676</v>
      </c>
      <c r="C1883" s="214">
        <v>526.0</v>
      </c>
      <c r="D1883" s="215" t="s">
        <v>4165</v>
      </c>
      <c r="E1883" s="197" t="str">
        <f t="array" ref="E1883">XLOOKUP(C1883,FSE!A:A,FSE!Z:Z,"XXXXX",0,1)</f>
        <v>Publicly Available (1)</v>
      </c>
      <c r="F1883" s="213" t="s">
        <v>3394</v>
      </c>
      <c r="G1883" s="163" t="str">
        <f t="array" ref="G1883">IF(B1883="ICSE",IF(COUNTIFS(B:B,B1883,C:C,C1883)=XLOOKUP(C1883,ICSE!A:A,ICSE!AA:AA,"ERROR",0,1),"OK","ERROR"),IF(B1883="FSE",IF(COUNTIFS(B:B,B1883,C:C,C1883)=XLOOKUP(C1883,FSE!A:A,FSE!AA:AA,"ERROR",0,1),"OK","ERROR")))</f>
        <v>OK</v>
      </c>
      <c r="H1883" s="199">
        <f t="shared" ref="H1883:O1883" si="9503">countif($D1883,"*"&amp;H$2&amp;"*")</f>
        <v>0</v>
      </c>
      <c r="I1883" s="200">
        <f t="shared" si="9503"/>
        <v>0</v>
      </c>
      <c r="J1883" s="200">
        <f t="shared" si="9503"/>
        <v>0</v>
      </c>
      <c r="K1883" s="200">
        <f t="shared" si="9503"/>
        <v>0</v>
      </c>
      <c r="L1883" s="200">
        <f t="shared" si="9503"/>
        <v>0</v>
      </c>
      <c r="M1883" s="200">
        <f t="shared" si="9503"/>
        <v>0</v>
      </c>
      <c r="N1883" s="200">
        <f t="shared" si="9503"/>
        <v>0</v>
      </c>
      <c r="O1883" s="200">
        <f t="shared" si="9503"/>
        <v>0</v>
      </c>
      <c r="P1883" s="200">
        <f t="shared" si="9"/>
        <v>1</v>
      </c>
      <c r="Q1883" s="200">
        <f t="shared" ref="Q1883:AC1883" si="9504">countif($D1883,"*"&amp;Q$2&amp;"*")</f>
        <v>0</v>
      </c>
      <c r="R1883" s="200">
        <f t="shared" si="9504"/>
        <v>0</v>
      </c>
      <c r="S1883" s="200">
        <f t="shared" si="9504"/>
        <v>0</v>
      </c>
      <c r="T1883" s="200">
        <f t="shared" si="9504"/>
        <v>0</v>
      </c>
      <c r="U1883" s="200">
        <f t="shared" si="9504"/>
        <v>0</v>
      </c>
      <c r="V1883" s="200">
        <f t="shared" si="9504"/>
        <v>0</v>
      </c>
      <c r="W1883" s="200">
        <f t="shared" si="9504"/>
        <v>0</v>
      </c>
      <c r="X1883" s="200">
        <f t="shared" si="9504"/>
        <v>0</v>
      </c>
      <c r="Y1883" s="200">
        <f t="shared" si="9504"/>
        <v>0</v>
      </c>
      <c r="Z1883" s="200">
        <f t="shared" si="9504"/>
        <v>0</v>
      </c>
      <c r="AA1883" s="200">
        <f t="shared" si="9504"/>
        <v>0</v>
      </c>
      <c r="AB1883" s="200">
        <f t="shared" si="9504"/>
        <v>0</v>
      </c>
      <c r="AC1883" s="200">
        <f t="shared" si="9504"/>
        <v>0</v>
      </c>
      <c r="AD1883" s="200">
        <f t="shared" si="11"/>
        <v>0</v>
      </c>
      <c r="AE1883" s="200">
        <f t="shared" ref="AE1883:AG1883" si="9505">countif($D1883,"*"&amp;AE$2&amp;"*")</f>
        <v>0</v>
      </c>
      <c r="AF1883" s="200">
        <f t="shared" si="9505"/>
        <v>0</v>
      </c>
      <c r="AG1883" s="200">
        <f t="shared" si="9505"/>
        <v>0</v>
      </c>
      <c r="AH1883" s="171">
        <f t="shared" si="13"/>
        <v>0</v>
      </c>
      <c r="AI1883" s="200">
        <f t="shared" si="14"/>
        <v>0</v>
      </c>
      <c r="AJ1883" s="200">
        <f t="shared" si="9270"/>
        <v>0</v>
      </c>
      <c r="AK1883" s="201">
        <f t="shared" ref="AK1883:AS1883" si="9506">countif($D1883,"*"&amp;AK$2&amp;"*")</f>
        <v>0</v>
      </c>
      <c r="AL1883" s="201">
        <f t="shared" si="9506"/>
        <v>0</v>
      </c>
      <c r="AM1883" s="201">
        <f t="shared" si="9506"/>
        <v>0</v>
      </c>
      <c r="AN1883" s="201">
        <f t="shared" si="9506"/>
        <v>0</v>
      </c>
      <c r="AO1883" s="201">
        <f t="shared" si="9506"/>
        <v>0</v>
      </c>
      <c r="AP1883" s="201">
        <f t="shared" si="9506"/>
        <v>0</v>
      </c>
      <c r="AQ1883" s="201">
        <f t="shared" si="9506"/>
        <v>0</v>
      </c>
      <c r="AR1883" s="200">
        <f t="shared" si="9506"/>
        <v>0</v>
      </c>
      <c r="AS1883" s="200">
        <f t="shared" si="9506"/>
        <v>0</v>
      </c>
      <c r="AT1883" s="173">
        <v>0.0</v>
      </c>
      <c r="AU1883" s="200">
        <f t="shared" ref="AU1883:AX1883" si="9507">countif($D1883,"*"&amp;AU$2&amp;"*")</f>
        <v>0</v>
      </c>
      <c r="AV1883" s="200">
        <f t="shared" si="9507"/>
        <v>1</v>
      </c>
      <c r="AW1883" s="200">
        <f t="shared" si="9507"/>
        <v>0</v>
      </c>
      <c r="AX1883" s="200">
        <f t="shared" si="9507"/>
        <v>0</v>
      </c>
      <c r="AY1883" s="202">
        <v>0.0</v>
      </c>
      <c r="AZ1883" s="200"/>
      <c r="BA1883" s="171" t="str">
        <f t="shared" si="18"/>
        <v/>
      </c>
      <c r="BB1883" s="171" t="str">
        <f t="shared" si="19"/>
        <v>Code</v>
      </c>
      <c r="BC1883" s="171" t="str">
        <f t="shared" si="20"/>
        <v/>
      </c>
      <c r="BD1883" s="171" t="str">
        <f t="shared" si="21"/>
        <v/>
      </c>
      <c r="BE1883" s="171" t="str">
        <f t="shared" si="22"/>
        <v/>
      </c>
      <c r="BF1883" s="171" t="str">
        <f t="shared" si="23"/>
        <v>Code</v>
      </c>
    </row>
    <row r="1884">
      <c r="A1884" s="171">
        <f t="array" ref="A1884">XLOOKUP(C1884,FSE!A:A,FSE!C:C,"XXXXX",0,1)</f>
        <v>2018</v>
      </c>
      <c r="B1884" s="213" t="s">
        <v>5676</v>
      </c>
      <c r="C1884" s="214">
        <v>527.0</v>
      </c>
      <c r="D1884" s="215" t="s">
        <v>6483</v>
      </c>
      <c r="E1884" s="197" t="str">
        <f t="array" ref="E1884">XLOOKUP(C1884,FSE!A:A,FSE!Z:Z,"XXXXX",0,1)</f>
        <v>Publicly Available (3)</v>
      </c>
      <c r="F1884" s="213" t="s">
        <v>3394</v>
      </c>
      <c r="G1884" s="163" t="str">
        <f t="array" ref="G1884">IF(B1884="ICSE",IF(COUNTIFS(B:B,B1884,C:C,C1884)=XLOOKUP(C1884,ICSE!A:A,ICSE!AA:AA,"ERROR",0,1),"OK","ERROR"),IF(B1884="FSE",IF(COUNTIFS(B:B,B1884,C:C,C1884)=XLOOKUP(C1884,FSE!A:A,FSE!AA:AA,"ERROR",0,1),"OK","ERROR")))</f>
        <v>OK</v>
      </c>
      <c r="H1884" s="199">
        <f t="shared" ref="H1884:O1884" si="9508">countif($D1884,"*"&amp;H$2&amp;"*")</f>
        <v>0</v>
      </c>
      <c r="I1884" s="200">
        <f t="shared" si="9508"/>
        <v>0</v>
      </c>
      <c r="J1884" s="200">
        <f t="shared" si="9508"/>
        <v>0</v>
      </c>
      <c r="K1884" s="200">
        <f t="shared" si="9508"/>
        <v>0</v>
      </c>
      <c r="L1884" s="200">
        <f t="shared" si="9508"/>
        <v>0</v>
      </c>
      <c r="M1884" s="200">
        <f t="shared" si="9508"/>
        <v>0</v>
      </c>
      <c r="N1884" s="200">
        <f t="shared" si="9508"/>
        <v>0</v>
      </c>
      <c r="O1884" s="200">
        <f t="shared" si="9508"/>
        <v>0</v>
      </c>
      <c r="P1884" s="200">
        <f t="shared" si="9"/>
        <v>1</v>
      </c>
      <c r="Q1884" s="200">
        <f t="shared" ref="Q1884:AC1884" si="9509">countif($D1884,"*"&amp;Q$2&amp;"*")</f>
        <v>0</v>
      </c>
      <c r="R1884" s="200">
        <f t="shared" si="9509"/>
        <v>0</v>
      </c>
      <c r="S1884" s="200">
        <f t="shared" si="9509"/>
        <v>0</v>
      </c>
      <c r="T1884" s="200">
        <f t="shared" si="9509"/>
        <v>0</v>
      </c>
      <c r="U1884" s="200">
        <f t="shared" si="9509"/>
        <v>0</v>
      </c>
      <c r="V1884" s="200">
        <f t="shared" si="9509"/>
        <v>0</v>
      </c>
      <c r="W1884" s="200">
        <f t="shared" si="9509"/>
        <v>0</v>
      </c>
      <c r="X1884" s="200">
        <f t="shared" si="9509"/>
        <v>0</v>
      </c>
      <c r="Y1884" s="200">
        <f t="shared" si="9509"/>
        <v>0</v>
      </c>
      <c r="Z1884" s="200">
        <f t="shared" si="9509"/>
        <v>0</v>
      </c>
      <c r="AA1884" s="200">
        <f t="shared" si="9509"/>
        <v>0</v>
      </c>
      <c r="AB1884" s="200">
        <f t="shared" si="9509"/>
        <v>0</v>
      </c>
      <c r="AC1884" s="200">
        <f t="shared" si="9509"/>
        <v>0</v>
      </c>
      <c r="AD1884" s="200">
        <f t="shared" si="11"/>
        <v>0</v>
      </c>
      <c r="AE1884" s="200">
        <f t="shared" ref="AE1884:AG1884" si="9510">countif($D1884,"*"&amp;AE$2&amp;"*")</f>
        <v>0</v>
      </c>
      <c r="AF1884" s="200">
        <f t="shared" si="9510"/>
        <v>0</v>
      </c>
      <c r="AG1884" s="200">
        <f t="shared" si="9510"/>
        <v>0</v>
      </c>
      <c r="AH1884" s="171">
        <f t="shared" si="13"/>
        <v>0</v>
      </c>
      <c r="AI1884" s="200">
        <f t="shared" si="14"/>
        <v>0</v>
      </c>
      <c r="AJ1884" s="200">
        <f t="shared" si="9270"/>
        <v>0</v>
      </c>
      <c r="AK1884" s="201">
        <f t="shared" ref="AK1884:AS1884" si="9511">countif($D1884,"*"&amp;AK$2&amp;"*")</f>
        <v>0</v>
      </c>
      <c r="AL1884" s="201">
        <f t="shared" si="9511"/>
        <v>0</v>
      </c>
      <c r="AM1884" s="201">
        <f t="shared" si="9511"/>
        <v>0</v>
      </c>
      <c r="AN1884" s="201">
        <f t="shared" si="9511"/>
        <v>0</v>
      </c>
      <c r="AO1884" s="201">
        <f t="shared" si="9511"/>
        <v>0</v>
      </c>
      <c r="AP1884" s="201">
        <f t="shared" si="9511"/>
        <v>0</v>
      </c>
      <c r="AQ1884" s="201">
        <f t="shared" si="9511"/>
        <v>0</v>
      </c>
      <c r="AR1884" s="200">
        <f t="shared" si="9511"/>
        <v>0</v>
      </c>
      <c r="AS1884" s="200">
        <f t="shared" si="9511"/>
        <v>0</v>
      </c>
      <c r="AT1884" s="173">
        <v>0.0</v>
      </c>
      <c r="AU1884" s="200">
        <f t="shared" ref="AU1884:AX1884" si="9512">countif($D1884,"*"&amp;AU$2&amp;"*")</f>
        <v>0</v>
      </c>
      <c r="AV1884" s="200">
        <f t="shared" si="9512"/>
        <v>1</v>
      </c>
      <c r="AW1884" s="200">
        <f t="shared" si="9512"/>
        <v>0</v>
      </c>
      <c r="AX1884" s="200">
        <f t="shared" si="9512"/>
        <v>0</v>
      </c>
      <c r="AY1884" s="202">
        <v>0.0</v>
      </c>
      <c r="AZ1884" s="200"/>
      <c r="BA1884" s="171" t="str">
        <f t="shared" si="18"/>
        <v/>
      </c>
      <c r="BB1884" s="171" t="str">
        <f t="shared" si="19"/>
        <v>Code</v>
      </c>
      <c r="BC1884" s="171" t="str">
        <f t="shared" si="20"/>
        <v/>
      </c>
      <c r="BD1884" s="171" t="str">
        <f t="shared" si="21"/>
        <v/>
      </c>
      <c r="BE1884" s="171" t="str">
        <f t="shared" si="22"/>
        <v/>
      </c>
      <c r="BF1884" s="171" t="str">
        <f t="shared" si="23"/>
        <v>Code</v>
      </c>
    </row>
    <row r="1885">
      <c r="A1885" s="171">
        <f t="array" ref="A1885">XLOOKUP(C1885,FSE!A:A,FSE!C:C,"XXXXX",0,1)</f>
        <v>2018</v>
      </c>
      <c r="B1885" s="213" t="s">
        <v>5676</v>
      </c>
      <c r="C1885" s="214">
        <v>527.0</v>
      </c>
      <c r="D1885" s="215" t="s">
        <v>6484</v>
      </c>
      <c r="E1885" s="197" t="str">
        <f t="array" ref="E1885">XLOOKUP(C1885,FSE!A:A,FSE!Z:Z,"XXXXX",0,1)</f>
        <v>Publicly Available (3)</v>
      </c>
      <c r="F1885" s="213" t="s">
        <v>3394</v>
      </c>
      <c r="G1885" s="163" t="str">
        <f t="array" ref="G1885">IF(B1885="ICSE",IF(COUNTIFS(B:B,B1885,C:C,C1885)=XLOOKUP(C1885,ICSE!A:A,ICSE!AA:AA,"ERROR",0,1),"OK","ERROR"),IF(B1885="FSE",IF(COUNTIFS(B:B,B1885,C:C,C1885)=XLOOKUP(C1885,FSE!A:A,FSE!AA:AA,"ERROR",0,1),"OK","ERROR")))</f>
        <v>OK</v>
      </c>
      <c r="H1885" s="199">
        <f t="shared" ref="H1885:O1885" si="9513">countif($D1885,"*"&amp;H$2&amp;"*")</f>
        <v>0</v>
      </c>
      <c r="I1885" s="200">
        <f t="shared" si="9513"/>
        <v>0</v>
      </c>
      <c r="J1885" s="200">
        <f t="shared" si="9513"/>
        <v>0</v>
      </c>
      <c r="K1885" s="200">
        <f t="shared" si="9513"/>
        <v>0</v>
      </c>
      <c r="L1885" s="200">
        <f t="shared" si="9513"/>
        <v>0</v>
      </c>
      <c r="M1885" s="200">
        <f t="shared" si="9513"/>
        <v>0</v>
      </c>
      <c r="N1885" s="200">
        <f t="shared" si="9513"/>
        <v>0</v>
      </c>
      <c r="O1885" s="200">
        <f t="shared" si="9513"/>
        <v>0</v>
      </c>
      <c r="P1885" s="200">
        <f t="shared" si="9"/>
        <v>1</v>
      </c>
      <c r="Q1885" s="200">
        <f t="shared" ref="Q1885:AC1885" si="9514">countif($D1885,"*"&amp;Q$2&amp;"*")</f>
        <v>0</v>
      </c>
      <c r="R1885" s="200">
        <f t="shared" si="9514"/>
        <v>0</v>
      </c>
      <c r="S1885" s="200">
        <f t="shared" si="9514"/>
        <v>0</v>
      </c>
      <c r="T1885" s="200">
        <f t="shared" si="9514"/>
        <v>0</v>
      </c>
      <c r="U1885" s="200">
        <f t="shared" si="9514"/>
        <v>0</v>
      </c>
      <c r="V1885" s="200">
        <f t="shared" si="9514"/>
        <v>0</v>
      </c>
      <c r="W1885" s="200">
        <f t="shared" si="9514"/>
        <v>0</v>
      </c>
      <c r="X1885" s="200">
        <f t="shared" si="9514"/>
        <v>0</v>
      </c>
      <c r="Y1885" s="200">
        <f t="shared" si="9514"/>
        <v>0</v>
      </c>
      <c r="Z1885" s="200">
        <f t="shared" si="9514"/>
        <v>0</v>
      </c>
      <c r="AA1885" s="200">
        <f t="shared" si="9514"/>
        <v>0</v>
      </c>
      <c r="AB1885" s="200">
        <f t="shared" si="9514"/>
        <v>0</v>
      </c>
      <c r="AC1885" s="200">
        <f t="shared" si="9514"/>
        <v>0</v>
      </c>
      <c r="AD1885" s="200">
        <f t="shared" si="11"/>
        <v>0</v>
      </c>
      <c r="AE1885" s="200">
        <f t="shared" ref="AE1885:AG1885" si="9515">countif($D1885,"*"&amp;AE$2&amp;"*")</f>
        <v>0</v>
      </c>
      <c r="AF1885" s="200">
        <f t="shared" si="9515"/>
        <v>0</v>
      </c>
      <c r="AG1885" s="200">
        <f t="shared" si="9515"/>
        <v>0</v>
      </c>
      <c r="AH1885" s="171">
        <f t="shared" si="13"/>
        <v>0</v>
      </c>
      <c r="AI1885" s="200">
        <f t="shared" si="14"/>
        <v>0</v>
      </c>
      <c r="AJ1885" s="200">
        <f t="shared" si="9270"/>
        <v>0</v>
      </c>
      <c r="AK1885" s="201">
        <f t="shared" ref="AK1885:AS1885" si="9516">countif($D1885,"*"&amp;AK$2&amp;"*")</f>
        <v>0</v>
      </c>
      <c r="AL1885" s="201">
        <f t="shared" si="9516"/>
        <v>0</v>
      </c>
      <c r="AM1885" s="201">
        <f t="shared" si="9516"/>
        <v>0</v>
      </c>
      <c r="AN1885" s="201">
        <f t="shared" si="9516"/>
        <v>0</v>
      </c>
      <c r="AO1885" s="201">
        <f t="shared" si="9516"/>
        <v>0</v>
      </c>
      <c r="AP1885" s="201">
        <f t="shared" si="9516"/>
        <v>0</v>
      </c>
      <c r="AQ1885" s="201">
        <f t="shared" si="9516"/>
        <v>0</v>
      </c>
      <c r="AR1885" s="200">
        <f t="shared" si="9516"/>
        <v>0</v>
      </c>
      <c r="AS1885" s="200">
        <f t="shared" si="9516"/>
        <v>0</v>
      </c>
      <c r="AT1885" s="173">
        <v>0.0</v>
      </c>
      <c r="AU1885" s="200">
        <f t="shared" ref="AU1885:AX1885" si="9517">countif($D1885,"*"&amp;AU$2&amp;"*")</f>
        <v>0</v>
      </c>
      <c r="AV1885" s="200">
        <f t="shared" si="9517"/>
        <v>1</v>
      </c>
      <c r="AW1885" s="200">
        <f t="shared" si="9517"/>
        <v>0</v>
      </c>
      <c r="AX1885" s="200">
        <f t="shared" si="9517"/>
        <v>0</v>
      </c>
      <c r="AY1885" s="202">
        <v>0.0</v>
      </c>
      <c r="AZ1885" s="200"/>
      <c r="BA1885" s="171" t="str">
        <f t="shared" si="18"/>
        <v/>
      </c>
      <c r="BB1885" s="171" t="str">
        <f t="shared" si="19"/>
        <v>Code</v>
      </c>
      <c r="BC1885" s="171" t="str">
        <f t="shared" si="20"/>
        <v/>
      </c>
      <c r="BD1885" s="171" t="str">
        <f t="shared" si="21"/>
        <v/>
      </c>
      <c r="BE1885" s="171" t="str">
        <f t="shared" si="22"/>
        <v/>
      </c>
      <c r="BF1885" s="171" t="str">
        <f t="shared" si="23"/>
        <v>Code</v>
      </c>
    </row>
    <row r="1886">
      <c r="A1886" s="171">
        <f t="array" ref="A1886">XLOOKUP(C1886,FSE!A:A,FSE!C:C,"XXXXX",0,1)</f>
        <v>2018</v>
      </c>
      <c r="B1886" s="213" t="s">
        <v>5676</v>
      </c>
      <c r="C1886" s="214">
        <v>527.0</v>
      </c>
      <c r="D1886" s="215" t="s">
        <v>6485</v>
      </c>
      <c r="E1886" s="197" t="str">
        <f t="array" ref="E1886">XLOOKUP(C1886,FSE!A:A,FSE!Z:Z,"XXXXX",0,1)</f>
        <v>Publicly Available (3)</v>
      </c>
      <c r="F1886" s="213" t="s">
        <v>3394</v>
      </c>
      <c r="G1886" s="163" t="str">
        <f t="array" ref="G1886">IF(B1886="ICSE",IF(COUNTIFS(B:B,B1886,C:C,C1886)=XLOOKUP(C1886,ICSE!A:A,ICSE!AA:AA,"ERROR",0,1),"OK","ERROR"),IF(B1886="FSE",IF(COUNTIFS(B:B,B1886,C:C,C1886)=XLOOKUP(C1886,FSE!A:A,FSE!AA:AA,"ERROR",0,1),"OK","ERROR")))</f>
        <v>OK</v>
      </c>
      <c r="H1886" s="199">
        <f t="shared" ref="H1886:O1886" si="9518">countif($D1886,"*"&amp;H$2&amp;"*")</f>
        <v>0</v>
      </c>
      <c r="I1886" s="200">
        <f t="shared" si="9518"/>
        <v>0</v>
      </c>
      <c r="J1886" s="200">
        <f t="shared" si="9518"/>
        <v>0</v>
      </c>
      <c r="K1886" s="200">
        <f t="shared" si="9518"/>
        <v>0</v>
      </c>
      <c r="L1886" s="200">
        <f t="shared" si="9518"/>
        <v>0</v>
      </c>
      <c r="M1886" s="200">
        <f t="shared" si="9518"/>
        <v>0</v>
      </c>
      <c r="N1886" s="200">
        <f t="shared" si="9518"/>
        <v>0</v>
      </c>
      <c r="O1886" s="200">
        <f t="shared" si="9518"/>
        <v>0</v>
      </c>
      <c r="P1886" s="200">
        <f t="shared" si="9"/>
        <v>1</v>
      </c>
      <c r="Q1886" s="200">
        <f t="shared" ref="Q1886:AC1886" si="9519">countif($D1886,"*"&amp;Q$2&amp;"*")</f>
        <v>0</v>
      </c>
      <c r="R1886" s="200">
        <f t="shared" si="9519"/>
        <v>0</v>
      </c>
      <c r="S1886" s="200">
        <f t="shared" si="9519"/>
        <v>0</v>
      </c>
      <c r="T1886" s="200">
        <f t="shared" si="9519"/>
        <v>0</v>
      </c>
      <c r="U1886" s="200">
        <f t="shared" si="9519"/>
        <v>0</v>
      </c>
      <c r="V1886" s="200">
        <f t="shared" si="9519"/>
        <v>0</v>
      </c>
      <c r="W1886" s="200">
        <f t="shared" si="9519"/>
        <v>0</v>
      </c>
      <c r="X1886" s="200">
        <f t="shared" si="9519"/>
        <v>0</v>
      </c>
      <c r="Y1886" s="200">
        <f t="shared" si="9519"/>
        <v>0</v>
      </c>
      <c r="Z1886" s="200">
        <f t="shared" si="9519"/>
        <v>0</v>
      </c>
      <c r="AA1886" s="200">
        <f t="shared" si="9519"/>
        <v>0</v>
      </c>
      <c r="AB1886" s="200">
        <f t="shared" si="9519"/>
        <v>0</v>
      </c>
      <c r="AC1886" s="200">
        <f t="shared" si="9519"/>
        <v>0</v>
      </c>
      <c r="AD1886" s="200">
        <f t="shared" si="11"/>
        <v>0</v>
      </c>
      <c r="AE1886" s="200">
        <f t="shared" ref="AE1886:AG1886" si="9520">countif($D1886,"*"&amp;AE$2&amp;"*")</f>
        <v>0</v>
      </c>
      <c r="AF1886" s="200">
        <f t="shared" si="9520"/>
        <v>0</v>
      </c>
      <c r="AG1886" s="200">
        <f t="shared" si="9520"/>
        <v>0</v>
      </c>
      <c r="AH1886" s="171">
        <f t="shared" si="13"/>
        <v>0</v>
      </c>
      <c r="AI1886" s="200">
        <f t="shared" si="14"/>
        <v>0</v>
      </c>
      <c r="AJ1886" s="200">
        <f t="shared" si="9270"/>
        <v>0</v>
      </c>
      <c r="AK1886" s="201">
        <f t="shared" ref="AK1886:AS1886" si="9521">countif($D1886,"*"&amp;AK$2&amp;"*")</f>
        <v>0</v>
      </c>
      <c r="AL1886" s="201">
        <f t="shared" si="9521"/>
        <v>0</v>
      </c>
      <c r="AM1886" s="201">
        <f t="shared" si="9521"/>
        <v>0</v>
      </c>
      <c r="AN1886" s="201">
        <f t="shared" si="9521"/>
        <v>0</v>
      </c>
      <c r="AO1886" s="201">
        <f t="shared" si="9521"/>
        <v>0</v>
      </c>
      <c r="AP1886" s="201">
        <f t="shared" si="9521"/>
        <v>0</v>
      </c>
      <c r="AQ1886" s="201">
        <f t="shared" si="9521"/>
        <v>0</v>
      </c>
      <c r="AR1886" s="200">
        <f t="shared" si="9521"/>
        <v>0</v>
      </c>
      <c r="AS1886" s="200">
        <f t="shared" si="9521"/>
        <v>0</v>
      </c>
      <c r="AT1886" s="173">
        <v>0.0</v>
      </c>
      <c r="AU1886" s="200">
        <f t="shared" ref="AU1886:AX1886" si="9522">countif($D1886,"*"&amp;AU$2&amp;"*")</f>
        <v>0</v>
      </c>
      <c r="AV1886" s="200">
        <f t="shared" si="9522"/>
        <v>1</v>
      </c>
      <c r="AW1886" s="200">
        <f t="shared" si="9522"/>
        <v>0</v>
      </c>
      <c r="AX1886" s="200">
        <f t="shared" si="9522"/>
        <v>0</v>
      </c>
      <c r="AY1886" s="202">
        <v>0.0</v>
      </c>
      <c r="AZ1886" s="200"/>
      <c r="BA1886" s="171" t="str">
        <f t="shared" si="18"/>
        <v/>
      </c>
      <c r="BB1886" s="171" t="str">
        <f t="shared" si="19"/>
        <v>Code</v>
      </c>
      <c r="BC1886" s="171" t="str">
        <f t="shared" si="20"/>
        <v/>
      </c>
      <c r="BD1886" s="171" t="str">
        <f t="shared" si="21"/>
        <v/>
      </c>
      <c r="BE1886" s="171" t="str">
        <f t="shared" si="22"/>
        <v/>
      </c>
      <c r="BF1886" s="171" t="str">
        <f t="shared" si="23"/>
        <v>Code</v>
      </c>
    </row>
    <row r="1887">
      <c r="A1887" s="171">
        <f t="array" ref="A1887">XLOOKUP(C1887,FSE!A:A,FSE!C:C,"XXXXX",0,1)</f>
        <v>2018</v>
      </c>
      <c r="B1887" s="213" t="s">
        <v>5676</v>
      </c>
      <c r="C1887" s="214">
        <v>530.0</v>
      </c>
      <c r="D1887" s="215" t="s">
        <v>4174</v>
      </c>
      <c r="E1887" s="197" t="str">
        <f t="array" ref="E1887">XLOOKUP(C1887,FSE!A:A,FSE!Z:Z,"XXXXX",0,1)</f>
        <v>Publicly Available (1)</v>
      </c>
      <c r="F1887" s="213" t="s">
        <v>3394</v>
      </c>
      <c r="G1887" s="163" t="str">
        <f t="array" ref="G1887">IF(B1887="ICSE",IF(COUNTIFS(B:B,B1887,C:C,C1887)=XLOOKUP(C1887,ICSE!A:A,ICSE!AA:AA,"ERROR",0,1),"OK","ERROR"),IF(B1887="FSE",IF(COUNTIFS(B:B,B1887,C:C,C1887)=XLOOKUP(C1887,FSE!A:A,FSE!AA:AA,"ERROR",0,1),"OK","ERROR")))</f>
        <v>OK</v>
      </c>
      <c r="H1887" s="199">
        <f t="shared" ref="H1887:O1887" si="9523">countif($D1887,"*"&amp;H$2&amp;"*")</f>
        <v>0</v>
      </c>
      <c r="I1887" s="200">
        <f t="shared" si="9523"/>
        <v>0</v>
      </c>
      <c r="J1887" s="200">
        <f t="shared" si="9523"/>
        <v>0</v>
      </c>
      <c r="K1887" s="200">
        <f t="shared" si="9523"/>
        <v>0</v>
      </c>
      <c r="L1887" s="200">
        <f t="shared" si="9523"/>
        <v>0</v>
      </c>
      <c r="M1887" s="200">
        <f t="shared" si="9523"/>
        <v>0</v>
      </c>
      <c r="N1887" s="200">
        <f t="shared" si="9523"/>
        <v>0</v>
      </c>
      <c r="O1887" s="200">
        <f t="shared" si="9523"/>
        <v>0</v>
      </c>
      <c r="P1887" s="200">
        <f t="shared" si="9"/>
        <v>1</v>
      </c>
      <c r="Q1887" s="200">
        <f t="shared" ref="Q1887:AC1887" si="9524">countif($D1887,"*"&amp;Q$2&amp;"*")</f>
        <v>0</v>
      </c>
      <c r="R1887" s="200">
        <f t="shared" si="9524"/>
        <v>0</v>
      </c>
      <c r="S1887" s="200">
        <f t="shared" si="9524"/>
        <v>0</v>
      </c>
      <c r="T1887" s="200">
        <f t="shared" si="9524"/>
        <v>0</v>
      </c>
      <c r="U1887" s="200">
        <f t="shared" si="9524"/>
        <v>0</v>
      </c>
      <c r="V1887" s="200">
        <f t="shared" si="9524"/>
        <v>0</v>
      </c>
      <c r="W1887" s="200">
        <f t="shared" si="9524"/>
        <v>0</v>
      </c>
      <c r="X1887" s="200">
        <f t="shared" si="9524"/>
        <v>0</v>
      </c>
      <c r="Y1887" s="200">
        <f t="shared" si="9524"/>
        <v>0</v>
      </c>
      <c r="Z1887" s="200">
        <f t="shared" si="9524"/>
        <v>0</v>
      </c>
      <c r="AA1887" s="200">
        <f t="shared" si="9524"/>
        <v>0</v>
      </c>
      <c r="AB1887" s="200">
        <f t="shared" si="9524"/>
        <v>0</v>
      </c>
      <c r="AC1887" s="200">
        <f t="shared" si="9524"/>
        <v>0</v>
      </c>
      <c r="AD1887" s="200">
        <f t="shared" si="11"/>
        <v>0</v>
      </c>
      <c r="AE1887" s="200">
        <f t="shared" ref="AE1887:AG1887" si="9525">countif($D1887,"*"&amp;AE$2&amp;"*")</f>
        <v>0</v>
      </c>
      <c r="AF1887" s="200">
        <f t="shared" si="9525"/>
        <v>0</v>
      </c>
      <c r="AG1887" s="200">
        <f t="shared" si="9525"/>
        <v>0</v>
      </c>
      <c r="AH1887" s="171">
        <f t="shared" si="13"/>
        <v>0</v>
      </c>
      <c r="AI1887" s="200">
        <f t="shared" si="14"/>
        <v>0</v>
      </c>
      <c r="AJ1887" s="200">
        <f t="shared" si="9270"/>
        <v>0</v>
      </c>
      <c r="AK1887" s="201">
        <f t="shared" ref="AK1887:AS1887" si="9526">countif($D1887,"*"&amp;AK$2&amp;"*")</f>
        <v>0</v>
      </c>
      <c r="AL1887" s="201">
        <f t="shared" si="9526"/>
        <v>0</v>
      </c>
      <c r="AM1887" s="201">
        <f t="shared" si="9526"/>
        <v>0</v>
      </c>
      <c r="AN1887" s="201">
        <f t="shared" si="9526"/>
        <v>0</v>
      </c>
      <c r="AO1887" s="201">
        <f t="shared" si="9526"/>
        <v>0</v>
      </c>
      <c r="AP1887" s="201">
        <f t="shared" si="9526"/>
        <v>0</v>
      </c>
      <c r="AQ1887" s="201">
        <f t="shared" si="9526"/>
        <v>0</v>
      </c>
      <c r="AR1887" s="200">
        <f t="shared" si="9526"/>
        <v>0</v>
      </c>
      <c r="AS1887" s="200">
        <f t="shared" si="9526"/>
        <v>0</v>
      </c>
      <c r="AT1887" s="173">
        <v>0.0</v>
      </c>
      <c r="AU1887" s="200">
        <f t="shared" ref="AU1887:AX1887" si="9527">countif($D1887,"*"&amp;AU$2&amp;"*")</f>
        <v>0</v>
      </c>
      <c r="AV1887" s="200">
        <f t="shared" si="9527"/>
        <v>1</v>
      </c>
      <c r="AW1887" s="200">
        <f t="shared" si="9527"/>
        <v>0</v>
      </c>
      <c r="AX1887" s="200">
        <f t="shared" si="9527"/>
        <v>0</v>
      </c>
      <c r="AY1887" s="202">
        <v>0.0</v>
      </c>
      <c r="AZ1887" s="200"/>
      <c r="BA1887" s="171" t="str">
        <f t="shared" si="18"/>
        <v/>
      </c>
      <c r="BB1887" s="171" t="str">
        <f t="shared" si="19"/>
        <v>Code</v>
      </c>
      <c r="BC1887" s="171" t="str">
        <f t="shared" si="20"/>
        <v/>
      </c>
      <c r="BD1887" s="171" t="str">
        <f t="shared" si="21"/>
        <v/>
      </c>
      <c r="BE1887" s="171" t="str">
        <f t="shared" si="22"/>
        <v/>
      </c>
      <c r="BF1887" s="171" t="str">
        <f t="shared" si="23"/>
        <v>Code</v>
      </c>
    </row>
    <row r="1888">
      <c r="A1888" s="171">
        <f t="array" ref="A1888">XLOOKUP(C1888,FSE!A:A,FSE!C:C,"XXXXX",0,1)</f>
        <v>2018</v>
      </c>
      <c r="B1888" s="213" t="s">
        <v>5676</v>
      </c>
      <c r="C1888" s="214">
        <v>532.0</v>
      </c>
      <c r="D1888" s="215" t="s">
        <v>4178</v>
      </c>
      <c r="E1888" s="197" t="str">
        <f t="array" ref="E1888">XLOOKUP(C1888,FSE!A:A,FSE!Z:Z,"XXXXX",0,1)</f>
        <v>Publicly Available (1)</v>
      </c>
      <c r="F1888" s="213" t="s">
        <v>3394</v>
      </c>
      <c r="G1888" s="163" t="str">
        <f t="array" ref="G1888">IF(B1888="ICSE",IF(COUNTIFS(B:B,B1888,C:C,C1888)=XLOOKUP(C1888,ICSE!A:A,ICSE!AA:AA,"ERROR",0,1),"OK","ERROR"),IF(B1888="FSE",IF(COUNTIFS(B:B,B1888,C:C,C1888)=XLOOKUP(C1888,FSE!A:A,FSE!AA:AA,"ERROR",0,1),"OK","ERROR")))</f>
        <v>OK</v>
      </c>
      <c r="H1888" s="199">
        <f t="shared" ref="H1888:O1888" si="9528">countif($D1888,"*"&amp;H$2&amp;"*")</f>
        <v>0</v>
      </c>
      <c r="I1888" s="200">
        <f t="shared" si="9528"/>
        <v>0</v>
      </c>
      <c r="J1888" s="200">
        <f t="shared" si="9528"/>
        <v>0</v>
      </c>
      <c r="K1888" s="200">
        <f t="shared" si="9528"/>
        <v>0</v>
      </c>
      <c r="L1888" s="200">
        <f t="shared" si="9528"/>
        <v>0</v>
      </c>
      <c r="M1888" s="200">
        <f t="shared" si="9528"/>
        <v>0</v>
      </c>
      <c r="N1888" s="200">
        <f t="shared" si="9528"/>
        <v>0</v>
      </c>
      <c r="O1888" s="200">
        <f t="shared" si="9528"/>
        <v>0</v>
      </c>
      <c r="P1888" s="200">
        <f t="shared" si="9"/>
        <v>0</v>
      </c>
      <c r="Q1888" s="200">
        <f t="shared" ref="Q1888:AC1888" si="9529">countif($D1888,"*"&amp;Q$2&amp;"*")</f>
        <v>0</v>
      </c>
      <c r="R1888" s="200">
        <f t="shared" si="9529"/>
        <v>0</v>
      </c>
      <c r="S1888" s="200">
        <f t="shared" si="9529"/>
        <v>0</v>
      </c>
      <c r="T1888" s="200">
        <f t="shared" si="9529"/>
        <v>0</v>
      </c>
      <c r="U1888" s="200">
        <f t="shared" si="9529"/>
        <v>0</v>
      </c>
      <c r="V1888" s="200">
        <f t="shared" si="9529"/>
        <v>0</v>
      </c>
      <c r="W1888" s="200">
        <f t="shared" si="9529"/>
        <v>0</v>
      </c>
      <c r="X1888" s="200">
        <f t="shared" si="9529"/>
        <v>0</v>
      </c>
      <c r="Y1888" s="200">
        <f t="shared" si="9529"/>
        <v>0</v>
      </c>
      <c r="Z1888" s="200">
        <f t="shared" si="9529"/>
        <v>0</v>
      </c>
      <c r="AA1888" s="200">
        <f t="shared" si="9529"/>
        <v>0</v>
      </c>
      <c r="AB1888" s="200">
        <f t="shared" si="9529"/>
        <v>0</v>
      </c>
      <c r="AC1888" s="200">
        <f t="shared" si="9529"/>
        <v>0</v>
      </c>
      <c r="AD1888" s="200">
        <f t="shared" si="11"/>
        <v>0</v>
      </c>
      <c r="AE1888" s="200">
        <f t="shared" ref="AE1888:AG1888" si="9530">countif($D1888,"*"&amp;AE$2&amp;"*")</f>
        <v>0</v>
      </c>
      <c r="AF1888" s="200">
        <f t="shared" si="9530"/>
        <v>0</v>
      </c>
      <c r="AG1888" s="200">
        <f t="shared" si="9530"/>
        <v>0</v>
      </c>
      <c r="AH1888" s="171">
        <f t="shared" si="13"/>
        <v>1</v>
      </c>
      <c r="AI1888" s="200">
        <f t="shared" si="14"/>
        <v>0</v>
      </c>
      <c r="AJ1888" s="200">
        <f t="shared" si="9270"/>
        <v>0</v>
      </c>
      <c r="AK1888" s="201">
        <f t="shared" ref="AK1888:AS1888" si="9531">countif($D1888,"*"&amp;AK$2&amp;"*")</f>
        <v>0</v>
      </c>
      <c r="AL1888" s="201">
        <f t="shared" si="9531"/>
        <v>0</v>
      </c>
      <c r="AM1888" s="201">
        <f t="shared" si="9531"/>
        <v>0</v>
      </c>
      <c r="AN1888" s="201">
        <f t="shared" si="9531"/>
        <v>0</v>
      </c>
      <c r="AO1888" s="201">
        <f t="shared" si="9531"/>
        <v>0</v>
      </c>
      <c r="AP1888" s="201">
        <f t="shared" si="9531"/>
        <v>0</v>
      </c>
      <c r="AQ1888" s="201">
        <f t="shared" si="9531"/>
        <v>0</v>
      </c>
      <c r="AR1888" s="200">
        <f t="shared" si="9531"/>
        <v>0</v>
      </c>
      <c r="AS1888" s="200">
        <f t="shared" si="9531"/>
        <v>0</v>
      </c>
      <c r="AT1888" s="173">
        <v>0.0</v>
      </c>
      <c r="AU1888" s="200">
        <f t="shared" ref="AU1888:AX1888" si="9532">countif($D1888,"*"&amp;AU$2&amp;"*")</f>
        <v>0</v>
      </c>
      <c r="AV1888" s="200">
        <f t="shared" si="9532"/>
        <v>0</v>
      </c>
      <c r="AW1888" s="200">
        <f t="shared" si="9532"/>
        <v>0</v>
      </c>
      <c r="AX1888" s="200">
        <f t="shared" si="9532"/>
        <v>0</v>
      </c>
      <c r="AY1888" s="202">
        <v>0.0</v>
      </c>
      <c r="AZ1888" s="200"/>
      <c r="BA1888" s="171" t="str">
        <f t="shared" si="18"/>
        <v/>
      </c>
      <c r="BB1888" s="171" t="str">
        <f t="shared" si="19"/>
        <v/>
      </c>
      <c r="BC1888" s="171" t="str">
        <f t="shared" si="20"/>
        <v/>
      </c>
      <c r="BD1888" s="171" t="str">
        <f t="shared" si="21"/>
        <v/>
      </c>
      <c r="BE1888" s="171" t="str">
        <f t="shared" si="22"/>
        <v>Others</v>
      </c>
      <c r="BF1888" s="171" t="str">
        <f t="shared" si="23"/>
        <v>Others</v>
      </c>
    </row>
    <row r="1889">
      <c r="A1889" s="171">
        <f t="array" ref="A1889">XLOOKUP(C1889,FSE!A:A,FSE!C:C,"XXXXX",0,1)</f>
        <v>2018</v>
      </c>
      <c r="B1889" s="213" t="s">
        <v>5676</v>
      </c>
      <c r="C1889" s="214">
        <v>533.0</v>
      </c>
      <c r="D1889" s="215" t="s">
        <v>4181</v>
      </c>
      <c r="E1889" s="197" t="str">
        <f t="array" ref="E1889">XLOOKUP(C1889,FSE!A:A,FSE!Z:Z,"XXXXX",0,1)</f>
        <v>Publicly Available (1)</v>
      </c>
      <c r="F1889" s="213" t="s">
        <v>3394</v>
      </c>
      <c r="G1889" s="163" t="str">
        <f t="array" ref="G1889">IF(B1889="ICSE",IF(COUNTIFS(B:B,B1889,C:C,C1889)=XLOOKUP(C1889,ICSE!A:A,ICSE!AA:AA,"ERROR",0,1),"OK","ERROR"),IF(B1889="FSE",IF(COUNTIFS(B:B,B1889,C:C,C1889)=XLOOKUP(C1889,FSE!A:A,FSE!AA:AA,"ERROR",0,1),"OK","ERROR")))</f>
        <v>OK</v>
      </c>
      <c r="H1889" s="199">
        <f t="shared" ref="H1889:O1889" si="9533">countif($D1889,"*"&amp;H$2&amp;"*")</f>
        <v>0</v>
      </c>
      <c r="I1889" s="200">
        <f t="shared" si="9533"/>
        <v>0</v>
      </c>
      <c r="J1889" s="200">
        <f t="shared" si="9533"/>
        <v>0</v>
      </c>
      <c r="K1889" s="200">
        <f t="shared" si="9533"/>
        <v>0</v>
      </c>
      <c r="L1889" s="200">
        <f t="shared" si="9533"/>
        <v>0</v>
      </c>
      <c r="M1889" s="200">
        <f t="shared" si="9533"/>
        <v>0</v>
      </c>
      <c r="N1889" s="200">
        <f t="shared" si="9533"/>
        <v>0</v>
      </c>
      <c r="O1889" s="200">
        <f t="shared" si="9533"/>
        <v>0</v>
      </c>
      <c r="P1889" s="200">
        <f t="shared" si="9"/>
        <v>1</v>
      </c>
      <c r="Q1889" s="200">
        <f t="shared" ref="Q1889:AC1889" si="9534">countif($D1889,"*"&amp;Q$2&amp;"*")</f>
        <v>0</v>
      </c>
      <c r="R1889" s="200">
        <f t="shared" si="9534"/>
        <v>0</v>
      </c>
      <c r="S1889" s="200">
        <f t="shared" si="9534"/>
        <v>0</v>
      </c>
      <c r="T1889" s="200">
        <f t="shared" si="9534"/>
        <v>0</v>
      </c>
      <c r="U1889" s="200">
        <f t="shared" si="9534"/>
        <v>0</v>
      </c>
      <c r="V1889" s="200">
        <f t="shared" si="9534"/>
        <v>0</v>
      </c>
      <c r="W1889" s="200">
        <f t="shared" si="9534"/>
        <v>0</v>
      </c>
      <c r="X1889" s="200">
        <f t="shared" si="9534"/>
        <v>0</v>
      </c>
      <c r="Y1889" s="200">
        <f t="shared" si="9534"/>
        <v>0</v>
      </c>
      <c r="Z1889" s="200">
        <f t="shared" si="9534"/>
        <v>0</v>
      </c>
      <c r="AA1889" s="200">
        <f t="shared" si="9534"/>
        <v>0</v>
      </c>
      <c r="AB1889" s="200">
        <f t="shared" si="9534"/>
        <v>0</v>
      </c>
      <c r="AC1889" s="200">
        <f t="shared" si="9534"/>
        <v>0</v>
      </c>
      <c r="AD1889" s="200">
        <f t="shared" si="11"/>
        <v>0</v>
      </c>
      <c r="AE1889" s="200">
        <f t="shared" ref="AE1889:AG1889" si="9535">countif($D1889,"*"&amp;AE$2&amp;"*")</f>
        <v>0</v>
      </c>
      <c r="AF1889" s="200">
        <f t="shared" si="9535"/>
        <v>0</v>
      </c>
      <c r="AG1889" s="200">
        <f t="shared" si="9535"/>
        <v>0</v>
      </c>
      <c r="AH1889" s="171">
        <f t="shared" si="13"/>
        <v>0</v>
      </c>
      <c r="AI1889" s="200">
        <f t="shared" si="14"/>
        <v>0</v>
      </c>
      <c r="AJ1889" s="200">
        <f t="shared" si="9270"/>
        <v>0</v>
      </c>
      <c r="AK1889" s="201">
        <f t="shared" ref="AK1889:AS1889" si="9536">countif($D1889,"*"&amp;AK$2&amp;"*")</f>
        <v>0</v>
      </c>
      <c r="AL1889" s="201">
        <f t="shared" si="9536"/>
        <v>0</v>
      </c>
      <c r="AM1889" s="201">
        <f t="shared" si="9536"/>
        <v>0</v>
      </c>
      <c r="AN1889" s="201">
        <f t="shared" si="9536"/>
        <v>0</v>
      </c>
      <c r="AO1889" s="201">
        <f t="shared" si="9536"/>
        <v>0</v>
      </c>
      <c r="AP1889" s="201">
        <f t="shared" si="9536"/>
        <v>0</v>
      </c>
      <c r="AQ1889" s="201">
        <f t="shared" si="9536"/>
        <v>0</v>
      </c>
      <c r="AR1889" s="200">
        <f t="shared" si="9536"/>
        <v>0</v>
      </c>
      <c r="AS1889" s="200">
        <f t="shared" si="9536"/>
        <v>0</v>
      </c>
      <c r="AT1889" s="173">
        <v>0.0</v>
      </c>
      <c r="AU1889" s="200">
        <f t="shared" ref="AU1889:AX1889" si="9537">countif($D1889,"*"&amp;AU$2&amp;"*")</f>
        <v>0</v>
      </c>
      <c r="AV1889" s="200">
        <f t="shared" si="9537"/>
        <v>1</v>
      </c>
      <c r="AW1889" s="200">
        <f t="shared" si="9537"/>
        <v>0</v>
      </c>
      <c r="AX1889" s="200">
        <f t="shared" si="9537"/>
        <v>0</v>
      </c>
      <c r="AY1889" s="202">
        <v>0.0</v>
      </c>
      <c r="AZ1889" s="200"/>
      <c r="BA1889" s="171" t="str">
        <f t="shared" si="18"/>
        <v/>
      </c>
      <c r="BB1889" s="171" t="str">
        <f t="shared" si="19"/>
        <v>Code</v>
      </c>
      <c r="BC1889" s="171" t="str">
        <f t="shared" si="20"/>
        <v/>
      </c>
      <c r="BD1889" s="171" t="str">
        <f t="shared" si="21"/>
        <v/>
      </c>
      <c r="BE1889" s="171" t="str">
        <f t="shared" si="22"/>
        <v/>
      </c>
      <c r="BF1889" s="171" t="str">
        <f t="shared" si="23"/>
        <v>Code</v>
      </c>
    </row>
    <row r="1890">
      <c r="A1890" s="171">
        <f t="array" ref="A1890">XLOOKUP(C1890,FSE!A:A,FSE!C:C,"XXXXX",0,1)</f>
        <v>2018</v>
      </c>
      <c r="B1890" s="213" t="s">
        <v>5676</v>
      </c>
      <c r="C1890" s="214">
        <v>536.0</v>
      </c>
      <c r="D1890" s="215" t="s">
        <v>4186</v>
      </c>
      <c r="E1890" s="197" t="str">
        <f t="array" ref="E1890">XLOOKUP(C1890,FSE!A:A,FSE!Z:Z,"XXXXX",0,1)</f>
        <v>Publicly Available (1)</v>
      </c>
      <c r="F1890" s="213" t="s">
        <v>3394</v>
      </c>
      <c r="G1890" s="163" t="str">
        <f t="array" ref="G1890">IF(B1890="ICSE",IF(COUNTIFS(B:B,B1890,C:C,C1890)=XLOOKUP(C1890,ICSE!A:A,ICSE!AA:AA,"ERROR",0,1),"OK","ERROR"),IF(B1890="FSE",IF(COUNTIFS(B:B,B1890,C:C,C1890)=XLOOKUP(C1890,FSE!A:A,FSE!AA:AA,"ERROR",0,1),"OK","ERROR")))</f>
        <v>OK</v>
      </c>
      <c r="H1890" s="199">
        <f t="shared" ref="H1890:O1890" si="9538">countif($D1890,"*"&amp;H$2&amp;"*")</f>
        <v>0</v>
      </c>
      <c r="I1890" s="200">
        <f t="shared" si="9538"/>
        <v>0</v>
      </c>
      <c r="J1890" s="200">
        <f t="shared" si="9538"/>
        <v>0</v>
      </c>
      <c r="K1890" s="200">
        <f t="shared" si="9538"/>
        <v>0</v>
      </c>
      <c r="L1890" s="200">
        <f t="shared" si="9538"/>
        <v>0</v>
      </c>
      <c r="M1890" s="200">
        <f t="shared" si="9538"/>
        <v>0</v>
      </c>
      <c r="N1890" s="200">
        <f t="shared" si="9538"/>
        <v>0</v>
      </c>
      <c r="O1890" s="200">
        <f t="shared" si="9538"/>
        <v>0</v>
      </c>
      <c r="P1890" s="200">
        <f t="shared" si="9"/>
        <v>0</v>
      </c>
      <c r="Q1890" s="200">
        <f t="shared" ref="Q1890:AC1890" si="9539">countif($D1890,"*"&amp;Q$2&amp;"*")</f>
        <v>0</v>
      </c>
      <c r="R1890" s="200">
        <f t="shared" si="9539"/>
        <v>1</v>
      </c>
      <c r="S1890" s="200">
        <f t="shared" si="9539"/>
        <v>0</v>
      </c>
      <c r="T1890" s="200">
        <f t="shared" si="9539"/>
        <v>0</v>
      </c>
      <c r="U1890" s="200">
        <f t="shared" si="9539"/>
        <v>0</v>
      </c>
      <c r="V1890" s="200">
        <f t="shared" si="9539"/>
        <v>0</v>
      </c>
      <c r="W1890" s="200">
        <f t="shared" si="9539"/>
        <v>0</v>
      </c>
      <c r="X1890" s="200">
        <f t="shared" si="9539"/>
        <v>0</v>
      </c>
      <c r="Y1890" s="200">
        <f t="shared" si="9539"/>
        <v>0</v>
      </c>
      <c r="Z1890" s="200">
        <f t="shared" si="9539"/>
        <v>0</v>
      </c>
      <c r="AA1890" s="200">
        <f t="shared" si="9539"/>
        <v>0</v>
      </c>
      <c r="AB1890" s="200">
        <f t="shared" si="9539"/>
        <v>0</v>
      </c>
      <c r="AC1890" s="200">
        <f t="shared" si="9539"/>
        <v>0</v>
      </c>
      <c r="AD1890" s="200">
        <f t="shared" si="11"/>
        <v>0</v>
      </c>
      <c r="AE1890" s="200">
        <f t="shared" ref="AE1890:AG1890" si="9540">countif($D1890,"*"&amp;AE$2&amp;"*")</f>
        <v>0</v>
      </c>
      <c r="AF1890" s="200">
        <f t="shared" si="9540"/>
        <v>0</v>
      </c>
      <c r="AG1890" s="200">
        <f t="shared" si="9540"/>
        <v>0</v>
      </c>
      <c r="AH1890" s="171">
        <f t="shared" si="13"/>
        <v>0</v>
      </c>
      <c r="AI1890" s="200">
        <f t="shared" si="14"/>
        <v>0</v>
      </c>
      <c r="AJ1890" s="200">
        <f t="shared" si="9270"/>
        <v>0</v>
      </c>
      <c r="AK1890" s="201">
        <f t="shared" ref="AK1890:AS1890" si="9541">countif($D1890,"*"&amp;AK$2&amp;"*")</f>
        <v>0</v>
      </c>
      <c r="AL1890" s="201">
        <f t="shared" si="9541"/>
        <v>0</v>
      </c>
      <c r="AM1890" s="201">
        <f t="shared" si="9541"/>
        <v>0</v>
      </c>
      <c r="AN1890" s="201">
        <f t="shared" si="9541"/>
        <v>0</v>
      </c>
      <c r="AO1890" s="201">
        <f t="shared" si="9541"/>
        <v>0</v>
      </c>
      <c r="AP1890" s="201">
        <f t="shared" si="9541"/>
        <v>0</v>
      </c>
      <c r="AQ1890" s="201">
        <f t="shared" si="9541"/>
        <v>0</v>
      </c>
      <c r="AR1890" s="200">
        <f t="shared" si="9541"/>
        <v>0</v>
      </c>
      <c r="AS1890" s="200">
        <f t="shared" si="9541"/>
        <v>0</v>
      </c>
      <c r="AT1890" s="173">
        <v>0.0</v>
      </c>
      <c r="AU1890" s="200">
        <f t="shared" ref="AU1890:AX1890" si="9542">countif($D1890,"*"&amp;AU$2&amp;"*")</f>
        <v>0</v>
      </c>
      <c r="AV1890" s="200">
        <f t="shared" si="9542"/>
        <v>0</v>
      </c>
      <c r="AW1890" s="200">
        <f t="shared" si="9542"/>
        <v>0</v>
      </c>
      <c r="AX1890" s="200">
        <f t="shared" si="9542"/>
        <v>0</v>
      </c>
      <c r="AY1890" s="202">
        <v>0.0</v>
      </c>
      <c r="AZ1890" s="200"/>
      <c r="BA1890" s="171" t="str">
        <f t="shared" si="18"/>
        <v/>
      </c>
      <c r="BB1890" s="171" t="str">
        <f t="shared" si="19"/>
        <v>Code</v>
      </c>
      <c r="BC1890" s="171" t="str">
        <f t="shared" si="20"/>
        <v/>
      </c>
      <c r="BD1890" s="171" t="str">
        <f t="shared" si="21"/>
        <v/>
      </c>
      <c r="BE1890" s="171" t="str">
        <f t="shared" si="22"/>
        <v/>
      </c>
      <c r="BF1890" s="171" t="str">
        <f t="shared" si="23"/>
        <v>Code</v>
      </c>
    </row>
    <row r="1891">
      <c r="A1891" s="171">
        <f t="array" ref="A1891">XLOOKUP(C1891,FSE!A:A,FSE!C:C,"XXXXX",0,1)</f>
        <v>2018</v>
      </c>
      <c r="B1891" s="213" t="s">
        <v>5676</v>
      </c>
      <c r="C1891" s="214">
        <v>537.0</v>
      </c>
      <c r="D1891" s="215" t="s">
        <v>4189</v>
      </c>
      <c r="E1891" s="197" t="str">
        <f t="array" ref="E1891">XLOOKUP(C1891,FSE!A:A,FSE!Z:Z,"XXXXX",0,1)</f>
        <v>Publicly Available (1)</v>
      </c>
      <c r="F1891" s="213" t="s">
        <v>3394</v>
      </c>
      <c r="G1891" s="163" t="str">
        <f t="array" ref="G1891">IF(B1891="ICSE",IF(COUNTIFS(B:B,B1891,C:C,C1891)=XLOOKUP(C1891,ICSE!A:A,ICSE!AA:AA,"ERROR",0,1),"OK","ERROR"),IF(B1891="FSE",IF(COUNTIFS(B:B,B1891,C:C,C1891)=XLOOKUP(C1891,FSE!A:A,FSE!AA:AA,"ERROR",0,1),"OK","ERROR")))</f>
        <v>OK</v>
      </c>
      <c r="H1891" s="199">
        <f t="shared" ref="H1891:O1891" si="9543">countif($D1891,"*"&amp;H$2&amp;"*")</f>
        <v>0</v>
      </c>
      <c r="I1891" s="200">
        <f t="shared" si="9543"/>
        <v>0</v>
      </c>
      <c r="J1891" s="200">
        <f t="shared" si="9543"/>
        <v>0</v>
      </c>
      <c r="K1891" s="200">
        <f t="shared" si="9543"/>
        <v>0</v>
      </c>
      <c r="L1891" s="200">
        <f t="shared" si="9543"/>
        <v>0</v>
      </c>
      <c r="M1891" s="200">
        <f t="shared" si="9543"/>
        <v>0</v>
      </c>
      <c r="N1891" s="200">
        <f t="shared" si="9543"/>
        <v>0</v>
      </c>
      <c r="O1891" s="200">
        <f t="shared" si="9543"/>
        <v>0</v>
      </c>
      <c r="P1891" s="200">
        <f t="shared" si="9"/>
        <v>0</v>
      </c>
      <c r="Q1891" s="200">
        <f t="shared" ref="Q1891:AC1891" si="9544">countif($D1891,"*"&amp;Q$2&amp;"*")</f>
        <v>0</v>
      </c>
      <c r="R1891" s="200">
        <f t="shared" si="9544"/>
        <v>0</v>
      </c>
      <c r="S1891" s="200">
        <f t="shared" si="9544"/>
        <v>0</v>
      </c>
      <c r="T1891" s="200">
        <f t="shared" si="9544"/>
        <v>0</v>
      </c>
      <c r="U1891" s="200">
        <f t="shared" si="9544"/>
        <v>0</v>
      </c>
      <c r="V1891" s="200">
        <f t="shared" si="9544"/>
        <v>0</v>
      </c>
      <c r="W1891" s="200">
        <f t="shared" si="9544"/>
        <v>0</v>
      </c>
      <c r="X1891" s="200">
        <f t="shared" si="9544"/>
        <v>0</v>
      </c>
      <c r="Y1891" s="200">
        <f t="shared" si="9544"/>
        <v>0</v>
      </c>
      <c r="Z1891" s="200">
        <f t="shared" si="9544"/>
        <v>0</v>
      </c>
      <c r="AA1891" s="200">
        <f t="shared" si="9544"/>
        <v>1</v>
      </c>
      <c r="AB1891" s="200">
        <f t="shared" si="9544"/>
        <v>0</v>
      </c>
      <c r="AC1891" s="200">
        <f t="shared" si="9544"/>
        <v>0</v>
      </c>
      <c r="AD1891" s="200">
        <f t="shared" si="11"/>
        <v>0</v>
      </c>
      <c r="AE1891" s="200">
        <f t="shared" ref="AE1891:AG1891" si="9545">countif($D1891,"*"&amp;AE$2&amp;"*")</f>
        <v>0</v>
      </c>
      <c r="AF1891" s="200">
        <f t="shared" si="9545"/>
        <v>0</v>
      </c>
      <c r="AG1891" s="200">
        <f t="shared" si="9545"/>
        <v>0</v>
      </c>
      <c r="AH1891" s="171">
        <f t="shared" si="13"/>
        <v>0</v>
      </c>
      <c r="AI1891" s="200">
        <f t="shared" si="14"/>
        <v>0</v>
      </c>
      <c r="AJ1891" s="200">
        <f t="shared" si="9270"/>
        <v>0</v>
      </c>
      <c r="AK1891" s="201">
        <f t="shared" ref="AK1891:AS1891" si="9546">countif($D1891,"*"&amp;AK$2&amp;"*")</f>
        <v>0</v>
      </c>
      <c r="AL1891" s="201">
        <f t="shared" si="9546"/>
        <v>0</v>
      </c>
      <c r="AM1891" s="201">
        <f t="shared" si="9546"/>
        <v>0</v>
      </c>
      <c r="AN1891" s="201">
        <f t="shared" si="9546"/>
        <v>0</v>
      </c>
      <c r="AO1891" s="201">
        <f t="shared" si="9546"/>
        <v>0</v>
      </c>
      <c r="AP1891" s="201">
        <f t="shared" si="9546"/>
        <v>0</v>
      </c>
      <c r="AQ1891" s="201">
        <f t="shared" si="9546"/>
        <v>0</v>
      </c>
      <c r="AR1891" s="200">
        <f t="shared" si="9546"/>
        <v>0</v>
      </c>
      <c r="AS1891" s="200">
        <f t="shared" si="9546"/>
        <v>0</v>
      </c>
      <c r="AT1891" s="173">
        <v>0.0</v>
      </c>
      <c r="AU1891" s="200">
        <f t="shared" ref="AU1891:AX1891" si="9547">countif($D1891,"*"&amp;AU$2&amp;"*")</f>
        <v>0</v>
      </c>
      <c r="AV1891" s="200">
        <f t="shared" si="9547"/>
        <v>0</v>
      </c>
      <c r="AW1891" s="200">
        <f t="shared" si="9547"/>
        <v>0</v>
      </c>
      <c r="AX1891" s="200">
        <f t="shared" si="9547"/>
        <v>0</v>
      </c>
      <c r="AY1891" s="202">
        <v>0.0</v>
      </c>
      <c r="AZ1891" s="200"/>
      <c r="BA1891" s="171" t="str">
        <f t="shared" si="18"/>
        <v/>
      </c>
      <c r="BB1891" s="171" t="str">
        <f t="shared" si="19"/>
        <v/>
      </c>
      <c r="BC1891" s="171" t="str">
        <f t="shared" si="20"/>
        <v>General-purpose</v>
      </c>
      <c r="BD1891" s="171" t="str">
        <f t="shared" si="21"/>
        <v/>
      </c>
      <c r="BE1891" s="171" t="str">
        <f t="shared" si="22"/>
        <v/>
      </c>
      <c r="BF1891" s="171" t="str">
        <f t="shared" si="23"/>
        <v>General-purpose</v>
      </c>
    </row>
    <row r="1892">
      <c r="A1892" s="171">
        <f t="array" ref="A1892">XLOOKUP(C1892,FSE!A:A,FSE!C:C,"XXXXX",0,1)</f>
        <v>2018</v>
      </c>
      <c r="B1892" s="213" t="s">
        <v>5676</v>
      </c>
      <c r="C1892" s="219">
        <v>538.0</v>
      </c>
      <c r="D1892" s="217" t="s">
        <v>6486</v>
      </c>
      <c r="E1892" s="197" t="str">
        <f t="array" ref="E1892">XLOOKUP(C1892,FSE!A:A,FSE!Z:Z,"XXXXX",0,1)</f>
        <v>Publicly Available (2)</v>
      </c>
      <c r="F1892" s="213" t="s">
        <v>3394</v>
      </c>
      <c r="G1892" s="163" t="str">
        <f t="array" ref="G1892">IF(B1892="ICSE",IF(COUNTIFS(B:B,B1892,C:C,C1892)=XLOOKUP(C1892,ICSE!A:A,ICSE!AA:AA,"ERROR",0,1),"OK","ERROR"),IF(B1892="FSE",IF(COUNTIFS(B:B,B1892,C:C,C1892)=XLOOKUP(C1892,FSE!A:A,FSE!AA:AA,"ERROR",0,1),"OK","ERROR")))</f>
        <v>OK</v>
      </c>
      <c r="H1892" s="199">
        <f t="shared" ref="H1892:O1892" si="9548">countif($D1892,"*"&amp;H$2&amp;"*")</f>
        <v>0</v>
      </c>
      <c r="I1892" s="200">
        <f t="shared" si="9548"/>
        <v>0</v>
      </c>
      <c r="J1892" s="200">
        <f t="shared" si="9548"/>
        <v>0</v>
      </c>
      <c r="K1892" s="200">
        <f t="shared" si="9548"/>
        <v>0</v>
      </c>
      <c r="L1892" s="200">
        <f t="shared" si="9548"/>
        <v>0</v>
      </c>
      <c r="M1892" s="200">
        <f t="shared" si="9548"/>
        <v>0</v>
      </c>
      <c r="N1892" s="200">
        <f t="shared" si="9548"/>
        <v>0</v>
      </c>
      <c r="O1892" s="200">
        <f t="shared" si="9548"/>
        <v>0</v>
      </c>
      <c r="P1892" s="200">
        <f t="shared" si="9"/>
        <v>0</v>
      </c>
      <c r="Q1892" s="200">
        <f t="shared" ref="Q1892:AC1892" si="9549">countif($D1892,"*"&amp;Q$2&amp;"*")</f>
        <v>0</v>
      </c>
      <c r="R1892" s="200">
        <f t="shared" si="9549"/>
        <v>0</v>
      </c>
      <c r="S1892" s="200">
        <f t="shared" si="9549"/>
        <v>0</v>
      </c>
      <c r="T1892" s="200">
        <f t="shared" si="9549"/>
        <v>0</v>
      </c>
      <c r="U1892" s="200">
        <f t="shared" si="9549"/>
        <v>0</v>
      </c>
      <c r="V1892" s="200">
        <f t="shared" si="9549"/>
        <v>0</v>
      </c>
      <c r="W1892" s="200">
        <f t="shared" si="9549"/>
        <v>0</v>
      </c>
      <c r="X1892" s="200">
        <f t="shared" si="9549"/>
        <v>0</v>
      </c>
      <c r="Y1892" s="200">
        <f t="shared" si="9549"/>
        <v>0</v>
      </c>
      <c r="Z1892" s="200">
        <f t="shared" si="9549"/>
        <v>0</v>
      </c>
      <c r="AA1892" s="200">
        <f t="shared" si="9549"/>
        <v>0</v>
      </c>
      <c r="AB1892" s="200">
        <f t="shared" si="9549"/>
        <v>0</v>
      </c>
      <c r="AC1892" s="200">
        <f t="shared" si="9549"/>
        <v>0</v>
      </c>
      <c r="AD1892" s="200">
        <f t="shared" si="11"/>
        <v>0</v>
      </c>
      <c r="AE1892" s="200">
        <f t="shared" ref="AE1892:AG1892" si="9550">countif($D1892,"*"&amp;AE$2&amp;"*")</f>
        <v>0</v>
      </c>
      <c r="AF1892" s="200">
        <f t="shared" si="9550"/>
        <v>0</v>
      </c>
      <c r="AG1892" s="200">
        <f t="shared" si="9550"/>
        <v>0</v>
      </c>
      <c r="AH1892" s="171">
        <f t="shared" si="13"/>
        <v>1</v>
      </c>
      <c r="AI1892" s="200">
        <f t="shared" si="14"/>
        <v>0</v>
      </c>
      <c r="AJ1892" s="200">
        <f t="shared" si="9270"/>
        <v>1</v>
      </c>
      <c r="AK1892" s="201">
        <f t="shared" ref="AK1892:AS1892" si="9551">countif($D1892,"*"&amp;AK$2&amp;"*")</f>
        <v>0</v>
      </c>
      <c r="AL1892" s="201">
        <f t="shared" si="9551"/>
        <v>0</v>
      </c>
      <c r="AM1892" s="201">
        <f t="shared" si="9551"/>
        <v>0</v>
      </c>
      <c r="AN1892" s="201">
        <f t="shared" si="9551"/>
        <v>1</v>
      </c>
      <c r="AO1892" s="201">
        <f t="shared" si="9551"/>
        <v>0</v>
      </c>
      <c r="AP1892" s="201">
        <f t="shared" si="9551"/>
        <v>0</v>
      </c>
      <c r="AQ1892" s="201">
        <f t="shared" si="9551"/>
        <v>0</v>
      </c>
      <c r="AR1892" s="200">
        <f t="shared" si="9551"/>
        <v>0</v>
      </c>
      <c r="AS1892" s="200">
        <f t="shared" si="9551"/>
        <v>1</v>
      </c>
      <c r="AT1892" s="173">
        <v>0.0</v>
      </c>
      <c r="AU1892" s="200">
        <f t="shared" ref="AU1892:AX1892" si="9552">countif($D1892,"*"&amp;AU$2&amp;"*")</f>
        <v>0</v>
      </c>
      <c r="AV1892" s="200">
        <f t="shared" si="9552"/>
        <v>0</v>
      </c>
      <c r="AW1892" s="200">
        <f t="shared" si="9552"/>
        <v>0</v>
      </c>
      <c r="AX1892" s="200">
        <f t="shared" si="9552"/>
        <v>0</v>
      </c>
      <c r="AY1892" s="202">
        <v>0.0</v>
      </c>
      <c r="AZ1892" s="200"/>
      <c r="BA1892" s="171" t="str">
        <f t="shared" si="18"/>
        <v/>
      </c>
      <c r="BB1892" s="171" t="str">
        <f t="shared" si="19"/>
        <v/>
      </c>
      <c r="BC1892" s="171" t="str">
        <f t="shared" si="20"/>
        <v/>
      </c>
      <c r="BD1892" s="171" t="str">
        <f t="shared" si="21"/>
        <v/>
      </c>
      <c r="BE1892" s="171" t="str">
        <f t="shared" si="22"/>
        <v>Others</v>
      </c>
      <c r="BF1892" s="171" t="str">
        <f t="shared" si="23"/>
        <v>Others</v>
      </c>
    </row>
    <row r="1893">
      <c r="A1893" s="171">
        <f t="array" ref="A1893">XLOOKUP(C1893,FSE!A:A,FSE!C:C,"XXXXX",0,1)</f>
        <v>2018</v>
      </c>
      <c r="B1893" s="213" t="s">
        <v>5676</v>
      </c>
      <c r="C1893" s="214">
        <v>538.0</v>
      </c>
      <c r="D1893" s="215" t="s">
        <v>6487</v>
      </c>
      <c r="E1893" s="197" t="str">
        <f t="array" ref="E1893">XLOOKUP(C1893,FSE!A:A,FSE!Z:Z,"XXXXX",0,1)</f>
        <v>Publicly Available (2)</v>
      </c>
      <c r="F1893" s="213" t="s">
        <v>3394</v>
      </c>
      <c r="G1893" s="163" t="str">
        <f t="array" ref="G1893">IF(B1893="ICSE",IF(COUNTIFS(B:B,B1893,C:C,C1893)=XLOOKUP(C1893,ICSE!A:A,ICSE!AA:AA,"ERROR",0,1),"OK","ERROR"),IF(B1893="FSE",IF(COUNTIFS(B:B,B1893,C:C,C1893)=XLOOKUP(C1893,FSE!A:A,FSE!AA:AA,"ERROR",0,1),"OK","ERROR")))</f>
        <v>OK</v>
      </c>
      <c r="H1893" s="199">
        <f t="shared" ref="H1893:O1893" si="9553">countif($D1893,"*"&amp;H$2&amp;"*")</f>
        <v>0</v>
      </c>
      <c r="I1893" s="200">
        <f t="shared" si="9553"/>
        <v>0</v>
      </c>
      <c r="J1893" s="200">
        <f t="shared" si="9553"/>
        <v>0</v>
      </c>
      <c r="K1893" s="200">
        <f t="shared" si="9553"/>
        <v>0</v>
      </c>
      <c r="L1893" s="200">
        <f t="shared" si="9553"/>
        <v>0</v>
      </c>
      <c r="M1893" s="200">
        <f t="shared" si="9553"/>
        <v>0</v>
      </c>
      <c r="N1893" s="200">
        <f t="shared" si="9553"/>
        <v>0</v>
      </c>
      <c r="O1893" s="200">
        <f t="shared" si="9553"/>
        <v>0</v>
      </c>
      <c r="P1893" s="200">
        <f t="shared" si="9"/>
        <v>1</v>
      </c>
      <c r="Q1893" s="200">
        <f t="shared" ref="Q1893:AC1893" si="9554">countif($D1893,"*"&amp;Q$2&amp;"*")</f>
        <v>0</v>
      </c>
      <c r="R1893" s="200">
        <f t="shared" si="9554"/>
        <v>0</v>
      </c>
      <c r="S1893" s="200">
        <f t="shared" si="9554"/>
        <v>0</v>
      </c>
      <c r="T1893" s="200">
        <f t="shared" si="9554"/>
        <v>0</v>
      </c>
      <c r="U1893" s="200">
        <f t="shared" si="9554"/>
        <v>0</v>
      </c>
      <c r="V1893" s="200">
        <f t="shared" si="9554"/>
        <v>0</v>
      </c>
      <c r="W1893" s="200">
        <f t="shared" si="9554"/>
        <v>0</v>
      </c>
      <c r="X1893" s="200">
        <f t="shared" si="9554"/>
        <v>0</v>
      </c>
      <c r="Y1893" s="200">
        <f t="shared" si="9554"/>
        <v>0</v>
      </c>
      <c r="Z1893" s="200">
        <f t="shared" si="9554"/>
        <v>0</v>
      </c>
      <c r="AA1893" s="200">
        <f t="shared" si="9554"/>
        <v>0</v>
      </c>
      <c r="AB1893" s="200">
        <f t="shared" si="9554"/>
        <v>0</v>
      </c>
      <c r="AC1893" s="200">
        <f t="shared" si="9554"/>
        <v>0</v>
      </c>
      <c r="AD1893" s="200">
        <f t="shared" si="11"/>
        <v>0</v>
      </c>
      <c r="AE1893" s="200">
        <f t="shared" ref="AE1893:AG1893" si="9555">countif($D1893,"*"&amp;AE$2&amp;"*")</f>
        <v>0</v>
      </c>
      <c r="AF1893" s="200">
        <f t="shared" si="9555"/>
        <v>0</v>
      </c>
      <c r="AG1893" s="200">
        <f t="shared" si="9555"/>
        <v>0</v>
      </c>
      <c r="AH1893" s="171">
        <f t="shared" si="13"/>
        <v>0</v>
      </c>
      <c r="AI1893" s="200">
        <f t="shared" si="14"/>
        <v>0</v>
      </c>
      <c r="AJ1893" s="200">
        <f t="shared" si="9270"/>
        <v>0</v>
      </c>
      <c r="AK1893" s="201">
        <f t="shared" ref="AK1893:AS1893" si="9556">countif($D1893,"*"&amp;AK$2&amp;"*")</f>
        <v>0</v>
      </c>
      <c r="AL1893" s="201">
        <f t="shared" si="9556"/>
        <v>0</v>
      </c>
      <c r="AM1893" s="201">
        <f t="shared" si="9556"/>
        <v>0</v>
      </c>
      <c r="AN1893" s="201">
        <f t="shared" si="9556"/>
        <v>0</v>
      </c>
      <c r="AO1893" s="201">
        <f t="shared" si="9556"/>
        <v>0</v>
      </c>
      <c r="AP1893" s="201">
        <f t="shared" si="9556"/>
        <v>0</v>
      </c>
      <c r="AQ1893" s="201">
        <f t="shared" si="9556"/>
        <v>0</v>
      </c>
      <c r="AR1893" s="200">
        <f t="shared" si="9556"/>
        <v>0</v>
      </c>
      <c r="AS1893" s="200">
        <f t="shared" si="9556"/>
        <v>0</v>
      </c>
      <c r="AT1893" s="173">
        <v>0.0</v>
      </c>
      <c r="AU1893" s="200">
        <f t="shared" ref="AU1893:AX1893" si="9557">countif($D1893,"*"&amp;AU$2&amp;"*")</f>
        <v>0</v>
      </c>
      <c r="AV1893" s="200">
        <f t="shared" si="9557"/>
        <v>1</v>
      </c>
      <c r="AW1893" s="200">
        <f t="shared" si="9557"/>
        <v>0</v>
      </c>
      <c r="AX1893" s="200">
        <f t="shared" si="9557"/>
        <v>0</v>
      </c>
      <c r="AY1893" s="202">
        <v>0.0</v>
      </c>
      <c r="AZ1893" s="200"/>
      <c r="BA1893" s="171" t="str">
        <f t="shared" si="18"/>
        <v/>
      </c>
      <c r="BB1893" s="171" t="str">
        <f t="shared" si="19"/>
        <v>Code</v>
      </c>
      <c r="BC1893" s="171" t="str">
        <f t="shared" si="20"/>
        <v/>
      </c>
      <c r="BD1893" s="171" t="str">
        <f t="shared" si="21"/>
        <v/>
      </c>
      <c r="BE1893" s="171" t="str">
        <f t="shared" si="22"/>
        <v/>
      </c>
      <c r="BF1893" s="171" t="str">
        <f t="shared" si="23"/>
        <v>Code</v>
      </c>
    </row>
    <row r="1894">
      <c r="A1894" s="171">
        <f t="array" ref="A1894">XLOOKUP(C1894,FSE!A:A,FSE!C:C,"XXXXX",0,1)</f>
        <v>2018</v>
      </c>
      <c r="B1894" s="213" t="s">
        <v>5676</v>
      </c>
      <c r="C1894" s="214">
        <v>539.0</v>
      </c>
      <c r="D1894" s="217" t="s">
        <v>4196</v>
      </c>
      <c r="E1894" s="197" t="str">
        <f t="array" ref="E1894">XLOOKUP(C1894,FSE!A:A,FSE!Z:Z,"XXXXX",0,1)</f>
        <v>Not Available (1)</v>
      </c>
      <c r="F1894" s="213" t="s">
        <v>3395</v>
      </c>
      <c r="G1894" s="163" t="str">
        <f t="array" ref="G1894">IF(B1894="ICSE",IF(COUNTIFS(B:B,B1894,C:C,C1894)=XLOOKUP(C1894,ICSE!A:A,ICSE!AA:AA,"ERROR",0,1),"OK","ERROR"),IF(B1894="FSE",IF(COUNTIFS(B:B,B1894,C:C,C1894)=XLOOKUP(C1894,FSE!A:A,FSE!AA:AA,"ERROR",0,1),"OK","ERROR")))</f>
        <v>OK</v>
      </c>
      <c r="H1894" s="199">
        <f t="shared" ref="H1894:O1894" si="9558">countif($D1894,"*"&amp;H$2&amp;"*")</f>
        <v>0</v>
      </c>
      <c r="I1894" s="200">
        <f t="shared" si="9558"/>
        <v>0</v>
      </c>
      <c r="J1894" s="200">
        <f t="shared" si="9558"/>
        <v>0</v>
      </c>
      <c r="K1894" s="200">
        <f t="shared" si="9558"/>
        <v>0</v>
      </c>
      <c r="L1894" s="200">
        <f t="shared" si="9558"/>
        <v>0</v>
      </c>
      <c r="M1894" s="200">
        <f t="shared" si="9558"/>
        <v>0</v>
      </c>
      <c r="N1894" s="200">
        <f t="shared" si="9558"/>
        <v>0</v>
      </c>
      <c r="O1894" s="200">
        <f t="shared" si="9558"/>
        <v>0</v>
      </c>
      <c r="P1894" s="200">
        <f t="shared" si="9"/>
        <v>0</v>
      </c>
      <c r="Q1894" s="200">
        <f t="shared" ref="Q1894:AC1894" si="9559">countif($D1894,"*"&amp;Q$2&amp;"*")</f>
        <v>0</v>
      </c>
      <c r="R1894" s="200">
        <f t="shared" si="9559"/>
        <v>0</v>
      </c>
      <c r="S1894" s="200">
        <f t="shared" si="9559"/>
        <v>0</v>
      </c>
      <c r="T1894" s="200">
        <f t="shared" si="9559"/>
        <v>0</v>
      </c>
      <c r="U1894" s="200">
        <f t="shared" si="9559"/>
        <v>0</v>
      </c>
      <c r="V1894" s="200">
        <f t="shared" si="9559"/>
        <v>0</v>
      </c>
      <c r="W1894" s="200">
        <f t="shared" si="9559"/>
        <v>0</v>
      </c>
      <c r="X1894" s="200">
        <f t="shared" si="9559"/>
        <v>0</v>
      </c>
      <c r="Y1894" s="200">
        <f t="shared" si="9559"/>
        <v>0</v>
      </c>
      <c r="Z1894" s="200">
        <f t="shared" si="9559"/>
        <v>0</v>
      </c>
      <c r="AA1894" s="200">
        <f t="shared" si="9559"/>
        <v>0</v>
      </c>
      <c r="AB1894" s="200">
        <f t="shared" si="9559"/>
        <v>0</v>
      </c>
      <c r="AC1894" s="200">
        <f t="shared" si="9559"/>
        <v>0</v>
      </c>
      <c r="AD1894" s="200">
        <f t="shared" si="11"/>
        <v>1</v>
      </c>
      <c r="AE1894" s="200">
        <f t="shared" ref="AE1894:AG1894" si="9560">countif($D1894,"*"&amp;AE$2&amp;"*")</f>
        <v>0</v>
      </c>
      <c r="AF1894" s="200">
        <f t="shared" si="9560"/>
        <v>0</v>
      </c>
      <c r="AG1894" s="200">
        <f t="shared" si="9560"/>
        <v>0</v>
      </c>
      <c r="AH1894" s="171">
        <f t="shared" si="13"/>
        <v>0</v>
      </c>
      <c r="AI1894" s="200">
        <f t="shared" si="14"/>
        <v>0</v>
      </c>
      <c r="AJ1894" s="200">
        <f t="shared" si="9270"/>
        <v>0</v>
      </c>
      <c r="AK1894" s="201">
        <f t="shared" ref="AK1894:AS1894" si="9561">countif($D1894,"*"&amp;AK$2&amp;"*")</f>
        <v>0</v>
      </c>
      <c r="AL1894" s="201">
        <f t="shared" si="9561"/>
        <v>0</v>
      </c>
      <c r="AM1894" s="201">
        <f t="shared" si="9561"/>
        <v>0</v>
      </c>
      <c r="AN1894" s="201">
        <f t="shared" si="9561"/>
        <v>0</v>
      </c>
      <c r="AO1894" s="201">
        <f t="shared" si="9561"/>
        <v>0</v>
      </c>
      <c r="AP1894" s="201">
        <f t="shared" si="9561"/>
        <v>0</v>
      </c>
      <c r="AQ1894" s="201">
        <f t="shared" si="9561"/>
        <v>0</v>
      </c>
      <c r="AR1894" s="200">
        <f t="shared" si="9561"/>
        <v>0</v>
      </c>
      <c r="AS1894" s="200">
        <f t="shared" si="9561"/>
        <v>0</v>
      </c>
      <c r="AT1894" s="173">
        <v>1.0</v>
      </c>
      <c r="AU1894" s="200">
        <f t="shared" ref="AU1894:AX1894" si="9562">countif($D1894,"*"&amp;AU$2&amp;"*")</f>
        <v>0</v>
      </c>
      <c r="AV1894" s="200">
        <f t="shared" si="9562"/>
        <v>0</v>
      </c>
      <c r="AW1894" s="200">
        <f t="shared" si="9562"/>
        <v>0</v>
      </c>
      <c r="AX1894" s="200">
        <f t="shared" si="9562"/>
        <v>0</v>
      </c>
      <c r="AY1894" s="202">
        <v>0.0</v>
      </c>
      <c r="AZ1894" s="200"/>
      <c r="BA1894" s="171" t="str">
        <f t="shared" si="18"/>
        <v/>
      </c>
      <c r="BB1894" s="171" t="str">
        <f t="shared" si="19"/>
        <v/>
      </c>
      <c r="BC1894" s="171" t="str">
        <f t="shared" si="20"/>
        <v/>
      </c>
      <c r="BD1894" s="171" t="str">
        <f t="shared" si="21"/>
        <v>Institutional</v>
      </c>
      <c r="BE1894" s="171" t="str">
        <f t="shared" si="22"/>
        <v/>
      </c>
      <c r="BF1894" s="171" t="str">
        <f t="shared" si="23"/>
        <v>Institutional</v>
      </c>
    </row>
    <row r="1895">
      <c r="A1895" s="171">
        <f t="array" ref="A1895">XLOOKUP(C1895,FSE!A:A,FSE!C:C,"XXXXX",0,1)</f>
        <v>2018</v>
      </c>
      <c r="B1895" s="213" t="s">
        <v>5676</v>
      </c>
      <c r="C1895" s="214">
        <v>541.0</v>
      </c>
      <c r="D1895" s="217" t="s">
        <v>6488</v>
      </c>
      <c r="E1895" s="197" t="str">
        <f t="array" ref="E1895">XLOOKUP(C1895,FSE!A:A,FSE!Z:Z,"XXXXX",0,1)</f>
        <v>Publicly Available (1)</v>
      </c>
      <c r="F1895" s="213" t="s">
        <v>3394</v>
      </c>
      <c r="G1895" s="163" t="str">
        <f t="array" ref="G1895">IF(B1895="ICSE",IF(COUNTIFS(B:B,B1895,C:C,C1895)=XLOOKUP(C1895,ICSE!A:A,ICSE!AA:AA,"ERROR",0,1),"OK","ERROR"),IF(B1895="FSE",IF(COUNTIFS(B:B,B1895,C:C,C1895)=XLOOKUP(C1895,FSE!A:A,FSE!AA:AA,"ERROR",0,1),"OK","ERROR")))</f>
        <v>OK</v>
      </c>
      <c r="H1895" s="199">
        <f t="shared" ref="H1895:O1895" si="9563">countif($D1895,"*"&amp;H$2&amp;"*")</f>
        <v>0</v>
      </c>
      <c r="I1895" s="200">
        <f t="shared" si="9563"/>
        <v>0</v>
      </c>
      <c r="J1895" s="200">
        <f t="shared" si="9563"/>
        <v>0</v>
      </c>
      <c r="K1895" s="200">
        <f t="shared" si="9563"/>
        <v>0</v>
      </c>
      <c r="L1895" s="200">
        <f t="shared" si="9563"/>
        <v>0</v>
      </c>
      <c r="M1895" s="200">
        <f t="shared" si="9563"/>
        <v>0</v>
      </c>
      <c r="N1895" s="200">
        <f t="shared" si="9563"/>
        <v>0</v>
      </c>
      <c r="O1895" s="200">
        <f t="shared" si="9563"/>
        <v>0</v>
      </c>
      <c r="P1895" s="200">
        <f t="shared" si="9"/>
        <v>0</v>
      </c>
      <c r="Q1895" s="200">
        <f t="shared" ref="Q1895:AC1895" si="9564">countif($D1895,"*"&amp;Q$2&amp;"*")</f>
        <v>0</v>
      </c>
      <c r="R1895" s="200">
        <f t="shared" si="9564"/>
        <v>0</v>
      </c>
      <c r="S1895" s="200">
        <f t="shared" si="9564"/>
        <v>0</v>
      </c>
      <c r="T1895" s="200">
        <f t="shared" si="9564"/>
        <v>0</v>
      </c>
      <c r="U1895" s="200">
        <f t="shared" si="9564"/>
        <v>0</v>
      </c>
      <c r="V1895" s="200">
        <f t="shared" si="9564"/>
        <v>1</v>
      </c>
      <c r="W1895" s="200">
        <f t="shared" si="9564"/>
        <v>0</v>
      </c>
      <c r="X1895" s="200">
        <f t="shared" si="9564"/>
        <v>0</v>
      </c>
      <c r="Y1895" s="200">
        <f t="shared" si="9564"/>
        <v>0</v>
      </c>
      <c r="Z1895" s="200">
        <f t="shared" si="9564"/>
        <v>0</v>
      </c>
      <c r="AA1895" s="200">
        <f t="shared" si="9564"/>
        <v>0</v>
      </c>
      <c r="AB1895" s="200">
        <f t="shared" si="9564"/>
        <v>0</v>
      </c>
      <c r="AC1895" s="200">
        <f t="shared" si="9564"/>
        <v>0</v>
      </c>
      <c r="AD1895" s="200">
        <f t="shared" si="11"/>
        <v>0</v>
      </c>
      <c r="AE1895" s="200">
        <f t="shared" ref="AE1895:AG1895" si="9565">countif($D1895,"*"&amp;AE$2&amp;"*")</f>
        <v>0</v>
      </c>
      <c r="AF1895" s="200">
        <f t="shared" si="9565"/>
        <v>0</v>
      </c>
      <c r="AG1895" s="200">
        <f t="shared" si="9565"/>
        <v>0</v>
      </c>
      <c r="AH1895" s="171">
        <f t="shared" si="13"/>
        <v>0</v>
      </c>
      <c r="AI1895" s="200">
        <f t="shared" si="14"/>
        <v>0</v>
      </c>
      <c r="AJ1895" s="200">
        <f t="shared" si="9270"/>
        <v>1</v>
      </c>
      <c r="AK1895" s="201">
        <f t="shared" ref="AK1895:AS1895" si="9566">countif($D1895,"*"&amp;AK$2&amp;"*")</f>
        <v>0</v>
      </c>
      <c r="AL1895" s="201">
        <f t="shared" si="9566"/>
        <v>0</v>
      </c>
      <c r="AM1895" s="201">
        <f t="shared" si="9566"/>
        <v>1</v>
      </c>
      <c r="AN1895" s="201">
        <f t="shared" si="9566"/>
        <v>0</v>
      </c>
      <c r="AO1895" s="201">
        <f t="shared" si="9566"/>
        <v>0</v>
      </c>
      <c r="AP1895" s="201">
        <f t="shared" si="9566"/>
        <v>0</v>
      </c>
      <c r="AQ1895" s="201">
        <f t="shared" si="9566"/>
        <v>0</v>
      </c>
      <c r="AR1895" s="200">
        <f t="shared" si="9566"/>
        <v>0</v>
      </c>
      <c r="AS1895" s="200">
        <f t="shared" si="9566"/>
        <v>1</v>
      </c>
      <c r="AT1895" s="173">
        <v>0.0</v>
      </c>
      <c r="AU1895" s="200">
        <f t="shared" ref="AU1895:AX1895" si="9567">countif($D1895,"*"&amp;AU$2&amp;"*")</f>
        <v>0</v>
      </c>
      <c r="AV1895" s="200">
        <f t="shared" si="9567"/>
        <v>0</v>
      </c>
      <c r="AW1895" s="200">
        <f t="shared" si="9567"/>
        <v>0</v>
      </c>
      <c r="AX1895" s="200">
        <f t="shared" si="9567"/>
        <v>0</v>
      </c>
      <c r="AY1895" s="202">
        <v>0.0</v>
      </c>
      <c r="AZ1895" s="200"/>
      <c r="BA1895" s="171" t="str">
        <f t="shared" si="18"/>
        <v/>
      </c>
      <c r="BB1895" s="171" t="str">
        <f t="shared" si="19"/>
        <v/>
      </c>
      <c r="BC1895" s="171" t="str">
        <f t="shared" si="20"/>
        <v>General-purpose</v>
      </c>
      <c r="BD1895" s="171" t="str">
        <f t="shared" si="21"/>
        <v/>
      </c>
      <c r="BE1895" s="171" t="str">
        <f t="shared" si="22"/>
        <v/>
      </c>
      <c r="BF1895" s="171" t="str">
        <f t="shared" si="23"/>
        <v>General-purpose</v>
      </c>
    </row>
    <row r="1896">
      <c r="A1896" s="171">
        <f t="array" ref="A1896">XLOOKUP(C1896,FSE!A:A,FSE!C:C,"XXXXX",0,1)</f>
        <v>2018</v>
      </c>
      <c r="B1896" s="213" t="s">
        <v>5676</v>
      </c>
      <c r="C1896" s="214">
        <v>542.0</v>
      </c>
      <c r="D1896" s="215" t="s">
        <v>4204</v>
      </c>
      <c r="E1896" s="197" t="str">
        <f t="array" ref="E1896">XLOOKUP(C1896,FSE!A:A,FSE!Z:Z,"XXXXX",0,1)</f>
        <v>Publicly Available (1)</v>
      </c>
      <c r="F1896" s="213" t="s">
        <v>3394</v>
      </c>
      <c r="G1896" s="163" t="str">
        <f t="array" ref="G1896">IF(B1896="ICSE",IF(COUNTIFS(B:B,B1896,C:C,C1896)=XLOOKUP(C1896,ICSE!A:A,ICSE!AA:AA,"ERROR",0,1),"OK","ERROR"),IF(B1896="FSE",IF(COUNTIFS(B:B,B1896,C:C,C1896)=XLOOKUP(C1896,FSE!A:A,FSE!AA:AA,"ERROR",0,1),"OK","ERROR")))</f>
        <v>OK</v>
      </c>
      <c r="H1896" s="199">
        <f t="shared" ref="H1896:O1896" si="9568">countif($D1896,"*"&amp;H$2&amp;"*")</f>
        <v>0</v>
      </c>
      <c r="I1896" s="200">
        <f t="shared" si="9568"/>
        <v>0</v>
      </c>
      <c r="J1896" s="200">
        <f t="shared" si="9568"/>
        <v>0</v>
      </c>
      <c r="K1896" s="200">
        <f t="shared" si="9568"/>
        <v>0</v>
      </c>
      <c r="L1896" s="200">
        <f t="shared" si="9568"/>
        <v>0</v>
      </c>
      <c r="M1896" s="200">
        <f t="shared" si="9568"/>
        <v>0</v>
      </c>
      <c r="N1896" s="200">
        <f t="shared" si="9568"/>
        <v>0</v>
      </c>
      <c r="O1896" s="200">
        <f t="shared" si="9568"/>
        <v>0</v>
      </c>
      <c r="P1896" s="200">
        <f t="shared" si="9"/>
        <v>1</v>
      </c>
      <c r="Q1896" s="200">
        <f t="shared" ref="Q1896:AC1896" si="9569">countif($D1896,"*"&amp;Q$2&amp;"*")</f>
        <v>0</v>
      </c>
      <c r="R1896" s="200">
        <f t="shared" si="9569"/>
        <v>0</v>
      </c>
      <c r="S1896" s="200">
        <f t="shared" si="9569"/>
        <v>0</v>
      </c>
      <c r="T1896" s="200">
        <f t="shared" si="9569"/>
        <v>0</v>
      </c>
      <c r="U1896" s="200">
        <f t="shared" si="9569"/>
        <v>0</v>
      </c>
      <c r="V1896" s="200">
        <f t="shared" si="9569"/>
        <v>0</v>
      </c>
      <c r="W1896" s="200">
        <f t="shared" si="9569"/>
        <v>0</v>
      </c>
      <c r="X1896" s="200">
        <f t="shared" si="9569"/>
        <v>0</v>
      </c>
      <c r="Y1896" s="200">
        <f t="shared" si="9569"/>
        <v>0</v>
      </c>
      <c r="Z1896" s="200">
        <f t="shared" si="9569"/>
        <v>0</v>
      </c>
      <c r="AA1896" s="200">
        <f t="shared" si="9569"/>
        <v>0</v>
      </c>
      <c r="AB1896" s="200">
        <f t="shared" si="9569"/>
        <v>0</v>
      </c>
      <c r="AC1896" s="200">
        <f t="shared" si="9569"/>
        <v>0</v>
      </c>
      <c r="AD1896" s="200">
        <f t="shared" si="11"/>
        <v>0</v>
      </c>
      <c r="AE1896" s="200">
        <f t="shared" ref="AE1896:AG1896" si="9570">countif($D1896,"*"&amp;AE$2&amp;"*")</f>
        <v>0</v>
      </c>
      <c r="AF1896" s="200">
        <f t="shared" si="9570"/>
        <v>0</v>
      </c>
      <c r="AG1896" s="200">
        <f t="shared" si="9570"/>
        <v>0</v>
      </c>
      <c r="AH1896" s="171">
        <f t="shared" si="13"/>
        <v>0</v>
      </c>
      <c r="AI1896" s="200">
        <f t="shared" si="14"/>
        <v>0</v>
      </c>
      <c r="AJ1896" s="200">
        <f t="shared" si="9270"/>
        <v>0</v>
      </c>
      <c r="AK1896" s="201">
        <f t="shared" ref="AK1896:AS1896" si="9571">countif($D1896,"*"&amp;AK$2&amp;"*")</f>
        <v>0</v>
      </c>
      <c r="AL1896" s="201">
        <f t="shared" si="9571"/>
        <v>0</v>
      </c>
      <c r="AM1896" s="201">
        <f t="shared" si="9571"/>
        <v>0</v>
      </c>
      <c r="AN1896" s="201">
        <f t="shared" si="9571"/>
        <v>0</v>
      </c>
      <c r="AO1896" s="201">
        <f t="shared" si="9571"/>
        <v>0</v>
      </c>
      <c r="AP1896" s="201">
        <f t="shared" si="9571"/>
        <v>0</v>
      </c>
      <c r="AQ1896" s="201">
        <f t="shared" si="9571"/>
        <v>0</v>
      </c>
      <c r="AR1896" s="200">
        <f t="shared" si="9571"/>
        <v>0</v>
      </c>
      <c r="AS1896" s="200">
        <f t="shared" si="9571"/>
        <v>0</v>
      </c>
      <c r="AT1896" s="173">
        <v>0.0</v>
      </c>
      <c r="AU1896" s="200">
        <f t="shared" ref="AU1896:AX1896" si="9572">countif($D1896,"*"&amp;AU$2&amp;"*")</f>
        <v>0</v>
      </c>
      <c r="AV1896" s="200">
        <f t="shared" si="9572"/>
        <v>1</v>
      </c>
      <c r="AW1896" s="200">
        <f t="shared" si="9572"/>
        <v>0</v>
      </c>
      <c r="AX1896" s="200">
        <f t="shared" si="9572"/>
        <v>0</v>
      </c>
      <c r="AY1896" s="202">
        <v>0.0</v>
      </c>
      <c r="AZ1896" s="200"/>
      <c r="BA1896" s="171" t="str">
        <f t="shared" si="18"/>
        <v/>
      </c>
      <c r="BB1896" s="171" t="str">
        <f t="shared" si="19"/>
        <v>Code</v>
      </c>
      <c r="BC1896" s="171" t="str">
        <f t="shared" si="20"/>
        <v/>
      </c>
      <c r="BD1896" s="171" t="str">
        <f t="shared" si="21"/>
        <v/>
      </c>
      <c r="BE1896" s="171" t="str">
        <f t="shared" si="22"/>
        <v/>
      </c>
      <c r="BF1896" s="171" t="str">
        <f t="shared" si="23"/>
        <v>Code</v>
      </c>
    </row>
    <row r="1897">
      <c r="A1897" s="171">
        <f t="array" ref="A1897">XLOOKUP(C1897,FSE!A:A,FSE!C:C,"XXXXX",0,1)</f>
        <v>2018</v>
      </c>
      <c r="B1897" s="213" t="s">
        <v>5676</v>
      </c>
      <c r="C1897" s="214">
        <v>543.0</v>
      </c>
      <c r="D1897" s="215" t="s">
        <v>4207</v>
      </c>
      <c r="E1897" s="197" t="str">
        <f t="array" ref="E1897">XLOOKUP(C1897,FSE!A:A,FSE!Z:Z,"XXXXX",0,1)</f>
        <v>Publicly Available (1)</v>
      </c>
      <c r="F1897" s="213" t="s">
        <v>3394</v>
      </c>
      <c r="G1897" s="163" t="str">
        <f t="array" ref="G1897">IF(B1897="ICSE",IF(COUNTIFS(B:B,B1897,C:C,C1897)=XLOOKUP(C1897,ICSE!A:A,ICSE!AA:AA,"ERROR",0,1),"OK","ERROR"),IF(B1897="FSE",IF(COUNTIFS(B:B,B1897,C:C,C1897)=XLOOKUP(C1897,FSE!A:A,FSE!AA:AA,"ERROR",0,1),"OK","ERROR")))</f>
        <v>OK</v>
      </c>
      <c r="H1897" s="199">
        <f t="shared" ref="H1897:O1897" si="9573">countif($D1897,"*"&amp;H$2&amp;"*")</f>
        <v>0</v>
      </c>
      <c r="I1897" s="200">
        <f t="shared" si="9573"/>
        <v>0</v>
      </c>
      <c r="J1897" s="200">
        <f t="shared" si="9573"/>
        <v>0</v>
      </c>
      <c r="K1897" s="200">
        <f t="shared" si="9573"/>
        <v>0</v>
      </c>
      <c r="L1897" s="200">
        <f t="shared" si="9573"/>
        <v>0</v>
      </c>
      <c r="M1897" s="200">
        <f t="shared" si="9573"/>
        <v>0</v>
      </c>
      <c r="N1897" s="200">
        <f t="shared" si="9573"/>
        <v>0</v>
      </c>
      <c r="O1897" s="200">
        <f t="shared" si="9573"/>
        <v>0</v>
      </c>
      <c r="P1897" s="200">
        <f t="shared" si="9"/>
        <v>1</v>
      </c>
      <c r="Q1897" s="200">
        <f t="shared" ref="Q1897:AC1897" si="9574">countif($D1897,"*"&amp;Q$2&amp;"*")</f>
        <v>0</v>
      </c>
      <c r="R1897" s="200">
        <f t="shared" si="9574"/>
        <v>0</v>
      </c>
      <c r="S1897" s="200">
        <f t="shared" si="9574"/>
        <v>0</v>
      </c>
      <c r="T1897" s="200">
        <f t="shared" si="9574"/>
        <v>0</v>
      </c>
      <c r="U1897" s="200">
        <f t="shared" si="9574"/>
        <v>0</v>
      </c>
      <c r="V1897" s="200">
        <f t="shared" si="9574"/>
        <v>0</v>
      </c>
      <c r="W1897" s="200">
        <f t="shared" si="9574"/>
        <v>0</v>
      </c>
      <c r="X1897" s="200">
        <f t="shared" si="9574"/>
        <v>0</v>
      </c>
      <c r="Y1897" s="200">
        <f t="shared" si="9574"/>
        <v>0</v>
      </c>
      <c r="Z1897" s="200">
        <f t="shared" si="9574"/>
        <v>0</v>
      </c>
      <c r="AA1897" s="200">
        <f t="shared" si="9574"/>
        <v>0</v>
      </c>
      <c r="AB1897" s="200">
        <f t="shared" si="9574"/>
        <v>0</v>
      </c>
      <c r="AC1897" s="200">
        <f t="shared" si="9574"/>
        <v>0</v>
      </c>
      <c r="AD1897" s="200">
        <f t="shared" si="11"/>
        <v>0</v>
      </c>
      <c r="AE1897" s="200">
        <f t="shared" ref="AE1897:AG1897" si="9575">countif($D1897,"*"&amp;AE$2&amp;"*")</f>
        <v>0</v>
      </c>
      <c r="AF1897" s="200">
        <f t="shared" si="9575"/>
        <v>0</v>
      </c>
      <c r="AG1897" s="200">
        <f t="shared" si="9575"/>
        <v>0</v>
      </c>
      <c r="AH1897" s="171">
        <f t="shared" si="13"/>
        <v>0</v>
      </c>
      <c r="AI1897" s="200">
        <f t="shared" si="14"/>
        <v>0</v>
      </c>
      <c r="AJ1897" s="200">
        <f t="shared" si="9270"/>
        <v>0</v>
      </c>
      <c r="AK1897" s="201">
        <f t="shared" ref="AK1897:AS1897" si="9576">countif($D1897,"*"&amp;AK$2&amp;"*")</f>
        <v>0</v>
      </c>
      <c r="AL1897" s="201">
        <f t="shared" si="9576"/>
        <v>0</v>
      </c>
      <c r="AM1897" s="201">
        <f t="shared" si="9576"/>
        <v>0</v>
      </c>
      <c r="AN1897" s="201">
        <f t="shared" si="9576"/>
        <v>0</v>
      </c>
      <c r="AO1897" s="201">
        <f t="shared" si="9576"/>
        <v>0</v>
      </c>
      <c r="AP1897" s="201">
        <f t="shared" si="9576"/>
        <v>0</v>
      </c>
      <c r="AQ1897" s="201">
        <f t="shared" si="9576"/>
        <v>0</v>
      </c>
      <c r="AR1897" s="200">
        <f t="shared" si="9576"/>
        <v>0</v>
      </c>
      <c r="AS1897" s="200">
        <f t="shared" si="9576"/>
        <v>0</v>
      </c>
      <c r="AT1897" s="173">
        <v>0.0</v>
      </c>
      <c r="AU1897" s="200">
        <f t="shared" ref="AU1897:AX1897" si="9577">countif($D1897,"*"&amp;AU$2&amp;"*")</f>
        <v>0</v>
      </c>
      <c r="AV1897" s="200">
        <f t="shared" si="9577"/>
        <v>1</v>
      </c>
      <c r="AW1897" s="200">
        <f t="shared" si="9577"/>
        <v>0</v>
      </c>
      <c r="AX1897" s="200">
        <f t="shared" si="9577"/>
        <v>0</v>
      </c>
      <c r="AY1897" s="202">
        <v>0.0</v>
      </c>
      <c r="AZ1897" s="200"/>
      <c r="BA1897" s="171" t="str">
        <f t="shared" si="18"/>
        <v/>
      </c>
      <c r="BB1897" s="171" t="str">
        <f t="shared" si="19"/>
        <v>Code</v>
      </c>
      <c r="BC1897" s="171" t="str">
        <f t="shared" si="20"/>
        <v/>
      </c>
      <c r="BD1897" s="171" t="str">
        <f t="shared" si="21"/>
        <v/>
      </c>
      <c r="BE1897" s="171" t="str">
        <f t="shared" si="22"/>
        <v/>
      </c>
      <c r="BF1897" s="171" t="str">
        <f t="shared" si="23"/>
        <v>Code</v>
      </c>
    </row>
    <row r="1898">
      <c r="A1898" s="171">
        <f t="array" ref="A1898">XLOOKUP(C1898,FSE!A:A,FSE!C:C,"XXXXX",0,1)</f>
        <v>2018</v>
      </c>
      <c r="B1898" s="213" t="s">
        <v>5676</v>
      </c>
      <c r="C1898" s="214">
        <v>544.0</v>
      </c>
      <c r="D1898" s="215" t="s">
        <v>4209</v>
      </c>
      <c r="E1898" s="197" t="str">
        <f t="array" ref="E1898">XLOOKUP(C1898,FSE!A:A,FSE!Z:Z,"XXXXX",0,1)</f>
        <v>Publicly Available (1)</v>
      </c>
      <c r="F1898" s="213" t="s">
        <v>3394</v>
      </c>
      <c r="G1898" s="163" t="str">
        <f t="array" ref="G1898">IF(B1898="ICSE",IF(COUNTIFS(B:B,B1898,C:C,C1898)=XLOOKUP(C1898,ICSE!A:A,ICSE!AA:AA,"ERROR",0,1),"OK","ERROR"),IF(B1898="FSE",IF(COUNTIFS(B:B,B1898,C:C,C1898)=XLOOKUP(C1898,FSE!A:A,FSE!AA:AA,"ERROR",0,1),"OK","ERROR")))</f>
        <v>OK</v>
      </c>
      <c r="H1898" s="199">
        <f t="shared" ref="H1898:O1898" si="9578">countif($D1898,"*"&amp;H$2&amp;"*")</f>
        <v>0</v>
      </c>
      <c r="I1898" s="200">
        <f t="shared" si="9578"/>
        <v>0</v>
      </c>
      <c r="J1898" s="200">
        <f t="shared" si="9578"/>
        <v>0</v>
      </c>
      <c r="K1898" s="200">
        <f t="shared" si="9578"/>
        <v>0</v>
      </c>
      <c r="L1898" s="200">
        <f t="shared" si="9578"/>
        <v>0</v>
      </c>
      <c r="M1898" s="200">
        <f t="shared" si="9578"/>
        <v>0</v>
      </c>
      <c r="N1898" s="200">
        <f t="shared" si="9578"/>
        <v>0</v>
      </c>
      <c r="O1898" s="200">
        <f t="shared" si="9578"/>
        <v>0</v>
      </c>
      <c r="P1898" s="200">
        <f t="shared" si="9"/>
        <v>0</v>
      </c>
      <c r="Q1898" s="200">
        <f t="shared" ref="Q1898:AC1898" si="9579">countif($D1898,"*"&amp;Q$2&amp;"*")</f>
        <v>0</v>
      </c>
      <c r="R1898" s="200">
        <f t="shared" si="9579"/>
        <v>0</v>
      </c>
      <c r="S1898" s="200">
        <f t="shared" si="9579"/>
        <v>0</v>
      </c>
      <c r="T1898" s="200">
        <f t="shared" si="9579"/>
        <v>0</v>
      </c>
      <c r="U1898" s="200">
        <f t="shared" si="9579"/>
        <v>0</v>
      </c>
      <c r="V1898" s="200">
        <f t="shared" si="9579"/>
        <v>0</v>
      </c>
      <c r="W1898" s="200">
        <f t="shared" si="9579"/>
        <v>0</v>
      </c>
      <c r="X1898" s="200">
        <f t="shared" si="9579"/>
        <v>0</v>
      </c>
      <c r="Y1898" s="200">
        <f t="shared" si="9579"/>
        <v>0</v>
      </c>
      <c r="Z1898" s="200">
        <f t="shared" si="9579"/>
        <v>0</v>
      </c>
      <c r="AA1898" s="200">
        <f t="shared" si="9579"/>
        <v>0</v>
      </c>
      <c r="AB1898" s="200">
        <f t="shared" si="9579"/>
        <v>0</v>
      </c>
      <c r="AC1898" s="200">
        <f t="shared" si="9579"/>
        <v>0</v>
      </c>
      <c r="AD1898" s="200">
        <f t="shared" si="11"/>
        <v>1</v>
      </c>
      <c r="AE1898" s="200">
        <f t="shared" ref="AE1898:AG1898" si="9580">countif($D1898,"*"&amp;AE$2&amp;"*")</f>
        <v>0</v>
      </c>
      <c r="AF1898" s="200">
        <f t="shared" si="9580"/>
        <v>0</v>
      </c>
      <c r="AG1898" s="200">
        <f t="shared" si="9580"/>
        <v>0</v>
      </c>
      <c r="AH1898" s="171">
        <f t="shared" si="13"/>
        <v>0</v>
      </c>
      <c r="AI1898" s="200">
        <f t="shared" si="14"/>
        <v>0</v>
      </c>
      <c r="AJ1898" s="200">
        <f>SUM(AK1898:AQ1898)</f>
        <v>0</v>
      </c>
      <c r="AK1898" s="201">
        <f t="shared" ref="AK1898:AS1898" si="9581">countif($D1898,"*"&amp;AK$2&amp;"*")</f>
        <v>0</v>
      </c>
      <c r="AL1898" s="201">
        <f t="shared" si="9581"/>
        <v>0</v>
      </c>
      <c r="AM1898" s="201">
        <f t="shared" si="9581"/>
        <v>0</v>
      </c>
      <c r="AN1898" s="201">
        <f t="shared" si="9581"/>
        <v>0</v>
      </c>
      <c r="AO1898" s="201">
        <f t="shared" si="9581"/>
        <v>0</v>
      </c>
      <c r="AP1898" s="201">
        <f t="shared" si="9581"/>
        <v>0</v>
      </c>
      <c r="AQ1898" s="201">
        <f t="shared" si="9581"/>
        <v>0</v>
      </c>
      <c r="AR1898" s="201">
        <f t="shared" si="9581"/>
        <v>0</v>
      </c>
      <c r="AS1898" s="200">
        <f t="shared" si="9581"/>
        <v>0</v>
      </c>
      <c r="AT1898" s="205">
        <v>0.0</v>
      </c>
      <c r="AU1898" s="200">
        <f t="shared" ref="AU1898:AX1898" si="9582">countif($D1898,"*"&amp;AU$2&amp;"*")</f>
        <v>1</v>
      </c>
      <c r="AV1898" s="200">
        <f t="shared" si="9582"/>
        <v>0</v>
      </c>
      <c r="AW1898" s="200">
        <f t="shared" si="9582"/>
        <v>0</v>
      </c>
      <c r="AX1898" s="200">
        <f t="shared" si="9582"/>
        <v>0</v>
      </c>
      <c r="AY1898" s="202">
        <v>0.0</v>
      </c>
      <c r="AZ1898" s="200"/>
      <c r="BA1898" s="171" t="str">
        <f t="shared" si="18"/>
        <v/>
      </c>
      <c r="BB1898" s="171" t="str">
        <f t="shared" si="19"/>
        <v/>
      </c>
      <c r="BC1898" s="171" t="str">
        <f t="shared" si="20"/>
        <v/>
      </c>
      <c r="BD1898" s="171" t="str">
        <f t="shared" si="21"/>
        <v>Institutional</v>
      </c>
      <c r="BE1898" s="171" t="str">
        <f t="shared" si="22"/>
        <v/>
      </c>
      <c r="BF1898" s="171" t="str">
        <f t="shared" si="23"/>
        <v>Institutional</v>
      </c>
    </row>
    <row r="1899">
      <c r="A1899" s="171">
        <f t="array" ref="A1899">XLOOKUP(C1899,FSE!A:A,FSE!C:C,"XXXXX",0,1)</f>
        <v>2018</v>
      </c>
      <c r="B1899" s="213" t="s">
        <v>5676</v>
      </c>
      <c r="C1899" s="214">
        <v>545.0</v>
      </c>
      <c r="D1899" s="217" t="s">
        <v>4211</v>
      </c>
      <c r="E1899" s="197" t="str">
        <f t="array" ref="E1899">XLOOKUP(C1899,FSE!A:A,FSE!Z:Z,"XXXXX",0,1)</f>
        <v>Publicly Available (1)</v>
      </c>
      <c r="F1899" s="213" t="s">
        <v>3394</v>
      </c>
      <c r="G1899" s="163" t="str">
        <f t="array" ref="G1899">IF(B1899="ICSE",IF(COUNTIFS(B:B,B1899,C:C,C1899)=XLOOKUP(C1899,ICSE!A:A,ICSE!AA:AA,"ERROR",0,1),"OK","ERROR"),IF(B1899="FSE",IF(COUNTIFS(B:B,B1899,C:C,C1899)=XLOOKUP(C1899,FSE!A:A,FSE!AA:AA,"ERROR",0,1),"OK","ERROR")))</f>
        <v>OK</v>
      </c>
      <c r="H1899" s="199">
        <f t="shared" ref="H1899:O1899" si="9583">countif($D1899,"*"&amp;H$2&amp;"*")</f>
        <v>0</v>
      </c>
      <c r="I1899" s="200">
        <f t="shared" si="9583"/>
        <v>0</v>
      </c>
      <c r="J1899" s="200">
        <f t="shared" si="9583"/>
        <v>0</v>
      </c>
      <c r="K1899" s="200">
        <f t="shared" si="9583"/>
        <v>0</v>
      </c>
      <c r="L1899" s="200">
        <f t="shared" si="9583"/>
        <v>0</v>
      </c>
      <c r="M1899" s="200">
        <f t="shared" si="9583"/>
        <v>0</v>
      </c>
      <c r="N1899" s="200">
        <f t="shared" si="9583"/>
        <v>0</v>
      </c>
      <c r="O1899" s="200">
        <f t="shared" si="9583"/>
        <v>0</v>
      </c>
      <c r="P1899" s="200">
        <f t="shared" si="9"/>
        <v>0</v>
      </c>
      <c r="Q1899" s="200">
        <f t="shared" ref="Q1899:AC1899" si="9584">countif($D1899,"*"&amp;Q$2&amp;"*")</f>
        <v>0</v>
      </c>
      <c r="R1899" s="200">
        <f t="shared" si="9584"/>
        <v>0</v>
      </c>
      <c r="S1899" s="200">
        <f t="shared" si="9584"/>
        <v>0</v>
      </c>
      <c r="T1899" s="200">
        <f t="shared" si="9584"/>
        <v>0</v>
      </c>
      <c r="U1899" s="200">
        <f t="shared" si="9584"/>
        <v>0</v>
      </c>
      <c r="V1899" s="200">
        <f t="shared" si="9584"/>
        <v>0</v>
      </c>
      <c r="W1899" s="200">
        <f t="shared" si="9584"/>
        <v>0</v>
      </c>
      <c r="X1899" s="200">
        <f t="shared" si="9584"/>
        <v>0</v>
      </c>
      <c r="Y1899" s="200">
        <f t="shared" si="9584"/>
        <v>0</v>
      </c>
      <c r="Z1899" s="200">
        <f t="shared" si="9584"/>
        <v>0</v>
      </c>
      <c r="AA1899" s="200">
        <f t="shared" si="9584"/>
        <v>0</v>
      </c>
      <c r="AB1899" s="200">
        <f t="shared" si="9584"/>
        <v>0</v>
      </c>
      <c r="AC1899" s="200">
        <f t="shared" si="9584"/>
        <v>0</v>
      </c>
      <c r="AD1899" s="200">
        <f t="shared" si="11"/>
        <v>0</v>
      </c>
      <c r="AE1899" s="200">
        <f t="shared" ref="AE1899:AG1899" si="9585">countif($D1899,"*"&amp;AE$2&amp;"*")</f>
        <v>0</v>
      </c>
      <c r="AF1899" s="200">
        <f t="shared" si="9585"/>
        <v>0</v>
      </c>
      <c r="AG1899" s="200">
        <f t="shared" si="9585"/>
        <v>0</v>
      </c>
      <c r="AH1899" s="171">
        <f t="shared" si="13"/>
        <v>1</v>
      </c>
      <c r="AI1899" s="200">
        <f t="shared" si="14"/>
        <v>0</v>
      </c>
      <c r="AJ1899" s="200">
        <f t="shared" ref="AJ1899:AJ1947" si="9591">SUM(AK1899:AR1899)</f>
        <v>0</v>
      </c>
      <c r="AK1899" s="201">
        <f t="shared" ref="AK1899:AS1899" si="9586">countif($D1899,"*"&amp;AK$2&amp;"*")</f>
        <v>0</v>
      </c>
      <c r="AL1899" s="201">
        <f t="shared" si="9586"/>
        <v>0</v>
      </c>
      <c r="AM1899" s="201">
        <f t="shared" si="9586"/>
        <v>0</v>
      </c>
      <c r="AN1899" s="201">
        <f t="shared" si="9586"/>
        <v>0</v>
      </c>
      <c r="AO1899" s="201">
        <f t="shared" si="9586"/>
        <v>0</v>
      </c>
      <c r="AP1899" s="201">
        <f t="shared" si="9586"/>
        <v>0</v>
      </c>
      <c r="AQ1899" s="201">
        <f t="shared" si="9586"/>
        <v>0</v>
      </c>
      <c r="AR1899" s="200">
        <f t="shared" si="9586"/>
        <v>0</v>
      </c>
      <c r="AS1899" s="200">
        <f t="shared" si="9586"/>
        <v>0</v>
      </c>
      <c r="AT1899" s="173">
        <v>0.0</v>
      </c>
      <c r="AU1899" s="200">
        <f t="shared" ref="AU1899:AX1899" si="9587">countif($D1899,"*"&amp;AU$2&amp;"*")</f>
        <v>0</v>
      </c>
      <c r="AV1899" s="200">
        <f t="shared" si="9587"/>
        <v>0</v>
      </c>
      <c r="AW1899" s="200">
        <f t="shared" si="9587"/>
        <v>0</v>
      </c>
      <c r="AX1899" s="200">
        <f t="shared" si="9587"/>
        <v>0</v>
      </c>
      <c r="AY1899" s="202">
        <v>0.0</v>
      </c>
      <c r="AZ1899" s="200"/>
      <c r="BA1899" s="171" t="str">
        <f t="shared" si="18"/>
        <v/>
      </c>
      <c r="BB1899" s="171" t="str">
        <f t="shared" si="19"/>
        <v/>
      </c>
      <c r="BC1899" s="171" t="str">
        <f t="shared" si="20"/>
        <v/>
      </c>
      <c r="BD1899" s="171" t="str">
        <f t="shared" si="21"/>
        <v/>
      </c>
      <c r="BE1899" s="171" t="str">
        <f t="shared" si="22"/>
        <v>Others</v>
      </c>
      <c r="BF1899" s="171" t="str">
        <f t="shared" si="23"/>
        <v>Others</v>
      </c>
    </row>
    <row r="1900">
      <c r="A1900" s="171">
        <f t="array" ref="A1900">XLOOKUP(C1900,FSE!A:A,FSE!C:C,"XXXXX",0,1)</f>
        <v>2018</v>
      </c>
      <c r="B1900" s="213" t="s">
        <v>5676</v>
      </c>
      <c r="C1900" s="214">
        <v>547.0</v>
      </c>
      <c r="D1900" s="215" t="s">
        <v>4214</v>
      </c>
      <c r="E1900" s="197" t="str">
        <f t="array" ref="E1900">XLOOKUP(C1900,FSE!A:A,FSE!Z:Z,"XXXXX",0,1)</f>
        <v>Publicly Available (1)</v>
      </c>
      <c r="F1900" s="213" t="s">
        <v>3394</v>
      </c>
      <c r="G1900" s="163" t="str">
        <f t="array" ref="G1900">IF(B1900="ICSE",IF(COUNTIFS(B:B,B1900,C:C,C1900)=XLOOKUP(C1900,ICSE!A:A,ICSE!AA:AA,"ERROR",0,1),"OK","ERROR"),IF(B1900="FSE",IF(COUNTIFS(B:B,B1900,C:C,C1900)=XLOOKUP(C1900,FSE!A:A,FSE!AA:AA,"ERROR",0,1),"OK","ERROR")))</f>
        <v>OK</v>
      </c>
      <c r="H1900" s="199">
        <f t="shared" ref="H1900:O1900" si="9588">countif($D1900,"*"&amp;H$2&amp;"*")</f>
        <v>1</v>
      </c>
      <c r="I1900" s="200">
        <f t="shared" si="9588"/>
        <v>0</v>
      </c>
      <c r="J1900" s="200">
        <f t="shared" si="9588"/>
        <v>0</v>
      </c>
      <c r="K1900" s="200">
        <f t="shared" si="9588"/>
        <v>0</v>
      </c>
      <c r="L1900" s="200">
        <f t="shared" si="9588"/>
        <v>0</v>
      </c>
      <c r="M1900" s="200">
        <f t="shared" si="9588"/>
        <v>0</v>
      </c>
      <c r="N1900" s="200">
        <f t="shared" si="9588"/>
        <v>0</v>
      </c>
      <c r="O1900" s="200">
        <f t="shared" si="9588"/>
        <v>0</v>
      </c>
      <c r="P1900" s="200">
        <f t="shared" si="9"/>
        <v>0</v>
      </c>
      <c r="Q1900" s="200">
        <f t="shared" ref="Q1900:AC1900" si="9589">countif($D1900,"*"&amp;Q$2&amp;"*")</f>
        <v>0</v>
      </c>
      <c r="R1900" s="200">
        <f t="shared" si="9589"/>
        <v>0</v>
      </c>
      <c r="S1900" s="200">
        <f t="shared" si="9589"/>
        <v>0</v>
      </c>
      <c r="T1900" s="200">
        <f t="shared" si="9589"/>
        <v>0</v>
      </c>
      <c r="U1900" s="200">
        <f t="shared" si="9589"/>
        <v>0</v>
      </c>
      <c r="V1900" s="200">
        <f t="shared" si="9589"/>
        <v>0</v>
      </c>
      <c r="W1900" s="200">
        <f t="shared" si="9589"/>
        <v>0</v>
      </c>
      <c r="X1900" s="200">
        <f t="shared" si="9589"/>
        <v>0</v>
      </c>
      <c r="Y1900" s="200">
        <f t="shared" si="9589"/>
        <v>0</v>
      </c>
      <c r="Z1900" s="200">
        <f t="shared" si="9589"/>
        <v>0</v>
      </c>
      <c r="AA1900" s="200">
        <f t="shared" si="9589"/>
        <v>0</v>
      </c>
      <c r="AB1900" s="200">
        <f t="shared" si="9589"/>
        <v>0</v>
      </c>
      <c r="AC1900" s="200">
        <f t="shared" si="9589"/>
        <v>0</v>
      </c>
      <c r="AD1900" s="200">
        <f t="shared" si="11"/>
        <v>0</v>
      </c>
      <c r="AE1900" s="200">
        <f t="shared" ref="AE1900:AG1900" si="9590">countif($D1900,"*"&amp;AE$2&amp;"*")</f>
        <v>0</v>
      </c>
      <c r="AF1900" s="200">
        <f t="shared" si="9590"/>
        <v>0</v>
      </c>
      <c r="AG1900" s="200">
        <f t="shared" si="9590"/>
        <v>0</v>
      </c>
      <c r="AH1900" s="171">
        <f t="shared" si="13"/>
        <v>0</v>
      </c>
      <c r="AI1900" s="200">
        <f t="shared" si="14"/>
        <v>1</v>
      </c>
      <c r="AJ1900" s="200">
        <f t="shared" si="9591"/>
        <v>0</v>
      </c>
      <c r="AK1900" s="201">
        <f t="shared" ref="AK1900:AS1900" si="9592">countif($D1900,"*"&amp;AK$2&amp;"*")</f>
        <v>0</v>
      </c>
      <c r="AL1900" s="201">
        <f t="shared" si="9592"/>
        <v>0</v>
      </c>
      <c r="AM1900" s="201">
        <f t="shared" si="9592"/>
        <v>0</v>
      </c>
      <c r="AN1900" s="201">
        <f t="shared" si="9592"/>
        <v>0</v>
      </c>
      <c r="AO1900" s="201">
        <f t="shared" si="9592"/>
        <v>0</v>
      </c>
      <c r="AP1900" s="201">
        <f t="shared" si="9592"/>
        <v>0</v>
      </c>
      <c r="AQ1900" s="201">
        <f t="shared" si="9592"/>
        <v>0</v>
      </c>
      <c r="AR1900" s="200">
        <f t="shared" si="9592"/>
        <v>0</v>
      </c>
      <c r="AS1900" s="200">
        <f t="shared" si="9592"/>
        <v>0</v>
      </c>
      <c r="AT1900" s="173">
        <v>0.0</v>
      </c>
      <c r="AU1900" s="200">
        <f t="shared" ref="AU1900:AX1900" si="9593">countif($D1900,"*"&amp;AU$2&amp;"*")</f>
        <v>0</v>
      </c>
      <c r="AV1900" s="200">
        <f t="shared" si="9593"/>
        <v>0</v>
      </c>
      <c r="AW1900" s="200">
        <f t="shared" si="9593"/>
        <v>0</v>
      </c>
      <c r="AX1900" s="200">
        <f t="shared" si="9593"/>
        <v>0</v>
      </c>
      <c r="AY1900" s="204">
        <v>1.0</v>
      </c>
      <c r="AZ1900" s="200"/>
      <c r="BA1900" s="171" t="str">
        <f t="shared" si="18"/>
        <v>Archival</v>
      </c>
      <c r="BB1900" s="171" t="str">
        <f t="shared" si="19"/>
        <v/>
      </c>
      <c r="BC1900" s="171" t="str">
        <f t="shared" si="20"/>
        <v/>
      </c>
      <c r="BD1900" s="171" t="str">
        <f t="shared" si="21"/>
        <v/>
      </c>
      <c r="BE1900" s="171" t="str">
        <f t="shared" si="22"/>
        <v/>
      </c>
      <c r="BF1900" s="171" t="str">
        <f t="shared" si="23"/>
        <v>Archival</v>
      </c>
    </row>
    <row r="1901">
      <c r="A1901" s="171">
        <f t="array" ref="A1901">XLOOKUP(C1901,FSE!A:A,FSE!C:C,"XXXXX",0,1)</f>
        <v>2018</v>
      </c>
      <c r="B1901" s="213" t="s">
        <v>5676</v>
      </c>
      <c r="C1901" s="214">
        <v>548.0</v>
      </c>
      <c r="D1901" s="215" t="s">
        <v>4218</v>
      </c>
      <c r="E1901" s="197" t="str">
        <f t="array" ref="E1901">XLOOKUP(C1901,FSE!A:A,FSE!Z:Z,"XXXXX",0,1)</f>
        <v>Restrict Access (1)</v>
      </c>
      <c r="F1901" s="213" t="s">
        <v>3396</v>
      </c>
      <c r="G1901" s="163" t="str">
        <f t="array" ref="G1901">IF(B1901="ICSE",IF(COUNTIFS(B:B,B1901,C:C,C1901)=XLOOKUP(C1901,ICSE!A:A,ICSE!AA:AA,"ERROR",0,1),"OK","ERROR"),IF(B1901="FSE",IF(COUNTIFS(B:B,B1901,C:C,C1901)=XLOOKUP(C1901,FSE!A:A,FSE!AA:AA,"ERROR",0,1),"OK","ERROR")))</f>
        <v>OK</v>
      </c>
      <c r="H1901" s="199">
        <f t="shared" ref="H1901:O1901" si="9594">countif($D1901,"*"&amp;H$2&amp;"*")</f>
        <v>0</v>
      </c>
      <c r="I1901" s="200">
        <f t="shared" si="9594"/>
        <v>0</v>
      </c>
      <c r="J1901" s="200">
        <f t="shared" si="9594"/>
        <v>0</v>
      </c>
      <c r="K1901" s="200">
        <f t="shared" si="9594"/>
        <v>0</v>
      </c>
      <c r="L1901" s="200">
        <f t="shared" si="9594"/>
        <v>0</v>
      </c>
      <c r="M1901" s="200">
        <f t="shared" si="9594"/>
        <v>0</v>
      </c>
      <c r="N1901" s="200">
        <f t="shared" si="9594"/>
        <v>0</v>
      </c>
      <c r="O1901" s="200">
        <f t="shared" si="9594"/>
        <v>0</v>
      </c>
      <c r="P1901" s="200">
        <f t="shared" si="9"/>
        <v>0</v>
      </c>
      <c r="Q1901" s="200">
        <f t="shared" ref="Q1901:AC1901" si="9595">countif($D1901,"*"&amp;Q$2&amp;"*")</f>
        <v>0</v>
      </c>
      <c r="R1901" s="200">
        <f t="shared" si="9595"/>
        <v>0</v>
      </c>
      <c r="S1901" s="200">
        <f t="shared" si="9595"/>
        <v>0</v>
      </c>
      <c r="T1901" s="200">
        <f t="shared" si="9595"/>
        <v>0</v>
      </c>
      <c r="U1901" s="200">
        <f t="shared" si="9595"/>
        <v>0</v>
      </c>
      <c r="V1901" s="200">
        <f t="shared" si="9595"/>
        <v>0</v>
      </c>
      <c r="W1901" s="200">
        <f t="shared" si="9595"/>
        <v>0</v>
      </c>
      <c r="X1901" s="200">
        <f t="shared" si="9595"/>
        <v>0</v>
      </c>
      <c r="Y1901" s="200">
        <f t="shared" si="9595"/>
        <v>0</v>
      </c>
      <c r="Z1901" s="200">
        <f t="shared" si="9595"/>
        <v>0</v>
      </c>
      <c r="AA1901" s="200">
        <f t="shared" si="9595"/>
        <v>0</v>
      </c>
      <c r="AB1901" s="200">
        <f t="shared" si="9595"/>
        <v>0</v>
      </c>
      <c r="AC1901" s="200">
        <f t="shared" si="9595"/>
        <v>0</v>
      </c>
      <c r="AD1901" s="200">
        <f t="shared" si="11"/>
        <v>0</v>
      </c>
      <c r="AE1901" s="200">
        <f t="shared" ref="AE1901:AG1901" si="9596">countif($D1901,"*"&amp;AE$2&amp;"*")</f>
        <v>0</v>
      </c>
      <c r="AF1901" s="200">
        <f t="shared" si="9596"/>
        <v>0</v>
      </c>
      <c r="AG1901" s="200">
        <f t="shared" si="9596"/>
        <v>0</v>
      </c>
      <c r="AH1901" s="171">
        <f t="shared" si="13"/>
        <v>1</v>
      </c>
      <c r="AI1901" s="200">
        <f t="shared" si="14"/>
        <v>0</v>
      </c>
      <c r="AJ1901" s="200">
        <f t="shared" si="9591"/>
        <v>0</v>
      </c>
      <c r="AK1901" s="201">
        <f t="shared" ref="AK1901:AS1901" si="9597">countif($D1901,"*"&amp;AK$2&amp;"*")</f>
        <v>0</v>
      </c>
      <c r="AL1901" s="201">
        <f t="shared" si="9597"/>
        <v>0</v>
      </c>
      <c r="AM1901" s="201">
        <f t="shared" si="9597"/>
        <v>0</v>
      </c>
      <c r="AN1901" s="201">
        <f t="shared" si="9597"/>
        <v>0</v>
      </c>
      <c r="AO1901" s="201">
        <f t="shared" si="9597"/>
        <v>0</v>
      </c>
      <c r="AP1901" s="201">
        <f t="shared" si="9597"/>
        <v>0</v>
      </c>
      <c r="AQ1901" s="201">
        <f t="shared" si="9597"/>
        <v>0</v>
      </c>
      <c r="AR1901" s="200">
        <f t="shared" si="9597"/>
        <v>0</v>
      </c>
      <c r="AS1901" s="200">
        <f t="shared" si="9597"/>
        <v>0</v>
      </c>
      <c r="AT1901" s="173">
        <v>0.0</v>
      </c>
      <c r="AU1901" s="200">
        <f t="shared" ref="AU1901:AX1901" si="9598">countif($D1901,"*"&amp;AU$2&amp;"*")</f>
        <v>0</v>
      </c>
      <c r="AV1901" s="200">
        <f t="shared" si="9598"/>
        <v>0</v>
      </c>
      <c r="AW1901" s="200">
        <f t="shared" si="9598"/>
        <v>0</v>
      </c>
      <c r="AX1901" s="200">
        <f t="shared" si="9598"/>
        <v>0</v>
      </c>
      <c r="AY1901" s="202">
        <v>0.0</v>
      </c>
      <c r="AZ1901" s="200"/>
      <c r="BA1901" s="171" t="str">
        <f t="shared" si="18"/>
        <v/>
      </c>
      <c r="BB1901" s="171" t="str">
        <f t="shared" si="19"/>
        <v/>
      </c>
      <c r="BC1901" s="171" t="str">
        <f t="shared" si="20"/>
        <v/>
      </c>
      <c r="BD1901" s="171" t="str">
        <f t="shared" si="21"/>
        <v/>
      </c>
      <c r="BE1901" s="171" t="str">
        <f t="shared" si="22"/>
        <v>Others</v>
      </c>
      <c r="BF1901" s="171" t="str">
        <f t="shared" si="23"/>
        <v>Others</v>
      </c>
    </row>
    <row r="1902">
      <c r="A1902" s="171">
        <f t="array" ref="A1902">XLOOKUP(C1902,FSE!A:A,FSE!C:C,"XXXXX",0,1)</f>
        <v>2018</v>
      </c>
      <c r="B1902" s="213" t="s">
        <v>5676</v>
      </c>
      <c r="C1902" s="214">
        <v>549.0</v>
      </c>
      <c r="D1902" s="215" t="s">
        <v>4221</v>
      </c>
      <c r="E1902" s="197" t="str">
        <f t="array" ref="E1902">XLOOKUP(C1902,FSE!A:A,FSE!Z:Z,"XXXXX",0,1)</f>
        <v>Publicly Available (1)</v>
      </c>
      <c r="F1902" s="213" t="s">
        <v>3394</v>
      </c>
      <c r="G1902" s="163" t="str">
        <f t="array" ref="G1902">IF(B1902="ICSE",IF(COUNTIFS(B:B,B1902,C:C,C1902)=XLOOKUP(C1902,ICSE!A:A,ICSE!AA:AA,"ERROR",0,1),"OK","ERROR"),IF(B1902="FSE",IF(COUNTIFS(B:B,B1902,C:C,C1902)=XLOOKUP(C1902,FSE!A:A,FSE!AA:AA,"ERROR",0,1),"OK","ERROR")))</f>
        <v>OK</v>
      </c>
      <c r="H1902" s="199">
        <f t="shared" ref="H1902:O1902" si="9599">countif($D1902,"*"&amp;H$2&amp;"*")</f>
        <v>0</v>
      </c>
      <c r="I1902" s="200">
        <f t="shared" si="9599"/>
        <v>0</v>
      </c>
      <c r="J1902" s="200">
        <f t="shared" si="9599"/>
        <v>0</v>
      </c>
      <c r="K1902" s="200">
        <f t="shared" si="9599"/>
        <v>0</v>
      </c>
      <c r="L1902" s="200">
        <f t="shared" si="9599"/>
        <v>0</v>
      </c>
      <c r="M1902" s="200">
        <f t="shared" si="9599"/>
        <v>0</v>
      </c>
      <c r="N1902" s="200">
        <f t="shared" si="9599"/>
        <v>0</v>
      </c>
      <c r="O1902" s="200">
        <f t="shared" si="9599"/>
        <v>0</v>
      </c>
      <c r="P1902" s="200">
        <f t="shared" si="9"/>
        <v>1</v>
      </c>
      <c r="Q1902" s="200">
        <f t="shared" ref="Q1902:AC1902" si="9600">countif($D1902,"*"&amp;Q$2&amp;"*")</f>
        <v>0</v>
      </c>
      <c r="R1902" s="200">
        <f t="shared" si="9600"/>
        <v>0</v>
      </c>
      <c r="S1902" s="200">
        <f t="shared" si="9600"/>
        <v>0</v>
      </c>
      <c r="T1902" s="200">
        <f t="shared" si="9600"/>
        <v>0</v>
      </c>
      <c r="U1902" s="200">
        <f t="shared" si="9600"/>
        <v>0</v>
      </c>
      <c r="V1902" s="200">
        <f t="shared" si="9600"/>
        <v>0</v>
      </c>
      <c r="W1902" s="200">
        <f t="shared" si="9600"/>
        <v>0</v>
      </c>
      <c r="X1902" s="200">
        <f t="shared" si="9600"/>
        <v>0</v>
      </c>
      <c r="Y1902" s="200">
        <f t="shared" si="9600"/>
        <v>0</v>
      </c>
      <c r="Z1902" s="200">
        <f t="shared" si="9600"/>
        <v>0</v>
      </c>
      <c r="AA1902" s="200">
        <f t="shared" si="9600"/>
        <v>0</v>
      </c>
      <c r="AB1902" s="200">
        <f t="shared" si="9600"/>
        <v>0</v>
      </c>
      <c r="AC1902" s="200">
        <f t="shared" si="9600"/>
        <v>0</v>
      </c>
      <c r="AD1902" s="200">
        <f t="shared" si="11"/>
        <v>0</v>
      </c>
      <c r="AE1902" s="200">
        <f t="shared" ref="AE1902:AG1902" si="9601">countif($D1902,"*"&amp;AE$2&amp;"*")</f>
        <v>0</v>
      </c>
      <c r="AF1902" s="200">
        <f t="shared" si="9601"/>
        <v>0</v>
      </c>
      <c r="AG1902" s="200">
        <f t="shared" si="9601"/>
        <v>0</v>
      </c>
      <c r="AH1902" s="171">
        <f t="shared" si="13"/>
        <v>0</v>
      </c>
      <c r="AI1902" s="200">
        <f t="shared" si="14"/>
        <v>0</v>
      </c>
      <c r="AJ1902" s="200">
        <f t="shared" si="9591"/>
        <v>0</v>
      </c>
      <c r="AK1902" s="201">
        <f t="shared" ref="AK1902:AS1902" si="9602">countif($D1902,"*"&amp;AK$2&amp;"*")</f>
        <v>0</v>
      </c>
      <c r="AL1902" s="201">
        <f t="shared" si="9602"/>
        <v>0</v>
      </c>
      <c r="AM1902" s="201">
        <f t="shared" si="9602"/>
        <v>0</v>
      </c>
      <c r="AN1902" s="201">
        <f t="shared" si="9602"/>
        <v>0</v>
      </c>
      <c r="AO1902" s="201">
        <f t="shared" si="9602"/>
        <v>0</v>
      </c>
      <c r="AP1902" s="201">
        <f t="shared" si="9602"/>
        <v>0</v>
      </c>
      <c r="AQ1902" s="201">
        <f t="shared" si="9602"/>
        <v>0</v>
      </c>
      <c r="AR1902" s="200">
        <f t="shared" si="9602"/>
        <v>0</v>
      </c>
      <c r="AS1902" s="200">
        <f t="shared" si="9602"/>
        <v>0</v>
      </c>
      <c r="AT1902" s="173">
        <v>0.0</v>
      </c>
      <c r="AU1902" s="200">
        <f t="shared" ref="AU1902:AX1902" si="9603">countif($D1902,"*"&amp;AU$2&amp;"*")</f>
        <v>0</v>
      </c>
      <c r="AV1902" s="200">
        <f t="shared" si="9603"/>
        <v>1</v>
      </c>
      <c r="AW1902" s="200">
        <f t="shared" si="9603"/>
        <v>0</v>
      </c>
      <c r="AX1902" s="200">
        <f t="shared" si="9603"/>
        <v>0</v>
      </c>
      <c r="AY1902" s="202">
        <v>0.0</v>
      </c>
      <c r="AZ1902" s="200"/>
      <c r="BA1902" s="171" t="str">
        <f t="shared" si="18"/>
        <v/>
      </c>
      <c r="BB1902" s="171" t="str">
        <f t="shared" si="19"/>
        <v>Code</v>
      </c>
      <c r="BC1902" s="171" t="str">
        <f t="shared" si="20"/>
        <v/>
      </c>
      <c r="BD1902" s="171" t="str">
        <f t="shared" si="21"/>
        <v/>
      </c>
      <c r="BE1902" s="171" t="str">
        <f t="shared" si="22"/>
        <v/>
      </c>
      <c r="BF1902" s="171" t="str">
        <f t="shared" si="23"/>
        <v>Code</v>
      </c>
    </row>
    <row r="1903">
      <c r="A1903" s="171">
        <f t="array" ref="A1903">XLOOKUP(C1903,FSE!A:A,FSE!C:C,"XXXXX",0,1)</f>
        <v>2018</v>
      </c>
      <c r="B1903" s="213" t="s">
        <v>5676</v>
      </c>
      <c r="C1903" s="214">
        <v>550.0</v>
      </c>
      <c r="D1903" s="215" t="s">
        <v>4223</v>
      </c>
      <c r="E1903" s="197" t="str">
        <f t="array" ref="E1903">XLOOKUP(C1903,FSE!A:A,FSE!Z:Z,"XXXXX",0,1)</f>
        <v>Publicly Available (1)</v>
      </c>
      <c r="F1903" s="213" t="s">
        <v>3394</v>
      </c>
      <c r="G1903" s="163" t="str">
        <f t="array" ref="G1903">IF(B1903="ICSE",IF(COUNTIFS(B:B,B1903,C:C,C1903)=XLOOKUP(C1903,ICSE!A:A,ICSE!AA:AA,"ERROR",0,1),"OK","ERROR"),IF(B1903="FSE",IF(COUNTIFS(B:B,B1903,C:C,C1903)=XLOOKUP(C1903,FSE!A:A,FSE!AA:AA,"ERROR",0,1),"OK","ERROR")))</f>
        <v>OK</v>
      </c>
      <c r="H1903" s="199">
        <f t="shared" ref="H1903:O1903" si="9604">countif($D1903,"*"&amp;H$2&amp;"*")</f>
        <v>0</v>
      </c>
      <c r="I1903" s="200">
        <f t="shared" si="9604"/>
        <v>0</v>
      </c>
      <c r="J1903" s="200">
        <f t="shared" si="9604"/>
        <v>0</v>
      </c>
      <c r="K1903" s="200">
        <f t="shared" si="9604"/>
        <v>0</v>
      </c>
      <c r="L1903" s="200">
        <f t="shared" si="9604"/>
        <v>0</v>
      </c>
      <c r="M1903" s="200">
        <f t="shared" si="9604"/>
        <v>0</v>
      </c>
      <c r="N1903" s="200">
        <f t="shared" si="9604"/>
        <v>0</v>
      </c>
      <c r="O1903" s="200">
        <f t="shared" si="9604"/>
        <v>0</v>
      </c>
      <c r="P1903" s="200">
        <f t="shared" si="9"/>
        <v>0</v>
      </c>
      <c r="Q1903" s="200">
        <f t="shared" ref="Q1903:AC1903" si="9605">countif($D1903,"*"&amp;Q$2&amp;"*")</f>
        <v>0</v>
      </c>
      <c r="R1903" s="200">
        <f t="shared" si="9605"/>
        <v>0</v>
      </c>
      <c r="S1903" s="200">
        <f t="shared" si="9605"/>
        <v>1</v>
      </c>
      <c r="T1903" s="200">
        <f t="shared" si="9605"/>
        <v>0</v>
      </c>
      <c r="U1903" s="200">
        <f t="shared" si="9605"/>
        <v>0</v>
      </c>
      <c r="V1903" s="200">
        <f t="shared" si="9605"/>
        <v>0</v>
      </c>
      <c r="W1903" s="200">
        <f t="shared" si="9605"/>
        <v>0</v>
      </c>
      <c r="X1903" s="200">
        <f t="shared" si="9605"/>
        <v>0</v>
      </c>
      <c r="Y1903" s="200">
        <f t="shared" si="9605"/>
        <v>0</v>
      </c>
      <c r="Z1903" s="200">
        <f t="shared" si="9605"/>
        <v>0</v>
      </c>
      <c r="AA1903" s="200">
        <f t="shared" si="9605"/>
        <v>0</v>
      </c>
      <c r="AB1903" s="200">
        <f t="shared" si="9605"/>
        <v>0</v>
      </c>
      <c r="AC1903" s="200">
        <f t="shared" si="9605"/>
        <v>0</v>
      </c>
      <c r="AD1903" s="200">
        <f t="shared" si="11"/>
        <v>0</v>
      </c>
      <c r="AE1903" s="200">
        <f t="shared" ref="AE1903:AG1903" si="9606">countif($D1903,"*"&amp;AE$2&amp;"*")</f>
        <v>0</v>
      </c>
      <c r="AF1903" s="200">
        <f t="shared" si="9606"/>
        <v>0</v>
      </c>
      <c r="AG1903" s="200">
        <f t="shared" si="9606"/>
        <v>0</v>
      </c>
      <c r="AH1903" s="171">
        <f t="shared" si="13"/>
        <v>0</v>
      </c>
      <c r="AI1903" s="200">
        <f t="shared" si="14"/>
        <v>0</v>
      </c>
      <c r="AJ1903" s="200">
        <f t="shared" si="9591"/>
        <v>0</v>
      </c>
      <c r="AK1903" s="201">
        <f t="shared" ref="AK1903:AS1903" si="9607">countif($D1903,"*"&amp;AK$2&amp;"*")</f>
        <v>0</v>
      </c>
      <c r="AL1903" s="201">
        <f t="shared" si="9607"/>
        <v>0</v>
      </c>
      <c r="AM1903" s="201">
        <f t="shared" si="9607"/>
        <v>0</v>
      </c>
      <c r="AN1903" s="201">
        <f t="shared" si="9607"/>
        <v>0</v>
      </c>
      <c r="AO1903" s="201">
        <f t="shared" si="9607"/>
        <v>0</v>
      </c>
      <c r="AP1903" s="201">
        <f t="shared" si="9607"/>
        <v>0</v>
      </c>
      <c r="AQ1903" s="201">
        <f t="shared" si="9607"/>
        <v>0</v>
      </c>
      <c r="AR1903" s="200">
        <f t="shared" si="9607"/>
        <v>0</v>
      </c>
      <c r="AS1903" s="200">
        <f t="shared" si="9607"/>
        <v>0</v>
      </c>
      <c r="AT1903" s="173">
        <v>0.0</v>
      </c>
      <c r="AU1903" s="200">
        <f t="shared" ref="AU1903:AX1903" si="9608">countif($D1903,"*"&amp;AU$2&amp;"*")</f>
        <v>0</v>
      </c>
      <c r="AV1903" s="200">
        <f t="shared" si="9608"/>
        <v>0</v>
      </c>
      <c r="AW1903" s="200">
        <f t="shared" si="9608"/>
        <v>0</v>
      </c>
      <c r="AX1903" s="200">
        <f t="shared" si="9608"/>
        <v>0</v>
      </c>
      <c r="AY1903" s="202">
        <v>0.0</v>
      </c>
      <c r="AZ1903" s="200"/>
      <c r="BA1903" s="171" t="str">
        <f t="shared" si="18"/>
        <v/>
      </c>
      <c r="BB1903" s="171" t="str">
        <f t="shared" si="19"/>
        <v>Code</v>
      </c>
      <c r="BC1903" s="171" t="str">
        <f t="shared" si="20"/>
        <v/>
      </c>
      <c r="BD1903" s="171" t="str">
        <f t="shared" si="21"/>
        <v/>
      </c>
      <c r="BE1903" s="171" t="str">
        <f t="shared" si="22"/>
        <v/>
      </c>
      <c r="BF1903" s="171" t="str">
        <f t="shared" si="23"/>
        <v>Code</v>
      </c>
    </row>
    <row r="1904">
      <c r="A1904" s="171">
        <f t="array" ref="A1904">XLOOKUP(C1904,FSE!A:A,FSE!C:C,"XXXXX",0,1)</f>
        <v>2018</v>
      </c>
      <c r="B1904" s="213" t="s">
        <v>5676</v>
      </c>
      <c r="C1904" s="214">
        <v>551.0</v>
      </c>
      <c r="D1904" s="215" t="s">
        <v>4226</v>
      </c>
      <c r="E1904" s="197" t="str">
        <f t="array" ref="E1904">XLOOKUP(C1904,FSE!A:A,FSE!Z:Z,"XXXXX",0,1)</f>
        <v>Publicly Available (1)</v>
      </c>
      <c r="F1904" s="213" t="s">
        <v>3394</v>
      </c>
      <c r="G1904" s="163" t="str">
        <f t="array" ref="G1904">IF(B1904="ICSE",IF(COUNTIFS(B:B,B1904,C:C,C1904)=XLOOKUP(C1904,ICSE!A:A,ICSE!AA:AA,"ERROR",0,1),"OK","ERROR"),IF(B1904="FSE",IF(COUNTIFS(B:B,B1904,C:C,C1904)=XLOOKUP(C1904,FSE!A:A,FSE!AA:AA,"ERROR",0,1),"OK","ERROR")))</f>
        <v>OK</v>
      </c>
      <c r="H1904" s="199">
        <f t="shared" ref="H1904:O1904" si="9609">countif($D1904,"*"&amp;H$2&amp;"*")</f>
        <v>0</v>
      </c>
      <c r="I1904" s="200">
        <f t="shared" si="9609"/>
        <v>0</v>
      </c>
      <c r="J1904" s="200">
        <f t="shared" si="9609"/>
        <v>0</v>
      </c>
      <c r="K1904" s="200">
        <f t="shared" si="9609"/>
        <v>0</v>
      </c>
      <c r="L1904" s="200">
        <f t="shared" si="9609"/>
        <v>0</v>
      </c>
      <c r="M1904" s="200">
        <f t="shared" si="9609"/>
        <v>0</v>
      </c>
      <c r="N1904" s="200">
        <f t="shared" si="9609"/>
        <v>0</v>
      </c>
      <c r="O1904" s="200">
        <f t="shared" si="9609"/>
        <v>0</v>
      </c>
      <c r="P1904" s="200">
        <f t="shared" si="9"/>
        <v>1</v>
      </c>
      <c r="Q1904" s="200">
        <f t="shared" ref="Q1904:AC1904" si="9610">countif($D1904,"*"&amp;Q$2&amp;"*")</f>
        <v>0</v>
      </c>
      <c r="R1904" s="200">
        <f t="shared" si="9610"/>
        <v>0</v>
      </c>
      <c r="S1904" s="200">
        <f t="shared" si="9610"/>
        <v>0</v>
      </c>
      <c r="T1904" s="200">
        <f t="shared" si="9610"/>
        <v>0</v>
      </c>
      <c r="U1904" s="200">
        <f t="shared" si="9610"/>
        <v>0</v>
      </c>
      <c r="V1904" s="200">
        <f t="shared" si="9610"/>
        <v>0</v>
      </c>
      <c r="W1904" s="200">
        <f t="shared" si="9610"/>
        <v>0</v>
      </c>
      <c r="X1904" s="200">
        <f t="shared" si="9610"/>
        <v>0</v>
      </c>
      <c r="Y1904" s="200">
        <f t="shared" si="9610"/>
        <v>0</v>
      </c>
      <c r="Z1904" s="200">
        <f t="shared" si="9610"/>
        <v>0</v>
      </c>
      <c r="AA1904" s="200">
        <f t="shared" si="9610"/>
        <v>0</v>
      </c>
      <c r="AB1904" s="200">
        <f t="shared" si="9610"/>
        <v>0</v>
      </c>
      <c r="AC1904" s="200">
        <f t="shared" si="9610"/>
        <v>0</v>
      </c>
      <c r="AD1904" s="200">
        <f t="shared" si="11"/>
        <v>0</v>
      </c>
      <c r="AE1904" s="200">
        <f t="shared" ref="AE1904:AG1904" si="9611">countif($D1904,"*"&amp;AE$2&amp;"*")</f>
        <v>0</v>
      </c>
      <c r="AF1904" s="200">
        <f t="shared" si="9611"/>
        <v>0</v>
      </c>
      <c r="AG1904" s="200">
        <f t="shared" si="9611"/>
        <v>0</v>
      </c>
      <c r="AH1904" s="171">
        <f t="shared" si="13"/>
        <v>0</v>
      </c>
      <c r="AI1904" s="200">
        <f t="shared" si="14"/>
        <v>0</v>
      </c>
      <c r="AJ1904" s="200">
        <f t="shared" si="9591"/>
        <v>0</v>
      </c>
      <c r="AK1904" s="201">
        <f t="shared" ref="AK1904:AS1904" si="9612">countif($D1904,"*"&amp;AK$2&amp;"*")</f>
        <v>0</v>
      </c>
      <c r="AL1904" s="201">
        <f t="shared" si="9612"/>
        <v>0</v>
      </c>
      <c r="AM1904" s="201">
        <f t="shared" si="9612"/>
        <v>0</v>
      </c>
      <c r="AN1904" s="201">
        <f t="shared" si="9612"/>
        <v>0</v>
      </c>
      <c r="AO1904" s="201">
        <f t="shared" si="9612"/>
        <v>0</v>
      </c>
      <c r="AP1904" s="201">
        <f t="shared" si="9612"/>
        <v>0</v>
      </c>
      <c r="AQ1904" s="201">
        <f t="shared" si="9612"/>
        <v>0</v>
      </c>
      <c r="AR1904" s="200">
        <f t="shared" si="9612"/>
        <v>0</v>
      </c>
      <c r="AS1904" s="200">
        <f t="shared" si="9612"/>
        <v>0</v>
      </c>
      <c r="AT1904" s="173">
        <v>0.0</v>
      </c>
      <c r="AU1904" s="200">
        <f t="shared" ref="AU1904:AX1904" si="9613">countif($D1904,"*"&amp;AU$2&amp;"*")</f>
        <v>0</v>
      </c>
      <c r="AV1904" s="200">
        <f t="shared" si="9613"/>
        <v>1</v>
      </c>
      <c r="AW1904" s="200">
        <f t="shared" si="9613"/>
        <v>0</v>
      </c>
      <c r="AX1904" s="200">
        <f t="shared" si="9613"/>
        <v>0</v>
      </c>
      <c r="AY1904" s="202">
        <v>0.0</v>
      </c>
      <c r="AZ1904" s="200"/>
      <c r="BA1904" s="171" t="str">
        <f t="shared" si="18"/>
        <v/>
      </c>
      <c r="BB1904" s="171" t="str">
        <f t="shared" si="19"/>
        <v>Code</v>
      </c>
      <c r="BC1904" s="171" t="str">
        <f t="shared" si="20"/>
        <v/>
      </c>
      <c r="BD1904" s="171" t="str">
        <f t="shared" si="21"/>
        <v/>
      </c>
      <c r="BE1904" s="171" t="str">
        <f t="shared" si="22"/>
        <v/>
      </c>
      <c r="BF1904" s="171" t="str">
        <f t="shared" si="23"/>
        <v>Code</v>
      </c>
    </row>
    <row r="1905">
      <c r="A1905" s="171">
        <f t="array" ref="A1905">XLOOKUP(C1905,FSE!A:A,FSE!C:C,"XXXXX",0,1)</f>
        <v>2018</v>
      </c>
      <c r="B1905" s="213" t="s">
        <v>5676</v>
      </c>
      <c r="C1905" s="214">
        <v>552.0</v>
      </c>
      <c r="D1905" s="217" t="s">
        <v>6489</v>
      </c>
      <c r="E1905" s="197" t="str">
        <f t="array" ref="E1905">XLOOKUP(C1905,FSE!A:A,FSE!Z:Z,"XXXXX",0,1)</f>
        <v>Not Available (1)</v>
      </c>
      <c r="F1905" s="213" t="s">
        <v>3395</v>
      </c>
      <c r="G1905" s="163" t="str">
        <f t="array" ref="G1905">IF(B1905="ICSE",IF(COUNTIFS(B:B,B1905,C:C,C1905)=XLOOKUP(C1905,ICSE!A:A,ICSE!AA:AA,"ERROR",0,1),"OK","ERROR"),IF(B1905="FSE",IF(COUNTIFS(B:B,B1905,C:C,C1905)=XLOOKUP(C1905,FSE!A:A,FSE!AA:AA,"ERROR",0,1),"OK","ERROR")))</f>
        <v>OK</v>
      </c>
      <c r="H1905" s="199">
        <f t="shared" ref="H1905:O1905" si="9614">countif($D1905,"*"&amp;H$2&amp;"*")</f>
        <v>0</v>
      </c>
      <c r="I1905" s="200">
        <f t="shared" si="9614"/>
        <v>0</v>
      </c>
      <c r="J1905" s="200">
        <f t="shared" si="9614"/>
        <v>0</v>
      </c>
      <c r="K1905" s="200">
        <f t="shared" si="9614"/>
        <v>0</v>
      </c>
      <c r="L1905" s="200">
        <f t="shared" si="9614"/>
        <v>0</v>
      </c>
      <c r="M1905" s="200">
        <f t="shared" si="9614"/>
        <v>0</v>
      </c>
      <c r="N1905" s="200">
        <f t="shared" si="9614"/>
        <v>0</v>
      </c>
      <c r="O1905" s="200">
        <f t="shared" si="9614"/>
        <v>0</v>
      </c>
      <c r="P1905" s="200">
        <f t="shared" si="9"/>
        <v>0</v>
      </c>
      <c r="Q1905" s="200">
        <f t="shared" ref="Q1905:AC1905" si="9615">countif($D1905,"*"&amp;Q$2&amp;"*")</f>
        <v>0</v>
      </c>
      <c r="R1905" s="200">
        <f t="shared" si="9615"/>
        <v>0</v>
      </c>
      <c r="S1905" s="200">
        <f t="shared" si="9615"/>
        <v>0</v>
      </c>
      <c r="T1905" s="200">
        <f t="shared" si="9615"/>
        <v>0</v>
      </c>
      <c r="U1905" s="200">
        <f t="shared" si="9615"/>
        <v>0</v>
      </c>
      <c r="V1905" s="200">
        <f t="shared" si="9615"/>
        <v>0</v>
      </c>
      <c r="W1905" s="200">
        <f t="shared" si="9615"/>
        <v>0</v>
      </c>
      <c r="X1905" s="200">
        <f t="shared" si="9615"/>
        <v>0</v>
      </c>
      <c r="Y1905" s="200">
        <f t="shared" si="9615"/>
        <v>0</v>
      </c>
      <c r="Z1905" s="200">
        <f t="shared" si="9615"/>
        <v>0</v>
      </c>
      <c r="AA1905" s="200">
        <f t="shared" si="9615"/>
        <v>0</v>
      </c>
      <c r="AB1905" s="200">
        <f t="shared" si="9615"/>
        <v>0</v>
      </c>
      <c r="AC1905" s="200">
        <f t="shared" si="9615"/>
        <v>0</v>
      </c>
      <c r="AD1905" s="200">
        <f t="shared" si="11"/>
        <v>1</v>
      </c>
      <c r="AE1905" s="200">
        <f t="shared" ref="AE1905:AG1905" si="9616">countif($D1905,"*"&amp;AE$2&amp;"*")</f>
        <v>0</v>
      </c>
      <c r="AF1905" s="200">
        <f t="shared" si="9616"/>
        <v>0</v>
      </c>
      <c r="AG1905" s="200">
        <f t="shared" si="9616"/>
        <v>0</v>
      </c>
      <c r="AH1905" s="171">
        <f t="shared" si="13"/>
        <v>0</v>
      </c>
      <c r="AI1905" s="200">
        <f t="shared" si="14"/>
        <v>0</v>
      </c>
      <c r="AJ1905" s="200">
        <f t="shared" si="9591"/>
        <v>1</v>
      </c>
      <c r="AK1905" s="201">
        <f t="shared" ref="AK1905:AS1905" si="9617">countif($D1905,"*"&amp;AK$2&amp;"*")</f>
        <v>0</v>
      </c>
      <c r="AL1905" s="201">
        <f t="shared" si="9617"/>
        <v>1</v>
      </c>
      <c r="AM1905" s="201">
        <f t="shared" si="9617"/>
        <v>0</v>
      </c>
      <c r="AN1905" s="201">
        <f t="shared" si="9617"/>
        <v>0</v>
      </c>
      <c r="AO1905" s="201">
        <f t="shared" si="9617"/>
        <v>0</v>
      </c>
      <c r="AP1905" s="201">
        <f t="shared" si="9617"/>
        <v>0</v>
      </c>
      <c r="AQ1905" s="201">
        <f t="shared" si="9617"/>
        <v>0</v>
      </c>
      <c r="AR1905" s="200">
        <f t="shared" si="9617"/>
        <v>0</v>
      </c>
      <c r="AS1905" s="200">
        <f t="shared" si="9617"/>
        <v>1</v>
      </c>
      <c r="AT1905" s="173">
        <v>1.0</v>
      </c>
      <c r="AU1905" s="200">
        <f t="shared" ref="AU1905:AX1905" si="9618">countif($D1905,"*"&amp;AU$2&amp;"*")</f>
        <v>0</v>
      </c>
      <c r="AV1905" s="200">
        <f t="shared" si="9618"/>
        <v>0</v>
      </c>
      <c r="AW1905" s="200">
        <f t="shared" si="9618"/>
        <v>0</v>
      </c>
      <c r="AX1905" s="200">
        <f t="shared" si="9618"/>
        <v>0</v>
      </c>
      <c r="AY1905" s="202">
        <v>0.0</v>
      </c>
      <c r="AZ1905" s="200"/>
      <c r="BA1905" s="171" t="str">
        <f t="shared" si="18"/>
        <v/>
      </c>
      <c r="BB1905" s="171" t="str">
        <f t="shared" si="19"/>
        <v/>
      </c>
      <c r="BC1905" s="171" t="str">
        <f t="shared" si="20"/>
        <v/>
      </c>
      <c r="BD1905" s="171" t="str">
        <f t="shared" si="21"/>
        <v>Institutional</v>
      </c>
      <c r="BE1905" s="171" t="str">
        <f t="shared" si="22"/>
        <v/>
      </c>
      <c r="BF1905" s="171" t="str">
        <f t="shared" si="23"/>
        <v>Institutional</v>
      </c>
    </row>
    <row r="1906">
      <c r="A1906" s="213">
        <f t="array" ref="A1906">XLOOKUP(C1906,FSE!A:A,FSE!C:C,"XXXXX",0,1)</f>
        <v>2018</v>
      </c>
      <c r="B1906" s="213" t="s">
        <v>5676</v>
      </c>
      <c r="C1906" s="220">
        <v>553.0</v>
      </c>
      <c r="D1906" s="217" t="s">
        <v>6490</v>
      </c>
      <c r="E1906" s="221" t="str">
        <f t="array" ref="E1906">XLOOKUP(C1906,FSE!A:A,FSE!Z:Z,"XXXXX",0,1)</f>
        <v>Not Available (1)
Publicly Available (26)</v>
      </c>
      <c r="F1906" s="218" t="s">
        <v>3395</v>
      </c>
      <c r="G1906" s="163" t="str">
        <f t="array" ref="G1906">IF(B1906="ICSE",IF(COUNTIFS(B:B,B1906,C:C,C1906)=XLOOKUP(C1906,ICSE!A:A,ICSE!AA:AA,"ERROR",0,1),"OK","ERROR"),IF(B1906="FSE",IF(COUNTIFS(B:B,B1906,C:C,C1906)=XLOOKUP(C1906,FSE!A:A,FSE!AA:AA,"ERROR",0,1),"OK","ERROR")))</f>
        <v>OK</v>
      </c>
      <c r="H1906" s="199">
        <f t="shared" ref="H1906:O1906" si="9619">countif($D1906,"*"&amp;H$2&amp;"*")</f>
        <v>0</v>
      </c>
      <c r="I1906" s="200">
        <f t="shared" si="9619"/>
        <v>0</v>
      </c>
      <c r="J1906" s="200">
        <f t="shared" si="9619"/>
        <v>0</v>
      </c>
      <c r="K1906" s="200">
        <f t="shared" si="9619"/>
        <v>0</v>
      </c>
      <c r="L1906" s="200">
        <f t="shared" si="9619"/>
        <v>0</v>
      </c>
      <c r="M1906" s="200">
        <f t="shared" si="9619"/>
        <v>0</v>
      </c>
      <c r="N1906" s="200">
        <f t="shared" si="9619"/>
        <v>0</v>
      </c>
      <c r="O1906" s="200">
        <f t="shared" si="9619"/>
        <v>0</v>
      </c>
      <c r="P1906" s="200">
        <f t="shared" si="9"/>
        <v>0</v>
      </c>
      <c r="Q1906" s="200">
        <f t="shared" ref="Q1906:AC1906" si="9620">countif($D1906,"*"&amp;Q$2&amp;"*")</f>
        <v>0</v>
      </c>
      <c r="R1906" s="200">
        <f t="shared" si="9620"/>
        <v>0</v>
      </c>
      <c r="S1906" s="200">
        <f t="shared" si="9620"/>
        <v>0</v>
      </c>
      <c r="T1906" s="200">
        <f t="shared" si="9620"/>
        <v>0</v>
      </c>
      <c r="U1906" s="200">
        <f t="shared" si="9620"/>
        <v>0</v>
      </c>
      <c r="V1906" s="200">
        <f t="shared" si="9620"/>
        <v>0</v>
      </c>
      <c r="W1906" s="200">
        <f t="shared" si="9620"/>
        <v>0</v>
      </c>
      <c r="X1906" s="200">
        <f t="shared" si="9620"/>
        <v>0</v>
      </c>
      <c r="Y1906" s="200">
        <f t="shared" si="9620"/>
        <v>0</v>
      </c>
      <c r="Z1906" s="200">
        <f t="shared" si="9620"/>
        <v>0</v>
      </c>
      <c r="AA1906" s="200">
        <f t="shared" si="9620"/>
        <v>0</v>
      </c>
      <c r="AB1906" s="200">
        <f t="shared" si="9620"/>
        <v>0</v>
      </c>
      <c r="AC1906" s="200">
        <f t="shared" si="9620"/>
        <v>0</v>
      </c>
      <c r="AD1906" s="222">
        <f t="shared" si="11"/>
        <v>0</v>
      </c>
      <c r="AE1906" s="200">
        <f t="shared" ref="AE1906:AG1906" si="9621">countif($D1906,"*"&amp;AE$2&amp;"*")</f>
        <v>0</v>
      </c>
      <c r="AF1906" s="200">
        <f t="shared" si="9621"/>
        <v>0</v>
      </c>
      <c r="AG1906" s="200">
        <f t="shared" si="9621"/>
        <v>0</v>
      </c>
      <c r="AH1906" s="171">
        <f t="shared" si="13"/>
        <v>1</v>
      </c>
      <c r="AI1906" s="200">
        <f t="shared" si="14"/>
        <v>0</v>
      </c>
      <c r="AJ1906" s="200">
        <f t="shared" si="9591"/>
        <v>0</v>
      </c>
      <c r="AK1906" s="201">
        <f t="shared" ref="AK1906:AS1906" si="9622">countif($D1906,"*"&amp;AK$2&amp;"*")</f>
        <v>0</v>
      </c>
      <c r="AL1906" s="201">
        <f t="shared" si="9622"/>
        <v>0</v>
      </c>
      <c r="AM1906" s="201">
        <f t="shared" si="9622"/>
        <v>0</v>
      </c>
      <c r="AN1906" s="201">
        <f t="shared" si="9622"/>
        <v>0</v>
      </c>
      <c r="AO1906" s="201">
        <f t="shared" si="9622"/>
        <v>0</v>
      </c>
      <c r="AP1906" s="201">
        <f t="shared" si="9622"/>
        <v>0</v>
      </c>
      <c r="AQ1906" s="201">
        <f t="shared" si="9622"/>
        <v>0</v>
      </c>
      <c r="AR1906" s="222">
        <f t="shared" si="9622"/>
        <v>0</v>
      </c>
      <c r="AS1906" s="200">
        <f t="shared" si="9622"/>
        <v>0</v>
      </c>
      <c r="AT1906" s="223">
        <v>0.0</v>
      </c>
      <c r="AU1906" s="200">
        <f t="shared" ref="AU1906:AX1906" si="9623">countif($D1906,"*"&amp;AU$2&amp;"*")</f>
        <v>0</v>
      </c>
      <c r="AV1906" s="200">
        <f t="shared" si="9623"/>
        <v>0</v>
      </c>
      <c r="AW1906" s="200">
        <f t="shared" si="9623"/>
        <v>0</v>
      </c>
      <c r="AX1906" s="200">
        <f t="shared" si="9623"/>
        <v>0</v>
      </c>
      <c r="AY1906" s="202">
        <v>0.0</v>
      </c>
      <c r="AZ1906" s="200"/>
      <c r="BA1906" s="171" t="str">
        <f t="shared" si="18"/>
        <v/>
      </c>
      <c r="BB1906" s="171" t="str">
        <f t="shared" si="19"/>
        <v/>
      </c>
      <c r="BC1906" s="171" t="str">
        <f t="shared" si="20"/>
        <v/>
      </c>
      <c r="BD1906" s="171" t="str">
        <f t="shared" si="21"/>
        <v/>
      </c>
      <c r="BE1906" s="171" t="str">
        <f t="shared" si="22"/>
        <v>Others</v>
      </c>
      <c r="BF1906" s="171" t="str">
        <f t="shared" si="23"/>
        <v>Others</v>
      </c>
    </row>
    <row r="1907">
      <c r="A1907" s="213">
        <f t="array" ref="A1907">XLOOKUP(C1907,FSE!A:A,FSE!C:C,"XXXXX",0,1)</f>
        <v>2018</v>
      </c>
      <c r="B1907" s="213" t="s">
        <v>5676</v>
      </c>
      <c r="C1907" s="220">
        <v>553.0</v>
      </c>
      <c r="D1907" s="217" t="s">
        <v>6491</v>
      </c>
      <c r="E1907" s="221" t="str">
        <f t="array" ref="E1907">XLOOKUP(C1907,FSE!A:A,FSE!Z:Z,"XXXXX",0,1)</f>
        <v>Not Available (1)
Publicly Available (26)</v>
      </c>
      <c r="F1907" s="213" t="s">
        <v>3394</v>
      </c>
      <c r="G1907" s="163" t="str">
        <f t="array" ref="G1907">IF(B1907="ICSE",IF(COUNTIFS(B:B,B1907,C:C,C1907)=XLOOKUP(C1907,ICSE!A:A,ICSE!AA:AA,"ERROR",0,1),"OK","ERROR"),IF(B1907="FSE",IF(COUNTIFS(B:B,B1907,C:C,C1907)=XLOOKUP(C1907,FSE!A:A,FSE!AA:AA,"ERROR",0,1),"OK","ERROR")))</f>
        <v>OK</v>
      </c>
      <c r="H1907" s="199">
        <f t="shared" ref="H1907:O1907" si="9624">countif($D1907,"*"&amp;H$2&amp;"*")</f>
        <v>0</v>
      </c>
      <c r="I1907" s="200">
        <f t="shared" si="9624"/>
        <v>0</v>
      </c>
      <c r="J1907" s="200">
        <f t="shared" si="9624"/>
        <v>0</v>
      </c>
      <c r="K1907" s="200">
        <f t="shared" si="9624"/>
        <v>0</v>
      </c>
      <c r="L1907" s="200">
        <f t="shared" si="9624"/>
        <v>0</v>
      </c>
      <c r="M1907" s="200">
        <f t="shared" si="9624"/>
        <v>0</v>
      </c>
      <c r="N1907" s="200">
        <f t="shared" si="9624"/>
        <v>0</v>
      </c>
      <c r="O1907" s="200">
        <f t="shared" si="9624"/>
        <v>0</v>
      </c>
      <c r="P1907" s="200">
        <f t="shared" si="9"/>
        <v>0</v>
      </c>
      <c r="Q1907" s="200">
        <f t="shared" ref="Q1907:AC1907" si="9625">countif($D1907,"*"&amp;Q$2&amp;"*")</f>
        <v>0</v>
      </c>
      <c r="R1907" s="200">
        <f t="shared" si="9625"/>
        <v>0</v>
      </c>
      <c r="S1907" s="200">
        <f t="shared" si="9625"/>
        <v>0</v>
      </c>
      <c r="T1907" s="200">
        <f t="shared" si="9625"/>
        <v>0</v>
      </c>
      <c r="U1907" s="200">
        <f t="shared" si="9625"/>
        <v>0</v>
      </c>
      <c r="V1907" s="200">
        <f t="shared" si="9625"/>
        <v>0</v>
      </c>
      <c r="W1907" s="200">
        <f t="shared" si="9625"/>
        <v>0</v>
      </c>
      <c r="X1907" s="200">
        <f t="shared" si="9625"/>
        <v>0</v>
      </c>
      <c r="Y1907" s="200">
        <f t="shared" si="9625"/>
        <v>0</v>
      </c>
      <c r="Z1907" s="200">
        <f t="shared" si="9625"/>
        <v>0</v>
      </c>
      <c r="AA1907" s="200">
        <f t="shared" si="9625"/>
        <v>0</v>
      </c>
      <c r="AB1907" s="200">
        <f t="shared" si="9625"/>
        <v>0</v>
      </c>
      <c r="AC1907" s="200">
        <f t="shared" si="9625"/>
        <v>0</v>
      </c>
      <c r="AD1907" s="222">
        <f t="shared" si="11"/>
        <v>0</v>
      </c>
      <c r="AE1907" s="200">
        <f t="shared" ref="AE1907:AG1907" si="9626">countif($D1907,"*"&amp;AE$2&amp;"*")</f>
        <v>0</v>
      </c>
      <c r="AF1907" s="200">
        <f t="shared" si="9626"/>
        <v>0</v>
      </c>
      <c r="AG1907" s="200">
        <f t="shared" si="9626"/>
        <v>0</v>
      </c>
      <c r="AH1907" s="171">
        <f t="shared" si="13"/>
        <v>1</v>
      </c>
      <c r="AI1907" s="200">
        <f t="shared" si="14"/>
        <v>0</v>
      </c>
      <c r="AJ1907" s="200">
        <f t="shared" si="9591"/>
        <v>0</v>
      </c>
      <c r="AK1907" s="201">
        <f t="shared" ref="AK1907:AS1907" si="9627">countif($D1907,"*"&amp;AK$2&amp;"*")</f>
        <v>0</v>
      </c>
      <c r="AL1907" s="201">
        <f t="shared" si="9627"/>
        <v>0</v>
      </c>
      <c r="AM1907" s="201">
        <f t="shared" si="9627"/>
        <v>0</v>
      </c>
      <c r="AN1907" s="201">
        <f t="shared" si="9627"/>
        <v>0</v>
      </c>
      <c r="AO1907" s="201">
        <f t="shared" si="9627"/>
        <v>0</v>
      </c>
      <c r="AP1907" s="201">
        <f t="shared" si="9627"/>
        <v>0</v>
      </c>
      <c r="AQ1907" s="201">
        <f t="shared" si="9627"/>
        <v>0</v>
      </c>
      <c r="AR1907" s="222">
        <f t="shared" si="9627"/>
        <v>0</v>
      </c>
      <c r="AS1907" s="200">
        <f t="shared" si="9627"/>
        <v>0</v>
      </c>
      <c r="AT1907" s="223">
        <v>0.0</v>
      </c>
      <c r="AU1907" s="200">
        <f t="shared" ref="AU1907:AX1907" si="9628">countif($D1907,"*"&amp;AU$2&amp;"*")</f>
        <v>0</v>
      </c>
      <c r="AV1907" s="200">
        <f t="shared" si="9628"/>
        <v>0</v>
      </c>
      <c r="AW1907" s="200">
        <f t="shared" si="9628"/>
        <v>0</v>
      </c>
      <c r="AX1907" s="200">
        <f t="shared" si="9628"/>
        <v>0</v>
      </c>
      <c r="AY1907" s="202">
        <v>0.0</v>
      </c>
      <c r="AZ1907" s="200"/>
      <c r="BA1907" s="171" t="str">
        <f t="shared" si="18"/>
        <v/>
      </c>
      <c r="BB1907" s="171" t="str">
        <f t="shared" si="19"/>
        <v/>
      </c>
      <c r="BC1907" s="171" t="str">
        <f t="shared" si="20"/>
        <v/>
      </c>
      <c r="BD1907" s="171" t="str">
        <f t="shared" si="21"/>
        <v/>
      </c>
      <c r="BE1907" s="171" t="str">
        <f t="shared" si="22"/>
        <v>Others</v>
      </c>
      <c r="BF1907" s="171" t="str">
        <f t="shared" si="23"/>
        <v>Others</v>
      </c>
    </row>
    <row r="1908">
      <c r="A1908" s="213">
        <f t="array" ref="A1908">XLOOKUP(C1908,FSE!A:A,FSE!C:C,"XXXXX",0,1)</f>
        <v>2018</v>
      </c>
      <c r="B1908" s="213" t="s">
        <v>5676</v>
      </c>
      <c r="C1908" s="220">
        <v>553.0</v>
      </c>
      <c r="D1908" s="217" t="s">
        <v>6492</v>
      </c>
      <c r="E1908" s="221" t="str">
        <f t="array" ref="E1908">XLOOKUP(C1908,FSE!A:A,FSE!Z:Z,"XXXXX",0,1)</f>
        <v>Not Available (1)
Publicly Available (26)</v>
      </c>
      <c r="F1908" s="213" t="s">
        <v>3394</v>
      </c>
      <c r="G1908" s="163" t="str">
        <f t="array" ref="G1908">IF(B1908="ICSE",IF(COUNTIFS(B:B,B1908,C:C,C1908)=XLOOKUP(C1908,ICSE!A:A,ICSE!AA:AA,"ERROR",0,1),"OK","ERROR"),IF(B1908="FSE",IF(COUNTIFS(B:B,B1908,C:C,C1908)=XLOOKUP(C1908,FSE!A:A,FSE!AA:AA,"ERROR",0,1),"OK","ERROR")))</f>
        <v>OK</v>
      </c>
      <c r="H1908" s="199">
        <f t="shared" ref="H1908:O1908" si="9629">countif($D1908,"*"&amp;H$2&amp;"*")</f>
        <v>0</v>
      </c>
      <c r="I1908" s="200">
        <f t="shared" si="9629"/>
        <v>0</v>
      </c>
      <c r="J1908" s="200">
        <f t="shared" si="9629"/>
        <v>0</v>
      </c>
      <c r="K1908" s="200">
        <f t="shared" si="9629"/>
        <v>0</v>
      </c>
      <c r="L1908" s="200">
        <f t="shared" si="9629"/>
        <v>0</v>
      </c>
      <c r="M1908" s="200">
        <f t="shared" si="9629"/>
        <v>0</v>
      </c>
      <c r="N1908" s="200">
        <f t="shared" si="9629"/>
        <v>0</v>
      </c>
      <c r="O1908" s="200">
        <f t="shared" si="9629"/>
        <v>0</v>
      </c>
      <c r="P1908" s="200">
        <f t="shared" si="9"/>
        <v>0</v>
      </c>
      <c r="Q1908" s="200">
        <f t="shared" ref="Q1908:AC1908" si="9630">countif($D1908,"*"&amp;Q$2&amp;"*")</f>
        <v>0</v>
      </c>
      <c r="R1908" s="200">
        <f t="shared" si="9630"/>
        <v>0</v>
      </c>
      <c r="S1908" s="200">
        <f t="shared" si="9630"/>
        <v>0</v>
      </c>
      <c r="T1908" s="200">
        <f t="shared" si="9630"/>
        <v>0</v>
      </c>
      <c r="U1908" s="200">
        <f t="shared" si="9630"/>
        <v>0</v>
      </c>
      <c r="V1908" s="200">
        <f t="shared" si="9630"/>
        <v>0</v>
      </c>
      <c r="W1908" s="200">
        <f t="shared" si="9630"/>
        <v>0</v>
      </c>
      <c r="X1908" s="200">
        <f t="shared" si="9630"/>
        <v>0</v>
      </c>
      <c r="Y1908" s="200">
        <f t="shared" si="9630"/>
        <v>0</v>
      </c>
      <c r="Z1908" s="200">
        <f t="shared" si="9630"/>
        <v>0</v>
      </c>
      <c r="AA1908" s="200">
        <f t="shared" si="9630"/>
        <v>0</v>
      </c>
      <c r="AB1908" s="200">
        <f t="shared" si="9630"/>
        <v>0</v>
      </c>
      <c r="AC1908" s="200">
        <f t="shared" si="9630"/>
        <v>0</v>
      </c>
      <c r="AD1908" s="222">
        <f t="shared" si="11"/>
        <v>0</v>
      </c>
      <c r="AE1908" s="200">
        <f t="shared" ref="AE1908:AG1908" si="9631">countif($D1908,"*"&amp;AE$2&amp;"*")</f>
        <v>0</v>
      </c>
      <c r="AF1908" s="200">
        <f t="shared" si="9631"/>
        <v>0</v>
      </c>
      <c r="AG1908" s="200">
        <f t="shared" si="9631"/>
        <v>0</v>
      </c>
      <c r="AH1908" s="171">
        <f t="shared" si="13"/>
        <v>1</v>
      </c>
      <c r="AI1908" s="200">
        <f t="shared" si="14"/>
        <v>0</v>
      </c>
      <c r="AJ1908" s="200">
        <f t="shared" si="9591"/>
        <v>0</v>
      </c>
      <c r="AK1908" s="201">
        <f t="shared" ref="AK1908:AS1908" si="9632">countif($D1908,"*"&amp;AK$2&amp;"*")</f>
        <v>0</v>
      </c>
      <c r="AL1908" s="201">
        <f t="shared" si="9632"/>
        <v>0</v>
      </c>
      <c r="AM1908" s="201">
        <f t="shared" si="9632"/>
        <v>0</v>
      </c>
      <c r="AN1908" s="201">
        <f t="shared" si="9632"/>
        <v>0</v>
      </c>
      <c r="AO1908" s="201">
        <f t="shared" si="9632"/>
        <v>0</v>
      </c>
      <c r="AP1908" s="201">
        <f t="shared" si="9632"/>
        <v>0</v>
      </c>
      <c r="AQ1908" s="201">
        <f t="shared" si="9632"/>
        <v>0</v>
      </c>
      <c r="AR1908" s="222">
        <f t="shared" si="9632"/>
        <v>0</v>
      </c>
      <c r="AS1908" s="200">
        <f t="shared" si="9632"/>
        <v>0</v>
      </c>
      <c r="AT1908" s="223">
        <v>0.0</v>
      </c>
      <c r="AU1908" s="200">
        <f t="shared" ref="AU1908:AX1908" si="9633">countif($D1908,"*"&amp;AU$2&amp;"*")</f>
        <v>0</v>
      </c>
      <c r="AV1908" s="200">
        <f t="shared" si="9633"/>
        <v>0</v>
      </c>
      <c r="AW1908" s="200">
        <f t="shared" si="9633"/>
        <v>0</v>
      </c>
      <c r="AX1908" s="200">
        <f t="shared" si="9633"/>
        <v>0</v>
      </c>
      <c r="AY1908" s="202">
        <v>0.0</v>
      </c>
      <c r="AZ1908" s="200"/>
      <c r="BA1908" s="171" t="str">
        <f t="shared" si="18"/>
        <v/>
      </c>
      <c r="BB1908" s="171" t="str">
        <f t="shared" si="19"/>
        <v/>
      </c>
      <c r="BC1908" s="171" t="str">
        <f t="shared" si="20"/>
        <v/>
      </c>
      <c r="BD1908" s="171" t="str">
        <f t="shared" si="21"/>
        <v/>
      </c>
      <c r="BE1908" s="171" t="str">
        <f t="shared" si="22"/>
        <v>Others</v>
      </c>
      <c r="BF1908" s="171" t="str">
        <f t="shared" si="23"/>
        <v>Others</v>
      </c>
    </row>
    <row r="1909">
      <c r="A1909" s="213">
        <f t="array" ref="A1909">XLOOKUP(C1909,FSE!A:A,FSE!C:C,"XXXXX",0,1)</f>
        <v>2018</v>
      </c>
      <c r="B1909" s="213" t="s">
        <v>5676</v>
      </c>
      <c r="C1909" s="220">
        <v>553.0</v>
      </c>
      <c r="D1909" s="217" t="s">
        <v>6493</v>
      </c>
      <c r="E1909" s="221" t="str">
        <f t="array" ref="E1909">XLOOKUP(C1909,FSE!A:A,FSE!Z:Z,"XXXXX",0,1)</f>
        <v>Not Available (1)
Publicly Available (26)</v>
      </c>
      <c r="F1909" s="213" t="s">
        <v>3394</v>
      </c>
      <c r="G1909" s="163" t="str">
        <f t="array" ref="G1909">IF(B1909="ICSE",IF(COUNTIFS(B:B,B1909,C:C,C1909)=XLOOKUP(C1909,ICSE!A:A,ICSE!AA:AA,"ERROR",0,1),"OK","ERROR"),IF(B1909="FSE",IF(COUNTIFS(B:B,B1909,C:C,C1909)=XLOOKUP(C1909,FSE!A:A,FSE!AA:AA,"ERROR",0,1),"OK","ERROR")))</f>
        <v>OK</v>
      </c>
      <c r="H1909" s="199">
        <f t="shared" ref="H1909:O1909" si="9634">countif($D1909,"*"&amp;H$2&amp;"*")</f>
        <v>0</v>
      </c>
      <c r="I1909" s="200">
        <f t="shared" si="9634"/>
        <v>0</v>
      </c>
      <c r="J1909" s="200">
        <f t="shared" si="9634"/>
        <v>0</v>
      </c>
      <c r="K1909" s="200">
        <f t="shared" si="9634"/>
        <v>0</v>
      </c>
      <c r="L1909" s="200">
        <f t="shared" si="9634"/>
        <v>0</v>
      </c>
      <c r="M1909" s="200">
        <f t="shared" si="9634"/>
        <v>0</v>
      </c>
      <c r="N1909" s="200">
        <f t="shared" si="9634"/>
        <v>0</v>
      </c>
      <c r="O1909" s="200">
        <f t="shared" si="9634"/>
        <v>0</v>
      </c>
      <c r="P1909" s="200">
        <f t="shared" si="9"/>
        <v>0</v>
      </c>
      <c r="Q1909" s="200">
        <f t="shared" ref="Q1909:AC1909" si="9635">countif($D1909,"*"&amp;Q$2&amp;"*")</f>
        <v>0</v>
      </c>
      <c r="R1909" s="200">
        <f t="shared" si="9635"/>
        <v>0</v>
      </c>
      <c r="S1909" s="200">
        <f t="shared" si="9635"/>
        <v>0</v>
      </c>
      <c r="T1909" s="200">
        <f t="shared" si="9635"/>
        <v>0</v>
      </c>
      <c r="U1909" s="200">
        <f t="shared" si="9635"/>
        <v>0</v>
      </c>
      <c r="V1909" s="200">
        <f t="shared" si="9635"/>
        <v>0</v>
      </c>
      <c r="W1909" s="200">
        <f t="shared" si="9635"/>
        <v>0</v>
      </c>
      <c r="X1909" s="200">
        <f t="shared" si="9635"/>
        <v>0</v>
      </c>
      <c r="Y1909" s="200">
        <f t="shared" si="9635"/>
        <v>0</v>
      </c>
      <c r="Z1909" s="200">
        <f t="shared" si="9635"/>
        <v>0</v>
      </c>
      <c r="AA1909" s="200">
        <f t="shared" si="9635"/>
        <v>0</v>
      </c>
      <c r="AB1909" s="200">
        <f t="shared" si="9635"/>
        <v>0</v>
      </c>
      <c r="AC1909" s="200">
        <f t="shared" si="9635"/>
        <v>0</v>
      </c>
      <c r="AD1909" s="222">
        <f t="shared" si="11"/>
        <v>0</v>
      </c>
      <c r="AE1909" s="200">
        <f t="shared" ref="AE1909:AG1909" si="9636">countif($D1909,"*"&amp;AE$2&amp;"*")</f>
        <v>0</v>
      </c>
      <c r="AF1909" s="200">
        <f t="shared" si="9636"/>
        <v>0</v>
      </c>
      <c r="AG1909" s="200">
        <f t="shared" si="9636"/>
        <v>0</v>
      </c>
      <c r="AH1909" s="171">
        <f t="shared" si="13"/>
        <v>1</v>
      </c>
      <c r="AI1909" s="200">
        <f t="shared" si="14"/>
        <v>0</v>
      </c>
      <c r="AJ1909" s="200">
        <f t="shared" si="9591"/>
        <v>0</v>
      </c>
      <c r="AK1909" s="201">
        <f t="shared" ref="AK1909:AS1909" si="9637">countif($D1909,"*"&amp;AK$2&amp;"*")</f>
        <v>0</v>
      </c>
      <c r="AL1909" s="201">
        <f t="shared" si="9637"/>
        <v>0</v>
      </c>
      <c r="AM1909" s="201">
        <f t="shared" si="9637"/>
        <v>0</v>
      </c>
      <c r="AN1909" s="201">
        <f t="shared" si="9637"/>
        <v>0</v>
      </c>
      <c r="AO1909" s="201">
        <f t="shared" si="9637"/>
        <v>0</v>
      </c>
      <c r="AP1909" s="201">
        <f t="shared" si="9637"/>
        <v>0</v>
      </c>
      <c r="AQ1909" s="201">
        <f t="shared" si="9637"/>
        <v>0</v>
      </c>
      <c r="AR1909" s="222">
        <f t="shared" si="9637"/>
        <v>0</v>
      </c>
      <c r="AS1909" s="200">
        <f t="shared" si="9637"/>
        <v>0</v>
      </c>
      <c r="AT1909" s="223">
        <v>0.0</v>
      </c>
      <c r="AU1909" s="200">
        <f t="shared" ref="AU1909:AX1909" si="9638">countif($D1909,"*"&amp;AU$2&amp;"*")</f>
        <v>0</v>
      </c>
      <c r="AV1909" s="200">
        <f t="shared" si="9638"/>
        <v>0</v>
      </c>
      <c r="AW1909" s="200">
        <f t="shared" si="9638"/>
        <v>0</v>
      </c>
      <c r="AX1909" s="200">
        <f t="shared" si="9638"/>
        <v>0</v>
      </c>
      <c r="AY1909" s="202">
        <v>0.0</v>
      </c>
      <c r="AZ1909" s="200"/>
      <c r="BA1909" s="171" t="str">
        <f t="shared" si="18"/>
        <v/>
      </c>
      <c r="BB1909" s="171" t="str">
        <f t="shared" si="19"/>
        <v/>
      </c>
      <c r="BC1909" s="171" t="str">
        <f t="shared" si="20"/>
        <v/>
      </c>
      <c r="BD1909" s="171" t="str">
        <f t="shared" si="21"/>
        <v/>
      </c>
      <c r="BE1909" s="171" t="str">
        <f t="shared" si="22"/>
        <v>Others</v>
      </c>
      <c r="BF1909" s="171" t="str">
        <f t="shared" si="23"/>
        <v>Others</v>
      </c>
    </row>
    <row r="1910">
      <c r="A1910" s="213">
        <f t="array" ref="A1910">XLOOKUP(C1910,FSE!A:A,FSE!C:C,"XXXXX",0,1)</f>
        <v>2018</v>
      </c>
      <c r="B1910" s="213" t="s">
        <v>5676</v>
      </c>
      <c r="C1910" s="220">
        <v>553.0</v>
      </c>
      <c r="D1910" s="217" t="s">
        <v>6494</v>
      </c>
      <c r="E1910" s="221" t="str">
        <f t="array" ref="E1910">XLOOKUP(C1910,FSE!A:A,FSE!Z:Z,"XXXXX",0,1)</f>
        <v>Not Available (1)
Publicly Available (26)</v>
      </c>
      <c r="F1910" s="213" t="s">
        <v>3394</v>
      </c>
      <c r="G1910" s="163" t="str">
        <f t="array" ref="G1910">IF(B1910="ICSE",IF(COUNTIFS(B:B,B1910,C:C,C1910)=XLOOKUP(C1910,ICSE!A:A,ICSE!AA:AA,"ERROR",0,1),"OK","ERROR"),IF(B1910="FSE",IF(COUNTIFS(B:B,B1910,C:C,C1910)=XLOOKUP(C1910,FSE!A:A,FSE!AA:AA,"ERROR",0,1),"OK","ERROR")))</f>
        <v>OK</v>
      </c>
      <c r="H1910" s="199">
        <f t="shared" ref="H1910:O1910" si="9639">countif($D1910,"*"&amp;H$2&amp;"*")</f>
        <v>0</v>
      </c>
      <c r="I1910" s="200">
        <f t="shared" si="9639"/>
        <v>0</v>
      </c>
      <c r="J1910" s="200">
        <f t="shared" si="9639"/>
        <v>0</v>
      </c>
      <c r="K1910" s="200">
        <f t="shared" si="9639"/>
        <v>0</v>
      </c>
      <c r="L1910" s="200">
        <f t="shared" si="9639"/>
        <v>0</v>
      </c>
      <c r="M1910" s="200">
        <f t="shared" si="9639"/>
        <v>0</v>
      </c>
      <c r="N1910" s="200">
        <f t="shared" si="9639"/>
        <v>0</v>
      </c>
      <c r="O1910" s="200">
        <f t="shared" si="9639"/>
        <v>0</v>
      </c>
      <c r="P1910" s="200">
        <f t="shared" si="9"/>
        <v>0</v>
      </c>
      <c r="Q1910" s="200">
        <f t="shared" ref="Q1910:AC1910" si="9640">countif($D1910,"*"&amp;Q$2&amp;"*")</f>
        <v>0</v>
      </c>
      <c r="R1910" s="200">
        <f t="shared" si="9640"/>
        <v>0</v>
      </c>
      <c r="S1910" s="200">
        <f t="shared" si="9640"/>
        <v>0</v>
      </c>
      <c r="T1910" s="200">
        <f t="shared" si="9640"/>
        <v>0</v>
      </c>
      <c r="U1910" s="200">
        <f t="shared" si="9640"/>
        <v>0</v>
      </c>
      <c r="V1910" s="200">
        <f t="shared" si="9640"/>
        <v>0</v>
      </c>
      <c r="W1910" s="200">
        <f t="shared" si="9640"/>
        <v>0</v>
      </c>
      <c r="X1910" s="200">
        <f t="shared" si="9640"/>
        <v>0</v>
      </c>
      <c r="Y1910" s="200">
        <f t="shared" si="9640"/>
        <v>0</v>
      </c>
      <c r="Z1910" s="200">
        <f t="shared" si="9640"/>
        <v>0</v>
      </c>
      <c r="AA1910" s="200">
        <f t="shared" si="9640"/>
        <v>0</v>
      </c>
      <c r="AB1910" s="200">
        <f t="shared" si="9640"/>
        <v>0</v>
      </c>
      <c r="AC1910" s="200">
        <f t="shared" si="9640"/>
        <v>0</v>
      </c>
      <c r="AD1910" s="222">
        <f t="shared" si="11"/>
        <v>0</v>
      </c>
      <c r="AE1910" s="200">
        <f t="shared" ref="AE1910:AG1910" si="9641">countif($D1910,"*"&amp;AE$2&amp;"*")</f>
        <v>0</v>
      </c>
      <c r="AF1910" s="200">
        <f t="shared" si="9641"/>
        <v>0</v>
      </c>
      <c r="AG1910" s="200">
        <f t="shared" si="9641"/>
        <v>0</v>
      </c>
      <c r="AH1910" s="171">
        <f t="shared" si="13"/>
        <v>1</v>
      </c>
      <c r="AI1910" s="200">
        <f t="shared" si="14"/>
        <v>0</v>
      </c>
      <c r="AJ1910" s="200">
        <f t="shared" si="9591"/>
        <v>0</v>
      </c>
      <c r="AK1910" s="201">
        <f t="shared" ref="AK1910:AS1910" si="9642">countif($D1910,"*"&amp;AK$2&amp;"*")</f>
        <v>0</v>
      </c>
      <c r="AL1910" s="201">
        <f t="shared" si="9642"/>
        <v>0</v>
      </c>
      <c r="AM1910" s="201">
        <f t="shared" si="9642"/>
        <v>0</v>
      </c>
      <c r="AN1910" s="201">
        <f t="shared" si="9642"/>
        <v>0</v>
      </c>
      <c r="AO1910" s="201">
        <f t="shared" si="9642"/>
        <v>0</v>
      </c>
      <c r="AP1910" s="201">
        <f t="shared" si="9642"/>
        <v>0</v>
      </c>
      <c r="AQ1910" s="201">
        <f t="shared" si="9642"/>
        <v>0</v>
      </c>
      <c r="AR1910" s="222">
        <f t="shared" si="9642"/>
        <v>0</v>
      </c>
      <c r="AS1910" s="200">
        <f t="shared" si="9642"/>
        <v>0</v>
      </c>
      <c r="AT1910" s="223">
        <v>0.0</v>
      </c>
      <c r="AU1910" s="200">
        <f t="shared" ref="AU1910:AX1910" si="9643">countif($D1910,"*"&amp;AU$2&amp;"*")</f>
        <v>0</v>
      </c>
      <c r="AV1910" s="200">
        <f t="shared" si="9643"/>
        <v>0</v>
      </c>
      <c r="AW1910" s="200">
        <f t="shared" si="9643"/>
        <v>0</v>
      </c>
      <c r="AX1910" s="200">
        <f t="shared" si="9643"/>
        <v>0</v>
      </c>
      <c r="AY1910" s="202">
        <v>0.0</v>
      </c>
      <c r="AZ1910" s="200"/>
      <c r="BA1910" s="171" t="str">
        <f t="shared" si="18"/>
        <v/>
      </c>
      <c r="BB1910" s="171" t="str">
        <f t="shared" si="19"/>
        <v/>
      </c>
      <c r="BC1910" s="171" t="str">
        <f t="shared" si="20"/>
        <v/>
      </c>
      <c r="BD1910" s="171" t="str">
        <f t="shared" si="21"/>
        <v/>
      </c>
      <c r="BE1910" s="171" t="str">
        <f t="shared" si="22"/>
        <v>Others</v>
      </c>
      <c r="BF1910" s="171" t="str">
        <f t="shared" si="23"/>
        <v>Others</v>
      </c>
    </row>
    <row r="1911">
      <c r="A1911" s="213">
        <f t="array" ref="A1911">XLOOKUP(C1911,FSE!A:A,FSE!C:C,"XXXXX",0,1)</f>
        <v>2018</v>
      </c>
      <c r="B1911" s="213" t="s">
        <v>5676</v>
      </c>
      <c r="C1911" s="220">
        <v>553.0</v>
      </c>
      <c r="D1911" s="217" t="s">
        <v>6495</v>
      </c>
      <c r="E1911" s="221" t="str">
        <f t="array" ref="E1911">XLOOKUP(C1911,FSE!A:A,FSE!Z:Z,"XXXXX",0,1)</f>
        <v>Not Available (1)
Publicly Available (26)</v>
      </c>
      <c r="F1911" s="213" t="s">
        <v>3394</v>
      </c>
      <c r="G1911" s="163" t="str">
        <f t="array" ref="G1911">IF(B1911="ICSE",IF(COUNTIFS(B:B,B1911,C:C,C1911)=XLOOKUP(C1911,ICSE!A:A,ICSE!AA:AA,"ERROR",0,1),"OK","ERROR"),IF(B1911="FSE",IF(COUNTIFS(B:B,B1911,C:C,C1911)=XLOOKUP(C1911,FSE!A:A,FSE!AA:AA,"ERROR",0,1),"OK","ERROR")))</f>
        <v>OK</v>
      </c>
      <c r="H1911" s="199">
        <f t="shared" ref="H1911:O1911" si="9644">countif($D1911,"*"&amp;H$2&amp;"*")</f>
        <v>0</v>
      </c>
      <c r="I1911" s="200">
        <f t="shared" si="9644"/>
        <v>0</v>
      </c>
      <c r="J1911" s="200">
        <f t="shared" si="9644"/>
        <v>0</v>
      </c>
      <c r="K1911" s="200">
        <f t="shared" si="9644"/>
        <v>0</v>
      </c>
      <c r="L1911" s="200">
        <f t="shared" si="9644"/>
        <v>0</v>
      </c>
      <c r="M1911" s="200">
        <f t="shared" si="9644"/>
        <v>0</v>
      </c>
      <c r="N1911" s="200">
        <f t="shared" si="9644"/>
        <v>0</v>
      </c>
      <c r="O1911" s="200">
        <f t="shared" si="9644"/>
        <v>0</v>
      </c>
      <c r="P1911" s="200">
        <f t="shared" si="9"/>
        <v>0</v>
      </c>
      <c r="Q1911" s="200">
        <f t="shared" ref="Q1911:AC1911" si="9645">countif($D1911,"*"&amp;Q$2&amp;"*")</f>
        <v>0</v>
      </c>
      <c r="R1911" s="200">
        <f t="shared" si="9645"/>
        <v>0</v>
      </c>
      <c r="S1911" s="200">
        <f t="shared" si="9645"/>
        <v>0</v>
      </c>
      <c r="T1911" s="200">
        <f t="shared" si="9645"/>
        <v>0</v>
      </c>
      <c r="U1911" s="200">
        <f t="shared" si="9645"/>
        <v>0</v>
      </c>
      <c r="V1911" s="200">
        <f t="shared" si="9645"/>
        <v>0</v>
      </c>
      <c r="W1911" s="200">
        <f t="shared" si="9645"/>
        <v>0</v>
      </c>
      <c r="X1911" s="200">
        <f t="shared" si="9645"/>
        <v>0</v>
      </c>
      <c r="Y1911" s="200">
        <f t="shared" si="9645"/>
        <v>0</v>
      </c>
      <c r="Z1911" s="200">
        <f t="shared" si="9645"/>
        <v>0</v>
      </c>
      <c r="AA1911" s="200">
        <f t="shared" si="9645"/>
        <v>0</v>
      </c>
      <c r="AB1911" s="200">
        <f t="shared" si="9645"/>
        <v>0</v>
      </c>
      <c r="AC1911" s="200">
        <f t="shared" si="9645"/>
        <v>0</v>
      </c>
      <c r="AD1911" s="222">
        <f t="shared" si="11"/>
        <v>0</v>
      </c>
      <c r="AE1911" s="200">
        <f t="shared" ref="AE1911:AG1911" si="9646">countif($D1911,"*"&amp;AE$2&amp;"*")</f>
        <v>0</v>
      </c>
      <c r="AF1911" s="200">
        <f t="shared" si="9646"/>
        <v>0</v>
      </c>
      <c r="AG1911" s="200">
        <f t="shared" si="9646"/>
        <v>0</v>
      </c>
      <c r="AH1911" s="171">
        <f t="shared" si="13"/>
        <v>1</v>
      </c>
      <c r="AI1911" s="200">
        <f t="shared" si="14"/>
        <v>0</v>
      </c>
      <c r="AJ1911" s="200">
        <f t="shared" si="9591"/>
        <v>0</v>
      </c>
      <c r="AK1911" s="201">
        <f t="shared" ref="AK1911:AS1911" si="9647">countif($D1911,"*"&amp;AK$2&amp;"*")</f>
        <v>0</v>
      </c>
      <c r="AL1911" s="201">
        <f t="shared" si="9647"/>
        <v>0</v>
      </c>
      <c r="AM1911" s="201">
        <f t="shared" si="9647"/>
        <v>0</v>
      </c>
      <c r="AN1911" s="201">
        <f t="shared" si="9647"/>
        <v>0</v>
      </c>
      <c r="AO1911" s="201">
        <f t="shared" si="9647"/>
        <v>0</v>
      </c>
      <c r="AP1911" s="201">
        <f t="shared" si="9647"/>
        <v>0</v>
      </c>
      <c r="AQ1911" s="201">
        <f t="shared" si="9647"/>
        <v>0</v>
      </c>
      <c r="AR1911" s="222">
        <f t="shared" si="9647"/>
        <v>0</v>
      </c>
      <c r="AS1911" s="200">
        <f t="shared" si="9647"/>
        <v>0</v>
      </c>
      <c r="AT1911" s="223">
        <v>0.0</v>
      </c>
      <c r="AU1911" s="200">
        <f t="shared" ref="AU1911:AX1911" si="9648">countif($D1911,"*"&amp;AU$2&amp;"*")</f>
        <v>0</v>
      </c>
      <c r="AV1911" s="200">
        <f t="shared" si="9648"/>
        <v>0</v>
      </c>
      <c r="AW1911" s="200">
        <f t="shared" si="9648"/>
        <v>0</v>
      </c>
      <c r="AX1911" s="200">
        <f t="shared" si="9648"/>
        <v>0</v>
      </c>
      <c r="AY1911" s="202">
        <v>0.0</v>
      </c>
      <c r="AZ1911" s="200"/>
      <c r="BA1911" s="171" t="str">
        <f t="shared" si="18"/>
        <v/>
      </c>
      <c r="BB1911" s="171" t="str">
        <f t="shared" si="19"/>
        <v/>
      </c>
      <c r="BC1911" s="171" t="str">
        <f t="shared" si="20"/>
        <v/>
      </c>
      <c r="BD1911" s="171" t="str">
        <f t="shared" si="21"/>
        <v/>
      </c>
      <c r="BE1911" s="171" t="str">
        <f t="shared" si="22"/>
        <v>Others</v>
      </c>
      <c r="BF1911" s="171" t="str">
        <f t="shared" si="23"/>
        <v>Others</v>
      </c>
    </row>
    <row r="1912">
      <c r="A1912" s="213">
        <f t="array" ref="A1912">XLOOKUP(C1912,FSE!A:A,FSE!C:C,"XXXXX",0,1)</f>
        <v>2018</v>
      </c>
      <c r="B1912" s="213" t="s">
        <v>5676</v>
      </c>
      <c r="C1912" s="220">
        <v>553.0</v>
      </c>
      <c r="D1912" s="217" t="s">
        <v>6494</v>
      </c>
      <c r="E1912" s="221" t="str">
        <f t="array" ref="E1912">XLOOKUP(C1912,FSE!A:A,FSE!Z:Z,"XXXXX",0,1)</f>
        <v>Not Available (1)
Publicly Available (26)</v>
      </c>
      <c r="F1912" s="213" t="s">
        <v>3394</v>
      </c>
      <c r="G1912" s="163" t="str">
        <f t="array" ref="G1912">IF(B1912="ICSE",IF(COUNTIFS(B:B,B1912,C:C,C1912)=XLOOKUP(C1912,ICSE!A:A,ICSE!AA:AA,"ERROR",0,1),"OK","ERROR"),IF(B1912="FSE",IF(COUNTIFS(B:B,B1912,C:C,C1912)=XLOOKUP(C1912,FSE!A:A,FSE!AA:AA,"ERROR",0,1),"OK","ERROR")))</f>
        <v>OK</v>
      </c>
      <c r="H1912" s="199">
        <f t="shared" ref="H1912:O1912" si="9649">countif($D1912,"*"&amp;H$2&amp;"*")</f>
        <v>0</v>
      </c>
      <c r="I1912" s="200">
        <f t="shared" si="9649"/>
        <v>0</v>
      </c>
      <c r="J1912" s="200">
        <f t="shared" si="9649"/>
        <v>0</v>
      </c>
      <c r="K1912" s="200">
        <f t="shared" si="9649"/>
        <v>0</v>
      </c>
      <c r="L1912" s="200">
        <f t="shared" si="9649"/>
        <v>0</v>
      </c>
      <c r="M1912" s="200">
        <f t="shared" si="9649"/>
        <v>0</v>
      </c>
      <c r="N1912" s="200">
        <f t="shared" si="9649"/>
        <v>0</v>
      </c>
      <c r="O1912" s="200">
        <f t="shared" si="9649"/>
        <v>0</v>
      </c>
      <c r="P1912" s="200">
        <f t="shared" si="9"/>
        <v>0</v>
      </c>
      <c r="Q1912" s="200">
        <f t="shared" ref="Q1912:AC1912" si="9650">countif($D1912,"*"&amp;Q$2&amp;"*")</f>
        <v>0</v>
      </c>
      <c r="R1912" s="200">
        <f t="shared" si="9650"/>
        <v>0</v>
      </c>
      <c r="S1912" s="200">
        <f t="shared" si="9650"/>
        <v>0</v>
      </c>
      <c r="T1912" s="200">
        <f t="shared" si="9650"/>
        <v>0</v>
      </c>
      <c r="U1912" s="200">
        <f t="shared" si="9650"/>
        <v>0</v>
      </c>
      <c r="V1912" s="200">
        <f t="shared" si="9650"/>
        <v>0</v>
      </c>
      <c r="W1912" s="200">
        <f t="shared" si="9650"/>
        <v>0</v>
      </c>
      <c r="X1912" s="200">
        <f t="shared" si="9650"/>
        <v>0</v>
      </c>
      <c r="Y1912" s="200">
        <f t="shared" si="9650"/>
        <v>0</v>
      </c>
      <c r="Z1912" s="200">
        <f t="shared" si="9650"/>
        <v>0</v>
      </c>
      <c r="AA1912" s="200">
        <f t="shared" si="9650"/>
        <v>0</v>
      </c>
      <c r="AB1912" s="200">
        <f t="shared" si="9650"/>
        <v>0</v>
      </c>
      <c r="AC1912" s="200">
        <f t="shared" si="9650"/>
        <v>0</v>
      </c>
      <c r="AD1912" s="222">
        <f t="shared" si="11"/>
        <v>0</v>
      </c>
      <c r="AE1912" s="200">
        <f t="shared" ref="AE1912:AG1912" si="9651">countif($D1912,"*"&amp;AE$2&amp;"*")</f>
        <v>0</v>
      </c>
      <c r="AF1912" s="200">
        <f t="shared" si="9651"/>
        <v>0</v>
      </c>
      <c r="AG1912" s="200">
        <f t="shared" si="9651"/>
        <v>0</v>
      </c>
      <c r="AH1912" s="171">
        <f t="shared" si="13"/>
        <v>1</v>
      </c>
      <c r="AI1912" s="200">
        <f t="shared" si="14"/>
        <v>0</v>
      </c>
      <c r="AJ1912" s="200">
        <f t="shared" si="9591"/>
        <v>0</v>
      </c>
      <c r="AK1912" s="201">
        <f t="shared" ref="AK1912:AS1912" si="9652">countif($D1912,"*"&amp;AK$2&amp;"*")</f>
        <v>0</v>
      </c>
      <c r="AL1912" s="201">
        <f t="shared" si="9652"/>
        <v>0</v>
      </c>
      <c r="AM1912" s="201">
        <f t="shared" si="9652"/>
        <v>0</v>
      </c>
      <c r="AN1912" s="201">
        <f t="shared" si="9652"/>
        <v>0</v>
      </c>
      <c r="AO1912" s="201">
        <f t="shared" si="9652"/>
        <v>0</v>
      </c>
      <c r="AP1912" s="201">
        <f t="shared" si="9652"/>
        <v>0</v>
      </c>
      <c r="AQ1912" s="201">
        <f t="shared" si="9652"/>
        <v>0</v>
      </c>
      <c r="AR1912" s="222">
        <f t="shared" si="9652"/>
        <v>0</v>
      </c>
      <c r="AS1912" s="200">
        <f t="shared" si="9652"/>
        <v>0</v>
      </c>
      <c r="AT1912" s="223">
        <v>0.0</v>
      </c>
      <c r="AU1912" s="200">
        <f t="shared" ref="AU1912:AX1912" si="9653">countif($D1912,"*"&amp;AU$2&amp;"*")</f>
        <v>0</v>
      </c>
      <c r="AV1912" s="200">
        <f t="shared" si="9653"/>
        <v>0</v>
      </c>
      <c r="AW1912" s="200">
        <f t="shared" si="9653"/>
        <v>0</v>
      </c>
      <c r="AX1912" s="200">
        <f t="shared" si="9653"/>
        <v>0</v>
      </c>
      <c r="AY1912" s="202">
        <v>0.0</v>
      </c>
      <c r="AZ1912" s="200"/>
      <c r="BA1912" s="171" t="str">
        <f t="shared" si="18"/>
        <v/>
      </c>
      <c r="BB1912" s="171" t="str">
        <f t="shared" si="19"/>
        <v/>
      </c>
      <c r="BC1912" s="171" t="str">
        <f t="shared" si="20"/>
        <v/>
      </c>
      <c r="BD1912" s="171" t="str">
        <f t="shared" si="21"/>
        <v/>
      </c>
      <c r="BE1912" s="171" t="str">
        <f t="shared" si="22"/>
        <v>Others</v>
      </c>
      <c r="BF1912" s="171" t="str">
        <f t="shared" si="23"/>
        <v>Others</v>
      </c>
    </row>
    <row r="1913">
      <c r="A1913" s="213">
        <f t="array" ref="A1913">XLOOKUP(C1913,FSE!A:A,FSE!C:C,"XXXXX",0,1)</f>
        <v>2018</v>
      </c>
      <c r="B1913" s="213" t="s">
        <v>5676</v>
      </c>
      <c r="C1913" s="220">
        <v>553.0</v>
      </c>
      <c r="D1913" s="217" t="s">
        <v>6496</v>
      </c>
      <c r="E1913" s="221" t="str">
        <f t="array" ref="E1913">XLOOKUP(C1913,FSE!A:A,FSE!Z:Z,"XXXXX",0,1)</f>
        <v>Not Available (1)
Publicly Available (26)</v>
      </c>
      <c r="F1913" s="213" t="s">
        <v>3394</v>
      </c>
      <c r="G1913" s="163" t="str">
        <f t="array" ref="G1913">IF(B1913="ICSE",IF(COUNTIFS(B:B,B1913,C:C,C1913)=XLOOKUP(C1913,ICSE!A:A,ICSE!AA:AA,"ERROR",0,1),"OK","ERROR"),IF(B1913="FSE",IF(COUNTIFS(B:B,B1913,C:C,C1913)=XLOOKUP(C1913,FSE!A:A,FSE!AA:AA,"ERROR",0,1),"OK","ERROR")))</f>
        <v>OK</v>
      </c>
      <c r="H1913" s="199">
        <f t="shared" ref="H1913:O1913" si="9654">countif($D1913,"*"&amp;H$2&amp;"*")</f>
        <v>0</v>
      </c>
      <c r="I1913" s="200">
        <f t="shared" si="9654"/>
        <v>0</v>
      </c>
      <c r="J1913" s="200">
        <f t="shared" si="9654"/>
        <v>0</v>
      </c>
      <c r="K1913" s="200">
        <f t="shared" si="9654"/>
        <v>0</v>
      </c>
      <c r="L1913" s="200">
        <f t="shared" si="9654"/>
        <v>0</v>
      </c>
      <c r="M1913" s="200">
        <f t="shared" si="9654"/>
        <v>0</v>
      </c>
      <c r="N1913" s="200">
        <f t="shared" si="9654"/>
        <v>0</v>
      </c>
      <c r="O1913" s="200">
        <f t="shared" si="9654"/>
        <v>0</v>
      </c>
      <c r="P1913" s="200">
        <f t="shared" si="9"/>
        <v>0</v>
      </c>
      <c r="Q1913" s="200">
        <f t="shared" ref="Q1913:AC1913" si="9655">countif($D1913,"*"&amp;Q$2&amp;"*")</f>
        <v>0</v>
      </c>
      <c r="R1913" s="200">
        <f t="shared" si="9655"/>
        <v>0</v>
      </c>
      <c r="S1913" s="200">
        <f t="shared" si="9655"/>
        <v>0</v>
      </c>
      <c r="T1913" s="200">
        <f t="shared" si="9655"/>
        <v>0</v>
      </c>
      <c r="U1913" s="200">
        <f t="shared" si="9655"/>
        <v>0</v>
      </c>
      <c r="V1913" s="200">
        <f t="shared" si="9655"/>
        <v>0</v>
      </c>
      <c r="W1913" s="200">
        <f t="shared" si="9655"/>
        <v>0</v>
      </c>
      <c r="X1913" s="200">
        <f t="shared" si="9655"/>
        <v>0</v>
      </c>
      <c r="Y1913" s="200">
        <f t="shared" si="9655"/>
        <v>0</v>
      </c>
      <c r="Z1913" s="200">
        <f t="shared" si="9655"/>
        <v>0</v>
      </c>
      <c r="AA1913" s="200">
        <f t="shared" si="9655"/>
        <v>0</v>
      </c>
      <c r="AB1913" s="200">
        <f t="shared" si="9655"/>
        <v>0</v>
      </c>
      <c r="AC1913" s="200">
        <f t="shared" si="9655"/>
        <v>0</v>
      </c>
      <c r="AD1913" s="222">
        <f t="shared" si="11"/>
        <v>0</v>
      </c>
      <c r="AE1913" s="200">
        <f t="shared" ref="AE1913:AG1913" si="9656">countif($D1913,"*"&amp;AE$2&amp;"*")</f>
        <v>0</v>
      </c>
      <c r="AF1913" s="200">
        <f t="shared" si="9656"/>
        <v>0</v>
      </c>
      <c r="AG1913" s="200">
        <f t="shared" si="9656"/>
        <v>0</v>
      </c>
      <c r="AH1913" s="171">
        <f t="shared" si="13"/>
        <v>1</v>
      </c>
      <c r="AI1913" s="200">
        <f t="shared" si="14"/>
        <v>0</v>
      </c>
      <c r="AJ1913" s="200">
        <f t="shared" si="9591"/>
        <v>0</v>
      </c>
      <c r="AK1913" s="201">
        <f t="shared" ref="AK1913:AS1913" si="9657">countif($D1913,"*"&amp;AK$2&amp;"*")</f>
        <v>0</v>
      </c>
      <c r="AL1913" s="201">
        <f t="shared" si="9657"/>
        <v>0</v>
      </c>
      <c r="AM1913" s="201">
        <f t="shared" si="9657"/>
        <v>0</v>
      </c>
      <c r="AN1913" s="201">
        <f t="shared" si="9657"/>
        <v>0</v>
      </c>
      <c r="AO1913" s="201">
        <f t="shared" si="9657"/>
        <v>0</v>
      </c>
      <c r="AP1913" s="201">
        <f t="shared" si="9657"/>
        <v>0</v>
      </c>
      <c r="AQ1913" s="201">
        <f t="shared" si="9657"/>
        <v>0</v>
      </c>
      <c r="AR1913" s="222">
        <f t="shared" si="9657"/>
        <v>0</v>
      </c>
      <c r="AS1913" s="200">
        <f t="shared" si="9657"/>
        <v>0</v>
      </c>
      <c r="AT1913" s="223">
        <v>0.0</v>
      </c>
      <c r="AU1913" s="200">
        <f t="shared" ref="AU1913:AX1913" si="9658">countif($D1913,"*"&amp;AU$2&amp;"*")</f>
        <v>0</v>
      </c>
      <c r="AV1913" s="200">
        <f t="shared" si="9658"/>
        <v>0</v>
      </c>
      <c r="AW1913" s="200">
        <f t="shared" si="9658"/>
        <v>0</v>
      </c>
      <c r="AX1913" s="200">
        <f t="shared" si="9658"/>
        <v>0</v>
      </c>
      <c r="AY1913" s="202">
        <v>0.0</v>
      </c>
      <c r="AZ1913" s="200"/>
      <c r="BA1913" s="171" t="str">
        <f t="shared" si="18"/>
        <v/>
      </c>
      <c r="BB1913" s="171" t="str">
        <f t="shared" si="19"/>
        <v/>
      </c>
      <c r="BC1913" s="171" t="str">
        <f t="shared" si="20"/>
        <v/>
      </c>
      <c r="BD1913" s="171" t="str">
        <f t="shared" si="21"/>
        <v/>
      </c>
      <c r="BE1913" s="171" t="str">
        <f t="shared" si="22"/>
        <v>Others</v>
      </c>
      <c r="BF1913" s="171" t="str">
        <f t="shared" si="23"/>
        <v>Others</v>
      </c>
    </row>
    <row r="1914">
      <c r="A1914" s="213">
        <f t="array" ref="A1914">XLOOKUP(C1914,FSE!A:A,FSE!C:C,"XXXXX",0,1)</f>
        <v>2018</v>
      </c>
      <c r="B1914" s="213" t="s">
        <v>5676</v>
      </c>
      <c r="C1914" s="220">
        <v>553.0</v>
      </c>
      <c r="D1914" s="217" t="s">
        <v>6497</v>
      </c>
      <c r="E1914" s="221" t="str">
        <f t="array" ref="E1914">XLOOKUP(C1914,FSE!A:A,FSE!Z:Z,"XXXXX",0,1)</f>
        <v>Not Available (1)
Publicly Available (26)</v>
      </c>
      <c r="F1914" s="213" t="s">
        <v>3394</v>
      </c>
      <c r="G1914" s="163" t="str">
        <f t="array" ref="G1914">IF(B1914="ICSE",IF(COUNTIFS(B:B,B1914,C:C,C1914)=XLOOKUP(C1914,ICSE!A:A,ICSE!AA:AA,"ERROR",0,1),"OK","ERROR"),IF(B1914="FSE",IF(COUNTIFS(B:B,B1914,C:C,C1914)=XLOOKUP(C1914,FSE!A:A,FSE!AA:AA,"ERROR",0,1),"OK","ERROR")))</f>
        <v>OK</v>
      </c>
      <c r="H1914" s="199">
        <f t="shared" ref="H1914:O1914" si="9659">countif($D1914,"*"&amp;H$2&amp;"*")</f>
        <v>0</v>
      </c>
      <c r="I1914" s="200">
        <f t="shared" si="9659"/>
        <v>0</v>
      </c>
      <c r="J1914" s="200">
        <f t="shared" si="9659"/>
        <v>0</v>
      </c>
      <c r="K1914" s="200">
        <f t="shared" si="9659"/>
        <v>0</v>
      </c>
      <c r="L1914" s="200">
        <f t="shared" si="9659"/>
        <v>0</v>
      </c>
      <c r="M1914" s="200">
        <f t="shared" si="9659"/>
        <v>0</v>
      </c>
      <c r="N1914" s="200">
        <f t="shared" si="9659"/>
        <v>0</v>
      </c>
      <c r="O1914" s="200">
        <f t="shared" si="9659"/>
        <v>0</v>
      </c>
      <c r="P1914" s="200">
        <f t="shared" si="9"/>
        <v>0</v>
      </c>
      <c r="Q1914" s="200">
        <f t="shared" ref="Q1914:AC1914" si="9660">countif($D1914,"*"&amp;Q$2&amp;"*")</f>
        <v>0</v>
      </c>
      <c r="R1914" s="200">
        <f t="shared" si="9660"/>
        <v>0</v>
      </c>
      <c r="S1914" s="200">
        <f t="shared" si="9660"/>
        <v>0</v>
      </c>
      <c r="T1914" s="200">
        <f t="shared" si="9660"/>
        <v>0</v>
      </c>
      <c r="U1914" s="200">
        <f t="shared" si="9660"/>
        <v>0</v>
      </c>
      <c r="V1914" s="200">
        <f t="shared" si="9660"/>
        <v>0</v>
      </c>
      <c r="W1914" s="200">
        <f t="shared" si="9660"/>
        <v>0</v>
      </c>
      <c r="X1914" s="200">
        <f t="shared" si="9660"/>
        <v>0</v>
      </c>
      <c r="Y1914" s="200">
        <f t="shared" si="9660"/>
        <v>0</v>
      </c>
      <c r="Z1914" s="200">
        <f t="shared" si="9660"/>
        <v>0</v>
      </c>
      <c r="AA1914" s="200">
        <f t="shared" si="9660"/>
        <v>0</v>
      </c>
      <c r="AB1914" s="200">
        <f t="shared" si="9660"/>
        <v>0</v>
      </c>
      <c r="AC1914" s="200">
        <f t="shared" si="9660"/>
        <v>0</v>
      </c>
      <c r="AD1914" s="222">
        <f t="shared" si="11"/>
        <v>0</v>
      </c>
      <c r="AE1914" s="200">
        <f t="shared" ref="AE1914:AG1914" si="9661">countif($D1914,"*"&amp;AE$2&amp;"*")</f>
        <v>0</v>
      </c>
      <c r="AF1914" s="200">
        <f t="shared" si="9661"/>
        <v>0</v>
      </c>
      <c r="AG1914" s="200">
        <f t="shared" si="9661"/>
        <v>0</v>
      </c>
      <c r="AH1914" s="171">
        <f t="shared" si="13"/>
        <v>1</v>
      </c>
      <c r="AI1914" s="200">
        <f t="shared" si="14"/>
        <v>0</v>
      </c>
      <c r="AJ1914" s="200">
        <f t="shared" si="9591"/>
        <v>0</v>
      </c>
      <c r="AK1914" s="201">
        <f t="shared" ref="AK1914:AS1914" si="9662">countif($D1914,"*"&amp;AK$2&amp;"*")</f>
        <v>0</v>
      </c>
      <c r="AL1914" s="201">
        <f t="shared" si="9662"/>
        <v>0</v>
      </c>
      <c r="AM1914" s="201">
        <f t="shared" si="9662"/>
        <v>0</v>
      </c>
      <c r="AN1914" s="201">
        <f t="shared" si="9662"/>
        <v>0</v>
      </c>
      <c r="AO1914" s="201">
        <f t="shared" si="9662"/>
        <v>0</v>
      </c>
      <c r="AP1914" s="201">
        <f t="shared" si="9662"/>
        <v>0</v>
      </c>
      <c r="AQ1914" s="201">
        <f t="shared" si="9662"/>
        <v>0</v>
      </c>
      <c r="AR1914" s="222">
        <f t="shared" si="9662"/>
        <v>0</v>
      </c>
      <c r="AS1914" s="200">
        <f t="shared" si="9662"/>
        <v>0</v>
      </c>
      <c r="AT1914" s="223">
        <v>0.0</v>
      </c>
      <c r="AU1914" s="200">
        <f t="shared" ref="AU1914:AX1914" si="9663">countif($D1914,"*"&amp;AU$2&amp;"*")</f>
        <v>0</v>
      </c>
      <c r="AV1914" s="200">
        <f t="shared" si="9663"/>
        <v>0</v>
      </c>
      <c r="AW1914" s="200">
        <f t="shared" si="9663"/>
        <v>0</v>
      </c>
      <c r="AX1914" s="200">
        <f t="shared" si="9663"/>
        <v>0</v>
      </c>
      <c r="AY1914" s="202">
        <v>0.0</v>
      </c>
      <c r="AZ1914" s="200"/>
      <c r="BA1914" s="171" t="str">
        <f t="shared" si="18"/>
        <v/>
      </c>
      <c r="BB1914" s="171" t="str">
        <f t="shared" si="19"/>
        <v/>
      </c>
      <c r="BC1914" s="171" t="str">
        <f t="shared" si="20"/>
        <v/>
      </c>
      <c r="BD1914" s="171" t="str">
        <f t="shared" si="21"/>
        <v/>
      </c>
      <c r="BE1914" s="171" t="str">
        <f t="shared" si="22"/>
        <v>Others</v>
      </c>
      <c r="BF1914" s="171" t="str">
        <f t="shared" si="23"/>
        <v>Others</v>
      </c>
    </row>
    <row r="1915">
      <c r="A1915" s="213">
        <f t="array" ref="A1915">XLOOKUP(C1915,FSE!A:A,FSE!C:C,"XXXXX",0,1)</f>
        <v>2018</v>
      </c>
      <c r="B1915" s="213" t="s">
        <v>5676</v>
      </c>
      <c r="C1915" s="220">
        <v>553.0</v>
      </c>
      <c r="D1915" s="217" t="s">
        <v>6498</v>
      </c>
      <c r="E1915" s="221" t="str">
        <f t="array" ref="E1915">XLOOKUP(C1915,FSE!A:A,FSE!Z:Z,"XXXXX",0,1)</f>
        <v>Not Available (1)
Publicly Available (26)</v>
      </c>
      <c r="F1915" s="213" t="s">
        <v>3394</v>
      </c>
      <c r="G1915" s="163" t="str">
        <f t="array" ref="G1915">IF(B1915="ICSE",IF(COUNTIFS(B:B,B1915,C:C,C1915)=XLOOKUP(C1915,ICSE!A:A,ICSE!AA:AA,"ERROR",0,1),"OK","ERROR"),IF(B1915="FSE",IF(COUNTIFS(B:B,B1915,C:C,C1915)=XLOOKUP(C1915,FSE!A:A,FSE!AA:AA,"ERROR",0,1),"OK","ERROR")))</f>
        <v>OK</v>
      </c>
      <c r="H1915" s="199">
        <f t="shared" ref="H1915:O1915" si="9664">countif($D1915,"*"&amp;H$2&amp;"*")</f>
        <v>0</v>
      </c>
      <c r="I1915" s="200">
        <f t="shared" si="9664"/>
        <v>0</v>
      </c>
      <c r="J1915" s="200">
        <f t="shared" si="9664"/>
        <v>0</v>
      </c>
      <c r="K1915" s="200">
        <f t="shared" si="9664"/>
        <v>0</v>
      </c>
      <c r="L1915" s="200">
        <f t="shared" si="9664"/>
        <v>0</v>
      </c>
      <c r="M1915" s="200">
        <f t="shared" si="9664"/>
        <v>0</v>
      </c>
      <c r="N1915" s="200">
        <f t="shared" si="9664"/>
        <v>0</v>
      </c>
      <c r="O1915" s="200">
        <f t="shared" si="9664"/>
        <v>0</v>
      </c>
      <c r="P1915" s="200">
        <f t="shared" si="9"/>
        <v>0</v>
      </c>
      <c r="Q1915" s="200">
        <f t="shared" ref="Q1915:AC1915" si="9665">countif($D1915,"*"&amp;Q$2&amp;"*")</f>
        <v>0</v>
      </c>
      <c r="R1915" s="200">
        <f t="shared" si="9665"/>
        <v>0</v>
      </c>
      <c r="S1915" s="200">
        <f t="shared" si="9665"/>
        <v>0</v>
      </c>
      <c r="T1915" s="200">
        <f t="shared" si="9665"/>
        <v>0</v>
      </c>
      <c r="U1915" s="200">
        <f t="shared" si="9665"/>
        <v>0</v>
      </c>
      <c r="V1915" s="200">
        <f t="shared" si="9665"/>
        <v>0</v>
      </c>
      <c r="W1915" s="200">
        <f t="shared" si="9665"/>
        <v>0</v>
      </c>
      <c r="X1915" s="200">
        <f t="shared" si="9665"/>
        <v>0</v>
      </c>
      <c r="Y1915" s="200">
        <f t="shared" si="9665"/>
        <v>0</v>
      </c>
      <c r="Z1915" s="200">
        <f t="shared" si="9665"/>
        <v>0</v>
      </c>
      <c r="AA1915" s="200">
        <f t="shared" si="9665"/>
        <v>0</v>
      </c>
      <c r="AB1915" s="200">
        <f t="shared" si="9665"/>
        <v>0</v>
      </c>
      <c r="AC1915" s="200">
        <f t="shared" si="9665"/>
        <v>0</v>
      </c>
      <c r="AD1915" s="222">
        <f t="shared" si="11"/>
        <v>0</v>
      </c>
      <c r="AE1915" s="200">
        <f t="shared" ref="AE1915:AG1915" si="9666">countif($D1915,"*"&amp;AE$2&amp;"*")</f>
        <v>0</v>
      </c>
      <c r="AF1915" s="200">
        <f t="shared" si="9666"/>
        <v>0</v>
      </c>
      <c r="AG1915" s="200">
        <f t="shared" si="9666"/>
        <v>0</v>
      </c>
      <c r="AH1915" s="171">
        <f t="shared" si="13"/>
        <v>1</v>
      </c>
      <c r="AI1915" s="200">
        <f t="shared" si="14"/>
        <v>0</v>
      </c>
      <c r="AJ1915" s="200">
        <f t="shared" si="9591"/>
        <v>0</v>
      </c>
      <c r="AK1915" s="201">
        <f t="shared" ref="AK1915:AS1915" si="9667">countif($D1915,"*"&amp;AK$2&amp;"*")</f>
        <v>0</v>
      </c>
      <c r="AL1915" s="201">
        <f t="shared" si="9667"/>
        <v>0</v>
      </c>
      <c r="AM1915" s="201">
        <f t="shared" si="9667"/>
        <v>0</v>
      </c>
      <c r="AN1915" s="201">
        <f t="shared" si="9667"/>
        <v>0</v>
      </c>
      <c r="AO1915" s="201">
        <f t="shared" si="9667"/>
        <v>0</v>
      </c>
      <c r="AP1915" s="201">
        <f t="shared" si="9667"/>
        <v>0</v>
      </c>
      <c r="AQ1915" s="201">
        <f t="shared" si="9667"/>
        <v>0</v>
      </c>
      <c r="AR1915" s="222">
        <f t="shared" si="9667"/>
        <v>0</v>
      </c>
      <c r="AS1915" s="200">
        <f t="shared" si="9667"/>
        <v>0</v>
      </c>
      <c r="AT1915" s="223">
        <v>0.0</v>
      </c>
      <c r="AU1915" s="200">
        <f t="shared" ref="AU1915:AX1915" si="9668">countif($D1915,"*"&amp;AU$2&amp;"*")</f>
        <v>0</v>
      </c>
      <c r="AV1915" s="200">
        <f t="shared" si="9668"/>
        <v>0</v>
      </c>
      <c r="AW1915" s="200">
        <f t="shared" si="9668"/>
        <v>0</v>
      </c>
      <c r="AX1915" s="200">
        <f t="shared" si="9668"/>
        <v>0</v>
      </c>
      <c r="AY1915" s="202">
        <v>0.0</v>
      </c>
      <c r="AZ1915" s="200"/>
      <c r="BA1915" s="171" t="str">
        <f t="shared" si="18"/>
        <v/>
      </c>
      <c r="BB1915" s="171" t="str">
        <f t="shared" si="19"/>
        <v/>
      </c>
      <c r="BC1915" s="171" t="str">
        <f t="shared" si="20"/>
        <v/>
      </c>
      <c r="BD1915" s="171" t="str">
        <f t="shared" si="21"/>
        <v/>
      </c>
      <c r="BE1915" s="171" t="str">
        <f t="shared" si="22"/>
        <v>Others</v>
      </c>
      <c r="BF1915" s="171" t="str">
        <f t="shared" si="23"/>
        <v>Others</v>
      </c>
    </row>
    <row r="1916">
      <c r="A1916" s="213">
        <f t="array" ref="A1916">XLOOKUP(C1916,FSE!A:A,FSE!C:C,"XXXXX",0,1)</f>
        <v>2018</v>
      </c>
      <c r="B1916" s="213" t="s">
        <v>5676</v>
      </c>
      <c r="C1916" s="220">
        <v>553.0</v>
      </c>
      <c r="D1916" s="217" t="s">
        <v>6499</v>
      </c>
      <c r="E1916" s="221" t="str">
        <f t="array" ref="E1916">XLOOKUP(C1916,FSE!A:A,FSE!Z:Z,"XXXXX",0,1)</f>
        <v>Not Available (1)
Publicly Available (26)</v>
      </c>
      <c r="F1916" s="213" t="s">
        <v>3394</v>
      </c>
      <c r="G1916" s="163" t="str">
        <f t="array" ref="G1916">IF(B1916="ICSE",IF(COUNTIFS(B:B,B1916,C:C,C1916)=XLOOKUP(C1916,ICSE!A:A,ICSE!AA:AA,"ERROR",0,1),"OK","ERROR"),IF(B1916="FSE",IF(COUNTIFS(B:B,B1916,C:C,C1916)=XLOOKUP(C1916,FSE!A:A,FSE!AA:AA,"ERROR",0,1),"OK","ERROR")))</f>
        <v>OK</v>
      </c>
      <c r="H1916" s="199">
        <f t="shared" ref="H1916:O1916" si="9669">countif($D1916,"*"&amp;H$2&amp;"*")</f>
        <v>0</v>
      </c>
      <c r="I1916" s="200">
        <f t="shared" si="9669"/>
        <v>0</v>
      </c>
      <c r="J1916" s="200">
        <f t="shared" si="9669"/>
        <v>0</v>
      </c>
      <c r="K1916" s="200">
        <f t="shared" si="9669"/>
        <v>0</v>
      </c>
      <c r="L1916" s="200">
        <f t="shared" si="9669"/>
        <v>0</v>
      </c>
      <c r="M1916" s="200">
        <f t="shared" si="9669"/>
        <v>0</v>
      </c>
      <c r="N1916" s="200">
        <f t="shared" si="9669"/>
        <v>0</v>
      </c>
      <c r="O1916" s="200">
        <f t="shared" si="9669"/>
        <v>0</v>
      </c>
      <c r="P1916" s="200">
        <f t="shared" si="9"/>
        <v>0</v>
      </c>
      <c r="Q1916" s="200">
        <f t="shared" ref="Q1916:AC1916" si="9670">countif($D1916,"*"&amp;Q$2&amp;"*")</f>
        <v>0</v>
      </c>
      <c r="R1916" s="200">
        <f t="shared" si="9670"/>
        <v>0</v>
      </c>
      <c r="S1916" s="200">
        <f t="shared" si="9670"/>
        <v>0</v>
      </c>
      <c r="T1916" s="200">
        <f t="shared" si="9670"/>
        <v>0</v>
      </c>
      <c r="U1916" s="200">
        <f t="shared" si="9670"/>
        <v>0</v>
      </c>
      <c r="V1916" s="200">
        <f t="shared" si="9670"/>
        <v>0</v>
      </c>
      <c r="W1916" s="200">
        <f t="shared" si="9670"/>
        <v>0</v>
      </c>
      <c r="X1916" s="200">
        <f t="shared" si="9670"/>
        <v>0</v>
      </c>
      <c r="Y1916" s="200">
        <f t="shared" si="9670"/>
        <v>0</v>
      </c>
      <c r="Z1916" s="200">
        <f t="shared" si="9670"/>
        <v>0</v>
      </c>
      <c r="AA1916" s="200">
        <f t="shared" si="9670"/>
        <v>0</v>
      </c>
      <c r="AB1916" s="200">
        <f t="shared" si="9670"/>
        <v>0</v>
      </c>
      <c r="AC1916" s="200">
        <f t="shared" si="9670"/>
        <v>0</v>
      </c>
      <c r="AD1916" s="222">
        <f t="shared" si="11"/>
        <v>0</v>
      </c>
      <c r="AE1916" s="200">
        <f t="shared" ref="AE1916:AG1916" si="9671">countif($D1916,"*"&amp;AE$2&amp;"*")</f>
        <v>0</v>
      </c>
      <c r="AF1916" s="200">
        <f t="shared" si="9671"/>
        <v>0</v>
      </c>
      <c r="AG1916" s="200">
        <f t="shared" si="9671"/>
        <v>0</v>
      </c>
      <c r="AH1916" s="171">
        <f t="shared" si="13"/>
        <v>1</v>
      </c>
      <c r="AI1916" s="200">
        <f t="shared" si="14"/>
        <v>0</v>
      </c>
      <c r="AJ1916" s="200">
        <f t="shared" si="9591"/>
        <v>0</v>
      </c>
      <c r="AK1916" s="201">
        <f t="shared" ref="AK1916:AS1916" si="9672">countif($D1916,"*"&amp;AK$2&amp;"*")</f>
        <v>0</v>
      </c>
      <c r="AL1916" s="201">
        <f t="shared" si="9672"/>
        <v>0</v>
      </c>
      <c r="AM1916" s="201">
        <f t="shared" si="9672"/>
        <v>0</v>
      </c>
      <c r="AN1916" s="201">
        <f t="shared" si="9672"/>
        <v>0</v>
      </c>
      <c r="AO1916" s="201">
        <f t="shared" si="9672"/>
        <v>0</v>
      </c>
      <c r="AP1916" s="201">
        <f t="shared" si="9672"/>
        <v>0</v>
      </c>
      <c r="AQ1916" s="201">
        <f t="shared" si="9672"/>
        <v>0</v>
      </c>
      <c r="AR1916" s="222">
        <f t="shared" si="9672"/>
        <v>0</v>
      </c>
      <c r="AS1916" s="200">
        <f t="shared" si="9672"/>
        <v>0</v>
      </c>
      <c r="AT1916" s="223">
        <v>0.0</v>
      </c>
      <c r="AU1916" s="200">
        <f t="shared" ref="AU1916:AX1916" si="9673">countif($D1916,"*"&amp;AU$2&amp;"*")</f>
        <v>0</v>
      </c>
      <c r="AV1916" s="200">
        <f t="shared" si="9673"/>
        <v>0</v>
      </c>
      <c r="AW1916" s="200">
        <f t="shared" si="9673"/>
        <v>0</v>
      </c>
      <c r="AX1916" s="200">
        <f t="shared" si="9673"/>
        <v>0</v>
      </c>
      <c r="AY1916" s="202">
        <v>0.0</v>
      </c>
      <c r="AZ1916" s="200"/>
      <c r="BA1916" s="171" t="str">
        <f t="shared" si="18"/>
        <v/>
      </c>
      <c r="BB1916" s="171" t="str">
        <f t="shared" si="19"/>
        <v/>
      </c>
      <c r="BC1916" s="171" t="str">
        <f t="shared" si="20"/>
        <v/>
      </c>
      <c r="BD1916" s="171" t="str">
        <f t="shared" si="21"/>
        <v/>
      </c>
      <c r="BE1916" s="171" t="str">
        <f t="shared" si="22"/>
        <v>Others</v>
      </c>
      <c r="BF1916" s="171" t="str">
        <f t="shared" si="23"/>
        <v>Others</v>
      </c>
    </row>
    <row r="1917">
      <c r="A1917" s="213">
        <f t="array" ref="A1917">XLOOKUP(C1917,FSE!A:A,FSE!C:C,"XXXXX",0,1)</f>
        <v>2018</v>
      </c>
      <c r="B1917" s="213" t="s">
        <v>5676</v>
      </c>
      <c r="C1917" s="220">
        <v>553.0</v>
      </c>
      <c r="D1917" s="217" t="s">
        <v>6500</v>
      </c>
      <c r="E1917" s="221" t="str">
        <f t="array" ref="E1917">XLOOKUP(C1917,FSE!A:A,FSE!Z:Z,"XXXXX",0,1)</f>
        <v>Not Available (1)
Publicly Available (26)</v>
      </c>
      <c r="F1917" s="213" t="s">
        <v>3394</v>
      </c>
      <c r="G1917" s="163" t="str">
        <f t="array" ref="G1917">IF(B1917="ICSE",IF(COUNTIFS(B:B,B1917,C:C,C1917)=XLOOKUP(C1917,ICSE!A:A,ICSE!AA:AA,"ERROR",0,1),"OK","ERROR"),IF(B1917="FSE",IF(COUNTIFS(B:B,B1917,C:C,C1917)=XLOOKUP(C1917,FSE!A:A,FSE!AA:AA,"ERROR",0,1),"OK","ERROR")))</f>
        <v>OK</v>
      </c>
      <c r="H1917" s="199">
        <f t="shared" ref="H1917:O1917" si="9674">countif($D1917,"*"&amp;H$2&amp;"*")</f>
        <v>0</v>
      </c>
      <c r="I1917" s="200">
        <f t="shared" si="9674"/>
        <v>0</v>
      </c>
      <c r="J1917" s="200">
        <f t="shared" si="9674"/>
        <v>0</v>
      </c>
      <c r="K1917" s="200">
        <f t="shared" si="9674"/>
        <v>0</v>
      </c>
      <c r="L1917" s="200">
        <f t="shared" si="9674"/>
        <v>0</v>
      </c>
      <c r="M1917" s="200">
        <f t="shared" si="9674"/>
        <v>0</v>
      </c>
      <c r="N1917" s="200">
        <f t="shared" si="9674"/>
        <v>0</v>
      </c>
      <c r="O1917" s="200">
        <f t="shared" si="9674"/>
        <v>0</v>
      </c>
      <c r="P1917" s="200">
        <f t="shared" si="9"/>
        <v>0</v>
      </c>
      <c r="Q1917" s="200">
        <f t="shared" ref="Q1917:AC1917" si="9675">countif($D1917,"*"&amp;Q$2&amp;"*")</f>
        <v>0</v>
      </c>
      <c r="R1917" s="200">
        <f t="shared" si="9675"/>
        <v>0</v>
      </c>
      <c r="S1917" s="200">
        <f t="shared" si="9675"/>
        <v>0</v>
      </c>
      <c r="T1917" s="200">
        <f t="shared" si="9675"/>
        <v>0</v>
      </c>
      <c r="U1917" s="200">
        <f t="shared" si="9675"/>
        <v>0</v>
      </c>
      <c r="V1917" s="200">
        <f t="shared" si="9675"/>
        <v>0</v>
      </c>
      <c r="W1917" s="200">
        <f t="shared" si="9675"/>
        <v>0</v>
      </c>
      <c r="X1917" s="200">
        <f t="shared" si="9675"/>
        <v>0</v>
      </c>
      <c r="Y1917" s="200">
        <f t="shared" si="9675"/>
        <v>0</v>
      </c>
      <c r="Z1917" s="200">
        <f t="shared" si="9675"/>
        <v>0</v>
      </c>
      <c r="AA1917" s="200">
        <f t="shared" si="9675"/>
        <v>0</v>
      </c>
      <c r="AB1917" s="200">
        <f t="shared" si="9675"/>
        <v>0</v>
      </c>
      <c r="AC1917" s="200">
        <f t="shared" si="9675"/>
        <v>0</v>
      </c>
      <c r="AD1917" s="222">
        <f t="shared" si="11"/>
        <v>0</v>
      </c>
      <c r="AE1917" s="200">
        <f t="shared" ref="AE1917:AG1917" si="9676">countif($D1917,"*"&amp;AE$2&amp;"*")</f>
        <v>0</v>
      </c>
      <c r="AF1917" s="200">
        <f t="shared" si="9676"/>
        <v>0</v>
      </c>
      <c r="AG1917" s="200">
        <f t="shared" si="9676"/>
        <v>0</v>
      </c>
      <c r="AH1917" s="171">
        <f t="shared" si="13"/>
        <v>1</v>
      </c>
      <c r="AI1917" s="200">
        <f t="shared" si="14"/>
        <v>0</v>
      </c>
      <c r="AJ1917" s="200">
        <f t="shared" si="9591"/>
        <v>0</v>
      </c>
      <c r="AK1917" s="201">
        <f t="shared" ref="AK1917:AS1917" si="9677">countif($D1917,"*"&amp;AK$2&amp;"*")</f>
        <v>0</v>
      </c>
      <c r="AL1917" s="201">
        <f t="shared" si="9677"/>
        <v>0</v>
      </c>
      <c r="AM1917" s="201">
        <f t="shared" si="9677"/>
        <v>0</v>
      </c>
      <c r="AN1917" s="201">
        <f t="shared" si="9677"/>
        <v>0</v>
      </c>
      <c r="AO1917" s="201">
        <f t="shared" si="9677"/>
        <v>0</v>
      </c>
      <c r="AP1917" s="201">
        <f t="shared" si="9677"/>
        <v>0</v>
      </c>
      <c r="AQ1917" s="201">
        <f t="shared" si="9677"/>
        <v>0</v>
      </c>
      <c r="AR1917" s="222">
        <f t="shared" si="9677"/>
        <v>0</v>
      </c>
      <c r="AS1917" s="200">
        <f t="shared" si="9677"/>
        <v>0</v>
      </c>
      <c r="AT1917" s="223">
        <v>0.0</v>
      </c>
      <c r="AU1917" s="200">
        <f t="shared" ref="AU1917:AX1917" si="9678">countif($D1917,"*"&amp;AU$2&amp;"*")</f>
        <v>0</v>
      </c>
      <c r="AV1917" s="200">
        <f t="shared" si="9678"/>
        <v>0</v>
      </c>
      <c r="AW1917" s="200">
        <f t="shared" si="9678"/>
        <v>0</v>
      </c>
      <c r="AX1917" s="200">
        <f t="shared" si="9678"/>
        <v>0</v>
      </c>
      <c r="AY1917" s="202">
        <v>0.0</v>
      </c>
      <c r="AZ1917" s="200"/>
      <c r="BA1917" s="171" t="str">
        <f t="shared" si="18"/>
        <v/>
      </c>
      <c r="BB1917" s="171" t="str">
        <f t="shared" si="19"/>
        <v/>
      </c>
      <c r="BC1917" s="171" t="str">
        <f t="shared" si="20"/>
        <v/>
      </c>
      <c r="BD1917" s="171" t="str">
        <f t="shared" si="21"/>
        <v/>
      </c>
      <c r="BE1917" s="171" t="str">
        <f t="shared" si="22"/>
        <v>Others</v>
      </c>
      <c r="BF1917" s="171" t="str">
        <f t="shared" si="23"/>
        <v>Others</v>
      </c>
    </row>
    <row r="1918">
      <c r="A1918" s="213">
        <f t="array" ref="A1918">XLOOKUP(C1918,FSE!A:A,FSE!C:C,"XXXXX",0,1)</f>
        <v>2018</v>
      </c>
      <c r="B1918" s="213" t="s">
        <v>5676</v>
      </c>
      <c r="C1918" s="220">
        <v>553.0</v>
      </c>
      <c r="D1918" s="217" t="s">
        <v>6501</v>
      </c>
      <c r="E1918" s="221" t="str">
        <f t="array" ref="E1918">XLOOKUP(C1918,FSE!A:A,FSE!Z:Z,"XXXXX",0,1)</f>
        <v>Not Available (1)
Publicly Available (26)</v>
      </c>
      <c r="F1918" s="213" t="s">
        <v>3394</v>
      </c>
      <c r="G1918" s="163" t="str">
        <f t="array" ref="G1918">IF(B1918="ICSE",IF(COUNTIFS(B:B,B1918,C:C,C1918)=XLOOKUP(C1918,ICSE!A:A,ICSE!AA:AA,"ERROR",0,1),"OK","ERROR"),IF(B1918="FSE",IF(COUNTIFS(B:B,B1918,C:C,C1918)=XLOOKUP(C1918,FSE!A:A,FSE!AA:AA,"ERROR",0,1),"OK","ERROR")))</f>
        <v>OK</v>
      </c>
      <c r="H1918" s="199">
        <f t="shared" ref="H1918:O1918" si="9679">countif($D1918,"*"&amp;H$2&amp;"*")</f>
        <v>0</v>
      </c>
      <c r="I1918" s="200">
        <f t="shared" si="9679"/>
        <v>0</v>
      </c>
      <c r="J1918" s="200">
        <f t="shared" si="9679"/>
        <v>0</v>
      </c>
      <c r="K1918" s="200">
        <f t="shared" si="9679"/>
        <v>0</v>
      </c>
      <c r="L1918" s="200">
        <f t="shared" si="9679"/>
        <v>0</v>
      </c>
      <c r="M1918" s="200">
        <f t="shared" si="9679"/>
        <v>0</v>
      </c>
      <c r="N1918" s="200">
        <f t="shared" si="9679"/>
        <v>0</v>
      </c>
      <c r="O1918" s="200">
        <f t="shared" si="9679"/>
        <v>0</v>
      </c>
      <c r="P1918" s="200">
        <f t="shared" si="9"/>
        <v>0</v>
      </c>
      <c r="Q1918" s="200">
        <f t="shared" ref="Q1918:AC1918" si="9680">countif($D1918,"*"&amp;Q$2&amp;"*")</f>
        <v>0</v>
      </c>
      <c r="R1918" s="200">
        <f t="shared" si="9680"/>
        <v>0</v>
      </c>
      <c r="S1918" s="200">
        <f t="shared" si="9680"/>
        <v>0</v>
      </c>
      <c r="T1918" s="200">
        <f t="shared" si="9680"/>
        <v>0</v>
      </c>
      <c r="U1918" s="200">
        <f t="shared" si="9680"/>
        <v>0</v>
      </c>
      <c r="V1918" s="200">
        <f t="shared" si="9680"/>
        <v>0</v>
      </c>
      <c r="W1918" s="200">
        <f t="shared" si="9680"/>
        <v>0</v>
      </c>
      <c r="X1918" s="200">
        <f t="shared" si="9680"/>
        <v>0</v>
      </c>
      <c r="Y1918" s="200">
        <f t="shared" si="9680"/>
        <v>0</v>
      </c>
      <c r="Z1918" s="200">
        <f t="shared" si="9680"/>
        <v>0</v>
      </c>
      <c r="AA1918" s="200">
        <f t="shared" si="9680"/>
        <v>0</v>
      </c>
      <c r="AB1918" s="200">
        <f t="shared" si="9680"/>
        <v>0</v>
      </c>
      <c r="AC1918" s="200">
        <f t="shared" si="9680"/>
        <v>0</v>
      </c>
      <c r="AD1918" s="222">
        <f t="shared" si="11"/>
        <v>0</v>
      </c>
      <c r="AE1918" s="200">
        <f t="shared" ref="AE1918:AG1918" si="9681">countif($D1918,"*"&amp;AE$2&amp;"*")</f>
        <v>0</v>
      </c>
      <c r="AF1918" s="200">
        <f t="shared" si="9681"/>
        <v>0</v>
      </c>
      <c r="AG1918" s="200">
        <f t="shared" si="9681"/>
        <v>0</v>
      </c>
      <c r="AH1918" s="171">
        <f t="shared" si="13"/>
        <v>1</v>
      </c>
      <c r="AI1918" s="200">
        <f t="shared" si="14"/>
        <v>0</v>
      </c>
      <c r="AJ1918" s="200">
        <f t="shared" si="9591"/>
        <v>0</v>
      </c>
      <c r="AK1918" s="201">
        <f t="shared" ref="AK1918:AS1918" si="9682">countif($D1918,"*"&amp;AK$2&amp;"*")</f>
        <v>0</v>
      </c>
      <c r="AL1918" s="201">
        <f t="shared" si="9682"/>
        <v>0</v>
      </c>
      <c r="AM1918" s="201">
        <f t="shared" si="9682"/>
        <v>0</v>
      </c>
      <c r="AN1918" s="201">
        <f t="shared" si="9682"/>
        <v>0</v>
      </c>
      <c r="AO1918" s="201">
        <f t="shared" si="9682"/>
        <v>0</v>
      </c>
      <c r="AP1918" s="201">
        <f t="shared" si="9682"/>
        <v>0</v>
      </c>
      <c r="AQ1918" s="201">
        <f t="shared" si="9682"/>
        <v>0</v>
      </c>
      <c r="AR1918" s="222">
        <f t="shared" si="9682"/>
        <v>0</v>
      </c>
      <c r="AS1918" s="200">
        <f t="shared" si="9682"/>
        <v>0</v>
      </c>
      <c r="AT1918" s="223">
        <v>0.0</v>
      </c>
      <c r="AU1918" s="200">
        <f t="shared" ref="AU1918:AX1918" si="9683">countif($D1918,"*"&amp;AU$2&amp;"*")</f>
        <v>0</v>
      </c>
      <c r="AV1918" s="200">
        <f t="shared" si="9683"/>
        <v>0</v>
      </c>
      <c r="AW1918" s="200">
        <f t="shared" si="9683"/>
        <v>0</v>
      </c>
      <c r="AX1918" s="200">
        <f t="shared" si="9683"/>
        <v>0</v>
      </c>
      <c r="AY1918" s="202">
        <v>0.0</v>
      </c>
      <c r="AZ1918" s="200"/>
      <c r="BA1918" s="171" t="str">
        <f t="shared" si="18"/>
        <v/>
      </c>
      <c r="BB1918" s="171" t="str">
        <f t="shared" si="19"/>
        <v/>
      </c>
      <c r="BC1918" s="171" t="str">
        <f t="shared" si="20"/>
        <v/>
      </c>
      <c r="BD1918" s="171" t="str">
        <f t="shared" si="21"/>
        <v/>
      </c>
      <c r="BE1918" s="171" t="str">
        <f t="shared" si="22"/>
        <v>Others</v>
      </c>
      <c r="BF1918" s="171" t="str">
        <f t="shared" si="23"/>
        <v>Others</v>
      </c>
    </row>
    <row r="1919">
      <c r="A1919" s="213">
        <f t="array" ref="A1919">XLOOKUP(C1919,FSE!A:A,FSE!C:C,"XXXXX",0,1)</f>
        <v>2018</v>
      </c>
      <c r="B1919" s="213" t="s">
        <v>5676</v>
      </c>
      <c r="C1919" s="220">
        <v>553.0</v>
      </c>
      <c r="D1919" s="217" t="s">
        <v>6502</v>
      </c>
      <c r="E1919" s="221" t="str">
        <f t="array" ref="E1919">XLOOKUP(C1919,FSE!A:A,FSE!Z:Z,"XXXXX",0,1)</f>
        <v>Not Available (1)
Publicly Available (26)</v>
      </c>
      <c r="F1919" s="213" t="s">
        <v>3394</v>
      </c>
      <c r="G1919" s="163" t="str">
        <f t="array" ref="G1919">IF(B1919="ICSE",IF(COUNTIFS(B:B,B1919,C:C,C1919)=XLOOKUP(C1919,ICSE!A:A,ICSE!AA:AA,"ERROR",0,1),"OK","ERROR"),IF(B1919="FSE",IF(COUNTIFS(B:B,B1919,C:C,C1919)=XLOOKUP(C1919,FSE!A:A,FSE!AA:AA,"ERROR",0,1),"OK","ERROR")))</f>
        <v>OK</v>
      </c>
      <c r="H1919" s="199">
        <f t="shared" ref="H1919:O1919" si="9684">countif($D1919,"*"&amp;H$2&amp;"*")</f>
        <v>0</v>
      </c>
      <c r="I1919" s="200">
        <f t="shared" si="9684"/>
        <v>0</v>
      </c>
      <c r="J1919" s="200">
        <f t="shared" si="9684"/>
        <v>0</v>
      </c>
      <c r="K1919" s="200">
        <f t="shared" si="9684"/>
        <v>0</v>
      </c>
      <c r="L1919" s="200">
        <f t="shared" si="9684"/>
        <v>0</v>
      </c>
      <c r="M1919" s="200">
        <f t="shared" si="9684"/>
        <v>0</v>
      </c>
      <c r="N1919" s="200">
        <f t="shared" si="9684"/>
        <v>0</v>
      </c>
      <c r="O1919" s="200">
        <f t="shared" si="9684"/>
        <v>0</v>
      </c>
      <c r="P1919" s="200">
        <f t="shared" si="9"/>
        <v>0</v>
      </c>
      <c r="Q1919" s="200">
        <f t="shared" ref="Q1919:AC1919" si="9685">countif($D1919,"*"&amp;Q$2&amp;"*")</f>
        <v>0</v>
      </c>
      <c r="R1919" s="200">
        <f t="shared" si="9685"/>
        <v>0</v>
      </c>
      <c r="S1919" s="200">
        <f t="shared" si="9685"/>
        <v>0</v>
      </c>
      <c r="T1919" s="200">
        <f t="shared" si="9685"/>
        <v>0</v>
      </c>
      <c r="U1919" s="200">
        <f t="shared" si="9685"/>
        <v>0</v>
      </c>
      <c r="V1919" s="200">
        <f t="shared" si="9685"/>
        <v>0</v>
      </c>
      <c r="W1919" s="200">
        <f t="shared" si="9685"/>
        <v>0</v>
      </c>
      <c r="X1919" s="200">
        <f t="shared" si="9685"/>
        <v>0</v>
      </c>
      <c r="Y1919" s="200">
        <f t="shared" si="9685"/>
        <v>0</v>
      </c>
      <c r="Z1919" s="200">
        <f t="shared" si="9685"/>
        <v>0</v>
      </c>
      <c r="AA1919" s="200">
        <f t="shared" si="9685"/>
        <v>0</v>
      </c>
      <c r="AB1919" s="200">
        <f t="shared" si="9685"/>
        <v>0</v>
      </c>
      <c r="AC1919" s="200">
        <f t="shared" si="9685"/>
        <v>0</v>
      </c>
      <c r="AD1919" s="222">
        <f t="shared" si="11"/>
        <v>0</v>
      </c>
      <c r="AE1919" s="200">
        <f t="shared" ref="AE1919:AG1919" si="9686">countif($D1919,"*"&amp;AE$2&amp;"*")</f>
        <v>0</v>
      </c>
      <c r="AF1919" s="200">
        <f t="shared" si="9686"/>
        <v>0</v>
      </c>
      <c r="AG1919" s="200">
        <f t="shared" si="9686"/>
        <v>0</v>
      </c>
      <c r="AH1919" s="171">
        <f t="shared" si="13"/>
        <v>1</v>
      </c>
      <c r="AI1919" s="200">
        <f t="shared" si="14"/>
        <v>0</v>
      </c>
      <c r="AJ1919" s="200">
        <f t="shared" si="9591"/>
        <v>0</v>
      </c>
      <c r="AK1919" s="201">
        <f t="shared" ref="AK1919:AS1919" si="9687">countif($D1919,"*"&amp;AK$2&amp;"*")</f>
        <v>0</v>
      </c>
      <c r="AL1919" s="201">
        <f t="shared" si="9687"/>
        <v>0</v>
      </c>
      <c r="AM1919" s="201">
        <f t="shared" si="9687"/>
        <v>0</v>
      </c>
      <c r="AN1919" s="201">
        <f t="shared" si="9687"/>
        <v>0</v>
      </c>
      <c r="AO1919" s="201">
        <f t="shared" si="9687"/>
        <v>0</v>
      </c>
      <c r="AP1919" s="201">
        <f t="shared" si="9687"/>
        <v>0</v>
      </c>
      <c r="AQ1919" s="201">
        <f t="shared" si="9687"/>
        <v>0</v>
      </c>
      <c r="AR1919" s="222">
        <f t="shared" si="9687"/>
        <v>0</v>
      </c>
      <c r="AS1919" s="200">
        <f t="shared" si="9687"/>
        <v>0</v>
      </c>
      <c r="AT1919" s="223">
        <v>0.0</v>
      </c>
      <c r="AU1919" s="200">
        <f t="shared" ref="AU1919:AX1919" si="9688">countif($D1919,"*"&amp;AU$2&amp;"*")</f>
        <v>0</v>
      </c>
      <c r="AV1919" s="200">
        <f t="shared" si="9688"/>
        <v>0</v>
      </c>
      <c r="AW1919" s="200">
        <f t="shared" si="9688"/>
        <v>0</v>
      </c>
      <c r="AX1919" s="200">
        <f t="shared" si="9688"/>
        <v>0</v>
      </c>
      <c r="AY1919" s="202">
        <v>0.0</v>
      </c>
      <c r="AZ1919" s="200"/>
      <c r="BA1919" s="171" t="str">
        <f t="shared" si="18"/>
        <v/>
      </c>
      <c r="BB1919" s="171" t="str">
        <f t="shared" si="19"/>
        <v/>
      </c>
      <c r="BC1919" s="171" t="str">
        <f t="shared" si="20"/>
        <v/>
      </c>
      <c r="BD1919" s="171" t="str">
        <f t="shared" si="21"/>
        <v/>
      </c>
      <c r="BE1919" s="171" t="str">
        <f t="shared" si="22"/>
        <v>Others</v>
      </c>
      <c r="BF1919" s="171" t="str">
        <f t="shared" si="23"/>
        <v>Others</v>
      </c>
    </row>
    <row r="1920">
      <c r="A1920" s="213">
        <f t="array" ref="A1920">XLOOKUP(C1920,FSE!A:A,FSE!C:C,"XXXXX",0,1)</f>
        <v>2018</v>
      </c>
      <c r="B1920" s="213" t="s">
        <v>5676</v>
      </c>
      <c r="C1920" s="220">
        <v>553.0</v>
      </c>
      <c r="D1920" s="217" t="s">
        <v>6503</v>
      </c>
      <c r="E1920" s="221" t="str">
        <f t="array" ref="E1920">XLOOKUP(C1920,FSE!A:A,FSE!Z:Z,"XXXXX",0,1)</f>
        <v>Not Available (1)
Publicly Available (26)</v>
      </c>
      <c r="F1920" s="213" t="s">
        <v>3394</v>
      </c>
      <c r="G1920" s="163" t="str">
        <f t="array" ref="G1920">IF(B1920="ICSE",IF(COUNTIFS(B:B,B1920,C:C,C1920)=XLOOKUP(C1920,ICSE!A:A,ICSE!AA:AA,"ERROR",0,1),"OK","ERROR"),IF(B1920="FSE",IF(COUNTIFS(B:B,B1920,C:C,C1920)=XLOOKUP(C1920,FSE!A:A,FSE!AA:AA,"ERROR",0,1),"OK","ERROR")))</f>
        <v>OK</v>
      </c>
      <c r="H1920" s="199">
        <f t="shared" ref="H1920:O1920" si="9689">countif($D1920,"*"&amp;H$2&amp;"*")</f>
        <v>0</v>
      </c>
      <c r="I1920" s="200">
        <f t="shared" si="9689"/>
        <v>0</v>
      </c>
      <c r="J1920" s="200">
        <f t="shared" si="9689"/>
        <v>0</v>
      </c>
      <c r="K1920" s="200">
        <f t="shared" si="9689"/>
        <v>0</v>
      </c>
      <c r="L1920" s="200">
        <f t="shared" si="9689"/>
        <v>0</v>
      </c>
      <c r="M1920" s="200">
        <f t="shared" si="9689"/>
        <v>0</v>
      </c>
      <c r="N1920" s="200">
        <f t="shared" si="9689"/>
        <v>0</v>
      </c>
      <c r="O1920" s="200">
        <f t="shared" si="9689"/>
        <v>0</v>
      </c>
      <c r="P1920" s="200">
        <f t="shared" si="9"/>
        <v>0</v>
      </c>
      <c r="Q1920" s="200">
        <f t="shared" ref="Q1920:AC1920" si="9690">countif($D1920,"*"&amp;Q$2&amp;"*")</f>
        <v>0</v>
      </c>
      <c r="R1920" s="200">
        <f t="shared" si="9690"/>
        <v>0</v>
      </c>
      <c r="S1920" s="200">
        <f t="shared" si="9690"/>
        <v>0</v>
      </c>
      <c r="T1920" s="200">
        <f t="shared" si="9690"/>
        <v>0</v>
      </c>
      <c r="U1920" s="200">
        <f t="shared" si="9690"/>
        <v>0</v>
      </c>
      <c r="V1920" s="200">
        <f t="shared" si="9690"/>
        <v>0</v>
      </c>
      <c r="W1920" s="200">
        <f t="shared" si="9690"/>
        <v>0</v>
      </c>
      <c r="X1920" s="200">
        <f t="shared" si="9690"/>
        <v>0</v>
      </c>
      <c r="Y1920" s="200">
        <f t="shared" si="9690"/>
        <v>0</v>
      </c>
      <c r="Z1920" s="200">
        <f t="shared" si="9690"/>
        <v>0</v>
      </c>
      <c r="AA1920" s="200">
        <f t="shared" si="9690"/>
        <v>0</v>
      </c>
      <c r="AB1920" s="200">
        <f t="shared" si="9690"/>
        <v>0</v>
      </c>
      <c r="AC1920" s="200">
        <f t="shared" si="9690"/>
        <v>0</v>
      </c>
      <c r="AD1920" s="222">
        <f t="shared" si="11"/>
        <v>0</v>
      </c>
      <c r="AE1920" s="200">
        <f t="shared" ref="AE1920:AG1920" si="9691">countif($D1920,"*"&amp;AE$2&amp;"*")</f>
        <v>0</v>
      </c>
      <c r="AF1920" s="200">
        <f t="shared" si="9691"/>
        <v>0</v>
      </c>
      <c r="AG1920" s="200">
        <f t="shared" si="9691"/>
        <v>0</v>
      </c>
      <c r="AH1920" s="171">
        <f t="shared" si="13"/>
        <v>1</v>
      </c>
      <c r="AI1920" s="200">
        <f t="shared" si="14"/>
        <v>0</v>
      </c>
      <c r="AJ1920" s="200">
        <f t="shared" si="9591"/>
        <v>0</v>
      </c>
      <c r="AK1920" s="201">
        <f t="shared" ref="AK1920:AS1920" si="9692">countif($D1920,"*"&amp;AK$2&amp;"*")</f>
        <v>0</v>
      </c>
      <c r="AL1920" s="201">
        <f t="shared" si="9692"/>
        <v>0</v>
      </c>
      <c r="AM1920" s="201">
        <f t="shared" si="9692"/>
        <v>0</v>
      </c>
      <c r="AN1920" s="201">
        <f t="shared" si="9692"/>
        <v>0</v>
      </c>
      <c r="AO1920" s="201">
        <f t="shared" si="9692"/>
        <v>0</v>
      </c>
      <c r="AP1920" s="201">
        <f t="shared" si="9692"/>
        <v>0</v>
      </c>
      <c r="AQ1920" s="201">
        <f t="shared" si="9692"/>
        <v>0</v>
      </c>
      <c r="AR1920" s="222">
        <f t="shared" si="9692"/>
        <v>0</v>
      </c>
      <c r="AS1920" s="200">
        <f t="shared" si="9692"/>
        <v>0</v>
      </c>
      <c r="AT1920" s="223">
        <v>0.0</v>
      </c>
      <c r="AU1920" s="200">
        <f t="shared" ref="AU1920:AX1920" si="9693">countif($D1920,"*"&amp;AU$2&amp;"*")</f>
        <v>0</v>
      </c>
      <c r="AV1920" s="200">
        <f t="shared" si="9693"/>
        <v>0</v>
      </c>
      <c r="AW1920" s="200">
        <f t="shared" si="9693"/>
        <v>0</v>
      </c>
      <c r="AX1920" s="200">
        <f t="shared" si="9693"/>
        <v>0</v>
      </c>
      <c r="AY1920" s="202">
        <v>0.0</v>
      </c>
      <c r="AZ1920" s="200"/>
      <c r="BA1920" s="171" t="str">
        <f t="shared" si="18"/>
        <v/>
      </c>
      <c r="BB1920" s="171" t="str">
        <f t="shared" si="19"/>
        <v/>
      </c>
      <c r="BC1920" s="171" t="str">
        <f t="shared" si="20"/>
        <v/>
      </c>
      <c r="BD1920" s="171" t="str">
        <f t="shared" si="21"/>
        <v/>
      </c>
      <c r="BE1920" s="171" t="str">
        <f t="shared" si="22"/>
        <v>Others</v>
      </c>
      <c r="BF1920" s="171" t="str">
        <f t="shared" si="23"/>
        <v>Others</v>
      </c>
    </row>
    <row r="1921">
      <c r="A1921" s="213">
        <f t="array" ref="A1921">XLOOKUP(C1921,FSE!A:A,FSE!C:C,"XXXXX",0,1)</f>
        <v>2018</v>
      </c>
      <c r="B1921" s="213" t="s">
        <v>5676</v>
      </c>
      <c r="C1921" s="220">
        <v>553.0</v>
      </c>
      <c r="D1921" s="217" t="s">
        <v>6504</v>
      </c>
      <c r="E1921" s="221" t="str">
        <f t="array" ref="E1921">XLOOKUP(C1921,FSE!A:A,FSE!Z:Z,"XXXXX",0,1)</f>
        <v>Not Available (1)
Publicly Available (26)</v>
      </c>
      <c r="F1921" s="213" t="s">
        <v>3394</v>
      </c>
      <c r="G1921" s="163" t="str">
        <f t="array" ref="G1921">IF(B1921="ICSE",IF(COUNTIFS(B:B,B1921,C:C,C1921)=XLOOKUP(C1921,ICSE!A:A,ICSE!AA:AA,"ERROR",0,1),"OK","ERROR"),IF(B1921="FSE",IF(COUNTIFS(B:B,B1921,C:C,C1921)=XLOOKUP(C1921,FSE!A:A,FSE!AA:AA,"ERROR",0,1),"OK","ERROR")))</f>
        <v>OK</v>
      </c>
      <c r="H1921" s="199">
        <f t="shared" ref="H1921:O1921" si="9694">countif($D1921,"*"&amp;H$2&amp;"*")</f>
        <v>0</v>
      </c>
      <c r="I1921" s="200">
        <f t="shared" si="9694"/>
        <v>0</v>
      </c>
      <c r="J1921" s="200">
        <f t="shared" si="9694"/>
        <v>0</v>
      </c>
      <c r="K1921" s="200">
        <f t="shared" si="9694"/>
        <v>0</v>
      </c>
      <c r="L1921" s="200">
        <f t="shared" si="9694"/>
        <v>0</v>
      </c>
      <c r="M1921" s="200">
        <f t="shared" si="9694"/>
        <v>0</v>
      </c>
      <c r="N1921" s="200">
        <f t="shared" si="9694"/>
        <v>0</v>
      </c>
      <c r="O1921" s="200">
        <f t="shared" si="9694"/>
        <v>0</v>
      </c>
      <c r="P1921" s="200">
        <f t="shared" si="9"/>
        <v>0</v>
      </c>
      <c r="Q1921" s="200">
        <f t="shared" ref="Q1921:AC1921" si="9695">countif($D1921,"*"&amp;Q$2&amp;"*")</f>
        <v>0</v>
      </c>
      <c r="R1921" s="200">
        <f t="shared" si="9695"/>
        <v>0</v>
      </c>
      <c r="S1921" s="200">
        <f t="shared" si="9695"/>
        <v>0</v>
      </c>
      <c r="T1921" s="200">
        <f t="shared" si="9695"/>
        <v>0</v>
      </c>
      <c r="U1921" s="200">
        <f t="shared" si="9695"/>
        <v>0</v>
      </c>
      <c r="V1921" s="200">
        <f t="shared" si="9695"/>
        <v>0</v>
      </c>
      <c r="W1921" s="200">
        <f t="shared" si="9695"/>
        <v>0</v>
      </c>
      <c r="X1921" s="200">
        <f t="shared" si="9695"/>
        <v>0</v>
      </c>
      <c r="Y1921" s="200">
        <f t="shared" si="9695"/>
        <v>0</v>
      </c>
      <c r="Z1921" s="200">
        <f t="shared" si="9695"/>
        <v>0</v>
      </c>
      <c r="AA1921" s="200">
        <f t="shared" si="9695"/>
        <v>0</v>
      </c>
      <c r="AB1921" s="200">
        <f t="shared" si="9695"/>
        <v>0</v>
      </c>
      <c r="AC1921" s="200">
        <f t="shared" si="9695"/>
        <v>0</v>
      </c>
      <c r="AD1921" s="222">
        <f t="shared" si="11"/>
        <v>0</v>
      </c>
      <c r="AE1921" s="200">
        <f t="shared" ref="AE1921:AG1921" si="9696">countif($D1921,"*"&amp;AE$2&amp;"*")</f>
        <v>0</v>
      </c>
      <c r="AF1921" s="200">
        <f t="shared" si="9696"/>
        <v>0</v>
      </c>
      <c r="AG1921" s="200">
        <f t="shared" si="9696"/>
        <v>0</v>
      </c>
      <c r="AH1921" s="171">
        <f t="shared" si="13"/>
        <v>1</v>
      </c>
      <c r="AI1921" s="200">
        <f t="shared" si="14"/>
        <v>0</v>
      </c>
      <c r="AJ1921" s="200">
        <f t="shared" si="9591"/>
        <v>0</v>
      </c>
      <c r="AK1921" s="201">
        <f t="shared" ref="AK1921:AS1921" si="9697">countif($D1921,"*"&amp;AK$2&amp;"*")</f>
        <v>0</v>
      </c>
      <c r="AL1921" s="201">
        <f t="shared" si="9697"/>
        <v>0</v>
      </c>
      <c r="AM1921" s="201">
        <f t="shared" si="9697"/>
        <v>0</v>
      </c>
      <c r="AN1921" s="201">
        <f t="shared" si="9697"/>
        <v>0</v>
      </c>
      <c r="AO1921" s="201">
        <f t="shared" si="9697"/>
        <v>0</v>
      </c>
      <c r="AP1921" s="201">
        <f t="shared" si="9697"/>
        <v>0</v>
      </c>
      <c r="AQ1921" s="201">
        <f t="shared" si="9697"/>
        <v>0</v>
      </c>
      <c r="AR1921" s="222">
        <f t="shared" si="9697"/>
        <v>0</v>
      </c>
      <c r="AS1921" s="200">
        <f t="shared" si="9697"/>
        <v>0</v>
      </c>
      <c r="AT1921" s="223">
        <v>0.0</v>
      </c>
      <c r="AU1921" s="200">
        <f t="shared" ref="AU1921:AX1921" si="9698">countif($D1921,"*"&amp;AU$2&amp;"*")</f>
        <v>0</v>
      </c>
      <c r="AV1921" s="200">
        <f t="shared" si="9698"/>
        <v>0</v>
      </c>
      <c r="AW1921" s="200">
        <f t="shared" si="9698"/>
        <v>0</v>
      </c>
      <c r="AX1921" s="200">
        <f t="shared" si="9698"/>
        <v>0</v>
      </c>
      <c r="AY1921" s="202">
        <v>0.0</v>
      </c>
      <c r="AZ1921" s="200"/>
      <c r="BA1921" s="171" t="str">
        <f t="shared" si="18"/>
        <v/>
      </c>
      <c r="BB1921" s="171" t="str">
        <f t="shared" si="19"/>
        <v/>
      </c>
      <c r="BC1921" s="171" t="str">
        <f t="shared" si="20"/>
        <v/>
      </c>
      <c r="BD1921" s="171" t="str">
        <f t="shared" si="21"/>
        <v/>
      </c>
      <c r="BE1921" s="171" t="str">
        <f t="shared" si="22"/>
        <v>Others</v>
      </c>
      <c r="BF1921" s="171" t="str">
        <f t="shared" si="23"/>
        <v>Others</v>
      </c>
    </row>
    <row r="1922">
      <c r="A1922" s="213">
        <f t="array" ref="A1922">XLOOKUP(C1922,FSE!A:A,FSE!C:C,"XXXXX",0,1)</f>
        <v>2018</v>
      </c>
      <c r="B1922" s="213" t="s">
        <v>5676</v>
      </c>
      <c r="C1922" s="220">
        <v>553.0</v>
      </c>
      <c r="D1922" s="217" t="s">
        <v>6505</v>
      </c>
      <c r="E1922" s="221" t="str">
        <f t="array" ref="E1922">XLOOKUP(C1922,FSE!A:A,FSE!Z:Z,"XXXXX",0,1)</f>
        <v>Not Available (1)
Publicly Available (26)</v>
      </c>
      <c r="F1922" s="213" t="s">
        <v>3394</v>
      </c>
      <c r="G1922" s="163" t="str">
        <f t="array" ref="G1922">IF(B1922="ICSE",IF(COUNTIFS(B:B,B1922,C:C,C1922)=XLOOKUP(C1922,ICSE!A:A,ICSE!AA:AA,"ERROR",0,1),"OK","ERROR"),IF(B1922="FSE",IF(COUNTIFS(B:B,B1922,C:C,C1922)=XLOOKUP(C1922,FSE!A:A,FSE!AA:AA,"ERROR",0,1),"OK","ERROR")))</f>
        <v>OK</v>
      </c>
      <c r="H1922" s="199">
        <f t="shared" ref="H1922:O1922" si="9699">countif($D1922,"*"&amp;H$2&amp;"*")</f>
        <v>0</v>
      </c>
      <c r="I1922" s="200">
        <f t="shared" si="9699"/>
        <v>0</v>
      </c>
      <c r="J1922" s="200">
        <f t="shared" si="9699"/>
        <v>0</v>
      </c>
      <c r="K1922" s="200">
        <f t="shared" si="9699"/>
        <v>0</v>
      </c>
      <c r="L1922" s="200">
        <f t="shared" si="9699"/>
        <v>0</v>
      </c>
      <c r="M1922" s="200">
        <f t="shared" si="9699"/>
        <v>0</v>
      </c>
      <c r="N1922" s="200">
        <f t="shared" si="9699"/>
        <v>0</v>
      </c>
      <c r="O1922" s="200">
        <f t="shared" si="9699"/>
        <v>0</v>
      </c>
      <c r="P1922" s="200">
        <f t="shared" si="9"/>
        <v>0</v>
      </c>
      <c r="Q1922" s="200">
        <f t="shared" ref="Q1922:AC1922" si="9700">countif($D1922,"*"&amp;Q$2&amp;"*")</f>
        <v>0</v>
      </c>
      <c r="R1922" s="200">
        <f t="shared" si="9700"/>
        <v>0</v>
      </c>
      <c r="S1922" s="200">
        <f t="shared" si="9700"/>
        <v>0</v>
      </c>
      <c r="T1922" s="200">
        <f t="shared" si="9700"/>
        <v>0</v>
      </c>
      <c r="U1922" s="200">
        <f t="shared" si="9700"/>
        <v>0</v>
      </c>
      <c r="V1922" s="200">
        <f t="shared" si="9700"/>
        <v>0</v>
      </c>
      <c r="W1922" s="200">
        <f t="shared" si="9700"/>
        <v>0</v>
      </c>
      <c r="X1922" s="200">
        <f t="shared" si="9700"/>
        <v>0</v>
      </c>
      <c r="Y1922" s="200">
        <f t="shared" si="9700"/>
        <v>0</v>
      </c>
      <c r="Z1922" s="200">
        <f t="shared" si="9700"/>
        <v>0</v>
      </c>
      <c r="AA1922" s="200">
        <f t="shared" si="9700"/>
        <v>0</v>
      </c>
      <c r="AB1922" s="200">
        <f t="shared" si="9700"/>
        <v>0</v>
      </c>
      <c r="AC1922" s="200">
        <f t="shared" si="9700"/>
        <v>0</v>
      </c>
      <c r="AD1922" s="222">
        <f t="shared" si="11"/>
        <v>0</v>
      </c>
      <c r="AE1922" s="200">
        <f t="shared" ref="AE1922:AG1922" si="9701">countif($D1922,"*"&amp;AE$2&amp;"*")</f>
        <v>0</v>
      </c>
      <c r="AF1922" s="200">
        <f t="shared" si="9701"/>
        <v>0</v>
      </c>
      <c r="AG1922" s="200">
        <f t="shared" si="9701"/>
        <v>0</v>
      </c>
      <c r="AH1922" s="171">
        <f t="shared" si="13"/>
        <v>1</v>
      </c>
      <c r="AI1922" s="200">
        <f t="shared" si="14"/>
        <v>0</v>
      </c>
      <c r="AJ1922" s="200">
        <f t="shared" si="9591"/>
        <v>0</v>
      </c>
      <c r="AK1922" s="201">
        <f t="shared" ref="AK1922:AS1922" si="9702">countif($D1922,"*"&amp;AK$2&amp;"*")</f>
        <v>0</v>
      </c>
      <c r="AL1922" s="201">
        <f t="shared" si="9702"/>
        <v>0</v>
      </c>
      <c r="AM1922" s="201">
        <f t="shared" si="9702"/>
        <v>0</v>
      </c>
      <c r="AN1922" s="201">
        <f t="shared" si="9702"/>
        <v>0</v>
      </c>
      <c r="AO1922" s="201">
        <f t="shared" si="9702"/>
        <v>0</v>
      </c>
      <c r="AP1922" s="201">
        <f t="shared" si="9702"/>
        <v>0</v>
      </c>
      <c r="AQ1922" s="201">
        <f t="shared" si="9702"/>
        <v>0</v>
      </c>
      <c r="AR1922" s="222">
        <f t="shared" si="9702"/>
        <v>0</v>
      </c>
      <c r="AS1922" s="200">
        <f t="shared" si="9702"/>
        <v>0</v>
      </c>
      <c r="AT1922" s="223">
        <v>0.0</v>
      </c>
      <c r="AU1922" s="200">
        <f t="shared" ref="AU1922:AX1922" si="9703">countif($D1922,"*"&amp;AU$2&amp;"*")</f>
        <v>0</v>
      </c>
      <c r="AV1922" s="200">
        <f t="shared" si="9703"/>
        <v>0</v>
      </c>
      <c r="AW1922" s="200">
        <f t="shared" si="9703"/>
        <v>0</v>
      </c>
      <c r="AX1922" s="200">
        <f t="shared" si="9703"/>
        <v>0</v>
      </c>
      <c r="AY1922" s="202">
        <v>0.0</v>
      </c>
      <c r="AZ1922" s="200"/>
      <c r="BA1922" s="171" t="str">
        <f t="shared" si="18"/>
        <v/>
      </c>
      <c r="BB1922" s="171" t="str">
        <f t="shared" si="19"/>
        <v/>
      </c>
      <c r="BC1922" s="171" t="str">
        <f t="shared" si="20"/>
        <v/>
      </c>
      <c r="BD1922" s="171" t="str">
        <f t="shared" si="21"/>
        <v/>
      </c>
      <c r="BE1922" s="171" t="str">
        <f t="shared" si="22"/>
        <v>Others</v>
      </c>
      <c r="BF1922" s="171" t="str">
        <f t="shared" si="23"/>
        <v>Others</v>
      </c>
    </row>
    <row r="1923">
      <c r="A1923" s="213">
        <f t="array" ref="A1923">XLOOKUP(C1923,FSE!A:A,FSE!C:C,"XXXXX",0,1)</f>
        <v>2018</v>
      </c>
      <c r="B1923" s="213" t="s">
        <v>5676</v>
      </c>
      <c r="C1923" s="220">
        <v>553.0</v>
      </c>
      <c r="D1923" s="217" t="s">
        <v>6506</v>
      </c>
      <c r="E1923" s="221" t="str">
        <f t="array" ref="E1923">XLOOKUP(C1923,FSE!A:A,FSE!Z:Z,"XXXXX",0,1)</f>
        <v>Not Available (1)
Publicly Available (26)</v>
      </c>
      <c r="F1923" s="213" t="s">
        <v>3394</v>
      </c>
      <c r="G1923" s="163" t="str">
        <f t="array" ref="G1923">IF(B1923="ICSE",IF(COUNTIFS(B:B,B1923,C:C,C1923)=XLOOKUP(C1923,ICSE!A:A,ICSE!AA:AA,"ERROR",0,1),"OK","ERROR"),IF(B1923="FSE",IF(COUNTIFS(B:B,B1923,C:C,C1923)=XLOOKUP(C1923,FSE!A:A,FSE!AA:AA,"ERROR",0,1),"OK","ERROR")))</f>
        <v>OK</v>
      </c>
      <c r="H1923" s="199">
        <f t="shared" ref="H1923:O1923" si="9704">countif($D1923,"*"&amp;H$2&amp;"*")</f>
        <v>0</v>
      </c>
      <c r="I1923" s="200">
        <f t="shared" si="9704"/>
        <v>0</v>
      </c>
      <c r="J1923" s="200">
        <f t="shared" si="9704"/>
        <v>0</v>
      </c>
      <c r="K1923" s="200">
        <f t="shared" si="9704"/>
        <v>0</v>
      </c>
      <c r="L1923" s="200">
        <f t="shared" si="9704"/>
        <v>0</v>
      </c>
      <c r="M1923" s="200">
        <f t="shared" si="9704"/>
        <v>0</v>
      </c>
      <c r="N1923" s="200">
        <f t="shared" si="9704"/>
        <v>0</v>
      </c>
      <c r="O1923" s="200">
        <f t="shared" si="9704"/>
        <v>0</v>
      </c>
      <c r="P1923" s="200">
        <f t="shared" si="9"/>
        <v>0</v>
      </c>
      <c r="Q1923" s="200">
        <f t="shared" ref="Q1923:AC1923" si="9705">countif($D1923,"*"&amp;Q$2&amp;"*")</f>
        <v>0</v>
      </c>
      <c r="R1923" s="200">
        <f t="shared" si="9705"/>
        <v>0</v>
      </c>
      <c r="S1923" s="200">
        <f t="shared" si="9705"/>
        <v>0</v>
      </c>
      <c r="T1923" s="200">
        <f t="shared" si="9705"/>
        <v>0</v>
      </c>
      <c r="U1923" s="200">
        <f t="shared" si="9705"/>
        <v>0</v>
      </c>
      <c r="V1923" s="200">
        <f t="shared" si="9705"/>
        <v>0</v>
      </c>
      <c r="W1923" s="200">
        <f t="shared" si="9705"/>
        <v>0</v>
      </c>
      <c r="X1923" s="200">
        <f t="shared" si="9705"/>
        <v>0</v>
      </c>
      <c r="Y1923" s="200">
        <f t="shared" si="9705"/>
        <v>0</v>
      </c>
      <c r="Z1923" s="200">
        <f t="shared" si="9705"/>
        <v>0</v>
      </c>
      <c r="AA1923" s="200">
        <f t="shared" si="9705"/>
        <v>0</v>
      </c>
      <c r="AB1923" s="200">
        <f t="shared" si="9705"/>
        <v>0</v>
      </c>
      <c r="AC1923" s="200">
        <f t="shared" si="9705"/>
        <v>0</v>
      </c>
      <c r="AD1923" s="222">
        <f t="shared" si="11"/>
        <v>0</v>
      </c>
      <c r="AE1923" s="200">
        <f t="shared" ref="AE1923:AG1923" si="9706">countif($D1923,"*"&amp;AE$2&amp;"*")</f>
        <v>0</v>
      </c>
      <c r="AF1923" s="200">
        <f t="shared" si="9706"/>
        <v>0</v>
      </c>
      <c r="AG1923" s="200">
        <f t="shared" si="9706"/>
        <v>0</v>
      </c>
      <c r="AH1923" s="171">
        <f t="shared" si="13"/>
        <v>1</v>
      </c>
      <c r="AI1923" s="200">
        <f t="shared" si="14"/>
        <v>0</v>
      </c>
      <c r="AJ1923" s="200">
        <f t="shared" si="9591"/>
        <v>0</v>
      </c>
      <c r="AK1923" s="201">
        <f t="shared" ref="AK1923:AS1923" si="9707">countif($D1923,"*"&amp;AK$2&amp;"*")</f>
        <v>0</v>
      </c>
      <c r="AL1923" s="201">
        <f t="shared" si="9707"/>
        <v>0</v>
      </c>
      <c r="AM1923" s="201">
        <f t="shared" si="9707"/>
        <v>0</v>
      </c>
      <c r="AN1923" s="201">
        <f t="shared" si="9707"/>
        <v>0</v>
      </c>
      <c r="AO1923" s="201">
        <f t="shared" si="9707"/>
        <v>0</v>
      </c>
      <c r="AP1923" s="201">
        <f t="shared" si="9707"/>
        <v>0</v>
      </c>
      <c r="AQ1923" s="201">
        <f t="shared" si="9707"/>
        <v>0</v>
      </c>
      <c r="AR1923" s="222">
        <f t="shared" si="9707"/>
        <v>0</v>
      </c>
      <c r="AS1923" s="200">
        <f t="shared" si="9707"/>
        <v>0</v>
      </c>
      <c r="AT1923" s="223">
        <v>0.0</v>
      </c>
      <c r="AU1923" s="200">
        <f t="shared" ref="AU1923:AX1923" si="9708">countif($D1923,"*"&amp;AU$2&amp;"*")</f>
        <v>0</v>
      </c>
      <c r="AV1923" s="200">
        <f t="shared" si="9708"/>
        <v>0</v>
      </c>
      <c r="AW1923" s="200">
        <f t="shared" si="9708"/>
        <v>0</v>
      </c>
      <c r="AX1923" s="200">
        <f t="shared" si="9708"/>
        <v>0</v>
      </c>
      <c r="AY1923" s="202">
        <v>0.0</v>
      </c>
      <c r="AZ1923" s="200"/>
      <c r="BA1923" s="171" t="str">
        <f t="shared" si="18"/>
        <v/>
      </c>
      <c r="BB1923" s="171" t="str">
        <f t="shared" si="19"/>
        <v/>
      </c>
      <c r="BC1923" s="171" t="str">
        <f t="shared" si="20"/>
        <v/>
      </c>
      <c r="BD1923" s="171" t="str">
        <f t="shared" si="21"/>
        <v/>
      </c>
      <c r="BE1923" s="171" t="str">
        <f t="shared" si="22"/>
        <v>Others</v>
      </c>
      <c r="BF1923" s="171" t="str">
        <f t="shared" si="23"/>
        <v>Others</v>
      </c>
    </row>
    <row r="1924">
      <c r="A1924" s="213">
        <f t="array" ref="A1924">XLOOKUP(C1924,FSE!A:A,FSE!C:C,"XXXXX",0,1)</f>
        <v>2018</v>
      </c>
      <c r="B1924" s="213" t="s">
        <v>5676</v>
      </c>
      <c r="C1924" s="220">
        <v>553.0</v>
      </c>
      <c r="D1924" s="217" t="s">
        <v>6507</v>
      </c>
      <c r="E1924" s="221" t="str">
        <f t="array" ref="E1924">XLOOKUP(C1924,FSE!A:A,FSE!Z:Z,"XXXXX",0,1)</f>
        <v>Not Available (1)
Publicly Available (26)</v>
      </c>
      <c r="F1924" s="213" t="s">
        <v>3394</v>
      </c>
      <c r="G1924" s="163" t="str">
        <f t="array" ref="G1924">IF(B1924="ICSE",IF(COUNTIFS(B:B,B1924,C:C,C1924)=XLOOKUP(C1924,ICSE!A:A,ICSE!AA:AA,"ERROR",0,1),"OK","ERROR"),IF(B1924="FSE",IF(COUNTIFS(B:B,B1924,C:C,C1924)=XLOOKUP(C1924,FSE!A:A,FSE!AA:AA,"ERROR",0,1),"OK","ERROR")))</f>
        <v>OK</v>
      </c>
      <c r="H1924" s="199">
        <f t="shared" ref="H1924:O1924" si="9709">countif($D1924,"*"&amp;H$2&amp;"*")</f>
        <v>0</v>
      </c>
      <c r="I1924" s="200">
        <f t="shared" si="9709"/>
        <v>0</v>
      </c>
      <c r="J1924" s="200">
        <f t="shared" si="9709"/>
        <v>0</v>
      </c>
      <c r="K1924" s="200">
        <f t="shared" si="9709"/>
        <v>0</v>
      </c>
      <c r="L1924" s="200">
        <f t="shared" si="9709"/>
        <v>0</v>
      </c>
      <c r="M1924" s="200">
        <f t="shared" si="9709"/>
        <v>0</v>
      </c>
      <c r="N1924" s="200">
        <f t="shared" si="9709"/>
        <v>0</v>
      </c>
      <c r="O1924" s="200">
        <f t="shared" si="9709"/>
        <v>0</v>
      </c>
      <c r="P1924" s="200">
        <f t="shared" si="9"/>
        <v>0</v>
      </c>
      <c r="Q1924" s="200">
        <f t="shared" ref="Q1924:AC1924" si="9710">countif($D1924,"*"&amp;Q$2&amp;"*")</f>
        <v>0</v>
      </c>
      <c r="R1924" s="200">
        <f t="shared" si="9710"/>
        <v>0</v>
      </c>
      <c r="S1924" s="200">
        <f t="shared" si="9710"/>
        <v>0</v>
      </c>
      <c r="T1924" s="200">
        <f t="shared" si="9710"/>
        <v>0</v>
      </c>
      <c r="U1924" s="200">
        <f t="shared" si="9710"/>
        <v>0</v>
      </c>
      <c r="V1924" s="200">
        <f t="shared" si="9710"/>
        <v>0</v>
      </c>
      <c r="W1924" s="200">
        <f t="shared" si="9710"/>
        <v>0</v>
      </c>
      <c r="X1924" s="200">
        <f t="shared" si="9710"/>
        <v>0</v>
      </c>
      <c r="Y1924" s="200">
        <f t="shared" si="9710"/>
        <v>0</v>
      </c>
      <c r="Z1924" s="200">
        <f t="shared" si="9710"/>
        <v>0</v>
      </c>
      <c r="AA1924" s="200">
        <f t="shared" si="9710"/>
        <v>0</v>
      </c>
      <c r="AB1924" s="200">
        <f t="shared" si="9710"/>
        <v>0</v>
      </c>
      <c r="AC1924" s="200">
        <f t="shared" si="9710"/>
        <v>0</v>
      </c>
      <c r="AD1924" s="222">
        <f t="shared" si="11"/>
        <v>0</v>
      </c>
      <c r="AE1924" s="200">
        <f t="shared" ref="AE1924:AG1924" si="9711">countif($D1924,"*"&amp;AE$2&amp;"*")</f>
        <v>0</v>
      </c>
      <c r="AF1924" s="200">
        <f t="shared" si="9711"/>
        <v>0</v>
      </c>
      <c r="AG1924" s="200">
        <f t="shared" si="9711"/>
        <v>0</v>
      </c>
      <c r="AH1924" s="171">
        <f t="shared" si="13"/>
        <v>1</v>
      </c>
      <c r="AI1924" s="200">
        <f t="shared" si="14"/>
        <v>0</v>
      </c>
      <c r="AJ1924" s="200">
        <f t="shared" si="9591"/>
        <v>0</v>
      </c>
      <c r="AK1924" s="201">
        <f t="shared" ref="AK1924:AS1924" si="9712">countif($D1924,"*"&amp;AK$2&amp;"*")</f>
        <v>0</v>
      </c>
      <c r="AL1924" s="201">
        <f t="shared" si="9712"/>
        <v>0</v>
      </c>
      <c r="AM1924" s="201">
        <f t="shared" si="9712"/>
        <v>0</v>
      </c>
      <c r="AN1924" s="201">
        <f t="shared" si="9712"/>
        <v>0</v>
      </c>
      <c r="AO1924" s="201">
        <f t="shared" si="9712"/>
        <v>0</v>
      </c>
      <c r="AP1924" s="201">
        <f t="shared" si="9712"/>
        <v>0</v>
      </c>
      <c r="AQ1924" s="201">
        <f t="shared" si="9712"/>
        <v>0</v>
      </c>
      <c r="AR1924" s="222">
        <f t="shared" si="9712"/>
        <v>0</v>
      </c>
      <c r="AS1924" s="200">
        <f t="shared" si="9712"/>
        <v>0</v>
      </c>
      <c r="AT1924" s="223">
        <v>0.0</v>
      </c>
      <c r="AU1924" s="200">
        <f t="shared" ref="AU1924:AX1924" si="9713">countif($D1924,"*"&amp;AU$2&amp;"*")</f>
        <v>0</v>
      </c>
      <c r="AV1924" s="200">
        <f t="shared" si="9713"/>
        <v>0</v>
      </c>
      <c r="AW1924" s="200">
        <f t="shared" si="9713"/>
        <v>0</v>
      </c>
      <c r="AX1924" s="200">
        <f t="shared" si="9713"/>
        <v>0</v>
      </c>
      <c r="AY1924" s="202">
        <v>0.0</v>
      </c>
      <c r="AZ1924" s="200"/>
      <c r="BA1924" s="171" t="str">
        <f t="shared" si="18"/>
        <v/>
      </c>
      <c r="BB1924" s="171" t="str">
        <f t="shared" si="19"/>
        <v/>
      </c>
      <c r="BC1924" s="171" t="str">
        <f t="shared" si="20"/>
        <v/>
      </c>
      <c r="BD1924" s="171" t="str">
        <f t="shared" si="21"/>
        <v/>
      </c>
      <c r="BE1924" s="171" t="str">
        <f t="shared" si="22"/>
        <v>Others</v>
      </c>
      <c r="BF1924" s="171" t="str">
        <f t="shared" si="23"/>
        <v>Others</v>
      </c>
    </row>
    <row r="1925">
      <c r="A1925" s="213">
        <f t="array" ref="A1925">XLOOKUP(C1925,FSE!A:A,FSE!C:C,"XXXXX",0,1)</f>
        <v>2018</v>
      </c>
      <c r="B1925" s="213" t="s">
        <v>5676</v>
      </c>
      <c r="C1925" s="220">
        <v>553.0</v>
      </c>
      <c r="D1925" s="217" t="s">
        <v>6508</v>
      </c>
      <c r="E1925" s="221" t="str">
        <f t="array" ref="E1925">XLOOKUP(C1925,FSE!A:A,FSE!Z:Z,"XXXXX",0,1)</f>
        <v>Not Available (1)
Publicly Available (26)</v>
      </c>
      <c r="F1925" s="213" t="s">
        <v>3394</v>
      </c>
      <c r="G1925" s="163" t="str">
        <f t="array" ref="G1925">IF(B1925="ICSE",IF(COUNTIFS(B:B,B1925,C:C,C1925)=XLOOKUP(C1925,ICSE!A:A,ICSE!AA:AA,"ERROR",0,1),"OK","ERROR"),IF(B1925="FSE",IF(COUNTIFS(B:B,B1925,C:C,C1925)=XLOOKUP(C1925,FSE!A:A,FSE!AA:AA,"ERROR",0,1),"OK","ERROR")))</f>
        <v>OK</v>
      </c>
      <c r="H1925" s="199">
        <f t="shared" ref="H1925:O1925" si="9714">countif($D1925,"*"&amp;H$2&amp;"*")</f>
        <v>0</v>
      </c>
      <c r="I1925" s="200">
        <f t="shared" si="9714"/>
        <v>0</v>
      </c>
      <c r="J1925" s="200">
        <f t="shared" si="9714"/>
        <v>0</v>
      </c>
      <c r="K1925" s="200">
        <f t="shared" si="9714"/>
        <v>0</v>
      </c>
      <c r="L1925" s="200">
        <f t="shared" si="9714"/>
        <v>0</v>
      </c>
      <c r="M1925" s="200">
        <f t="shared" si="9714"/>
        <v>0</v>
      </c>
      <c r="N1925" s="200">
        <f t="shared" si="9714"/>
        <v>0</v>
      </c>
      <c r="O1925" s="200">
        <f t="shared" si="9714"/>
        <v>0</v>
      </c>
      <c r="P1925" s="200">
        <f t="shared" si="9"/>
        <v>0</v>
      </c>
      <c r="Q1925" s="200">
        <f t="shared" ref="Q1925:AC1925" si="9715">countif($D1925,"*"&amp;Q$2&amp;"*")</f>
        <v>0</v>
      </c>
      <c r="R1925" s="200">
        <f t="shared" si="9715"/>
        <v>0</v>
      </c>
      <c r="S1925" s="200">
        <f t="shared" si="9715"/>
        <v>0</v>
      </c>
      <c r="T1925" s="200">
        <f t="shared" si="9715"/>
        <v>0</v>
      </c>
      <c r="U1925" s="200">
        <f t="shared" si="9715"/>
        <v>0</v>
      </c>
      <c r="V1925" s="200">
        <f t="shared" si="9715"/>
        <v>0</v>
      </c>
      <c r="W1925" s="200">
        <f t="shared" si="9715"/>
        <v>0</v>
      </c>
      <c r="X1925" s="200">
        <f t="shared" si="9715"/>
        <v>0</v>
      </c>
      <c r="Y1925" s="200">
        <f t="shared" si="9715"/>
        <v>0</v>
      </c>
      <c r="Z1925" s="200">
        <f t="shared" si="9715"/>
        <v>0</v>
      </c>
      <c r="AA1925" s="200">
        <f t="shared" si="9715"/>
        <v>0</v>
      </c>
      <c r="AB1925" s="200">
        <f t="shared" si="9715"/>
        <v>0</v>
      </c>
      <c r="AC1925" s="200">
        <f t="shared" si="9715"/>
        <v>0</v>
      </c>
      <c r="AD1925" s="222">
        <f t="shared" si="11"/>
        <v>0</v>
      </c>
      <c r="AE1925" s="200">
        <f t="shared" ref="AE1925:AG1925" si="9716">countif($D1925,"*"&amp;AE$2&amp;"*")</f>
        <v>0</v>
      </c>
      <c r="AF1925" s="200">
        <f t="shared" si="9716"/>
        <v>0</v>
      </c>
      <c r="AG1925" s="200">
        <f t="shared" si="9716"/>
        <v>0</v>
      </c>
      <c r="AH1925" s="171">
        <f t="shared" si="13"/>
        <v>1</v>
      </c>
      <c r="AI1925" s="200">
        <f t="shared" si="14"/>
        <v>0</v>
      </c>
      <c r="AJ1925" s="200">
        <f t="shared" si="9591"/>
        <v>0</v>
      </c>
      <c r="AK1925" s="201">
        <f t="shared" ref="AK1925:AS1925" si="9717">countif($D1925,"*"&amp;AK$2&amp;"*")</f>
        <v>0</v>
      </c>
      <c r="AL1925" s="201">
        <f t="shared" si="9717"/>
        <v>0</v>
      </c>
      <c r="AM1925" s="201">
        <f t="shared" si="9717"/>
        <v>0</v>
      </c>
      <c r="AN1925" s="201">
        <f t="shared" si="9717"/>
        <v>0</v>
      </c>
      <c r="AO1925" s="201">
        <f t="shared" si="9717"/>
        <v>0</v>
      </c>
      <c r="AP1925" s="201">
        <f t="shared" si="9717"/>
        <v>0</v>
      </c>
      <c r="AQ1925" s="201">
        <f t="shared" si="9717"/>
        <v>0</v>
      </c>
      <c r="AR1925" s="222">
        <f t="shared" si="9717"/>
        <v>0</v>
      </c>
      <c r="AS1925" s="200">
        <f t="shared" si="9717"/>
        <v>0</v>
      </c>
      <c r="AT1925" s="223">
        <v>0.0</v>
      </c>
      <c r="AU1925" s="200">
        <f t="shared" ref="AU1925:AX1925" si="9718">countif($D1925,"*"&amp;AU$2&amp;"*")</f>
        <v>0</v>
      </c>
      <c r="AV1925" s="200">
        <f t="shared" si="9718"/>
        <v>0</v>
      </c>
      <c r="AW1925" s="200">
        <f t="shared" si="9718"/>
        <v>0</v>
      </c>
      <c r="AX1925" s="200">
        <f t="shared" si="9718"/>
        <v>0</v>
      </c>
      <c r="AY1925" s="202">
        <v>0.0</v>
      </c>
      <c r="AZ1925" s="200"/>
      <c r="BA1925" s="171" t="str">
        <f t="shared" si="18"/>
        <v/>
      </c>
      <c r="BB1925" s="171" t="str">
        <f t="shared" si="19"/>
        <v/>
      </c>
      <c r="BC1925" s="171" t="str">
        <f t="shared" si="20"/>
        <v/>
      </c>
      <c r="BD1925" s="171" t="str">
        <f t="shared" si="21"/>
        <v/>
      </c>
      <c r="BE1925" s="171" t="str">
        <f t="shared" si="22"/>
        <v>Others</v>
      </c>
      <c r="BF1925" s="171" t="str">
        <f t="shared" si="23"/>
        <v>Others</v>
      </c>
    </row>
    <row r="1926">
      <c r="A1926" s="213">
        <f t="array" ref="A1926">XLOOKUP(C1926,FSE!A:A,FSE!C:C,"XXXXX",0,1)</f>
        <v>2018</v>
      </c>
      <c r="B1926" s="213" t="s">
        <v>5676</v>
      </c>
      <c r="C1926" s="220">
        <v>553.0</v>
      </c>
      <c r="D1926" s="217" t="s">
        <v>6509</v>
      </c>
      <c r="E1926" s="221" t="str">
        <f t="array" ref="E1926">XLOOKUP(C1926,FSE!A:A,FSE!Z:Z,"XXXXX",0,1)</f>
        <v>Not Available (1)
Publicly Available (26)</v>
      </c>
      <c r="F1926" s="213" t="s">
        <v>3394</v>
      </c>
      <c r="G1926" s="163" t="str">
        <f t="array" ref="G1926">IF(B1926="ICSE",IF(COUNTIFS(B:B,B1926,C:C,C1926)=XLOOKUP(C1926,ICSE!A:A,ICSE!AA:AA,"ERROR",0,1),"OK","ERROR"),IF(B1926="FSE",IF(COUNTIFS(B:B,B1926,C:C,C1926)=XLOOKUP(C1926,FSE!A:A,FSE!AA:AA,"ERROR",0,1),"OK","ERROR")))</f>
        <v>OK</v>
      </c>
      <c r="H1926" s="199">
        <f t="shared" ref="H1926:O1926" si="9719">countif($D1926,"*"&amp;H$2&amp;"*")</f>
        <v>0</v>
      </c>
      <c r="I1926" s="200">
        <f t="shared" si="9719"/>
        <v>0</v>
      </c>
      <c r="J1926" s="200">
        <f t="shared" si="9719"/>
        <v>0</v>
      </c>
      <c r="K1926" s="200">
        <f t="shared" si="9719"/>
        <v>0</v>
      </c>
      <c r="L1926" s="200">
        <f t="shared" si="9719"/>
        <v>0</v>
      </c>
      <c r="M1926" s="200">
        <f t="shared" si="9719"/>
        <v>0</v>
      </c>
      <c r="N1926" s="200">
        <f t="shared" si="9719"/>
        <v>0</v>
      </c>
      <c r="O1926" s="200">
        <f t="shared" si="9719"/>
        <v>0</v>
      </c>
      <c r="P1926" s="200">
        <f t="shared" si="9"/>
        <v>0</v>
      </c>
      <c r="Q1926" s="200">
        <f t="shared" ref="Q1926:AC1926" si="9720">countif($D1926,"*"&amp;Q$2&amp;"*")</f>
        <v>0</v>
      </c>
      <c r="R1926" s="200">
        <f t="shared" si="9720"/>
        <v>0</v>
      </c>
      <c r="S1926" s="200">
        <f t="shared" si="9720"/>
        <v>0</v>
      </c>
      <c r="T1926" s="200">
        <f t="shared" si="9720"/>
        <v>0</v>
      </c>
      <c r="U1926" s="200">
        <f t="shared" si="9720"/>
        <v>0</v>
      </c>
      <c r="V1926" s="200">
        <f t="shared" si="9720"/>
        <v>0</v>
      </c>
      <c r="W1926" s="200">
        <f t="shared" si="9720"/>
        <v>0</v>
      </c>
      <c r="X1926" s="200">
        <f t="shared" si="9720"/>
        <v>0</v>
      </c>
      <c r="Y1926" s="200">
        <f t="shared" si="9720"/>
        <v>0</v>
      </c>
      <c r="Z1926" s="200">
        <f t="shared" si="9720"/>
        <v>0</v>
      </c>
      <c r="AA1926" s="200">
        <f t="shared" si="9720"/>
        <v>0</v>
      </c>
      <c r="AB1926" s="200">
        <f t="shared" si="9720"/>
        <v>0</v>
      </c>
      <c r="AC1926" s="200">
        <f t="shared" si="9720"/>
        <v>0</v>
      </c>
      <c r="AD1926" s="222">
        <f t="shared" si="11"/>
        <v>0</v>
      </c>
      <c r="AE1926" s="200">
        <f t="shared" ref="AE1926:AG1926" si="9721">countif($D1926,"*"&amp;AE$2&amp;"*")</f>
        <v>0</v>
      </c>
      <c r="AF1926" s="200">
        <f t="shared" si="9721"/>
        <v>0</v>
      </c>
      <c r="AG1926" s="200">
        <f t="shared" si="9721"/>
        <v>0</v>
      </c>
      <c r="AH1926" s="171">
        <f t="shared" si="13"/>
        <v>1</v>
      </c>
      <c r="AI1926" s="200">
        <f t="shared" si="14"/>
        <v>0</v>
      </c>
      <c r="AJ1926" s="200">
        <f t="shared" si="9591"/>
        <v>0</v>
      </c>
      <c r="AK1926" s="201">
        <f t="shared" ref="AK1926:AS1926" si="9722">countif($D1926,"*"&amp;AK$2&amp;"*")</f>
        <v>0</v>
      </c>
      <c r="AL1926" s="201">
        <f t="shared" si="9722"/>
        <v>0</v>
      </c>
      <c r="AM1926" s="201">
        <f t="shared" si="9722"/>
        <v>0</v>
      </c>
      <c r="AN1926" s="201">
        <f t="shared" si="9722"/>
        <v>0</v>
      </c>
      <c r="AO1926" s="201">
        <f t="shared" si="9722"/>
        <v>0</v>
      </c>
      <c r="AP1926" s="201">
        <f t="shared" si="9722"/>
        <v>0</v>
      </c>
      <c r="AQ1926" s="201">
        <f t="shared" si="9722"/>
        <v>0</v>
      </c>
      <c r="AR1926" s="222">
        <f t="shared" si="9722"/>
        <v>0</v>
      </c>
      <c r="AS1926" s="200">
        <f t="shared" si="9722"/>
        <v>0</v>
      </c>
      <c r="AT1926" s="223">
        <v>0.0</v>
      </c>
      <c r="AU1926" s="200">
        <f t="shared" ref="AU1926:AX1926" si="9723">countif($D1926,"*"&amp;AU$2&amp;"*")</f>
        <v>0</v>
      </c>
      <c r="AV1926" s="200">
        <f t="shared" si="9723"/>
        <v>0</v>
      </c>
      <c r="AW1926" s="200">
        <f t="shared" si="9723"/>
        <v>0</v>
      </c>
      <c r="AX1926" s="200">
        <f t="shared" si="9723"/>
        <v>0</v>
      </c>
      <c r="AY1926" s="202">
        <v>0.0</v>
      </c>
      <c r="AZ1926" s="200"/>
      <c r="BA1926" s="171" t="str">
        <f t="shared" si="18"/>
        <v/>
      </c>
      <c r="BB1926" s="171" t="str">
        <f t="shared" si="19"/>
        <v/>
      </c>
      <c r="BC1926" s="171" t="str">
        <f t="shared" si="20"/>
        <v/>
      </c>
      <c r="BD1926" s="171" t="str">
        <f t="shared" si="21"/>
        <v/>
      </c>
      <c r="BE1926" s="171" t="str">
        <f t="shared" si="22"/>
        <v>Others</v>
      </c>
      <c r="BF1926" s="171" t="str">
        <f t="shared" si="23"/>
        <v>Others</v>
      </c>
    </row>
    <row r="1927">
      <c r="A1927" s="213">
        <f t="array" ref="A1927">XLOOKUP(C1927,FSE!A:A,FSE!C:C,"XXXXX",0,1)</f>
        <v>2018</v>
      </c>
      <c r="B1927" s="213" t="s">
        <v>5676</v>
      </c>
      <c r="C1927" s="220">
        <v>553.0</v>
      </c>
      <c r="D1927" s="217" t="s">
        <v>6510</v>
      </c>
      <c r="E1927" s="221" t="str">
        <f t="array" ref="E1927">XLOOKUP(C1927,FSE!A:A,FSE!Z:Z,"XXXXX",0,1)</f>
        <v>Not Available (1)
Publicly Available (26)</v>
      </c>
      <c r="F1927" s="213" t="s">
        <v>3394</v>
      </c>
      <c r="G1927" s="163" t="str">
        <f t="array" ref="G1927">IF(B1927="ICSE",IF(COUNTIFS(B:B,B1927,C:C,C1927)=XLOOKUP(C1927,ICSE!A:A,ICSE!AA:AA,"ERROR",0,1),"OK","ERROR"),IF(B1927="FSE",IF(COUNTIFS(B:B,B1927,C:C,C1927)=XLOOKUP(C1927,FSE!A:A,FSE!AA:AA,"ERROR",0,1),"OK","ERROR")))</f>
        <v>OK</v>
      </c>
      <c r="H1927" s="199">
        <f t="shared" ref="H1927:O1927" si="9724">countif($D1927,"*"&amp;H$2&amp;"*")</f>
        <v>0</v>
      </c>
      <c r="I1927" s="200">
        <f t="shared" si="9724"/>
        <v>0</v>
      </c>
      <c r="J1927" s="200">
        <f t="shared" si="9724"/>
        <v>0</v>
      </c>
      <c r="K1927" s="200">
        <f t="shared" si="9724"/>
        <v>0</v>
      </c>
      <c r="L1927" s="200">
        <f t="shared" si="9724"/>
        <v>0</v>
      </c>
      <c r="M1927" s="200">
        <f t="shared" si="9724"/>
        <v>0</v>
      </c>
      <c r="N1927" s="200">
        <f t="shared" si="9724"/>
        <v>0</v>
      </c>
      <c r="O1927" s="200">
        <f t="shared" si="9724"/>
        <v>0</v>
      </c>
      <c r="P1927" s="200">
        <f t="shared" si="9"/>
        <v>0</v>
      </c>
      <c r="Q1927" s="200">
        <f t="shared" ref="Q1927:AC1927" si="9725">countif($D1927,"*"&amp;Q$2&amp;"*")</f>
        <v>0</v>
      </c>
      <c r="R1927" s="200">
        <f t="shared" si="9725"/>
        <v>0</v>
      </c>
      <c r="S1927" s="200">
        <f t="shared" si="9725"/>
        <v>0</v>
      </c>
      <c r="T1927" s="200">
        <f t="shared" si="9725"/>
        <v>0</v>
      </c>
      <c r="U1927" s="200">
        <f t="shared" si="9725"/>
        <v>0</v>
      </c>
      <c r="V1927" s="200">
        <f t="shared" si="9725"/>
        <v>0</v>
      </c>
      <c r="W1927" s="200">
        <f t="shared" si="9725"/>
        <v>0</v>
      </c>
      <c r="X1927" s="200">
        <f t="shared" si="9725"/>
        <v>0</v>
      </c>
      <c r="Y1927" s="200">
        <f t="shared" si="9725"/>
        <v>0</v>
      </c>
      <c r="Z1927" s="200">
        <f t="shared" si="9725"/>
        <v>0</v>
      </c>
      <c r="AA1927" s="200">
        <f t="shared" si="9725"/>
        <v>0</v>
      </c>
      <c r="AB1927" s="200">
        <f t="shared" si="9725"/>
        <v>0</v>
      </c>
      <c r="AC1927" s="200">
        <f t="shared" si="9725"/>
        <v>0</v>
      </c>
      <c r="AD1927" s="222">
        <f t="shared" si="11"/>
        <v>0</v>
      </c>
      <c r="AE1927" s="200">
        <f t="shared" ref="AE1927:AG1927" si="9726">countif($D1927,"*"&amp;AE$2&amp;"*")</f>
        <v>0</v>
      </c>
      <c r="AF1927" s="200">
        <f t="shared" si="9726"/>
        <v>0</v>
      </c>
      <c r="AG1927" s="200">
        <f t="shared" si="9726"/>
        <v>0</v>
      </c>
      <c r="AH1927" s="171">
        <f t="shared" si="13"/>
        <v>1</v>
      </c>
      <c r="AI1927" s="200">
        <f t="shared" si="14"/>
        <v>0</v>
      </c>
      <c r="AJ1927" s="200">
        <f t="shared" si="9591"/>
        <v>0</v>
      </c>
      <c r="AK1927" s="201">
        <f t="shared" ref="AK1927:AS1927" si="9727">countif($D1927,"*"&amp;AK$2&amp;"*")</f>
        <v>0</v>
      </c>
      <c r="AL1927" s="201">
        <f t="shared" si="9727"/>
        <v>0</v>
      </c>
      <c r="AM1927" s="201">
        <f t="shared" si="9727"/>
        <v>0</v>
      </c>
      <c r="AN1927" s="201">
        <f t="shared" si="9727"/>
        <v>0</v>
      </c>
      <c r="AO1927" s="201">
        <f t="shared" si="9727"/>
        <v>0</v>
      </c>
      <c r="AP1927" s="201">
        <f t="shared" si="9727"/>
        <v>0</v>
      </c>
      <c r="AQ1927" s="201">
        <f t="shared" si="9727"/>
        <v>0</v>
      </c>
      <c r="AR1927" s="222">
        <f t="shared" si="9727"/>
        <v>0</v>
      </c>
      <c r="AS1927" s="200">
        <f t="shared" si="9727"/>
        <v>0</v>
      </c>
      <c r="AT1927" s="223">
        <v>0.0</v>
      </c>
      <c r="AU1927" s="200">
        <f t="shared" ref="AU1927:AX1927" si="9728">countif($D1927,"*"&amp;AU$2&amp;"*")</f>
        <v>0</v>
      </c>
      <c r="AV1927" s="200">
        <f t="shared" si="9728"/>
        <v>0</v>
      </c>
      <c r="AW1927" s="200">
        <f t="shared" si="9728"/>
        <v>0</v>
      </c>
      <c r="AX1927" s="200">
        <f t="shared" si="9728"/>
        <v>0</v>
      </c>
      <c r="AY1927" s="202">
        <v>0.0</v>
      </c>
      <c r="AZ1927" s="200"/>
      <c r="BA1927" s="171" t="str">
        <f t="shared" si="18"/>
        <v/>
      </c>
      <c r="BB1927" s="171" t="str">
        <f t="shared" si="19"/>
        <v/>
      </c>
      <c r="BC1927" s="171" t="str">
        <f t="shared" si="20"/>
        <v/>
      </c>
      <c r="BD1927" s="171" t="str">
        <f t="shared" si="21"/>
        <v/>
      </c>
      <c r="BE1927" s="171" t="str">
        <f t="shared" si="22"/>
        <v>Others</v>
      </c>
      <c r="BF1927" s="171" t="str">
        <f t="shared" si="23"/>
        <v>Others</v>
      </c>
    </row>
    <row r="1928">
      <c r="A1928" s="213">
        <f t="array" ref="A1928">XLOOKUP(C1928,FSE!A:A,FSE!C:C,"XXXXX",0,1)</f>
        <v>2018</v>
      </c>
      <c r="B1928" s="213" t="s">
        <v>5676</v>
      </c>
      <c r="C1928" s="220">
        <v>553.0</v>
      </c>
      <c r="D1928" s="217" t="s">
        <v>6511</v>
      </c>
      <c r="E1928" s="221" t="str">
        <f t="array" ref="E1928">XLOOKUP(C1928,FSE!A:A,FSE!Z:Z,"XXXXX",0,1)</f>
        <v>Not Available (1)
Publicly Available (26)</v>
      </c>
      <c r="F1928" s="213" t="s">
        <v>3394</v>
      </c>
      <c r="G1928" s="163" t="str">
        <f t="array" ref="G1928">IF(B1928="ICSE",IF(COUNTIFS(B:B,B1928,C:C,C1928)=XLOOKUP(C1928,ICSE!A:A,ICSE!AA:AA,"ERROR",0,1),"OK","ERROR"),IF(B1928="FSE",IF(COUNTIFS(B:B,B1928,C:C,C1928)=XLOOKUP(C1928,FSE!A:A,FSE!AA:AA,"ERROR",0,1),"OK","ERROR")))</f>
        <v>OK</v>
      </c>
      <c r="H1928" s="199">
        <f t="shared" ref="H1928:O1928" si="9729">countif($D1928,"*"&amp;H$2&amp;"*")</f>
        <v>0</v>
      </c>
      <c r="I1928" s="200">
        <f t="shared" si="9729"/>
        <v>0</v>
      </c>
      <c r="J1928" s="200">
        <f t="shared" si="9729"/>
        <v>0</v>
      </c>
      <c r="K1928" s="200">
        <f t="shared" si="9729"/>
        <v>0</v>
      </c>
      <c r="L1928" s="200">
        <f t="shared" si="9729"/>
        <v>0</v>
      </c>
      <c r="M1928" s="200">
        <f t="shared" si="9729"/>
        <v>0</v>
      </c>
      <c r="N1928" s="200">
        <f t="shared" si="9729"/>
        <v>0</v>
      </c>
      <c r="O1928" s="200">
        <f t="shared" si="9729"/>
        <v>0</v>
      </c>
      <c r="P1928" s="200">
        <f t="shared" si="9"/>
        <v>0</v>
      </c>
      <c r="Q1928" s="200">
        <f t="shared" ref="Q1928:AC1928" si="9730">countif($D1928,"*"&amp;Q$2&amp;"*")</f>
        <v>0</v>
      </c>
      <c r="R1928" s="200">
        <f t="shared" si="9730"/>
        <v>0</v>
      </c>
      <c r="S1928" s="200">
        <f t="shared" si="9730"/>
        <v>0</v>
      </c>
      <c r="T1928" s="200">
        <f t="shared" si="9730"/>
        <v>0</v>
      </c>
      <c r="U1928" s="200">
        <f t="shared" si="9730"/>
        <v>0</v>
      </c>
      <c r="V1928" s="200">
        <f t="shared" si="9730"/>
        <v>0</v>
      </c>
      <c r="W1928" s="200">
        <f t="shared" si="9730"/>
        <v>0</v>
      </c>
      <c r="X1928" s="200">
        <f t="shared" si="9730"/>
        <v>0</v>
      </c>
      <c r="Y1928" s="200">
        <f t="shared" si="9730"/>
        <v>0</v>
      </c>
      <c r="Z1928" s="200">
        <f t="shared" si="9730"/>
        <v>0</v>
      </c>
      <c r="AA1928" s="200">
        <f t="shared" si="9730"/>
        <v>0</v>
      </c>
      <c r="AB1928" s="200">
        <f t="shared" si="9730"/>
        <v>0</v>
      </c>
      <c r="AC1928" s="200">
        <f t="shared" si="9730"/>
        <v>0</v>
      </c>
      <c r="AD1928" s="222">
        <f t="shared" si="11"/>
        <v>0</v>
      </c>
      <c r="AE1928" s="200">
        <f t="shared" ref="AE1928:AG1928" si="9731">countif($D1928,"*"&amp;AE$2&amp;"*")</f>
        <v>0</v>
      </c>
      <c r="AF1928" s="200">
        <f t="shared" si="9731"/>
        <v>0</v>
      </c>
      <c r="AG1928" s="200">
        <f t="shared" si="9731"/>
        <v>0</v>
      </c>
      <c r="AH1928" s="171">
        <f t="shared" si="13"/>
        <v>1</v>
      </c>
      <c r="AI1928" s="200">
        <f t="shared" si="14"/>
        <v>0</v>
      </c>
      <c r="AJ1928" s="200">
        <f t="shared" si="9591"/>
        <v>0</v>
      </c>
      <c r="AK1928" s="201">
        <f t="shared" ref="AK1928:AS1928" si="9732">countif($D1928,"*"&amp;AK$2&amp;"*")</f>
        <v>0</v>
      </c>
      <c r="AL1928" s="201">
        <f t="shared" si="9732"/>
        <v>0</v>
      </c>
      <c r="AM1928" s="201">
        <f t="shared" si="9732"/>
        <v>0</v>
      </c>
      <c r="AN1928" s="201">
        <f t="shared" si="9732"/>
        <v>0</v>
      </c>
      <c r="AO1928" s="201">
        <f t="shared" si="9732"/>
        <v>0</v>
      </c>
      <c r="AP1928" s="201">
        <f t="shared" si="9732"/>
        <v>0</v>
      </c>
      <c r="AQ1928" s="201">
        <f t="shared" si="9732"/>
        <v>0</v>
      </c>
      <c r="AR1928" s="222">
        <f t="shared" si="9732"/>
        <v>0</v>
      </c>
      <c r="AS1928" s="200">
        <f t="shared" si="9732"/>
        <v>0</v>
      </c>
      <c r="AT1928" s="223">
        <v>0.0</v>
      </c>
      <c r="AU1928" s="200">
        <f t="shared" ref="AU1928:AX1928" si="9733">countif($D1928,"*"&amp;AU$2&amp;"*")</f>
        <v>0</v>
      </c>
      <c r="AV1928" s="200">
        <f t="shared" si="9733"/>
        <v>0</v>
      </c>
      <c r="AW1928" s="200">
        <f t="shared" si="9733"/>
        <v>0</v>
      </c>
      <c r="AX1928" s="200">
        <f t="shared" si="9733"/>
        <v>0</v>
      </c>
      <c r="AY1928" s="202">
        <v>0.0</v>
      </c>
      <c r="AZ1928" s="200"/>
      <c r="BA1928" s="171" t="str">
        <f t="shared" si="18"/>
        <v/>
      </c>
      <c r="BB1928" s="171" t="str">
        <f t="shared" si="19"/>
        <v/>
      </c>
      <c r="BC1928" s="171" t="str">
        <f t="shared" si="20"/>
        <v/>
      </c>
      <c r="BD1928" s="171" t="str">
        <f t="shared" si="21"/>
        <v/>
      </c>
      <c r="BE1928" s="171" t="str">
        <f t="shared" si="22"/>
        <v>Others</v>
      </c>
      <c r="BF1928" s="171" t="str">
        <f t="shared" si="23"/>
        <v>Others</v>
      </c>
    </row>
    <row r="1929">
      <c r="A1929" s="213">
        <f t="array" ref="A1929">XLOOKUP(C1929,FSE!A:A,FSE!C:C,"XXXXX",0,1)</f>
        <v>2018</v>
      </c>
      <c r="B1929" s="213" t="s">
        <v>5676</v>
      </c>
      <c r="C1929" s="220">
        <v>553.0</v>
      </c>
      <c r="D1929" s="217" t="s">
        <v>6512</v>
      </c>
      <c r="E1929" s="221" t="str">
        <f t="array" ref="E1929">XLOOKUP(C1929,FSE!A:A,FSE!Z:Z,"XXXXX",0,1)</f>
        <v>Not Available (1)
Publicly Available (26)</v>
      </c>
      <c r="F1929" s="213" t="s">
        <v>3394</v>
      </c>
      <c r="G1929" s="163" t="str">
        <f t="array" ref="G1929">IF(B1929="ICSE",IF(COUNTIFS(B:B,B1929,C:C,C1929)=XLOOKUP(C1929,ICSE!A:A,ICSE!AA:AA,"ERROR",0,1),"OK","ERROR"),IF(B1929="FSE",IF(COUNTIFS(B:B,B1929,C:C,C1929)=XLOOKUP(C1929,FSE!A:A,FSE!AA:AA,"ERROR",0,1),"OK","ERROR")))</f>
        <v>OK</v>
      </c>
      <c r="H1929" s="199">
        <f t="shared" ref="H1929:O1929" si="9734">countif($D1929,"*"&amp;H$2&amp;"*")</f>
        <v>0</v>
      </c>
      <c r="I1929" s="200">
        <f t="shared" si="9734"/>
        <v>0</v>
      </c>
      <c r="J1929" s="200">
        <f t="shared" si="9734"/>
        <v>0</v>
      </c>
      <c r="K1929" s="200">
        <f t="shared" si="9734"/>
        <v>0</v>
      </c>
      <c r="L1929" s="200">
        <f t="shared" si="9734"/>
        <v>0</v>
      </c>
      <c r="M1929" s="200">
        <f t="shared" si="9734"/>
        <v>0</v>
      </c>
      <c r="N1929" s="200">
        <f t="shared" si="9734"/>
        <v>0</v>
      </c>
      <c r="O1929" s="200">
        <f t="shared" si="9734"/>
        <v>0</v>
      </c>
      <c r="P1929" s="200">
        <f t="shared" si="9"/>
        <v>0</v>
      </c>
      <c r="Q1929" s="200">
        <f t="shared" ref="Q1929:AC1929" si="9735">countif($D1929,"*"&amp;Q$2&amp;"*")</f>
        <v>0</v>
      </c>
      <c r="R1929" s="200">
        <f t="shared" si="9735"/>
        <v>0</v>
      </c>
      <c r="S1929" s="200">
        <f t="shared" si="9735"/>
        <v>0</v>
      </c>
      <c r="T1929" s="200">
        <f t="shared" si="9735"/>
        <v>0</v>
      </c>
      <c r="U1929" s="200">
        <f t="shared" si="9735"/>
        <v>0</v>
      </c>
      <c r="V1929" s="200">
        <f t="shared" si="9735"/>
        <v>0</v>
      </c>
      <c r="W1929" s="200">
        <f t="shared" si="9735"/>
        <v>0</v>
      </c>
      <c r="X1929" s="200">
        <f t="shared" si="9735"/>
        <v>0</v>
      </c>
      <c r="Y1929" s="200">
        <f t="shared" si="9735"/>
        <v>0</v>
      </c>
      <c r="Z1929" s="200">
        <f t="shared" si="9735"/>
        <v>0</v>
      </c>
      <c r="AA1929" s="200">
        <f t="shared" si="9735"/>
        <v>0</v>
      </c>
      <c r="AB1929" s="200">
        <f t="shared" si="9735"/>
        <v>0</v>
      </c>
      <c r="AC1929" s="200">
        <f t="shared" si="9735"/>
        <v>0</v>
      </c>
      <c r="AD1929" s="222">
        <f t="shared" si="11"/>
        <v>0</v>
      </c>
      <c r="AE1929" s="200">
        <f t="shared" ref="AE1929:AG1929" si="9736">countif($D1929,"*"&amp;AE$2&amp;"*")</f>
        <v>0</v>
      </c>
      <c r="AF1929" s="200">
        <f t="shared" si="9736"/>
        <v>0</v>
      </c>
      <c r="AG1929" s="200">
        <f t="shared" si="9736"/>
        <v>0</v>
      </c>
      <c r="AH1929" s="171">
        <f t="shared" si="13"/>
        <v>1</v>
      </c>
      <c r="AI1929" s="200">
        <f t="shared" si="14"/>
        <v>0</v>
      </c>
      <c r="AJ1929" s="200">
        <f t="shared" si="9591"/>
        <v>0</v>
      </c>
      <c r="AK1929" s="201">
        <f t="shared" ref="AK1929:AS1929" si="9737">countif($D1929,"*"&amp;AK$2&amp;"*")</f>
        <v>0</v>
      </c>
      <c r="AL1929" s="201">
        <f t="shared" si="9737"/>
        <v>0</v>
      </c>
      <c r="AM1929" s="201">
        <f t="shared" si="9737"/>
        <v>0</v>
      </c>
      <c r="AN1929" s="201">
        <f t="shared" si="9737"/>
        <v>0</v>
      </c>
      <c r="AO1929" s="201">
        <f t="shared" si="9737"/>
        <v>0</v>
      </c>
      <c r="AP1929" s="201">
        <f t="shared" si="9737"/>
        <v>0</v>
      </c>
      <c r="AQ1929" s="201">
        <f t="shared" si="9737"/>
        <v>0</v>
      </c>
      <c r="AR1929" s="222">
        <f t="shared" si="9737"/>
        <v>0</v>
      </c>
      <c r="AS1929" s="200">
        <f t="shared" si="9737"/>
        <v>0</v>
      </c>
      <c r="AT1929" s="223">
        <v>0.0</v>
      </c>
      <c r="AU1929" s="200">
        <f t="shared" ref="AU1929:AX1929" si="9738">countif($D1929,"*"&amp;AU$2&amp;"*")</f>
        <v>0</v>
      </c>
      <c r="AV1929" s="200">
        <f t="shared" si="9738"/>
        <v>0</v>
      </c>
      <c r="AW1929" s="200">
        <f t="shared" si="9738"/>
        <v>0</v>
      </c>
      <c r="AX1929" s="200">
        <f t="shared" si="9738"/>
        <v>0</v>
      </c>
      <c r="AY1929" s="202">
        <v>0.0</v>
      </c>
      <c r="AZ1929" s="200"/>
      <c r="BA1929" s="171" t="str">
        <f t="shared" si="18"/>
        <v/>
      </c>
      <c r="BB1929" s="171" t="str">
        <f t="shared" si="19"/>
        <v/>
      </c>
      <c r="BC1929" s="171" t="str">
        <f t="shared" si="20"/>
        <v/>
      </c>
      <c r="BD1929" s="171" t="str">
        <f t="shared" si="21"/>
        <v/>
      </c>
      <c r="BE1929" s="171" t="str">
        <f t="shared" si="22"/>
        <v>Others</v>
      </c>
      <c r="BF1929" s="171" t="str">
        <f t="shared" si="23"/>
        <v>Others</v>
      </c>
    </row>
    <row r="1930">
      <c r="A1930" s="213">
        <f t="array" ref="A1930">XLOOKUP(C1930,FSE!A:A,FSE!C:C,"XXXXX",0,1)</f>
        <v>2018</v>
      </c>
      <c r="B1930" s="213" t="s">
        <v>5676</v>
      </c>
      <c r="C1930" s="220">
        <v>553.0</v>
      </c>
      <c r="D1930" s="217" t="s">
        <v>6513</v>
      </c>
      <c r="E1930" s="221" t="str">
        <f t="array" ref="E1930">XLOOKUP(C1930,FSE!A:A,FSE!Z:Z,"XXXXX",0,1)</f>
        <v>Not Available (1)
Publicly Available (26)</v>
      </c>
      <c r="F1930" s="213" t="s">
        <v>3394</v>
      </c>
      <c r="G1930" s="163" t="str">
        <f t="array" ref="G1930">IF(B1930="ICSE",IF(COUNTIFS(B:B,B1930,C:C,C1930)=XLOOKUP(C1930,ICSE!A:A,ICSE!AA:AA,"ERROR",0,1),"OK","ERROR"),IF(B1930="FSE",IF(COUNTIFS(B:B,B1930,C:C,C1930)=XLOOKUP(C1930,FSE!A:A,FSE!AA:AA,"ERROR",0,1),"OK","ERROR")))</f>
        <v>OK</v>
      </c>
      <c r="H1930" s="199">
        <f t="shared" ref="H1930:O1930" si="9739">countif($D1930,"*"&amp;H$2&amp;"*")</f>
        <v>0</v>
      </c>
      <c r="I1930" s="200">
        <f t="shared" si="9739"/>
        <v>0</v>
      </c>
      <c r="J1930" s="200">
        <f t="shared" si="9739"/>
        <v>0</v>
      </c>
      <c r="K1930" s="200">
        <f t="shared" si="9739"/>
        <v>0</v>
      </c>
      <c r="L1930" s="200">
        <f t="shared" si="9739"/>
        <v>0</v>
      </c>
      <c r="M1930" s="200">
        <f t="shared" si="9739"/>
        <v>0</v>
      </c>
      <c r="N1930" s="200">
        <f t="shared" si="9739"/>
        <v>0</v>
      </c>
      <c r="O1930" s="200">
        <f t="shared" si="9739"/>
        <v>0</v>
      </c>
      <c r="P1930" s="200">
        <f t="shared" si="9"/>
        <v>0</v>
      </c>
      <c r="Q1930" s="200">
        <f t="shared" ref="Q1930:AC1930" si="9740">countif($D1930,"*"&amp;Q$2&amp;"*")</f>
        <v>0</v>
      </c>
      <c r="R1930" s="200">
        <f t="shared" si="9740"/>
        <v>0</v>
      </c>
      <c r="S1930" s="200">
        <f t="shared" si="9740"/>
        <v>0</v>
      </c>
      <c r="T1930" s="200">
        <f t="shared" si="9740"/>
        <v>0</v>
      </c>
      <c r="U1930" s="200">
        <f t="shared" si="9740"/>
        <v>0</v>
      </c>
      <c r="V1930" s="200">
        <f t="shared" si="9740"/>
        <v>0</v>
      </c>
      <c r="W1930" s="200">
        <f t="shared" si="9740"/>
        <v>0</v>
      </c>
      <c r="X1930" s="200">
        <f t="shared" si="9740"/>
        <v>0</v>
      </c>
      <c r="Y1930" s="200">
        <f t="shared" si="9740"/>
        <v>0</v>
      </c>
      <c r="Z1930" s="200">
        <f t="shared" si="9740"/>
        <v>0</v>
      </c>
      <c r="AA1930" s="200">
        <f t="shared" si="9740"/>
        <v>0</v>
      </c>
      <c r="AB1930" s="200">
        <f t="shared" si="9740"/>
        <v>0</v>
      </c>
      <c r="AC1930" s="200">
        <f t="shared" si="9740"/>
        <v>0</v>
      </c>
      <c r="AD1930" s="222">
        <f t="shared" si="11"/>
        <v>0</v>
      </c>
      <c r="AE1930" s="200">
        <f t="shared" ref="AE1930:AG1930" si="9741">countif($D1930,"*"&amp;AE$2&amp;"*")</f>
        <v>0</v>
      </c>
      <c r="AF1930" s="200">
        <f t="shared" si="9741"/>
        <v>0</v>
      </c>
      <c r="AG1930" s="200">
        <f t="shared" si="9741"/>
        <v>0</v>
      </c>
      <c r="AH1930" s="171">
        <f t="shared" si="13"/>
        <v>1</v>
      </c>
      <c r="AI1930" s="200">
        <f t="shared" si="14"/>
        <v>0</v>
      </c>
      <c r="AJ1930" s="200">
        <f t="shared" si="9591"/>
        <v>0</v>
      </c>
      <c r="AK1930" s="201">
        <f t="shared" ref="AK1930:AS1930" si="9742">countif($D1930,"*"&amp;AK$2&amp;"*")</f>
        <v>0</v>
      </c>
      <c r="AL1930" s="201">
        <f t="shared" si="9742"/>
        <v>0</v>
      </c>
      <c r="AM1930" s="201">
        <f t="shared" si="9742"/>
        <v>0</v>
      </c>
      <c r="AN1930" s="201">
        <f t="shared" si="9742"/>
        <v>0</v>
      </c>
      <c r="AO1930" s="201">
        <f t="shared" si="9742"/>
        <v>0</v>
      </c>
      <c r="AP1930" s="201">
        <f t="shared" si="9742"/>
        <v>0</v>
      </c>
      <c r="AQ1930" s="201">
        <f t="shared" si="9742"/>
        <v>0</v>
      </c>
      <c r="AR1930" s="222">
        <f t="shared" si="9742"/>
        <v>0</v>
      </c>
      <c r="AS1930" s="200">
        <f t="shared" si="9742"/>
        <v>0</v>
      </c>
      <c r="AT1930" s="223">
        <v>0.0</v>
      </c>
      <c r="AU1930" s="200">
        <f t="shared" ref="AU1930:AX1930" si="9743">countif($D1930,"*"&amp;AU$2&amp;"*")</f>
        <v>0</v>
      </c>
      <c r="AV1930" s="200">
        <f t="shared" si="9743"/>
        <v>0</v>
      </c>
      <c r="AW1930" s="200">
        <f t="shared" si="9743"/>
        <v>0</v>
      </c>
      <c r="AX1930" s="200">
        <f t="shared" si="9743"/>
        <v>0</v>
      </c>
      <c r="AY1930" s="202">
        <v>0.0</v>
      </c>
      <c r="AZ1930" s="200"/>
      <c r="BA1930" s="171" t="str">
        <f t="shared" si="18"/>
        <v/>
      </c>
      <c r="BB1930" s="171" t="str">
        <f t="shared" si="19"/>
        <v/>
      </c>
      <c r="BC1930" s="171" t="str">
        <f t="shared" si="20"/>
        <v/>
      </c>
      <c r="BD1930" s="171" t="str">
        <f t="shared" si="21"/>
        <v/>
      </c>
      <c r="BE1930" s="171" t="str">
        <f t="shared" si="22"/>
        <v>Others</v>
      </c>
      <c r="BF1930" s="171" t="str">
        <f t="shared" si="23"/>
        <v>Others</v>
      </c>
    </row>
    <row r="1931">
      <c r="A1931" s="213">
        <f t="array" ref="A1931">XLOOKUP(C1931,FSE!A:A,FSE!C:C,"XXXXX",0,1)</f>
        <v>2018</v>
      </c>
      <c r="B1931" s="213" t="s">
        <v>5676</v>
      </c>
      <c r="C1931" s="220">
        <v>553.0</v>
      </c>
      <c r="D1931" s="217" t="s">
        <v>6514</v>
      </c>
      <c r="E1931" s="221" t="str">
        <f t="array" ref="E1931">XLOOKUP(C1931,FSE!A:A,FSE!Z:Z,"XXXXX",0,1)</f>
        <v>Not Available (1)
Publicly Available (26)</v>
      </c>
      <c r="F1931" s="213" t="s">
        <v>3394</v>
      </c>
      <c r="G1931" s="163" t="str">
        <f t="array" ref="G1931">IF(B1931="ICSE",IF(COUNTIFS(B:B,B1931,C:C,C1931)=XLOOKUP(C1931,ICSE!A:A,ICSE!AA:AA,"ERROR",0,1),"OK","ERROR"),IF(B1931="FSE",IF(COUNTIFS(B:B,B1931,C:C,C1931)=XLOOKUP(C1931,FSE!A:A,FSE!AA:AA,"ERROR",0,1),"OK","ERROR")))</f>
        <v>OK</v>
      </c>
      <c r="H1931" s="199">
        <f t="shared" ref="H1931:O1931" si="9744">countif($D1931,"*"&amp;H$2&amp;"*")</f>
        <v>0</v>
      </c>
      <c r="I1931" s="200">
        <f t="shared" si="9744"/>
        <v>0</v>
      </c>
      <c r="J1931" s="200">
        <f t="shared" si="9744"/>
        <v>0</v>
      </c>
      <c r="K1931" s="200">
        <f t="shared" si="9744"/>
        <v>0</v>
      </c>
      <c r="L1931" s="200">
        <f t="shared" si="9744"/>
        <v>0</v>
      </c>
      <c r="M1931" s="200">
        <f t="shared" si="9744"/>
        <v>0</v>
      </c>
      <c r="N1931" s="200">
        <f t="shared" si="9744"/>
        <v>0</v>
      </c>
      <c r="O1931" s="200">
        <f t="shared" si="9744"/>
        <v>0</v>
      </c>
      <c r="P1931" s="200">
        <f t="shared" si="9"/>
        <v>0</v>
      </c>
      <c r="Q1931" s="200">
        <f t="shared" ref="Q1931:AC1931" si="9745">countif($D1931,"*"&amp;Q$2&amp;"*")</f>
        <v>0</v>
      </c>
      <c r="R1931" s="200">
        <f t="shared" si="9745"/>
        <v>0</v>
      </c>
      <c r="S1931" s="200">
        <f t="shared" si="9745"/>
        <v>0</v>
      </c>
      <c r="T1931" s="200">
        <f t="shared" si="9745"/>
        <v>0</v>
      </c>
      <c r="U1931" s="200">
        <f t="shared" si="9745"/>
        <v>0</v>
      </c>
      <c r="V1931" s="200">
        <f t="shared" si="9745"/>
        <v>0</v>
      </c>
      <c r="W1931" s="200">
        <f t="shared" si="9745"/>
        <v>0</v>
      </c>
      <c r="X1931" s="200">
        <f t="shared" si="9745"/>
        <v>0</v>
      </c>
      <c r="Y1931" s="200">
        <f t="shared" si="9745"/>
        <v>0</v>
      </c>
      <c r="Z1931" s="200">
        <f t="shared" si="9745"/>
        <v>0</v>
      </c>
      <c r="AA1931" s="200">
        <f t="shared" si="9745"/>
        <v>0</v>
      </c>
      <c r="AB1931" s="200">
        <f t="shared" si="9745"/>
        <v>0</v>
      </c>
      <c r="AC1931" s="200">
        <f t="shared" si="9745"/>
        <v>0</v>
      </c>
      <c r="AD1931" s="222">
        <f t="shared" si="11"/>
        <v>0</v>
      </c>
      <c r="AE1931" s="200">
        <f t="shared" ref="AE1931:AG1931" si="9746">countif($D1931,"*"&amp;AE$2&amp;"*")</f>
        <v>0</v>
      </c>
      <c r="AF1931" s="200">
        <f t="shared" si="9746"/>
        <v>0</v>
      </c>
      <c r="AG1931" s="200">
        <f t="shared" si="9746"/>
        <v>0</v>
      </c>
      <c r="AH1931" s="171">
        <f t="shared" si="13"/>
        <v>1</v>
      </c>
      <c r="AI1931" s="200">
        <f t="shared" si="14"/>
        <v>0</v>
      </c>
      <c r="AJ1931" s="200">
        <f t="shared" si="9591"/>
        <v>0</v>
      </c>
      <c r="AK1931" s="201">
        <f t="shared" ref="AK1931:AS1931" si="9747">countif($D1931,"*"&amp;AK$2&amp;"*")</f>
        <v>0</v>
      </c>
      <c r="AL1931" s="201">
        <f t="shared" si="9747"/>
        <v>0</v>
      </c>
      <c r="AM1931" s="201">
        <f t="shared" si="9747"/>
        <v>0</v>
      </c>
      <c r="AN1931" s="201">
        <f t="shared" si="9747"/>
        <v>0</v>
      </c>
      <c r="AO1931" s="201">
        <f t="shared" si="9747"/>
        <v>0</v>
      </c>
      <c r="AP1931" s="201">
        <f t="shared" si="9747"/>
        <v>0</v>
      </c>
      <c r="AQ1931" s="201">
        <f t="shared" si="9747"/>
        <v>0</v>
      </c>
      <c r="AR1931" s="222">
        <f t="shared" si="9747"/>
        <v>0</v>
      </c>
      <c r="AS1931" s="200">
        <f t="shared" si="9747"/>
        <v>0</v>
      </c>
      <c r="AT1931" s="223">
        <v>0.0</v>
      </c>
      <c r="AU1931" s="200">
        <f t="shared" ref="AU1931:AX1931" si="9748">countif($D1931,"*"&amp;AU$2&amp;"*")</f>
        <v>0</v>
      </c>
      <c r="AV1931" s="200">
        <f t="shared" si="9748"/>
        <v>0</v>
      </c>
      <c r="AW1931" s="200">
        <f t="shared" si="9748"/>
        <v>0</v>
      </c>
      <c r="AX1931" s="200">
        <f t="shared" si="9748"/>
        <v>0</v>
      </c>
      <c r="AY1931" s="202">
        <v>0.0</v>
      </c>
      <c r="AZ1931" s="200"/>
      <c r="BA1931" s="171" t="str">
        <f t="shared" si="18"/>
        <v/>
      </c>
      <c r="BB1931" s="171" t="str">
        <f t="shared" si="19"/>
        <v/>
      </c>
      <c r="BC1931" s="171" t="str">
        <f t="shared" si="20"/>
        <v/>
      </c>
      <c r="BD1931" s="171" t="str">
        <f t="shared" si="21"/>
        <v/>
      </c>
      <c r="BE1931" s="171" t="str">
        <f t="shared" si="22"/>
        <v>Others</v>
      </c>
      <c r="BF1931" s="171" t="str">
        <f t="shared" si="23"/>
        <v>Others</v>
      </c>
    </row>
    <row r="1932">
      <c r="A1932" s="213">
        <f t="array" ref="A1932">XLOOKUP(C1932,FSE!A:A,FSE!C:C,"XXXXX",0,1)</f>
        <v>2018</v>
      </c>
      <c r="B1932" s="213" t="s">
        <v>5676</v>
      </c>
      <c r="C1932" s="220">
        <v>553.0</v>
      </c>
      <c r="D1932" s="217" t="s">
        <v>6515</v>
      </c>
      <c r="E1932" s="221" t="str">
        <f t="array" ref="E1932">XLOOKUP(C1932,FSE!A:A,FSE!Z:Z,"XXXXX",0,1)</f>
        <v>Not Available (1)
Publicly Available (26)</v>
      </c>
      <c r="F1932" s="213" t="s">
        <v>3394</v>
      </c>
      <c r="G1932" s="163" t="str">
        <f t="array" ref="G1932">IF(B1932="ICSE",IF(COUNTIFS(B:B,B1932,C:C,C1932)=XLOOKUP(C1932,ICSE!A:A,ICSE!AA:AA,"ERROR",0,1),"OK","ERROR"),IF(B1932="FSE",IF(COUNTIFS(B:B,B1932,C:C,C1932)=XLOOKUP(C1932,FSE!A:A,FSE!AA:AA,"ERROR",0,1),"OK","ERROR")))</f>
        <v>OK</v>
      </c>
      <c r="H1932" s="199">
        <f t="shared" ref="H1932:O1932" si="9749">countif($D1932,"*"&amp;H$2&amp;"*")</f>
        <v>0</v>
      </c>
      <c r="I1932" s="200">
        <f t="shared" si="9749"/>
        <v>0</v>
      </c>
      <c r="J1932" s="200">
        <f t="shared" si="9749"/>
        <v>0</v>
      </c>
      <c r="K1932" s="200">
        <f t="shared" si="9749"/>
        <v>0</v>
      </c>
      <c r="L1932" s="200">
        <f t="shared" si="9749"/>
        <v>0</v>
      </c>
      <c r="M1932" s="200">
        <f t="shared" si="9749"/>
        <v>0</v>
      </c>
      <c r="N1932" s="200">
        <f t="shared" si="9749"/>
        <v>0</v>
      </c>
      <c r="O1932" s="200">
        <f t="shared" si="9749"/>
        <v>0</v>
      </c>
      <c r="P1932" s="200">
        <f t="shared" si="9"/>
        <v>0</v>
      </c>
      <c r="Q1932" s="200">
        <f t="shared" ref="Q1932:AC1932" si="9750">countif($D1932,"*"&amp;Q$2&amp;"*")</f>
        <v>0</v>
      </c>
      <c r="R1932" s="200">
        <f t="shared" si="9750"/>
        <v>0</v>
      </c>
      <c r="S1932" s="200">
        <f t="shared" si="9750"/>
        <v>0</v>
      </c>
      <c r="T1932" s="200">
        <f t="shared" si="9750"/>
        <v>0</v>
      </c>
      <c r="U1932" s="200">
        <f t="shared" si="9750"/>
        <v>0</v>
      </c>
      <c r="V1932" s="200">
        <f t="shared" si="9750"/>
        <v>0</v>
      </c>
      <c r="W1932" s="200">
        <f t="shared" si="9750"/>
        <v>0</v>
      </c>
      <c r="X1932" s="200">
        <f t="shared" si="9750"/>
        <v>0</v>
      </c>
      <c r="Y1932" s="200">
        <f t="shared" si="9750"/>
        <v>0</v>
      </c>
      <c r="Z1932" s="200">
        <f t="shared" si="9750"/>
        <v>0</v>
      </c>
      <c r="AA1932" s="200">
        <f t="shared" si="9750"/>
        <v>0</v>
      </c>
      <c r="AB1932" s="200">
        <f t="shared" si="9750"/>
        <v>0</v>
      </c>
      <c r="AC1932" s="200">
        <f t="shared" si="9750"/>
        <v>0</v>
      </c>
      <c r="AD1932" s="222">
        <f t="shared" si="11"/>
        <v>0</v>
      </c>
      <c r="AE1932" s="200">
        <f t="shared" ref="AE1932:AG1932" si="9751">countif($D1932,"*"&amp;AE$2&amp;"*")</f>
        <v>0</v>
      </c>
      <c r="AF1932" s="200">
        <f t="shared" si="9751"/>
        <v>0</v>
      </c>
      <c r="AG1932" s="200">
        <f t="shared" si="9751"/>
        <v>0</v>
      </c>
      <c r="AH1932" s="171">
        <f t="shared" si="13"/>
        <v>1</v>
      </c>
      <c r="AI1932" s="200">
        <f t="shared" si="14"/>
        <v>0</v>
      </c>
      <c r="AJ1932" s="200">
        <f t="shared" si="9591"/>
        <v>0</v>
      </c>
      <c r="AK1932" s="201">
        <f t="shared" ref="AK1932:AS1932" si="9752">countif($D1932,"*"&amp;AK$2&amp;"*")</f>
        <v>0</v>
      </c>
      <c r="AL1932" s="201">
        <f t="shared" si="9752"/>
        <v>0</v>
      </c>
      <c r="AM1932" s="201">
        <f t="shared" si="9752"/>
        <v>0</v>
      </c>
      <c r="AN1932" s="201">
        <f t="shared" si="9752"/>
        <v>0</v>
      </c>
      <c r="AO1932" s="201">
        <f t="shared" si="9752"/>
        <v>0</v>
      </c>
      <c r="AP1932" s="201">
        <f t="shared" si="9752"/>
        <v>0</v>
      </c>
      <c r="AQ1932" s="201">
        <f t="shared" si="9752"/>
        <v>0</v>
      </c>
      <c r="AR1932" s="222">
        <f t="shared" si="9752"/>
        <v>0</v>
      </c>
      <c r="AS1932" s="200">
        <f t="shared" si="9752"/>
        <v>0</v>
      </c>
      <c r="AT1932" s="223">
        <v>0.0</v>
      </c>
      <c r="AU1932" s="200">
        <f t="shared" ref="AU1932:AX1932" si="9753">countif($D1932,"*"&amp;AU$2&amp;"*")</f>
        <v>0</v>
      </c>
      <c r="AV1932" s="200">
        <f t="shared" si="9753"/>
        <v>0</v>
      </c>
      <c r="AW1932" s="200">
        <f t="shared" si="9753"/>
        <v>0</v>
      </c>
      <c r="AX1932" s="200">
        <f t="shared" si="9753"/>
        <v>0</v>
      </c>
      <c r="AY1932" s="202">
        <v>0.0</v>
      </c>
      <c r="AZ1932" s="200"/>
      <c r="BA1932" s="171" t="str">
        <f t="shared" si="18"/>
        <v/>
      </c>
      <c r="BB1932" s="171" t="str">
        <f t="shared" si="19"/>
        <v/>
      </c>
      <c r="BC1932" s="171" t="str">
        <f t="shared" si="20"/>
        <v/>
      </c>
      <c r="BD1932" s="171" t="str">
        <f t="shared" si="21"/>
        <v/>
      </c>
      <c r="BE1932" s="171" t="str">
        <f t="shared" si="22"/>
        <v>Others</v>
      </c>
      <c r="BF1932" s="171" t="str">
        <f t="shared" si="23"/>
        <v>Others</v>
      </c>
    </row>
    <row r="1933">
      <c r="A1933" s="171">
        <f t="array" ref="A1933">XLOOKUP(C1933,FSE!A:A,FSE!C:C,"XXXXX",0,1)</f>
        <v>2018</v>
      </c>
      <c r="B1933" s="213" t="s">
        <v>5676</v>
      </c>
      <c r="C1933" s="214">
        <v>554.0</v>
      </c>
      <c r="D1933" s="215" t="s">
        <v>4236</v>
      </c>
      <c r="E1933" s="197" t="str">
        <f t="array" ref="E1933">XLOOKUP(C1933,FSE!A:A,FSE!Z:Z,"XXXXX",0,1)</f>
        <v>Publicly Available (1)</v>
      </c>
      <c r="F1933" s="213" t="s">
        <v>3394</v>
      </c>
      <c r="G1933" s="163" t="str">
        <f t="array" ref="G1933">IF(B1933="ICSE",IF(COUNTIFS(B:B,B1933,C:C,C1933)=XLOOKUP(C1933,ICSE!A:A,ICSE!AA:AA,"ERROR",0,1),"OK","ERROR"),IF(B1933="FSE",IF(COUNTIFS(B:B,B1933,C:C,C1933)=XLOOKUP(C1933,FSE!A:A,FSE!AA:AA,"ERROR",0,1),"OK","ERROR")))</f>
        <v>OK</v>
      </c>
      <c r="H1933" s="199">
        <f t="shared" ref="H1933:O1933" si="9754">countif($D1933,"*"&amp;H$2&amp;"*")</f>
        <v>1</v>
      </c>
      <c r="I1933" s="200">
        <f t="shared" si="9754"/>
        <v>0</v>
      </c>
      <c r="J1933" s="200">
        <f t="shared" si="9754"/>
        <v>0</v>
      </c>
      <c r="K1933" s="200">
        <f t="shared" si="9754"/>
        <v>0</v>
      </c>
      <c r="L1933" s="200">
        <f t="shared" si="9754"/>
        <v>0</v>
      </c>
      <c r="M1933" s="200">
        <f t="shared" si="9754"/>
        <v>0</v>
      </c>
      <c r="N1933" s="200">
        <f t="shared" si="9754"/>
        <v>0</v>
      </c>
      <c r="O1933" s="200">
        <f t="shared" si="9754"/>
        <v>0</v>
      </c>
      <c r="P1933" s="200">
        <f t="shared" si="9"/>
        <v>0</v>
      </c>
      <c r="Q1933" s="200">
        <f t="shared" ref="Q1933:AC1933" si="9755">countif($D1933,"*"&amp;Q$2&amp;"*")</f>
        <v>0</v>
      </c>
      <c r="R1933" s="200">
        <f t="shared" si="9755"/>
        <v>0</v>
      </c>
      <c r="S1933" s="200">
        <f t="shared" si="9755"/>
        <v>0</v>
      </c>
      <c r="T1933" s="200">
        <f t="shared" si="9755"/>
        <v>0</v>
      </c>
      <c r="U1933" s="200">
        <f t="shared" si="9755"/>
        <v>0</v>
      </c>
      <c r="V1933" s="200">
        <f t="shared" si="9755"/>
        <v>0</v>
      </c>
      <c r="W1933" s="200">
        <f t="shared" si="9755"/>
        <v>0</v>
      </c>
      <c r="X1933" s="200">
        <f t="shared" si="9755"/>
        <v>0</v>
      </c>
      <c r="Y1933" s="200">
        <f t="shared" si="9755"/>
        <v>0</v>
      </c>
      <c r="Z1933" s="200">
        <f t="shared" si="9755"/>
        <v>0</v>
      </c>
      <c r="AA1933" s="200">
        <f t="shared" si="9755"/>
        <v>0</v>
      </c>
      <c r="AB1933" s="200">
        <f t="shared" si="9755"/>
        <v>0</v>
      </c>
      <c r="AC1933" s="200">
        <f t="shared" si="9755"/>
        <v>0</v>
      </c>
      <c r="AD1933" s="200">
        <f t="shared" si="11"/>
        <v>0</v>
      </c>
      <c r="AE1933" s="200">
        <f t="shared" ref="AE1933:AG1933" si="9756">countif($D1933,"*"&amp;AE$2&amp;"*")</f>
        <v>0</v>
      </c>
      <c r="AF1933" s="200">
        <f t="shared" si="9756"/>
        <v>0</v>
      </c>
      <c r="AG1933" s="200">
        <f t="shared" si="9756"/>
        <v>0</v>
      </c>
      <c r="AH1933" s="171">
        <f t="shared" si="13"/>
        <v>0</v>
      </c>
      <c r="AI1933" s="200">
        <f t="shared" si="14"/>
        <v>1</v>
      </c>
      <c r="AJ1933" s="200">
        <f t="shared" si="9591"/>
        <v>0</v>
      </c>
      <c r="AK1933" s="201">
        <f t="shared" ref="AK1933:AS1933" si="9757">countif($D1933,"*"&amp;AK$2&amp;"*")</f>
        <v>0</v>
      </c>
      <c r="AL1933" s="201">
        <f t="shared" si="9757"/>
        <v>0</v>
      </c>
      <c r="AM1933" s="201">
        <f t="shared" si="9757"/>
        <v>0</v>
      </c>
      <c r="AN1933" s="201">
        <f t="shared" si="9757"/>
        <v>0</v>
      </c>
      <c r="AO1933" s="201">
        <f t="shared" si="9757"/>
        <v>0</v>
      </c>
      <c r="AP1933" s="201">
        <f t="shared" si="9757"/>
        <v>0</v>
      </c>
      <c r="AQ1933" s="201">
        <f t="shared" si="9757"/>
        <v>0</v>
      </c>
      <c r="AR1933" s="200">
        <f t="shared" si="9757"/>
        <v>0</v>
      </c>
      <c r="AS1933" s="200">
        <f t="shared" si="9757"/>
        <v>0</v>
      </c>
      <c r="AT1933" s="173">
        <v>0.0</v>
      </c>
      <c r="AU1933" s="200">
        <f t="shared" ref="AU1933:AX1933" si="9758">countif($D1933,"*"&amp;AU$2&amp;"*")</f>
        <v>0</v>
      </c>
      <c r="AV1933" s="200">
        <f t="shared" si="9758"/>
        <v>0</v>
      </c>
      <c r="AW1933" s="200">
        <f t="shared" si="9758"/>
        <v>0</v>
      </c>
      <c r="AX1933" s="200">
        <f t="shared" si="9758"/>
        <v>0</v>
      </c>
      <c r="AY1933" s="204">
        <v>1.0</v>
      </c>
      <c r="AZ1933" s="200"/>
      <c r="BA1933" s="171" t="str">
        <f t="shared" si="18"/>
        <v>Archival</v>
      </c>
      <c r="BB1933" s="171" t="str">
        <f t="shared" si="19"/>
        <v/>
      </c>
      <c r="BC1933" s="171" t="str">
        <f t="shared" si="20"/>
        <v/>
      </c>
      <c r="BD1933" s="171" t="str">
        <f t="shared" si="21"/>
        <v/>
      </c>
      <c r="BE1933" s="171" t="str">
        <f t="shared" si="22"/>
        <v/>
      </c>
      <c r="BF1933" s="171" t="str">
        <f t="shared" si="23"/>
        <v>Archival</v>
      </c>
    </row>
    <row r="1934">
      <c r="A1934" s="171">
        <f t="array" ref="A1934">XLOOKUP(C1934,FSE!A:A,FSE!C:C,"XXXXX",0,1)</f>
        <v>2018</v>
      </c>
      <c r="B1934" s="213" t="s">
        <v>5676</v>
      </c>
      <c r="C1934" s="214">
        <v>555.0</v>
      </c>
      <c r="D1934" s="215" t="s">
        <v>4238</v>
      </c>
      <c r="E1934" s="197" t="str">
        <f t="array" ref="E1934">XLOOKUP(C1934,FSE!A:A,FSE!Z:Z,"XXXXX",0,1)</f>
        <v>Publicly Available (1)</v>
      </c>
      <c r="F1934" s="213" t="s">
        <v>3394</v>
      </c>
      <c r="G1934" s="163" t="str">
        <f t="array" ref="G1934">IF(B1934="ICSE",IF(COUNTIFS(B:B,B1934,C:C,C1934)=XLOOKUP(C1934,ICSE!A:A,ICSE!AA:AA,"ERROR",0,1),"OK","ERROR"),IF(B1934="FSE",IF(COUNTIFS(B:B,B1934,C:C,C1934)=XLOOKUP(C1934,FSE!A:A,FSE!AA:AA,"ERROR",0,1),"OK","ERROR")))</f>
        <v>OK</v>
      </c>
      <c r="H1934" s="199">
        <f t="shared" ref="H1934:O1934" si="9759">countif($D1934,"*"&amp;H$2&amp;"*")</f>
        <v>0</v>
      </c>
      <c r="I1934" s="200">
        <f t="shared" si="9759"/>
        <v>0</v>
      </c>
      <c r="J1934" s="200">
        <f t="shared" si="9759"/>
        <v>0</v>
      </c>
      <c r="K1934" s="200">
        <f t="shared" si="9759"/>
        <v>0</v>
      </c>
      <c r="L1934" s="200">
        <f t="shared" si="9759"/>
        <v>0</v>
      </c>
      <c r="M1934" s="200">
        <f t="shared" si="9759"/>
        <v>0</v>
      </c>
      <c r="N1934" s="200">
        <f t="shared" si="9759"/>
        <v>0</v>
      </c>
      <c r="O1934" s="200">
        <f t="shared" si="9759"/>
        <v>0</v>
      </c>
      <c r="P1934" s="200">
        <f t="shared" si="9"/>
        <v>1</v>
      </c>
      <c r="Q1934" s="200">
        <f t="shared" ref="Q1934:AC1934" si="9760">countif($D1934,"*"&amp;Q$2&amp;"*")</f>
        <v>0</v>
      </c>
      <c r="R1934" s="200">
        <f t="shared" si="9760"/>
        <v>0</v>
      </c>
      <c r="S1934" s="200">
        <f t="shared" si="9760"/>
        <v>0</v>
      </c>
      <c r="T1934" s="200">
        <f t="shared" si="9760"/>
        <v>0</v>
      </c>
      <c r="U1934" s="200">
        <f t="shared" si="9760"/>
        <v>0</v>
      </c>
      <c r="V1934" s="200">
        <f t="shared" si="9760"/>
        <v>0</v>
      </c>
      <c r="W1934" s="200">
        <f t="shared" si="9760"/>
        <v>0</v>
      </c>
      <c r="X1934" s="200">
        <f t="shared" si="9760"/>
        <v>0</v>
      </c>
      <c r="Y1934" s="200">
        <f t="shared" si="9760"/>
        <v>0</v>
      </c>
      <c r="Z1934" s="200">
        <f t="shared" si="9760"/>
        <v>0</v>
      </c>
      <c r="AA1934" s="200">
        <f t="shared" si="9760"/>
        <v>0</v>
      </c>
      <c r="AB1934" s="200">
        <f t="shared" si="9760"/>
        <v>0</v>
      </c>
      <c r="AC1934" s="200">
        <f t="shared" si="9760"/>
        <v>0</v>
      </c>
      <c r="AD1934" s="200">
        <f t="shared" si="11"/>
        <v>0</v>
      </c>
      <c r="AE1934" s="200">
        <f t="shared" ref="AE1934:AG1934" si="9761">countif($D1934,"*"&amp;AE$2&amp;"*")</f>
        <v>0</v>
      </c>
      <c r="AF1934" s="200">
        <f t="shared" si="9761"/>
        <v>0</v>
      </c>
      <c r="AG1934" s="200">
        <f t="shared" si="9761"/>
        <v>0</v>
      </c>
      <c r="AH1934" s="171">
        <f t="shared" si="13"/>
        <v>0</v>
      </c>
      <c r="AI1934" s="200">
        <f t="shared" si="14"/>
        <v>0</v>
      </c>
      <c r="AJ1934" s="200">
        <f t="shared" si="9591"/>
        <v>0</v>
      </c>
      <c r="AK1934" s="201">
        <f t="shared" ref="AK1934:AS1934" si="9762">countif($D1934,"*"&amp;AK$2&amp;"*")</f>
        <v>0</v>
      </c>
      <c r="AL1934" s="201">
        <f t="shared" si="9762"/>
        <v>0</v>
      </c>
      <c r="AM1934" s="201">
        <f t="shared" si="9762"/>
        <v>0</v>
      </c>
      <c r="AN1934" s="201">
        <f t="shared" si="9762"/>
        <v>0</v>
      </c>
      <c r="AO1934" s="201">
        <f t="shared" si="9762"/>
        <v>0</v>
      </c>
      <c r="AP1934" s="201">
        <f t="shared" si="9762"/>
        <v>0</v>
      </c>
      <c r="AQ1934" s="201">
        <f t="shared" si="9762"/>
        <v>0</v>
      </c>
      <c r="AR1934" s="200">
        <f t="shared" si="9762"/>
        <v>0</v>
      </c>
      <c r="AS1934" s="200">
        <f t="shared" si="9762"/>
        <v>0</v>
      </c>
      <c r="AT1934" s="173">
        <v>0.0</v>
      </c>
      <c r="AU1934" s="200">
        <f t="shared" ref="AU1934:AX1934" si="9763">countif($D1934,"*"&amp;AU$2&amp;"*")</f>
        <v>0</v>
      </c>
      <c r="AV1934" s="200">
        <f t="shared" si="9763"/>
        <v>1</v>
      </c>
      <c r="AW1934" s="200">
        <f t="shared" si="9763"/>
        <v>0</v>
      </c>
      <c r="AX1934" s="200">
        <f t="shared" si="9763"/>
        <v>0</v>
      </c>
      <c r="AY1934" s="202">
        <v>0.0</v>
      </c>
      <c r="AZ1934" s="200"/>
      <c r="BA1934" s="171" t="str">
        <f t="shared" si="18"/>
        <v/>
      </c>
      <c r="BB1934" s="171" t="str">
        <f t="shared" si="19"/>
        <v>Code</v>
      </c>
      <c r="BC1934" s="171" t="str">
        <f t="shared" si="20"/>
        <v/>
      </c>
      <c r="BD1934" s="171" t="str">
        <f t="shared" si="21"/>
        <v/>
      </c>
      <c r="BE1934" s="171" t="str">
        <f t="shared" si="22"/>
        <v/>
      </c>
      <c r="BF1934" s="171" t="str">
        <f t="shared" si="23"/>
        <v>Code</v>
      </c>
    </row>
    <row r="1935">
      <c r="A1935" s="171">
        <f t="array" ref="A1935">XLOOKUP(C1935,FSE!A:A,FSE!C:C,"XXXXX",0,1)</f>
        <v>2018</v>
      </c>
      <c r="B1935" s="213" t="s">
        <v>5676</v>
      </c>
      <c r="C1935" s="214">
        <v>556.0</v>
      </c>
      <c r="D1935" s="215" t="s">
        <v>6516</v>
      </c>
      <c r="E1935" s="197" t="str">
        <f t="array" ref="E1935">XLOOKUP(C1935,FSE!A:A,FSE!Z:Z,"XXXXX",0,1)</f>
        <v>Publicly Available (2)</v>
      </c>
      <c r="F1935" s="213" t="s">
        <v>3394</v>
      </c>
      <c r="G1935" s="163" t="str">
        <f t="array" ref="G1935">IF(B1935="ICSE",IF(COUNTIFS(B:B,B1935,C:C,C1935)=XLOOKUP(C1935,ICSE!A:A,ICSE!AA:AA,"ERROR",0,1),"OK","ERROR"),IF(B1935="FSE",IF(COUNTIFS(B:B,B1935,C:C,C1935)=XLOOKUP(C1935,FSE!A:A,FSE!AA:AA,"ERROR",0,1),"OK","ERROR")))</f>
        <v>OK</v>
      </c>
      <c r="H1935" s="199">
        <f t="shared" ref="H1935:O1935" si="9764">countif($D1935,"*"&amp;H$2&amp;"*")</f>
        <v>0</v>
      </c>
      <c r="I1935" s="200">
        <f t="shared" si="9764"/>
        <v>0</v>
      </c>
      <c r="J1935" s="200">
        <f t="shared" si="9764"/>
        <v>0</v>
      </c>
      <c r="K1935" s="200">
        <f t="shared" si="9764"/>
        <v>0</v>
      </c>
      <c r="L1935" s="200">
        <f t="shared" si="9764"/>
        <v>0</v>
      </c>
      <c r="M1935" s="200">
        <f t="shared" si="9764"/>
        <v>0</v>
      </c>
      <c r="N1935" s="200">
        <f t="shared" si="9764"/>
        <v>0</v>
      </c>
      <c r="O1935" s="200">
        <f t="shared" si="9764"/>
        <v>0</v>
      </c>
      <c r="P1935" s="200">
        <f t="shared" si="9"/>
        <v>1</v>
      </c>
      <c r="Q1935" s="200">
        <f t="shared" ref="Q1935:AC1935" si="9765">countif($D1935,"*"&amp;Q$2&amp;"*")</f>
        <v>0</v>
      </c>
      <c r="R1935" s="200">
        <f t="shared" si="9765"/>
        <v>0</v>
      </c>
      <c r="S1935" s="200">
        <f t="shared" si="9765"/>
        <v>0</v>
      </c>
      <c r="T1935" s="200">
        <f t="shared" si="9765"/>
        <v>0</v>
      </c>
      <c r="U1935" s="200">
        <f t="shared" si="9765"/>
        <v>0</v>
      </c>
      <c r="V1935" s="200">
        <f t="shared" si="9765"/>
        <v>0</v>
      </c>
      <c r="W1935" s="200">
        <f t="shared" si="9765"/>
        <v>0</v>
      </c>
      <c r="X1935" s="200">
        <f t="shared" si="9765"/>
        <v>0</v>
      </c>
      <c r="Y1935" s="200">
        <f t="shared" si="9765"/>
        <v>0</v>
      </c>
      <c r="Z1935" s="200">
        <f t="shared" si="9765"/>
        <v>0</v>
      </c>
      <c r="AA1935" s="200">
        <f t="shared" si="9765"/>
        <v>0</v>
      </c>
      <c r="AB1935" s="200">
        <f t="shared" si="9765"/>
        <v>0</v>
      </c>
      <c r="AC1935" s="200">
        <f t="shared" si="9765"/>
        <v>0</v>
      </c>
      <c r="AD1935" s="200">
        <f t="shared" si="11"/>
        <v>0</v>
      </c>
      <c r="AE1935" s="200">
        <f t="shared" ref="AE1935:AG1935" si="9766">countif($D1935,"*"&amp;AE$2&amp;"*")</f>
        <v>0</v>
      </c>
      <c r="AF1935" s="200">
        <f t="shared" si="9766"/>
        <v>0</v>
      </c>
      <c r="AG1935" s="200">
        <f t="shared" si="9766"/>
        <v>0</v>
      </c>
      <c r="AH1935" s="171">
        <f t="shared" si="13"/>
        <v>0</v>
      </c>
      <c r="AI1935" s="200">
        <f t="shared" si="14"/>
        <v>0</v>
      </c>
      <c r="AJ1935" s="200">
        <f t="shared" si="9591"/>
        <v>0</v>
      </c>
      <c r="AK1935" s="201">
        <f t="shared" ref="AK1935:AS1935" si="9767">countif($D1935,"*"&amp;AK$2&amp;"*")</f>
        <v>0</v>
      </c>
      <c r="AL1935" s="201">
        <f t="shared" si="9767"/>
        <v>0</v>
      </c>
      <c r="AM1935" s="201">
        <f t="shared" si="9767"/>
        <v>0</v>
      </c>
      <c r="AN1935" s="201">
        <f t="shared" si="9767"/>
        <v>0</v>
      </c>
      <c r="AO1935" s="201">
        <f t="shared" si="9767"/>
        <v>0</v>
      </c>
      <c r="AP1935" s="201">
        <f t="shared" si="9767"/>
        <v>0</v>
      </c>
      <c r="AQ1935" s="201">
        <f t="shared" si="9767"/>
        <v>0</v>
      </c>
      <c r="AR1935" s="200">
        <f t="shared" si="9767"/>
        <v>0</v>
      </c>
      <c r="AS1935" s="200">
        <f t="shared" si="9767"/>
        <v>0</v>
      </c>
      <c r="AT1935" s="173">
        <v>0.0</v>
      </c>
      <c r="AU1935" s="200">
        <f t="shared" ref="AU1935:AX1935" si="9768">countif($D1935,"*"&amp;AU$2&amp;"*")</f>
        <v>0</v>
      </c>
      <c r="AV1935" s="200">
        <f t="shared" si="9768"/>
        <v>1</v>
      </c>
      <c r="AW1935" s="200">
        <f t="shared" si="9768"/>
        <v>0</v>
      </c>
      <c r="AX1935" s="200">
        <f t="shared" si="9768"/>
        <v>0</v>
      </c>
      <c r="AY1935" s="202">
        <v>0.0</v>
      </c>
      <c r="AZ1935" s="200"/>
      <c r="BA1935" s="171" t="str">
        <f t="shared" si="18"/>
        <v/>
      </c>
      <c r="BB1935" s="171" t="str">
        <f t="shared" si="19"/>
        <v>Code</v>
      </c>
      <c r="BC1935" s="171" t="str">
        <f t="shared" si="20"/>
        <v/>
      </c>
      <c r="BD1935" s="171" t="str">
        <f t="shared" si="21"/>
        <v/>
      </c>
      <c r="BE1935" s="171" t="str">
        <f t="shared" si="22"/>
        <v/>
      </c>
      <c r="BF1935" s="171" t="str">
        <f t="shared" si="23"/>
        <v>Code</v>
      </c>
    </row>
    <row r="1936">
      <c r="A1936" s="171">
        <f t="array" ref="A1936">XLOOKUP(C1936,FSE!A:A,FSE!C:C,"XXXXX",0,1)</f>
        <v>2018</v>
      </c>
      <c r="B1936" s="213" t="s">
        <v>5676</v>
      </c>
      <c r="C1936" s="214">
        <v>556.0</v>
      </c>
      <c r="D1936" s="215" t="s">
        <v>6517</v>
      </c>
      <c r="E1936" s="197" t="str">
        <f t="array" ref="E1936">XLOOKUP(C1936,FSE!A:A,FSE!Z:Z,"XXXXX",0,1)</f>
        <v>Publicly Available (2)</v>
      </c>
      <c r="F1936" s="213" t="s">
        <v>3394</v>
      </c>
      <c r="G1936" s="163" t="str">
        <f t="array" ref="G1936">IF(B1936="ICSE",IF(COUNTIFS(B:B,B1936,C:C,C1936)=XLOOKUP(C1936,ICSE!A:A,ICSE!AA:AA,"ERROR",0,1),"OK","ERROR"),IF(B1936="FSE",IF(COUNTIFS(B:B,B1936,C:C,C1936)=XLOOKUP(C1936,FSE!A:A,FSE!AA:AA,"ERROR",0,1),"OK","ERROR")))</f>
        <v>OK</v>
      </c>
      <c r="H1936" s="199">
        <f t="shared" ref="H1936:O1936" si="9769">countif($D1936,"*"&amp;H$2&amp;"*")</f>
        <v>0</v>
      </c>
      <c r="I1936" s="200">
        <f t="shared" si="9769"/>
        <v>0</v>
      </c>
      <c r="J1936" s="200">
        <f t="shared" si="9769"/>
        <v>0</v>
      </c>
      <c r="K1936" s="200">
        <f t="shared" si="9769"/>
        <v>0</v>
      </c>
      <c r="L1936" s="200">
        <f t="shared" si="9769"/>
        <v>0</v>
      </c>
      <c r="M1936" s="200">
        <f t="shared" si="9769"/>
        <v>0</v>
      </c>
      <c r="N1936" s="200">
        <f t="shared" si="9769"/>
        <v>0</v>
      </c>
      <c r="O1936" s="200">
        <f t="shared" si="9769"/>
        <v>0</v>
      </c>
      <c r="P1936" s="200">
        <f t="shared" si="9"/>
        <v>1</v>
      </c>
      <c r="Q1936" s="200">
        <f t="shared" ref="Q1936:AC1936" si="9770">countif($D1936,"*"&amp;Q$2&amp;"*")</f>
        <v>0</v>
      </c>
      <c r="R1936" s="200">
        <f t="shared" si="9770"/>
        <v>0</v>
      </c>
      <c r="S1936" s="200">
        <f t="shared" si="9770"/>
        <v>0</v>
      </c>
      <c r="T1936" s="200">
        <f t="shared" si="9770"/>
        <v>0</v>
      </c>
      <c r="U1936" s="200">
        <f t="shared" si="9770"/>
        <v>0</v>
      </c>
      <c r="V1936" s="200">
        <f t="shared" si="9770"/>
        <v>0</v>
      </c>
      <c r="W1936" s="200">
        <f t="shared" si="9770"/>
        <v>0</v>
      </c>
      <c r="X1936" s="200">
        <f t="shared" si="9770"/>
        <v>0</v>
      </c>
      <c r="Y1936" s="200">
        <f t="shared" si="9770"/>
        <v>0</v>
      </c>
      <c r="Z1936" s="200">
        <f t="shared" si="9770"/>
        <v>0</v>
      </c>
      <c r="AA1936" s="200">
        <f t="shared" si="9770"/>
        <v>0</v>
      </c>
      <c r="AB1936" s="200">
        <f t="shared" si="9770"/>
        <v>0</v>
      </c>
      <c r="AC1936" s="200">
        <f t="shared" si="9770"/>
        <v>0</v>
      </c>
      <c r="AD1936" s="200">
        <f t="shared" si="11"/>
        <v>0</v>
      </c>
      <c r="AE1936" s="200">
        <f t="shared" ref="AE1936:AG1936" si="9771">countif($D1936,"*"&amp;AE$2&amp;"*")</f>
        <v>0</v>
      </c>
      <c r="AF1936" s="200">
        <f t="shared" si="9771"/>
        <v>0</v>
      </c>
      <c r="AG1936" s="200">
        <f t="shared" si="9771"/>
        <v>0</v>
      </c>
      <c r="AH1936" s="171">
        <f t="shared" si="13"/>
        <v>0</v>
      </c>
      <c r="AI1936" s="200">
        <f t="shared" si="14"/>
        <v>0</v>
      </c>
      <c r="AJ1936" s="200">
        <f t="shared" si="9591"/>
        <v>0</v>
      </c>
      <c r="AK1936" s="201">
        <f t="shared" ref="AK1936:AS1936" si="9772">countif($D1936,"*"&amp;AK$2&amp;"*")</f>
        <v>0</v>
      </c>
      <c r="AL1936" s="201">
        <f t="shared" si="9772"/>
        <v>0</v>
      </c>
      <c r="AM1936" s="201">
        <f t="shared" si="9772"/>
        <v>0</v>
      </c>
      <c r="AN1936" s="201">
        <f t="shared" si="9772"/>
        <v>0</v>
      </c>
      <c r="AO1936" s="201">
        <f t="shared" si="9772"/>
        <v>0</v>
      </c>
      <c r="AP1936" s="201">
        <f t="shared" si="9772"/>
        <v>0</v>
      </c>
      <c r="AQ1936" s="201">
        <f t="shared" si="9772"/>
        <v>0</v>
      </c>
      <c r="AR1936" s="200">
        <f t="shared" si="9772"/>
        <v>0</v>
      </c>
      <c r="AS1936" s="200">
        <f t="shared" si="9772"/>
        <v>0</v>
      </c>
      <c r="AT1936" s="173">
        <v>0.0</v>
      </c>
      <c r="AU1936" s="200">
        <f t="shared" ref="AU1936:AX1936" si="9773">countif($D1936,"*"&amp;AU$2&amp;"*")</f>
        <v>0</v>
      </c>
      <c r="AV1936" s="200">
        <f t="shared" si="9773"/>
        <v>1</v>
      </c>
      <c r="AW1936" s="200">
        <f t="shared" si="9773"/>
        <v>0</v>
      </c>
      <c r="AX1936" s="200">
        <f t="shared" si="9773"/>
        <v>0</v>
      </c>
      <c r="AY1936" s="202">
        <v>0.0</v>
      </c>
      <c r="AZ1936" s="200"/>
      <c r="BA1936" s="171" t="str">
        <f t="shared" si="18"/>
        <v/>
      </c>
      <c r="BB1936" s="171" t="str">
        <f t="shared" si="19"/>
        <v>Code</v>
      </c>
      <c r="BC1936" s="171" t="str">
        <f t="shared" si="20"/>
        <v/>
      </c>
      <c r="BD1936" s="171" t="str">
        <f t="shared" si="21"/>
        <v/>
      </c>
      <c r="BE1936" s="171" t="str">
        <f t="shared" si="22"/>
        <v/>
      </c>
      <c r="BF1936" s="171" t="str">
        <f t="shared" si="23"/>
        <v>Code</v>
      </c>
    </row>
    <row r="1937">
      <c r="A1937" s="171">
        <f t="array" ref="A1937">XLOOKUP(C1937,FSE!A:A,FSE!C:C,"XXXXX",0,1)</f>
        <v>2018</v>
      </c>
      <c r="B1937" s="213" t="s">
        <v>5676</v>
      </c>
      <c r="C1937" s="214">
        <v>557.0</v>
      </c>
      <c r="D1937" s="217" t="s">
        <v>4245</v>
      </c>
      <c r="E1937" s="197" t="str">
        <f t="array" ref="E1937">XLOOKUP(C1937,FSE!A:A,FSE!Z:Z,"XXXXX",0,1)</f>
        <v>Publicly Available (1)</v>
      </c>
      <c r="F1937" s="213" t="s">
        <v>3394</v>
      </c>
      <c r="G1937" s="163" t="str">
        <f t="array" ref="G1937">IF(B1937="ICSE",IF(COUNTIFS(B:B,B1937,C:C,C1937)=XLOOKUP(C1937,ICSE!A:A,ICSE!AA:AA,"ERROR",0,1),"OK","ERROR"),IF(B1937="FSE",IF(COUNTIFS(B:B,B1937,C:C,C1937)=XLOOKUP(C1937,FSE!A:A,FSE!AA:AA,"ERROR",0,1),"OK","ERROR")))</f>
        <v>OK</v>
      </c>
      <c r="H1937" s="199">
        <f t="shared" ref="H1937:O1937" si="9774">countif($D1937,"*"&amp;H$2&amp;"*")</f>
        <v>0</v>
      </c>
      <c r="I1937" s="200">
        <f t="shared" si="9774"/>
        <v>0</v>
      </c>
      <c r="J1937" s="200">
        <f t="shared" si="9774"/>
        <v>0</v>
      </c>
      <c r="K1937" s="200">
        <f t="shared" si="9774"/>
        <v>0</v>
      </c>
      <c r="L1937" s="200">
        <f t="shared" si="9774"/>
        <v>0</v>
      </c>
      <c r="M1937" s="200">
        <f t="shared" si="9774"/>
        <v>0</v>
      </c>
      <c r="N1937" s="200">
        <f t="shared" si="9774"/>
        <v>0</v>
      </c>
      <c r="O1937" s="200">
        <f t="shared" si="9774"/>
        <v>0</v>
      </c>
      <c r="P1937" s="200">
        <f t="shared" si="9"/>
        <v>1</v>
      </c>
      <c r="Q1937" s="200">
        <f t="shared" ref="Q1937:AC1937" si="9775">countif($D1937,"*"&amp;Q$2&amp;"*")</f>
        <v>0</v>
      </c>
      <c r="R1937" s="200">
        <f t="shared" si="9775"/>
        <v>0</v>
      </c>
      <c r="S1937" s="200">
        <f t="shared" si="9775"/>
        <v>0</v>
      </c>
      <c r="T1937" s="200">
        <f t="shared" si="9775"/>
        <v>0</v>
      </c>
      <c r="U1937" s="200">
        <f t="shared" si="9775"/>
        <v>0</v>
      </c>
      <c r="V1937" s="200">
        <f t="shared" si="9775"/>
        <v>0</v>
      </c>
      <c r="W1937" s="200">
        <f t="shared" si="9775"/>
        <v>0</v>
      </c>
      <c r="X1937" s="200">
        <f t="shared" si="9775"/>
        <v>0</v>
      </c>
      <c r="Y1937" s="200">
        <f t="shared" si="9775"/>
        <v>0</v>
      </c>
      <c r="Z1937" s="200">
        <f t="shared" si="9775"/>
        <v>0</v>
      </c>
      <c r="AA1937" s="200">
        <f t="shared" si="9775"/>
        <v>0</v>
      </c>
      <c r="AB1937" s="200">
        <f t="shared" si="9775"/>
        <v>0</v>
      </c>
      <c r="AC1937" s="200">
        <f t="shared" si="9775"/>
        <v>0</v>
      </c>
      <c r="AD1937" s="200">
        <f t="shared" si="11"/>
        <v>0</v>
      </c>
      <c r="AE1937" s="200">
        <f t="shared" ref="AE1937:AG1937" si="9776">countif($D1937,"*"&amp;AE$2&amp;"*")</f>
        <v>0</v>
      </c>
      <c r="AF1937" s="200">
        <f t="shared" si="9776"/>
        <v>0</v>
      </c>
      <c r="AG1937" s="200">
        <f t="shared" si="9776"/>
        <v>0</v>
      </c>
      <c r="AH1937" s="171">
        <f t="shared" si="13"/>
        <v>0</v>
      </c>
      <c r="AI1937" s="200">
        <f t="shared" si="14"/>
        <v>0</v>
      </c>
      <c r="AJ1937" s="200">
        <f t="shared" si="9591"/>
        <v>0</v>
      </c>
      <c r="AK1937" s="201">
        <f t="shared" ref="AK1937:AS1937" si="9777">countif($D1937,"*"&amp;AK$2&amp;"*")</f>
        <v>0</v>
      </c>
      <c r="AL1937" s="201">
        <f t="shared" si="9777"/>
        <v>0</v>
      </c>
      <c r="AM1937" s="201">
        <f t="shared" si="9777"/>
        <v>0</v>
      </c>
      <c r="AN1937" s="201">
        <f t="shared" si="9777"/>
        <v>0</v>
      </c>
      <c r="AO1937" s="201">
        <f t="shared" si="9777"/>
        <v>0</v>
      </c>
      <c r="AP1937" s="201">
        <f t="shared" si="9777"/>
        <v>0</v>
      </c>
      <c r="AQ1937" s="201">
        <f t="shared" si="9777"/>
        <v>0</v>
      </c>
      <c r="AR1937" s="200">
        <f t="shared" si="9777"/>
        <v>0</v>
      </c>
      <c r="AS1937" s="200">
        <f t="shared" si="9777"/>
        <v>0</v>
      </c>
      <c r="AT1937" s="173">
        <v>0.0</v>
      </c>
      <c r="AU1937" s="200">
        <f t="shared" ref="AU1937:AX1937" si="9778">countif($D1937,"*"&amp;AU$2&amp;"*")</f>
        <v>0</v>
      </c>
      <c r="AV1937" s="200">
        <f t="shared" si="9778"/>
        <v>1</v>
      </c>
      <c r="AW1937" s="200">
        <f t="shared" si="9778"/>
        <v>0</v>
      </c>
      <c r="AX1937" s="200">
        <f t="shared" si="9778"/>
        <v>0</v>
      </c>
      <c r="AY1937" s="202">
        <v>0.0</v>
      </c>
      <c r="AZ1937" s="200"/>
      <c r="BA1937" s="171" t="str">
        <f t="shared" si="18"/>
        <v/>
      </c>
      <c r="BB1937" s="171" t="str">
        <f t="shared" si="19"/>
        <v>Code</v>
      </c>
      <c r="BC1937" s="171" t="str">
        <f t="shared" si="20"/>
        <v/>
      </c>
      <c r="BD1937" s="171" t="str">
        <f t="shared" si="21"/>
        <v/>
      </c>
      <c r="BE1937" s="171" t="str">
        <f t="shared" si="22"/>
        <v/>
      </c>
      <c r="BF1937" s="171" t="str">
        <f t="shared" si="23"/>
        <v>Code</v>
      </c>
    </row>
    <row r="1938">
      <c r="A1938" s="171">
        <f t="array" ref="A1938">XLOOKUP(C1938,FSE!A:A,FSE!C:C,"XXXXX",0,1)</f>
        <v>2018</v>
      </c>
      <c r="B1938" s="213" t="s">
        <v>5676</v>
      </c>
      <c r="C1938" s="214">
        <v>558.0</v>
      </c>
      <c r="D1938" s="215" t="s">
        <v>4247</v>
      </c>
      <c r="E1938" s="197" t="str">
        <f t="array" ref="E1938">XLOOKUP(C1938,FSE!A:A,FSE!Z:Z,"XXXXX",0,1)</f>
        <v>Publicly Available (1)</v>
      </c>
      <c r="F1938" s="213" t="s">
        <v>3394</v>
      </c>
      <c r="G1938" s="163" t="str">
        <f t="array" ref="G1938">IF(B1938="ICSE",IF(COUNTIFS(B:B,B1938,C:C,C1938)=XLOOKUP(C1938,ICSE!A:A,ICSE!AA:AA,"ERROR",0,1),"OK","ERROR"),IF(B1938="FSE",IF(COUNTIFS(B:B,B1938,C:C,C1938)=XLOOKUP(C1938,FSE!A:A,FSE!AA:AA,"ERROR",0,1),"OK","ERROR")))</f>
        <v>OK</v>
      </c>
      <c r="H1938" s="199">
        <f t="shared" ref="H1938:O1938" si="9779">countif($D1938,"*"&amp;H$2&amp;"*")</f>
        <v>0</v>
      </c>
      <c r="I1938" s="200">
        <f t="shared" si="9779"/>
        <v>0</v>
      </c>
      <c r="J1938" s="200">
        <f t="shared" si="9779"/>
        <v>0</v>
      </c>
      <c r="K1938" s="200">
        <f t="shared" si="9779"/>
        <v>0</v>
      </c>
      <c r="L1938" s="200">
        <f t="shared" si="9779"/>
        <v>0</v>
      </c>
      <c r="M1938" s="200">
        <f t="shared" si="9779"/>
        <v>0</v>
      </c>
      <c r="N1938" s="200">
        <f t="shared" si="9779"/>
        <v>0</v>
      </c>
      <c r="O1938" s="200">
        <f t="shared" si="9779"/>
        <v>0</v>
      </c>
      <c r="P1938" s="200">
        <f t="shared" si="9"/>
        <v>1</v>
      </c>
      <c r="Q1938" s="200">
        <f t="shared" ref="Q1938:AC1938" si="9780">countif($D1938,"*"&amp;Q$2&amp;"*")</f>
        <v>0</v>
      </c>
      <c r="R1938" s="200">
        <f t="shared" si="9780"/>
        <v>0</v>
      </c>
      <c r="S1938" s="200">
        <f t="shared" si="9780"/>
        <v>0</v>
      </c>
      <c r="T1938" s="200">
        <f t="shared" si="9780"/>
        <v>0</v>
      </c>
      <c r="U1938" s="200">
        <f t="shared" si="9780"/>
        <v>0</v>
      </c>
      <c r="V1938" s="200">
        <f t="shared" si="9780"/>
        <v>0</v>
      </c>
      <c r="W1938" s="200">
        <f t="shared" si="9780"/>
        <v>0</v>
      </c>
      <c r="X1938" s="200">
        <f t="shared" si="9780"/>
        <v>0</v>
      </c>
      <c r="Y1938" s="200">
        <f t="shared" si="9780"/>
        <v>0</v>
      </c>
      <c r="Z1938" s="200">
        <f t="shared" si="9780"/>
        <v>0</v>
      </c>
      <c r="AA1938" s="200">
        <f t="shared" si="9780"/>
        <v>0</v>
      </c>
      <c r="AB1938" s="200">
        <f t="shared" si="9780"/>
        <v>0</v>
      </c>
      <c r="AC1938" s="200">
        <f t="shared" si="9780"/>
        <v>0</v>
      </c>
      <c r="AD1938" s="200">
        <f t="shared" si="11"/>
        <v>0</v>
      </c>
      <c r="AE1938" s="200">
        <f t="shared" ref="AE1938:AG1938" si="9781">countif($D1938,"*"&amp;AE$2&amp;"*")</f>
        <v>0</v>
      </c>
      <c r="AF1938" s="200">
        <f t="shared" si="9781"/>
        <v>0</v>
      </c>
      <c r="AG1938" s="200">
        <f t="shared" si="9781"/>
        <v>0</v>
      </c>
      <c r="AH1938" s="171">
        <f t="shared" si="13"/>
        <v>0</v>
      </c>
      <c r="AI1938" s="200">
        <f t="shared" si="14"/>
        <v>0</v>
      </c>
      <c r="AJ1938" s="200">
        <f t="shared" si="9591"/>
        <v>0</v>
      </c>
      <c r="AK1938" s="201">
        <f t="shared" ref="AK1938:AS1938" si="9782">countif($D1938,"*"&amp;AK$2&amp;"*")</f>
        <v>0</v>
      </c>
      <c r="AL1938" s="201">
        <f t="shared" si="9782"/>
        <v>0</v>
      </c>
      <c r="AM1938" s="201">
        <f t="shared" si="9782"/>
        <v>0</v>
      </c>
      <c r="AN1938" s="201">
        <f t="shared" si="9782"/>
        <v>0</v>
      </c>
      <c r="AO1938" s="201">
        <f t="shared" si="9782"/>
        <v>0</v>
      </c>
      <c r="AP1938" s="201">
        <f t="shared" si="9782"/>
        <v>0</v>
      </c>
      <c r="AQ1938" s="201">
        <f t="shared" si="9782"/>
        <v>0</v>
      </c>
      <c r="AR1938" s="200">
        <f t="shared" si="9782"/>
        <v>0</v>
      </c>
      <c r="AS1938" s="200">
        <f t="shared" si="9782"/>
        <v>0</v>
      </c>
      <c r="AT1938" s="173">
        <v>0.0</v>
      </c>
      <c r="AU1938" s="200">
        <f t="shared" ref="AU1938:AX1938" si="9783">countif($D1938,"*"&amp;AU$2&amp;"*")</f>
        <v>0</v>
      </c>
      <c r="AV1938" s="200">
        <f t="shared" si="9783"/>
        <v>1</v>
      </c>
      <c r="AW1938" s="200">
        <f t="shared" si="9783"/>
        <v>0</v>
      </c>
      <c r="AX1938" s="200">
        <f t="shared" si="9783"/>
        <v>0</v>
      </c>
      <c r="AY1938" s="202">
        <v>0.0</v>
      </c>
      <c r="AZ1938" s="200"/>
      <c r="BA1938" s="171" t="str">
        <f t="shared" si="18"/>
        <v/>
      </c>
      <c r="BB1938" s="171" t="str">
        <f t="shared" si="19"/>
        <v>Code</v>
      </c>
      <c r="BC1938" s="171" t="str">
        <f t="shared" si="20"/>
        <v/>
      </c>
      <c r="BD1938" s="171" t="str">
        <f t="shared" si="21"/>
        <v/>
      </c>
      <c r="BE1938" s="171" t="str">
        <f t="shared" si="22"/>
        <v/>
      </c>
      <c r="BF1938" s="171" t="str">
        <f t="shared" si="23"/>
        <v>Code</v>
      </c>
    </row>
    <row r="1939">
      <c r="A1939" s="171">
        <f t="array" ref="A1939">XLOOKUP(C1939,FSE!A:A,FSE!C:C,"XXXXX",0,1)</f>
        <v>2018</v>
      </c>
      <c r="B1939" s="213" t="s">
        <v>5676</v>
      </c>
      <c r="C1939" s="214">
        <v>559.0</v>
      </c>
      <c r="D1939" s="215" t="s">
        <v>4249</v>
      </c>
      <c r="E1939" s="197" t="str">
        <f t="array" ref="E1939">XLOOKUP(C1939,FSE!A:A,FSE!Z:Z,"XXXXX",0,1)</f>
        <v>Publicly Available (1)</v>
      </c>
      <c r="F1939" s="213" t="s">
        <v>3394</v>
      </c>
      <c r="G1939" s="163" t="str">
        <f t="array" ref="G1939">IF(B1939="ICSE",IF(COUNTIFS(B:B,B1939,C:C,C1939)=XLOOKUP(C1939,ICSE!A:A,ICSE!AA:AA,"ERROR",0,1),"OK","ERROR"),IF(B1939="FSE",IF(COUNTIFS(B:B,B1939,C:C,C1939)=XLOOKUP(C1939,FSE!A:A,FSE!AA:AA,"ERROR",0,1),"OK","ERROR")))</f>
        <v>OK</v>
      </c>
      <c r="H1939" s="199">
        <f t="shared" ref="H1939:O1939" si="9784">countif($D1939,"*"&amp;H$2&amp;"*")</f>
        <v>0</v>
      </c>
      <c r="I1939" s="200">
        <f t="shared" si="9784"/>
        <v>0</v>
      </c>
      <c r="J1939" s="200">
        <f t="shared" si="9784"/>
        <v>0</v>
      </c>
      <c r="K1939" s="200">
        <f t="shared" si="9784"/>
        <v>0</v>
      </c>
      <c r="L1939" s="200">
        <f t="shared" si="9784"/>
        <v>0</v>
      </c>
      <c r="M1939" s="200">
        <f t="shared" si="9784"/>
        <v>0</v>
      </c>
      <c r="N1939" s="200">
        <f t="shared" si="9784"/>
        <v>0</v>
      </c>
      <c r="O1939" s="200">
        <f t="shared" si="9784"/>
        <v>0</v>
      </c>
      <c r="P1939" s="200">
        <f t="shared" si="9"/>
        <v>1</v>
      </c>
      <c r="Q1939" s="200">
        <f t="shared" ref="Q1939:AC1939" si="9785">countif($D1939,"*"&amp;Q$2&amp;"*")</f>
        <v>0</v>
      </c>
      <c r="R1939" s="200">
        <f t="shared" si="9785"/>
        <v>0</v>
      </c>
      <c r="S1939" s="200">
        <f t="shared" si="9785"/>
        <v>0</v>
      </c>
      <c r="T1939" s="200">
        <f t="shared" si="9785"/>
        <v>0</v>
      </c>
      <c r="U1939" s="200">
        <f t="shared" si="9785"/>
        <v>0</v>
      </c>
      <c r="V1939" s="200">
        <f t="shared" si="9785"/>
        <v>0</v>
      </c>
      <c r="W1939" s="200">
        <f t="shared" si="9785"/>
        <v>0</v>
      </c>
      <c r="X1939" s="200">
        <f t="shared" si="9785"/>
        <v>0</v>
      </c>
      <c r="Y1939" s="200">
        <f t="shared" si="9785"/>
        <v>0</v>
      </c>
      <c r="Z1939" s="200">
        <f t="shared" si="9785"/>
        <v>0</v>
      </c>
      <c r="AA1939" s="200">
        <f t="shared" si="9785"/>
        <v>0</v>
      </c>
      <c r="AB1939" s="200">
        <f t="shared" si="9785"/>
        <v>0</v>
      </c>
      <c r="AC1939" s="200">
        <f t="shared" si="9785"/>
        <v>0</v>
      </c>
      <c r="AD1939" s="200">
        <f t="shared" si="11"/>
        <v>0</v>
      </c>
      <c r="AE1939" s="200">
        <f t="shared" ref="AE1939:AG1939" si="9786">countif($D1939,"*"&amp;AE$2&amp;"*")</f>
        <v>0</v>
      </c>
      <c r="AF1939" s="200">
        <f t="shared" si="9786"/>
        <v>0</v>
      </c>
      <c r="AG1939" s="200">
        <f t="shared" si="9786"/>
        <v>0</v>
      </c>
      <c r="AH1939" s="171">
        <f t="shared" si="13"/>
        <v>0</v>
      </c>
      <c r="AI1939" s="200">
        <f t="shared" si="14"/>
        <v>0</v>
      </c>
      <c r="AJ1939" s="200">
        <f t="shared" si="9591"/>
        <v>0</v>
      </c>
      <c r="AK1939" s="201">
        <f t="shared" ref="AK1939:AS1939" si="9787">countif($D1939,"*"&amp;AK$2&amp;"*")</f>
        <v>0</v>
      </c>
      <c r="AL1939" s="201">
        <f t="shared" si="9787"/>
        <v>0</v>
      </c>
      <c r="AM1939" s="201">
        <f t="shared" si="9787"/>
        <v>0</v>
      </c>
      <c r="AN1939" s="201">
        <f t="shared" si="9787"/>
        <v>0</v>
      </c>
      <c r="AO1939" s="201">
        <f t="shared" si="9787"/>
        <v>0</v>
      </c>
      <c r="AP1939" s="201">
        <f t="shared" si="9787"/>
        <v>0</v>
      </c>
      <c r="AQ1939" s="201">
        <f t="shared" si="9787"/>
        <v>0</v>
      </c>
      <c r="AR1939" s="200">
        <f t="shared" si="9787"/>
        <v>0</v>
      </c>
      <c r="AS1939" s="200">
        <f t="shared" si="9787"/>
        <v>0</v>
      </c>
      <c r="AT1939" s="173">
        <v>0.0</v>
      </c>
      <c r="AU1939" s="200">
        <f t="shared" ref="AU1939:AX1939" si="9788">countif($D1939,"*"&amp;AU$2&amp;"*")</f>
        <v>0</v>
      </c>
      <c r="AV1939" s="200">
        <f t="shared" si="9788"/>
        <v>1</v>
      </c>
      <c r="AW1939" s="200">
        <f t="shared" si="9788"/>
        <v>0</v>
      </c>
      <c r="AX1939" s="200">
        <f t="shared" si="9788"/>
        <v>0</v>
      </c>
      <c r="AY1939" s="202">
        <v>0.0</v>
      </c>
      <c r="AZ1939" s="200"/>
      <c r="BA1939" s="171" t="str">
        <f t="shared" si="18"/>
        <v/>
      </c>
      <c r="BB1939" s="171" t="str">
        <f t="shared" si="19"/>
        <v>Code</v>
      </c>
      <c r="BC1939" s="171" t="str">
        <f t="shared" si="20"/>
        <v/>
      </c>
      <c r="BD1939" s="171" t="str">
        <f t="shared" si="21"/>
        <v/>
      </c>
      <c r="BE1939" s="171" t="str">
        <f t="shared" si="22"/>
        <v/>
      </c>
      <c r="BF1939" s="171" t="str">
        <f t="shared" si="23"/>
        <v>Code</v>
      </c>
    </row>
    <row r="1940">
      <c r="A1940" s="171">
        <f t="array" ref="A1940">XLOOKUP(C1940,FSE!A:A,FSE!C:C,"XXXXX",0,1)</f>
        <v>2017</v>
      </c>
      <c r="B1940" s="213" t="s">
        <v>5676</v>
      </c>
      <c r="C1940" s="214">
        <v>560.0</v>
      </c>
      <c r="D1940" s="215" t="s">
        <v>6518</v>
      </c>
      <c r="E1940" s="197" t="str">
        <f t="array" ref="E1940">XLOOKUP(C1940,FSE!A:A,FSE!Z:Z,"XXXXX",0,1)</f>
        <v>Publicly Available (1)
Restrict Access (2)</v>
      </c>
      <c r="F1940" s="213" t="s">
        <v>3394</v>
      </c>
      <c r="G1940" s="163" t="str">
        <f t="array" ref="G1940">IF(B1940="ICSE",IF(COUNTIFS(B:B,B1940,C:C,C1940)=XLOOKUP(C1940,ICSE!A:A,ICSE!AA:AA,"ERROR",0,1),"OK","ERROR"),IF(B1940="FSE",IF(COUNTIFS(B:B,B1940,C:C,C1940)=XLOOKUP(C1940,FSE!A:A,FSE!AA:AA,"ERROR",0,1),"OK","ERROR")))</f>
        <v>OK</v>
      </c>
      <c r="H1940" s="199">
        <f t="shared" ref="H1940:O1940" si="9789">countif($D1940,"*"&amp;H$2&amp;"*")</f>
        <v>0</v>
      </c>
      <c r="I1940" s="200">
        <f t="shared" si="9789"/>
        <v>0</v>
      </c>
      <c r="J1940" s="200">
        <f t="shared" si="9789"/>
        <v>0</v>
      </c>
      <c r="K1940" s="200">
        <f t="shared" si="9789"/>
        <v>0</v>
      </c>
      <c r="L1940" s="200">
        <f t="shared" si="9789"/>
        <v>0</v>
      </c>
      <c r="M1940" s="200">
        <f t="shared" si="9789"/>
        <v>0</v>
      </c>
      <c r="N1940" s="200">
        <f t="shared" si="9789"/>
        <v>0</v>
      </c>
      <c r="O1940" s="200">
        <f t="shared" si="9789"/>
        <v>0</v>
      </c>
      <c r="P1940" s="200">
        <f t="shared" si="9"/>
        <v>1</v>
      </c>
      <c r="Q1940" s="200">
        <f t="shared" ref="Q1940:AC1940" si="9790">countif($D1940,"*"&amp;Q$2&amp;"*")</f>
        <v>0</v>
      </c>
      <c r="R1940" s="200">
        <f t="shared" si="9790"/>
        <v>0</v>
      </c>
      <c r="S1940" s="200">
        <f t="shared" si="9790"/>
        <v>0</v>
      </c>
      <c r="T1940" s="200">
        <f t="shared" si="9790"/>
        <v>0</v>
      </c>
      <c r="U1940" s="200">
        <f t="shared" si="9790"/>
        <v>0</v>
      </c>
      <c r="V1940" s="200">
        <f t="shared" si="9790"/>
        <v>0</v>
      </c>
      <c r="W1940" s="200">
        <f t="shared" si="9790"/>
        <v>0</v>
      </c>
      <c r="X1940" s="200">
        <f t="shared" si="9790"/>
        <v>0</v>
      </c>
      <c r="Y1940" s="200">
        <f t="shared" si="9790"/>
        <v>0</v>
      </c>
      <c r="Z1940" s="200">
        <f t="shared" si="9790"/>
        <v>0</v>
      </c>
      <c r="AA1940" s="200">
        <f t="shared" si="9790"/>
        <v>0</v>
      </c>
      <c r="AB1940" s="200">
        <f t="shared" si="9790"/>
        <v>0</v>
      </c>
      <c r="AC1940" s="200">
        <f t="shared" si="9790"/>
        <v>0</v>
      </c>
      <c r="AD1940" s="200">
        <f t="shared" si="11"/>
        <v>0</v>
      </c>
      <c r="AE1940" s="200">
        <f t="shared" ref="AE1940:AG1940" si="9791">countif($D1940,"*"&amp;AE$2&amp;"*")</f>
        <v>0</v>
      </c>
      <c r="AF1940" s="200">
        <f t="shared" si="9791"/>
        <v>0</v>
      </c>
      <c r="AG1940" s="200">
        <f t="shared" si="9791"/>
        <v>0</v>
      </c>
      <c r="AH1940" s="171">
        <f t="shared" si="13"/>
        <v>0</v>
      </c>
      <c r="AI1940" s="200">
        <f t="shared" si="14"/>
        <v>0</v>
      </c>
      <c r="AJ1940" s="200">
        <f t="shared" si="9591"/>
        <v>0</v>
      </c>
      <c r="AK1940" s="201">
        <f t="shared" ref="AK1940:AS1940" si="9792">countif($D1940,"*"&amp;AK$2&amp;"*")</f>
        <v>0</v>
      </c>
      <c r="AL1940" s="201">
        <f t="shared" si="9792"/>
        <v>0</v>
      </c>
      <c r="AM1940" s="201">
        <f t="shared" si="9792"/>
        <v>0</v>
      </c>
      <c r="AN1940" s="201">
        <f t="shared" si="9792"/>
        <v>0</v>
      </c>
      <c r="AO1940" s="201">
        <f t="shared" si="9792"/>
        <v>0</v>
      </c>
      <c r="AP1940" s="201">
        <f t="shared" si="9792"/>
        <v>0</v>
      </c>
      <c r="AQ1940" s="201">
        <f t="shared" si="9792"/>
        <v>0</v>
      </c>
      <c r="AR1940" s="200">
        <f t="shared" si="9792"/>
        <v>0</v>
      </c>
      <c r="AS1940" s="200">
        <f t="shared" si="9792"/>
        <v>0</v>
      </c>
      <c r="AT1940" s="173">
        <v>0.0</v>
      </c>
      <c r="AU1940" s="200">
        <f t="shared" ref="AU1940:AX1940" si="9793">countif($D1940,"*"&amp;AU$2&amp;"*")</f>
        <v>0</v>
      </c>
      <c r="AV1940" s="200">
        <f t="shared" si="9793"/>
        <v>1</v>
      </c>
      <c r="AW1940" s="200">
        <f t="shared" si="9793"/>
        <v>0</v>
      </c>
      <c r="AX1940" s="200">
        <f t="shared" si="9793"/>
        <v>0</v>
      </c>
      <c r="AY1940" s="202">
        <v>0.0</v>
      </c>
      <c r="AZ1940" s="200"/>
      <c r="BA1940" s="171" t="str">
        <f t="shared" si="18"/>
        <v/>
      </c>
      <c r="BB1940" s="171" t="str">
        <f t="shared" si="19"/>
        <v>Code</v>
      </c>
      <c r="BC1940" s="171" t="str">
        <f t="shared" si="20"/>
        <v/>
      </c>
      <c r="BD1940" s="171" t="str">
        <f t="shared" si="21"/>
        <v/>
      </c>
      <c r="BE1940" s="171" t="str">
        <f t="shared" si="22"/>
        <v/>
      </c>
      <c r="BF1940" s="171" t="str">
        <f t="shared" si="23"/>
        <v>Code</v>
      </c>
    </row>
    <row r="1941">
      <c r="A1941" s="213">
        <f t="array" ref="A1941">XLOOKUP(C1941,FSE!A:A,FSE!C:C,"XXXXX",0,1)</f>
        <v>2017</v>
      </c>
      <c r="B1941" s="213" t="s">
        <v>5676</v>
      </c>
      <c r="C1941" s="220">
        <v>560.0</v>
      </c>
      <c r="D1941" s="217" t="s">
        <v>6519</v>
      </c>
      <c r="E1941" s="221" t="str">
        <f t="array" ref="E1941">XLOOKUP(C1941,FSE!A:A,FSE!Z:Z,"XXXXX",0,1)</f>
        <v>Publicly Available (1)
Restrict Access (2)</v>
      </c>
      <c r="F1941" s="218" t="s">
        <v>3396</v>
      </c>
      <c r="G1941" s="163" t="str">
        <f t="array" ref="G1941">IF(B1941="ICSE",IF(COUNTIFS(B:B,B1941,C:C,C1941)=XLOOKUP(C1941,ICSE!A:A,ICSE!AA:AA,"ERROR",0,1),"OK","ERROR"),IF(B1941="FSE",IF(COUNTIFS(B:B,B1941,C:C,C1941)=XLOOKUP(C1941,FSE!A:A,FSE!AA:AA,"ERROR",0,1),"OK","ERROR")))</f>
        <v>OK</v>
      </c>
      <c r="H1941" s="199">
        <f t="shared" ref="H1941:O1941" si="9794">countif($D1941,"*"&amp;H$2&amp;"*")</f>
        <v>0</v>
      </c>
      <c r="I1941" s="200">
        <f t="shared" si="9794"/>
        <v>0</v>
      </c>
      <c r="J1941" s="200">
        <f t="shared" si="9794"/>
        <v>0</v>
      </c>
      <c r="K1941" s="200">
        <f t="shared" si="9794"/>
        <v>0</v>
      </c>
      <c r="L1941" s="200">
        <f t="shared" si="9794"/>
        <v>0</v>
      </c>
      <c r="M1941" s="200">
        <f t="shared" si="9794"/>
        <v>0</v>
      </c>
      <c r="N1941" s="200">
        <f t="shared" si="9794"/>
        <v>0</v>
      </c>
      <c r="O1941" s="200">
        <f t="shared" si="9794"/>
        <v>0</v>
      </c>
      <c r="P1941" s="200">
        <f t="shared" si="9"/>
        <v>0</v>
      </c>
      <c r="Q1941" s="200">
        <f t="shared" ref="Q1941:AC1941" si="9795">countif($D1941,"*"&amp;Q$2&amp;"*")</f>
        <v>0</v>
      </c>
      <c r="R1941" s="200">
        <f t="shared" si="9795"/>
        <v>0</v>
      </c>
      <c r="S1941" s="200">
        <f t="shared" si="9795"/>
        <v>0</v>
      </c>
      <c r="T1941" s="200">
        <f t="shared" si="9795"/>
        <v>0</v>
      </c>
      <c r="U1941" s="200">
        <f t="shared" si="9795"/>
        <v>0</v>
      </c>
      <c r="V1941" s="200">
        <f t="shared" si="9795"/>
        <v>1</v>
      </c>
      <c r="W1941" s="200">
        <f t="shared" si="9795"/>
        <v>0</v>
      </c>
      <c r="X1941" s="200">
        <f t="shared" si="9795"/>
        <v>0</v>
      </c>
      <c r="Y1941" s="200">
        <f t="shared" si="9795"/>
        <v>0</v>
      </c>
      <c r="Z1941" s="200">
        <f t="shared" si="9795"/>
        <v>0</v>
      </c>
      <c r="AA1941" s="200">
        <f t="shared" si="9795"/>
        <v>0</v>
      </c>
      <c r="AB1941" s="200">
        <f t="shared" si="9795"/>
        <v>0</v>
      </c>
      <c r="AC1941" s="200">
        <f t="shared" si="9795"/>
        <v>0</v>
      </c>
      <c r="AD1941" s="222">
        <f t="shared" si="11"/>
        <v>0</v>
      </c>
      <c r="AE1941" s="200">
        <f t="shared" ref="AE1941:AG1941" si="9796">countif($D1941,"*"&amp;AE$2&amp;"*")</f>
        <v>0</v>
      </c>
      <c r="AF1941" s="200">
        <f t="shared" si="9796"/>
        <v>0</v>
      </c>
      <c r="AG1941" s="200">
        <f t="shared" si="9796"/>
        <v>0</v>
      </c>
      <c r="AH1941" s="171">
        <f t="shared" si="13"/>
        <v>0</v>
      </c>
      <c r="AI1941" s="200">
        <f t="shared" si="14"/>
        <v>0</v>
      </c>
      <c r="AJ1941" s="200">
        <f t="shared" si="9591"/>
        <v>1</v>
      </c>
      <c r="AK1941" s="201">
        <f t="shared" ref="AK1941:AS1941" si="9797">countif($D1941,"*"&amp;AK$2&amp;"*")</f>
        <v>0</v>
      </c>
      <c r="AL1941" s="201">
        <f t="shared" si="9797"/>
        <v>1</v>
      </c>
      <c r="AM1941" s="201">
        <f t="shared" si="9797"/>
        <v>0</v>
      </c>
      <c r="AN1941" s="201">
        <f t="shared" si="9797"/>
        <v>0</v>
      </c>
      <c r="AO1941" s="201">
        <f t="shared" si="9797"/>
        <v>0</v>
      </c>
      <c r="AP1941" s="201">
        <f t="shared" si="9797"/>
        <v>0</v>
      </c>
      <c r="AQ1941" s="201">
        <f t="shared" si="9797"/>
        <v>0</v>
      </c>
      <c r="AR1941" s="222">
        <f t="shared" si="9797"/>
        <v>0</v>
      </c>
      <c r="AS1941" s="200">
        <f t="shared" si="9797"/>
        <v>1</v>
      </c>
      <c r="AT1941" s="223">
        <v>0.0</v>
      </c>
      <c r="AU1941" s="200">
        <f t="shared" ref="AU1941:AX1941" si="9798">countif($D1941,"*"&amp;AU$2&amp;"*")</f>
        <v>0</v>
      </c>
      <c r="AV1941" s="200">
        <f t="shared" si="9798"/>
        <v>0</v>
      </c>
      <c r="AW1941" s="200">
        <f t="shared" si="9798"/>
        <v>0</v>
      </c>
      <c r="AX1941" s="200">
        <f t="shared" si="9798"/>
        <v>0</v>
      </c>
      <c r="AY1941" s="202">
        <v>0.0</v>
      </c>
      <c r="AZ1941" s="200"/>
      <c r="BA1941" s="171" t="str">
        <f t="shared" si="18"/>
        <v/>
      </c>
      <c r="BB1941" s="171" t="str">
        <f t="shared" si="19"/>
        <v/>
      </c>
      <c r="BC1941" s="171" t="str">
        <f t="shared" si="20"/>
        <v>General-purpose</v>
      </c>
      <c r="BD1941" s="171" t="str">
        <f t="shared" si="21"/>
        <v/>
      </c>
      <c r="BE1941" s="171" t="str">
        <f t="shared" si="22"/>
        <v/>
      </c>
      <c r="BF1941" s="171" t="str">
        <f t="shared" si="23"/>
        <v>General-purpose</v>
      </c>
    </row>
    <row r="1942">
      <c r="A1942" s="213">
        <f t="array" ref="A1942">XLOOKUP(C1942,FSE!A:A,FSE!C:C,"XXXXX",0,1)</f>
        <v>2017</v>
      </c>
      <c r="B1942" s="213" t="s">
        <v>5676</v>
      </c>
      <c r="C1942" s="220">
        <v>560.0</v>
      </c>
      <c r="D1942" s="217" t="s">
        <v>6520</v>
      </c>
      <c r="E1942" s="221" t="str">
        <f t="array" ref="E1942">XLOOKUP(C1942,FSE!A:A,FSE!Z:Z,"XXXXX",0,1)</f>
        <v>Publicly Available (1)
Restrict Access (2)</v>
      </c>
      <c r="F1942" s="218" t="s">
        <v>3396</v>
      </c>
      <c r="G1942" s="163" t="str">
        <f t="array" ref="G1942">IF(B1942="ICSE",IF(COUNTIFS(B:B,B1942,C:C,C1942)=XLOOKUP(C1942,ICSE!A:A,ICSE!AA:AA,"ERROR",0,1),"OK","ERROR"),IF(B1942="FSE",IF(COUNTIFS(B:B,B1942,C:C,C1942)=XLOOKUP(C1942,FSE!A:A,FSE!AA:AA,"ERROR",0,1),"OK","ERROR")))</f>
        <v>OK</v>
      </c>
      <c r="H1942" s="199">
        <f t="shared" ref="H1942:O1942" si="9799">countif($D1942,"*"&amp;H$2&amp;"*")</f>
        <v>0</v>
      </c>
      <c r="I1942" s="200">
        <f t="shared" si="9799"/>
        <v>0</v>
      </c>
      <c r="J1942" s="200">
        <f t="shared" si="9799"/>
        <v>0</v>
      </c>
      <c r="K1942" s="200">
        <f t="shared" si="9799"/>
        <v>0</v>
      </c>
      <c r="L1942" s="200">
        <f t="shared" si="9799"/>
        <v>0</v>
      </c>
      <c r="M1942" s="200">
        <f t="shared" si="9799"/>
        <v>0</v>
      </c>
      <c r="N1942" s="200">
        <f t="shared" si="9799"/>
        <v>0</v>
      </c>
      <c r="O1942" s="200">
        <f t="shared" si="9799"/>
        <v>0</v>
      </c>
      <c r="P1942" s="200">
        <f t="shared" si="9"/>
        <v>0</v>
      </c>
      <c r="Q1942" s="200">
        <f t="shared" ref="Q1942:AC1942" si="9800">countif($D1942,"*"&amp;Q$2&amp;"*")</f>
        <v>0</v>
      </c>
      <c r="R1942" s="200">
        <f t="shared" si="9800"/>
        <v>0</v>
      </c>
      <c r="S1942" s="200">
        <f t="shared" si="9800"/>
        <v>0</v>
      </c>
      <c r="T1942" s="200">
        <f t="shared" si="9800"/>
        <v>0</v>
      </c>
      <c r="U1942" s="200">
        <f t="shared" si="9800"/>
        <v>0</v>
      </c>
      <c r="V1942" s="200">
        <f t="shared" si="9800"/>
        <v>1</v>
      </c>
      <c r="W1942" s="200">
        <f t="shared" si="9800"/>
        <v>0</v>
      </c>
      <c r="X1942" s="200">
        <f t="shared" si="9800"/>
        <v>0</v>
      </c>
      <c r="Y1942" s="200">
        <f t="shared" si="9800"/>
        <v>0</v>
      </c>
      <c r="Z1942" s="200">
        <f t="shared" si="9800"/>
        <v>0</v>
      </c>
      <c r="AA1942" s="200">
        <f t="shared" si="9800"/>
        <v>0</v>
      </c>
      <c r="AB1942" s="200">
        <f t="shared" si="9800"/>
        <v>0</v>
      </c>
      <c r="AC1942" s="200">
        <f t="shared" si="9800"/>
        <v>0</v>
      </c>
      <c r="AD1942" s="222">
        <f t="shared" si="11"/>
        <v>0</v>
      </c>
      <c r="AE1942" s="200">
        <f t="shared" ref="AE1942:AG1942" si="9801">countif($D1942,"*"&amp;AE$2&amp;"*")</f>
        <v>0</v>
      </c>
      <c r="AF1942" s="200">
        <f t="shared" si="9801"/>
        <v>0</v>
      </c>
      <c r="AG1942" s="200">
        <f t="shared" si="9801"/>
        <v>0</v>
      </c>
      <c r="AH1942" s="171">
        <f t="shared" si="13"/>
        <v>0</v>
      </c>
      <c r="AI1942" s="200">
        <f t="shared" si="14"/>
        <v>0</v>
      </c>
      <c r="AJ1942" s="200">
        <f t="shared" si="9591"/>
        <v>1</v>
      </c>
      <c r="AK1942" s="201">
        <f t="shared" ref="AK1942:AS1942" si="9802">countif($D1942,"*"&amp;AK$2&amp;"*")</f>
        <v>0</v>
      </c>
      <c r="AL1942" s="201">
        <f t="shared" si="9802"/>
        <v>1</v>
      </c>
      <c r="AM1942" s="201">
        <f t="shared" si="9802"/>
        <v>0</v>
      </c>
      <c r="AN1942" s="201">
        <f t="shared" si="9802"/>
        <v>0</v>
      </c>
      <c r="AO1942" s="201">
        <f t="shared" si="9802"/>
        <v>0</v>
      </c>
      <c r="AP1942" s="201">
        <f t="shared" si="9802"/>
        <v>0</v>
      </c>
      <c r="AQ1942" s="201">
        <f t="shared" si="9802"/>
        <v>0</v>
      </c>
      <c r="AR1942" s="222">
        <f t="shared" si="9802"/>
        <v>0</v>
      </c>
      <c r="AS1942" s="200">
        <f t="shared" si="9802"/>
        <v>1</v>
      </c>
      <c r="AT1942" s="223">
        <v>0.0</v>
      </c>
      <c r="AU1942" s="200">
        <f t="shared" ref="AU1942:AX1942" si="9803">countif($D1942,"*"&amp;AU$2&amp;"*")</f>
        <v>0</v>
      </c>
      <c r="AV1942" s="200">
        <f t="shared" si="9803"/>
        <v>0</v>
      </c>
      <c r="AW1942" s="200">
        <f t="shared" si="9803"/>
        <v>0</v>
      </c>
      <c r="AX1942" s="200">
        <f t="shared" si="9803"/>
        <v>0</v>
      </c>
      <c r="AY1942" s="202">
        <v>0.0</v>
      </c>
      <c r="AZ1942" s="200"/>
      <c r="BA1942" s="171" t="str">
        <f t="shared" si="18"/>
        <v/>
      </c>
      <c r="BB1942" s="171" t="str">
        <f t="shared" si="19"/>
        <v/>
      </c>
      <c r="BC1942" s="171" t="str">
        <f t="shared" si="20"/>
        <v>General-purpose</v>
      </c>
      <c r="BD1942" s="171" t="str">
        <f t="shared" si="21"/>
        <v/>
      </c>
      <c r="BE1942" s="171" t="str">
        <f t="shared" si="22"/>
        <v/>
      </c>
      <c r="BF1942" s="171" t="str">
        <f t="shared" si="23"/>
        <v>General-purpose</v>
      </c>
    </row>
    <row r="1943">
      <c r="A1943" s="171">
        <f t="array" ref="A1943">XLOOKUP(C1943,FSE!A:A,FSE!C:C,"XXXXX",0,1)</f>
        <v>2017</v>
      </c>
      <c r="B1943" s="213" t="s">
        <v>5676</v>
      </c>
      <c r="C1943" s="214">
        <v>561.0</v>
      </c>
      <c r="D1943" s="215" t="s">
        <v>3924</v>
      </c>
      <c r="E1943" s="197" t="str">
        <f t="array" ref="E1943">XLOOKUP(C1943,FSE!A:A,FSE!Z:Z,"XXXXX",0,1)</f>
        <v>Publicly Available (1)</v>
      </c>
      <c r="F1943" s="213" t="s">
        <v>3394</v>
      </c>
      <c r="G1943" s="163" t="str">
        <f t="array" ref="G1943">IF(B1943="ICSE",IF(COUNTIFS(B:B,B1943,C:C,C1943)=XLOOKUP(C1943,ICSE!A:A,ICSE!AA:AA,"ERROR",0,1),"OK","ERROR"),IF(B1943="FSE",IF(COUNTIFS(B:B,B1943,C:C,C1943)=XLOOKUP(C1943,FSE!A:A,FSE!AA:AA,"ERROR",0,1),"OK","ERROR")))</f>
        <v>OK</v>
      </c>
      <c r="H1943" s="199">
        <f t="shared" ref="H1943:O1943" si="9804">countif($D1943,"*"&amp;H$2&amp;"*")</f>
        <v>0</v>
      </c>
      <c r="I1943" s="200">
        <f t="shared" si="9804"/>
        <v>0</v>
      </c>
      <c r="J1943" s="200">
        <f t="shared" si="9804"/>
        <v>0</v>
      </c>
      <c r="K1943" s="200">
        <f t="shared" si="9804"/>
        <v>0</v>
      </c>
      <c r="L1943" s="200">
        <f t="shared" si="9804"/>
        <v>0</v>
      </c>
      <c r="M1943" s="200">
        <f t="shared" si="9804"/>
        <v>0</v>
      </c>
      <c r="N1943" s="200">
        <f t="shared" si="9804"/>
        <v>0</v>
      </c>
      <c r="O1943" s="200">
        <f t="shared" si="9804"/>
        <v>0</v>
      </c>
      <c r="P1943" s="200">
        <f t="shared" si="9"/>
        <v>1</v>
      </c>
      <c r="Q1943" s="200">
        <f t="shared" ref="Q1943:AC1943" si="9805">countif($D1943,"*"&amp;Q$2&amp;"*")</f>
        <v>0</v>
      </c>
      <c r="R1943" s="200">
        <f t="shared" si="9805"/>
        <v>0</v>
      </c>
      <c r="S1943" s="200">
        <f t="shared" si="9805"/>
        <v>0</v>
      </c>
      <c r="T1943" s="200">
        <f t="shared" si="9805"/>
        <v>0</v>
      </c>
      <c r="U1943" s="200">
        <f t="shared" si="9805"/>
        <v>0</v>
      </c>
      <c r="V1943" s="200">
        <f t="shared" si="9805"/>
        <v>0</v>
      </c>
      <c r="W1943" s="200">
        <f t="shared" si="9805"/>
        <v>0</v>
      </c>
      <c r="X1943" s="200">
        <f t="shared" si="9805"/>
        <v>0</v>
      </c>
      <c r="Y1943" s="200">
        <f t="shared" si="9805"/>
        <v>0</v>
      </c>
      <c r="Z1943" s="200">
        <f t="shared" si="9805"/>
        <v>0</v>
      </c>
      <c r="AA1943" s="200">
        <f t="shared" si="9805"/>
        <v>0</v>
      </c>
      <c r="AB1943" s="200">
        <f t="shared" si="9805"/>
        <v>0</v>
      </c>
      <c r="AC1943" s="200">
        <f t="shared" si="9805"/>
        <v>0</v>
      </c>
      <c r="AD1943" s="200">
        <f t="shared" si="11"/>
        <v>0</v>
      </c>
      <c r="AE1943" s="200">
        <f t="shared" ref="AE1943:AG1943" si="9806">countif($D1943,"*"&amp;AE$2&amp;"*")</f>
        <v>0</v>
      </c>
      <c r="AF1943" s="200">
        <f t="shared" si="9806"/>
        <v>0</v>
      </c>
      <c r="AG1943" s="200">
        <f t="shared" si="9806"/>
        <v>0</v>
      </c>
      <c r="AH1943" s="171">
        <f t="shared" si="13"/>
        <v>0</v>
      </c>
      <c r="AI1943" s="200">
        <f t="shared" si="14"/>
        <v>0</v>
      </c>
      <c r="AJ1943" s="200">
        <f t="shared" si="9591"/>
        <v>0</v>
      </c>
      <c r="AK1943" s="201">
        <f t="shared" ref="AK1943:AS1943" si="9807">countif($D1943,"*"&amp;AK$2&amp;"*")</f>
        <v>0</v>
      </c>
      <c r="AL1943" s="201">
        <f t="shared" si="9807"/>
        <v>0</v>
      </c>
      <c r="AM1943" s="201">
        <f t="shared" si="9807"/>
        <v>0</v>
      </c>
      <c r="AN1943" s="201">
        <f t="shared" si="9807"/>
        <v>0</v>
      </c>
      <c r="AO1943" s="201">
        <f t="shared" si="9807"/>
        <v>0</v>
      </c>
      <c r="AP1943" s="201">
        <f t="shared" si="9807"/>
        <v>0</v>
      </c>
      <c r="AQ1943" s="201">
        <f t="shared" si="9807"/>
        <v>0</v>
      </c>
      <c r="AR1943" s="200">
        <f t="shared" si="9807"/>
        <v>0</v>
      </c>
      <c r="AS1943" s="200">
        <f t="shared" si="9807"/>
        <v>0</v>
      </c>
      <c r="AT1943" s="173">
        <v>0.0</v>
      </c>
      <c r="AU1943" s="200">
        <f t="shared" ref="AU1943:AX1943" si="9808">countif($D1943,"*"&amp;AU$2&amp;"*")</f>
        <v>0</v>
      </c>
      <c r="AV1943" s="200">
        <f t="shared" si="9808"/>
        <v>1</v>
      </c>
      <c r="AW1943" s="200">
        <f t="shared" si="9808"/>
        <v>0</v>
      </c>
      <c r="AX1943" s="200">
        <f t="shared" si="9808"/>
        <v>0</v>
      </c>
      <c r="AY1943" s="202">
        <v>0.0</v>
      </c>
      <c r="AZ1943" s="200"/>
      <c r="BA1943" s="171" t="str">
        <f t="shared" si="18"/>
        <v/>
      </c>
      <c r="BB1943" s="171" t="str">
        <f t="shared" si="19"/>
        <v>Code</v>
      </c>
      <c r="BC1943" s="171" t="str">
        <f t="shared" si="20"/>
        <v/>
      </c>
      <c r="BD1943" s="171" t="str">
        <f t="shared" si="21"/>
        <v/>
      </c>
      <c r="BE1943" s="171" t="str">
        <f t="shared" si="22"/>
        <v/>
      </c>
      <c r="BF1943" s="171" t="str">
        <f t="shared" si="23"/>
        <v>Code</v>
      </c>
    </row>
    <row r="1944">
      <c r="A1944" s="171">
        <f t="array" ref="A1944">XLOOKUP(C1944,FSE!A:A,FSE!C:C,"XXXXX",0,1)</f>
        <v>2017</v>
      </c>
      <c r="B1944" s="213" t="s">
        <v>5676</v>
      </c>
      <c r="C1944" s="214">
        <v>562.0</v>
      </c>
      <c r="D1944" s="215" t="s">
        <v>3927</v>
      </c>
      <c r="E1944" s="197" t="str">
        <f t="array" ref="E1944">XLOOKUP(C1944,FSE!A:A,FSE!Z:Z,"XXXXX",0,1)</f>
        <v>Not Available (1)</v>
      </c>
      <c r="F1944" s="213" t="s">
        <v>3395</v>
      </c>
      <c r="G1944" s="163" t="str">
        <f t="array" ref="G1944">IF(B1944="ICSE",IF(COUNTIFS(B:B,B1944,C:C,C1944)=XLOOKUP(C1944,ICSE!A:A,ICSE!AA:AA,"ERROR",0,1),"OK","ERROR"),IF(B1944="FSE",IF(COUNTIFS(B:B,B1944,C:C,C1944)=XLOOKUP(C1944,FSE!A:A,FSE!AA:AA,"ERROR",0,1),"OK","ERROR")))</f>
        <v>OK</v>
      </c>
      <c r="H1944" s="199">
        <f t="shared" ref="H1944:O1944" si="9809">countif($D1944,"*"&amp;H$2&amp;"*")</f>
        <v>0</v>
      </c>
      <c r="I1944" s="200">
        <f t="shared" si="9809"/>
        <v>0</v>
      </c>
      <c r="J1944" s="200">
        <f t="shared" si="9809"/>
        <v>0</v>
      </c>
      <c r="K1944" s="200">
        <f t="shared" si="9809"/>
        <v>0</v>
      </c>
      <c r="L1944" s="200">
        <f t="shared" si="9809"/>
        <v>0</v>
      </c>
      <c r="M1944" s="200">
        <f t="shared" si="9809"/>
        <v>0</v>
      </c>
      <c r="N1944" s="200">
        <f t="shared" si="9809"/>
        <v>0</v>
      </c>
      <c r="O1944" s="200">
        <f t="shared" si="9809"/>
        <v>0</v>
      </c>
      <c r="P1944" s="200">
        <f t="shared" si="9"/>
        <v>0</v>
      </c>
      <c r="Q1944" s="200">
        <f t="shared" ref="Q1944:AC1944" si="9810">countif($D1944,"*"&amp;Q$2&amp;"*")</f>
        <v>0</v>
      </c>
      <c r="R1944" s="200">
        <f t="shared" si="9810"/>
        <v>0</v>
      </c>
      <c r="S1944" s="200">
        <f t="shared" si="9810"/>
        <v>0</v>
      </c>
      <c r="T1944" s="200">
        <f t="shared" si="9810"/>
        <v>0</v>
      </c>
      <c r="U1944" s="200">
        <f t="shared" si="9810"/>
        <v>0</v>
      </c>
      <c r="V1944" s="200">
        <f t="shared" si="9810"/>
        <v>0</v>
      </c>
      <c r="W1944" s="200">
        <f t="shared" si="9810"/>
        <v>0</v>
      </c>
      <c r="X1944" s="200">
        <f t="shared" si="9810"/>
        <v>0</v>
      </c>
      <c r="Y1944" s="200">
        <f t="shared" si="9810"/>
        <v>0</v>
      </c>
      <c r="Z1944" s="200">
        <f t="shared" si="9810"/>
        <v>0</v>
      </c>
      <c r="AA1944" s="200">
        <f t="shared" si="9810"/>
        <v>0</v>
      </c>
      <c r="AB1944" s="200">
        <f t="shared" si="9810"/>
        <v>0</v>
      </c>
      <c r="AC1944" s="200">
        <f t="shared" si="9810"/>
        <v>0</v>
      </c>
      <c r="AD1944" s="200">
        <f t="shared" si="11"/>
        <v>1</v>
      </c>
      <c r="AE1944" s="200">
        <f t="shared" ref="AE1944:AG1944" si="9811">countif($D1944,"*"&amp;AE$2&amp;"*")</f>
        <v>0</v>
      </c>
      <c r="AF1944" s="200">
        <f t="shared" si="9811"/>
        <v>0</v>
      </c>
      <c r="AG1944" s="200">
        <f t="shared" si="9811"/>
        <v>0</v>
      </c>
      <c r="AH1944" s="171">
        <f t="shared" si="13"/>
        <v>0</v>
      </c>
      <c r="AI1944" s="200">
        <f t="shared" si="14"/>
        <v>0</v>
      </c>
      <c r="AJ1944" s="200">
        <f t="shared" si="9591"/>
        <v>0</v>
      </c>
      <c r="AK1944" s="201">
        <f t="shared" ref="AK1944:AS1944" si="9812">countif($D1944,"*"&amp;AK$2&amp;"*")</f>
        <v>0</v>
      </c>
      <c r="AL1944" s="201">
        <f t="shared" si="9812"/>
        <v>0</v>
      </c>
      <c r="AM1944" s="201">
        <f t="shared" si="9812"/>
        <v>0</v>
      </c>
      <c r="AN1944" s="201">
        <f t="shared" si="9812"/>
        <v>0</v>
      </c>
      <c r="AO1944" s="201">
        <f t="shared" si="9812"/>
        <v>0</v>
      </c>
      <c r="AP1944" s="201">
        <f t="shared" si="9812"/>
        <v>0</v>
      </c>
      <c r="AQ1944" s="201">
        <f t="shared" si="9812"/>
        <v>0</v>
      </c>
      <c r="AR1944" s="200">
        <f t="shared" si="9812"/>
        <v>0</v>
      </c>
      <c r="AS1944" s="200">
        <f t="shared" si="9812"/>
        <v>0</v>
      </c>
      <c r="AT1944" s="173">
        <v>1.0</v>
      </c>
      <c r="AU1944" s="200">
        <f t="shared" ref="AU1944:AX1944" si="9813">countif($D1944,"*"&amp;AU$2&amp;"*")</f>
        <v>0</v>
      </c>
      <c r="AV1944" s="200">
        <f t="shared" si="9813"/>
        <v>0</v>
      </c>
      <c r="AW1944" s="200">
        <f t="shared" si="9813"/>
        <v>0</v>
      </c>
      <c r="AX1944" s="200">
        <f t="shared" si="9813"/>
        <v>0</v>
      </c>
      <c r="AY1944" s="202">
        <v>0.0</v>
      </c>
      <c r="AZ1944" s="200"/>
      <c r="BA1944" s="171" t="str">
        <f t="shared" si="18"/>
        <v/>
      </c>
      <c r="BB1944" s="171" t="str">
        <f t="shared" si="19"/>
        <v/>
      </c>
      <c r="BC1944" s="171" t="str">
        <f t="shared" si="20"/>
        <v/>
      </c>
      <c r="BD1944" s="171" t="str">
        <f t="shared" si="21"/>
        <v>Institutional</v>
      </c>
      <c r="BE1944" s="171" t="str">
        <f t="shared" si="22"/>
        <v/>
      </c>
      <c r="BF1944" s="171" t="str">
        <f t="shared" si="23"/>
        <v>Institutional</v>
      </c>
    </row>
    <row r="1945">
      <c r="A1945" s="171">
        <f t="array" ref="A1945">XLOOKUP(C1945,FSE!A:A,FSE!C:C,"XXXXX",0,1)</f>
        <v>2017</v>
      </c>
      <c r="B1945" s="213" t="s">
        <v>5676</v>
      </c>
      <c r="C1945" s="214">
        <v>563.0</v>
      </c>
      <c r="D1945" s="215" t="s">
        <v>3929</v>
      </c>
      <c r="E1945" s="197" t="str">
        <f t="array" ref="E1945">XLOOKUP(C1945,FSE!A:A,FSE!Z:Z,"XXXXX",0,1)</f>
        <v>Publicly Available (1)</v>
      </c>
      <c r="F1945" s="213" t="s">
        <v>3394</v>
      </c>
      <c r="G1945" s="163" t="str">
        <f t="array" ref="G1945">IF(B1945="ICSE",IF(COUNTIFS(B:B,B1945,C:C,C1945)=XLOOKUP(C1945,ICSE!A:A,ICSE!AA:AA,"ERROR",0,1),"OK","ERROR"),IF(B1945="FSE",IF(COUNTIFS(B:B,B1945,C:C,C1945)=XLOOKUP(C1945,FSE!A:A,FSE!AA:AA,"ERROR",0,1),"OK","ERROR")))</f>
        <v>OK</v>
      </c>
      <c r="H1945" s="199">
        <f t="shared" ref="H1945:O1945" si="9814">countif($D1945,"*"&amp;H$2&amp;"*")</f>
        <v>0</v>
      </c>
      <c r="I1945" s="200">
        <f t="shared" si="9814"/>
        <v>0</v>
      </c>
      <c r="J1945" s="200">
        <f t="shared" si="9814"/>
        <v>0</v>
      </c>
      <c r="K1945" s="200">
        <f t="shared" si="9814"/>
        <v>0</v>
      </c>
      <c r="L1945" s="200">
        <f t="shared" si="9814"/>
        <v>0</v>
      </c>
      <c r="M1945" s="200">
        <f t="shared" si="9814"/>
        <v>0</v>
      </c>
      <c r="N1945" s="200">
        <f t="shared" si="9814"/>
        <v>0</v>
      </c>
      <c r="O1945" s="200">
        <f t="shared" si="9814"/>
        <v>0</v>
      </c>
      <c r="P1945" s="200">
        <f t="shared" si="9"/>
        <v>1</v>
      </c>
      <c r="Q1945" s="200">
        <f t="shared" ref="Q1945:AC1945" si="9815">countif($D1945,"*"&amp;Q$2&amp;"*")</f>
        <v>0</v>
      </c>
      <c r="R1945" s="200">
        <f t="shared" si="9815"/>
        <v>0</v>
      </c>
      <c r="S1945" s="200">
        <f t="shared" si="9815"/>
        <v>0</v>
      </c>
      <c r="T1945" s="200">
        <f t="shared" si="9815"/>
        <v>0</v>
      </c>
      <c r="U1945" s="200">
        <f t="shared" si="9815"/>
        <v>0</v>
      </c>
      <c r="V1945" s="200">
        <f t="shared" si="9815"/>
        <v>0</v>
      </c>
      <c r="W1945" s="200">
        <f t="shared" si="9815"/>
        <v>0</v>
      </c>
      <c r="X1945" s="200">
        <f t="shared" si="9815"/>
        <v>0</v>
      </c>
      <c r="Y1945" s="200">
        <f t="shared" si="9815"/>
        <v>0</v>
      </c>
      <c r="Z1945" s="200">
        <f t="shared" si="9815"/>
        <v>0</v>
      </c>
      <c r="AA1945" s="200">
        <f t="shared" si="9815"/>
        <v>0</v>
      </c>
      <c r="AB1945" s="200">
        <f t="shared" si="9815"/>
        <v>0</v>
      </c>
      <c r="AC1945" s="200">
        <f t="shared" si="9815"/>
        <v>0</v>
      </c>
      <c r="AD1945" s="200">
        <f t="shared" si="11"/>
        <v>0</v>
      </c>
      <c r="AE1945" s="200">
        <f t="shared" ref="AE1945:AG1945" si="9816">countif($D1945,"*"&amp;AE$2&amp;"*")</f>
        <v>0</v>
      </c>
      <c r="AF1945" s="200">
        <f t="shared" si="9816"/>
        <v>0</v>
      </c>
      <c r="AG1945" s="200">
        <f t="shared" si="9816"/>
        <v>0</v>
      </c>
      <c r="AH1945" s="171">
        <f t="shared" si="13"/>
        <v>0</v>
      </c>
      <c r="AI1945" s="200">
        <f t="shared" si="14"/>
        <v>0</v>
      </c>
      <c r="AJ1945" s="200">
        <f t="shared" si="9591"/>
        <v>0</v>
      </c>
      <c r="AK1945" s="201">
        <f t="shared" ref="AK1945:AS1945" si="9817">countif($D1945,"*"&amp;AK$2&amp;"*")</f>
        <v>0</v>
      </c>
      <c r="AL1945" s="201">
        <f t="shared" si="9817"/>
        <v>0</v>
      </c>
      <c r="AM1945" s="201">
        <f t="shared" si="9817"/>
        <v>0</v>
      </c>
      <c r="AN1945" s="201">
        <f t="shared" si="9817"/>
        <v>0</v>
      </c>
      <c r="AO1945" s="201">
        <f t="shared" si="9817"/>
        <v>0</v>
      </c>
      <c r="AP1945" s="201">
        <f t="shared" si="9817"/>
        <v>0</v>
      </c>
      <c r="AQ1945" s="201">
        <f t="shared" si="9817"/>
        <v>0</v>
      </c>
      <c r="AR1945" s="200">
        <f t="shared" si="9817"/>
        <v>0</v>
      </c>
      <c r="AS1945" s="200">
        <f t="shared" si="9817"/>
        <v>0</v>
      </c>
      <c r="AT1945" s="173">
        <v>0.0</v>
      </c>
      <c r="AU1945" s="200">
        <f t="shared" ref="AU1945:AX1945" si="9818">countif($D1945,"*"&amp;AU$2&amp;"*")</f>
        <v>0</v>
      </c>
      <c r="AV1945" s="200">
        <f t="shared" si="9818"/>
        <v>1</v>
      </c>
      <c r="AW1945" s="200">
        <f t="shared" si="9818"/>
        <v>0</v>
      </c>
      <c r="AX1945" s="200">
        <f t="shared" si="9818"/>
        <v>0</v>
      </c>
      <c r="AY1945" s="202">
        <v>0.0</v>
      </c>
      <c r="AZ1945" s="200"/>
      <c r="BA1945" s="171" t="str">
        <f t="shared" si="18"/>
        <v/>
      </c>
      <c r="BB1945" s="171" t="str">
        <f t="shared" si="19"/>
        <v>Code</v>
      </c>
      <c r="BC1945" s="171" t="str">
        <f t="shared" si="20"/>
        <v/>
      </c>
      <c r="BD1945" s="171" t="str">
        <f t="shared" si="21"/>
        <v/>
      </c>
      <c r="BE1945" s="171" t="str">
        <f t="shared" si="22"/>
        <v/>
      </c>
      <c r="BF1945" s="171" t="str">
        <f t="shared" si="23"/>
        <v>Code</v>
      </c>
    </row>
    <row r="1946">
      <c r="A1946" s="171">
        <f t="array" ref="A1946">XLOOKUP(C1946,FSE!A:A,FSE!C:C,"XXXXX",0,1)</f>
        <v>2017</v>
      </c>
      <c r="B1946" s="213" t="s">
        <v>5676</v>
      </c>
      <c r="C1946" s="214">
        <v>565.0</v>
      </c>
      <c r="D1946" s="215" t="s">
        <v>3933</v>
      </c>
      <c r="E1946" s="197" t="str">
        <f t="array" ref="E1946">XLOOKUP(C1946,FSE!A:A,FSE!Z:Z,"XXXXX",0,1)</f>
        <v>Publicly Available (1)</v>
      </c>
      <c r="F1946" s="213" t="s">
        <v>3394</v>
      </c>
      <c r="G1946" s="163" t="str">
        <f t="array" ref="G1946">IF(B1946="ICSE",IF(COUNTIFS(B:B,B1946,C:C,C1946)=XLOOKUP(C1946,ICSE!A:A,ICSE!AA:AA,"ERROR",0,1),"OK","ERROR"),IF(B1946="FSE",IF(COUNTIFS(B:B,B1946,C:C,C1946)=XLOOKUP(C1946,FSE!A:A,FSE!AA:AA,"ERROR",0,1),"OK","ERROR")))</f>
        <v>OK</v>
      </c>
      <c r="H1946" s="199">
        <f t="shared" ref="H1946:O1946" si="9819">countif($D1946,"*"&amp;H$2&amp;"*")</f>
        <v>0</v>
      </c>
      <c r="I1946" s="200">
        <f t="shared" si="9819"/>
        <v>0</v>
      </c>
      <c r="J1946" s="200">
        <f t="shared" si="9819"/>
        <v>0</v>
      </c>
      <c r="K1946" s="200">
        <f t="shared" si="9819"/>
        <v>0</v>
      </c>
      <c r="L1946" s="200">
        <f t="shared" si="9819"/>
        <v>0</v>
      </c>
      <c r="M1946" s="200">
        <f t="shared" si="9819"/>
        <v>0</v>
      </c>
      <c r="N1946" s="200">
        <f t="shared" si="9819"/>
        <v>0</v>
      </c>
      <c r="O1946" s="200">
        <f t="shared" si="9819"/>
        <v>0</v>
      </c>
      <c r="P1946" s="200">
        <f t="shared" si="9"/>
        <v>1</v>
      </c>
      <c r="Q1946" s="200">
        <f t="shared" ref="Q1946:AC1946" si="9820">countif($D1946,"*"&amp;Q$2&amp;"*")</f>
        <v>0</v>
      </c>
      <c r="R1946" s="200">
        <f t="shared" si="9820"/>
        <v>0</v>
      </c>
      <c r="S1946" s="200">
        <f t="shared" si="9820"/>
        <v>0</v>
      </c>
      <c r="T1946" s="200">
        <f t="shared" si="9820"/>
        <v>0</v>
      </c>
      <c r="U1946" s="200">
        <f t="shared" si="9820"/>
        <v>0</v>
      </c>
      <c r="V1946" s="200">
        <f t="shared" si="9820"/>
        <v>0</v>
      </c>
      <c r="W1946" s="200">
        <f t="shared" si="9820"/>
        <v>0</v>
      </c>
      <c r="X1946" s="200">
        <f t="shared" si="9820"/>
        <v>0</v>
      </c>
      <c r="Y1946" s="200">
        <f t="shared" si="9820"/>
        <v>0</v>
      </c>
      <c r="Z1946" s="200">
        <f t="shared" si="9820"/>
        <v>0</v>
      </c>
      <c r="AA1946" s="200">
        <f t="shared" si="9820"/>
        <v>0</v>
      </c>
      <c r="AB1946" s="200">
        <f t="shared" si="9820"/>
        <v>0</v>
      </c>
      <c r="AC1946" s="200">
        <f t="shared" si="9820"/>
        <v>0</v>
      </c>
      <c r="AD1946" s="200">
        <f t="shared" si="11"/>
        <v>0</v>
      </c>
      <c r="AE1946" s="200">
        <f t="shared" ref="AE1946:AG1946" si="9821">countif($D1946,"*"&amp;AE$2&amp;"*")</f>
        <v>0</v>
      </c>
      <c r="AF1946" s="200">
        <f t="shared" si="9821"/>
        <v>0</v>
      </c>
      <c r="AG1946" s="200">
        <f t="shared" si="9821"/>
        <v>0</v>
      </c>
      <c r="AH1946" s="171">
        <f t="shared" si="13"/>
        <v>0</v>
      </c>
      <c r="AI1946" s="200">
        <f t="shared" si="14"/>
        <v>0</v>
      </c>
      <c r="AJ1946" s="200">
        <f t="shared" si="9591"/>
        <v>0</v>
      </c>
      <c r="AK1946" s="201">
        <f t="shared" ref="AK1946:AS1946" si="9822">countif($D1946,"*"&amp;AK$2&amp;"*")</f>
        <v>0</v>
      </c>
      <c r="AL1946" s="201">
        <f t="shared" si="9822"/>
        <v>0</v>
      </c>
      <c r="AM1946" s="201">
        <f t="shared" si="9822"/>
        <v>0</v>
      </c>
      <c r="AN1946" s="201">
        <f t="shared" si="9822"/>
        <v>0</v>
      </c>
      <c r="AO1946" s="201">
        <f t="shared" si="9822"/>
        <v>0</v>
      </c>
      <c r="AP1946" s="201">
        <f t="shared" si="9822"/>
        <v>0</v>
      </c>
      <c r="AQ1946" s="201">
        <f t="shared" si="9822"/>
        <v>0</v>
      </c>
      <c r="AR1946" s="200">
        <f t="shared" si="9822"/>
        <v>0</v>
      </c>
      <c r="AS1946" s="200">
        <f t="shared" si="9822"/>
        <v>0</v>
      </c>
      <c r="AT1946" s="173">
        <v>0.0</v>
      </c>
      <c r="AU1946" s="200">
        <f t="shared" ref="AU1946:AX1946" si="9823">countif($D1946,"*"&amp;AU$2&amp;"*")</f>
        <v>0</v>
      </c>
      <c r="AV1946" s="200">
        <f t="shared" si="9823"/>
        <v>1</v>
      </c>
      <c r="AW1946" s="200">
        <f t="shared" si="9823"/>
        <v>0</v>
      </c>
      <c r="AX1946" s="200">
        <f t="shared" si="9823"/>
        <v>0</v>
      </c>
      <c r="AY1946" s="202">
        <v>0.0</v>
      </c>
      <c r="AZ1946" s="200"/>
      <c r="BA1946" s="171" t="str">
        <f t="shared" si="18"/>
        <v/>
      </c>
      <c r="BB1946" s="171" t="str">
        <f t="shared" si="19"/>
        <v>Code</v>
      </c>
      <c r="BC1946" s="171" t="str">
        <f t="shared" si="20"/>
        <v/>
      </c>
      <c r="BD1946" s="171" t="str">
        <f t="shared" si="21"/>
        <v/>
      </c>
      <c r="BE1946" s="171" t="str">
        <f t="shared" si="22"/>
        <v/>
      </c>
      <c r="BF1946" s="171" t="str">
        <f t="shared" si="23"/>
        <v>Code</v>
      </c>
    </row>
    <row r="1947">
      <c r="A1947" s="171">
        <f t="array" ref="A1947">XLOOKUP(C1947,FSE!A:A,FSE!C:C,"XXXXX",0,1)</f>
        <v>2017</v>
      </c>
      <c r="B1947" s="213" t="s">
        <v>5676</v>
      </c>
      <c r="C1947" s="214">
        <v>566.0</v>
      </c>
      <c r="D1947" s="215" t="s">
        <v>3936</v>
      </c>
      <c r="E1947" s="197" t="str">
        <f t="array" ref="E1947">XLOOKUP(C1947,FSE!A:A,FSE!Z:Z,"XXXXX",0,1)</f>
        <v>Not Available (1)</v>
      </c>
      <c r="F1947" s="213" t="s">
        <v>3395</v>
      </c>
      <c r="G1947" s="163" t="str">
        <f t="array" ref="G1947">IF(B1947="ICSE",IF(COUNTIFS(B:B,B1947,C:C,C1947)=XLOOKUP(C1947,ICSE!A:A,ICSE!AA:AA,"ERROR",0,1),"OK","ERROR"),IF(B1947="FSE",IF(COUNTIFS(B:B,B1947,C:C,C1947)=XLOOKUP(C1947,FSE!A:A,FSE!AA:AA,"ERROR",0,1),"OK","ERROR")))</f>
        <v>OK</v>
      </c>
      <c r="H1947" s="199">
        <f t="shared" ref="H1947:O1947" si="9824">countif($D1947,"*"&amp;H$2&amp;"*")</f>
        <v>0</v>
      </c>
      <c r="I1947" s="200">
        <f t="shared" si="9824"/>
        <v>0</v>
      </c>
      <c r="J1947" s="200">
        <f t="shared" si="9824"/>
        <v>0</v>
      </c>
      <c r="K1947" s="200">
        <f t="shared" si="9824"/>
        <v>0</v>
      </c>
      <c r="L1947" s="200">
        <f t="shared" si="9824"/>
        <v>0</v>
      </c>
      <c r="M1947" s="200">
        <f t="shared" si="9824"/>
        <v>0</v>
      </c>
      <c r="N1947" s="200">
        <f t="shared" si="9824"/>
        <v>0</v>
      </c>
      <c r="O1947" s="200">
        <f t="shared" si="9824"/>
        <v>0</v>
      </c>
      <c r="P1947" s="200">
        <f t="shared" si="9"/>
        <v>0</v>
      </c>
      <c r="Q1947" s="200">
        <f t="shared" ref="Q1947:AC1947" si="9825">countif($D1947,"*"&amp;Q$2&amp;"*")</f>
        <v>0</v>
      </c>
      <c r="R1947" s="200">
        <f t="shared" si="9825"/>
        <v>0</v>
      </c>
      <c r="S1947" s="200">
        <f t="shared" si="9825"/>
        <v>0</v>
      </c>
      <c r="T1947" s="200">
        <f t="shared" si="9825"/>
        <v>0</v>
      </c>
      <c r="U1947" s="200">
        <f t="shared" si="9825"/>
        <v>0</v>
      </c>
      <c r="V1947" s="200">
        <f t="shared" si="9825"/>
        <v>0</v>
      </c>
      <c r="W1947" s="200">
        <f t="shared" si="9825"/>
        <v>0</v>
      </c>
      <c r="X1947" s="200">
        <f t="shared" si="9825"/>
        <v>0</v>
      </c>
      <c r="Y1947" s="200">
        <f t="shared" si="9825"/>
        <v>0</v>
      </c>
      <c r="Z1947" s="200">
        <f t="shared" si="9825"/>
        <v>0</v>
      </c>
      <c r="AA1947" s="200">
        <f t="shared" si="9825"/>
        <v>1</v>
      </c>
      <c r="AB1947" s="200">
        <f t="shared" si="9825"/>
        <v>0</v>
      </c>
      <c r="AC1947" s="200">
        <f t="shared" si="9825"/>
        <v>0</v>
      </c>
      <c r="AD1947" s="200">
        <f t="shared" si="11"/>
        <v>0</v>
      </c>
      <c r="AE1947" s="200">
        <f t="shared" ref="AE1947:AG1947" si="9826">countif($D1947,"*"&amp;AE$2&amp;"*")</f>
        <v>0</v>
      </c>
      <c r="AF1947" s="200">
        <f t="shared" si="9826"/>
        <v>0</v>
      </c>
      <c r="AG1947" s="200">
        <f t="shared" si="9826"/>
        <v>0</v>
      </c>
      <c r="AH1947" s="171">
        <f t="shared" si="13"/>
        <v>0</v>
      </c>
      <c r="AI1947" s="200">
        <f t="shared" si="14"/>
        <v>0</v>
      </c>
      <c r="AJ1947" s="200">
        <f t="shared" si="9591"/>
        <v>0</v>
      </c>
      <c r="AK1947" s="201">
        <f t="shared" ref="AK1947:AS1947" si="9827">countif($D1947,"*"&amp;AK$2&amp;"*")</f>
        <v>0</v>
      </c>
      <c r="AL1947" s="201">
        <f t="shared" si="9827"/>
        <v>0</v>
      </c>
      <c r="AM1947" s="201">
        <f t="shared" si="9827"/>
        <v>0</v>
      </c>
      <c r="AN1947" s="201">
        <f t="shared" si="9827"/>
        <v>0</v>
      </c>
      <c r="AO1947" s="201">
        <f t="shared" si="9827"/>
        <v>0</v>
      </c>
      <c r="AP1947" s="201">
        <f t="shared" si="9827"/>
        <v>0</v>
      </c>
      <c r="AQ1947" s="201">
        <f t="shared" si="9827"/>
        <v>0</v>
      </c>
      <c r="AR1947" s="200">
        <f t="shared" si="9827"/>
        <v>0</v>
      </c>
      <c r="AS1947" s="200">
        <f t="shared" si="9827"/>
        <v>0</v>
      </c>
      <c r="AT1947" s="173">
        <v>0.0</v>
      </c>
      <c r="AU1947" s="200">
        <f t="shared" ref="AU1947:AX1947" si="9828">countif($D1947,"*"&amp;AU$2&amp;"*")</f>
        <v>0</v>
      </c>
      <c r="AV1947" s="200">
        <f t="shared" si="9828"/>
        <v>0</v>
      </c>
      <c r="AW1947" s="200">
        <f t="shared" si="9828"/>
        <v>0</v>
      </c>
      <c r="AX1947" s="200">
        <f t="shared" si="9828"/>
        <v>0</v>
      </c>
      <c r="AY1947" s="202">
        <v>0.0</v>
      </c>
      <c r="AZ1947" s="200"/>
      <c r="BA1947" s="171" t="str">
        <f t="shared" si="18"/>
        <v/>
      </c>
      <c r="BB1947" s="171" t="str">
        <f t="shared" si="19"/>
        <v/>
      </c>
      <c r="BC1947" s="171" t="str">
        <f t="shared" si="20"/>
        <v>General-purpose</v>
      </c>
      <c r="BD1947" s="171" t="str">
        <f t="shared" si="21"/>
        <v/>
      </c>
      <c r="BE1947" s="171" t="str">
        <f t="shared" si="22"/>
        <v/>
      </c>
      <c r="BF1947" s="171" t="str">
        <f t="shared" si="23"/>
        <v>General-purpose</v>
      </c>
    </row>
    <row r="1948">
      <c r="A1948" s="171">
        <f t="array" ref="A1948">XLOOKUP(C1948,FSE!A:A,FSE!C:C,"XXXXX",0,1)</f>
        <v>2017</v>
      </c>
      <c r="B1948" s="213" t="s">
        <v>5676</v>
      </c>
      <c r="C1948" s="214">
        <v>567.0</v>
      </c>
      <c r="D1948" s="215" t="s">
        <v>3939</v>
      </c>
      <c r="E1948" s="197" t="str">
        <f t="array" ref="E1948">XLOOKUP(C1948,FSE!A:A,FSE!Z:Z,"XXXXX",0,1)</f>
        <v>Publicly Available (1)</v>
      </c>
      <c r="F1948" s="213" t="s">
        <v>3394</v>
      </c>
      <c r="G1948" s="163" t="str">
        <f t="array" ref="G1948">IF(B1948="ICSE",IF(COUNTIFS(B:B,B1948,C:C,C1948)=XLOOKUP(C1948,ICSE!A:A,ICSE!AA:AA,"ERROR",0,1),"OK","ERROR"),IF(B1948="FSE",IF(COUNTIFS(B:B,B1948,C:C,C1948)=XLOOKUP(C1948,FSE!A:A,FSE!AA:AA,"ERROR",0,1),"OK","ERROR")))</f>
        <v>OK</v>
      </c>
      <c r="H1948" s="199">
        <f t="shared" ref="H1948:O1948" si="9829">countif($D1948,"*"&amp;H$2&amp;"*")</f>
        <v>0</v>
      </c>
      <c r="I1948" s="200">
        <f t="shared" si="9829"/>
        <v>0</v>
      </c>
      <c r="J1948" s="200">
        <f t="shared" si="9829"/>
        <v>0</v>
      </c>
      <c r="K1948" s="200">
        <f t="shared" si="9829"/>
        <v>0</v>
      </c>
      <c r="L1948" s="200">
        <f t="shared" si="9829"/>
        <v>0</v>
      </c>
      <c r="M1948" s="200">
        <f t="shared" si="9829"/>
        <v>0</v>
      </c>
      <c r="N1948" s="200">
        <f t="shared" si="9829"/>
        <v>0</v>
      </c>
      <c r="O1948" s="200">
        <f t="shared" si="9829"/>
        <v>0</v>
      </c>
      <c r="P1948" s="200">
        <f t="shared" si="9"/>
        <v>0</v>
      </c>
      <c r="Q1948" s="200">
        <f t="shared" ref="Q1948:AC1948" si="9830">countif($D1948,"*"&amp;Q$2&amp;"*")</f>
        <v>0</v>
      </c>
      <c r="R1948" s="200">
        <f t="shared" si="9830"/>
        <v>0</v>
      </c>
      <c r="S1948" s="200">
        <f t="shared" si="9830"/>
        <v>0</v>
      </c>
      <c r="T1948" s="200">
        <f t="shared" si="9830"/>
        <v>0</v>
      </c>
      <c r="U1948" s="200">
        <f t="shared" si="9830"/>
        <v>0</v>
      </c>
      <c r="V1948" s="200">
        <f t="shared" si="9830"/>
        <v>0</v>
      </c>
      <c r="W1948" s="200">
        <f t="shared" si="9830"/>
        <v>0</v>
      </c>
      <c r="X1948" s="200">
        <f t="shared" si="9830"/>
        <v>0</v>
      </c>
      <c r="Y1948" s="200">
        <f t="shared" si="9830"/>
        <v>0</v>
      </c>
      <c r="Z1948" s="200">
        <f t="shared" si="9830"/>
        <v>0</v>
      </c>
      <c r="AA1948" s="200">
        <f t="shared" si="9830"/>
        <v>0</v>
      </c>
      <c r="AB1948" s="200">
        <f t="shared" si="9830"/>
        <v>0</v>
      </c>
      <c r="AC1948" s="200">
        <f t="shared" si="9830"/>
        <v>0</v>
      </c>
      <c r="AD1948" s="200">
        <f t="shared" si="11"/>
        <v>1</v>
      </c>
      <c r="AE1948" s="200">
        <f t="shared" ref="AE1948:AG1948" si="9831">countif($D1948,"*"&amp;AE$2&amp;"*")</f>
        <v>0</v>
      </c>
      <c r="AF1948" s="200">
        <f t="shared" si="9831"/>
        <v>0</v>
      </c>
      <c r="AG1948" s="200">
        <f t="shared" si="9831"/>
        <v>0</v>
      </c>
      <c r="AH1948" s="171">
        <f t="shared" si="13"/>
        <v>0</v>
      </c>
      <c r="AI1948" s="200">
        <f t="shared" si="14"/>
        <v>0</v>
      </c>
      <c r="AJ1948" s="200">
        <f t="shared" ref="AJ1948:AJ1949" si="9837">SUM(AK1948:AQ1948)</f>
        <v>0</v>
      </c>
      <c r="AK1948" s="201">
        <f t="shared" ref="AK1948:AS1948" si="9832">countif($D1948,"*"&amp;AK$2&amp;"*")</f>
        <v>0</v>
      </c>
      <c r="AL1948" s="201">
        <f t="shared" si="9832"/>
        <v>0</v>
      </c>
      <c r="AM1948" s="201">
        <f t="shared" si="9832"/>
        <v>0</v>
      </c>
      <c r="AN1948" s="201">
        <f t="shared" si="9832"/>
        <v>0</v>
      </c>
      <c r="AO1948" s="201">
        <f t="shared" si="9832"/>
        <v>0</v>
      </c>
      <c r="AP1948" s="201">
        <f t="shared" si="9832"/>
        <v>0</v>
      </c>
      <c r="AQ1948" s="201">
        <f t="shared" si="9832"/>
        <v>0</v>
      </c>
      <c r="AR1948" s="201">
        <f t="shared" si="9832"/>
        <v>0</v>
      </c>
      <c r="AS1948" s="200">
        <f t="shared" si="9832"/>
        <v>0</v>
      </c>
      <c r="AT1948" s="205">
        <v>0.0</v>
      </c>
      <c r="AU1948" s="200">
        <f t="shared" ref="AU1948:AX1948" si="9833">countif($D1948,"*"&amp;AU$2&amp;"*")</f>
        <v>1</v>
      </c>
      <c r="AV1948" s="200">
        <f t="shared" si="9833"/>
        <v>0</v>
      </c>
      <c r="AW1948" s="200">
        <f t="shared" si="9833"/>
        <v>0</v>
      </c>
      <c r="AX1948" s="200">
        <f t="shared" si="9833"/>
        <v>0</v>
      </c>
      <c r="AY1948" s="202">
        <v>0.0</v>
      </c>
      <c r="AZ1948" s="200"/>
      <c r="BA1948" s="171" t="str">
        <f t="shared" si="18"/>
        <v/>
      </c>
      <c r="BB1948" s="171" t="str">
        <f t="shared" si="19"/>
        <v/>
      </c>
      <c r="BC1948" s="171" t="str">
        <f t="shared" si="20"/>
        <v/>
      </c>
      <c r="BD1948" s="171" t="str">
        <f t="shared" si="21"/>
        <v>Institutional</v>
      </c>
      <c r="BE1948" s="171" t="str">
        <f t="shared" si="22"/>
        <v/>
      </c>
      <c r="BF1948" s="171" t="str">
        <f t="shared" si="23"/>
        <v>Institutional</v>
      </c>
    </row>
    <row r="1949">
      <c r="A1949" s="171">
        <f t="array" ref="A1949">XLOOKUP(C1949,FSE!A:A,FSE!C:C,"XXXXX",0,1)</f>
        <v>2017</v>
      </c>
      <c r="B1949" s="213" t="s">
        <v>5676</v>
      </c>
      <c r="C1949" s="214">
        <v>568.0</v>
      </c>
      <c r="D1949" s="215" t="s">
        <v>3942</v>
      </c>
      <c r="E1949" s="197" t="str">
        <f t="array" ref="E1949">XLOOKUP(C1949,FSE!A:A,FSE!Z:Z,"XXXXX",0,1)</f>
        <v>Publicly Available (1)</v>
      </c>
      <c r="F1949" s="213" t="s">
        <v>3394</v>
      </c>
      <c r="G1949" s="163" t="str">
        <f t="array" ref="G1949">IF(B1949="ICSE",IF(COUNTIFS(B:B,B1949,C:C,C1949)=XLOOKUP(C1949,ICSE!A:A,ICSE!AA:AA,"ERROR",0,1),"OK","ERROR"),IF(B1949="FSE",IF(COUNTIFS(B:B,B1949,C:C,C1949)=XLOOKUP(C1949,FSE!A:A,FSE!AA:AA,"ERROR",0,1),"OK","ERROR")))</f>
        <v>OK</v>
      </c>
      <c r="H1949" s="199">
        <f t="shared" ref="H1949:O1949" si="9834">countif($D1949,"*"&amp;H$2&amp;"*")</f>
        <v>0</v>
      </c>
      <c r="I1949" s="200">
        <f t="shared" si="9834"/>
        <v>0</v>
      </c>
      <c r="J1949" s="200">
        <f t="shared" si="9834"/>
        <v>0</v>
      </c>
      <c r="K1949" s="200">
        <f t="shared" si="9834"/>
        <v>0</v>
      </c>
      <c r="L1949" s="200">
        <f t="shared" si="9834"/>
        <v>0</v>
      </c>
      <c r="M1949" s="200">
        <f t="shared" si="9834"/>
        <v>0</v>
      </c>
      <c r="N1949" s="200">
        <f t="shared" si="9834"/>
        <v>0</v>
      </c>
      <c r="O1949" s="200">
        <f t="shared" si="9834"/>
        <v>0</v>
      </c>
      <c r="P1949" s="200">
        <f t="shared" si="9"/>
        <v>0</v>
      </c>
      <c r="Q1949" s="200">
        <f t="shared" ref="Q1949:AC1949" si="9835">countif($D1949,"*"&amp;Q$2&amp;"*")</f>
        <v>0</v>
      </c>
      <c r="R1949" s="200">
        <f t="shared" si="9835"/>
        <v>0</v>
      </c>
      <c r="S1949" s="200">
        <f t="shared" si="9835"/>
        <v>0</v>
      </c>
      <c r="T1949" s="200">
        <f t="shared" si="9835"/>
        <v>0</v>
      </c>
      <c r="U1949" s="200">
        <f t="shared" si="9835"/>
        <v>0</v>
      </c>
      <c r="V1949" s="200">
        <f t="shared" si="9835"/>
        <v>0</v>
      </c>
      <c r="W1949" s="200">
        <f t="shared" si="9835"/>
        <v>0</v>
      </c>
      <c r="X1949" s="200">
        <f t="shared" si="9835"/>
        <v>0</v>
      </c>
      <c r="Y1949" s="200">
        <f t="shared" si="9835"/>
        <v>0</v>
      </c>
      <c r="Z1949" s="200">
        <f t="shared" si="9835"/>
        <v>0</v>
      </c>
      <c r="AA1949" s="200">
        <f t="shared" si="9835"/>
        <v>0</v>
      </c>
      <c r="AB1949" s="200">
        <f t="shared" si="9835"/>
        <v>0</v>
      </c>
      <c r="AC1949" s="200">
        <f t="shared" si="9835"/>
        <v>0</v>
      </c>
      <c r="AD1949" s="200">
        <f t="shared" si="11"/>
        <v>1</v>
      </c>
      <c r="AE1949" s="200">
        <f t="shared" ref="AE1949:AG1949" si="9836">countif($D1949,"*"&amp;AE$2&amp;"*")</f>
        <v>0</v>
      </c>
      <c r="AF1949" s="200">
        <f t="shared" si="9836"/>
        <v>0</v>
      </c>
      <c r="AG1949" s="200">
        <f t="shared" si="9836"/>
        <v>0</v>
      </c>
      <c r="AH1949" s="171">
        <f t="shared" si="13"/>
        <v>0</v>
      </c>
      <c r="AI1949" s="200">
        <f t="shared" si="14"/>
        <v>0</v>
      </c>
      <c r="AJ1949" s="200">
        <f t="shared" si="9837"/>
        <v>0</v>
      </c>
      <c r="AK1949" s="201">
        <f t="shared" ref="AK1949:AS1949" si="9838">countif($D1949,"*"&amp;AK$2&amp;"*")</f>
        <v>0</v>
      </c>
      <c r="AL1949" s="201">
        <f t="shared" si="9838"/>
        <v>0</v>
      </c>
      <c r="AM1949" s="201">
        <f t="shared" si="9838"/>
        <v>0</v>
      </c>
      <c r="AN1949" s="201">
        <f t="shared" si="9838"/>
        <v>0</v>
      </c>
      <c r="AO1949" s="201">
        <f t="shared" si="9838"/>
        <v>0</v>
      </c>
      <c r="AP1949" s="201">
        <f t="shared" si="9838"/>
        <v>0</v>
      </c>
      <c r="AQ1949" s="201">
        <f t="shared" si="9838"/>
        <v>0</v>
      </c>
      <c r="AR1949" s="201">
        <f t="shared" si="9838"/>
        <v>0</v>
      </c>
      <c r="AS1949" s="200">
        <f t="shared" si="9838"/>
        <v>0</v>
      </c>
      <c r="AT1949" s="205">
        <v>0.0</v>
      </c>
      <c r="AU1949" s="200">
        <f t="shared" ref="AU1949:AX1949" si="9839">countif($D1949,"*"&amp;AU$2&amp;"*")</f>
        <v>1</v>
      </c>
      <c r="AV1949" s="200">
        <f t="shared" si="9839"/>
        <v>0</v>
      </c>
      <c r="AW1949" s="200">
        <f t="shared" si="9839"/>
        <v>0</v>
      </c>
      <c r="AX1949" s="200">
        <f t="shared" si="9839"/>
        <v>0</v>
      </c>
      <c r="AY1949" s="202">
        <v>0.0</v>
      </c>
      <c r="AZ1949" s="200"/>
      <c r="BA1949" s="171" t="str">
        <f t="shared" si="18"/>
        <v/>
      </c>
      <c r="BB1949" s="171" t="str">
        <f t="shared" si="19"/>
        <v/>
      </c>
      <c r="BC1949" s="171" t="str">
        <f t="shared" si="20"/>
        <v/>
      </c>
      <c r="BD1949" s="171" t="str">
        <f t="shared" si="21"/>
        <v>Institutional</v>
      </c>
      <c r="BE1949" s="171" t="str">
        <f t="shared" si="22"/>
        <v/>
      </c>
      <c r="BF1949" s="171" t="str">
        <f t="shared" si="23"/>
        <v>Institutional</v>
      </c>
    </row>
    <row r="1950">
      <c r="A1950" s="171">
        <f t="array" ref="A1950">XLOOKUP(C1950,FSE!A:A,FSE!C:C,"XXXXX",0,1)</f>
        <v>2017</v>
      </c>
      <c r="B1950" s="213" t="s">
        <v>5676</v>
      </c>
      <c r="C1950" s="214">
        <v>569.0</v>
      </c>
      <c r="D1950" s="215" t="s">
        <v>3945</v>
      </c>
      <c r="E1950" s="197" t="str">
        <f t="array" ref="E1950">XLOOKUP(C1950,FSE!A:A,FSE!Z:Z,"XXXXX",0,1)</f>
        <v>Publicly Available (1)</v>
      </c>
      <c r="F1950" s="213" t="s">
        <v>3394</v>
      </c>
      <c r="G1950" s="163" t="str">
        <f t="array" ref="G1950">IF(B1950="ICSE",IF(COUNTIFS(B:B,B1950,C:C,C1950)=XLOOKUP(C1950,ICSE!A:A,ICSE!AA:AA,"ERROR",0,1),"OK","ERROR"),IF(B1950="FSE",IF(COUNTIFS(B:B,B1950,C:C,C1950)=XLOOKUP(C1950,FSE!A:A,FSE!AA:AA,"ERROR",0,1),"OK","ERROR")))</f>
        <v>OK</v>
      </c>
      <c r="H1950" s="199">
        <f t="shared" ref="H1950:O1950" si="9840">countif($D1950,"*"&amp;H$2&amp;"*")</f>
        <v>0</v>
      </c>
      <c r="I1950" s="200">
        <f t="shared" si="9840"/>
        <v>0</v>
      </c>
      <c r="J1950" s="200">
        <f t="shared" si="9840"/>
        <v>0</v>
      </c>
      <c r="K1950" s="200">
        <f t="shared" si="9840"/>
        <v>0</v>
      </c>
      <c r="L1950" s="200">
        <f t="shared" si="9840"/>
        <v>0</v>
      </c>
      <c r="M1950" s="200">
        <f t="shared" si="9840"/>
        <v>0</v>
      </c>
      <c r="N1950" s="200">
        <f t="shared" si="9840"/>
        <v>0</v>
      </c>
      <c r="O1950" s="200">
        <f t="shared" si="9840"/>
        <v>0</v>
      </c>
      <c r="P1950" s="200">
        <f t="shared" si="9"/>
        <v>1</v>
      </c>
      <c r="Q1950" s="200">
        <f t="shared" ref="Q1950:AC1950" si="9841">countif($D1950,"*"&amp;Q$2&amp;"*")</f>
        <v>0</v>
      </c>
      <c r="R1950" s="200">
        <f t="shared" si="9841"/>
        <v>0</v>
      </c>
      <c r="S1950" s="200">
        <f t="shared" si="9841"/>
        <v>0</v>
      </c>
      <c r="T1950" s="200">
        <f t="shared" si="9841"/>
        <v>0</v>
      </c>
      <c r="U1950" s="200">
        <f t="shared" si="9841"/>
        <v>0</v>
      </c>
      <c r="V1950" s="200">
        <f t="shared" si="9841"/>
        <v>0</v>
      </c>
      <c r="W1950" s="200">
        <f t="shared" si="9841"/>
        <v>0</v>
      </c>
      <c r="X1950" s="200">
        <f t="shared" si="9841"/>
        <v>0</v>
      </c>
      <c r="Y1950" s="200">
        <f t="shared" si="9841"/>
        <v>0</v>
      </c>
      <c r="Z1950" s="200">
        <f t="shared" si="9841"/>
        <v>0</v>
      </c>
      <c r="AA1950" s="200">
        <f t="shared" si="9841"/>
        <v>0</v>
      </c>
      <c r="AB1950" s="200">
        <f t="shared" si="9841"/>
        <v>0</v>
      </c>
      <c r="AC1950" s="200">
        <f t="shared" si="9841"/>
        <v>0</v>
      </c>
      <c r="AD1950" s="200">
        <f t="shared" si="11"/>
        <v>0</v>
      </c>
      <c r="AE1950" s="200">
        <f t="shared" ref="AE1950:AG1950" si="9842">countif($D1950,"*"&amp;AE$2&amp;"*")</f>
        <v>0</v>
      </c>
      <c r="AF1950" s="200">
        <f t="shared" si="9842"/>
        <v>0</v>
      </c>
      <c r="AG1950" s="200">
        <f t="shared" si="9842"/>
        <v>0</v>
      </c>
      <c r="AH1950" s="171">
        <f t="shared" si="13"/>
        <v>0</v>
      </c>
      <c r="AI1950" s="200">
        <f t="shared" si="14"/>
        <v>0</v>
      </c>
      <c r="AJ1950" s="200">
        <f t="shared" ref="AJ1950:AJ1953" si="9848">SUM(AK1950:AR1950)</f>
        <v>0</v>
      </c>
      <c r="AK1950" s="201">
        <f t="shared" ref="AK1950:AS1950" si="9843">countif($D1950,"*"&amp;AK$2&amp;"*")</f>
        <v>0</v>
      </c>
      <c r="AL1950" s="201">
        <f t="shared" si="9843"/>
        <v>0</v>
      </c>
      <c r="AM1950" s="201">
        <f t="shared" si="9843"/>
        <v>0</v>
      </c>
      <c r="AN1950" s="201">
        <f t="shared" si="9843"/>
        <v>0</v>
      </c>
      <c r="AO1950" s="201">
        <f t="shared" si="9843"/>
        <v>0</v>
      </c>
      <c r="AP1950" s="201">
        <f t="shared" si="9843"/>
        <v>0</v>
      </c>
      <c r="AQ1950" s="201">
        <f t="shared" si="9843"/>
        <v>0</v>
      </c>
      <c r="AR1950" s="200">
        <f t="shared" si="9843"/>
        <v>0</v>
      </c>
      <c r="AS1950" s="200">
        <f t="shared" si="9843"/>
        <v>0</v>
      </c>
      <c r="AT1950" s="173">
        <v>0.0</v>
      </c>
      <c r="AU1950" s="200">
        <f t="shared" ref="AU1950:AX1950" si="9844">countif($D1950,"*"&amp;AU$2&amp;"*")</f>
        <v>0</v>
      </c>
      <c r="AV1950" s="200">
        <f t="shared" si="9844"/>
        <v>1</v>
      </c>
      <c r="AW1950" s="200">
        <f t="shared" si="9844"/>
        <v>0</v>
      </c>
      <c r="AX1950" s="200">
        <f t="shared" si="9844"/>
        <v>0</v>
      </c>
      <c r="AY1950" s="202">
        <v>0.0</v>
      </c>
      <c r="AZ1950" s="200"/>
      <c r="BA1950" s="171" t="str">
        <f t="shared" si="18"/>
        <v/>
      </c>
      <c r="BB1950" s="171" t="str">
        <f t="shared" si="19"/>
        <v>Code</v>
      </c>
      <c r="BC1950" s="171" t="str">
        <f t="shared" si="20"/>
        <v/>
      </c>
      <c r="BD1950" s="171" t="str">
        <f t="shared" si="21"/>
        <v/>
      </c>
      <c r="BE1950" s="171" t="str">
        <f t="shared" si="22"/>
        <v/>
      </c>
      <c r="BF1950" s="171" t="str">
        <f t="shared" si="23"/>
        <v>Code</v>
      </c>
    </row>
    <row r="1951">
      <c r="A1951" s="171">
        <f t="array" ref="A1951">XLOOKUP(C1951,FSE!A:A,FSE!C:C,"XXXXX",0,1)</f>
        <v>2017</v>
      </c>
      <c r="B1951" s="213" t="s">
        <v>5676</v>
      </c>
      <c r="C1951" s="214">
        <v>570.0</v>
      </c>
      <c r="D1951" s="217" t="s">
        <v>3948</v>
      </c>
      <c r="E1951" s="197" t="str">
        <f t="array" ref="E1951">XLOOKUP(C1951,FSE!A:A,FSE!Z:Z,"XXXXX",0,1)</f>
        <v>Publicly Available (1)</v>
      </c>
      <c r="F1951" s="213" t="s">
        <v>3394</v>
      </c>
      <c r="G1951" s="163" t="str">
        <f t="array" ref="G1951">IF(B1951="ICSE",IF(COUNTIFS(B:B,B1951,C:C,C1951)=XLOOKUP(C1951,ICSE!A:A,ICSE!AA:AA,"ERROR",0,1),"OK","ERROR"),IF(B1951="FSE",IF(COUNTIFS(B:B,B1951,C:C,C1951)=XLOOKUP(C1951,FSE!A:A,FSE!AA:AA,"ERROR",0,1),"OK","ERROR")))</f>
        <v>OK</v>
      </c>
      <c r="H1951" s="199">
        <f t="shared" ref="H1951:O1951" si="9845">countif($D1951,"*"&amp;H$2&amp;"*")</f>
        <v>0</v>
      </c>
      <c r="I1951" s="200">
        <f t="shared" si="9845"/>
        <v>0</v>
      </c>
      <c r="J1951" s="200">
        <f t="shared" si="9845"/>
        <v>0</v>
      </c>
      <c r="K1951" s="200">
        <f t="shared" si="9845"/>
        <v>0</v>
      </c>
      <c r="L1951" s="200">
        <f t="shared" si="9845"/>
        <v>0</v>
      </c>
      <c r="M1951" s="200">
        <f t="shared" si="9845"/>
        <v>0</v>
      </c>
      <c r="N1951" s="200">
        <f t="shared" si="9845"/>
        <v>0</v>
      </c>
      <c r="O1951" s="200">
        <f t="shared" si="9845"/>
        <v>0</v>
      </c>
      <c r="P1951" s="200">
        <f t="shared" si="9"/>
        <v>0</v>
      </c>
      <c r="Q1951" s="200">
        <f t="shared" ref="Q1951:AC1951" si="9846">countif($D1951,"*"&amp;Q$2&amp;"*")</f>
        <v>0</v>
      </c>
      <c r="R1951" s="200">
        <f t="shared" si="9846"/>
        <v>0</v>
      </c>
      <c r="S1951" s="200">
        <f t="shared" si="9846"/>
        <v>0</v>
      </c>
      <c r="T1951" s="200">
        <f t="shared" si="9846"/>
        <v>0</v>
      </c>
      <c r="U1951" s="200">
        <f t="shared" si="9846"/>
        <v>0</v>
      </c>
      <c r="V1951" s="200">
        <f t="shared" si="9846"/>
        <v>0</v>
      </c>
      <c r="W1951" s="200">
        <f t="shared" si="9846"/>
        <v>0</v>
      </c>
      <c r="X1951" s="200">
        <f t="shared" si="9846"/>
        <v>0</v>
      </c>
      <c r="Y1951" s="200">
        <f t="shared" si="9846"/>
        <v>0</v>
      </c>
      <c r="Z1951" s="200">
        <f t="shared" si="9846"/>
        <v>0</v>
      </c>
      <c r="AA1951" s="200">
        <f t="shared" si="9846"/>
        <v>0</v>
      </c>
      <c r="AB1951" s="200">
        <f t="shared" si="9846"/>
        <v>0</v>
      </c>
      <c r="AC1951" s="200">
        <f t="shared" si="9846"/>
        <v>0</v>
      </c>
      <c r="AD1951" s="200">
        <f t="shared" si="11"/>
        <v>0</v>
      </c>
      <c r="AE1951" s="200">
        <f t="shared" ref="AE1951:AG1951" si="9847">countif($D1951,"*"&amp;AE$2&amp;"*")</f>
        <v>0</v>
      </c>
      <c r="AF1951" s="200">
        <f t="shared" si="9847"/>
        <v>0</v>
      </c>
      <c r="AG1951" s="200">
        <f t="shared" si="9847"/>
        <v>0</v>
      </c>
      <c r="AH1951" s="171">
        <f t="shared" si="13"/>
        <v>1</v>
      </c>
      <c r="AI1951" s="200">
        <f t="shared" si="14"/>
        <v>0</v>
      </c>
      <c r="AJ1951" s="200">
        <f t="shared" si="9848"/>
        <v>0</v>
      </c>
      <c r="AK1951" s="201">
        <f t="shared" ref="AK1951:AS1951" si="9849">countif($D1951,"*"&amp;AK$2&amp;"*")</f>
        <v>0</v>
      </c>
      <c r="AL1951" s="201">
        <f t="shared" si="9849"/>
        <v>0</v>
      </c>
      <c r="AM1951" s="201">
        <f t="shared" si="9849"/>
        <v>0</v>
      </c>
      <c r="AN1951" s="201">
        <f t="shared" si="9849"/>
        <v>0</v>
      </c>
      <c r="AO1951" s="201">
        <f t="shared" si="9849"/>
        <v>0</v>
      </c>
      <c r="AP1951" s="201">
        <f t="shared" si="9849"/>
        <v>0</v>
      </c>
      <c r="AQ1951" s="201">
        <f t="shared" si="9849"/>
        <v>0</v>
      </c>
      <c r="AR1951" s="200">
        <f t="shared" si="9849"/>
        <v>0</v>
      </c>
      <c r="AS1951" s="200">
        <f t="shared" si="9849"/>
        <v>0</v>
      </c>
      <c r="AT1951" s="173">
        <v>0.0</v>
      </c>
      <c r="AU1951" s="200">
        <f t="shared" ref="AU1951:AX1951" si="9850">countif($D1951,"*"&amp;AU$2&amp;"*")</f>
        <v>0</v>
      </c>
      <c r="AV1951" s="200">
        <f t="shared" si="9850"/>
        <v>0</v>
      </c>
      <c r="AW1951" s="200">
        <f t="shared" si="9850"/>
        <v>0</v>
      </c>
      <c r="AX1951" s="200">
        <f t="shared" si="9850"/>
        <v>0</v>
      </c>
      <c r="AY1951" s="202">
        <v>0.0</v>
      </c>
      <c r="AZ1951" s="200"/>
      <c r="BA1951" s="171" t="str">
        <f t="shared" si="18"/>
        <v/>
      </c>
      <c r="BB1951" s="171" t="str">
        <f t="shared" si="19"/>
        <v/>
      </c>
      <c r="BC1951" s="171" t="str">
        <f t="shared" si="20"/>
        <v/>
      </c>
      <c r="BD1951" s="171" t="str">
        <f t="shared" si="21"/>
        <v/>
      </c>
      <c r="BE1951" s="171" t="str">
        <f t="shared" si="22"/>
        <v>Others</v>
      </c>
      <c r="BF1951" s="171" t="str">
        <f t="shared" si="23"/>
        <v>Others</v>
      </c>
    </row>
    <row r="1952">
      <c r="A1952" s="171">
        <f t="array" ref="A1952">XLOOKUP(C1952,FSE!A:A,FSE!C:C,"XXXXX",0,1)</f>
        <v>2017</v>
      </c>
      <c r="B1952" s="213" t="s">
        <v>5676</v>
      </c>
      <c r="C1952" s="214">
        <v>571.0</v>
      </c>
      <c r="D1952" s="215" t="s">
        <v>3951</v>
      </c>
      <c r="E1952" s="197" t="str">
        <f t="array" ref="E1952">XLOOKUP(C1952,FSE!A:A,FSE!Z:Z,"XXXXX",0,1)</f>
        <v>Publicly Available (1)</v>
      </c>
      <c r="F1952" s="213" t="s">
        <v>3394</v>
      </c>
      <c r="G1952" s="163" t="str">
        <f t="array" ref="G1952">IF(B1952="ICSE",IF(COUNTIFS(B:B,B1952,C:C,C1952)=XLOOKUP(C1952,ICSE!A:A,ICSE!AA:AA,"ERROR",0,1),"OK","ERROR"),IF(B1952="FSE",IF(COUNTIFS(B:B,B1952,C:C,C1952)=XLOOKUP(C1952,FSE!A:A,FSE!AA:AA,"ERROR",0,1),"OK","ERROR")))</f>
        <v>OK</v>
      </c>
      <c r="H1952" s="199">
        <f t="shared" ref="H1952:O1952" si="9851">countif($D1952,"*"&amp;H$2&amp;"*")</f>
        <v>0</v>
      </c>
      <c r="I1952" s="200">
        <f t="shared" si="9851"/>
        <v>0</v>
      </c>
      <c r="J1952" s="200">
        <f t="shared" si="9851"/>
        <v>0</v>
      </c>
      <c r="K1952" s="200">
        <f t="shared" si="9851"/>
        <v>0</v>
      </c>
      <c r="L1952" s="200">
        <f t="shared" si="9851"/>
        <v>0</v>
      </c>
      <c r="M1952" s="200">
        <f t="shared" si="9851"/>
        <v>0</v>
      </c>
      <c r="N1952" s="200">
        <f t="shared" si="9851"/>
        <v>0</v>
      </c>
      <c r="O1952" s="200">
        <f t="shared" si="9851"/>
        <v>0</v>
      </c>
      <c r="P1952" s="200">
        <f t="shared" si="9"/>
        <v>1</v>
      </c>
      <c r="Q1952" s="200">
        <f t="shared" ref="Q1952:AC1952" si="9852">countif($D1952,"*"&amp;Q$2&amp;"*")</f>
        <v>0</v>
      </c>
      <c r="R1952" s="200">
        <f t="shared" si="9852"/>
        <v>0</v>
      </c>
      <c r="S1952" s="200">
        <f t="shared" si="9852"/>
        <v>0</v>
      </c>
      <c r="T1952" s="200">
        <f t="shared" si="9852"/>
        <v>0</v>
      </c>
      <c r="U1952" s="200">
        <f t="shared" si="9852"/>
        <v>0</v>
      </c>
      <c r="V1952" s="200">
        <f t="shared" si="9852"/>
        <v>0</v>
      </c>
      <c r="W1952" s="200">
        <f t="shared" si="9852"/>
        <v>0</v>
      </c>
      <c r="X1952" s="200">
        <f t="shared" si="9852"/>
        <v>0</v>
      </c>
      <c r="Y1952" s="200">
        <f t="shared" si="9852"/>
        <v>0</v>
      </c>
      <c r="Z1952" s="200">
        <f t="shared" si="9852"/>
        <v>0</v>
      </c>
      <c r="AA1952" s="200">
        <f t="shared" si="9852"/>
        <v>0</v>
      </c>
      <c r="AB1952" s="200">
        <f t="shared" si="9852"/>
        <v>0</v>
      </c>
      <c r="AC1952" s="200">
        <f t="shared" si="9852"/>
        <v>0</v>
      </c>
      <c r="AD1952" s="200">
        <f t="shared" si="11"/>
        <v>0</v>
      </c>
      <c r="AE1952" s="200">
        <f t="shared" ref="AE1952:AG1952" si="9853">countif($D1952,"*"&amp;AE$2&amp;"*")</f>
        <v>0</v>
      </c>
      <c r="AF1952" s="200">
        <f t="shared" si="9853"/>
        <v>0</v>
      </c>
      <c r="AG1952" s="200">
        <f t="shared" si="9853"/>
        <v>0</v>
      </c>
      <c r="AH1952" s="171">
        <f t="shared" si="13"/>
        <v>0</v>
      </c>
      <c r="AI1952" s="200">
        <f t="shared" si="14"/>
        <v>0</v>
      </c>
      <c r="AJ1952" s="200">
        <f t="shared" si="9848"/>
        <v>0</v>
      </c>
      <c r="AK1952" s="201">
        <f t="shared" ref="AK1952:AS1952" si="9854">countif($D1952,"*"&amp;AK$2&amp;"*")</f>
        <v>0</v>
      </c>
      <c r="AL1952" s="201">
        <f t="shared" si="9854"/>
        <v>0</v>
      </c>
      <c r="AM1952" s="201">
        <f t="shared" si="9854"/>
        <v>0</v>
      </c>
      <c r="AN1952" s="201">
        <f t="shared" si="9854"/>
        <v>0</v>
      </c>
      <c r="AO1952" s="201">
        <f t="shared" si="9854"/>
        <v>0</v>
      </c>
      <c r="AP1952" s="201">
        <f t="shared" si="9854"/>
        <v>0</v>
      </c>
      <c r="AQ1952" s="201">
        <f t="shared" si="9854"/>
        <v>0</v>
      </c>
      <c r="AR1952" s="200">
        <f t="shared" si="9854"/>
        <v>0</v>
      </c>
      <c r="AS1952" s="200">
        <f t="shared" si="9854"/>
        <v>0</v>
      </c>
      <c r="AT1952" s="173">
        <v>0.0</v>
      </c>
      <c r="AU1952" s="200">
        <f t="shared" ref="AU1952:AX1952" si="9855">countif($D1952,"*"&amp;AU$2&amp;"*")</f>
        <v>0</v>
      </c>
      <c r="AV1952" s="200">
        <f t="shared" si="9855"/>
        <v>1</v>
      </c>
      <c r="AW1952" s="200">
        <f t="shared" si="9855"/>
        <v>0</v>
      </c>
      <c r="AX1952" s="200">
        <f t="shared" si="9855"/>
        <v>0</v>
      </c>
      <c r="AY1952" s="202">
        <v>0.0</v>
      </c>
      <c r="AZ1952" s="200"/>
      <c r="BA1952" s="171" t="str">
        <f t="shared" si="18"/>
        <v/>
      </c>
      <c r="BB1952" s="171" t="str">
        <f t="shared" si="19"/>
        <v>Code</v>
      </c>
      <c r="BC1952" s="171" t="str">
        <f t="shared" si="20"/>
        <v/>
      </c>
      <c r="BD1952" s="171" t="str">
        <f t="shared" si="21"/>
        <v/>
      </c>
      <c r="BE1952" s="171" t="str">
        <f t="shared" si="22"/>
        <v/>
      </c>
      <c r="BF1952" s="171" t="str">
        <f t="shared" si="23"/>
        <v>Code</v>
      </c>
    </row>
    <row r="1953">
      <c r="A1953" s="171">
        <f t="array" ref="A1953">XLOOKUP(C1953,FSE!A:A,FSE!C:C,"XXXXX",0,1)</f>
        <v>2017</v>
      </c>
      <c r="B1953" s="213" t="s">
        <v>5676</v>
      </c>
      <c r="C1953" s="214">
        <v>574.0</v>
      </c>
      <c r="D1953" s="215" t="s">
        <v>3956</v>
      </c>
      <c r="E1953" s="197" t="str">
        <f t="array" ref="E1953">XLOOKUP(C1953,FSE!A:A,FSE!Z:Z,"XXXXX",0,1)</f>
        <v>Publicly Available (1)</v>
      </c>
      <c r="F1953" s="213" t="s">
        <v>3394</v>
      </c>
      <c r="G1953" s="163" t="str">
        <f t="array" ref="G1953">IF(B1953="ICSE",IF(COUNTIFS(B:B,B1953,C:C,C1953)=XLOOKUP(C1953,ICSE!A:A,ICSE!AA:AA,"ERROR",0,1),"OK","ERROR"),IF(B1953="FSE",IF(COUNTIFS(B:B,B1953,C:C,C1953)=XLOOKUP(C1953,FSE!A:A,FSE!AA:AA,"ERROR",0,1),"OK","ERROR")))</f>
        <v>OK</v>
      </c>
      <c r="H1953" s="199">
        <f t="shared" ref="H1953:O1953" si="9856">countif($D1953,"*"&amp;H$2&amp;"*")</f>
        <v>0</v>
      </c>
      <c r="I1953" s="200">
        <f t="shared" si="9856"/>
        <v>0</v>
      </c>
      <c r="J1953" s="200">
        <f t="shared" si="9856"/>
        <v>0</v>
      </c>
      <c r="K1953" s="200">
        <f t="shared" si="9856"/>
        <v>0</v>
      </c>
      <c r="L1953" s="200">
        <f t="shared" si="9856"/>
        <v>0</v>
      </c>
      <c r="M1953" s="200">
        <f t="shared" si="9856"/>
        <v>0</v>
      </c>
      <c r="N1953" s="200">
        <f t="shared" si="9856"/>
        <v>0</v>
      </c>
      <c r="O1953" s="200">
        <f t="shared" si="9856"/>
        <v>0</v>
      </c>
      <c r="P1953" s="200">
        <f t="shared" si="9"/>
        <v>1</v>
      </c>
      <c r="Q1953" s="200">
        <f t="shared" ref="Q1953:AC1953" si="9857">countif($D1953,"*"&amp;Q$2&amp;"*")</f>
        <v>0</v>
      </c>
      <c r="R1953" s="200">
        <f t="shared" si="9857"/>
        <v>0</v>
      </c>
      <c r="S1953" s="200">
        <f t="shared" si="9857"/>
        <v>0</v>
      </c>
      <c r="T1953" s="200">
        <f t="shared" si="9857"/>
        <v>0</v>
      </c>
      <c r="U1953" s="200">
        <f t="shared" si="9857"/>
        <v>0</v>
      </c>
      <c r="V1953" s="200">
        <f t="shared" si="9857"/>
        <v>0</v>
      </c>
      <c r="W1953" s="200">
        <f t="shared" si="9857"/>
        <v>0</v>
      </c>
      <c r="X1953" s="200">
        <f t="shared" si="9857"/>
        <v>0</v>
      </c>
      <c r="Y1953" s="200">
        <f t="shared" si="9857"/>
        <v>0</v>
      </c>
      <c r="Z1953" s="200">
        <f t="shared" si="9857"/>
        <v>0</v>
      </c>
      <c r="AA1953" s="200">
        <f t="shared" si="9857"/>
        <v>0</v>
      </c>
      <c r="AB1953" s="200">
        <f t="shared" si="9857"/>
        <v>0</v>
      </c>
      <c r="AC1953" s="200">
        <f t="shared" si="9857"/>
        <v>0</v>
      </c>
      <c r="AD1953" s="200">
        <f t="shared" si="11"/>
        <v>0</v>
      </c>
      <c r="AE1953" s="200">
        <f t="shared" ref="AE1953:AG1953" si="9858">countif($D1953,"*"&amp;AE$2&amp;"*")</f>
        <v>0</v>
      </c>
      <c r="AF1953" s="200">
        <f t="shared" si="9858"/>
        <v>0</v>
      </c>
      <c r="AG1953" s="200">
        <f t="shared" si="9858"/>
        <v>0</v>
      </c>
      <c r="AH1953" s="171">
        <f t="shared" si="13"/>
        <v>0</v>
      </c>
      <c r="AI1953" s="200">
        <f t="shared" si="14"/>
        <v>0</v>
      </c>
      <c r="AJ1953" s="200">
        <f t="shared" si="9848"/>
        <v>0</v>
      </c>
      <c r="AK1953" s="201">
        <f t="shared" ref="AK1953:AS1953" si="9859">countif($D1953,"*"&amp;AK$2&amp;"*")</f>
        <v>0</v>
      </c>
      <c r="AL1953" s="201">
        <f t="shared" si="9859"/>
        <v>0</v>
      </c>
      <c r="AM1953" s="201">
        <f t="shared" si="9859"/>
        <v>0</v>
      </c>
      <c r="AN1953" s="201">
        <f t="shared" si="9859"/>
        <v>0</v>
      </c>
      <c r="AO1953" s="201">
        <f t="shared" si="9859"/>
        <v>0</v>
      </c>
      <c r="AP1953" s="201">
        <f t="shared" si="9859"/>
        <v>0</v>
      </c>
      <c r="AQ1953" s="201">
        <f t="shared" si="9859"/>
        <v>0</v>
      </c>
      <c r="AR1953" s="200">
        <f t="shared" si="9859"/>
        <v>0</v>
      </c>
      <c r="AS1953" s="200">
        <f t="shared" si="9859"/>
        <v>0</v>
      </c>
      <c r="AT1953" s="173">
        <v>0.0</v>
      </c>
      <c r="AU1953" s="200">
        <f t="shared" ref="AU1953:AX1953" si="9860">countif($D1953,"*"&amp;AU$2&amp;"*")</f>
        <v>0</v>
      </c>
      <c r="AV1953" s="200">
        <f t="shared" si="9860"/>
        <v>1</v>
      </c>
      <c r="AW1953" s="200">
        <f t="shared" si="9860"/>
        <v>0</v>
      </c>
      <c r="AX1953" s="200">
        <f t="shared" si="9860"/>
        <v>0</v>
      </c>
      <c r="AY1953" s="202">
        <v>0.0</v>
      </c>
      <c r="AZ1953" s="200"/>
      <c r="BA1953" s="171" t="str">
        <f t="shared" si="18"/>
        <v/>
      </c>
      <c r="BB1953" s="171" t="str">
        <f t="shared" si="19"/>
        <v>Code</v>
      </c>
      <c r="BC1953" s="171" t="str">
        <f t="shared" si="20"/>
        <v/>
      </c>
      <c r="BD1953" s="171" t="str">
        <f t="shared" si="21"/>
        <v/>
      </c>
      <c r="BE1953" s="171" t="str">
        <f t="shared" si="22"/>
        <v/>
      </c>
      <c r="BF1953" s="171" t="str">
        <f t="shared" si="23"/>
        <v>Code</v>
      </c>
    </row>
    <row r="1954">
      <c r="A1954" s="171">
        <f t="array" ref="A1954">XLOOKUP(C1954,FSE!A:A,FSE!C:C,"XXXXX",0,1)</f>
        <v>2017</v>
      </c>
      <c r="B1954" s="213" t="s">
        <v>5676</v>
      </c>
      <c r="C1954" s="214">
        <v>576.0</v>
      </c>
      <c r="D1954" s="215" t="s">
        <v>3959</v>
      </c>
      <c r="E1954" s="197" t="str">
        <f t="array" ref="E1954">XLOOKUP(C1954,FSE!A:A,FSE!Z:Z,"XXXXX",0,1)</f>
        <v>Not Available (1)</v>
      </c>
      <c r="F1954" s="213" t="s">
        <v>3395</v>
      </c>
      <c r="G1954" s="163" t="str">
        <f t="array" ref="G1954">IF(B1954="ICSE",IF(COUNTIFS(B:B,B1954,C:C,C1954)=XLOOKUP(C1954,ICSE!A:A,ICSE!AA:AA,"ERROR",0,1),"OK","ERROR"),IF(B1954="FSE",IF(COUNTIFS(B:B,B1954,C:C,C1954)=XLOOKUP(C1954,FSE!A:A,FSE!AA:AA,"ERROR",0,1),"OK","ERROR")))</f>
        <v>OK</v>
      </c>
      <c r="H1954" s="199">
        <f t="shared" ref="H1954:O1954" si="9861">countif($D1954,"*"&amp;H$2&amp;"*")</f>
        <v>0</v>
      </c>
      <c r="I1954" s="200">
        <f t="shared" si="9861"/>
        <v>0</v>
      </c>
      <c r="J1954" s="200">
        <f t="shared" si="9861"/>
        <v>0</v>
      </c>
      <c r="K1954" s="200">
        <f t="shared" si="9861"/>
        <v>0</v>
      </c>
      <c r="L1954" s="200">
        <f t="shared" si="9861"/>
        <v>0</v>
      </c>
      <c r="M1954" s="200">
        <f t="shared" si="9861"/>
        <v>0</v>
      </c>
      <c r="N1954" s="200">
        <f t="shared" si="9861"/>
        <v>0</v>
      </c>
      <c r="O1954" s="200">
        <f t="shared" si="9861"/>
        <v>0</v>
      </c>
      <c r="P1954" s="200">
        <f t="shared" si="9"/>
        <v>0</v>
      </c>
      <c r="Q1954" s="200">
        <f t="shared" ref="Q1954:AC1954" si="9862">countif($D1954,"*"&amp;Q$2&amp;"*")</f>
        <v>0</v>
      </c>
      <c r="R1954" s="200">
        <f t="shared" si="9862"/>
        <v>0</v>
      </c>
      <c r="S1954" s="200">
        <f t="shared" si="9862"/>
        <v>0</v>
      </c>
      <c r="T1954" s="200">
        <f t="shared" si="9862"/>
        <v>0</v>
      </c>
      <c r="U1954" s="200">
        <f t="shared" si="9862"/>
        <v>0</v>
      </c>
      <c r="V1954" s="200">
        <f t="shared" si="9862"/>
        <v>0</v>
      </c>
      <c r="W1954" s="200">
        <f t="shared" si="9862"/>
        <v>0</v>
      </c>
      <c r="X1954" s="200">
        <f t="shared" si="9862"/>
        <v>0</v>
      </c>
      <c r="Y1954" s="200">
        <f t="shared" si="9862"/>
        <v>0</v>
      </c>
      <c r="Z1954" s="200">
        <f t="shared" si="9862"/>
        <v>0</v>
      </c>
      <c r="AA1954" s="200">
        <f t="shared" si="9862"/>
        <v>0</v>
      </c>
      <c r="AB1954" s="200">
        <f t="shared" si="9862"/>
        <v>0</v>
      </c>
      <c r="AC1954" s="200">
        <f t="shared" si="9862"/>
        <v>0</v>
      </c>
      <c r="AD1954" s="200">
        <f t="shared" si="11"/>
        <v>1</v>
      </c>
      <c r="AE1954" s="200">
        <f t="shared" ref="AE1954:AG1954" si="9863">countif($D1954,"*"&amp;AE$2&amp;"*")</f>
        <v>0</v>
      </c>
      <c r="AF1954" s="200">
        <f t="shared" si="9863"/>
        <v>0</v>
      </c>
      <c r="AG1954" s="200">
        <f t="shared" si="9863"/>
        <v>0</v>
      </c>
      <c r="AH1954" s="171">
        <f t="shared" si="13"/>
        <v>0</v>
      </c>
      <c r="AI1954" s="200">
        <f t="shared" si="14"/>
        <v>0</v>
      </c>
      <c r="AJ1954" s="200">
        <f t="shared" ref="AJ1954:AJ1956" si="9869">SUM(AK1954:AQ1954)</f>
        <v>0</v>
      </c>
      <c r="AK1954" s="201">
        <f t="shared" ref="AK1954:AS1954" si="9864">countif($D1954,"*"&amp;AK$2&amp;"*")</f>
        <v>0</v>
      </c>
      <c r="AL1954" s="201">
        <f t="shared" si="9864"/>
        <v>0</v>
      </c>
      <c r="AM1954" s="201">
        <f t="shared" si="9864"/>
        <v>0</v>
      </c>
      <c r="AN1954" s="201">
        <f t="shared" si="9864"/>
        <v>0</v>
      </c>
      <c r="AO1954" s="201">
        <f t="shared" si="9864"/>
        <v>0</v>
      </c>
      <c r="AP1954" s="201">
        <f t="shared" si="9864"/>
        <v>0</v>
      </c>
      <c r="AQ1954" s="201">
        <f t="shared" si="9864"/>
        <v>0</v>
      </c>
      <c r="AR1954" s="201">
        <f t="shared" si="9864"/>
        <v>0</v>
      </c>
      <c r="AS1954" s="200">
        <f t="shared" si="9864"/>
        <v>0</v>
      </c>
      <c r="AT1954" s="205">
        <v>0.0</v>
      </c>
      <c r="AU1954" s="200">
        <f t="shared" ref="AU1954:AX1954" si="9865">countif($D1954,"*"&amp;AU$2&amp;"*")</f>
        <v>1</v>
      </c>
      <c r="AV1954" s="200">
        <f t="shared" si="9865"/>
        <v>0</v>
      </c>
      <c r="AW1954" s="200">
        <f t="shared" si="9865"/>
        <v>0</v>
      </c>
      <c r="AX1954" s="200">
        <f t="shared" si="9865"/>
        <v>0</v>
      </c>
      <c r="AY1954" s="202">
        <v>0.0</v>
      </c>
      <c r="AZ1954" s="200"/>
      <c r="BA1954" s="171" t="str">
        <f t="shared" si="18"/>
        <v/>
      </c>
      <c r="BB1954" s="171" t="str">
        <f t="shared" si="19"/>
        <v/>
      </c>
      <c r="BC1954" s="171" t="str">
        <f t="shared" si="20"/>
        <v/>
      </c>
      <c r="BD1954" s="171" t="str">
        <f t="shared" si="21"/>
        <v>Institutional</v>
      </c>
      <c r="BE1954" s="171" t="str">
        <f t="shared" si="22"/>
        <v/>
      </c>
      <c r="BF1954" s="171" t="str">
        <f t="shared" si="23"/>
        <v>Institutional</v>
      </c>
    </row>
    <row r="1955">
      <c r="A1955" s="171">
        <f t="array" ref="A1955">XLOOKUP(C1955,FSE!A:A,FSE!C:C,"XXXXX",0,1)</f>
        <v>2017</v>
      </c>
      <c r="B1955" s="213" t="s">
        <v>5676</v>
      </c>
      <c r="C1955" s="214">
        <v>577.0</v>
      </c>
      <c r="D1955" s="215" t="s">
        <v>3963</v>
      </c>
      <c r="E1955" s="197" t="str">
        <f t="array" ref="E1955">XLOOKUP(C1955,FSE!A:A,FSE!Z:Z,"XXXXX",0,1)</f>
        <v>Publicly Available (1)</v>
      </c>
      <c r="F1955" s="213" t="s">
        <v>3394</v>
      </c>
      <c r="G1955" s="163" t="str">
        <f t="array" ref="G1955">IF(B1955="ICSE",IF(COUNTIFS(B:B,B1955,C:C,C1955)=XLOOKUP(C1955,ICSE!A:A,ICSE!AA:AA,"ERROR",0,1),"OK","ERROR"),IF(B1955="FSE",IF(COUNTIFS(B:B,B1955,C:C,C1955)=XLOOKUP(C1955,FSE!A:A,FSE!AA:AA,"ERROR",0,1),"OK","ERROR")))</f>
        <v>OK</v>
      </c>
      <c r="H1955" s="199">
        <f t="shared" ref="H1955:O1955" si="9866">countif($D1955,"*"&amp;H$2&amp;"*")</f>
        <v>0</v>
      </c>
      <c r="I1955" s="200">
        <f t="shared" si="9866"/>
        <v>0</v>
      </c>
      <c r="J1955" s="200">
        <f t="shared" si="9866"/>
        <v>0</v>
      </c>
      <c r="K1955" s="200">
        <f t="shared" si="9866"/>
        <v>0</v>
      </c>
      <c r="L1955" s="200">
        <f t="shared" si="9866"/>
        <v>0</v>
      </c>
      <c r="M1955" s="200">
        <f t="shared" si="9866"/>
        <v>0</v>
      </c>
      <c r="N1955" s="200">
        <f t="shared" si="9866"/>
        <v>0</v>
      </c>
      <c r="O1955" s="200">
        <f t="shared" si="9866"/>
        <v>0</v>
      </c>
      <c r="P1955" s="200">
        <f t="shared" si="9"/>
        <v>0</v>
      </c>
      <c r="Q1955" s="200">
        <f t="shared" ref="Q1955:AC1955" si="9867">countif($D1955,"*"&amp;Q$2&amp;"*")</f>
        <v>0</v>
      </c>
      <c r="R1955" s="200">
        <f t="shared" si="9867"/>
        <v>0</v>
      </c>
      <c r="S1955" s="200">
        <f t="shared" si="9867"/>
        <v>0</v>
      </c>
      <c r="T1955" s="200">
        <f t="shared" si="9867"/>
        <v>0</v>
      </c>
      <c r="U1955" s="200">
        <f t="shared" si="9867"/>
        <v>0</v>
      </c>
      <c r="V1955" s="200">
        <f t="shared" si="9867"/>
        <v>0</v>
      </c>
      <c r="W1955" s="200">
        <f t="shared" si="9867"/>
        <v>0</v>
      </c>
      <c r="X1955" s="200">
        <f t="shared" si="9867"/>
        <v>0</v>
      </c>
      <c r="Y1955" s="200">
        <f t="shared" si="9867"/>
        <v>0</v>
      </c>
      <c r="Z1955" s="200">
        <f t="shared" si="9867"/>
        <v>0</v>
      </c>
      <c r="AA1955" s="200">
        <f t="shared" si="9867"/>
        <v>0</v>
      </c>
      <c r="AB1955" s="200">
        <f t="shared" si="9867"/>
        <v>0</v>
      </c>
      <c r="AC1955" s="200">
        <f t="shared" si="9867"/>
        <v>0</v>
      </c>
      <c r="AD1955" s="200">
        <f t="shared" si="11"/>
        <v>1</v>
      </c>
      <c r="AE1955" s="200">
        <f t="shared" ref="AE1955:AG1955" si="9868">countif($D1955,"*"&amp;AE$2&amp;"*")</f>
        <v>0</v>
      </c>
      <c r="AF1955" s="200">
        <f t="shared" si="9868"/>
        <v>0</v>
      </c>
      <c r="AG1955" s="200">
        <f t="shared" si="9868"/>
        <v>0</v>
      </c>
      <c r="AH1955" s="171">
        <f t="shared" si="13"/>
        <v>0</v>
      </c>
      <c r="AI1955" s="200">
        <f t="shared" si="14"/>
        <v>0</v>
      </c>
      <c r="AJ1955" s="200">
        <f t="shared" si="9869"/>
        <v>0</v>
      </c>
      <c r="AK1955" s="201">
        <f t="shared" ref="AK1955:AS1955" si="9870">countif($D1955,"*"&amp;AK$2&amp;"*")</f>
        <v>0</v>
      </c>
      <c r="AL1955" s="201">
        <f t="shared" si="9870"/>
        <v>0</v>
      </c>
      <c r="AM1955" s="201">
        <f t="shared" si="9870"/>
        <v>0</v>
      </c>
      <c r="AN1955" s="201">
        <f t="shared" si="9870"/>
        <v>0</v>
      </c>
      <c r="AO1955" s="201">
        <f t="shared" si="9870"/>
        <v>0</v>
      </c>
      <c r="AP1955" s="201">
        <f t="shared" si="9870"/>
        <v>0</v>
      </c>
      <c r="AQ1955" s="201">
        <f t="shared" si="9870"/>
        <v>0</v>
      </c>
      <c r="AR1955" s="201">
        <f t="shared" si="9870"/>
        <v>0</v>
      </c>
      <c r="AS1955" s="200">
        <f t="shared" si="9870"/>
        <v>0</v>
      </c>
      <c r="AT1955" s="205">
        <v>0.0</v>
      </c>
      <c r="AU1955" s="200">
        <f t="shared" ref="AU1955:AX1955" si="9871">countif($D1955,"*"&amp;AU$2&amp;"*")</f>
        <v>1</v>
      </c>
      <c r="AV1955" s="200">
        <f t="shared" si="9871"/>
        <v>0</v>
      </c>
      <c r="AW1955" s="200">
        <f t="shared" si="9871"/>
        <v>0</v>
      </c>
      <c r="AX1955" s="200">
        <f t="shared" si="9871"/>
        <v>0</v>
      </c>
      <c r="AY1955" s="202">
        <v>0.0</v>
      </c>
      <c r="AZ1955" s="200"/>
      <c r="BA1955" s="171" t="str">
        <f t="shared" si="18"/>
        <v/>
      </c>
      <c r="BB1955" s="171" t="str">
        <f t="shared" si="19"/>
        <v/>
      </c>
      <c r="BC1955" s="171" t="str">
        <f t="shared" si="20"/>
        <v/>
      </c>
      <c r="BD1955" s="171" t="str">
        <f t="shared" si="21"/>
        <v>Institutional</v>
      </c>
      <c r="BE1955" s="171" t="str">
        <f t="shared" si="22"/>
        <v/>
      </c>
      <c r="BF1955" s="171" t="str">
        <f t="shared" si="23"/>
        <v>Institutional</v>
      </c>
    </row>
    <row r="1956">
      <c r="A1956" s="171">
        <f t="array" ref="A1956">XLOOKUP(C1956,FSE!A:A,FSE!C:C,"XXXXX",0,1)</f>
        <v>2017</v>
      </c>
      <c r="B1956" s="213" t="s">
        <v>5676</v>
      </c>
      <c r="C1956" s="214">
        <v>578.0</v>
      </c>
      <c r="D1956" s="215" t="s">
        <v>3966</v>
      </c>
      <c r="E1956" s="197" t="str">
        <f t="array" ref="E1956">XLOOKUP(C1956,FSE!A:A,FSE!Z:Z,"XXXXX",0,1)</f>
        <v>Publicly Available (1)</v>
      </c>
      <c r="F1956" s="213" t="s">
        <v>3394</v>
      </c>
      <c r="G1956" s="163" t="str">
        <f t="array" ref="G1956">IF(B1956="ICSE",IF(COUNTIFS(B:B,B1956,C:C,C1956)=XLOOKUP(C1956,ICSE!A:A,ICSE!AA:AA,"ERROR",0,1),"OK","ERROR"),IF(B1956="FSE",IF(COUNTIFS(B:B,B1956,C:C,C1956)=XLOOKUP(C1956,FSE!A:A,FSE!AA:AA,"ERROR",0,1),"OK","ERROR")))</f>
        <v>OK</v>
      </c>
      <c r="H1956" s="199">
        <f t="shared" ref="H1956:O1956" si="9872">countif($D1956,"*"&amp;H$2&amp;"*")</f>
        <v>0</v>
      </c>
      <c r="I1956" s="200">
        <f t="shared" si="9872"/>
        <v>0</v>
      </c>
      <c r="J1956" s="200">
        <f t="shared" si="9872"/>
        <v>0</v>
      </c>
      <c r="K1956" s="200">
        <f t="shared" si="9872"/>
        <v>0</v>
      </c>
      <c r="L1956" s="200">
        <f t="shared" si="9872"/>
        <v>0</v>
      </c>
      <c r="M1956" s="200">
        <f t="shared" si="9872"/>
        <v>0</v>
      </c>
      <c r="N1956" s="200">
        <f t="shared" si="9872"/>
        <v>0</v>
      </c>
      <c r="O1956" s="200">
        <f t="shared" si="9872"/>
        <v>0</v>
      </c>
      <c r="P1956" s="200">
        <f t="shared" si="9"/>
        <v>0</v>
      </c>
      <c r="Q1956" s="200">
        <f t="shared" ref="Q1956:AC1956" si="9873">countif($D1956,"*"&amp;Q$2&amp;"*")</f>
        <v>0</v>
      </c>
      <c r="R1956" s="200">
        <f t="shared" si="9873"/>
        <v>0</v>
      </c>
      <c r="S1956" s="200">
        <f t="shared" si="9873"/>
        <v>0</v>
      </c>
      <c r="T1956" s="200">
        <f t="shared" si="9873"/>
        <v>0</v>
      </c>
      <c r="U1956" s="200">
        <f t="shared" si="9873"/>
        <v>0</v>
      </c>
      <c r="V1956" s="200">
        <f t="shared" si="9873"/>
        <v>0</v>
      </c>
      <c r="W1956" s="200">
        <f t="shared" si="9873"/>
        <v>0</v>
      </c>
      <c r="X1956" s="200">
        <f t="shared" si="9873"/>
        <v>0</v>
      </c>
      <c r="Y1956" s="200">
        <f t="shared" si="9873"/>
        <v>0</v>
      </c>
      <c r="Z1956" s="200">
        <f t="shared" si="9873"/>
        <v>0</v>
      </c>
      <c r="AA1956" s="200">
        <f t="shared" si="9873"/>
        <v>0</v>
      </c>
      <c r="AB1956" s="200">
        <f t="shared" si="9873"/>
        <v>0</v>
      </c>
      <c r="AC1956" s="200">
        <f t="shared" si="9873"/>
        <v>0</v>
      </c>
      <c r="AD1956" s="200">
        <f t="shared" si="11"/>
        <v>1</v>
      </c>
      <c r="AE1956" s="200">
        <f t="shared" ref="AE1956:AG1956" si="9874">countif($D1956,"*"&amp;AE$2&amp;"*")</f>
        <v>0</v>
      </c>
      <c r="AF1956" s="200">
        <f t="shared" si="9874"/>
        <v>0</v>
      </c>
      <c r="AG1956" s="200">
        <f t="shared" si="9874"/>
        <v>0</v>
      </c>
      <c r="AH1956" s="171">
        <f t="shared" si="13"/>
        <v>0</v>
      </c>
      <c r="AI1956" s="200">
        <f t="shared" si="14"/>
        <v>0</v>
      </c>
      <c r="AJ1956" s="200">
        <f t="shared" si="9869"/>
        <v>0</v>
      </c>
      <c r="AK1956" s="201">
        <f t="shared" ref="AK1956:AS1956" si="9875">countif($D1956,"*"&amp;AK$2&amp;"*")</f>
        <v>0</v>
      </c>
      <c r="AL1956" s="201">
        <f t="shared" si="9875"/>
        <v>0</v>
      </c>
      <c r="AM1956" s="201">
        <f t="shared" si="9875"/>
        <v>0</v>
      </c>
      <c r="AN1956" s="201">
        <f t="shared" si="9875"/>
        <v>0</v>
      </c>
      <c r="AO1956" s="201">
        <f t="shared" si="9875"/>
        <v>0</v>
      </c>
      <c r="AP1956" s="201">
        <f t="shared" si="9875"/>
        <v>0</v>
      </c>
      <c r="AQ1956" s="201">
        <f t="shared" si="9875"/>
        <v>0</v>
      </c>
      <c r="AR1956" s="201">
        <f t="shared" si="9875"/>
        <v>0</v>
      </c>
      <c r="AS1956" s="200">
        <f t="shared" si="9875"/>
        <v>0</v>
      </c>
      <c r="AT1956" s="205">
        <v>0.0</v>
      </c>
      <c r="AU1956" s="200">
        <f t="shared" ref="AU1956:AX1956" si="9876">countif($D1956,"*"&amp;AU$2&amp;"*")</f>
        <v>1</v>
      </c>
      <c r="AV1956" s="200">
        <f t="shared" si="9876"/>
        <v>0</v>
      </c>
      <c r="AW1956" s="200">
        <f t="shared" si="9876"/>
        <v>0</v>
      </c>
      <c r="AX1956" s="200">
        <f t="shared" si="9876"/>
        <v>0</v>
      </c>
      <c r="AY1956" s="202">
        <v>0.0</v>
      </c>
      <c r="AZ1956" s="200"/>
      <c r="BA1956" s="171" t="str">
        <f t="shared" si="18"/>
        <v/>
      </c>
      <c r="BB1956" s="171" t="str">
        <f t="shared" si="19"/>
        <v/>
      </c>
      <c r="BC1956" s="171" t="str">
        <f t="shared" si="20"/>
        <v/>
      </c>
      <c r="BD1956" s="171" t="str">
        <f t="shared" si="21"/>
        <v>Institutional</v>
      </c>
      <c r="BE1956" s="171" t="str">
        <f t="shared" si="22"/>
        <v/>
      </c>
      <c r="BF1956" s="171" t="str">
        <f t="shared" si="23"/>
        <v>Institutional</v>
      </c>
    </row>
    <row r="1957">
      <c r="A1957" s="171">
        <f t="array" ref="A1957">XLOOKUP(C1957,FSE!A:A,FSE!C:C,"XXXXX",0,1)</f>
        <v>2017</v>
      </c>
      <c r="B1957" s="213" t="s">
        <v>5676</v>
      </c>
      <c r="C1957" s="214">
        <v>579.0</v>
      </c>
      <c r="D1957" s="215" t="s">
        <v>3969</v>
      </c>
      <c r="E1957" s="197" t="str">
        <f t="array" ref="E1957">XLOOKUP(C1957,FSE!A:A,FSE!Z:Z,"XXXXX",0,1)</f>
        <v>Not Available (1)</v>
      </c>
      <c r="F1957" s="213" t="s">
        <v>3395</v>
      </c>
      <c r="G1957" s="163" t="str">
        <f t="array" ref="G1957">IF(B1957="ICSE",IF(COUNTIFS(B:B,B1957,C:C,C1957)=XLOOKUP(C1957,ICSE!A:A,ICSE!AA:AA,"ERROR",0,1),"OK","ERROR"),IF(B1957="FSE",IF(COUNTIFS(B:B,B1957,C:C,C1957)=XLOOKUP(C1957,FSE!A:A,FSE!AA:AA,"ERROR",0,1),"OK","ERROR")))</f>
        <v>OK</v>
      </c>
      <c r="H1957" s="199">
        <f t="shared" ref="H1957:O1957" si="9877">countif($D1957,"*"&amp;H$2&amp;"*")</f>
        <v>0</v>
      </c>
      <c r="I1957" s="200">
        <f t="shared" si="9877"/>
        <v>0</v>
      </c>
      <c r="J1957" s="200">
        <f t="shared" si="9877"/>
        <v>0</v>
      </c>
      <c r="K1957" s="200">
        <f t="shared" si="9877"/>
        <v>0</v>
      </c>
      <c r="L1957" s="200">
        <f t="shared" si="9877"/>
        <v>0</v>
      </c>
      <c r="M1957" s="200">
        <f t="shared" si="9877"/>
        <v>0</v>
      </c>
      <c r="N1957" s="200">
        <f t="shared" si="9877"/>
        <v>0</v>
      </c>
      <c r="O1957" s="200">
        <f t="shared" si="9877"/>
        <v>0</v>
      </c>
      <c r="P1957" s="200">
        <f t="shared" si="9"/>
        <v>0</v>
      </c>
      <c r="Q1957" s="200">
        <f t="shared" ref="Q1957:AC1957" si="9878">countif($D1957,"*"&amp;Q$2&amp;"*")</f>
        <v>0</v>
      </c>
      <c r="R1957" s="200">
        <f t="shared" si="9878"/>
        <v>0</v>
      </c>
      <c r="S1957" s="200">
        <f t="shared" si="9878"/>
        <v>0</v>
      </c>
      <c r="T1957" s="200">
        <f t="shared" si="9878"/>
        <v>0</v>
      </c>
      <c r="U1957" s="200">
        <f t="shared" si="9878"/>
        <v>0</v>
      </c>
      <c r="V1957" s="200">
        <f t="shared" si="9878"/>
        <v>0</v>
      </c>
      <c r="W1957" s="200">
        <f t="shared" si="9878"/>
        <v>0</v>
      </c>
      <c r="X1957" s="200">
        <f t="shared" si="9878"/>
        <v>0</v>
      </c>
      <c r="Y1957" s="200">
        <f t="shared" si="9878"/>
        <v>0</v>
      </c>
      <c r="Z1957" s="200">
        <f t="shared" si="9878"/>
        <v>0</v>
      </c>
      <c r="AA1957" s="200">
        <f t="shared" si="9878"/>
        <v>0</v>
      </c>
      <c r="AB1957" s="200">
        <f t="shared" si="9878"/>
        <v>0</v>
      </c>
      <c r="AC1957" s="200">
        <f t="shared" si="9878"/>
        <v>0</v>
      </c>
      <c r="AD1957" s="200">
        <f t="shared" si="11"/>
        <v>0</v>
      </c>
      <c r="AE1957" s="200">
        <f t="shared" ref="AE1957:AG1957" si="9879">countif($D1957,"*"&amp;AE$2&amp;"*")</f>
        <v>0</v>
      </c>
      <c r="AF1957" s="200">
        <f t="shared" si="9879"/>
        <v>0</v>
      </c>
      <c r="AG1957" s="200">
        <f t="shared" si="9879"/>
        <v>0</v>
      </c>
      <c r="AH1957" s="171">
        <f t="shared" si="13"/>
        <v>1</v>
      </c>
      <c r="AI1957" s="200">
        <f t="shared" si="14"/>
        <v>0</v>
      </c>
      <c r="AJ1957" s="200">
        <f t="shared" ref="AJ1957:AJ1973" si="9885">SUM(AK1957:AR1957)</f>
        <v>0</v>
      </c>
      <c r="AK1957" s="201">
        <f t="shared" ref="AK1957:AS1957" si="9880">countif($D1957,"*"&amp;AK$2&amp;"*")</f>
        <v>0</v>
      </c>
      <c r="AL1957" s="201">
        <f t="shared" si="9880"/>
        <v>0</v>
      </c>
      <c r="AM1957" s="201">
        <f t="shared" si="9880"/>
        <v>0</v>
      </c>
      <c r="AN1957" s="201">
        <f t="shared" si="9880"/>
        <v>0</v>
      </c>
      <c r="AO1957" s="201">
        <f t="shared" si="9880"/>
        <v>0</v>
      </c>
      <c r="AP1957" s="201">
        <f t="shared" si="9880"/>
        <v>0</v>
      </c>
      <c r="AQ1957" s="201">
        <f t="shared" si="9880"/>
        <v>0</v>
      </c>
      <c r="AR1957" s="200">
        <f t="shared" si="9880"/>
        <v>0</v>
      </c>
      <c r="AS1957" s="200">
        <f t="shared" si="9880"/>
        <v>0</v>
      </c>
      <c r="AT1957" s="173">
        <v>0.0</v>
      </c>
      <c r="AU1957" s="200">
        <f t="shared" ref="AU1957:AX1957" si="9881">countif($D1957,"*"&amp;AU$2&amp;"*")</f>
        <v>0</v>
      </c>
      <c r="AV1957" s="200">
        <f t="shared" si="9881"/>
        <v>0</v>
      </c>
      <c r="AW1957" s="200">
        <f t="shared" si="9881"/>
        <v>0</v>
      </c>
      <c r="AX1957" s="200">
        <f t="shared" si="9881"/>
        <v>0</v>
      </c>
      <c r="AY1957" s="202">
        <v>0.0</v>
      </c>
      <c r="AZ1957" s="200"/>
      <c r="BA1957" s="171" t="str">
        <f t="shared" si="18"/>
        <v/>
      </c>
      <c r="BB1957" s="171" t="str">
        <f t="shared" si="19"/>
        <v/>
      </c>
      <c r="BC1957" s="171" t="str">
        <f t="shared" si="20"/>
        <v/>
      </c>
      <c r="BD1957" s="171" t="str">
        <f t="shared" si="21"/>
        <v/>
      </c>
      <c r="BE1957" s="171" t="str">
        <f t="shared" si="22"/>
        <v>Others</v>
      </c>
      <c r="BF1957" s="171" t="str">
        <f t="shared" si="23"/>
        <v>Others</v>
      </c>
    </row>
    <row r="1958">
      <c r="A1958" s="171">
        <f t="array" ref="A1958">XLOOKUP(C1958,FSE!A:A,FSE!C:C,"XXXXX",0,1)</f>
        <v>2017</v>
      </c>
      <c r="B1958" s="213" t="s">
        <v>5676</v>
      </c>
      <c r="C1958" s="214">
        <v>580.0</v>
      </c>
      <c r="D1958" s="215" t="s">
        <v>3972</v>
      </c>
      <c r="E1958" s="197" t="str">
        <f t="array" ref="E1958">XLOOKUP(C1958,FSE!A:A,FSE!Z:Z,"XXXXX",0,1)</f>
        <v>Publicly Available (1)</v>
      </c>
      <c r="F1958" s="213" t="s">
        <v>3394</v>
      </c>
      <c r="G1958" s="163" t="str">
        <f t="array" ref="G1958">IF(B1958="ICSE",IF(COUNTIFS(B:B,B1958,C:C,C1958)=XLOOKUP(C1958,ICSE!A:A,ICSE!AA:AA,"ERROR",0,1),"OK","ERROR"),IF(B1958="FSE",IF(COUNTIFS(B:B,B1958,C:C,C1958)=XLOOKUP(C1958,FSE!A:A,FSE!AA:AA,"ERROR",0,1),"OK","ERROR")))</f>
        <v>OK</v>
      </c>
      <c r="H1958" s="199">
        <f t="shared" ref="H1958:O1958" si="9882">countif($D1958,"*"&amp;H$2&amp;"*")</f>
        <v>0</v>
      </c>
      <c r="I1958" s="200">
        <f t="shared" si="9882"/>
        <v>0</v>
      </c>
      <c r="J1958" s="200">
        <f t="shared" si="9882"/>
        <v>0</v>
      </c>
      <c r="K1958" s="200">
        <f t="shared" si="9882"/>
        <v>0</v>
      </c>
      <c r="L1958" s="200">
        <f t="shared" si="9882"/>
        <v>0</v>
      </c>
      <c r="M1958" s="200">
        <f t="shared" si="9882"/>
        <v>0</v>
      </c>
      <c r="N1958" s="200">
        <f t="shared" si="9882"/>
        <v>0</v>
      </c>
      <c r="O1958" s="200">
        <f t="shared" si="9882"/>
        <v>0</v>
      </c>
      <c r="P1958" s="200">
        <f t="shared" si="9"/>
        <v>1</v>
      </c>
      <c r="Q1958" s="200">
        <f t="shared" ref="Q1958:AC1958" si="9883">countif($D1958,"*"&amp;Q$2&amp;"*")</f>
        <v>0</v>
      </c>
      <c r="R1958" s="200">
        <f t="shared" si="9883"/>
        <v>0</v>
      </c>
      <c r="S1958" s="200">
        <f t="shared" si="9883"/>
        <v>0</v>
      </c>
      <c r="T1958" s="200">
        <f t="shared" si="9883"/>
        <v>0</v>
      </c>
      <c r="U1958" s="200">
        <f t="shared" si="9883"/>
        <v>0</v>
      </c>
      <c r="V1958" s="200">
        <f t="shared" si="9883"/>
        <v>0</v>
      </c>
      <c r="W1958" s="200">
        <f t="shared" si="9883"/>
        <v>0</v>
      </c>
      <c r="X1958" s="200">
        <f t="shared" si="9883"/>
        <v>0</v>
      </c>
      <c r="Y1958" s="200">
        <f t="shared" si="9883"/>
        <v>0</v>
      </c>
      <c r="Z1958" s="200">
        <f t="shared" si="9883"/>
        <v>0</v>
      </c>
      <c r="AA1958" s="200">
        <f t="shared" si="9883"/>
        <v>0</v>
      </c>
      <c r="AB1958" s="200">
        <f t="shared" si="9883"/>
        <v>0</v>
      </c>
      <c r="AC1958" s="200">
        <f t="shared" si="9883"/>
        <v>0</v>
      </c>
      <c r="AD1958" s="200">
        <f t="shared" si="11"/>
        <v>0</v>
      </c>
      <c r="AE1958" s="200">
        <f t="shared" ref="AE1958:AG1958" si="9884">countif($D1958,"*"&amp;AE$2&amp;"*")</f>
        <v>0</v>
      </c>
      <c r="AF1958" s="200">
        <f t="shared" si="9884"/>
        <v>0</v>
      </c>
      <c r="AG1958" s="200">
        <f t="shared" si="9884"/>
        <v>0</v>
      </c>
      <c r="AH1958" s="171">
        <f t="shared" si="13"/>
        <v>0</v>
      </c>
      <c r="AI1958" s="200">
        <f t="shared" si="14"/>
        <v>0</v>
      </c>
      <c r="AJ1958" s="200">
        <f t="shared" si="9885"/>
        <v>0</v>
      </c>
      <c r="AK1958" s="201">
        <f t="shared" ref="AK1958:AS1958" si="9886">countif($D1958,"*"&amp;AK$2&amp;"*")</f>
        <v>0</v>
      </c>
      <c r="AL1958" s="201">
        <f t="shared" si="9886"/>
        <v>0</v>
      </c>
      <c r="AM1958" s="201">
        <f t="shared" si="9886"/>
        <v>0</v>
      </c>
      <c r="AN1958" s="201">
        <f t="shared" si="9886"/>
        <v>0</v>
      </c>
      <c r="AO1958" s="201">
        <f t="shared" si="9886"/>
        <v>0</v>
      </c>
      <c r="AP1958" s="201">
        <f t="shared" si="9886"/>
        <v>0</v>
      </c>
      <c r="AQ1958" s="201">
        <f t="shared" si="9886"/>
        <v>0</v>
      </c>
      <c r="AR1958" s="200">
        <f t="shared" si="9886"/>
        <v>0</v>
      </c>
      <c r="AS1958" s="200">
        <f t="shared" si="9886"/>
        <v>0</v>
      </c>
      <c r="AT1958" s="173">
        <v>0.0</v>
      </c>
      <c r="AU1958" s="200">
        <f t="shared" ref="AU1958:AX1958" si="9887">countif($D1958,"*"&amp;AU$2&amp;"*")</f>
        <v>0</v>
      </c>
      <c r="AV1958" s="200">
        <f t="shared" si="9887"/>
        <v>1</v>
      </c>
      <c r="AW1958" s="200">
        <f t="shared" si="9887"/>
        <v>0</v>
      </c>
      <c r="AX1958" s="200">
        <f t="shared" si="9887"/>
        <v>0</v>
      </c>
      <c r="AY1958" s="202">
        <v>0.0</v>
      </c>
      <c r="AZ1958" s="200"/>
      <c r="BA1958" s="171" t="str">
        <f t="shared" si="18"/>
        <v/>
      </c>
      <c r="BB1958" s="171" t="str">
        <f t="shared" si="19"/>
        <v>Code</v>
      </c>
      <c r="BC1958" s="171" t="str">
        <f t="shared" si="20"/>
        <v/>
      </c>
      <c r="BD1958" s="171" t="str">
        <f t="shared" si="21"/>
        <v/>
      </c>
      <c r="BE1958" s="171" t="str">
        <f t="shared" si="22"/>
        <v/>
      </c>
      <c r="BF1958" s="171" t="str">
        <f t="shared" si="23"/>
        <v>Code</v>
      </c>
    </row>
    <row r="1959">
      <c r="A1959" s="171">
        <f t="array" ref="A1959">XLOOKUP(C1959,FSE!A:A,FSE!C:C,"XXXXX",0,1)</f>
        <v>2017</v>
      </c>
      <c r="B1959" s="213" t="s">
        <v>5676</v>
      </c>
      <c r="C1959" s="219">
        <v>581.0</v>
      </c>
      <c r="D1959" s="217" t="s">
        <v>6521</v>
      </c>
      <c r="E1959" s="197" t="str">
        <f t="array" ref="E1959">XLOOKUP(C1959,FSE!A:A,FSE!Z:Z,"XXXXX",0,1)</f>
        <v>Publicly Available (4)
Not Available (2)</v>
      </c>
      <c r="F1959" s="213" t="s">
        <v>3394</v>
      </c>
      <c r="G1959" s="163" t="str">
        <f t="array" ref="G1959">IF(B1959="ICSE",IF(COUNTIFS(B:B,B1959,C:C,C1959)=XLOOKUP(C1959,ICSE!A:A,ICSE!AA:AA,"ERROR",0,1),"OK","ERROR"),IF(B1959="FSE",IF(COUNTIFS(B:B,B1959,C:C,C1959)=XLOOKUP(C1959,FSE!A:A,FSE!AA:AA,"ERROR",0,1),"OK","ERROR")))</f>
        <v>OK</v>
      </c>
      <c r="H1959" s="199">
        <f t="shared" ref="H1959:O1959" si="9888">countif($D1959,"*"&amp;H$2&amp;"*")</f>
        <v>0</v>
      </c>
      <c r="I1959" s="200">
        <f t="shared" si="9888"/>
        <v>0</v>
      </c>
      <c r="J1959" s="200">
        <f t="shared" si="9888"/>
        <v>0</v>
      </c>
      <c r="K1959" s="200">
        <f t="shared" si="9888"/>
        <v>0</v>
      </c>
      <c r="L1959" s="200">
        <f t="shared" si="9888"/>
        <v>0</v>
      </c>
      <c r="M1959" s="200">
        <f t="shared" si="9888"/>
        <v>0</v>
      </c>
      <c r="N1959" s="200">
        <f t="shared" si="9888"/>
        <v>0</v>
      </c>
      <c r="O1959" s="200">
        <f t="shared" si="9888"/>
        <v>0</v>
      </c>
      <c r="P1959" s="200">
        <f t="shared" si="9"/>
        <v>0</v>
      </c>
      <c r="Q1959" s="200">
        <f t="shared" ref="Q1959:AC1959" si="9889">countif($D1959,"*"&amp;Q$2&amp;"*")</f>
        <v>0</v>
      </c>
      <c r="R1959" s="200">
        <f t="shared" si="9889"/>
        <v>0</v>
      </c>
      <c r="S1959" s="200">
        <f t="shared" si="9889"/>
        <v>0</v>
      </c>
      <c r="T1959" s="200">
        <f t="shared" si="9889"/>
        <v>0</v>
      </c>
      <c r="U1959" s="200">
        <f t="shared" si="9889"/>
        <v>0</v>
      </c>
      <c r="V1959" s="200">
        <f t="shared" si="9889"/>
        <v>0</v>
      </c>
      <c r="W1959" s="200">
        <f t="shared" si="9889"/>
        <v>1</v>
      </c>
      <c r="X1959" s="200">
        <f t="shared" si="9889"/>
        <v>0</v>
      </c>
      <c r="Y1959" s="200">
        <f t="shared" si="9889"/>
        <v>0</v>
      </c>
      <c r="Z1959" s="200">
        <f t="shared" si="9889"/>
        <v>0</v>
      </c>
      <c r="AA1959" s="200">
        <f t="shared" si="9889"/>
        <v>0</v>
      </c>
      <c r="AB1959" s="200">
        <f t="shared" si="9889"/>
        <v>0</v>
      </c>
      <c r="AC1959" s="200">
        <f t="shared" si="9889"/>
        <v>0</v>
      </c>
      <c r="AD1959" s="200">
        <f t="shared" si="11"/>
        <v>0</v>
      </c>
      <c r="AE1959" s="200">
        <f t="shared" ref="AE1959:AG1959" si="9890">countif($D1959,"*"&amp;AE$2&amp;"*")</f>
        <v>0</v>
      </c>
      <c r="AF1959" s="200">
        <f t="shared" si="9890"/>
        <v>0</v>
      </c>
      <c r="AG1959" s="200">
        <f t="shared" si="9890"/>
        <v>0</v>
      </c>
      <c r="AH1959" s="171">
        <f t="shared" si="13"/>
        <v>0</v>
      </c>
      <c r="AI1959" s="200">
        <f t="shared" si="14"/>
        <v>0</v>
      </c>
      <c r="AJ1959" s="200">
        <f t="shared" si="9885"/>
        <v>1</v>
      </c>
      <c r="AK1959" s="201">
        <f t="shared" ref="AK1959:AS1959" si="9891">countif($D1959,"*"&amp;AK$2&amp;"*")</f>
        <v>0</v>
      </c>
      <c r="AL1959" s="201">
        <f t="shared" si="9891"/>
        <v>0</v>
      </c>
      <c r="AM1959" s="201">
        <f t="shared" si="9891"/>
        <v>0</v>
      </c>
      <c r="AN1959" s="201">
        <f t="shared" si="9891"/>
        <v>1</v>
      </c>
      <c r="AO1959" s="201">
        <f t="shared" si="9891"/>
        <v>0</v>
      </c>
      <c r="AP1959" s="201">
        <f t="shared" si="9891"/>
        <v>0</v>
      </c>
      <c r="AQ1959" s="201">
        <f t="shared" si="9891"/>
        <v>0</v>
      </c>
      <c r="AR1959" s="200">
        <f t="shared" si="9891"/>
        <v>0</v>
      </c>
      <c r="AS1959" s="200">
        <f t="shared" si="9891"/>
        <v>1</v>
      </c>
      <c r="AT1959" s="173">
        <v>0.0</v>
      </c>
      <c r="AU1959" s="200">
        <f t="shared" ref="AU1959:AX1959" si="9892">countif($D1959,"*"&amp;AU$2&amp;"*")</f>
        <v>0</v>
      </c>
      <c r="AV1959" s="200">
        <f t="shared" si="9892"/>
        <v>0</v>
      </c>
      <c r="AW1959" s="200">
        <f t="shared" si="9892"/>
        <v>0</v>
      </c>
      <c r="AX1959" s="200">
        <f t="shared" si="9892"/>
        <v>0</v>
      </c>
      <c r="AY1959" s="202">
        <v>0.0</v>
      </c>
      <c r="AZ1959" s="200"/>
      <c r="BA1959" s="171" t="str">
        <f t="shared" si="18"/>
        <v/>
      </c>
      <c r="BB1959" s="171" t="str">
        <f t="shared" si="19"/>
        <v/>
      </c>
      <c r="BC1959" s="171" t="str">
        <f t="shared" si="20"/>
        <v>General-purpose</v>
      </c>
      <c r="BD1959" s="171" t="str">
        <f t="shared" si="21"/>
        <v/>
      </c>
      <c r="BE1959" s="171" t="str">
        <f t="shared" si="22"/>
        <v/>
      </c>
      <c r="BF1959" s="171" t="str">
        <f t="shared" si="23"/>
        <v>General-purpose</v>
      </c>
    </row>
    <row r="1960">
      <c r="A1960" s="171">
        <f t="array" ref="A1960">XLOOKUP(C1960,FSE!A:A,FSE!C:C,"XXXXX",0,1)</f>
        <v>2017</v>
      </c>
      <c r="B1960" s="213" t="s">
        <v>5676</v>
      </c>
      <c r="C1960" s="219">
        <v>581.0</v>
      </c>
      <c r="D1960" s="217" t="s">
        <v>6522</v>
      </c>
      <c r="E1960" s="197" t="str">
        <f t="array" ref="E1960">XLOOKUP(C1960,FSE!A:A,FSE!Z:Z,"XXXXX",0,1)</f>
        <v>Publicly Available (4)
Not Available (2)</v>
      </c>
      <c r="F1960" s="213" t="s">
        <v>3395</v>
      </c>
      <c r="G1960" s="163" t="str">
        <f t="array" ref="G1960">IF(B1960="ICSE",IF(COUNTIFS(B:B,B1960,C:C,C1960)=XLOOKUP(C1960,ICSE!A:A,ICSE!AA:AA,"ERROR",0,1),"OK","ERROR"),IF(B1960="FSE",IF(COUNTIFS(B:B,B1960,C:C,C1960)=XLOOKUP(C1960,FSE!A:A,FSE!AA:AA,"ERROR",0,1),"OK","ERROR")))</f>
        <v>OK</v>
      </c>
      <c r="H1960" s="199">
        <f t="shared" ref="H1960:O1960" si="9893">countif($D1960,"*"&amp;H$2&amp;"*")</f>
        <v>0</v>
      </c>
      <c r="I1960" s="200">
        <f t="shared" si="9893"/>
        <v>0</v>
      </c>
      <c r="J1960" s="200">
        <f t="shared" si="9893"/>
        <v>0</v>
      </c>
      <c r="K1960" s="200">
        <f t="shared" si="9893"/>
        <v>0</v>
      </c>
      <c r="L1960" s="200">
        <f t="shared" si="9893"/>
        <v>0</v>
      </c>
      <c r="M1960" s="200">
        <f t="shared" si="9893"/>
        <v>0</v>
      </c>
      <c r="N1960" s="200">
        <f t="shared" si="9893"/>
        <v>0</v>
      </c>
      <c r="O1960" s="200">
        <f t="shared" si="9893"/>
        <v>0</v>
      </c>
      <c r="P1960" s="200">
        <f t="shared" si="9"/>
        <v>0</v>
      </c>
      <c r="Q1960" s="200">
        <f t="shared" ref="Q1960:AC1960" si="9894">countif($D1960,"*"&amp;Q$2&amp;"*")</f>
        <v>0</v>
      </c>
      <c r="R1960" s="200">
        <f t="shared" si="9894"/>
        <v>0</v>
      </c>
      <c r="S1960" s="200">
        <f t="shared" si="9894"/>
        <v>0</v>
      </c>
      <c r="T1960" s="200">
        <f t="shared" si="9894"/>
        <v>0</v>
      </c>
      <c r="U1960" s="200">
        <f t="shared" si="9894"/>
        <v>0</v>
      </c>
      <c r="V1960" s="200">
        <f t="shared" si="9894"/>
        <v>0</v>
      </c>
      <c r="W1960" s="200">
        <f t="shared" si="9894"/>
        <v>0</v>
      </c>
      <c r="X1960" s="200">
        <f t="shared" si="9894"/>
        <v>0</v>
      </c>
      <c r="Y1960" s="200">
        <f t="shared" si="9894"/>
        <v>0</v>
      </c>
      <c r="Z1960" s="200">
        <f t="shared" si="9894"/>
        <v>0</v>
      </c>
      <c r="AA1960" s="200">
        <f t="shared" si="9894"/>
        <v>0</v>
      </c>
      <c r="AB1960" s="200">
        <f t="shared" si="9894"/>
        <v>0</v>
      </c>
      <c r="AC1960" s="200">
        <f t="shared" si="9894"/>
        <v>0</v>
      </c>
      <c r="AD1960" s="200">
        <f t="shared" si="11"/>
        <v>0</v>
      </c>
      <c r="AE1960" s="200">
        <f t="shared" ref="AE1960:AG1960" si="9895">countif($D1960,"*"&amp;AE$2&amp;"*")</f>
        <v>0</v>
      </c>
      <c r="AF1960" s="200">
        <f t="shared" si="9895"/>
        <v>0</v>
      </c>
      <c r="AG1960" s="200">
        <f t="shared" si="9895"/>
        <v>0</v>
      </c>
      <c r="AH1960" s="171">
        <f t="shared" si="13"/>
        <v>1</v>
      </c>
      <c r="AI1960" s="200">
        <f t="shared" si="14"/>
        <v>0</v>
      </c>
      <c r="AJ1960" s="200">
        <f t="shared" si="9885"/>
        <v>1</v>
      </c>
      <c r="AK1960" s="201">
        <f t="shared" ref="AK1960:AS1960" si="9896">countif($D1960,"*"&amp;AK$2&amp;"*")</f>
        <v>0</v>
      </c>
      <c r="AL1960" s="201">
        <f t="shared" si="9896"/>
        <v>0</v>
      </c>
      <c r="AM1960" s="201">
        <f t="shared" si="9896"/>
        <v>0</v>
      </c>
      <c r="AN1960" s="201">
        <f t="shared" si="9896"/>
        <v>1</v>
      </c>
      <c r="AO1960" s="201">
        <f t="shared" si="9896"/>
        <v>0</v>
      </c>
      <c r="AP1960" s="201">
        <f t="shared" si="9896"/>
        <v>0</v>
      </c>
      <c r="AQ1960" s="201">
        <f t="shared" si="9896"/>
        <v>0</v>
      </c>
      <c r="AR1960" s="200">
        <f t="shared" si="9896"/>
        <v>0</v>
      </c>
      <c r="AS1960" s="200">
        <f t="shared" si="9896"/>
        <v>0</v>
      </c>
      <c r="AT1960" s="173">
        <v>0.0</v>
      </c>
      <c r="AU1960" s="200">
        <f t="shared" ref="AU1960:AX1960" si="9897">countif($D1960,"*"&amp;AU$2&amp;"*")</f>
        <v>0</v>
      </c>
      <c r="AV1960" s="200">
        <f t="shared" si="9897"/>
        <v>0</v>
      </c>
      <c r="AW1960" s="200">
        <f t="shared" si="9897"/>
        <v>0</v>
      </c>
      <c r="AX1960" s="200">
        <f t="shared" si="9897"/>
        <v>0</v>
      </c>
      <c r="AY1960" s="202">
        <v>0.0</v>
      </c>
      <c r="AZ1960" s="200"/>
      <c r="BA1960" s="171" t="str">
        <f t="shared" si="18"/>
        <v/>
      </c>
      <c r="BB1960" s="171" t="str">
        <f t="shared" si="19"/>
        <v/>
      </c>
      <c r="BC1960" s="171" t="str">
        <f t="shared" si="20"/>
        <v/>
      </c>
      <c r="BD1960" s="171" t="str">
        <f t="shared" si="21"/>
        <v/>
      </c>
      <c r="BE1960" s="171" t="str">
        <f t="shared" si="22"/>
        <v>Others</v>
      </c>
      <c r="BF1960" s="171" t="str">
        <f t="shared" si="23"/>
        <v>Others</v>
      </c>
    </row>
    <row r="1961">
      <c r="A1961" s="171">
        <f t="array" ref="A1961">XLOOKUP(C1961,FSE!A:A,FSE!C:C,"XXXXX",0,1)</f>
        <v>2017</v>
      </c>
      <c r="B1961" s="213" t="s">
        <v>5676</v>
      </c>
      <c r="C1961" s="219">
        <v>581.0</v>
      </c>
      <c r="D1961" s="217" t="s">
        <v>6523</v>
      </c>
      <c r="E1961" s="197" t="str">
        <f t="array" ref="E1961">XLOOKUP(C1961,FSE!A:A,FSE!Z:Z,"XXXXX",0,1)</f>
        <v>Publicly Available (4)
Not Available (2)</v>
      </c>
      <c r="F1961" s="213" t="s">
        <v>3394</v>
      </c>
      <c r="G1961" s="163" t="str">
        <f t="array" ref="G1961">IF(B1961="ICSE",IF(COUNTIFS(B:B,B1961,C:C,C1961)=XLOOKUP(C1961,ICSE!A:A,ICSE!AA:AA,"ERROR",0,1),"OK","ERROR"),IF(B1961="FSE",IF(COUNTIFS(B:B,B1961,C:C,C1961)=XLOOKUP(C1961,FSE!A:A,FSE!AA:AA,"ERROR",0,1),"OK","ERROR")))</f>
        <v>OK</v>
      </c>
      <c r="H1961" s="199">
        <f t="shared" ref="H1961:O1961" si="9898">countif($D1961,"*"&amp;H$2&amp;"*")</f>
        <v>0</v>
      </c>
      <c r="I1961" s="200">
        <f t="shared" si="9898"/>
        <v>0</v>
      </c>
      <c r="J1961" s="200">
        <f t="shared" si="9898"/>
        <v>0</v>
      </c>
      <c r="K1961" s="200">
        <f t="shared" si="9898"/>
        <v>0</v>
      </c>
      <c r="L1961" s="200">
        <f t="shared" si="9898"/>
        <v>0</v>
      </c>
      <c r="M1961" s="200">
        <f t="shared" si="9898"/>
        <v>0</v>
      </c>
      <c r="N1961" s="200">
        <f t="shared" si="9898"/>
        <v>0</v>
      </c>
      <c r="O1961" s="200">
        <f t="shared" si="9898"/>
        <v>0</v>
      </c>
      <c r="P1961" s="200">
        <f t="shared" si="9"/>
        <v>0</v>
      </c>
      <c r="Q1961" s="200">
        <f t="shared" ref="Q1961:AC1961" si="9899">countif($D1961,"*"&amp;Q$2&amp;"*")</f>
        <v>0</v>
      </c>
      <c r="R1961" s="200">
        <f t="shared" si="9899"/>
        <v>0</v>
      </c>
      <c r="S1961" s="200">
        <f t="shared" si="9899"/>
        <v>0</v>
      </c>
      <c r="T1961" s="200">
        <f t="shared" si="9899"/>
        <v>0</v>
      </c>
      <c r="U1961" s="200">
        <f t="shared" si="9899"/>
        <v>0</v>
      </c>
      <c r="V1961" s="200">
        <f t="shared" si="9899"/>
        <v>0</v>
      </c>
      <c r="W1961" s="200">
        <f t="shared" si="9899"/>
        <v>0</v>
      </c>
      <c r="X1961" s="200">
        <f t="shared" si="9899"/>
        <v>0</v>
      </c>
      <c r="Y1961" s="200">
        <f t="shared" si="9899"/>
        <v>0</v>
      </c>
      <c r="Z1961" s="200">
        <f t="shared" si="9899"/>
        <v>0</v>
      </c>
      <c r="AA1961" s="200">
        <f t="shared" si="9899"/>
        <v>0</v>
      </c>
      <c r="AB1961" s="200">
        <f t="shared" si="9899"/>
        <v>0</v>
      </c>
      <c r="AC1961" s="200">
        <f t="shared" si="9899"/>
        <v>0</v>
      </c>
      <c r="AD1961" s="200">
        <f t="shared" si="11"/>
        <v>0</v>
      </c>
      <c r="AE1961" s="200">
        <f t="shared" ref="AE1961:AG1961" si="9900">countif($D1961,"*"&amp;AE$2&amp;"*")</f>
        <v>0</v>
      </c>
      <c r="AF1961" s="200">
        <f t="shared" si="9900"/>
        <v>0</v>
      </c>
      <c r="AG1961" s="200">
        <f t="shared" si="9900"/>
        <v>0</v>
      </c>
      <c r="AH1961" s="171">
        <f t="shared" si="13"/>
        <v>1</v>
      </c>
      <c r="AI1961" s="200">
        <f t="shared" si="14"/>
        <v>0</v>
      </c>
      <c r="AJ1961" s="200">
        <f t="shared" si="9885"/>
        <v>0</v>
      </c>
      <c r="AK1961" s="201">
        <f t="shared" ref="AK1961:AS1961" si="9901">countif($D1961,"*"&amp;AK$2&amp;"*")</f>
        <v>0</v>
      </c>
      <c r="AL1961" s="201">
        <f t="shared" si="9901"/>
        <v>0</v>
      </c>
      <c r="AM1961" s="201">
        <f t="shared" si="9901"/>
        <v>0</v>
      </c>
      <c r="AN1961" s="201">
        <f t="shared" si="9901"/>
        <v>0</v>
      </c>
      <c r="AO1961" s="201">
        <f t="shared" si="9901"/>
        <v>0</v>
      </c>
      <c r="AP1961" s="201">
        <f t="shared" si="9901"/>
        <v>0</v>
      </c>
      <c r="AQ1961" s="201">
        <f t="shared" si="9901"/>
        <v>0</v>
      </c>
      <c r="AR1961" s="200">
        <f t="shared" si="9901"/>
        <v>0</v>
      </c>
      <c r="AS1961" s="200">
        <f t="shared" si="9901"/>
        <v>0</v>
      </c>
      <c r="AT1961" s="173">
        <v>0.0</v>
      </c>
      <c r="AU1961" s="200">
        <f t="shared" ref="AU1961:AX1961" si="9902">countif($D1961,"*"&amp;AU$2&amp;"*")</f>
        <v>0</v>
      </c>
      <c r="AV1961" s="200">
        <f t="shared" si="9902"/>
        <v>0</v>
      </c>
      <c r="AW1961" s="200">
        <f t="shared" si="9902"/>
        <v>0</v>
      </c>
      <c r="AX1961" s="200">
        <f t="shared" si="9902"/>
        <v>0</v>
      </c>
      <c r="AY1961" s="202">
        <v>0.0</v>
      </c>
      <c r="AZ1961" s="200"/>
      <c r="BA1961" s="171" t="str">
        <f t="shared" si="18"/>
        <v/>
      </c>
      <c r="BB1961" s="171" t="str">
        <f t="shared" si="19"/>
        <v/>
      </c>
      <c r="BC1961" s="171" t="str">
        <f t="shared" si="20"/>
        <v/>
      </c>
      <c r="BD1961" s="171" t="str">
        <f t="shared" si="21"/>
        <v/>
      </c>
      <c r="BE1961" s="171" t="str">
        <f t="shared" si="22"/>
        <v>Others</v>
      </c>
      <c r="BF1961" s="171" t="str">
        <f t="shared" si="23"/>
        <v>Others</v>
      </c>
    </row>
    <row r="1962">
      <c r="A1962" s="171">
        <f t="array" ref="A1962">XLOOKUP(C1962,FSE!A:A,FSE!C:C,"XXXXX",0,1)</f>
        <v>2017</v>
      </c>
      <c r="B1962" s="213" t="s">
        <v>5676</v>
      </c>
      <c r="C1962" s="214">
        <v>581.0</v>
      </c>
      <c r="D1962" s="215" t="s">
        <v>6524</v>
      </c>
      <c r="E1962" s="197" t="str">
        <f t="array" ref="E1962">XLOOKUP(C1962,FSE!A:A,FSE!Z:Z,"XXXXX",0,1)</f>
        <v>Publicly Available (4)
Not Available (2)</v>
      </c>
      <c r="F1962" s="213" t="s">
        <v>3394</v>
      </c>
      <c r="G1962" s="163" t="str">
        <f t="array" ref="G1962">IF(B1962="ICSE",IF(COUNTIFS(B:B,B1962,C:C,C1962)=XLOOKUP(C1962,ICSE!A:A,ICSE!AA:AA,"ERROR",0,1),"OK","ERROR"),IF(B1962="FSE",IF(COUNTIFS(B:B,B1962,C:C,C1962)=XLOOKUP(C1962,FSE!A:A,FSE!AA:AA,"ERROR",0,1),"OK","ERROR")))</f>
        <v>OK</v>
      </c>
      <c r="H1962" s="199">
        <f t="shared" ref="H1962:O1962" si="9903">countif($D1962,"*"&amp;H$2&amp;"*")</f>
        <v>0</v>
      </c>
      <c r="I1962" s="200">
        <f t="shared" si="9903"/>
        <v>0</v>
      </c>
      <c r="J1962" s="200">
        <f t="shared" si="9903"/>
        <v>0</v>
      </c>
      <c r="K1962" s="200">
        <f t="shared" si="9903"/>
        <v>0</v>
      </c>
      <c r="L1962" s="200">
        <f t="shared" si="9903"/>
        <v>0</v>
      </c>
      <c r="M1962" s="200">
        <f t="shared" si="9903"/>
        <v>0</v>
      </c>
      <c r="N1962" s="200">
        <f t="shared" si="9903"/>
        <v>0</v>
      </c>
      <c r="O1962" s="200">
        <f t="shared" si="9903"/>
        <v>0</v>
      </c>
      <c r="P1962" s="200">
        <f t="shared" si="9"/>
        <v>1</v>
      </c>
      <c r="Q1962" s="200">
        <f t="shared" ref="Q1962:AC1962" si="9904">countif($D1962,"*"&amp;Q$2&amp;"*")</f>
        <v>0</v>
      </c>
      <c r="R1962" s="200">
        <f t="shared" si="9904"/>
        <v>0</v>
      </c>
      <c r="S1962" s="200">
        <f t="shared" si="9904"/>
        <v>0</v>
      </c>
      <c r="T1962" s="200">
        <f t="shared" si="9904"/>
        <v>0</v>
      </c>
      <c r="U1962" s="200">
        <f t="shared" si="9904"/>
        <v>0</v>
      </c>
      <c r="V1962" s="200">
        <f t="shared" si="9904"/>
        <v>0</v>
      </c>
      <c r="W1962" s="200">
        <f t="shared" si="9904"/>
        <v>0</v>
      </c>
      <c r="X1962" s="200">
        <f t="shared" si="9904"/>
        <v>0</v>
      </c>
      <c r="Y1962" s="200">
        <f t="shared" si="9904"/>
        <v>0</v>
      </c>
      <c r="Z1962" s="200">
        <f t="shared" si="9904"/>
        <v>0</v>
      </c>
      <c r="AA1962" s="200">
        <f t="shared" si="9904"/>
        <v>0</v>
      </c>
      <c r="AB1962" s="200">
        <f t="shared" si="9904"/>
        <v>0</v>
      </c>
      <c r="AC1962" s="200">
        <f t="shared" si="9904"/>
        <v>0</v>
      </c>
      <c r="AD1962" s="200">
        <f t="shared" si="11"/>
        <v>0</v>
      </c>
      <c r="AE1962" s="200">
        <f t="shared" ref="AE1962:AG1962" si="9905">countif($D1962,"*"&amp;AE$2&amp;"*")</f>
        <v>0</v>
      </c>
      <c r="AF1962" s="200">
        <f t="shared" si="9905"/>
        <v>0</v>
      </c>
      <c r="AG1962" s="200">
        <f t="shared" si="9905"/>
        <v>0</v>
      </c>
      <c r="AH1962" s="171">
        <f t="shared" si="13"/>
        <v>0</v>
      </c>
      <c r="AI1962" s="200">
        <f t="shared" si="14"/>
        <v>0</v>
      </c>
      <c r="AJ1962" s="200">
        <f t="shared" si="9885"/>
        <v>0</v>
      </c>
      <c r="AK1962" s="201">
        <f t="shared" ref="AK1962:AS1962" si="9906">countif($D1962,"*"&amp;AK$2&amp;"*")</f>
        <v>0</v>
      </c>
      <c r="AL1962" s="201">
        <f t="shared" si="9906"/>
        <v>0</v>
      </c>
      <c r="AM1962" s="201">
        <f t="shared" si="9906"/>
        <v>0</v>
      </c>
      <c r="AN1962" s="201">
        <f t="shared" si="9906"/>
        <v>0</v>
      </c>
      <c r="AO1962" s="201">
        <f t="shared" si="9906"/>
        <v>0</v>
      </c>
      <c r="AP1962" s="201">
        <f t="shared" si="9906"/>
        <v>0</v>
      </c>
      <c r="AQ1962" s="201">
        <f t="shared" si="9906"/>
        <v>0</v>
      </c>
      <c r="AR1962" s="200">
        <f t="shared" si="9906"/>
        <v>0</v>
      </c>
      <c r="AS1962" s="200">
        <f t="shared" si="9906"/>
        <v>0</v>
      </c>
      <c r="AT1962" s="173">
        <v>0.0</v>
      </c>
      <c r="AU1962" s="200">
        <f t="shared" ref="AU1962:AX1962" si="9907">countif($D1962,"*"&amp;AU$2&amp;"*")</f>
        <v>0</v>
      </c>
      <c r="AV1962" s="200">
        <f t="shared" si="9907"/>
        <v>1</v>
      </c>
      <c r="AW1962" s="200">
        <f t="shared" si="9907"/>
        <v>0</v>
      </c>
      <c r="AX1962" s="200">
        <f t="shared" si="9907"/>
        <v>0</v>
      </c>
      <c r="AY1962" s="202">
        <v>0.0</v>
      </c>
      <c r="AZ1962" s="200"/>
      <c r="BA1962" s="171" t="str">
        <f t="shared" si="18"/>
        <v/>
      </c>
      <c r="BB1962" s="171" t="str">
        <f t="shared" si="19"/>
        <v>Code</v>
      </c>
      <c r="BC1962" s="171" t="str">
        <f t="shared" si="20"/>
        <v/>
      </c>
      <c r="BD1962" s="171" t="str">
        <f t="shared" si="21"/>
        <v/>
      </c>
      <c r="BE1962" s="171" t="str">
        <f t="shared" si="22"/>
        <v/>
      </c>
      <c r="BF1962" s="171" t="str">
        <f t="shared" si="23"/>
        <v>Code</v>
      </c>
    </row>
    <row r="1963">
      <c r="A1963" s="213">
        <f t="array" ref="A1963">XLOOKUP(C1963,FSE!A:A,FSE!C:C,"XXXXX",0,1)</f>
        <v>2017</v>
      </c>
      <c r="B1963" s="213" t="s">
        <v>5676</v>
      </c>
      <c r="C1963" s="220">
        <v>581.0</v>
      </c>
      <c r="D1963" s="217" t="s">
        <v>6525</v>
      </c>
      <c r="E1963" s="221" t="str">
        <f t="array" ref="E1963">XLOOKUP(C1963,FSE!A:A,FSE!Z:Z,"XXXXX",0,1)</f>
        <v>Publicly Available (4)
Not Available (2)</v>
      </c>
      <c r="F1963" s="218" t="s">
        <v>3395</v>
      </c>
      <c r="G1963" s="163" t="str">
        <f t="array" ref="G1963">IF(B1963="ICSE",IF(COUNTIFS(B:B,B1963,C:C,C1963)=XLOOKUP(C1963,ICSE!A:A,ICSE!AA:AA,"ERROR",0,1),"OK","ERROR"),IF(B1963="FSE",IF(COUNTIFS(B:B,B1963,C:C,C1963)=XLOOKUP(C1963,FSE!A:A,FSE!AA:AA,"ERROR",0,1),"OK","ERROR")))</f>
        <v>OK</v>
      </c>
      <c r="H1963" s="199">
        <f t="shared" ref="H1963:O1963" si="9908">countif($D1963,"*"&amp;H$2&amp;"*")</f>
        <v>0</v>
      </c>
      <c r="I1963" s="200">
        <f t="shared" si="9908"/>
        <v>0</v>
      </c>
      <c r="J1963" s="200">
        <f t="shared" si="9908"/>
        <v>0</v>
      </c>
      <c r="K1963" s="200">
        <f t="shared" si="9908"/>
        <v>0</v>
      </c>
      <c r="L1963" s="200">
        <f t="shared" si="9908"/>
        <v>0</v>
      </c>
      <c r="M1963" s="200">
        <f t="shared" si="9908"/>
        <v>0</v>
      </c>
      <c r="N1963" s="200">
        <f t="shared" si="9908"/>
        <v>0</v>
      </c>
      <c r="O1963" s="200">
        <f t="shared" si="9908"/>
        <v>0</v>
      </c>
      <c r="P1963" s="200">
        <f t="shared" si="9"/>
        <v>0</v>
      </c>
      <c r="Q1963" s="200">
        <f t="shared" ref="Q1963:AC1963" si="9909">countif($D1963,"*"&amp;Q$2&amp;"*")</f>
        <v>0</v>
      </c>
      <c r="R1963" s="200">
        <f t="shared" si="9909"/>
        <v>0</v>
      </c>
      <c r="S1963" s="200">
        <f t="shared" si="9909"/>
        <v>0</v>
      </c>
      <c r="T1963" s="200">
        <f t="shared" si="9909"/>
        <v>0</v>
      </c>
      <c r="U1963" s="200">
        <f t="shared" si="9909"/>
        <v>0</v>
      </c>
      <c r="V1963" s="200">
        <f t="shared" si="9909"/>
        <v>0</v>
      </c>
      <c r="W1963" s="200">
        <f t="shared" si="9909"/>
        <v>0</v>
      </c>
      <c r="X1963" s="200">
        <f t="shared" si="9909"/>
        <v>0</v>
      </c>
      <c r="Y1963" s="200">
        <f t="shared" si="9909"/>
        <v>0</v>
      </c>
      <c r="Z1963" s="200">
        <f t="shared" si="9909"/>
        <v>0</v>
      </c>
      <c r="AA1963" s="200">
        <f t="shared" si="9909"/>
        <v>0</v>
      </c>
      <c r="AB1963" s="200">
        <f t="shared" si="9909"/>
        <v>0</v>
      </c>
      <c r="AC1963" s="200">
        <f t="shared" si="9909"/>
        <v>0</v>
      </c>
      <c r="AD1963" s="222">
        <f t="shared" si="11"/>
        <v>0</v>
      </c>
      <c r="AE1963" s="200">
        <f t="shared" ref="AE1963:AG1963" si="9910">countif($D1963,"*"&amp;AE$2&amp;"*")</f>
        <v>0</v>
      </c>
      <c r="AF1963" s="200">
        <f t="shared" si="9910"/>
        <v>0</v>
      </c>
      <c r="AG1963" s="200">
        <f t="shared" si="9910"/>
        <v>0</v>
      </c>
      <c r="AH1963" s="171">
        <f t="shared" si="13"/>
        <v>1</v>
      </c>
      <c r="AI1963" s="200">
        <f t="shared" si="14"/>
        <v>0</v>
      </c>
      <c r="AJ1963" s="200">
        <f t="shared" si="9885"/>
        <v>1</v>
      </c>
      <c r="AK1963" s="201">
        <f t="shared" ref="AK1963:AS1963" si="9911">countif($D1963,"*"&amp;AK$2&amp;"*")</f>
        <v>0</v>
      </c>
      <c r="AL1963" s="201">
        <f t="shared" si="9911"/>
        <v>0</v>
      </c>
      <c r="AM1963" s="201">
        <f t="shared" si="9911"/>
        <v>0</v>
      </c>
      <c r="AN1963" s="201">
        <f t="shared" si="9911"/>
        <v>1</v>
      </c>
      <c r="AO1963" s="201">
        <f t="shared" si="9911"/>
        <v>0</v>
      </c>
      <c r="AP1963" s="201">
        <f t="shared" si="9911"/>
        <v>0</v>
      </c>
      <c r="AQ1963" s="201">
        <f t="shared" si="9911"/>
        <v>0</v>
      </c>
      <c r="AR1963" s="222">
        <f t="shared" si="9911"/>
        <v>0</v>
      </c>
      <c r="AS1963" s="200">
        <f t="shared" si="9911"/>
        <v>0</v>
      </c>
      <c r="AT1963" s="223">
        <v>0.0</v>
      </c>
      <c r="AU1963" s="200">
        <f t="shared" ref="AU1963:AX1963" si="9912">countif($D1963,"*"&amp;AU$2&amp;"*")</f>
        <v>0</v>
      </c>
      <c r="AV1963" s="200">
        <f t="shared" si="9912"/>
        <v>0</v>
      </c>
      <c r="AW1963" s="200">
        <f t="shared" si="9912"/>
        <v>0</v>
      </c>
      <c r="AX1963" s="200">
        <f t="shared" si="9912"/>
        <v>0</v>
      </c>
      <c r="AY1963" s="202">
        <v>0.0</v>
      </c>
      <c r="AZ1963" s="200"/>
      <c r="BA1963" s="171" t="str">
        <f t="shared" si="18"/>
        <v/>
      </c>
      <c r="BB1963" s="171" t="str">
        <f t="shared" si="19"/>
        <v/>
      </c>
      <c r="BC1963" s="171" t="str">
        <f t="shared" si="20"/>
        <v/>
      </c>
      <c r="BD1963" s="171" t="str">
        <f t="shared" si="21"/>
        <v/>
      </c>
      <c r="BE1963" s="171" t="str">
        <f t="shared" si="22"/>
        <v>Others</v>
      </c>
      <c r="BF1963" s="171" t="str">
        <f t="shared" si="23"/>
        <v>Others</v>
      </c>
    </row>
    <row r="1964">
      <c r="A1964" s="213">
        <f t="array" ref="A1964">XLOOKUP(C1964,FSE!A:A,FSE!C:C,"XXXXX",0,1)</f>
        <v>2017</v>
      </c>
      <c r="B1964" s="213" t="s">
        <v>5676</v>
      </c>
      <c r="C1964" s="220">
        <v>581.0</v>
      </c>
      <c r="D1964" s="217" t="s">
        <v>6526</v>
      </c>
      <c r="E1964" s="221" t="str">
        <f t="array" ref="E1964">XLOOKUP(C1964,FSE!A:A,FSE!Z:Z,"XXXXX",0,1)</f>
        <v>Publicly Available (4)
Not Available (2)</v>
      </c>
      <c r="F1964" s="213" t="s">
        <v>3394</v>
      </c>
      <c r="G1964" s="163" t="str">
        <f t="array" ref="G1964">IF(B1964="ICSE",IF(COUNTIFS(B:B,B1964,C:C,C1964)=XLOOKUP(C1964,ICSE!A:A,ICSE!AA:AA,"ERROR",0,1),"OK","ERROR"),IF(B1964="FSE",IF(COUNTIFS(B:B,B1964,C:C,C1964)=XLOOKUP(C1964,FSE!A:A,FSE!AA:AA,"ERROR",0,1),"OK","ERROR")))</f>
        <v>OK</v>
      </c>
      <c r="H1964" s="199">
        <f t="shared" ref="H1964:O1964" si="9913">countif($D1964,"*"&amp;H$2&amp;"*")</f>
        <v>0</v>
      </c>
      <c r="I1964" s="200">
        <f t="shared" si="9913"/>
        <v>0</v>
      </c>
      <c r="J1964" s="200">
        <f t="shared" si="9913"/>
        <v>0</v>
      </c>
      <c r="K1964" s="200">
        <f t="shared" si="9913"/>
        <v>0</v>
      </c>
      <c r="L1964" s="200">
        <f t="shared" si="9913"/>
        <v>0</v>
      </c>
      <c r="M1964" s="200">
        <f t="shared" si="9913"/>
        <v>0</v>
      </c>
      <c r="N1964" s="200">
        <f t="shared" si="9913"/>
        <v>0</v>
      </c>
      <c r="O1964" s="200">
        <f t="shared" si="9913"/>
        <v>0</v>
      </c>
      <c r="P1964" s="200">
        <f t="shared" si="9"/>
        <v>0</v>
      </c>
      <c r="Q1964" s="200">
        <f t="shared" ref="Q1964:AC1964" si="9914">countif($D1964,"*"&amp;Q$2&amp;"*")</f>
        <v>0</v>
      </c>
      <c r="R1964" s="200">
        <f t="shared" si="9914"/>
        <v>0</v>
      </c>
      <c r="S1964" s="200">
        <f t="shared" si="9914"/>
        <v>0</v>
      </c>
      <c r="T1964" s="200">
        <f t="shared" si="9914"/>
        <v>0</v>
      </c>
      <c r="U1964" s="200">
        <f t="shared" si="9914"/>
        <v>0</v>
      </c>
      <c r="V1964" s="200">
        <f t="shared" si="9914"/>
        <v>0</v>
      </c>
      <c r="W1964" s="200">
        <f t="shared" si="9914"/>
        <v>0</v>
      </c>
      <c r="X1964" s="200">
        <f t="shared" si="9914"/>
        <v>0</v>
      </c>
      <c r="Y1964" s="200">
        <f t="shared" si="9914"/>
        <v>0</v>
      </c>
      <c r="Z1964" s="200">
        <f t="shared" si="9914"/>
        <v>0</v>
      </c>
      <c r="AA1964" s="200">
        <f t="shared" si="9914"/>
        <v>0</v>
      </c>
      <c r="AB1964" s="200">
        <f t="shared" si="9914"/>
        <v>0</v>
      </c>
      <c r="AC1964" s="200">
        <f t="shared" si="9914"/>
        <v>0</v>
      </c>
      <c r="AD1964" s="222">
        <f t="shared" si="11"/>
        <v>0</v>
      </c>
      <c r="AE1964" s="200">
        <f t="shared" ref="AE1964:AG1964" si="9915">countif($D1964,"*"&amp;AE$2&amp;"*")</f>
        <v>0</v>
      </c>
      <c r="AF1964" s="200">
        <f t="shared" si="9915"/>
        <v>0</v>
      </c>
      <c r="AG1964" s="200">
        <f t="shared" si="9915"/>
        <v>0</v>
      </c>
      <c r="AH1964" s="171">
        <f t="shared" si="13"/>
        <v>1</v>
      </c>
      <c r="AI1964" s="200">
        <f t="shared" si="14"/>
        <v>0</v>
      </c>
      <c r="AJ1964" s="200">
        <f t="shared" si="9885"/>
        <v>1</v>
      </c>
      <c r="AK1964" s="201">
        <f t="shared" ref="AK1964:AS1964" si="9916">countif($D1964,"*"&amp;AK$2&amp;"*")</f>
        <v>0</v>
      </c>
      <c r="AL1964" s="201">
        <f t="shared" si="9916"/>
        <v>0</v>
      </c>
      <c r="AM1964" s="201">
        <f t="shared" si="9916"/>
        <v>0</v>
      </c>
      <c r="AN1964" s="201">
        <f t="shared" si="9916"/>
        <v>1</v>
      </c>
      <c r="AO1964" s="201">
        <f t="shared" si="9916"/>
        <v>0</v>
      </c>
      <c r="AP1964" s="201">
        <f t="shared" si="9916"/>
        <v>0</v>
      </c>
      <c r="AQ1964" s="201">
        <f t="shared" si="9916"/>
        <v>0</v>
      </c>
      <c r="AR1964" s="222">
        <f t="shared" si="9916"/>
        <v>0</v>
      </c>
      <c r="AS1964" s="200">
        <f t="shared" si="9916"/>
        <v>1</v>
      </c>
      <c r="AT1964" s="223">
        <v>0.0</v>
      </c>
      <c r="AU1964" s="200">
        <f t="shared" ref="AU1964:AX1964" si="9917">countif($D1964,"*"&amp;AU$2&amp;"*")</f>
        <v>0</v>
      </c>
      <c r="AV1964" s="200">
        <f t="shared" si="9917"/>
        <v>0</v>
      </c>
      <c r="AW1964" s="200">
        <f t="shared" si="9917"/>
        <v>0</v>
      </c>
      <c r="AX1964" s="200">
        <f t="shared" si="9917"/>
        <v>0</v>
      </c>
      <c r="AY1964" s="202">
        <v>0.0</v>
      </c>
      <c r="AZ1964" s="200"/>
      <c r="BA1964" s="171" t="str">
        <f t="shared" si="18"/>
        <v/>
      </c>
      <c r="BB1964" s="171" t="str">
        <f t="shared" si="19"/>
        <v/>
      </c>
      <c r="BC1964" s="171" t="str">
        <f t="shared" si="20"/>
        <v/>
      </c>
      <c r="BD1964" s="171" t="str">
        <f t="shared" si="21"/>
        <v/>
      </c>
      <c r="BE1964" s="171" t="str">
        <f t="shared" si="22"/>
        <v>Others</v>
      </c>
      <c r="BF1964" s="171" t="str">
        <f t="shared" si="23"/>
        <v>Others</v>
      </c>
    </row>
    <row r="1965">
      <c r="A1965" s="171">
        <f t="array" ref="A1965">XLOOKUP(C1965,FSE!A:A,FSE!C:C,"XXXXX",0,1)</f>
        <v>2017</v>
      </c>
      <c r="B1965" s="213" t="s">
        <v>5676</v>
      </c>
      <c r="C1965" s="214">
        <v>582.0</v>
      </c>
      <c r="D1965" s="215" t="s">
        <v>3979</v>
      </c>
      <c r="E1965" s="197" t="str">
        <f t="array" ref="E1965">XLOOKUP(C1965,FSE!A:A,FSE!Z:Z,"XXXXX",0,1)</f>
        <v>Publicly Available (1)</v>
      </c>
      <c r="F1965" s="213" t="s">
        <v>3394</v>
      </c>
      <c r="G1965" s="163" t="str">
        <f t="array" ref="G1965">IF(B1965="ICSE",IF(COUNTIFS(B:B,B1965,C:C,C1965)=XLOOKUP(C1965,ICSE!A:A,ICSE!AA:AA,"ERROR",0,1),"OK","ERROR"),IF(B1965="FSE",IF(COUNTIFS(B:B,B1965,C:C,C1965)=XLOOKUP(C1965,FSE!A:A,FSE!AA:AA,"ERROR",0,1),"OK","ERROR")))</f>
        <v>OK</v>
      </c>
      <c r="H1965" s="199">
        <f t="shared" ref="H1965:O1965" si="9918">countif($D1965,"*"&amp;H$2&amp;"*")</f>
        <v>0</v>
      </c>
      <c r="I1965" s="200">
        <f t="shared" si="9918"/>
        <v>0</v>
      </c>
      <c r="J1965" s="200">
        <f t="shared" si="9918"/>
        <v>0</v>
      </c>
      <c r="K1965" s="200">
        <f t="shared" si="9918"/>
        <v>0</v>
      </c>
      <c r="L1965" s="200">
        <f t="shared" si="9918"/>
        <v>0</v>
      </c>
      <c r="M1965" s="200">
        <f t="shared" si="9918"/>
        <v>0</v>
      </c>
      <c r="N1965" s="200">
        <f t="shared" si="9918"/>
        <v>0</v>
      </c>
      <c r="O1965" s="200">
        <f t="shared" si="9918"/>
        <v>0</v>
      </c>
      <c r="P1965" s="200">
        <f t="shared" si="9"/>
        <v>1</v>
      </c>
      <c r="Q1965" s="200">
        <f t="shared" ref="Q1965:AC1965" si="9919">countif($D1965,"*"&amp;Q$2&amp;"*")</f>
        <v>0</v>
      </c>
      <c r="R1965" s="200">
        <f t="shared" si="9919"/>
        <v>0</v>
      </c>
      <c r="S1965" s="200">
        <f t="shared" si="9919"/>
        <v>0</v>
      </c>
      <c r="T1965" s="200">
        <f t="shared" si="9919"/>
        <v>0</v>
      </c>
      <c r="U1965" s="200">
        <f t="shared" si="9919"/>
        <v>0</v>
      </c>
      <c r="V1965" s="200">
        <f t="shared" si="9919"/>
        <v>0</v>
      </c>
      <c r="W1965" s="200">
        <f t="shared" si="9919"/>
        <v>0</v>
      </c>
      <c r="X1965" s="200">
        <f t="shared" si="9919"/>
        <v>0</v>
      </c>
      <c r="Y1965" s="200">
        <f t="shared" si="9919"/>
        <v>0</v>
      </c>
      <c r="Z1965" s="200">
        <f t="shared" si="9919"/>
        <v>0</v>
      </c>
      <c r="AA1965" s="200">
        <f t="shared" si="9919"/>
        <v>0</v>
      </c>
      <c r="AB1965" s="200">
        <f t="shared" si="9919"/>
        <v>0</v>
      </c>
      <c r="AC1965" s="200">
        <f t="shared" si="9919"/>
        <v>0</v>
      </c>
      <c r="AD1965" s="200">
        <f t="shared" si="11"/>
        <v>0</v>
      </c>
      <c r="AE1965" s="200">
        <f t="shared" ref="AE1965:AG1965" si="9920">countif($D1965,"*"&amp;AE$2&amp;"*")</f>
        <v>0</v>
      </c>
      <c r="AF1965" s="200">
        <f t="shared" si="9920"/>
        <v>0</v>
      </c>
      <c r="AG1965" s="200">
        <f t="shared" si="9920"/>
        <v>0</v>
      </c>
      <c r="AH1965" s="171">
        <f t="shared" si="13"/>
        <v>0</v>
      </c>
      <c r="AI1965" s="200">
        <f t="shared" si="14"/>
        <v>0</v>
      </c>
      <c r="AJ1965" s="200">
        <f t="shared" si="9885"/>
        <v>0</v>
      </c>
      <c r="AK1965" s="201">
        <f t="shared" ref="AK1965:AS1965" si="9921">countif($D1965,"*"&amp;AK$2&amp;"*")</f>
        <v>0</v>
      </c>
      <c r="AL1965" s="201">
        <f t="shared" si="9921"/>
        <v>0</v>
      </c>
      <c r="AM1965" s="201">
        <f t="shared" si="9921"/>
        <v>0</v>
      </c>
      <c r="AN1965" s="201">
        <f t="shared" si="9921"/>
        <v>0</v>
      </c>
      <c r="AO1965" s="201">
        <f t="shared" si="9921"/>
        <v>0</v>
      </c>
      <c r="AP1965" s="201">
        <f t="shared" si="9921"/>
        <v>0</v>
      </c>
      <c r="AQ1965" s="201">
        <f t="shared" si="9921"/>
        <v>0</v>
      </c>
      <c r="AR1965" s="200">
        <f t="shared" si="9921"/>
        <v>0</v>
      </c>
      <c r="AS1965" s="200">
        <f t="shared" si="9921"/>
        <v>0</v>
      </c>
      <c r="AT1965" s="173">
        <v>0.0</v>
      </c>
      <c r="AU1965" s="200">
        <f t="shared" ref="AU1965:AX1965" si="9922">countif($D1965,"*"&amp;AU$2&amp;"*")</f>
        <v>0</v>
      </c>
      <c r="AV1965" s="200">
        <f t="shared" si="9922"/>
        <v>1</v>
      </c>
      <c r="AW1965" s="200">
        <f t="shared" si="9922"/>
        <v>0</v>
      </c>
      <c r="AX1965" s="200">
        <f t="shared" si="9922"/>
        <v>0</v>
      </c>
      <c r="AY1965" s="202">
        <v>0.0</v>
      </c>
      <c r="AZ1965" s="200"/>
      <c r="BA1965" s="171" t="str">
        <f t="shared" si="18"/>
        <v/>
      </c>
      <c r="BB1965" s="171" t="str">
        <f t="shared" si="19"/>
        <v>Code</v>
      </c>
      <c r="BC1965" s="171" t="str">
        <f t="shared" si="20"/>
        <v/>
      </c>
      <c r="BD1965" s="171" t="str">
        <f t="shared" si="21"/>
        <v/>
      </c>
      <c r="BE1965" s="171" t="str">
        <f t="shared" si="22"/>
        <v/>
      </c>
      <c r="BF1965" s="171" t="str">
        <f t="shared" si="23"/>
        <v>Code</v>
      </c>
    </row>
    <row r="1966">
      <c r="A1966" s="171">
        <f t="array" ref="A1966">XLOOKUP(C1966,FSE!A:A,FSE!C:C,"XXXXX",0,1)</f>
        <v>2017</v>
      </c>
      <c r="B1966" s="213" t="s">
        <v>5676</v>
      </c>
      <c r="C1966" s="214">
        <v>583.0</v>
      </c>
      <c r="D1966" s="215" t="s">
        <v>3982</v>
      </c>
      <c r="E1966" s="197" t="str">
        <f t="array" ref="E1966">XLOOKUP(C1966,FSE!A:A,FSE!Z:Z,"XXXXX",0,1)</f>
        <v>Publicly Available (1)</v>
      </c>
      <c r="F1966" s="213" t="s">
        <v>3394</v>
      </c>
      <c r="G1966" s="163" t="str">
        <f t="array" ref="G1966">IF(B1966="ICSE",IF(COUNTIFS(B:B,B1966,C:C,C1966)=XLOOKUP(C1966,ICSE!A:A,ICSE!AA:AA,"ERROR",0,1),"OK","ERROR"),IF(B1966="FSE",IF(COUNTIFS(B:B,B1966,C:C,C1966)=XLOOKUP(C1966,FSE!A:A,FSE!AA:AA,"ERROR",0,1),"OK","ERROR")))</f>
        <v>OK</v>
      </c>
      <c r="H1966" s="199">
        <f t="shared" ref="H1966:O1966" si="9923">countif($D1966,"*"&amp;H$2&amp;"*")</f>
        <v>0</v>
      </c>
      <c r="I1966" s="200">
        <f t="shared" si="9923"/>
        <v>0</v>
      </c>
      <c r="J1966" s="200">
        <f t="shared" si="9923"/>
        <v>0</v>
      </c>
      <c r="K1966" s="200">
        <f t="shared" si="9923"/>
        <v>0</v>
      </c>
      <c r="L1966" s="200">
        <f t="shared" si="9923"/>
        <v>0</v>
      </c>
      <c r="M1966" s="200">
        <f t="shared" si="9923"/>
        <v>0</v>
      </c>
      <c r="N1966" s="200">
        <f t="shared" si="9923"/>
        <v>0</v>
      </c>
      <c r="O1966" s="200">
        <f t="shared" si="9923"/>
        <v>0</v>
      </c>
      <c r="P1966" s="200">
        <f t="shared" si="9"/>
        <v>1</v>
      </c>
      <c r="Q1966" s="200">
        <f t="shared" ref="Q1966:AC1966" si="9924">countif($D1966,"*"&amp;Q$2&amp;"*")</f>
        <v>0</v>
      </c>
      <c r="R1966" s="200">
        <f t="shared" si="9924"/>
        <v>0</v>
      </c>
      <c r="S1966" s="200">
        <f t="shared" si="9924"/>
        <v>0</v>
      </c>
      <c r="T1966" s="200">
        <f t="shared" si="9924"/>
        <v>0</v>
      </c>
      <c r="U1966" s="200">
        <f t="shared" si="9924"/>
        <v>0</v>
      </c>
      <c r="V1966" s="200">
        <f t="shared" si="9924"/>
        <v>0</v>
      </c>
      <c r="W1966" s="200">
        <f t="shared" si="9924"/>
        <v>0</v>
      </c>
      <c r="X1966" s="200">
        <f t="shared" si="9924"/>
        <v>0</v>
      </c>
      <c r="Y1966" s="200">
        <f t="shared" si="9924"/>
        <v>0</v>
      </c>
      <c r="Z1966" s="200">
        <f t="shared" si="9924"/>
        <v>0</v>
      </c>
      <c r="AA1966" s="200">
        <f t="shared" si="9924"/>
        <v>0</v>
      </c>
      <c r="AB1966" s="200">
        <f t="shared" si="9924"/>
        <v>0</v>
      </c>
      <c r="AC1966" s="200">
        <f t="shared" si="9924"/>
        <v>0</v>
      </c>
      <c r="AD1966" s="200">
        <f t="shared" si="11"/>
        <v>0</v>
      </c>
      <c r="AE1966" s="200">
        <f t="shared" ref="AE1966:AG1966" si="9925">countif($D1966,"*"&amp;AE$2&amp;"*")</f>
        <v>0</v>
      </c>
      <c r="AF1966" s="200">
        <f t="shared" si="9925"/>
        <v>0</v>
      </c>
      <c r="AG1966" s="200">
        <f t="shared" si="9925"/>
        <v>0</v>
      </c>
      <c r="AH1966" s="171">
        <f t="shared" si="13"/>
        <v>0</v>
      </c>
      <c r="AI1966" s="200">
        <f t="shared" si="14"/>
        <v>0</v>
      </c>
      <c r="AJ1966" s="200">
        <f t="shared" si="9885"/>
        <v>0</v>
      </c>
      <c r="AK1966" s="201">
        <f t="shared" ref="AK1966:AS1966" si="9926">countif($D1966,"*"&amp;AK$2&amp;"*")</f>
        <v>0</v>
      </c>
      <c r="AL1966" s="201">
        <f t="shared" si="9926"/>
        <v>0</v>
      </c>
      <c r="AM1966" s="201">
        <f t="shared" si="9926"/>
        <v>0</v>
      </c>
      <c r="AN1966" s="201">
        <f t="shared" si="9926"/>
        <v>0</v>
      </c>
      <c r="AO1966" s="201">
        <f t="shared" si="9926"/>
        <v>0</v>
      </c>
      <c r="AP1966" s="201">
        <f t="shared" si="9926"/>
        <v>0</v>
      </c>
      <c r="AQ1966" s="201">
        <f t="shared" si="9926"/>
        <v>0</v>
      </c>
      <c r="AR1966" s="200">
        <f t="shared" si="9926"/>
        <v>0</v>
      </c>
      <c r="AS1966" s="200">
        <f t="shared" si="9926"/>
        <v>0</v>
      </c>
      <c r="AT1966" s="173">
        <v>0.0</v>
      </c>
      <c r="AU1966" s="200">
        <f t="shared" ref="AU1966:AX1966" si="9927">countif($D1966,"*"&amp;AU$2&amp;"*")</f>
        <v>0</v>
      </c>
      <c r="AV1966" s="200">
        <f t="shared" si="9927"/>
        <v>1</v>
      </c>
      <c r="AW1966" s="200">
        <f t="shared" si="9927"/>
        <v>0</v>
      </c>
      <c r="AX1966" s="200">
        <f t="shared" si="9927"/>
        <v>0</v>
      </c>
      <c r="AY1966" s="202">
        <v>0.0</v>
      </c>
      <c r="AZ1966" s="200"/>
      <c r="BA1966" s="171" t="str">
        <f t="shared" si="18"/>
        <v/>
      </c>
      <c r="BB1966" s="171" t="str">
        <f t="shared" si="19"/>
        <v>Code</v>
      </c>
      <c r="BC1966" s="171" t="str">
        <f t="shared" si="20"/>
        <v/>
      </c>
      <c r="BD1966" s="171" t="str">
        <f t="shared" si="21"/>
        <v/>
      </c>
      <c r="BE1966" s="171" t="str">
        <f t="shared" si="22"/>
        <v/>
      </c>
      <c r="BF1966" s="171" t="str">
        <f t="shared" si="23"/>
        <v>Code</v>
      </c>
    </row>
    <row r="1967">
      <c r="A1967" s="171">
        <f t="array" ref="A1967">XLOOKUP(C1967,FSE!A:A,FSE!C:C,"XXXXX",0,1)</f>
        <v>2017</v>
      </c>
      <c r="B1967" s="213" t="s">
        <v>5676</v>
      </c>
      <c r="C1967" s="214">
        <v>584.0</v>
      </c>
      <c r="D1967" s="215" t="s">
        <v>3985</v>
      </c>
      <c r="E1967" s="197" t="str">
        <f t="array" ref="E1967">XLOOKUP(C1967,FSE!A:A,FSE!Z:Z,"XXXXX",0,1)</f>
        <v>Publicly Available (1)</v>
      </c>
      <c r="F1967" s="213" t="s">
        <v>3394</v>
      </c>
      <c r="G1967" s="163" t="str">
        <f t="array" ref="G1967">IF(B1967="ICSE",IF(COUNTIFS(B:B,B1967,C:C,C1967)=XLOOKUP(C1967,ICSE!A:A,ICSE!AA:AA,"ERROR",0,1),"OK","ERROR"),IF(B1967="FSE",IF(COUNTIFS(B:B,B1967,C:C,C1967)=XLOOKUP(C1967,FSE!A:A,FSE!AA:AA,"ERROR",0,1),"OK","ERROR")))</f>
        <v>OK</v>
      </c>
      <c r="H1967" s="199">
        <f t="shared" ref="H1967:O1967" si="9928">countif($D1967,"*"&amp;H$2&amp;"*")</f>
        <v>0</v>
      </c>
      <c r="I1967" s="200">
        <f t="shared" si="9928"/>
        <v>0</v>
      </c>
      <c r="J1967" s="200">
        <f t="shared" si="9928"/>
        <v>0</v>
      </c>
      <c r="K1967" s="200">
        <f t="shared" si="9928"/>
        <v>0</v>
      </c>
      <c r="L1967" s="200">
        <f t="shared" si="9928"/>
        <v>0</v>
      </c>
      <c r="M1967" s="200">
        <f t="shared" si="9928"/>
        <v>0</v>
      </c>
      <c r="N1967" s="200">
        <f t="shared" si="9928"/>
        <v>0</v>
      </c>
      <c r="O1967" s="200">
        <f t="shared" si="9928"/>
        <v>0</v>
      </c>
      <c r="P1967" s="200">
        <f t="shared" si="9"/>
        <v>1</v>
      </c>
      <c r="Q1967" s="200">
        <f t="shared" ref="Q1967:AC1967" si="9929">countif($D1967,"*"&amp;Q$2&amp;"*")</f>
        <v>0</v>
      </c>
      <c r="R1967" s="200">
        <f t="shared" si="9929"/>
        <v>0</v>
      </c>
      <c r="S1967" s="200">
        <f t="shared" si="9929"/>
        <v>0</v>
      </c>
      <c r="T1967" s="200">
        <f t="shared" si="9929"/>
        <v>0</v>
      </c>
      <c r="U1967" s="200">
        <f t="shared" si="9929"/>
        <v>0</v>
      </c>
      <c r="V1967" s="200">
        <f t="shared" si="9929"/>
        <v>0</v>
      </c>
      <c r="W1967" s="200">
        <f t="shared" si="9929"/>
        <v>0</v>
      </c>
      <c r="X1967" s="200">
        <f t="shared" si="9929"/>
        <v>0</v>
      </c>
      <c r="Y1967" s="200">
        <f t="shared" si="9929"/>
        <v>0</v>
      </c>
      <c r="Z1967" s="200">
        <f t="shared" si="9929"/>
        <v>0</v>
      </c>
      <c r="AA1967" s="200">
        <f t="shared" si="9929"/>
        <v>0</v>
      </c>
      <c r="AB1967" s="200">
        <f t="shared" si="9929"/>
        <v>0</v>
      </c>
      <c r="AC1967" s="200">
        <f t="shared" si="9929"/>
        <v>0</v>
      </c>
      <c r="AD1967" s="200">
        <f t="shared" si="11"/>
        <v>0</v>
      </c>
      <c r="AE1967" s="200">
        <f t="shared" ref="AE1967:AG1967" si="9930">countif($D1967,"*"&amp;AE$2&amp;"*")</f>
        <v>0</v>
      </c>
      <c r="AF1967" s="200">
        <f t="shared" si="9930"/>
        <v>0</v>
      </c>
      <c r="AG1967" s="200">
        <f t="shared" si="9930"/>
        <v>0</v>
      </c>
      <c r="AH1967" s="171">
        <f t="shared" si="13"/>
        <v>0</v>
      </c>
      <c r="AI1967" s="200">
        <f t="shared" si="14"/>
        <v>0</v>
      </c>
      <c r="AJ1967" s="200">
        <f t="shared" si="9885"/>
        <v>0</v>
      </c>
      <c r="AK1967" s="201">
        <f t="shared" ref="AK1967:AS1967" si="9931">countif($D1967,"*"&amp;AK$2&amp;"*")</f>
        <v>0</v>
      </c>
      <c r="AL1967" s="201">
        <f t="shared" si="9931"/>
        <v>0</v>
      </c>
      <c r="AM1967" s="201">
        <f t="shared" si="9931"/>
        <v>0</v>
      </c>
      <c r="AN1967" s="201">
        <f t="shared" si="9931"/>
        <v>0</v>
      </c>
      <c r="AO1967" s="201">
        <f t="shared" si="9931"/>
        <v>0</v>
      </c>
      <c r="AP1967" s="201">
        <f t="shared" si="9931"/>
        <v>0</v>
      </c>
      <c r="AQ1967" s="201">
        <f t="shared" si="9931"/>
        <v>0</v>
      </c>
      <c r="AR1967" s="200">
        <f t="shared" si="9931"/>
        <v>0</v>
      </c>
      <c r="AS1967" s="200">
        <f t="shared" si="9931"/>
        <v>0</v>
      </c>
      <c r="AT1967" s="173">
        <v>0.0</v>
      </c>
      <c r="AU1967" s="200">
        <f t="shared" ref="AU1967:AX1967" si="9932">countif($D1967,"*"&amp;AU$2&amp;"*")</f>
        <v>0</v>
      </c>
      <c r="AV1967" s="200">
        <f t="shared" si="9932"/>
        <v>1</v>
      </c>
      <c r="AW1967" s="200">
        <f t="shared" si="9932"/>
        <v>0</v>
      </c>
      <c r="AX1967" s="200">
        <f t="shared" si="9932"/>
        <v>0</v>
      </c>
      <c r="AY1967" s="202">
        <v>0.0</v>
      </c>
      <c r="AZ1967" s="200"/>
      <c r="BA1967" s="171" t="str">
        <f t="shared" si="18"/>
        <v/>
      </c>
      <c r="BB1967" s="171" t="str">
        <f t="shared" si="19"/>
        <v>Code</v>
      </c>
      <c r="BC1967" s="171" t="str">
        <f t="shared" si="20"/>
        <v/>
      </c>
      <c r="BD1967" s="171" t="str">
        <f t="shared" si="21"/>
        <v/>
      </c>
      <c r="BE1967" s="171" t="str">
        <f t="shared" si="22"/>
        <v/>
      </c>
      <c r="BF1967" s="171" t="str">
        <f t="shared" si="23"/>
        <v>Code</v>
      </c>
    </row>
    <row r="1968">
      <c r="A1968" s="171">
        <f t="array" ref="A1968">XLOOKUP(C1968,FSE!A:A,FSE!C:C,"XXXXX",0,1)</f>
        <v>2017</v>
      </c>
      <c r="B1968" s="213" t="s">
        <v>5676</v>
      </c>
      <c r="C1968" s="214">
        <v>585.0</v>
      </c>
      <c r="D1968" s="215" t="s">
        <v>3987</v>
      </c>
      <c r="E1968" s="197" t="str">
        <f t="array" ref="E1968">XLOOKUP(C1968,FSE!A:A,FSE!Z:Z,"XXXXX",0,1)</f>
        <v>Publicly Available (1)</v>
      </c>
      <c r="F1968" s="213" t="s">
        <v>3394</v>
      </c>
      <c r="G1968" s="163" t="str">
        <f t="array" ref="G1968">IF(B1968="ICSE",IF(COUNTIFS(B:B,B1968,C:C,C1968)=XLOOKUP(C1968,ICSE!A:A,ICSE!AA:AA,"ERROR",0,1),"OK","ERROR"),IF(B1968="FSE",IF(COUNTIFS(B:B,B1968,C:C,C1968)=XLOOKUP(C1968,FSE!A:A,FSE!AA:AA,"ERROR",0,1),"OK","ERROR")))</f>
        <v>OK</v>
      </c>
      <c r="H1968" s="199">
        <f t="shared" ref="H1968:O1968" si="9933">countif($D1968,"*"&amp;H$2&amp;"*")</f>
        <v>0</v>
      </c>
      <c r="I1968" s="200">
        <f t="shared" si="9933"/>
        <v>0</v>
      </c>
      <c r="J1968" s="200">
        <f t="shared" si="9933"/>
        <v>0</v>
      </c>
      <c r="K1968" s="200">
        <f t="shared" si="9933"/>
        <v>0</v>
      </c>
      <c r="L1968" s="200">
        <f t="shared" si="9933"/>
        <v>0</v>
      </c>
      <c r="M1968" s="200">
        <f t="shared" si="9933"/>
        <v>0</v>
      </c>
      <c r="N1968" s="200">
        <f t="shared" si="9933"/>
        <v>0</v>
      </c>
      <c r="O1968" s="200">
        <f t="shared" si="9933"/>
        <v>0</v>
      </c>
      <c r="P1968" s="200">
        <f t="shared" si="9"/>
        <v>0</v>
      </c>
      <c r="Q1968" s="200">
        <f t="shared" ref="Q1968:AC1968" si="9934">countif($D1968,"*"&amp;Q$2&amp;"*")</f>
        <v>0</v>
      </c>
      <c r="R1968" s="200">
        <f t="shared" si="9934"/>
        <v>0</v>
      </c>
      <c r="S1968" s="200">
        <f t="shared" si="9934"/>
        <v>0</v>
      </c>
      <c r="T1968" s="200">
        <f t="shared" si="9934"/>
        <v>0</v>
      </c>
      <c r="U1968" s="200">
        <f t="shared" si="9934"/>
        <v>0</v>
      </c>
      <c r="V1968" s="200">
        <f t="shared" si="9934"/>
        <v>0</v>
      </c>
      <c r="W1968" s="200">
        <f t="shared" si="9934"/>
        <v>0</v>
      </c>
      <c r="X1968" s="200">
        <f t="shared" si="9934"/>
        <v>0</v>
      </c>
      <c r="Y1968" s="200">
        <f t="shared" si="9934"/>
        <v>0</v>
      </c>
      <c r="Z1968" s="200">
        <f t="shared" si="9934"/>
        <v>0</v>
      </c>
      <c r="AA1968" s="200">
        <f t="shared" si="9934"/>
        <v>0</v>
      </c>
      <c r="AB1968" s="200">
        <f t="shared" si="9934"/>
        <v>0</v>
      </c>
      <c r="AC1968" s="200">
        <f t="shared" si="9934"/>
        <v>0</v>
      </c>
      <c r="AD1968" s="200">
        <f t="shared" si="11"/>
        <v>1</v>
      </c>
      <c r="AE1968" s="200">
        <f t="shared" ref="AE1968:AG1968" si="9935">countif($D1968,"*"&amp;AE$2&amp;"*")</f>
        <v>0</v>
      </c>
      <c r="AF1968" s="200">
        <f t="shared" si="9935"/>
        <v>0</v>
      </c>
      <c r="AG1968" s="200">
        <f t="shared" si="9935"/>
        <v>0</v>
      </c>
      <c r="AH1968" s="171">
        <f t="shared" si="13"/>
        <v>0</v>
      </c>
      <c r="AI1968" s="200">
        <f t="shared" si="14"/>
        <v>0</v>
      </c>
      <c r="AJ1968" s="200">
        <f t="shared" si="9885"/>
        <v>0</v>
      </c>
      <c r="AK1968" s="201">
        <f t="shared" ref="AK1968:AS1968" si="9936">countif($D1968,"*"&amp;AK$2&amp;"*")</f>
        <v>0</v>
      </c>
      <c r="AL1968" s="201">
        <f t="shared" si="9936"/>
        <v>0</v>
      </c>
      <c r="AM1968" s="201">
        <f t="shared" si="9936"/>
        <v>0</v>
      </c>
      <c r="AN1968" s="201">
        <f t="shared" si="9936"/>
        <v>0</v>
      </c>
      <c r="AO1968" s="201">
        <f t="shared" si="9936"/>
        <v>0</v>
      </c>
      <c r="AP1968" s="201">
        <f t="shared" si="9936"/>
        <v>0</v>
      </c>
      <c r="AQ1968" s="201">
        <f t="shared" si="9936"/>
        <v>0</v>
      </c>
      <c r="AR1968" s="200">
        <f t="shared" si="9936"/>
        <v>0</v>
      </c>
      <c r="AS1968" s="200">
        <f t="shared" si="9936"/>
        <v>0</v>
      </c>
      <c r="AT1968" s="173">
        <v>1.0</v>
      </c>
      <c r="AU1968" s="200">
        <f t="shared" ref="AU1968:AX1968" si="9937">countif($D1968,"*"&amp;AU$2&amp;"*")</f>
        <v>0</v>
      </c>
      <c r="AV1968" s="200">
        <f t="shared" si="9937"/>
        <v>0</v>
      </c>
      <c r="AW1968" s="200">
        <f t="shared" si="9937"/>
        <v>0</v>
      </c>
      <c r="AX1968" s="200">
        <f t="shared" si="9937"/>
        <v>0</v>
      </c>
      <c r="AY1968" s="202">
        <v>0.0</v>
      </c>
      <c r="AZ1968" s="200"/>
      <c r="BA1968" s="171" t="str">
        <f t="shared" si="18"/>
        <v/>
      </c>
      <c r="BB1968" s="171" t="str">
        <f t="shared" si="19"/>
        <v/>
      </c>
      <c r="BC1968" s="171" t="str">
        <f t="shared" si="20"/>
        <v/>
      </c>
      <c r="BD1968" s="171" t="str">
        <f t="shared" si="21"/>
        <v>Institutional</v>
      </c>
      <c r="BE1968" s="171" t="str">
        <f t="shared" si="22"/>
        <v/>
      </c>
      <c r="BF1968" s="171" t="str">
        <f t="shared" si="23"/>
        <v>Institutional</v>
      </c>
    </row>
    <row r="1969">
      <c r="A1969" s="171">
        <f t="array" ref="A1969">XLOOKUP(C1969,FSE!A:A,FSE!C:C,"XXXXX",0,1)</f>
        <v>2017</v>
      </c>
      <c r="B1969" s="213" t="s">
        <v>5676</v>
      </c>
      <c r="C1969" s="214">
        <v>586.0</v>
      </c>
      <c r="D1969" s="215" t="s">
        <v>3989</v>
      </c>
      <c r="E1969" s="197" t="str">
        <f t="array" ref="E1969">XLOOKUP(C1969,FSE!A:A,FSE!Z:Z,"XXXXX",0,1)</f>
        <v>Publicly Available (1)</v>
      </c>
      <c r="F1969" s="213" t="s">
        <v>3394</v>
      </c>
      <c r="G1969" s="163" t="str">
        <f t="array" ref="G1969">IF(B1969="ICSE",IF(COUNTIFS(B:B,B1969,C:C,C1969)=XLOOKUP(C1969,ICSE!A:A,ICSE!AA:AA,"ERROR",0,1),"OK","ERROR"),IF(B1969="FSE",IF(COUNTIFS(B:B,B1969,C:C,C1969)=XLOOKUP(C1969,FSE!A:A,FSE!AA:AA,"ERROR",0,1),"OK","ERROR")))</f>
        <v>OK</v>
      </c>
      <c r="H1969" s="199">
        <f t="shared" ref="H1969:O1969" si="9938">countif($D1969,"*"&amp;H$2&amp;"*")</f>
        <v>0</v>
      </c>
      <c r="I1969" s="200">
        <f t="shared" si="9938"/>
        <v>0</v>
      </c>
      <c r="J1969" s="200">
        <f t="shared" si="9938"/>
        <v>0</v>
      </c>
      <c r="K1969" s="200">
        <f t="shared" si="9938"/>
        <v>0</v>
      </c>
      <c r="L1969" s="200">
        <f t="shared" si="9938"/>
        <v>0</v>
      </c>
      <c r="M1969" s="200">
        <f t="shared" si="9938"/>
        <v>0</v>
      </c>
      <c r="N1969" s="200">
        <f t="shared" si="9938"/>
        <v>0</v>
      </c>
      <c r="O1969" s="200">
        <f t="shared" si="9938"/>
        <v>0</v>
      </c>
      <c r="P1969" s="200">
        <f t="shared" si="9"/>
        <v>0</v>
      </c>
      <c r="Q1969" s="200">
        <f t="shared" ref="Q1969:AC1969" si="9939">countif($D1969,"*"&amp;Q$2&amp;"*")</f>
        <v>0</v>
      </c>
      <c r="R1969" s="200">
        <f t="shared" si="9939"/>
        <v>0</v>
      </c>
      <c r="S1969" s="200">
        <f t="shared" si="9939"/>
        <v>0</v>
      </c>
      <c r="T1969" s="200">
        <f t="shared" si="9939"/>
        <v>0</v>
      </c>
      <c r="U1969" s="200">
        <f t="shared" si="9939"/>
        <v>0</v>
      </c>
      <c r="V1969" s="200">
        <f t="shared" si="9939"/>
        <v>0</v>
      </c>
      <c r="W1969" s="200">
        <f t="shared" si="9939"/>
        <v>0</v>
      </c>
      <c r="X1969" s="200">
        <f t="shared" si="9939"/>
        <v>0</v>
      </c>
      <c r="Y1969" s="200">
        <f t="shared" si="9939"/>
        <v>0</v>
      </c>
      <c r="Z1969" s="200">
        <f t="shared" si="9939"/>
        <v>0</v>
      </c>
      <c r="AA1969" s="200">
        <f t="shared" si="9939"/>
        <v>0</v>
      </c>
      <c r="AB1969" s="200">
        <f t="shared" si="9939"/>
        <v>0</v>
      </c>
      <c r="AC1969" s="200">
        <f t="shared" si="9939"/>
        <v>0</v>
      </c>
      <c r="AD1969" s="200">
        <f t="shared" si="11"/>
        <v>1</v>
      </c>
      <c r="AE1969" s="200">
        <f t="shared" ref="AE1969:AG1969" si="9940">countif($D1969,"*"&amp;AE$2&amp;"*")</f>
        <v>0</v>
      </c>
      <c r="AF1969" s="200">
        <f t="shared" si="9940"/>
        <v>0</v>
      </c>
      <c r="AG1969" s="200">
        <f t="shared" si="9940"/>
        <v>0</v>
      </c>
      <c r="AH1969" s="171">
        <f t="shared" si="13"/>
        <v>0</v>
      </c>
      <c r="AI1969" s="200">
        <f t="shared" si="14"/>
        <v>0</v>
      </c>
      <c r="AJ1969" s="200">
        <f t="shared" si="9885"/>
        <v>0</v>
      </c>
      <c r="AK1969" s="201">
        <f t="shared" ref="AK1969:AS1969" si="9941">countif($D1969,"*"&amp;AK$2&amp;"*")</f>
        <v>0</v>
      </c>
      <c r="AL1969" s="201">
        <f t="shared" si="9941"/>
        <v>0</v>
      </c>
      <c r="AM1969" s="201">
        <f t="shared" si="9941"/>
        <v>0</v>
      </c>
      <c r="AN1969" s="201">
        <f t="shared" si="9941"/>
        <v>0</v>
      </c>
      <c r="AO1969" s="201">
        <f t="shared" si="9941"/>
        <v>0</v>
      </c>
      <c r="AP1969" s="201">
        <f t="shared" si="9941"/>
        <v>0</v>
      </c>
      <c r="AQ1969" s="201">
        <f t="shared" si="9941"/>
        <v>0</v>
      </c>
      <c r="AR1969" s="200">
        <f t="shared" si="9941"/>
        <v>0</v>
      </c>
      <c r="AS1969" s="200">
        <f t="shared" si="9941"/>
        <v>0</v>
      </c>
      <c r="AT1969" s="173">
        <v>1.0</v>
      </c>
      <c r="AU1969" s="200">
        <f t="shared" ref="AU1969:AX1969" si="9942">countif($D1969,"*"&amp;AU$2&amp;"*")</f>
        <v>0</v>
      </c>
      <c r="AV1969" s="200">
        <f t="shared" si="9942"/>
        <v>0</v>
      </c>
      <c r="AW1969" s="200">
        <f t="shared" si="9942"/>
        <v>0</v>
      </c>
      <c r="AX1969" s="200">
        <f t="shared" si="9942"/>
        <v>0</v>
      </c>
      <c r="AY1969" s="202">
        <v>0.0</v>
      </c>
      <c r="AZ1969" s="200"/>
      <c r="BA1969" s="171" t="str">
        <f t="shared" si="18"/>
        <v/>
      </c>
      <c r="BB1969" s="171" t="str">
        <f t="shared" si="19"/>
        <v/>
      </c>
      <c r="BC1969" s="171" t="str">
        <f t="shared" si="20"/>
        <v/>
      </c>
      <c r="BD1969" s="171" t="str">
        <f t="shared" si="21"/>
        <v>Institutional</v>
      </c>
      <c r="BE1969" s="171" t="str">
        <f t="shared" si="22"/>
        <v/>
      </c>
      <c r="BF1969" s="171" t="str">
        <f t="shared" si="23"/>
        <v>Institutional</v>
      </c>
    </row>
    <row r="1970">
      <c r="A1970" s="171">
        <f t="array" ref="A1970">XLOOKUP(C1970,FSE!A:A,FSE!C:C,"XXXXX",0,1)</f>
        <v>2017</v>
      </c>
      <c r="B1970" s="213" t="s">
        <v>5676</v>
      </c>
      <c r="C1970" s="214">
        <v>589.0</v>
      </c>
      <c r="D1970" s="217" t="s">
        <v>3994</v>
      </c>
      <c r="E1970" s="197" t="str">
        <f t="array" ref="E1970">XLOOKUP(C1970,FSE!A:A,FSE!Z:Z,"XXXXX",0,1)</f>
        <v>Publicly Available (1)</v>
      </c>
      <c r="F1970" s="213" t="s">
        <v>3394</v>
      </c>
      <c r="G1970" s="163" t="str">
        <f t="array" ref="G1970">IF(B1970="ICSE",IF(COUNTIFS(B:B,B1970,C:C,C1970)=XLOOKUP(C1970,ICSE!A:A,ICSE!AA:AA,"ERROR",0,1),"OK","ERROR"),IF(B1970="FSE",IF(COUNTIFS(B:B,B1970,C:C,C1970)=XLOOKUP(C1970,FSE!A:A,FSE!AA:AA,"ERROR",0,1),"OK","ERROR")))</f>
        <v>OK</v>
      </c>
      <c r="H1970" s="199">
        <f t="shared" ref="H1970:O1970" si="9943">countif($D1970,"*"&amp;H$2&amp;"*")</f>
        <v>0</v>
      </c>
      <c r="I1970" s="200">
        <f t="shared" si="9943"/>
        <v>0</v>
      </c>
      <c r="J1970" s="200">
        <f t="shared" si="9943"/>
        <v>0</v>
      </c>
      <c r="K1970" s="200">
        <f t="shared" si="9943"/>
        <v>0</v>
      </c>
      <c r="L1970" s="200">
        <f t="shared" si="9943"/>
        <v>0</v>
      </c>
      <c r="M1970" s="200">
        <f t="shared" si="9943"/>
        <v>0</v>
      </c>
      <c r="N1970" s="200">
        <f t="shared" si="9943"/>
        <v>0</v>
      </c>
      <c r="O1970" s="200">
        <f t="shared" si="9943"/>
        <v>0</v>
      </c>
      <c r="P1970" s="200">
        <f t="shared" si="9"/>
        <v>1</v>
      </c>
      <c r="Q1970" s="200">
        <f t="shared" ref="Q1970:AC1970" si="9944">countif($D1970,"*"&amp;Q$2&amp;"*")</f>
        <v>0</v>
      </c>
      <c r="R1970" s="200">
        <f t="shared" si="9944"/>
        <v>0</v>
      </c>
      <c r="S1970" s="200">
        <f t="shared" si="9944"/>
        <v>0</v>
      </c>
      <c r="T1970" s="200">
        <f t="shared" si="9944"/>
        <v>0</v>
      </c>
      <c r="U1970" s="200">
        <f t="shared" si="9944"/>
        <v>0</v>
      </c>
      <c r="V1970" s="200">
        <f t="shared" si="9944"/>
        <v>0</v>
      </c>
      <c r="W1970" s="200">
        <f t="shared" si="9944"/>
        <v>0</v>
      </c>
      <c r="X1970" s="200">
        <f t="shared" si="9944"/>
        <v>0</v>
      </c>
      <c r="Y1970" s="200">
        <f t="shared" si="9944"/>
        <v>0</v>
      </c>
      <c r="Z1970" s="200">
        <f t="shared" si="9944"/>
        <v>0</v>
      </c>
      <c r="AA1970" s="200">
        <f t="shared" si="9944"/>
        <v>0</v>
      </c>
      <c r="AB1970" s="200">
        <f t="shared" si="9944"/>
        <v>0</v>
      </c>
      <c r="AC1970" s="200">
        <f t="shared" si="9944"/>
        <v>0</v>
      </c>
      <c r="AD1970" s="200">
        <f t="shared" si="11"/>
        <v>0</v>
      </c>
      <c r="AE1970" s="200">
        <f t="shared" ref="AE1970:AG1970" si="9945">countif($D1970,"*"&amp;AE$2&amp;"*")</f>
        <v>0</v>
      </c>
      <c r="AF1970" s="200">
        <f t="shared" si="9945"/>
        <v>0</v>
      </c>
      <c r="AG1970" s="200">
        <f t="shared" si="9945"/>
        <v>0</v>
      </c>
      <c r="AH1970" s="171">
        <f t="shared" si="13"/>
        <v>0</v>
      </c>
      <c r="AI1970" s="200">
        <f t="shared" si="14"/>
        <v>0</v>
      </c>
      <c r="AJ1970" s="200">
        <f t="shared" si="9885"/>
        <v>0</v>
      </c>
      <c r="AK1970" s="201">
        <f t="shared" ref="AK1970:AS1970" si="9946">countif($D1970,"*"&amp;AK$2&amp;"*")</f>
        <v>0</v>
      </c>
      <c r="AL1970" s="201">
        <f t="shared" si="9946"/>
        <v>0</v>
      </c>
      <c r="AM1970" s="201">
        <f t="shared" si="9946"/>
        <v>0</v>
      </c>
      <c r="AN1970" s="201">
        <f t="shared" si="9946"/>
        <v>0</v>
      </c>
      <c r="AO1970" s="201">
        <f t="shared" si="9946"/>
        <v>0</v>
      </c>
      <c r="AP1970" s="201">
        <f t="shared" si="9946"/>
        <v>0</v>
      </c>
      <c r="AQ1970" s="201">
        <f t="shared" si="9946"/>
        <v>0</v>
      </c>
      <c r="AR1970" s="200">
        <f t="shared" si="9946"/>
        <v>0</v>
      </c>
      <c r="AS1970" s="200">
        <f t="shared" si="9946"/>
        <v>0</v>
      </c>
      <c r="AT1970" s="173">
        <v>0.0</v>
      </c>
      <c r="AU1970" s="200">
        <f t="shared" ref="AU1970:AX1970" si="9947">countif($D1970,"*"&amp;AU$2&amp;"*")</f>
        <v>0</v>
      </c>
      <c r="AV1970" s="200">
        <f t="shared" si="9947"/>
        <v>1</v>
      </c>
      <c r="AW1970" s="200">
        <f t="shared" si="9947"/>
        <v>0</v>
      </c>
      <c r="AX1970" s="200">
        <f t="shared" si="9947"/>
        <v>0</v>
      </c>
      <c r="AY1970" s="202">
        <v>0.0</v>
      </c>
      <c r="AZ1970" s="200"/>
      <c r="BA1970" s="171" t="str">
        <f t="shared" si="18"/>
        <v/>
      </c>
      <c r="BB1970" s="171" t="str">
        <f t="shared" si="19"/>
        <v>Code</v>
      </c>
      <c r="BC1970" s="171" t="str">
        <f t="shared" si="20"/>
        <v/>
      </c>
      <c r="BD1970" s="171" t="str">
        <f t="shared" si="21"/>
        <v/>
      </c>
      <c r="BE1970" s="171" t="str">
        <f t="shared" si="22"/>
        <v/>
      </c>
      <c r="BF1970" s="171" t="str">
        <f t="shared" si="23"/>
        <v>Code</v>
      </c>
    </row>
    <row r="1971">
      <c r="A1971" s="171">
        <f t="array" ref="A1971">XLOOKUP(C1971,FSE!A:A,FSE!C:C,"XXXXX",0,1)</f>
        <v>2017</v>
      </c>
      <c r="B1971" s="213" t="s">
        <v>5676</v>
      </c>
      <c r="C1971" s="214">
        <v>590.0</v>
      </c>
      <c r="D1971" s="215" t="s">
        <v>3997</v>
      </c>
      <c r="E1971" s="197" t="str">
        <f t="array" ref="E1971">XLOOKUP(C1971,FSE!A:A,FSE!Z:Z,"XXXXX",0,1)</f>
        <v>Publicly Available (1)</v>
      </c>
      <c r="F1971" s="213" t="s">
        <v>3394</v>
      </c>
      <c r="G1971" s="163" t="str">
        <f t="array" ref="G1971">IF(B1971="ICSE",IF(COUNTIFS(B:B,B1971,C:C,C1971)=XLOOKUP(C1971,ICSE!A:A,ICSE!AA:AA,"ERROR",0,1),"OK","ERROR"),IF(B1971="FSE",IF(COUNTIFS(B:B,B1971,C:C,C1971)=XLOOKUP(C1971,FSE!A:A,FSE!AA:AA,"ERROR",0,1),"OK","ERROR")))</f>
        <v>OK</v>
      </c>
      <c r="H1971" s="199">
        <f t="shared" ref="H1971:O1971" si="9948">countif($D1971,"*"&amp;H$2&amp;"*")</f>
        <v>0</v>
      </c>
      <c r="I1971" s="200">
        <f t="shared" si="9948"/>
        <v>0</v>
      </c>
      <c r="J1971" s="200">
        <f t="shared" si="9948"/>
        <v>0</v>
      </c>
      <c r="K1971" s="200">
        <f t="shared" si="9948"/>
        <v>0</v>
      </c>
      <c r="L1971" s="200">
        <f t="shared" si="9948"/>
        <v>0</v>
      </c>
      <c r="M1971" s="200">
        <f t="shared" si="9948"/>
        <v>0</v>
      </c>
      <c r="N1971" s="200">
        <f t="shared" si="9948"/>
        <v>0</v>
      </c>
      <c r="O1971" s="200">
        <f t="shared" si="9948"/>
        <v>0</v>
      </c>
      <c r="P1971" s="200">
        <f t="shared" si="9"/>
        <v>0</v>
      </c>
      <c r="Q1971" s="200">
        <f t="shared" ref="Q1971:AC1971" si="9949">countif($D1971,"*"&amp;Q$2&amp;"*")</f>
        <v>0</v>
      </c>
      <c r="R1971" s="200">
        <f t="shared" si="9949"/>
        <v>0</v>
      </c>
      <c r="S1971" s="200">
        <f t="shared" si="9949"/>
        <v>0</v>
      </c>
      <c r="T1971" s="200">
        <f t="shared" si="9949"/>
        <v>0</v>
      </c>
      <c r="U1971" s="200">
        <f t="shared" si="9949"/>
        <v>0</v>
      </c>
      <c r="V1971" s="200">
        <f t="shared" si="9949"/>
        <v>0</v>
      </c>
      <c r="W1971" s="200">
        <f t="shared" si="9949"/>
        <v>0</v>
      </c>
      <c r="X1971" s="200">
        <f t="shared" si="9949"/>
        <v>0</v>
      </c>
      <c r="Y1971" s="200">
        <f t="shared" si="9949"/>
        <v>0</v>
      </c>
      <c r="Z1971" s="200">
        <f t="shared" si="9949"/>
        <v>0</v>
      </c>
      <c r="AA1971" s="200">
        <f t="shared" si="9949"/>
        <v>0</v>
      </c>
      <c r="AB1971" s="200">
        <f t="shared" si="9949"/>
        <v>0</v>
      </c>
      <c r="AC1971" s="200">
        <f t="shared" si="9949"/>
        <v>0</v>
      </c>
      <c r="AD1971" s="200">
        <f t="shared" si="11"/>
        <v>1</v>
      </c>
      <c r="AE1971" s="200">
        <f t="shared" ref="AE1971:AG1971" si="9950">countif($D1971,"*"&amp;AE$2&amp;"*")</f>
        <v>0</v>
      </c>
      <c r="AF1971" s="200">
        <f t="shared" si="9950"/>
        <v>0</v>
      </c>
      <c r="AG1971" s="200">
        <f t="shared" si="9950"/>
        <v>0</v>
      </c>
      <c r="AH1971" s="171">
        <f t="shared" si="13"/>
        <v>0</v>
      </c>
      <c r="AI1971" s="200">
        <f t="shared" si="14"/>
        <v>0</v>
      </c>
      <c r="AJ1971" s="200">
        <f t="shared" si="9885"/>
        <v>0</v>
      </c>
      <c r="AK1971" s="201">
        <f t="shared" ref="AK1971:AS1971" si="9951">countif($D1971,"*"&amp;AK$2&amp;"*")</f>
        <v>0</v>
      </c>
      <c r="AL1971" s="201">
        <f t="shared" si="9951"/>
        <v>0</v>
      </c>
      <c r="AM1971" s="201">
        <f t="shared" si="9951"/>
        <v>0</v>
      </c>
      <c r="AN1971" s="201">
        <f t="shared" si="9951"/>
        <v>0</v>
      </c>
      <c r="AO1971" s="201">
        <f t="shared" si="9951"/>
        <v>0</v>
      </c>
      <c r="AP1971" s="201">
        <f t="shared" si="9951"/>
        <v>0</v>
      </c>
      <c r="AQ1971" s="201">
        <f t="shared" si="9951"/>
        <v>0</v>
      </c>
      <c r="AR1971" s="200">
        <f t="shared" si="9951"/>
        <v>0</v>
      </c>
      <c r="AS1971" s="200">
        <f t="shared" si="9951"/>
        <v>0</v>
      </c>
      <c r="AT1971" s="173">
        <v>1.0</v>
      </c>
      <c r="AU1971" s="200">
        <f t="shared" ref="AU1971:AX1971" si="9952">countif($D1971,"*"&amp;AU$2&amp;"*")</f>
        <v>0</v>
      </c>
      <c r="AV1971" s="200">
        <f t="shared" si="9952"/>
        <v>0</v>
      </c>
      <c r="AW1971" s="200">
        <f t="shared" si="9952"/>
        <v>0</v>
      </c>
      <c r="AX1971" s="200">
        <f t="shared" si="9952"/>
        <v>0</v>
      </c>
      <c r="AY1971" s="202">
        <v>0.0</v>
      </c>
      <c r="AZ1971" s="200"/>
      <c r="BA1971" s="171" t="str">
        <f t="shared" si="18"/>
        <v/>
      </c>
      <c r="BB1971" s="171" t="str">
        <f t="shared" si="19"/>
        <v/>
      </c>
      <c r="BC1971" s="171" t="str">
        <f t="shared" si="20"/>
        <v/>
      </c>
      <c r="BD1971" s="171" t="str">
        <f t="shared" si="21"/>
        <v>Institutional</v>
      </c>
      <c r="BE1971" s="171" t="str">
        <f t="shared" si="22"/>
        <v/>
      </c>
      <c r="BF1971" s="171" t="str">
        <f t="shared" si="23"/>
        <v>Institutional</v>
      </c>
    </row>
    <row r="1972">
      <c r="A1972" s="171">
        <f t="array" ref="A1972">XLOOKUP(C1972,FSE!A:A,FSE!C:C,"XXXXX",0,1)</f>
        <v>2017</v>
      </c>
      <c r="B1972" s="213" t="s">
        <v>5676</v>
      </c>
      <c r="C1972" s="214">
        <v>591.0</v>
      </c>
      <c r="D1972" s="215" t="s">
        <v>3999</v>
      </c>
      <c r="E1972" s="197" t="str">
        <f t="array" ref="E1972">XLOOKUP(C1972,FSE!A:A,FSE!Z:Z,"XXXXX",0,1)</f>
        <v>Publicly Available (1)</v>
      </c>
      <c r="F1972" s="213" t="s">
        <v>3394</v>
      </c>
      <c r="G1972" s="163" t="str">
        <f t="array" ref="G1972">IF(B1972="ICSE",IF(COUNTIFS(B:B,B1972,C:C,C1972)=XLOOKUP(C1972,ICSE!A:A,ICSE!AA:AA,"ERROR",0,1),"OK","ERROR"),IF(B1972="FSE",IF(COUNTIFS(B:B,B1972,C:C,C1972)=XLOOKUP(C1972,FSE!A:A,FSE!AA:AA,"ERROR",0,1),"OK","ERROR")))</f>
        <v>OK</v>
      </c>
      <c r="H1972" s="199">
        <f t="shared" ref="H1972:O1972" si="9953">countif($D1972,"*"&amp;H$2&amp;"*")</f>
        <v>0</v>
      </c>
      <c r="I1972" s="200">
        <f t="shared" si="9953"/>
        <v>0</v>
      </c>
      <c r="J1972" s="200">
        <f t="shared" si="9953"/>
        <v>0</v>
      </c>
      <c r="K1972" s="200">
        <f t="shared" si="9953"/>
        <v>0</v>
      </c>
      <c r="L1972" s="200">
        <f t="shared" si="9953"/>
        <v>0</v>
      </c>
      <c r="M1972" s="200">
        <f t="shared" si="9953"/>
        <v>0</v>
      </c>
      <c r="N1972" s="200">
        <f t="shared" si="9953"/>
        <v>0</v>
      </c>
      <c r="O1972" s="200">
        <f t="shared" si="9953"/>
        <v>0</v>
      </c>
      <c r="P1972" s="200">
        <f t="shared" si="9"/>
        <v>0</v>
      </c>
      <c r="Q1972" s="200">
        <f t="shared" ref="Q1972:AC1972" si="9954">countif($D1972,"*"&amp;Q$2&amp;"*")</f>
        <v>0</v>
      </c>
      <c r="R1972" s="200">
        <f t="shared" si="9954"/>
        <v>0</v>
      </c>
      <c r="S1972" s="200">
        <f t="shared" si="9954"/>
        <v>0</v>
      </c>
      <c r="T1972" s="200">
        <f t="shared" si="9954"/>
        <v>0</v>
      </c>
      <c r="U1972" s="200">
        <f t="shared" si="9954"/>
        <v>0</v>
      </c>
      <c r="V1972" s="200">
        <f t="shared" si="9954"/>
        <v>0</v>
      </c>
      <c r="W1972" s="200">
        <f t="shared" si="9954"/>
        <v>0</v>
      </c>
      <c r="X1972" s="200">
        <f t="shared" si="9954"/>
        <v>0</v>
      </c>
      <c r="Y1972" s="200">
        <f t="shared" si="9954"/>
        <v>0</v>
      </c>
      <c r="Z1972" s="200">
        <f t="shared" si="9954"/>
        <v>0</v>
      </c>
      <c r="AA1972" s="200">
        <f t="shared" si="9954"/>
        <v>0</v>
      </c>
      <c r="AB1972" s="200">
        <f t="shared" si="9954"/>
        <v>0</v>
      </c>
      <c r="AC1972" s="200">
        <f t="shared" si="9954"/>
        <v>0</v>
      </c>
      <c r="AD1972" s="200">
        <f t="shared" si="11"/>
        <v>0</v>
      </c>
      <c r="AE1972" s="200">
        <f t="shared" ref="AE1972:AG1972" si="9955">countif($D1972,"*"&amp;AE$2&amp;"*")</f>
        <v>0</v>
      </c>
      <c r="AF1972" s="200">
        <f t="shared" si="9955"/>
        <v>0</v>
      </c>
      <c r="AG1972" s="200">
        <f t="shared" si="9955"/>
        <v>0</v>
      </c>
      <c r="AH1972" s="171">
        <f t="shared" si="13"/>
        <v>1</v>
      </c>
      <c r="AI1972" s="200">
        <f t="shared" si="14"/>
        <v>0</v>
      </c>
      <c r="AJ1972" s="200">
        <f t="shared" si="9885"/>
        <v>0</v>
      </c>
      <c r="AK1972" s="201">
        <f t="shared" ref="AK1972:AS1972" si="9956">countif($D1972,"*"&amp;AK$2&amp;"*")</f>
        <v>0</v>
      </c>
      <c r="AL1972" s="201">
        <f t="shared" si="9956"/>
        <v>0</v>
      </c>
      <c r="AM1972" s="201">
        <f t="shared" si="9956"/>
        <v>0</v>
      </c>
      <c r="AN1972" s="201">
        <f t="shared" si="9956"/>
        <v>0</v>
      </c>
      <c r="AO1972" s="201">
        <f t="shared" si="9956"/>
        <v>0</v>
      </c>
      <c r="AP1972" s="201">
        <f t="shared" si="9956"/>
        <v>0</v>
      </c>
      <c r="AQ1972" s="201">
        <f t="shared" si="9956"/>
        <v>0</v>
      </c>
      <c r="AR1972" s="200">
        <f t="shared" si="9956"/>
        <v>0</v>
      </c>
      <c r="AS1972" s="200">
        <f t="shared" si="9956"/>
        <v>0</v>
      </c>
      <c r="AT1972" s="173">
        <v>0.0</v>
      </c>
      <c r="AU1972" s="200">
        <f t="shared" ref="AU1972:AX1972" si="9957">countif($D1972,"*"&amp;AU$2&amp;"*")</f>
        <v>0</v>
      </c>
      <c r="AV1972" s="200">
        <f t="shared" si="9957"/>
        <v>0</v>
      </c>
      <c r="AW1972" s="200">
        <f t="shared" si="9957"/>
        <v>0</v>
      </c>
      <c r="AX1972" s="200">
        <f t="shared" si="9957"/>
        <v>0</v>
      </c>
      <c r="AY1972" s="202">
        <v>0.0</v>
      </c>
      <c r="AZ1972" s="200"/>
      <c r="BA1972" s="171" t="str">
        <f t="shared" si="18"/>
        <v/>
      </c>
      <c r="BB1972" s="171" t="str">
        <f t="shared" si="19"/>
        <v/>
      </c>
      <c r="BC1972" s="171" t="str">
        <f t="shared" si="20"/>
        <v/>
      </c>
      <c r="BD1972" s="171" t="str">
        <f t="shared" si="21"/>
        <v/>
      </c>
      <c r="BE1972" s="171" t="str">
        <f t="shared" si="22"/>
        <v>Others</v>
      </c>
      <c r="BF1972" s="171" t="str">
        <f t="shared" si="23"/>
        <v>Others</v>
      </c>
    </row>
    <row r="1973">
      <c r="A1973" s="171">
        <f t="array" ref="A1973">XLOOKUP(C1973,FSE!A:A,FSE!C:C,"XXXXX",0,1)</f>
        <v>2017</v>
      </c>
      <c r="B1973" s="213" t="s">
        <v>5676</v>
      </c>
      <c r="C1973" s="214">
        <v>592.0</v>
      </c>
      <c r="D1973" s="215" t="s">
        <v>4001</v>
      </c>
      <c r="E1973" s="197" t="str">
        <f t="array" ref="E1973">XLOOKUP(C1973,FSE!A:A,FSE!Z:Z,"XXXXX",0,1)</f>
        <v>Not Available (1)</v>
      </c>
      <c r="F1973" s="213" t="s">
        <v>3395</v>
      </c>
      <c r="G1973" s="163" t="str">
        <f t="array" ref="G1973">IF(B1973="ICSE",IF(COUNTIFS(B:B,B1973,C:C,C1973)=XLOOKUP(C1973,ICSE!A:A,ICSE!AA:AA,"ERROR",0,1),"OK","ERROR"),IF(B1973="FSE",IF(COUNTIFS(B:B,B1973,C:C,C1973)=XLOOKUP(C1973,FSE!A:A,FSE!AA:AA,"ERROR",0,1),"OK","ERROR")))</f>
        <v>OK</v>
      </c>
      <c r="H1973" s="199">
        <f t="shared" ref="H1973:O1973" si="9958">countif($D1973,"*"&amp;H$2&amp;"*")</f>
        <v>0</v>
      </c>
      <c r="I1973" s="200">
        <f t="shared" si="9958"/>
        <v>0</v>
      </c>
      <c r="J1973" s="200">
        <f t="shared" si="9958"/>
        <v>0</v>
      </c>
      <c r="K1973" s="200">
        <f t="shared" si="9958"/>
        <v>0</v>
      </c>
      <c r="L1973" s="200">
        <f t="shared" si="9958"/>
        <v>0</v>
      </c>
      <c r="M1973" s="200">
        <f t="shared" si="9958"/>
        <v>0</v>
      </c>
      <c r="N1973" s="200">
        <f t="shared" si="9958"/>
        <v>0</v>
      </c>
      <c r="O1973" s="200">
        <f t="shared" si="9958"/>
        <v>0</v>
      </c>
      <c r="P1973" s="200">
        <f t="shared" si="9"/>
        <v>0</v>
      </c>
      <c r="Q1973" s="200">
        <f t="shared" ref="Q1973:AC1973" si="9959">countif($D1973,"*"&amp;Q$2&amp;"*")</f>
        <v>0</v>
      </c>
      <c r="R1973" s="200">
        <f t="shared" si="9959"/>
        <v>0</v>
      </c>
      <c r="S1973" s="200">
        <f t="shared" si="9959"/>
        <v>0</v>
      </c>
      <c r="T1973" s="200">
        <f t="shared" si="9959"/>
        <v>0</v>
      </c>
      <c r="U1973" s="200">
        <f t="shared" si="9959"/>
        <v>0</v>
      </c>
      <c r="V1973" s="200">
        <f t="shared" si="9959"/>
        <v>0</v>
      </c>
      <c r="W1973" s="200">
        <f t="shared" si="9959"/>
        <v>0</v>
      </c>
      <c r="X1973" s="200">
        <f t="shared" si="9959"/>
        <v>0</v>
      </c>
      <c r="Y1973" s="200">
        <f t="shared" si="9959"/>
        <v>0</v>
      </c>
      <c r="Z1973" s="200">
        <f t="shared" si="9959"/>
        <v>0</v>
      </c>
      <c r="AA1973" s="200">
        <f t="shared" si="9959"/>
        <v>0</v>
      </c>
      <c r="AB1973" s="200">
        <f t="shared" si="9959"/>
        <v>0</v>
      </c>
      <c r="AC1973" s="200">
        <f t="shared" si="9959"/>
        <v>0</v>
      </c>
      <c r="AD1973" s="200">
        <f t="shared" si="11"/>
        <v>1</v>
      </c>
      <c r="AE1973" s="200">
        <f t="shared" ref="AE1973:AG1973" si="9960">countif($D1973,"*"&amp;AE$2&amp;"*")</f>
        <v>0</v>
      </c>
      <c r="AF1973" s="200">
        <f t="shared" si="9960"/>
        <v>0</v>
      </c>
      <c r="AG1973" s="200">
        <f t="shared" si="9960"/>
        <v>0</v>
      </c>
      <c r="AH1973" s="171">
        <f t="shared" si="13"/>
        <v>0</v>
      </c>
      <c r="AI1973" s="200">
        <f t="shared" si="14"/>
        <v>0</v>
      </c>
      <c r="AJ1973" s="200">
        <f t="shared" si="9885"/>
        <v>0</v>
      </c>
      <c r="AK1973" s="201">
        <f t="shared" ref="AK1973:AS1973" si="9961">countif($D1973,"*"&amp;AK$2&amp;"*")</f>
        <v>0</v>
      </c>
      <c r="AL1973" s="201">
        <f t="shared" si="9961"/>
        <v>0</v>
      </c>
      <c r="AM1973" s="201">
        <f t="shared" si="9961"/>
        <v>0</v>
      </c>
      <c r="AN1973" s="201">
        <f t="shared" si="9961"/>
        <v>0</v>
      </c>
      <c r="AO1973" s="201">
        <f t="shared" si="9961"/>
        <v>0</v>
      </c>
      <c r="AP1973" s="201">
        <f t="shared" si="9961"/>
        <v>0</v>
      </c>
      <c r="AQ1973" s="201">
        <f t="shared" si="9961"/>
        <v>0</v>
      </c>
      <c r="AR1973" s="200">
        <f t="shared" si="9961"/>
        <v>0</v>
      </c>
      <c r="AS1973" s="200">
        <f t="shared" si="9961"/>
        <v>0</v>
      </c>
      <c r="AT1973" s="173">
        <v>1.0</v>
      </c>
      <c r="AU1973" s="200">
        <f t="shared" ref="AU1973:AX1973" si="9962">countif($D1973,"*"&amp;AU$2&amp;"*")</f>
        <v>0</v>
      </c>
      <c r="AV1973" s="200">
        <f t="shared" si="9962"/>
        <v>0</v>
      </c>
      <c r="AW1973" s="200">
        <f t="shared" si="9962"/>
        <v>0</v>
      </c>
      <c r="AX1973" s="200">
        <f t="shared" si="9962"/>
        <v>0</v>
      </c>
      <c r="AY1973" s="202">
        <v>0.0</v>
      </c>
      <c r="AZ1973" s="200"/>
      <c r="BA1973" s="171" t="str">
        <f t="shared" si="18"/>
        <v/>
      </c>
      <c r="BB1973" s="171" t="str">
        <f t="shared" si="19"/>
        <v/>
      </c>
      <c r="BC1973" s="171" t="str">
        <f t="shared" si="20"/>
        <v/>
      </c>
      <c r="BD1973" s="171" t="str">
        <f t="shared" si="21"/>
        <v>Institutional</v>
      </c>
      <c r="BE1973" s="171" t="str">
        <f t="shared" si="22"/>
        <v/>
      </c>
      <c r="BF1973" s="171" t="str">
        <f t="shared" si="23"/>
        <v>Institutional</v>
      </c>
    </row>
    <row r="1974">
      <c r="A1974" s="171">
        <f t="array" ref="A1974">XLOOKUP(C1974,FSE!A:A,FSE!C:C,"XXXXX",0,1)</f>
        <v>2017</v>
      </c>
      <c r="B1974" s="213" t="s">
        <v>5676</v>
      </c>
      <c r="C1974" s="214">
        <v>593.0</v>
      </c>
      <c r="D1974" s="215" t="s">
        <v>4004</v>
      </c>
      <c r="E1974" s="197" t="str">
        <f t="array" ref="E1974">XLOOKUP(C1974,FSE!A:A,FSE!Z:Z,"XXXXX",0,1)</f>
        <v>Not Available (1)</v>
      </c>
      <c r="F1974" s="213" t="s">
        <v>3395</v>
      </c>
      <c r="G1974" s="163" t="str">
        <f t="array" ref="G1974">IF(B1974="ICSE",IF(COUNTIFS(B:B,B1974,C:C,C1974)=XLOOKUP(C1974,ICSE!A:A,ICSE!AA:AA,"ERROR",0,1),"OK","ERROR"),IF(B1974="FSE",IF(COUNTIFS(B:B,B1974,C:C,C1974)=XLOOKUP(C1974,FSE!A:A,FSE!AA:AA,"ERROR",0,1),"OK","ERROR")))</f>
        <v>OK</v>
      </c>
      <c r="H1974" s="199">
        <f t="shared" ref="H1974:O1974" si="9963">countif($D1974,"*"&amp;H$2&amp;"*")</f>
        <v>0</v>
      </c>
      <c r="I1974" s="200">
        <f t="shared" si="9963"/>
        <v>0</v>
      </c>
      <c r="J1974" s="200">
        <f t="shared" si="9963"/>
        <v>0</v>
      </c>
      <c r="K1974" s="200">
        <f t="shared" si="9963"/>
        <v>0</v>
      </c>
      <c r="L1974" s="200">
        <f t="shared" si="9963"/>
        <v>0</v>
      </c>
      <c r="M1974" s="200">
        <f t="shared" si="9963"/>
        <v>0</v>
      </c>
      <c r="N1974" s="200">
        <f t="shared" si="9963"/>
        <v>0</v>
      </c>
      <c r="O1974" s="200">
        <f t="shared" si="9963"/>
        <v>0</v>
      </c>
      <c r="P1974" s="200">
        <f t="shared" si="9"/>
        <v>0</v>
      </c>
      <c r="Q1974" s="200">
        <f t="shared" ref="Q1974:AC1974" si="9964">countif($D1974,"*"&amp;Q$2&amp;"*")</f>
        <v>0</v>
      </c>
      <c r="R1974" s="200">
        <f t="shared" si="9964"/>
        <v>0</v>
      </c>
      <c r="S1974" s="200">
        <f t="shared" si="9964"/>
        <v>0</v>
      </c>
      <c r="T1974" s="200">
        <f t="shared" si="9964"/>
        <v>0</v>
      </c>
      <c r="U1974" s="200">
        <f t="shared" si="9964"/>
        <v>0</v>
      </c>
      <c r="V1974" s="200">
        <f t="shared" si="9964"/>
        <v>0</v>
      </c>
      <c r="W1974" s="200">
        <f t="shared" si="9964"/>
        <v>0</v>
      </c>
      <c r="X1974" s="200">
        <f t="shared" si="9964"/>
        <v>0</v>
      </c>
      <c r="Y1974" s="200">
        <f t="shared" si="9964"/>
        <v>0</v>
      </c>
      <c r="Z1974" s="200">
        <f t="shared" si="9964"/>
        <v>0</v>
      </c>
      <c r="AA1974" s="200">
        <f t="shared" si="9964"/>
        <v>0</v>
      </c>
      <c r="AB1974" s="200">
        <f t="shared" si="9964"/>
        <v>0</v>
      </c>
      <c r="AC1974" s="200">
        <f t="shared" si="9964"/>
        <v>0</v>
      </c>
      <c r="AD1974" s="200">
        <f t="shared" si="11"/>
        <v>1</v>
      </c>
      <c r="AE1974" s="200">
        <f t="shared" ref="AE1974:AG1974" si="9965">countif($D1974,"*"&amp;AE$2&amp;"*")</f>
        <v>0</v>
      </c>
      <c r="AF1974" s="200">
        <f t="shared" si="9965"/>
        <v>0</v>
      </c>
      <c r="AG1974" s="200">
        <f t="shared" si="9965"/>
        <v>0</v>
      </c>
      <c r="AH1974" s="171">
        <f t="shared" si="13"/>
        <v>0</v>
      </c>
      <c r="AI1974" s="200">
        <f t="shared" si="14"/>
        <v>0</v>
      </c>
      <c r="AJ1974" s="200">
        <f>SUM(AK1974:AQ1974)</f>
        <v>0</v>
      </c>
      <c r="AK1974" s="201">
        <f t="shared" ref="AK1974:AS1974" si="9966">countif($D1974,"*"&amp;AK$2&amp;"*")</f>
        <v>0</v>
      </c>
      <c r="AL1974" s="201">
        <f t="shared" si="9966"/>
        <v>0</v>
      </c>
      <c r="AM1974" s="201">
        <f t="shared" si="9966"/>
        <v>0</v>
      </c>
      <c r="AN1974" s="201">
        <f t="shared" si="9966"/>
        <v>0</v>
      </c>
      <c r="AO1974" s="201">
        <f t="shared" si="9966"/>
        <v>0</v>
      </c>
      <c r="AP1974" s="201">
        <f t="shared" si="9966"/>
        <v>0</v>
      </c>
      <c r="AQ1974" s="201">
        <f t="shared" si="9966"/>
        <v>0</v>
      </c>
      <c r="AR1974" s="201">
        <f t="shared" si="9966"/>
        <v>0</v>
      </c>
      <c r="AS1974" s="200">
        <f t="shared" si="9966"/>
        <v>0</v>
      </c>
      <c r="AT1974" s="205">
        <v>0.0</v>
      </c>
      <c r="AU1974" s="200">
        <f t="shared" ref="AU1974:AX1974" si="9967">countif($D1974,"*"&amp;AU$2&amp;"*")</f>
        <v>1</v>
      </c>
      <c r="AV1974" s="200">
        <f t="shared" si="9967"/>
        <v>0</v>
      </c>
      <c r="AW1974" s="200">
        <f t="shared" si="9967"/>
        <v>0</v>
      </c>
      <c r="AX1974" s="200">
        <f t="shared" si="9967"/>
        <v>0</v>
      </c>
      <c r="AY1974" s="202">
        <v>0.0</v>
      </c>
      <c r="AZ1974" s="200"/>
      <c r="BA1974" s="171" t="str">
        <f t="shared" si="18"/>
        <v/>
      </c>
      <c r="BB1974" s="171" t="str">
        <f t="shared" si="19"/>
        <v/>
      </c>
      <c r="BC1974" s="171" t="str">
        <f t="shared" si="20"/>
        <v/>
      </c>
      <c r="BD1974" s="171" t="str">
        <f t="shared" si="21"/>
        <v>Institutional</v>
      </c>
      <c r="BE1974" s="171" t="str">
        <f t="shared" si="22"/>
        <v/>
      </c>
      <c r="BF1974" s="171" t="str">
        <f t="shared" si="23"/>
        <v>Institutional</v>
      </c>
    </row>
    <row r="1975">
      <c r="A1975" s="171">
        <f t="array" ref="A1975">XLOOKUP(C1975,FSE!A:A,FSE!C:C,"XXXXX",0,1)</f>
        <v>2017</v>
      </c>
      <c r="B1975" s="213" t="s">
        <v>5676</v>
      </c>
      <c r="C1975" s="214">
        <v>594.0</v>
      </c>
      <c r="D1975" s="215" t="s">
        <v>4007</v>
      </c>
      <c r="E1975" s="197" t="str">
        <f t="array" ref="E1975">XLOOKUP(C1975,FSE!A:A,FSE!Z:Z,"XXXXX",0,1)</f>
        <v>Not Available (1)</v>
      </c>
      <c r="F1975" s="213" t="s">
        <v>3395</v>
      </c>
      <c r="G1975" s="163" t="str">
        <f t="array" ref="G1975">IF(B1975="ICSE",IF(COUNTIFS(B:B,B1975,C:C,C1975)=XLOOKUP(C1975,ICSE!A:A,ICSE!AA:AA,"ERROR",0,1),"OK","ERROR"),IF(B1975="FSE",IF(COUNTIFS(B:B,B1975,C:C,C1975)=XLOOKUP(C1975,FSE!A:A,FSE!AA:AA,"ERROR",0,1),"OK","ERROR")))</f>
        <v>OK</v>
      </c>
      <c r="H1975" s="199">
        <f t="shared" ref="H1975:O1975" si="9968">countif($D1975,"*"&amp;H$2&amp;"*")</f>
        <v>0</v>
      </c>
      <c r="I1975" s="200">
        <f t="shared" si="9968"/>
        <v>0</v>
      </c>
      <c r="J1975" s="200">
        <f t="shared" si="9968"/>
        <v>0</v>
      </c>
      <c r="K1975" s="200">
        <f t="shared" si="9968"/>
        <v>0</v>
      </c>
      <c r="L1975" s="200">
        <f t="shared" si="9968"/>
        <v>0</v>
      </c>
      <c r="M1975" s="200">
        <f t="shared" si="9968"/>
        <v>0</v>
      </c>
      <c r="N1975" s="200">
        <f t="shared" si="9968"/>
        <v>0</v>
      </c>
      <c r="O1975" s="200">
        <f t="shared" si="9968"/>
        <v>0</v>
      </c>
      <c r="P1975" s="200">
        <f t="shared" si="9"/>
        <v>0</v>
      </c>
      <c r="Q1975" s="200">
        <f t="shared" ref="Q1975:AC1975" si="9969">countif($D1975,"*"&amp;Q$2&amp;"*")</f>
        <v>0</v>
      </c>
      <c r="R1975" s="200">
        <f t="shared" si="9969"/>
        <v>0</v>
      </c>
      <c r="S1975" s="200">
        <f t="shared" si="9969"/>
        <v>0</v>
      </c>
      <c r="T1975" s="200">
        <f t="shared" si="9969"/>
        <v>0</v>
      </c>
      <c r="U1975" s="200">
        <f t="shared" si="9969"/>
        <v>0</v>
      </c>
      <c r="V1975" s="200">
        <f t="shared" si="9969"/>
        <v>0</v>
      </c>
      <c r="W1975" s="200">
        <f t="shared" si="9969"/>
        <v>0</v>
      </c>
      <c r="X1975" s="200">
        <f t="shared" si="9969"/>
        <v>0</v>
      </c>
      <c r="Y1975" s="200">
        <f t="shared" si="9969"/>
        <v>0</v>
      </c>
      <c r="Z1975" s="200">
        <f t="shared" si="9969"/>
        <v>0</v>
      </c>
      <c r="AA1975" s="200">
        <f t="shared" si="9969"/>
        <v>0</v>
      </c>
      <c r="AB1975" s="200">
        <f t="shared" si="9969"/>
        <v>0</v>
      </c>
      <c r="AC1975" s="200">
        <f t="shared" si="9969"/>
        <v>0</v>
      </c>
      <c r="AD1975" s="200">
        <f t="shared" si="11"/>
        <v>1</v>
      </c>
      <c r="AE1975" s="200">
        <f t="shared" ref="AE1975:AG1975" si="9970">countif($D1975,"*"&amp;AE$2&amp;"*")</f>
        <v>0</v>
      </c>
      <c r="AF1975" s="200">
        <f t="shared" si="9970"/>
        <v>0</v>
      </c>
      <c r="AG1975" s="200">
        <f t="shared" si="9970"/>
        <v>0</v>
      </c>
      <c r="AH1975" s="171">
        <f t="shared" si="13"/>
        <v>0</v>
      </c>
      <c r="AI1975" s="200">
        <f t="shared" si="14"/>
        <v>0</v>
      </c>
      <c r="AJ1975" s="200">
        <f t="shared" ref="AJ1975:AJ1991" si="9976">SUM(AK1975:AR1975)</f>
        <v>0</v>
      </c>
      <c r="AK1975" s="201">
        <f t="shared" ref="AK1975:AS1975" si="9971">countif($D1975,"*"&amp;AK$2&amp;"*")</f>
        <v>0</v>
      </c>
      <c r="AL1975" s="201">
        <f t="shared" si="9971"/>
        <v>0</v>
      </c>
      <c r="AM1975" s="201">
        <f t="shared" si="9971"/>
        <v>0</v>
      </c>
      <c r="AN1975" s="201">
        <f t="shared" si="9971"/>
        <v>0</v>
      </c>
      <c r="AO1975" s="201">
        <f t="shared" si="9971"/>
        <v>0</v>
      </c>
      <c r="AP1975" s="201">
        <f t="shared" si="9971"/>
        <v>0</v>
      </c>
      <c r="AQ1975" s="201">
        <f t="shared" si="9971"/>
        <v>0</v>
      </c>
      <c r="AR1975" s="200">
        <f t="shared" si="9971"/>
        <v>0</v>
      </c>
      <c r="AS1975" s="200">
        <f t="shared" si="9971"/>
        <v>0</v>
      </c>
      <c r="AT1975" s="173">
        <v>1.0</v>
      </c>
      <c r="AU1975" s="200">
        <f t="shared" ref="AU1975:AX1975" si="9972">countif($D1975,"*"&amp;AU$2&amp;"*")</f>
        <v>0</v>
      </c>
      <c r="AV1975" s="200">
        <f t="shared" si="9972"/>
        <v>0</v>
      </c>
      <c r="AW1975" s="200">
        <f t="shared" si="9972"/>
        <v>0</v>
      </c>
      <c r="AX1975" s="200">
        <f t="shared" si="9972"/>
        <v>0</v>
      </c>
      <c r="AY1975" s="202">
        <v>0.0</v>
      </c>
      <c r="AZ1975" s="200"/>
      <c r="BA1975" s="171" t="str">
        <f t="shared" si="18"/>
        <v/>
      </c>
      <c r="BB1975" s="171" t="str">
        <f t="shared" si="19"/>
        <v/>
      </c>
      <c r="BC1975" s="171" t="str">
        <f t="shared" si="20"/>
        <v/>
      </c>
      <c r="BD1975" s="171" t="str">
        <f t="shared" si="21"/>
        <v>Institutional</v>
      </c>
      <c r="BE1975" s="171" t="str">
        <f t="shared" si="22"/>
        <v/>
      </c>
      <c r="BF1975" s="171" t="str">
        <f t="shared" si="23"/>
        <v>Institutional</v>
      </c>
    </row>
    <row r="1976">
      <c r="A1976" s="171">
        <f t="array" ref="A1976">XLOOKUP(C1976,FSE!A:A,FSE!C:C,"XXXXX",0,1)</f>
        <v>2017</v>
      </c>
      <c r="B1976" s="213" t="s">
        <v>5676</v>
      </c>
      <c r="C1976" s="214">
        <v>595.0</v>
      </c>
      <c r="D1976" s="215" t="s">
        <v>4010</v>
      </c>
      <c r="E1976" s="197" t="str">
        <f t="array" ref="E1976">XLOOKUP(C1976,FSE!A:A,FSE!Z:Z,"XXXXX",0,1)</f>
        <v>Publicly Available (1)</v>
      </c>
      <c r="F1976" s="213" t="s">
        <v>3394</v>
      </c>
      <c r="G1976" s="163" t="str">
        <f t="array" ref="G1976">IF(B1976="ICSE",IF(COUNTIFS(B:B,B1976,C:C,C1976)=XLOOKUP(C1976,ICSE!A:A,ICSE!AA:AA,"ERROR",0,1),"OK","ERROR"),IF(B1976="FSE",IF(COUNTIFS(B:B,B1976,C:C,C1976)=XLOOKUP(C1976,FSE!A:A,FSE!AA:AA,"ERROR",0,1),"OK","ERROR")))</f>
        <v>OK</v>
      </c>
      <c r="H1976" s="199">
        <f t="shared" ref="H1976:O1976" si="9973">countif($D1976,"*"&amp;H$2&amp;"*")</f>
        <v>0</v>
      </c>
      <c r="I1976" s="200">
        <f t="shared" si="9973"/>
        <v>0</v>
      </c>
      <c r="J1976" s="200">
        <f t="shared" si="9973"/>
        <v>0</v>
      </c>
      <c r="K1976" s="200">
        <f t="shared" si="9973"/>
        <v>0</v>
      </c>
      <c r="L1976" s="200">
        <f t="shared" si="9973"/>
        <v>0</v>
      </c>
      <c r="M1976" s="200">
        <f t="shared" si="9973"/>
        <v>0</v>
      </c>
      <c r="N1976" s="200">
        <f t="shared" si="9973"/>
        <v>0</v>
      </c>
      <c r="O1976" s="200">
        <f t="shared" si="9973"/>
        <v>0</v>
      </c>
      <c r="P1976" s="200">
        <f t="shared" si="9"/>
        <v>1</v>
      </c>
      <c r="Q1976" s="200">
        <f t="shared" ref="Q1976:AC1976" si="9974">countif($D1976,"*"&amp;Q$2&amp;"*")</f>
        <v>0</v>
      </c>
      <c r="R1976" s="200">
        <f t="shared" si="9974"/>
        <v>0</v>
      </c>
      <c r="S1976" s="200">
        <f t="shared" si="9974"/>
        <v>0</v>
      </c>
      <c r="T1976" s="200">
        <f t="shared" si="9974"/>
        <v>0</v>
      </c>
      <c r="U1976" s="200">
        <f t="shared" si="9974"/>
        <v>0</v>
      </c>
      <c r="V1976" s="200">
        <f t="shared" si="9974"/>
        <v>0</v>
      </c>
      <c r="W1976" s="200">
        <f t="shared" si="9974"/>
        <v>0</v>
      </c>
      <c r="X1976" s="200">
        <f t="shared" si="9974"/>
        <v>0</v>
      </c>
      <c r="Y1976" s="200">
        <f t="shared" si="9974"/>
        <v>0</v>
      </c>
      <c r="Z1976" s="200">
        <f t="shared" si="9974"/>
        <v>0</v>
      </c>
      <c r="AA1976" s="200">
        <f t="shared" si="9974"/>
        <v>0</v>
      </c>
      <c r="AB1976" s="200">
        <f t="shared" si="9974"/>
        <v>0</v>
      </c>
      <c r="AC1976" s="200">
        <f t="shared" si="9974"/>
        <v>0</v>
      </c>
      <c r="AD1976" s="200">
        <f t="shared" si="11"/>
        <v>0</v>
      </c>
      <c r="AE1976" s="200">
        <f t="shared" ref="AE1976:AG1976" si="9975">countif($D1976,"*"&amp;AE$2&amp;"*")</f>
        <v>0</v>
      </c>
      <c r="AF1976" s="200">
        <f t="shared" si="9975"/>
        <v>0</v>
      </c>
      <c r="AG1976" s="200">
        <f t="shared" si="9975"/>
        <v>0</v>
      </c>
      <c r="AH1976" s="171">
        <f t="shared" si="13"/>
        <v>0</v>
      </c>
      <c r="AI1976" s="200">
        <f t="shared" si="14"/>
        <v>0</v>
      </c>
      <c r="AJ1976" s="200">
        <f t="shared" si="9976"/>
        <v>0</v>
      </c>
      <c r="AK1976" s="201">
        <f t="shared" ref="AK1976:AS1976" si="9977">countif($D1976,"*"&amp;AK$2&amp;"*")</f>
        <v>0</v>
      </c>
      <c r="AL1976" s="201">
        <f t="shared" si="9977"/>
        <v>0</v>
      </c>
      <c r="AM1976" s="201">
        <f t="shared" si="9977"/>
        <v>0</v>
      </c>
      <c r="AN1976" s="201">
        <f t="shared" si="9977"/>
        <v>0</v>
      </c>
      <c r="AO1976" s="201">
        <f t="shared" si="9977"/>
        <v>0</v>
      </c>
      <c r="AP1976" s="201">
        <f t="shared" si="9977"/>
        <v>0</v>
      </c>
      <c r="AQ1976" s="201">
        <f t="shared" si="9977"/>
        <v>0</v>
      </c>
      <c r="AR1976" s="200">
        <f t="shared" si="9977"/>
        <v>0</v>
      </c>
      <c r="AS1976" s="200">
        <f t="shared" si="9977"/>
        <v>0</v>
      </c>
      <c r="AT1976" s="173">
        <v>0.0</v>
      </c>
      <c r="AU1976" s="200">
        <f t="shared" ref="AU1976:AX1976" si="9978">countif($D1976,"*"&amp;AU$2&amp;"*")</f>
        <v>0</v>
      </c>
      <c r="AV1976" s="200">
        <f t="shared" si="9978"/>
        <v>1</v>
      </c>
      <c r="AW1976" s="200">
        <f t="shared" si="9978"/>
        <v>0</v>
      </c>
      <c r="AX1976" s="200">
        <f t="shared" si="9978"/>
        <v>0</v>
      </c>
      <c r="AY1976" s="202">
        <v>0.0</v>
      </c>
      <c r="AZ1976" s="200"/>
      <c r="BA1976" s="171" t="str">
        <f t="shared" si="18"/>
        <v/>
      </c>
      <c r="BB1976" s="171" t="str">
        <f t="shared" si="19"/>
        <v>Code</v>
      </c>
      <c r="BC1976" s="171" t="str">
        <f t="shared" si="20"/>
        <v/>
      </c>
      <c r="BD1976" s="171" t="str">
        <f t="shared" si="21"/>
        <v/>
      </c>
      <c r="BE1976" s="171" t="str">
        <f t="shared" si="22"/>
        <v/>
      </c>
      <c r="BF1976" s="171" t="str">
        <f t="shared" si="23"/>
        <v>Code</v>
      </c>
    </row>
    <row r="1977">
      <c r="A1977" s="171">
        <f t="array" ref="A1977">XLOOKUP(C1977,FSE!A:A,FSE!C:C,"XXXXX",0,1)</f>
        <v>2017</v>
      </c>
      <c r="B1977" s="213" t="s">
        <v>5676</v>
      </c>
      <c r="C1977" s="214">
        <v>597.0</v>
      </c>
      <c r="D1977" s="215" t="s">
        <v>4013</v>
      </c>
      <c r="E1977" s="197" t="str">
        <f t="array" ref="E1977">XLOOKUP(C1977,FSE!A:A,FSE!Z:Z,"XXXXX",0,1)</f>
        <v>Publicly Available (1)</v>
      </c>
      <c r="F1977" s="213" t="s">
        <v>3394</v>
      </c>
      <c r="G1977" s="163" t="str">
        <f t="array" ref="G1977">IF(B1977="ICSE",IF(COUNTIFS(B:B,B1977,C:C,C1977)=XLOOKUP(C1977,ICSE!A:A,ICSE!AA:AA,"ERROR",0,1),"OK","ERROR"),IF(B1977="FSE",IF(COUNTIFS(B:B,B1977,C:C,C1977)=XLOOKUP(C1977,FSE!A:A,FSE!AA:AA,"ERROR",0,1),"OK","ERROR")))</f>
        <v>OK</v>
      </c>
      <c r="H1977" s="199">
        <f t="shared" ref="H1977:O1977" si="9979">countif($D1977,"*"&amp;H$2&amp;"*")</f>
        <v>0</v>
      </c>
      <c r="I1977" s="200">
        <f t="shared" si="9979"/>
        <v>0</v>
      </c>
      <c r="J1977" s="200">
        <f t="shared" si="9979"/>
        <v>0</v>
      </c>
      <c r="K1977" s="200">
        <f t="shared" si="9979"/>
        <v>0</v>
      </c>
      <c r="L1977" s="200">
        <f t="shared" si="9979"/>
        <v>0</v>
      </c>
      <c r="M1977" s="200">
        <f t="shared" si="9979"/>
        <v>0</v>
      </c>
      <c r="N1977" s="200">
        <f t="shared" si="9979"/>
        <v>0</v>
      </c>
      <c r="O1977" s="200">
        <f t="shared" si="9979"/>
        <v>0</v>
      </c>
      <c r="P1977" s="200">
        <f t="shared" si="9"/>
        <v>1</v>
      </c>
      <c r="Q1977" s="200">
        <f t="shared" ref="Q1977:AC1977" si="9980">countif($D1977,"*"&amp;Q$2&amp;"*")</f>
        <v>0</v>
      </c>
      <c r="R1977" s="200">
        <f t="shared" si="9980"/>
        <v>0</v>
      </c>
      <c r="S1977" s="200">
        <f t="shared" si="9980"/>
        <v>0</v>
      </c>
      <c r="T1977" s="200">
        <f t="shared" si="9980"/>
        <v>0</v>
      </c>
      <c r="U1977" s="200">
        <f t="shared" si="9980"/>
        <v>0</v>
      </c>
      <c r="V1977" s="200">
        <f t="shared" si="9980"/>
        <v>0</v>
      </c>
      <c r="W1977" s="200">
        <f t="shared" si="9980"/>
        <v>0</v>
      </c>
      <c r="X1977" s="200">
        <f t="shared" si="9980"/>
        <v>0</v>
      </c>
      <c r="Y1977" s="200">
        <f t="shared" si="9980"/>
        <v>0</v>
      </c>
      <c r="Z1977" s="200">
        <f t="shared" si="9980"/>
        <v>0</v>
      </c>
      <c r="AA1977" s="200">
        <f t="shared" si="9980"/>
        <v>0</v>
      </c>
      <c r="AB1977" s="200">
        <f t="shared" si="9980"/>
        <v>0</v>
      </c>
      <c r="AC1977" s="200">
        <f t="shared" si="9980"/>
        <v>0</v>
      </c>
      <c r="AD1977" s="200">
        <f t="shared" si="11"/>
        <v>0</v>
      </c>
      <c r="AE1977" s="200">
        <f t="shared" ref="AE1977:AG1977" si="9981">countif($D1977,"*"&amp;AE$2&amp;"*")</f>
        <v>0</v>
      </c>
      <c r="AF1977" s="200">
        <f t="shared" si="9981"/>
        <v>0</v>
      </c>
      <c r="AG1977" s="200">
        <f t="shared" si="9981"/>
        <v>0</v>
      </c>
      <c r="AH1977" s="171">
        <f t="shared" si="13"/>
        <v>0</v>
      </c>
      <c r="AI1977" s="200">
        <f t="shared" si="14"/>
        <v>0</v>
      </c>
      <c r="AJ1977" s="200">
        <f t="shared" si="9976"/>
        <v>0</v>
      </c>
      <c r="AK1977" s="201">
        <f t="shared" ref="AK1977:AS1977" si="9982">countif($D1977,"*"&amp;AK$2&amp;"*")</f>
        <v>0</v>
      </c>
      <c r="AL1977" s="201">
        <f t="shared" si="9982"/>
        <v>0</v>
      </c>
      <c r="AM1977" s="201">
        <f t="shared" si="9982"/>
        <v>0</v>
      </c>
      <c r="AN1977" s="201">
        <f t="shared" si="9982"/>
        <v>0</v>
      </c>
      <c r="AO1977" s="201">
        <f t="shared" si="9982"/>
        <v>0</v>
      </c>
      <c r="AP1977" s="201">
        <f t="shared" si="9982"/>
        <v>0</v>
      </c>
      <c r="AQ1977" s="201">
        <f t="shared" si="9982"/>
        <v>0</v>
      </c>
      <c r="AR1977" s="200">
        <f t="shared" si="9982"/>
        <v>0</v>
      </c>
      <c r="AS1977" s="200">
        <f t="shared" si="9982"/>
        <v>0</v>
      </c>
      <c r="AT1977" s="173">
        <v>0.0</v>
      </c>
      <c r="AU1977" s="200">
        <f t="shared" ref="AU1977:AX1977" si="9983">countif($D1977,"*"&amp;AU$2&amp;"*")</f>
        <v>0</v>
      </c>
      <c r="AV1977" s="200">
        <f t="shared" si="9983"/>
        <v>1</v>
      </c>
      <c r="AW1977" s="200">
        <f t="shared" si="9983"/>
        <v>0</v>
      </c>
      <c r="AX1977" s="200">
        <f t="shared" si="9983"/>
        <v>0</v>
      </c>
      <c r="AY1977" s="202">
        <v>0.0</v>
      </c>
      <c r="AZ1977" s="200"/>
      <c r="BA1977" s="171" t="str">
        <f t="shared" si="18"/>
        <v/>
      </c>
      <c r="BB1977" s="171" t="str">
        <f t="shared" si="19"/>
        <v>Code</v>
      </c>
      <c r="BC1977" s="171" t="str">
        <f t="shared" si="20"/>
        <v/>
      </c>
      <c r="BD1977" s="171" t="str">
        <f t="shared" si="21"/>
        <v/>
      </c>
      <c r="BE1977" s="171" t="str">
        <f t="shared" si="22"/>
        <v/>
      </c>
      <c r="BF1977" s="171" t="str">
        <f t="shared" si="23"/>
        <v>Code</v>
      </c>
    </row>
    <row r="1978">
      <c r="A1978" s="171">
        <f t="array" ref="A1978">XLOOKUP(C1978,FSE!A:A,FSE!C:C,"XXXXX",0,1)</f>
        <v>2017</v>
      </c>
      <c r="B1978" s="213" t="s">
        <v>5676</v>
      </c>
      <c r="C1978" s="214">
        <v>599.0</v>
      </c>
      <c r="D1978" s="215" t="s">
        <v>4017</v>
      </c>
      <c r="E1978" s="197" t="str">
        <f t="array" ref="E1978">XLOOKUP(C1978,FSE!A:A,FSE!Z:Z,"XXXXX",0,1)</f>
        <v>Publicly Available (1)</v>
      </c>
      <c r="F1978" s="213" t="s">
        <v>3394</v>
      </c>
      <c r="G1978" s="163" t="str">
        <f t="array" ref="G1978">IF(B1978="ICSE",IF(COUNTIFS(B:B,B1978,C:C,C1978)=XLOOKUP(C1978,ICSE!A:A,ICSE!AA:AA,"ERROR",0,1),"OK","ERROR"),IF(B1978="FSE",IF(COUNTIFS(B:B,B1978,C:C,C1978)=XLOOKUP(C1978,FSE!A:A,FSE!AA:AA,"ERROR",0,1),"OK","ERROR")))</f>
        <v>OK</v>
      </c>
      <c r="H1978" s="199">
        <f t="shared" ref="H1978:O1978" si="9984">countif($D1978,"*"&amp;H$2&amp;"*")</f>
        <v>0</v>
      </c>
      <c r="I1978" s="200">
        <f t="shared" si="9984"/>
        <v>0</v>
      </c>
      <c r="J1978" s="200">
        <f t="shared" si="9984"/>
        <v>0</v>
      </c>
      <c r="K1978" s="200">
        <f t="shared" si="9984"/>
        <v>0</v>
      </c>
      <c r="L1978" s="200">
        <f t="shared" si="9984"/>
        <v>0</v>
      </c>
      <c r="M1978" s="200">
        <f t="shared" si="9984"/>
        <v>0</v>
      </c>
      <c r="N1978" s="200">
        <f t="shared" si="9984"/>
        <v>0</v>
      </c>
      <c r="O1978" s="200">
        <f t="shared" si="9984"/>
        <v>0</v>
      </c>
      <c r="P1978" s="200">
        <f t="shared" si="9"/>
        <v>1</v>
      </c>
      <c r="Q1978" s="200">
        <f t="shared" ref="Q1978:AC1978" si="9985">countif($D1978,"*"&amp;Q$2&amp;"*")</f>
        <v>0</v>
      </c>
      <c r="R1978" s="200">
        <f t="shared" si="9985"/>
        <v>0</v>
      </c>
      <c r="S1978" s="200">
        <f t="shared" si="9985"/>
        <v>0</v>
      </c>
      <c r="T1978" s="200">
        <f t="shared" si="9985"/>
        <v>0</v>
      </c>
      <c r="U1978" s="200">
        <f t="shared" si="9985"/>
        <v>0</v>
      </c>
      <c r="V1978" s="200">
        <f t="shared" si="9985"/>
        <v>0</v>
      </c>
      <c r="W1978" s="200">
        <f t="shared" si="9985"/>
        <v>0</v>
      </c>
      <c r="X1978" s="200">
        <f t="shared" si="9985"/>
        <v>0</v>
      </c>
      <c r="Y1978" s="200">
        <f t="shared" si="9985"/>
        <v>0</v>
      </c>
      <c r="Z1978" s="200">
        <f t="shared" si="9985"/>
        <v>0</v>
      </c>
      <c r="AA1978" s="200">
        <f t="shared" si="9985"/>
        <v>0</v>
      </c>
      <c r="AB1978" s="200">
        <f t="shared" si="9985"/>
        <v>0</v>
      </c>
      <c r="AC1978" s="200">
        <f t="shared" si="9985"/>
        <v>0</v>
      </c>
      <c r="AD1978" s="200">
        <f t="shared" si="11"/>
        <v>0</v>
      </c>
      <c r="AE1978" s="200">
        <f t="shared" ref="AE1978:AG1978" si="9986">countif($D1978,"*"&amp;AE$2&amp;"*")</f>
        <v>0</v>
      </c>
      <c r="AF1978" s="200">
        <f t="shared" si="9986"/>
        <v>0</v>
      </c>
      <c r="AG1978" s="200">
        <f t="shared" si="9986"/>
        <v>0</v>
      </c>
      <c r="AH1978" s="171">
        <f t="shared" si="13"/>
        <v>0</v>
      </c>
      <c r="AI1978" s="200">
        <f t="shared" si="14"/>
        <v>0</v>
      </c>
      <c r="AJ1978" s="200">
        <f t="shared" si="9976"/>
        <v>0</v>
      </c>
      <c r="AK1978" s="201">
        <f t="shared" ref="AK1978:AS1978" si="9987">countif($D1978,"*"&amp;AK$2&amp;"*")</f>
        <v>0</v>
      </c>
      <c r="AL1978" s="201">
        <f t="shared" si="9987"/>
        <v>0</v>
      </c>
      <c r="AM1978" s="201">
        <f t="shared" si="9987"/>
        <v>0</v>
      </c>
      <c r="AN1978" s="201">
        <f t="shared" si="9987"/>
        <v>0</v>
      </c>
      <c r="AO1978" s="201">
        <f t="shared" si="9987"/>
        <v>0</v>
      </c>
      <c r="AP1978" s="201">
        <f t="shared" si="9987"/>
        <v>0</v>
      </c>
      <c r="AQ1978" s="201">
        <f t="shared" si="9987"/>
        <v>0</v>
      </c>
      <c r="AR1978" s="200">
        <f t="shared" si="9987"/>
        <v>0</v>
      </c>
      <c r="AS1978" s="200">
        <f t="shared" si="9987"/>
        <v>0</v>
      </c>
      <c r="AT1978" s="173">
        <v>0.0</v>
      </c>
      <c r="AU1978" s="200">
        <f t="shared" ref="AU1978:AX1978" si="9988">countif($D1978,"*"&amp;AU$2&amp;"*")</f>
        <v>0</v>
      </c>
      <c r="AV1978" s="200">
        <f t="shared" si="9988"/>
        <v>1</v>
      </c>
      <c r="AW1978" s="200">
        <f t="shared" si="9988"/>
        <v>0</v>
      </c>
      <c r="AX1978" s="200">
        <f t="shared" si="9988"/>
        <v>0</v>
      </c>
      <c r="AY1978" s="202">
        <v>0.0</v>
      </c>
      <c r="AZ1978" s="200"/>
      <c r="BA1978" s="171" t="str">
        <f t="shared" si="18"/>
        <v/>
      </c>
      <c r="BB1978" s="171" t="str">
        <f t="shared" si="19"/>
        <v>Code</v>
      </c>
      <c r="BC1978" s="171" t="str">
        <f t="shared" si="20"/>
        <v/>
      </c>
      <c r="BD1978" s="171" t="str">
        <f t="shared" si="21"/>
        <v/>
      </c>
      <c r="BE1978" s="171" t="str">
        <f t="shared" si="22"/>
        <v/>
      </c>
      <c r="BF1978" s="171" t="str">
        <f t="shared" si="23"/>
        <v>Code</v>
      </c>
    </row>
    <row r="1979">
      <c r="A1979" s="171">
        <f t="array" ref="A1979">XLOOKUP(C1979,FSE!A:A,FSE!C:C,"XXXXX",0,1)</f>
        <v>2017</v>
      </c>
      <c r="B1979" s="213" t="s">
        <v>5676</v>
      </c>
      <c r="C1979" s="214">
        <v>602.0</v>
      </c>
      <c r="D1979" s="215" t="s">
        <v>4021</v>
      </c>
      <c r="E1979" s="197" t="str">
        <f t="array" ref="E1979">XLOOKUP(C1979,FSE!A:A,FSE!Z:Z,"XXXXX",0,1)</f>
        <v>Publicly Available (1)</v>
      </c>
      <c r="F1979" s="213" t="s">
        <v>3394</v>
      </c>
      <c r="G1979" s="163" t="str">
        <f t="array" ref="G1979">IF(B1979="ICSE",IF(COUNTIFS(B:B,B1979,C:C,C1979)=XLOOKUP(C1979,ICSE!A:A,ICSE!AA:AA,"ERROR",0,1),"OK","ERROR"),IF(B1979="FSE",IF(COUNTIFS(B:B,B1979,C:C,C1979)=XLOOKUP(C1979,FSE!A:A,FSE!AA:AA,"ERROR",0,1),"OK","ERROR")))</f>
        <v>OK</v>
      </c>
      <c r="H1979" s="199">
        <f t="shared" ref="H1979:O1979" si="9989">countif($D1979,"*"&amp;H$2&amp;"*")</f>
        <v>0</v>
      </c>
      <c r="I1979" s="200">
        <f t="shared" si="9989"/>
        <v>0</v>
      </c>
      <c r="J1979" s="200">
        <f t="shared" si="9989"/>
        <v>0</v>
      </c>
      <c r="K1979" s="200">
        <f t="shared" si="9989"/>
        <v>0</v>
      </c>
      <c r="L1979" s="200">
        <f t="shared" si="9989"/>
        <v>0</v>
      </c>
      <c r="M1979" s="200">
        <f t="shared" si="9989"/>
        <v>0</v>
      </c>
      <c r="N1979" s="200">
        <f t="shared" si="9989"/>
        <v>0</v>
      </c>
      <c r="O1979" s="200">
        <f t="shared" si="9989"/>
        <v>0</v>
      </c>
      <c r="P1979" s="200">
        <f t="shared" si="9"/>
        <v>1</v>
      </c>
      <c r="Q1979" s="200">
        <f t="shared" ref="Q1979:AC1979" si="9990">countif($D1979,"*"&amp;Q$2&amp;"*")</f>
        <v>0</v>
      </c>
      <c r="R1979" s="200">
        <f t="shared" si="9990"/>
        <v>0</v>
      </c>
      <c r="S1979" s="200">
        <f t="shared" si="9990"/>
        <v>0</v>
      </c>
      <c r="T1979" s="200">
        <f t="shared" si="9990"/>
        <v>0</v>
      </c>
      <c r="U1979" s="200">
        <f t="shared" si="9990"/>
        <v>0</v>
      </c>
      <c r="V1979" s="200">
        <f t="shared" si="9990"/>
        <v>0</v>
      </c>
      <c r="W1979" s="200">
        <f t="shared" si="9990"/>
        <v>0</v>
      </c>
      <c r="X1979" s="200">
        <f t="shared" si="9990"/>
        <v>0</v>
      </c>
      <c r="Y1979" s="200">
        <f t="shared" si="9990"/>
        <v>0</v>
      </c>
      <c r="Z1979" s="200">
        <f t="shared" si="9990"/>
        <v>0</v>
      </c>
      <c r="AA1979" s="200">
        <f t="shared" si="9990"/>
        <v>0</v>
      </c>
      <c r="AB1979" s="200">
        <f t="shared" si="9990"/>
        <v>0</v>
      </c>
      <c r="AC1979" s="200">
        <f t="shared" si="9990"/>
        <v>0</v>
      </c>
      <c r="AD1979" s="200">
        <f t="shared" si="11"/>
        <v>0</v>
      </c>
      <c r="AE1979" s="200">
        <f t="shared" ref="AE1979:AG1979" si="9991">countif($D1979,"*"&amp;AE$2&amp;"*")</f>
        <v>0</v>
      </c>
      <c r="AF1979" s="200">
        <f t="shared" si="9991"/>
        <v>0</v>
      </c>
      <c r="AG1979" s="200">
        <f t="shared" si="9991"/>
        <v>0</v>
      </c>
      <c r="AH1979" s="171">
        <f t="shared" si="13"/>
        <v>0</v>
      </c>
      <c r="AI1979" s="200">
        <f t="shared" si="14"/>
        <v>0</v>
      </c>
      <c r="AJ1979" s="200">
        <f t="shared" si="9976"/>
        <v>0</v>
      </c>
      <c r="AK1979" s="201">
        <f t="shared" ref="AK1979:AS1979" si="9992">countif($D1979,"*"&amp;AK$2&amp;"*")</f>
        <v>0</v>
      </c>
      <c r="AL1979" s="201">
        <f t="shared" si="9992"/>
        <v>0</v>
      </c>
      <c r="AM1979" s="201">
        <f t="shared" si="9992"/>
        <v>0</v>
      </c>
      <c r="AN1979" s="201">
        <f t="shared" si="9992"/>
        <v>0</v>
      </c>
      <c r="AO1979" s="201">
        <f t="shared" si="9992"/>
        <v>0</v>
      </c>
      <c r="AP1979" s="201">
        <f t="shared" si="9992"/>
        <v>0</v>
      </c>
      <c r="AQ1979" s="201">
        <f t="shared" si="9992"/>
        <v>0</v>
      </c>
      <c r="AR1979" s="200">
        <f t="shared" si="9992"/>
        <v>0</v>
      </c>
      <c r="AS1979" s="200">
        <f t="shared" si="9992"/>
        <v>0</v>
      </c>
      <c r="AT1979" s="173">
        <v>0.0</v>
      </c>
      <c r="AU1979" s="200">
        <f t="shared" ref="AU1979:AX1979" si="9993">countif($D1979,"*"&amp;AU$2&amp;"*")</f>
        <v>0</v>
      </c>
      <c r="AV1979" s="200">
        <f t="shared" si="9993"/>
        <v>1</v>
      </c>
      <c r="AW1979" s="200">
        <f t="shared" si="9993"/>
        <v>0</v>
      </c>
      <c r="AX1979" s="200">
        <f t="shared" si="9993"/>
        <v>0</v>
      </c>
      <c r="AY1979" s="202">
        <v>0.0</v>
      </c>
      <c r="AZ1979" s="200"/>
      <c r="BA1979" s="171" t="str">
        <f t="shared" si="18"/>
        <v/>
      </c>
      <c r="BB1979" s="171" t="str">
        <f t="shared" si="19"/>
        <v>Code</v>
      </c>
      <c r="BC1979" s="171" t="str">
        <f t="shared" si="20"/>
        <v/>
      </c>
      <c r="BD1979" s="171" t="str">
        <f t="shared" si="21"/>
        <v/>
      </c>
      <c r="BE1979" s="171" t="str">
        <f t="shared" si="22"/>
        <v/>
      </c>
      <c r="BF1979" s="171" t="str">
        <f t="shared" si="23"/>
        <v>Code</v>
      </c>
    </row>
    <row r="1980">
      <c r="A1980" s="171">
        <f t="array" ref="A1980">XLOOKUP(C1980,FSE!A:A,FSE!C:C,"XXXXX",0,1)</f>
        <v>2017</v>
      </c>
      <c r="B1980" s="213" t="s">
        <v>5676</v>
      </c>
      <c r="C1980" s="214">
        <v>603.0</v>
      </c>
      <c r="D1980" s="215" t="s">
        <v>6527</v>
      </c>
      <c r="E1980" s="197" t="str">
        <f t="array" ref="E1980">XLOOKUP(C1980,FSE!A:A,FSE!Z:Z,"XXXXX",0,1)</f>
        <v>Publicly Available (2)</v>
      </c>
      <c r="F1980" s="213" t="s">
        <v>3394</v>
      </c>
      <c r="G1980" s="163" t="str">
        <f t="array" ref="G1980">IF(B1980="ICSE",IF(COUNTIFS(B:B,B1980,C:C,C1980)=XLOOKUP(C1980,ICSE!A:A,ICSE!AA:AA,"ERROR",0,1),"OK","ERROR"),IF(B1980="FSE",IF(COUNTIFS(B:B,B1980,C:C,C1980)=XLOOKUP(C1980,FSE!A:A,FSE!AA:AA,"ERROR",0,1),"OK","ERROR")))</f>
        <v>OK</v>
      </c>
      <c r="H1980" s="199">
        <f t="shared" ref="H1980:O1980" si="9994">countif($D1980,"*"&amp;H$2&amp;"*")</f>
        <v>0</v>
      </c>
      <c r="I1980" s="200">
        <f t="shared" si="9994"/>
        <v>0</v>
      </c>
      <c r="J1980" s="200">
        <f t="shared" si="9994"/>
        <v>0</v>
      </c>
      <c r="K1980" s="200">
        <f t="shared" si="9994"/>
        <v>0</v>
      </c>
      <c r="L1980" s="200">
        <f t="shared" si="9994"/>
        <v>0</v>
      </c>
      <c r="M1980" s="200">
        <f t="shared" si="9994"/>
        <v>0</v>
      </c>
      <c r="N1980" s="200">
        <f t="shared" si="9994"/>
        <v>0</v>
      </c>
      <c r="O1980" s="200">
        <f t="shared" si="9994"/>
        <v>0</v>
      </c>
      <c r="P1980" s="200">
        <f t="shared" si="9"/>
        <v>1</v>
      </c>
      <c r="Q1980" s="200">
        <f t="shared" ref="Q1980:AC1980" si="9995">countif($D1980,"*"&amp;Q$2&amp;"*")</f>
        <v>0</v>
      </c>
      <c r="R1980" s="200">
        <f t="shared" si="9995"/>
        <v>0</v>
      </c>
      <c r="S1980" s="200">
        <f t="shared" si="9995"/>
        <v>0</v>
      </c>
      <c r="T1980" s="200">
        <f t="shared" si="9995"/>
        <v>0</v>
      </c>
      <c r="U1980" s="200">
        <f t="shared" si="9995"/>
        <v>0</v>
      </c>
      <c r="V1980" s="200">
        <f t="shared" si="9995"/>
        <v>0</v>
      </c>
      <c r="W1980" s="200">
        <f t="shared" si="9995"/>
        <v>0</v>
      </c>
      <c r="X1980" s="200">
        <f t="shared" si="9995"/>
        <v>0</v>
      </c>
      <c r="Y1980" s="200">
        <f t="shared" si="9995"/>
        <v>0</v>
      </c>
      <c r="Z1980" s="200">
        <f t="shared" si="9995"/>
        <v>0</v>
      </c>
      <c r="AA1980" s="200">
        <f t="shared" si="9995"/>
        <v>0</v>
      </c>
      <c r="AB1980" s="200">
        <f t="shared" si="9995"/>
        <v>0</v>
      </c>
      <c r="AC1980" s="200">
        <f t="shared" si="9995"/>
        <v>0</v>
      </c>
      <c r="AD1980" s="200">
        <f t="shared" si="11"/>
        <v>0</v>
      </c>
      <c r="AE1980" s="200">
        <f t="shared" ref="AE1980:AG1980" si="9996">countif($D1980,"*"&amp;AE$2&amp;"*")</f>
        <v>0</v>
      </c>
      <c r="AF1980" s="200">
        <f t="shared" si="9996"/>
        <v>0</v>
      </c>
      <c r="AG1980" s="200">
        <f t="shared" si="9996"/>
        <v>0</v>
      </c>
      <c r="AH1980" s="171">
        <f t="shared" si="13"/>
        <v>0</v>
      </c>
      <c r="AI1980" s="200">
        <f t="shared" si="14"/>
        <v>0</v>
      </c>
      <c r="AJ1980" s="200">
        <f t="shared" si="9976"/>
        <v>0</v>
      </c>
      <c r="AK1980" s="201">
        <f t="shared" ref="AK1980:AS1980" si="9997">countif($D1980,"*"&amp;AK$2&amp;"*")</f>
        <v>0</v>
      </c>
      <c r="AL1980" s="201">
        <f t="shared" si="9997"/>
        <v>0</v>
      </c>
      <c r="AM1980" s="201">
        <f t="shared" si="9997"/>
        <v>0</v>
      </c>
      <c r="AN1980" s="201">
        <f t="shared" si="9997"/>
        <v>0</v>
      </c>
      <c r="AO1980" s="201">
        <f t="shared" si="9997"/>
        <v>0</v>
      </c>
      <c r="AP1980" s="201">
        <f t="shared" si="9997"/>
        <v>0</v>
      </c>
      <c r="AQ1980" s="201">
        <f t="shared" si="9997"/>
        <v>0</v>
      </c>
      <c r="AR1980" s="200">
        <f t="shared" si="9997"/>
        <v>0</v>
      </c>
      <c r="AS1980" s="200">
        <f t="shared" si="9997"/>
        <v>0</v>
      </c>
      <c r="AT1980" s="173">
        <v>0.0</v>
      </c>
      <c r="AU1980" s="200">
        <f t="shared" ref="AU1980:AX1980" si="9998">countif($D1980,"*"&amp;AU$2&amp;"*")</f>
        <v>0</v>
      </c>
      <c r="AV1980" s="200">
        <f t="shared" si="9998"/>
        <v>1</v>
      </c>
      <c r="AW1980" s="200">
        <f t="shared" si="9998"/>
        <v>0</v>
      </c>
      <c r="AX1980" s="200">
        <f t="shared" si="9998"/>
        <v>0</v>
      </c>
      <c r="AY1980" s="202">
        <v>0.0</v>
      </c>
      <c r="AZ1980" s="200"/>
      <c r="BA1980" s="171" t="str">
        <f t="shared" si="18"/>
        <v/>
      </c>
      <c r="BB1980" s="171" t="str">
        <f t="shared" si="19"/>
        <v>Code</v>
      </c>
      <c r="BC1980" s="171" t="str">
        <f t="shared" si="20"/>
        <v/>
      </c>
      <c r="BD1980" s="171" t="str">
        <f t="shared" si="21"/>
        <v/>
      </c>
      <c r="BE1980" s="171" t="str">
        <f t="shared" si="22"/>
        <v/>
      </c>
      <c r="BF1980" s="171" t="str">
        <f t="shared" si="23"/>
        <v>Code</v>
      </c>
    </row>
    <row r="1981">
      <c r="A1981" s="171">
        <f t="array" ref="A1981">XLOOKUP(C1981,FSE!A:A,FSE!C:C,"XXXXX",0,1)</f>
        <v>2017</v>
      </c>
      <c r="B1981" s="213" t="s">
        <v>5676</v>
      </c>
      <c r="C1981" s="214">
        <v>603.0</v>
      </c>
      <c r="D1981" s="215" t="s">
        <v>6528</v>
      </c>
      <c r="E1981" s="197" t="str">
        <f t="array" ref="E1981">XLOOKUP(C1981,FSE!A:A,FSE!Z:Z,"XXXXX",0,1)</f>
        <v>Publicly Available (2)</v>
      </c>
      <c r="F1981" s="213" t="s">
        <v>3394</v>
      </c>
      <c r="G1981" s="163" t="str">
        <f t="array" ref="G1981">IF(B1981="ICSE",IF(COUNTIFS(B:B,B1981,C:C,C1981)=XLOOKUP(C1981,ICSE!A:A,ICSE!AA:AA,"ERROR",0,1),"OK","ERROR"),IF(B1981="FSE",IF(COUNTIFS(B:B,B1981,C:C,C1981)=XLOOKUP(C1981,FSE!A:A,FSE!AA:AA,"ERROR",0,1),"OK","ERROR")))</f>
        <v>OK</v>
      </c>
      <c r="H1981" s="199">
        <f t="shared" ref="H1981:O1981" si="9999">countif($D1981,"*"&amp;H$2&amp;"*")</f>
        <v>0</v>
      </c>
      <c r="I1981" s="200">
        <f t="shared" si="9999"/>
        <v>0</v>
      </c>
      <c r="J1981" s="200">
        <f t="shared" si="9999"/>
        <v>0</v>
      </c>
      <c r="K1981" s="200">
        <f t="shared" si="9999"/>
        <v>0</v>
      </c>
      <c r="L1981" s="200">
        <f t="shared" si="9999"/>
        <v>0</v>
      </c>
      <c r="M1981" s="200">
        <f t="shared" si="9999"/>
        <v>0</v>
      </c>
      <c r="N1981" s="200">
        <f t="shared" si="9999"/>
        <v>0</v>
      </c>
      <c r="O1981" s="200">
        <f t="shared" si="9999"/>
        <v>0</v>
      </c>
      <c r="P1981" s="200">
        <f t="shared" si="9"/>
        <v>1</v>
      </c>
      <c r="Q1981" s="200">
        <f t="shared" ref="Q1981:AC1981" si="10000">countif($D1981,"*"&amp;Q$2&amp;"*")</f>
        <v>0</v>
      </c>
      <c r="R1981" s="200">
        <f t="shared" si="10000"/>
        <v>0</v>
      </c>
      <c r="S1981" s="200">
        <f t="shared" si="10000"/>
        <v>0</v>
      </c>
      <c r="T1981" s="200">
        <f t="shared" si="10000"/>
        <v>0</v>
      </c>
      <c r="U1981" s="200">
        <f t="shared" si="10000"/>
        <v>0</v>
      </c>
      <c r="V1981" s="200">
        <f t="shared" si="10000"/>
        <v>0</v>
      </c>
      <c r="W1981" s="200">
        <f t="shared" si="10000"/>
        <v>0</v>
      </c>
      <c r="X1981" s="200">
        <f t="shared" si="10000"/>
        <v>0</v>
      </c>
      <c r="Y1981" s="200">
        <f t="shared" si="10000"/>
        <v>0</v>
      </c>
      <c r="Z1981" s="200">
        <f t="shared" si="10000"/>
        <v>0</v>
      </c>
      <c r="AA1981" s="200">
        <f t="shared" si="10000"/>
        <v>0</v>
      </c>
      <c r="AB1981" s="200">
        <f t="shared" si="10000"/>
        <v>0</v>
      </c>
      <c r="AC1981" s="200">
        <f t="shared" si="10000"/>
        <v>0</v>
      </c>
      <c r="AD1981" s="200">
        <f t="shared" si="11"/>
        <v>0</v>
      </c>
      <c r="AE1981" s="200">
        <f t="shared" ref="AE1981:AG1981" si="10001">countif($D1981,"*"&amp;AE$2&amp;"*")</f>
        <v>0</v>
      </c>
      <c r="AF1981" s="200">
        <f t="shared" si="10001"/>
        <v>0</v>
      </c>
      <c r="AG1981" s="200">
        <f t="shared" si="10001"/>
        <v>0</v>
      </c>
      <c r="AH1981" s="171">
        <f t="shared" si="13"/>
        <v>0</v>
      </c>
      <c r="AI1981" s="200">
        <f t="shared" si="14"/>
        <v>0</v>
      </c>
      <c r="AJ1981" s="200">
        <f t="shared" si="9976"/>
        <v>0</v>
      </c>
      <c r="AK1981" s="201">
        <f t="shared" ref="AK1981:AS1981" si="10002">countif($D1981,"*"&amp;AK$2&amp;"*")</f>
        <v>0</v>
      </c>
      <c r="AL1981" s="201">
        <f t="shared" si="10002"/>
        <v>0</v>
      </c>
      <c r="AM1981" s="201">
        <f t="shared" si="10002"/>
        <v>0</v>
      </c>
      <c r="AN1981" s="201">
        <f t="shared" si="10002"/>
        <v>0</v>
      </c>
      <c r="AO1981" s="201">
        <f t="shared" si="10002"/>
        <v>0</v>
      </c>
      <c r="AP1981" s="201">
        <f t="shared" si="10002"/>
        <v>0</v>
      </c>
      <c r="AQ1981" s="201">
        <f t="shared" si="10002"/>
        <v>0</v>
      </c>
      <c r="AR1981" s="200">
        <f t="shared" si="10002"/>
        <v>0</v>
      </c>
      <c r="AS1981" s="200">
        <f t="shared" si="10002"/>
        <v>0</v>
      </c>
      <c r="AT1981" s="173">
        <v>0.0</v>
      </c>
      <c r="AU1981" s="200">
        <f t="shared" ref="AU1981:AX1981" si="10003">countif($D1981,"*"&amp;AU$2&amp;"*")</f>
        <v>0</v>
      </c>
      <c r="AV1981" s="200">
        <f t="shared" si="10003"/>
        <v>1</v>
      </c>
      <c r="AW1981" s="200">
        <f t="shared" si="10003"/>
        <v>0</v>
      </c>
      <c r="AX1981" s="200">
        <f t="shared" si="10003"/>
        <v>0</v>
      </c>
      <c r="AY1981" s="202">
        <v>0.0</v>
      </c>
      <c r="AZ1981" s="200"/>
      <c r="BA1981" s="171" t="str">
        <f t="shared" si="18"/>
        <v/>
      </c>
      <c r="BB1981" s="171" t="str">
        <f t="shared" si="19"/>
        <v>Code</v>
      </c>
      <c r="BC1981" s="171" t="str">
        <f t="shared" si="20"/>
        <v/>
      </c>
      <c r="BD1981" s="171" t="str">
        <f t="shared" si="21"/>
        <v/>
      </c>
      <c r="BE1981" s="171" t="str">
        <f t="shared" si="22"/>
        <v/>
      </c>
      <c r="BF1981" s="171" t="str">
        <f t="shared" si="23"/>
        <v>Code</v>
      </c>
    </row>
    <row r="1982">
      <c r="A1982" s="171">
        <f t="array" ref="A1982">XLOOKUP(C1982,FSE!A:A,FSE!C:C,"XXXXX",0,1)</f>
        <v>2017</v>
      </c>
      <c r="B1982" s="213" t="s">
        <v>5676</v>
      </c>
      <c r="C1982" s="214">
        <v>604.0</v>
      </c>
      <c r="D1982" s="215" t="s">
        <v>4027</v>
      </c>
      <c r="E1982" s="197" t="str">
        <f t="array" ref="E1982">XLOOKUP(C1982,FSE!A:A,FSE!Z:Z,"XXXXX",0,1)</f>
        <v>Not Available (1)</v>
      </c>
      <c r="F1982" s="213" t="s">
        <v>3395</v>
      </c>
      <c r="G1982" s="163" t="str">
        <f t="array" ref="G1982">IF(B1982="ICSE",IF(COUNTIFS(B:B,B1982,C:C,C1982)=XLOOKUP(C1982,ICSE!A:A,ICSE!AA:AA,"ERROR",0,1),"OK","ERROR"),IF(B1982="FSE",IF(COUNTIFS(B:B,B1982,C:C,C1982)=XLOOKUP(C1982,FSE!A:A,FSE!AA:AA,"ERROR",0,1),"OK","ERROR")))</f>
        <v>OK</v>
      </c>
      <c r="H1982" s="199">
        <f t="shared" ref="H1982:O1982" si="10004">countif($D1982,"*"&amp;H$2&amp;"*")</f>
        <v>0</v>
      </c>
      <c r="I1982" s="200">
        <f t="shared" si="10004"/>
        <v>0</v>
      </c>
      <c r="J1982" s="200">
        <f t="shared" si="10004"/>
        <v>0</v>
      </c>
      <c r="K1982" s="200">
        <f t="shared" si="10004"/>
        <v>0</v>
      </c>
      <c r="L1982" s="200">
        <f t="shared" si="10004"/>
        <v>0</v>
      </c>
      <c r="M1982" s="200">
        <f t="shared" si="10004"/>
        <v>0</v>
      </c>
      <c r="N1982" s="200">
        <f t="shared" si="10004"/>
        <v>0</v>
      </c>
      <c r="O1982" s="200">
        <f t="shared" si="10004"/>
        <v>0</v>
      </c>
      <c r="P1982" s="200">
        <f t="shared" si="9"/>
        <v>0</v>
      </c>
      <c r="Q1982" s="200">
        <f t="shared" ref="Q1982:AC1982" si="10005">countif($D1982,"*"&amp;Q$2&amp;"*")</f>
        <v>0</v>
      </c>
      <c r="R1982" s="200">
        <f t="shared" si="10005"/>
        <v>0</v>
      </c>
      <c r="S1982" s="200">
        <f t="shared" si="10005"/>
        <v>0</v>
      </c>
      <c r="T1982" s="200">
        <f t="shared" si="10005"/>
        <v>0</v>
      </c>
      <c r="U1982" s="200">
        <f t="shared" si="10005"/>
        <v>0</v>
      </c>
      <c r="V1982" s="200">
        <f t="shared" si="10005"/>
        <v>0</v>
      </c>
      <c r="W1982" s="200">
        <f t="shared" si="10005"/>
        <v>0</v>
      </c>
      <c r="X1982" s="200">
        <f t="shared" si="10005"/>
        <v>0</v>
      </c>
      <c r="Y1982" s="200">
        <f t="shared" si="10005"/>
        <v>0</v>
      </c>
      <c r="Z1982" s="200">
        <f t="shared" si="10005"/>
        <v>0</v>
      </c>
      <c r="AA1982" s="200">
        <f t="shared" si="10005"/>
        <v>0</v>
      </c>
      <c r="AB1982" s="200">
        <f t="shared" si="10005"/>
        <v>0</v>
      </c>
      <c r="AC1982" s="200">
        <f t="shared" si="10005"/>
        <v>0</v>
      </c>
      <c r="AD1982" s="200">
        <f t="shared" si="11"/>
        <v>1</v>
      </c>
      <c r="AE1982" s="200">
        <f t="shared" ref="AE1982:AG1982" si="10006">countif($D1982,"*"&amp;AE$2&amp;"*")</f>
        <v>0</v>
      </c>
      <c r="AF1982" s="200">
        <f t="shared" si="10006"/>
        <v>0</v>
      </c>
      <c r="AG1982" s="200">
        <f t="shared" si="10006"/>
        <v>0</v>
      </c>
      <c r="AH1982" s="171">
        <f t="shared" si="13"/>
        <v>0</v>
      </c>
      <c r="AI1982" s="200">
        <f t="shared" si="14"/>
        <v>0</v>
      </c>
      <c r="AJ1982" s="200">
        <f t="shared" si="9976"/>
        <v>0</v>
      </c>
      <c r="AK1982" s="201">
        <f t="shared" ref="AK1982:AS1982" si="10007">countif($D1982,"*"&amp;AK$2&amp;"*")</f>
        <v>0</v>
      </c>
      <c r="AL1982" s="201">
        <f t="shared" si="10007"/>
        <v>0</v>
      </c>
      <c r="AM1982" s="201">
        <f t="shared" si="10007"/>
        <v>0</v>
      </c>
      <c r="AN1982" s="201">
        <f t="shared" si="10007"/>
        <v>0</v>
      </c>
      <c r="AO1982" s="201">
        <f t="shared" si="10007"/>
        <v>0</v>
      </c>
      <c r="AP1982" s="201">
        <f t="shared" si="10007"/>
        <v>0</v>
      </c>
      <c r="AQ1982" s="201">
        <f t="shared" si="10007"/>
        <v>0</v>
      </c>
      <c r="AR1982" s="200">
        <f t="shared" si="10007"/>
        <v>0</v>
      </c>
      <c r="AS1982" s="200">
        <f t="shared" si="10007"/>
        <v>0</v>
      </c>
      <c r="AT1982" s="173">
        <v>1.0</v>
      </c>
      <c r="AU1982" s="200">
        <f t="shared" ref="AU1982:AX1982" si="10008">countif($D1982,"*"&amp;AU$2&amp;"*")</f>
        <v>0</v>
      </c>
      <c r="AV1982" s="200">
        <f t="shared" si="10008"/>
        <v>0</v>
      </c>
      <c r="AW1982" s="200">
        <f t="shared" si="10008"/>
        <v>0</v>
      </c>
      <c r="AX1982" s="200">
        <f t="shared" si="10008"/>
        <v>0</v>
      </c>
      <c r="AY1982" s="202">
        <v>0.0</v>
      </c>
      <c r="AZ1982" s="200"/>
      <c r="BA1982" s="171" t="str">
        <f t="shared" si="18"/>
        <v/>
      </c>
      <c r="BB1982" s="171" t="str">
        <f t="shared" si="19"/>
        <v/>
      </c>
      <c r="BC1982" s="171" t="str">
        <f t="shared" si="20"/>
        <v/>
      </c>
      <c r="BD1982" s="171" t="str">
        <f t="shared" si="21"/>
        <v>Institutional</v>
      </c>
      <c r="BE1982" s="171" t="str">
        <f t="shared" si="22"/>
        <v/>
      </c>
      <c r="BF1982" s="171" t="str">
        <f t="shared" si="23"/>
        <v>Institutional</v>
      </c>
    </row>
    <row r="1983">
      <c r="A1983" s="171">
        <f t="array" ref="A1983">XLOOKUP(C1983,FSE!A:A,FSE!C:C,"XXXXX",0,1)</f>
        <v>2017</v>
      </c>
      <c r="B1983" s="213" t="s">
        <v>5676</v>
      </c>
      <c r="C1983" s="214">
        <v>605.0</v>
      </c>
      <c r="D1983" s="215" t="s">
        <v>4030</v>
      </c>
      <c r="E1983" s="197" t="str">
        <f t="array" ref="E1983">XLOOKUP(C1983,FSE!A:A,FSE!Z:Z,"XXXXX",0,1)</f>
        <v>Publicly Available (1)</v>
      </c>
      <c r="F1983" s="213" t="s">
        <v>3394</v>
      </c>
      <c r="G1983" s="163" t="str">
        <f t="array" ref="G1983">IF(B1983="ICSE",IF(COUNTIFS(B:B,B1983,C:C,C1983)=XLOOKUP(C1983,ICSE!A:A,ICSE!AA:AA,"ERROR",0,1),"OK","ERROR"),IF(B1983="FSE",IF(COUNTIFS(B:B,B1983,C:C,C1983)=XLOOKUP(C1983,FSE!A:A,FSE!AA:AA,"ERROR",0,1),"OK","ERROR")))</f>
        <v>OK</v>
      </c>
      <c r="H1983" s="199">
        <f t="shared" ref="H1983:O1983" si="10009">countif($D1983,"*"&amp;H$2&amp;"*")</f>
        <v>0</v>
      </c>
      <c r="I1983" s="200">
        <f t="shared" si="10009"/>
        <v>0</v>
      </c>
      <c r="J1983" s="200">
        <f t="shared" si="10009"/>
        <v>0</v>
      </c>
      <c r="K1983" s="200">
        <f t="shared" si="10009"/>
        <v>0</v>
      </c>
      <c r="L1983" s="200">
        <f t="shared" si="10009"/>
        <v>0</v>
      </c>
      <c r="M1983" s="200">
        <f t="shared" si="10009"/>
        <v>0</v>
      </c>
      <c r="N1983" s="200">
        <f t="shared" si="10009"/>
        <v>0</v>
      </c>
      <c r="O1983" s="200">
        <f t="shared" si="10009"/>
        <v>0</v>
      </c>
      <c r="P1983" s="200">
        <f t="shared" si="9"/>
        <v>1</v>
      </c>
      <c r="Q1983" s="200">
        <f t="shared" ref="Q1983:AC1983" si="10010">countif($D1983,"*"&amp;Q$2&amp;"*")</f>
        <v>0</v>
      </c>
      <c r="R1983" s="200">
        <f t="shared" si="10010"/>
        <v>0</v>
      </c>
      <c r="S1983" s="200">
        <f t="shared" si="10010"/>
        <v>0</v>
      </c>
      <c r="T1983" s="200">
        <f t="shared" si="10010"/>
        <v>0</v>
      </c>
      <c r="U1983" s="200">
        <f t="shared" si="10010"/>
        <v>0</v>
      </c>
      <c r="V1983" s="200">
        <f t="shared" si="10010"/>
        <v>0</v>
      </c>
      <c r="W1983" s="200">
        <f t="shared" si="10010"/>
        <v>0</v>
      </c>
      <c r="X1983" s="200">
        <f t="shared" si="10010"/>
        <v>0</v>
      </c>
      <c r="Y1983" s="200">
        <f t="shared" si="10010"/>
        <v>0</v>
      </c>
      <c r="Z1983" s="200">
        <f t="shared" si="10010"/>
        <v>0</v>
      </c>
      <c r="AA1983" s="200">
        <f t="shared" si="10010"/>
        <v>0</v>
      </c>
      <c r="AB1983" s="200">
        <f t="shared" si="10010"/>
        <v>0</v>
      </c>
      <c r="AC1983" s="200">
        <f t="shared" si="10010"/>
        <v>0</v>
      </c>
      <c r="AD1983" s="200">
        <f t="shared" si="11"/>
        <v>0</v>
      </c>
      <c r="AE1983" s="200">
        <f t="shared" ref="AE1983:AG1983" si="10011">countif($D1983,"*"&amp;AE$2&amp;"*")</f>
        <v>0</v>
      </c>
      <c r="AF1983" s="200">
        <f t="shared" si="10011"/>
        <v>0</v>
      </c>
      <c r="AG1983" s="200">
        <f t="shared" si="10011"/>
        <v>0</v>
      </c>
      <c r="AH1983" s="171">
        <f t="shared" si="13"/>
        <v>0</v>
      </c>
      <c r="AI1983" s="200">
        <f t="shared" si="14"/>
        <v>0</v>
      </c>
      <c r="AJ1983" s="200">
        <f t="shared" si="9976"/>
        <v>0</v>
      </c>
      <c r="AK1983" s="201">
        <f t="shared" ref="AK1983:AS1983" si="10012">countif($D1983,"*"&amp;AK$2&amp;"*")</f>
        <v>0</v>
      </c>
      <c r="AL1983" s="201">
        <f t="shared" si="10012"/>
        <v>0</v>
      </c>
      <c r="AM1983" s="201">
        <f t="shared" si="10012"/>
        <v>0</v>
      </c>
      <c r="AN1983" s="201">
        <f t="shared" si="10012"/>
        <v>0</v>
      </c>
      <c r="AO1983" s="201">
        <f t="shared" si="10012"/>
        <v>0</v>
      </c>
      <c r="AP1983" s="201">
        <f t="shared" si="10012"/>
        <v>0</v>
      </c>
      <c r="AQ1983" s="201">
        <f t="shared" si="10012"/>
        <v>0</v>
      </c>
      <c r="AR1983" s="200">
        <f t="shared" si="10012"/>
        <v>0</v>
      </c>
      <c r="AS1983" s="200">
        <f t="shared" si="10012"/>
        <v>0</v>
      </c>
      <c r="AT1983" s="173">
        <v>0.0</v>
      </c>
      <c r="AU1983" s="200">
        <f t="shared" ref="AU1983:AX1983" si="10013">countif($D1983,"*"&amp;AU$2&amp;"*")</f>
        <v>0</v>
      </c>
      <c r="AV1983" s="200">
        <f t="shared" si="10013"/>
        <v>1</v>
      </c>
      <c r="AW1983" s="200">
        <f t="shared" si="10013"/>
        <v>0</v>
      </c>
      <c r="AX1983" s="200">
        <f t="shared" si="10013"/>
        <v>0</v>
      </c>
      <c r="AY1983" s="202">
        <v>0.0</v>
      </c>
      <c r="AZ1983" s="200"/>
      <c r="BA1983" s="171" t="str">
        <f t="shared" si="18"/>
        <v/>
      </c>
      <c r="BB1983" s="171" t="str">
        <f t="shared" si="19"/>
        <v>Code</v>
      </c>
      <c r="BC1983" s="171" t="str">
        <f t="shared" si="20"/>
        <v/>
      </c>
      <c r="BD1983" s="171" t="str">
        <f t="shared" si="21"/>
        <v/>
      </c>
      <c r="BE1983" s="171" t="str">
        <f t="shared" si="22"/>
        <v/>
      </c>
      <c r="BF1983" s="171" t="str">
        <f t="shared" si="23"/>
        <v>Code</v>
      </c>
    </row>
    <row r="1984">
      <c r="A1984" s="171">
        <f t="array" ref="A1984">XLOOKUP(C1984,FSE!A:A,FSE!C:C,"XXXXX",0,1)</f>
        <v>2017</v>
      </c>
      <c r="B1984" s="213" t="s">
        <v>5676</v>
      </c>
      <c r="C1984" s="219">
        <v>606.0</v>
      </c>
      <c r="D1984" s="217" t="s">
        <v>6529</v>
      </c>
      <c r="E1984" s="197" t="str">
        <f t="array" ref="E1984">XLOOKUP(C1984,FSE!A:A,FSE!Z:Z,"XXXXX",0,1)</f>
        <v>Publicly Available (1)</v>
      </c>
      <c r="F1984" s="213" t="s">
        <v>3394</v>
      </c>
      <c r="G1984" s="163" t="str">
        <f t="array" ref="G1984">IF(B1984="ICSE",IF(COUNTIFS(B:B,B1984,C:C,C1984)=XLOOKUP(C1984,ICSE!A:A,ICSE!AA:AA,"ERROR",0,1),"OK","ERROR"),IF(B1984="FSE",IF(COUNTIFS(B:B,B1984,C:C,C1984)=XLOOKUP(C1984,FSE!A:A,FSE!AA:AA,"ERROR",0,1),"OK","ERROR")))</f>
        <v>OK</v>
      </c>
      <c r="H1984" s="199">
        <f t="shared" ref="H1984:O1984" si="10014">countif($D1984,"*"&amp;H$2&amp;"*")</f>
        <v>0</v>
      </c>
      <c r="I1984" s="200">
        <f t="shared" si="10014"/>
        <v>0</v>
      </c>
      <c r="J1984" s="200">
        <f t="shared" si="10014"/>
        <v>0</v>
      </c>
      <c r="K1984" s="200">
        <f t="shared" si="10014"/>
        <v>0</v>
      </c>
      <c r="L1984" s="200">
        <f t="shared" si="10014"/>
        <v>0</v>
      </c>
      <c r="M1984" s="200">
        <f t="shared" si="10014"/>
        <v>0</v>
      </c>
      <c r="N1984" s="200">
        <f t="shared" si="10014"/>
        <v>0</v>
      </c>
      <c r="O1984" s="200">
        <f t="shared" si="10014"/>
        <v>0</v>
      </c>
      <c r="P1984" s="200">
        <f t="shared" si="9"/>
        <v>0</v>
      </c>
      <c r="Q1984" s="200">
        <f t="shared" ref="Q1984:AC1984" si="10015">countif($D1984,"*"&amp;Q$2&amp;"*")</f>
        <v>0</v>
      </c>
      <c r="R1984" s="200">
        <f t="shared" si="10015"/>
        <v>0</v>
      </c>
      <c r="S1984" s="200">
        <f t="shared" si="10015"/>
        <v>0</v>
      </c>
      <c r="T1984" s="200">
        <f t="shared" si="10015"/>
        <v>0</v>
      </c>
      <c r="U1984" s="200">
        <f t="shared" si="10015"/>
        <v>0</v>
      </c>
      <c r="V1984" s="200">
        <f t="shared" si="10015"/>
        <v>0</v>
      </c>
      <c r="W1984" s="200">
        <f t="shared" si="10015"/>
        <v>0</v>
      </c>
      <c r="X1984" s="200">
        <f t="shared" si="10015"/>
        <v>0</v>
      </c>
      <c r="Y1984" s="200">
        <f t="shared" si="10015"/>
        <v>0</v>
      </c>
      <c r="Z1984" s="200">
        <f t="shared" si="10015"/>
        <v>0</v>
      </c>
      <c r="AA1984" s="200">
        <f t="shared" si="10015"/>
        <v>0</v>
      </c>
      <c r="AB1984" s="200">
        <f t="shared" si="10015"/>
        <v>0</v>
      </c>
      <c r="AC1984" s="200">
        <f t="shared" si="10015"/>
        <v>0</v>
      </c>
      <c r="AD1984" s="200">
        <f t="shared" si="11"/>
        <v>1</v>
      </c>
      <c r="AE1984" s="200">
        <f t="shared" ref="AE1984:AG1984" si="10016">countif($D1984,"*"&amp;AE$2&amp;"*")</f>
        <v>0</v>
      </c>
      <c r="AF1984" s="200">
        <f t="shared" si="10016"/>
        <v>0</v>
      </c>
      <c r="AG1984" s="200">
        <f t="shared" si="10016"/>
        <v>0</v>
      </c>
      <c r="AH1984" s="171">
        <f t="shared" si="13"/>
        <v>0</v>
      </c>
      <c r="AI1984" s="200">
        <f t="shared" si="14"/>
        <v>1</v>
      </c>
      <c r="AJ1984" s="200">
        <f t="shared" si="9976"/>
        <v>0</v>
      </c>
      <c r="AK1984" s="201">
        <f t="shared" ref="AK1984:AS1984" si="10017">countif($D1984,"*"&amp;AK$2&amp;"*")</f>
        <v>0</v>
      </c>
      <c r="AL1984" s="201">
        <f t="shared" si="10017"/>
        <v>0</v>
      </c>
      <c r="AM1984" s="201">
        <f t="shared" si="10017"/>
        <v>0</v>
      </c>
      <c r="AN1984" s="201">
        <f t="shared" si="10017"/>
        <v>0</v>
      </c>
      <c r="AO1984" s="201">
        <f t="shared" si="10017"/>
        <v>0</v>
      </c>
      <c r="AP1984" s="201">
        <f t="shared" si="10017"/>
        <v>0</v>
      </c>
      <c r="AQ1984" s="201">
        <f t="shared" si="10017"/>
        <v>0</v>
      </c>
      <c r="AR1984" s="200">
        <f t="shared" si="10017"/>
        <v>0</v>
      </c>
      <c r="AS1984" s="200">
        <f t="shared" si="10017"/>
        <v>1</v>
      </c>
      <c r="AT1984" s="173">
        <v>1.0</v>
      </c>
      <c r="AU1984" s="200">
        <f t="shared" ref="AU1984:AX1984" si="10018">countif($D1984,"*"&amp;AU$2&amp;"*")</f>
        <v>0</v>
      </c>
      <c r="AV1984" s="200">
        <f t="shared" si="10018"/>
        <v>0</v>
      </c>
      <c r="AW1984" s="200">
        <f t="shared" si="10018"/>
        <v>0</v>
      </c>
      <c r="AX1984" s="200">
        <f t="shared" si="10018"/>
        <v>1</v>
      </c>
      <c r="AY1984" s="202">
        <v>0.0</v>
      </c>
      <c r="AZ1984" s="200"/>
      <c r="BA1984" s="171" t="str">
        <f t="shared" si="18"/>
        <v/>
      </c>
      <c r="BB1984" s="171" t="str">
        <f t="shared" si="19"/>
        <v/>
      </c>
      <c r="BC1984" s="171" t="str">
        <f t="shared" si="20"/>
        <v/>
      </c>
      <c r="BD1984" s="171" t="str">
        <f t="shared" si="21"/>
        <v>Institutional</v>
      </c>
      <c r="BE1984" s="171" t="str">
        <f t="shared" si="22"/>
        <v/>
      </c>
      <c r="BF1984" s="171" t="str">
        <f t="shared" si="23"/>
        <v>Institutional</v>
      </c>
    </row>
    <row r="1985">
      <c r="A1985" s="171">
        <f t="array" ref="A1985">XLOOKUP(C1985,FSE!A:A,FSE!C:C,"XXXXX",0,1)</f>
        <v>2017</v>
      </c>
      <c r="B1985" s="213" t="s">
        <v>5676</v>
      </c>
      <c r="C1985" s="219">
        <v>607.0</v>
      </c>
      <c r="D1985" s="217" t="s">
        <v>6530</v>
      </c>
      <c r="E1985" s="197" t="str">
        <f t="array" ref="E1985">XLOOKUP(C1985,FSE!A:A,FSE!Z:Z,"XXXXX",0,1)</f>
        <v>Publicly Available (2)</v>
      </c>
      <c r="F1985" s="213" t="s">
        <v>3394</v>
      </c>
      <c r="G1985" s="163" t="str">
        <f t="array" ref="G1985">IF(B1985="ICSE",IF(COUNTIFS(B:B,B1985,C:C,C1985)=XLOOKUP(C1985,ICSE!A:A,ICSE!AA:AA,"ERROR",0,1),"OK","ERROR"),IF(B1985="FSE",IF(COUNTIFS(B:B,B1985,C:C,C1985)=XLOOKUP(C1985,FSE!A:A,FSE!AA:AA,"ERROR",0,1),"OK","ERROR")))</f>
        <v>OK</v>
      </c>
      <c r="H1985" s="199">
        <f t="shared" ref="H1985:O1985" si="10019">countif($D1985,"*"&amp;H$2&amp;"*")</f>
        <v>0</v>
      </c>
      <c r="I1985" s="200">
        <f t="shared" si="10019"/>
        <v>0</v>
      </c>
      <c r="J1985" s="200">
        <f t="shared" si="10019"/>
        <v>0</v>
      </c>
      <c r="K1985" s="200">
        <f t="shared" si="10019"/>
        <v>0</v>
      </c>
      <c r="L1985" s="200">
        <f t="shared" si="10019"/>
        <v>0</v>
      </c>
      <c r="M1985" s="200">
        <f t="shared" si="10019"/>
        <v>0</v>
      </c>
      <c r="N1985" s="200">
        <f t="shared" si="10019"/>
        <v>0</v>
      </c>
      <c r="O1985" s="200">
        <f t="shared" si="10019"/>
        <v>0</v>
      </c>
      <c r="P1985" s="200">
        <f t="shared" si="9"/>
        <v>1</v>
      </c>
      <c r="Q1985" s="200">
        <f t="shared" ref="Q1985:AC1985" si="10020">countif($D1985,"*"&amp;Q$2&amp;"*")</f>
        <v>0</v>
      </c>
      <c r="R1985" s="200">
        <f t="shared" si="10020"/>
        <v>0</v>
      </c>
      <c r="S1985" s="200">
        <f t="shared" si="10020"/>
        <v>0</v>
      </c>
      <c r="T1985" s="200">
        <f t="shared" si="10020"/>
        <v>0</v>
      </c>
      <c r="U1985" s="200">
        <f t="shared" si="10020"/>
        <v>0</v>
      </c>
      <c r="V1985" s="200">
        <f t="shared" si="10020"/>
        <v>0</v>
      </c>
      <c r="W1985" s="200">
        <f t="shared" si="10020"/>
        <v>0</v>
      </c>
      <c r="X1985" s="200">
        <f t="shared" si="10020"/>
        <v>0</v>
      </c>
      <c r="Y1985" s="200">
        <f t="shared" si="10020"/>
        <v>0</v>
      </c>
      <c r="Z1985" s="200">
        <f t="shared" si="10020"/>
        <v>0</v>
      </c>
      <c r="AA1985" s="200">
        <f t="shared" si="10020"/>
        <v>0</v>
      </c>
      <c r="AB1985" s="200">
        <f t="shared" si="10020"/>
        <v>0</v>
      </c>
      <c r="AC1985" s="200">
        <f t="shared" si="10020"/>
        <v>0</v>
      </c>
      <c r="AD1985" s="200">
        <f t="shared" si="11"/>
        <v>0</v>
      </c>
      <c r="AE1985" s="200">
        <f t="shared" ref="AE1985:AG1985" si="10021">countif($D1985,"*"&amp;AE$2&amp;"*")</f>
        <v>0</v>
      </c>
      <c r="AF1985" s="200">
        <f t="shared" si="10021"/>
        <v>0</v>
      </c>
      <c r="AG1985" s="200">
        <f t="shared" si="10021"/>
        <v>0</v>
      </c>
      <c r="AH1985" s="171">
        <f t="shared" si="13"/>
        <v>0</v>
      </c>
      <c r="AI1985" s="200">
        <f t="shared" si="14"/>
        <v>0</v>
      </c>
      <c r="AJ1985" s="200">
        <f t="shared" si="9976"/>
        <v>0</v>
      </c>
      <c r="AK1985" s="201">
        <f t="shared" ref="AK1985:AS1985" si="10022">countif($D1985,"*"&amp;AK$2&amp;"*")</f>
        <v>0</v>
      </c>
      <c r="AL1985" s="201">
        <f t="shared" si="10022"/>
        <v>0</v>
      </c>
      <c r="AM1985" s="201">
        <f t="shared" si="10022"/>
        <v>0</v>
      </c>
      <c r="AN1985" s="201">
        <f t="shared" si="10022"/>
        <v>0</v>
      </c>
      <c r="AO1985" s="201">
        <f t="shared" si="10022"/>
        <v>0</v>
      </c>
      <c r="AP1985" s="201">
        <f t="shared" si="10022"/>
        <v>0</v>
      </c>
      <c r="AQ1985" s="201">
        <f t="shared" si="10022"/>
        <v>0</v>
      </c>
      <c r="AR1985" s="200">
        <f t="shared" si="10022"/>
        <v>0</v>
      </c>
      <c r="AS1985" s="200">
        <f t="shared" si="10022"/>
        <v>0</v>
      </c>
      <c r="AT1985" s="173">
        <v>0.0</v>
      </c>
      <c r="AU1985" s="200">
        <f t="shared" ref="AU1985:AX1985" si="10023">countif($D1985,"*"&amp;AU$2&amp;"*")</f>
        <v>0</v>
      </c>
      <c r="AV1985" s="200">
        <f t="shared" si="10023"/>
        <v>1</v>
      </c>
      <c r="AW1985" s="200">
        <f t="shared" si="10023"/>
        <v>0</v>
      </c>
      <c r="AX1985" s="200">
        <f t="shared" si="10023"/>
        <v>0</v>
      </c>
      <c r="AY1985" s="202">
        <v>0.0</v>
      </c>
      <c r="AZ1985" s="200"/>
      <c r="BA1985" s="171" t="str">
        <f t="shared" si="18"/>
        <v/>
      </c>
      <c r="BB1985" s="171" t="str">
        <f t="shared" si="19"/>
        <v>Code</v>
      </c>
      <c r="BC1985" s="171" t="str">
        <f t="shared" si="20"/>
        <v/>
      </c>
      <c r="BD1985" s="171" t="str">
        <f t="shared" si="21"/>
        <v/>
      </c>
      <c r="BE1985" s="171" t="str">
        <f t="shared" si="22"/>
        <v/>
      </c>
      <c r="BF1985" s="171" t="str">
        <f t="shared" si="23"/>
        <v>Code</v>
      </c>
    </row>
    <row r="1986">
      <c r="A1986" s="171">
        <f t="array" ref="A1986">XLOOKUP(C1986,FSE!A:A,FSE!C:C,"XXXXX",0,1)</f>
        <v>2017</v>
      </c>
      <c r="B1986" s="213" t="s">
        <v>5676</v>
      </c>
      <c r="C1986" s="214">
        <v>607.0</v>
      </c>
      <c r="D1986" s="215" t="s">
        <v>6531</v>
      </c>
      <c r="E1986" s="197" t="str">
        <f t="array" ref="E1986">XLOOKUP(C1986,FSE!A:A,FSE!Z:Z,"XXXXX",0,1)</f>
        <v>Publicly Available (2)</v>
      </c>
      <c r="F1986" s="213" t="s">
        <v>3394</v>
      </c>
      <c r="G1986" s="163" t="str">
        <f t="array" ref="G1986">IF(B1986="ICSE",IF(COUNTIFS(B:B,B1986,C:C,C1986)=XLOOKUP(C1986,ICSE!A:A,ICSE!AA:AA,"ERROR",0,1),"OK","ERROR"),IF(B1986="FSE",IF(COUNTIFS(B:B,B1986,C:C,C1986)=XLOOKUP(C1986,FSE!A:A,FSE!AA:AA,"ERROR",0,1),"OK","ERROR")))</f>
        <v>OK</v>
      </c>
      <c r="H1986" s="199">
        <f t="shared" ref="H1986:O1986" si="10024">countif($D1986,"*"&amp;H$2&amp;"*")</f>
        <v>0</v>
      </c>
      <c r="I1986" s="200">
        <f t="shared" si="10024"/>
        <v>0</v>
      </c>
      <c r="J1986" s="200">
        <f t="shared" si="10024"/>
        <v>0</v>
      </c>
      <c r="K1986" s="200">
        <f t="shared" si="10024"/>
        <v>0</v>
      </c>
      <c r="L1986" s="200">
        <f t="shared" si="10024"/>
        <v>0</v>
      </c>
      <c r="M1986" s="200">
        <f t="shared" si="10024"/>
        <v>0</v>
      </c>
      <c r="N1986" s="200">
        <f t="shared" si="10024"/>
        <v>0</v>
      </c>
      <c r="O1986" s="200">
        <f t="shared" si="10024"/>
        <v>0</v>
      </c>
      <c r="P1986" s="200">
        <f t="shared" si="9"/>
        <v>1</v>
      </c>
      <c r="Q1986" s="200">
        <f t="shared" ref="Q1986:AC1986" si="10025">countif($D1986,"*"&amp;Q$2&amp;"*")</f>
        <v>0</v>
      </c>
      <c r="R1986" s="200">
        <f t="shared" si="10025"/>
        <v>0</v>
      </c>
      <c r="S1986" s="200">
        <f t="shared" si="10025"/>
        <v>0</v>
      </c>
      <c r="T1986" s="200">
        <f t="shared" si="10025"/>
        <v>0</v>
      </c>
      <c r="U1986" s="200">
        <f t="shared" si="10025"/>
        <v>0</v>
      </c>
      <c r="V1986" s="200">
        <f t="shared" si="10025"/>
        <v>0</v>
      </c>
      <c r="W1986" s="200">
        <f t="shared" si="10025"/>
        <v>0</v>
      </c>
      <c r="X1986" s="200">
        <f t="shared" si="10025"/>
        <v>0</v>
      </c>
      <c r="Y1986" s="200">
        <f t="shared" si="10025"/>
        <v>0</v>
      </c>
      <c r="Z1986" s="200">
        <f t="shared" si="10025"/>
        <v>0</v>
      </c>
      <c r="AA1986" s="200">
        <f t="shared" si="10025"/>
        <v>0</v>
      </c>
      <c r="AB1986" s="200">
        <f t="shared" si="10025"/>
        <v>0</v>
      </c>
      <c r="AC1986" s="200">
        <f t="shared" si="10025"/>
        <v>0</v>
      </c>
      <c r="AD1986" s="200">
        <f t="shared" si="11"/>
        <v>0</v>
      </c>
      <c r="AE1986" s="200">
        <f t="shared" ref="AE1986:AG1986" si="10026">countif($D1986,"*"&amp;AE$2&amp;"*")</f>
        <v>0</v>
      </c>
      <c r="AF1986" s="200">
        <f t="shared" si="10026"/>
        <v>0</v>
      </c>
      <c r="AG1986" s="200">
        <f t="shared" si="10026"/>
        <v>0</v>
      </c>
      <c r="AH1986" s="171">
        <f t="shared" si="13"/>
        <v>0</v>
      </c>
      <c r="AI1986" s="200">
        <f t="shared" si="14"/>
        <v>0</v>
      </c>
      <c r="AJ1986" s="200">
        <f t="shared" si="9976"/>
        <v>0</v>
      </c>
      <c r="AK1986" s="201">
        <f t="shared" ref="AK1986:AS1986" si="10027">countif($D1986,"*"&amp;AK$2&amp;"*")</f>
        <v>0</v>
      </c>
      <c r="AL1986" s="201">
        <f t="shared" si="10027"/>
        <v>0</v>
      </c>
      <c r="AM1986" s="201">
        <f t="shared" si="10027"/>
        <v>0</v>
      </c>
      <c r="AN1986" s="201">
        <f t="shared" si="10027"/>
        <v>0</v>
      </c>
      <c r="AO1986" s="201">
        <f t="shared" si="10027"/>
        <v>0</v>
      </c>
      <c r="AP1986" s="201">
        <f t="shared" si="10027"/>
        <v>0</v>
      </c>
      <c r="AQ1986" s="201">
        <f t="shared" si="10027"/>
        <v>0</v>
      </c>
      <c r="AR1986" s="200">
        <f t="shared" si="10027"/>
        <v>0</v>
      </c>
      <c r="AS1986" s="200">
        <f t="shared" si="10027"/>
        <v>0</v>
      </c>
      <c r="AT1986" s="173">
        <v>0.0</v>
      </c>
      <c r="AU1986" s="200">
        <f t="shared" ref="AU1986:AX1986" si="10028">countif($D1986,"*"&amp;AU$2&amp;"*")</f>
        <v>0</v>
      </c>
      <c r="AV1986" s="200">
        <f t="shared" si="10028"/>
        <v>1</v>
      </c>
      <c r="AW1986" s="200">
        <f t="shared" si="10028"/>
        <v>0</v>
      </c>
      <c r="AX1986" s="200">
        <f t="shared" si="10028"/>
        <v>0</v>
      </c>
      <c r="AY1986" s="202">
        <v>0.0</v>
      </c>
      <c r="AZ1986" s="200"/>
      <c r="BA1986" s="171" t="str">
        <f t="shared" si="18"/>
        <v/>
      </c>
      <c r="BB1986" s="171" t="str">
        <f t="shared" si="19"/>
        <v>Code</v>
      </c>
      <c r="BC1986" s="171" t="str">
        <f t="shared" si="20"/>
        <v/>
      </c>
      <c r="BD1986" s="171" t="str">
        <f t="shared" si="21"/>
        <v/>
      </c>
      <c r="BE1986" s="171" t="str">
        <f t="shared" si="22"/>
        <v/>
      </c>
      <c r="BF1986" s="171" t="str">
        <f t="shared" si="23"/>
        <v>Code</v>
      </c>
    </row>
    <row r="1987">
      <c r="A1987" s="171">
        <f t="array" ref="A1987">XLOOKUP(C1987,FSE!A:A,FSE!C:C,"XXXXX",0,1)</f>
        <v>2017</v>
      </c>
      <c r="B1987" s="213" t="s">
        <v>5676</v>
      </c>
      <c r="C1987" s="214">
        <v>608.0</v>
      </c>
      <c r="D1987" s="215" t="s">
        <v>6532</v>
      </c>
      <c r="E1987" s="197" t="str">
        <f t="array" ref="E1987">XLOOKUP(C1987,FSE!A:A,FSE!Z:Z,"XXXXX",0,1)</f>
        <v>Not Available (1)
Restrict Access (1)</v>
      </c>
      <c r="F1987" s="213" t="s">
        <v>3395</v>
      </c>
      <c r="G1987" s="163" t="str">
        <f t="array" ref="G1987">IF(B1987="ICSE",IF(COUNTIFS(B:B,B1987,C:C,C1987)=XLOOKUP(C1987,ICSE!A:A,ICSE!AA:AA,"ERROR",0,1),"OK","ERROR"),IF(B1987="FSE",IF(COUNTIFS(B:B,B1987,C:C,C1987)=XLOOKUP(C1987,FSE!A:A,FSE!AA:AA,"ERROR",0,1),"OK","ERROR")))</f>
        <v>OK</v>
      </c>
      <c r="H1987" s="199">
        <f t="shared" ref="H1987:O1987" si="10029">countif($D1987,"*"&amp;H$2&amp;"*")</f>
        <v>0</v>
      </c>
      <c r="I1987" s="200">
        <f t="shared" si="10029"/>
        <v>0</v>
      </c>
      <c r="J1987" s="200">
        <f t="shared" si="10029"/>
        <v>0</v>
      </c>
      <c r="K1987" s="200">
        <f t="shared" si="10029"/>
        <v>0</v>
      </c>
      <c r="L1987" s="200">
        <f t="shared" si="10029"/>
        <v>0</v>
      </c>
      <c r="M1987" s="200">
        <f t="shared" si="10029"/>
        <v>0</v>
      </c>
      <c r="N1987" s="200">
        <f t="shared" si="10029"/>
        <v>0</v>
      </c>
      <c r="O1987" s="200">
        <f t="shared" si="10029"/>
        <v>0</v>
      </c>
      <c r="P1987" s="200">
        <f t="shared" si="9"/>
        <v>0</v>
      </c>
      <c r="Q1987" s="200">
        <f t="shared" ref="Q1987:AC1987" si="10030">countif($D1987,"*"&amp;Q$2&amp;"*")</f>
        <v>0</v>
      </c>
      <c r="R1987" s="200">
        <f t="shared" si="10030"/>
        <v>0</v>
      </c>
      <c r="S1987" s="200">
        <f t="shared" si="10030"/>
        <v>0</v>
      </c>
      <c r="T1987" s="200">
        <f t="shared" si="10030"/>
        <v>0</v>
      </c>
      <c r="U1987" s="200">
        <f t="shared" si="10030"/>
        <v>0</v>
      </c>
      <c r="V1987" s="200">
        <f t="shared" si="10030"/>
        <v>0</v>
      </c>
      <c r="W1987" s="200">
        <f t="shared" si="10030"/>
        <v>0</v>
      </c>
      <c r="X1987" s="200">
        <f t="shared" si="10030"/>
        <v>0</v>
      </c>
      <c r="Y1987" s="200">
        <f t="shared" si="10030"/>
        <v>0</v>
      </c>
      <c r="Z1987" s="200">
        <f t="shared" si="10030"/>
        <v>0</v>
      </c>
      <c r="AA1987" s="200">
        <f t="shared" si="10030"/>
        <v>0</v>
      </c>
      <c r="AB1987" s="200">
        <f t="shared" si="10030"/>
        <v>0</v>
      </c>
      <c r="AC1987" s="200">
        <f t="shared" si="10030"/>
        <v>0</v>
      </c>
      <c r="AD1987" s="200">
        <f t="shared" si="11"/>
        <v>1</v>
      </c>
      <c r="AE1987" s="200">
        <f t="shared" ref="AE1987:AG1987" si="10031">countif($D1987,"*"&amp;AE$2&amp;"*")</f>
        <v>0</v>
      </c>
      <c r="AF1987" s="200">
        <f t="shared" si="10031"/>
        <v>0</v>
      </c>
      <c r="AG1987" s="200">
        <f t="shared" si="10031"/>
        <v>0</v>
      </c>
      <c r="AH1987" s="171">
        <f t="shared" si="13"/>
        <v>0</v>
      </c>
      <c r="AI1987" s="200">
        <f t="shared" si="14"/>
        <v>0</v>
      </c>
      <c r="AJ1987" s="200">
        <f t="shared" si="9976"/>
        <v>0</v>
      </c>
      <c r="AK1987" s="201">
        <f t="shared" ref="AK1987:AS1987" si="10032">countif($D1987,"*"&amp;AK$2&amp;"*")</f>
        <v>0</v>
      </c>
      <c r="AL1987" s="201">
        <f t="shared" si="10032"/>
        <v>0</v>
      </c>
      <c r="AM1987" s="201">
        <f t="shared" si="10032"/>
        <v>0</v>
      </c>
      <c r="AN1987" s="201">
        <f t="shared" si="10032"/>
        <v>0</v>
      </c>
      <c r="AO1987" s="201">
        <f t="shared" si="10032"/>
        <v>0</v>
      </c>
      <c r="AP1987" s="201">
        <f t="shared" si="10032"/>
        <v>0</v>
      </c>
      <c r="AQ1987" s="201">
        <f t="shared" si="10032"/>
        <v>0</v>
      </c>
      <c r="AR1987" s="200">
        <f t="shared" si="10032"/>
        <v>0</v>
      </c>
      <c r="AS1987" s="200">
        <f t="shared" si="10032"/>
        <v>0</v>
      </c>
      <c r="AT1987" s="173">
        <v>1.0</v>
      </c>
      <c r="AU1987" s="200">
        <f t="shared" ref="AU1987:AX1987" si="10033">countif($D1987,"*"&amp;AU$2&amp;"*")</f>
        <v>0</v>
      </c>
      <c r="AV1987" s="200">
        <f t="shared" si="10033"/>
        <v>0</v>
      </c>
      <c r="AW1987" s="200">
        <f t="shared" si="10033"/>
        <v>0</v>
      </c>
      <c r="AX1987" s="200">
        <f t="shared" si="10033"/>
        <v>0</v>
      </c>
      <c r="AY1987" s="202">
        <v>0.0</v>
      </c>
      <c r="AZ1987" s="200"/>
      <c r="BA1987" s="171" t="str">
        <f t="shared" si="18"/>
        <v/>
      </c>
      <c r="BB1987" s="171" t="str">
        <f t="shared" si="19"/>
        <v/>
      </c>
      <c r="BC1987" s="171" t="str">
        <f t="shared" si="20"/>
        <v/>
      </c>
      <c r="BD1987" s="171" t="str">
        <f t="shared" si="21"/>
        <v>Institutional</v>
      </c>
      <c r="BE1987" s="171" t="str">
        <f t="shared" si="22"/>
        <v/>
      </c>
      <c r="BF1987" s="171" t="str">
        <f t="shared" si="23"/>
        <v>Institutional</v>
      </c>
    </row>
    <row r="1988">
      <c r="A1988" s="171">
        <f t="array" ref="A1988">XLOOKUP(C1988,FSE!A:A,FSE!C:C,"XXXXX",0,1)</f>
        <v>2017</v>
      </c>
      <c r="B1988" s="213" t="s">
        <v>5676</v>
      </c>
      <c r="C1988" s="214">
        <v>608.0</v>
      </c>
      <c r="D1988" s="215" t="s">
        <v>6533</v>
      </c>
      <c r="E1988" s="197" t="str">
        <f t="array" ref="E1988">XLOOKUP(C1988,FSE!A:A,FSE!Z:Z,"XXXXX",0,1)</f>
        <v>Not Available (1)
Restrict Access (1)</v>
      </c>
      <c r="F1988" s="213" t="s">
        <v>3396</v>
      </c>
      <c r="G1988" s="163" t="str">
        <f t="array" ref="G1988">IF(B1988="ICSE",IF(COUNTIFS(B:B,B1988,C:C,C1988)=XLOOKUP(C1988,ICSE!A:A,ICSE!AA:AA,"ERROR",0,1),"OK","ERROR"),IF(B1988="FSE",IF(COUNTIFS(B:B,B1988,C:C,C1988)=XLOOKUP(C1988,FSE!A:A,FSE!AA:AA,"ERROR",0,1),"OK","ERROR")))</f>
        <v>OK</v>
      </c>
      <c r="H1988" s="199">
        <f t="shared" ref="H1988:O1988" si="10034">countif($D1988,"*"&amp;H$2&amp;"*")</f>
        <v>0</v>
      </c>
      <c r="I1988" s="200">
        <f t="shared" si="10034"/>
        <v>0</v>
      </c>
      <c r="J1988" s="200">
        <f t="shared" si="10034"/>
        <v>0</v>
      </c>
      <c r="K1988" s="200">
        <f t="shared" si="10034"/>
        <v>0</v>
      </c>
      <c r="L1988" s="200">
        <f t="shared" si="10034"/>
        <v>0</v>
      </c>
      <c r="M1988" s="200">
        <f t="shared" si="10034"/>
        <v>0</v>
      </c>
      <c r="N1988" s="200">
        <f t="shared" si="10034"/>
        <v>0</v>
      </c>
      <c r="O1988" s="200">
        <f t="shared" si="10034"/>
        <v>0</v>
      </c>
      <c r="P1988" s="200">
        <f t="shared" si="9"/>
        <v>0</v>
      </c>
      <c r="Q1988" s="200">
        <f t="shared" ref="Q1988:AC1988" si="10035">countif($D1988,"*"&amp;Q$2&amp;"*")</f>
        <v>0</v>
      </c>
      <c r="R1988" s="200">
        <f t="shared" si="10035"/>
        <v>0</v>
      </c>
      <c r="S1988" s="200">
        <f t="shared" si="10035"/>
        <v>0</v>
      </c>
      <c r="T1988" s="200">
        <f t="shared" si="10035"/>
        <v>0</v>
      </c>
      <c r="U1988" s="200">
        <f t="shared" si="10035"/>
        <v>0</v>
      </c>
      <c r="V1988" s="200">
        <f t="shared" si="10035"/>
        <v>1</v>
      </c>
      <c r="W1988" s="200">
        <f t="shared" si="10035"/>
        <v>0</v>
      </c>
      <c r="X1988" s="200">
        <f t="shared" si="10035"/>
        <v>0</v>
      </c>
      <c r="Y1988" s="200">
        <f t="shared" si="10035"/>
        <v>0</v>
      </c>
      <c r="Z1988" s="200">
        <f t="shared" si="10035"/>
        <v>0</v>
      </c>
      <c r="AA1988" s="200">
        <f t="shared" si="10035"/>
        <v>0</v>
      </c>
      <c r="AB1988" s="200">
        <f t="shared" si="10035"/>
        <v>0</v>
      </c>
      <c r="AC1988" s="200">
        <f t="shared" si="10035"/>
        <v>0</v>
      </c>
      <c r="AD1988" s="200">
        <f t="shared" si="11"/>
        <v>0</v>
      </c>
      <c r="AE1988" s="200">
        <f t="shared" ref="AE1988:AG1988" si="10036">countif($D1988,"*"&amp;AE$2&amp;"*")</f>
        <v>0</v>
      </c>
      <c r="AF1988" s="200">
        <f t="shared" si="10036"/>
        <v>0</v>
      </c>
      <c r="AG1988" s="200">
        <f t="shared" si="10036"/>
        <v>0</v>
      </c>
      <c r="AH1988" s="171">
        <f t="shared" si="13"/>
        <v>0</v>
      </c>
      <c r="AI1988" s="200">
        <f t="shared" si="14"/>
        <v>0</v>
      </c>
      <c r="AJ1988" s="200">
        <f t="shared" si="9976"/>
        <v>0</v>
      </c>
      <c r="AK1988" s="201">
        <f t="shared" ref="AK1988:AS1988" si="10037">countif($D1988,"*"&amp;AK$2&amp;"*")</f>
        <v>0</v>
      </c>
      <c r="AL1988" s="201">
        <f t="shared" si="10037"/>
        <v>0</v>
      </c>
      <c r="AM1988" s="201">
        <f t="shared" si="10037"/>
        <v>0</v>
      </c>
      <c r="AN1988" s="201">
        <f t="shared" si="10037"/>
        <v>0</v>
      </c>
      <c r="AO1988" s="201">
        <f t="shared" si="10037"/>
        <v>0</v>
      </c>
      <c r="AP1988" s="201">
        <f t="shared" si="10037"/>
        <v>0</v>
      </c>
      <c r="AQ1988" s="201">
        <f t="shared" si="10037"/>
        <v>0</v>
      </c>
      <c r="AR1988" s="200">
        <f t="shared" si="10037"/>
        <v>0</v>
      </c>
      <c r="AS1988" s="200">
        <f t="shared" si="10037"/>
        <v>0</v>
      </c>
      <c r="AT1988" s="173">
        <v>0.0</v>
      </c>
      <c r="AU1988" s="200">
        <f t="shared" ref="AU1988:AX1988" si="10038">countif($D1988,"*"&amp;AU$2&amp;"*")</f>
        <v>0</v>
      </c>
      <c r="AV1988" s="200">
        <f t="shared" si="10038"/>
        <v>0</v>
      </c>
      <c r="AW1988" s="200">
        <f t="shared" si="10038"/>
        <v>0</v>
      </c>
      <c r="AX1988" s="200">
        <f t="shared" si="10038"/>
        <v>0</v>
      </c>
      <c r="AY1988" s="202">
        <v>0.0</v>
      </c>
      <c r="AZ1988" s="200"/>
      <c r="BA1988" s="171" t="str">
        <f t="shared" si="18"/>
        <v/>
      </c>
      <c r="BB1988" s="171" t="str">
        <f t="shared" si="19"/>
        <v/>
      </c>
      <c r="BC1988" s="171" t="str">
        <f t="shared" si="20"/>
        <v>General-purpose</v>
      </c>
      <c r="BD1988" s="171" t="str">
        <f t="shared" si="21"/>
        <v/>
      </c>
      <c r="BE1988" s="171" t="str">
        <f t="shared" si="22"/>
        <v/>
      </c>
      <c r="BF1988" s="171" t="str">
        <f t="shared" si="23"/>
        <v>General-purpose</v>
      </c>
    </row>
    <row r="1989">
      <c r="A1989" s="171">
        <f t="array" ref="A1989">XLOOKUP(C1989,FSE!A:A,FSE!C:C,"XXXXX",0,1)</f>
        <v>2017</v>
      </c>
      <c r="B1989" s="213" t="s">
        <v>5676</v>
      </c>
      <c r="C1989" s="214">
        <v>610.0</v>
      </c>
      <c r="D1989" s="215" t="s">
        <v>4044</v>
      </c>
      <c r="E1989" s="197" t="str">
        <f t="array" ref="E1989">XLOOKUP(C1989,FSE!A:A,FSE!Z:Z,"XXXXX",0,1)</f>
        <v>Publicly Available (1)</v>
      </c>
      <c r="F1989" s="213" t="s">
        <v>3394</v>
      </c>
      <c r="G1989" s="163" t="str">
        <f t="array" ref="G1989">IF(B1989="ICSE",IF(COUNTIFS(B:B,B1989,C:C,C1989)=XLOOKUP(C1989,ICSE!A:A,ICSE!AA:AA,"ERROR",0,1),"OK","ERROR"),IF(B1989="FSE",IF(COUNTIFS(B:B,B1989,C:C,C1989)=XLOOKUP(C1989,FSE!A:A,FSE!AA:AA,"ERROR",0,1),"OK","ERROR")))</f>
        <v>OK</v>
      </c>
      <c r="H1989" s="199">
        <f t="shared" ref="H1989:O1989" si="10039">countif($D1989,"*"&amp;H$2&amp;"*")</f>
        <v>0</v>
      </c>
      <c r="I1989" s="200">
        <f t="shared" si="10039"/>
        <v>0</v>
      </c>
      <c r="J1989" s="200">
        <f t="shared" si="10039"/>
        <v>0</v>
      </c>
      <c r="K1989" s="200">
        <f t="shared" si="10039"/>
        <v>0</v>
      </c>
      <c r="L1989" s="200">
        <f t="shared" si="10039"/>
        <v>0</v>
      </c>
      <c r="M1989" s="200">
        <f t="shared" si="10039"/>
        <v>0</v>
      </c>
      <c r="N1989" s="200">
        <f t="shared" si="10039"/>
        <v>0</v>
      </c>
      <c r="O1989" s="200">
        <f t="shared" si="10039"/>
        <v>0</v>
      </c>
      <c r="P1989" s="200">
        <f t="shared" si="9"/>
        <v>1</v>
      </c>
      <c r="Q1989" s="200">
        <f t="shared" ref="Q1989:AC1989" si="10040">countif($D1989,"*"&amp;Q$2&amp;"*")</f>
        <v>0</v>
      </c>
      <c r="R1989" s="200">
        <f t="shared" si="10040"/>
        <v>0</v>
      </c>
      <c r="S1989" s="200">
        <f t="shared" si="10040"/>
        <v>0</v>
      </c>
      <c r="T1989" s="200">
        <f t="shared" si="10040"/>
        <v>0</v>
      </c>
      <c r="U1989" s="200">
        <f t="shared" si="10040"/>
        <v>0</v>
      </c>
      <c r="V1989" s="200">
        <f t="shared" si="10040"/>
        <v>0</v>
      </c>
      <c r="W1989" s="200">
        <f t="shared" si="10040"/>
        <v>0</v>
      </c>
      <c r="X1989" s="200">
        <f t="shared" si="10040"/>
        <v>0</v>
      </c>
      <c r="Y1989" s="200">
        <f t="shared" si="10040"/>
        <v>0</v>
      </c>
      <c r="Z1989" s="200">
        <f t="shared" si="10040"/>
        <v>0</v>
      </c>
      <c r="AA1989" s="200">
        <f t="shared" si="10040"/>
        <v>0</v>
      </c>
      <c r="AB1989" s="200">
        <f t="shared" si="10040"/>
        <v>0</v>
      </c>
      <c r="AC1989" s="200">
        <f t="shared" si="10040"/>
        <v>0</v>
      </c>
      <c r="AD1989" s="200">
        <f t="shared" si="11"/>
        <v>0</v>
      </c>
      <c r="AE1989" s="200">
        <f t="shared" ref="AE1989:AG1989" si="10041">countif($D1989,"*"&amp;AE$2&amp;"*")</f>
        <v>0</v>
      </c>
      <c r="AF1989" s="200">
        <f t="shared" si="10041"/>
        <v>0</v>
      </c>
      <c r="AG1989" s="200">
        <f t="shared" si="10041"/>
        <v>0</v>
      </c>
      <c r="AH1989" s="171">
        <f t="shared" si="13"/>
        <v>0</v>
      </c>
      <c r="AI1989" s="200">
        <f t="shared" si="14"/>
        <v>0</v>
      </c>
      <c r="AJ1989" s="200">
        <f t="shared" si="9976"/>
        <v>0</v>
      </c>
      <c r="AK1989" s="201">
        <f t="shared" ref="AK1989:AS1989" si="10042">countif($D1989,"*"&amp;AK$2&amp;"*")</f>
        <v>0</v>
      </c>
      <c r="AL1989" s="201">
        <f t="shared" si="10042"/>
        <v>0</v>
      </c>
      <c r="AM1989" s="201">
        <f t="shared" si="10042"/>
        <v>0</v>
      </c>
      <c r="AN1989" s="201">
        <f t="shared" si="10042"/>
        <v>0</v>
      </c>
      <c r="AO1989" s="201">
        <f t="shared" si="10042"/>
        <v>0</v>
      </c>
      <c r="AP1989" s="201">
        <f t="shared" si="10042"/>
        <v>0</v>
      </c>
      <c r="AQ1989" s="201">
        <f t="shared" si="10042"/>
        <v>0</v>
      </c>
      <c r="AR1989" s="200">
        <f t="shared" si="10042"/>
        <v>0</v>
      </c>
      <c r="AS1989" s="200">
        <f t="shared" si="10042"/>
        <v>0</v>
      </c>
      <c r="AT1989" s="173">
        <v>0.0</v>
      </c>
      <c r="AU1989" s="200">
        <f t="shared" ref="AU1989:AX1989" si="10043">countif($D1989,"*"&amp;AU$2&amp;"*")</f>
        <v>0</v>
      </c>
      <c r="AV1989" s="200">
        <f t="shared" si="10043"/>
        <v>1</v>
      </c>
      <c r="AW1989" s="200">
        <f t="shared" si="10043"/>
        <v>0</v>
      </c>
      <c r="AX1989" s="200">
        <f t="shared" si="10043"/>
        <v>0</v>
      </c>
      <c r="AY1989" s="202">
        <v>0.0</v>
      </c>
      <c r="AZ1989" s="200"/>
      <c r="BA1989" s="171" t="str">
        <f t="shared" si="18"/>
        <v/>
      </c>
      <c r="BB1989" s="171" t="str">
        <f t="shared" si="19"/>
        <v>Code</v>
      </c>
      <c r="BC1989" s="171" t="str">
        <f t="shared" si="20"/>
        <v/>
      </c>
      <c r="BD1989" s="171" t="str">
        <f t="shared" si="21"/>
        <v/>
      </c>
      <c r="BE1989" s="171" t="str">
        <f t="shared" si="22"/>
        <v/>
      </c>
      <c r="BF1989" s="171" t="str">
        <f t="shared" si="23"/>
        <v>Code</v>
      </c>
    </row>
    <row r="1990">
      <c r="A1990" s="171">
        <f t="array" ref="A1990">XLOOKUP(C1990,FSE!A:A,FSE!C:C,"XXXXX",0,1)</f>
        <v>2017</v>
      </c>
      <c r="B1990" s="213" t="s">
        <v>5676</v>
      </c>
      <c r="C1990" s="214">
        <v>613.0</v>
      </c>
      <c r="D1990" s="215" t="s">
        <v>4049</v>
      </c>
      <c r="E1990" s="197" t="str">
        <f t="array" ref="E1990">XLOOKUP(C1990,FSE!A:A,FSE!Z:Z,"XXXXX",0,1)</f>
        <v>Not Available (1)</v>
      </c>
      <c r="F1990" s="213" t="s">
        <v>3395</v>
      </c>
      <c r="G1990" s="163" t="str">
        <f t="array" ref="G1990">IF(B1990="ICSE",IF(COUNTIFS(B:B,B1990,C:C,C1990)=XLOOKUP(C1990,ICSE!A:A,ICSE!AA:AA,"ERROR",0,1),"OK","ERROR"),IF(B1990="FSE",IF(COUNTIFS(B:B,B1990,C:C,C1990)=XLOOKUP(C1990,FSE!A:A,FSE!AA:AA,"ERROR",0,1),"OK","ERROR")))</f>
        <v>OK</v>
      </c>
      <c r="H1990" s="199">
        <f t="shared" ref="H1990:O1990" si="10044">countif($D1990,"*"&amp;H$2&amp;"*")</f>
        <v>0</v>
      </c>
      <c r="I1990" s="200">
        <f t="shared" si="10044"/>
        <v>0</v>
      </c>
      <c r="J1990" s="200">
        <f t="shared" si="10044"/>
        <v>0</v>
      </c>
      <c r="K1990" s="200">
        <f t="shared" si="10044"/>
        <v>0</v>
      </c>
      <c r="L1990" s="200">
        <f t="shared" si="10044"/>
        <v>0</v>
      </c>
      <c r="M1990" s="200">
        <f t="shared" si="10044"/>
        <v>0</v>
      </c>
      <c r="N1990" s="200">
        <f t="shared" si="10044"/>
        <v>0</v>
      </c>
      <c r="O1990" s="200">
        <f t="shared" si="10044"/>
        <v>0</v>
      </c>
      <c r="P1990" s="200">
        <f t="shared" si="9"/>
        <v>0</v>
      </c>
      <c r="Q1990" s="200">
        <f t="shared" ref="Q1990:AC1990" si="10045">countif($D1990,"*"&amp;Q$2&amp;"*")</f>
        <v>0</v>
      </c>
      <c r="R1990" s="200">
        <f t="shared" si="10045"/>
        <v>0</v>
      </c>
      <c r="S1990" s="200">
        <f t="shared" si="10045"/>
        <v>0</v>
      </c>
      <c r="T1990" s="200">
        <f t="shared" si="10045"/>
        <v>0</v>
      </c>
      <c r="U1990" s="200">
        <f t="shared" si="10045"/>
        <v>0</v>
      </c>
      <c r="V1990" s="200">
        <f t="shared" si="10045"/>
        <v>0</v>
      </c>
      <c r="W1990" s="200">
        <f t="shared" si="10045"/>
        <v>0</v>
      </c>
      <c r="X1990" s="200">
        <f t="shared" si="10045"/>
        <v>0</v>
      </c>
      <c r="Y1990" s="200">
        <f t="shared" si="10045"/>
        <v>0</v>
      </c>
      <c r="Z1990" s="200">
        <f t="shared" si="10045"/>
        <v>0</v>
      </c>
      <c r="AA1990" s="200">
        <f t="shared" si="10045"/>
        <v>1</v>
      </c>
      <c r="AB1990" s="200">
        <f t="shared" si="10045"/>
        <v>0</v>
      </c>
      <c r="AC1990" s="200">
        <f t="shared" si="10045"/>
        <v>0</v>
      </c>
      <c r="AD1990" s="200">
        <f t="shared" si="11"/>
        <v>0</v>
      </c>
      <c r="AE1990" s="200">
        <f t="shared" ref="AE1990:AG1990" si="10046">countif($D1990,"*"&amp;AE$2&amp;"*")</f>
        <v>0</v>
      </c>
      <c r="AF1990" s="200">
        <f t="shared" si="10046"/>
        <v>0</v>
      </c>
      <c r="AG1990" s="200">
        <f t="shared" si="10046"/>
        <v>0</v>
      </c>
      <c r="AH1990" s="171">
        <f t="shared" si="13"/>
        <v>0</v>
      </c>
      <c r="AI1990" s="200">
        <f t="shared" si="14"/>
        <v>0</v>
      </c>
      <c r="AJ1990" s="200">
        <f t="shared" si="9976"/>
        <v>0</v>
      </c>
      <c r="AK1990" s="201">
        <f t="shared" ref="AK1990:AS1990" si="10047">countif($D1990,"*"&amp;AK$2&amp;"*")</f>
        <v>0</v>
      </c>
      <c r="AL1990" s="201">
        <f t="shared" si="10047"/>
        <v>0</v>
      </c>
      <c r="AM1990" s="201">
        <f t="shared" si="10047"/>
        <v>0</v>
      </c>
      <c r="AN1990" s="201">
        <f t="shared" si="10047"/>
        <v>0</v>
      </c>
      <c r="AO1990" s="201">
        <f t="shared" si="10047"/>
        <v>0</v>
      </c>
      <c r="AP1990" s="201">
        <f t="shared" si="10047"/>
        <v>0</v>
      </c>
      <c r="AQ1990" s="201">
        <f t="shared" si="10047"/>
        <v>0</v>
      </c>
      <c r="AR1990" s="200">
        <f t="shared" si="10047"/>
        <v>0</v>
      </c>
      <c r="AS1990" s="200">
        <f t="shared" si="10047"/>
        <v>0</v>
      </c>
      <c r="AT1990" s="173">
        <v>0.0</v>
      </c>
      <c r="AU1990" s="200">
        <f t="shared" ref="AU1990:AX1990" si="10048">countif($D1990,"*"&amp;AU$2&amp;"*")</f>
        <v>0</v>
      </c>
      <c r="AV1990" s="200">
        <f t="shared" si="10048"/>
        <v>0</v>
      </c>
      <c r="AW1990" s="200">
        <f t="shared" si="10048"/>
        <v>0</v>
      </c>
      <c r="AX1990" s="200">
        <f t="shared" si="10048"/>
        <v>0</v>
      </c>
      <c r="AY1990" s="202">
        <v>0.0</v>
      </c>
      <c r="AZ1990" s="200"/>
      <c r="BA1990" s="171" t="str">
        <f t="shared" si="18"/>
        <v/>
      </c>
      <c r="BB1990" s="171" t="str">
        <f t="shared" si="19"/>
        <v/>
      </c>
      <c r="BC1990" s="171" t="str">
        <f t="shared" si="20"/>
        <v>General-purpose</v>
      </c>
      <c r="BD1990" s="171" t="str">
        <f t="shared" si="21"/>
        <v/>
      </c>
      <c r="BE1990" s="171" t="str">
        <f t="shared" si="22"/>
        <v/>
      </c>
      <c r="BF1990" s="171" t="str">
        <f t="shared" si="23"/>
        <v>General-purpose</v>
      </c>
    </row>
    <row r="1991">
      <c r="A1991" s="171">
        <f t="array" ref="A1991">XLOOKUP(C1991,FSE!A:A,FSE!C:C,"XXXXX",0,1)</f>
        <v>2017</v>
      </c>
      <c r="B1991" s="213" t="s">
        <v>5676</v>
      </c>
      <c r="C1991" s="214">
        <v>614.0</v>
      </c>
      <c r="D1991" s="215" t="s">
        <v>4052</v>
      </c>
      <c r="E1991" s="197" t="str">
        <f t="array" ref="E1991">XLOOKUP(C1991,FSE!A:A,FSE!Z:Z,"XXXXX",0,1)</f>
        <v>Publicly Available (1)</v>
      </c>
      <c r="F1991" s="213" t="s">
        <v>3394</v>
      </c>
      <c r="G1991" s="163" t="str">
        <f t="array" ref="G1991">IF(B1991="ICSE",IF(COUNTIFS(B:B,B1991,C:C,C1991)=XLOOKUP(C1991,ICSE!A:A,ICSE!AA:AA,"ERROR",0,1),"OK","ERROR"),IF(B1991="FSE",IF(COUNTIFS(B:B,B1991,C:C,C1991)=XLOOKUP(C1991,FSE!A:A,FSE!AA:AA,"ERROR",0,1),"OK","ERROR")))</f>
        <v>OK</v>
      </c>
      <c r="H1991" s="199">
        <f t="shared" ref="H1991:O1991" si="10049">countif($D1991,"*"&amp;H$2&amp;"*")</f>
        <v>0</v>
      </c>
      <c r="I1991" s="200">
        <f t="shared" si="10049"/>
        <v>0</v>
      </c>
      <c r="J1991" s="200">
        <f t="shared" si="10049"/>
        <v>0</v>
      </c>
      <c r="K1991" s="200">
        <f t="shared" si="10049"/>
        <v>0</v>
      </c>
      <c r="L1991" s="200">
        <f t="shared" si="10049"/>
        <v>0</v>
      </c>
      <c r="M1991" s="200">
        <f t="shared" si="10049"/>
        <v>0</v>
      </c>
      <c r="N1991" s="200">
        <f t="shared" si="10049"/>
        <v>0</v>
      </c>
      <c r="O1991" s="200">
        <f t="shared" si="10049"/>
        <v>0</v>
      </c>
      <c r="P1991" s="200">
        <f t="shared" si="9"/>
        <v>0</v>
      </c>
      <c r="Q1991" s="200">
        <f t="shared" ref="Q1991:AC1991" si="10050">countif($D1991,"*"&amp;Q$2&amp;"*")</f>
        <v>0</v>
      </c>
      <c r="R1991" s="200">
        <f t="shared" si="10050"/>
        <v>0</v>
      </c>
      <c r="S1991" s="200">
        <f t="shared" si="10050"/>
        <v>0</v>
      </c>
      <c r="T1991" s="200">
        <f t="shared" si="10050"/>
        <v>0</v>
      </c>
      <c r="U1991" s="200">
        <f t="shared" si="10050"/>
        <v>0</v>
      </c>
      <c r="V1991" s="200">
        <f t="shared" si="10050"/>
        <v>0</v>
      </c>
      <c r="W1991" s="200">
        <f t="shared" si="10050"/>
        <v>0</v>
      </c>
      <c r="X1991" s="200">
        <f t="shared" si="10050"/>
        <v>0</v>
      </c>
      <c r="Y1991" s="200">
        <f t="shared" si="10050"/>
        <v>0</v>
      </c>
      <c r="Z1991" s="200">
        <f t="shared" si="10050"/>
        <v>0</v>
      </c>
      <c r="AA1991" s="200">
        <f t="shared" si="10050"/>
        <v>0</v>
      </c>
      <c r="AB1991" s="200">
        <f t="shared" si="10050"/>
        <v>0</v>
      </c>
      <c r="AC1991" s="200">
        <f t="shared" si="10050"/>
        <v>0</v>
      </c>
      <c r="AD1991" s="200">
        <f t="shared" si="11"/>
        <v>1</v>
      </c>
      <c r="AE1991" s="200">
        <f t="shared" ref="AE1991:AG1991" si="10051">countif($D1991,"*"&amp;AE$2&amp;"*")</f>
        <v>0</v>
      </c>
      <c r="AF1991" s="200">
        <f t="shared" si="10051"/>
        <v>0</v>
      </c>
      <c r="AG1991" s="200">
        <f t="shared" si="10051"/>
        <v>0</v>
      </c>
      <c r="AH1991" s="171">
        <f t="shared" si="13"/>
        <v>0</v>
      </c>
      <c r="AI1991" s="200">
        <f t="shared" si="14"/>
        <v>0</v>
      </c>
      <c r="AJ1991" s="200">
        <f t="shared" si="9976"/>
        <v>0</v>
      </c>
      <c r="AK1991" s="201">
        <f t="shared" ref="AK1991:AS1991" si="10052">countif($D1991,"*"&amp;AK$2&amp;"*")</f>
        <v>0</v>
      </c>
      <c r="AL1991" s="201">
        <f t="shared" si="10052"/>
        <v>0</v>
      </c>
      <c r="AM1991" s="201">
        <f t="shared" si="10052"/>
        <v>0</v>
      </c>
      <c r="AN1991" s="201">
        <f t="shared" si="10052"/>
        <v>0</v>
      </c>
      <c r="AO1991" s="201">
        <f t="shared" si="10052"/>
        <v>0</v>
      </c>
      <c r="AP1991" s="201">
        <f t="shared" si="10052"/>
        <v>0</v>
      </c>
      <c r="AQ1991" s="201">
        <f t="shared" si="10052"/>
        <v>0</v>
      </c>
      <c r="AR1991" s="200">
        <f t="shared" si="10052"/>
        <v>0</v>
      </c>
      <c r="AS1991" s="200">
        <f t="shared" si="10052"/>
        <v>0</v>
      </c>
      <c r="AT1991" s="173">
        <v>1.0</v>
      </c>
      <c r="AU1991" s="200">
        <f t="shared" ref="AU1991:AX1991" si="10053">countif($D1991,"*"&amp;AU$2&amp;"*")</f>
        <v>0</v>
      </c>
      <c r="AV1991" s="200">
        <f t="shared" si="10053"/>
        <v>0</v>
      </c>
      <c r="AW1991" s="200">
        <f t="shared" si="10053"/>
        <v>0</v>
      </c>
      <c r="AX1991" s="200">
        <f t="shared" si="10053"/>
        <v>0</v>
      </c>
      <c r="AY1991" s="202">
        <v>0.0</v>
      </c>
      <c r="AZ1991" s="200"/>
      <c r="BA1991" s="171" t="str">
        <f t="shared" si="18"/>
        <v/>
      </c>
      <c r="BB1991" s="171" t="str">
        <f t="shared" si="19"/>
        <v/>
      </c>
      <c r="BC1991" s="171" t="str">
        <f t="shared" si="20"/>
        <v/>
      </c>
      <c r="BD1991" s="171" t="str">
        <f t="shared" si="21"/>
        <v>Institutional</v>
      </c>
      <c r="BE1991" s="171" t="str">
        <f t="shared" si="22"/>
        <v/>
      </c>
      <c r="BF1991" s="171" t="str">
        <f t="shared" si="23"/>
        <v>Institutional</v>
      </c>
    </row>
    <row r="1992">
      <c r="A1992" s="171">
        <f t="array" ref="A1992">XLOOKUP(C1992,FSE!A:A,FSE!C:C,"XXXXX",0,1)</f>
        <v>2017</v>
      </c>
      <c r="B1992" s="213" t="s">
        <v>5676</v>
      </c>
      <c r="C1992" s="219">
        <v>615.0</v>
      </c>
      <c r="D1992" s="217" t="s">
        <v>4055</v>
      </c>
      <c r="E1992" s="197" t="str">
        <f t="array" ref="E1992">XLOOKUP(C1992,FSE!A:A,FSE!Z:Z,"XXXXX",0,1)</f>
        <v>Publicly Available (1)</v>
      </c>
      <c r="F1992" s="218" t="s">
        <v>3394</v>
      </c>
      <c r="G1992" s="163" t="str">
        <f t="array" ref="G1992">IF(B1992="ICSE",IF(COUNTIFS(B:B,B1992,C:C,C1992)=XLOOKUP(C1992,ICSE!A:A,ICSE!AA:AA,"ERROR",0,1),"OK","ERROR"),IF(B1992="FSE",IF(COUNTIFS(B:B,B1992,C:C,C1992)=XLOOKUP(C1992,FSE!A:A,FSE!AA:AA,"ERROR",0,1),"OK","ERROR")))</f>
        <v>OK</v>
      </c>
      <c r="H1992" s="199">
        <f t="shared" ref="H1992:O1992" si="10054">countif($D1992,"*"&amp;H$2&amp;"*")</f>
        <v>0</v>
      </c>
      <c r="I1992" s="200">
        <f t="shared" si="10054"/>
        <v>0</v>
      </c>
      <c r="J1992" s="200">
        <f t="shared" si="10054"/>
        <v>0</v>
      </c>
      <c r="K1992" s="200">
        <f t="shared" si="10054"/>
        <v>0</v>
      </c>
      <c r="L1992" s="200">
        <f t="shared" si="10054"/>
        <v>0</v>
      </c>
      <c r="M1992" s="200">
        <f t="shared" si="10054"/>
        <v>0</v>
      </c>
      <c r="N1992" s="200">
        <f t="shared" si="10054"/>
        <v>0</v>
      </c>
      <c r="O1992" s="200">
        <f t="shared" si="10054"/>
        <v>0</v>
      </c>
      <c r="P1992" s="200">
        <f t="shared" si="9"/>
        <v>0</v>
      </c>
      <c r="Q1992" s="200">
        <f t="shared" ref="Q1992:AC1992" si="10055">countif($D1992,"*"&amp;Q$2&amp;"*")</f>
        <v>0</v>
      </c>
      <c r="R1992" s="200">
        <f t="shared" si="10055"/>
        <v>0</v>
      </c>
      <c r="S1992" s="200">
        <f t="shared" si="10055"/>
        <v>0</v>
      </c>
      <c r="T1992" s="200">
        <f t="shared" si="10055"/>
        <v>0</v>
      </c>
      <c r="U1992" s="200">
        <f t="shared" si="10055"/>
        <v>0</v>
      </c>
      <c r="V1992" s="200">
        <f t="shared" si="10055"/>
        <v>0</v>
      </c>
      <c r="W1992" s="200">
        <f t="shared" si="10055"/>
        <v>0</v>
      </c>
      <c r="X1992" s="200">
        <f t="shared" si="10055"/>
        <v>0</v>
      </c>
      <c r="Y1992" s="200">
        <f t="shared" si="10055"/>
        <v>0</v>
      </c>
      <c r="Z1992" s="200">
        <f t="shared" si="10055"/>
        <v>0</v>
      </c>
      <c r="AA1992" s="200">
        <f t="shared" si="10055"/>
        <v>0</v>
      </c>
      <c r="AB1992" s="200">
        <f t="shared" si="10055"/>
        <v>0</v>
      </c>
      <c r="AC1992" s="200">
        <f t="shared" si="10055"/>
        <v>0</v>
      </c>
      <c r="AD1992" s="200">
        <f t="shared" si="11"/>
        <v>1</v>
      </c>
      <c r="AE1992" s="200">
        <f t="shared" ref="AE1992:AG1992" si="10056">countif($D1992,"*"&amp;AE$2&amp;"*")</f>
        <v>0</v>
      </c>
      <c r="AF1992" s="200">
        <f t="shared" si="10056"/>
        <v>0</v>
      </c>
      <c r="AG1992" s="200">
        <f t="shared" si="10056"/>
        <v>0</v>
      </c>
      <c r="AH1992" s="171">
        <f t="shared" si="13"/>
        <v>0</v>
      </c>
      <c r="AI1992" s="200">
        <f t="shared" si="14"/>
        <v>0</v>
      </c>
      <c r="AJ1992" s="200">
        <f t="shared" ref="AJ1992:AJ1993" si="10062">SUM(AK1992:AQ1992)</f>
        <v>0</v>
      </c>
      <c r="AK1992" s="201">
        <f t="shared" ref="AK1992:AS1992" si="10057">countif($D1992,"*"&amp;AK$2&amp;"*")</f>
        <v>0</v>
      </c>
      <c r="AL1992" s="201">
        <f t="shared" si="10057"/>
        <v>0</v>
      </c>
      <c r="AM1992" s="201">
        <f t="shared" si="10057"/>
        <v>0</v>
      </c>
      <c r="AN1992" s="201">
        <f t="shared" si="10057"/>
        <v>0</v>
      </c>
      <c r="AO1992" s="201">
        <f t="shared" si="10057"/>
        <v>0</v>
      </c>
      <c r="AP1992" s="201">
        <f t="shared" si="10057"/>
        <v>0</v>
      </c>
      <c r="AQ1992" s="201">
        <f t="shared" si="10057"/>
        <v>0</v>
      </c>
      <c r="AR1992" s="201">
        <f t="shared" si="10057"/>
        <v>0</v>
      </c>
      <c r="AS1992" s="200">
        <f t="shared" si="10057"/>
        <v>1</v>
      </c>
      <c r="AT1992" s="205">
        <v>0.0</v>
      </c>
      <c r="AU1992" s="200">
        <f t="shared" ref="AU1992:AX1992" si="10058">countif($D1992,"*"&amp;AU$2&amp;"*")</f>
        <v>1</v>
      </c>
      <c r="AV1992" s="200">
        <f t="shared" si="10058"/>
        <v>0</v>
      </c>
      <c r="AW1992" s="200">
        <f t="shared" si="10058"/>
        <v>0</v>
      </c>
      <c r="AX1992" s="200">
        <f t="shared" si="10058"/>
        <v>0</v>
      </c>
      <c r="AY1992" s="202">
        <v>0.0</v>
      </c>
      <c r="AZ1992" s="200"/>
      <c r="BA1992" s="171" t="str">
        <f t="shared" si="18"/>
        <v/>
      </c>
      <c r="BB1992" s="171" t="str">
        <f t="shared" si="19"/>
        <v/>
      </c>
      <c r="BC1992" s="171" t="str">
        <f t="shared" si="20"/>
        <v/>
      </c>
      <c r="BD1992" s="171" t="str">
        <f t="shared" si="21"/>
        <v>Institutional</v>
      </c>
      <c r="BE1992" s="171" t="str">
        <f t="shared" si="22"/>
        <v/>
      </c>
      <c r="BF1992" s="171" t="str">
        <f t="shared" si="23"/>
        <v>Institutional</v>
      </c>
    </row>
    <row r="1993">
      <c r="A1993" s="171">
        <f t="array" ref="A1993">XLOOKUP(C1993,FSE!A:A,FSE!C:C,"XXXXX",0,1)</f>
        <v>2017</v>
      </c>
      <c r="B1993" s="213" t="s">
        <v>5676</v>
      </c>
      <c r="C1993" s="214">
        <v>616.0</v>
      </c>
      <c r="D1993" s="217" t="s">
        <v>6534</v>
      </c>
      <c r="E1993" s="197" t="str">
        <f t="array" ref="E1993">XLOOKUP(C1993,FSE!A:A,FSE!Z:Z,"XXXXX",0,1)</f>
        <v>Publicly Available (1)</v>
      </c>
      <c r="F1993" s="213" t="s">
        <v>3394</v>
      </c>
      <c r="G1993" s="163" t="str">
        <f t="array" ref="G1993">IF(B1993="ICSE",IF(COUNTIFS(B:B,B1993,C:C,C1993)=XLOOKUP(C1993,ICSE!A:A,ICSE!AA:AA,"ERROR",0,1),"OK","ERROR"),IF(B1993="FSE",IF(COUNTIFS(B:B,B1993,C:C,C1993)=XLOOKUP(C1993,FSE!A:A,FSE!AA:AA,"ERROR",0,1),"OK","ERROR")))</f>
        <v>OK</v>
      </c>
      <c r="H1993" s="199">
        <f t="shared" ref="H1993:O1993" si="10059">countif($D1993,"*"&amp;H$2&amp;"*")</f>
        <v>0</v>
      </c>
      <c r="I1993" s="200">
        <f t="shared" si="10059"/>
        <v>0</v>
      </c>
      <c r="J1993" s="200">
        <f t="shared" si="10059"/>
        <v>0</v>
      </c>
      <c r="K1993" s="200">
        <f t="shared" si="10059"/>
        <v>0</v>
      </c>
      <c r="L1993" s="200">
        <f t="shared" si="10059"/>
        <v>0</v>
      </c>
      <c r="M1993" s="200">
        <f t="shared" si="10059"/>
        <v>0</v>
      </c>
      <c r="N1993" s="200">
        <f t="shared" si="10059"/>
        <v>0</v>
      </c>
      <c r="O1993" s="200">
        <f t="shared" si="10059"/>
        <v>0</v>
      </c>
      <c r="P1993" s="200">
        <f t="shared" si="9"/>
        <v>0</v>
      </c>
      <c r="Q1993" s="200">
        <f t="shared" ref="Q1993:AC1993" si="10060">countif($D1993,"*"&amp;Q$2&amp;"*")</f>
        <v>0</v>
      </c>
      <c r="R1993" s="200">
        <f t="shared" si="10060"/>
        <v>0</v>
      </c>
      <c r="S1993" s="200">
        <f t="shared" si="10060"/>
        <v>0</v>
      </c>
      <c r="T1993" s="200">
        <f t="shared" si="10060"/>
        <v>0</v>
      </c>
      <c r="U1993" s="200">
        <f t="shared" si="10060"/>
        <v>0</v>
      </c>
      <c r="V1993" s="200">
        <f t="shared" si="10060"/>
        <v>0</v>
      </c>
      <c r="W1993" s="200">
        <f t="shared" si="10060"/>
        <v>0</v>
      </c>
      <c r="X1993" s="200">
        <f t="shared" si="10060"/>
        <v>0</v>
      </c>
      <c r="Y1993" s="200">
        <f t="shared" si="10060"/>
        <v>0</v>
      </c>
      <c r="Z1993" s="200">
        <f t="shared" si="10060"/>
        <v>0</v>
      </c>
      <c r="AA1993" s="200">
        <f t="shared" si="10060"/>
        <v>0</v>
      </c>
      <c r="AB1993" s="200">
        <f t="shared" si="10060"/>
        <v>0</v>
      </c>
      <c r="AC1993" s="200">
        <f t="shared" si="10060"/>
        <v>0</v>
      </c>
      <c r="AD1993" s="200">
        <f t="shared" si="11"/>
        <v>1</v>
      </c>
      <c r="AE1993" s="200">
        <f t="shared" ref="AE1993:AG1993" si="10061">countif($D1993,"*"&amp;AE$2&amp;"*")</f>
        <v>0</v>
      </c>
      <c r="AF1993" s="200">
        <f t="shared" si="10061"/>
        <v>0</v>
      </c>
      <c r="AG1993" s="200">
        <f t="shared" si="10061"/>
        <v>0</v>
      </c>
      <c r="AH1993" s="171">
        <f t="shared" si="13"/>
        <v>0</v>
      </c>
      <c r="AI1993" s="200">
        <f t="shared" si="14"/>
        <v>0</v>
      </c>
      <c r="AJ1993" s="200">
        <f t="shared" si="10062"/>
        <v>1</v>
      </c>
      <c r="AK1993" s="201">
        <f t="shared" ref="AK1993:AS1993" si="10063">countif($D1993,"*"&amp;AK$2&amp;"*")</f>
        <v>0</v>
      </c>
      <c r="AL1993" s="201">
        <f t="shared" si="10063"/>
        <v>0</v>
      </c>
      <c r="AM1993" s="201">
        <f t="shared" si="10063"/>
        <v>0</v>
      </c>
      <c r="AN1993" s="201">
        <f t="shared" si="10063"/>
        <v>1</v>
      </c>
      <c r="AO1993" s="201">
        <f t="shared" si="10063"/>
        <v>0</v>
      </c>
      <c r="AP1993" s="201">
        <f t="shared" si="10063"/>
        <v>0</v>
      </c>
      <c r="AQ1993" s="201">
        <f t="shared" si="10063"/>
        <v>0</v>
      </c>
      <c r="AR1993" s="201">
        <f t="shared" si="10063"/>
        <v>0</v>
      </c>
      <c r="AS1993" s="200">
        <f t="shared" si="10063"/>
        <v>1</v>
      </c>
      <c r="AT1993" s="205">
        <v>0.0</v>
      </c>
      <c r="AU1993" s="200">
        <f t="shared" ref="AU1993:AX1993" si="10064">countif($D1993,"*"&amp;AU$2&amp;"*")</f>
        <v>1</v>
      </c>
      <c r="AV1993" s="200">
        <f t="shared" si="10064"/>
        <v>0</v>
      </c>
      <c r="AW1993" s="200">
        <f t="shared" si="10064"/>
        <v>0</v>
      </c>
      <c r="AX1993" s="200">
        <f t="shared" si="10064"/>
        <v>0</v>
      </c>
      <c r="AY1993" s="202">
        <v>0.0</v>
      </c>
      <c r="AZ1993" s="200"/>
      <c r="BA1993" s="171" t="str">
        <f t="shared" si="18"/>
        <v/>
      </c>
      <c r="BB1993" s="171" t="str">
        <f t="shared" si="19"/>
        <v/>
      </c>
      <c r="BC1993" s="171" t="str">
        <f t="shared" si="20"/>
        <v/>
      </c>
      <c r="BD1993" s="171" t="str">
        <f t="shared" si="21"/>
        <v>Institutional</v>
      </c>
      <c r="BE1993" s="171" t="str">
        <f t="shared" si="22"/>
        <v/>
      </c>
      <c r="BF1993" s="171" t="str">
        <f t="shared" si="23"/>
        <v>Institutional</v>
      </c>
    </row>
    <row r="1994">
      <c r="A1994" s="171">
        <f t="array" ref="A1994">XLOOKUP(C1994,FSE!A:A,FSE!C:C,"XXXXX",0,1)</f>
        <v>2017</v>
      </c>
      <c r="B1994" s="213" t="s">
        <v>5676</v>
      </c>
      <c r="C1994" s="214">
        <v>618.0</v>
      </c>
      <c r="D1994" s="215" t="s">
        <v>4063</v>
      </c>
      <c r="E1994" s="197" t="str">
        <f t="array" ref="E1994">XLOOKUP(C1994,FSE!A:A,FSE!Z:Z,"XXXXX",0,1)</f>
        <v>Not Available (1)</v>
      </c>
      <c r="F1994" s="213" t="s">
        <v>3395</v>
      </c>
      <c r="G1994" s="163" t="str">
        <f t="array" ref="G1994">IF(B1994="ICSE",IF(COUNTIFS(B:B,B1994,C:C,C1994)=XLOOKUP(C1994,ICSE!A:A,ICSE!AA:AA,"ERROR",0,1),"OK","ERROR"),IF(B1994="FSE",IF(COUNTIFS(B:B,B1994,C:C,C1994)=XLOOKUP(C1994,FSE!A:A,FSE!AA:AA,"ERROR",0,1),"OK","ERROR")))</f>
        <v>OK</v>
      </c>
      <c r="H1994" s="199">
        <f t="shared" ref="H1994:O1994" si="10065">countif($D1994,"*"&amp;H$2&amp;"*")</f>
        <v>0</v>
      </c>
      <c r="I1994" s="200">
        <f t="shared" si="10065"/>
        <v>0</v>
      </c>
      <c r="J1994" s="200">
        <f t="shared" si="10065"/>
        <v>0</v>
      </c>
      <c r="K1994" s="200">
        <f t="shared" si="10065"/>
        <v>0</v>
      </c>
      <c r="L1994" s="200">
        <f t="shared" si="10065"/>
        <v>0</v>
      </c>
      <c r="M1994" s="200">
        <f t="shared" si="10065"/>
        <v>0</v>
      </c>
      <c r="N1994" s="200">
        <f t="shared" si="10065"/>
        <v>0</v>
      </c>
      <c r="O1994" s="200">
        <f t="shared" si="10065"/>
        <v>0</v>
      </c>
      <c r="P1994" s="200">
        <f t="shared" si="9"/>
        <v>0</v>
      </c>
      <c r="Q1994" s="200">
        <f t="shared" ref="Q1994:AC1994" si="10066">countif($D1994,"*"&amp;Q$2&amp;"*")</f>
        <v>0</v>
      </c>
      <c r="R1994" s="200">
        <f t="shared" si="10066"/>
        <v>0</v>
      </c>
      <c r="S1994" s="200">
        <f t="shared" si="10066"/>
        <v>0</v>
      </c>
      <c r="T1994" s="200">
        <f t="shared" si="10066"/>
        <v>0</v>
      </c>
      <c r="U1994" s="200">
        <f t="shared" si="10066"/>
        <v>0</v>
      </c>
      <c r="V1994" s="200">
        <f t="shared" si="10066"/>
        <v>0</v>
      </c>
      <c r="W1994" s="200">
        <f t="shared" si="10066"/>
        <v>0</v>
      </c>
      <c r="X1994" s="200">
        <f t="shared" si="10066"/>
        <v>0</v>
      </c>
      <c r="Y1994" s="200">
        <f t="shared" si="10066"/>
        <v>0</v>
      </c>
      <c r="Z1994" s="200">
        <f t="shared" si="10066"/>
        <v>0</v>
      </c>
      <c r="AA1994" s="200">
        <f t="shared" si="10066"/>
        <v>0</v>
      </c>
      <c r="AB1994" s="200">
        <f t="shared" si="10066"/>
        <v>0</v>
      </c>
      <c r="AC1994" s="200">
        <f t="shared" si="10066"/>
        <v>0</v>
      </c>
      <c r="AD1994" s="200">
        <f t="shared" si="11"/>
        <v>0</v>
      </c>
      <c r="AE1994" s="200">
        <f t="shared" ref="AE1994:AG1994" si="10067">countif($D1994,"*"&amp;AE$2&amp;"*")</f>
        <v>0</v>
      </c>
      <c r="AF1994" s="200">
        <f t="shared" si="10067"/>
        <v>0</v>
      </c>
      <c r="AG1994" s="200">
        <f t="shared" si="10067"/>
        <v>0</v>
      </c>
      <c r="AH1994" s="171">
        <f t="shared" si="13"/>
        <v>1</v>
      </c>
      <c r="AI1994" s="200">
        <f t="shared" si="14"/>
        <v>0</v>
      </c>
      <c r="AJ1994" s="200">
        <f t="shared" ref="AJ1994:AJ1995" si="10073">SUM(AK1994:AR1994)</f>
        <v>0</v>
      </c>
      <c r="AK1994" s="201">
        <f t="shared" ref="AK1994:AS1994" si="10068">countif($D1994,"*"&amp;AK$2&amp;"*")</f>
        <v>0</v>
      </c>
      <c r="AL1994" s="201">
        <f t="shared" si="10068"/>
        <v>0</v>
      </c>
      <c r="AM1994" s="201">
        <f t="shared" si="10068"/>
        <v>0</v>
      </c>
      <c r="AN1994" s="201">
        <f t="shared" si="10068"/>
        <v>0</v>
      </c>
      <c r="AO1994" s="201">
        <f t="shared" si="10068"/>
        <v>0</v>
      </c>
      <c r="AP1994" s="201">
        <f t="shared" si="10068"/>
        <v>0</v>
      </c>
      <c r="AQ1994" s="201">
        <f t="shared" si="10068"/>
        <v>0</v>
      </c>
      <c r="AR1994" s="200">
        <f t="shared" si="10068"/>
        <v>0</v>
      </c>
      <c r="AS1994" s="200">
        <f t="shared" si="10068"/>
        <v>0</v>
      </c>
      <c r="AT1994" s="173">
        <v>0.0</v>
      </c>
      <c r="AU1994" s="200">
        <f t="shared" ref="AU1994:AX1994" si="10069">countif($D1994,"*"&amp;AU$2&amp;"*")</f>
        <v>0</v>
      </c>
      <c r="AV1994" s="200">
        <f t="shared" si="10069"/>
        <v>0</v>
      </c>
      <c r="AW1994" s="200">
        <f t="shared" si="10069"/>
        <v>0</v>
      </c>
      <c r="AX1994" s="200">
        <f t="shared" si="10069"/>
        <v>0</v>
      </c>
      <c r="AY1994" s="202">
        <v>0.0</v>
      </c>
      <c r="AZ1994" s="200"/>
      <c r="BA1994" s="171" t="str">
        <f t="shared" si="18"/>
        <v/>
      </c>
      <c r="BB1994" s="171" t="str">
        <f t="shared" si="19"/>
        <v/>
      </c>
      <c r="BC1994" s="171" t="str">
        <f t="shared" si="20"/>
        <v/>
      </c>
      <c r="BD1994" s="171" t="str">
        <f t="shared" si="21"/>
        <v/>
      </c>
      <c r="BE1994" s="171" t="str">
        <f t="shared" si="22"/>
        <v>Others</v>
      </c>
      <c r="BF1994" s="171" t="str">
        <f t="shared" si="23"/>
        <v>Others</v>
      </c>
    </row>
    <row r="1995">
      <c r="A1995" s="171">
        <f t="array" ref="A1995">XLOOKUP(C1995,FSE!A:A,FSE!C:C,"XXXXX",0,1)</f>
        <v>2017</v>
      </c>
      <c r="B1995" s="213" t="s">
        <v>5676</v>
      </c>
      <c r="C1995" s="214">
        <v>620.0</v>
      </c>
      <c r="D1995" s="215" t="s">
        <v>4067</v>
      </c>
      <c r="E1995" s="197" t="str">
        <f t="array" ref="E1995">XLOOKUP(C1995,FSE!A:A,FSE!Z:Z,"XXXXX",0,1)</f>
        <v>Not Available (1)</v>
      </c>
      <c r="F1995" s="213" t="s">
        <v>3395</v>
      </c>
      <c r="G1995" s="163" t="str">
        <f t="array" ref="G1995">IF(B1995="ICSE",IF(COUNTIFS(B:B,B1995,C:C,C1995)=XLOOKUP(C1995,ICSE!A:A,ICSE!AA:AA,"ERROR",0,1),"OK","ERROR"),IF(B1995="FSE",IF(COUNTIFS(B:B,B1995,C:C,C1995)=XLOOKUP(C1995,FSE!A:A,FSE!AA:AA,"ERROR",0,1),"OK","ERROR")))</f>
        <v>OK</v>
      </c>
      <c r="H1995" s="199">
        <f t="shared" ref="H1995:O1995" si="10070">countif($D1995,"*"&amp;H$2&amp;"*")</f>
        <v>0</v>
      </c>
      <c r="I1995" s="200">
        <f t="shared" si="10070"/>
        <v>0</v>
      </c>
      <c r="J1995" s="200">
        <f t="shared" si="10070"/>
        <v>0</v>
      </c>
      <c r="K1995" s="200">
        <f t="shared" si="10070"/>
        <v>0</v>
      </c>
      <c r="L1995" s="200">
        <f t="shared" si="10070"/>
        <v>0</v>
      </c>
      <c r="M1995" s="200">
        <f t="shared" si="10070"/>
        <v>0</v>
      </c>
      <c r="N1995" s="200">
        <f t="shared" si="10070"/>
        <v>0</v>
      </c>
      <c r="O1995" s="200">
        <f t="shared" si="10070"/>
        <v>0</v>
      </c>
      <c r="P1995" s="200">
        <f t="shared" si="9"/>
        <v>0</v>
      </c>
      <c r="Q1995" s="200">
        <f t="shared" ref="Q1995:AC1995" si="10071">countif($D1995,"*"&amp;Q$2&amp;"*")</f>
        <v>0</v>
      </c>
      <c r="R1995" s="200">
        <f t="shared" si="10071"/>
        <v>0</v>
      </c>
      <c r="S1995" s="200">
        <f t="shared" si="10071"/>
        <v>0</v>
      </c>
      <c r="T1995" s="200">
        <f t="shared" si="10071"/>
        <v>0</v>
      </c>
      <c r="U1995" s="200">
        <f t="shared" si="10071"/>
        <v>0</v>
      </c>
      <c r="V1995" s="200">
        <f t="shared" si="10071"/>
        <v>0</v>
      </c>
      <c r="W1995" s="200">
        <f t="shared" si="10071"/>
        <v>0</v>
      </c>
      <c r="X1995" s="200">
        <f t="shared" si="10071"/>
        <v>0</v>
      </c>
      <c r="Y1995" s="200">
        <f t="shared" si="10071"/>
        <v>0</v>
      </c>
      <c r="Z1995" s="200">
        <f t="shared" si="10071"/>
        <v>0</v>
      </c>
      <c r="AA1995" s="200">
        <f t="shared" si="10071"/>
        <v>0</v>
      </c>
      <c r="AB1995" s="200">
        <f t="shared" si="10071"/>
        <v>0</v>
      </c>
      <c r="AC1995" s="200">
        <f t="shared" si="10071"/>
        <v>0</v>
      </c>
      <c r="AD1995" s="200">
        <f t="shared" si="11"/>
        <v>1</v>
      </c>
      <c r="AE1995" s="200">
        <f t="shared" ref="AE1995:AG1995" si="10072">countif($D1995,"*"&amp;AE$2&amp;"*")</f>
        <v>0</v>
      </c>
      <c r="AF1995" s="200">
        <f t="shared" si="10072"/>
        <v>0</v>
      </c>
      <c r="AG1995" s="200">
        <f t="shared" si="10072"/>
        <v>0</v>
      </c>
      <c r="AH1995" s="171">
        <f t="shared" si="13"/>
        <v>0</v>
      </c>
      <c r="AI1995" s="200">
        <f t="shared" si="14"/>
        <v>0</v>
      </c>
      <c r="AJ1995" s="200">
        <f t="shared" si="10073"/>
        <v>0</v>
      </c>
      <c r="AK1995" s="201">
        <f t="shared" ref="AK1995:AS1995" si="10074">countif($D1995,"*"&amp;AK$2&amp;"*")</f>
        <v>0</v>
      </c>
      <c r="AL1995" s="201">
        <f t="shared" si="10074"/>
        <v>0</v>
      </c>
      <c r="AM1995" s="201">
        <f t="shared" si="10074"/>
        <v>0</v>
      </c>
      <c r="AN1995" s="201">
        <f t="shared" si="10074"/>
        <v>0</v>
      </c>
      <c r="AO1995" s="201">
        <f t="shared" si="10074"/>
        <v>0</v>
      </c>
      <c r="AP1995" s="201">
        <f t="shared" si="10074"/>
        <v>0</v>
      </c>
      <c r="AQ1995" s="201">
        <f t="shared" si="10074"/>
        <v>0</v>
      </c>
      <c r="AR1995" s="200">
        <f t="shared" si="10074"/>
        <v>0</v>
      </c>
      <c r="AS1995" s="200">
        <f t="shared" si="10074"/>
        <v>0</v>
      </c>
      <c r="AT1995" s="173">
        <v>1.0</v>
      </c>
      <c r="AU1995" s="200">
        <f t="shared" ref="AU1995:AX1995" si="10075">countif($D1995,"*"&amp;AU$2&amp;"*")</f>
        <v>0</v>
      </c>
      <c r="AV1995" s="200">
        <f t="shared" si="10075"/>
        <v>0</v>
      </c>
      <c r="AW1995" s="200">
        <f t="shared" si="10075"/>
        <v>0</v>
      </c>
      <c r="AX1995" s="200">
        <f t="shared" si="10075"/>
        <v>0</v>
      </c>
      <c r="AY1995" s="202">
        <v>0.0</v>
      </c>
      <c r="AZ1995" s="200"/>
      <c r="BA1995" s="171" t="str">
        <f t="shared" si="18"/>
        <v/>
      </c>
      <c r="BB1995" s="171" t="str">
        <f t="shared" si="19"/>
        <v/>
      </c>
      <c r="BC1995" s="171" t="str">
        <f t="shared" si="20"/>
        <v/>
      </c>
      <c r="BD1995" s="171" t="str">
        <f t="shared" si="21"/>
        <v>Institutional</v>
      </c>
      <c r="BE1995" s="171" t="str">
        <f t="shared" si="22"/>
        <v/>
      </c>
      <c r="BF1995" s="171" t="str">
        <f t="shared" si="23"/>
        <v>Institutional</v>
      </c>
    </row>
    <row r="1996">
      <c r="A1996" s="171">
        <f t="array" ref="A1996">XLOOKUP(C1996,FSE!A:A,FSE!C:C,"XXXXX",0,1)</f>
        <v>2017</v>
      </c>
      <c r="B1996" s="213" t="s">
        <v>5676</v>
      </c>
      <c r="C1996" s="214">
        <v>622.0</v>
      </c>
      <c r="D1996" s="215" t="s">
        <v>4071</v>
      </c>
      <c r="E1996" s="197" t="str">
        <f t="array" ref="E1996">XLOOKUP(C1996,FSE!A:A,FSE!Z:Z,"XXXXX",0,1)</f>
        <v>Publicly Available (1)</v>
      </c>
      <c r="F1996" s="213" t="s">
        <v>3394</v>
      </c>
      <c r="G1996" s="163" t="str">
        <f t="array" ref="G1996">IF(B1996="ICSE",IF(COUNTIFS(B:B,B1996,C:C,C1996)=XLOOKUP(C1996,ICSE!A:A,ICSE!AA:AA,"ERROR",0,1),"OK","ERROR"),IF(B1996="FSE",IF(COUNTIFS(B:B,B1996,C:C,C1996)=XLOOKUP(C1996,FSE!A:A,FSE!AA:AA,"ERROR",0,1),"OK","ERROR")))</f>
        <v>OK</v>
      </c>
      <c r="H1996" s="199">
        <f t="shared" ref="H1996:O1996" si="10076">countif($D1996,"*"&amp;H$2&amp;"*")</f>
        <v>0</v>
      </c>
      <c r="I1996" s="200">
        <f t="shared" si="10076"/>
        <v>0</v>
      </c>
      <c r="J1996" s="200">
        <f t="shared" si="10076"/>
        <v>0</v>
      </c>
      <c r="K1996" s="200">
        <f t="shared" si="10076"/>
        <v>0</v>
      </c>
      <c r="L1996" s="200">
        <f t="shared" si="10076"/>
        <v>0</v>
      </c>
      <c r="M1996" s="200">
        <f t="shared" si="10076"/>
        <v>0</v>
      </c>
      <c r="N1996" s="200">
        <f t="shared" si="10076"/>
        <v>0</v>
      </c>
      <c r="O1996" s="200">
        <f t="shared" si="10076"/>
        <v>0</v>
      </c>
      <c r="P1996" s="200">
        <f t="shared" si="9"/>
        <v>0</v>
      </c>
      <c r="Q1996" s="200">
        <f t="shared" ref="Q1996:AC1996" si="10077">countif($D1996,"*"&amp;Q$2&amp;"*")</f>
        <v>0</v>
      </c>
      <c r="R1996" s="200">
        <f t="shared" si="10077"/>
        <v>0</v>
      </c>
      <c r="S1996" s="200">
        <f t="shared" si="10077"/>
        <v>0</v>
      </c>
      <c r="T1996" s="200">
        <f t="shared" si="10077"/>
        <v>0</v>
      </c>
      <c r="U1996" s="200">
        <f t="shared" si="10077"/>
        <v>0</v>
      </c>
      <c r="V1996" s="200">
        <f t="shared" si="10077"/>
        <v>0</v>
      </c>
      <c r="W1996" s="200">
        <f t="shared" si="10077"/>
        <v>0</v>
      </c>
      <c r="X1996" s="200">
        <f t="shared" si="10077"/>
        <v>0</v>
      </c>
      <c r="Y1996" s="200">
        <f t="shared" si="10077"/>
        <v>0</v>
      </c>
      <c r="Z1996" s="200">
        <f t="shared" si="10077"/>
        <v>0</v>
      </c>
      <c r="AA1996" s="200">
        <f t="shared" si="10077"/>
        <v>0</v>
      </c>
      <c r="AB1996" s="200">
        <f t="shared" si="10077"/>
        <v>0</v>
      </c>
      <c r="AC1996" s="200">
        <f t="shared" si="10077"/>
        <v>0</v>
      </c>
      <c r="AD1996" s="200">
        <f t="shared" si="11"/>
        <v>1</v>
      </c>
      <c r="AE1996" s="200">
        <f t="shared" ref="AE1996:AG1996" si="10078">countif($D1996,"*"&amp;AE$2&amp;"*")</f>
        <v>0</v>
      </c>
      <c r="AF1996" s="200">
        <f t="shared" si="10078"/>
        <v>0</v>
      </c>
      <c r="AG1996" s="200">
        <f t="shared" si="10078"/>
        <v>0</v>
      </c>
      <c r="AH1996" s="171">
        <f t="shared" si="13"/>
        <v>0</v>
      </c>
      <c r="AI1996" s="200">
        <f t="shared" si="14"/>
        <v>0</v>
      </c>
      <c r="AJ1996" s="200">
        <f>SUM(AK1996:AQ1996)</f>
        <v>0</v>
      </c>
      <c r="AK1996" s="201">
        <f t="shared" ref="AK1996:AS1996" si="10079">countif($D1996,"*"&amp;AK$2&amp;"*")</f>
        <v>0</v>
      </c>
      <c r="AL1996" s="201">
        <f t="shared" si="10079"/>
        <v>0</v>
      </c>
      <c r="AM1996" s="201">
        <f t="shared" si="10079"/>
        <v>0</v>
      </c>
      <c r="AN1996" s="201">
        <f t="shared" si="10079"/>
        <v>0</v>
      </c>
      <c r="AO1996" s="201">
        <f t="shared" si="10079"/>
        <v>0</v>
      </c>
      <c r="AP1996" s="201">
        <f t="shared" si="10079"/>
        <v>0</v>
      </c>
      <c r="AQ1996" s="201">
        <f t="shared" si="10079"/>
        <v>0</v>
      </c>
      <c r="AR1996" s="201">
        <f t="shared" si="10079"/>
        <v>0</v>
      </c>
      <c r="AS1996" s="200">
        <f t="shared" si="10079"/>
        <v>0</v>
      </c>
      <c r="AT1996" s="205">
        <v>0.0</v>
      </c>
      <c r="AU1996" s="200">
        <f t="shared" ref="AU1996:AX1996" si="10080">countif($D1996,"*"&amp;AU$2&amp;"*")</f>
        <v>1</v>
      </c>
      <c r="AV1996" s="200">
        <f t="shared" si="10080"/>
        <v>0</v>
      </c>
      <c r="AW1996" s="200">
        <f t="shared" si="10080"/>
        <v>0</v>
      </c>
      <c r="AX1996" s="200">
        <f t="shared" si="10080"/>
        <v>0</v>
      </c>
      <c r="AY1996" s="202">
        <v>0.0</v>
      </c>
      <c r="AZ1996" s="200"/>
      <c r="BA1996" s="171" t="str">
        <f t="shared" si="18"/>
        <v/>
      </c>
      <c r="BB1996" s="171" t="str">
        <f t="shared" si="19"/>
        <v/>
      </c>
      <c r="BC1996" s="171" t="str">
        <f t="shared" si="20"/>
        <v/>
      </c>
      <c r="BD1996" s="171" t="str">
        <f t="shared" si="21"/>
        <v>Institutional</v>
      </c>
      <c r="BE1996" s="171" t="str">
        <f t="shared" si="22"/>
        <v/>
      </c>
      <c r="BF1996" s="171" t="str">
        <f t="shared" si="23"/>
        <v>Institutional</v>
      </c>
    </row>
    <row r="1997">
      <c r="A1997" s="171">
        <f t="array" ref="A1997">XLOOKUP(C1997,FSE!A:A,FSE!C:C,"XXXXX",0,1)</f>
        <v>2017</v>
      </c>
      <c r="B1997" s="213" t="s">
        <v>5676</v>
      </c>
      <c r="C1997" s="214">
        <v>623.0</v>
      </c>
      <c r="D1997" s="215" t="s">
        <v>4074</v>
      </c>
      <c r="E1997" s="197" t="str">
        <f t="array" ref="E1997">XLOOKUP(C1997,FSE!A:A,FSE!Z:Z,"XXXXX",0,1)</f>
        <v>Publicly Available (1)</v>
      </c>
      <c r="F1997" s="213" t="s">
        <v>3394</v>
      </c>
      <c r="G1997" s="163" t="str">
        <f t="array" ref="G1997">IF(B1997="ICSE",IF(COUNTIFS(B:B,B1997,C:C,C1997)=XLOOKUP(C1997,ICSE!A:A,ICSE!AA:AA,"ERROR",0,1),"OK","ERROR"),IF(B1997="FSE",IF(COUNTIFS(B:B,B1997,C:C,C1997)=XLOOKUP(C1997,FSE!A:A,FSE!AA:AA,"ERROR",0,1),"OK","ERROR")))</f>
        <v>OK</v>
      </c>
      <c r="H1997" s="199">
        <f t="shared" ref="H1997:O1997" si="10081">countif($D1997,"*"&amp;H$2&amp;"*")</f>
        <v>0</v>
      </c>
      <c r="I1997" s="200">
        <f t="shared" si="10081"/>
        <v>0</v>
      </c>
      <c r="J1997" s="200">
        <f t="shared" si="10081"/>
        <v>0</v>
      </c>
      <c r="K1997" s="200">
        <f t="shared" si="10081"/>
        <v>0</v>
      </c>
      <c r="L1997" s="200">
        <f t="shared" si="10081"/>
        <v>0</v>
      </c>
      <c r="M1997" s="200">
        <f t="shared" si="10081"/>
        <v>0</v>
      </c>
      <c r="N1997" s="200">
        <f t="shared" si="10081"/>
        <v>0</v>
      </c>
      <c r="O1997" s="200">
        <f t="shared" si="10081"/>
        <v>0</v>
      </c>
      <c r="P1997" s="200">
        <f t="shared" si="9"/>
        <v>1</v>
      </c>
      <c r="Q1997" s="200">
        <f t="shared" ref="Q1997:AC1997" si="10082">countif($D1997,"*"&amp;Q$2&amp;"*")</f>
        <v>0</v>
      </c>
      <c r="R1997" s="200">
        <f t="shared" si="10082"/>
        <v>0</v>
      </c>
      <c r="S1997" s="200">
        <f t="shared" si="10082"/>
        <v>0</v>
      </c>
      <c r="T1997" s="200">
        <f t="shared" si="10082"/>
        <v>0</v>
      </c>
      <c r="U1997" s="200">
        <f t="shared" si="10082"/>
        <v>0</v>
      </c>
      <c r="V1997" s="200">
        <f t="shared" si="10082"/>
        <v>0</v>
      </c>
      <c r="W1997" s="200">
        <f t="shared" si="10082"/>
        <v>0</v>
      </c>
      <c r="X1997" s="200">
        <f t="shared" si="10082"/>
        <v>0</v>
      </c>
      <c r="Y1997" s="200">
        <f t="shared" si="10082"/>
        <v>0</v>
      </c>
      <c r="Z1997" s="200">
        <f t="shared" si="10082"/>
        <v>0</v>
      </c>
      <c r="AA1997" s="200">
        <f t="shared" si="10082"/>
        <v>0</v>
      </c>
      <c r="AB1997" s="200">
        <f t="shared" si="10082"/>
        <v>0</v>
      </c>
      <c r="AC1997" s="200">
        <f t="shared" si="10082"/>
        <v>0</v>
      </c>
      <c r="AD1997" s="200">
        <f t="shared" si="11"/>
        <v>0</v>
      </c>
      <c r="AE1997" s="200">
        <f t="shared" ref="AE1997:AG1997" si="10083">countif($D1997,"*"&amp;AE$2&amp;"*")</f>
        <v>0</v>
      </c>
      <c r="AF1997" s="200">
        <f t="shared" si="10083"/>
        <v>0</v>
      </c>
      <c r="AG1997" s="200">
        <f t="shared" si="10083"/>
        <v>0</v>
      </c>
      <c r="AH1997" s="171">
        <f t="shared" si="13"/>
        <v>0</v>
      </c>
      <c r="AI1997" s="200">
        <f t="shared" si="14"/>
        <v>0</v>
      </c>
      <c r="AJ1997" s="200">
        <f t="shared" ref="AJ1997:AJ2002" si="10089">SUM(AK1997:AR1997)</f>
        <v>0</v>
      </c>
      <c r="AK1997" s="201">
        <f t="shared" ref="AK1997:AS1997" si="10084">countif($D1997,"*"&amp;AK$2&amp;"*")</f>
        <v>0</v>
      </c>
      <c r="AL1997" s="201">
        <f t="shared" si="10084"/>
        <v>0</v>
      </c>
      <c r="AM1997" s="201">
        <f t="shared" si="10084"/>
        <v>0</v>
      </c>
      <c r="AN1997" s="201">
        <f t="shared" si="10084"/>
        <v>0</v>
      </c>
      <c r="AO1997" s="201">
        <f t="shared" si="10084"/>
        <v>0</v>
      </c>
      <c r="AP1997" s="201">
        <f t="shared" si="10084"/>
        <v>0</v>
      </c>
      <c r="AQ1997" s="201">
        <f t="shared" si="10084"/>
        <v>0</v>
      </c>
      <c r="AR1997" s="200">
        <f t="shared" si="10084"/>
        <v>0</v>
      </c>
      <c r="AS1997" s="200">
        <f t="shared" si="10084"/>
        <v>0</v>
      </c>
      <c r="AT1997" s="173">
        <v>0.0</v>
      </c>
      <c r="AU1997" s="200">
        <f t="shared" ref="AU1997:AX1997" si="10085">countif($D1997,"*"&amp;AU$2&amp;"*")</f>
        <v>0</v>
      </c>
      <c r="AV1997" s="200">
        <f t="shared" si="10085"/>
        <v>1</v>
      </c>
      <c r="AW1997" s="200">
        <f t="shared" si="10085"/>
        <v>0</v>
      </c>
      <c r="AX1997" s="200">
        <f t="shared" si="10085"/>
        <v>0</v>
      </c>
      <c r="AY1997" s="202">
        <v>0.0</v>
      </c>
      <c r="AZ1997" s="200"/>
      <c r="BA1997" s="171" t="str">
        <f t="shared" si="18"/>
        <v/>
      </c>
      <c r="BB1997" s="171" t="str">
        <f t="shared" si="19"/>
        <v>Code</v>
      </c>
      <c r="BC1997" s="171" t="str">
        <f t="shared" si="20"/>
        <v/>
      </c>
      <c r="BD1997" s="171" t="str">
        <f t="shared" si="21"/>
        <v/>
      </c>
      <c r="BE1997" s="171" t="str">
        <f t="shared" si="22"/>
        <v/>
      </c>
      <c r="BF1997" s="171" t="str">
        <f t="shared" si="23"/>
        <v>Code</v>
      </c>
    </row>
    <row r="1998">
      <c r="A1998" s="171">
        <f t="array" ref="A1998">XLOOKUP(C1998,FSE!A:A,FSE!C:C,"XXXXX",0,1)</f>
        <v>2017</v>
      </c>
      <c r="B1998" s="213" t="s">
        <v>5676</v>
      </c>
      <c r="C1998" s="214">
        <v>625.0</v>
      </c>
      <c r="D1998" s="215" t="s">
        <v>4078</v>
      </c>
      <c r="E1998" s="197" t="str">
        <f t="array" ref="E1998">XLOOKUP(C1998,FSE!A:A,FSE!Z:Z,"XXXXX",0,1)</f>
        <v>Publicly Available (1)</v>
      </c>
      <c r="F1998" s="213" t="s">
        <v>3394</v>
      </c>
      <c r="G1998" s="163" t="str">
        <f t="array" ref="G1998">IF(B1998="ICSE",IF(COUNTIFS(B:B,B1998,C:C,C1998)=XLOOKUP(C1998,ICSE!A:A,ICSE!AA:AA,"ERROR",0,1),"OK","ERROR"),IF(B1998="FSE",IF(COUNTIFS(B:B,B1998,C:C,C1998)=XLOOKUP(C1998,FSE!A:A,FSE!AA:AA,"ERROR",0,1),"OK","ERROR")))</f>
        <v>OK</v>
      </c>
      <c r="H1998" s="199">
        <f t="shared" ref="H1998:O1998" si="10086">countif($D1998,"*"&amp;H$2&amp;"*")</f>
        <v>0</v>
      </c>
      <c r="I1998" s="200">
        <f t="shared" si="10086"/>
        <v>0</v>
      </c>
      <c r="J1998" s="200">
        <f t="shared" si="10086"/>
        <v>0</v>
      </c>
      <c r="K1998" s="200">
        <f t="shared" si="10086"/>
        <v>0</v>
      </c>
      <c r="L1998" s="200">
        <f t="shared" si="10086"/>
        <v>0</v>
      </c>
      <c r="M1998" s="200">
        <f t="shared" si="10086"/>
        <v>0</v>
      </c>
      <c r="N1998" s="200">
        <f t="shared" si="10086"/>
        <v>0</v>
      </c>
      <c r="O1998" s="200">
        <f t="shared" si="10086"/>
        <v>0</v>
      </c>
      <c r="P1998" s="200">
        <f t="shared" si="9"/>
        <v>1</v>
      </c>
      <c r="Q1998" s="200">
        <f t="shared" ref="Q1998:AC1998" si="10087">countif($D1998,"*"&amp;Q$2&amp;"*")</f>
        <v>0</v>
      </c>
      <c r="R1998" s="200">
        <f t="shared" si="10087"/>
        <v>0</v>
      </c>
      <c r="S1998" s="200">
        <f t="shared" si="10087"/>
        <v>0</v>
      </c>
      <c r="T1998" s="200">
        <f t="shared" si="10087"/>
        <v>0</v>
      </c>
      <c r="U1998" s="200">
        <f t="shared" si="10087"/>
        <v>0</v>
      </c>
      <c r="V1998" s="200">
        <f t="shared" si="10087"/>
        <v>0</v>
      </c>
      <c r="W1998" s="200">
        <f t="shared" si="10087"/>
        <v>0</v>
      </c>
      <c r="X1998" s="200">
        <f t="shared" si="10087"/>
        <v>0</v>
      </c>
      <c r="Y1998" s="200">
        <f t="shared" si="10087"/>
        <v>0</v>
      </c>
      <c r="Z1998" s="200">
        <f t="shared" si="10087"/>
        <v>0</v>
      </c>
      <c r="AA1998" s="200">
        <f t="shared" si="10087"/>
        <v>0</v>
      </c>
      <c r="AB1998" s="200">
        <f t="shared" si="10087"/>
        <v>0</v>
      </c>
      <c r="AC1998" s="200">
        <f t="shared" si="10087"/>
        <v>0</v>
      </c>
      <c r="AD1998" s="200">
        <f t="shared" si="11"/>
        <v>0</v>
      </c>
      <c r="AE1998" s="200">
        <f t="shared" ref="AE1998:AG1998" si="10088">countif($D1998,"*"&amp;AE$2&amp;"*")</f>
        <v>0</v>
      </c>
      <c r="AF1998" s="200">
        <f t="shared" si="10088"/>
        <v>0</v>
      </c>
      <c r="AG1998" s="200">
        <f t="shared" si="10088"/>
        <v>0</v>
      </c>
      <c r="AH1998" s="171">
        <f t="shared" si="13"/>
        <v>0</v>
      </c>
      <c r="AI1998" s="200">
        <f t="shared" si="14"/>
        <v>0</v>
      </c>
      <c r="AJ1998" s="200">
        <f t="shared" si="10089"/>
        <v>0</v>
      </c>
      <c r="AK1998" s="201">
        <f t="shared" ref="AK1998:AS1998" si="10090">countif($D1998,"*"&amp;AK$2&amp;"*")</f>
        <v>0</v>
      </c>
      <c r="AL1998" s="201">
        <f t="shared" si="10090"/>
        <v>0</v>
      </c>
      <c r="AM1998" s="201">
        <f t="shared" si="10090"/>
        <v>0</v>
      </c>
      <c r="AN1998" s="201">
        <f t="shared" si="10090"/>
        <v>0</v>
      </c>
      <c r="AO1998" s="201">
        <f t="shared" si="10090"/>
        <v>0</v>
      </c>
      <c r="AP1998" s="201">
        <f t="shared" si="10090"/>
        <v>0</v>
      </c>
      <c r="AQ1998" s="201">
        <f t="shared" si="10090"/>
        <v>0</v>
      </c>
      <c r="AR1998" s="200">
        <f t="shared" si="10090"/>
        <v>0</v>
      </c>
      <c r="AS1998" s="200">
        <f t="shared" si="10090"/>
        <v>0</v>
      </c>
      <c r="AT1998" s="173">
        <v>0.0</v>
      </c>
      <c r="AU1998" s="200">
        <f t="shared" ref="AU1998:AX1998" si="10091">countif($D1998,"*"&amp;AU$2&amp;"*")</f>
        <v>0</v>
      </c>
      <c r="AV1998" s="200">
        <f t="shared" si="10091"/>
        <v>1</v>
      </c>
      <c r="AW1998" s="200">
        <f t="shared" si="10091"/>
        <v>0</v>
      </c>
      <c r="AX1998" s="200">
        <f t="shared" si="10091"/>
        <v>0</v>
      </c>
      <c r="AY1998" s="202">
        <v>0.0</v>
      </c>
      <c r="AZ1998" s="200"/>
      <c r="BA1998" s="171" t="str">
        <f t="shared" si="18"/>
        <v/>
      </c>
      <c r="BB1998" s="171" t="str">
        <f t="shared" si="19"/>
        <v>Code</v>
      </c>
      <c r="BC1998" s="171" t="str">
        <f t="shared" si="20"/>
        <v/>
      </c>
      <c r="BD1998" s="171" t="str">
        <f t="shared" si="21"/>
        <v/>
      </c>
      <c r="BE1998" s="171" t="str">
        <f t="shared" si="22"/>
        <v/>
      </c>
      <c r="BF1998" s="171" t="str">
        <f t="shared" si="23"/>
        <v>Code</v>
      </c>
    </row>
    <row r="1999">
      <c r="A1999" s="171">
        <f t="array" ref="A1999">XLOOKUP(C1999,FSE!A:A,FSE!C:C,"XXXXX",0,1)</f>
        <v>2017</v>
      </c>
      <c r="B1999" s="213" t="s">
        <v>5676</v>
      </c>
      <c r="C1999" s="214">
        <v>627.0</v>
      </c>
      <c r="D1999" s="215" t="s">
        <v>4082</v>
      </c>
      <c r="E1999" s="197" t="str">
        <f t="array" ref="E1999">XLOOKUP(C1999,FSE!A:A,FSE!Z:Z,"XXXXX",0,1)</f>
        <v>Publicly Available (1)</v>
      </c>
      <c r="F1999" s="213" t="s">
        <v>3394</v>
      </c>
      <c r="G1999" s="163" t="str">
        <f t="array" ref="G1999">IF(B1999="ICSE",IF(COUNTIFS(B:B,B1999,C:C,C1999)=XLOOKUP(C1999,ICSE!A:A,ICSE!AA:AA,"ERROR",0,1),"OK","ERROR"),IF(B1999="FSE",IF(COUNTIFS(B:B,B1999,C:C,C1999)=XLOOKUP(C1999,FSE!A:A,FSE!AA:AA,"ERROR",0,1),"OK","ERROR")))</f>
        <v>OK</v>
      </c>
      <c r="H1999" s="199">
        <f t="shared" ref="H1999:O1999" si="10092">countif($D1999,"*"&amp;H$2&amp;"*")</f>
        <v>0</v>
      </c>
      <c r="I1999" s="200">
        <f t="shared" si="10092"/>
        <v>0</v>
      </c>
      <c r="J1999" s="200">
        <f t="shared" si="10092"/>
        <v>0</v>
      </c>
      <c r="K1999" s="200">
        <f t="shared" si="10092"/>
        <v>0</v>
      </c>
      <c r="L1999" s="200">
        <f t="shared" si="10092"/>
        <v>0</v>
      </c>
      <c r="M1999" s="200">
        <f t="shared" si="10092"/>
        <v>0</v>
      </c>
      <c r="N1999" s="200">
        <f t="shared" si="10092"/>
        <v>0</v>
      </c>
      <c r="O1999" s="200">
        <f t="shared" si="10092"/>
        <v>0</v>
      </c>
      <c r="P1999" s="200">
        <f t="shared" si="9"/>
        <v>1</v>
      </c>
      <c r="Q1999" s="200">
        <f t="shared" ref="Q1999:AC1999" si="10093">countif($D1999,"*"&amp;Q$2&amp;"*")</f>
        <v>0</v>
      </c>
      <c r="R1999" s="200">
        <f t="shared" si="10093"/>
        <v>0</v>
      </c>
      <c r="S1999" s="200">
        <f t="shared" si="10093"/>
        <v>0</v>
      </c>
      <c r="T1999" s="200">
        <f t="shared" si="10093"/>
        <v>0</v>
      </c>
      <c r="U1999" s="200">
        <f t="shared" si="10093"/>
        <v>0</v>
      </c>
      <c r="V1999" s="200">
        <f t="shared" si="10093"/>
        <v>0</v>
      </c>
      <c r="W1999" s="200">
        <f t="shared" si="10093"/>
        <v>0</v>
      </c>
      <c r="X1999" s="200">
        <f t="shared" si="10093"/>
        <v>0</v>
      </c>
      <c r="Y1999" s="200">
        <f t="shared" si="10093"/>
        <v>0</v>
      </c>
      <c r="Z1999" s="200">
        <f t="shared" si="10093"/>
        <v>0</v>
      </c>
      <c r="AA1999" s="200">
        <f t="shared" si="10093"/>
        <v>0</v>
      </c>
      <c r="AB1999" s="200">
        <f t="shared" si="10093"/>
        <v>0</v>
      </c>
      <c r="AC1999" s="200">
        <f t="shared" si="10093"/>
        <v>0</v>
      </c>
      <c r="AD1999" s="200">
        <f t="shared" si="11"/>
        <v>0</v>
      </c>
      <c r="AE1999" s="200">
        <f t="shared" ref="AE1999:AG1999" si="10094">countif($D1999,"*"&amp;AE$2&amp;"*")</f>
        <v>0</v>
      </c>
      <c r="AF1999" s="200">
        <f t="shared" si="10094"/>
        <v>0</v>
      </c>
      <c r="AG1999" s="200">
        <f t="shared" si="10094"/>
        <v>0</v>
      </c>
      <c r="AH1999" s="171">
        <f t="shared" si="13"/>
        <v>0</v>
      </c>
      <c r="AI1999" s="200">
        <f t="shared" si="14"/>
        <v>0</v>
      </c>
      <c r="AJ1999" s="200">
        <f t="shared" si="10089"/>
        <v>0</v>
      </c>
      <c r="AK1999" s="201">
        <f t="shared" ref="AK1999:AS1999" si="10095">countif($D1999,"*"&amp;AK$2&amp;"*")</f>
        <v>0</v>
      </c>
      <c r="AL1999" s="201">
        <f t="shared" si="10095"/>
        <v>0</v>
      </c>
      <c r="AM1999" s="201">
        <f t="shared" si="10095"/>
        <v>0</v>
      </c>
      <c r="AN1999" s="201">
        <f t="shared" si="10095"/>
        <v>0</v>
      </c>
      <c r="AO1999" s="201">
        <f t="shared" si="10095"/>
        <v>0</v>
      </c>
      <c r="AP1999" s="201">
        <f t="shared" si="10095"/>
        <v>0</v>
      </c>
      <c r="AQ1999" s="201">
        <f t="shared" si="10095"/>
        <v>0</v>
      </c>
      <c r="AR1999" s="200">
        <f t="shared" si="10095"/>
        <v>0</v>
      </c>
      <c r="AS1999" s="200">
        <f t="shared" si="10095"/>
        <v>0</v>
      </c>
      <c r="AT1999" s="173">
        <v>0.0</v>
      </c>
      <c r="AU1999" s="200">
        <f t="shared" ref="AU1999:AX1999" si="10096">countif($D1999,"*"&amp;AU$2&amp;"*")</f>
        <v>0</v>
      </c>
      <c r="AV1999" s="200">
        <f t="shared" si="10096"/>
        <v>1</v>
      </c>
      <c r="AW1999" s="200">
        <f t="shared" si="10096"/>
        <v>0</v>
      </c>
      <c r="AX1999" s="200">
        <f t="shared" si="10096"/>
        <v>0</v>
      </c>
      <c r="AY1999" s="202">
        <v>0.0</v>
      </c>
      <c r="AZ1999" s="200"/>
      <c r="BA1999" s="171" t="str">
        <f t="shared" si="18"/>
        <v/>
      </c>
      <c r="BB1999" s="171" t="str">
        <f t="shared" si="19"/>
        <v>Code</v>
      </c>
      <c r="BC1999" s="171" t="str">
        <f t="shared" si="20"/>
        <v/>
      </c>
      <c r="BD1999" s="171" t="str">
        <f t="shared" si="21"/>
        <v/>
      </c>
      <c r="BE1999" s="171" t="str">
        <f t="shared" si="22"/>
        <v/>
      </c>
      <c r="BF1999" s="171" t="str">
        <f t="shared" si="23"/>
        <v>Code</v>
      </c>
    </row>
    <row r="2000">
      <c r="A2000" s="171">
        <f t="array" ref="A2000">XLOOKUP(C2000,FSE!A:A,FSE!C:C,"XXXXX",0,1)</f>
        <v>2017</v>
      </c>
      <c r="B2000" s="213" t="s">
        <v>5676</v>
      </c>
      <c r="C2000" s="214">
        <v>628.0</v>
      </c>
      <c r="D2000" s="215" t="s">
        <v>4085</v>
      </c>
      <c r="E2000" s="197" t="str">
        <f t="array" ref="E2000">XLOOKUP(C2000,FSE!A:A,FSE!Z:Z,"XXXXX",0,1)</f>
        <v>Publicly Available (1)</v>
      </c>
      <c r="F2000" s="213" t="s">
        <v>3394</v>
      </c>
      <c r="G2000" s="163" t="str">
        <f t="array" ref="G2000">IF(B2000="ICSE",IF(COUNTIFS(B:B,B2000,C:C,C2000)=XLOOKUP(C2000,ICSE!A:A,ICSE!AA:AA,"ERROR",0,1),"OK","ERROR"),IF(B2000="FSE",IF(COUNTIFS(B:B,B2000,C:C,C2000)=XLOOKUP(C2000,FSE!A:A,FSE!AA:AA,"ERROR",0,1),"OK","ERROR")))</f>
        <v>OK</v>
      </c>
      <c r="H2000" s="199">
        <f t="shared" ref="H2000:O2000" si="10097">countif($D2000,"*"&amp;H$2&amp;"*")</f>
        <v>0</v>
      </c>
      <c r="I2000" s="200">
        <f t="shared" si="10097"/>
        <v>0</v>
      </c>
      <c r="J2000" s="200">
        <f t="shared" si="10097"/>
        <v>0</v>
      </c>
      <c r="K2000" s="200">
        <f t="shared" si="10097"/>
        <v>0</v>
      </c>
      <c r="L2000" s="200">
        <f t="shared" si="10097"/>
        <v>0</v>
      </c>
      <c r="M2000" s="200">
        <f t="shared" si="10097"/>
        <v>0</v>
      </c>
      <c r="N2000" s="200">
        <f t="shared" si="10097"/>
        <v>0</v>
      </c>
      <c r="O2000" s="200">
        <f t="shared" si="10097"/>
        <v>0</v>
      </c>
      <c r="P2000" s="200">
        <f t="shared" si="9"/>
        <v>1</v>
      </c>
      <c r="Q2000" s="200">
        <f t="shared" ref="Q2000:AC2000" si="10098">countif($D2000,"*"&amp;Q$2&amp;"*")</f>
        <v>0</v>
      </c>
      <c r="R2000" s="200">
        <f t="shared" si="10098"/>
        <v>0</v>
      </c>
      <c r="S2000" s="200">
        <f t="shared" si="10098"/>
        <v>0</v>
      </c>
      <c r="T2000" s="200">
        <f t="shared" si="10098"/>
        <v>0</v>
      </c>
      <c r="U2000" s="200">
        <f t="shared" si="10098"/>
        <v>0</v>
      </c>
      <c r="V2000" s="200">
        <f t="shared" si="10098"/>
        <v>0</v>
      </c>
      <c r="W2000" s="200">
        <f t="shared" si="10098"/>
        <v>0</v>
      </c>
      <c r="X2000" s="200">
        <f t="shared" si="10098"/>
        <v>0</v>
      </c>
      <c r="Y2000" s="200">
        <f t="shared" si="10098"/>
        <v>0</v>
      </c>
      <c r="Z2000" s="200">
        <f t="shared" si="10098"/>
        <v>0</v>
      </c>
      <c r="AA2000" s="200">
        <f t="shared" si="10098"/>
        <v>0</v>
      </c>
      <c r="AB2000" s="200">
        <f t="shared" si="10098"/>
        <v>0</v>
      </c>
      <c r="AC2000" s="200">
        <f t="shared" si="10098"/>
        <v>0</v>
      </c>
      <c r="AD2000" s="200">
        <f t="shared" si="11"/>
        <v>0</v>
      </c>
      <c r="AE2000" s="200">
        <f t="shared" ref="AE2000:AG2000" si="10099">countif($D2000,"*"&amp;AE$2&amp;"*")</f>
        <v>0</v>
      </c>
      <c r="AF2000" s="200">
        <f t="shared" si="10099"/>
        <v>0</v>
      </c>
      <c r="AG2000" s="200">
        <f t="shared" si="10099"/>
        <v>0</v>
      </c>
      <c r="AH2000" s="171">
        <f t="shared" si="13"/>
        <v>0</v>
      </c>
      <c r="AI2000" s="200">
        <f t="shared" si="14"/>
        <v>0</v>
      </c>
      <c r="AJ2000" s="200">
        <f t="shared" si="10089"/>
        <v>0</v>
      </c>
      <c r="AK2000" s="201">
        <f t="shared" ref="AK2000:AS2000" si="10100">countif($D2000,"*"&amp;AK$2&amp;"*")</f>
        <v>0</v>
      </c>
      <c r="AL2000" s="201">
        <f t="shared" si="10100"/>
        <v>0</v>
      </c>
      <c r="AM2000" s="201">
        <f t="shared" si="10100"/>
        <v>0</v>
      </c>
      <c r="AN2000" s="201">
        <f t="shared" si="10100"/>
        <v>0</v>
      </c>
      <c r="AO2000" s="201">
        <f t="shared" si="10100"/>
        <v>0</v>
      </c>
      <c r="AP2000" s="201">
        <f t="shared" si="10100"/>
        <v>0</v>
      </c>
      <c r="AQ2000" s="201">
        <f t="shared" si="10100"/>
        <v>0</v>
      </c>
      <c r="AR2000" s="200">
        <f t="shared" si="10100"/>
        <v>0</v>
      </c>
      <c r="AS2000" s="200">
        <f t="shared" si="10100"/>
        <v>0</v>
      </c>
      <c r="AT2000" s="173">
        <v>0.0</v>
      </c>
      <c r="AU2000" s="200">
        <f t="shared" ref="AU2000:AX2000" si="10101">countif($D2000,"*"&amp;AU$2&amp;"*")</f>
        <v>0</v>
      </c>
      <c r="AV2000" s="200">
        <f t="shared" si="10101"/>
        <v>1</v>
      </c>
      <c r="AW2000" s="200">
        <f t="shared" si="10101"/>
        <v>0</v>
      </c>
      <c r="AX2000" s="200">
        <f t="shared" si="10101"/>
        <v>0</v>
      </c>
      <c r="AY2000" s="202">
        <v>0.0</v>
      </c>
      <c r="AZ2000" s="200"/>
      <c r="BA2000" s="171" t="str">
        <f t="shared" si="18"/>
        <v/>
      </c>
      <c r="BB2000" s="171" t="str">
        <f t="shared" si="19"/>
        <v>Code</v>
      </c>
      <c r="BC2000" s="171" t="str">
        <f t="shared" si="20"/>
        <v/>
      </c>
      <c r="BD2000" s="171" t="str">
        <f t="shared" si="21"/>
        <v/>
      </c>
      <c r="BE2000" s="171" t="str">
        <f t="shared" si="22"/>
        <v/>
      </c>
      <c r="BF2000" s="171" t="str">
        <f t="shared" si="23"/>
        <v>Code</v>
      </c>
    </row>
    <row r="2001">
      <c r="A2001" s="171">
        <f t="array" ref="A2001">XLOOKUP(C2001,FSE!A:A,FSE!C:C,"XXXXX",0,1)</f>
        <v>2017</v>
      </c>
      <c r="B2001" s="213" t="s">
        <v>5676</v>
      </c>
      <c r="C2001" s="214">
        <v>630.0</v>
      </c>
      <c r="D2001" s="215" t="s">
        <v>4089</v>
      </c>
      <c r="E2001" s="197" t="str">
        <f t="array" ref="E2001">XLOOKUP(C2001,FSE!A:A,FSE!Z:Z,"XXXXX",0,1)</f>
        <v>Publicly Available (1)</v>
      </c>
      <c r="F2001" s="213" t="s">
        <v>3394</v>
      </c>
      <c r="G2001" s="163" t="str">
        <f t="array" ref="G2001">IF(B2001="ICSE",IF(COUNTIFS(B:B,B2001,C:C,C2001)=XLOOKUP(C2001,ICSE!A:A,ICSE!AA:AA,"ERROR",0,1),"OK","ERROR"),IF(B2001="FSE",IF(COUNTIFS(B:B,B2001,C:C,C2001)=XLOOKUP(C2001,FSE!A:A,FSE!AA:AA,"ERROR",0,1),"OK","ERROR")))</f>
        <v>OK</v>
      </c>
      <c r="H2001" s="199">
        <f t="shared" ref="H2001:O2001" si="10102">countif($D2001,"*"&amp;H$2&amp;"*")</f>
        <v>0</v>
      </c>
      <c r="I2001" s="200">
        <f t="shared" si="10102"/>
        <v>0</v>
      </c>
      <c r="J2001" s="200">
        <f t="shared" si="10102"/>
        <v>0</v>
      </c>
      <c r="K2001" s="200">
        <f t="shared" si="10102"/>
        <v>0</v>
      </c>
      <c r="L2001" s="200">
        <f t="shared" si="10102"/>
        <v>0</v>
      </c>
      <c r="M2001" s="200">
        <f t="shared" si="10102"/>
        <v>0</v>
      </c>
      <c r="N2001" s="200">
        <f t="shared" si="10102"/>
        <v>0</v>
      </c>
      <c r="O2001" s="200">
        <f t="shared" si="10102"/>
        <v>0</v>
      </c>
      <c r="P2001" s="200">
        <f t="shared" si="9"/>
        <v>1</v>
      </c>
      <c r="Q2001" s="200">
        <f t="shared" ref="Q2001:AC2001" si="10103">countif($D2001,"*"&amp;Q$2&amp;"*")</f>
        <v>0</v>
      </c>
      <c r="R2001" s="200">
        <f t="shared" si="10103"/>
        <v>0</v>
      </c>
      <c r="S2001" s="200">
        <f t="shared" si="10103"/>
        <v>0</v>
      </c>
      <c r="T2001" s="200">
        <f t="shared" si="10103"/>
        <v>0</v>
      </c>
      <c r="U2001" s="200">
        <f t="shared" si="10103"/>
        <v>0</v>
      </c>
      <c r="V2001" s="200">
        <f t="shared" si="10103"/>
        <v>0</v>
      </c>
      <c r="W2001" s="200">
        <f t="shared" si="10103"/>
        <v>0</v>
      </c>
      <c r="X2001" s="200">
        <f t="shared" si="10103"/>
        <v>0</v>
      </c>
      <c r="Y2001" s="200">
        <f t="shared" si="10103"/>
        <v>0</v>
      </c>
      <c r="Z2001" s="200">
        <f t="shared" si="10103"/>
        <v>0</v>
      </c>
      <c r="AA2001" s="200">
        <f t="shared" si="10103"/>
        <v>0</v>
      </c>
      <c r="AB2001" s="200">
        <f t="shared" si="10103"/>
        <v>0</v>
      </c>
      <c r="AC2001" s="200">
        <f t="shared" si="10103"/>
        <v>0</v>
      </c>
      <c r="AD2001" s="200">
        <f t="shared" si="11"/>
        <v>0</v>
      </c>
      <c r="AE2001" s="200">
        <f t="shared" ref="AE2001:AG2001" si="10104">countif($D2001,"*"&amp;AE$2&amp;"*")</f>
        <v>0</v>
      </c>
      <c r="AF2001" s="200">
        <f t="shared" si="10104"/>
        <v>0</v>
      </c>
      <c r="AG2001" s="200">
        <f t="shared" si="10104"/>
        <v>0</v>
      </c>
      <c r="AH2001" s="171">
        <f t="shared" si="13"/>
        <v>0</v>
      </c>
      <c r="AI2001" s="200">
        <f t="shared" si="14"/>
        <v>0</v>
      </c>
      <c r="AJ2001" s="200">
        <f t="shared" si="10089"/>
        <v>0</v>
      </c>
      <c r="AK2001" s="201">
        <f t="shared" ref="AK2001:AS2001" si="10105">countif($D2001,"*"&amp;AK$2&amp;"*")</f>
        <v>0</v>
      </c>
      <c r="AL2001" s="201">
        <f t="shared" si="10105"/>
        <v>0</v>
      </c>
      <c r="AM2001" s="201">
        <f t="shared" si="10105"/>
        <v>0</v>
      </c>
      <c r="AN2001" s="201">
        <f t="shared" si="10105"/>
        <v>0</v>
      </c>
      <c r="AO2001" s="201">
        <f t="shared" si="10105"/>
        <v>0</v>
      </c>
      <c r="AP2001" s="201">
        <f t="shared" si="10105"/>
        <v>0</v>
      </c>
      <c r="AQ2001" s="201">
        <f t="shared" si="10105"/>
        <v>0</v>
      </c>
      <c r="AR2001" s="200">
        <f t="shared" si="10105"/>
        <v>0</v>
      </c>
      <c r="AS2001" s="200">
        <f t="shared" si="10105"/>
        <v>0</v>
      </c>
      <c r="AT2001" s="173">
        <v>0.0</v>
      </c>
      <c r="AU2001" s="200">
        <f t="shared" ref="AU2001:AX2001" si="10106">countif($D2001,"*"&amp;AU$2&amp;"*")</f>
        <v>0</v>
      </c>
      <c r="AV2001" s="200">
        <f t="shared" si="10106"/>
        <v>1</v>
      </c>
      <c r="AW2001" s="200">
        <f t="shared" si="10106"/>
        <v>0</v>
      </c>
      <c r="AX2001" s="200">
        <f t="shared" si="10106"/>
        <v>0</v>
      </c>
      <c r="AY2001" s="202">
        <v>0.0</v>
      </c>
      <c r="AZ2001" s="200"/>
      <c r="BA2001" s="171" t="str">
        <f t="shared" si="18"/>
        <v/>
      </c>
      <c r="BB2001" s="171" t="str">
        <f t="shared" si="19"/>
        <v>Code</v>
      </c>
      <c r="BC2001" s="171" t="str">
        <f t="shared" si="20"/>
        <v/>
      </c>
      <c r="BD2001" s="171" t="str">
        <f t="shared" si="21"/>
        <v/>
      </c>
      <c r="BE2001" s="171" t="str">
        <f t="shared" si="22"/>
        <v/>
      </c>
      <c r="BF2001" s="171" t="str">
        <f t="shared" si="23"/>
        <v>Code</v>
      </c>
    </row>
    <row r="2002">
      <c r="A2002" s="171">
        <f t="array" ref="A2002">XLOOKUP(C2002,FSE!A:A,FSE!C:C,"XXXXX",0,1)</f>
        <v>2017</v>
      </c>
      <c r="B2002" s="213" t="s">
        <v>5676</v>
      </c>
      <c r="C2002" s="214">
        <v>631.0</v>
      </c>
      <c r="D2002" s="215" t="s">
        <v>4091</v>
      </c>
      <c r="E2002" s="197" t="str">
        <f t="array" ref="E2002">XLOOKUP(C2002,FSE!A:A,FSE!Z:Z,"XXXXX",0,1)</f>
        <v>Not Available (1)</v>
      </c>
      <c r="F2002" s="213" t="s">
        <v>3395</v>
      </c>
      <c r="G2002" s="163" t="str">
        <f t="array" ref="G2002">IF(B2002="ICSE",IF(COUNTIFS(B:B,B2002,C:C,C2002)=XLOOKUP(C2002,ICSE!A:A,ICSE!AA:AA,"ERROR",0,1),"OK","ERROR"),IF(B2002="FSE",IF(COUNTIFS(B:B,B2002,C:C,C2002)=XLOOKUP(C2002,FSE!A:A,FSE!AA:AA,"ERROR",0,1),"OK","ERROR")))</f>
        <v>OK</v>
      </c>
      <c r="H2002" s="199">
        <f t="shared" ref="H2002:O2002" si="10107">countif($D2002,"*"&amp;H$2&amp;"*")</f>
        <v>0</v>
      </c>
      <c r="I2002" s="200">
        <f t="shared" si="10107"/>
        <v>0</v>
      </c>
      <c r="J2002" s="200">
        <f t="shared" si="10107"/>
        <v>0</v>
      </c>
      <c r="K2002" s="200">
        <f t="shared" si="10107"/>
        <v>0</v>
      </c>
      <c r="L2002" s="200">
        <f t="shared" si="10107"/>
        <v>0</v>
      </c>
      <c r="M2002" s="200">
        <f t="shared" si="10107"/>
        <v>0</v>
      </c>
      <c r="N2002" s="200">
        <f t="shared" si="10107"/>
        <v>0</v>
      </c>
      <c r="O2002" s="200">
        <f t="shared" si="10107"/>
        <v>0</v>
      </c>
      <c r="P2002" s="200">
        <f t="shared" si="9"/>
        <v>0</v>
      </c>
      <c r="Q2002" s="200">
        <f t="shared" ref="Q2002:AC2002" si="10108">countif($D2002,"*"&amp;Q$2&amp;"*")</f>
        <v>0</v>
      </c>
      <c r="R2002" s="200">
        <f t="shared" si="10108"/>
        <v>0</v>
      </c>
      <c r="S2002" s="200">
        <f t="shared" si="10108"/>
        <v>0</v>
      </c>
      <c r="T2002" s="200">
        <f t="shared" si="10108"/>
        <v>0</v>
      </c>
      <c r="U2002" s="200">
        <f t="shared" si="10108"/>
        <v>0</v>
      </c>
      <c r="V2002" s="200">
        <f t="shared" si="10108"/>
        <v>0</v>
      </c>
      <c r="W2002" s="200">
        <f t="shared" si="10108"/>
        <v>0</v>
      </c>
      <c r="X2002" s="200">
        <f t="shared" si="10108"/>
        <v>0</v>
      </c>
      <c r="Y2002" s="200">
        <f t="shared" si="10108"/>
        <v>0</v>
      </c>
      <c r="Z2002" s="200">
        <f t="shared" si="10108"/>
        <v>0</v>
      </c>
      <c r="AA2002" s="200">
        <f t="shared" si="10108"/>
        <v>0</v>
      </c>
      <c r="AB2002" s="200">
        <f t="shared" si="10108"/>
        <v>0</v>
      </c>
      <c r="AC2002" s="200">
        <f t="shared" si="10108"/>
        <v>0</v>
      </c>
      <c r="AD2002" s="200">
        <f t="shared" si="11"/>
        <v>1</v>
      </c>
      <c r="AE2002" s="200">
        <f t="shared" ref="AE2002:AG2002" si="10109">countif($D2002,"*"&amp;AE$2&amp;"*")</f>
        <v>0</v>
      </c>
      <c r="AF2002" s="200">
        <f t="shared" si="10109"/>
        <v>0</v>
      </c>
      <c r="AG2002" s="200">
        <f t="shared" si="10109"/>
        <v>0</v>
      </c>
      <c r="AH2002" s="171">
        <f t="shared" si="13"/>
        <v>0</v>
      </c>
      <c r="AI2002" s="200">
        <f t="shared" si="14"/>
        <v>0</v>
      </c>
      <c r="AJ2002" s="200">
        <f t="shared" si="10089"/>
        <v>0</v>
      </c>
      <c r="AK2002" s="201">
        <f t="shared" ref="AK2002:AS2002" si="10110">countif($D2002,"*"&amp;AK$2&amp;"*")</f>
        <v>0</v>
      </c>
      <c r="AL2002" s="201">
        <f t="shared" si="10110"/>
        <v>0</v>
      </c>
      <c r="AM2002" s="201">
        <f t="shared" si="10110"/>
        <v>0</v>
      </c>
      <c r="AN2002" s="201">
        <f t="shared" si="10110"/>
        <v>0</v>
      </c>
      <c r="AO2002" s="201">
        <f t="shared" si="10110"/>
        <v>0</v>
      </c>
      <c r="AP2002" s="201">
        <f t="shared" si="10110"/>
        <v>0</v>
      </c>
      <c r="AQ2002" s="201">
        <f t="shared" si="10110"/>
        <v>0</v>
      </c>
      <c r="AR2002" s="200">
        <f t="shared" si="10110"/>
        <v>0</v>
      </c>
      <c r="AS2002" s="200">
        <f t="shared" si="10110"/>
        <v>0</v>
      </c>
      <c r="AT2002" s="173">
        <v>1.0</v>
      </c>
      <c r="AU2002" s="200">
        <f t="shared" ref="AU2002:AX2002" si="10111">countif($D2002,"*"&amp;AU$2&amp;"*")</f>
        <v>0</v>
      </c>
      <c r="AV2002" s="200">
        <f t="shared" si="10111"/>
        <v>0</v>
      </c>
      <c r="AW2002" s="200">
        <f t="shared" si="10111"/>
        <v>0</v>
      </c>
      <c r="AX2002" s="200">
        <f t="shared" si="10111"/>
        <v>0</v>
      </c>
      <c r="AY2002" s="202">
        <v>0.0</v>
      </c>
      <c r="AZ2002" s="200"/>
      <c r="BA2002" s="171" t="str">
        <f t="shared" si="18"/>
        <v/>
      </c>
      <c r="BB2002" s="171" t="str">
        <f t="shared" si="19"/>
        <v/>
      </c>
      <c r="BC2002" s="171" t="str">
        <f t="shared" si="20"/>
        <v/>
      </c>
      <c r="BD2002" s="171" t="str">
        <f t="shared" si="21"/>
        <v>Institutional</v>
      </c>
      <c r="BE2002" s="171" t="str">
        <f t="shared" si="22"/>
        <v/>
      </c>
      <c r="BF2002" s="171" t="str">
        <f t="shared" si="23"/>
        <v>Institutional</v>
      </c>
    </row>
    <row r="2003">
      <c r="A2003" s="171">
        <f t="array" ref="A2003">XLOOKUP(C2003,FSE!A:A,FSE!C:C,"XXXXX",0,1)</f>
        <v>2016</v>
      </c>
      <c r="B2003" s="213" t="s">
        <v>5676</v>
      </c>
      <c r="C2003" s="214">
        <v>632.0</v>
      </c>
      <c r="D2003" s="215" t="s">
        <v>3729</v>
      </c>
      <c r="E2003" s="197" t="str">
        <f t="array" ref="E2003">XLOOKUP(C2003,FSE!A:A,FSE!Z:Z,"XXXXX",0,1)</f>
        <v>Publicly Available (1)</v>
      </c>
      <c r="F2003" s="213" t="s">
        <v>3394</v>
      </c>
      <c r="G2003" s="163" t="str">
        <f t="array" ref="G2003">IF(B2003="ICSE",IF(COUNTIFS(B:B,B2003,C:C,C2003)=XLOOKUP(C2003,ICSE!A:A,ICSE!AA:AA,"ERROR",0,1),"OK","ERROR"),IF(B2003="FSE",IF(COUNTIFS(B:B,B2003,C:C,C2003)=XLOOKUP(C2003,FSE!A:A,FSE!AA:AA,"ERROR",0,1),"OK","ERROR")))</f>
        <v>OK</v>
      </c>
      <c r="H2003" s="199">
        <f t="shared" ref="H2003:O2003" si="10112">countif($D2003,"*"&amp;H$2&amp;"*")</f>
        <v>0</v>
      </c>
      <c r="I2003" s="200">
        <f t="shared" si="10112"/>
        <v>0</v>
      </c>
      <c r="J2003" s="200">
        <f t="shared" si="10112"/>
        <v>0</v>
      </c>
      <c r="K2003" s="200">
        <f t="shared" si="10112"/>
        <v>0</v>
      </c>
      <c r="L2003" s="200">
        <f t="shared" si="10112"/>
        <v>0</v>
      </c>
      <c r="M2003" s="200">
        <f t="shared" si="10112"/>
        <v>0</v>
      </c>
      <c r="N2003" s="200">
        <f t="shared" si="10112"/>
        <v>0</v>
      </c>
      <c r="O2003" s="200">
        <f t="shared" si="10112"/>
        <v>0</v>
      </c>
      <c r="P2003" s="200">
        <f t="shared" si="9"/>
        <v>0</v>
      </c>
      <c r="Q2003" s="200">
        <f t="shared" ref="Q2003:AC2003" si="10113">countif($D2003,"*"&amp;Q$2&amp;"*")</f>
        <v>0</v>
      </c>
      <c r="R2003" s="200">
        <f t="shared" si="10113"/>
        <v>0</v>
      </c>
      <c r="S2003" s="200">
        <f t="shared" si="10113"/>
        <v>0</v>
      </c>
      <c r="T2003" s="200">
        <f t="shared" si="10113"/>
        <v>0</v>
      </c>
      <c r="U2003" s="200">
        <f t="shared" si="10113"/>
        <v>0</v>
      </c>
      <c r="V2003" s="200">
        <f t="shared" si="10113"/>
        <v>0</v>
      </c>
      <c r="W2003" s="200">
        <f t="shared" si="10113"/>
        <v>0</v>
      </c>
      <c r="X2003" s="200">
        <f t="shared" si="10113"/>
        <v>0</v>
      </c>
      <c r="Y2003" s="200">
        <f t="shared" si="10113"/>
        <v>0</v>
      </c>
      <c r="Z2003" s="200">
        <f t="shared" si="10113"/>
        <v>0</v>
      </c>
      <c r="AA2003" s="200">
        <f t="shared" si="10113"/>
        <v>0</v>
      </c>
      <c r="AB2003" s="200">
        <f t="shared" si="10113"/>
        <v>0</v>
      </c>
      <c r="AC2003" s="200">
        <f t="shared" si="10113"/>
        <v>0</v>
      </c>
      <c r="AD2003" s="200">
        <f t="shared" si="11"/>
        <v>1</v>
      </c>
      <c r="AE2003" s="200">
        <f t="shared" ref="AE2003:AG2003" si="10114">countif($D2003,"*"&amp;AE$2&amp;"*")</f>
        <v>0</v>
      </c>
      <c r="AF2003" s="200">
        <f t="shared" si="10114"/>
        <v>0</v>
      </c>
      <c r="AG2003" s="200">
        <f t="shared" si="10114"/>
        <v>0</v>
      </c>
      <c r="AH2003" s="171">
        <f t="shared" si="13"/>
        <v>0</v>
      </c>
      <c r="AI2003" s="200">
        <f t="shared" si="14"/>
        <v>0</v>
      </c>
      <c r="AJ2003" s="200">
        <f>SUM(AK2003:AQ2003)</f>
        <v>0</v>
      </c>
      <c r="AK2003" s="201">
        <f t="shared" ref="AK2003:AS2003" si="10115">countif($D2003,"*"&amp;AK$2&amp;"*")</f>
        <v>0</v>
      </c>
      <c r="AL2003" s="201">
        <f t="shared" si="10115"/>
        <v>0</v>
      </c>
      <c r="AM2003" s="201">
        <f t="shared" si="10115"/>
        <v>0</v>
      </c>
      <c r="AN2003" s="201">
        <f t="shared" si="10115"/>
        <v>0</v>
      </c>
      <c r="AO2003" s="201">
        <f t="shared" si="10115"/>
        <v>0</v>
      </c>
      <c r="AP2003" s="201">
        <f t="shared" si="10115"/>
        <v>0</v>
      </c>
      <c r="AQ2003" s="201">
        <f t="shared" si="10115"/>
        <v>0</v>
      </c>
      <c r="AR2003" s="201">
        <f t="shared" si="10115"/>
        <v>0</v>
      </c>
      <c r="AS2003" s="200">
        <f t="shared" si="10115"/>
        <v>0</v>
      </c>
      <c r="AT2003" s="205">
        <v>0.0</v>
      </c>
      <c r="AU2003" s="200">
        <f t="shared" ref="AU2003:AX2003" si="10116">countif($D2003,"*"&amp;AU$2&amp;"*")</f>
        <v>1</v>
      </c>
      <c r="AV2003" s="200">
        <f t="shared" si="10116"/>
        <v>0</v>
      </c>
      <c r="AW2003" s="200">
        <f t="shared" si="10116"/>
        <v>0</v>
      </c>
      <c r="AX2003" s="200">
        <f t="shared" si="10116"/>
        <v>0</v>
      </c>
      <c r="AY2003" s="202">
        <v>0.0</v>
      </c>
      <c r="AZ2003" s="200"/>
      <c r="BA2003" s="171" t="str">
        <f t="shared" si="18"/>
        <v/>
      </c>
      <c r="BB2003" s="171" t="str">
        <f t="shared" si="19"/>
        <v/>
      </c>
      <c r="BC2003" s="171" t="str">
        <f t="shared" si="20"/>
        <v/>
      </c>
      <c r="BD2003" s="171" t="str">
        <f t="shared" si="21"/>
        <v>Institutional</v>
      </c>
      <c r="BE2003" s="171" t="str">
        <f t="shared" si="22"/>
        <v/>
      </c>
      <c r="BF2003" s="171" t="str">
        <f t="shared" si="23"/>
        <v>Institutional</v>
      </c>
    </row>
    <row r="2004">
      <c r="A2004" s="171">
        <f t="array" ref="A2004">XLOOKUP(C2004,FSE!A:A,FSE!C:C,"XXXXX",0,1)</f>
        <v>2016</v>
      </c>
      <c r="B2004" s="213" t="s">
        <v>5676</v>
      </c>
      <c r="C2004" s="214">
        <v>633.0</v>
      </c>
      <c r="D2004" s="217" t="s">
        <v>3732</v>
      </c>
      <c r="E2004" s="197" t="str">
        <f t="array" ref="E2004">XLOOKUP(C2004,FSE!A:A,FSE!Z:Z,"XXXXX",0,1)</f>
        <v>Restrict Access (1)</v>
      </c>
      <c r="F2004" s="213" t="s">
        <v>3396</v>
      </c>
      <c r="G2004" s="163" t="str">
        <f t="array" ref="G2004">IF(B2004="ICSE",IF(COUNTIFS(B:B,B2004,C:C,C2004)=XLOOKUP(C2004,ICSE!A:A,ICSE!AA:AA,"ERROR",0,1),"OK","ERROR"),IF(B2004="FSE",IF(COUNTIFS(B:B,B2004,C:C,C2004)=XLOOKUP(C2004,FSE!A:A,FSE!AA:AA,"ERROR",0,1),"OK","ERROR")))</f>
        <v>OK</v>
      </c>
      <c r="H2004" s="199">
        <f t="shared" ref="H2004:O2004" si="10117">countif($D2004,"*"&amp;H$2&amp;"*")</f>
        <v>0</v>
      </c>
      <c r="I2004" s="200">
        <f t="shared" si="10117"/>
        <v>0</v>
      </c>
      <c r="J2004" s="200">
        <f t="shared" si="10117"/>
        <v>0</v>
      </c>
      <c r="K2004" s="200">
        <f t="shared" si="10117"/>
        <v>0</v>
      </c>
      <c r="L2004" s="200">
        <f t="shared" si="10117"/>
        <v>0</v>
      </c>
      <c r="M2004" s="200">
        <f t="shared" si="10117"/>
        <v>0</v>
      </c>
      <c r="N2004" s="200">
        <f t="shared" si="10117"/>
        <v>0</v>
      </c>
      <c r="O2004" s="200">
        <f t="shared" si="10117"/>
        <v>0</v>
      </c>
      <c r="P2004" s="200">
        <f t="shared" si="9"/>
        <v>0</v>
      </c>
      <c r="Q2004" s="200">
        <f t="shared" ref="Q2004:AC2004" si="10118">countif($D2004,"*"&amp;Q$2&amp;"*")</f>
        <v>0</v>
      </c>
      <c r="R2004" s="200">
        <f t="shared" si="10118"/>
        <v>0</v>
      </c>
      <c r="S2004" s="200">
        <f t="shared" si="10118"/>
        <v>0</v>
      </c>
      <c r="T2004" s="200">
        <f t="shared" si="10118"/>
        <v>0</v>
      </c>
      <c r="U2004" s="200">
        <f t="shared" si="10118"/>
        <v>0</v>
      </c>
      <c r="V2004" s="200">
        <f t="shared" si="10118"/>
        <v>1</v>
      </c>
      <c r="W2004" s="200">
        <f t="shared" si="10118"/>
        <v>0</v>
      </c>
      <c r="X2004" s="200">
        <f t="shared" si="10118"/>
        <v>0</v>
      </c>
      <c r="Y2004" s="200">
        <f t="shared" si="10118"/>
        <v>0</v>
      </c>
      <c r="Z2004" s="200">
        <f t="shared" si="10118"/>
        <v>0</v>
      </c>
      <c r="AA2004" s="200">
        <f t="shared" si="10118"/>
        <v>0</v>
      </c>
      <c r="AB2004" s="200">
        <f t="shared" si="10118"/>
        <v>0</v>
      </c>
      <c r="AC2004" s="200">
        <f t="shared" si="10118"/>
        <v>0</v>
      </c>
      <c r="AD2004" s="200">
        <f t="shared" si="11"/>
        <v>0</v>
      </c>
      <c r="AE2004" s="200">
        <f t="shared" ref="AE2004:AG2004" si="10119">countif($D2004,"*"&amp;AE$2&amp;"*")</f>
        <v>0</v>
      </c>
      <c r="AF2004" s="200">
        <f t="shared" si="10119"/>
        <v>0</v>
      </c>
      <c r="AG2004" s="200">
        <f t="shared" si="10119"/>
        <v>0</v>
      </c>
      <c r="AH2004" s="171">
        <f t="shared" si="13"/>
        <v>0</v>
      </c>
      <c r="AI2004" s="200">
        <f t="shared" si="14"/>
        <v>0</v>
      </c>
      <c r="AJ2004" s="200">
        <f>SUM(AK2004:AR2004)</f>
        <v>0</v>
      </c>
      <c r="AK2004" s="201">
        <f t="shared" ref="AK2004:AS2004" si="10120">countif($D2004,"*"&amp;AK$2&amp;"*")</f>
        <v>0</v>
      </c>
      <c r="AL2004" s="201">
        <f t="shared" si="10120"/>
        <v>0</v>
      </c>
      <c r="AM2004" s="201">
        <f t="shared" si="10120"/>
        <v>0</v>
      </c>
      <c r="AN2004" s="201">
        <f t="shared" si="10120"/>
        <v>0</v>
      </c>
      <c r="AO2004" s="201">
        <f t="shared" si="10120"/>
        <v>0</v>
      </c>
      <c r="AP2004" s="201">
        <f t="shared" si="10120"/>
        <v>0</v>
      </c>
      <c r="AQ2004" s="201">
        <f t="shared" si="10120"/>
        <v>0</v>
      </c>
      <c r="AR2004" s="200">
        <f t="shared" si="10120"/>
        <v>0</v>
      </c>
      <c r="AS2004" s="200">
        <f t="shared" si="10120"/>
        <v>0</v>
      </c>
      <c r="AT2004" s="173">
        <v>0.0</v>
      </c>
      <c r="AU2004" s="200">
        <f t="shared" ref="AU2004:AX2004" si="10121">countif($D2004,"*"&amp;AU$2&amp;"*")</f>
        <v>0</v>
      </c>
      <c r="AV2004" s="200">
        <f t="shared" si="10121"/>
        <v>0</v>
      </c>
      <c r="AW2004" s="200">
        <f t="shared" si="10121"/>
        <v>0</v>
      </c>
      <c r="AX2004" s="200">
        <f t="shared" si="10121"/>
        <v>0</v>
      </c>
      <c r="AY2004" s="202">
        <v>0.0</v>
      </c>
      <c r="AZ2004" s="200"/>
      <c r="BA2004" s="171" t="str">
        <f t="shared" si="18"/>
        <v/>
      </c>
      <c r="BB2004" s="171" t="str">
        <f t="shared" si="19"/>
        <v/>
      </c>
      <c r="BC2004" s="171" t="str">
        <f t="shared" si="20"/>
        <v>General-purpose</v>
      </c>
      <c r="BD2004" s="171" t="str">
        <f t="shared" si="21"/>
        <v/>
      </c>
      <c r="BE2004" s="171" t="str">
        <f t="shared" si="22"/>
        <v/>
      </c>
      <c r="BF2004" s="171" t="str">
        <f t="shared" si="23"/>
        <v>General-purpose</v>
      </c>
    </row>
    <row r="2005">
      <c r="A2005" s="171">
        <f t="array" ref="A2005">XLOOKUP(C2005,FSE!A:A,FSE!C:C,"XXXXX",0,1)</f>
        <v>2016</v>
      </c>
      <c r="B2005" s="213" t="s">
        <v>5676</v>
      </c>
      <c r="C2005" s="214">
        <v>636.0</v>
      </c>
      <c r="D2005" s="215" t="s">
        <v>6535</v>
      </c>
      <c r="E2005" s="197" t="str">
        <f t="array" ref="E2005">XLOOKUP(C2005,FSE!A:A,FSE!Z:Z,"XXXXX",0,1)</f>
        <v>Not Available (1)</v>
      </c>
      <c r="F2005" s="213" t="s">
        <v>3395</v>
      </c>
      <c r="G2005" s="163" t="str">
        <f t="array" ref="G2005">IF(B2005="ICSE",IF(COUNTIFS(B:B,B2005,C:C,C2005)=XLOOKUP(C2005,ICSE!A:A,ICSE!AA:AA,"ERROR",0,1),"OK","ERROR"),IF(B2005="FSE",IF(COUNTIFS(B:B,B2005,C:C,C2005)=XLOOKUP(C2005,FSE!A:A,FSE!AA:AA,"ERROR",0,1),"OK","ERROR")))</f>
        <v>OK</v>
      </c>
      <c r="H2005" s="199">
        <f t="shared" ref="H2005:O2005" si="10122">countif($D2005,"*"&amp;H$2&amp;"*")</f>
        <v>0</v>
      </c>
      <c r="I2005" s="200">
        <f t="shared" si="10122"/>
        <v>0</v>
      </c>
      <c r="J2005" s="200">
        <f t="shared" si="10122"/>
        <v>0</v>
      </c>
      <c r="K2005" s="200">
        <f t="shared" si="10122"/>
        <v>0</v>
      </c>
      <c r="L2005" s="200">
        <f t="shared" si="10122"/>
        <v>0</v>
      </c>
      <c r="M2005" s="200">
        <f t="shared" si="10122"/>
        <v>0</v>
      </c>
      <c r="N2005" s="200">
        <f t="shared" si="10122"/>
        <v>0</v>
      </c>
      <c r="O2005" s="200">
        <f t="shared" si="10122"/>
        <v>0</v>
      </c>
      <c r="P2005" s="200">
        <f t="shared" si="9"/>
        <v>0</v>
      </c>
      <c r="Q2005" s="200">
        <f t="shared" ref="Q2005:AC2005" si="10123">countif($D2005,"*"&amp;Q$2&amp;"*")</f>
        <v>0</v>
      </c>
      <c r="R2005" s="200">
        <f t="shared" si="10123"/>
        <v>0</v>
      </c>
      <c r="S2005" s="200">
        <f t="shared" si="10123"/>
        <v>0</v>
      </c>
      <c r="T2005" s="200">
        <f t="shared" si="10123"/>
        <v>0</v>
      </c>
      <c r="U2005" s="200">
        <f t="shared" si="10123"/>
        <v>0</v>
      </c>
      <c r="V2005" s="200">
        <f t="shared" si="10123"/>
        <v>0</v>
      </c>
      <c r="W2005" s="200">
        <f t="shared" si="10123"/>
        <v>0</v>
      </c>
      <c r="X2005" s="200">
        <f t="shared" si="10123"/>
        <v>0</v>
      </c>
      <c r="Y2005" s="200">
        <f t="shared" si="10123"/>
        <v>0</v>
      </c>
      <c r="Z2005" s="200">
        <f t="shared" si="10123"/>
        <v>0</v>
      </c>
      <c r="AA2005" s="200">
        <f t="shared" si="10123"/>
        <v>0</v>
      </c>
      <c r="AB2005" s="200">
        <f t="shared" si="10123"/>
        <v>0</v>
      </c>
      <c r="AC2005" s="200">
        <f t="shared" si="10123"/>
        <v>0</v>
      </c>
      <c r="AD2005" s="200">
        <f t="shared" si="11"/>
        <v>1</v>
      </c>
      <c r="AE2005" s="200">
        <f t="shared" ref="AE2005:AG2005" si="10124">countif($D2005,"*"&amp;AE$2&amp;"*")</f>
        <v>0</v>
      </c>
      <c r="AF2005" s="200">
        <f t="shared" si="10124"/>
        <v>0</v>
      </c>
      <c r="AG2005" s="200">
        <f t="shared" si="10124"/>
        <v>0</v>
      </c>
      <c r="AH2005" s="171">
        <f t="shared" si="13"/>
        <v>0</v>
      </c>
      <c r="AI2005" s="200">
        <f t="shared" si="14"/>
        <v>0</v>
      </c>
      <c r="AJ2005" s="200">
        <f>SUM(AK2005:AQ2005)</f>
        <v>0</v>
      </c>
      <c r="AK2005" s="201">
        <f t="shared" ref="AK2005:AS2005" si="10125">countif($D2005,"*"&amp;AK$2&amp;"*")</f>
        <v>0</v>
      </c>
      <c r="AL2005" s="201">
        <f t="shared" si="10125"/>
        <v>0</v>
      </c>
      <c r="AM2005" s="201">
        <f t="shared" si="10125"/>
        <v>0</v>
      </c>
      <c r="AN2005" s="201">
        <f t="shared" si="10125"/>
        <v>0</v>
      </c>
      <c r="AO2005" s="201">
        <f t="shared" si="10125"/>
        <v>0</v>
      </c>
      <c r="AP2005" s="201">
        <f t="shared" si="10125"/>
        <v>0</v>
      </c>
      <c r="AQ2005" s="201">
        <f t="shared" si="10125"/>
        <v>0</v>
      </c>
      <c r="AR2005" s="201">
        <f t="shared" si="10125"/>
        <v>0</v>
      </c>
      <c r="AS2005" s="200">
        <f t="shared" si="10125"/>
        <v>0</v>
      </c>
      <c r="AT2005" s="205">
        <v>0.0</v>
      </c>
      <c r="AU2005" s="200">
        <f t="shared" ref="AU2005:AX2005" si="10126">countif($D2005,"*"&amp;AU$2&amp;"*")</f>
        <v>1</v>
      </c>
      <c r="AV2005" s="200">
        <f t="shared" si="10126"/>
        <v>0</v>
      </c>
      <c r="AW2005" s="200">
        <f t="shared" si="10126"/>
        <v>0</v>
      </c>
      <c r="AX2005" s="200">
        <f t="shared" si="10126"/>
        <v>0</v>
      </c>
      <c r="AY2005" s="202">
        <v>0.0</v>
      </c>
      <c r="AZ2005" s="200"/>
      <c r="BA2005" s="171" t="str">
        <f t="shared" si="18"/>
        <v/>
      </c>
      <c r="BB2005" s="171" t="str">
        <f t="shared" si="19"/>
        <v/>
      </c>
      <c r="BC2005" s="171" t="str">
        <f t="shared" si="20"/>
        <v/>
      </c>
      <c r="BD2005" s="171" t="str">
        <f t="shared" si="21"/>
        <v>Institutional</v>
      </c>
      <c r="BE2005" s="171" t="str">
        <f t="shared" si="22"/>
        <v/>
      </c>
      <c r="BF2005" s="171" t="str">
        <f t="shared" si="23"/>
        <v>Institutional</v>
      </c>
    </row>
    <row r="2006">
      <c r="A2006" s="171">
        <f t="array" ref="A2006">XLOOKUP(C2006,FSE!A:A,FSE!C:C,"XXXXX",0,1)</f>
        <v>2016</v>
      </c>
      <c r="B2006" s="213" t="s">
        <v>5676</v>
      </c>
      <c r="C2006" s="214">
        <v>637.0</v>
      </c>
      <c r="D2006" s="215" t="s">
        <v>6536</v>
      </c>
      <c r="E2006" s="197" t="str">
        <f t="array" ref="E2006">XLOOKUP(C2006,FSE!A:A,FSE!Z:Z,"XXXXX",0,1)</f>
        <v>Publicly Available (3)</v>
      </c>
      <c r="F2006" s="213" t="s">
        <v>3394</v>
      </c>
      <c r="G2006" s="163" t="str">
        <f t="array" ref="G2006">IF(B2006="ICSE",IF(COUNTIFS(B:B,B2006,C:C,C2006)=XLOOKUP(C2006,ICSE!A:A,ICSE!AA:AA,"ERROR",0,1),"OK","ERROR"),IF(B2006="FSE",IF(COUNTIFS(B:B,B2006,C:C,C2006)=XLOOKUP(C2006,FSE!A:A,FSE!AA:AA,"ERROR",0,1),"OK","ERROR")))</f>
        <v>OK</v>
      </c>
      <c r="H2006" s="199">
        <f t="shared" ref="H2006:O2006" si="10127">countif($D2006,"*"&amp;H$2&amp;"*")</f>
        <v>0</v>
      </c>
      <c r="I2006" s="200">
        <f t="shared" si="10127"/>
        <v>0</v>
      </c>
      <c r="J2006" s="200">
        <f t="shared" si="10127"/>
        <v>0</v>
      </c>
      <c r="K2006" s="200">
        <f t="shared" si="10127"/>
        <v>0</v>
      </c>
      <c r="L2006" s="200">
        <f t="shared" si="10127"/>
        <v>0</v>
      </c>
      <c r="M2006" s="200">
        <f t="shared" si="10127"/>
        <v>0</v>
      </c>
      <c r="N2006" s="200">
        <f t="shared" si="10127"/>
        <v>0</v>
      </c>
      <c r="O2006" s="200">
        <f t="shared" si="10127"/>
        <v>0</v>
      </c>
      <c r="P2006" s="200">
        <f t="shared" si="9"/>
        <v>0</v>
      </c>
      <c r="Q2006" s="200">
        <f t="shared" ref="Q2006:AC2006" si="10128">countif($D2006,"*"&amp;Q$2&amp;"*")</f>
        <v>0</v>
      </c>
      <c r="R2006" s="200">
        <f t="shared" si="10128"/>
        <v>0</v>
      </c>
      <c r="S2006" s="200">
        <f t="shared" si="10128"/>
        <v>0</v>
      </c>
      <c r="T2006" s="200">
        <f t="shared" si="10128"/>
        <v>0</v>
      </c>
      <c r="U2006" s="200">
        <f t="shared" si="10128"/>
        <v>0</v>
      </c>
      <c r="V2006" s="200">
        <f t="shared" si="10128"/>
        <v>0</v>
      </c>
      <c r="W2006" s="200">
        <f t="shared" si="10128"/>
        <v>0</v>
      </c>
      <c r="X2006" s="200">
        <f t="shared" si="10128"/>
        <v>0</v>
      </c>
      <c r="Y2006" s="200">
        <f t="shared" si="10128"/>
        <v>0</v>
      </c>
      <c r="Z2006" s="200">
        <f t="shared" si="10128"/>
        <v>0</v>
      </c>
      <c r="AA2006" s="200">
        <f t="shared" si="10128"/>
        <v>0</v>
      </c>
      <c r="AB2006" s="200">
        <f t="shared" si="10128"/>
        <v>0</v>
      </c>
      <c r="AC2006" s="200">
        <f t="shared" si="10128"/>
        <v>0</v>
      </c>
      <c r="AD2006" s="200">
        <f t="shared" si="11"/>
        <v>0</v>
      </c>
      <c r="AE2006" s="200">
        <f t="shared" ref="AE2006:AG2006" si="10129">countif($D2006,"*"&amp;AE$2&amp;"*")</f>
        <v>0</v>
      </c>
      <c r="AF2006" s="200">
        <f t="shared" si="10129"/>
        <v>0</v>
      </c>
      <c r="AG2006" s="200">
        <f t="shared" si="10129"/>
        <v>0</v>
      </c>
      <c r="AH2006" s="171">
        <f t="shared" si="13"/>
        <v>1</v>
      </c>
      <c r="AI2006" s="200">
        <f t="shared" si="14"/>
        <v>0</v>
      </c>
      <c r="AJ2006" s="200">
        <f t="shared" ref="AJ2006:AJ2012" si="10135">SUM(AK2006:AR2006)</f>
        <v>0</v>
      </c>
      <c r="AK2006" s="201">
        <f t="shared" ref="AK2006:AS2006" si="10130">countif($D2006,"*"&amp;AK$2&amp;"*")</f>
        <v>0</v>
      </c>
      <c r="AL2006" s="201">
        <f t="shared" si="10130"/>
        <v>0</v>
      </c>
      <c r="AM2006" s="201">
        <f t="shared" si="10130"/>
        <v>0</v>
      </c>
      <c r="AN2006" s="201">
        <f t="shared" si="10130"/>
        <v>0</v>
      </c>
      <c r="AO2006" s="201">
        <f t="shared" si="10130"/>
        <v>0</v>
      </c>
      <c r="AP2006" s="201">
        <f t="shared" si="10130"/>
        <v>0</v>
      </c>
      <c r="AQ2006" s="201">
        <f t="shared" si="10130"/>
        <v>0</v>
      </c>
      <c r="AR2006" s="200">
        <f t="shared" si="10130"/>
        <v>0</v>
      </c>
      <c r="AS2006" s="200">
        <f t="shared" si="10130"/>
        <v>0</v>
      </c>
      <c r="AT2006" s="173">
        <v>0.0</v>
      </c>
      <c r="AU2006" s="200">
        <f t="shared" ref="AU2006:AX2006" si="10131">countif($D2006,"*"&amp;AU$2&amp;"*")</f>
        <v>0</v>
      </c>
      <c r="AV2006" s="200">
        <f t="shared" si="10131"/>
        <v>0</v>
      </c>
      <c r="AW2006" s="200">
        <f t="shared" si="10131"/>
        <v>0</v>
      </c>
      <c r="AX2006" s="200">
        <f t="shared" si="10131"/>
        <v>0</v>
      </c>
      <c r="AY2006" s="202">
        <v>0.0</v>
      </c>
      <c r="AZ2006" s="200"/>
      <c r="BA2006" s="171" t="str">
        <f t="shared" si="18"/>
        <v/>
      </c>
      <c r="BB2006" s="171" t="str">
        <f t="shared" si="19"/>
        <v/>
      </c>
      <c r="BC2006" s="171" t="str">
        <f t="shared" si="20"/>
        <v/>
      </c>
      <c r="BD2006" s="171" t="str">
        <f t="shared" si="21"/>
        <v/>
      </c>
      <c r="BE2006" s="171" t="str">
        <f t="shared" si="22"/>
        <v>Others</v>
      </c>
      <c r="BF2006" s="171" t="str">
        <f t="shared" si="23"/>
        <v>Others</v>
      </c>
    </row>
    <row r="2007">
      <c r="A2007" s="171">
        <f t="array" ref="A2007">XLOOKUP(C2007,FSE!A:A,FSE!C:C,"XXXXX",0,1)</f>
        <v>2016</v>
      </c>
      <c r="B2007" s="213" t="s">
        <v>5676</v>
      </c>
      <c r="C2007" s="214">
        <v>637.0</v>
      </c>
      <c r="D2007" s="215" t="s">
        <v>6537</v>
      </c>
      <c r="E2007" s="197" t="str">
        <f t="array" ref="E2007">XLOOKUP(C2007,FSE!A:A,FSE!Z:Z,"XXXXX",0,1)</f>
        <v>Publicly Available (3)</v>
      </c>
      <c r="F2007" s="213" t="s">
        <v>3394</v>
      </c>
      <c r="G2007" s="163" t="str">
        <f t="array" ref="G2007">IF(B2007="ICSE",IF(COUNTIFS(B:B,B2007,C:C,C2007)=XLOOKUP(C2007,ICSE!A:A,ICSE!AA:AA,"ERROR",0,1),"OK","ERROR"),IF(B2007="FSE",IF(COUNTIFS(B:B,B2007,C:C,C2007)=XLOOKUP(C2007,FSE!A:A,FSE!AA:AA,"ERROR",0,1),"OK","ERROR")))</f>
        <v>OK</v>
      </c>
      <c r="H2007" s="199">
        <f t="shared" ref="H2007:O2007" si="10132">countif($D2007,"*"&amp;H$2&amp;"*")</f>
        <v>0</v>
      </c>
      <c r="I2007" s="200">
        <f t="shared" si="10132"/>
        <v>0</v>
      </c>
      <c r="J2007" s="200">
        <f t="shared" si="10132"/>
        <v>0</v>
      </c>
      <c r="K2007" s="200">
        <f t="shared" si="10132"/>
        <v>0</v>
      </c>
      <c r="L2007" s="200">
        <f t="shared" si="10132"/>
        <v>0</v>
      </c>
      <c r="M2007" s="200">
        <f t="shared" si="10132"/>
        <v>0</v>
      </c>
      <c r="N2007" s="200">
        <f t="shared" si="10132"/>
        <v>0</v>
      </c>
      <c r="O2007" s="200">
        <f t="shared" si="10132"/>
        <v>0</v>
      </c>
      <c r="P2007" s="200">
        <f t="shared" si="9"/>
        <v>0</v>
      </c>
      <c r="Q2007" s="200">
        <f t="shared" ref="Q2007:AC2007" si="10133">countif($D2007,"*"&amp;Q$2&amp;"*")</f>
        <v>0</v>
      </c>
      <c r="R2007" s="200">
        <f t="shared" si="10133"/>
        <v>0</v>
      </c>
      <c r="S2007" s="200">
        <f t="shared" si="10133"/>
        <v>0</v>
      </c>
      <c r="T2007" s="200">
        <f t="shared" si="10133"/>
        <v>0</v>
      </c>
      <c r="U2007" s="200">
        <f t="shared" si="10133"/>
        <v>0</v>
      </c>
      <c r="V2007" s="200">
        <f t="shared" si="10133"/>
        <v>0</v>
      </c>
      <c r="W2007" s="200">
        <f t="shared" si="10133"/>
        <v>0</v>
      </c>
      <c r="X2007" s="200">
        <f t="shared" si="10133"/>
        <v>0</v>
      </c>
      <c r="Y2007" s="200">
        <f t="shared" si="10133"/>
        <v>0</v>
      </c>
      <c r="Z2007" s="200">
        <f t="shared" si="10133"/>
        <v>0</v>
      </c>
      <c r="AA2007" s="200">
        <f t="shared" si="10133"/>
        <v>0</v>
      </c>
      <c r="AB2007" s="200">
        <f t="shared" si="10133"/>
        <v>0</v>
      </c>
      <c r="AC2007" s="200">
        <f t="shared" si="10133"/>
        <v>0</v>
      </c>
      <c r="AD2007" s="200">
        <f t="shared" si="11"/>
        <v>0</v>
      </c>
      <c r="AE2007" s="200">
        <f t="shared" ref="AE2007:AG2007" si="10134">countif($D2007,"*"&amp;AE$2&amp;"*")</f>
        <v>0</v>
      </c>
      <c r="AF2007" s="200">
        <f t="shared" si="10134"/>
        <v>0</v>
      </c>
      <c r="AG2007" s="200">
        <f t="shared" si="10134"/>
        <v>0</v>
      </c>
      <c r="AH2007" s="171">
        <f t="shared" si="13"/>
        <v>1</v>
      </c>
      <c r="AI2007" s="200">
        <f t="shared" si="14"/>
        <v>0</v>
      </c>
      <c r="AJ2007" s="200">
        <f t="shared" si="10135"/>
        <v>0</v>
      </c>
      <c r="AK2007" s="201">
        <f t="shared" ref="AK2007:AS2007" si="10136">countif($D2007,"*"&amp;AK$2&amp;"*")</f>
        <v>0</v>
      </c>
      <c r="AL2007" s="201">
        <f t="shared" si="10136"/>
        <v>0</v>
      </c>
      <c r="AM2007" s="201">
        <f t="shared" si="10136"/>
        <v>0</v>
      </c>
      <c r="AN2007" s="201">
        <f t="shared" si="10136"/>
        <v>0</v>
      </c>
      <c r="AO2007" s="201">
        <f t="shared" si="10136"/>
        <v>0</v>
      </c>
      <c r="AP2007" s="201">
        <f t="shared" si="10136"/>
        <v>0</v>
      </c>
      <c r="AQ2007" s="201">
        <f t="shared" si="10136"/>
        <v>0</v>
      </c>
      <c r="AR2007" s="200">
        <f t="shared" si="10136"/>
        <v>0</v>
      </c>
      <c r="AS2007" s="200">
        <f t="shared" si="10136"/>
        <v>0</v>
      </c>
      <c r="AT2007" s="173">
        <v>0.0</v>
      </c>
      <c r="AU2007" s="200">
        <f t="shared" ref="AU2007:AX2007" si="10137">countif($D2007,"*"&amp;AU$2&amp;"*")</f>
        <v>0</v>
      </c>
      <c r="AV2007" s="200">
        <f t="shared" si="10137"/>
        <v>0</v>
      </c>
      <c r="AW2007" s="200">
        <f t="shared" si="10137"/>
        <v>0</v>
      </c>
      <c r="AX2007" s="200">
        <f t="shared" si="10137"/>
        <v>0</v>
      </c>
      <c r="AY2007" s="202">
        <v>0.0</v>
      </c>
      <c r="AZ2007" s="200"/>
      <c r="BA2007" s="171" t="str">
        <f t="shared" si="18"/>
        <v/>
      </c>
      <c r="BB2007" s="171" t="str">
        <f t="shared" si="19"/>
        <v/>
      </c>
      <c r="BC2007" s="171" t="str">
        <f t="shared" si="20"/>
        <v/>
      </c>
      <c r="BD2007" s="171" t="str">
        <f t="shared" si="21"/>
        <v/>
      </c>
      <c r="BE2007" s="171" t="str">
        <f t="shared" si="22"/>
        <v>Others</v>
      </c>
      <c r="BF2007" s="171" t="str">
        <f t="shared" si="23"/>
        <v>Others</v>
      </c>
    </row>
    <row r="2008">
      <c r="A2008" s="171">
        <f t="array" ref="A2008">XLOOKUP(C2008,FSE!A:A,FSE!C:C,"XXXXX",0,1)</f>
        <v>2016</v>
      </c>
      <c r="B2008" s="213" t="s">
        <v>5676</v>
      </c>
      <c r="C2008" s="214">
        <v>637.0</v>
      </c>
      <c r="D2008" s="215" t="s">
        <v>6538</v>
      </c>
      <c r="E2008" s="197" t="str">
        <f t="array" ref="E2008">XLOOKUP(C2008,FSE!A:A,FSE!Z:Z,"XXXXX",0,1)</f>
        <v>Publicly Available (3)</v>
      </c>
      <c r="F2008" s="213" t="s">
        <v>3394</v>
      </c>
      <c r="G2008" s="163" t="str">
        <f t="array" ref="G2008">IF(B2008="ICSE",IF(COUNTIFS(B:B,B2008,C:C,C2008)=XLOOKUP(C2008,ICSE!A:A,ICSE!AA:AA,"ERROR",0,1),"OK","ERROR"),IF(B2008="FSE",IF(COUNTIFS(B:B,B2008,C:C,C2008)=XLOOKUP(C2008,FSE!A:A,FSE!AA:AA,"ERROR",0,1),"OK","ERROR")))</f>
        <v>OK</v>
      </c>
      <c r="H2008" s="199">
        <f t="shared" ref="H2008:O2008" si="10138">countif($D2008,"*"&amp;H$2&amp;"*")</f>
        <v>0</v>
      </c>
      <c r="I2008" s="200">
        <f t="shared" si="10138"/>
        <v>0</v>
      </c>
      <c r="J2008" s="200">
        <f t="shared" si="10138"/>
        <v>0</v>
      </c>
      <c r="K2008" s="200">
        <f t="shared" si="10138"/>
        <v>0</v>
      </c>
      <c r="L2008" s="200">
        <f t="shared" si="10138"/>
        <v>0</v>
      </c>
      <c r="M2008" s="200">
        <f t="shared" si="10138"/>
        <v>0</v>
      </c>
      <c r="N2008" s="200">
        <f t="shared" si="10138"/>
        <v>0</v>
      </c>
      <c r="O2008" s="200">
        <f t="shared" si="10138"/>
        <v>0</v>
      </c>
      <c r="P2008" s="200">
        <f t="shared" si="9"/>
        <v>0</v>
      </c>
      <c r="Q2008" s="200">
        <f t="shared" ref="Q2008:AC2008" si="10139">countif($D2008,"*"&amp;Q$2&amp;"*")</f>
        <v>0</v>
      </c>
      <c r="R2008" s="200">
        <f t="shared" si="10139"/>
        <v>0</v>
      </c>
      <c r="S2008" s="200">
        <f t="shared" si="10139"/>
        <v>0</v>
      </c>
      <c r="T2008" s="200">
        <f t="shared" si="10139"/>
        <v>0</v>
      </c>
      <c r="U2008" s="200">
        <f t="shared" si="10139"/>
        <v>0</v>
      </c>
      <c r="V2008" s="200">
        <f t="shared" si="10139"/>
        <v>0</v>
      </c>
      <c r="W2008" s="200">
        <f t="shared" si="10139"/>
        <v>0</v>
      </c>
      <c r="X2008" s="200">
        <f t="shared" si="10139"/>
        <v>0</v>
      </c>
      <c r="Y2008" s="200">
        <f t="shared" si="10139"/>
        <v>0</v>
      </c>
      <c r="Z2008" s="200">
        <f t="shared" si="10139"/>
        <v>0</v>
      </c>
      <c r="AA2008" s="200">
        <f t="shared" si="10139"/>
        <v>0</v>
      </c>
      <c r="AB2008" s="200">
        <f t="shared" si="10139"/>
        <v>0</v>
      </c>
      <c r="AC2008" s="200">
        <f t="shared" si="10139"/>
        <v>0</v>
      </c>
      <c r="AD2008" s="200">
        <f t="shared" si="11"/>
        <v>0</v>
      </c>
      <c r="AE2008" s="200">
        <f t="shared" ref="AE2008:AG2008" si="10140">countif($D2008,"*"&amp;AE$2&amp;"*")</f>
        <v>0</v>
      </c>
      <c r="AF2008" s="200">
        <f t="shared" si="10140"/>
        <v>0</v>
      </c>
      <c r="AG2008" s="200">
        <f t="shared" si="10140"/>
        <v>0</v>
      </c>
      <c r="AH2008" s="171">
        <f t="shared" si="13"/>
        <v>1</v>
      </c>
      <c r="AI2008" s="200">
        <f t="shared" si="14"/>
        <v>0</v>
      </c>
      <c r="AJ2008" s="200">
        <f t="shared" si="10135"/>
        <v>0</v>
      </c>
      <c r="AK2008" s="201">
        <f t="shared" ref="AK2008:AS2008" si="10141">countif($D2008,"*"&amp;AK$2&amp;"*")</f>
        <v>0</v>
      </c>
      <c r="AL2008" s="201">
        <f t="shared" si="10141"/>
        <v>0</v>
      </c>
      <c r="AM2008" s="201">
        <f t="shared" si="10141"/>
        <v>0</v>
      </c>
      <c r="AN2008" s="201">
        <f t="shared" si="10141"/>
        <v>0</v>
      </c>
      <c r="AO2008" s="201">
        <f t="shared" si="10141"/>
        <v>0</v>
      </c>
      <c r="AP2008" s="201">
        <f t="shared" si="10141"/>
        <v>0</v>
      </c>
      <c r="AQ2008" s="201">
        <f t="shared" si="10141"/>
        <v>0</v>
      </c>
      <c r="AR2008" s="200">
        <f t="shared" si="10141"/>
        <v>0</v>
      </c>
      <c r="AS2008" s="200">
        <f t="shared" si="10141"/>
        <v>0</v>
      </c>
      <c r="AT2008" s="173">
        <v>0.0</v>
      </c>
      <c r="AU2008" s="200">
        <f t="shared" ref="AU2008:AX2008" si="10142">countif($D2008,"*"&amp;AU$2&amp;"*")</f>
        <v>0</v>
      </c>
      <c r="AV2008" s="200">
        <f t="shared" si="10142"/>
        <v>0</v>
      </c>
      <c r="AW2008" s="200">
        <f t="shared" si="10142"/>
        <v>0</v>
      </c>
      <c r="AX2008" s="200">
        <f t="shared" si="10142"/>
        <v>0</v>
      </c>
      <c r="AY2008" s="202">
        <v>0.0</v>
      </c>
      <c r="AZ2008" s="200"/>
      <c r="BA2008" s="171" t="str">
        <f t="shared" si="18"/>
        <v/>
      </c>
      <c r="BB2008" s="171" t="str">
        <f t="shared" si="19"/>
        <v/>
      </c>
      <c r="BC2008" s="171" t="str">
        <f t="shared" si="20"/>
        <v/>
      </c>
      <c r="BD2008" s="171" t="str">
        <f t="shared" si="21"/>
        <v/>
      </c>
      <c r="BE2008" s="171" t="str">
        <f t="shared" si="22"/>
        <v>Others</v>
      </c>
      <c r="BF2008" s="171" t="str">
        <f t="shared" si="23"/>
        <v>Others</v>
      </c>
    </row>
    <row r="2009">
      <c r="A2009" s="171">
        <f t="array" ref="A2009">XLOOKUP(C2009,FSE!A:A,FSE!C:C,"XXXXX",0,1)</f>
        <v>2016</v>
      </c>
      <c r="B2009" s="213" t="s">
        <v>5676</v>
      </c>
      <c r="C2009" s="214">
        <v>640.0</v>
      </c>
      <c r="D2009" s="215" t="s">
        <v>3748</v>
      </c>
      <c r="E2009" s="197" t="str">
        <f t="array" ref="E2009">XLOOKUP(C2009,FSE!A:A,FSE!Z:Z,"XXXXX",0,1)</f>
        <v>Not Available (1)</v>
      </c>
      <c r="F2009" s="213" t="s">
        <v>3395</v>
      </c>
      <c r="G2009" s="163" t="str">
        <f t="array" ref="G2009">IF(B2009="ICSE",IF(COUNTIFS(B:B,B2009,C:C,C2009)=XLOOKUP(C2009,ICSE!A:A,ICSE!AA:AA,"ERROR",0,1),"OK","ERROR"),IF(B2009="FSE",IF(COUNTIFS(B:B,B2009,C:C,C2009)=XLOOKUP(C2009,FSE!A:A,FSE!AA:AA,"ERROR",0,1),"OK","ERROR")))</f>
        <v>OK</v>
      </c>
      <c r="H2009" s="199">
        <f t="shared" ref="H2009:O2009" si="10143">countif($D2009,"*"&amp;H$2&amp;"*")</f>
        <v>0</v>
      </c>
      <c r="I2009" s="200">
        <f t="shared" si="10143"/>
        <v>0</v>
      </c>
      <c r="J2009" s="200">
        <f t="shared" si="10143"/>
        <v>0</v>
      </c>
      <c r="K2009" s="200">
        <f t="shared" si="10143"/>
        <v>0</v>
      </c>
      <c r="L2009" s="200">
        <f t="shared" si="10143"/>
        <v>0</v>
      </c>
      <c r="M2009" s="200">
        <f t="shared" si="10143"/>
        <v>0</v>
      </c>
      <c r="N2009" s="200">
        <f t="shared" si="10143"/>
        <v>0</v>
      </c>
      <c r="O2009" s="200">
        <f t="shared" si="10143"/>
        <v>0</v>
      </c>
      <c r="P2009" s="200">
        <f t="shared" si="9"/>
        <v>0</v>
      </c>
      <c r="Q2009" s="200">
        <f t="shared" ref="Q2009:AC2009" si="10144">countif($D2009,"*"&amp;Q$2&amp;"*")</f>
        <v>0</v>
      </c>
      <c r="R2009" s="200">
        <f t="shared" si="10144"/>
        <v>0</v>
      </c>
      <c r="S2009" s="200">
        <f t="shared" si="10144"/>
        <v>0</v>
      </c>
      <c r="T2009" s="200">
        <f t="shared" si="10144"/>
        <v>0</v>
      </c>
      <c r="U2009" s="200">
        <f t="shared" si="10144"/>
        <v>0</v>
      </c>
      <c r="V2009" s="200">
        <f t="shared" si="10144"/>
        <v>0</v>
      </c>
      <c r="W2009" s="200">
        <f t="shared" si="10144"/>
        <v>0</v>
      </c>
      <c r="X2009" s="200">
        <f t="shared" si="10144"/>
        <v>0</v>
      </c>
      <c r="Y2009" s="200">
        <f t="shared" si="10144"/>
        <v>0</v>
      </c>
      <c r="Z2009" s="200">
        <f t="shared" si="10144"/>
        <v>0</v>
      </c>
      <c r="AA2009" s="200">
        <f t="shared" si="10144"/>
        <v>1</v>
      </c>
      <c r="AB2009" s="200">
        <f t="shared" si="10144"/>
        <v>0</v>
      </c>
      <c r="AC2009" s="200">
        <f t="shared" si="10144"/>
        <v>0</v>
      </c>
      <c r="AD2009" s="200">
        <f t="shared" si="11"/>
        <v>0</v>
      </c>
      <c r="AE2009" s="200">
        <f t="shared" ref="AE2009:AG2009" si="10145">countif($D2009,"*"&amp;AE$2&amp;"*")</f>
        <v>0</v>
      </c>
      <c r="AF2009" s="200">
        <f t="shared" si="10145"/>
        <v>0</v>
      </c>
      <c r="AG2009" s="200">
        <f t="shared" si="10145"/>
        <v>0</v>
      </c>
      <c r="AH2009" s="171">
        <f t="shared" si="13"/>
        <v>0</v>
      </c>
      <c r="AI2009" s="200">
        <f t="shared" si="14"/>
        <v>0</v>
      </c>
      <c r="AJ2009" s="200">
        <f t="shared" si="10135"/>
        <v>0</v>
      </c>
      <c r="AK2009" s="201">
        <f t="shared" ref="AK2009:AS2009" si="10146">countif($D2009,"*"&amp;AK$2&amp;"*")</f>
        <v>0</v>
      </c>
      <c r="AL2009" s="201">
        <f t="shared" si="10146"/>
        <v>0</v>
      </c>
      <c r="AM2009" s="201">
        <f t="shared" si="10146"/>
        <v>0</v>
      </c>
      <c r="AN2009" s="201">
        <f t="shared" si="10146"/>
        <v>0</v>
      </c>
      <c r="AO2009" s="201">
        <f t="shared" si="10146"/>
        <v>0</v>
      </c>
      <c r="AP2009" s="201">
        <f t="shared" si="10146"/>
        <v>0</v>
      </c>
      <c r="AQ2009" s="201">
        <f t="shared" si="10146"/>
        <v>0</v>
      </c>
      <c r="AR2009" s="200">
        <f t="shared" si="10146"/>
        <v>0</v>
      </c>
      <c r="AS2009" s="200">
        <f t="shared" si="10146"/>
        <v>0</v>
      </c>
      <c r="AT2009" s="173">
        <v>0.0</v>
      </c>
      <c r="AU2009" s="200">
        <f t="shared" ref="AU2009:AX2009" si="10147">countif($D2009,"*"&amp;AU$2&amp;"*")</f>
        <v>0</v>
      </c>
      <c r="AV2009" s="200">
        <f t="shared" si="10147"/>
        <v>0</v>
      </c>
      <c r="AW2009" s="200">
        <f t="shared" si="10147"/>
        <v>0</v>
      </c>
      <c r="AX2009" s="200">
        <f t="shared" si="10147"/>
        <v>0</v>
      </c>
      <c r="AY2009" s="202">
        <v>0.0</v>
      </c>
      <c r="AZ2009" s="200"/>
      <c r="BA2009" s="171" t="str">
        <f t="shared" si="18"/>
        <v/>
      </c>
      <c r="BB2009" s="171" t="str">
        <f t="shared" si="19"/>
        <v/>
      </c>
      <c r="BC2009" s="171" t="str">
        <f t="shared" si="20"/>
        <v>General-purpose</v>
      </c>
      <c r="BD2009" s="171" t="str">
        <f t="shared" si="21"/>
        <v/>
      </c>
      <c r="BE2009" s="171" t="str">
        <f t="shared" si="22"/>
        <v/>
      </c>
      <c r="BF2009" s="171" t="str">
        <f t="shared" si="23"/>
        <v>General-purpose</v>
      </c>
    </row>
    <row r="2010">
      <c r="A2010" s="171">
        <f t="array" ref="A2010">XLOOKUP(C2010,FSE!A:A,FSE!C:C,"XXXXX",0,1)</f>
        <v>2016</v>
      </c>
      <c r="B2010" s="213" t="s">
        <v>5676</v>
      </c>
      <c r="C2010" s="214">
        <v>641.0</v>
      </c>
      <c r="D2010" s="215" t="s">
        <v>3750</v>
      </c>
      <c r="E2010" s="197" t="str">
        <f t="array" ref="E2010">XLOOKUP(C2010,FSE!A:A,FSE!Z:Z,"XXXXX",0,1)</f>
        <v>Publicly Available (1)</v>
      </c>
      <c r="F2010" s="213" t="s">
        <v>3394</v>
      </c>
      <c r="G2010" s="163" t="str">
        <f t="array" ref="G2010">IF(B2010="ICSE",IF(COUNTIFS(B:B,B2010,C:C,C2010)=XLOOKUP(C2010,ICSE!A:A,ICSE!AA:AA,"ERROR",0,1),"OK","ERROR"),IF(B2010="FSE",IF(COUNTIFS(B:B,B2010,C:C,C2010)=XLOOKUP(C2010,FSE!A:A,FSE!AA:AA,"ERROR",0,1),"OK","ERROR")))</f>
        <v>OK</v>
      </c>
      <c r="H2010" s="199">
        <f t="shared" ref="H2010:O2010" si="10148">countif($D2010,"*"&amp;H$2&amp;"*")</f>
        <v>0</v>
      </c>
      <c r="I2010" s="200">
        <f t="shared" si="10148"/>
        <v>0</v>
      </c>
      <c r="J2010" s="200">
        <f t="shared" si="10148"/>
        <v>0</v>
      </c>
      <c r="K2010" s="200">
        <f t="shared" si="10148"/>
        <v>0</v>
      </c>
      <c r="L2010" s="200">
        <f t="shared" si="10148"/>
        <v>0</v>
      </c>
      <c r="M2010" s="200">
        <f t="shared" si="10148"/>
        <v>0</v>
      </c>
      <c r="N2010" s="200">
        <f t="shared" si="10148"/>
        <v>0</v>
      </c>
      <c r="O2010" s="200">
        <f t="shared" si="10148"/>
        <v>0</v>
      </c>
      <c r="P2010" s="200">
        <f t="shared" si="9"/>
        <v>1</v>
      </c>
      <c r="Q2010" s="200">
        <f t="shared" ref="Q2010:AC2010" si="10149">countif($D2010,"*"&amp;Q$2&amp;"*")</f>
        <v>0</v>
      </c>
      <c r="R2010" s="200">
        <f t="shared" si="10149"/>
        <v>0</v>
      </c>
      <c r="S2010" s="200">
        <f t="shared" si="10149"/>
        <v>0</v>
      </c>
      <c r="T2010" s="200">
        <f t="shared" si="10149"/>
        <v>0</v>
      </c>
      <c r="U2010" s="200">
        <f t="shared" si="10149"/>
        <v>0</v>
      </c>
      <c r="V2010" s="200">
        <f t="shared" si="10149"/>
        <v>0</v>
      </c>
      <c r="W2010" s="200">
        <f t="shared" si="10149"/>
        <v>0</v>
      </c>
      <c r="X2010" s="200">
        <f t="shared" si="10149"/>
        <v>0</v>
      </c>
      <c r="Y2010" s="200">
        <f t="shared" si="10149"/>
        <v>0</v>
      </c>
      <c r="Z2010" s="200">
        <f t="shared" si="10149"/>
        <v>0</v>
      </c>
      <c r="AA2010" s="200">
        <f t="shared" si="10149"/>
        <v>0</v>
      </c>
      <c r="AB2010" s="200">
        <f t="shared" si="10149"/>
        <v>0</v>
      </c>
      <c r="AC2010" s="200">
        <f t="shared" si="10149"/>
        <v>0</v>
      </c>
      <c r="AD2010" s="200">
        <f t="shared" si="11"/>
        <v>0</v>
      </c>
      <c r="AE2010" s="200">
        <f t="shared" ref="AE2010:AG2010" si="10150">countif($D2010,"*"&amp;AE$2&amp;"*")</f>
        <v>0</v>
      </c>
      <c r="AF2010" s="200">
        <f t="shared" si="10150"/>
        <v>0</v>
      </c>
      <c r="AG2010" s="200">
        <f t="shared" si="10150"/>
        <v>0</v>
      </c>
      <c r="AH2010" s="171">
        <f t="shared" si="13"/>
        <v>0</v>
      </c>
      <c r="AI2010" s="200">
        <f t="shared" si="14"/>
        <v>0</v>
      </c>
      <c r="AJ2010" s="200">
        <f t="shared" si="10135"/>
        <v>0</v>
      </c>
      <c r="AK2010" s="201">
        <f t="shared" ref="AK2010:AS2010" si="10151">countif($D2010,"*"&amp;AK$2&amp;"*")</f>
        <v>0</v>
      </c>
      <c r="AL2010" s="201">
        <f t="shared" si="10151"/>
        <v>0</v>
      </c>
      <c r="AM2010" s="201">
        <f t="shared" si="10151"/>
        <v>0</v>
      </c>
      <c r="AN2010" s="201">
        <f t="shared" si="10151"/>
        <v>0</v>
      </c>
      <c r="AO2010" s="201">
        <f t="shared" si="10151"/>
        <v>0</v>
      </c>
      <c r="AP2010" s="201">
        <f t="shared" si="10151"/>
        <v>0</v>
      </c>
      <c r="AQ2010" s="201">
        <f t="shared" si="10151"/>
        <v>0</v>
      </c>
      <c r="AR2010" s="200">
        <f t="shared" si="10151"/>
        <v>0</v>
      </c>
      <c r="AS2010" s="200">
        <f t="shared" si="10151"/>
        <v>0</v>
      </c>
      <c r="AT2010" s="173">
        <v>0.0</v>
      </c>
      <c r="AU2010" s="200">
        <f t="shared" ref="AU2010:AX2010" si="10152">countif($D2010,"*"&amp;AU$2&amp;"*")</f>
        <v>0</v>
      </c>
      <c r="AV2010" s="200">
        <f t="shared" si="10152"/>
        <v>1</v>
      </c>
      <c r="AW2010" s="200">
        <f t="shared" si="10152"/>
        <v>0</v>
      </c>
      <c r="AX2010" s="200">
        <f t="shared" si="10152"/>
        <v>0</v>
      </c>
      <c r="AY2010" s="202">
        <v>0.0</v>
      </c>
      <c r="AZ2010" s="200"/>
      <c r="BA2010" s="171" t="str">
        <f t="shared" si="18"/>
        <v/>
      </c>
      <c r="BB2010" s="171" t="str">
        <f t="shared" si="19"/>
        <v>Code</v>
      </c>
      <c r="BC2010" s="171" t="str">
        <f t="shared" si="20"/>
        <v/>
      </c>
      <c r="BD2010" s="171" t="str">
        <f t="shared" si="21"/>
        <v/>
      </c>
      <c r="BE2010" s="171" t="str">
        <f t="shared" si="22"/>
        <v/>
      </c>
      <c r="BF2010" s="171" t="str">
        <f t="shared" si="23"/>
        <v>Code</v>
      </c>
    </row>
    <row r="2011">
      <c r="A2011" s="171">
        <f t="array" ref="A2011">XLOOKUP(C2011,FSE!A:A,FSE!C:C,"XXXXX",0,1)</f>
        <v>2016</v>
      </c>
      <c r="B2011" s="213" t="s">
        <v>5676</v>
      </c>
      <c r="C2011" s="214">
        <v>642.0</v>
      </c>
      <c r="D2011" s="215" t="s">
        <v>6539</v>
      </c>
      <c r="E2011" s="197" t="str">
        <f t="array" ref="E2011">XLOOKUP(C2011,FSE!A:A,FSE!Z:Z,"XXXXX",0,1)</f>
        <v>Publicly Available (2)</v>
      </c>
      <c r="F2011" s="213" t="s">
        <v>3394</v>
      </c>
      <c r="G2011" s="163" t="str">
        <f t="array" ref="G2011">IF(B2011="ICSE",IF(COUNTIFS(B:B,B2011,C:C,C2011)=XLOOKUP(C2011,ICSE!A:A,ICSE!AA:AA,"ERROR",0,1),"OK","ERROR"),IF(B2011="FSE",IF(COUNTIFS(B:B,B2011,C:C,C2011)=XLOOKUP(C2011,FSE!A:A,FSE!AA:AA,"ERROR",0,1),"OK","ERROR")))</f>
        <v>OK</v>
      </c>
      <c r="H2011" s="199">
        <f t="shared" ref="H2011:O2011" si="10153">countif($D2011,"*"&amp;H$2&amp;"*")</f>
        <v>0</v>
      </c>
      <c r="I2011" s="200">
        <f t="shared" si="10153"/>
        <v>0</v>
      </c>
      <c r="J2011" s="200">
        <f t="shared" si="10153"/>
        <v>0</v>
      </c>
      <c r="K2011" s="200">
        <f t="shared" si="10153"/>
        <v>0</v>
      </c>
      <c r="L2011" s="200">
        <f t="shared" si="10153"/>
        <v>0</v>
      </c>
      <c r="M2011" s="200">
        <f t="shared" si="10153"/>
        <v>0</v>
      </c>
      <c r="N2011" s="200">
        <f t="shared" si="10153"/>
        <v>0</v>
      </c>
      <c r="O2011" s="200">
        <f t="shared" si="10153"/>
        <v>0</v>
      </c>
      <c r="P2011" s="200">
        <f t="shared" si="9"/>
        <v>1</v>
      </c>
      <c r="Q2011" s="200">
        <f t="shared" ref="Q2011:AC2011" si="10154">countif($D2011,"*"&amp;Q$2&amp;"*")</f>
        <v>0</v>
      </c>
      <c r="R2011" s="200">
        <f t="shared" si="10154"/>
        <v>0</v>
      </c>
      <c r="S2011" s="200">
        <f t="shared" si="10154"/>
        <v>0</v>
      </c>
      <c r="T2011" s="200">
        <f t="shared" si="10154"/>
        <v>0</v>
      </c>
      <c r="U2011" s="200">
        <f t="shared" si="10154"/>
        <v>0</v>
      </c>
      <c r="V2011" s="200">
        <f t="shared" si="10154"/>
        <v>0</v>
      </c>
      <c r="W2011" s="200">
        <f t="shared" si="10154"/>
        <v>0</v>
      </c>
      <c r="X2011" s="200">
        <f t="shared" si="10154"/>
        <v>0</v>
      </c>
      <c r="Y2011" s="200">
        <f t="shared" si="10154"/>
        <v>0</v>
      </c>
      <c r="Z2011" s="200">
        <f t="shared" si="10154"/>
        <v>0</v>
      </c>
      <c r="AA2011" s="200">
        <f t="shared" si="10154"/>
        <v>0</v>
      </c>
      <c r="AB2011" s="200">
        <f t="shared" si="10154"/>
        <v>0</v>
      </c>
      <c r="AC2011" s="200">
        <f t="shared" si="10154"/>
        <v>0</v>
      </c>
      <c r="AD2011" s="200">
        <f t="shared" si="11"/>
        <v>0</v>
      </c>
      <c r="AE2011" s="200">
        <f t="shared" ref="AE2011:AG2011" si="10155">countif($D2011,"*"&amp;AE$2&amp;"*")</f>
        <v>0</v>
      </c>
      <c r="AF2011" s="200">
        <f t="shared" si="10155"/>
        <v>0</v>
      </c>
      <c r="AG2011" s="200">
        <f t="shared" si="10155"/>
        <v>0</v>
      </c>
      <c r="AH2011" s="171">
        <f t="shared" si="13"/>
        <v>0</v>
      </c>
      <c r="AI2011" s="200">
        <f t="shared" si="14"/>
        <v>0</v>
      </c>
      <c r="AJ2011" s="200">
        <f t="shared" si="10135"/>
        <v>0</v>
      </c>
      <c r="AK2011" s="201">
        <f t="shared" ref="AK2011:AS2011" si="10156">countif($D2011,"*"&amp;AK$2&amp;"*")</f>
        <v>0</v>
      </c>
      <c r="AL2011" s="201">
        <f t="shared" si="10156"/>
        <v>0</v>
      </c>
      <c r="AM2011" s="201">
        <f t="shared" si="10156"/>
        <v>0</v>
      </c>
      <c r="AN2011" s="201">
        <f t="shared" si="10156"/>
        <v>0</v>
      </c>
      <c r="AO2011" s="201">
        <f t="shared" si="10156"/>
        <v>0</v>
      </c>
      <c r="AP2011" s="201">
        <f t="shared" si="10156"/>
        <v>0</v>
      </c>
      <c r="AQ2011" s="201">
        <f t="shared" si="10156"/>
        <v>0</v>
      </c>
      <c r="AR2011" s="200">
        <f t="shared" si="10156"/>
        <v>0</v>
      </c>
      <c r="AS2011" s="200">
        <f t="shared" si="10156"/>
        <v>0</v>
      </c>
      <c r="AT2011" s="173">
        <v>0.0</v>
      </c>
      <c r="AU2011" s="200">
        <f t="shared" ref="AU2011:AX2011" si="10157">countif($D2011,"*"&amp;AU$2&amp;"*")</f>
        <v>0</v>
      </c>
      <c r="AV2011" s="200">
        <f t="shared" si="10157"/>
        <v>1</v>
      </c>
      <c r="AW2011" s="200">
        <f t="shared" si="10157"/>
        <v>0</v>
      </c>
      <c r="AX2011" s="200">
        <f t="shared" si="10157"/>
        <v>0</v>
      </c>
      <c r="AY2011" s="202">
        <v>0.0</v>
      </c>
      <c r="AZ2011" s="200"/>
      <c r="BA2011" s="171" t="str">
        <f t="shared" si="18"/>
        <v/>
      </c>
      <c r="BB2011" s="171" t="str">
        <f t="shared" si="19"/>
        <v>Code</v>
      </c>
      <c r="BC2011" s="171" t="str">
        <f t="shared" si="20"/>
        <v/>
      </c>
      <c r="BD2011" s="171" t="str">
        <f t="shared" si="21"/>
        <v/>
      </c>
      <c r="BE2011" s="171" t="str">
        <f t="shared" si="22"/>
        <v/>
      </c>
      <c r="BF2011" s="171" t="str">
        <f t="shared" si="23"/>
        <v>Code</v>
      </c>
    </row>
    <row r="2012">
      <c r="A2012" s="171">
        <f t="array" ref="A2012">XLOOKUP(C2012,FSE!A:A,FSE!C:C,"XXXXX",0,1)</f>
        <v>2016</v>
      </c>
      <c r="B2012" s="213" t="s">
        <v>5676</v>
      </c>
      <c r="C2012" s="214">
        <v>642.0</v>
      </c>
      <c r="D2012" s="215" t="s">
        <v>6540</v>
      </c>
      <c r="E2012" s="197" t="str">
        <f t="array" ref="E2012">XLOOKUP(C2012,FSE!A:A,FSE!Z:Z,"XXXXX",0,1)</f>
        <v>Publicly Available (2)</v>
      </c>
      <c r="F2012" s="213" t="s">
        <v>3394</v>
      </c>
      <c r="G2012" s="163" t="str">
        <f t="array" ref="G2012">IF(B2012="ICSE",IF(COUNTIFS(B:B,B2012,C:C,C2012)=XLOOKUP(C2012,ICSE!A:A,ICSE!AA:AA,"ERROR",0,1),"OK","ERROR"),IF(B2012="FSE",IF(COUNTIFS(B:B,B2012,C:C,C2012)=XLOOKUP(C2012,FSE!A:A,FSE!AA:AA,"ERROR",0,1),"OK","ERROR")))</f>
        <v>OK</v>
      </c>
      <c r="H2012" s="199">
        <f t="shared" ref="H2012:O2012" si="10158">countif($D2012,"*"&amp;H$2&amp;"*")</f>
        <v>0</v>
      </c>
      <c r="I2012" s="200">
        <f t="shared" si="10158"/>
        <v>0</v>
      </c>
      <c r="J2012" s="200">
        <f t="shared" si="10158"/>
        <v>0</v>
      </c>
      <c r="K2012" s="200">
        <f t="shared" si="10158"/>
        <v>0</v>
      </c>
      <c r="L2012" s="200">
        <f t="shared" si="10158"/>
        <v>0</v>
      </c>
      <c r="M2012" s="200">
        <f t="shared" si="10158"/>
        <v>0</v>
      </c>
      <c r="N2012" s="200">
        <f t="shared" si="10158"/>
        <v>0</v>
      </c>
      <c r="O2012" s="200">
        <f t="shared" si="10158"/>
        <v>0</v>
      </c>
      <c r="P2012" s="200">
        <f t="shared" si="9"/>
        <v>0</v>
      </c>
      <c r="Q2012" s="200">
        <f t="shared" ref="Q2012:AC2012" si="10159">countif($D2012,"*"&amp;Q$2&amp;"*")</f>
        <v>0</v>
      </c>
      <c r="R2012" s="200">
        <f t="shared" si="10159"/>
        <v>0</v>
      </c>
      <c r="S2012" s="200">
        <f t="shared" si="10159"/>
        <v>0</v>
      </c>
      <c r="T2012" s="200">
        <f t="shared" si="10159"/>
        <v>0</v>
      </c>
      <c r="U2012" s="200">
        <f t="shared" si="10159"/>
        <v>0</v>
      </c>
      <c r="V2012" s="200">
        <f t="shared" si="10159"/>
        <v>0</v>
      </c>
      <c r="W2012" s="200">
        <f t="shared" si="10159"/>
        <v>0</v>
      </c>
      <c r="X2012" s="200">
        <f t="shared" si="10159"/>
        <v>0</v>
      </c>
      <c r="Y2012" s="200">
        <f t="shared" si="10159"/>
        <v>0</v>
      </c>
      <c r="Z2012" s="200">
        <f t="shared" si="10159"/>
        <v>0</v>
      </c>
      <c r="AA2012" s="200">
        <f t="shared" si="10159"/>
        <v>0</v>
      </c>
      <c r="AB2012" s="200">
        <f t="shared" si="10159"/>
        <v>0</v>
      </c>
      <c r="AC2012" s="200">
        <f t="shared" si="10159"/>
        <v>0</v>
      </c>
      <c r="AD2012" s="200">
        <f t="shared" si="11"/>
        <v>1</v>
      </c>
      <c r="AE2012" s="200">
        <f t="shared" ref="AE2012:AG2012" si="10160">countif($D2012,"*"&amp;AE$2&amp;"*")</f>
        <v>0</v>
      </c>
      <c r="AF2012" s="200">
        <f t="shared" si="10160"/>
        <v>0</v>
      </c>
      <c r="AG2012" s="200">
        <f t="shared" si="10160"/>
        <v>0</v>
      </c>
      <c r="AH2012" s="171">
        <f t="shared" si="13"/>
        <v>0</v>
      </c>
      <c r="AI2012" s="200">
        <f t="shared" si="14"/>
        <v>0</v>
      </c>
      <c r="AJ2012" s="200">
        <f t="shared" si="10135"/>
        <v>0</v>
      </c>
      <c r="AK2012" s="201">
        <f t="shared" ref="AK2012:AS2012" si="10161">countif($D2012,"*"&amp;AK$2&amp;"*")</f>
        <v>0</v>
      </c>
      <c r="AL2012" s="201">
        <f t="shared" si="10161"/>
        <v>0</v>
      </c>
      <c r="AM2012" s="201">
        <f t="shared" si="10161"/>
        <v>0</v>
      </c>
      <c r="AN2012" s="201">
        <f t="shared" si="10161"/>
        <v>0</v>
      </c>
      <c r="AO2012" s="201">
        <f t="shared" si="10161"/>
        <v>0</v>
      </c>
      <c r="AP2012" s="201">
        <f t="shared" si="10161"/>
        <v>0</v>
      </c>
      <c r="AQ2012" s="201">
        <f t="shared" si="10161"/>
        <v>0</v>
      </c>
      <c r="AR2012" s="200">
        <f t="shared" si="10161"/>
        <v>0</v>
      </c>
      <c r="AS2012" s="200">
        <f t="shared" si="10161"/>
        <v>0</v>
      </c>
      <c r="AT2012" s="173">
        <v>1.0</v>
      </c>
      <c r="AU2012" s="200">
        <f t="shared" ref="AU2012:AX2012" si="10162">countif($D2012,"*"&amp;AU$2&amp;"*")</f>
        <v>0</v>
      </c>
      <c r="AV2012" s="200">
        <f t="shared" si="10162"/>
        <v>0</v>
      </c>
      <c r="AW2012" s="200">
        <f t="shared" si="10162"/>
        <v>0</v>
      </c>
      <c r="AX2012" s="200">
        <f t="shared" si="10162"/>
        <v>0</v>
      </c>
      <c r="AY2012" s="202">
        <v>0.0</v>
      </c>
      <c r="AZ2012" s="200"/>
      <c r="BA2012" s="171" t="str">
        <f t="shared" si="18"/>
        <v/>
      </c>
      <c r="BB2012" s="171" t="str">
        <f t="shared" si="19"/>
        <v/>
      </c>
      <c r="BC2012" s="171" t="str">
        <f t="shared" si="20"/>
        <v/>
      </c>
      <c r="BD2012" s="171" t="str">
        <f t="shared" si="21"/>
        <v>Institutional</v>
      </c>
      <c r="BE2012" s="171" t="str">
        <f t="shared" si="22"/>
        <v/>
      </c>
      <c r="BF2012" s="171" t="str">
        <f t="shared" si="23"/>
        <v>Institutional</v>
      </c>
    </row>
    <row r="2013">
      <c r="A2013" s="171">
        <f t="array" ref="A2013">XLOOKUP(C2013,FSE!A:A,FSE!C:C,"XXXXX",0,1)</f>
        <v>2016</v>
      </c>
      <c r="B2013" s="213" t="s">
        <v>5676</v>
      </c>
      <c r="C2013" s="214">
        <v>643.0</v>
      </c>
      <c r="D2013" s="215" t="s">
        <v>3757</v>
      </c>
      <c r="E2013" s="197" t="str">
        <f t="array" ref="E2013">XLOOKUP(C2013,FSE!A:A,FSE!Z:Z,"XXXXX",0,1)</f>
        <v>Not Available (1)</v>
      </c>
      <c r="F2013" s="213" t="s">
        <v>3395</v>
      </c>
      <c r="G2013" s="163" t="str">
        <f t="array" ref="G2013">IF(B2013="ICSE",IF(COUNTIFS(B:B,B2013,C:C,C2013)=XLOOKUP(C2013,ICSE!A:A,ICSE!AA:AA,"ERROR",0,1),"OK","ERROR"),IF(B2013="FSE",IF(COUNTIFS(B:B,B2013,C:C,C2013)=XLOOKUP(C2013,FSE!A:A,FSE!AA:AA,"ERROR",0,1),"OK","ERROR")))</f>
        <v>OK</v>
      </c>
      <c r="H2013" s="199">
        <f t="shared" ref="H2013:O2013" si="10163">countif($D2013,"*"&amp;H$2&amp;"*")</f>
        <v>0</v>
      </c>
      <c r="I2013" s="200">
        <f t="shared" si="10163"/>
        <v>0</v>
      </c>
      <c r="J2013" s="200">
        <f t="shared" si="10163"/>
        <v>0</v>
      </c>
      <c r="K2013" s="200">
        <f t="shared" si="10163"/>
        <v>0</v>
      </c>
      <c r="L2013" s="200">
        <f t="shared" si="10163"/>
        <v>0</v>
      </c>
      <c r="M2013" s="200">
        <f t="shared" si="10163"/>
        <v>0</v>
      </c>
      <c r="N2013" s="200">
        <f t="shared" si="10163"/>
        <v>0</v>
      </c>
      <c r="O2013" s="200">
        <f t="shared" si="10163"/>
        <v>0</v>
      </c>
      <c r="P2013" s="200">
        <f t="shared" si="9"/>
        <v>0</v>
      </c>
      <c r="Q2013" s="200">
        <f t="shared" ref="Q2013:AC2013" si="10164">countif($D2013,"*"&amp;Q$2&amp;"*")</f>
        <v>0</v>
      </c>
      <c r="R2013" s="200">
        <f t="shared" si="10164"/>
        <v>0</v>
      </c>
      <c r="S2013" s="200">
        <f t="shared" si="10164"/>
        <v>0</v>
      </c>
      <c r="T2013" s="200">
        <f t="shared" si="10164"/>
        <v>0</v>
      </c>
      <c r="U2013" s="200">
        <f t="shared" si="10164"/>
        <v>0</v>
      </c>
      <c r="V2013" s="200">
        <f t="shared" si="10164"/>
        <v>0</v>
      </c>
      <c r="W2013" s="200">
        <f t="shared" si="10164"/>
        <v>0</v>
      </c>
      <c r="X2013" s="200">
        <f t="shared" si="10164"/>
        <v>0</v>
      </c>
      <c r="Y2013" s="200">
        <f t="shared" si="10164"/>
        <v>0</v>
      </c>
      <c r="Z2013" s="200">
        <f t="shared" si="10164"/>
        <v>0</v>
      </c>
      <c r="AA2013" s="200">
        <f t="shared" si="10164"/>
        <v>0</v>
      </c>
      <c r="AB2013" s="200">
        <f t="shared" si="10164"/>
        <v>0</v>
      </c>
      <c r="AC2013" s="200">
        <f t="shared" si="10164"/>
        <v>0</v>
      </c>
      <c r="AD2013" s="200">
        <f t="shared" si="11"/>
        <v>1</v>
      </c>
      <c r="AE2013" s="200">
        <f t="shared" ref="AE2013:AG2013" si="10165">countif($D2013,"*"&amp;AE$2&amp;"*")</f>
        <v>0</v>
      </c>
      <c r="AF2013" s="200">
        <f t="shared" si="10165"/>
        <v>0</v>
      </c>
      <c r="AG2013" s="200">
        <f t="shared" si="10165"/>
        <v>0</v>
      </c>
      <c r="AH2013" s="171">
        <f t="shared" si="13"/>
        <v>0</v>
      </c>
      <c r="AI2013" s="200">
        <f t="shared" si="14"/>
        <v>0</v>
      </c>
      <c r="AJ2013" s="200">
        <f>SUM(AK2013:AQ2013)</f>
        <v>0</v>
      </c>
      <c r="AK2013" s="201">
        <f t="shared" ref="AK2013:AS2013" si="10166">countif($D2013,"*"&amp;AK$2&amp;"*")</f>
        <v>0</v>
      </c>
      <c r="AL2013" s="201">
        <f t="shared" si="10166"/>
        <v>0</v>
      </c>
      <c r="AM2013" s="201">
        <f t="shared" si="10166"/>
        <v>0</v>
      </c>
      <c r="AN2013" s="201">
        <f t="shared" si="10166"/>
        <v>0</v>
      </c>
      <c r="AO2013" s="201">
        <f t="shared" si="10166"/>
        <v>0</v>
      </c>
      <c r="AP2013" s="201">
        <f t="shared" si="10166"/>
        <v>0</v>
      </c>
      <c r="AQ2013" s="201">
        <f t="shared" si="10166"/>
        <v>0</v>
      </c>
      <c r="AR2013" s="201">
        <f t="shared" si="10166"/>
        <v>0</v>
      </c>
      <c r="AS2013" s="200">
        <f t="shared" si="10166"/>
        <v>0</v>
      </c>
      <c r="AT2013" s="205">
        <v>0.0</v>
      </c>
      <c r="AU2013" s="200">
        <f t="shared" ref="AU2013:AX2013" si="10167">countif($D2013,"*"&amp;AU$2&amp;"*")</f>
        <v>1</v>
      </c>
      <c r="AV2013" s="200">
        <f t="shared" si="10167"/>
        <v>0</v>
      </c>
      <c r="AW2013" s="200">
        <f t="shared" si="10167"/>
        <v>0</v>
      </c>
      <c r="AX2013" s="200">
        <f t="shared" si="10167"/>
        <v>0</v>
      </c>
      <c r="AY2013" s="202">
        <v>0.0</v>
      </c>
      <c r="AZ2013" s="200"/>
      <c r="BA2013" s="171" t="str">
        <f t="shared" si="18"/>
        <v/>
      </c>
      <c r="BB2013" s="171" t="str">
        <f t="shared" si="19"/>
        <v/>
      </c>
      <c r="BC2013" s="171" t="str">
        <f t="shared" si="20"/>
        <v/>
      </c>
      <c r="BD2013" s="171" t="str">
        <f t="shared" si="21"/>
        <v>Institutional</v>
      </c>
      <c r="BE2013" s="171" t="str">
        <f t="shared" si="22"/>
        <v/>
      </c>
      <c r="BF2013" s="171" t="str">
        <f t="shared" si="23"/>
        <v>Institutional</v>
      </c>
    </row>
    <row r="2014">
      <c r="A2014" s="171">
        <f t="array" ref="A2014">XLOOKUP(C2014,FSE!A:A,FSE!C:C,"XXXXX",0,1)</f>
        <v>2016</v>
      </c>
      <c r="B2014" s="213" t="s">
        <v>5676</v>
      </c>
      <c r="C2014" s="214">
        <v>644.0</v>
      </c>
      <c r="D2014" s="215" t="s">
        <v>6541</v>
      </c>
      <c r="E2014" s="197" t="str">
        <f t="array" ref="E2014">XLOOKUP(C2014,FSE!A:A,FSE!Z:Z,"XXXXX",0,1)</f>
        <v>Publicly Available (2)</v>
      </c>
      <c r="F2014" s="213" t="s">
        <v>3394</v>
      </c>
      <c r="G2014" s="163" t="str">
        <f t="array" ref="G2014">IF(B2014="ICSE",IF(COUNTIFS(B:B,B2014,C:C,C2014)=XLOOKUP(C2014,ICSE!A:A,ICSE!AA:AA,"ERROR",0,1),"OK","ERROR"),IF(B2014="FSE",IF(COUNTIFS(B:B,B2014,C:C,C2014)=XLOOKUP(C2014,FSE!A:A,FSE!AA:AA,"ERROR",0,1),"OK","ERROR")))</f>
        <v>OK</v>
      </c>
      <c r="H2014" s="199">
        <f t="shared" ref="H2014:O2014" si="10168">countif($D2014,"*"&amp;H$2&amp;"*")</f>
        <v>0</v>
      </c>
      <c r="I2014" s="200">
        <f t="shared" si="10168"/>
        <v>0</v>
      </c>
      <c r="J2014" s="200">
        <f t="shared" si="10168"/>
        <v>0</v>
      </c>
      <c r="K2014" s="200">
        <f t="shared" si="10168"/>
        <v>0</v>
      </c>
      <c r="L2014" s="200">
        <f t="shared" si="10168"/>
        <v>0</v>
      </c>
      <c r="M2014" s="200">
        <f t="shared" si="10168"/>
        <v>0</v>
      </c>
      <c r="N2014" s="200">
        <f t="shared" si="10168"/>
        <v>0</v>
      </c>
      <c r="O2014" s="200">
        <f t="shared" si="10168"/>
        <v>0</v>
      </c>
      <c r="P2014" s="200">
        <f t="shared" si="9"/>
        <v>0</v>
      </c>
      <c r="Q2014" s="200">
        <f t="shared" ref="Q2014:AC2014" si="10169">countif($D2014,"*"&amp;Q$2&amp;"*")</f>
        <v>0</v>
      </c>
      <c r="R2014" s="200">
        <f t="shared" si="10169"/>
        <v>1</v>
      </c>
      <c r="S2014" s="200">
        <f t="shared" si="10169"/>
        <v>0</v>
      </c>
      <c r="T2014" s="200">
        <f t="shared" si="10169"/>
        <v>0</v>
      </c>
      <c r="U2014" s="200">
        <f t="shared" si="10169"/>
        <v>0</v>
      </c>
      <c r="V2014" s="200">
        <f t="shared" si="10169"/>
        <v>0</v>
      </c>
      <c r="W2014" s="200">
        <f t="shared" si="10169"/>
        <v>0</v>
      </c>
      <c r="X2014" s="200">
        <f t="shared" si="10169"/>
        <v>0</v>
      </c>
      <c r="Y2014" s="200">
        <f t="shared" si="10169"/>
        <v>0</v>
      </c>
      <c r="Z2014" s="200">
        <f t="shared" si="10169"/>
        <v>0</v>
      </c>
      <c r="AA2014" s="200">
        <f t="shared" si="10169"/>
        <v>0</v>
      </c>
      <c r="AB2014" s="200">
        <f t="shared" si="10169"/>
        <v>0</v>
      </c>
      <c r="AC2014" s="200">
        <f t="shared" si="10169"/>
        <v>0</v>
      </c>
      <c r="AD2014" s="200">
        <f t="shared" si="11"/>
        <v>0</v>
      </c>
      <c r="AE2014" s="200">
        <f t="shared" ref="AE2014:AG2014" si="10170">countif($D2014,"*"&amp;AE$2&amp;"*")</f>
        <v>0</v>
      </c>
      <c r="AF2014" s="200">
        <f t="shared" si="10170"/>
        <v>0</v>
      </c>
      <c r="AG2014" s="200">
        <f t="shared" si="10170"/>
        <v>0</v>
      </c>
      <c r="AH2014" s="171">
        <f t="shared" si="13"/>
        <v>0</v>
      </c>
      <c r="AI2014" s="200">
        <f t="shared" si="14"/>
        <v>0</v>
      </c>
      <c r="AJ2014" s="200">
        <f t="shared" ref="AJ2014:AJ2015" si="10176">SUM(AK2014:AR2014)</f>
        <v>0</v>
      </c>
      <c r="AK2014" s="201">
        <f t="shared" ref="AK2014:AS2014" si="10171">countif($D2014,"*"&amp;AK$2&amp;"*")</f>
        <v>0</v>
      </c>
      <c r="AL2014" s="201">
        <f t="shared" si="10171"/>
        <v>0</v>
      </c>
      <c r="AM2014" s="201">
        <f t="shared" si="10171"/>
        <v>0</v>
      </c>
      <c r="AN2014" s="201">
        <f t="shared" si="10171"/>
        <v>0</v>
      </c>
      <c r="AO2014" s="201">
        <f t="shared" si="10171"/>
        <v>0</v>
      </c>
      <c r="AP2014" s="201">
        <f t="shared" si="10171"/>
        <v>0</v>
      </c>
      <c r="AQ2014" s="201">
        <f t="shared" si="10171"/>
        <v>0</v>
      </c>
      <c r="AR2014" s="200">
        <f t="shared" si="10171"/>
        <v>0</v>
      </c>
      <c r="AS2014" s="200">
        <f t="shared" si="10171"/>
        <v>0</v>
      </c>
      <c r="AT2014" s="173">
        <v>0.0</v>
      </c>
      <c r="AU2014" s="200">
        <f t="shared" ref="AU2014:AX2014" si="10172">countif($D2014,"*"&amp;AU$2&amp;"*")</f>
        <v>0</v>
      </c>
      <c r="AV2014" s="200">
        <f t="shared" si="10172"/>
        <v>0</v>
      </c>
      <c r="AW2014" s="200">
        <f t="shared" si="10172"/>
        <v>0</v>
      </c>
      <c r="AX2014" s="200">
        <f t="shared" si="10172"/>
        <v>0</v>
      </c>
      <c r="AY2014" s="202">
        <v>0.0</v>
      </c>
      <c r="AZ2014" s="200"/>
      <c r="BA2014" s="171" t="str">
        <f t="shared" si="18"/>
        <v/>
      </c>
      <c r="BB2014" s="171" t="str">
        <f t="shared" si="19"/>
        <v>Code</v>
      </c>
      <c r="BC2014" s="171" t="str">
        <f t="shared" si="20"/>
        <v/>
      </c>
      <c r="BD2014" s="171" t="str">
        <f t="shared" si="21"/>
        <v/>
      </c>
      <c r="BE2014" s="171" t="str">
        <f t="shared" si="22"/>
        <v/>
      </c>
      <c r="BF2014" s="171" t="str">
        <f t="shared" si="23"/>
        <v>Code</v>
      </c>
    </row>
    <row r="2015">
      <c r="A2015" s="171">
        <f t="array" ref="A2015">XLOOKUP(C2015,FSE!A:A,FSE!C:C,"XXXXX",0,1)</f>
        <v>2016</v>
      </c>
      <c r="B2015" s="213" t="s">
        <v>5676</v>
      </c>
      <c r="C2015" s="214">
        <v>644.0</v>
      </c>
      <c r="D2015" s="215" t="s">
        <v>6542</v>
      </c>
      <c r="E2015" s="197" t="str">
        <f t="array" ref="E2015">XLOOKUP(C2015,FSE!A:A,FSE!Z:Z,"XXXXX",0,1)</f>
        <v>Publicly Available (2)</v>
      </c>
      <c r="F2015" s="213" t="s">
        <v>3394</v>
      </c>
      <c r="G2015" s="163" t="str">
        <f t="array" ref="G2015">IF(B2015="ICSE",IF(COUNTIFS(B:B,B2015,C:C,C2015)=XLOOKUP(C2015,ICSE!A:A,ICSE!AA:AA,"ERROR",0,1),"OK","ERROR"),IF(B2015="FSE",IF(COUNTIFS(B:B,B2015,C:C,C2015)=XLOOKUP(C2015,FSE!A:A,FSE!AA:AA,"ERROR",0,1),"OK","ERROR")))</f>
        <v>OK</v>
      </c>
      <c r="H2015" s="199">
        <f t="shared" ref="H2015:O2015" si="10173">countif($D2015,"*"&amp;H$2&amp;"*")</f>
        <v>0</v>
      </c>
      <c r="I2015" s="200">
        <f t="shared" si="10173"/>
        <v>0</v>
      </c>
      <c r="J2015" s="200">
        <f t="shared" si="10173"/>
        <v>0</v>
      </c>
      <c r="K2015" s="200">
        <f t="shared" si="10173"/>
        <v>0</v>
      </c>
      <c r="L2015" s="200">
        <f t="shared" si="10173"/>
        <v>0</v>
      </c>
      <c r="M2015" s="200">
        <f t="shared" si="10173"/>
        <v>0</v>
      </c>
      <c r="N2015" s="200">
        <f t="shared" si="10173"/>
        <v>0</v>
      </c>
      <c r="O2015" s="200">
        <f t="shared" si="10173"/>
        <v>0</v>
      </c>
      <c r="P2015" s="200">
        <f t="shared" si="9"/>
        <v>1</v>
      </c>
      <c r="Q2015" s="200">
        <f t="shared" ref="Q2015:AC2015" si="10174">countif($D2015,"*"&amp;Q$2&amp;"*")</f>
        <v>0</v>
      </c>
      <c r="R2015" s="200">
        <f t="shared" si="10174"/>
        <v>0</v>
      </c>
      <c r="S2015" s="200">
        <f t="shared" si="10174"/>
        <v>0</v>
      </c>
      <c r="T2015" s="200">
        <f t="shared" si="10174"/>
        <v>0</v>
      </c>
      <c r="U2015" s="200">
        <f t="shared" si="10174"/>
        <v>0</v>
      </c>
      <c r="V2015" s="200">
        <f t="shared" si="10174"/>
        <v>0</v>
      </c>
      <c r="W2015" s="200">
        <f t="shared" si="10174"/>
        <v>0</v>
      </c>
      <c r="X2015" s="200">
        <f t="shared" si="10174"/>
        <v>0</v>
      </c>
      <c r="Y2015" s="200">
        <f t="shared" si="10174"/>
        <v>0</v>
      </c>
      <c r="Z2015" s="200">
        <f t="shared" si="10174"/>
        <v>0</v>
      </c>
      <c r="AA2015" s="200">
        <f t="shared" si="10174"/>
        <v>0</v>
      </c>
      <c r="AB2015" s="200">
        <f t="shared" si="10174"/>
        <v>0</v>
      </c>
      <c r="AC2015" s="200">
        <f t="shared" si="10174"/>
        <v>0</v>
      </c>
      <c r="AD2015" s="200">
        <f t="shared" si="11"/>
        <v>0</v>
      </c>
      <c r="AE2015" s="200">
        <f t="shared" ref="AE2015:AG2015" si="10175">countif($D2015,"*"&amp;AE$2&amp;"*")</f>
        <v>0</v>
      </c>
      <c r="AF2015" s="200">
        <f t="shared" si="10175"/>
        <v>0</v>
      </c>
      <c r="AG2015" s="200">
        <f t="shared" si="10175"/>
        <v>0</v>
      </c>
      <c r="AH2015" s="171">
        <f t="shared" si="13"/>
        <v>0</v>
      </c>
      <c r="AI2015" s="200">
        <f t="shared" si="14"/>
        <v>0</v>
      </c>
      <c r="AJ2015" s="200">
        <f t="shared" si="10176"/>
        <v>0</v>
      </c>
      <c r="AK2015" s="201">
        <f t="shared" ref="AK2015:AS2015" si="10177">countif($D2015,"*"&amp;AK$2&amp;"*")</f>
        <v>0</v>
      </c>
      <c r="AL2015" s="201">
        <f t="shared" si="10177"/>
        <v>0</v>
      </c>
      <c r="AM2015" s="201">
        <f t="shared" si="10177"/>
        <v>0</v>
      </c>
      <c r="AN2015" s="201">
        <f t="shared" si="10177"/>
        <v>0</v>
      </c>
      <c r="AO2015" s="201">
        <f t="shared" si="10177"/>
        <v>0</v>
      </c>
      <c r="AP2015" s="201">
        <f t="shared" si="10177"/>
        <v>0</v>
      </c>
      <c r="AQ2015" s="201">
        <f t="shared" si="10177"/>
        <v>0</v>
      </c>
      <c r="AR2015" s="200">
        <f t="shared" si="10177"/>
        <v>0</v>
      </c>
      <c r="AS2015" s="200">
        <f t="shared" si="10177"/>
        <v>0</v>
      </c>
      <c r="AT2015" s="173">
        <v>0.0</v>
      </c>
      <c r="AU2015" s="200">
        <f t="shared" ref="AU2015:AX2015" si="10178">countif($D2015,"*"&amp;AU$2&amp;"*")</f>
        <v>0</v>
      </c>
      <c r="AV2015" s="200">
        <f t="shared" si="10178"/>
        <v>1</v>
      </c>
      <c r="AW2015" s="200">
        <f t="shared" si="10178"/>
        <v>0</v>
      </c>
      <c r="AX2015" s="200">
        <f t="shared" si="10178"/>
        <v>0</v>
      </c>
      <c r="AY2015" s="202">
        <v>0.0</v>
      </c>
      <c r="AZ2015" s="200"/>
      <c r="BA2015" s="171" t="str">
        <f t="shared" si="18"/>
        <v/>
      </c>
      <c r="BB2015" s="171" t="str">
        <f t="shared" si="19"/>
        <v>Code</v>
      </c>
      <c r="BC2015" s="171" t="str">
        <f t="shared" si="20"/>
        <v/>
      </c>
      <c r="BD2015" s="171" t="str">
        <f t="shared" si="21"/>
        <v/>
      </c>
      <c r="BE2015" s="171" t="str">
        <f t="shared" si="22"/>
        <v/>
      </c>
      <c r="BF2015" s="171" t="str">
        <f t="shared" si="23"/>
        <v>Code</v>
      </c>
    </row>
    <row r="2016">
      <c r="A2016" s="171">
        <f t="array" ref="A2016">XLOOKUP(C2016,FSE!A:A,FSE!C:C,"XXXXX",0,1)</f>
        <v>2016</v>
      </c>
      <c r="B2016" s="213" t="s">
        <v>5676</v>
      </c>
      <c r="C2016" s="214">
        <v>645.0</v>
      </c>
      <c r="D2016" s="215" t="s">
        <v>3764</v>
      </c>
      <c r="E2016" s="197" t="str">
        <f t="array" ref="E2016">XLOOKUP(C2016,FSE!A:A,FSE!Z:Z,"XXXXX",0,1)</f>
        <v>Not Available (1)</v>
      </c>
      <c r="F2016" s="213" t="s">
        <v>3395</v>
      </c>
      <c r="G2016" s="163" t="str">
        <f t="array" ref="G2016">IF(B2016="ICSE",IF(COUNTIFS(B:B,B2016,C:C,C2016)=XLOOKUP(C2016,ICSE!A:A,ICSE!AA:AA,"ERROR",0,1),"OK","ERROR"),IF(B2016="FSE",IF(COUNTIFS(B:B,B2016,C:C,C2016)=XLOOKUP(C2016,FSE!A:A,FSE!AA:AA,"ERROR",0,1),"OK","ERROR")))</f>
        <v>OK</v>
      </c>
      <c r="H2016" s="199">
        <f t="shared" ref="H2016:O2016" si="10179">countif($D2016,"*"&amp;H$2&amp;"*")</f>
        <v>0</v>
      </c>
      <c r="I2016" s="200">
        <f t="shared" si="10179"/>
        <v>0</v>
      </c>
      <c r="J2016" s="200">
        <f t="shared" si="10179"/>
        <v>0</v>
      </c>
      <c r="K2016" s="200">
        <f t="shared" si="10179"/>
        <v>0</v>
      </c>
      <c r="L2016" s="200">
        <f t="shared" si="10179"/>
        <v>0</v>
      </c>
      <c r="M2016" s="200">
        <f t="shared" si="10179"/>
        <v>0</v>
      </c>
      <c r="N2016" s="200">
        <f t="shared" si="10179"/>
        <v>0</v>
      </c>
      <c r="O2016" s="200">
        <f t="shared" si="10179"/>
        <v>0</v>
      </c>
      <c r="P2016" s="200">
        <f t="shared" si="9"/>
        <v>0</v>
      </c>
      <c r="Q2016" s="200">
        <f t="shared" ref="Q2016:AC2016" si="10180">countif($D2016,"*"&amp;Q$2&amp;"*")</f>
        <v>0</v>
      </c>
      <c r="R2016" s="200">
        <f t="shared" si="10180"/>
        <v>0</v>
      </c>
      <c r="S2016" s="200">
        <f t="shared" si="10180"/>
        <v>0</v>
      </c>
      <c r="T2016" s="200">
        <f t="shared" si="10180"/>
        <v>0</v>
      </c>
      <c r="U2016" s="200">
        <f t="shared" si="10180"/>
        <v>0</v>
      </c>
      <c r="V2016" s="200">
        <f t="shared" si="10180"/>
        <v>0</v>
      </c>
      <c r="W2016" s="200">
        <f t="shared" si="10180"/>
        <v>0</v>
      </c>
      <c r="X2016" s="200">
        <f t="shared" si="10180"/>
        <v>0</v>
      </c>
      <c r="Y2016" s="200">
        <f t="shared" si="10180"/>
        <v>0</v>
      </c>
      <c r="Z2016" s="200">
        <f t="shared" si="10180"/>
        <v>0</v>
      </c>
      <c r="AA2016" s="200">
        <f t="shared" si="10180"/>
        <v>0</v>
      </c>
      <c r="AB2016" s="200">
        <f t="shared" si="10180"/>
        <v>0</v>
      </c>
      <c r="AC2016" s="200">
        <f t="shared" si="10180"/>
        <v>0</v>
      </c>
      <c r="AD2016" s="200">
        <f t="shared" si="11"/>
        <v>1</v>
      </c>
      <c r="AE2016" s="200">
        <f t="shared" ref="AE2016:AG2016" si="10181">countif($D2016,"*"&amp;AE$2&amp;"*")</f>
        <v>0</v>
      </c>
      <c r="AF2016" s="200">
        <f t="shared" si="10181"/>
        <v>0</v>
      </c>
      <c r="AG2016" s="200">
        <f t="shared" si="10181"/>
        <v>0</v>
      </c>
      <c r="AH2016" s="171">
        <f t="shared" si="13"/>
        <v>0</v>
      </c>
      <c r="AI2016" s="200">
        <f t="shared" si="14"/>
        <v>0</v>
      </c>
      <c r="AJ2016" s="200">
        <f t="shared" ref="AJ2016:AJ2017" si="10187">SUM(AK2016:AQ2016)</f>
        <v>0</v>
      </c>
      <c r="AK2016" s="201">
        <f t="shared" ref="AK2016:AS2016" si="10182">countif($D2016,"*"&amp;AK$2&amp;"*")</f>
        <v>0</v>
      </c>
      <c r="AL2016" s="201">
        <f t="shared" si="10182"/>
        <v>0</v>
      </c>
      <c r="AM2016" s="201">
        <f t="shared" si="10182"/>
        <v>0</v>
      </c>
      <c r="AN2016" s="201">
        <f t="shared" si="10182"/>
        <v>0</v>
      </c>
      <c r="AO2016" s="201">
        <f t="shared" si="10182"/>
        <v>0</v>
      </c>
      <c r="AP2016" s="201">
        <f t="shared" si="10182"/>
        <v>0</v>
      </c>
      <c r="AQ2016" s="201">
        <f t="shared" si="10182"/>
        <v>0</v>
      </c>
      <c r="AR2016" s="201">
        <f t="shared" si="10182"/>
        <v>0</v>
      </c>
      <c r="AS2016" s="200">
        <f t="shared" si="10182"/>
        <v>0</v>
      </c>
      <c r="AT2016" s="205">
        <v>0.0</v>
      </c>
      <c r="AU2016" s="200">
        <f t="shared" ref="AU2016:AX2016" si="10183">countif($D2016,"*"&amp;AU$2&amp;"*")</f>
        <v>1</v>
      </c>
      <c r="AV2016" s="200">
        <f t="shared" si="10183"/>
        <v>0</v>
      </c>
      <c r="AW2016" s="200">
        <f t="shared" si="10183"/>
        <v>0</v>
      </c>
      <c r="AX2016" s="200">
        <f t="shared" si="10183"/>
        <v>0</v>
      </c>
      <c r="AY2016" s="202">
        <v>0.0</v>
      </c>
      <c r="AZ2016" s="200"/>
      <c r="BA2016" s="171" t="str">
        <f t="shared" si="18"/>
        <v/>
      </c>
      <c r="BB2016" s="171" t="str">
        <f t="shared" si="19"/>
        <v/>
      </c>
      <c r="BC2016" s="171" t="str">
        <f t="shared" si="20"/>
        <v/>
      </c>
      <c r="BD2016" s="171" t="str">
        <f t="shared" si="21"/>
        <v>Institutional</v>
      </c>
      <c r="BE2016" s="171" t="str">
        <f t="shared" si="22"/>
        <v/>
      </c>
      <c r="BF2016" s="171" t="str">
        <f t="shared" si="23"/>
        <v>Institutional</v>
      </c>
    </row>
    <row r="2017">
      <c r="A2017" s="171">
        <f t="array" ref="A2017">XLOOKUP(C2017,FSE!A:A,FSE!C:C,"XXXXX",0,1)</f>
        <v>2016</v>
      </c>
      <c r="B2017" s="213" t="s">
        <v>5676</v>
      </c>
      <c r="C2017" s="214">
        <v>647.0</v>
      </c>
      <c r="D2017" s="215" t="s">
        <v>3768</v>
      </c>
      <c r="E2017" s="197" t="str">
        <f t="array" ref="E2017">XLOOKUP(C2017,FSE!A:A,FSE!Z:Z,"XXXXX",0,1)</f>
        <v>Not Available (1)</v>
      </c>
      <c r="F2017" s="213" t="s">
        <v>3395</v>
      </c>
      <c r="G2017" s="163" t="str">
        <f t="array" ref="G2017">IF(B2017="ICSE",IF(COUNTIFS(B:B,B2017,C:C,C2017)=XLOOKUP(C2017,ICSE!A:A,ICSE!AA:AA,"ERROR",0,1),"OK","ERROR"),IF(B2017="FSE",IF(COUNTIFS(B:B,B2017,C:C,C2017)=XLOOKUP(C2017,FSE!A:A,FSE!AA:AA,"ERROR",0,1),"OK","ERROR")))</f>
        <v>OK</v>
      </c>
      <c r="H2017" s="199">
        <f t="shared" ref="H2017:O2017" si="10184">countif($D2017,"*"&amp;H$2&amp;"*")</f>
        <v>0</v>
      </c>
      <c r="I2017" s="200">
        <f t="shared" si="10184"/>
        <v>0</v>
      </c>
      <c r="J2017" s="200">
        <f t="shared" si="10184"/>
        <v>0</v>
      </c>
      <c r="K2017" s="200">
        <f t="shared" si="10184"/>
        <v>0</v>
      </c>
      <c r="L2017" s="200">
        <f t="shared" si="10184"/>
        <v>0</v>
      </c>
      <c r="M2017" s="200">
        <f t="shared" si="10184"/>
        <v>0</v>
      </c>
      <c r="N2017" s="200">
        <f t="shared" si="10184"/>
        <v>0</v>
      </c>
      <c r="O2017" s="200">
        <f t="shared" si="10184"/>
        <v>0</v>
      </c>
      <c r="P2017" s="200">
        <f t="shared" si="9"/>
        <v>0</v>
      </c>
      <c r="Q2017" s="200">
        <f t="shared" ref="Q2017:AC2017" si="10185">countif($D2017,"*"&amp;Q$2&amp;"*")</f>
        <v>0</v>
      </c>
      <c r="R2017" s="200">
        <f t="shared" si="10185"/>
        <v>0</v>
      </c>
      <c r="S2017" s="200">
        <f t="shared" si="10185"/>
        <v>0</v>
      </c>
      <c r="T2017" s="200">
        <f t="shared" si="10185"/>
        <v>0</v>
      </c>
      <c r="U2017" s="200">
        <f t="shared" si="10185"/>
        <v>0</v>
      </c>
      <c r="V2017" s="200">
        <f t="shared" si="10185"/>
        <v>0</v>
      </c>
      <c r="W2017" s="200">
        <f t="shared" si="10185"/>
        <v>0</v>
      </c>
      <c r="X2017" s="200">
        <f t="shared" si="10185"/>
        <v>0</v>
      </c>
      <c r="Y2017" s="200">
        <f t="shared" si="10185"/>
        <v>0</v>
      </c>
      <c r="Z2017" s="200">
        <f t="shared" si="10185"/>
        <v>0</v>
      </c>
      <c r="AA2017" s="200">
        <f t="shared" si="10185"/>
        <v>0</v>
      </c>
      <c r="AB2017" s="200">
        <f t="shared" si="10185"/>
        <v>0</v>
      </c>
      <c r="AC2017" s="200">
        <f t="shared" si="10185"/>
        <v>0</v>
      </c>
      <c r="AD2017" s="200">
        <f t="shared" si="11"/>
        <v>1</v>
      </c>
      <c r="AE2017" s="200">
        <f t="shared" ref="AE2017:AG2017" si="10186">countif($D2017,"*"&amp;AE$2&amp;"*")</f>
        <v>0</v>
      </c>
      <c r="AF2017" s="200">
        <f t="shared" si="10186"/>
        <v>0</v>
      </c>
      <c r="AG2017" s="200">
        <f t="shared" si="10186"/>
        <v>0</v>
      </c>
      <c r="AH2017" s="171">
        <f t="shared" si="13"/>
        <v>0</v>
      </c>
      <c r="AI2017" s="200">
        <f t="shared" si="14"/>
        <v>0</v>
      </c>
      <c r="AJ2017" s="200">
        <f t="shared" si="10187"/>
        <v>0</v>
      </c>
      <c r="AK2017" s="201">
        <f t="shared" ref="AK2017:AS2017" si="10188">countif($D2017,"*"&amp;AK$2&amp;"*")</f>
        <v>0</v>
      </c>
      <c r="AL2017" s="201">
        <f t="shared" si="10188"/>
        <v>0</v>
      </c>
      <c r="AM2017" s="201">
        <f t="shared" si="10188"/>
        <v>0</v>
      </c>
      <c r="AN2017" s="201">
        <f t="shared" si="10188"/>
        <v>0</v>
      </c>
      <c r="AO2017" s="201">
        <f t="shared" si="10188"/>
        <v>0</v>
      </c>
      <c r="AP2017" s="201">
        <f t="shared" si="10188"/>
        <v>0</v>
      </c>
      <c r="AQ2017" s="201">
        <f t="shared" si="10188"/>
        <v>0</v>
      </c>
      <c r="AR2017" s="201">
        <f t="shared" si="10188"/>
        <v>0</v>
      </c>
      <c r="AS2017" s="200">
        <f t="shared" si="10188"/>
        <v>0</v>
      </c>
      <c r="AT2017" s="205">
        <v>0.0</v>
      </c>
      <c r="AU2017" s="200">
        <f t="shared" ref="AU2017:AX2017" si="10189">countif($D2017,"*"&amp;AU$2&amp;"*")</f>
        <v>1</v>
      </c>
      <c r="AV2017" s="200">
        <f t="shared" si="10189"/>
        <v>0</v>
      </c>
      <c r="AW2017" s="200">
        <f t="shared" si="10189"/>
        <v>0</v>
      </c>
      <c r="AX2017" s="200">
        <f t="shared" si="10189"/>
        <v>0</v>
      </c>
      <c r="AY2017" s="202">
        <v>0.0</v>
      </c>
      <c r="AZ2017" s="200"/>
      <c r="BA2017" s="171" t="str">
        <f t="shared" si="18"/>
        <v/>
      </c>
      <c r="BB2017" s="171" t="str">
        <f t="shared" si="19"/>
        <v/>
      </c>
      <c r="BC2017" s="171" t="str">
        <f t="shared" si="20"/>
        <v/>
      </c>
      <c r="BD2017" s="171" t="str">
        <f t="shared" si="21"/>
        <v>Institutional</v>
      </c>
      <c r="BE2017" s="171" t="str">
        <f t="shared" si="22"/>
        <v/>
      </c>
      <c r="BF2017" s="171" t="str">
        <f t="shared" si="23"/>
        <v>Institutional</v>
      </c>
    </row>
    <row r="2018">
      <c r="A2018" s="171">
        <f t="array" ref="A2018">XLOOKUP(C2018,FSE!A:A,FSE!C:C,"XXXXX",0,1)</f>
        <v>2016</v>
      </c>
      <c r="B2018" s="213" t="s">
        <v>5676</v>
      </c>
      <c r="C2018" s="214">
        <v>648.0</v>
      </c>
      <c r="D2018" s="215" t="s">
        <v>6543</v>
      </c>
      <c r="E2018" s="197" t="str">
        <f t="array" ref="E2018">XLOOKUP(C2018,FSE!A:A,FSE!Z:Z,"XXXXX",0,1)</f>
        <v>Publicly Available (3)</v>
      </c>
      <c r="F2018" s="213" t="s">
        <v>3394</v>
      </c>
      <c r="G2018" s="163" t="str">
        <f t="array" ref="G2018">IF(B2018="ICSE",IF(COUNTIFS(B:B,B2018,C:C,C2018)=XLOOKUP(C2018,ICSE!A:A,ICSE!AA:AA,"ERROR",0,1),"OK","ERROR"),IF(B2018="FSE",IF(COUNTIFS(B:B,B2018,C:C,C2018)=XLOOKUP(C2018,FSE!A:A,FSE!AA:AA,"ERROR",0,1),"OK","ERROR")))</f>
        <v>OK</v>
      </c>
      <c r="H2018" s="199">
        <f t="shared" ref="H2018:O2018" si="10190">countif($D2018,"*"&amp;H$2&amp;"*")</f>
        <v>0</v>
      </c>
      <c r="I2018" s="200">
        <f t="shared" si="10190"/>
        <v>0</v>
      </c>
      <c r="J2018" s="200">
        <f t="shared" si="10190"/>
        <v>0</v>
      </c>
      <c r="K2018" s="200">
        <f t="shared" si="10190"/>
        <v>0</v>
      </c>
      <c r="L2018" s="200">
        <f t="shared" si="10190"/>
        <v>0</v>
      </c>
      <c r="M2018" s="200">
        <f t="shared" si="10190"/>
        <v>0</v>
      </c>
      <c r="N2018" s="200">
        <f t="shared" si="10190"/>
        <v>0</v>
      </c>
      <c r="O2018" s="200">
        <f t="shared" si="10190"/>
        <v>0</v>
      </c>
      <c r="P2018" s="200">
        <f t="shared" si="9"/>
        <v>1</v>
      </c>
      <c r="Q2018" s="200">
        <f t="shared" ref="Q2018:AC2018" si="10191">countif($D2018,"*"&amp;Q$2&amp;"*")</f>
        <v>0</v>
      </c>
      <c r="R2018" s="200">
        <f t="shared" si="10191"/>
        <v>0</v>
      </c>
      <c r="S2018" s="200">
        <f t="shared" si="10191"/>
        <v>0</v>
      </c>
      <c r="T2018" s="200">
        <f t="shared" si="10191"/>
        <v>0</v>
      </c>
      <c r="U2018" s="200">
        <f t="shared" si="10191"/>
        <v>0</v>
      </c>
      <c r="V2018" s="200">
        <f t="shared" si="10191"/>
        <v>0</v>
      </c>
      <c r="W2018" s="200">
        <f t="shared" si="10191"/>
        <v>0</v>
      </c>
      <c r="X2018" s="200">
        <f t="shared" si="10191"/>
        <v>0</v>
      </c>
      <c r="Y2018" s="200">
        <f t="shared" si="10191"/>
        <v>0</v>
      </c>
      <c r="Z2018" s="200">
        <f t="shared" si="10191"/>
        <v>0</v>
      </c>
      <c r="AA2018" s="200">
        <f t="shared" si="10191"/>
        <v>0</v>
      </c>
      <c r="AB2018" s="200">
        <f t="shared" si="10191"/>
        <v>0</v>
      </c>
      <c r="AC2018" s="200">
        <f t="shared" si="10191"/>
        <v>0</v>
      </c>
      <c r="AD2018" s="200">
        <f t="shared" si="11"/>
        <v>0</v>
      </c>
      <c r="AE2018" s="200">
        <f t="shared" ref="AE2018:AG2018" si="10192">countif($D2018,"*"&amp;AE$2&amp;"*")</f>
        <v>0</v>
      </c>
      <c r="AF2018" s="200">
        <f t="shared" si="10192"/>
        <v>0</v>
      </c>
      <c r="AG2018" s="200">
        <f t="shared" si="10192"/>
        <v>0</v>
      </c>
      <c r="AH2018" s="171">
        <f t="shared" si="13"/>
        <v>0</v>
      </c>
      <c r="AI2018" s="200">
        <f t="shared" si="14"/>
        <v>0</v>
      </c>
      <c r="AJ2018" s="200">
        <f t="shared" ref="AJ2018:AJ2025" si="10198">SUM(AK2018:AR2018)</f>
        <v>0</v>
      </c>
      <c r="AK2018" s="201">
        <f t="shared" ref="AK2018:AS2018" si="10193">countif($D2018,"*"&amp;AK$2&amp;"*")</f>
        <v>0</v>
      </c>
      <c r="AL2018" s="201">
        <f t="shared" si="10193"/>
        <v>0</v>
      </c>
      <c r="AM2018" s="201">
        <f t="shared" si="10193"/>
        <v>0</v>
      </c>
      <c r="AN2018" s="201">
        <f t="shared" si="10193"/>
        <v>0</v>
      </c>
      <c r="AO2018" s="201">
        <f t="shared" si="10193"/>
        <v>0</v>
      </c>
      <c r="AP2018" s="201">
        <f t="shared" si="10193"/>
        <v>0</v>
      </c>
      <c r="AQ2018" s="201">
        <f t="shared" si="10193"/>
        <v>0</v>
      </c>
      <c r="AR2018" s="200">
        <f t="shared" si="10193"/>
        <v>0</v>
      </c>
      <c r="AS2018" s="200">
        <f t="shared" si="10193"/>
        <v>0</v>
      </c>
      <c r="AT2018" s="173">
        <v>0.0</v>
      </c>
      <c r="AU2018" s="200">
        <f t="shared" ref="AU2018:AX2018" si="10194">countif($D2018,"*"&amp;AU$2&amp;"*")</f>
        <v>0</v>
      </c>
      <c r="AV2018" s="200">
        <f t="shared" si="10194"/>
        <v>1</v>
      </c>
      <c r="AW2018" s="200">
        <f t="shared" si="10194"/>
        <v>0</v>
      </c>
      <c r="AX2018" s="200">
        <f t="shared" si="10194"/>
        <v>0</v>
      </c>
      <c r="AY2018" s="202">
        <v>0.0</v>
      </c>
      <c r="AZ2018" s="200"/>
      <c r="BA2018" s="171" t="str">
        <f t="shared" si="18"/>
        <v/>
      </c>
      <c r="BB2018" s="171" t="str">
        <f t="shared" si="19"/>
        <v>Code</v>
      </c>
      <c r="BC2018" s="171" t="str">
        <f t="shared" si="20"/>
        <v/>
      </c>
      <c r="BD2018" s="171" t="str">
        <f t="shared" si="21"/>
        <v/>
      </c>
      <c r="BE2018" s="171" t="str">
        <f t="shared" si="22"/>
        <v/>
      </c>
      <c r="BF2018" s="171" t="str">
        <f t="shared" si="23"/>
        <v>Code</v>
      </c>
    </row>
    <row r="2019">
      <c r="A2019" s="213">
        <f t="array" ref="A2019">XLOOKUP(C2019,FSE!A:A,FSE!C:C,"XXXXX",0,1)</f>
        <v>2016</v>
      </c>
      <c r="B2019" s="213" t="s">
        <v>5676</v>
      </c>
      <c r="C2019" s="220">
        <v>648.0</v>
      </c>
      <c r="D2019" s="217" t="s">
        <v>6544</v>
      </c>
      <c r="E2019" s="221" t="str">
        <f t="array" ref="E2019">XLOOKUP(C2019,FSE!A:A,FSE!Z:Z,"XXXXX",0,1)</f>
        <v>Publicly Available (3)</v>
      </c>
      <c r="F2019" s="213" t="s">
        <v>3394</v>
      </c>
      <c r="G2019" s="163" t="str">
        <f t="array" ref="G2019">IF(B2019="ICSE",IF(COUNTIFS(B:B,B2019,C:C,C2019)=XLOOKUP(C2019,ICSE!A:A,ICSE!AA:AA,"ERROR",0,1),"OK","ERROR"),IF(B2019="FSE",IF(COUNTIFS(B:B,B2019,C:C,C2019)=XLOOKUP(C2019,FSE!A:A,FSE!AA:AA,"ERROR",0,1),"OK","ERROR")))</f>
        <v>OK</v>
      </c>
      <c r="H2019" s="199">
        <f t="shared" ref="H2019:O2019" si="10195">countif($D2019,"*"&amp;H$2&amp;"*")</f>
        <v>0</v>
      </c>
      <c r="I2019" s="200">
        <f t="shared" si="10195"/>
        <v>0</v>
      </c>
      <c r="J2019" s="200">
        <f t="shared" si="10195"/>
        <v>0</v>
      </c>
      <c r="K2019" s="200">
        <f t="shared" si="10195"/>
        <v>0</v>
      </c>
      <c r="L2019" s="200">
        <f t="shared" si="10195"/>
        <v>0</v>
      </c>
      <c r="M2019" s="200">
        <f t="shared" si="10195"/>
        <v>0</v>
      </c>
      <c r="N2019" s="200">
        <f t="shared" si="10195"/>
        <v>0</v>
      </c>
      <c r="O2019" s="200">
        <f t="shared" si="10195"/>
        <v>0</v>
      </c>
      <c r="P2019" s="200">
        <f t="shared" si="9"/>
        <v>1</v>
      </c>
      <c r="Q2019" s="200">
        <f t="shared" ref="Q2019:AC2019" si="10196">countif($D2019,"*"&amp;Q$2&amp;"*")</f>
        <v>0</v>
      </c>
      <c r="R2019" s="200">
        <f t="shared" si="10196"/>
        <v>0</v>
      </c>
      <c r="S2019" s="200">
        <f t="shared" si="10196"/>
        <v>0</v>
      </c>
      <c r="T2019" s="200">
        <f t="shared" si="10196"/>
        <v>0</v>
      </c>
      <c r="U2019" s="200">
        <f t="shared" si="10196"/>
        <v>0</v>
      </c>
      <c r="V2019" s="200">
        <f t="shared" si="10196"/>
        <v>0</v>
      </c>
      <c r="W2019" s="200">
        <f t="shared" si="10196"/>
        <v>0</v>
      </c>
      <c r="X2019" s="200">
        <f t="shared" si="10196"/>
        <v>0</v>
      </c>
      <c r="Y2019" s="200">
        <f t="shared" si="10196"/>
        <v>0</v>
      </c>
      <c r="Z2019" s="200">
        <f t="shared" si="10196"/>
        <v>0</v>
      </c>
      <c r="AA2019" s="200">
        <f t="shared" si="10196"/>
        <v>0</v>
      </c>
      <c r="AB2019" s="200">
        <f t="shared" si="10196"/>
        <v>0</v>
      </c>
      <c r="AC2019" s="200">
        <f t="shared" si="10196"/>
        <v>0</v>
      </c>
      <c r="AD2019" s="222">
        <f t="shared" si="11"/>
        <v>0</v>
      </c>
      <c r="AE2019" s="200">
        <f t="shared" ref="AE2019:AG2019" si="10197">countif($D2019,"*"&amp;AE$2&amp;"*")</f>
        <v>0</v>
      </c>
      <c r="AF2019" s="200">
        <f t="shared" si="10197"/>
        <v>0</v>
      </c>
      <c r="AG2019" s="200">
        <f t="shared" si="10197"/>
        <v>0</v>
      </c>
      <c r="AH2019" s="171">
        <f t="shared" si="13"/>
        <v>0</v>
      </c>
      <c r="AI2019" s="200">
        <f t="shared" si="14"/>
        <v>0</v>
      </c>
      <c r="AJ2019" s="200">
        <f t="shared" si="10198"/>
        <v>0</v>
      </c>
      <c r="AK2019" s="201">
        <f t="shared" ref="AK2019:AS2019" si="10199">countif($D2019,"*"&amp;AK$2&amp;"*")</f>
        <v>0</v>
      </c>
      <c r="AL2019" s="201">
        <f t="shared" si="10199"/>
        <v>0</v>
      </c>
      <c r="AM2019" s="201">
        <f t="shared" si="10199"/>
        <v>0</v>
      </c>
      <c r="AN2019" s="201">
        <f t="shared" si="10199"/>
        <v>0</v>
      </c>
      <c r="AO2019" s="201">
        <f t="shared" si="10199"/>
        <v>0</v>
      </c>
      <c r="AP2019" s="201">
        <f t="shared" si="10199"/>
        <v>0</v>
      </c>
      <c r="AQ2019" s="201">
        <f t="shared" si="10199"/>
        <v>0</v>
      </c>
      <c r="AR2019" s="222">
        <f t="shared" si="10199"/>
        <v>0</v>
      </c>
      <c r="AS2019" s="200">
        <f t="shared" si="10199"/>
        <v>0</v>
      </c>
      <c r="AT2019" s="223">
        <v>0.0</v>
      </c>
      <c r="AU2019" s="200">
        <f t="shared" ref="AU2019:AX2019" si="10200">countif($D2019,"*"&amp;AU$2&amp;"*")</f>
        <v>0</v>
      </c>
      <c r="AV2019" s="200">
        <f t="shared" si="10200"/>
        <v>1</v>
      </c>
      <c r="AW2019" s="200">
        <f t="shared" si="10200"/>
        <v>0</v>
      </c>
      <c r="AX2019" s="200">
        <f t="shared" si="10200"/>
        <v>0</v>
      </c>
      <c r="AY2019" s="202">
        <v>0.0</v>
      </c>
      <c r="AZ2019" s="200"/>
      <c r="BA2019" s="171" t="str">
        <f t="shared" si="18"/>
        <v/>
      </c>
      <c r="BB2019" s="171" t="str">
        <f t="shared" si="19"/>
        <v>Code</v>
      </c>
      <c r="BC2019" s="171" t="str">
        <f t="shared" si="20"/>
        <v/>
      </c>
      <c r="BD2019" s="171" t="str">
        <f t="shared" si="21"/>
        <v/>
      </c>
      <c r="BE2019" s="171" t="str">
        <f t="shared" si="22"/>
        <v/>
      </c>
      <c r="BF2019" s="171" t="str">
        <f t="shared" si="23"/>
        <v>Code</v>
      </c>
    </row>
    <row r="2020">
      <c r="A2020" s="213">
        <f t="array" ref="A2020">XLOOKUP(C2020,FSE!A:A,FSE!C:C,"XXXXX",0,1)</f>
        <v>2016</v>
      </c>
      <c r="B2020" s="213" t="s">
        <v>5676</v>
      </c>
      <c r="C2020" s="220">
        <v>648.0</v>
      </c>
      <c r="D2020" s="217" t="s">
        <v>6545</v>
      </c>
      <c r="E2020" s="221" t="str">
        <f t="array" ref="E2020">XLOOKUP(C2020,FSE!A:A,FSE!Z:Z,"XXXXX",0,1)</f>
        <v>Publicly Available (3)</v>
      </c>
      <c r="F2020" s="213" t="s">
        <v>3394</v>
      </c>
      <c r="G2020" s="163" t="str">
        <f t="array" ref="G2020">IF(B2020="ICSE",IF(COUNTIFS(B:B,B2020,C:C,C2020)=XLOOKUP(C2020,ICSE!A:A,ICSE!AA:AA,"ERROR",0,1),"OK","ERROR"),IF(B2020="FSE",IF(COUNTIFS(B:B,B2020,C:C,C2020)=XLOOKUP(C2020,FSE!A:A,FSE!AA:AA,"ERROR",0,1),"OK","ERROR")))</f>
        <v>OK</v>
      </c>
      <c r="H2020" s="199">
        <f t="shared" ref="H2020:O2020" si="10201">countif($D2020,"*"&amp;H$2&amp;"*")</f>
        <v>0</v>
      </c>
      <c r="I2020" s="200">
        <f t="shared" si="10201"/>
        <v>0</v>
      </c>
      <c r="J2020" s="200">
        <f t="shared" si="10201"/>
        <v>0</v>
      </c>
      <c r="K2020" s="200">
        <f t="shared" si="10201"/>
        <v>0</v>
      </c>
      <c r="L2020" s="200">
        <f t="shared" si="10201"/>
        <v>0</v>
      </c>
      <c r="M2020" s="200">
        <f t="shared" si="10201"/>
        <v>0</v>
      </c>
      <c r="N2020" s="200">
        <f t="shared" si="10201"/>
        <v>0</v>
      </c>
      <c r="O2020" s="200">
        <f t="shared" si="10201"/>
        <v>0</v>
      </c>
      <c r="P2020" s="200">
        <f t="shared" si="9"/>
        <v>0</v>
      </c>
      <c r="Q2020" s="200">
        <f t="shared" ref="Q2020:AC2020" si="10202">countif($D2020,"*"&amp;Q$2&amp;"*")</f>
        <v>0</v>
      </c>
      <c r="R2020" s="200">
        <f t="shared" si="10202"/>
        <v>0</v>
      </c>
      <c r="S2020" s="200">
        <f t="shared" si="10202"/>
        <v>1</v>
      </c>
      <c r="T2020" s="200">
        <f t="shared" si="10202"/>
        <v>0</v>
      </c>
      <c r="U2020" s="200">
        <f t="shared" si="10202"/>
        <v>0</v>
      </c>
      <c r="V2020" s="200">
        <f t="shared" si="10202"/>
        <v>0</v>
      </c>
      <c r="W2020" s="200">
        <f t="shared" si="10202"/>
        <v>0</v>
      </c>
      <c r="X2020" s="200">
        <f t="shared" si="10202"/>
        <v>0</v>
      </c>
      <c r="Y2020" s="200">
        <f t="shared" si="10202"/>
        <v>0</v>
      </c>
      <c r="Z2020" s="200">
        <f t="shared" si="10202"/>
        <v>0</v>
      </c>
      <c r="AA2020" s="200">
        <f t="shared" si="10202"/>
        <v>0</v>
      </c>
      <c r="AB2020" s="200">
        <f t="shared" si="10202"/>
        <v>0</v>
      </c>
      <c r="AC2020" s="200">
        <f t="shared" si="10202"/>
        <v>0</v>
      </c>
      <c r="AD2020" s="222">
        <f t="shared" si="11"/>
        <v>0</v>
      </c>
      <c r="AE2020" s="200">
        <f t="shared" ref="AE2020:AG2020" si="10203">countif($D2020,"*"&amp;AE$2&amp;"*")</f>
        <v>0</v>
      </c>
      <c r="AF2020" s="200">
        <f t="shared" si="10203"/>
        <v>0</v>
      </c>
      <c r="AG2020" s="200">
        <f t="shared" si="10203"/>
        <v>0</v>
      </c>
      <c r="AH2020" s="171">
        <f t="shared" si="13"/>
        <v>0</v>
      </c>
      <c r="AI2020" s="200">
        <f t="shared" si="14"/>
        <v>0</v>
      </c>
      <c r="AJ2020" s="200">
        <f t="shared" si="10198"/>
        <v>0</v>
      </c>
      <c r="AK2020" s="201">
        <f t="shared" ref="AK2020:AS2020" si="10204">countif($D2020,"*"&amp;AK$2&amp;"*")</f>
        <v>0</v>
      </c>
      <c r="AL2020" s="201">
        <f t="shared" si="10204"/>
        <v>0</v>
      </c>
      <c r="AM2020" s="201">
        <f t="shared" si="10204"/>
        <v>0</v>
      </c>
      <c r="AN2020" s="201">
        <f t="shared" si="10204"/>
        <v>0</v>
      </c>
      <c r="AO2020" s="201">
        <f t="shared" si="10204"/>
        <v>0</v>
      </c>
      <c r="AP2020" s="201">
        <f t="shared" si="10204"/>
        <v>0</v>
      </c>
      <c r="AQ2020" s="201">
        <f t="shared" si="10204"/>
        <v>0</v>
      </c>
      <c r="AR2020" s="222">
        <f t="shared" si="10204"/>
        <v>0</v>
      </c>
      <c r="AS2020" s="200">
        <f t="shared" si="10204"/>
        <v>0</v>
      </c>
      <c r="AT2020" s="223">
        <v>0.0</v>
      </c>
      <c r="AU2020" s="200">
        <f t="shared" ref="AU2020:AX2020" si="10205">countif($D2020,"*"&amp;AU$2&amp;"*")</f>
        <v>0</v>
      </c>
      <c r="AV2020" s="200">
        <f t="shared" si="10205"/>
        <v>0</v>
      </c>
      <c r="AW2020" s="200">
        <f t="shared" si="10205"/>
        <v>0</v>
      </c>
      <c r="AX2020" s="200">
        <f t="shared" si="10205"/>
        <v>0</v>
      </c>
      <c r="AY2020" s="202">
        <v>0.0</v>
      </c>
      <c r="AZ2020" s="200"/>
      <c r="BA2020" s="171" t="str">
        <f t="shared" si="18"/>
        <v/>
      </c>
      <c r="BB2020" s="171" t="str">
        <f t="shared" si="19"/>
        <v>Code</v>
      </c>
      <c r="BC2020" s="171" t="str">
        <f t="shared" si="20"/>
        <v/>
      </c>
      <c r="BD2020" s="171" t="str">
        <f t="shared" si="21"/>
        <v/>
      </c>
      <c r="BE2020" s="171" t="str">
        <f t="shared" si="22"/>
        <v/>
      </c>
      <c r="BF2020" s="171" t="str">
        <f t="shared" si="23"/>
        <v>Code</v>
      </c>
    </row>
    <row r="2021">
      <c r="A2021" s="171">
        <f t="array" ref="A2021">XLOOKUP(C2021,FSE!A:A,FSE!C:C,"XXXXX",0,1)</f>
        <v>2016</v>
      </c>
      <c r="B2021" s="213" t="s">
        <v>5676</v>
      </c>
      <c r="C2021" s="214">
        <v>649.0</v>
      </c>
      <c r="D2021" s="215" t="s">
        <v>3774</v>
      </c>
      <c r="E2021" s="197" t="str">
        <f t="array" ref="E2021">XLOOKUP(C2021,FSE!A:A,FSE!Z:Z,"XXXXX",0,1)</f>
        <v>Publicly Available (1)</v>
      </c>
      <c r="F2021" s="213" t="s">
        <v>3394</v>
      </c>
      <c r="G2021" s="163" t="str">
        <f t="array" ref="G2021">IF(B2021="ICSE",IF(COUNTIFS(B:B,B2021,C:C,C2021)=XLOOKUP(C2021,ICSE!A:A,ICSE!AA:AA,"ERROR",0,1),"OK","ERROR"),IF(B2021="FSE",IF(COUNTIFS(B:B,B2021,C:C,C2021)=XLOOKUP(C2021,FSE!A:A,FSE!AA:AA,"ERROR",0,1),"OK","ERROR")))</f>
        <v>OK</v>
      </c>
      <c r="H2021" s="199">
        <f t="shared" ref="H2021:O2021" si="10206">countif($D2021,"*"&amp;H$2&amp;"*")</f>
        <v>0</v>
      </c>
      <c r="I2021" s="200">
        <f t="shared" si="10206"/>
        <v>0</v>
      </c>
      <c r="J2021" s="200">
        <f t="shared" si="10206"/>
        <v>0</v>
      </c>
      <c r="K2021" s="200">
        <f t="shared" si="10206"/>
        <v>0</v>
      </c>
      <c r="L2021" s="200">
        <f t="shared" si="10206"/>
        <v>0</v>
      </c>
      <c r="M2021" s="200">
        <f t="shared" si="10206"/>
        <v>0</v>
      </c>
      <c r="N2021" s="200">
        <f t="shared" si="10206"/>
        <v>0</v>
      </c>
      <c r="O2021" s="200">
        <f t="shared" si="10206"/>
        <v>0</v>
      </c>
      <c r="P2021" s="200">
        <f t="shared" si="9"/>
        <v>0</v>
      </c>
      <c r="Q2021" s="200">
        <f t="shared" ref="Q2021:AC2021" si="10207">countif($D2021,"*"&amp;Q$2&amp;"*")</f>
        <v>0</v>
      </c>
      <c r="R2021" s="200">
        <f t="shared" si="10207"/>
        <v>0</v>
      </c>
      <c r="S2021" s="200">
        <f t="shared" si="10207"/>
        <v>0</v>
      </c>
      <c r="T2021" s="200">
        <f t="shared" si="10207"/>
        <v>0</v>
      </c>
      <c r="U2021" s="200">
        <f t="shared" si="10207"/>
        <v>0</v>
      </c>
      <c r="V2021" s="200">
        <f t="shared" si="10207"/>
        <v>0</v>
      </c>
      <c r="W2021" s="200">
        <f t="shared" si="10207"/>
        <v>0</v>
      </c>
      <c r="X2021" s="200">
        <f t="shared" si="10207"/>
        <v>0</v>
      </c>
      <c r="Y2021" s="200">
        <f t="shared" si="10207"/>
        <v>0</v>
      </c>
      <c r="Z2021" s="200">
        <f t="shared" si="10207"/>
        <v>0</v>
      </c>
      <c r="AA2021" s="200">
        <f t="shared" si="10207"/>
        <v>0</v>
      </c>
      <c r="AB2021" s="200">
        <f t="shared" si="10207"/>
        <v>0</v>
      </c>
      <c r="AC2021" s="200">
        <f t="shared" si="10207"/>
        <v>0</v>
      </c>
      <c r="AD2021" s="200">
        <f t="shared" si="11"/>
        <v>1</v>
      </c>
      <c r="AE2021" s="200">
        <f t="shared" ref="AE2021:AG2021" si="10208">countif($D2021,"*"&amp;AE$2&amp;"*")</f>
        <v>0</v>
      </c>
      <c r="AF2021" s="200">
        <f t="shared" si="10208"/>
        <v>0</v>
      </c>
      <c r="AG2021" s="200">
        <f t="shared" si="10208"/>
        <v>0</v>
      </c>
      <c r="AH2021" s="171">
        <f t="shared" si="13"/>
        <v>0</v>
      </c>
      <c r="AI2021" s="200">
        <f t="shared" si="14"/>
        <v>0</v>
      </c>
      <c r="AJ2021" s="200">
        <f t="shared" si="10198"/>
        <v>0</v>
      </c>
      <c r="AK2021" s="201">
        <f t="shared" ref="AK2021:AS2021" si="10209">countif($D2021,"*"&amp;AK$2&amp;"*")</f>
        <v>0</v>
      </c>
      <c r="AL2021" s="201">
        <f t="shared" si="10209"/>
        <v>0</v>
      </c>
      <c r="AM2021" s="201">
        <f t="shared" si="10209"/>
        <v>0</v>
      </c>
      <c r="AN2021" s="201">
        <f t="shared" si="10209"/>
        <v>0</v>
      </c>
      <c r="AO2021" s="201">
        <f t="shared" si="10209"/>
        <v>0</v>
      </c>
      <c r="AP2021" s="201">
        <f t="shared" si="10209"/>
        <v>0</v>
      </c>
      <c r="AQ2021" s="201">
        <f t="shared" si="10209"/>
        <v>0</v>
      </c>
      <c r="AR2021" s="200">
        <f t="shared" si="10209"/>
        <v>0</v>
      </c>
      <c r="AS2021" s="200">
        <f t="shared" si="10209"/>
        <v>0</v>
      </c>
      <c r="AT2021" s="173">
        <v>1.0</v>
      </c>
      <c r="AU2021" s="200">
        <f t="shared" ref="AU2021:AX2021" si="10210">countif($D2021,"*"&amp;AU$2&amp;"*")</f>
        <v>0</v>
      </c>
      <c r="AV2021" s="200">
        <f t="shared" si="10210"/>
        <v>0</v>
      </c>
      <c r="AW2021" s="200">
        <f t="shared" si="10210"/>
        <v>0</v>
      </c>
      <c r="AX2021" s="200">
        <f t="shared" si="10210"/>
        <v>0</v>
      </c>
      <c r="AY2021" s="202">
        <v>0.0</v>
      </c>
      <c r="AZ2021" s="200"/>
      <c r="BA2021" s="171" t="str">
        <f t="shared" si="18"/>
        <v/>
      </c>
      <c r="BB2021" s="171" t="str">
        <f t="shared" si="19"/>
        <v/>
      </c>
      <c r="BC2021" s="171" t="str">
        <f t="shared" si="20"/>
        <v/>
      </c>
      <c r="BD2021" s="171" t="str">
        <f t="shared" si="21"/>
        <v>Institutional</v>
      </c>
      <c r="BE2021" s="171" t="str">
        <f t="shared" si="22"/>
        <v/>
      </c>
      <c r="BF2021" s="171" t="str">
        <f t="shared" si="23"/>
        <v>Institutional</v>
      </c>
    </row>
    <row r="2022">
      <c r="A2022" s="171">
        <f t="array" ref="A2022">XLOOKUP(C2022,FSE!A:A,FSE!C:C,"XXXXX",0,1)</f>
        <v>2016</v>
      </c>
      <c r="B2022" s="213" t="s">
        <v>5676</v>
      </c>
      <c r="C2022" s="214">
        <v>650.0</v>
      </c>
      <c r="D2022" s="215" t="s">
        <v>3777</v>
      </c>
      <c r="E2022" s="197" t="str">
        <f t="array" ref="E2022">XLOOKUP(C2022,FSE!A:A,FSE!Z:Z,"XXXXX",0,1)</f>
        <v>Publicly Available (1)</v>
      </c>
      <c r="F2022" s="213" t="s">
        <v>3394</v>
      </c>
      <c r="G2022" s="163" t="str">
        <f t="array" ref="G2022">IF(B2022="ICSE",IF(COUNTIFS(B:B,B2022,C:C,C2022)=XLOOKUP(C2022,ICSE!A:A,ICSE!AA:AA,"ERROR",0,1),"OK","ERROR"),IF(B2022="FSE",IF(COUNTIFS(B:B,B2022,C:C,C2022)=XLOOKUP(C2022,FSE!A:A,FSE!AA:AA,"ERROR",0,1),"OK","ERROR")))</f>
        <v>OK</v>
      </c>
      <c r="H2022" s="199">
        <f t="shared" ref="H2022:O2022" si="10211">countif($D2022,"*"&amp;H$2&amp;"*")</f>
        <v>0</v>
      </c>
      <c r="I2022" s="200">
        <f t="shared" si="10211"/>
        <v>0</v>
      </c>
      <c r="J2022" s="200">
        <f t="shared" si="10211"/>
        <v>0</v>
      </c>
      <c r="K2022" s="200">
        <f t="shared" si="10211"/>
        <v>0</v>
      </c>
      <c r="L2022" s="200">
        <f t="shared" si="10211"/>
        <v>0</v>
      </c>
      <c r="M2022" s="200">
        <f t="shared" si="10211"/>
        <v>0</v>
      </c>
      <c r="N2022" s="200">
        <f t="shared" si="10211"/>
        <v>0</v>
      </c>
      <c r="O2022" s="200">
        <f t="shared" si="10211"/>
        <v>0</v>
      </c>
      <c r="P2022" s="200">
        <f t="shared" si="9"/>
        <v>0</v>
      </c>
      <c r="Q2022" s="200">
        <f t="shared" ref="Q2022:AC2022" si="10212">countif($D2022,"*"&amp;Q$2&amp;"*")</f>
        <v>0</v>
      </c>
      <c r="R2022" s="200">
        <f t="shared" si="10212"/>
        <v>1</v>
      </c>
      <c r="S2022" s="200">
        <f t="shared" si="10212"/>
        <v>0</v>
      </c>
      <c r="T2022" s="200">
        <f t="shared" si="10212"/>
        <v>0</v>
      </c>
      <c r="U2022" s="200">
        <f t="shared" si="10212"/>
        <v>0</v>
      </c>
      <c r="V2022" s="200">
        <f t="shared" si="10212"/>
        <v>0</v>
      </c>
      <c r="W2022" s="200">
        <f t="shared" si="10212"/>
        <v>0</v>
      </c>
      <c r="X2022" s="200">
        <f t="shared" si="10212"/>
        <v>0</v>
      </c>
      <c r="Y2022" s="200">
        <f t="shared" si="10212"/>
        <v>0</v>
      </c>
      <c r="Z2022" s="200">
        <f t="shared" si="10212"/>
        <v>0</v>
      </c>
      <c r="AA2022" s="200">
        <f t="shared" si="10212"/>
        <v>0</v>
      </c>
      <c r="AB2022" s="200">
        <f t="shared" si="10212"/>
        <v>0</v>
      </c>
      <c r="AC2022" s="200">
        <f t="shared" si="10212"/>
        <v>0</v>
      </c>
      <c r="AD2022" s="200">
        <f t="shared" si="11"/>
        <v>0</v>
      </c>
      <c r="AE2022" s="200">
        <f t="shared" ref="AE2022:AG2022" si="10213">countif($D2022,"*"&amp;AE$2&amp;"*")</f>
        <v>0</v>
      </c>
      <c r="AF2022" s="200">
        <f t="shared" si="10213"/>
        <v>0</v>
      </c>
      <c r="AG2022" s="200">
        <f t="shared" si="10213"/>
        <v>0</v>
      </c>
      <c r="AH2022" s="171">
        <f t="shared" si="13"/>
        <v>0</v>
      </c>
      <c r="AI2022" s="200">
        <f t="shared" si="14"/>
        <v>0</v>
      </c>
      <c r="AJ2022" s="200">
        <f t="shared" si="10198"/>
        <v>0</v>
      </c>
      <c r="AK2022" s="201">
        <f t="shared" ref="AK2022:AS2022" si="10214">countif($D2022,"*"&amp;AK$2&amp;"*")</f>
        <v>0</v>
      </c>
      <c r="AL2022" s="201">
        <f t="shared" si="10214"/>
        <v>0</v>
      </c>
      <c r="AM2022" s="201">
        <f t="shared" si="10214"/>
        <v>0</v>
      </c>
      <c r="AN2022" s="201">
        <f t="shared" si="10214"/>
        <v>0</v>
      </c>
      <c r="AO2022" s="201">
        <f t="shared" si="10214"/>
        <v>0</v>
      </c>
      <c r="AP2022" s="201">
        <f t="shared" si="10214"/>
        <v>0</v>
      </c>
      <c r="AQ2022" s="201">
        <f t="shared" si="10214"/>
        <v>0</v>
      </c>
      <c r="AR2022" s="200">
        <f t="shared" si="10214"/>
        <v>0</v>
      </c>
      <c r="AS2022" s="200">
        <f t="shared" si="10214"/>
        <v>0</v>
      </c>
      <c r="AT2022" s="173">
        <v>0.0</v>
      </c>
      <c r="AU2022" s="200">
        <f t="shared" ref="AU2022:AX2022" si="10215">countif($D2022,"*"&amp;AU$2&amp;"*")</f>
        <v>0</v>
      </c>
      <c r="AV2022" s="200">
        <f t="shared" si="10215"/>
        <v>0</v>
      </c>
      <c r="AW2022" s="200">
        <f t="shared" si="10215"/>
        <v>0</v>
      </c>
      <c r="AX2022" s="200">
        <f t="shared" si="10215"/>
        <v>0</v>
      </c>
      <c r="AY2022" s="202">
        <v>0.0</v>
      </c>
      <c r="AZ2022" s="200"/>
      <c r="BA2022" s="171" t="str">
        <f t="shared" si="18"/>
        <v/>
      </c>
      <c r="BB2022" s="171" t="str">
        <f t="shared" si="19"/>
        <v>Code</v>
      </c>
      <c r="BC2022" s="171" t="str">
        <f t="shared" si="20"/>
        <v/>
      </c>
      <c r="BD2022" s="171" t="str">
        <f t="shared" si="21"/>
        <v/>
      </c>
      <c r="BE2022" s="171" t="str">
        <f t="shared" si="22"/>
        <v/>
      </c>
      <c r="BF2022" s="171" t="str">
        <f t="shared" si="23"/>
        <v>Code</v>
      </c>
    </row>
    <row r="2023">
      <c r="A2023" s="171">
        <f t="array" ref="A2023">XLOOKUP(C2023,FSE!A:A,FSE!C:C,"XXXXX",0,1)</f>
        <v>2016</v>
      </c>
      <c r="B2023" s="213" t="s">
        <v>5676</v>
      </c>
      <c r="C2023" s="214">
        <v>651.0</v>
      </c>
      <c r="D2023" s="215" t="s">
        <v>3779</v>
      </c>
      <c r="E2023" s="197" t="str">
        <f t="array" ref="E2023">XLOOKUP(C2023,FSE!A:A,FSE!Z:Z,"XXXXX",0,1)</f>
        <v>Publicly Available (1)</v>
      </c>
      <c r="F2023" s="213" t="s">
        <v>3394</v>
      </c>
      <c r="G2023" s="163" t="str">
        <f t="array" ref="G2023">IF(B2023="ICSE",IF(COUNTIFS(B:B,B2023,C:C,C2023)=XLOOKUP(C2023,ICSE!A:A,ICSE!AA:AA,"ERROR",0,1),"OK","ERROR"),IF(B2023="FSE",IF(COUNTIFS(B:B,B2023,C:C,C2023)=XLOOKUP(C2023,FSE!A:A,FSE!AA:AA,"ERROR",0,1),"OK","ERROR")))</f>
        <v>OK</v>
      </c>
      <c r="H2023" s="199">
        <f t="shared" ref="H2023:O2023" si="10216">countif($D2023,"*"&amp;H$2&amp;"*")</f>
        <v>0</v>
      </c>
      <c r="I2023" s="200">
        <f t="shared" si="10216"/>
        <v>0</v>
      </c>
      <c r="J2023" s="200">
        <f t="shared" si="10216"/>
        <v>0</v>
      </c>
      <c r="K2023" s="200">
        <f t="shared" si="10216"/>
        <v>0</v>
      </c>
      <c r="L2023" s="200">
        <f t="shared" si="10216"/>
        <v>0</v>
      </c>
      <c r="M2023" s="200">
        <f t="shared" si="10216"/>
        <v>0</v>
      </c>
      <c r="N2023" s="200">
        <f t="shared" si="10216"/>
        <v>0</v>
      </c>
      <c r="O2023" s="200">
        <f t="shared" si="10216"/>
        <v>0</v>
      </c>
      <c r="P2023" s="200">
        <f t="shared" si="9"/>
        <v>1</v>
      </c>
      <c r="Q2023" s="200">
        <f t="shared" ref="Q2023:AC2023" si="10217">countif($D2023,"*"&amp;Q$2&amp;"*")</f>
        <v>0</v>
      </c>
      <c r="R2023" s="200">
        <f t="shared" si="10217"/>
        <v>0</v>
      </c>
      <c r="S2023" s="200">
        <f t="shared" si="10217"/>
        <v>0</v>
      </c>
      <c r="T2023" s="200">
        <f t="shared" si="10217"/>
        <v>0</v>
      </c>
      <c r="U2023" s="200">
        <f t="shared" si="10217"/>
        <v>0</v>
      </c>
      <c r="V2023" s="200">
        <f t="shared" si="10217"/>
        <v>0</v>
      </c>
      <c r="W2023" s="200">
        <f t="shared" si="10217"/>
        <v>0</v>
      </c>
      <c r="X2023" s="200">
        <f t="shared" si="10217"/>
        <v>0</v>
      </c>
      <c r="Y2023" s="200">
        <f t="shared" si="10217"/>
        <v>0</v>
      </c>
      <c r="Z2023" s="200">
        <f t="shared" si="10217"/>
        <v>0</v>
      </c>
      <c r="AA2023" s="200">
        <f t="shared" si="10217"/>
        <v>0</v>
      </c>
      <c r="AB2023" s="200">
        <f t="shared" si="10217"/>
        <v>0</v>
      </c>
      <c r="AC2023" s="200">
        <f t="shared" si="10217"/>
        <v>0</v>
      </c>
      <c r="AD2023" s="200">
        <f t="shared" si="11"/>
        <v>0</v>
      </c>
      <c r="AE2023" s="200">
        <f t="shared" ref="AE2023:AG2023" si="10218">countif($D2023,"*"&amp;AE$2&amp;"*")</f>
        <v>0</v>
      </c>
      <c r="AF2023" s="200">
        <f t="shared" si="10218"/>
        <v>0</v>
      </c>
      <c r="AG2023" s="200">
        <f t="shared" si="10218"/>
        <v>0</v>
      </c>
      <c r="AH2023" s="171">
        <f t="shared" si="13"/>
        <v>0</v>
      </c>
      <c r="AI2023" s="200">
        <f t="shared" si="14"/>
        <v>0</v>
      </c>
      <c r="AJ2023" s="200">
        <f t="shared" si="10198"/>
        <v>0</v>
      </c>
      <c r="AK2023" s="201">
        <f t="shared" ref="AK2023:AS2023" si="10219">countif($D2023,"*"&amp;AK$2&amp;"*")</f>
        <v>0</v>
      </c>
      <c r="AL2023" s="201">
        <f t="shared" si="10219"/>
        <v>0</v>
      </c>
      <c r="AM2023" s="201">
        <f t="shared" si="10219"/>
        <v>0</v>
      </c>
      <c r="AN2023" s="201">
        <f t="shared" si="10219"/>
        <v>0</v>
      </c>
      <c r="AO2023" s="201">
        <f t="shared" si="10219"/>
        <v>0</v>
      </c>
      <c r="AP2023" s="201">
        <f t="shared" si="10219"/>
        <v>0</v>
      </c>
      <c r="AQ2023" s="201">
        <f t="shared" si="10219"/>
        <v>0</v>
      </c>
      <c r="AR2023" s="200">
        <f t="shared" si="10219"/>
        <v>0</v>
      </c>
      <c r="AS2023" s="200">
        <f t="shared" si="10219"/>
        <v>0</v>
      </c>
      <c r="AT2023" s="173">
        <v>0.0</v>
      </c>
      <c r="AU2023" s="200">
        <f t="shared" ref="AU2023:AX2023" si="10220">countif($D2023,"*"&amp;AU$2&amp;"*")</f>
        <v>0</v>
      </c>
      <c r="AV2023" s="200">
        <f t="shared" si="10220"/>
        <v>1</v>
      </c>
      <c r="AW2023" s="200">
        <f t="shared" si="10220"/>
        <v>0</v>
      </c>
      <c r="AX2023" s="200">
        <f t="shared" si="10220"/>
        <v>0</v>
      </c>
      <c r="AY2023" s="202">
        <v>0.0</v>
      </c>
      <c r="AZ2023" s="200"/>
      <c r="BA2023" s="171" t="str">
        <f t="shared" si="18"/>
        <v/>
      </c>
      <c r="BB2023" s="171" t="str">
        <f t="shared" si="19"/>
        <v>Code</v>
      </c>
      <c r="BC2023" s="171" t="str">
        <f t="shared" si="20"/>
        <v/>
      </c>
      <c r="BD2023" s="171" t="str">
        <f t="shared" si="21"/>
        <v/>
      </c>
      <c r="BE2023" s="171" t="str">
        <f t="shared" si="22"/>
        <v/>
      </c>
      <c r="BF2023" s="171" t="str">
        <f t="shared" si="23"/>
        <v>Code</v>
      </c>
    </row>
    <row r="2024">
      <c r="A2024" s="171">
        <f t="array" ref="A2024">XLOOKUP(C2024,FSE!A:A,FSE!C:C,"XXXXX",0,1)</f>
        <v>2016</v>
      </c>
      <c r="B2024" s="213" t="s">
        <v>5676</v>
      </c>
      <c r="C2024" s="214">
        <v>652.0</v>
      </c>
      <c r="D2024" s="215" t="s">
        <v>3782</v>
      </c>
      <c r="E2024" s="197" t="str">
        <f t="array" ref="E2024">XLOOKUP(C2024,FSE!A:A,FSE!Z:Z,"XXXXX",0,1)</f>
        <v>Publicly Available (1)</v>
      </c>
      <c r="F2024" s="213" t="s">
        <v>3394</v>
      </c>
      <c r="G2024" s="163" t="str">
        <f t="array" ref="G2024">IF(B2024="ICSE",IF(COUNTIFS(B:B,B2024,C:C,C2024)=XLOOKUP(C2024,ICSE!A:A,ICSE!AA:AA,"ERROR",0,1),"OK","ERROR"),IF(B2024="FSE",IF(COUNTIFS(B:B,B2024,C:C,C2024)=XLOOKUP(C2024,FSE!A:A,FSE!AA:AA,"ERROR",0,1),"OK","ERROR")))</f>
        <v>OK</v>
      </c>
      <c r="H2024" s="199">
        <f t="shared" ref="H2024:O2024" si="10221">countif($D2024,"*"&amp;H$2&amp;"*")</f>
        <v>0</v>
      </c>
      <c r="I2024" s="200">
        <f t="shared" si="10221"/>
        <v>0</v>
      </c>
      <c r="J2024" s="200">
        <f t="shared" si="10221"/>
        <v>0</v>
      </c>
      <c r="K2024" s="200">
        <f t="shared" si="10221"/>
        <v>0</v>
      </c>
      <c r="L2024" s="200">
        <f t="shared" si="10221"/>
        <v>0</v>
      </c>
      <c r="M2024" s="200">
        <f t="shared" si="10221"/>
        <v>0</v>
      </c>
      <c r="N2024" s="200">
        <f t="shared" si="10221"/>
        <v>0</v>
      </c>
      <c r="O2024" s="200">
        <f t="shared" si="10221"/>
        <v>0</v>
      </c>
      <c r="P2024" s="200">
        <f t="shared" si="9"/>
        <v>0</v>
      </c>
      <c r="Q2024" s="200">
        <f t="shared" ref="Q2024:AC2024" si="10222">countif($D2024,"*"&amp;Q$2&amp;"*")</f>
        <v>0</v>
      </c>
      <c r="R2024" s="200">
        <f t="shared" si="10222"/>
        <v>0</v>
      </c>
      <c r="S2024" s="200">
        <f t="shared" si="10222"/>
        <v>0</v>
      </c>
      <c r="T2024" s="200">
        <f t="shared" si="10222"/>
        <v>0</v>
      </c>
      <c r="U2024" s="200">
        <f t="shared" si="10222"/>
        <v>0</v>
      </c>
      <c r="V2024" s="200">
        <f t="shared" si="10222"/>
        <v>0</v>
      </c>
      <c r="W2024" s="200">
        <f t="shared" si="10222"/>
        <v>0</v>
      </c>
      <c r="X2024" s="200">
        <f t="shared" si="10222"/>
        <v>0</v>
      </c>
      <c r="Y2024" s="200">
        <f t="shared" si="10222"/>
        <v>0</v>
      </c>
      <c r="Z2024" s="200">
        <f t="shared" si="10222"/>
        <v>0</v>
      </c>
      <c r="AA2024" s="200">
        <f t="shared" si="10222"/>
        <v>0</v>
      </c>
      <c r="AB2024" s="200">
        <f t="shared" si="10222"/>
        <v>0</v>
      </c>
      <c r="AC2024" s="200">
        <f t="shared" si="10222"/>
        <v>0</v>
      </c>
      <c r="AD2024" s="200">
        <f t="shared" si="11"/>
        <v>0</v>
      </c>
      <c r="AE2024" s="200">
        <f t="shared" ref="AE2024:AG2024" si="10223">countif($D2024,"*"&amp;AE$2&amp;"*")</f>
        <v>0</v>
      </c>
      <c r="AF2024" s="200">
        <f t="shared" si="10223"/>
        <v>0</v>
      </c>
      <c r="AG2024" s="200">
        <f t="shared" si="10223"/>
        <v>0</v>
      </c>
      <c r="AH2024" s="171">
        <f t="shared" si="13"/>
        <v>1</v>
      </c>
      <c r="AI2024" s="200">
        <f t="shared" si="14"/>
        <v>0</v>
      </c>
      <c r="AJ2024" s="200">
        <f t="shared" si="10198"/>
        <v>0</v>
      </c>
      <c r="AK2024" s="201">
        <f t="shared" ref="AK2024:AS2024" si="10224">countif($D2024,"*"&amp;AK$2&amp;"*")</f>
        <v>0</v>
      </c>
      <c r="AL2024" s="201">
        <f t="shared" si="10224"/>
        <v>0</v>
      </c>
      <c r="AM2024" s="201">
        <f t="shared" si="10224"/>
        <v>0</v>
      </c>
      <c r="AN2024" s="201">
        <f t="shared" si="10224"/>
        <v>0</v>
      </c>
      <c r="AO2024" s="201">
        <f t="shared" si="10224"/>
        <v>0</v>
      </c>
      <c r="AP2024" s="201">
        <f t="shared" si="10224"/>
        <v>0</v>
      </c>
      <c r="AQ2024" s="201">
        <f t="shared" si="10224"/>
        <v>0</v>
      </c>
      <c r="AR2024" s="200">
        <f t="shared" si="10224"/>
        <v>0</v>
      </c>
      <c r="AS2024" s="200">
        <f t="shared" si="10224"/>
        <v>0</v>
      </c>
      <c r="AT2024" s="173">
        <v>0.0</v>
      </c>
      <c r="AU2024" s="200">
        <f t="shared" ref="AU2024:AX2024" si="10225">countif($D2024,"*"&amp;AU$2&amp;"*")</f>
        <v>0</v>
      </c>
      <c r="AV2024" s="200">
        <f t="shared" si="10225"/>
        <v>0</v>
      </c>
      <c r="AW2024" s="200">
        <f t="shared" si="10225"/>
        <v>0</v>
      </c>
      <c r="AX2024" s="200">
        <f t="shared" si="10225"/>
        <v>0</v>
      </c>
      <c r="AY2024" s="202">
        <v>0.0</v>
      </c>
      <c r="AZ2024" s="200"/>
      <c r="BA2024" s="171" t="str">
        <f t="shared" si="18"/>
        <v/>
      </c>
      <c r="BB2024" s="171" t="str">
        <f t="shared" si="19"/>
        <v/>
      </c>
      <c r="BC2024" s="171" t="str">
        <f t="shared" si="20"/>
        <v/>
      </c>
      <c r="BD2024" s="171" t="str">
        <f t="shared" si="21"/>
        <v/>
      </c>
      <c r="BE2024" s="171" t="str">
        <f t="shared" si="22"/>
        <v>Others</v>
      </c>
      <c r="BF2024" s="171" t="str">
        <f t="shared" si="23"/>
        <v>Others</v>
      </c>
    </row>
    <row r="2025">
      <c r="A2025" s="171">
        <f t="array" ref="A2025">XLOOKUP(C2025,FSE!A:A,FSE!C:C,"XXXXX",0,1)</f>
        <v>2016</v>
      </c>
      <c r="B2025" s="213" t="s">
        <v>5676</v>
      </c>
      <c r="C2025" s="214">
        <v>653.0</v>
      </c>
      <c r="D2025" s="217" t="s">
        <v>6546</v>
      </c>
      <c r="E2025" s="197" t="str">
        <f t="array" ref="E2025">XLOOKUP(C2025,FSE!A:A,FSE!Z:Z,"XXXXX",0,1)</f>
        <v>Publicly Available (1)</v>
      </c>
      <c r="F2025" s="213" t="s">
        <v>3394</v>
      </c>
      <c r="G2025" s="163" t="str">
        <f t="array" ref="G2025">IF(B2025="ICSE",IF(COUNTIFS(B:B,B2025,C:C,C2025)=XLOOKUP(C2025,ICSE!A:A,ICSE!AA:AA,"ERROR",0,1),"OK","ERROR"),IF(B2025="FSE",IF(COUNTIFS(B:B,B2025,C:C,C2025)=XLOOKUP(C2025,FSE!A:A,FSE!AA:AA,"ERROR",0,1),"OK","ERROR")))</f>
        <v>OK</v>
      </c>
      <c r="H2025" s="199">
        <f t="shared" ref="H2025:O2025" si="10226">countif($D2025,"*"&amp;H$2&amp;"*")</f>
        <v>0</v>
      </c>
      <c r="I2025" s="200">
        <f t="shared" si="10226"/>
        <v>0</v>
      </c>
      <c r="J2025" s="200">
        <f t="shared" si="10226"/>
        <v>0</v>
      </c>
      <c r="K2025" s="200">
        <f t="shared" si="10226"/>
        <v>0</v>
      </c>
      <c r="L2025" s="200">
        <f t="shared" si="10226"/>
        <v>0</v>
      </c>
      <c r="M2025" s="200">
        <f t="shared" si="10226"/>
        <v>0</v>
      </c>
      <c r="N2025" s="200">
        <f t="shared" si="10226"/>
        <v>0</v>
      </c>
      <c r="O2025" s="200">
        <f t="shared" si="10226"/>
        <v>0</v>
      </c>
      <c r="P2025" s="200">
        <f t="shared" si="9"/>
        <v>0</v>
      </c>
      <c r="Q2025" s="200">
        <f t="shared" ref="Q2025:AC2025" si="10227">countif($D2025,"*"&amp;Q$2&amp;"*")</f>
        <v>0</v>
      </c>
      <c r="R2025" s="200">
        <f t="shared" si="10227"/>
        <v>0</v>
      </c>
      <c r="S2025" s="200">
        <f t="shared" si="10227"/>
        <v>0</v>
      </c>
      <c r="T2025" s="200">
        <f t="shared" si="10227"/>
        <v>0</v>
      </c>
      <c r="U2025" s="200">
        <f t="shared" si="10227"/>
        <v>0</v>
      </c>
      <c r="V2025" s="200">
        <f t="shared" si="10227"/>
        <v>0</v>
      </c>
      <c r="W2025" s="200">
        <f t="shared" si="10227"/>
        <v>0</v>
      </c>
      <c r="X2025" s="200">
        <f t="shared" si="10227"/>
        <v>0</v>
      </c>
      <c r="Y2025" s="200">
        <f t="shared" si="10227"/>
        <v>0</v>
      </c>
      <c r="Z2025" s="200">
        <f t="shared" si="10227"/>
        <v>1</v>
      </c>
      <c r="AA2025" s="200">
        <f t="shared" si="10227"/>
        <v>0</v>
      </c>
      <c r="AB2025" s="200">
        <f t="shared" si="10227"/>
        <v>0</v>
      </c>
      <c r="AC2025" s="200">
        <f t="shared" si="10227"/>
        <v>0</v>
      </c>
      <c r="AD2025" s="200">
        <f t="shared" si="11"/>
        <v>0</v>
      </c>
      <c r="AE2025" s="200">
        <f t="shared" ref="AE2025:AG2025" si="10228">countif($D2025,"*"&amp;AE$2&amp;"*")</f>
        <v>0</v>
      </c>
      <c r="AF2025" s="200">
        <f t="shared" si="10228"/>
        <v>0</v>
      </c>
      <c r="AG2025" s="200">
        <f t="shared" si="10228"/>
        <v>0</v>
      </c>
      <c r="AH2025" s="171">
        <f t="shared" si="13"/>
        <v>0</v>
      </c>
      <c r="AI2025" s="200">
        <f t="shared" si="14"/>
        <v>0</v>
      </c>
      <c r="AJ2025" s="200">
        <f t="shared" si="10198"/>
        <v>1</v>
      </c>
      <c r="AK2025" s="201">
        <f t="shared" ref="AK2025:AS2025" si="10229">countif($D2025,"*"&amp;AK$2&amp;"*")</f>
        <v>0</v>
      </c>
      <c r="AL2025" s="201">
        <f t="shared" si="10229"/>
        <v>1</v>
      </c>
      <c r="AM2025" s="201">
        <f t="shared" si="10229"/>
        <v>0</v>
      </c>
      <c r="AN2025" s="201">
        <f t="shared" si="10229"/>
        <v>0</v>
      </c>
      <c r="AO2025" s="201">
        <f t="shared" si="10229"/>
        <v>0</v>
      </c>
      <c r="AP2025" s="201">
        <f t="shared" si="10229"/>
        <v>0</v>
      </c>
      <c r="AQ2025" s="201">
        <f t="shared" si="10229"/>
        <v>0</v>
      </c>
      <c r="AR2025" s="200">
        <f t="shared" si="10229"/>
        <v>0</v>
      </c>
      <c r="AS2025" s="200">
        <f t="shared" si="10229"/>
        <v>1</v>
      </c>
      <c r="AT2025" s="173">
        <v>0.0</v>
      </c>
      <c r="AU2025" s="200">
        <f t="shared" ref="AU2025:AX2025" si="10230">countif($D2025,"*"&amp;AU$2&amp;"*")</f>
        <v>0</v>
      </c>
      <c r="AV2025" s="200">
        <f t="shared" si="10230"/>
        <v>0</v>
      </c>
      <c r="AW2025" s="200">
        <f t="shared" si="10230"/>
        <v>0</v>
      </c>
      <c r="AX2025" s="200">
        <f t="shared" si="10230"/>
        <v>0</v>
      </c>
      <c r="AY2025" s="202">
        <v>0.0</v>
      </c>
      <c r="AZ2025" s="200"/>
      <c r="BA2025" s="171" t="str">
        <f t="shared" si="18"/>
        <v/>
      </c>
      <c r="BB2025" s="171" t="str">
        <f t="shared" si="19"/>
        <v/>
      </c>
      <c r="BC2025" s="171" t="str">
        <f t="shared" si="20"/>
        <v>General-purpose</v>
      </c>
      <c r="BD2025" s="171" t="str">
        <f t="shared" si="21"/>
        <v/>
      </c>
      <c r="BE2025" s="171" t="str">
        <f t="shared" si="22"/>
        <v/>
      </c>
      <c r="BF2025" s="171" t="str">
        <f t="shared" si="23"/>
        <v>General-purpose</v>
      </c>
    </row>
    <row r="2026">
      <c r="A2026" s="171">
        <f t="array" ref="A2026">XLOOKUP(C2026,FSE!A:A,FSE!C:C,"XXXXX",0,1)</f>
        <v>2016</v>
      </c>
      <c r="B2026" s="213" t="s">
        <v>5676</v>
      </c>
      <c r="C2026" s="214">
        <v>655.0</v>
      </c>
      <c r="D2026" s="217" t="s">
        <v>3789</v>
      </c>
      <c r="E2026" s="197" t="str">
        <f t="array" ref="E2026">XLOOKUP(C2026,FSE!A:A,FSE!Z:Z,"XXXXX",0,1)</f>
        <v>Publicly Available (1)</v>
      </c>
      <c r="F2026" s="213" t="s">
        <v>3394</v>
      </c>
      <c r="G2026" s="163" t="str">
        <f t="array" ref="G2026">IF(B2026="ICSE",IF(COUNTIFS(B:B,B2026,C:C,C2026)=XLOOKUP(C2026,ICSE!A:A,ICSE!AA:AA,"ERROR",0,1),"OK","ERROR"),IF(B2026="FSE",IF(COUNTIFS(B:B,B2026,C:C,C2026)=XLOOKUP(C2026,FSE!A:A,FSE!AA:AA,"ERROR",0,1),"OK","ERROR")))</f>
        <v>OK</v>
      </c>
      <c r="H2026" s="199">
        <f t="shared" ref="H2026:O2026" si="10231">countif($D2026,"*"&amp;H$2&amp;"*")</f>
        <v>0</v>
      </c>
      <c r="I2026" s="200">
        <f t="shared" si="10231"/>
        <v>0</v>
      </c>
      <c r="J2026" s="200">
        <f t="shared" si="10231"/>
        <v>0</v>
      </c>
      <c r="K2026" s="200">
        <f t="shared" si="10231"/>
        <v>0</v>
      </c>
      <c r="L2026" s="200">
        <f t="shared" si="10231"/>
        <v>0</v>
      </c>
      <c r="M2026" s="200">
        <f t="shared" si="10231"/>
        <v>0</v>
      </c>
      <c r="N2026" s="200">
        <f t="shared" si="10231"/>
        <v>0</v>
      </c>
      <c r="O2026" s="200">
        <f t="shared" si="10231"/>
        <v>0</v>
      </c>
      <c r="P2026" s="200">
        <f t="shared" si="9"/>
        <v>0</v>
      </c>
      <c r="Q2026" s="200">
        <f t="shared" ref="Q2026:AC2026" si="10232">countif($D2026,"*"&amp;Q$2&amp;"*")</f>
        <v>0</v>
      </c>
      <c r="R2026" s="200">
        <f t="shared" si="10232"/>
        <v>0</v>
      </c>
      <c r="S2026" s="200">
        <f t="shared" si="10232"/>
        <v>0</v>
      </c>
      <c r="T2026" s="200">
        <f t="shared" si="10232"/>
        <v>0</v>
      </c>
      <c r="U2026" s="200">
        <f t="shared" si="10232"/>
        <v>0</v>
      </c>
      <c r="V2026" s="200">
        <f t="shared" si="10232"/>
        <v>0</v>
      </c>
      <c r="W2026" s="200">
        <f t="shared" si="10232"/>
        <v>0</v>
      </c>
      <c r="X2026" s="200">
        <f t="shared" si="10232"/>
        <v>0</v>
      </c>
      <c r="Y2026" s="200">
        <f t="shared" si="10232"/>
        <v>0</v>
      </c>
      <c r="Z2026" s="200">
        <f t="shared" si="10232"/>
        <v>0</v>
      </c>
      <c r="AA2026" s="200">
        <f t="shared" si="10232"/>
        <v>0</v>
      </c>
      <c r="AB2026" s="200">
        <f t="shared" si="10232"/>
        <v>0</v>
      </c>
      <c r="AC2026" s="200">
        <f t="shared" si="10232"/>
        <v>0</v>
      </c>
      <c r="AD2026" s="200">
        <f t="shared" si="11"/>
        <v>1</v>
      </c>
      <c r="AE2026" s="200">
        <f t="shared" ref="AE2026:AG2026" si="10233">countif($D2026,"*"&amp;AE$2&amp;"*")</f>
        <v>0</v>
      </c>
      <c r="AF2026" s="200">
        <f t="shared" si="10233"/>
        <v>0</v>
      </c>
      <c r="AG2026" s="200">
        <f t="shared" si="10233"/>
        <v>0</v>
      </c>
      <c r="AH2026" s="171">
        <f t="shared" si="13"/>
        <v>0</v>
      </c>
      <c r="AI2026" s="200">
        <f t="shared" si="14"/>
        <v>0</v>
      </c>
      <c r="AJ2026" s="200">
        <f>SUM(AK2026:AQ2026)</f>
        <v>0</v>
      </c>
      <c r="AK2026" s="201">
        <f t="shared" ref="AK2026:AS2026" si="10234">countif($D2026,"*"&amp;AK$2&amp;"*")</f>
        <v>0</v>
      </c>
      <c r="AL2026" s="201">
        <f t="shared" si="10234"/>
        <v>0</v>
      </c>
      <c r="AM2026" s="201">
        <f t="shared" si="10234"/>
        <v>0</v>
      </c>
      <c r="AN2026" s="201">
        <f t="shared" si="10234"/>
        <v>0</v>
      </c>
      <c r="AO2026" s="201">
        <f t="shared" si="10234"/>
        <v>0</v>
      </c>
      <c r="AP2026" s="201">
        <f t="shared" si="10234"/>
        <v>0</v>
      </c>
      <c r="AQ2026" s="201">
        <f t="shared" si="10234"/>
        <v>0</v>
      </c>
      <c r="AR2026" s="201">
        <f t="shared" si="10234"/>
        <v>0</v>
      </c>
      <c r="AS2026" s="200">
        <f t="shared" si="10234"/>
        <v>0</v>
      </c>
      <c r="AT2026" s="205">
        <v>0.0</v>
      </c>
      <c r="AU2026" s="200">
        <f t="shared" ref="AU2026:AX2026" si="10235">countif($D2026,"*"&amp;AU$2&amp;"*")</f>
        <v>1</v>
      </c>
      <c r="AV2026" s="200">
        <f t="shared" si="10235"/>
        <v>0</v>
      </c>
      <c r="AW2026" s="200">
        <f t="shared" si="10235"/>
        <v>0</v>
      </c>
      <c r="AX2026" s="200">
        <f t="shared" si="10235"/>
        <v>0</v>
      </c>
      <c r="AY2026" s="202">
        <v>0.0</v>
      </c>
      <c r="AZ2026" s="200"/>
      <c r="BA2026" s="171" t="str">
        <f t="shared" si="18"/>
        <v/>
      </c>
      <c r="BB2026" s="171" t="str">
        <f t="shared" si="19"/>
        <v/>
      </c>
      <c r="BC2026" s="171" t="str">
        <f t="shared" si="20"/>
        <v/>
      </c>
      <c r="BD2026" s="171" t="str">
        <f t="shared" si="21"/>
        <v>Institutional</v>
      </c>
      <c r="BE2026" s="171" t="str">
        <f t="shared" si="22"/>
        <v/>
      </c>
      <c r="BF2026" s="171" t="str">
        <f t="shared" si="23"/>
        <v>Institutional</v>
      </c>
    </row>
    <row r="2027">
      <c r="A2027" s="171">
        <f t="array" ref="A2027">XLOOKUP(C2027,FSE!A:A,FSE!C:C,"XXXXX",0,1)</f>
        <v>2016</v>
      </c>
      <c r="B2027" s="213" t="s">
        <v>5676</v>
      </c>
      <c r="C2027" s="219">
        <v>656.0</v>
      </c>
      <c r="D2027" s="217" t="s">
        <v>6547</v>
      </c>
      <c r="E2027" s="197" t="str">
        <f t="array" ref="E2027">XLOOKUP(C2027,FSE!A:A,FSE!Z:Z,"XXXXX",0,1)</f>
        <v>Publicly Available (2)</v>
      </c>
      <c r="F2027" s="213" t="s">
        <v>3394</v>
      </c>
      <c r="G2027" s="163" t="str">
        <f t="array" ref="G2027">IF(B2027="ICSE",IF(COUNTIFS(B:B,B2027,C:C,C2027)=XLOOKUP(C2027,ICSE!A:A,ICSE!AA:AA,"ERROR",0,1),"OK","ERROR"),IF(B2027="FSE",IF(COUNTIFS(B:B,B2027,C:C,C2027)=XLOOKUP(C2027,FSE!A:A,FSE!AA:AA,"ERROR",0,1),"OK","ERROR")))</f>
        <v>OK</v>
      </c>
      <c r="H2027" s="199">
        <f t="shared" ref="H2027:O2027" si="10236">countif($D2027,"*"&amp;H$2&amp;"*")</f>
        <v>0</v>
      </c>
      <c r="I2027" s="200">
        <f t="shared" si="10236"/>
        <v>0</v>
      </c>
      <c r="J2027" s="200">
        <f t="shared" si="10236"/>
        <v>0</v>
      </c>
      <c r="K2027" s="200">
        <f t="shared" si="10236"/>
        <v>0</v>
      </c>
      <c r="L2027" s="200">
        <f t="shared" si="10236"/>
        <v>0</v>
      </c>
      <c r="M2027" s="200">
        <f t="shared" si="10236"/>
        <v>0</v>
      </c>
      <c r="N2027" s="200">
        <f t="shared" si="10236"/>
        <v>0</v>
      </c>
      <c r="O2027" s="200">
        <f t="shared" si="10236"/>
        <v>0</v>
      </c>
      <c r="P2027" s="200">
        <f t="shared" si="9"/>
        <v>0</v>
      </c>
      <c r="Q2027" s="200">
        <f t="shared" ref="Q2027:AC2027" si="10237">countif($D2027,"*"&amp;Q$2&amp;"*")</f>
        <v>0</v>
      </c>
      <c r="R2027" s="200">
        <f t="shared" si="10237"/>
        <v>0</v>
      </c>
      <c r="S2027" s="200">
        <f t="shared" si="10237"/>
        <v>0</v>
      </c>
      <c r="T2027" s="200">
        <f t="shared" si="10237"/>
        <v>0</v>
      </c>
      <c r="U2027" s="200">
        <f t="shared" si="10237"/>
        <v>0</v>
      </c>
      <c r="V2027" s="200">
        <f t="shared" si="10237"/>
        <v>0</v>
      </c>
      <c r="W2027" s="200">
        <f t="shared" si="10237"/>
        <v>0</v>
      </c>
      <c r="X2027" s="200">
        <f t="shared" si="10237"/>
        <v>0</v>
      </c>
      <c r="Y2027" s="200">
        <f t="shared" si="10237"/>
        <v>0</v>
      </c>
      <c r="Z2027" s="200">
        <f t="shared" si="10237"/>
        <v>0</v>
      </c>
      <c r="AA2027" s="200">
        <f t="shared" si="10237"/>
        <v>0</v>
      </c>
      <c r="AB2027" s="200">
        <f t="shared" si="10237"/>
        <v>0</v>
      </c>
      <c r="AC2027" s="200">
        <f t="shared" si="10237"/>
        <v>0</v>
      </c>
      <c r="AD2027" s="200">
        <f t="shared" si="11"/>
        <v>0</v>
      </c>
      <c r="AE2027" s="200">
        <f t="shared" ref="AE2027:AG2027" si="10238">countif($D2027,"*"&amp;AE$2&amp;"*")</f>
        <v>0</v>
      </c>
      <c r="AF2027" s="200">
        <f t="shared" si="10238"/>
        <v>0</v>
      </c>
      <c r="AG2027" s="200">
        <f t="shared" si="10238"/>
        <v>0</v>
      </c>
      <c r="AH2027" s="171">
        <f t="shared" si="13"/>
        <v>1</v>
      </c>
      <c r="AI2027" s="200">
        <f t="shared" si="14"/>
        <v>0</v>
      </c>
      <c r="AJ2027" s="200">
        <f t="shared" ref="AJ2027:AJ2037" si="10244">SUM(AK2027:AR2027)</f>
        <v>0</v>
      </c>
      <c r="AK2027" s="201">
        <f t="shared" ref="AK2027:AS2027" si="10239">countif($D2027,"*"&amp;AK$2&amp;"*")</f>
        <v>0</v>
      </c>
      <c r="AL2027" s="201">
        <f t="shared" si="10239"/>
        <v>0</v>
      </c>
      <c r="AM2027" s="201">
        <f t="shared" si="10239"/>
        <v>0</v>
      </c>
      <c r="AN2027" s="201">
        <f t="shared" si="10239"/>
        <v>0</v>
      </c>
      <c r="AO2027" s="201">
        <f t="shared" si="10239"/>
        <v>0</v>
      </c>
      <c r="AP2027" s="201">
        <f t="shared" si="10239"/>
        <v>0</v>
      </c>
      <c r="AQ2027" s="201">
        <f t="shared" si="10239"/>
        <v>0</v>
      </c>
      <c r="AR2027" s="200">
        <f t="shared" si="10239"/>
        <v>0</v>
      </c>
      <c r="AS2027" s="200">
        <f t="shared" si="10239"/>
        <v>0</v>
      </c>
      <c r="AT2027" s="173">
        <v>0.0</v>
      </c>
      <c r="AU2027" s="200">
        <f t="shared" ref="AU2027:AX2027" si="10240">countif($D2027,"*"&amp;AU$2&amp;"*")</f>
        <v>0</v>
      </c>
      <c r="AV2027" s="200">
        <f t="shared" si="10240"/>
        <v>0</v>
      </c>
      <c r="AW2027" s="200">
        <f t="shared" si="10240"/>
        <v>0</v>
      </c>
      <c r="AX2027" s="200">
        <f t="shared" si="10240"/>
        <v>0</v>
      </c>
      <c r="AY2027" s="202">
        <v>0.0</v>
      </c>
      <c r="AZ2027" s="200"/>
      <c r="BA2027" s="171" t="str">
        <f t="shared" si="18"/>
        <v/>
      </c>
      <c r="BB2027" s="171" t="str">
        <f t="shared" si="19"/>
        <v/>
      </c>
      <c r="BC2027" s="171" t="str">
        <f t="shared" si="20"/>
        <v/>
      </c>
      <c r="BD2027" s="171" t="str">
        <f t="shared" si="21"/>
        <v/>
      </c>
      <c r="BE2027" s="171" t="str">
        <f t="shared" si="22"/>
        <v>Others</v>
      </c>
      <c r="BF2027" s="171" t="str">
        <f t="shared" si="23"/>
        <v>Others</v>
      </c>
    </row>
    <row r="2028">
      <c r="A2028" s="171">
        <f t="array" ref="A2028">XLOOKUP(C2028,FSE!A:A,FSE!C:C,"XXXXX",0,1)</f>
        <v>2016</v>
      </c>
      <c r="B2028" s="213" t="s">
        <v>5676</v>
      </c>
      <c r="C2028" s="214">
        <v>656.0</v>
      </c>
      <c r="D2028" s="215" t="s">
        <v>6548</v>
      </c>
      <c r="E2028" s="197" t="str">
        <f t="array" ref="E2028">XLOOKUP(C2028,FSE!A:A,FSE!Z:Z,"XXXXX",0,1)</f>
        <v>Publicly Available (2)</v>
      </c>
      <c r="F2028" s="213" t="s">
        <v>3394</v>
      </c>
      <c r="G2028" s="163" t="str">
        <f t="array" ref="G2028">IF(B2028="ICSE",IF(COUNTIFS(B:B,B2028,C:C,C2028)=XLOOKUP(C2028,ICSE!A:A,ICSE!AA:AA,"ERROR",0,1),"OK","ERROR"),IF(B2028="FSE",IF(COUNTIFS(B:B,B2028,C:C,C2028)=XLOOKUP(C2028,FSE!A:A,FSE!AA:AA,"ERROR",0,1),"OK","ERROR")))</f>
        <v>OK</v>
      </c>
      <c r="H2028" s="199">
        <f t="shared" ref="H2028:O2028" si="10241">countif($D2028,"*"&amp;H$2&amp;"*")</f>
        <v>0</v>
      </c>
      <c r="I2028" s="200">
        <f t="shared" si="10241"/>
        <v>0</v>
      </c>
      <c r="J2028" s="200">
        <f t="shared" si="10241"/>
        <v>0</v>
      </c>
      <c r="K2028" s="200">
        <f t="shared" si="10241"/>
        <v>0</v>
      </c>
      <c r="L2028" s="200">
        <f t="shared" si="10241"/>
        <v>0</v>
      </c>
      <c r="M2028" s="200">
        <f t="shared" si="10241"/>
        <v>0</v>
      </c>
      <c r="N2028" s="200">
        <f t="shared" si="10241"/>
        <v>0</v>
      </c>
      <c r="O2028" s="200">
        <f t="shared" si="10241"/>
        <v>0</v>
      </c>
      <c r="P2028" s="200">
        <f t="shared" si="9"/>
        <v>1</v>
      </c>
      <c r="Q2028" s="200">
        <f t="shared" ref="Q2028:AC2028" si="10242">countif($D2028,"*"&amp;Q$2&amp;"*")</f>
        <v>0</v>
      </c>
      <c r="R2028" s="200">
        <f t="shared" si="10242"/>
        <v>0</v>
      </c>
      <c r="S2028" s="200">
        <f t="shared" si="10242"/>
        <v>0</v>
      </c>
      <c r="T2028" s="200">
        <f t="shared" si="10242"/>
        <v>0</v>
      </c>
      <c r="U2028" s="200">
        <f t="shared" si="10242"/>
        <v>0</v>
      </c>
      <c r="V2028" s="200">
        <f t="shared" si="10242"/>
        <v>0</v>
      </c>
      <c r="W2028" s="200">
        <f t="shared" si="10242"/>
        <v>0</v>
      </c>
      <c r="X2028" s="200">
        <f t="shared" si="10242"/>
        <v>0</v>
      </c>
      <c r="Y2028" s="200">
        <f t="shared" si="10242"/>
        <v>0</v>
      </c>
      <c r="Z2028" s="200">
        <f t="shared" si="10242"/>
        <v>0</v>
      </c>
      <c r="AA2028" s="200">
        <f t="shared" si="10242"/>
        <v>0</v>
      </c>
      <c r="AB2028" s="200">
        <f t="shared" si="10242"/>
        <v>0</v>
      </c>
      <c r="AC2028" s="200">
        <f t="shared" si="10242"/>
        <v>0</v>
      </c>
      <c r="AD2028" s="200">
        <f t="shared" si="11"/>
        <v>0</v>
      </c>
      <c r="AE2028" s="200">
        <f t="shared" ref="AE2028:AG2028" si="10243">countif($D2028,"*"&amp;AE$2&amp;"*")</f>
        <v>0</v>
      </c>
      <c r="AF2028" s="200">
        <f t="shared" si="10243"/>
        <v>0</v>
      </c>
      <c r="AG2028" s="200">
        <f t="shared" si="10243"/>
        <v>0</v>
      </c>
      <c r="AH2028" s="171">
        <f t="shared" si="13"/>
        <v>0</v>
      </c>
      <c r="AI2028" s="200">
        <f t="shared" si="14"/>
        <v>0</v>
      </c>
      <c r="AJ2028" s="200">
        <f t="shared" si="10244"/>
        <v>0</v>
      </c>
      <c r="AK2028" s="201">
        <f t="shared" ref="AK2028:AS2028" si="10245">countif($D2028,"*"&amp;AK$2&amp;"*")</f>
        <v>0</v>
      </c>
      <c r="AL2028" s="201">
        <f t="shared" si="10245"/>
        <v>0</v>
      </c>
      <c r="AM2028" s="201">
        <f t="shared" si="10245"/>
        <v>0</v>
      </c>
      <c r="AN2028" s="201">
        <f t="shared" si="10245"/>
        <v>0</v>
      </c>
      <c r="AO2028" s="201">
        <f t="shared" si="10245"/>
        <v>0</v>
      </c>
      <c r="AP2028" s="201">
        <f t="shared" si="10245"/>
        <v>0</v>
      </c>
      <c r="AQ2028" s="201">
        <f t="shared" si="10245"/>
        <v>0</v>
      </c>
      <c r="AR2028" s="200">
        <f t="shared" si="10245"/>
        <v>0</v>
      </c>
      <c r="AS2028" s="200">
        <f t="shared" si="10245"/>
        <v>0</v>
      </c>
      <c r="AT2028" s="173">
        <v>0.0</v>
      </c>
      <c r="AU2028" s="200">
        <f t="shared" ref="AU2028:AX2028" si="10246">countif($D2028,"*"&amp;AU$2&amp;"*")</f>
        <v>0</v>
      </c>
      <c r="AV2028" s="200">
        <f t="shared" si="10246"/>
        <v>1</v>
      </c>
      <c r="AW2028" s="200">
        <f t="shared" si="10246"/>
        <v>0</v>
      </c>
      <c r="AX2028" s="200">
        <f t="shared" si="10246"/>
        <v>0</v>
      </c>
      <c r="AY2028" s="202">
        <v>0.0</v>
      </c>
      <c r="AZ2028" s="200"/>
      <c r="BA2028" s="171" t="str">
        <f t="shared" si="18"/>
        <v/>
      </c>
      <c r="BB2028" s="171" t="str">
        <f t="shared" si="19"/>
        <v>Code</v>
      </c>
      <c r="BC2028" s="171" t="str">
        <f t="shared" si="20"/>
        <v/>
      </c>
      <c r="BD2028" s="171" t="str">
        <f t="shared" si="21"/>
        <v/>
      </c>
      <c r="BE2028" s="171" t="str">
        <f t="shared" si="22"/>
        <v/>
      </c>
      <c r="BF2028" s="171" t="str">
        <f t="shared" si="23"/>
        <v>Code</v>
      </c>
    </row>
    <row r="2029">
      <c r="A2029" s="171">
        <f t="array" ref="A2029">XLOOKUP(C2029,FSE!A:A,FSE!C:C,"XXXXX",0,1)</f>
        <v>2016</v>
      </c>
      <c r="B2029" s="213" t="s">
        <v>5676</v>
      </c>
      <c r="C2029" s="214">
        <v>657.0</v>
      </c>
      <c r="D2029" s="215" t="s">
        <v>3796</v>
      </c>
      <c r="E2029" s="197" t="str">
        <f t="array" ref="E2029">XLOOKUP(C2029,FSE!A:A,FSE!Z:Z,"XXXXX",0,1)</f>
        <v>Publicly Available (1)</v>
      </c>
      <c r="F2029" s="213" t="s">
        <v>3394</v>
      </c>
      <c r="G2029" s="163" t="str">
        <f t="array" ref="G2029">IF(B2029="ICSE",IF(COUNTIFS(B:B,B2029,C:C,C2029)=XLOOKUP(C2029,ICSE!A:A,ICSE!AA:AA,"ERROR",0,1),"OK","ERROR"),IF(B2029="FSE",IF(COUNTIFS(B:B,B2029,C:C,C2029)=XLOOKUP(C2029,FSE!A:A,FSE!AA:AA,"ERROR",0,1),"OK","ERROR")))</f>
        <v>OK</v>
      </c>
      <c r="H2029" s="199">
        <f t="shared" ref="H2029:O2029" si="10247">countif($D2029,"*"&amp;H$2&amp;"*")</f>
        <v>0</v>
      </c>
      <c r="I2029" s="200">
        <f t="shared" si="10247"/>
        <v>0</v>
      </c>
      <c r="J2029" s="200">
        <f t="shared" si="10247"/>
        <v>0</v>
      </c>
      <c r="K2029" s="200">
        <f t="shared" si="10247"/>
        <v>0</v>
      </c>
      <c r="L2029" s="200">
        <f t="shared" si="10247"/>
        <v>0</v>
      </c>
      <c r="M2029" s="200">
        <f t="shared" si="10247"/>
        <v>0</v>
      </c>
      <c r="N2029" s="200">
        <f t="shared" si="10247"/>
        <v>0</v>
      </c>
      <c r="O2029" s="200">
        <f t="shared" si="10247"/>
        <v>0</v>
      </c>
      <c r="P2029" s="200">
        <f t="shared" si="9"/>
        <v>0</v>
      </c>
      <c r="Q2029" s="200">
        <f t="shared" ref="Q2029:AC2029" si="10248">countif($D2029,"*"&amp;Q$2&amp;"*")</f>
        <v>0</v>
      </c>
      <c r="R2029" s="200">
        <f t="shared" si="10248"/>
        <v>0</v>
      </c>
      <c r="S2029" s="200">
        <f t="shared" si="10248"/>
        <v>0</v>
      </c>
      <c r="T2029" s="200">
        <f t="shared" si="10248"/>
        <v>0</v>
      </c>
      <c r="U2029" s="200">
        <f t="shared" si="10248"/>
        <v>0</v>
      </c>
      <c r="V2029" s="200">
        <f t="shared" si="10248"/>
        <v>0</v>
      </c>
      <c r="W2029" s="200">
        <f t="shared" si="10248"/>
        <v>0</v>
      </c>
      <c r="X2029" s="200">
        <f t="shared" si="10248"/>
        <v>0</v>
      </c>
      <c r="Y2029" s="200">
        <f t="shared" si="10248"/>
        <v>0</v>
      </c>
      <c r="Z2029" s="200">
        <f t="shared" si="10248"/>
        <v>0</v>
      </c>
      <c r="AA2029" s="200">
        <f t="shared" si="10248"/>
        <v>0</v>
      </c>
      <c r="AB2029" s="200">
        <f t="shared" si="10248"/>
        <v>0</v>
      </c>
      <c r="AC2029" s="200">
        <f t="shared" si="10248"/>
        <v>0</v>
      </c>
      <c r="AD2029" s="200">
        <f t="shared" si="11"/>
        <v>0</v>
      </c>
      <c r="AE2029" s="200">
        <f t="shared" ref="AE2029:AG2029" si="10249">countif($D2029,"*"&amp;AE$2&amp;"*")</f>
        <v>0</v>
      </c>
      <c r="AF2029" s="200">
        <f t="shared" si="10249"/>
        <v>0</v>
      </c>
      <c r="AG2029" s="200">
        <f t="shared" si="10249"/>
        <v>0</v>
      </c>
      <c r="AH2029" s="171">
        <f t="shared" si="13"/>
        <v>1</v>
      </c>
      <c r="AI2029" s="200">
        <f t="shared" si="14"/>
        <v>0</v>
      </c>
      <c r="AJ2029" s="200">
        <f t="shared" si="10244"/>
        <v>0</v>
      </c>
      <c r="AK2029" s="201">
        <f t="shared" ref="AK2029:AS2029" si="10250">countif($D2029,"*"&amp;AK$2&amp;"*")</f>
        <v>0</v>
      </c>
      <c r="AL2029" s="201">
        <f t="shared" si="10250"/>
        <v>0</v>
      </c>
      <c r="AM2029" s="201">
        <f t="shared" si="10250"/>
        <v>0</v>
      </c>
      <c r="AN2029" s="201">
        <f t="shared" si="10250"/>
        <v>0</v>
      </c>
      <c r="AO2029" s="201">
        <f t="shared" si="10250"/>
        <v>0</v>
      </c>
      <c r="AP2029" s="201">
        <f t="shared" si="10250"/>
        <v>0</v>
      </c>
      <c r="AQ2029" s="201">
        <f t="shared" si="10250"/>
        <v>0</v>
      </c>
      <c r="AR2029" s="200">
        <f t="shared" si="10250"/>
        <v>0</v>
      </c>
      <c r="AS2029" s="200">
        <f t="shared" si="10250"/>
        <v>0</v>
      </c>
      <c r="AT2029" s="173">
        <v>0.0</v>
      </c>
      <c r="AU2029" s="200">
        <f t="shared" ref="AU2029:AX2029" si="10251">countif($D2029,"*"&amp;AU$2&amp;"*")</f>
        <v>0</v>
      </c>
      <c r="AV2029" s="200">
        <f t="shared" si="10251"/>
        <v>0</v>
      </c>
      <c r="AW2029" s="200">
        <f t="shared" si="10251"/>
        <v>0</v>
      </c>
      <c r="AX2029" s="200">
        <f t="shared" si="10251"/>
        <v>0</v>
      </c>
      <c r="AY2029" s="202">
        <v>0.0</v>
      </c>
      <c r="AZ2029" s="200"/>
      <c r="BA2029" s="171" t="str">
        <f t="shared" si="18"/>
        <v/>
      </c>
      <c r="BB2029" s="171" t="str">
        <f t="shared" si="19"/>
        <v/>
      </c>
      <c r="BC2029" s="171" t="str">
        <f t="shared" si="20"/>
        <v/>
      </c>
      <c r="BD2029" s="171" t="str">
        <f t="shared" si="21"/>
        <v/>
      </c>
      <c r="BE2029" s="171" t="str">
        <f t="shared" si="22"/>
        <v>Others</v>
      </c>
      <c r="BF2029" s="171" t="str">
        <f t="shared" si="23"/>
        <v>Others</v>
      </c>
    </row>
    <row r="2030">
      <c r="A2030" s="171">
        <f t="array" ref="A2030">XLOOKUP(C2030,FSE!A:A,FSE!C:C,"XXXXX",0,1)</f>
        <v>2016</v>
      </c>
      <c r="B2030" s="213" t="s">
        <v>5676</v>
      </c>
      <c r="C2030" s="214">
        <v>659.0</v>
      </c>
      <c r="D2030" s="215" t="s">
        <v>3800</v>
      </c>
      <c r="E2030" s="197" t="str">
        <f t="array" ref="E2030">XLOOKUP(C2030,FSE!A:A,FSE!Z:Z,"XXXXX",0,1)</f>
        <v>Publicly Available (1)</v>
      </c>
      <c r="F2030" s="213" t="s">
        <v>3394</v>
      </c>
      <c r="G2030" s="163" t="str">
        <f t="array" ref="G2030">IF(B2030="ICSE",IF(COUNTIFS(B:B,B2030,C:C,C2030)=XLOOKUP(C2030,ICSE!A:A,ICSE!AA:AA,"ERROR",0,1),"OK","ERROR"),IF(B2030="FSE",IF(COUNTIFS(B:B,B2030,C:C,C2030)=XLOOKUP(C2030,FSE!A:A,FSE!AA:AA,"ERROR",0,1),"OK","ERROR")))</f>
        <v>OK</v>
      </c>
      <c r="H2030" s="199">
        <f t="shared" ref="H2030:O2030" si="10252">countif($D2030,"*"&amp;H$2&amp;"*")</f>
        <v>0</v>
      </c>
      <c r="I2030" s="200">
        <f t="shared" si="10252"/>
        <v>0</v>
      </c>
      <c r="J2030" s="200">
        <f t="shared" si="10252"/>
        <v>0</v>
      </c>
      <c r="K2030" s="200">
        <f t="shared" si="10252"/>
        <v>0</v>
      </c>
      <c r="L2030" s="200">
        <f t="shared" si="10252"/>
        <v>0</v>
      </c>
      <c r="M2030" s="200">
        <f t="shared" si="10252"/>
        <v>0</v>
      </c>
      <c r="N2030" s="200">
        <f t="shared" si="10252"/>
        <v>0</v>
      </c>
      <c r="O2030" s="200">
        <f t="shared" si="10252"/>
        <v>0</v>
      </c>
      <c r="P2030" s="200">
        <f t="shared" si="9"/>
        <v>0</v>
      </c>
      <c r="Q2030" s="200">
        <f t="shared" ref="Q2030:AC2030" si="10253">countif($D2030,"*"&amp;Q$2&amp;"*")</f>
        <v>0</v>
      </c>
      <c r="R2030" s="200">
        <f t="shared" si="10253"/>
        <v>0</v>
      </c>
      <c r="S2030" s="200">
        <f t="shared" si="10253"/>
        <v>0</v>
      </c>
      <c r="T2030" s="200">
        <f t="shared" si="10253"/>
        <v>0</v>
      </c>
      <c r="U2030" s="200">
        <f t="shared" si="10253"/>
        <v>0</v>
      </c>
      <c r="V2030" s="200">
        <f t="shared" si="10253"/>
        <v>0</v>
      </c>
      <c r="W2030" s="200">
        <f t="shared" si="10253"/>
        <v>0</v>
      </c>
      <c r="X2030" s="200">
        <f t="shared" si="10253"/>
        <v>0</v>
      </c>
      <c r="Y2030" s="200">
        <f t="shared" si="10253"/>
        <v>0</v>
      </c>
      <c r="Z2030" s="200">
        <f t="shared" si="10253"/>
        <v>0</v>
      </c>
      <c r="AA2030" s="200">
        <f t="shared" si="10253"/>
        <v>0</v>
      </c>
      <c r="AB2030" s="200">
        <f t="shared" si="10253"/>
        <v>0</v>
      </c>
      <c r="AC2030" s="200">
        <f t="shared" si="10253"/>
        <v>0</v>
      </c>
      <c r="AD2030" s="200">
        <f t="shared" si="11"/>
        <v>0</v>
      </c>
      <c r="AE2030" s="200">
        <f t="shared" ref="AE2030:AG2030" si="10254">countif($D2030,"*"&amp;AE$2&amp;"*")</f>
        <v>0</v>
      </c>
      <c r="AF2030" s="200">
        <f t="shared" si="10254"/>
        <v>0</v>
      </c>
      <c r="AG2030" s="200">
        <f t="shared" si="10254"/>
        <v>0</v>
      </c>
      <c r="AH2030" s="171">
        <f t="shared" si="13"/>
        <v>1</v>
      </c>
      <c r="AI2030" s="200">
        <f t="shared" si="14"/>
        <v>0</v>
      </c>
      <c r="AJ2030" s="200">
        <f t="shared" si="10244"/>
        <v>0</v>
      </c>
      <c r="AK2030" s="201">
        <f t="shared" ref="AK2030:AS2030" si="10255">countif($D2030,"*"&amp;AK$2&amp;"*")</f>
        <v>0</v>
      </c>
      <c r="AL2030" s="201">
        <f t="shared" si="10255"/>
        <v>0</v>
      </c>
      <c r="AM2030" s="201">
        <f t="shared" si="10255"/>
        <v>0</v>
      </c>
      <c r="AN2030" s="201">
        <f t="shared" si="10255"/>
        <v>0</v>
      </c>
      <c r="AO2030" s="201">
        <f t="shared" si="10255"/>
        <v>0</v>
      </c>
      <c r="AP2030" s="201">
        <f t="shared" si="10255"/>
        <v>0</v>
      </c>
      <c r="AQ2030" s="201">
        <f t="shared" si="10255"/>
        <v>0</v>
      </c>
      <c r="AR2030" s="200">
        <f t="shared" si="10255"/>
        <v>0</v>
      </c>
      <c r="AS2030" s="200">
        <f t="shared" si="10255"/>
        <v>0</v>
      </c>
      <c r="AT2030" s="173">
        <v>0.0</v>
      </c>
      <c r="AU2030" s="200">
        <f t="shared" ref="AU2030:AX2030" si="10256">countif($D2030,"*"&amp;AU$2&amp;"*")</f>
        <v>0</v>
      </c>
      <c r="AV2030" s="200">
        <f t="shared" si="10256"/>
        <v>0</v>
      </c>
      <c r="AW2030" s="200">
        <f t="shared" si="10256"/>
        <v>0</v>
      </c>
      <c r="AX2030" s="200">
        <f t="shared" si="10256"/>
        <v>0</v>
      </c>
      <c r="AY2030" s="202">
        <v>0.0</v>
      </c>
      <c r="AZ2030" s="200"/>
      <c r="BA2030" s="171" t="str">
        <f t="shared" si="18"/>
        <v/>
      </c>
      <c r="BB2030" s="171" t="str">
        <f t="shared" si="19"/>
        <v/>
      </c>
      <c r="BC2030" s="171" t="str">
        <f t="shared" si="20"/>
        <v/>
      </c>
      <c r="BD2030" s="171" t="str">
        <f t="shared" si="21"/>
        <v/>
      </c>
      <c r="BE2030" s="171" t="str">
        <f t="shared" si="22"/>
        <v>Others</v>
      </c>
      <c r="BF2030" s="171" t="str">
        <f t="shared" si="23"/>
        <v>Others</v>
      </c>
    </row>
    <row r="2031">
      <c r="A2031" s="171">
        <f t="array" ref="A2031">XLOOKUP(C2031,FSE!A:A,FSE!C:C,"XXXXX",0,1)</f>
        <v>2016</v>
      </c>
      <c r="B2031" s="213" t="s">
        <v>5676</v>
      </c>
      <c r="C2031" s="214">
        <v>660.0</v>
      </c>
      <c r="D2031" s="215" t="s">
        <v>3803</v>
      </c>
      <c r="E2031" s="197" t="str">
        <f t="array" ref="E2031">XLOOKUP(C2031,FSE!A:A,FSE!Z:Z,"XXXXX",0,1)</f>
        <v>Publicly Available (1)</v>
      </c>
      <c r="F2031" s="213" t="s">
        <v>3394</v>
      </c>
      <c r="G2031" s="163" t="str">
        <f t="array" ref="G2031">IF(B2031="ICSE",IF(COUNTIFS(B:B,B2031,C:C,C2031)=XLOOKUP(C2031,ICSE!A:A,ICSE!AA:AA,"ERROR",0,1),"OK","ERROR"),IF(B2031="FSE",IF(COUNTIFS(B:B,B2031,C:C,C2031)=XLOOKUP(C2031,FSE!A:A,FSE!AA:AA,"ERROR",0,1),"OK","ERROR")))</f>
        <v>OK</v>
      </c>
      <c r="H2031" s="199">
        <f t="shared" ref="H2031:O2031" si="10257">countif($D2031,"*"&amp;H$2&amp;"*")</f>
        <v>0</v>
      </c>
      <c r="I2031" s="200">
        <f t="shared" si="10257"/>
        <v>0</v>
      </c>
      <c r="J2031" s="200">
        <f t="shared" si="10257"/>
        <v>0</v>
      </c>
      <c r="K2031" s="200">
        <f t="shared" si="10257"/>
        <v>0</v>
      </c>
      <c r="L2031" s="200">
        <f t="shared" si="10257"/>
        <v>0</v>
      </c>
      <c r="M2031" s="200">
        <f t="shared" si="10257"/>
        <v>0</v>
      </c>
      <c r="N2031" s="200">
        <f t="shared" si="10257"/>
        <v>0</v>
      </c>
      <c r="O2031" s="200">
        <f t="shared" si="10257"/>
        <v>0</v>
      </c>
      <c r="P2031" s="200">
        <f t="shared" si="9"/>
        <v>0</v>
      </c>
      <c r="Q2031" s="200">
        <f t="shared" ref="Q2031:AC2031" si="10258">countif($D2031,"*"&amp;Q$2&amp;"*")</f>
        <v>0</v>
      </c>
      <c r="R2031" s="200">
        <f t="shared" si="10258"/>
        <v>0</v>
      </c>
      <c r="S2031" s="200">
        <f t="shared" si="10258"/>
        <v>0</v>
      </c>
      <c r="T2031" s="200">
        <f t="shared" si="10258"/>
        <v>0</v>
      </c>
      <c r="U2031" s="200">
        <f t="shared" si="10258"/>
        <v>0</v>
      </c>
      <c r="V2031" s="200">
        <f t="shared" si="10258"/>
        <v>0</v>
      </c>
      <c r="W2031" s="200">
        <f t="shared" si="10258"/>
        <v>0</v>
      </c>
      <c r="X2031" s="200">
        <f t="shared" si="10258"/>
        <v>0</v>
      </c>
      <c r="Y2031" s="200">
        <f t="shared" si="10258"/>
        <v>0</v>
      </c>
      <c r="Z2031" s="200">
        <f t="shared" si="10258"/>
        <v>0</v>
      </c>
      <c r="AA2031" s="200">
        <f t="shared" si="10258"/>
        <v>0</v>
      </c>
      <c r="AB2031" s="200">
        <f t="shared" si="10258"/>
        <v>0</v>
      </c>
      <c r="AC2031" s="200">
        <f t="shared" si="10258"/>
        <v>0</v>
      </c>
      <c r="AD2031" s="200">
        <f t="shared" si="11"/>
        <v>1</v>
      </c>
      <c r="AE2031" s="200">
        <f t="shared" ref="AE2031:AG2031" si="10259">countif($D2031,"*"&amp;AE$2&amp;"*")</f>
        <v>0</v>
      </c>
      <c r="AF2031" s="200">
        <f t="shared" si="10259"/>
        <v>0</v>
      </c>
      <c r="AG2031" s="200">
        <f t="shared" si="10259"/>
        <v>0</v>
      </c>
      <c r="AH2031" s="171">
        <f t="shared" si="13"/>
        <v>0</v>
      </c>
      <c r="AI2031" s="200">
        <f t="shared" si="14"/>
        <v>0</v>
      </c>
      <c r="AJ2031" s="200">
        <f t="shared" si="10244"/>
        <v>0</v>
      </c>
      <c r="AK2031" s="201">
        <f t="shared" ref="AK2031:AS2031" si="10260">countif($D2031,"*"&amp;AK$2&amp;"*")</f>
        <v>0</v>
      </c>
      <c r="AL2031" s="201">
        <f t="shared" si="10260"/>
        <v>0</v>
      </c>
      <c r="AM2031" s="201">
        <f t="shared" si="10260"/>
        <v>0</v>
      </c>
      <c r="AN2031" s="201">
        <f t="shared" si="10260"/>
        <v>0</v>
      </c>
      <c r="AO2031" s="201">
        <f t="shared" si="10260"/>
        <v>0</v>
      </c>
      <c r="AP2031" s="201">
        <f t="shared" si="10260"/>
        <v>0</v>
      </c>
      <c r="AQ2031" s="201">
        <f t="shared" si="10260"/>
        <v>0</v>
      </c>
      <c r="AR2031" s="200">
        <f t="shared" si="10260"/>
        <v>0</v>
      </c>
      <c r="AS2031" s="200">
        <f t="shared" si="10260"/>
        <v>0</v>
      </c>
      <c r="AT2031" s="173">
        <v>1.0</v>
      </c>
      <c r="AU2031" s="200">
        <f t="shared" ref="AU2031:AX2031" si="10261">countif($D2031,"*"&amp;AU$2&amp;"*")</f>
        <v>0</v>
      </c>
      <c r="AV2031" s="200">
        <f t="shared" si="10261"/>
        <v>0</v>
      </c>
      <c r="AW2031" s="200">
        <f t="shared" si="10261"/>
        <v>0</v>
      </c>
      <c r="AX2031" s="200">
        <f t="shared" si="10261"/>
        <v>0</v>
      </c>
      <c r="AY2031" s="202">
        <v>0.0</v>
      </c>
      <c r="AZ2031" s="200"/>
      <c r="BA2031" s="171" t="str">
        <f t="shared" si="18"/>
        <v/>
      </c>
      <c r="BB2031" s="171" t="str">
        <f t="shared" si="19"/>
        <v/>
      </c>
      <c r="BC2031" s="171" t="str">
        <f t="shared" si="20"/>
        <v/>
      </c>
      <c r="BD2031" s="171" t="str">
        <f t="shared" si="21"/>
        <v>Institutional</v>
      </c>
      <c r="BE2031" s="171" t="str">
        <f t="shared" si="22"/>
        <v/>
      </c>
      <c r="BF2031" s="171" t="str">
        <f t="shared" si="23"/>
        <v>Institutional</v>
      </c>
    </row>
    <row r="2032">
      <c r="A2032" s="171">
        <f t="array" ref="A2032">XLOOKUP(C2032,FSE!A:A,FSE!C:C,"XXXXX",0,1)</f>
        <v>2016</v>
      </c>
      <c r="B2032" s="213" t="s">
        <v>5676</v>
      </c>
      <c r="C2032" s="214">
        <v>661.0</v>
      </c>
      <c r="D2032" s="215" t="s">
        <v>3806</v>
      </c>
      <c r="E2032" s="197" t="str">
        <f t="array" ref="E2032">XLOOKUP(C2032,FSE!A:A,FSE!Z:Z,"XXXXX",0,1)</f>
        <v>Not Available (1)</v>
      </c>
      <c r="F2032" s="213" t="s">
        <v>3395</v>
      </c>
      <c r="G2032" s="163" t="str">
        <f t="array" ref="G2032">IF(B2032="ICSE",IF(COUNTIFS(B:B,B2032,C:C,C2032)=XLOOKUP(C2032,ICSE!A:A,ICSE!AA:AA,"ERROR",0,1),"OK","ERROR"),IF(B2032="FSE",IF(COUNTIFS(B:B,B2032,C:C,C2032)=XLOOKUP(C2032,FSE!A:A,FSE!AA:AA,"ERROR",0,1),"OK","ERROR")))</f>
        <v>OK</v>
      </c>
      <c r="H2032" s="199">
        <f t="shared" ref="H2032:O2032" si="10262">countif($D2032,"*"&amp;H$2&amp;"*")</f>
        <v>0</v>
      </c>
      <c r="I2032" s="200">
        <f t="shared" si="10262"/>
        <v>0</v>
      </c>
      <c r="J2032" s="200">
        <f t="shared" si="10262"/>
        <v>0</v>
      </c>
      <c r="K2032" s="200">
        <f t="shared" si="10262"/>
        <v>0</v>
      </c>
      <c r="L2032" s="200">
        <f t="shared" si="10262"/>
        <v>0</v>
      </c>
      <c r="M2032" s="200">
        <f t="shared" si="10262"/>
        <v>0</v>
      </c>
      <c r="N2032" s="200">
        <f t="shared" si="10262"/>
        <v>0</v>
      </c>
      <c r="O2032" s="200">
        <f t="shared" si="10262"/>
        <v>0</v>
      </c>
      <c r="P2032" s="200">
        <f t="shared" si="9"/>
        <v>1</v>
      </c>
      <c r="Q2032" s="200">
        <f t="shared" ref="Q2032:AC2032" si="10263">countif($D2032,"*"&amp;Q$2&amp;"*")</f>
        <v>0</v>
      </c>
      <c r="R2032" s="200">
        <f t="shared" si="10263"/>
        <v>0</v>
      </c>
      <c r="S2032" s="200">
        <f t="shared" si="10263"/>
        <v>0</v>
      </c>
      <c r="T2032" s="200">
        <f t="shared" si="10263"/>
        <v>0</v>
      </c>
      <c r="U2032" s="200">
        <f t="shared" si="10263"/>
        <v>0</v>
      </c>
      <c r="V2032" s="200">
        <f t="shared" si="10263"/>
        <v>0</v>
      </c>
      <c r="W2032" s="200">
        <f t="shared" si="10263"/>
        <v>0</v>
      </c>
      <c r="X2032" s="200">
        <f t="shared" si="10263"/>
        <v>0</v>
      </c>
      <c r="Y2032" s="200">
        <f t="shared" si="10263"/>
        <v>0</v>
      </c>
      <c r="Z2032" s="200">
        <f t="shared" si="10263"/>
        <v>0</v>
      </c>
      <c r="AA2032" s="200">
        <f t="shared" si="10263"/>
        <v>0</v>
      </c>
      <c r="AB2032" s="200">
        <f t="shared" si="10263"/>
        <v>0</v>
      </c>
      <c r="AC2032" s="200">
        <f t="shared" si="10263"/>
        <v>0</v>
      </c>
      <c r="AD2032" s="200">
        <f t="shared" si="11"/>
        <v>0</v>
      </c>
      <c r="AE2032" s="200">
        <f t="shared" ref="AE2032:AG2032" si="10264">countif($D2032,"*"&amp;AE$2&amp;"*")</f>
        <v>0</v>
      </c>
      <c r="AF2032" s="200">
        <f t="shared" si="10264"/>
        <v>0</v>
      </c>
      <c r="AG2032" s="200">
        <f t="shared" si="10264"/>
        <v>0</v>
      </c>
      <c r="AH2032" s="171">
        <f t="shared" si="13"/>
        <v>0</v>
      </c>
      <c r="AI2032" s="200">
        <f t="shared" si="14"/>
        <v>0</v>
      </c>
      <c r="AJ2032" s="200">
        <f t="shared" si="10244"/>
        <v>0</v>
      </c>
      <c r="AK2032" s="201">
        <f t="shared" ref="AK2032:AS2032" si="10265">countif($D2032,"*"&amp;AK$2&amp;"*")</f>
        <v>0</v>
      </c>
      <c r="AL2032" s="201">
        <f t="shared" si="10265"/>
        <v>0</v>
      </c>
      <c r="AM2032" s="201">
        <f t="shared" si="10265"/>
        <v>0</v>
      </c>
      <c r="AN2032" s="201">
        <f t="shared" si="10265"/>
        <v>0</v>
      </c>
      <c r="AO2032" s="201">
        <f t="shared" si="10265"/>
        <v>0</v>
      </c>
      <c r="AP2032" s="201">
        <f t="shared" si="10265"/>
        <v>0</v>
      </c>
      <c r="AQ2032" s="201">
        <f t="shared" si="10265"/>
        <v>0</v>
      </c>
      <c r="AR2032" s="200">
        <f t="shared" si="10265"/>
        <v>0</v>
      </c>
      <c r="AS2032" s="200">
        <f t="shared" si="10265"/>
        <v>0</v>
      </c>
      <c r="AT2032" s="173">
        <v>0.0</v>
      </c>
      <c r="AU2032" s="200">
        <f t="shared" ref="AU2032:AX2032" si="10266">countif($D2032,"*"&amp;AU$2&amp;"*")</f>
        <v>0</v>
      </c>
      <c r="AV2032" s="200">
        <f t="shared" si="10266"/>
        <v>1</v>
      </c>
      <c r="AW2032" s="200">
        <f t="shared" si="10266"/>
        <v>0</v>
      </c>
      <c r="AX2032" s="200">
        <f t="shared" si="10266"/>
        <v>0</v>
      </c>
      <c r="AY2032" s="202">
        <v>0.0</v>
      </c>
      <c r="AZ2032" s="200"/>
      <c r="BA2032" s="171" t="str">
        <f t="shared" si="18"/>
        <v/>
      </c>
      <c r="BB2032" s="171" t="str">
        <f t="shared" si="19"/>
        <v>Code</v>
      </c>
      <c r="BC2032" s="171" t="str">
        <f t="shared" si="20"/>
        <v/>
      </c>
      <c r="BD2032" s="171" t="str">
        <f t="shared" si="21"/>
        <v/>
      </c>
      <c r="BE2032" s="171" t="str">
        <f t="shared" si="22"/>
        <v/>
      </c>
      <c r="BF2032" s="171" t="str">
        <f t="shared" si="23"/>
        <v>Code</v>
      </c>
    </row>
    <row r="2033">
      <c r="A2033" s="171">
        <f t="array" ref="A2033">XLOOKUP(C2033,FSE!A:A,FSE!C:C,"XXXXX",0,1)</f>
        <v>2016</v>
      </c>
      <c r="B2033" s="213" t="s">
        <v>5676</v>
      </c>
      <c r="C2033" s="214">
        <v>663.0</v>
      </c>
      <c r="D2033" s="224" t="s">
        <v>6549</v>
      </c>
      <c r="E2033" s="197" t="str">
        <f t="array" ref="E2033">XLOOKUP(C2033,FSE!A:A,FSE!Z:Z,"XXXXX",0,1)</f>
        <v>Not Available (1)</v>
      </c>
      <c r="F2033" s="213" t="s">
        <v>3395</v>
      </c>
      <c r="G2033" s="163" t="str">
        <f t="array" ref="G2033">IF(B2033="ICSE",IF(COUNTIFS(B:B,B2033,C:C,C2033)=XLOOKUP(C2033,ICSE!A:A,ICSE!AA:AA,"ERROR",0,1),"OK","ERROR"),IF(B2033="FSE",IF(COUNTIFS(B:B,B2033,C:C,C2033)=XLOOKUP(C2033,FSE!A:A,FSE!AA:AA,"ERROR",0,1),"OK","ERROR")))</f>
        <v>OK</v>
      </c>
      <c r="H2033" s="199">
        <f t="shared" ref="H2033:O2033" si="10267">countif($D2033,"*"&amp;H$2&amp;"*")</f>
        <v>0</v>
      </c>
      <c r="I2033" s="200">
        <f t="shared" si="10267"/>
        <v>0</v>
      </c>
      <c r="J2033" s="200">
        <f t="shared" si="10267"/>
        <v>0</v>
      </c>
      <c r="K2033" s="200">
        <f t="shared" si="10267"/>
        <v>0</v>
      </c>
      <c r="L2033" s="200">
        <f t="shared" si="10267"/>
        <v>0</v>
      </c>
      <c r="M2033" s="200">
        <f t="shared" si="10267"/>
        <v>0</v>
      </c>
      <c r="N2033" s="200">
        <f t="shared" si="10267"/>
        <v>0</v>
      </c>
      <c r="O2033" s="200">
        <f t="shared" si="10267"/>
        <v>0</v>
      </c>
      <c r="P2033" s="200">
        <f t="shared" si="9"/>
        <v>0</v>
      </c>
      <c r="Q2033" s="200">
        <f t="shared" ref="Q2033:AC2033" si="10268">countif($D2033,"*"&amp;Q$2&amp;"*")</f>
        <v>0</v>
      </c>
      <c r="R2033" s="200">
        <f t="shared" si="10268"/>
        <v>0</v>
      </c>
      <c r="S2033" s="200">
        <f t="shared" si="10268"/>
        <v>0</v>
      </c>
      <c r="T2033" s="200">
        <f t="shared" si="10268"/>
        <v>0</v>
      </c>
      <c r="U2033" s="200">
        <f t="shared" si="10268"/>
        <v>0</v>
      </c>
      <c r="V2033" s="200">
        <f t="shared" si="10268"/>
        <v>0</v>
      </c>
      <c r="W2033" s="200">
        <f t="shared" si="10268"/>
        <v>0</v>
      </c>
      <c r="X2033" s="200">
        <f t="shared" si="10268"/>
        <v>0</v>
      </c>
      <c r="Y2033" s="200">
        <f t="shared" si="10268"/>
        <v>0</v>
      </c>
      <c r="Z2033" s="200">
        <f t="shared" si="10268"/>
        <v>0</v>
      </c>
      <c r="AA2033" s="200">
        <f t="shared" si="10268"/>
        <v>0</v>
      </c>
      <c r="AB2033" s="200">
        <f t="shared" si="10268"/>
        <v>0</v>
      </c>
      <c r="AC2033" s="200">
        <f t="shared" si="10268"/>
        <v>0</v>
      </c>
      <c r="AD2033" s="200">
        <f t="shared" si="11"/>
        <v>1</v>
      </c>
      <c r="AE2033" s="200">
        <f t="shared" ref="AE2033:AG2033" si="10269">countif($D2033,"*"&amp;AE$2&amp;"*")</f>
        <v>0</v>
      </c>
      <c r="AF2033" s="200">
        <f t="shared" si="10269"/>
        <v>0</v>
      </c>
      <c r="AG2033" s="200">
        <f t="shared" si="10269"/>
        <v>0</v>
      </c>
      <c r="AH2033" s="171">
        <f t="shared" si="13"/>
        <v>0</v>
      </c>
      <c r="AI2033" s="200">
        <f t="shared" si="14"/>
        <v>0</v>
      </c>
      <c r="AJ2033" s="200">
        <f t="shared" si="10244"/>
        <v>0</v>
      </c>
      <c r="AK2033" s="201">
        <f t="shared" ref="AK2033:AS2033" si="10270">countif($D2033,"*"&amp;AK$2&amp;"*")</f>
        <v>0</v>
      </c>
      <c r="AL2033" s="201">
        <f t="shared" si="10270"/>
        <v>0</v>
      </c>
      <c r="AM2033" s="201">
        <f t="shared" si="10270"/>
        <v>0</v>
      </c>
      <c r="AN2033" s="201">
        <f t="shared" si="10270"/>
        <v>0</v>
      </c>
      <c r="AO2033" s="201">
        <f t="shared" si="10270"/>
        <v>0</v>
      </c>
      <c r="AP2033" s="201">
        <f t="shared" si="10270"/>
        <v>0</v>
      </c>
      <c r="AQ2033" s="201">
        <f t="shared" si="10270"/>
        <v>0</v>
      </c>
      <c r="AR2033" s="200">
        <f t="shared" si="10270"/>
        <v>0</v>
      </c>
      <c r="AS2033" s="200">
        <f t="shared" si="10270"/>
        <v>0</v>
      </c>
      <c r="AT2033" s="173">
        <v>1.0</v>
      </c>
      <c r="AU2033" s="200">
        <f t="shared" ref="AU2033:AX2033" si="10271">countif($D2033,"*"&amp;AU$2&amp;"*")</f>
        <v>0</v>
      </c>
      <c r="AV2033" s="200">
        <f t="shared" si="10271"/>
        <v>0</v>
      </c>
      <c r="AW2033" s="200">
        <f t="shared" si="10271"/>
        <v>0</v>
      </c>
      <c r="AX2033" s="200">
        <f t="shared" si="10271"/>
        <v>0</v>
      </c>
      <c r="AY2033" s="202">
        <v>0.0</v>
      </c>
      <c r="AZ2033" s="200"/>
      <c r="BA2033" s="171" t="str">
        <f t="shared" si="18"/>
        <v/>
      </c>
      <c r="BB2033" s="171" t="str">
        <f t="shared" si="19"/>
        <v/>
      </c>
      <c r="BC2033" s="171" t="str">
        <f t="shared" si="20"/>
        <v/>
      </c>
      <c r="BD2033" s="171" t="str">
        <f t="shared" si="21"/>
        <v>Institutional</v>
      </c>
      <c r="BE2033" s="171" t="str">
        <f t="shared" si="22"/>
        <v/>
      </c>
      <c r="BF2033" s="171" t="str">
        <f t="shared" si="23"/>
        <v>Institutional</v>
      </c>
    </row>
    <row r="2034">
      <c r="A2034" s="171">
        <f t="array" ref="A2034">XLOOKUP(C2034,FSE!A:A,FSE!C:C,"XXXXX",0,1)</f>
        <v>2016</v>
      </c>
      <c r="B2034" s="213" t="s">
        <v>5676</v>
      </c>
      <c r="C2034" s="214">
        <v>664.0</v>
      </c>
      <c r="D2034" s="215" t="s">
        <v>3814</v>
      </c>
      <c r="E2034" s="197" t="str">
        <f t="array" ref="E2034">XLOOKUP(C2034,FSE!A:A,FSE!Z:Z,"XXXXX",0,1)</f>
        <v>Not Available (1)</v>
      </c>
      <c r="F2034" s="213" t="s">
        <v>3395</v>
      </c>
      <c r="G2034" s="163" t="str">
        <f t="array" ref="G2034">IF(B2034="ICSE",IF(COUNTIFS(B:B,B2034,C:C,C2034)=XLOOKUP(C2034,ICSE!A:A,ICSE!AA:AA,"ERROR",0,1),"OK","ERROR"),IF(B2034="FSE",IF(COUNTIFS(B:B,B2034,C:C,C2034)=XLOOKUP(C2034,FSE!A:A,FSE!AA:AA,"ERROR",0,1),"OK","ERROR")))</f>
        <v>OK</v>
      </c>
      <c r="H2034" s="199">
        <f t="shared" ref="H2034:O2034" si="10272">countif($D2034,"*"&amp;H$2&amp;"*")</f>
        <v>0</v>
      </c>
      <c r="I2034" s="200">
        <f t="shared" si="10272"/>
        <v>0</v>
      </c>
      <c r="J2034" s="200">
        <f t="shared" si="10272"/>
        <v>0</v>
      </c>
      <c r="K2034" s="200">
        <f t="shared" si="10272"/>
        <v>0</v>
      </c>
      <c r="L2034" s="200">
        <f t="shared" si="10272"/>
        <v>0</v>
      </c>
      <c r="M2034" s="200">
        <f t="shared" si="10272"/>
        <v>0</v>
      </c>
      <c r="N2034" s="200">
        <f t="shared" si="10272"/>
        <v>0</v>
      </c>
      <c r="O2034" s="200">
        <f t="shared" si="10272"/>
        <v>0</v>
      </c>
      <c r="P2034" s="200">
        <f t="shared" si="9"/>
        <v>0</v>
      </c>
      <c r="Q2034" s="200">
        <f t="shared" ref="Q2034:AC2034" si="10273">countif($D2034,"*"&amp;Q$2&amp;"*")</f>
        <v>0</v>
      </c>
      <c r="R2034" s="200">
        <f t="shared" si="10273"/>
        <v>0</v>
      </c>
      <c r="S2034" s="200">
        <f t="shared" si="10273"/>
        <v>0</v>
      </c>
      <c r="T2034" s="200">
        <f t="shared" si="10273"/>
        <v>0</v>
      </c>
      <c r="U2034" s="200">
        <f t="shared" si="10273"/>
        <v>0</v>
      </c>
      <c r="V2034" s="200">
        <f t="shared" si="10273"/>
        <v>0</v>
      </c>
      <c r="W2034" s="200">
        <f t="shared" si="10273"/>
        <v>0</v>
      </c>
      <c r="X2034" s="200">
        <f t="shared" si="10273"/>
        <v>0</v>
      </c>
      <c r="Y2034" s="200">
        <f t="shared" si="10273"/>
        <v>0</v>
      </c>
      <c r="Z2034" s="200">
        <f t="shared" si="10273"/>
        <v>0</v>
      </c>
      <c r="AA2034" s="200">
        <f t="shared" si="10273"/>
        <v>0</v>
      </c>
      <c r="AB2034" s="200">
        <f t="shared" si="10273"/>
        <v>0</v>
      </c>
      <c r="AC2034" s="200">
        <f t="shared" si="10273"/>
        <v>0</v>
      </c>
      <c r="AD2034" s="200">
        <f t="shared" si="11"/>
        <v>0</v>
      </c>
      <c r="AE2034" s="200">
        <f t="shared" ref="AE2034:AG2034" si="10274">countif($D2034,"*"&amp;AE$2&amp;"*")</f>
        <v>0</v>
      </c>
      <c r="AF2034" s="200">
        <f t="shared" si="10274"/>
        <v>0</v>
      </c>
      <c r="AG2034" s="200">
        <f t="shared" si="10274"/>
        <v>0</v>
      </c>
      <c r="AH2034" s="171">
        <f t="shared" si="13"/>
        <v>1</v>
      </c>
      <c r="AI2034" s="200">
        <f t="shared" si="14"/>
        <v>0</v>
      </c>
      <c r="AJ2034" s="200">
        <f t="shared" si="10244"/>
        <v>0</v>
      </c>
      <c r="AK2034" s="201">
        <f t="shared" ref="AK2034:AS2034" si="10275">countif($D2034,"*"&amp;AK$2&amp;"*")</f>
        <v>0</v>
      </c>
      <c r="AL2034" s="201">
        <f t="shared" si="10275"/>
        <v>0</v>
      </c>
      <c r="AM2034" s="201">
        <f t="shared" si="10275"/>
        <v>0</v>
      </c>
      <c r="AN2034" s="201">
        <f t="shared" si="10275"/>
        <v>0</v>
      </c>
      <c r="AO2034" s="201">
        <f t="shared" si="10275"/>
        <v>0</v>
      </c>
      <c r="AP2034" s="201">
        <f t="shared" si="10275"/>
        <v>0</v>
      </c>
      <c r="AQ2034" s="201">
        <f t="shared" si="10275"/>
        <v>0</v>
      </c>
      <c r="AR2034" s="200">
        <f t="shared" si="10275"/>
        <v>0</v>
      </c>
      <c r="AS2034" s="200">
        <f t="shared" si="10275"/>
        <v>0</v>
      </c>
      <c r="AT2034" s="173">
        <v>0.0</v>
      </c>
      <c r="AU2034" s="200">
        <f t="shared" ref="AU2034:AX2034" si="10276">countif($D2034,"*"&amp;AU$2&amp;"*")</f>
        <v>0</v>
      </c>
      <c r="AV2034" s="200">
        <f t="shared" si="10276"/>
        <v>0</v>
      </c>
      <c r="AW2034" s="200">
        <f t="shared" si="10276"/>
        <v>0</v>
      </c>
      <c r="AX2034" s="200">
        <f t="shared" si="10276"/>
        <v>0</v>
      </c>
      <c r="AY2034" s="202">
        <v>0.0</v>
      </c>
      <c r="AZ2034" s="200"/>
      <c r="BA2034" s="171" t="str">
        <f t="shared" si="18"/>
        <v/>
      </c>
      <c r="BB2034" s="171" t="str">
        <f t="shared" si="19"/>
        <v/>
      </c>
      <c r="BC2034" s="171" t="str">
        <f t="shared" si="20"/>
        <v/>
      </c>
      <c r="BD2034" s="171" t="str">
        <f t="shared" si="21"/>
        <v/>
      </c>
      <c r="BE2034" s="171" t="str">
        <f t="shared" si="22"/>
        <v>Others</v>
      </c>
      <c r="BF2034" s="171" t="str">
        <f t="shared" si="23"/>
        <v>Others</v>
      </c>
    </row>
    <row r="2035">
      <c r="A2035" s="171">
        <f t="array" ref="A2035">XLOOKUP(C2035,FSE!A:A,FSE!C:C,"XXXXX",0,1)</f>
        <v>2016</v>
      </c>
      <c r="B2035" s="213" t="s">
        <v>5676</v>
      </c>
      <c r="C2035" s="214">
        <v>666.0</v>
      </c>
      <c r="D2035" s="215" t="s">
        <v>3817</v>
      </c>
      <c r="E2035" s="197" t="str">
        <f t="array" ref="E2035">XLOOKUP(C2035,FSE!A:A,FSE!Z:Z,"XXXXX",0,1)</f>
        <v>Publicly Available (1)</v>
      </c>
      <c r="F2035" s="213" t="s">
        <v>3394</v>
      </c>
      <c r="G2035" s="163" t="str">
        <f t="array" ref="G2035">IF(B2035="ICSE",IF(COUNTIFS(B:B,B2035,C:C,C2035)=XLOOKUP(C2035,ICSE!A:A,ICSE!AA:AA,"ERROR",0,1),"OK","ERROR"),IF(B2035="FSE",IF(COUNTIFS(B:B,B2035,C:C,C2035)=XLOOKUP(C2035,FSE!A:A,FSE!AA:AA,"ERROR",0,1),"OK","ERROR")))</f>
        <v>OK</v>
      </c>
      <c r="H2035" s="199">
        <f t="shared" ref="H2035:O2035" si="10277">countif($D2035,"*"&amp;H$2&amp;"*")</f>
        <v>0</v>
      </c>
      <c r="I2035" s="200">
        <f t="shared" si="10277"/>
        <v>0</v>
      </c>
      <c r="J2035" s="200">
        <f t="shared" si="10277"/>
        <v>0</v>
      </c>
      <c r="K2035" s="200">
        <f t="shared" si="10277"/>
        <v>0</v>
      </c>
      <c r="L2035" s="200">
        <f t="shared" si="10277"/>
        <v>0</v>
      </c>
      <c r="M2035" s="200">
        <f t="shared" si="10277"/>
        <v>0</v>
      </c>
      <c r="N2035" s="200">
        <f t="shared" si="10277"/>
        <v>0</v>
      </c>
      <c r="O2035" s="200">
        <f t="shared" si="10277"/>
        <v>0</v>
      </c>
      <c r="P2035" s="200">
        <f t="shared" si="9"/>
        <v>0</v>
      </c>
      <c r="Q2035" s="200">
        <f t="shared" ref="Q2035:AC2035" si="10278">countif($D2035,"*"&amp;Q$2&amp;"*")</f>
        <v>0</v>
      </c>
      <c r="R2035" s="200">
        <f t="shared" si="10278"/>
        <v>0</v>
      </c>
      <c r="S2035" s="200">
        <f t="shared" si="10278"/>
        <v>0</v>
      </c>
      <c r="T2035" s="200">
        <f t="shared" si="10278"/>
        <v>0</v>
      </c>
      <c r="U2035" s="200">
        <f t="shared" si="10278"/>
        <v>0</v>
      </c>
      <c r="V2035" s="200">
        <f t="shared" si="10278"/>
        <v>0</v>
      </c>
      <c r="W2035" s="200">
        <f t="shared" si="10278"/>
        <v>0</v>
      </c>
      <c r="X2035" s="200">
        <f t="shared" si="10278"/>
        <v>0</v>
      </c>
      <c r="Y2035" s="200">
        <f t="shared" si="10278"/>
        <v>0</v>
      </c>
      <c r="Z2035" s="200">
        <f t="shared" si="10278"/>
        <v>0</v>
      </c>
      <c r="AA2035" s="200">
        <f t="shared" si="10278"/>
        <v>0</v>
      </c>
      <c r="AB2035" s="200">
        <f t="shared" si="10278"/>
        <v>0</v>
      </c>
      <c r="AC2035" s="200">
        <f t="shared" si="10278"/>
        <v>0</v>
      </c>
      <c r="AD2035" s="200">
        <f t="shared" si="11"/>
        <v>1</v>
      </c>
      <c r="AE2035" s="200">
        <f t="shared" ref="AE2035:AG2035" si="10279">countif($D2035,"*"&amp;AE$2&amp;"*")</f>
        <v>0</v>
      </c>
      <c r="AF2035" s="200">
        <f t="shared" si="10279"/>
        <v>0</v>
      </c>
      <c r="AG2035" s="200">
        <f t="shared" si="10279"/>
        <v>0</v>
      </c>
      <c r="AH2035" s="171">
        <f t="shared" si="13"/>
        <v>0</v>
      </c>
      <c r="AI2035" s="200">
        <f t="shared" si="14"/>
        <v>0</v>
      </c>
      <c r="AJ2035" s="200">
        <f t="shared" si="10244"/>
        <v>0</v>
      </c>
      <c r="AK2035" s="201">
        <f t="shared" ref="AK2035:AS2035" si="10280">countif($D2035,"*"&amp;AK$2&amp;"*")</f>
        <v>0</v>
      </c>
      <c r="AL2035" s="201">
        <f t="shared" si="10280"/>
        <v>0</v>
      </c>
      <c r="AM2035" s="201">
        <f t="shared" si="10280"/>
        <v>0</v>
      </c>
      <c r="AN2035" s="201">
        <f t="shared" si="10280"/>
        <v>0</v>
      </c>
      <c r="AO2035" s="201">
        <f t="shared" si="10280"/>
        <v>0</v>
      </c>
      <c r="AP2035" s="201">
        <f t="shared" si="10280"/>
        <v>0</v>
      </c>
      <c r="AQ2035" s="201">
        <f t="shared" si="10280"/>
        <v>0</v>
      </c>
      <c r="AR2035" s="200">
        <f t="shared" si="10280"/>
        <v>0</v>
      </c>
      <c r="AS2035" s="200">
        <f t="shared" si="10280"/>
        <v>0</v>
      </c>
      <c r="AT2035" s="173">
        <v>1.0</v>
      </c>
      <c r="AU2035" s="200">
        <f t="shared" ref="AU2035:AX2035" si="10281">countif($D2035,"*"&amp;AU$2&amp;"*")</f>
        <v>0</v>
      </c>
      <c r="AV2035" s="200">
        <f t="shared" si="10281"/>
        <v>0</v>
      </c>
      <c r="AW2035" s="200">
        <f t="shared" si="10281"/>
        <v>0</v>
      </c>
      <c r="AX2035" s="200">
        <f t="shared" si="10281"/>
        <v>0</v>
      </c>
      <c r="AY2035" s="202">
        <v>0.0</v>
      </c>
      <c r="AZ2035" s="200"/>
      <c r="BA2035" s="171" t="str">
        <f t="shared" si="18"/>
        <v/>
      </c>
      <c r="BB2035" s="171" t="str">
        <f t="shared" si="19"/>
        <v/>
      </c>
      <c r="BC2035" s="171" t="str">
        <f t="shared" si="20"/>
        <v/>
      </c>
      <c r="BD2035" s="171" t="str">
        <f t="shared" si="21"/>
        <v>Institutional</v>
      </c>
      <c r="BE2035" s="171" t="str">
        <f t="shared" si="22"/>
        <v/>
      </c>
      <c r="BF2035" s="171" t="str">
        <f t="shared" si="23"/>
        <v>Institutional</v>
      </c>
    </row>
    <row r="2036">
      <c r="A2036" s="171">
        <f t="array" ref="A2036">XLOOKUP(C2036,FSE!A:A,FSE!C:C,"XXXXX",0,1)</f>
        <v>2016</v>
      </c>
      <c r="B2036" s="213" t="s">
        <v>5676</v>
      </c>
      <c r="C2036" s="214">
        <v>667.0</v>
      </c>
      <c r="D2036" s="215" t="s">
        <v>3820</v>
      </c>
      <c r="E2036" s="197" t="str">
        <f t="array" ref="E2036">XLOOKUP(C2036,FSE!A:A,FSE!Z:Z,"XXXXX",0,1)</f>
        <v>Publicly Available (1)</v>
      </c>
      <c r="F2036" s="213" t="s">
        <v>3394</v>
      </c>
      <c r="G2036" s="163" t="str">
        <f t="array" ref="G2036">IF(B2036="ICSE",IF(COUNTIFS(B:B,B2036,C:C,C2036)=XLOOKUP(C2036,ICSE!A:A,ICSE!AA:AA,"ERROR",0,1),"OK","ERROR"),IF(B2036="FSE",IF(COUNTIFS(B:B,B2036,C:C,C2036)=XLOOKUP(C2036,FSE!A:A,FSE!AA:AA,"ERROR",0,1),"OK","ERROR")))</f>
        <v>OK</v>
      </c>
      <c r="H2036" s="199">
        <f t="shared" ref="H2036:O2036" si="10282">countif($D2036,"*"&amp;H$2&amp;"*")</f>
        <v>0</v>
      </c>
      <c r="I2036" s="200">
        <f t="shared" si="10282"/>
        <v>0</v>
      </c>
      <c r="J2036" s="200">
        <f t="shared" si="10282"/>
        <v>0</v>
      </c>
      <c r="K2036" s="200">
        <f t="shared" si="10282"/>
        <v>0</v>
      </c>
      <c r="L2036" s="200">
        <f t="shared" si="10282"/>
        <v>0</v>
      </c>
      <c r="M2036" s="200">
        <f t="shared" si="10282"/>
        <v>0</v>
      </c>
      <c r="N2036" s="200">
        <f t="shared" si="10282"/>
        <v>0</v>
      </c>
      <c r="O2036" s="200">
        <f t="shared" si="10282"/>
        <v>0</v>
      </c>
      <c r="P2036" s="200">
        <f t="shared" si="9"/>
        <v>1</v>
      </c>
      <c r="Q2036" s="200">
        <f t="shared" ref="Q2036:AC2036" si="10283">countif($D2036,"*"&amp;Q$2&amp;"*")</f>
        <v>0</v>
      </c>
      <c r="R2036" s="200">
        <f t="shared" si="10283"/>
        <v>0</v>
      </c>
      <c r="S2036" s="200">
        <f t="shared" si="10283"/>
        <v>0</v>
      </c>
      <c r="T2036" s="200">
        <f t="shared" si="10283"/>
        <v>0</v>
      </c>
      <c r="U2036" s="200">
        <f t="shared" si="10283"/>
        <v>0</v>
      </c>
      <c r="V2036" s="200">
        <f t="shared" si="10283"/>
        <v>0</v>
      </c>
      <c r="W2036" s="200">
        <f t="shared" si="10283"/>
        <v>0</v>
      </c>
      <c r="X2036" s="200">
        <f t="shared" si="10283"/>
        <v>0</v>
      </c>
      <c r="Y2036" s="200">
        <f t="shared" si="10283"/>
        <v>0</v>
      </c>
      <c r="Z2036" s="200">
        <f t="shared" si="10283"/>
        <v>0</v>
      </c>
      <c r="AA2036" s="200">
        <f t="shared" si="10283"/>
        <v>0</v>
      </c>
      <c r="AB2036" s="200">
        <f t="shared" si="10283"/>
        <v>0</v>
      </c>
      <c r="AC2036" s="200">
        <f t="shared" si="10283"/>
        <v>0</v>
      </c>
      <c r="AD2036" s="200">
        <f t="shared" si="11"/>
        <v>0</v>
      </c>
      <c r="AE2036" s="200">
        <f t="shared" ref="AE2036:AG2036" si="10284">countif($D2036,"*"&amp;AE$2&amp;"*")</f>
        <v>0</v>
      </c>
      <c r="AF2036" s="200">
        <f t="shared" si="10284"/>
        <v>0</v>
      </c>
      <c r="AG2036" s="200">
        <f t="shared" si="10284"/>
        <v>0</v>
      </c>
      <c r="AH2036" s="171">
        <f t="shared" si="13"/>
        <v>0</v>
      </c>
      <c r="AI2036" s="200">
        <f t="shared" si="14"/>
        <v>0</v>
      </c>
      <c r="AJ2036" s="200">
        <f t="shared" si="10244"/>
        <v>0</v>
      </c>
      <c r="AK2036" s="201">
        <f t="shared" ref="AK2036:AS2036" si="10285">countif($D2036,"*"&amp;AK$2&amp;"*")</f>
        <v>0</v>
      </c>
      <c r="AL2036" s="201">
        <f t="shared" si="10285"/>
        <v>0</v>
      </c>
      <c r="AM2036" s="201">
        <f t="shared" si="10285"/>
        <v>0</v>
      </c>
      <c r="AN2036" s="201">
        <f t="shared" si="10285"/>
        <v>0</v>
      </c>
      <c r="AO2036" s="201">
        <f t="shared" si="10285"/>
        <v>0</v>
      </c>
      <c r="AP2036" s="201">
        <f t="shared" si="10285"/>
        <v>0</v>
      </c>
      <c r="AQ2036" s="201">
        <f t="shared" si="10285"/>
        <v>0</v>
      </c>
      <c r="AR2036" s="200">
        <f t="shared" si="10285"/>
        <v>0</v>
      </c>
      <c r="AS2036" s="200">
        <f t="shared" si="10285"/>
        <v>0</v>
      </c>
      <c r="AT2036" s="173">
        <v>0.0</v>
      </c>
      <c r="AU2036" s="200">
        <f t="shared" ref="AU2036:AX2036" si="10286">countif($D2036,"*"&amp;AU$2&amp;"*")</f>
        <v>0</v>
      </c>
      <c r="AV2036" s="200">
        <f t="shared" si="10286"/>
        <v>1</v>
      </c>
      <c r="AW2036" s="200">
        <f t="shared" si="10286"/>
        <v>0</v>
      </c>
      <c r="AX2036" s="200">
        <f t="shared" si="10286"/>
        <v>0</v>
      </c>
      <c r="AY2036" s="202">
        <v>0.0</v>
      </c>
      <c r="AZ2036" s="200"/>
      <c r="BA2036" s="171" t="str">
        <f t="shared" si="18"/>
        <v/>
      </c>
      <c r="BB2036" s="171" t="str">
        <f t="shared" si="19"/>
        <v>Code</v>
      </c>
      <c r="BC2036" s="171" t="str">
        <f t="shared" si="20"/>
        <v/>
      </c>
      <c r="BD2036" s="171" t="str">
        <f t="shared" si="21"/>
        <v/>
      </c>
      <c r="BE2036" s="171" t="str">
        <f t="shared" si="22"/>
        <v/>
      </c>
      <c r="BF2036" s="171" t="str">
        <f t="shared" si="23"/>
        <v>Code</v>
      </c>
    </row>
    <row r="2037">
      <c r="A2037" s="171">
        <f t="array" ref="A2037">XLOOKUP(C2037,FSE!A:A,FSE!C:C,"XXXXX",0,1)</f>
        <v>2016</v>
      </c>
      <c r="B2037" s="213" t="s">
        <v>5676</v>
      </c>
      <c r="C2037" s="219">
        <v>668.0</v>
      </c>
      <c r="D2037" s="217" t="s">
        <v>6550</v>
      </c>
      <c r="E2037" s="197" t="str">
        <f t="array" ref="E2037">XLOOKUP(C2037,FSE!A:A,FSE!Z:Z,"XXXXX",0,1)</f>
        <v>Not Available (2)</v>
      </c>
      <c r="F2037" s="213" t="s">
        <v>3395</v>
      </c>
      <c r="G2037" s="163" t="str">
        <f t="array" ref="G2037">IF(B2037="ICSE",IF(COUNTIFS(B:B,B2037,C:C,C2037)=XLOOKUP(C2037,ICSE!A:A,ICSE!AA:AA,"ERROR",0,1),"OK","ERROR"),IF(B2037="FSE",IF(COUNTIFS(B:B,B2037,C:C,C2037)=XLOOKUP(C2037,FSE!A:A,FSE!AA:AA,"ERROR",0,1),"OK","ERROR")))</f>
        <v>OK</v>
      </c>
      <c r="H2037" s="199">
        <f t="shared" ref="H2037:O2037" si="10287">countif($D2037,"*"&amp;H$2&amp;"*")</f>
        <v>0</v>
      </c>
      <c r="I2037" s="200">
        <f t="shared" si="10287"/>
        <v>0</v>
      </c>
      <c r="J2037" s="200">
        <f t="shared" si="10287"/>
        <v>0</v>
      </c>
      <c r="K2037" s="200">
        <f t="shared" si="10287"/>
        <v>0</v>
      </c>
      <c r="L2037" s="200">
        <f t="shared" si="10287"/>
        <v>0</v>
      </c>
      <c r="M2037" s="200">
        <f t="shared" si="10287"/>
        <v>0</v>
      </c>
      <c r="N2037" s="200">
        <f t="shared" si="10287"/>
        <v>0</v>
      </c>
      <c r="O2037" s="200">
        <f t="shared" si="10287"/>
        <v>0</v>
      </c>
      <c r="P2037" s="200">
        <f t="shared" si="9"/>
        <v>1</v>
      </c>
      <c r="Q2037" s="200">
        <f t="shared" ref="Q2037:AC2037" si="10288">countif($D2037,"*"&amp;Q$2&amp;"*")</f>
        <v>0</v>
      </c>
      <c r="R2037" s="200">
        <f t="shared" si="10288"/>
        <v>0</v>
      </c>
      <c r="S2037" s="200">
        <f t="shared" si="10288"/>
        <v>0</v>
      </c>
      <c r="T2037" s="200">
        <f t="shared" si="10288"/>
        <v>0</v>
      </c>
      <c r="U2037" s="200">
        <f t="shared" si="10288"/>
        <v>0</v>
      </c>
      <c r="V2037" s="200">
        <f t="shared" si="10288"/>
        <v>0</v>
      </c>
      <c r="W2037" s="200">
        <f t="shared" si="10288"/>
        <v>0</v>
      </c>
      <c r="X2037" s="200">
        <f t="shared" si="10288"/>
        <v>0</v>
      </c>
      <c r="Y2037" s="200">
        <f t="shared" si="10288"/>
        <v>0</v>
      </c>
      <c r="Z2037" s="200">
        <f t="shared" si="10288"/>
        <v>0</v>
      </c>
      <c r="AA2037" s="200">
        <f t="shared" si="10288"/>
        <v>0</v>
      </c>
      <c r="AB2037" s="200">
        <f t="shared" si="10288"/>
        <v>0</v>
      </c>
      <c r="AC2037" s="200">
        <f t="shared" si="10288"/>
        <v>0</v>
      </c>
      <c r="AD2037" s="200">
        <f t="shared" si="11"/>
        <v>0</v>
      </c>
      <c r="AE2037" s="200">
        <f t="shared" ref="AE2037:AG2037" si="10289">countif($D2037,"*"&amp;AE$2&amp;"*")</f>
        <v>0</v>
      </c>
      <c r="AF2037" s="200">
        <f t="shared" si="10289"/>
        <v>0</v>
      </c>
      <c r="AG2037" s="200">
        <f t="shared" si="10289"/>
        <v>0</v>
      </c>
      <c r="AH2037" s="171">
        <f t="shared" si="13"/>
        <v>0</v>
      </c>
      <c r="AI2037" s="200">
        <f t="shared" si="14"/>
        <v>0</v>
      </c>
      <c r="AJ2037" s="200">
        <f t="shared" si="10244"/>
        <v>0</v>
      </c>
      <c r="AK2037" s="201">
        <f t="shared" ref="AK2037:AS2037" si="10290">countif($D2037,"*"&amp;AK$2&amp;"*")</f>
        <v>0</v>
      </c>
      <c r="AL2037" s="201">
        <f t="shared" si="10290"/>
        <v>0</v>
      </c>
      <c r="AM2037" s="201">
        <f t="shared" si="10290"/>
        <v>0</v>
      </c>
      <c r="AN2037" s="201">
        <f t="shared" si="10290"/>
        <v>0</v>
      </c>
      <c r="AO2037" s="201">
        <f t="shared" si="10290"/>
        <v>0</v>
      </c>
      <c r="AP2037" s="201">
        <f t="shared" si="10290"/>
        <v>0</v>
      </c>
      <c r="AQ2037" s="201">
        <f t="shared" si="10290"/>
        <v>0</v>
      </c>
      <c r="AR2037" s="200">
        <f t="shared" si="10290"/>
        <v>0</v>
      </c>
      <c r="AS2037" s="200">
        <f t="shared" si="10290"/>
        <v>0</v>
      </c>
      <c r="AT2037" s="173">
        <v>0.0</v>
      </c>
      <c r="AU2037" s="200">
        <f t="shared" ref="AU2037:AX2037" si="10291">countif($D2037,"*"&amp;AU$2&amp;"*")</f>
        <v>0</v>
      </c>
      <c r="AV2037" s="200">
        <f t="shared" si="10291"/>
        <v>1</v>
      </c>
      <c r="AW2037" s="200">
        <f t="shared" si="10291"/>
        <v>0</v>
      </c>
      <c r="AX2037" s="200">
        <f t="shared" si="10291"/>
        <v>0</v>
      </c>
      <c r="AY2037" s="202">
        <v>0.0</v>
      </c>
      <c r="AZ2037" s="200"/>
      <c r="BA2037" s="171" t="str">
        <f t="shared" si="18"/>
        <v/>
      </c>
      <c r="BB2037" s="171" t="str">
        <f t="shared" si="19"/>
        <v>Code</v>
      </c>
      <c r="BC2037" s="171" t="str">
        <f t="shared" si="20"/>
        <v/>
      </c>
      <c r="BD2037" s="171" t="str">
        <f t="shared" si="21"/>
        <v/>
      </c>
      <c r="BE2037" s="171" t="str">
        <f t="shared" si="22"/>
        <v/>
      </c>
      <c r="BF2037" s="171" t="str">
        <f t="shared" si="23"/>
        <v>Code</v>
      </c>
    </row>
    <row r="2038">
      <c r="A2038" s="171">
        <f t="array" ref="A2038">XLOOKUP(C2038,FSE!A:A,FSE!C:C,"XXXXX",0,1)</f>
        <v>2016</v>
      </c>
      <c r="B2038" s="213" t="s">
        <v>5676</v>
      </c>
      <c r="C2038" s="214">
        <v>668.0</v>
      </c>
      <c r="D2038" s="215" t="s">
        <v>6551</v>
      </c>
      <c r="E2038" s="197" t="str">
        <f t="array" ref="E2038">XLOOKUP(C2038,FSE!A:A,FSE!Z:Z,"XXXXX",0,1)</f>
        <v>Not Available (2)</v>
      </c>
      <c r="F2038" s="213" t="s">
        <v>3395</v>
      </c>
      <c r="G2038" s="163" t="str">
        <f t="array" ref="G2038">IF(B2038="ICSE",IF(COUNTIFS(B:B,B2038,C:C,C2038)=XLOOKUP(C2038,ICSE!A:A,ICSE!AA:AA,"ERROR",0,1),"OK","ERROR"),IF(B2038="FSE",IF(COUNTIFS(B:B,B2038,C:C,C2038)=XLOOKUP(C2038,FSE!A:A,FSE!AA:AA,"ERROR",0,1),"OK","ERROR")))</f>
        <v>OK</v>
      </c>
      <c r="H2038" s="199">
        <f t="shared" ref="H2038:O2038" si="10292">countif($D2038,"*"&amp;H$2&amp;"*")</f>
        <v>0</v>
      </c>
      <c r="I2038" s="200">
        <f t="shared" si="10292"/>
        <v>0</v>
      </c>
      <c r="J2038" s="200">
        <f t="shared" si="10292"/>
        <v>0</v>
      </c>
      <c r="K2038" s="200">
        <f t="shared" si="10292"/>
        <v>0</v>
      </c>
      <c r="L2038" s="200">
        <f t="shared" si="10292"/>
        <v>0</v>
      </c>
      <c r="M2038" s="200">
        <f t="shared" si="10292"/>
        <v>0</v>
      </c>
      <c r="N2038" s="200">
        <f t="shared" si="10292"/>
        <v>0</v>
      </c>
      <c r="O2038" s="200">
        <f t="shared" si="10292"/>
        <v>0</v>
      </c>
      <c r="P2038" s="200">
        <f t="shared" si="9"/>
        <v>0</v>
      </c>
      <c r="Q2038" s="200">
        <f t="shared" ref="Q2038:AC2038" si="10293">countif($D2038,"*"&amp;Q$2&amp;"*")</f>
        <v>0</v>
      </c>
      <c r="R2038" s="200">
        <f t="shared" si="10293"/>
        <v>0</v>
      </c>
      <c r="S2038" s="200">
        <f t="shared" si="10293"/>
        <v>0</v>
      </c>
      <c r="T2038" s="200">
        <f t="shared" si="10293"/>
        <v>0</v>
      </c>
      <c r="U2038" s="200">
        <f t="shared" si="10293"/>
        <v>0</v>
      </c>
      <c r="V2038" s="200">
        <f t="shared" si="10293"/>
        <v>0</v>
      </c>
      <c r="W2038" s="200">
        <f t="shared" si="10293"/>
        <v>0</v>
      </c>
      <c r="X2038" s="200">
        <f t="shared" si="10293"/>
        <v>0</v>
      </c>
      <c r="Y2038" s="200">
        <f t="shared" si="10293"/>
        <v>0</v>
      </c>
      <c r="Z2038" s="200">
        <f t="shared" si="10293"/>
        <v>0</v>
      </c>
      <c r="AA2038" s="200">
        <f t="shared" si="10293"/>
        <v>0</v>
      </c>
      <c r="AB2038" s="200">
        <f t="shared" si="10293"/>
        <v>0</v>
      </c>
      <c r="AC2038" s="200">
        <f t="shared" si="10293"/>
        <v>0</v>
      </c>
      <c r="AD2038" s="200">
        <f t="shared" si="11"/>
        <v>1</v>
      </c>
      <c r="AE2038" s="200">
        <f t="shared" ref="AE2038:AG2038" si="10294">countif($D2038,"*"&amp;AE$2&amp;"*")</f>
        <v>0</v>
      </c>
      <c r="AF2038" s="200">
        <f t="shared" si="10294"/>
        <v>0</v>
      </c>
      <c r="AG2038" s="200">
        <f t="shared" si="10294"/>
        <v>0</v>
      </c>
      <c r="AH2038" s="171">
        <f t="shared" si="13"/>
        <v>0</v>
      </c>
      <c r="AI2038" s="200">
        <f t="shared" si="14"/>
        <v>0</v>
      </c>
      <c r="AJ2038" s="200">
        <f>SUM(AK2038:AQ2038)</f>
        <v>0</v>
      </c>
      <c r="AK2038" s="201">
        <f t="shared" ref="AK2038:AS2038" si="10295">countif($D2038,"*"&amp;AK$2&amp;"*")</f>
        <v>0</v>
      </c>
      <c r="AL2038" s="201">
        <f t="shared" si="10295"/>
        <v>0</v>
      </c>
      <c r="AM2038" s="201">
        <f t="shared" si="10295"/>
        <v>0</v>
      </c>
      <c r="AN2038" s="201">
        <f t="shared" si="10295"/>
        <v>0</v>
      </c>
      <c r="AO2038" s="201">
        <f t="shared" si="10295"/>
        <v>0</v>
      </c>
      <c r="AP2038" s="201">
        <f t="shared" si="10295"/>
        <v>0</v>
      </c>
      <c r="AQ2038" s="201">
        <f t="shared" si="10295"/>
        <v>0</v>
      </c>
      <c r="AR2038" s="201">
        <f t="shared" si="10295"/>
        <v>0</v>
      </c>
      <c r="AS2038" s="200">
        <f t="shared" si="10295"/>
        <v>0</v>
      </c>
      <c r="AT2038" s="205">
        <v>0.0</v>
      </c>
      <c r="AU2038" s="200">
        <f t="shared" ref="AU2038:AX2038" si="10296">countif($D2038,"*"&amp;AU$2&amp;"*")</f>
        <v>1</v>
      </c>
      <c r="AV2038" s="200">
        <f t="shared" si="10296"/>
        <v>0</v>
      </c>
      <c r="AW2038" s="200">
        <f t="shared" si="10296"/>
        <v>0</v>
      </c>
      <c r="AX2038" s="200">
        <f t="shared" si="10296"/>
        <v>0</v>
      </c>
      <c r="AY2038" s="202">
        <v>0.0</v>
      </c>
      <c r="AZ2038" s="200"/>
      <c r="BA2038" s="171" t="str">
        <f t="shared" si="18"/>
        <v/>
      </c>
      <c r="BB2038" s="171" t="str">
        <f t="shared" si="19"/>
        <v/>
      </c>
      <c r="BC2038" s="171" t="str">
        <f t="shared" si="20"/>
        <v/>
      </c>
      <c r="BD2038" s="171" t="str">
        <f t="shared" si="21"/>
        <v>Institutional</v>
      </c>
      <c r="BE2038" s="171" t="str">
        <f t="shared" si="22"/>
        <v/>
      </c>
      <c r="BF2038" s="171" t="str">
        <f t="shared" si="23"/>
        <v>Institutional</v>
      </c>
    </row>
    <row r="2039">
      <c r="A2039" s="171">
        <f t="array" ref="A2039">XLOOKUP(C2039,FSE!A:A,FSE!C:C,"XXXXX",0,1)</f>
        <v>2016</v>
      </c>
      <c r="B2039" s="213" t="s">
        <v>5676</v>
      </c>
      <c r="C2039" s="214">
        <v>669.0</v>
      </c>
      <c r="D2039" s="215" t="s">
        <v>6552</v>
      </c>
      <c r="E2039" s="197" t="str">
        <f t="array" ref="E2039">XLOOKUP(C2039,FSE!A:A,FSE!Z:Z,"XXXXX",0,1)</f>
        <v>Not Available (1)
Publicly Available (1)</v>
      </c>
      <c r="F2039" s="213" t="s">
        <v>3395</v>
      </c>
      <c r="G2039" s="163" t="str">
        <f t="array" ref="G2039">IF(B2039="ICSE",IF(COUNTIFS(B:B,B2039,C:C,C2039)=XLOOKUP(C2039,ICSE!A:A,ICSE!AA:AA,"ERROR",0,1),"OK","ERROR"),IF(B2039="FSE",IF(COUNTIFS(B:B,B2039,C:C,C2039)=XLOOKUP(C2039,FSE!A:A,FSE!AA:AA,"ERROR",0,1),"OK","ERROR")))</f>
        <v>OK</v>
      </c>
      <c r="H2039" s="199">
        <f t="shared" ref="H2039:O2039" si="10297">countif($D2039,"*"&amp;H$2&amp;"*")</f>
        <v>0</v>
      </c>
      <c r="I2039" s="200">
        <f t="shared" si="10297"/>
        <v>0</v>
      </c>
      <c r="J2039" s="200">
        <f t="shared" si="10297"/>
        <v>0</v>
      </c>
      <c r="K2039" s="200">
        <f t="shared" si="10297"/>
        <v>0</v>
      </c>
      <c r="L2039" s="200">
        <f t="shared" si="10297"/>
        <v>0</v>
      </c>
      <c r="M2039" s="200">
        <f t="shared" si="10297"/>
        <v>0</v>
      </c>
      <c r="N2039" s="200">
        <f t="shared" si="10297"/>
        <v>0</v>
      </c>
      <c r="O2039" s="200">
        <f t="shared" si="10297"/>
        <v>0</v>
      </c>
      <c r="P2039" s="200">
        <f t="shared" si="9"/>
        <v>0</v>
      </c>
      <c r="Q2039" s="200">
        <f t="shared" ref="Q2039:AC2039" si="10298">countif($D2039,"*"&amp;Q$2&amp;"*")</f>
        <v>0</v>
      </c>
      <c r="R2039" s="200">
        <f t="shared" si="10298"/>
        <v>0</v>
      </c>
      <c r="S2039" s="200">
        <f t="shared" si="10298"/>
        <v>0</v>
      </c>
      <c r="T2039" s="200">
        <f t="shared" si="10298"/>
        <v>0</v>
      </c>
      <c r="U2039" s="200">
        <f t="shared" si="10298"/>
        <v>0</v>
      </c>
      <c r="V2039" s="200">
        <f t="shared" si="10298"/>
        <v>0</v>
      </c>
      <c r="W2039" s="200">
        <f t="shared" si="10298"/>
        <v>0</v>
      </c>
      <c r="X2039" s="200">
        <f t="shared" si="10298"/>
        <v>0</v>
      </c>
      <c r="Y2039" s="200">
        <f t="shared" si="10298"/>
        <v>0</v>
      </c>
      <c r="Z2039" s="200">
        <f t="shared" si="10298"/>
        <v>0</v>
      </c>
      <c r="AA2039" s="200">
        <f t="shared" si="10298"/>
        <v>0</v>
      </c>
      <c r="AB2039" s="200">
        <f t="shared" si="10298"/>
        <v>0</v>
      </c>
      <c r="AC2039" s="200">
        <f t="shared" si="10298"/>
        <v>0</v>
      </c>
      <c r="AD2039" s="200">
        <f t="shared" si="11"/>
        <v>1</v>
      </c>
      <c r="AE2039" s="200">
        <f t="shared" ref="AE2039:AG2039" si="10299">countif($D2039,"*"&amp;AE$2&amp;"*")</f>
        <v>0</v>
      </c>
      <c r="AF2039" s="200">
        <f t="shared" si="10299"/>
        <v>0</v>
      </c>
      <c r="AG2039" s="200">
        <f t="shared" si="10299"/>
        <v>0</v>
      </c>
      <c r="AH2039" s="171">
        <f t="shared" si="13"/>
        <v>0</v>
      </c>
      <c r="AI2039" s="200">
        <f t="shared" si="14"/>
        <v>0</v>
      </c>
      <c r="AJ2039" s="200">
        <f t="shared" ref="AJ2039:AJ2048" si="10305">SUM(AK2039:AR2039)</f>
        <v>0</v>
      </c>
      <c r="AK2039" s="201">
        <f t="shared" ref="AK2039:AS2039" si="10300">countif($D2039,"*"&amp;AK$2&amp;"*")</f>
        <v>0</v>
      </c>
      <c r="AL2039" s="201">
        <f t="shared" si="10300"/>
        <v>0</v>
      </c>
      <c r="AM2039" s="201">
        <f t="shared" si="10300"/>
        <v>0</v>
      </c>
      <c r="AN2039" s="201">
        <f t="shared" si="10300"/>
        <v>0</v>
      </c>
      <c r="AO2039" s="201">
        <f t="shared" si="10300"/>
        <v>0</v>
      </c>
      <c r="AP2039" s="201">
        <f t="shared" si="10300"/>
        <v>0</v>
      </c>
      <c r="AQ2039" s="201">
        <f t="shared" si="10300"/>
        <v>0</v>
      </c>
      <c r="AR2039" s="200">
        <f t="shared" si="10300"/>
        <v>0</v>
      </c>
      <c r="AS2039" s="200">
        <f t="shared" si="10300"/>
        <v>0</v>
      </c>
      <c r="AT2039" s="173">
        <v>1.0</v>
      </c>
      <c r="AU2039" s="200">
        <f t="shared" ref="AU2039:AX2039" si="10301">countif($D2039,"*"&amp;AU$2&amp;"*")</f>
        <v>0</v>
      </c>
      <c r="AV2039" s="200">
        <f t="shared" si="10301"/>
        <v>0</v>
      </c>
      <c r="AW2039" s="200">
        <f t="shared" si="10301"/>
        <v>0</v>
      </c>
      <c r="AX2039" s="200">
        <f t="shared" si="10301"/>
        <v>0</v>
      </c>
      <c r="AY2039" s="202">
        <v>0.0</v>
      </c>
      <c r="AZ2039" s="200"/>
      <c r="BA2039" s="171" t="str">
        <f t="shared" si="18"/>
        <v/>
      </c>
      <c r="BB2039" s="171" t="str">
        <f t="shared" si="19"/>
        <v/>
      </c>
      <c r="BC2039" s="171" t="str">
        <f t="shared" si="20"/>
        <v/>
      </c>
      <c r="BD2039" s="171" t="str">
        <f t="shared" si="21"/>
        <v>Institutional</v>
      </c>
      <c r="BE2039" s="171" t="str">
        <f t="shared" si="22"/>
        <v/>
      </c>
      <c r="BF2039" s="171" t="str">
        <f t="shared" si="23"/>
        <v>Institutional</v>
      </c>
    </row>
    <row r="2040">
      <c r="A2040" s="171">
        <f t="array" ref="A2040">XLOOKUP(C2040,FSE!A:A,FSE!C:C,"XXXXX",0,1)</f>
        <v>2016</v>
      </c>
      <c r="B2040" s="213" t="s">
        <v>5676</v>
      </c>
      <c r="C2040" s="214">
        <v>669.0</v>
      </c>
      <c r="D2040" s="215" t="s">
        <v>6553</v>
      </c>
      <c r="E2040" s="197" t="str">
        <f t="array" ref="E2040">XLOOKUP(C2040,FSE!A:A,FSE!Z:Z,"XXXXX",0,1)</f>
        <v>Not Available (1)
Publicly Available (1)</v>
      </c>
      <c r="F2040" s="213" t="s">
        <v>3394</v>
      </c>
      <c r="G2040" s="163" t="str">
        <f t="array" ref="G2040">IF(B2040="ICSE",IF(COUNTIFS(B:B,B2040,C:C,C2040)=XLOOKUP(C2040,ICSE!A:A,ICSE!AA:AA,"ERROR",0,1),"OK","ERROR"),IF(B2040="FSE",IF(COUNTIFS(B:B,B2040,C:C,C2040)=XLOOKUP(C2040,FSE!A:A,FSE!AA:AA,"ERROR",0,1),"OK","ERROR")))</f>
        <v>OK</v>
      </c>
      <c r="H2040" s="199">
        <f t="shared" ref="H2040:O2040" si="10302">countif($D2040,"*"&amp;H$2&amp;"*")</f>
        <v>0</v>
      </c>
      <c r="I2040" s="200">
        <f t="shared" si="10302"/>
        <v>0</v>
      </c>
      <c r="J2040" s="200">
        <f t="shared" si="10302"/>
        <v>0</v>
      </c>
      <c r="K2040" s="200">
        <f t="shared" si="10302"/>
        <v>0</v>
      </c>
      <c r="L2040" s="200">
        <f t="shared" si="10302"/>
        <v>0</v>
      </c>
      <c r="M2040" s="200">
        <f t="shared" si="10302"/>
        <v>0</v>
      </c>
      <c r="N2040" s="200">
        <f t="shared" si="10302"/>
        <v>0</v>
      </c>
      <c r="O2040" s="200">
        <f t="shared" si="10302"/>
        <v>0</v>
      </c>
      <c r="P2040" s="200">
        <f t="shared" si="9"/>
        <v>0</v>
      </c>
      <c r="Q2040" s="200">
        <f t="shared" ref="Q2040:AC2040" si="10303">countif($D2040,"*"&amp;Q$2&amp;"*")</f>
        <v>0</v>
      </c>
      <c r="R2040" s="200">
        <f t="shared" si="10303"/>
        <v>0</v>
      </c>
      <c r="S2040" s="200">
        <f t="shared" si="10303"/>
        <v>1</v>
      </c>
      <c r="T2040" s="200">
        <f t="shared" si="10303"/>
        <v>0</v>
      </c>
      <c r="U2040" s="200">
        <f t="shared" si="10303"/>
        <v>0</v>
      </c>
      <c r="V2040" s="200">
        <f t="shared" si="10303"/>
        <v>0</v>
      </c>
      <c r="W2040" s="200">
        <f t="shared" si="10303"/>
        <v>0</v>
      </c>
      <c r="X2040" s="200">
        <f t="shared" si="10303"/>
        <v>0</v>
      </c>
      <c r="Y2040" s="200">
        <f t="shared" si="10303"/>
        <v>0</v>
      </c>
      <c r="Z2040" s="200">
        <f t="shared" si="10303"/>
        <v>0</v>
      </c>
      <c r="AA2040" s="200">
        <f t="shared" si="10303"/>
        <v>0</v>
      </c>
      <c r="AB2040" s="200">
        <f t="shared" si="10303"/>
        <v>0</v>
      </c>
      <c r="AC2040" s="200">
        <f t="shared" si="10303"/>
        <v>0</v>
      </c>
      <c r="AD2040" s="200">
        <f t="shared" si="11"/>
        <v>0</v>
      </c>
      <c r="AE2040" s="200">
        <f t="shared" ref="AE2040:AG2040" si="10304">countif($D2040,"*"&amp;AE$2&amp;"*")</f>
        <v>0</v>
      </c>
      <c r="AF2040" s="200">
        <f t="shared" si="10304"/>
        <v>0</v>
      </c>
      <c r="AG2040" s="200">
        <f t="shared" si="10304"/>
        <v>0</v>
      </c>
      <c r="AH2040" s="171">
        <f t="shared" si="13"/>
        <v>0</v>
      </c>
      <c r="AI2040" s="200">
        <f t="shared" si="14"/>
        <v>0</v>
      </c>
      <c r="AJ2040" s="200">
        <f t="shared" si="10305"/>
        <v>0</v>
      </c>
      <c r="AK2040" s="201">
        <f t="shared" ref="AK2040:AS2040" si="10306">countif($D2040,"*"&amp;AK$2&amp;"*")</f>
        <v>0</v>
      </c>
      <c r="AL2040" s="201">
        <f t="shared" si="10306"/>
        <v>0</v>
      </c>
      <c r="AM2040" s="201">
        <f t="shared" si="10306"/>
        <v>0</v>
      </c>
      <c r="AN2040" s="201">
        <f t="shared" si="10306"/>
        <v>0</v>
      </c>
      <c r="AO2040" s="201">
        <f t="shared" si="10306"/>
        <v>0</v>
      </c>
      <c r="AP2040" s="201">
        <f t="shared" si="10306"/>
        <v>0</v>
      </c>
      <c r="AQ2040" s="201">
        <f t="shared" si="10306"/>
        <v>0</v>
      </c>
      <c r="AR2040" s="200">
        <f t="shared" si="10306"/>
        <v>0</v>
      </c>
      <c r="AS2040" s="200">
        <f t="shared" si="10306"/>
        <v>0</v>
      </c>
      <c r="AT2040" s="173">
        <v>0.0</v>
      </c>
      <c r="AU2040" s="200">
        <f t="shared" ref="AU2040:AX2040" si="10307">countif($D2040,"*"&amp;AU$2&amp;"*")</f>
        <v>0</v>
      </c>
      <c r="AV2040" s="200">
        <f t="shared" si="10307"/>
        <v>0</v>
      </c>
      <c r="AW2040" s="200">
        <f t="shared" si="10307"/>
        <v>0</v>
      </c>
      <c r="AX2040" s="200">
        <f t="shared" si="10307"/>
        <v>0</v>
      </c>
      <c r="AY2040" s="202">
        <v>0.0</v>
      </c>
      <c r="AZ2040" s="200"/>
      <c r="BA2040" s="171" t="str">
        <f t="shared" si="18"/>
        <v/>
      </c>
      <c r="BB2040" s="171" t="str">
        <f t="shared" si="19"/>
        <v>Code</v>
      </c>
      <c r="BC2040" s="171" t="str">
        <f t="shared" si="20"/>
        <v/>
      </c>
      <c r="BD2040" s="171" t="str">
        <f t="shared" si="21"/>
        <v/>
      </c>
      <c r="BE2040" s="171" t="str">
        <f t="shared" si="22"/>
        <v/>
      </c>
      <c r="BF2040" s="171" t="str">
        <f t="shared" si="23"/>
        <v>Code</v>
      </c>
    </row>
    <row r="2041">
      <c r="A2041" s="171">
        <f t="array" ref="A2041">XLOOKUP(C2041,FSE!A:A,FSE!C:C,"XXXXX",0,1)</f>
        <v>2016</v>
      </c>
      <c r="B2041" s="213" t="s">
        <v>5676</v>
      </c>
      <c r="C2041" s="214">
        <v>671.0</v>
      </c>
      <c r="D2041" s="215" t="s">
        <v>6554</v>
      </c>
      <c r="E2041" s="197" t="str">
        <f t="array" ref="E2041">XLOOKUP(C2041,FSE!A:A,FSE!Z:Z,"XXXXX",0,1)</f>
        <v>Not Available (1)
Publicly Available (4)</v>
      </c>
      <c r="F2041" s="213" t="s">
        <v>3395</v>
      </c>
      <c r="G2041" s="163" t="str">
        <f t="array" ref="G2041">IF(B2041="ICSE",IF(COUNTIFS(B:B,B2041,C:C,C2041)=XLOOKUP(C2041,ICSE!A:A,ICSE!AA:AA,"ERROR",0,1),"OK","ERROR"),IF(B2041="FSE",IF(COUNTIFS(B:B,B2041,C:C,C2041)=XLOOKUP(C2041,FSE!A:A,FSE!AA:AA,"ERROR",0,1),"OK","ERROR")))</f>
        <v>OK</v>
      </c>
      <c r="H2041" s="199">
        <f t="shared" ref="H2041:O2041" si="10308">countif($D2041,"*"&amp;H$2&amp;"*")</f>
        <v>0</v>
      </c>
      <c r="I2041" s="200">
        <f t="shared" si="10308"/>
        <v>0</v>
      </c>
      <c r="J2041" s="200">
        <f t="shared" si="10308"/>
        <v>0</v>
      </c>
      <c r="K2041" s="200">
        <f t="shared" si="10308"/>
        <v>0</v>
      </c>
      <c r="L2041" s="200">
        <f t="shared" si="10308"/>
        <v>0</v>
      </c>
      <c r="M2041" s="200">
        <f t="shared" si="10308"/>
        <v>0</v>
      </c>
      <c r="N2041" s="200">
        <f t="shared" si="10308"/>
        <v>0</v>
      </c>
      <c r="O2041" s="200">
        <f t="shared" si="10308"/>
        <v>0</v>
      </c>
      <c r="P2041" s="200">
        <f t="shared" si="9"/>
        <v>0</v>
      </c>
      <c r="Q2041" s="200">
        <f t="shared" ref="Q2041:AC2041" si="10309">countif($D2041,"*"&amp;Q$2&amp;"*")</f>
        <v>0</v>
      </c>
      <c r="R2041" s="200">
        <f t="shared" si="10309"/>
        <v>0</v>
      </c>
      <c r="S2041" s="200">
        <f t="shared" si="10309"/>
        <v>0</v>
      </c>
      <c r="T2041" s="200">
        <f t="shared" si="10309"/>
        <v>0</v>
      </c>
      <c r="U2041" s="200">
        <f t="shared" si="10309"/>
        <v>0</v>
      </c>
      <c r="V2041" s="200">
        <f t="shared" si="10309"/>
        <v>0</v>
      </c>
      <c r="W2041" s="200">
        <f t="shared" si="10309"/>
        <v>0</v>
      </c>
      <c r="X2041" s="200">
        <f t="shared" si="10309"/>
        <v>0</v>
      </c>
      <c r="Y2041" s="200">
        <f t="shared" si="10309"/>
        <v>0</v>
      </c>
      <c r="Z2041" s="200">
        <f t="shared" si="10309"/>
        <v>0</v>
      </c>
      <c r="AA2041" s="200">
        <f t="shared" si="10309"/>
        <v>0</v>
      </c>
      <c r="AB2041" s="200">
        <f t="shared" si="10309"/>
        <v>0</v>
      </c>
      <c r="AC2041" s="200">
        <f t="shared" si="10309"/>
        <v>0</v>
      </c>
      <c r="AD2041" s="200">
        <f t="shared" si="11"/>
        <v>1</v>
      </c>
      <c r="AE2041" s="200">
        <f t="shared" ref="AE2041:AG2041" si="10310">countif($D2041,"*"&amp;AE$2&amp;"*")</f>
        <v>0</v>
      </c>
      <c r="AF2041" s="200">
        <f t="shared" si="10310"/>
        <v>0</v>
      </c>
      <c r="AG2041" s="200">
        <f t="shared" si="10310"/>
        <v>0</v>
      </c>
      <c r="AH2041" s="171">
        <f t="shared" si="13"/>
        <v>0</v>
      </c>
      <c r="AI2041" s="200">
        <f t="shared" si="14"/>
        <v>0</v>
      </c>
      <c r="AJ2041" s="200">
        <f t="shared" si="10305"/>
        <v>0</v>
      </c>
      <c r="AK2041" s="201">
        <f t="shared" ref="AK2041:AS2041" si="10311">countif($D2041,"*"&amp;AK$2&amp;"*")</f>
        <v>0</v>
      </c>
      <c r="AL2041" s="201">
        <f t="shared" si="10311"/>
        <v>0</v>
      </c>
      <c r="AM2041" s="201">
        <f t="shared" si="10311"/>
        <v>0</v>
      </c>
      <c r="AN2041" s="201">
        <f t="shared" si="10311"/>
        <v>0</v>
      </c>
      <c r="AO2041" s="201">
        <f t="shared" si="10311"/>
        <v>0</v>
      </c>
      <c r="AP2041" s="201">
        <f t="shared" si="10311"/>
        <v>0</v>
      </c>
      <c r="AQ2041" s="201">
        <f t="shared" si="10311"/>
        <v>0</v>
      </c>
      <c r="AR2041" s="200">
        <f t="shared" si="10311"/>
        <v>0</v>
      </c>
      <c r="AS2041" s="200">
        <f t="shared" si="10311"/>
        <v>0</v>
      </c>
      <c r="AT2041" s="173">
        <v>1.0</v>
      </c>
      <c r="AU2041" s="200">
        <f t="shared" ref="AU2041:AX2041" si="10312">countif($D2041,"*"&amp;AU$2&amp;"*")</f>
        <v>0</v>
      </c>
      <c r="AV2041" s="200">
        <f t="shared" si="10312"/>
        <v>0</v>
      </c>
      <c r="AW2041" s="200">
        <f t="shared" si="10312"/>
        <v>0</v>
      </c>
      <c r="AX2041" s="200">
        <f t="shared" si="10312"/>
        <v>0</v>
      </c>
      <c r="AY2041" s="202">
        <v>0.0</v>
      </c>
      <c r="AZ2041" s="200"/>
      <c r="BA2041" s="171" t="str">
        <f t="shared" si="18"/>
        <v/>
      </c>
      <c r="BB2041" s="171" t="str">
        <f t="shared" si="19"/>
        <v/>
      </c>
      <c r="BC2041" s="171" t="str">
        <f t="shared" si="20"/>
        <v/>
      </c>
      <c r="BD2041" s="171" t="str">
        <f t="shared" si="21"/>
        <v>Institutional</v>
      </c>
      <c r="BE2041" s="171" t="str">
        <f t="shared" si="22"/>
        <v/>
      </c>
      <c r="BF2041" s="171" t="str">
        <f t="shared" si="23"/>
        <v>Institutional</v>
      </c>
    </row>
    <row r="2042">
      <c r="A2042" s="171">
        <f t="array" ref="A2042">XLOOKUP(C2042,FSE!A:A,FSE!C:C,"XXXXX",0,1)</f>
        <v>2016</v>
      </c>
      <c r="B2042" s="213" t="s">
        <v>5676</v>
      </c>
      <c r="C2042" s="214">
        <v>671.0</v>
      </c>
      <c r="D2042" s="215" t="s">
        <v>6555</v>
      </c>
      <c r="E2042" s="197" t="str">
        <f t="array" ref="E2042">XLOOKUP(C2042,FSE!A:A,FSE!Z:Z,"XXXXX",0,1)</f>
        <v>Not Available (1)
Publicly Available (4)</v>
      </c>
      <c r="F2042" s="213" t="s">
        <v>3394</v>
      </c>
      <c r="G2042" s="163" t="str">
        <f t="array" ref="G2042">IF(B2042="ICSE",IF(COUNTIFS(B:B,B2042,C:C,C2042)=XLOOKUP(C2042,ICSE!A:A,ICSE!AA:AA,"ERROR",0,1),"OK","ERROR"),IF(B2042="FSE",IF(COUNTIFS(B:B,B2042,C:C,C2042)=XLOOKUP(C2042,FSE!A:A,FSE!AA:AA,"ERROR",0,1),"OK","ERROR")))</f>
        <v>OK</v>
      </c>
      <c r="H2042" s="199">
        <f t="shared" ref="H2042:O2042" si="10313">countif($D2042,"*"&amp;H$2&amp;"*")</f>
        <v>1</v>
      </c>
      <c r="I2042" s="200">
        <f t="shared" si="10313"/>
        <v>0</v>
      </c>
      <c r="J2042" s="200">
        <f t="shared" si="10313"/>
        <v>0</v>
      </c>
      <c r="K2042" s="200">
        <f t="shared" si="10313"/>
        <v>0</v>
      </c>
      <c r="L2042" s="200">
        <f t="shared" si="10313"/>
        <v>0</v>
      </c>
      <c r="M2042" s="200">
        <f t="shared" si="10313"/>
        <v>0</v>
      </c>
      <c r="N2042" s="200">
        <f t="shared" si="10313"/>
        <v>0</v>
      </c>
      <c r="O2042" s="200">
        <f t="shared" si="10313"/>
        <v>0</v>
      </c>
      <c r="P2042" s="200">
        <f t="shared" si="9"/>
        <v>0</v>
      </c>
      <c r="Q2042" s="200">
        <f t="shared" ref="Q2042:AC2042" si="10314">countif($D2042,"*"&amp;Q$2&amp;"*")</f>
        <v>0</v>
      </c>
      <c r="R2042" s="200">
        <f t="shared" si="10314"/>
        <v>0</v>
      </c>
      <c r="S2042" s="200">
        <f t="shared" si="10314"/>
        <v>0</v>
      </c>
      <c r="T2042" s="200">
        <f t="shared" si="10314"/>
        <v>0</v>
      </c>
      <c r="U2042" s="200">
        <f t="shared" si="10314"/>
        <v>0</v>
      </c>
      <c r="V2042" s="200">
        <f t="shared" si="10314"/>
        <v>0</v>
      </c>
      <c r="W2042" s="200">
        <f t="shared" si="10314"/>
        <v>0</v>
      </c>
      <c r="X2042" s="200">
        <f t="shared" si="10314"/>
        <v>0</v>
      </c>
      <c r="Y2042" s="200">
        <f t="shared" si="10314"/>
        <v>0</v>
      </c>
      <c r="Z2042" s="200">
        <f t="shared" si="10314"/>
        <v>0</v>
      </c>
      <c r="AA2042" s="200">
        <f t="shared" si="10314"/>
        <v>0</v>
      </c>
      <c r="AB2042" s="200">
        <f t="shared" si="10314"/>
        <v>0</v>
      </c>
      <c r="AC2042" s="200">
        <f t="shared" si="10314"/>
        <v>0</v>
      </c>
      <c r="AD2042" s="200">
        <f t="shared" si="11"/>
        <v>0</v>
      </c>
      <c r="AE2042" s="200">
        <f t="shared" ref="AE2042:AG2042" si="10315">countif($D2042,"*"&amp;AE$2&amp;"*")</f>
        <v>0</v>
      </c>
      <c r="AF2042" s="200">
        <f t="shared" si="10315"/>
        <v>0</v>
      </c>
      <c r="AG2042" s="200">
        <f t="shared" si="10315"/>
        <v>0</v>
      </c>
      <c r="AH2042" s="171">
        <f t="shared" si="13"/>
        <v>0</v>
      </c>
      <c r="AI2042" s="200">
        <f t="shared" si="14"/>
        <v>1</v>
      </c>
      <c r="AJ2042" s="200">
        <f t="shared" si="10305"/>
        <v>0</v>
      </c>
      <c r="AK2042" s="201">
        <f t="shared" ref="AK2042:AS2042" si="10316">countif($D2042,"*"&amp;AK$2&amp;"*")</f>
        <v>0</v>
      </c>
      <c r="AL2042" s="201">
        <f t="shared" si="10316"/>
        <v>0</v>
      </c>
      <c r="AM2042" s="201">
        <f t="shared" si="10316"/>
        <v>0</v>
      </c>
      <c r="AN2042" s="201">
        <f t="shared" si="10316"/>
        <v>0</v>
      </c>
      <c r="AO2042" s="201">
        <f t="shared" si="10316"/>
        <v>0</v>
      </c>
      <c r="AP2042" s="201">
        <f t="shared" si="10316"/>
        <v>0</v>
      </c>
      <c r="AQ2042" s="201">
        <f t="shared" si="10316"/>
        <v>0</v>
      </c>
      <c r="AR2042" s="200">
        <f t="shared" si="10316"/>
        <v>0</v>
      </c>
      <c r="AS2042" s="200">
        <f t="shared" si="10316"/>
        <v>0</v>
      </c>
      <c r="AT2042" s="173">
        <v>0.0</v>
      </c>
      <c r="AU2042" s="200">
        <f t="shared" ref="AU2042:AX2042" si="10317">countif($D2042,"*"&amp;AU$2&amp;"*")</f>
        <v>0</v>
      </c>
      <c r="AV2042" s="200">
        <f t="shared" si="10317"/>
        <v>0</v>
      </c>
      <c r="AW2042" s="200">
        <f t="shared" si="10317"/>
        <v>0</v>
      </c>
      <c r="AX2042" s="200">
        <f t="shared" si="10317"/>
        <v>1</v>
      </c>
      <c r="AY2042" s="202">
        <v>0.0</v>
      </c>
      <c r="AZ2042" s="200"/>
      <c r="BA2042" s="171" t="str">
        <f t="shared" si="18"/>
        <v>Archival</v>
      </c>
      <c r="BB2042" s="171" t="str">
        <f t="shared" si="19"/>
        <v/>
      </c>
      <c r="BC2042" s="171" t="str">
        <f t="shared" si="20"/>
        <v/>
      </c>
      <c r="BD2042" s="171" t="str">
        <f t="shared" si="21"/>
        <v/>
      </c>
      <c r="BE2042" s="171" t="str">
        <f t="shared" si="22"/>
        <v/>
      </c>
      <c r="BF2042" s="171" t="str">
        <f t="shared" si="23"/>
        <v>Archival</v>
      </c>
    </row>
    <row r="2043">
      <c r="A2043" s="171">
        <f t="array" ref="A2043">XLOOKUP(C2043,FSE!A:A,FSE!C:C,"XXXXX",0,1)</f>
        <v>2016</v>
      </c>
      <c r="B2043" s="213" t="s">
        <v>5676</v>
      </c>
      <c r="C2043" s="214">
        <v>671.0</v>
      </c>
      <c r="D2043" s="215" t="s">
        <v>6556</v>
      </c>
      <c r="E2043" s="197" t="str">
        <f t="array" ref="E2043">XLOOKUP(C2043,FSE!A:A,FSE!Z:Z,"XXXXX",0,1)</f>
        <v>Not Available (1)
Publicly Available (4)</v>
      </c>
      <c r="F2043" s="213" t="s">
        <v>3394</v>
      </c>
      <c r="G2043" s="163" t="str">
        <f t="array" ref="G2043">IF(B2043="ICSE",IF(COUNTIFS(B:B,B2043,C:C,C2043)=XLOOKUP(C2043,ICSE!A:A,ICSE!AA:AA,"ERROR",0,1),"OK","ERROR"),IF(B2043="FSE",IF(COUNTIFS(B:B,B2043,C:C,C2043)=XLOOKUP(C2043,FSE!A:A,FSE!AA:AA,"ERROR",0,1),"OK","ERROR")))</f>
        <v>OK</v>
      </c>
      <c r="H2043" s="199">
        <f t="shared" ref="H2043:O2043" si="10318">countif($D2043,"*"&amp;H$2&amp;"*")</f>
        <v>0</v>
      </c>
      <c r="I2043" s="200">
        <f t="shared" si="10318"/>
        <v>0</v>
      </c>
      <c r="J2043" s="200">
        <f t="shared" si="10318"/>
        <v>0</v>
      </c>
      <c r="K2043" s="200">
        <f t="shared" si="10318"/>
        <v>0</v>
      </c>
      <c r="L2043" s="200">
        <f t="shared" si="10318"/>
        <v>0</v>
      </c>
      <c r="M2043" s="200">
        <f t="shared" si="10318"/>
        <v>0</v>
      </c>
      <c r="N2043" s="200">
        <f t="shared" si="10318"/>
        <v>0</v>
      </c>
      <c r="O2043" s="200">
        <f t="shared" si="10318"/>
        <v>0</v>
      </c>
      <c r="P2043" s="200">
        <f t="shared" si="9"/>
        <v>0</v>
      </c>
      <c r="Q2043" s="200">
        <f t="shared" ref="Q2043:AC2043" si="10319">countif($D2043,"*"&amp;Q$2&amp;"*")</f>
        <v>0</v>
      </c>
      <c r="R2043" s="200">
        <f t="shared" si="10319"/>
        <v>0</v>
      </c>
      <c r="S2043" s="200">
        <f t="shared" si="10319"/>
        <v>0</v>
      </c>
      <c r="T2043" s="200">
        <f t="shared" si="10319"/>
        <v>0</v>
      </c>
      <c r="U2043" s="200">
        <f t="shared" si="10319"/>
        <v>0</v>
      </c>
      <c r="V2043" s="200">
        <f t="shared" si="10319"/>
        <v>0</v>
      </c>
      <c r="W2043" s="200">
        <f t="shared" si="10319"/>
        <v>0</v>
      </c>
      <c r="X2043" s="200">
        <f t="shared" si="10319"/>
        <v>0</v>
      </c>
      <c r="Y2043" s="200">
        <f t="shared" si="10319"/>
        <v>0</v>
      </c>
      <c r="Z2043" s="200">
        <f t="shared" si="10319"/>
        <v>0</v>
      </c>
      <c r="AA2043" s="200">
        <f t="shared" si="10319"/>
        <v>0</v>
      </c>
      <c r="AB2043" s="200">
        <f t="shared" si="10319"/>
        <v>0</v>
      </c>
      <c r="AC2043" s="200">
        <f t="shared" si="10319"/>
        <v>0</v>
      </c>
      <c r="AD2043" s="200">
        <f t="shared" si="11"/>
        <v>1</v>
      </c>
      <c r="AE2043" s="200">
        <f t="shared" ref="AE2043:AG2043" si="10320">countif($D2043,"*"&amp;AE$2&amp;"*")</f>
        <v>0</v>
      </c>
      <c r="AF2043" s="200">
        <f t="shared" si="10320"/>
        <v>0</v>
      </c>
      <c r="AG2043" s="200">
        <f t="shared" si="10320"/>
        <v>0</v>
      </c>
      <c r="AH2043" s="171">
        <f t="shared" si="13"/>
        <v>0</v>
      </c>
      <c r="AI2043" s="200">
        <f t="shared" si="14"/>
        <v>0</v>
      </c>
      <c r="AJ2043" s="200">
        <f t="shared" si="10305"/>
        <v>0</v>
      </c>
      <c r="AK2043" s="201">
        <f t="shared" ref="AK2043:AS2043" si="10321">countif($D2043,"*"&amp;AK$2&amp;"*")</f>
        <v>0</v>
      </c>
      <c r="AL2043" s="201">
        <f t="shared" si="10321"/>
        <v>0</v>
      </c>
      <c r="AM2043" s="201">
        <f t="shared" si="10321"/>
        <v>0</v>
      </c>
      <c r="AN2043" s="201">
        <f t="shared" si="10321"/>
        <v>0</v>
      </c>
      <c r="AO2043" s="201">
        <f t="shared" si="10321"/>
        <v>0</v>
      </c>
      <c r="AP2043" s="201">
        <f t="shared" si="10321"/>
        <v>0</v>
      </c>
      <c r="AQ2043" s="201">
        <f t="shared" si="10321"/>
        <v>0</v>
      </c>
      <c r="AR2043" s="200">
        <f t="shared" si="10321"/>
        <v>0</v>
      </c>
      <c r="AS2043" s="200">
        <f t="shared" si="10321"/>
        <v>0</v>
      </c>
      <c r="AT2043" s="173">
        <v>1.0</v>
      </c>
      <c r="AU2043" s="200">
        <f t="shared" ref="AU2043:AX2043" si="10322">countif($D2043,"*"&amp;AU$2&amp;"*")</f>
        <v>0</v>
      </c>
      <c r="AV2043" s="200">
        <f t="shared" si="10322"/>
        <v>0</v>
      </c>
      <c r="AW2043" s="200">
        <f t="shared" si="10322"/>
        <v>0</v>
      </c>
      <c r="AX2043" s="200">
        <f t="shared" si="10322"/>
        <v>0</v>
      </c>
      <c r="AY2043" s="202">
        <v>0.0</v>
      </c>
      <c r="AZ2043" s="200"/>
      <c r="BA2043" s="171" t="str">
        <f t="shared" si="18"/>
        <v/>
      </c>
      <c r="BB2043" s="171" t="str">
        <f t="shared" si="19"/>
        <v/>
      </c>
      <c r="BC2043" s="171" t="str">
        <f t="shared" si="20"/>
        <v/>
      </c>
      <c r="BD2043" s="171" t="str">
        <f t="shared" si="21"/>
        <v>Institutional</v>
      </c>
      <c r="BE2043" s="171" t="str">
        <f t="shared" si="22"/>
        <v/>
      </c>
      <c r="BF2043" s="171" t="str">
        <f t="shared" si="23"/>
        <v>Institutional</v>
      </c>
    </row>
    <row r="2044">
      <c r="A2044" s="171">
        <f t="array" ref="A2044">XLOOKUP(C2044,FSE!A:A,FSE!C:C,"XXXXX",0,1)</f>
        <v>2016</v>
      </c>
      <c r="B2044" s="213" t="s">
        <v>5676</v>
      </c>
      <c r="C2044" s="214">
        <v>671.0</v>
      </c>
      <c r="D2044" s="215" t="s">
        <v>6557</v>
      </c>
      <c r="E2044" s="197" t="str">
        <f t="array" ref="E2044">XLOOKUP(C2044,FSE!A:A,FSE!Z:Z,"XXXXX",0,1)</f>
        <v>Not Available (1)
Publicly Available (4)</v>
      </c>
      <c r="F2044" s="213" t="s">
        <v>3394</v>
      </c>
      <c r="G2044" s="163" t="str">
        <f t="array" ref="G2044">IF(B2044="ICSE",IF(COUNTIFS(B:B,B2044,C:C,C2044)=XLOOKUP(C2044,ICSE!A:A,ICSE!AA:AA,"ERROR",0,1),"OK","ERROR"),IF(B2044="FSE",IF(COUNTIFS(B:B,B2044,C:C,C2044)=XLOOKUP(C2044,FSE!A:A,FSE!AA:AA,"ERROR",0,1),"OK","ERROR")))</f>
        <v>OK</v>
      </c>
      <c r="H2044" s="199">
        <f t="shared" ref="H2044:O2044" si="10323">countif($D2044,"*"&amp;H$2&amp;"*")</f>
        <v>0</v>
      </c>
      <c r="I2044" s="200">
        <f t="shared" si="10323"/>
        <v>0</v>
      </c>
      <c r="J2044" s="200">
        <f t="shared" si="10323"/>
        <v>0</v>
      </c>
      <c r="K2044" s="200">
        <f t="shared" si="10323"/>
        <v>0</v>
      </c>
      <c r="L2044" s="200">
        <f t="shared" si="10323"/>
        <v>0</v>
      </c>
      <c r="M2044" s="200">
        <f t="shared" si="10323"/>
        <v>0</v>
      </c>
      <c r="N2044" s="200">
        <f t="shared" si="10323"/>
        <v>0</v>
      </c>
      <c r="O2044" s="200">
        <f t="shared" si="10323"/>
        <v>0</v>
      </c>
      <c r="P2044" s="200">
        <f t="shared" si="9"/>
        <v>0</v>
      </c>
      <c r="Q2044" s="200">
        <f t="shared" ref="Q2044:AC2044" si="10324">countif($D2044,"*"&amp;Q$2&amp;"*")</f>
        <v>0</v>
      </c>
      <c r="R2044" s="200">
        <f t="shared" si="10324"/>
        <v>0</v>
      </c>
      <c r="S2044" s="200">
        <f t="shared" si="10324"/>
        <v>0</v>
      </c>
      <c r="T2044" s="200">
        <f t="shared" si="10324"/>
        <v>0</v>
      </c>
      <c r="U2044" s="200">
        <f t="shared" si="10324"/>
        <v>0</v>
      </c>
      <c r="V2044" s="200">
        <f t="shared" si="10324"/>
        <v>0</v>
      </c>
      <c r="W2044" s="200">
        <f t="shared" si="10324"/>
        <v>0</v>
      </c>
      <c r="X2044" s="200">
        <f t="shared" si="10324"/>
        <v>0</v>
      </c>
      <c r="Y2044" s="200">
        <f t="shared" si="10324"/>
        <v>0</v>
      </c>
      <c r="Z2044" s="200">
        <f t="shared" si="10324"/>
        <v>0</v>
      </c>
      <c r="AA2044" s="200">
        <f t="shared" si="10324"/>
        <v>0</v>
      </c>
      <c r="AB2044" s="200">
        <f t="shared" si="10324"/>
        <v>0</v>
      </c>
      <c r="AC2044" s="200">
        <f t="shared" si="10324"/>
        <v>0</v>
      </c>
      <c r="AD2044" s="200">
        <f t="shared" si="11"/>
        <v>1</v>
      </c>
      <c r="AE2044" s="200">
        <f t="shared" ref="AE2044:AG2044" si="10325">countif($D2044,"*"&amp;AE$2&amp;"*")</f>
        <v>0</v>
      </c>
      <c r="AF2044" s="200">
        <f t="shared" si="10325"/>
        <v>0</v>
      </c>
      <c r="AG2044" s="200">
        <f t="shared" si="10325"/>
        <v>0</v>
      </c>
      <c r="AH2044" s="171">
        <f t="shared" si="13"/>
        <v>0</v>
      </c>
      <c r="AI2044" s="200">
        <f t="shared" si="14"/>
        <v>0</v>
      </c>
      <c r="AJ2044" s="200">
        <f t="shared" si="10305"/>
        <v>0</v>
      </c>
      <c r="AK2044" s="201">
        <f t="shared" ref="AK2044:AS2044" si="10326">countif($D2044,"*"&amp;AK$2&amp;"*")</f>
        <v>0</v>
      </c>
      <c r="AL2044" s="201">
        <f t="shared" si="10326"/>
        <v>0</v>
      </c>
      <c r="AM2044" s="201">
        <f t="shared" si="10326"/>
        <v>0</v>
      </c>
      <c r="AN2044" s="201">
        <f t="shared" si="10326"/>
        <v>0</v>
      </c>
      <c r="AO2044" s="201">
        <f t="shared" si="10326"/>
        <v>0</v>
      </c>
      <c r="AP2044" s="201">
        <f t="shared" si="10326"/>
        <v>0</v>
      </c>
      <c r="AQ2044" s="201">
        <f t="shared" si="10326"/>
        <v>0</v>
      </c>
      <c r="AR2044" s="200">
        <f t="shared" si="10326"/>
        <v>0</v>
      </c>
      <c r="AS2044" s="200">
        <f t="shared" si="10326"/>
        <v>0</v>
      </c>
      <c r="AT2044" s="173">
        <v>1.0</v>
      </c>
      <c r="AU2044" s="200">
        <f t="shared" ref="AU2044:AX2044" si="10327">countif($D2044,"*"&amp;AU$2&amp;"*")</f>
        <v>0</v>
      </c>
      <c r="AV2044" s="200">
        <f t="shared" si="10327"/>
        <v>0</v>
      </c>
      <c r="AW2044" s="200">
        <f t="shared" si="10327"/>
        <v>0</v>
      </c>
      <c r="AX2044" s="200">
        <f t="shared" si="10327"/>
        <v>0</v>
      </c>
      <c r="AY2044" s="202">
        <v>0.0</v>
      </c>
      <c r="AZ2044" s="200"/>
      <c r="BA2044" s="171" t="str">
        <f t="shared" si="18"/>
        <v/>
      </c>
      <c r="BB2044" s="171" t="str">
        <f t="shared" si="19"/>
        <v/>
      </c>
      <c r="BC2044" s="171" t="str">
        <f t="shared" si="20"/>
        <v/>
      </c>
      <c r="BD2044" s="171" t="str">
        <f t="shared" si="21"/>
        <v>Institutional</v>
      </c>
      <c r="BE2044" s="171" t="str">
        <f t="shared" si="22"/>
        <v/>
      </c>
      <c r="BF2044" s="171" t="str">
        <f t="shared" si="23"/>
        <v>Institutional</v>
      </c>
    </row>
    <row r="2045">
      <c r="A2045" s="171">
        <f t="array" ref="A2045">XLOOKUP(C2045,FSE!A:A,FSE!C:C,"XXXXX",0,1)</f>
        <v>2016</v>
      </c>
      <c r="B2045" s="213" t="s">
        <v>5676</v>
      </c>
      <c r="C2045" s="214">
        <v>671.0</v>
      </c>
      <c r="D2045" s="215" t="s">
        <v>6558</v>
      </c>
      <c r="E2045" s="197" t="str">
        <f t="array" ref="E2045">XLOOKUP(C2045,FSE!A:A,FSE!Z:Z,"XXXXX",0,1)</f>
        <v>Not Available (1)
Publicly Available (4)</v>
      </c>
      <c r="F2045" s="213" t="s">
        <v>3394</v>
      </c>
      <c r="G2045" s="163" t="str">
        <f t="array" ref="G2045">IF(B2045="ICSE",IF(COUNTIFS(B:B,B2045,C:C,C2045)=XLOOKUP(C2045,ICSE!A:A,ICSE!AA:AA,"ERROR",0,1),"OK","ERROR"),IF(B2045="FSE",IF(COUNTIFS(B:B,B2045,C:C,C2045)=XLOOKUP(C2045,FSE!A:A,FSE!AA:AA,"ERROR",0,1),"OK","ERROR")))</f>
        <v>OK</v>
      </c>
      <c r="H2045" s="199">
        <f t="shared" ref="H2045:O2045" si="10328">countif($D2045,"*"&amp;H$2&amp;"*")</f>
        <v>0</v>
      </c>
      <c r="I2045" s="200">
        <f t="shared" si="10328"/>
        <v>0</v>
      </c>
      <c r="J2045" s="200">
        <f t="shared" si="10328"/>
        <v>0</v>
      </c>
      <c r="K2045" s="200">
        <f t="shared" si="10328"/>
        <v>0</v>
      </c>
      <c r="L2045" s="200">
        <f t="shared" si="10328"/>
        <v>0</v>
      </c>
      <c r="M2045" s="200">
        <f t="shared" si="10328"/>
        <v>0</v>
      </c>
      <c r="N2045" s="200">
        <f t="shared" si="10328"/>
        <v>0</v>
      </c>
      <c r="O2045" s="200">
        <f t="shared" si="10328"/>
        <v>0</v>
      </c>
      <c r="P2045" s="200">
        <f t="shared" si="9"/>
        <v>0</v>
      </c>
      <c r="Q2045" s="200">
        <f t="shared" ref="Q2045:AC2045" si="10329">countif($D2045,"*"&amp;Q$2&amp;"*")</f>
        <v>0</v>
      </c>
      <c r="R2045" s="200">
        <f t="shared" si="10329"/>
        <v>0</v>
      </c>
      <c r="S2045" s="200">
        <f t="shared" si="10329"/>
        <v>0</v>
      </c>
      <c r="T2045" s="200">
        <f t="shared" si="10329"/>
        <v>0</v>
      </c>
      <c r="U2045" s="200">
        <f t="shared" si="10329"/>
        <v>0</v>
      </c>
      <c r="V2045" s="200">
        <f t="shared" si="10329"/>
        <v>0</v>
      </c>
      <c r="W2045" s="200">
        <f t="shared" si="10329"/>
        <v>0</v>
      </c>
      <c r="X2045" s="200">
        <f t="shared" si="10329"/>
        <v>0</v>
      </c>
      <c r="Y2045" s="200">
        <f t="shared" si="10329"/>
        <v>0</v>
      </c>
      <c r="Z2045" s="200">
        <f t="shared" si="10329"/>
        <v>0</v>
      </c>
      <c r="AA2045" s="200">
        <f t="shared" si="10329"/>
        <v>0</v>
      </c>
      <c r="AB2045" s="200">
        <f t="shared" si="10329"/>
        <v>0</v>
      </c>
      <c r="AC2045" s="200">
        <f t="shared" si="10329"/>
        <v>0</v>
      </c>
      <c r="AD2045" s="200">
        <f t="shared" si="11"/>
        <v>1</v>
      </c>
      <c r="AE2045" s="200">
        <f t="shared" ref="AE2045:AG2045" si="10330">countif($D2045,"*"&amp;AE$2&amp;"*")</f>
        <v>0</v>
      </c>
      <c r="AF2045" s="200">
        <f t="shared" si="10330"/>
        <v>0</v>
      </c>
      <c r="AG2045" s="200">
        <f t="shared" si="10330"/>
        <v>0</v>
      </c>
      <c r="AH2045" s="171">
        <f t="shared" si="13"/>
        <v>0</v>
      </c>
      <c r="AI2045" s="200">
        <f t="shared" si="14"/>
        <v>0</v>
      </c>
      <c r="AJ2045" s="200">
        <f t="shared" si="10305"/>
        <v>0</v>
      </c>
      <c r="AK2045" s="201">
        <f t="shared" ref="AK2045:AS2045" si="10331">countif($D2045,"*"&amp;AK$2&amp;"*")</f>
        <v>0</v>
      </c>
      <c r="AL2045" s="201">
        <f t="shared" si="10331"/>
        <v>0</v>
      </c>
      <c r="AM2045" s="201">
        <f t="shared" si="10331"/>
        <v>0</v>
      </c>
      <c r="AN2045" s="201">
        <f t="shared" si="10331"/>
        <v>0</v>
      </c>
      <c r="AO2045" s="201">
        <f t="shared" si="10331"/>
        <v>0</v>
      </c>
      <c r="AP2045" s="201">
        <f t="shared" si="10331"/>
        <v>0</v>
      </c>
      <c r="AQ2045" s="201">
        <f t="shared" si="10331"/>
        <v>0</v>
      </c>
      <c r="AR2045" s="200">
        <f t="shared" si="10331"/>
        <v>0</v>
      </c>
      <c r="AS2045" s="200">
        <f t="shared" si="10331"/>
        <v>0</v>
      </c>
      <c r="AT2045" s="173">
        <v>1.0</v>
      </c>
      <c r="AU2045" s="200">
        <f t="shared" ref="AU2045:AX2045" si="10332">countif($D2045,"*"&amp;AU$2&amp;"*")</f>
        <v>0</v>
      </c>
      <c r="AV2045" s="200">
        <f t="shared" si="10332"/>
        <v>0</v>
      </c>
      <c r="AW2045" s="200">
        <f t="shared" si="10332"/>
        <v>0</v>
      </c>
      <c r="AX2045" s="200">
        <f t="shared" si="10332"/>
        <v>0</v>
      </c>
      <c r="AY2045" s="202">
        <v>0.0</v>
      </c>
      <c r="AZ2045" s="200"/>
      <c r="BA2045" s="171" t="str">
        <f t="shared" si="18"/>
        <v/>
      </c>
      <c r="BB2045" s="171" t="str">
        <f t="shared" si="19"/>
        <v/>
      </c>
      <c r="BC2045" s="171" t="str">
        <f t="shared" si="20"/>
        <v/>
      </c>
      <c r="BD2045" s="171" t="str">
        <f t="shared" si="21"/>
        <v>Institutional</v>
      </c>
      <c r="BE2045" s="171" t="str">
        <f t="shared" si="22"/>
        <v/>
      </c>
      <c r="BF2045" s="171" t="str">
        <f t="shared" si="23"/>
        <v>Institutional</v>
      </c>
    </row>
    <row r="2046">
      <c r="A2046" s="171">
        <f t="array" ref="A2046">XLOOKUP(C2046,FSE!A:A,FSE!C:C,"XXXXX",0,1)</f>
        <v>2016</v>
      </c>
      <c r="B2046" s="171" t="s">
        <v>5676</v>
      </c>
      <c r="C2046" s="160">
        <v>673.0</v>
      </c>
      <c r="D2046" s="161" t="s">
        <v>3837</v>
      </c>
      <c r="E2046" s="197" t="str">
        <f t="array" ref="E2046">XLOOKUP(C2046,FSE!A:A,FSE!Z:Z,"XXXXX",0,1)</f>
        <v>Publicly Available (1)</v>
      </c>
      <c r="F2046" s="213" t="s">
        <v>3394</v>
      </c>
      <c r="G2046" s="163" t="str">
        <f t="array" ref="G2046">IF(B2046="ICSE",IF(COUNTIFS(B:B,B2046,C:C,C2046)=XLOOKUP(C2046,ICSE!A:A,ICSE!AA:AA,"ERROR",0,1),"OK","ERROR"),IF(B2046="FSE",IF(COUNTIFS(B:B,B2046,C:C,C2046)=XLOOKUP(C2046,FSE!A:A,FSE!AA:AA,"ERROR",0,1),"OK","ERROR")))</f>
        <v>OK</v>
      </c>
      <c r="H2046" s="199">
        <f t="shared" ref="H2046:O2046" si="10333">countif($D2046,"*"&amp;H$2&amp;"*")</f>
        <v>0</v>
      </c>
      <c r="I2046" s="200">
        <f t="shared" si="10333"/>
        <v>0</v>
      </c>
      <c r="J2046" s="200">
        <f t="shared" si="10333"/>
        <v>0</v>
      </c>
      <c r="K2046" s="200">
        <f t="shared" si="10333"/>
        <v>0</v>
      </c>
      <c r="L2046" s="200">
        <f t="shared" si="10333"/>
        <v>0</v>
      </c>
      <c r="M2046" s="200">
        <f t="shared" si="10333"/>
        <v>0</v>
      </c>
      <c r="N2046" s="200">
        <f t="shared" si="10333"/>
        <v>0</v>
      </c>
      <c r="O2046" s="200">
        <f t="shared" si="10333"/>
        <v>0</v>
      </c>
      <c r="P2046" s="200">
        <f t="shared" si="9"/>
        <v>1</v>
      </c>
      <c r="Q2046" s="200">
        <f t="shared" ref="Q2046:AC2046" si="10334">countif($D2046,"*"&amp;Q$2&amp;"*")</f>
        <v>0</v>
      </c>
      <c r="R2046" s="200">
        <f t="shared" si="10334"/>
        <v>0</v>
      </c>
      <c r="S2046" s="200">
        <f t="shared" si="10334"/>
        <v>0</v>
      </c>
      <c r="T2046" s="200">
        <f t="shared" si="10334"/>
        <v>0</v>
      </c>
      <c r="U2046" s="200">
        <f t="shared" si="10334"/>
        <v>0</v>
      </c>
      <c r="V2046" s="200">
        <f t="shared" si="10334"/>
        <v>0</v>
      </c>
      <c r="W2046" s="200">
        <f t="shared" si="10334"/>
        <v>0</v>
      </c>
      <c r="X2046" s="200">
        <f t="shared" si="10334"/>
        <v>0</v>
      </c>
      <c r="Y2046" s="200">
        <f t="shared" si="10334"/>
        <v>0</v>
      </c>
      <c r="Z2046" s="200">
        <f t="shared" si="10334"/>
        <v>0</v>
      </c>
      <c r="AA2046" s="200">
        <f t="shared" si="10334"/>
        <v>0</v>
      </c>
      <c r="AB2046" s="200">
        <f t="shared" si="10334"/>
        <v>0</v>
      </c>
      <c r="AC2046" s="200">
        <f t="shared" si="10334"/>
        <v>0</v>
      </c>
      <c r="AD2046" s="200">
        <f t="shared" si="11"/>
        <v>0</v>
      </c>
      <c r="AE2046" s="200">
        <f t="shared" ref="AE2046:AG2046" si="10335">countif($D2046,"*"&amp;AE$2&amp;"*")</f>
        <v>0</v>
      </c>
      <c r="AF2046" s="200">
        <f t="shared" si="10335"/>
        <v>0</v>
      </c>
      <c r="AG2046" s="200">
        <f t="shared" si="10335"/>
        <v>0</v>
      </c>
      <c r="AH2046" s="171">
        <f t="shared" si="13"/>
        <v>0</v>
      </c>
      <c r="AI2046" s="200">
        <f t="shared" si="14"/>
        <v>0</v>
      </c>
      <c r="AJ2046" s="200">
        <f t="shared" si="10305"/>
        <v>0</v>
      </c>
      <c r="AK2046" s="201">
        <f t="shared" ref="AK2046:AS2046" si="10336">countif($D2046,"*"&amp;AK$2&amp;"*")</f>
        <v>0</v>
      </c>
      <c r="AL2046" s="201">
        <f t="shared" si="10336"/>
        <v>0</v>
      </c>
      <c r="AM2046" s="201">
        <f t="shared" si="10336"/>
        <v>0</v>
      </c>
      <c r="AN2046" s="201">
        <f t="shared" si="10336"/>
        <v>0</v>
      </c>
      <c r="AO2046" s="201">
        <f t="shared" si="10336"/>
        <v>0</v>
      </c>
      <c r="AP2046" s="201">
        <f t="shared" si="10336"/>
        <v>0</v>
      </c>
      <c r="AQ2046" s="201">
        <f t="shared" si="10336"/>
        <v>0</v>
      </c>
      <c r="AR2046" s="200">
        <f t="shared" si="10336"/>
        <v>0</v>
      </c>
      <c r="AS2046" s="200">
        <f t="shared" si="10336"/>
        <v>0</v>
      </c>
      <c r="AT2046" s="173">
        <v>0.0</v>
      </c>
      <c r="AU2046" s="200">
        <f t="shared" ref="AU2046:AX2046" si="10337">countif($D2046,"*"&amp;AU$2&amp;"*")</f>
        <v>0</v>
      </c>
      <c r="AV2046" s="200">
        <f t="shared" si="10337"/>
        <v>1</v>
      </c>
      <c r="AW2046" s="200">
        <f t="shared" si="10337"/>
        <v>0</v>
      </c>
      <c r="AX2046" s="200">
        <f t="shared" si="10337"/>
        <v>0</v>
      </c>
      <c r="AY2046" s="202">
        <v>0.0</v>
      </c>
      <c r="AZ2046" s="200"/>
      <c r="BA2046" s="171" t="str">
        <f t="shared" si="18"/>
        <v/>
      </c>
      <c r="BB2046" s="171" t="str">
        <f t="shared" si="19"/>
        <v>Code</v>
      </c>
      <c r="BC2046" s="171" t="str">
        <f t="shared" si="20"/>
        <v/>
      </c>
      <c r="BD2046" s="171" t="str">
        <f t="shared" si="21"/>
        <v/>
      </c>
      <c r="BE2046" s="171" t="str">
        <f t="shared" si="22"/>
        <v/>
      </c>
      <c r="BF2046" s="171" t="str">
        <f t="shared" si="23"/>
        <v>Code</v>
      </c>
    </row>
    <row r="2047">
      <c r="A2047" s="171">
        <f t="array" ref="A2047">XLOOKUP(C2047,FSE!A:A,FSE!C:C,"XXXXX",0,1)</f>
        <v>2016</v>
      </c>
      <c r="B2047" s="213" t="s">
        <v>5676</v>
      </c>
      <c r="C2047" s="219">
        <v>674.0</v>
      </c>
      <c r="D2047" s="217" t="s">
        <v>6559</v>
      </c>
      <c r="E2047" s="197" t="str">
        <f t="array" ref="E2047">XLOOKUP(C2047,FSE!A:A,FSE!Z:Z,"XXXXX",0,1)</f>
        <v>Not Available (3)
Publicly Available (2)</v>
      </c>
      <c r="F2047" s="218" t="s">
        <v>3394</v>
      </c>
      <c r="G2047" s="163" t="str">
        <f t="array" ref="G2047">IF(B2047="ICSE",IF(COUNTIFS(B:B,B2047,C:C,C2047)=XLOOKUP(C2047,ICSE!A:A,ICSE!AA:AA,"ERROR",0,1),"OK","ERROR"),IF(B2047="FSE",IF(COUNTIFS(B:B,B2047,C:C,C2047)=XLOOKUP(C2047,FSE!A:A,FSE!AA:AA,"ERROR",0,1),"OK","ERROR")))</f>
        <v>OK</v>
      </c>
      <c r="H2047" s="199">
        <f t="shared" ref="H2047:O2047" si="10338">countif($D2047,"*"&amp;H$2&amp;"*")</f>
        <v>0</v>
      </c>
      <c r="I2047" s="200">
        <f t="shared" si="10338"/>
        <v>0</v>
      </c>
      <c r="J2047" s="200">
        <f t="shared" si="10338"/>
        <v>0</v>
      </c>
      <c r="K2047" s="200">
        <f t="shared" si="10338"/>
        <v>0</v>
      </c>
      <c r="L2047" s="200">
        <f t="shared" si="10338"/>
        <v>0</v>
      </c>
      <c r="M2047" s="200">
        <f t="shared" si="10338"/>
        <v>0</v>
      </c>
      <c r="N2047" s="200">
        <f t="shared" si="10338"/>
        <v>0</v>
      </c>
      <c r="O2047" s="200">
        <f t="shared" si="10338"/>
        <v>0</v>
      </c>
      <c r="P2047" s="200">
        <f t="shared" si="9"/>
        <v>0</v>
      </c>
      <c r="Q2047" s="200">
        <f t="shared" ref="Q2047:AC2047" si="10339">countif($D2047,"*"&amp;Q$2&amp;"*")</f>
        <v>0</v>
      </c>
      <c r="R2047" s="200">
        <f t="shared" si="10339"/>
        <v>0</v>
      </c>
      <c r="S2047" s="200">
        <f t="shared" si="10339"/>
        <v>0</v>
      </c>
      <c r="T2047" s="200">
        <f t="shared" si="10339"/>
        <v>0</v>
      </c>
      <c r="U2047" s="200">
        <f t="shared" si="10339"/>
        <v>0</v>
      </c>
      <c r="V2047" s="200">
        <f t="shared" si="10339"/>
        <v>0</v>
      </c>
      <c r="W2047" s="200">
        <f t="shared" si="10339"/>
        <v>0</v>
      </c>
      <c r="X2047" s="200">
        <f t="shared" si="10339"/>
        <v>0</v>
      </c>
      <c r="Y2047" s="200">
        <f t="shared" si="10339"/>
        <v>0</v>
      </c>
      <c r="Z2047" s="200">
        <f t="shared" si="10339"/>
        <v>0</v>
      </c>
      <c r="AA2047" s="200">
        <f t="shared" si="10339"/>
        <v>0</v>
      </c>
      <c r="AB2047" s="200">
        <f t="shared" si="10339"/>
        <v>1</v>
      </c>
      <c r="AC2047" s="200">
        <f t="shared" si="10339"/>
        <v>0</v>
      </c>
      <c r="AD2047" s="200">
        <f t="shared" si="11"/>
        <v>0</v>
      </c>
      <c r="AE2047" s="200">
        <f t="shared" ref="AE2047:AG2047" si="10340">countif($D2047,"*"&amp;AE$2&amp;"*")</f>
        <v>0</v>
      </c>
      <c r="AF2047" s="200">
        <f t="shared" si="10340"/>
        <v>0</v>
      </c>
      <c r="AG2047" s="200">
        <f t="shared" si="10340"/>
        <v>0</v>
      </c>
      <c r="AH2047" s="171">
        <f t="shared" si="13"/>
        <v>0</v>
      </c>
      <c r="AI2047" s="200">
        <f t="shared" si="14"/>
        <v>0</v>
      </c>
      <c r="AJ2047" s="200">
        <f t="shared" si="10305"/>
        <v>0</v>
      </c>
      <c r="AK2047" s="201">
        <f t="shared" ref="AK2047:AS2047" si="10341">countif($D2047,"*"&amp;AK$2&amp;"*")</f>
        <v>0</v>
      </c>
      <c r="AL2047" s="201">
        <f t="shared" si="10341"/>
        <v>0</v>
      </c>
      <c r="AM2047" s="201">
        <f t="shared" si="10341"/>
        <v>0</v>
      </c>
      <c r="AN2047" s="201">
        <f t="shared" si="10341"/>
        <v>0</v>
      </c>
      <c r="AO2047" s="201">
        <f t="shared" si="10341"/>
        <v>0</v>
      </c>
      <c r="AP2047" s="201">
        <f t="shared" si="10341"/>
        <v>0</v>
      </c>
      <c r="AQ2047" s="201">
        <f t="shared" si="10341"/>
        <v>0</v>
      </c>
      <c r="AR2047" s="200">
        <f t="shared" si="10341"/>
        <v>0</v>
      </c>
      <c r="AS2047" s="200">
        <f t="shared" si="10341"/>
        <v>0</v>
      </c>
      <c r="AT2047" s="173">
        <v>0.0</v>
      </c>
      <c r="AU2047" s="200">
        <f t="shared" ref="AU2047:AX2047" si="10342">countif($D2047,"*"&amp;AU$2&amp;"*")</f>
        <v>0</v>
      </c>
      <c r="AV2047" s="200">
        <f t="shared" si="10342"/>
        <v>0</v>
      </c>
      <c r="AW2047" s="200">
        <f t="shared" si="10342"/>
        <v>0</v>
      </c>
      <c r="AX2047" s="200">
        <f t="shared" si="10342"/>
        <v>0</v>
      </c>
      <c r="AY2047" s="202">
        <v>0.0</v>
      </c>
      <c r="AZ2047" s="200"/>
      <c r="BA2047" s="171" t="str">
        <f t="shared" si="18"/>
        <v/>
      </c>
      <c r="BB2047" s="171" t="str">
        <f t="shared" si="19"/>
        <v/>
      </c>
      <c r="BC2047" s="171" t="str">
        <f t="shared" si="20"/>
        <v>General-purpose</v>
      </c>
      <c r="BD2047" s="171" t="str">
        <f t="shared" si="21"/>
        <v/>
      </c>
      <c r="BE2047" s="171" t="str">
        <f t="shared" si="22"/>
        <v/>
      </c>
      <c r="BF2047" s="171" t="str">
        <f t="shared" si="23"/>
        <v>General-purpose</v>
      </c>
    </row>
    <row r="2048">
      <c r="A2048" s="171">
        <f t="array" ref="A2048">XLOOKUP(C2048,FSE!A:A,FSE!C:C,"XXXXX",0,1)</f>
        <v>2016</v>
      </c>
      <c r="B2048" s="213" t="s">
        <v>5676</v>
      </c>
      <c r="C2048" s="219">
        <v>674.0</v>
      </c>
      <c r="D2048" s="217" t="s">
        <v>6560</v>
      </c>
      <c r="E2048" s="197" t="str">
        <f t="array" ref="E2048">XLOOKUP(C2048,FSE!A:A,FSE!Z:Z,"XXXXX",0,1)</f>
        <v>Not Available (3)
Publicly Available (2)</v>
      </c>
      <c r="F2048" s="218" t="s">
        <v>3394</v>
      </c>
      <c r="G2048" s="163" t="str">
        <f t="array" ref="G2048">IF(B2048="ICSE",IF(COUNTIFS(B:B,B2048,C:C,C2048)=XLOOKUP(C2048,ICSE!A:A,ICSE!AA:AA,"ERROR",0,1),"OK","ERROR"),IF(B2048="FSE",IF(COUNTIFS(B:B,B2048,C:C,C2048)=XLOOKUP(C2048,FSE!A:A,FSE!AA:AA,"ERROR",0,1),"OK","ERROR")))</f>
        <v>OK</v>
      </c>
      <c r="H2048" s="199">
        <f t="shared" ref="H2048:O2048" si="10343">countif($D2048,"*"&amp;H$2&amp;"*")</f>
        <v>0</v>
      </c>
      <c r="I2048" s="200">
        <f t="shared" si="10343"/>
        <v>0</v>
      </c>
      <c r="J2048" s="200">
        <f t="shared" si="10343"/>
        <v>0</v>
      </c>
      <c r="K2048" s="200">
        <f t="shared" si="10343"/>
        <v>0</v>
      </c>
      <c r="L2048" s="200">
        <f t="shared" si="10343"/>
        <v>0</v>
      </c>
      <c r="M2048" s="200">
        <f t="shared" si="10343"/>
        <v>0</v>
      </c>
      <c r="N2048" s="200">
        <f t="shared" si="10343"/>
        <v>0</v>
      </c>
      <c r="O2048" s="200">
        <f t="shared" si="10343"/>
        <v>0</v>
      </c>
      <c r="P2048" s="200">
        <f t="shared" si="9"/>
        <v>1</v>
      </c>
      <c r="Q2048" s="200">
        <f t="shared" ref="Q2048:AC2048" si="10344">countif($D2048,"*"&amp;Q$2&amp;"*")</f>
        <v>0</v>
      </c>
      <c r="R2048" s="200">
        <f t="shared" si="10344"/>
        <v>0</v>
      </c>
      <c r="S2048" s="200">
        <f t="shared" si="10344"/>
        <v>0</v>
      </c>
      <c r="T2048" s="200">
        <f t="shared" si="10344"/>
        <v>0</v>
      </c>
      <c r="U2048" s="200">
        <f t="shared" si="10344"/>
        <v>0</v>
      </c>
      <c r="V2048" s="200">
        <f t="shared" si="10344"/>
        <v>0</v>
      </c>
      <c r="W2048" s="200">
        <f t="shared" si="10344"/>
        <v>0</v>
      </c>
      <c r="X2048" s="200">
        <f t="shared" si="10344"/>
        <v>0</v>
      </c>
      <c r="Y2048" s="200">
        <f t="shared" si="10344"/>
        <v>0</v>
      </c>
      <c r="Z2048" s="200">
        <f t="shared" si="10344"/>
        <v>0</v>
      </c>
      <c r="AA2048" s="200">
        <f t="shared" si="10344"/>
        <v>0</v>
      </c>
      <c r="AB2048" s="200">
        <f t="shared" si="10344"/>
        <v>0</v>
      </c>
      <c r="AC2048" s="200">
        <f t="shared" si="10344"/>
        <v>0</v>
      </c>
      <c r="AD2048" s="200">
        <f t="shared" si="11"/>
        <v>0</v>
      </c>
      <c r="AE2048" s="200">
        <f t="shared" ref="AE2048:AG2048" si="10345">countif($D2048,"*"&amp;AE$2&amp;"*")</f>
        <v>0</v>
      </c>
      <c r="AF2048" s="200">
        <f t="shared" si="10345"/>
        <v>0</v>
      </c>
      <c r="AG2048" s="200">
        <f t="shared" si="10345"/>
        <v>0</v>
      </c>
      <c r="AH2048" s="171">
        <f t="shared" si="13"/>
        <v>0</v>
      </c>
      <c r="AI2048" s="200">
        <f t="shared" si="14"/>
        <v>0</v>
      </c>
      <c r="AJ2048" s="200">
        <f t="shared" si="10305"/>
        <v>0</v>
      </c>
      <c r="AK2048" s="201">
        <f t="shared" ref="AK2048:AS2048" si="10346">countif($D2048,"*"&amp;AK$2&amp;"*")</f>
        <v>0</v>
      </c>
      <c r="AL2048" s="201">
        <f t="shared" si="10346"/>
        <v>0</v>
      </c>
      <c r="AM2048" s="201">
        <f t="shared" si="10346"/>
        <v>0</v>
      </c>
      <c r="AN2048" s="201">
        <f t="shared" si="10346"/>
        <v>0</v>
      </c>
      <c r="AO2048" s="201">
        <f t="shared" si="10346"/>
        <v>0</v>
      </c>
      <c r="AP2048" s="201">
        <f t="shared" si="10346"/>
        <v>0</v>
      </c>
      <c r="AQ2048" s="201">
        <f t="shared" si="10346"/>
        <v>0</v>
      </c>
      <c r="AR2048" s="200">
        <f t="shared" si="10346"/>
        <v>0</v>
      </c>
      <c r="AS2048" s="200">
        <f t="shared" si="10346"/>
        <v>0</v>
      </c>
      <c r="AT2048" s="173">
        <v>0.0</v>
      </c>
      <c r="AU2048" s="200">
        <f t="shared" ref="AU2048:AX2048" si="10347">countif($D2048,"*"&amp;AU$2&amp;"*")</f>
        <v>0</v>
      </c>
      <c r="AV2048" s="200">
        <f t="shared" si="10347"/>
        <v>1</v>
      </c>
      <c r="AW2048" s="200">
        <f t="shared" si="10347"/>
        <v>0</v>
      </c>
      <c r="AX2048" s="200">
        <f t="shared" si="10347"/>
        <v>0</v>
      </c>
      <c r="AY2048" s="202">
        <v>0.0</v>
      </c>
      <c r="AZ2048" s="200"/>
      <c r="BA2048" s="171" t="str">
        <f t="shared" si="18"/>
        <v/>
      </c>
      <c r="BB2048" s="171" t="str">
        <f t="shared" si="19"/>
        <v>Code</v>
      </c>
      <c r="BC2048" s="171" t="str">
        <f t="shared" si="20"/>
        <v/>
      </c>
      <c r="BD2048" s="171" t="str">
        <f t="shared" si="21"/>
        <v/>
      </c>
      <c r="BE2048" s="171" t="str">
        <f t="shared" si="22"/>
        <v/>
      </c>
      <c r="BF2048" s="171" t="str">
        <f t="shared" si="23"/>
        <v>Code</v>
      </c>
    </row>
    <row r="2049">
      <c r="A2049" s="171">
        <f t="array" ref="A2049">XLOOKUP(C2049,FSE!A:A,FSE!C:C,"XXXXX",0,1)</f>
        <v>2016</v>
      </c>
      <c r="B2049" s="213" t="s">
        <v>5676</v>
      </c>
      <c r="C2049" s="214">
        <v>674.0</v>
      </c>
      <c r="D2049" s="215" t="s">
        <v>6561</v>
      </c>
      <c r="E2049" s="197" t="str">
        <f t="array" ref="E2049">XLOOKUP(C2049,FSE!A:A,FSE!Z:Z,"XXXXX",0,1)</f>
        <v>Not Available (3)
Publicly Available (2)</v>
      </c>
      <c r="F2049" s="213" t="s">
        <v>3395</v>
      </c>
      <c r="G2049" s="163" t="str">
        <f t="array" ref="G2049">IF(B2049="ICSE",IF(COUNTIFS(B:B,B2049,C:C,C2049)=XLOOKUP(C2049,ICSE!A:A,ICSE!AA:AA,"ERROR",0,1),"OK","ERROR"),IF(B2049="FSE",IF(COUNTIFS(B:B,B2049,C:C,C2049)=XLOOKUP(C2049,FSE!A:A,FSE!AA:AA,"ERROR",0,1),"OK","ERROR")))</f>
        <v>OK</v>
      </c>
      <c r="H2049" s="199">
        <f t="shared" ref="H2049:O2049" si="10348">countif($D2049,"*"&amp;H$2&amp;"*")</f>
        <v>0</v>
      </c>
      <c r="I2049" s="200">
        <f t="shared" si="10348"/>
        <v>0</v>
      </c>
      <c r="J2049" s="200">
        <f t="shared" si="10348"/>
        <v>0</v>
      </c>
      <c r="K2049" s="200">
        <f t="shared" si="10348"/>
        <v>0</v>
      </c>
      <c r="L2049" s="200">
        <f t="shared" si="10348"/>
        <v>0</v>
      </c>
      <c r="M2049" s="200">
        <f t="shared" si="10348"/>
        <v>0</v>
      </c>
      <c r="N2049" s="200">
        <f t="shared" si="10348"/>
        <v>0</v>
      </c>
      <c r="O2049" s="200">
        <f t="shared" si="10348"/>
        <v>0</v>
      </c>
      <c r="P2049" s="200">
        <f t="shared" si="9"/>
        <v>0</v>
      </c>
      <c r="Q2049" s="200">
        <f t="shared" ref="Q2049:AC2049" si="10349">countif($D2049,"*"&amp;Q$2&amp;"*")</f>
        <v>0</v>
      </c>
      <c r="R2049" s="200">
        <f t="shared" si="10349"/>
        <v>0</v>
      </c>
      <c r="S2049" s="200">
        <f t="shared" si="10349"/>
        <v>0</v>
      </c>
      <c r="T2049" s="200">
        <f t="shared" si="10349"/>
        <v>0</v>
      </c>
      <c r="U2049" s="200">
        <f t="shared" si="10349"/>
        <v>0</v>
      </c>
      <c r="V2049" s="200">
        <f t="shared" si="10349"/>
        <v>0</v>
      </c>
      <c r="W2049" s="200">
        <f t="shared" si="10349"/>
        <v>0</v>
      </c>
      <c r="X2049" s="200">
        <f t="shared" si="10349"/>
        <v>0</v>
      </c>
      <c r="Y2049" s="200">
        <f t="shared" si="10349"/>
        <v>0</v>
      </c>
      <c r="Z2049" s="200">
        <f t="shared" si="10349"/>
        <v>0</v>
      </c>
      <c r="AA2049" s="200">
        <f t="shared" si="10349"/>
        <v>0</v>
      </c>
      <c r="AB2049" s="200">
        <f t="shared" si="10349"/>
        <v>0</v>
      </c>
      <c r="AC2049" s="200">
        <f t="shared" si="10349"/>
        <v>0</v>
      </c>
      <c r="AD2049" s="200">
        <f t="shared" si="11"/>
        <v>1</v>
      </c>
      <c r="AE2049" s="200">
        <f t="shared" ref="AE2049:AG2049" si="10350">countif($D2049,"*"&amp;AE$2&amp;"*")</f>
        <v>0</v>
      </c>
      <c r="AF2049" s="200">
        <f t="shared" si="10350"/>
        <v>0</v>
      </c>
      <c r="AG2049" s="200">
        <f t="shared" si="10350"/>
        <v>0</v>
      </c>
      <c r="AH2049" s="171">
        <f t="shared" si="13"/>
        <v>0</v>
      </c>
      <c r="AI2049" s="200">
        <f t="shared" si="14"/>
        <v>0</v>
      </c>
      <c r="AJ2049" s="200">
        <f t="shared" ref="AJ2049:AJ2051" si="10356">SUM(AK2049:AQ2049)</f>
        <v>0</v>
      </c>
      <c r="AK2049" s="201">
        <f t="shared" ref="AK2049:AS2049" si="10351">countif($D2049,"*"&amp;AK$2&amp;"*")</f>
        <v>0</v>
      </c>
      <c r="AL2049" s="201">
        <f t="shared" si="10351"/>
        <v>0</v>
      </c>
      <c r="AM2049" s="201">
        <f t="shared" si="10351"/>
        <v>0</v>
      </c>
      <c r="AN2049" s="201">
        <f t="shared" si="10351"/>
        <v>0</v>
      </c>
      <c r="AO2049" s="201">
        <f t="shared" si="10351"/>
        <v>0</v>
      </c>
      <c r="AP2049" s="201">
        <f t="shared" si="10351"/>
        <v>0</v>
      </c>
      <c r="AQ2049" s="201">
        <f t="shared" si="10351"/>
        <v>0</v>
      </c>
      <c r="AR2049" s="201">
        <f t="shared" si="10351"/>
        <v>0</v>
      </c>
      <c r="AS2049" s="200">
        <f t="shared" si="10351"/>
        <v>0</v>
      </c>
      <c r="AT2049" s="205">
        <v>0.0</v>
      </c>
      <c r="AU2049" s="200">
        <f t="shared" ref="AU2049:AX2049" si="10352">countif($D2049,"*"&amp;AU$2&amp;"*")</f>
        <v>1</v>
      </c>
      <c r="AV2049" s="200">
        <f t="shared" si="10352"/>
        <v>0</v>
      </c>
      <c r="AW2049" s="200">
        <f t="shared" si="10352"/>
        <v>0</v>
      </c>
      <c r="AX2049" s="200">
        <f t="shared" si="10352"/>
        <v>0</v>
      </c>
      <c r="AY2049" s="202">
        <v>0.0</v>
      </c>
      <c r="AZ2049" s="200"/>
      <c r="BA2049" s="171" t="str">
        <f t="shared" si="18"/>
        <v/>
      </c>
      <c r="BB2049" s="171" t="str">
        <f t="shared" si="19"/>
        <v/>
      </c>
      <c r="BC2049" s="171" t="str">
        <f t="shared" si="20"/>
        <v/>
      </c>
      <c r="BD2049" s="171" t="str">
        <f t="shared" si="21"/>
        <v>Institutional</v>
      </c>
      <c r="BE2049" s="171" t="str">
        <f t="shared" si="22"/>
        <v/>
      </c>
      <c r="BF2049" s="171" t="str">
        <f t="shared" si="23"/>
        <v>Institutional</v>
      </c>
    </row>
    <row r="2050">
      <c r="A2050" s="171">
        <f t="array" ref="A2050">XLOOKUP(C2050,FSE!A:A,FSE!C:C,"XXXXX",0,1)</f>
        <v>2016</v>
      </c>
      <c r="B2050" s="213" t="s">
        <v>5676</v>
      </c>
      <c r="C2050" s="214">
        <v>674.0</v>
      </c>
      <c r="D2050" s="215" t="s">
        <v>6562</v>
      </c>
      <c r="E2050" s="197" t="str">
        <f t="array" ref="E2050">XLOOKUP(C2050,FSE!A:A,FSE!Z:Z,"XXXXX",0,1)</f>
        <v>Not Available (3)
Publicly Available (2)</v>
      </c>
      <c r="F2050" s="213" t="s">
        <v>3395</v>
      </c>
      <c r="G2050" s="163" t="str">
        <f t="array" ref="G2050">IF(B2050="ICSE",IF(COUNTIFS(B:B,B2050,C:C,C2050)=XLOOKUP(C2050,ICSE!A:A,ICSE!AA:AA,"ERROR",0,1),"OK","ERROR"),IF(B2050="FSE",IF(COUNTIFS(B:B,B2050,C:C,C2050)=XLOOKUP(C2050,FSE!A:A,FSE!AA:AA,"ERROR",0,1),"OK","ERROR")))</f>
        <v>OK</v>
      </c>
      <c r="H2050" s="199">
        <f t="shared" ref="H2050:O2050" si="10353">countif($D2050,"*"&amp;H$2&amp;"*")</f>
        <v>0</v>
      </c>
      <c r="I2050" s="200">
        <f t="shared" si="10353"/>
        <v>0</v>
      </c>
      <c r="J2050" s="200">
        <f t="shared" si="10353"/>
        <v>0</v>
      </c>
      <c r="K2050" s="200">
        <f t="shared" si="10353"/>
        <v>0</v>
      </c>
      <c r="L2050" s="200">
        <f t="shared" si="10353"/>
        <v>0</v>
      </c>
      <c r="M2050" s="200">
        <f t="shared" si="10353"/>
        <v>0</v>
      </c>
      <c r="N2050" s="200">
        <f t="shared" si="10353"/>
        <v>0</v>
      </c>
      <c r="O2050" s="200">
        <f t="shared" si="10353"/>
        <v>0</v>
      </c>
      <c r="P2050" s="200">
        <f t="shared" si="9"/>
        <v>0</v>
      </c>
      <c r="Q2050" s="200">
        <f t="shared" ref="Q2050:AC2050" si="10354">countif($D2050,"*"&amp;Q$2&amp;"*")</f>
        <v>0</v>
      </c>
      <c r="R2050" s="200">
        <f t="shared" si="10354"/>
        <v>0</v>
      </c>
      <c r="S2050" s="200">
        <f t="shared" si="10354"/>
        <v>0</v>
      </c>
      <c r="T2050" s="200">
        <f t="shared" si="10354"/>
        <v>0</v>
      </c>
      <c r="U2050" s="200">
        <f t="shared" si="10354"/>
        <v>0</v>
      </c>
      <c r="V2050" s="200">
        <f t="shared" si="10354"/>
        <v>0</v>
      </c>
      <c r="W2050" s="200">
        <f t="shared" si="10354"/>
        <v>0</v>
      </c>
      <c r="X2050" s="200">
        <f t="shared" si="10354"/>
        <v>0</v>
      </c>
      <c r="Y2050" s="200">
        <f t="shared" si="10354"/>
        <v>0</v>
      </c>
      <c r="Z2050" s="200">
        <f t="shared" si="10354"/>
        <v>0</v>
      </c>
      <c r="AA2050" s="200">
        <f t="shared" si="10354"/>
        <v>0</v>
      </c>
      <c r="AB2050" s="200">
        <f t="shared" si="10354"/>
        <v>0</v>
      </c>
      <c r="AC2050" s="200">
        <f t="shared" si="10354"/>
        <v>0</v>
      </c>
      <c r="AD2050" s="200">
        <f t="shared" si="11"/>
        <v>1</v>
      </c>
      <c r="AE2050" s="200">
        <f t="shared" ref="AE2050:AG2050" si="10355">countif($D2050,"*"&amp;AE$2&amp;"*")</f>
        <v>0</v>
      </c>
      <c r="AF2050" s="200">
        <f t="shared" si="10355"/>
        <v>0</v>
      </c>
      <c r="AG2050" s="200">
        <f t="shared" si="10355"/>
        <v>0</v>
      </c>
      <c r="AH2050" s="171">
        <f t="shared" si="13"/>
        <v>0</v>
      </c>
      <c r="AI2050" s="200">
        <f t="shared" si="14"/>
        <v>0</v>
      </c>
      <c r="AJ2050" s="200">
        <f t="shared" si="10356"/>
        <v>0</v>
      </c>
      <c r="AK2050" s="201">
        <f t="shared" ref="AK2050:AS2050" si="10357">countif($D2050,"*"&amp;AK$2&amp;"*")</f>
        <v>0</v>
      </c>
      <c r="AL2050" s="201">
        <f t="shared" si="10357"/>
        <v>0</v>
      </c>
      <c r="AM2050" s="201">
        <f t="shared" si="10357"/>
        <v>0</v>
      </c>
      <c r="AN2050" s="201">
        <f t="shared" si="10357"/>
        <v>0</v>
      </c>
      <c r="AO2050" s="201">
        <f t="shared" si="10357"/>
        <v>0</v>
      </c>
      <c r="AP2050" s="201">
        <f t="shared" si="10357"/>
        <v>0</v>
      </c>
      <c r="AQ2050" s="201">
        <f t="shared" si="10357"/>
        <v>0</v>
      </c>
      <c r="AR2050" s="201">
        <f t="shared" si="10357"/>
        <v>0</v>
      </c>
      <c r="AS2050" s="200">
        <f t="shared" si="10357"/>
        <v>0</v>
      </c>
      <c r="AT2050" s="205">
        <v>0.0</v>
      </c>
      <c r="AU2050" s="200">
        <f t="shared" ref="AU2050:AX2050" si="10358">countif($D2050,"*"&amp;AU$2&amp;"*")</f>
        <v>1</v>
      </c>
      <c r="AV2050" s="200">
        <f t="shared" si="10358"/>
        <v>0</v>
      </c>
      <c r="AW2050" s="200">
        <f t="shared" si="10358"/>
        <v>0</v>
      </c>
      <c r="AX2050" s="200">
        <f t="shared" si="10358"/>
        <v>0</v>
      </c>
      <c r="AY2050" s="202">
        <v>0.0</v>
      </c>
      <c r="AZ2050" s="200"/>
      <c r="BA2050" s="171" t="str">
        <f t="shared" si="18"/>
        <v/>
      </c>
      <c r="BB2050" s="171" t="str">
        <f t="shared" si="19"/>
        <v/>
      </c>
      <c r="BC2050" s="171" t="str">
        <f t="shared" si="20"/>
        <v/>
      </c>
      <c r="BD2050" s="171" t="str">
        <f t="shared" si="21"/>
        <v>Institutional</v>
      </c>
      <c r="BE2050" s="171" t="str">
        <f t="shared" si="22"/>
        <v/>
      </c>
      <c r="BF2050" s="171" t="str">
        <f t="shared" si="23"/>
        <v>Institutional</v>
      </c>
    </row>
    <row r="2051">
      <c r="A2051" s="171">
        <f t="array" ref="A2051">XLOOKUP(C2051,FSE!A:A,FSE!C:C,"XXXXX",0,1)</f>
        <v>2016</v>
      </c>
      <c r="B2051" s="213" t="s">
        <v>5676</v>
      </c>
      <c r="C2051" s="214">
        <v>674.0</v>
      </c>
      <c r="D2051" s="215" t="s">
        <v>6563</v>
      </c>
      <c r="E2051" s="197" t="str">
        <f t="array" ref="E2051">XLOOKUP(C2051,FSE!A:A,FSE!Z:Z,"XXXXX",0,1)</f>
        <v>Not Available (3)
Publicly Available (2)</v>
      </c>
      <c r="F2051" s="213" t="s">
        <v>3395</v>
      </c>
      <c r="G2051" s="163" t="str">
        <f t="array" ref="G2051">IF(B2051="ICSE",IF(COUNTIFS(B:B,B2051,C:C,C2051)=XLOOKUP(C2051,ICSE!A:A,ICSE!AA:AA,"ERROR",0,1),"OK","ERROR"),IF(B2051="FSE",IF(COUNTIFS(B:B,B2051,C:C,C2051)=XLOOKUP(C2051,FSE!A:A,FSE!AA:AA,"ERROR",0,1),"OK","ERROR")))</f>
        <v>OK</v>
      </c>
      <c r="H2051" s="199">
        <f t="shared" ref="H2051:O2051" si="10359">countif($D2051,"*"&amp;H$2&amp;"*")</f>
        <v>0</v>
      </c>
      <c r="I2051" s="200">
        <f t="shared" si="10359"/>
        <v>0</v>
      </c>
      <c r="J2051" s="200">
        <f t="shared" si="10359"/>
        <v>0</v>
      </c>
      <c r="K2051" s="200">
        <f t="shared" si="10359"/>
        <v>0</v>
      </c>
      <c r="L2051" s="200">
        <f t="shared" si="10359"/>
        <v>0</v>
      </c>
      <c r="M2051" s="200">
        <f t="shared" si="10359"/>
        <v>0</v>
      </c>
      <c r="N2051" s="200">
        <f t="shared" si="10359"/>
        <v>0</v>
      </c>
      <c r="O2051" s="200">
        <f t="shared" si="10359"/>
        <v>0</v>
      </c>
      <c r="P2051" s="200">
        <f t="shared" si="9"/>
        <v>0</v>
      </c>
      <c r="Q2051" s="200">
        <f t="shared" ref="Q2051:AC2051" si="10360">countif($D2051,"*"&amp;Q$2&amp;"*")</f>
        <v>0</v>
      </c>
      <c r="R2051" s="200">
        <f t="shared" si="10360"/>
        <v>0</v>
      </c>
      <c r="S2051" s="200">
        <f t="shared" si="10360"/>
        <v>0</v>
      </c>
      <c r="T2051" s="200">
        <f t="shared" si="10360"/>
        <v>0</v>
      </c>
      <c r="U2051" s="200">
        <f t="shared" si="10360"/>
        <v>0</v>
      </c>
      <c r="V2051" s="200">
        <f t="shared" si="10360"/>
        <v>0</v>
      </c>
      <c r="W2051" s="200">
        <f t="shared" si="10360"/>
        <v>0</v>
      </c>
      <c r="X2051" s="200">
        <f t="shared" si="10360"/>
        <v>0</v>
      </c>
      <c r="Y2051" s="200">
        <f t="shared" si="10360"/>
        <v>0</v>
      </c>
      <c r="Z2051" s="200">
        <f t="shared" si="10360"/>
        <v>0</v>
      </c>
      <c r="AA2051" s="200">
        <f t="shared" si="10360"/>
        <v>0</v>
      </c>
      <c r="AB2051" s="200">
        <f t="shared" si="10360"/>
        <v>0</v>
      </c>
      <c r="AC2051" s="200">
        <f t="shared" si="10360"/>
        <v>0</v>
      </c>
      <c r="AD2051" s="200">
        <f t="shared" si="11"/>
        <v>1</v>
      </c>
      <c r="AE2051" s="200">
        <f t="shared" ref="AE2051:AG2051" si="10361">countif($D2051,"*"&amp;AE$2&amp;"*")</f>
        <v>0</v>
      </c>
      <c r="AF2051" s="200">
        <f t="shared" si="10361"/>
        <v>0</v>
      </c>
      <c r="AG2051" s="200">
        <f t="shared" si="10361"/>
        <v>0</v>
      </c>
      <c r="AH2051" s="171">
        <f t="shared" si="13"/>
        <v>0</v>
      </c>
      <c r="AI2051" s="200">
        <f t="shared" si="14"/>
        <v>0</v>
      </c>
      <c r="AJ2051" s="200">
        <f t="shared" si="10356"/>
        <v>0</v>
      </c>
      <c r="AK2051" s="201">
        <f t="shared" ref="AK2051:AS2051" si="10362">countif($D2051,"*"&amp;AK$2&amp;"*")</f>
        <v>0</v>
      </c>
      <c r="AL2051" s="201">
        <f t="shared" si="10362"/>
        <v>0</v>
      </c>
      <c r="AM2051" s="201">
        <f t="shared" si="10362"/>
        <v>0</v>
      </c>
      <c r="AN2051" s="201">
        <f t="shared" si="10362"/>
        <v>0</v>
      </c>
      <c r="AO2051" s="201">
        <f t="shared" si="10362"/>
        <v>0</v>
      </c>
      <c r="AP2051" s="201">
        <f t="shared" si="10362"/>
        <v>0</v>
      </c>
      <c r="AQ2051" s="201">
        <f t="shared" si="10362"/>
        <v>0</v>
      </c>
      <c r="AR2051" s="201">
        <f t="shared" si="10362"/>
        <v>0</v>
      </c>
      <c r="AS2051" s="200">
        <f t="shared" si="10362"/>
        <v>0</v>
      </c>
      <c r="AT2051" s="205">
        <v>0.0</v>
      </c>
      <c r="AU2051" s="200">
        <f t="shared" ref="AU2051:AX2051" si="10363">countif($D2051,"*"&amp;AU$2&amp;"*")</f>
        <v>1</v>
      </c>
      <c r="AV2051" s="200">
        <f t="shared" si="10363"/>
        <v>0</v>
      </c>
      <c r="AW2051" s="200">
        <f t="shared" si="10363"/>
        <v>0</v>
      </c>
      <c r="AX2051" s="200">
        <f t="shared" si="10363"/>
        <v>0</v>
      </c>
      <c r="AY2051" s="202">
        <v>0.0</v>
      </c>
      <c r="AZ2051" s="200"/>
      <c r="BA2051" s="171" t="str">
        <f t="shared" si="18"/>
        <v/>
      </c>
      <c r="BB2051" s="171" t="str">
        <f t="shared" si="19"/>
        <v/>
      </c>
      <c r="BC2051" s="171" t="str">
        <f t="shared" si="20"/>
        <v/>
      </c>
      <c r="BD2051" s="171" t="str">
        <f t="shared" si="21"/>
        <v>Institutional</v>
      </c>
      <c r="BE2051" s="171" t="str">
        <f t="shared" si="22"/>
        <v/>
      </c>
      <c r="BF2051" s="171" t="str">
        <f t="shared" si="23"/>
        <v>Institutional</v>
      </c>
    </row>
    <row r="2052">
      <c r="A2052" s="171">
        <f t="array" ref="A2052">XLOOKUP(C2052,FSE!A:A,FSE!C:C,"XXXXX",0,1)</f>
        <v>2016</v>
      </c>
      <c r="B2052" s="213" t="s">
        <v>5676</v>
      </c>
      <c r="C2052" s="214">
        <v>675.0</v>
      </c>
      <c r="D2052" s="215" t="s">
        <v>3844</v>
      </c>
      <c r="E2052" s="197" t="str">
        <f t="array" ref="E2052">XLOOKUP(C2052,FSE!A:A,FSE!Z:Z,"XXXXX",0,1)</f>
        <v>Not Available (1)</v>
      </c>
      <c r="F2052" s="213" t="s">
        <v>3395</v>
      </c>
      <c r="G2052" s="163" t="str">
        <f t="array" ref="G2052">IF(B2052="ICSE",IF(COUNTIFS(B:B,B2052,C:C,C2052)=XLOOKUP(C2052,ICSE!A:A,ICSE!AA:AA,"ERROR",0,1),"OK","ERROR"),IF(B2052="FSE",IF(COUNTIFS(B:B,B2052,C:C,C2052)=XLOOKUP(C2052,FSE!A:A,FSE!AA:AA,"ERROR",0,1),"OK","ERROR")))</f>
        <v>OK</v>
      </c>
      <c r="H2052" s="199">
        <f t="shared" ref="H2052:O2052" si="10364">countif($D2052,"*"&amp;H$2&amp;"*")</f>
        <v>0</v>
      </c>
      <c r="I2052" s="200">
        <f t="shared" si="10364"/>
        <v>0</v>
      </c>
      <c r="J2052" s="200">
        <f t="shared" si="10364"/>
        <v>0</v>
      </c>
      <c r="K2052" s="200">
        <f t="shared" si="10364"/>
        <v>0</v>
      </c>
      <c r="L2052" s="200">
        <f t="shared" si="10364"/>
        <v>0</v>
      </c>
      <c r="M2052" s="200">
        <f t="shared" si="10364"/>
        <v>0</v>
      </c>
      <c r="N2052" s="200">
        <f t="shared" si="10364"/>
        <v>0</v>
      </c>
      <c r="O2052" s="200">
        <f t="shared" si="10364"/>
        <v>0</v>
      </c>
      <c r="P2052" s="200">
        <f t="shared" si="9"/>
        <v>0</v>
      </c>
      <c r="Q2052" s="200">
        <f t="shared" ref="Q2052:AC2052" si="10365">countif($D2052,"*"&amp;Q$2&amp;"*")</f>
        <v>0</v>
      </c>
      <c r="R2052" s="200">
        <f t="shared" si="10365"/>
        <v>0</v>
      </c>
      <c r="S2052" s="200">
        <f t="shared" si="10365"/>
        <v>0</v>
      </c>
      <c r="T2052" s="200">
        <f t="shared" si="10365"/>
        <v>0</v>
      </c>
      <c r="U2052" s="200">
        <f t="shared" si="10365"/>
        <v>0</v>
      </c>
      <c r="V2052" s="200">
        <f t="shared" si="10365"/>
        <v>0</v>
      </c>
      <c r="W2052" s="200">
        <f t="shared" si="10365"/>
        <v>0</v>
      </c>
      <c r="X2052" s="200">
        <f t="shared" si="10365"/>
        <v>0</v>
      </c>
      <c r="Y2052" s="200">
        <f t="shared" si="10365"/>
        <v>0</v>
      </c>
      <c r="Z2052" s="200">
        <f t="shared" si="10365"/>
        <v>0</v>
      </c>
      <c r="AA2052" s="200">
        <f t="shared" si="10365"/>
        <v>0</v>
      </c>
      <c r="AB2052" s="200">
        <f t="shared" si="10365"/>
        <v>0</v>
      </c>
      <c r="AC2052" s="200">
        <f t="shared" si="10365"/>
        <v>0</v>
      </c>
      <c r="AD2052" s="200">
        <f t="shared" si="11"/>
        <v>0</v>
      </c>
      <c r="AE2052" s="200">
        <f t="shared" ref="AE2052:AG2052" si="10366">countif($D2052,"*"&amp;AE$2&amp;"*")</f>
        <v>0</v>
      </c>
      <c r="AF2052" s="200">
        <f t="shared" si="10366"/>
        <v>0</v>
      </c>
      <c r="AG2052" s="200">
        <f t="shared" si="10366"/>
        <v>0</v>
      </c>
      <c r="AH2052" s="171">
        <f t="shared" si="13"/>
        <v>1</v>
      </c>
      <c r="AI2052" s="200">
        <f t="shared" si="14"/>
        <v>0</v>
      </c>
      <c r="AJ2052" s="200">
        <f>SUM(AK2052:AR2052)</f>
        <v>0</v>
      </c>
      <c r="AK2052" s="201">
        <f t="shared" ref="AK2052:AS2052" si="10367">countif($D2052,"*"&amp;AK$2&amp;"*")</f>
        <v>0</v>
      </c>
      <c r="AL2052" s="201">
        <f t="shared" si="10367"/>
        <v>0</v>
      </c>
      <c r="AM2052" s="201">
        <f t="shared" si="10367"/>
        <v>0</v>
      </c>
      <c r="AN2052" s="201">
        <f t="shared" si="10367"/>
        <v>0</v>
      </c>
      <c r="AO2052" s="201">
        <f t="shared" si="10367"/>
        <v>0</v>
      </c>
      <c r="AP2052" s="201">
        <f t="shared" si="10367"/>
        <v>0</v>
      </c>
      <c r="AQ2052" s="201">
        <f t="shared" si="10367"/>
        <v>0</v>
      </c>
      <c r="AR2052" s="200">
        <f t="shared" si="10367"/>
        <v>0</v>
      </c>
      <c r="AS2052" s="200">
        <f t="shared" si="10367"/>
        <v>0</v>
      </c>
      <c r="AT2052" s="173">
        <v>0.0</v>
      </c>
      <c r="AU2052" s="200">
        <f t="shared" ref="AU2052:AX2052" si="10368">countif($D2052,"*"&amp;AU$2&amp;"*")</f>
        <v>0</v>
      </c>
      <c r="AV2052" s="200">
        <f t="shared" si="10368"/>
        <v>0</v>
      </c>
      <c r="AW2052" s="200">
        <f t="shared" si="10368"/>
        <v>0</v>
      </c>
      <c r="AX2052" s="200">
        <f t="shared" si="10368"/>
        <v>0</v>
      </c>
      <c r="AY2052" s="202">
        <v>0.0</v>
      </c>
      <c r="AZ2052" s="200"/>
      <c r="BA2052" s="171" t="str">
        <f t="shared" si="18"/>
        <v/>
      </c>
      <c r="BB2052" s="171" t="str">
        <f t="shared" si="19"/>
        <v/>
      </c>
      <c r="BC2052" s="171" t="str">
        <f t="shared" si="20"/>
        <v/>
      </c>
      <c r="BD2052" s="171" t="str">
        <f t="shared" si="21"/>
        <v/>
      </c>
      <c r="BE2052" s="171" t="str">
        <f t="shared" si="22"/>
        <v>Others</v>
      </c>
      <c r="BF2052" s="171" t="str">
        <f t="shared" si="23"/>
        <v>Others</v>
      </c>
    </row>
    <row r="2053">
      <c r="A2053" s="171">
        <f t="array" ref="A2053">XLOOKUP(C2053,FSE!A:A,FSE!C:C,"XXXXX",0,1)</f>
        <v>2016</v>
      </c>
      <c r="B2053" s="213" t="s">
        <v>5676</v>
      </c>
      <c r="C2053" s="214">
        <v>676.0</v>
      </c>
      <c r="D2053" s="215" t="s">
        <v>3847</v>
      </c>
      <c r="E2053" s="197" t="str">
        <f t="array" ref="E2053">XLOOKUP(C2053,FSE!A:A,FSE!Z:Z,"XXXXX",0,1)</f>
        <v>Publicly Available (1)</v>
      </c>
      <c r="F2053" s="213" t="s">
        <v>3394</v>
      </c>
      <c r="G2053" s="163" t="str">
        <f t="array" ref="G2053">IF(B2053="ICSE",IF(COUNTIFS(B:B,B2053,C:C,C2053)=XLOOKUP(C2053,ICSE!A:A,ICSE!AA:AA,"ERROR",0,1),"OK","ERROR"),IF(B2053="FSE",IF(COUNTIFS(B:B,B2053,C:C,C2053)=XLOOKUP(C2053,FSE!A:A,FSE!AA:AA,"ERROR",0,1),"OK","ERROR")))</f>
        <v>OK</v>
      </c>
      <c r="H2053" s="199">
        <f t="shared" ref="H2053:O2053" si="10369">countif($D2053,"*"&amp;H$2&amp;"*")</f>
        <v>0</v>
      </c>
      <c r="I2053" s="200">
        <f t="shared" si="10369"/>
        <v>0</v>
      </c>
      <c r="J2053" s="200">
        <f t="shared" si="10369"/>
        <v>0</v>
      </c>
      <c r="K2053" s="200">
        <f t="shared" si="10369"/>
        <v>0</v>
      </c>
      <c r="L2053" s="200">
        <f t="shared" si="10369"/>
        <v>0</v>
      </c>
      <c r="M2053" s="200">
        <f t="shared" si="10369"/>
        <v>0</v>
      </c>
      <c r="N2053" s="200">
        <f t="shared" si="10369"/>
        <v>0</v>
      </c>
      <c r="O2053" s="200">
        <f t="shared" si="10369"/>
        <v>0</v>
      </c>
      <c r="P2053" s="200">
        <f t="shared" si="9"/>
        <v>0</v>
      </c>
      <c r="Q2053" s="200">
        <f t="shared" ref="Q2053:AC2053" si="10370">countif($D2053,"*"&amp;Q$2&amp;"*")</f>
        <v>0</v>
      </c>
      <c r="R2053" s="200">
        <f t="shared" si="10370"/>
        <v>0</v>
      </c>
      <c r="S2053" s="200">
        <f t="shared" si="10370"/>
        <v>0</v>
      </c>
      <c r="T2053" s="200">
        <f t="shared" si="10370"/>
        <v>0</v>
      </c>
      <c r="U2053" s="200">
        <f t="shared" si="10370"/>
        <v>0</v>
      </c>
      <c r="V2053" s="200">
        <f t="shared" si="10370"/>
        <v>0</v>
      </c>
      <c r="W2053" s="200">
        <f t="shared" si="10370"/>
        <v>0</v>
      </c>
      <c r="X2053" s="200">
        <f t="shared" si="10370"/>
        <v>0</v>
      </c>
      <c r="Y2053" s="200">
        <f t="shared" si="10370"/>
        <v>0</v>
      </c>
      <c r="Z2053" s="200">
        <f t="shared" si="10370"/>
        <v>0</v>
      </c>
      <c r="AA2053" s="200">
        <f t="shared" si="10370"/>
        <v>0</v>
      </c>
      <c r="AB2053" s="200">
        <f t="shared" si="10370"/>
        <v>0</v>
      </c>
      <c r="AC2053" s="200">
        <f t="shared" si="10370"/>
        <v>0</v>
      </c>
      <c r="AD2053" s="200">
        <f t="shared" si="11"/>
        <v>1</v>
      </c>
      <c r="AE2053" s="200">
        <f t="shared" ref="AE2053:AG2053" si="10371">countif($D2053,"*"&amp;AE$2&amp;"*")</f>
        <v>0</v>
      </c>
      <c r="AF2053" s="200">
        <f t="shared" si="10371"/>
        <v>0</v>
      </c>
      <c r="AG2053" s="200">
        <f t="shared" si="10371"/>
        <v>0</v>
      </c>
      <c r="AH2053" s="171">
        <f t="shared" si="13"/>
        <v>0</v>
      </c>
      <c r="AI2053" s="200">
        <f t="shared" si="14"/>
        <v>0</v>
      </c>
      <c r="AJ2053" s="200">
        <f>SUM(AK2053:AQ2053)</f>
        <v>0</v>
      </c>
      <c r="AK2053" s="201">
        <f t="shared" ref="AK2053:AS2053" si="10372">countif($D2053,"*"&amp;AK$2&amp;"*")</f>
        <v>0</v>
      </c>
      <c r="AL2053" s="201">
        <f t="shared" si="10372"/>
        <v>0</v>
      </c>
      <c r="AM2053" s="201">
        <f t="shared" si="10372"/>
        <v>0</v>
      </c>
      <c r="AN2053" s="201">
        <f t="shared" si="10372"/>
        <v>0</v>
      </c>
      <c r="AO2053" s="201">
        <f t="shared" si="10372"/>
        <v>0</v>
      </c>
      <c r="AP2053" s="201">
        <f t="shared" si="10372"/>
        <v>0</v>
      </c>
      <c r="AQ2053" s="201">
        <f t="shared" si="10372"/>
        <v>0</v>
      </c>
      <c r="AR2053" s="201">
        <f t="shared" si="10372"/>
        <v>0</v>
      </c>
      <c r="AS2053" s="200">
        <f t="shared" si="10372"/>
        <v>0</v>
      </c>
      <c r="AT2053" s="205">
        <v>0.0</v>
      </c>
      <c r="AU2053" s="200">
        <f t="shared" ref="AU2053:AX2053" si="10373">countif($D2053,"*"&amp;AU$2&amp;"*")</f>
        <v>1</v>
      </c>
      <c r="AV2053" s="200">
        <f t="shared" si="10373"/>
        <v>0</v>
      </c>
      <c r="AW2053" s="200">
        <f t="shared" si="10373"/>
        <v>0</v>
      </c>
      <c r="AX2053" s="200">
        <f t="shared" si="10373"/>
        <v>0</v>
      </c>
      <c r="AY2053" s="202">
        <v>0.0</v>
      </c>
      <c r="AZ2053" s="200"/>
      <c r="BA2053" s="171" t="str">
        <f t="shared" si="18"/>
        <v/>
      </c>
      <c r="BB2053" s="171" t="str">
        <f t="shared" si="19"/>
        <v/>
      </c>
      <c r="BC2053" s="171" t="str">
        <f t="shared" si="20"/>
        <v/>
      </c>
      <c r="BD2053" s="171" t="str">
        <f t="shared" si="21"/>
        <v>Institutional</v>
      </c>
      <c r="BE2053" s="171" t="str">
        <f t="shared" si="22"/>
        <v/>
      </c>
      <c r="BF2053" s="171" t="str">
        <f t="shared" si="23"/>
        <v>Institutional</v>
      </c>
    </row>
    <row r="2054">
      <c r="A2054" s="171">
        <f t="array" ref="A2054">XLOOKUP(C2054,FSE!A:A,FSE!C:C,"XXXXX",0,1)</f>
        <v>2016</v>
      </c>
      <c r="B2054" s="213" t="s">
        <v>5676</v>
      </c>
      <c r="C2054" s="214">
        <v>680.0</v>
      </c>
      <c r="D2054" s="215" t="s">
        <v>3854</v>
      </c>
      <c r="E2054" s="197" t="str">
        <f t="array" ref="E2054">XLOOKUP(C2054,FSE!A:A,FSE!Z:Z,"XXXXX",0,1)</f>
        <v>Not Available (1)</v>
      </c>
      <c r="F2054" s="213" t="s">
        <v>3395</v>
      </c>
      <c r="G2054" s="163" t="str">
        <f t="array" ref="G2054">IF(B2054="ICSE",IF(COUNTIFS(B:B,B2054,C:C,C2054)=XLOOKUP(C2054,ICSE!A:A,ICSE!AA:AA,"ERROR",0,1),"OK","ERROR"),IF(B2054="FSE",IF(COUNTIFS(B:B,B2054,C:C,C2054)=XLOOKUP(C2054,FSE!A:A,FSE!AA:AA,"ERROR",0,1),"OK","ERROR")))</f>
        <v>OK</v>
      </c>
      <c r="H2054" s="199">
        <f t="shared" ref="H2054:O2054" si="10374">countif($D2054,"*"&amp;H$2&amp;"*")</f>
        <v>0</v>
      </c>
      <c r="I2054" s="200">
        <f t="shared" si="10374"/>
        <v>0</v>
      </c>
      <c r="J2054" s="200">
        <f t="shared" si="10374"/>
        <v>0</v>
      </c>
      <c r="K2054" s="200">
        <f t="shared" si="10374"/>
        <v>0</v>
      </c>
      <c r="L2054" s="200">
        <f t="shared" si="10374"/>
        <v>0</v>
      </c>
      <c r="M2054" s="200">
        <f t="shared" si="10374"/>
        <v>0</v>
      </c>
      <c r="N2054" s="200">
        <f t="shared" si="10374"/>
        <v>0</v>
      </c>
      <c r="O2054" s="200">
        <f t="shared" si="10374"/>
        <v>0</v>
      </c>
      <c r="P2054" s="200">
        <f t="shared" si="9"/>
        <v>0</v>
      </c>
      <c r="Q2054" s="200">
        <f t="shared" ref="Q2054:AC2054" si="10375">countif($D2054,"*"&amp;Q$2&amp;"*")</f>
        <v>0</v>
      </c>
      <c r="R2054" s="200">
        <f t="shared" si="10375"/>
        <v>0</v>
      </c>
      <c r="S2054" s="200">
        <f t="shared" si="10375"/>
        <v>0</v>
      </c>
      <c r="T2054" s="200">
        <f t="shared" si="10375"/>
        <v>0</v>
      </c>
      <c r="U2054" s="200">
        <f t="shared" si="10375"/>
        <v>0</v>
      </c>
      <c r="V2054" s="200">
        <f t="shared" si="10375"/>
        <v>0</v>
      </c>
      <c r="W2054" s="200">
        <f t="shared" si="10375"/>
        <v>0</v>
      </c>
      <c r="X2054" s="200">
        <f t="shared" si="10375"/>
        <v>0</v>
      </c>
      <c r="Y2054" s="200">
        <f t="shared" si="10375"/>
        <v>0</v>
      </c>
      <c r="Z2054" s="200">
        <f t="shared" si="10375"/>
        <v>0</v>
      </c>
      <c r="AA2054" s="200">
        <f t="shared" si="10375"/>
        <v>1</v>
      </c>
      <c r="AB2054" s="200">
        <f t="shared" si="10375"/>
        <v>0</v>
      </c>
      <c r="AC2054" s="200">
        <f t="shared" si="10375"/>
        <v>0</v>
      </c>
      <c r="AD2054" s="200">
        <f t="shared" si="11"/>
        <v>0</v>
      </c>
      <c r="AE2054" s="200">
        <f t="shared" ref="AE2054:AG2054" si="10376">countif($D2054,"*"&amp;AE$2&amp;"*")</f>
        <v>0</v>
      </c>
      <c r="AF2054" s="200">
        <f t="shared" si="10376"/>
        <v>0</v>
      </c>
      <c r="AG2054" s="200">
        <f t="shared" si="10376"/>
        <v>0</v>
      </c>
      <c r="AH2054" s="171">
        <f t="shared" si="13"/>
        <v>0</v>
      </c>
      <c r="AI2054" s="200">
        <f t="shared" si="14"/>
        <v>0</v>
      </c>
      <c r="AJ2054" s="200">
        <f t="shared" ref="AJ2054:AJ2064" si="10382">SUM(AK2054:AR2054)</f>
        <v>0</v>
      </c>
      <c r="AK2054" s="201">
        <f t="shared" ref="AK2054:AS2054" si="10377">countif($D2054,"*"&amp;AK$2&amp;"*")</f>
        <v>0</v>
      </c>
      <c r="AL2054" s="201">
        <f t="shared" si="10377"/>
        <v>0</v>
      </c>
      <c r="AM2054" s="201">
        <f t="shared" si="10377"/>
        <v>0</v>
      </c>
      <c r="AN2054" s="201">
        <f t="shared" si="10377"/>
        <v>0</v>
      </c>
      <c r="AO2054" s="201">
        <f t="shared" si="10377"/>
        <v>0</v>
      </c>
      <c r="AP2054" s="201">
        <f t="shared" si="10377"/>
        <v>0</v>
      </c>
      <c r="AQ2054" s="201">
        <f t="shared" si="10377"/>
        <v>0</v>
      </c>
      <c r="AR2054" s="200">
        <f t="shared" si="10377"/>
        <v>0</v>
      </c>
      <c r="AS2054" s="200">
        <f t="shared" si="10377"/>
        <v>0</v>
      </c>
      <c r="AT2054" s="173">
        <v>0.0</v>
      </c>
      <c r="AU2054" s="200">
        <f t="shared" ref="AU2054:AX2054" si="10378">countif($D2054,"*"&amp;AU$2&amp;"*")</f>
        <v>0</v>
      </c>
      <c r="AV2054" s="200">
        <f t="shared" si="10378"/>
        <v>0</v>
      </c>
      <c r="AW2054" s="200">
        <f t="shared" si="10378"/>
        <v>0</v>
      </c>
      <c r="AX2054" s="200">
        <f t="shared" si="10378"/>
        <v>0</v>
      </c>
      <c r="AY2054" s="202">
        <v>0.0</v>
      </c>
      <c r="AZ2054" s="200"/>
      <c r="BA2054" s="171" t="str">
        <f t="shared" si="18"/>
        <v/>
      </c>
      <c r="BB2054" s="171" t="str">
        <f t="shared" si="19"/>
        <v/>
      </c>
      <c r="BC2054" s="171" t="str">
        <f t="shared" si="20"/>
        <v>General-purpose</v>
      </c>
      <c r="BD2054" s="171" t="str">
        <f t="shared" si="21"/>
        <v/>
      </c>
      <c r="BE2054" s="171" t="str">
        <f t="shared" si="22"/>
        <v/>
      </c>
      <c r="BF2054" s="171" t="str">
        <f t="shared" si="23"/>
        <v>General-purpose</v>
      </c>
    </row>
    <row r="2055">
      <c r="A2055" s="171">
        <f t="array" ref="A2055">XLOOKUP(C2055,FSE!A:A,FSE!C:C,"XXXXX",0,1)</f>
        <v>2016</v>
      </c>
      <c r="B2055" s="213" t="s">
        <v>5676</v>
      </c>
      <c r="C2055" s="214">
        <v>681.0</v>
      </c>
      <c r="D2055" s="217" t="s">
        <v>6564</v>
      </c>
      <c r="E2055" s="197" t="str">
        <f t="array" ref="E2055">XLOOKUP(C2055,FSE!A:A,FSE!Z:Z,"XXXXX",0,1)</f>
        <v>Publicly Available (1)</v>
      </c>
      <c r="F2055" s="213" t="s">
        <v>3394</v>
      </c>
      <c r="G2055" s="163" t="str">
        <f t="array" ref="G2055">IF(B2055="ICSE",IF(COUNTIFS(B:B,B2055,C:C,C2055)=XLOOKUP(C2055,ICSE!A:A,ICSE!AA:AA,"ERROR",0,1),"OK","ERROR"),IF(B2055="FSE",IF(COUNTIFS(B:B,B2055,C:C,C2055)=XLOOKUP(C2055,FSE!A:A,FSE!AA:AA,"ERROR",0,1),"OK","ERROR")))</f>
        <v>OK</v>
      </c>
      <c r="H2055" s="199">
        <f t="shared" ref="H2055:O2055" si="10379">countif($D2055,"*"&amp;H$2&amp;"*")</f>
        <v>0</v>
      </c>
      <c r="I2055" s="200">
        <f t="shared" si="10379"/>
        <v>0</v>
      </c>
      <c r="J2055" s="200">
        <f t="shared" si="10379"/>
        <v>0</v>
      </c>
      <c r="K2055" s="200">
        <f t="shared" si="10379"/>
        <v>0</v>
      </c>
      <c r="L2055" s="200">
        <f t="shared" si="10379"/>
        <v>0</v>
      </c>
      <c r="M2055" s="200">
        <f t="shared" si="10379"/>
        <v>0</v>
      </c>
      <c r="N2055" s="200">
        <f t="shared" si="10379"/>
        <v>0</v>
      </c>
      <c r="O2055" s="200">
        <f t="shared" si="10379"/>
        <v>0</v>
      </c>
      <c r="P2055" s="200">
        <f t="shared" si="9"/>
        <v>1</v>
      </c>
      <c r="Q2055" s="200">
        <f t="shared" ref="Q2055:AC2055" si="10380">countif($D2055,"*"&amp;Q$2&amp;"*")</f>
        <v>0</v>
      </c>
      <c r="R2055" s="200">
        <f t="shared" si="10380"/>
        <v>0</v>
      </c>
      <c r="S2055" s="200">
        <f t="shared" si="10380"/>
        <v>0</v>
      </c>
      <c r="T2055" s="200">
        <f t="shared" si="10380"/>
        <v>0</v>
      </c>
      <c r="U2055" s="200">
        <f t="shared" si="10380"/>
        <v>0</v>
      </c>
      <c r="V2055" s="200">
        <f t="shared" si="10380"/>
        <v>0</v>
      </c>
      <c r="W2055" s="200">
        <f t="shared" si="10380"/>
        <v>0</v>
      </c>
      <c r="X2055" s="200">
        <f t="shared" si="10380"/>
        <v>0</v>
      </c>
      <c r="Y2055" s="200">
        <f t="shared" si="10380"/>
        <v>0</v>
      </c>
      <c r="Z2055" s="200">
        <f t="shared" si="10380"/>
        <v>0</v>
      </c>
      <c r="AA2055" s="200">
        <f t="shared" si="10380"/>
        <v>0</v>
      </c>
      <c r="AB2055" s="200">
        <f t="shared" si="10380"/>
        <v>0</v>
      </c>
      <c r="AC2055" s="200">
        <f t="shared" si="10380"/>
        <v>0</v>
      </c>
      <c r="AD2055" s="200">
        <f t="shared" si="11"/>
        <v>0</v>
      </c>
      <c r="AE2055" s="200">
        <f t="shared" ref="AE2055:AG2055" si="10381">countif($D2055,"*"&amp;AE$2&amp;"*")</f>
        <v>0</v>
      </c>
      <c r="AF2055" s="200">
        <f t="shared" si="10381"/>
        <v>0</v>
      </c>
      <c r="AG2055" s="200">
        <f t="shared" si="10381"/>
        <v>0</v>
      </c>
      <c r="AH2055" s="171">
        <f t="shared" si="13"/>
        <v>0</v>
      </c>
      <c r="AI2055" s="200">
        <f t="shared" si="14"/>
        <v>0</v>
      </c>
      <c r="AJ2055" s="200">
        <f t="shared" si="10382"/>
        <v>0</v>
      </c>
      <c r="AK2055" s="201">
        <f t="shared" ref="AK2055:AS2055" si="10383">countif($D2055,"*"&amp;AK$2&amp;"*")</f>
        <v>0</v>
      </c>
      <c r="AL2055" s="201">
        <f t="shared" si="10383"/>
        <v>0</v>
      </c>
      <c r="AM2055" s="201">
        <f t="shared" si="10383"/>
        <v>0</v>
      </c>
      <c r="AN2055" s="201">
        <f t="shared" si="10383"/>
        <v>0</v>
      </c>
      <c r="AO2055" s="201">
        <f t="shared" si="10383"/>
        <v>0</v>
      </c>
      <c r="AP2055" s="201">
        <f t="shared" si="10383"/>
        <v>0</v>
      </c>
      <c r="AQ2055" s="201">
        <f t="shared" si="10383"/>
        <v>0</v>
      </c>
      <c r="AR2055" s="200">
        <f t="shared" si="10383"/>
        <v>0</v>
      </c>
      <c r="AS2055" s="200">
        <f t="shared" si="10383"/>
        <v>0</v>
      </c>
      <c r="AT2055" s="173">
        <v>0.0</v>
      </c>
      <c r="AU2055" s="200">
        <f t="shared" ref="AU2055:AX2055" si="10384">countif($D2055,"*"&amp;AU$2&amp;"*")</f>
        <v>0</v>
      </c>
      <c r="AV2055" s="200">
        <f t="shared" si="10384"/>
        <v>1</v>
      </c>
      <c r="AW2055" s="200">
        <f t="shared" si="10384"/>
        <v>0</v>
      </c>
      <c r="AX2055" s="200">
        <f t="shared" si="10384"/>
        <v>0</v>
      </c>
      <c r="AY2055" s="202">
        <v>0.0</v>
      </c>
      <c r="AZ2055" s="200"/>
      <c r="BA2055" s="171" t="str">
        <f t="shared" si="18"/>
        <v/>
      </c>
      <c r="BB2055" s="171" t="str">
        <f t="shared" si="19"/>
        <v>Code</v>
      </c>
      <c r="BC2055" s="171" t="str">
        <f t="shared" si="20"/>
        <v/>
      </c>
      <c r="BD2055" s="171" t="str">
        <f t="shared" si="21"/>
        <v/>
      </c>
      <c r="BE2055" s="171" t="str">
        <f t="shared" si="22"/>
        <v/>
      </c>
      <c r="BF2055" s="171" t="str">
        <f t="shared" si="23"/>
        <v>Code</v>
      </c>
    </row>
    <row r="2056">
      <c r="A2056" s="171">
        <f t="array" ref="A2056">XLOOKUP(C2056,FSE!A:A,FSE!C:C,"XXXXX",0,1)</f>
        <v>2016</v>
      </c>
      <c r="B2056" s="213" t="s">
        <v>5676</v>
      </c>
      <c r="C2056" s="214">
        <v>682.0</v>
      </c>
      <c r="D2056" s="215" t="s">
        <v>3861</v>
      </c>
      <c r="E2056" s="197" t="str">
        <f t="array" ref="E2056">XLOOKUP(C2056,FSE!A:A,FSE!Z:Z,"XXXXX",0,1)</f>
        <v>Not Available (1)</v>
      </c>
      <c r="F2056" s="213" t="s">
        <v>3395</v>
      </c>
      <c r="G2056" s="163" t="str">
        <f t="array" ref="G2056">IF(B2056="ICSE",IF(COUNTIFS(B:B,B2056,C:C,C2056)=XLOOKUP(C2056,ICSE!A:A,ICSE!AA:AA,"ERROR",0,1),"OK","ERROR"),IF(B2056="FSE",IF(COUNTIFS(B:B,B2056,C:C,C2056)=XLOOKUP(C2056,FSE!A:A,FSE!AA:AA,"ERROR",0,1),"OK","ERROR")))</f>
        <v>OK</v>
      </c>
      <c r="H2056" s="199">
        <f t="shared" ref="H2056:O2056" si="10385">countif($D2056,"*"&amp;H$2&amp;"*")</f>
        <v>0</v>
      </c>
      <c r="I2056" s="200">
        <f t="shared" si="10385"/>
        <v>0</v>
      </c>
      <c r="J2056" s="200">
        <f t="shared" si="10385"/>
        <v>0</v>
      </c>
      <c r="K2056" s="200">
        <f t="shared" si="10385"/>
        <v>0</v>
      </c>
      <c r="L2056" s="200">
        <f t="shared" si="10385"/>
        <v>0</v>
      </c>
      <c r="M2056" s="200">
        <f t="shared" si="10385"/>
        <v>0</v>
      </c>
      <c r="N2056" s="200">
        <f t="shared" si="10385"/>
        <v>0</v>
      </c>
      <c r="O2056" s="200">
        <f t="shared" si="10385"/>
        <v>0</v>
      </c>
      <c r="P2056" s="200">
        <f t="shared" si="9"/>
        <v>0</v>
      </c>
      <c r="Q2056" s="200">
        <f t="shared" ref="Q2056:AC2056" si="10386">countif($D2056,"*"&amp;Q$2&amp;"*")</f>
        <v>0</v>
      </c>
      <c r="R2056" s="200">
        <f t="shared" si="10386"/>
        <v>0</v>
      </c>
      <c r="S2056" s="200">
        <f t="shared" si="10386"/>
        <v>0</v>
      </c>
      <c r="T2056" s="200">
        <f t="shared" si="10386"/>
        <v>0</v>
      </c>
      <c r="U2056" s="200">
        <f t="shared" si="10386"/>
        <v>0</v>
      </c>
      <c r="V2056" s="200">
        <f t="shared" si="10386"/>
        <v>0</v>
      </c>
      <c r="W2056" s="200">
        <f t="shared" si="10386"/>
        <v>0</v>
      </c>
      <c r="X2056" s="200">
        <f t="shared" si="10386"/>
        <v>0</v>
      </c>
      <c r="Y2056" s="200">
        <f t="shared" si="10386"/>
        <v>0</v>
      </c>
      <c r="Z2056" s="200">
        <f t="shared" si="10386"/>
        <v>0</v>
      </c>
      <c r="AA2056" s="200">
        <f t="shared" si="10386"/>
        <v>0</v>
      </c>
      <c r="AB2056" s="200">
        <f t="shared" si="10386"/>
        <v>0</v>
      </c>
      <c r="AC2056" s="200">
        <f t="shared" si="10386"/>
        <v>0</v>
      </c>
      <c r="AD2056" s="200">
        <f t="shared" si="11"/>
        <v>1</v>
      </c>
      <c r="AE2056" s="200">
        <f t="shared" ref="AE2056:AG2056" si="10387">countif($D2056,"*"&amp;AE$2&amp;"*")</f>
        <v>0</v>
      </c>
      <c r="AF2056" s="200">
        <f t="shared" si="10387"/>
        <v>0</v>
      </c>
      <c r="AG2056" s="200">
        <f t="shared" si="10387"/>
        <v>0</v>
      </c>
      <c r="AH2056" s="171">
        <f t="shared" si="13"/>
        <v>0</v>
      </c>
      <c r="AI2056" s="200">
        <f t="shared" si="14"/>
        <v>0</v>
      </c>
      <c r="AJ2056" s="200">
        <f t="shared" si="10382"/>
        <v>0</v>
      </c>
      <c r="AK2056" s="201">
        <f t="shared" ref="AK2056:AS2056" si="10388">countif($D2056,"*"&amp;AK$2&amp;"*")</f>
        <v>0</v>
      </c>
      <c r="AL2056" s="201">
        <f t="shared" si="10388"/>
        <v>0</v>
      </c>
      <c r="AM2056" s="201">
        <f t="shared" si="10388"/>
        <v>0</v>
      </c>
      <c r="AN2056" s="201">
        <f t="shared" si="10388"/>
        <v>0</v>
      </c>
      <c r="AO2056" s="201">
        <f t="shared" si="10388"/>
        <v>0</v>
      </c>
      <c r="AP2056" s="201">
        <f t="shared" si="10388"/>
        <v>0</v>
      </c>
      <c r="AQ2056" s="201">
        <f t="shared" si="10388"/>
        <v>0</v>
      </c>
      <c r="AR2056" s="200">
        <f t="shared" si="10388"/>
        <v>0</v>
      </c>
      <c r="AS2056" s="200">
        <f t="shared" si="10388"/>
        <v>0</v>
      </c>
      <c r="AT2056" s="173">
        <v>1.0</v>
      </c>
      <c r="AU2056" s="200">
        <f t="shared" ref="AU2056:AX2056" si="10389">countif($D2056,"*"&amp;AU$2&amp;"*")</f>
        <v>0</v>
      </c>
      <c r="AV2056" s="200">
        <f t="shared" si="10389"/>
        <v>0</v>
      </c>
      <c r="AW2056" s="200">
        <f t="shared" si="10389"/>
        <v>0</v>
      </c>
      <c r="AX2056" s="200">
        <f t="shared" si="10389"/>
        <v>0</v>
      </c>
      <c r="AY2056" s="202">
        <v>0.0</v>
      </c>
      <c r="AZ2056" s="200"/>
      <c r="BA2056" s="171" t="str">
        <f t="shared" si="18"/>
        <v/>
      </c>
      <c r="BB2056" s="171" t="str">
        <f t="shared" si="19"/>
        <v/>
      </c>
      <c r="BC2056" s="171" t="str">
        <f t="shared" si="20"/>
        <v/>
      </c>
      <c r="BD2056" s="171" t="str">
        <f t="shared" si="21"/>
        <v>Institutional</v>
      </c>
      <c r="BE2056" s="171" t="str">
        <f t="shared" si="22"/>
        <v/>
      </c>
      <c r="BF2056" s="171" t="str">
        <f t="shared" si="23"/>
        <v>Institutional</v>
      </c>
    </row>
    <row r="2057">
      <c r="A2057" s="171">
        <f t="array" ref="A2057">XLOOKUP(C2057,FSE!A:A,FSE!C:C,"XXXXX",0,1)</f>
        <v>2016</v>
      </c>
      <c r="B2057" s="213" t="s">
        <v>5676</v>
      </c>
      <c r="C2057" s="214">
        <v>684.0</v>
      </c>
      <c r="D2057" s="215" t="s">
        <v>3865</v>
      </c>
      <c r="E2057" s="197" t="str">
        <f t="array" ref="E2057">XLOOKUP(C2057,FSE!A:A,FSE!Z:Z,"XXXXX",0,1)</f>
        <v>Publicly Available (1)</v>
      </c>
      <c r="F2057" s="213" t="s">
        <v>3394</v>
      </c>
      <c r="G2057" s="163" t="str">
        <f t="array" ref="G2057">IF(B2057="ICSE",IF(COUNTIFS(B:B,B2057,C:C,C2057)=XLOOKUP(C2057,ICSE!A:A,ICSE!AA:AA,"ERROR",0,1),"OK","ERROR"),IF(B2057="FSE",IF(COUNTIFS(B:B,B2057,C:C,C2057)=XLOOKUP(C2057,FSE!A:A,FSE!AA:AA,"ERROR",0,1),"OK","ERROR")))</f>
        <v>OK</v>
      </c>
      <c r="H2057" s="199">
        <f t="shared" ref="H2057:O2057" si="10390">countif($D2057,"*"&amp;H$2&amp;"*")</f>
        <v>0</v>
      </c>
      <c r="I2057" s="200">
        <f t="shared" si="10390"/>
        <v>0</v>
      </c>
      <c r="J2057" s="200">
        <f t="shared" si="10390"/>
        <v>0</v>
      </c>
      <c r="K2057" s="200">
        <f t="shared" si="10390"/>
        <v>0</v>
      </c>
      <c r="L2057" s="200">
        <f t="shared" si="10390"/>
        <v>0</v>
      </c>
      <c r="M2057" s="200">
        <f t="shared" si="10390"/>
        <v>0</v>
      </c>
      <c r="N2057" s="200">
        <f t="shared" si="10390"/>
        <v>0</v>
      </c>
      <c r="O2057" s="200">
        <f t="shared" si="10390"/>
        <v>0</v>
      </c>
      <c r="P2057" s="200">
        <f t="shared" si="9"/>
        <v>0</v>
      </c>
      <c r="Q2057" s="200">
        <f t="shared" ref="Q2057:AC2057" si="10391">countif($D2057,"*"&amp;Q$2&amp;"*")</f>
        <v>0</v>
      </c>
      <c r="R2057" s="200">
        <f t="shared" si="10391"/>
        <v>1</v>
      </c>
      <c r="S2057" s="200">
        <f t="shared" si="10391"/>
        <v>0</v>
      </c>
      <c r="T2057" s="200">
        <f t="shared" si="10391"/>
        <v>0</v>
      </c>
      <c r="U2057" s="200">
        <f t="shared" si="10391"/>
        <v>0</v>
      </c>
      <c r="V2057" s="200">
        <f t="shared" si="10391"/>
        <v>0</v>
      </c>
      <c r="W2057" s="200">
        <f t="shared" si="10391"/>
        <v>0</v>
      </c>
      <c r="X2057" s="200">
        <f t="shared" si="10391"/>
        <v>0</v>
      </c>
      <c r="Y2057" s="200">
        <f t="shared" si="10391"/>
        <v>0</v>
      </c>
      <c r="Z2057" s="200">
        <f t="shared" si="10391"/>
        <v>0</v>
      </c>
      <c r="AA2057" s="200">
        <f t="shared" si="10391"/>
        <v>0</v>
      </c>
      <c r="AB2057" s="200">
        <f t="shared" si="10391"/>
        <v>0</v>
      </c>
      <c r="AC2057" s="200">
        <f t="shared" si="10391"/>
        <v>0</v>
      </c>
      <c r="AD2057" s="200">
        <f t="shared" si="11"/>
        <v>0</v>
      </c>
      <c r="AE2057" s="200">
        <f t="shared" ref="AE2057:AG2057" si="10392">countif($D2057,"*"&amp;AE$2&amp;"*")</f>
        <v>0</v>
      </c>
      <c r="AF2057" s="200">
        <f t="shared" si="10392"/>
        <v>0</v>
      </c>
      <c r="AG2057" s="200">
        <f t="shared" si="10392"/>
        <v>0</v>
      </c>
      <c r="AH2057" s="171">
        <f t="shared" si="13"/>
        <v>0</v>
      </c>
      <c r="AI2057" s="200">
        <f t="shared" si="14"/>
        <v>0</v>
      </c>
      <c r="AJ2057" s="200">
        <f t="shared" si="10382"/>
        <v>0</v>
      </c>
      <c r="AK2057" s="201">
        <f t="shared" ref="AK2057:AS2057" si="10393">countif($D2057,"*"&amp;AK$2&amp;"*")</f>
        <v>0</v>
      </c>
      <c r="AL2057" s="201">
        <f t="shared" si="10393"/>
        <v>0</v>
      </c>
      <c r="AM2057" s="201">
        <f t="shared" si="10393"/>
        <v>0</v>
      </c>
      <c r="AN2057" s="201">
        <f t="shared" si="10393"/>
        <v>0</v>
      </c>
      <c r="AO2057" s="201">
        <f t="shared" si="10393"/>
        <v>0</v>
      </c>
      <c r="AP2057" s="201">
        <f t="shared" si="10393"/>
        <v>0</v>
      </c>
      <c r="AQ2057" s="201">
        <f t="shared" si="10393"/>
        <v>0</v>
      </c>
      <c r="AR2057" s="200">
        <f t="shared" si="10393"/>
        <v>0</v>
      </c>
      <c r="AS2057" s="200">
        <f t="shared" si="10393"/>
        <v>0</v>
      </c>
      <c r="AT2057" s="173">
        <v>0.0</v>
      </c>
      <c r="AU2057" s="200">
        <f t="shared" ref="AU2057:AX2057" si="10394">countif($D2057,"*"&amp;AU$2&amp;"*")</f>
        <v>0</v>
      </c>
      <c r="AV2057" s="200">
        <f t="shared" si="10394"/>
        <v>0</v>
      </c>
      <c r="AW2057" s="200">
        <f t="shared" si="10394"/>
        <v>0</v>
      </c>
      <c r="AX2057" s="200">
        <f t="shared" si="10394"/>
        <v>0</v>
      </c>
      <c r="AY2057" s="202">
        <v>0.0</v>
      </c>
      <c r="AZ2057" s="200"/>
      <c r="BA2057" s="171" t="str">
        <f t="shared" si="18"/>
        <v/>
      </c>
      <c r="BB2057" s="171" t="str">
        <f t="shared" si="19"/>
        <v>Code</v>
      </c>
      <c r="BC2057" s="171" t="str">
        <f t="shared" si="20"/>
        <v/>
      </c>
      <c r="BD2057" s="171" t="str">
        <f t="shared" si="21"/>
        <v/>
      </c>
      <c r="BE2057" s="171" t="str">
        <f t="shared" si="22"/>
        <v/>
      </c>
      <c r="BF2057" s="171" t="str">
        <f t="shared" si="23"/>
        <v>Code</v>
      </c>
    </row>
    <row r="2058">
      <c r="A2058" s="171">
        <f t="array" ref="A2058">XLOOKUP(C2058,FSE!A:A,FSE!C:C,"XXXXX",0,1)</f>
        <v>2016</v>
      </c>
      <c r="B2058" s="213" t="s">
        <v>5676</v>
      </c>
      <c r="C2058" s="214">
        <v>686.0</v>
      </c>
      <c r="D2058" s="217" t="s">
        <v>3869</v>
      </c>
      <c r="E2058" s="197" t="str">
        <f t="array" ref="E2058">XLOOKUP(C2058,FSE!A:A,FSE!Z:Z,"XXXXX",0,1)</f>
        <v>Not Available (1)</v>
      </c>
      <c r="F2058" s="213" t="s">
        <v>3395</v>
      </c>
      <c r="G2058" s="163" t="str">
        <f t="array" ref="G2058">IF(B2058="ICSE",IF(COUNTIFS(B:B,B2058,C:C,C2058)=XLOOKUP(C2058,ICSE!A:A,ICSE!AA:AA,"ERROR",0,1),"OK","ERROR"),IF(B2058="FSE",IF(COUNTIFS(B:B,B2058,C:C,C2058)=XLOOKUP(C2058,FSE!A:A,FSE!AA:AA,"ERROR",0,1),"OK","ERROR")))</f>
        <v>OK</v>
      </c>
      <c r="H2058" s="199">
        <f t="shared" ref="H2058:O2058" si="10395">countif($D2058,"*"&amp;H$2&amp;"*")</f>
        <v>0</v>
      </c>
      <c r="I2058" s="200">
        <f t="shared" si="10395"/>
        <v>0</v>
      </c>
      <c r="J2058" s="200">
        <f t="shared" si="10395"/>
        <v>0</v>
      </c>
      <c r="K2058" s="200">
        <f t="shared" si="10395"/>
        <v>0</v>
      </c>
      <c r="L2058" s="200">
        <f t="shared" si="10395"/>
        <v>0</v>
      </c>
      <c r="M2058" s="200">
        <f t="shared" si="10395"/>
        <v>0</v>
      </c>
      <c r="N2058" s="200">
        <f t="shared" si="10395"/>
        <v>0</v>
      </c>
      <c r="O2058" s="200">
        <f t="shared" si="10395"/>
        <v>0</v>
      </c>
      <c r="P2058" s="200">
        <f t="shared" si="9"/>
        <v>0</v>
      </c>
      <c r="Q2058" s="200">
        <f t="shared" ref="Q2058:AC2058" si="10396">countif($D2058,"*"&amp;Q$2&amp;"*")</f>
        <v>0</v>
      </c>
      <c r="R2058" s="200">
        <f t="shared" si="10396"/>
        <v>0</v>
      </c>
      <c r="S2058" s="200">
        <f t="shared" si="10396"/>
        <v>0</v>
      </c>
      <c r="T2058" s="200">
        <f t="shared" si="10396"/>
        <v>0</v>
      </c>
      <c r="U2058" s="200">
        <f t="shared" si="10396"/>
        <v>0</v>
      </c>
      <c r="V2058" s="200">
        <f t="shared" si="10396"/>
        <v>0</v>
      </c>
      <c r="W2058" s="200">
        <f t="shared" si="10396"/>
        <v>0</v>
      </c>
      <c r="X2058" s="200">
        <f t="shared" si="10396"/>
        <v>0</v>
      </c>
      <c r="Y2058" s="200">
        <f t="shared" si="10396"/>
        <v>0</v>
      </c>
      <c r="Z2058" s="200">
        <f t="shared" si="10396"/>
        <v>0</v>
      </c>
      <c r="AA2058" s="200">
        <f t="shared" si="10396"/>
        <v>1</v>
      </c>
      <c r="AB2058" s="200">
        <f t="shared" si="10396"/>
        <v>0</v>
      </c>
      <c r="AC2058" s="200">
        <f t="shared" si="10396"/>
        <v>0</v>
      </c>
      <c r="AD2058" s="200">
        <f t="shared" si="11"/>
        <v>0</v>
      </c>
      <c r="AE2058" s="200">
        <f t="shared" ref="AE2058:AG2058" si="10397">countif($D2058,"*"&amp;AE$2&amp;"*")</f>
        <v>0</v>
      </c>
      <c r="AF2058" s="200">
        <f t="shared" si="10397"/>
        <v>0</v>
      </c>
      <c r="AG2058" s="200">
        <f t="shared" si="10397"/>
        <v>0</v>
      </c>
      <c r="AH2058" s="171">
        <f t="shared" si="13"/>
        <v>0</v>
      </c>
      <c r="AI2058" s="200">
        <f t="shared" si="14"/>
        <v>0</v>
      </c>
      <c r="AJ2058" s="200">
        <f t="shared" si="10382"/>
        <v>0</v>
      </c>
      <c r="AK2058" s="201">
        <f t="shared" ref="AK2058:AS2058" si="10398">countif($D2058,"*"&amp;AK$2&amp;"*")</f>
        <v>0</v>
      </c>
      <c r="AL2058" s="201">
        <f t="shared" si="10398"/>
        <v>0</v>
      </c>
      <c r="AM2058" s="201">
        <f t="shared" si="10398"/>
        <v>0</v>
      </c>
      <c r="AN2058" s="201">
        <f t="shared" si="10398"/>
        <v>0</v>
      </c>
      <c r="AO2058" s="201">
        <f t="shared" si="10398"/>
        <v>0</v>
      </c>
      <c r="AP2058" s="201">
        <f t="shared" si="10398"/>
        <v>0</v>
      </c>
      <c r="AQ2058" s="201">
        <f t="shared" si="10398"/>
        <v>0</v>
      </c>
      <c r="AR2058" s="200">
        <f t="shared" si="10398"/>
        <v>0</v>
      </c>
      <c r="AS2058" s="200">
        <f t="shared" si="10398"/>
        <v>0</v>
      </c>
      <c r="AT2058" s="173">
        <v>0.0</v>
      </c>
      <c r="AU2058" s="200">
        <f t="shared" ref="AU2058:AX2058" si="10399">countif($D2058,"*"&amp;AU$2&amp;"*")</f>
        <v>0</v>
      </c>
      <c r="AV2058" s="200">
        <f t="shared" si="10399"/>
        <v>0</v>
      </c>
      <c r="AW2058" s="200">
        <f t="shared" si="10399"/>
        <v>0</v>
      </c>
      <c r="AX2058" s="200">
        <f t="shared" si="10399"/>
        <v>0</v>
      </c>
      <c r="AY2058" s="202">
        <v>0.0</v>
      </c>
      <c r="AZ2058" s="200"/>
      <c r="BA2058" s="171" t="str">
        <f t="shared" si="18"/>
        <v/>
      </c>
      <c r="BB2058" s="171" t="str">
        <f t="shared" si="19"/>
        <v/>
      </c>
      <c r="BC2058" s="171" t="str">
        <f t="shared" si="20"/>
        <v>General-purpose</v>
      </c>
      <c r="BD2058" s="171" t="str">
        <f t="shared" si="21"/>
        <v/>
      </c>
      <c r="BE2058" s="171" t="str">
        <f t="shared" si="22"/>
        <v/>
      </c>
      <c r="BF2058" s="171" t="str">
        <f t="shared" si="23"/>
        <v>General-purpose</v>
      </c>
    </row>
    <row r="2059">
      <c r="A2059" s="171">
        <f t="array" ref="A2059">XLOOKUP(C2059,FSE!A:A,FSE!C:C,"XXXXX",0,1)</f>
        <v>2016</v>
      </c>
      <c r="B2059" s="213" t="s">
        <v>5676</v>
      </c>
      <c r="C2059" s="214">
        <v>687.0</v>
      </c>
      <c r="D2059" s="217" t="s">
        <v>3872</v>
      </c>
      <c r="E2059" s="197" t="str">
        <f t="array" ref="E2059">XLOOKUP(C2059,FSE!A:A,FSE!Z:Z,"XXXXX",0,1)</f>
        <v>Publicly Available (1)</v>
      </c>
      <c r="F2059" s="218" t="s">
        <v>3394</v>
      </c>
      <c r="G2059" s="163" t="str">
        <f t="array" ref="G2059">IF(B2059="ICSE",IF(COUNTIFS(B:B,B2059,C:C,C2059)=XLOOKUP(C2059,ICSE!A:A,ICSE!AA:AA,"ERROR",0,1),"OK","ERROR"),IF(B2059="FSE",IF(COUNTIFS(B:B,B2059,C:C,C2059)=XLOOKUP(C2059,FSE!A:A,FSE!AA:AA,"ERROR",0,1),"OK","ERROR")))</f>
        <v>OK</v>
      </c>
      <c r="H2059" s="199">
        <f t="shared" ref="H2059:O2059" si="10400">countif($D2059,"*"&amp;H$2&amp;"*")</f>
        <v>0</v>
      </c>
      <c r="I2059" s="200">
        <f t="shared" si="10400"/>
        <v>0</v>
      </c>
      <c r="J2059" s="200">
        <f t="shared" si="10400"/>
        <v>0</v>
      </c>
      <c r="K2059" s="200">
        <f t="shared" si="10400"/>
        <v>0</v>
      </c>
      <c r="L2059" s="200">
        <f t="shared" si="10400"/>
        <v>0</v>
      </c>
      <c r="M2059" s="200">
        <f t="shared" si="10400"/>
        <v>0</v>
      </c>
      <c r="N2059" s="200">
        <f t="shared" si="10400"/>
        <v>0</v>
      </c>
      <c r="O2059" s="200">
        <f t="shared" si="10400"/>
        <v>0</v>
      </c>
      <c r="P2059" s="200">
        <f t="shared" si="9"/>
        <v>0</v>
      </c>
      <c r="Q2059" s="200">
        <f t="shared" ref="Q2059:AC2059" si="10401">countif($D2059,"*"&amp;Q$2&amp;"*")</f>
        <v>0</v>
      </c>
      <c r="R2059" s="200">
        <f t="shared" si="10401"/>
        <v>0</v>
      </c>
      <c r="S2059" s="200">
        <f t="shared" si="10401"/>
        <v>0</v>
      </c>
      <c r="T2059" s="200">
        <f t="shared" si="10401"/>
        <v>0</v>
      </c>
      <c r="U2059" s="200">
        <f t="shared" si="10401"/>
        <v>0</v>
      </c>
      <c r="V2059" s="200">
        <f t="shared" si="10401"/>
        <v>0</v>
      </c>
      <c r="W2059" s="200">
        <f t="shared" si="10401"/>
        <v>0</v>
      </c>
      <c r="X2059" s="200">
        <f t="shared" si="10401"/>
        <v>0</v>
      </c>
      <c r="Y2059" s="200">
        <f t="shared" si="10401"/>
        <v>0</v>
      </c>
      <c r="Z2059" s="200">
        <f t="shared" si="10401"/>
        <v>0</v>
      </c>
      <c r="AA2059" s="200">
        <f t="shared" si="10401"/>
        <v>1</v>
      </c>
      <c r="AB2059" s="200">
        <f t="shared" si="10401"/>
        <v>0</v>
      </c>
      <c r="AC2059" s="200">
        <f t="shared" si="10401"/>
        <v>0</v>
      </c>
      <c r="AD2059" s="200">
        <f t="shared" si="11"/>
        <v>0</v>
      </c>
      <c r="AE2059" s="200">
        <f t="shared" ref="AE2059:AG2059" si="10402">countif($D2059,"*"&amp;AE$2&amp;"*")</f>
        <v>0</v>
      </c>
      <c r="AF2059" s="200">
        <f t="shared" si="10402"/>
        <v>0</v>
      </c>
      <c r="AG2059" s="200">
        <f t="shared" si="10402"/>
        <v>0</v>
      </c>
      <c r="AH2059" s="171">
        <f t="shared" si="13"/>
        <v>0</v>
      </c>
      <c r="AI2059" s="200">
        <f t="shared" si="14"/>
        <v>0</v>
      </c>
      <c r="AJ2059" s="200">
        <f t="shared" si="10382"/>
        <v>0</v>
      </c>
      <c r="AK2059" s="201">
        <f t="shared" ref="AK2059:AS2059" si="10403">countif($D2059,"*"&amp;AK$2&amp;"*")</f>
        <v>0</v>
      </c>
      <c r="AL2059" s="201">
        <f t="shared" si="10403"/>
        <v>0</v>
      </c>
      <c r="AM2059" s="201">
        <f t="shared" si="10403"/>
        <v>0</v>
      </c>
      <c r="AN2059" s="201">
        <f t="shared" si="10403"/>
        <v>0</v>
      </c>
      <c r="AO2059" s="201">
        <f t="shared" si="10403"/>
        <v>0</v>
      </c>
      <c r="AP2059" s="201">
        <f t="shared" si="10403"/>
        <v>0</v>
      </c>
      <c r="AQ2059" s="201">
        <f t="shared" si="10403"/>
        <v>0</v>
      </c>
      <c r="AR2059" s="200">
        <f t="shared" si="10403"/>
        <v>0</v>
      </c>
      <c r="AS2059" s="200">
        <f t="shared" si="10403"/>
        <v>0</v>
      </c>
      <c r="AT2059" s="173">
        <v>0.0</v>
      </c>
      <c r="AU2059" s="200">
        <f t="shared" ref="AU2059:AX2059" si="10404">countif($D2059,"*"&amp;AU$2&amp;"*")</f>
        <v>0</v>
      </c>
      <c r="AV2059" s="200">
        <f t="shared" si="10404"/>
        <v>0</v>
      </c>
      <c r="AW2059" s="200">
        <f t="shared" si="10404"/>
        <v>0</v>
      </c>
      <c r="AX2059" s="200">
        <f t="shared" si="10404"/>
        <v>0</v>
      </c>
      <c r="AY2059" s="202">
        <v>0.0</v>
      </c>
      <c r="AZ2059" s="200"/>
      <c r="BA2059" s="171" t="str">
        <f t="shared" si="18"/>
        <v/>
      </c>
      <c r="BB2059" s="171" t="str">
        <f t="shared" si="19"/>
        <v/>
      </c>
      <c r="BC2059" s="171" t="str">
        <f t="shared" si="20"/>
        <v>General-purpose</v>
      </c>
      <c r="BD2059" s="171" t="str">
        <f t="shared" si="21"/>
        <v/>
      </c>
      <c r="BE2059" s="171" t="str">
        <f t="shared" si="22"/>
        <v/>
      </c>
      <c r="BF2059" s="171" t="str">
        <f t="shared" si="23"/>
        <v>General-purpose</v>
      </c>
    </row>
    <row r="2060">
      <c r="A2060" s="171">
        <f t="array" ref="A2060">XLOOKUP(C2060,FSE!A:A,FSE!C:C,"XXXXX",0,1)</f>
        <v>2016</v>
      </c>
      <c r="B2060" s="213" t="s">
        <v>5676</v>
      </c>
      <c r="C2060" s="214">
        <v>688.0</v>
      </c>
      <c r="D2060" s="215" t="s">
        <v>3875</v>
      </c>
      <c r="E2060" s="197" t="str">
        <f t="array" ref="E2060">XLOOKUP(C2060,FSE!A:A,FSE!Z:Z,"XXXXX",0,1)</f>
        <v>Publicly Available (1)</v>
      </c>
      <c r="F2060" s="213" t="s">
        <v>3394</v>
      </c>
      <c r="G2060" s="163" t="str">
        <f t="array" ref="G2060">IF(B2060="ICSE",IF(COUNTIFS(B:B,B2060,C:C,C2060)=XLOOKUP(C2060,ICSE!A:A,ICSE!AA:AA,"ERROR",0,1),"OK","ERROR"),IF(B2060="FSE",IF(COUNTIFS(B:B,B2060,C:C,C2060)=XLOOKUP(C2060,FSE!A:A,FSE!AA:AA,"ERROR",0,1),"OK","ERROR")))</f>
        <v>OK</v>
      </c>
      <c r="H2060" s="199">
        <f t="shared" ref="H2060:O2060" si="10405">countif($D2060,"*"&amp;H$2&amp;"*")</f>
        <v>0</v>
      </c>
      <c r="I2060" s="200">
        <f t="shared" si="10405"/>
        <v>0</v>
      </c>
      <c r="J2060" s="200">
        <f t="shared" si="10405"/>
        <v>0</v>
      </c>
      <c r="K2060" s="200">
        <f t="shared" si="10405"/>
        <v>0</v>
      </c>
      <c r="L2060" s="200">
        <f t="shared" si="10405"/>
        <v>0</v>
      </c>
      <c r="M2060" s="200">
        <f t="shared" si="10405"/>
        <v>0</v>
      </c>
      <c r="N2060" s="200">
        <f t="shared" si="10405"/>
        <v>0</v>
      </c>
      <c r="O2060" s="200">
        <f t="shared" si="10405"/>
        <v>0</v>
      </c>
      <c r="P2060" s="200">
        <f t="shared" si="9"/>
        <v>1</v>
      </c>
      <c r="Q2060" s="200">
        <f t="shared" ref="Q2060:AC2060" si="10406">countif($D2060,"*"&amp;Q$2&amp;"*")</f>
        <v>0</v>
      </c>
      <c r="R2060" s="200">
        <f t="shared" si="10406"/>
        <v>0</v>
      </c>
      <c r="S2060" s="200">
        <f t="shared" si="10406"/>
        <v>0</v>
      </c>
      <c r="T2060" s="200">
        <f t="shared" si="10406"/>
        <v>0</v>
      </c>
      <c r="U2060" s="200">
        <f t="shared" si="10406"/>
        <v>0</v>
      </c>
      <c r="V2060" s="200">
        <f t="shared" si="10406"/>
        <v>0</v>
      </c>
      <c r="W2060" s="200">
        <f t="shared" si="10406"/>
        <v>0</v>
      </c>
      <c r="X2060" s="200">
        <f t="shared" si="10406"/>
        <v>0</v>
      </c>
      <c r="Y2060" s="200">
        <f t="shared" si="10406"/>
        <v>0</v>
      </c>
      <c r="Z2060" s="200">
        <f t="shared" si="10406"/>
        <v>0</v>
      </c>
      <c r="AA2060" s="200">
        <f t="shared" si="10406"/>
        <v>0</v>
      </c>
      <c r="AB2060" s="200">
        <f t="shared" si="10406"/>
        <v>0</v>
      </c>
      <c r="AC2060" s="200">
        <f t="shared" si="10406"/>
        <v>0</v>
      </c>
      <c r="AD2060" s="200">
        <f t="shared" si="11"/>
        <v>0</v>
      </c>
      <c r="AE2060" s="200">
        <f t="shared" ref="AE2060:AG2060" si="10407">countif($D2060,"*"&amp;AE$2&amp;"*")</f>
        <v>0</v>
      </c>
      <c r="AF2060" s="200">
        <f t="shared" si="10407"/>
        <v>0</v>
      </c>
      <c r="AG2060" s="200">
        <f t="shared" si="10407"/>
        <v>0</v>
      </c>
      <c r="AH2060" s="171">
        <f t="shared" si="13"/>
        <v>0</v>
      </c>
      <c r="AI2060" s="200">
        <f t="shared" si="14"/>
        <v>0</v>
      </c>
      <c r="AJ2060" s="200">
        <f t="shared" si="10382"/>
        <v>0</v>
      </c>
      <c r="AK2060" s="201">
        <f t="shared" ref="AK2060:AS2060" si="10408">countif($D2060,"*"&amp;AK$2&amp;"*")</f>
        <v>0</v>
      </c>
      <c r="AL2060" s="201">
        <f t="shared" si="10408"/>
        <v>0</v>
      </c>
      <c r="AM2060" s="201">
        <f t="shared" si="10408"/>
        <v>0</v>
      </c>
      <c r="AN2060" s="201">
        <f t="shared" si="10408"/>
        <v>0</v>
      </c>
      <c r="AO2060" s="201">
        <f t="shared" si="10408"/>
        <v>0</v>
      </c>
      <c r="AP2060" s="201">
        <f t="shared" si="10408"/>
        <v>0</v>
      </c>
      <c r="AQ2060" s="201">
        <f t="shared" si="10408"/>
        <v>0</v>
      </c>
      <c r="AR2060" s="200">
        <f t="shared" si="10408"/>
        <v>0</v>
      </c>
      <c r="AS2060" s="200">
        <f t="shared" si="10408"/>
        <v>0</v>
      </c>
      <c r="AT2060" s="173">
        <v>0.0</v>
      </c>
      <c r="AU2060" s="200">
        <f t="shared" ref="AU2060:AX2060" si="10409">countif($D2060,"*"&amp;AU$2&amp;"*")</f>
        <v>0</v>
      </c>
      <c r="AV2060" s="200">
        <f t="shared" si="10409"/>
        <v>1</v>
      </c>
      <c r="AW2060" s="200">
        <f t="shared" si="10409"/>
        <v>0</v>
      </c>
      <c r="AX2060" s="200">
        <f t="shared" si="10409"/>
        <v>0</v>
      </c>
      <c r="AY2060" s="202">
        <v>0.0</v>
      </c>
      <c r="AZ2060" s="200"/>
      <c r="BA2060" s="171" t="str">
        <f t="shared" si="18"/>
        <v/>
      </c>
      <c r="BB2060" s="171" t="str">
        <f t="shared" si="19"/>
        <v>Code</v>
      </c>
      <c r="BC2060" s="171" t="str">
        <f t="shared" si="20"/>
        <v/>
      </c>
      <c r="BD2060" s="171" t="str">
        <f t="shared" si="21"/>
        <v/>
      </c>
      <c r="BE2060" s="171" t="str">
        <f t="shared" si="22"/>
        <v/>
      </c>
      <c r="BF2060" s="171" t="str">
        <f t="shared" si="23"/>
        <v>Code</v>
      </c>
    </row>
    <row r="2061">
      <c r="A2061" s="171">
        <f t="array" ref="A2061">XLOOKUP(C2061,FSE!A:A,FSE!C:C,"XXXXX",0,1)</f>
        <v>2016</v>
      </c>
      <c r="B2061" s="213" t="s">
        <v>5676</v>
      </c>
      <c r="C2061" s="214">
        <v>690.0</v>
      </c>
      <c r="D2061" s="215" t="s">
        <v>3878</v>
      </c>
      <c r="E2061" s="197" t="str">
        <f t="array" ref="E2061">XLOOKUP(C2061,FSE!A:A,FSE!Z:Z,"XXXXX",0,1)</f>
        <v>Publicly Available (1)</v>
      </c>
      <c r="F2061" s="213" t="s">
        <v>3394</v>
      </c>
      <c r="G2061" s="163" t="str">
        <f t="array" ref="G2061">IF(B2061="ICSE",IF(COUNTIFS(B:B,B2061,C:C,C2061)=XLOOKUP(C2061,ICSE!A:A,ICSE!AA:AA,"ERROR",0,1),"OK","ERROR"),IF(B2061="FSE",IF(COUNTIFS(B:B,B2061,C:C,C2061)=XLOOKUP(C2061,FSE!A:A,FSE!AA:AA,"ERROR",0,1),"OK","ERROR")))</f>
        <v>OK</v>
      </c>
      <c r="H2061" s="199">
        <f t="shared" ref="H2061:O2061" si="10410">countif($D2061,"*"&amp;H$2&amp;"*")</f>
        <v>0</v>
      </c>
      <c r="I2061" s="200">
        <f t="shared" si="10410"/>
        <v>0</v>
      </c>
      <c r="J2061" s="200">
        <f t="shared" si="10410"/>
        <v>0</v>
      </c>
      <c r="K2061" s="200">
        <f t="shared" si="10410"/>
        <v>0</v>
      </c>
      <c r="L2061" s="200">
        <f t="shared" si="10410"/>
        <v>0</v>
      </c>
      <c r="M2061" s="200">
        <f t="shared" si="10410"/>
        <v>0</v>
      </c>
      <c r="N2061" s="200">
        <f t="shared" si="10410"/>
        <v>0</v>
      </c>
      <c r="O2061" s="200">
        <f t="shared" si="10410"/>
        <v>0</v>
      </c>
      <c r="P2061" s="200">
        <f t="shared" si="9"/>
        <v>1</v>
      </c>
      <c r="Q2061" s="200">
        <f t="shared" ref="Q2061:AC2061" si="10411">countif($D2061,"*"&amp;Q$2&amp;"*")</f>
        <v>0</v>
      </c>
      <c r="R2061" s="200">
        <f t="shared" si="10411"/>
        <v>0</v>
      </c>
      <c r="S2061" s="200">
        <f t="shared" si="10411"/>
        <v>0</v>
      </c>
      <c r="T2061" s="200">
        <f t="shared" si="10411"/>
        <v>0</v>
      </c>
      <c r="U2061" s="200">
        <f t="shared" si="10411"/>
        <v>0</v>
      </c>
      <c r="V2061" s="200">
        <f t="shared" si="10411"/>
        <v>0</v>
      </c>
      <c r="W2061" s="200">
        <f t="shared" si="10411"/>
        <v>0</v>
      </c>
      <c r="X2061" s="200">
        <f t="shared" si="10411"/>
        <v>0</v>
      </c>
      <c r="Y2061" s="200">
        <f t="shared" si="10411"/>
        <v>0</v>
      </c>
      <c r="Z2061" s="200">
        <f t="shared" si="10411"/>
        <v>0</v>
      </c>
      <c r="AA2061" s="200">
        <f t="shared" si="10411"/>
        <v>0</v>
      </c>
      <c r="AB2061" s="200">
        <f t="shared" si="10411"/>
        <v>0</v>
      </c>
      <c r="AC2061" s="200">
        <f t="shared" si="10411"/>
        <v>0</v>
      </c>
      <c r="AD2061" s="200">
        <f t="shared" si="11"/>
        <v>0</v>
      </c>
      <c r="AE2061" s="200">
        <f t="shared" ref="AE2061:AG2061" si="10412">countif($D2061,"*"&amp;AE$2&amp;"*")</f>
        <v>0</v>
      </c>
      <c r="AF2061" s="200">
        <f t="shared" si="10412"/>
        <v>0</v>
      </c>
      <c r="AG2061" s="200">
        <f t="shared" si="10412"/>
        <v>0</v>
      </c>
      <c r="AH2061" s="171">
        <f t="shared" si="13"/>
        <v>0</v>
      </c>
      <c r="AI2061" s="200">
        <f t="shared" si="14"/>
        <v>0</v>
      </c>
      <c r="AJ2061" s="200">
        <f t="shared" si="10382"/>
        <v>0</v>
      </c>
      <c r="AK2061" s="201">
        <f t="shared" ref="AK2061:AS2061" si="10413">countif($D2061,"*"&amp;AK$2&amp;"*")</f>
        <v>0</v>
      </c>
      <c r="AL2061" s="201">
        <f t="shared" si="10413"/>
        <v>0</v>
      </c>
      <c r="AM2061" s="201">
        <f t="shared" si="10413"/>
        <v>0</v>
      </c>
      <c r="AN2061" s="201">
        <f t="shared" si="10413"/>
        <v>0</v>
      </c>
      <c r="AO2061" s="201">
        <f t="shared" si="10413"/>
        <v>0</v>
      </c>
      <c r="AP2061" s="201">
        <f t="shared" si="10413"/>
        <v>0</v>
      </c>
      <c r="AQ2061" s="201">
        <f t="shared" si="10413"/>
        <v>0</v>
      </c>
      <c r="AR2061" s="200">
        <f t="shared" si="10413"/>
        <v>0</v>
      </c>
      <c r="AS2061" s="200">
        <f t="shared" si="10413"/>
        <v>0</v>
      </c>
      <c r="AT2061" s="173">
        <v>0.0</v>
      </c>
      <c r="AU2061" s="200">
        <f t="shared" ref="AU2061:AX2061" si="10414">countif($D2061,"*"&amp;AU$2&amp;"*")</f>
        <v>0</v>
      </c>
      <c r="AV2061" s="200">
        <f t="shared" si="10414"/>
        <v>1</v>
      </c>
      <c r="AW2061" s="200">
        <f t="shared" si="10414"/>
        <v>0</v>
      </c>
      <c r="AX2061" s="200">
        <f t="shared" si="10414"/>
        <v>0</v>
      </c>
      <c r="AY2061" s="202">
        <v>0.0</v>
      </c>
      <c r="AZ2061" s="200"/>
      <c r="BA2061" s="171" t="str">
        <f t="shared" si="18"/>
        <v/>
      </c>
      <c r="BB2061" s="171" t="str">
        <f t="shared" si="19"/>
        <v>Code</v>
      </c>
      <c r="BC2061" s="171" t="str">
        <f t="shared" si="20"/>
        <v/>
      </c>
      <c r="BD2061" s="171" t="str">
        <f t="shared" si="21"/>
        <v/>
      </c>
      <c r="BE2061" s="171" t="str">
        <f t="shared" si="22"/>
        <v/>
      </c>
      <c r="BF2061" s="171" t="str">
        <f t="shared" si="23"/>
        <v>Code</v>
      </c>
    </row>
    <row r="2062">
      <c r="A2062" s="171">
        <f t="array" ref="A2062">XLOOKUP(C2062,FSE!A:A,FSE!C:C,"XXXXX",0,1)</f>
        <v>2016</v>
      </c>
      <c r="B2062" s="213" t="s">
        <v>5676</v>
      </c>
      <c r="C2062" s="214">
        <v>691.0</v>
      </c>
      <c r="D2062" s="215" t="s">
        <v>3881</v>
      </c>
      <c r="E2062" s="197" t="str">
        <f t="array" ref="E2062">XLOOKUP(C2062,FSE!A:A,FSE!Z:Z,"XXXXX",0,1)</f>
        <v>Publicly Available (1)</v>
      </c>
      <c r="F2062" s="213" t="s">
        <v>3394</v>
      </c>
      <c r="G2062" s="163" t="str">
        <f t="array" ref="G2062">IF(B2062="ICSE",IF(COUNTIFS(B:B,B2062,C:C,C2062)=XLOOKUP(C2062,ICSE!A:A,ICSE!AA:AA,"ERROR",0,1),"OK","ERROR"),IF(B2062="FSE",IF(COUNTIFS(B:B,B2062,C:C,C2062)=XLOOKUP(C2062,FSE!A:A,FSE!AA:AA,"ERROR",0,1),"OK","ERROR")))</f>
        <v>OK</v>
      </c>
      <c r="H2062" s="199">
        <f t="shared" ref="H2062:O2062" si="10415">countif($D2062,"*"&amp;H$2&amp;"*")</f>
        <v>0</v>
      </c>
      <c r="I2062" s="200">
        <f t="shared" si="10415"/>
        <v>0</v>
      </c>
      <c r="J2062" s="200">
        <f t="shared" si="10415"/>
        <v>0</v>
      </c>
      <c r="K2062" s="200">
        <f t="shared" si="10415"/>
        <v>0</v>
      </c>
      <c r="L2062" s="200">
        <f t="shared" si="10415"/>
        <v>0</v>
      </c>
      <c r="M2062" s="200">
        <f t="shared" si="10415"/>
        <v>0</v>
      </c>
      <c r="N2062" s="200">
        <f t="shared" si="10415"/>
        <v>0</v>
      </c>
      <c r="O2062" s="200">
        <f t="shared" si="10415"/>
        <v>0</v>
      </c>
      <c r="P2062" s="200">
        <f t="shared" si="9"/>
        <v>0</v>
      </c>
      <c r="Q2062" s="200">
        <f t="shared" ref="Q2062:AC2062" si="10416">countif($D2062,"*"&amp;Q$2&amp;"*")</f>
        <v>0</v>
      </c>
      <c r="R2062" s="200">
        <f t="shared" si="10416"/>
        <v>1</v>
      </c>
      <c r="S2062" s="200">
        <f t="shared" si="10416"/>
        <v>0</v>
      </c>
      <c r="T2062" s="200">
        <f t="shared" si="10416"/>
        <v>0</v>
      </c>
      <c r="U2062" s="200">
        <f t="shared" si="10416"/>
        <v>0</v>
      </c>
      <c r="V2062" s="200">
        <f t="shared" si="10416"/>
        <v>0</v>
      </c>
      <c r="W2062" s="200">
        <f t="shared" si="10416"/>
        <v>0</v>
      </c>
      <c r="X2062" s="200">
        <f t="shared" si="10416"/>
        <v>0</v>
      </c>
      <c r="Y2062" s="200">
        <f t="shared" si="10416"/>
        <v>0</v>
      </c>
      <c r="Z2062" s="200">
        <f t="shared" si="10416"/>
        <v>0</v>
      </c>
      <c r="AA2062" s="200">
        <f t="shared" si="10416"/>
        <v>0</v>
      </c>
      <c r="AB2062" s="200">
        <f t="shared" si="10416"/>
        <v>0</v>
      </c>
      <c r="AC2062" s="200">
        <f t="shared" si="10416"/>
        <v>0</v>
      </c>
      <c r="AD2062" s="200">
        <f t="shared" si="11"/>
        <v>0</v>
      </c>
      <c r="AE2062" s="200">
        <f t="shared" ref="AE2062:AG2062" si="10417">countif($D2062,"*"&amp;AE$2&amp;"*")</f>
        <v>0</v>
      </c>
      <c r="AF2062" s="200">
        <f t="shared" si="10417"/>
        <v>0</v>
      </c>
      <c r="AG2062" s="200">
        <f t="shared" si="10417"/>
        <v>0</v>
      </c>
      <c r="AH2062" s="171">
        <f t="shared" si="13"/>
        <v>0</v>
      </c>
      <c r="AI2062" s="200">
        <f t="shared" si="14"/>
        <v>0</v>
      </c>
      <c r="AJ2062" s="200">
        <f t="shared" si="10382"/>
        <v>0</v>
      </c>
      <c r="AK2062" s="201">
        <f t="shared" ref="AK2062:AS2062" si="10418">countif($D2062,"*"&amp;AK$2&amp;"*")</f>
        <v>0</v>
      </c>
      <c r="AL2062" s="201">
        <f t="shared" si="10418"/>
        <v>0</v>
      </c>
      <c r="AM2062" s="201">
        <f t="shared" si="10418"/>
        <v>0</v>
      </c>
      <c r="AN2062" s="201">
        <f t="shared" si="10418"/>
        <v>0</v>
      </c>
      <c r="AO2062" s="201">
        <f t="shared" si="10418"/>
        <v>0</v>
      </c>
      <c r="AP2062" s="201">
        <f t="shared" si="10418"/>
        <v>0</v>
      </c>
      <c r="AQ2062" s="201">
        <f t="shared" si="10418"/>
        <v>0</v>
      </c>
      <c r="AR2062" s="200">
        <f t="shared" si="10418"/>
        <v>0</v>
      </c>
      <c r="AS2062" s="200">
        <f t="shared" si="10418"/>
        <v>0</v>
      </c>
      <c r="AT2062" s="173">
        <v>0.0</v>
      </c>
      <c r="AU2062" s="200">
        <f t="shared" ref="AU2062:AX2062" si="10419">countif($D2062,"*"&amp;AU$2&amp;"*")</f>
        <v>0</v>
      </c>
      <c r="AV2062" s="200">
        <f t="shared" si="10419"/>
        <v>0</v>
      </c>
      <c r="AW2062" s="200">
        <f t="shared" si="10419"/>
        <v>0</v>
      </c>
      <c r="AX2062" s="200">
        <f t="shared" si="10419"/>
        <v>0</v>
      </c>
      <c r="AY2062" s="202">
        <v>0.0</v>
      </c>
      <c r="AZ2062" s="200"/>
      <c r="BA2062" s="171" t="str">
        <f t="shared" si="18"/>
        <v/>
      </c>
      <c r="BB2062" s="171" t="str">
        <f t="shared" si="19"/>
        <v>Code</v>
      </c>
      <c r="BC2062" s="171" t="str">
        <f t="shared" si="20"/>
        <v/>
      </c>
      <c r="BD2062" s="171" t="str">
        <f t="shared" si="21"/>
        <v/>
      </c>
      <c r="BE2062" s="171" t="str">
        <f t="shared" si="22"/>
        <v/>
      </c>
      <c r="BF2062" s="171" t="str">
        <f t="shared" si="23"/>
        <v>Code</v>
      </c>
    </row>
    <row r="2063">
      <c r="A2063" s="171">
        <f t="array" ref="A2063">XLOOKUP(C2063,FSE!A:A,FSE!C:C,"XXXXX",0,1)</f>
        <v>2016</v>
      </c>
      <c r="B2063" s="213" t="s">
        <v>5676</v>
      </c>
      <c r="C2063" s="214">
        <v>692.0</v>
      </c>
      <c r="D2063" s="215" t="s">
        <v>3884</v>
      </c>
      <c r="E2063" s="197" t="str">
        <f t="array" ref="E2063">XLOOKUP(C2063,FSE!A:A,FSE!Z:Z,"XXXXX",0,1)</f>
        <v>Not Available (1)</v>
      </c>
      <c r="F2063" s="213" t="s">
        <v>3395</v>
      </c>
      <c r="G2063" s="163" t="str">
        <f t="array" ref="G2063">IF(B2063="ICSE",IF(COUNTIFS(B:B,B2063,C:C,C2063)=XLOOKUP(C2063,ICSE!A:A,ICSE!AA:AA,"ERROR",0,1),"OK","ERROR"),IF(B2063="FSE",IF(COUNTIFS(B:B,B2063,C:C,C2063)=XLOOKUP(C2063,FSE!A:A,FSE!AA:AA,"ERROR",0,1),"OK","ERROR")))</f>
        <v>OK</v>
      </c>
      <c r="H2063" s="199">
        <f t="shared" ref="H2063:O2063" si="10420">countif($D2063,"*"&amp;H$2&amp;"*")</f>
        <v>0</v>
      </c>
      <c r="I2063" s="200">
        <f t="shared" si="10420"/>
        <v>0</v>
      </c>
      <c r="J2063" s="200">
        <f t="shared" si="10420"/>
        <v>0</v>
      </c>
      <c r="K2063" s="200">
        <f t="shared" si="10420"/>
        <v>0</v>
      </c>
      <c r="L2063" s="200">
        <f t="shared" si="10420"/>
        <v>0</v>
      </c>
      <c r="M2063" s="200">
        <f t="shared" si="10420"/>
        <v>0</v>
      </c>
      <c r="N2063" s="200">
        <f t="shared" si="10420"/>
        <v>0</v>
      </c>
      <c r="O2063" s="200">
        <f t="shared" si="10420"/>
        <v>0</v>
      </c>
      <c r="P2063" s="200">
        <f t="shared" si="9"/>
        <v>0</v>
      </c>
      <c r="Q2063" s="200">
        <f t="shared" ref="Q2063:AC2063" si="10421">countif($D2063,"*"&amp;Q$2&amp;"*")</f>
        <v>0</v>
      </c>
      <c r="R2063" s="200">
        <f t="shared" si="10421"/>
        <v>0</v>
      </c>
      <c r="S2063" s="200">
        <f t="shared" si="10421"/>
        <v>0</v>
      </c>
      <c r="T2063" s="200">
        <f t="shared" si="10421"/>
        <v>0</v>
      </c>
      <c r="U2063" s="200">
        <f t="shared" si="10421"/>
        <v>0</v>
      </c>
      <c r="V2063" s="200">
        <f t="shared" si="10421"/>
        <v>0</v>
      </c>
      <c r="W2063" s="200">
        <f t="shared" si="10421"/>
        <v>0</v>
      </c>
      <c r="X2063" s="200">
        <f t="shared" si="10421"/>
        <v>0</v>
      </c>
      <c r="Y2063" s="200">
        <f t="shared" si="10421"/>
        <v>0</v>
      </c>
      <c r="Z2063" s="200">
        <f t="shared" si="10421"/>
        <v>0</v>
      </c>
      <c r="AA2063" s="200">
        <f t="shared" si="10421"/>
        <v>1</v>
      </c>
      <c r="AB2063" s="200">
        <f t="shared" si="10421"/>
        <v>0</v>
      </c>
      <c r="AC2063" s="200">
        <f t="shared" si="10421"/>
        <v>0</v>
      </c>
      <c r="AD2063" s="200">
        <f t="shared" si="11"/>
        <v>0</v>
      </c>
      <c r="AE2063" s="200">
        <f t="shared" ref="AE2063:AG2063" si="10422">countif($D2063,"*"&amp;AE$2&amp;"*")</f>
        <v>0</v>
      </c>
      <c r="AF2063" s="200">
        <f t="shared" si="10422"/>
        <v>0</v>
      </c>
      <c r="AG2063" s="200">
        <f t="shared" si="10422"/>
        <v>0</v>
      </c>
      <c r="AH2063" s="171">
        <f t="shared" si="13"/>
        <v>0</v>
      </c>
      <c r="AI2063" s="200">
        <f t="shared" si="14"/>
        <v>0</v>
      </c>
      <c r="AJ2063" s="200">
        <f t="shared" si="10382"/>
        <v>0</v>
      </c>
      <c r="AK2063" s="201">
        <f t="shared" ref="AK2063:AS2063" si="10423">countif($D2063,"*"&amp;AK$2&amp;"*")</f>
        <v>0</v>
      </c>
      <c r="AL2063" s="201">
        <f t="shared" si="10423"/>
        <v>0</v>
      </c>
      <c r="AM2063" s="201">
        <f t="shared" si="10423"/>
        <v>0</v>
      </c>
      <c r="AN2063" s="201">
        <f t="shared" si="10423"/>
        <v>0</v>
      </c>
      <c r="AO2063" s="201">
        <f t="shared" si="10423"/>
        <v>0</v>
      </c>
      <c r="AP2063" s="201">
        <f t="shared" si="10423"/>
        <v>0</v>
      </c>
      <c r="AQ2063" s="201">
        <f t="shared" si="10423"/>
        <v>0</v>
      </c>
      <c r="AR2063" s="200">
        <f t="shared" si="10423"/>
        <v>0</v>
      </c>
      <c r="AS2063" s="200">
        <f t="shared" si="10423"/>
        <v>0</v>
      </c>
      <c r="AT2063" s="173">
        <v>0.0</v>
      </c>
      <c r="AU2063" s="200">
        <f t="shared" ref="AU2063:AX2063" si="10424">countif($D2063,"*"&amp;AU$2&amp;"*")</f>
        <v>0</v>
      </c>
      <c r="AV2063" s="200">
        <f t="shared" si="10424"/>
        <v>0</v>
      </c>
      <c r="AW2063" s="200">
        <f t="shared" si="10424"/>
        <v>0</v>
      </c>
      <c r="AX2063" s="200">
        <f t="shared" si="10424"/>
        <v>0</v>
      </c>
      <c r="AY2063" s="202">
        <v>0.0</v>
      </c>
      <c r="AZ2063" s="200"/>
      <c r="BA2063" s="171" t="str">
        <f t="shared" si="18"/>
        <v/>
      </c>
      <c r="BB2063" s="171" t="str">
        <f t="shared" si="19"/>
        <v/>
      </c>
      <c r="BC2063" s="171" t="str">
        <f t="shared" si="20"/>
        <v>General-purpose</v>
      </c>
      <c r="BD2063" s="171" t="str">
        <f t="shared" si="21"/>
        <v/>
      </c>
      <c r="BE2063" s="171" t="str">
        <f t="shared" si="22"/>
        <v/>
      </c>
      <c r="BF2063" s="171" t="str">
        <f t="shared" si="23"/>
        <v>General-purpose</v>
      </c>
    </row>
    <row r="2064">
      <c r="A2064" s="171">
        <f t="array" ref="A2064">XLOOKUP(C2064,FSE!A:A,FSE!C:C,"XXXXX",0,1)</f>
        <v>2016</v>
      </c>
      <c r="B2064" s="213" t="s">
        <v>5676</v>
      </c>
      <c r="C2064" s="214">
        <v>693.0</v>
      </c>
      <c r="D2064" s="215" t="s">
        <v>3887</v>
      </c>
      <c r="E2064" s="197" t="str">
        <f t="array" ref="E2064">XLOOKUP(C2064,FSE!A:A,FSE!Z:Z,"XXXXX",0,1)</f>
        <v>Publicly Available (1)</v>
      </c>
      <c r="F2064" s="213" t="s">
        <v>3394</v>
      </c>
      <c r="G2064" s="163" t="str">
        <f t="array" ref="G2064">IF(B2064="ICSE",IF(COUNTIFS(B:B,B2064,C:C,C2064)=XLOOKUP(C2064,ICSE!A:A,ICSE!AA:AA,"ERROR",0,1),"OK","ERROR"),IF(B2064="FSE",IF(COUNTIFS(B:B,B2064,C:C,C2064)=XLOOKUP(C2064,FSE!A:A,FSE!AA:AA,"ERROR",0,1),"OK","ERROR")))</f>
        <v>OK</v>
      </c>
      <c r="H2064" s="199">
        <f t="shared" ref="H2064:O2064" si="10425">countif($D2064,"*"&amp;H$2&amp;"*")</f>
        <v>0</v>
      </c>
      <c r="I2064" s="200">
        <f t="shared" si="10425"/>
        <v>0</v>
      </c>
      <c r="J2064" s="200">
        <f t="shared" si="10425"/>
        <v>0</v>
      </c>
      <c r="K2064" s="200">
        <f t="shared" si="10425"/>
        <v>0</v>
      </c>
      <c r="L2064" s="200">
        <f t="shared" si="10425"/>
        <v>0</v>
      </c>
      <c r="M2064" s="200">
        <f t="shared" si="10425"/>
        <v>0</v>
      </c>
      <c r="N2064" s="200">
        <f t="shared" si="10425"/>
        <v>0</v>
      </c>
      <c r="O2064" s="200">
        <f t="shared" si="10425"/>
        <v>0</v>
      </c>
      <c r="P2064" s="200">
        <f t="shared" si="9"/>
        <v>0</v>
      </c>
      <c r="Q2064" s="200">
        <f t="shared" ref="Q2064:AC2064" si="10426">countif($D2064,"*"&amp;Q$2&amp;"*")</f>
        <v>0</v>
      </c>
      <c r="R2064" s="200">
        <f t="shared" si="10426"/>
        <v>0</v>
      </c>
      <c r="S2064" s="200">
        <f t="shared" si="10426"/>
        <v>0</v>
      </c>
      <c r="T2064" s="200">
        <f t="shared" si="10426"/>
        <v>0</v>
      </c>
      <c r="U2064" s="200">
        <f t="shared" si="10426"/>
        <v>0</v>
      </c>
      <c r="V2064" s="200">
        <f t="shared" si="10426"/>
        <v>0</v>
      </c>
      <c r="W2064" s="200">
        <f t="shared" si="10426"/>
        <v>0</v>
      </c>
      <c r="X2064" s="200">
        <f t="shared" si="10426"/>
        <v>0</v>
      </c>
      <c r="Y2064" s="200">
        <f t="shared" si="10426"/>
        <v>0</v>
      </c>
      <c r="Z2064" s="200">
        <f t="shared" si="10426"/>
        <v>0</v>
      </c>
      <c r="AA2064" s="200">
        <f t="shared" si="10426"/>
        <v>0</v>
      </c>
      <c r="AB2064" s="200">
        <f t="shared" si="10426"/>
        <v>0</v>
      </c>
      <c r="AC2064" s="200">
        <f t="shared" si="10426"/>
        <v>0</v>
      </c>
      <c r="AD2064" s="200">
        <f t="shared" si="11"/>
        <v>1</v>
      </c>
      <c r="AE2064" s="200">
        <f t="shared" ref="AE2064:AG2064" si="10427">countif($D2064,"*"&amp;AE$2&amp;"*")</f>
        <v>0</v>
      </c>
      <c r="AF2064" s="200">
        <f t="shared" si="10427"/>
        <v>0</v>
      </c>
      <c r="AG2064" s="200">
        <f t="shared" si="10427"/>
        <v>0</v>
      </c>
      <c r="AH2064" s="171">
        <f t="shared" si="13"/>
        <v>0</v>
      </c>
      <c r="AI2064" s="200">
        <f t="shared" si="14"/>
        <v>0</v>
      </c>
      <c r="AJ2064" s="200">
        <f t="shared" si="10382"/>
        <v>0</v>
      </c>
      <c r="AK2064" s="201">
        <f t="shared" ref="AK2064:AS2064" si="10428">countif($D2064,"*"&amp;AK$2&amp;"*")</f>
        <v>0</v>
      </c>
      <c r="AL2064" s="201">
        <f t="shared" si="10428"/>
        <v>0</v>
      </c>
      <c r="AM2064" s="201">
        <f t="shared" si="10428"/>
        <v>0</v>
      </c>
      <c r="AN2064" s="201">
        <f t="shared" si="10428"/>
        <v>0</v>
      </c>
      <c r="AO2064" s="201">
        <f t="shared" si="10428"/>
        <v>0</v>
      </c>
      <c r="AP2064" s="201">
        <f t="shared" si="10428"/>
        <v>0</v>
      </c>
      <c r="AQ2064" s="201">
        <f t="shared" si="10428"/>
        <v>0</v>
      </c>
      <c r="AR2064" s="200">
        <f t="shared" si="10428"/>
        <v>0</v>
      </c>
      <c r="AS2064" s="200">
        <f t="shared" si="10428"/>
        <v>0</v>
      </c>
      <c r="AT2064" s="173">
        <v>1.0</v>
      </c>
      <c r="AU2064" s="200">
        <f t="shared" ref="AU2064:AX2064" si="10429">countif($D2064,"*"&amp;AU$2&amp;"*")</f>
        <v>0</v>
      </c>
      <c r="AV2064" s="200">
        <f t="shared" si="10429"/>
        <v>0</v>
      </c>
      <c r="AW2064" s="200">
        <f t="shared" si="10429"/>
        <v>0</v>
      </c>
      <c r="AX2064" s="200">
        <f t="shared" si="10429"/>
        <v>0</v>
      </c>
      <c r="AY2064" s="202">
        <v>0.0</v>
      </c>
      <c r="AZ2064" s="200"/>
      <c r="BA2064" s="171" t="str">
        <f t="shared" si="18"/>
        <v/>
      </c>
      <c r="BB2064" s="171" t="str">
        <f t="shared" si="19"/>
        <v/>
      </c>
      <c r="BC2064" s="171" t="str">
        <f t="shared" si="20"/>
        <v/>
      </c>
      <c r="BD2064" s="171" t="str">
        <f t="shared" si="21"/>
        <v>Institutional</v>
      </c>
      <c r="BE2064" s="171" t="str">
        <f t="shared" si="22"/>
        <v/>
      </c>
      <c r="BF2064" s="171" t="str">
        <f t="shared" si="23"/>
        <v>Institutional</v>
      </c>
    </row>
    <row r="2065">
      <c r="A2065" s="171">
        <f t="array" ref="A2065">XLOOKUP(C2065,FSE!A:A,FSE!C:C,"XXXXX",0,1)</f>
        <v>2016</v>
      </c>
      <c r="B2065" s="213" t="s">
        <v>5676</v>
      </c>
      <c r="C2065" s="214">
        <v>694.0</v>
      </c>
      <c r="D2065" s="215" t="s">
        <v>6565</v>
      </c>
      <c r="E2065" s="197" t="str">
        <f t="array" ref="E2065">XLOOKUP(C2065,FSE!A:A,FSE!Z:Z,"XXXXX",0,1)</f>
        <v>Not Available (2)</v>
      </c>
      <c r="F2065" s="213" t="s">
        <v>3395</v>
      </c>
      <c r="G2065" s="163" t="str">
        <f t="array" ref="G2065">IF(B2065="ICSE",IF(COUNTIFS(B:B,B2065,C:C,C2065)=XLOOKUP(C2065,ICSE!A:A,ICSE!AA:AA,"ERROR",0,1),"OK","ERROR"),IF(B2065="FSE",IF(COUNTIFS(B:B,B2065,C:C,C2065)=XLOOKUP(C2065,FSE!A:A,FSE!AA:AA,"ERROR",0,1),"OK","ERROR")))</f>
        <v>OK</v>
      </c>
      <c r="H2065" s="199">
        <f t="shared" ref="H2065:O2065" si="10430">countif($D2065,"*"&amp;H$2&amp;"*")</f>
        <v>0</v>
      </c>
      <c r="I2065" s="200">
        <f t="shared" si="10430"/>
        <v>0</v>
      </c>
      <c r="J2065" s="200">
        <f t="shared" si="10430"/>
        <v>0</v>
      </c>
      <c r="K2065" s="200">
        <f t="shared" si="10430"/>
        <v>0</v>
      </c>
      <c r="L2065" s="200">
        <f t="shared" si="10430"/>
        <v>0</v>
      </c>
      <c r="M2065" s="200">
        <f t="shared" si="10430"/>
        <v>0</v>
      </c>
      <c r="N2065" s="200">
        <f t="shared" si="10430"/>
        <v>0</v>
      </c>
      <c r="O2065" s="200">
        <f t="shared" si="10430"/>
        <v>0</v>
      </c>
      <c r="P2065" s="200">
        <f t="shared" si="9"/>
        <v>0</v>
      </c>
      <c r="Q2065" s="200">
        <f t="shared" ref="Q2065:AC2065" si="10431">countif($D2065,"*"&amp;Q$2&amp;"*")</f>
        <v>0</v>
      </c>
      <c r="R2065" s="200">
        <f t="shared" si="10431"/>
        <v>0</v>
      </c>
      <c r="S2065" s="200">
        <f t="shared" si="10431"/>
        <v>0</v>
      </c>
      <c r="T2065" s="200">
        <f t="shared" si="10431"/>
        <v>0</v>
      </c>
      <c r="U2065" s="200">
        <f t="shared" si="10431"/>
        <v>0</v>
      </c>
      <c r="V2065" s="200">
        <f t="shared" si="10431"/>
        <v>0</v>
      </c>
      <c r="W2065" s="200">
        <f t="shared" si="10431"/>
        <v>0</v>
      </c>
      <c r="X2065" s="200">
        <f t="shared" si="10431"/>
        <v>0</v>
      </c>
      <c r="Y2065" s="200">
        <f t="shared" si="10431"/>
        <v>0</v>
      </c>
      <c r="Z2065" s="200">
        <f t="shared" si="10431"/>
        <v>0</v>
      </c>
      <c r="AA2065" s="200">
        <f t="shared" si="10431"/>
        <v>0</v>
      </c>
      <c r="AB2065" s="200">
        <f t="shared" si="10431"/>
        <v>0</v>
      </c>
      <c r="AC2065" s="200">
        <f t="shared" si="10431"/>
        <v>0</v>
      </c>
      <c r="AD2065" s="200">
        <f t="shared" si="11"/>
        <v>1</v>
      </c>
      <c r="AE2065" s="200">
        <f t="shared" ref="AE2065:AG2065" si="10432">countif($D2065,"*"&amp;AE$2&amp;"*")</f>
        <v>0</v>
      </c>
      <c r="AF2065" s="200">
        <f t="shared" si="10432"/>
        <v>0</v>
      </c>
      <c r="AG2065" s="200">
        <f t="shared" si="10432"/>
        <v>0</v>
      </c>
      <c r="AH2065" s="171">
        <f t="shared" si="13"/>
        <v>0</v>
      </c>
      <c r="AI2065" s="200">
        <f t="shared" si="14"/>
        <v>0</v>
      </c>
      <c r="AJ2065" s="200">
        <f t="shared" ref="AJ2065:AJ2066" si="10438">SUM(AK2065:AQ2065)</f>
        <v>0</v>
      </c>
      <c r="AK2065" s="201">
        <f t="shared" ref="AK2065:AS2065" si="10433">countif($D2065,"*"&amp;AK$2&amp;"*")</f>
        <v>0</v>
      </c>
      <c r="AL2065" s="201">
        <f t="shared" si="10433"/>
        <v>0</v>
      </c>
      <c r="AM2065" s="201">
        <f t="shared" si="10433"/>
        <v>0</v>
      </c>
      <c r="AN2065" s="201">
        <f t="shared" si="10433"/>
        <v>0</v>
      </c>
      <c r="AO2065" s="201">
        <f t="shared" si="10433"/>
        <v>0</v>
      </c>
      <c r="AP2065" s="201">
        <f t="shared" si="10433"/>
        <v>0</v>
      </c>
      <c r="AQ2065" s="201">
        <f t="shared" si="10433"/>
        <v>0</v>
      </c>
      <c r="AR2065" s="201">
        <f t="shared" si="10433"/>
        <v>0</v>
      </c>
      <c r="AS2065" s="200">
        <f t="shared" si="10433"/>
        <v>0</v>
      </c>
      <c r="AT2065" s="205">
        <v>0.0</v>
      </c>
      <c r="AU2065" s="200">
        <f t="shared" ref="AU2065:AX2065" si="10434">countif($D2065,"*"&amp;AU$2&amp;"*")</f>
        <v>1</v>
      </c>
      <c r="AV2065" s="200">
        <f t="shared" si="10434"/>
        <v>0</v>
      </c>
      <c r="AW2065" s="200">
        <f t="shared" si="10434"/>
        <v>0</v>
      </c>
      <c r="AX2065" s="200">
        <f t="shared" si="10434"/>
        <v>0</v>
      </c>
      <c r="AY2065" s="202">
        <v>0.0</v>
      </c>
      <c r="AZ2065" s="200"/>
      <c r="BA2065" s="171" t="str">
        <f t="shared" si="18"/>
        <v/>
      </c>
      <c r="BB2065" s="171" t="str">
        <f t="shared" si="19"/>
        <v/>
      </c>
      <c r="BC2065" s="171" t="str">
        <f t="shared" si="20"/>
        <v/>
      </c>
      <c r="BD2065" s="171" t="str">
        <f t="shared" si="21"/>
        <v>Institutional</v>
      </c>
      <c r="BE2065" s="171" t="str">
        <f t="shared" si="22"/>
        <v/>
      </c>
      <c r="BF2065" s="171" t="str">
        <f t="shared" si="23"/>
        <v>Institutional</v>
      </c>
    </row>
    <row r="2066">
      <c r="A2066" s="171">
        <f t="array" ref="A2066">XLOOKUP(C2066,FSE!A:A,FSE!C:C,"XXXXX",0,1)</f>
        <v>2016</v>
      </c>
      <c r="B2066" s="213" t="s">
        <v>5676</v>
      </c>
      <c r="C2066" s="214">
        <v>694.0</v>
      </c>
      <c r="D2066" s="215" t="s">
        <v>6566</v>
      </c>
      <c r="E2066" s="197" t="str">
        <f t="array" ref="E2066">XLOOKUP(C2066,FSE!A:A,FSE!Z:Z,"XXXXX",0,1)</f>
        <v>Not Available (2)</v>
      </c>
      <c r="F2066" s="213" t="s">
        <v>3395</v>
      </c>
      <c r="G2066" s="163" t="str">
        <f t="array" ref="G2066">IF(B2066="ICSE",IF(COUNTIFS(B:B,B2066,C:C,C2066)=XLOOKUP(C2066,ICSE!A:A,ICSE!AA:AA,"ERROR",0,1),"OK","ERROR"),IF(B2066="FSE",IF(COUNTIFS(B:B,B2066,C:C,C2066)=XLOOKUP(C2066,FSE!A:A,FSE!AA:AA,"ERROR",0,1),"OK","ERROR")))</f>
        <v>OK</v>
      </c>
      <c r="H2066" s="199">
        <f t="shared" ref="H2066:O2066" si="10435">countif($D2066,"*"&amp;H$2&amp;"*")</f>
        <v>0</v>
      </c>
      <c r="I2066" s="200">
        <f t="shared" si="10435"/>
        <v>0</v>
      </c>
      <c r="J2066" s="200">
        <f t="shared" si="10435"/>
        <v>0</v>
      </c>
      <c r="K2066" s="200">
        <f t="shared" si="10435"/>
        <v>0</v>
      </c>
      <c r="L2066" s="200">
        <f t="shared" si="10435"/>
        <v>0</v>
      </c>
      <c r="M2066" s="200">
        <f t="shared" si="10435"/>
        <v>0</v>
      </c>
      <c r="N2066" s="200">
        <f t="shared" si="10435"/>
        <v>0</v>
      </c>
      <c r="O2066" s="200">
        <f t="shared" si="10435"/>
        <v>0</v>
      </c>
      <c r="P2066" s="200">
        <f t="shared" si="9"/>
        <v>0</v>
      </c>
      <c r="Q2066" s="200">
        <f t="shared" ref="Q2066:AC2066" si="10436">countif($D2066,"*"&amp;Q$2&amp;"*")</f>
        <v>0</v>
      </c>
      <c r="R2066" s="200">
        <f t="shared" si="10436"/>
        <v>0</v>
      </c>
      <c r="S2066" s="200">
        <f t="shared" si="10436"/>
        <v>0</v>
      </c>
      <c r="T2066" s="200">
        <f t="shared" si="10436"/>
        <v>0</v>
      </c>
      <c r="U2066" s="200">
        <f t="shared" si="10436"/>
        <v>0</v>
      </c>
      <c r="V2066" s="200">
        <f t="shared" si="10436"/>
        <v>0</v>
      </c>
      <c r="W2066" s="200">
        <f t="shared" si="10436"/>
        <v>0</v>
      </c>
      <c r="X2066" s="200">
        <f t="shared" si="10436"/>
        <v>0</v>
      </c>
      <c r="Y2066" s="200">
        <f t="shared" si="10436"/>
        <v>0</v>
      </c>
      <c r="Z2066" s="200">
        <f t="shared" si="10436"/>
        <v>0</v>
      </c>
      <c r="AA2066" s="200">
        <f t="shared" si="10436"/>
        <v>0</v>
      </c>
      <c r="AB2066" s="200">
        <f t="shared" si="10436"/>
        <v>0</v>
      </c>
      <c r="AC2066" s="200">
        <f t="shared" si="10436"/>
        <v>0</v>
      </c>
      <c r="AD2066" s="200">
        <f t="shared" si="11"/>
        <v>1</v>
      </c>
      <c r="AE2066" s="200">
        <f t="shared" ref="AE2066:AG2066" si="10437">countif($D2066,"*"&amp;AE$2&amp;"*")</f>
        <v>0</v>
      </c>
      <c r="AF2066" s="200">
        <f t="shared" si="10437"/>
        <v>0</v>
      </c>
      <c r="AG2066" s="200">
        <f t="shared" si="10437"/>
        <v>0</v>
      </c>
      <c r="AH2066" s="171">
        <f t="shared" si="13"/>
        <v>0</v>
      </c>
      <c r="AI2066" s="200">
        <f t="shared" si="14"/>
        <v>0</v>
      </c>
      <c r="AJ2066" s="200">
        <f t="shared" si="10438"/>
        <v>0</v>
      </c>
      <c r="AK2066" s="201">
        <f t="shared" ref="AK2066:AS2066" si="10439">countif($D2066,"*"&amp;AK$2&amp;"*")</f>
        <v>0</v>
      </c>
      <c r="AL2066" s="201">
        <f t="shared" si="10439"/>
        <v>0</v>
      </c>
      <c r="AM2066" s="201">
        <f t="shared" si="10439"/>
        <v>0</v>
      </c>
      <c r="AN2066" s="201">
        <f t="shared" si="10439"/>
        <v>0</v>
      </c>
      <c r="AO2066" s="201">
        <f t="shared" si="10439"/>
        <v>0</v>
      </c>
      <c r="AP2066" s="201">
        <f t="shared" si="10439"/>
        <v>0</v>
      </c>
      <c r="AQ2066" s="201">
        <f t="shared" si="10439"/>
        <v>0</v>
      </c>
      <c r="AR2066" s="201">
        <f t="shared" si="10439"/>
        <v>0</v>
      </c>
      <c r="AS2066" s="200">
        <f t="shared" si="10439"/>
        <v>0</v>
      </c>
      <c r="AT2066" s="205">
        <v>0.0</v>
      </c>
      <c r="AU2066" s="200">
        <f t="shared" ref="AU2066:AX2066" si="10440">countif($D2066,"*"&amp;AU$2&amp;"*")</f>
        <v>1</v>
      </c>
      <c r="AV2066" s="200">
        <f t="shared" si="10440"/>
        <v>0</v>
      </c>
      <c r="AW2066" s="200">
        <f t="shared" si="10440"/>
        <v>0</v>
      </c>
      <c r="AX2066" s="200">
        <f t="shared" si="10440"/>
        <v>0</v>
      </c>
      <c r="AY2066" s="202">
        <v>0.0</v>
      </c>
      <c r="AZ2066" s="200"/>
      <c r="BA2066" s="171" t="str">
        <f t="shared" si="18"/>
        <v/>
      </c>
      <c r="BB2066" s="171" t="str">
        <f t="shared" si="19"/>
        <v/>
      </c>
      <c r="BC2066" s="171" t="str">
        <f t="shared" si="20"/>
        <v/>
      </c>
      <c r="BD2066" s="171" t="str">
        <f t="shared" si="21"/>
        <v>Institutional</v>
      </c>
      <c r="BE2066" s="171" t="str">
        <f t="shared" si="22"/>
        <v/>
      </c>
      <c r="BF2066" s="171" t="str">
        <f t="shared" si="23"/>
        <v>Institutional</v>
      </c>
    </row>
    <row r="2067">
      <c r="A2067" s="171">
        <f t="array" ref="A2067">XLOOKUP(C2067,FSE!A:A,FSE!C:C,"XXXXX",0,1)</f>
        <v>2016</v>
      </c>
      <c r="B2067" s="213" t="s">
        <v>5676</v>
      </c>
      <c r="C2067" s="214">
        <v>695.0</v>
      </c>
      <c r="D2067" s="217" t="s">
        <v>3894</v>
      </c>
      <c r="E2067" s="197" t="str">
        <f t="array" ref="E2067">XLOOKUP(C2067,FSE!A:A,FSE!Z:Z,"XXXXX",0,1)</f>
        <v>Publicly Available (1)</v>
      </c>
      <c r="F2067" s="213" t="s">
        <v>3394</v>
      </c>
      <c r="G2067" s="163" t="str">
        <f t="array" ref="G2067">IF(B2067="ICSE",IF(COUNTIFS(B:B,B2067,C:C,C2067)=XLOOKUP(C2067,ICSE!A:A,ICSE!AA:AA,"ERROR",0,1),"OK","ERROR"),IF(B2067="FSE",IF(COUNTIFS(B:B,B2067,C:C,C2067)=XLOOKUP(C2067,FSE!A:A,FSE!AA:AA,"ERROR",0,1),"OK","ERROR")))</f>
        <v>OK</v>
      </c>
      <c r="H2067" s="199">
        <f t="shared" ref="H2067:O2067" si="10441">countif($D2067,"*"&amp;H$2&amp;"*")</f>
        <v>0</v>
      </c>
      <c r="I2067" s="200">
        <f t="shared" si="10441"/>
        <v>0</v>
      </c>
      <c r="J2067" s="200">
        <f t="shared" si="10441"/>
        <v>0</v>
      </c>
      <c r="K2067" s="200">
        <f t="shared" si="10441"/>
        <v>0</v>
      </c>
      <c r="L2067" s="200">
        <f t="shared" si="10441"/>
        <v>0</v>
      </c>
      <c r="M2067" s="200">
        <f t="shared" si="10441"/>
        <v>0</v>
      </c>
      <c r="N2067" s="200">
        <f t="shared" si="10441"/>
        <v>0</v>
      </c>
      <c r="O2067" s="200">
        <f t="shared" si="10441"/>
        <v>0</v>
      </c>
      <c r="P2067" s="200">
        <f t="shared" si="9"/>
        <v>0</v>
      </c>
      <c r="Q2067" s="200">
        <f t="shared" ref="Q2067:AC2067" si="10442">countif($D2067,"*"&amp;Q$2&amp;"*")</f>
        <v>0</v>
      </c>
      <c r="R2067" s="200">
        <f t="shared" si="10442"/>
        <v>0</v>
      </c>
      <c r="S2067" s="200">
        <f t="shared" si="10442"/>
        <v>0</v>
      </c>
      <c r="T2067" s="200">
        <f t="shared" si="10442"/>
        <v>0</v>
      </c>
      <c r="U2067" s="200">
        <f t="shared" si="10442"/>
        <v>0</v>
      </c>
      <c r="V2067" s="200">
        <f t="shared" si="10442"/>
        <v>0</v>
      </c>
      <c r="W2067" s="200">
        <f t="shared" si="10442"/>
        <v>0</v>
      </c>
      <c r="X2067" s="200">
        <f t="shared" si="10442"/>
        <v>0</v>
      </c>
      <c r="Y2067" s="200">
        <f t="shared" si="10442"/>
        <v>0</v>
      </c>
      <c r="Z2067" s="200">
        <f t="shared" si="10442"/>
        <v>0</v>
      </c>
      <c r="AA2067" s="200">
        <f t="shared" si="10442"/>
        <v>0</v>
      </c>
      <c r="AB2067" s="200">
        <f t="shared" si="10442"/>
        <v>0</v>
      </c>
      <c r="AC2067" s="200">
        <f t="shared" si="10442"/>
        <v>0</v>
      </c>
      <c r="AD2067" s="200">
        <f t="shared" si="11"/>
        <v>0</v>
      </c>
      <c r="AE2067" s="200">
        <f t="shared" ref="AE2067:AG2067" si="10443">countif($D2067,"*"&amp;AE$2&amp;"*")</f>
        <v>0</v>
      </c>
      <c r="AF2067" s="200">
        <f t="shared" si="10443"/>
        <v>0</v>
      </c>
      <c r="AG2067" s="200">
        <f t="shared" si="10443"/>
        <v>0</v>
      </c>
      <c r="AH2067" s="171">
        <f t="shared" si="13"/>
        <v>1</v>
      </c>
      <c r="AI2067" s="200">
        <f t="shared" si="14"/>
        <v>0</v>
      </c>
      <c r="AJ2067" s="200">
        <f t="shared" ref="AJ2067:AJ2077" si="10449">SUM(AK2067:AR2067)</f>
        <v>0</v>
      </c>
      <c r="AK2067" s="201">
        <f t="shared" ref="AK2067:AS2067" si="10444">countif($D2067,"*"&amp;AK$2&amp;"*")</f>
        <v>0</v>
      </c>
      <c r="AL2067" s="201">
        <f t="shared" si="10444"/>
        <v>0</v>
      </c>
      <c r="AM2067" s="201">
        <f t="shared" si="10444"/>
        <v>0</v>
      </c>
      <c r="AN2067" s="201">
        <f t="shared" si="10444"/>
        <v>0</v>
      </c>
      <c r="AO2067" s="201">
        <f t="shared" si="10444"/>
        <v>0</v>
      </c>
      <c r="AP2067" s="201">
        <f t="shared" si="10444"/>
        <v>0</v>
      </c>
      <c r="AQ2067" s="201">
        <f t="shared" si="10444"/>
        <v>0</v>
      </c>
      <c r="AR2067" s="200">
        <f t="shared" si="10444"/>
        <v>0</v>
      </c>
      <c r="AS2067" s="200">
        <f t="shared" si="10444"/>
        <v>0</v>
      </c>
      <c r="AT2067" s="173">
        <v>0.0</v>
      </c>
      <c r="AU2067" s="200">
        <f t="shared" ref="AU2067:AX2067" si="10445">countif($D2067,"*"&amp;AU$2&amp;"*")</f>
        <v>0</v>
      </c>
      <c r="AV2067" s="200">
        <f t="shared" si="10445"/>
        <v>0</v>
      </c>
      <c r="AW2067" s="200">
        <f t="shared" si="10445"/>
        <v>0</v>
      </c>
      <c r="AX2067" s="200">
        <f t="shared" si="10445"/>
        <v>0</v>
      </c>
      <c r="AY2067" s="202">
        <v>0.0</v>
      </c>
      <c r="AZ2067" s="200"/>
      <c r="BA2067" s="171" t="str">
        <f t="shared" si="18"/>
        <v/>
      </c>
      <c r="BB2067" s="171" t="str">
        <f t="shared" si="19"/>
        <v/>
      </c>
      <c r="BC2067" s="171" t="str">
        <f t="shared" si="20"/>
        <v/>
      </c>
      <c r="BD2067" s="171" t="str">
        <f t="shared" si="21"/>
        <v/>
      </c>
      <c r="BE2067" s="171" t="str">
        <f t="shared" si="22"/>
        <v>Others</v>
      </c>
      <c r="BF2067" s="171" t="str">
        <f t="shared" si="23"/>
        <v>Others</v>
      </c>
    </row>
    <row r="2068">
      <c r="A2068" s="171">
        <f t="array" ref="A2068">XLOOKUP(C2068,FSE!A:A,FSE!C:C,"XXXXX",0,1)</f>
        <v>2016</v>
      </c>
      <c r="B2068" s="213" t="s">
        <v>5676</v>
      </c>
      <c r="C2068" s="214">
        <v>697.0</v>
      </c>
      <c r="D2068" s="215" t="s">
        <v>3897</v>
      </c>
      <c r="E2068" s="197" t="str">
        <f t="array" ref="E2068">XLOOKUP(C2068,FSE!A:A,FSE!Z:Z,"XXXXX",0,1)</f>
        <v>Publicly Available (1)</v>
      </c>
      <c r="F2068" s="213" t="s">
        <v>3394</v>
      </c>
      <c r="G2068" s="163" t="str">
        <f t="array" ref="G2068">IF(B2068="ICSE",IF(COUNTIFS(B:B,B2068,C:C,C2068)=XLOOKUP(C2068,ICSE!A:A,ICSE!AA:AA,"ERROR",0,1),"OK","ERROR"),IF(B2068="FSE",IF(COUNTIFS(B:B,B2068,C:C,C2068)=XLOOKUP(C2068,FSE!A:A,FSE!AA:AA,"ERROR",0,1),"OK","ERROR")))</f>
        <v>OK</v>
      </c>
      <c r="H2068" s="199">
        <f t="shared" ref="H2068:O2068" si="10446">countif($D2068,"*"&amp;H$2&amp;"*")</f>
        <v>0</v>
      </c>
      <c r="I2068" s="200">
        <f t="shared" si="10446"/>
        <v>0</v>
      </c>
      <c r="J2068" s="200">
        <f t="shared" si="10446"/>
        <v>0</v>
      </c>
      <c r="K2068" s="200">
        <f t="shared" si="10446"/>
        <v>0</v>
      </c>
      <c r="L2068" s="200">
        <f t="shared" si="10446"/>
        <v>0</v>
      </c>
      <c r="M2068" s="200">
        <f t="shared" si="10446"/>
        <v>0</v>
      </c>
      <c r="N2068" s="200">
        <f t="shared" si="10446"/>
        <v>0</v>
      </c>
      <c r="O2068" s="200">
        <f t="shared" si="10446"/>
        <v>0</v>
      </c>
      <c r="P2068" s="200">
        <f t="shared" si="9"/>
        <v>0</v>
      </c>
      <c r="Q2068" s="200">
        <f t="shared" ref="Q2068:AC2068" si="10447">countif($D2068,"*"&amp;Q$2&amp;"*")</f>
        <v>0</v>
      </c>
      <c r="R2068" s="200">
        <f t="shared" si="10447"/>
        <v>0</v>
      </c>
      <c r="S2068" s="200">
        <f t="shared" si="10447"/>
        <v>0</v>
      </c>
      <c r="T2068" s="200">
        <f t="shared" si="10447"/>
        <v>0</v>
      </c>
      <c r="U2068" s="200">
        <f t="shared" si="10447"/>
        <v>0</v>
      </c>
      <c r="V2068" s="200">
        <f t="shared" si="10447"/>
        <v>0</v>
      </c>
      <c r="W2068" s="200">
        <f t="shared" si="10447"/>
        <v>0</v>
      </c>
      <c r="X2068" s="200">
        <f t="shared" si="10447"/>
        <v>0</v>
      </c>
      <c r="Y2068" s="200">
        <f t="shared" si="10447"/>
        <v>0</v>
      </c>
      <c r="Z2068" s="200">
        <f t="shared" si="10447"/>
        <v>0</v>
      </c>
      <c r="AA2068" s="200">
        <f t="shared" si="10447"/>
        <v>0</v>
      </c>
      <c r="AB2068" s="200">
        <f t="shared" si="10447"/>
        <v>0</v>
      </c>
      <c r="AC2068" s="200">
        <f t="shared" si="10447"/>
        <v>0</v>
      </c>
      <c r="AD2068" s="200">
        <f t="shared" si="11"/>
        <v>1</v>
      </c>
      <c r="AE2068" s="200">
        <f t="shared" ref="AE2068:AG2068" si="10448">countif($D2068,"*"&amp;AE$2&amp;"*")</f>
        <v>0</v>
      </c>
      <c r="AF2068" s="200">
        <f t="shared" si="10448"/>
        <v>0</v>
      </c>
      <c r="AG2068" s="200">
        <f t="shared" si="10448"/>
        <v>0</v>
      </c>
      <c r="AH2068" s="171">
        <f t="shared" si="13"/>
        <v>0</v>
      </c>
      <c r="AI2068" s="200">
        <f t="shared" si="14"/>
        <v>0</v>
      </c>
      <c r="AJ2068" s="200">
        <f t="shared" si="10449"/>
        <v>0</v>
      </c>
      <c r="AK2068" s="201">
        <f t="shared" ref="AK2068:AS2068" si="10450">countif($D2068,"*"&amp;AK$2&amp;"*")</f>
        <v>0</v>
      </c>
      <c r="AL2068" s="201">
        <f t="shared" si="10450"/>
        <v>0</v>
      </c>
      <c r="AM2068" s="201">
        <f t="shared" si="10450"/>
        <v>0</v>
      </c>
      <c r="AN2068" s="201">
        <f t="shared" si="10450"/>
        <v>0</v>
      </c>
      <c r="AO2068" s="201">
        <f t="shared" si="10450"/>
        <v>0</v>
      </c>
      <c r="AP2068" s="201">
        <f t="shared" si="10450"/>
        <v>0</v>
      </c>
      <c r="AQ2068" s="201">
        <f t="shared" si="10450"/>
        <v>0</v>
      </c>
      <c r="AR2068" s="200">
        <f t="shared" si="10450"/>
        <v>0</v>
      </c>
      <c r="AS2068" s="200">
        <f t="shared" si="10450"/>
        <v>0</v>
      </c>
      <c r="AT2068" s="173">
        <v>1.0</v>
      </c>
      <c r="AU2068" s="200">
        <f t="shared" ref="AU2068:AX2068" si="10451">countif($D2068,"*"&amp;AU$2&amp;"*")</f>
        <v>0</v>
      </c>
      <c r="AV2068" s="200">
        <f t="shared" si="10451"/>
        <v>0</v>
      </c>
      <c r="AW2068" s="200">
        <f t="shared" si="10451"/>
        <v>0</v>
      </c>
      <c r="AX2068" s="200">
        <f t="shared" si="10451"/>
        <v>0</v>
      </c>
      <c r="AY2068" s="202">
        <v>0.0</v>
      </c>
      <c r="AZ2068" s="200"/>
      <c r="BA2068" s="171" t="str">
        <f t="shared" si="18"/>
        <v/>
      </c>
      <c r="BB2068" s="171" t="str">
        <f t="shared" si="19"/>
        <v/>
      </c>
      <c r="BC2068" s="171" t="str">
        <f t="shared" si="20"/>
        <v/>
      </c>
      <c r="BD2068" s="171" t="str">
        <f t="shared" si="21"/>
        <v>Institutional</v>
      </c>
      <c r="BE2068" s="171" t="str">
        <f t="shared" si="22"/>
        <v/>
      </c>
      <c r="BF2068" s="171" t="str">
        <f t="shared" si="23"/>
        <v>Institutional</v>
      </c>
    </row>
    <row r="2069">
      <c r="A2069" s="171">
        <f t="array" ref="A2069">XLOOKUP(C2069,FSE!A:A,FSE!C:C,"XXXXX",0,1)</f>
        <v>2016</v>
      </c>
      <c r="B2069" s="213" t="s">
        <v>5676</v>
      </c>
      <c r="C2069" s="214">
        <v>699.0</v>
      </c>
      <c r="D2069" s="215" t="s">
        <v>6567</v>
      </c>
      <c r="E2069" s="197" t="str">
        <f t="array" ref="E2069">XLOOKUP(C2069,FSE!A:A,FSE!Z:Z,"XXXXX",0,1)</f>
        <v>Publicly Available (1)
Restrict Access (1)</v>
      </c>
      <c r="F2069" s="213" t="s">
        <v>3394</v>
      </c>
      <c r="G2069" s="163" t="str">
        <f t="array" ref="G2069">IF(B2069="ICSE",IF(COUNTIFS(B:B,B2069,C:C,C2069)=XLOOKUP(C2069,ICSE!A:A,ICSE!AA:AA,"ERROR",0,1),"OK","ERROR"),IF(B2069="FSE",IF(COUNTIFS(B:B,B2069,C:C,C2069)=XLOOKUP(C2069,FSE!A:A,FSE!AA:AA,"ERROR",0,1),"OK","ERROR")))</f>
        <v>OK</v>
      </c>
      <c r="H2069" s="199">
        <f t="shared" ref="H2069:O2069" si="10452">countif($D2069,"*"&amp;H$2&amp;"*")</f>
        <v>0</v>
      </c>
      <c r="I2069" s="200">
        <f t="shared" si="10452"/>
        <v>0</v>
      </c>
      <c r="J2069" s="200">
        <f t="shared" si="10452"/>
        <v>0</v>
      </c>
      <c r="K2069" s="200">
        <f t="shared" si="10452"/>
        <v>0</v>
      </c>
      <c r="L2069" s="200">
        <f t="shared" si="10452"/>
        <v>0</v>
      </c>
      <c r="M2069" s="200">
        <f t="shared" si="10452"/>
        <v>0</v>
      </c>
      <c r="N2069" s="200">
        <f t="shared" si="10452"/>
        <v>0</v>
      </c>
      <c r="O2069" s="200">
        <f t="shared" si="10452"/>
        <v>0</v>
      </c>
      <c r="P2069" s="200">
        <f t="shared" si="9"/>
        <v>1</v>
      </c>
      <c r="Q2069" s="200">
        <f t="shared" ref="Q2069:AC2069" si="10453">countif($D2069,"*"&amp;Q$2&amp;"*")</f>
        <v>0</v>
      </c>
      <c r="R2069" s="200">
        <f t="shared" si="10453"/>
        <v>0</v>
      </c>
      <c r="S2069" s="200">
        <f t="shared" si="10453"/>
        <v>0</v>
      </c>
      <c r="T2069" s="200">
        <f t="shared" si="10453"/>
        <v>0</v>
      </c>
      <c r="U2069" s="200">
        <f t="shared" si="10453"/>
        <v>0</v>
      </c>
      <c r="V2069" s="200">
        <f t="shared" si="10453"/>
        <v>0</v>
      </c>
      <c r="W2069" s="200">
        <f t="shared" si="10453"/>
        <v>0</v>
      </c>
      <c r="X2069" s="200">
        <f t="shared" si="10453"/>
        <v>0</v>
      </c>
      <c r="Y2069" s="200">
        <f t="shared" si="10453"/>
        <v>0</v>
      </c>
      <c r="Z2069" s="200">
        <f t="shared" si="10453"/>
        <v>0</v>
      </c>
      <c r="AA2069" s="200">
        <f t="shared" si="10453"/>
        <v>0</v>
      </c>
      <c r="AB2069" s="200">
        <f t="shared" si="10453"/>
        <v>0</v>
      </c>
      <c r="AC2069" s="200">
        <f t="shared" si="10453"/>
        <v>0</v>
      </c>
      <c r="AD2069" s="200">
        <f t="shared" si="11"/>
        <v>0</v>
      </c>
      <c r="AE2069" s="200">
        <f t="shared" ref="AE2069:AG2069" si="10454">countif($D2069,"*"&amp;AE$2&amp;"*")</f>
        <v>0</v>
      </c>
      <c r="AF2069" s="200">
        <f t="shared" si="10454"/>
        <v>0</v>
      </c>
      <c r="AG2069" s="200">
        <f t="shared" si="10454"/>
        <v>0</v>
      </c>
      <c r="AH2069" s="171">
        <f t="shared" si="13"/>
        <v>0</v>
      </c>
      <c r="AI2069" s="200">
        <f t="shared" si="14"/>
        <v>0</v>
      </c>
      <c r="AJ2069" s="200">
        <f t="shared" si="10449"/>
        <v>0</v>
      </c>
      <c r="AK2069" s="201">
        <f t="shared" ref="AK2069:AS2069" si="10455">countif($D2069,"*"&amp;AK$2&amp;"*")</f>
        <v>0</v>
      </c>
      <c r="AL2069" s="201">
        <f t="shared" si="10455"/>
        <v>0</v>
      </c>
      <c r="AM2069" s="201">
        <f t="shared" si="10455"/>
        <v>0</v>
      </c>
      <c r="AN2069" s="201">
        <f t="shared" si="10455"/>
        <v>0</v>
      </c>
      <c r="AO2069" s="201">
        <f t="shared" si="10455"/>
        <v>0</v>
      </c>
      <c r="AP2069" s="201">
        <f t="shared" si="10455"/>
        <v>0</v>
      </c>
      <c r="AQ2069" s="201">
        <f t="shared" si="10455"/>
        <v>0</v>
      </c>
      <c r="AR2069" s="200">
        <f t="shared" si="10455"/>
        <v>0</v>
      </c>
      <c r="AS2069" s="200">
        <f t="shared" si="10455"/>
        <v>0</v>
      </c>
      <c r="AT2069" s="173">
        <v>0.0</v>
      </c>
      <c r="AU2069" s="200">
        <f t="shared" ref="AU2069:AX2069" si="10456">countif($D2069,"*"&amp;AU$2&amp;"*")</f>
        <v>0</v>
      </c>
      <c r="AV2069" s="200">
        <f t="shared" si="10456"/>
        <v>1</v>
      </c>
      <c r="AW2069" s="200">
        <f t="shared" si="10456"/>
        <v>0</v>
      </c>
      <c r="AX2069" s="200">
        <f t="shared" si="10456"/>
        <v>0</v>
      </c>
      <c r="AY2069" s="202">
        <v>0.0</v>
      </c>
      <c r="AZ2069" s="200"/>
      <c r="BA2069" s="171" t="str">
        <f t="shared" si="18"/>
        <v/>
      </c>
      <c r="BB2069" s="171" t="str">
        <f t="shared" si="19"/>
        <v>Code</v>
      </c>
      <c r="BC2069" s="171" t="str">
        <f t="shared" si="20"/>
        <v/>
      </c>
      <c r="BD2069" s="171" t="str">
        <f t="shared" si="21"/>
        <v/>
      </c>
      <c r="BE2069" s="171" t="str">
        <f t="shared" si="22"/>
        <v/>
      </c>
      <c r="BF2069" s="171" t="str">
        <f t="shared" si="23"/>
        <v>Code</v>
      </c>
    </row>
    <row r="2070">
      <c r="A2070" s="171">
        <f t="array" ref="A2070">XLOOKUP(C2070,FSE!A:A,FSE!C:C,"XXXXX",0,1)</f>
        <v>2016</v>
      </c>
      <c r="B2070" s="213" t="s">
        <v>5676</v>
      </c>
      <c r="C2070" s="214">
        <v>699.0</v>
      </c>
      <c r="D2070" s="217" t="s">
        <v>6568</v>
      </c>
      <c r="E2070" s="197" t="str">
        <f t="array" ref="E2070">XLOOKUP(C2070,FSE!A:A,FSE!Z:Z,"XXXXX",0,1)</f>
        <v>Publicly Available (1)
Restrict Access (1)</v>
      </c>
      <c r="F2070" s="213" t="s">
        <v>3396</v>
      </c>
      <c r="G2070" s="163" t="str">
        <f t="array" ref="G2070">IF(B2070="ICSE",IF(COUNTIFS(B:B,B2070,C:C,C2070)=XLOOKUP(C2070,ICSE!A:A,ICSE!AA:AA,"ERROR",0,1),"OK","ERROR"),IF(B2070="FSE",IF(COUNTIFS(B:B,B2070,C:C,C2070)=XLOOKUP(C2070,FSE!A:A,FSE!AA:AA,"ERROR",0,1),"OK","ERROR")))</f>
        <v>OK</v>
      </c>
      <c r="H2070" s="199">
        <f t="shared" ref="H2070:O2070" si="10457">countif($D2070,"*"&amp;H$2&amp;"*")</f>
        <v>0</v>
      </c>
      <c r="I2070" s="200">
        <f t="shared" si="10457"/>
        <v>0</v>
      </c>
      <c r="J2070" s="200">
        <f t="shared" si="10457"/>
        <v>0</v>
      </c>
      <c r="K2070" s="200">
        <f t="shared" si="10457"/>
        <v>0</v>
      </c>
      <c r="L2070" s="200">
        <f t="shared" si="10457"/>
        <v>0</v>
      </c>
      <c r="M2070" s="200">
        <f t="shared" si="10457"/>
        <v>0</v>
      </c>
      <c r="N2070" s="200">
        <f t="shared" si="10457"/>
        <v>0</v>
      </c>
      <c r="O2070" s="200">
        <f t="shared" si="10457"/>
        <v>0</v>
      </c>
      <c r="P2070" s="200">
        <f t="shared" si="9"/>
        <v>0</v>
      </c>
      <c r="Q2070" s="200">
        <f t="shared" ref="Q2070:AC2070" si="10458">countif($D2070,"*"&amp;Q$2&amp;"*")</f>
        <v>0</v>
      </c>
      <c r="R2070" s="200">
        <f t="shared" si="10458"/>
        <v>0</v>
      </c>
      <c r="S2070" s="200">
        <f t="shared" si="10458"/>
        <v>0</v>
      </c>
      <c r="T2070" s="200">
        <f t="shared" si="10458"/>
        <v>0</v>
      </c>
      <c r="U2070" s="200">
        <f t="shared" si="10458"/>
        <v>0</v>
      </c>
      <c r="V2070" s="200">
        <f t="shared" si="10458"/>
        <v>1</v>
      </c>
      <c r="W2070" s="200">
        <f t="shared" si="10458"/>
        <v>0</v>
      </c>
      <c r="X2070" s="200">
        <f t="shared" si="10458"/>
        <v>0</v>
      </c>
      <c r="Y2070" s="200">
        <f t="shared" si="10458"/>
        <v>0</v>
      </c>
      <c r="Z2070" s="200">
        <f t="shared" si="10458"/>
        <v>0</v>
      </c>
      <c r="AA2070" s="200">
        <f t="shared" si="10458"/>
        <v>0</v>
      </c>
      <c r="AB2070" s="200">
        <f t="shared" si="10458"/>
        <v>0</v>
      </c>
      <c r="AC2070" s="200">
        <f t="shared" si="10458"/>
        <v>0</v>
      </c>
      <c r="AD2070" s="200">
        <f t="shared" si="11"/>
        <v>0</v>
      </c>
      <c r="AE2070" s="200">
        <f t="shared" ref="AE2070:AG2070" si="10459">countif($D2070,"*"&amp;AE$2&amp;"*")</f>
        <v>0</v>
      </c>
      <c r="AF2070" s="200">
        <f t="shared" si="10459"/>
        <v>0</v>
      </c>
      <c r="AG2070" s="200">
        <f t="shared" si="10459"/>
        <v>0</v>
      </c>
      <c r="AH2070" s="171">
        <f t="shared" si="13"/>
        <v>0</v>
      </c>
      <c r="AI2070" s="200">
        <f t="shared" si="14"/>
        <v>0</v>
      </c>
      <c r="AJ2070" s="200">
        <f t="shared" si="10449"/>
        <v>1</v>
      </c>
      <c r="AK2070" s="201">
        <f t="shared" ref="AK2070:AS2070" si="10460">countif($D2070,"*"&amp;AK$2&amp;"*")</f>
        <v>1</v>
      </c>
      <c r="AL2070" s="201">
        <f t="shared" si="10460"/>
        <v>0</v>
      </c>
      <c r="AM2070" s="201">
        <f t="shared" si="10460"/>
        <v>0</v>
      </c>
      <c r="AN2070" s="201">
        <f t="shared" si="10460"/>
        <v>0</v>
      </c>
      <c r="AO2070" s="201">
        <f t="shared" si="10460"/>
        <v>0</v>
      </c>
      <c r="AP2070" s="201">
        <f t="shared" si="10460"/>
        <v>0</v>
      </c>
      <c r="AQ2070" s="201">
        <f t="shared" si="10460"/>
        <v>0</v>
      </c>
      <c r="AR2070" s="200">
        <f t="shared" si="10460"/>
        <v>0</v>
      </c>
      <c r="AS2070" s="200">
        <f t="shared" si="10460"/>
        <v>1</v>
      </c>
      <c r="AT2070" s="173">
        <v>0.0</v>
      </c>
      <c r="AU2070" s="200">
        <f t="shared" ref="AU2070:AX2070" si="10461">countif($D2070,"*"&amp;AU$2&amp;"*")</f>
        <v>0</v>
      </c>
      <c r="AV2070" s="200">
        <f t="shared" si="10461"/>
        <v>0</v>
      </c>
      <c r="AW2070" s="200">
        <f t="shared" si="10461"/>
        <v>0</v>
      </c>
      <c r="AX2070" s="200">
        <f t="shared" si="10461"/>
        <v>0</v>
      </c>
      <c r="AY2070" s="202">
        <v>0.0</v>
      </c>
      <c r="AZ2070" s="200"/>
      <c r="BA2070" s="171" t="str">
        <f t="shared" si="18"/>
        <v/>
      </c>
      <c r="BB2070" s="171" t="str">
        <f t="shared" si="19"/>
        <v/>
      </c>
      <c r="BC2070" s="171" t="str">
        <f t="shared" si="20"/>
        <v>General-purpose</v>
      </c>
      <c r="BD2070" s="171" t="str">
        <f t="shared" si="21"/>
        <v/>
      </c>
      <c r="BE2070" s="171" t="str">
        <f t="shared" si="22"/>
        <v/>
      </c>
      <c r="BF2070" s="171" t="str">
        <f t="shared" si="23"/>
        <v>General-purpose</v>
      </c>
    </row>
    <row r="2071">
      <c r="A2071" s="171">
        <f t="array" ref="A2071">XLOOKUP(C2071,FSE!A:A,FSE!C:C,"XXXXX",0,1)</f>
        <v>2016</v>
      </c>
      <c r="B2071" s="213" t="s">
        <v>5676</v>
      </c>
      <c r="C2071" s="214">
        <v>700.0</v>
      </c>
      <c r="D2071" s="225" t="s">
        <v>3904</v>
      </c>
      <c r="E2071" s="197" t="str">
        <f t="array" ref="E2071">XLOOKUP(C2071,FSE!A:A,FSE!Z:Z,"XXXXX",0,1)</f>
        <v>Not Available (1)</v>
      </c>
      <c r="F2071" s="213" t="s">
        <v>3395</v>
      </c>
      <c r="G2071" s="163" t="str">
        <f t="array" ref="G2071">IF(B2071="ICSE",IF(COUNTIFS(B:B,B2071,C:C,C2071)=XLOOKUP(C2071,ICSE!A:A,ICSE!AA:AA,"ERROR",0,1),"OK","ERROR"),IF(B2071="FSE",IF(COUNTIFS(B:B,B2071,C:C,C2071)=XLOOKUP(C2071,FSE!A:A,FSE!AA:AA,"ERROR",0,1),"OK","ERROR")))</f>
        <v>OK</v>
      </c>
      <c r="H2071" s="199">
        <f t="shared" ref="H2071:O2071" si="10462">countif($D2071,"*"&amp;H$2&amp;"*")</f>
        <v>0</v>
      </c>
      <c r="I2071" s="200">
        <f t="shared" si="10462"/>
        <v>0</v>
      </c>
      <c r="J2071" s="200">
        <f t="shared" si="10462"/>
        <v>0</v>
      </c>
      <c r="K2071" s="200">
        <f t="shared" si="10462"/>
        <v>0</v>
      </c>
      <c r="L2071" s="200">
        <f t="shared" si="10462"/>
        <v>0</v>
      </c>
      <c r="M2071" s="200">
        <f t="shared" si="10462"/>
        <v>0</v>
      </c>
      <c r="N2071" s="200">
        <f t="shared" si="10462"/>
        <v>0</v>
      </c>
      <c r="O2071" s="200">
        <f t="shared" si="10462"/>
        <v>0</v>
      </c>
      <c r="P2071" s="200">
        <f t="shared" si="9"/>
        <v>1</v>
      </c>
      <c r="Q2071" s="200">
        <f t="shared" ref="Q2071:AC2071" si="10463">countif($D2071,"*"&amp;Q$2&amp;"*")</f>
        <v>0</v>
      </c>
      <c r="R2071" s="200">
        <f t="shared" si="10463"/>
        <v>0</v>
      </c>
      <c r="S2071" s="200">
        <f t="shared" si="10463"/>
        <v>0</v>
      </c>
      <c r="T2071" s="200">
        <f t="shared" si="10463"/>
        <v>0</v>
      </c>
      <c r="U2071" s="200">
        <f t="shared" si="10463"/>
        <v>0</v>
      </c>
      <c r="V2071" s="200">
        <f t="shared" si="10463"/>
        <v>0</v>
      </c>
      <c r="W2071" s="200">
        <f t="shared" si="10463"/>
        <v>0</v>
      </c>
      <c r="X2071" s="200">
        <f t="shared" si="10463"/>
        <v>0</v>
      </c>
      <c r="Y2071" s="200">
        <f t="shared" si="10463"/>
        <v>0</v>
      </c>
      <c r="Z2071" s="200">
        <f t="shared" si="10463"/>
        <v>0</v>
      </c>
      <c r="AA2071" s="200">
        <f t="shared" si="10463"/>
        <v>0</v>
      </c>
      <c r="AB2071" s="200">
        <f t="shared" si="10463"/>
        <v>0</v>
      </c>
      <c r="AC2071" s="200">
        <f t="shared" si="10463"/>
        <v>0</v>
      </c>
      <c r="AD2071" s="200">
        <f t="shared" si="11"/>
        <v>0</v>
      </c>
      <c r="AE2071" s="200">
        <f t="shared" ref="AE2071:AG2071" si="10464">countif($D2071,"*"&amp;AE$2&amp;"*")</f>
        <v>0</v>
      </c>
      <c r="AF2071" s="200">
        <f t="shared" si="10464"/>
        <v>0</v>
      </c>
      <c r="AG2071" s="200">
        <f t="shared" si="10464"/>
        <v>0</v>
      </c>
      <c r="AH2071" s="171">
        <f t="shared" si="13"/>
        <v>0</v>
      </c>
      <c r="AI2071" s="200">
        <f t="shared" si="14"/>
        <v>0</v>
      </c>
      <c r="AJ2071" s="200">
        <f t="shared" si="10449"/>
        <v>0</v>
      </c>
      <c r="AK2071" s="201">
        <f t="shared" ref="AK2071:AS2071" si="10465">countif($D2071,"*"&amp;AK$2&amp;"*")</f>
        <v>0</v>
      </c>
      <c r="AL2071" s="201">
        <f t="shared" si="10465"/>
        <v>0</v>
      </c>
      <c r="AM2071" s="201">
        <f t="shared" si="10465"/>
        <v>0</v>
      </c>
      <c r="AN2071" s="201">
        <f t="shared" si="10465"/>
        <v>0</v>
      </c>
      <c r="AO2071" s="201">
        <f t="shared" si="10465"/>
        <v>0</v>
      </c>
      <c r="AP2071" s="201">
        <f t="shared" si="10465"/>
        <v>0</v>
      </c>
      <c r="AQ2071" s="201">
        <f t="shared" si="10465"/>
        <v>0</v>
      </c>
      <c r="AR2071" s="200">
        <f t="shared" si="10465"/>
        <v>0</v>
      </c>
      <c r="AS2071" s="200">
        <f t="shared" si="10465"/>
        <v>1</v>
      </c>
      <c r="AT2071" s="173">
        <v>0.0</v>
      </c>
      <c r="AU2071" s="209">
        <v>0.0</v>
      </c>
      <c r="AV2071" s="200">
        <f t="shared" ref="AV2071:AX2071" si="10466">countif($D2071,"*"&amp;AV$2&amp;"*")</f>
        <v>1</v>
      </c>
      <c r="AW2071" s="200">
        <f t="shared" si="10466"/>
        <v>0</v>
      </c>
      <c r="AX2071" s="200">
        <f t="shared" si="10466"/>
        <v>0</v>
      </c>
      <c r="AY2071" s="202">
        <v>0.0</v>
      </c>
      <c r="AZ2071" s="200"/>
      <c r="BA2071" s="171" t="str">
        <f t="shared" si="18"/>
        <v/>
      </c>
      <c r="BB2071" s="171" t="str">
        <f t="shared" si="19"/>
        <v>Code</v>
      </c>
      <c r="BC2071" s="171" t="str">
        <f t="shared" si="20"/>
        <v/>
      </c>
      <c r="BD2071" s="171" t="str">
        <f t="shared" si="21"/>
        <v/>
      </c>
      <c r="BE2071" s="171" t="str">
        <f t="shared" si="22"/>
        <v/>
      </c>
      <c r="BF2071" s="171" t="str">
        <f t="shared" si="23"/>
        <v>Code</v>
      </c>
    </row>
    <row r="2072">
      <c r="A2072" s="171">
        <f t="array" ref="A2072">XLOOKUP(C2072,FSE!A:A,FSE!C:C,"XXXXX",0,1)</f>
        <v>2016</v>
      </c>
      <c r="B2072" s="213" t="s">
        <v>5676</v>
      </c>
      <c r="C2072" s="214">
        <v>701.0</v>
      </c>
      <c r="D2072" s="215" t="s">
        <v>6569</v>
      </c>
      <c r="E2072" s="197" t="str">
        <f t="array" ref="E2072">XLOOKUP(C2072,FSE!A:A,FSE!Z:Z,"XXXXX",0,1)</f>
        <v>Publicly Available (2)</v>
      </c>
      <c r="F2072" s="213" t="s">
        <v>3394</v>
      </c>
      <c r="G2072" s="163" t="str">
        <f t="array" ref="G2072">IF(B2072="ICSE",IF(COUNTIFS(B:B,B2072,C:C,C2072)=XLOOKUP(C2072,ICSE!A:A,ICSE!AA:AA,"ERROR",0,1),"OK","ERROR"),IF(B2072="FSE",IF(COUNTIFS(B:B,B2072,C:C,C2072)=XLOOKUP(C2072,FSE!A:A,FSE!AA:AA,"ERROR",0,1),"OK","ERROR")))</f>
        <v>OK</v>
      </c>
      <c r="H2072" s="199">
        <f t="shared" ref="H2072:O2072" si="10467">countif($D2072,"*"&amp;H$2&amp;"*")</f>
        <v>0</v>
      </c>
      <c r="I2072" s="200">
        <f t="shared" si="10467"/>
        <v>0</v>
      </c>
      <c r="J2072" s="200">
        <f t="shared" si="10467"/>
        <v>0</v>
      </c>
      <c r="K2072" s="200">
        <f t="shared" si="10467"/>
        <v>0</v>
      </c>
      <c r="L2072" s="200">
        <f t="shared" si="10467"/>
        <v>0</v>
      </c>
      <c r="M2072" s="200">
        <f t="shared" si="10467"/>
        <v>0</v>
      </c>
      <c r="N2072" s="200">
        <f t="shared" si="10467"/>
        <v>0</v>
      </c>
      <c r="O2072" s="200">
        <f t="shared" si="10467"/>
        <v>0</v>
      </c>
      <c r="P2072" s="200">
        <f t="shared" si="9"/>
        <v>1</v>
      </c>
      <c r="Q2072" s="200">
        <f t="shared" ref="Q2072:AC2072" si="10468">countif($D2072,"*"&amp;Q$2&amp;"*")</f>
        <v>0</v>
      </c>
      <c r="R2072" s="200">
        <f t="shared" si="10468"/>
        <v>0</v>
      </c>
      <c r="S2072" s="200">
        <f t="shared" si="10468"/>
        <v>0</v>
      </c>
      <c r="T2072" s="200">
        <f t="shared" si="10468"/>
        <v>0</v>
      </c>
      <c r="U2072" s="200">
        <f t="shared" si="10468"/>
        <v>0</v>
      </c>
      <c r="V2072" s="200">
        <f t="shared" si="10468"/>
        <v>0</v>
      </c>
      <c r="W2072" s="200">
        <f t="shared" si="10468"/>
        <v>0</v>
      </c>
      <c r="X2072" s="200">
        <f t="shared" si="10468"/>
        <v>0</v>
      </c>
      <c r="Y2072" s="200">
        <f t="shared" si="10468"/>
        <v>0</v>
      </c>
      <c r="Z2072" s="200">
        <f t="shared" si="10468"/>
        <v>0</v>
      </c>
      <c r="AA2072" s="200">
        <f t="shared" si="10468"/>
        <v>0</v>
      </c>
      <c r="AB2072" s="200">
        <f t="shared" si="10468"/>
        <v>0</v>
      </c>
      <c r="AC2072" s="200">
        <f t="shared" si="10468"/>
        <v>0</v>
      </c>
      <c r="AD2072" s="200">
        <f t="shared" si="11"/>
        <v>0</v>
      </c>
      <c r="AE2072" s="200">
        <f t="shared" ref="AE2072:AG2072" si="10469">countif($D2072,"*"&amp;AE$2&amp;"*")</f>
        <v>0</v>
      </c>
      <c r="AF2072" s="200">
        <f t="shared" si="10469"/>
        <v>0</v>
      </c>
      <c r="AG2072" s="200">
        <f t="shared" si="10469"/>
        <v>0</v>
      </c>
      <c r="AH2072" s="171">
        <f t="shared" si="13"/>
        <v>0</v>
      </c>
      <c r="AI2072" s="200">
        <f t="shared" si="14"/>
        <v>0</v>
      </c>
      <c r="AJ2072" s="200">
        <f t="shared" si="10449"/>
        <v>0</v>
      </c>
      <c r="AK2072" s="201">
        <f t="shared" ref="AK2072:AS2072" si="10470">countif($D2072,"*"&amp;AK$2&amp;"*")</f>
        <v>0</v>
      </c>
      <c r="AL2072" s="201">
        <f t="shared" si="10470"/>
        <v>0</v>
      </c>
      <c r="AM2072" s="201">
        <f t="shared" si="10470"/>
        <v>0</v>
      </c>
      <c r="AN2072" s="201">
        <f t="shared" si="10470"/>
        <v>0</v>
      </c>
      <c r="AO2072" s="201">
        <f t="shared" si="10470"/>
        <v>0</v>
      </c>
      <c r="AP2072" s="201">
        <f t="shared" si="10470"/>
        <v>0</v>
      </c>
      <c r="AQ2072" s="201">
        <f t="shared" si="10470"/>
        <v>0</v>
      </c>
      <c r="AR2072" s="200">
        <f t="shared" si="10470"/>
        <v>0</v>
      </c>
      <c r="AS2072" s="200">
        <f t="shared" si="10470"/>
        <v>0</v>
      </c>
      <c r="AT2072" s="173">
        <v>0.0</v>
      </c>
      <c r="AU2072" s="200">
        <f t="shared" ref="AU2072:AX2072" si="10471">countif($D2072,"*"&amp;AU$2&amp;"*")</f>
        <v>0</v>
      </c>
      <c r="AV2072" s="200">
        <f t="shared" si="10471"/>
        <v>1</v>
      </c>
      <c r="AW2072" s="200">
        <f t="shared" si="10471"/>
        <v>0</v>
      </c>
      <c r="AX2072" s="200">
        <f t="shared" si="10471"/>
        <v>0</v>
      </c>
      <c r="AY2072" s="202">
        <v>0.0</v>
      </c>
      <c r="AZ2072" s="200"/>
      <c r="BA2072" s="171" t="str">
        <f t="shared" si="18"/>
        <v/>
      </c>
      <c r="BB2072" s="171" t="str">
        <f t="shared" si="19"/>
        <v>Code</v>
      </c>
      <c r="BC2072" s="171" t="str">
        <f t="shared" si="20"/>
        <v/>
      </c>
      <c r="BD2072" s="171" t="str">
        <f t="shared" si="21"/>
        <v/>
      </c>
      <c r="BE2072" s="171" t="str">
        <f t="shared" si="22"/>
        <v/>
      </c>
      <c r="BF2072" s="171" t="str">
        <f t="shared" si="23"/>
        <v>Code</v>
      </c>
    </row>
    <row r="2073">
      <c r="A2073" s="171">
        <f t="array" ref="A2073">XLOOKUP(C2073,FSE!A:A,FSE!C:C,"XXXXX",0,1)</f>
        <v>2016</v>
      </c>
      <c r="B2073" s="213" t="s">
        <v>5676</v>
      </c>
      <c r="C2073" s="214">
        <v>701.0</v>
      </c>
      <c r="D2073" s="215" t="s">
        <v>6570</v>
      </c>
      <c r="E2073" s="197" t="str">
        <f t="array" ref="E2073">XLOOKUP(C2073,FSE!A:A,FSE!Z:Z,"XXXXX",0,1)</f>
        <v>Publicly Available (2)</v>
      </c>
      <c r="F2073" s="213" t="s">
        <v>3394</v>
      </c>
      <c r="G2073" s="163" t="str">
        <f t="array" ref="G2073">IF(B2073="ICSE",IF(COUNTIFS(B:B,B2073,C:C,C2073)=XLOOKUP(C2073,ICSE!A:A,ICSE!AA:AA,"ERROR",0,1),"OK","ERROR"),IF(B2073="FSE",IF(COUNTIFS(B:B,B2073,C:C,C2073)=XLOOKUP(C2073,FSE!A:A,FSE!AA:AA,"ERROR",0,1),"OK","ERROR")))</f>
        <v>OK</v>
      </c>
      <c r="H2073" s="199">
        <f t="shared" ref="H2073:O2073" si="10472">countif($D2073,"*"&amp;H$2&amp;"*")</f>
        <v>0</v>
      </c>
      <c r="I2073" s="200">
        <f t="shared" si="10472"/>
        <v>0</v>
      </c>
      <c r="J2073" s="200">
        <f t="shared" si="10472"/>
        <v>0</v>
      </c>
      <c r="K2073" s="200">
        <f t="shared" si="10472"/>
        <v>0</v>
      </c>
      <c r="L2073" s="200">
        <f t="shared" si="10472"/>
        <v>0</v>
      </c>
      <c r="M2073" s="200">
        <f t="shared" si="10472"/>
        <v>0</v>
      </c>
      <c r="N2073" s="200">
        <f t="shared" si="10472"/>
        <v>0</v>
      </c>
      <c r="O2073" s="200">
        <f t="shared" si="10472"/>
        <v>0</v>
      </c>
      <c r="P2073" s="200">
        <f t="shared" si="9"/>
        <v>1</v>
      </c>
      <c r="Q2073" s="200">
        <f t="shared" ref="Q2073:AC2073" si="10473">countif($D2073,"*"&amp;Q$2&amp;"*")</f>
        <v>0</v>
      </c>
      <c r="R2073" s="200">
        <f t="shared" si="10473"/>
        <v>0</v>
      </c>
      <c r="S2073" s="200">
        <f t="shared" si="10473"/>
        <v>0</v>
      </c>
      <c r="T2073" s="200">
        <f t="shared" si="10473"/>
        <v>0</v>
      </c>
      <c r="U2073" s="200">
        <f t="shared" si="10473"/>
        <v>0</v>
      </c>
      <c r="V2073" s="200">
        <f t="shared" si="10473"/>
        <v>0</v>
      </c>
      <c r="W2073" s="200">
        <f t="shared" si="10473"/>
        <v>0</v>
      </c>
      <c r="X2073" s="200">
        <f t="shared" si="10473"/>
        <v>0</v>
      </c>
      <c r="Y2073" s="200">
        <f t="shared" si="10473"/>
        <v>0</v>
      </c>
      <c r="Z2073" s="200">
        <f t="shared" si="10473"/>
        <v>0</v>
      </c>
      <c r="AA2073" s="200">
        <f t="shared" si="10473"/>
        <v>0</v>
      </c>
      <c r="AB2073" s="200">
        <f t="shared" si="10473"/>
        <v>0</v>
      </c>
      <c r="AC2073" s="200">
        <f t="shared" si="10473"/>
        <v>0</v>
      </c>
      <c r="AD2073" s="200">
        <f t="shared" si="11"/>
        <v>0</v>
      </c>
      <c r="AE2073" s="200">
        <f t="shared" ref="AE2073:AG2073" si="10474">countif($D2073,"*"&amp;AE$2&amp;"*")</f>
        <v>0</v>
      </c>
      <c r="AF2073" s="200">
        <f t="shared" si="10474"/>
        <v>0</v>
      </c>
      <c r="AG2073" s="200">
        <f t="shared" si="10474"/>
        <v>0</v>
      </c>
      <c r="AH2073" s="171">
        <f t="shared" si="13"/>
        <v>0</v>
      </c>
      <c r="AI2073" s="200">
        <f t="shared" si="14"/>
        <v>0</v>
      </c>
      <c r="AJ2073" s="200">
        <f t="shared" si="10449"/>
        <v>0</v>
      </c>
      <c r="AK2073" s="201">
        <f t="shared" ref="AK2073:AS2073" si="10475">countif($D2073,"*"&amp;AK$2&amp;"*")</f>
        <v>0</v>
      </c>
      <c r="AL2073" s="201">
        <f t="shared" si="10475"/>
        <v>0</v>
      </c>
      <c r="AM2073" s="201">
        <f t="shared" si="10475"/>
        <v>0</v>
      </c>
      <c r="AN2073" s="201">
        <f t="shared" si="10475"/>
        <v>0</v>
      </c>
      <c r="AO2073" s="201">
        <f t="shared" si="10475"/>
        <v>0</v>
      </c>
      <c r="AP2073" s="201">
        <f t="shared" si="10475"/>
        <v>0</v>
      </c>
      <c r="AQ2073" s="201">
        <f t="shared" si="10475"/>
        <v>0</v>
      </c>
      <c r="AR2073" s="200">
        <f t="shared" si="10475"/>
        <v>0</v>
      </c>
      <c r="AS2073" s="200">
        <f t="shared" si="10475"/>
        <v>0</v>
      </c>
      <c r="AT2073" s="173">
        <v>0.0</v>
      </c>
      <c r="AU2073" s="200">
        <f t="shared" ref="AU2073:AX2073" si="10476">countif($D2073,"*"&amp;AU$2&amp;"*")</f>
        <v>0</v>
      </c>
      <c r="AV2073" s="200">
        <f t="shared" si="10476"/>
        <v>1</v>
      </c>
      <c r="AW2073" s="200">
        <f t="shared" si="10476"/>
        <v>0</v>
      </c>
      <c r="AX2073" s="200">
        <f t="shared" si="10476"/>
        <v>0</v>
      </c>
      <c r="AY2073" s="202">
        <v>0.0</v>
      </c>
      <c r="AZ2073" s="200"/>
      <c r="BA2073" s="171" t="str">
        <f t="shared" si="18"/>
        <v/>
      </c>
      <c r="BB2073" s="171" t="str">
        <f t="shared" si="19"/>
        <v>Code</v>
      </c>
      <c r="BC2073" s="171" t="str">
        <f t="shared" si="20"/>
        <v/>
      </c>
      <c r="BD2073" s="171" t="str">
        <f t="shared" si="21"/>
        <v/>
      </c>
      <c r="BE2073" s="171" t="str">
        <f t="shared" si="22"/>
        <v/>
      </c>
      <c r="BF2073" s="171" t="str">
        <f t="shared" si="23"/>
        <v>Code</v>
      </c>
    </row>
    <row r="2074">
      <c r="A2074" s="171">
        <f t="array" ref="A2074">XLOOKUP(C2074,FSE!A:A,FSE!C:C,"XXXXX",0,1)</f>
        <v>2016</v>
      </c>
      <c r="B2074" s="213" t="s">
        <v>5676</v>
      </c>
      <c r="C2074" s="214">
        <v>703.0</v>
      </c>
      <c r="D2074" s="215" t="s">
        <v>3911</v>
      </c>
      <c r="E2074" s="197" t="str">
        <f t="array" ref="E2074">XLOOKUP(C2074,FSE!A:A,FSE!Z:Z,"XXXXX",0,1)</f>
        <v>Publicly Available (1)</v>
      </c>
      <c r="F2074" s="213" t="s">
        <v>3394</v>
      </c>
      <c r="G2074" s="163" t="str">
        <f t="array" ref="G2074">IF(B2074="ICSE",IF(COUNTIFS(B:B,B2074,C:C,C2074)=XLOOKUP(C2074,ICSE!A:A,ICSE!AA:AA,"ERROR",0,1),"OK","ERROR"),IF(B2074="FSE",IF(COUNTIFS(B:B,B2074,C:C,C2074)=XLOOKUP(C2074,FSE!A:A,FSE!AA:AA,"ERROR",0,1),"OK","ERROR")))</f>
        <v>OK</v>
      </c>
      <c r="H2074" s="199">
        <f t="shared" ref="H2074:O2074" si="10477">countif($D2074,"*"&amp;H$2&amp;"*")</f>
        <v>0</v>
      </c>
      <c r="I2074" s="200">
        <f t="shared" si="10477"/>
        <v>0</v>
      </c>
      <c r="J2074" s="200">
        <f t="shared" si="10477"/>
        <v>0</v>
      </c>
      <c r="K2074" s="200">
        <f t="shared" si="10477"/>
        <v>0</v>
      </c>
      <c r="L2074" s="200">
        <f t="shared" si="10477"/>
        <v>0</v>
      </c>
      <c r="M2074" s="200">
        <f t="shared" si="10477"/>
        <v>0</v>
      </c>
      <c r="N2074" s="200">
        <f t="shared" si="10477"/>
        <v>0</v>
      </c>
      <c r="O2074" s="200">
        <f t="shared" si="10477"/>
        <v>0</v>
      </c>
      <c r="P2074" s="200">
        <f t="shared" si="9"/>
        <v>1</v>
      </c>
      <c r="Q2074" s="200">
        <f t="shared" ref="Q2074:AC2074" si="10478">countif($D2074,"*"&amp;Q$2&amp;"*")</f>
        <v>0</v>
      </c>
      <c r="R2074" s="200">
        <f t="shared" si="10478"/>
        <v>0</v>
      </c>
      <c r="S2074" s="200">
        <f t="shared" si="10478"/>
        <v>0</v>
      </c>
      <c r="T2074" s="200">
        <f t="shared" si="10478"/>
        <v>0</v>
      </c>
      <c r="U2074" s="200">
        <f t="shared" si="10478"/>
        <v>0</v>
      </c>
      <c r="V2074" s="200">
        <f t="shared" si="10478"/>
        <v>0</v>
      </c>
      <c r="W2074" s="200">
        <f t="shared" si="10478"/>
        <v>0</v>
      </c>
      <c r="X2074" s="200">
        <f t="shared" si="10478"/>
        <v>0</v>
      </c>
      <c r="Y2074" s="200">
        <f t="shared" si="10478"/>
        <v>0</v>
      </c>
      <c r="Z2074" s="200">
        <f t="shared" si="10478"/>
        <v>0</v>
      </c>
      <c r="AA2074" s="200">
        <f t="shared" si="10478"/>
        <v>0</v>
      </c>
      <c r="AB2074" s="200">
        <f t="shared" si="10478"/>
        <v>0</v>
      </c>
      <c r="AC2074" s="200">
        <f t="shared" si="10478"/>
        <v>0</v>
      </c>
      <c r="AD2074" s="200">
        <f t="shared" si="11"/>
        <v>0</v>
      </c>
      <c r="AE2074" s="200">
        <f t="shared" ref="AE2074:AG2074" si="10479">countif($D2074,"*"&amp;AE$2&amp;"*")</f>
        <v>0</v>
      </c>
      <c r="AF2074" s="200">
        <f t="shared" si="10479"/>
        <v>0</v>
      </c>
      <c r="AG2074" s="200">
        <f t="shared" si="10479"/>
        <v>0</v>
      </c>
      <c r="AH2074" s="171">
        <f t="shared" si="13"/>
        <v>0</v>
      </c>
      <c r="AI2074" s="200">
        <f t="shared" si="14"/>
        <v>0</v>
      </c>
      <c r="AJ2074" s="200">
        <f t="shared" si="10449"/>
        <v>0</v>
      </c>
      <c r="AK2074" s="201">
        <f t="shared" ref="AK2074:AS2074" si="10480">countif($D2074,"*"&amp;AK$2&amp;"*")</f>
        <v>0</v>
      </c>
      <c r="AL2074" s="201">
        <f t="shared" si="10480"/>
        <v>0</v>
      </c>
      <c r="AM2074" s="201">
        <f t="shared" si="10480"/>
        <v>0</v>
      </c>
      <c r="AN2074" s="201">
        <f t="shared" si="10480"/>
        <v>0</v>
      </c>
      <c r="AO2074" s="201">
        <f t="shared" si="10480"/>
        <v>0</v>
      </c>
      <c r="AP2074" s="201">
        <f t="shared" si="10480"/>
        <v>0</v>
      </c>
      <c r="AQ2074" s="201">
        <f t="shared" si="10480"/>
        <v>0</v>
      </c>
      <c r="AR2074" s="200">
        <f t="shared" si="10480"/>
        <v>0</v>
      </c>
      <c r="AS2074" s="200">
        <f t="shared" si="10480"/>
        <v>0</v>
      </c>
      <c r="AT2074" s="173">
        <v>0.0</v>
      </c>
      <c r="AU2074" s="200">
        <f t="shared" ref="AU2074:AX2074" si="10481">countif($D2074,"*"&amp;AU$2&amp;"*")</f>
        <v>0</v>
      </c>
      <c r="AV2074" s="200">
        <f t="shared" si="10481"/>
        <v>1</v>
      </c>
      <c r="AW2074" s="200">
        <f t="shared" si="10481"/>
        <v>0</v>
      </c>
      <c r="AX2074" s="200">
        <f t="shared" si="10481"/>
        <v>0</v>
      </c>
      <c r="AY2074" s="202">
        <v>0.0</v>
      </c>
      <c r="AZ2074" s="200"/>
      <c r="BA2074" s="171" t="str">
        <f t="shared" si="18"/>
        <v/>
      </c>
      <c r="BB2074" s="171" t="str">
        <f t="shared" si="19"/>
        <v>Code</v>
      </c>
      <c r="BC2074" s="171" t="str">
        <f t="shared" si="20"/>
        <v/>
      </c>
      <c r="BD2074" s="171" t="str">
        <f t="shared" si="21"/>
        <v/>
      </c>
      <c r="BE2074" s="171" t="str">
        <f t="shared" si="22"/>
        <v/>
      </c>
      <c r="BF2074" s="171" t="str">
        <f t="shared" si="23"/>
        <v>Code</v>
      </c>
    </row>
    <row r="2075">
      <c r="A2075" s="171">
        <f t="array" ref="A2075">XLOOKUP(C2075,FSE!A:A,FSE!C:C,"XXXXX",0,1)</f>
        <v>2016</v>
      </c>
      <c r="B2075" s="213" t="s">
        <v>5676</v>
      </c>
      <c r="C2075" s="214">
        <v>704.0</v>
      </c>
      <c r="D2075" s="215" t="s">
        <v>6571</v>
      </c>
      <c r="E2075" s="197" t="str">
        <f t="array" ref="E2075">XLOOKUP(C2075,FSE!A:A,FSE!Z:Z,"XXXXX",0,1)</f>
        <v>Not Available (1)
Publicly Available (1)</v>
      </c>
      <c r="F2075" s="213" t="s">
        <v>3395</v>
      </c>
      <c r="G2075" s="163" t="str">
        <f t="array" ref="G2075">IF(B2075="ICSE",IF(COUNTIFS(B:B,B2075,C:C,C2075)=XLOOKUP(C2075,ICSE!A:A,ICSE!AA:AA,"ERROR",0,1),"OK","ERROR"),IF(B2075="FSE",IF(COUNTIFS(B:B,B2075,C:C,C2075)=XLOOKUP(C2075,FSE!A:A,FSE!AA:AA,"ERROR",0,1),"OK","ERROR")))</f>
        <v>OK</v>
      </c>
      <c r="H2075" s="199">
        <f t="shared" ref="H2075:O2075" si="10482">countif($D2075,"*"&amp;H$2&amp;"*")</f>
        <v>0</v>
      </c>
      <c r="I2075" s="200">
        <f t="shared" si="10482"/>
        <v>0</v>
      </c>
      <c r="J2075" s="200">
        <f t="shared" si="10482"/>
        <v>0</v>
      </c>
      <c r="K2075" s="200">
        <f t="shared" si="10482"/>
        <v>0</v>
      </c>
      <c r="L2075" s="200">
        <f t="shared" si="10482"/>
        <v>0</v>
      </c>
      <c r="M2075" s="200">
        <f t="shared" si="10482"/>
        <v>0</v>
      </c>
      <c r="N2075" s="200">
        <f t="shared" si="10482"/>
        <v>0</v>
      </c>
      <c r="O2075" s="200">
        <f t="shared" si="10482"/>
        <v>0</v>
      </c>
      <c r="P2075" s="200">
        <f t="shared" si="9"/>
        <v>0</v>
      </c>
      <c r="Q2075" s="200">
        <f t="shared" ref="Q2075:AC2075" si="10483">countif($D2075,"*"&amp;Q$2&amp;"*")</f>
        <v>0</v>
      </c>
      <c r="R2075" s="200">
        <f t="shared" si="10483"/>
        <v>0</v>
      </c>
      <c r="S2075" s="200">
        <f t="shared" si="10483"/>
        <v>0</v>
      </c>
      <c r="T2075" s="200">
        <f t="shared" si="10483"/>
        <v>0</v>
      </c>
      <c r="U2075" s="200">
        <f t="shared" si="10483"/>
        <v>0</v>
      </c>
      <c r="V2075" s="200">
        <f t="shared" si="10483"/>
        <v>0</v>
      </c>
      <c r="W2075" s="200">
        <f t="shared" si="10483"/>
        <v>0</v>
      </c>
      <c r="X2075" s="200">
        <f t="shared" si="10483"/>
        <v>0</v>
      </c>
      <c r="Y2075" s="200">
        <f t="shared" si="10483"/>
        <v>0</v>
      </c>
      <c r="Z2075" s="200">
        <f t="shared" si="10483"/>
        <v>0</v>
      </c>
      <c r="AA2075" s="200">
        <f t="shared" si="10483"/>
        <v>0</v>
      </c>
      <c r="AB2075" s="200">
        <f t="shared" si="10483"/>
        <v>0</v>
      </c>
      <c r="AC2075" s="200">
        <f t="shared" si="10483"/>
        <v>0</v>
      </c>
      <c r="AD2075" s="200">
        <f t="shared" si="11"/>
        <v>1</v>
      </c>
      <c r="AE2075" s="200">
        <f t="shared" ref="AE2075:AG2075" si="10484">countif($D2075,"*"&amp;AE$2&amp;"*")</f>
        <v>0</v>
      </c>
      <c r="AF2075" s="200">
        <f t="shared" si="10484"/>
        <v>0</v>
      </c>
      <c r="AG2075" s="200">
        <f t="shared" si="10484"/>
        <v>0</v>
      </c>
      <c r="AH2075" s="171">
        <f t="shared" si="13"/>
        <v>0</v>
      </c>
      <c r="AI2075" s="200">
        <f t="shared" si="14"/>
        <v>0</v>
      </c>
      <c r="AJ2075" s="200">
        <f t="shared" si="10449"/>
        <v>0</v>
      </c>
      <c r="AK2075" s="201">
        <f t="shared" ref="AK2075:AS2075" si="10485">countif($D2075,"*"&amp;AK$2&amp;"*")</f>
        <v>0</v>
      </c>
      <c r="AL2075" s="201">
        <f t="shared" si="10485"/>
        <v>0</v>
      </c>
      <c r="AM2075" s="201">
        <f t="shared" si="10485"/>
        <v>0</v>
      </c>
      <c r="AN2075" s="201">
        <f t="shared" si="10485"/>
        <v>0</v>
      </c>
      <c r="AO2075" s="201">
        <f t="shared" si="10485"/>
        <v>0</v>
      </c>
      <c r="AP2075" s="201">
        <f t="shared" si="10485"/>
        <v>0</v>
      </c>
      <c r="AQ2075" s="201">
        <f t="shared" si="10485"/>
        <v>0</v>
      </c>
      <c r="AR2075" s="200">
        <f t="shared" si="10485"/>
        <v>0</v>
      </c>
      <c r="AS2075" s="200">
        <f t="shared" si="10485"/>
        <v>0</v>
      </c>
      <c r="AT2075" s="173">
        <v>1.0</v>
      </c>
      <c r="AU2075" s="200">
        <f t="shared" ref="AU2075:AX2075" si="10486">countif($D2075,"*"&amp;AU$2&amp;"*")</f>
        <v>0</v>
      </c>
      <c r="AV2075" s="200">
        <f t="shared" si="10486"/>
        <v>0</v>
      </c>
      <c r="AW2075" s="200">
        <f t="shared" si="10486"/>
        <v>0</v>
      </c>
      <c r="AX2075" s="200">
        <f t="shared" si="10486"/>
        <v>0</v>
      </c>
      <c r="AY2075" s="202">
        <v>0.0</v>
      </c>
      <c r="AZ2075" s="200"/>
      <c r="BA2075" s="171" t="str">
        <f t="shared" si="18"/>
        <v/>
      </c>
      <c r="BB2075" s="171" t="str">
        <f t="shared" si="19"/>
        <v/>
      </c>
      <c r="BC2075" s="171" t="str">
        <f t="shared" si="20"/>
        <v/>
      </c>
      <c r="BD2075" s="171" t="str">
        <f t="shared" si="21"/>
        <v>Institutional</v>
      </c>
      <c r="BE2075" s="171" t="str">
        <f t="shared" si="22"/>
        <v/>
      </c>
      <c r="BF2075" s="171" t="str">
        <f t="shared" si="23"/>
        <v>Institutional</v>
      </c>
    </row>
    <row r="2076">
      <c r="A2076" s="171">
        <f t="array" ref="A2076">XLOOKUP(C2076,FSE!A:A,FSE!C:C,"XXXXX",0,1)</f>
        <v>2016</v>
      </c>
      <c r="B2076" s="213" t="s">
        <v>5676</v>
      </c>
      <c r="C2076" s="214">
        <v>704.0</v>
      </c>
      <c r="D2076" s="215" t="s">
        <v>6572</v>
      </c>
      <c r="E2076" s="197" t="str">
        <f t="array" ref="E2076">XLOOKUP(C2076,FSE!A:A,FSE!Z:Z,"XXXXX",0,1)</f>
        <v>Not Available (1)
Publicly Available (1)</v>
      </c>
      <c r="F2076" s="213" t="s">
        <v>3394</v>
      </c>
      <c r="G2076" s="163" t="str">
        <f t="array" ref="G2076">IF(B2076="ICSE",IF(COUNTIFS(B:B,B2076,C:C,C2076)=XLOOKUP(C2076,ICSE!A:A,ICSE!AA:AA,"ERROR",0,1),"OK","ERROR"),IF(B2076="FSE",IF(COUNTIFS(B:B,B2076,C:C,C2076)=XLOOKUP(C2076,FSE!A:A,FSE!AA:AA,"ERROR",0,1),"OK","ERROR")))</f>
        <v>OK</v>
      </c>
      <c r="H2076" s="199">
        <f t="shared" ref="H2076:O2076" si="10487">countif($D2076,"*"&amp;H$2&amp;"*")</f>
        <v>0</v>
      </c>
      <c r="I2076" s="200">
        <f t="shared" si="10487"/>
        <v>0</v>
      </c>
      <c r="J2076" s="200">
        <f t="shared" si="10487"/>
        <v>0</v>
      </c>
      <c r="K2076" s="200">
        <f t="shared" si="10487"/>
        <v>0</v>
      </c>
      <c r="L2076" s="200">
        <f t="shared" si="10487"/>
        <v>0</v>
      </c>
      <c r="M2076" s="200">
        <f t="shared" si="10487"/>
        <v>0</v>
      </c>
      <c r="N2076" s="200">
        <f t="shared" si="10487"/>
        <v>0</v>
      </c>
      <c r="O2076" s="200">
        <f t="shared" si="10487"/>
        <v>0</v>
      </c>
      <c r="P2076" s="200">
        <f t="shared" si="9"/>
        <v>0</v>
      </c>
      <c r="Q2076" s="200">
        <f t="shared" ref="Q2076:AC2076" si="10488">countif($D2076,"*"&amp;Q$2&amp;"*")</f>
        <v>0</v>
      </c>
      <c r="R2076" s="200">
        <f t="shared" si="10488"/>
        <v>0</v>
      </c>
      <c r="S2076" s="200">
        <f t="shared" si="10488"/>
        <v>0</v>
      </c>
      <c r="T2076" s="200">
        <f t="shared" si="10488"/>
        <v>0</v>
      </c>
      <c r="U2076" s="200">
        <f t="shared" si="10488"/>
        <v>0</v>
      </c>
      <c r="V2076" s="200">
        <f t="shared" si="10488"/>
        <v>0</v>
      </c>
      <c r="W2076" s="200">
        <f t="shared" si="10488"/>
        <v>0</v>
      </c>
      <c r="X2076" s="200">
        <f t="shared" si="10488"/>
        <v>0</v>
      </c>
      <c r="Y2076" s="200">
        <f t="shared" si="10488"/>
        <v>0</v>
      </c>
      <c r="Z2076" s="200">
        <f t="shared" si="10488"/>
        <v>0</v>
      </c>
      <c r="AA2076" s="200">
        <f t="shared" si="10488"/>
        <v>0</v>
      </c>
      <c r="AB2076" s="200">
        <f t="shared" si="10488"/>
        <v>0</v>
      </c>
      <c r="AC2076" s="200">
        <f t="shared" si="10488"/>
        <v>0</v>
      </c>
      <c r="AD2076" s="200">
        <f t="shared" si="11"/>
        <v>0</v>
      </c>
      <c r="AE2076" s="200">
        <f t="shared" ref="AE2076:AG2076" si="10489">countif($D2076,"*"&amp;AE$2&amp;"*")</f>
        <v>0</v>
      </c>
      <c r="AF2076" s="200">
        <f t="shared" si="10489"/>
        <v>0</v>
      </c>
      <c r="AG2076" s="200">
        <f t="shared" si="10489"/>
        <v>0</v>
      </c>
      <c r="AH2076" s="171">
        <f t="shared" si="13"/>
        <v>1</v>
      </c>
      <c r="AI2076" s="200">
        <f t="shared" si="14"/>
        <v>0</v>
      </c>
      <c r="AJ2076" s="200">
        <f t="shared" si="10449"/>
        <v>0</v>
      </c>
      <c r="AK2076" s="201">
        <f t="shared" ref="AK2076:AS2076" si="10490">countif($D2076,"*"&amp;AK$2&amp;"*")</f>
        <v>0</v>
      </c>
      <c r="AL2076" s="201">
        <f t="shared" si="10490"/>
        <v>0</v>
      </c>
      <c r="AM2076" s="201">
        <f t="shared" si="10490"/>
        <v>0</v>
      </c>
      <c r="AN2076" s="201">
        <f t="shared" si="10490"/>
        <v>0</v>
      </c>
      <c r="AO2076" s="201">
        <f t="shared" si="10490"/>
        <v>0</v>
      </c>
      <c r="AP2076" s="201">
        <f t="shared" si="10490"/>
        <v>0</v>
      </c>
      <c r="AQ2076" s="201">
        <f t="shared" si="10490"/>
        <v>0</v>
      </c>
      <c r="AR2076" s="200">
        <f t="shared" si="10490"/>
        <v>0</v>
      </c>
      <c r="AS2076" s="200">
        <f t="shared" si="10490"/>
        <v>0</v>
      </c>
      <c r="AT2076" s="173">
        <v>0.0</v>
      </c>
      <c r="AU2076" s="200">
        <f t="shared" ref="AU2076:AX2076" si="10491">countif($D2076,"*"&amp;AU$2&amp;"*")</f>
        <v>0</v>
      </c>
      <c r="AV2076" s="200">
        <f t="shared" si="10491"/>
        <v>0</v>
      </c>
      <c r="AW2076" s="200">
        <f t="shared" si="10491"/>
        <v>0</v>
      </c>
      <c r="AX2076" s="200">
        <f t="shared" si="10491"/>
        <v>0</v>
      </c>
      <c r="AY2076" s="202">
        <v>0.0</v>
      </c>
      <c r="AZ2076" s="200"/>
      <c r="BA2076" s="171" t="str">
        <f t="shared" si="18"/>
        <v/>
      </c>
      <c r="BB2076" s="171" t="str">
        <f t="shared" si="19"/>
        <v/>
      </c>
      <c r="BC2076" s="171" t="str">
        <f t="shared" si="20"/>
        <v/>
      </c>
      <c r="BD2076" s="171" t="str">
        <f t="shared" si="21"/>
        <v/>
      </c>
      <c r="BE2076" s="171" t="str">
        <f t="shared" si="22"/>
        <v>Others</v>
      </c>
      <c r="BF2076" s="171" t="str">
        <f t="shared" si="23"/>
        <v>Others</v>
      </c>
    </row>
    <row r="2077">
      <c r="A2077" s="171">
        <f t="array" ref="A2077">XLOOKUP(C2077,FSE!A:A,FSE!C:C,"XXXXX",0,1)</f>
        <v>2016</v>
      </c>
      <c r="B2077" s="213" t="s">
        <v>5676</v>
      </c>
      <c r="C2077" s="214">
        <v>705.0</v>
      </c>
      <c r="D2077" s="215" t="s">
        <v>3917</v>
      </c>
      <c r="E2077" s="197" t="str">
        <f t="array" ref="E2077">XLOOKUP(C2077,FSE!A:A,FSE!Z:Z,"XXXXX",0,1)</f>
        <v>Not Available (1)</v>
      </c>
      <c r="F2077" s="213" t="s">
        <v>3395</v>
      </c>
      <c r="G2077" s="163" t="str">
        <f t="array" ref="G2077">IF(B2077="ICSE",IF(COUNTIFS(B:B,B2077,C:C,C2077)=XLOOKUP(C2077,ICSE!A:A,ICSE!AA:AA,"ERROR",0,1),"OK","ERROR"),IF(B2077="FSE",IF(COUNTIFS(B:B,B2077,C:C,C2077)=XLOOKUP(C2077,FSE!A:A,FSE!AA:AA,"ERROR",0,1),"OK","ERROR")))</f>
        <v>OK</v>
      </c>
      <c r="H2077" s="199">
        <f t="shared" ref="H2077:O2077" si="10492">countif($D2077,"*"&amp;H$2&amp;"*")</f>
        <v>0</v>
      </c>
      <c r="I2077" s="200">
        <f t="shared" si="10492"/>
        <v>0</v>
      </c>
      <c r="J2077" s="200">
        <f t="shared" si="10492"/>
        <v>0</v>
      </c>
      <c r="K2077" s="200">
        <f t="shared" si="10492"/>
        <v>0</v>
      </c>
      <c r="L2077" s="200">
        <f t="shared" si="10492"/>
        <v>0</v>
      </c>
      <c r="M2077" s="200">
        <f t="shared" si="10492"/>
        <v>0</v>
      </c>
      <c r="N2077" s="200">
        <f t="shared" si="10492"/>
        <v>0</v>
      </c>
      <c r="O2077" s="200">
        <f t="shared" si="10492"/>
        <v>0</v>
      </c>
      <c r="P2077" s="200">
        <f t="shared" si="9"/>
        <v>0</v>
      </c>
      <c r="Q2077" s="200">
        <f t="shared" ref="Q2077:AC2077" si="10493">countif($D2077,"*"&amp;Q$2&amp;"*")</f>
        <v>0</v>
      </c>
      <c r="R2077" s="200">
        <f t="shared" si="10493"/>
        <v>0</v>
      </c>
      <c r="S2077" s="200">
        <f t="shared" si="10493"/>
        <v>0</v>
      </c>
      <c r="T2077" s="200">
        <f t="shared" si="10493"/>
        <v>0</v>
      </c>
      <c r="U2077" s="200">
        <f t="shared" si="10493"/>
        <v>0</v>
      </c>
      <c r="V2077" s="200">
        <f t="shared" si="10493"/>
        <v>0</v>
      </c>
      <c r="W2077" s="200">
        <f t="shared" si="10493"/>
        <v>0</v>
      </c>
      <c r="X2077" s="200">
        <f t="shared" si="10493"/>
        <v>0</v>
      </c>
      <c r="Y2077" s="200">
        <f t="shared" si="10493"/>
        <v>0</v>
      </c>
      <c r="Z2077" s="200">
        <f t="shared" si="10493"/>
        <v>0</v>
      </c>
      <c r="AA2077" s="200">
        <f t="shared" si="10493"/>
        <v>1</v>
      </c>
      <c r="AB2077" s="200">
        <f t="shared" si="10493"/>
        <v>0</v>
      </c>
      <c r="AC2077" s="200">
        <f t="shared" si="10493"/>
        <v>0</v>
      </c>
      <c r="AD2077" s="200">
        <f t="shared" si="11"/>
        <v>0</v>
      </c>
      <c r="AE2077" s="200">
        <f t="shared" ref="AE2077:AG2077" si="10494">countif($D2077,"*"&amp;AE$2&amp;"*")</f>
        <v>0</v>
      </c>
      <c r="AF2077" s="200">
        <f t="shared" si="10494"/>
        <v>0</v>
      </c>
      <c r="AG2077" s="200">
        <f t="shared" si="10494"/>
        <v>0</v>
      </c>
      <c r="AH2077" s="171">
        <f t="shared" si="13"/>
        <v>0</v>
      </c>
      <c r="AI2077" s="200">
        <f t="shared" si="14"/>
        <v>0</v>
      </c>
      <c r="AJ2077" s="200">
        <f t="shared" si="10449"/>
        <v>0</v>
      </c>
      <c r="AK2077" s="201">
        <f t="shared" ref="AK2077:AS2077" si="10495">countif($D2077,"*"&amp;AK$2&amp;"*")</f>
        <v>0</v>
      </c>
      <c r="AL2077" s="201">
        <f t="shared" si="10495"/>
        <v>0</v>
      </c>
      <c r="AM2077" s="201">
        <f t="shared" si="10495"/>
        <v>0</v>
      </c>
      <c r="AN2077" s="201">
        <f t="shared" si="10495"/>
        <v>0</v>
      </c>
      <c r="AO2077" s="201">
        <f t="shared" si="10495"/>
        <v>0</v>
      </c>
      <c r="AP2077" s="201">
        <f t="shared" si="10495"/>
        <v>0</v>
      </c>
      <c r="AQ2077" s="201">
        <f t="shared" si="10495"/>
        <v>0</v>
      </c>
      <c r="AR2077" s="200">
        <f t="shared" si="10495"/>
        <v>0</v>
      </c>
      <c r="AS2077" s="200">
        <f t="shared" si="10495"/>
        <v>0</v>
      </c>
      <c r="AT2077" s="173">
        <v>0.0</v>
      </c>
      <c r="AU2077" s="200">
        <f t="shared" ref="AU2077:AX2077" si="10496">countif($D2077,"*"&amp;AU$2&amp;"*")</f>
        <v>0</v>
      </c>
      <c r="AV2077" s="200">
        <f t="shared" si="10496"/>
        <v>0</v>
      </c>
      <c r="AW2077" s="200">
        <f t="shared" si="10496"/>
        <v>0</v>
      </c>
      <c r="AX2077" s="200">
        <f t="shared" si="10496"/>
        <v>0</v>
      </c>
      <c r="AY2077" s="202">
        <v>0.0</v>
      </c>
      <c r="AZ2077" s="200"/>
      <c r="BA2077" s="171" t="str">
        <f t="shared" si="18"/>
        <v/>
      </c>
      <c r="BB2077" s="171" t="str">
        <f t="shared" si="19"/>
        <v/>
      </c>
      <c r="BC2077" s="171" t="str">
        <f t="shared" si="20"/>
        <v>General-purpose</v>
      </c>
      <c r="BD2077" s="171" t="str">
        <f t="shared" si="21"/>
        <v/>
      </c>
      <c r="BE2077" s="171" t="str">
        <f t="shared" si="22"/>
        <v/>
      </c>
      <c r="BF2077" s="171" t="str">
        <f t="shared" si="23"/>
        <v>General-purpose</v>
      </c>
    </row>
    <row r="2078">
      <c r="A2078" s="171">
        <f t="array" ref="A2078">XLOOKUP(C2078,FSE!A:A,FSE!C:C,"XXXXX",0,1)</f>
        <v>2015</v>
      </c>
      <c r="B2078" s="213" t="s">
        <v>5676</v>
      </c>
      <c r="C2078" s="214">
        <v>708.0</v>
      </c>
      <c r="D2078" s="215" t="s">
        <v>6573</v>
      </c>
      <c r="E2078" s="197" t="str">
        <f t="array" ref="E2078">XLOOKUP(C2078,FSE!A:A,FSE!Z:Z,"XXXXX",0,1)</f>
        <v>Not Available (1)</v>
      </c>
      <c r="F2078" s="213" t="s">
        <v>3395</v>
      </c>
      <c r="G2078" s="163" t="str">
        <f t="array" ref="G2078">IF(B2078="ICSE",IF(COUNTIFS(B:B,B2078,C:C,C2078)=XLOOKUP(C2078,ICSE!A:A,ICSE!AA:AA,"ERROR",0,1),"OK","ERROR"),IF(B2078="FSE",IF(COUNTIFS(B:B,B2078,C:C,C2078)=XLOOKUP(C2078,FSE!A:A,FSE!AA:AA,"ERROR",0,1),"OK","ERROR")))</f>
        <v>OK</v>
      </c>
      <c r="H2078" s="199">
        <f t="shared" ref="H2078:O2078" si="10497">countif($D2078,"*"&amp;H$2&amp;"*")</f>
        <v>0</v>
      </c>
      <c r="I2078" s="200">
        <f t="shared" si="10497"/>
        <v>0</v>
      </c>
      <c r="J2078" s="200">
        <f t="shared" si="10497"/>
        <v>0</v>
      </c>
      <c r="K2078" s="200">
        <f t="shared" si="10497"/>
        <v>0</v>
      </c>
      <c r="L2078" s="200">
        <f t="shared" si="10497"/>
        <v>0</v>
      </c>
      <c r="M2078" s="200">
        <f t="shared" si="10497"/>
        <v>0</v>
      </c>
      <c r="N2078" s="200">
        <f t="shared" si="10497"/>
        <v>0</v>
      </c>
      <c r="O2078" s="200">
        <f t="shared" si="10497"/>
        <v>0</v>
      </c>
      <c r="P2078" s="200">
        <f t="shared" si="9"/>
        <v>0</v>
      </c>
      <c r="Q2078" s="200">
        <f t="shared" ref="Q2078:AC2078" si="10498">countif($D2078,"*"&amp;Q$2&amp;"*")</f>
        <v>0</v>
      </c>
      <c r="R2078" s="200">
        <f t="shared" si="10498"/>
        <v>0</v>
      </c>
      <c r="S2078" s="200">
        <f t="shared" si="10498"/>
        <v>0</v>
      </c>
      <c r="T2078" s="200">
        <f t="shared" si="10498"/>
        <v>0</v>
      </c>
      <c r="U2078" s="200">
        <f t="shared" si="10498"/>
        <v>0</v>
      </c>
      <c r="V2078" s="200">
        <f t="shared" si="10498"/>
        <v>0</v>
      </c>
      <c r="W2078" s="200">
        <f t="shared" si="10498"/>
        <v>0</v>
      </c>
      <c r="X2078" s="200">
        <f t="shared" si="10498"/>
        <v>0</v>
      </c>
      <c r="Y2078" s="200">
        <f t="shared" si="10498"/>
        <v>0</v>
      </c>
      <c r="Z2078" s="200">
        <f t="shared" si="10498"/>
        <v>0</v>
      </c>
      <c r="AA2078" s="200">
        <f t="shared" si="10498"/>
        <v>0</v>
      </c>
      <c r="AB2078" s="200">
        <f t="shared" si="10498"/>
        <v>0</v>
      </c>
      <c r="AC2078" s="200">
        <f t="shared" si="10498"/>
        <v>0</v>
      </c>
      <c r="AD2078" s="200">
        <f t="shared" si="11"/>
        <v>1</v>
      </c>
      <c r="AE2078" s="200">
        <f t="shared" ref="AE2078:AG2078" si="10499">countif($D2078,"*"&amp;AE$2&amp;"*")</f>
        <v>0</v>
      </c>
      <c r="AF2078" s="200">
        <f t="shared" si="10499"/>
        <v>0</v>
      </c>
      <c r="AG2078" s="200">
        <f t="shared" si="10499"/>
        <v>0</v>
      </c>
      <c r="AH2078" s="171">
        <f t="shared" si="13"/>
        <v>0</v>
      </c>
      <c r="AI2078" s="200">
        <f t="shared" si="14"/>
        <v>0</v>
      </c>
      <c r="AJ2078" s="200">
        <f>SUM(AK2078:AQ2078)</f>
        <v>0</v>
      </c>
      <c r="AK2078" s="201">
        <f t="shared" ref="AK2078:AS2078" si="10500">countif($D2078,"*"&amp;AK$2&amp;"*")</f>
        <v>0</v>
      </c>
      <c r="AL2078" s="201">
        <f t="shared" si="10500"/>
        <v>0</v>
      </c>
      <c r="AM2078" s="201">
        <f t="shared" si="10500"/>
        <v>0</v>
      </c>
      <c r="AN2078" s="201">
        <f t="shared" si="10500"/>
        <v>0</v>
      </c>
      <c r="AO2078" s="201">
        <f t="shared" si="10500"/>
        <v>0</v>
      </c>
      <c r="AP2078" s="201">
        <f t="shared" si="10500"/>
        <v>0</v>
      </c>
      <c r="AQ2078" s="201">
        <f t="shared" si="10500"/>
        <v>0</v>
      </c>
      <c r="AR2078" s="201">
        <f t="shared" si="10500"/>
        <v>0</v>
      </c>
      <c r="AS2078" s="200">
        <f t="shared" si="10500"/>
        <v>0</v>
      </c>
      <c r="AT2078" s="205">
        <v>0.0</v>
      </c>
      <c r="AU2078" s="200">
        <f t="shared" ref="AU2078:AX2078" si="10501">countif($D2078,"*"&amp;AU$2&amp;"*")</f>
        <v>1</v>
      </c>
      <c r="AV2078" s="200">
        <f t="shared" si="10501"/>
        <v>0</v>
      </c>
      <c r="AW2078" s="200">
        <f t="shared" si="10501"/>
        <v>0</v>
      </c>
      <c r="AX2078" s="200">
        <f t="shared" si="10501"/>
        <v>0</v>
      </c>
      <c r="AY2078" s="202">
        <v>0.0</v>
      </c>
      <c r="AZ2078" s="200"/>
      <c r="BA2078" s="171" t="str">
        <f t="shared" si="18"/>
        <v/>
      </c>
      <c r="BB2078" s="171" t="str">
        <f t="shared" si="19"/>
        <v/>
      </c>
      <c r="BC2078" s="171" t="str">
        <f t="shared" si="20"/>
        <v/>
      </c>
      <c r="BD2078" s="171" t="str">
        <f t="shared" si="21"/>
        <v>Institutional</v>
      </c>
      <c r="BE2078" s="171" t="str">
        <f t="shared" si="22"/>
        <v/>
      </c>
      <c r="BF2078" s="171" t="str">
        <f t="shared" si="23"/>
        <v>Institutional</v>
      </c>
    </row>
    <row r="2079">
      <c r="A2079" s="171">
        <f t="array" ref="A2079">XLOOKUP(C2079,FSE!A:A,FSE!C:C,"XXXXX",0,1)</f>
        <v>2015</v>
      </c>
      <c r="B2079" s="213" t="s">
        <v>5676</v>
      </c>
      <c r="C2079" s="214">
        <v>709.0</v>
      </c>
      <c r="D2079" s="215" t="s">
        <v>3548</v>
      </c>
      <c r="E2079" s="197" t="str">
        <f t="array" ref="E2079">XLOOKUP(C2079,FSE!A:A,FSE!Z:Z,"XXXXX",0,1)</f>
        <v>Publicly Available (1)</v>
      </c>
      <c r="F2079" s="213" t="s">
        <v>3394</v>
      </c>
      <c r="G2079" s="163" t="str">
        <f t="array" ref="G2079">IF(B2079="ICSE",IF(COUNTIFS(B:B,B2079,C:C,C2079)=XLOOKUP(C2079,ICSE!A:A,ICSE!AA:AA,"ERROR",0,1),"OK","ERROR"),IF(B2079="FSE",IF(COUNTIFS(B:B,B2079,C:C,C2079)=XLOOKUP(C2079,FSE!A:A,FSE!AA:AA,"ERROR",0,1),"OK","ERROR")))</f>
        <v>OK</v>
      </c>
      <c r="H2079" s="199">
        <f t="shared" ref="H2079:O2079" si="10502">countif($D2079,"*"&amp;H$2&amp;"*")</f>
        <v>0</v>
      </c>
      <c r="I2079" s="200">
        <f t="shared" si="10502"/>
        <v>0</v>
      </c>
      <c r="J2079" s="200">
        <f t="shared" si="10502"/>
        <v>0</v>
      </c>
      <c r="K2079" s="200">
        <f t="shared" si="10502"/>
        <v>0</v>
      </c>
      <c r="L2079" s="200">
        <f t="shared" si="10502"/>
        <v>0</v>
      </c>
      <c r="M2079" s="200">
        <f t="shared" si="10502"/>
        <v>0</v>
      </c>
      <c r="N2079" s="200">
        <f t="shared" si="10502"/>
        <v>0</v>
      </c>
      <c r="O2079" s="200">
        <f t="shared" si="10502"/>
        <v>0</v>
      </c>
      <c r="P2079" s="200">
        <f t="shared" si="9"/>
        <v>0</v>
      </c>
      <c r="Q2079" s="200">
        <f t="shared" ref="Q2079:AC2079" si="10503">countif($D2079,"*"&amp;Q$2&amp;"*")</f>
        <v>0</v>
      </c>
      <c r="R2079" s="200">
        <f t="shared" si="10503"/>
        <v>0</v>
      </c>
      <c r="S2079" s="200">
        <f t="shared" si="10503"/>
        <v>0</v>
      </c>
      <c r="T2079" s="200">
        <f t="shared" si="10503"/>
        <v>0</v>
      </c>
      <c r="U2079" s="200">
        <f t="shared" si="10503"/>
        <v>0</v>
      </c>
      <c r="V2079" s="200">
        <f t="shared" si="10503"/>
        <v>0</v>
      </c>
      <c r="W2079" s="200">
        <f t="shared" si="10503"/>
        <v>0</v>
      </c>
      <c r="X2079" s="200">
        <f t="shared" si="10503"/>
        <v>0</v>
      </c>
      <c r="Y2079" s="200">
        <f t="shared" si="10503"/>
        <v>0</v>
      </c>
      <c r="Z2079" s="200">
        <f t="shared" si="10503"/>
        <v>0</v>
      </c>
      <c r="AA2079" s="200">
        <f t="shared" si="10503"/>
        <v>0</v>
      </c>
      <c r="AB2079" s="200">
        <f t="shared" si="10503"/>
        <v>0</v>
      </c>
      <c r="AC2079" s="200">
        <f t="shared" si="10503"/>
        <v>0</v>
      </c>
      <c r="AD2079" s="200">
        <f t="shared" si="11"/>
        <v>1</v>
      </c>
      <c r="AE2079" s="200">
        <f t="shared" ref="AE2079:AG2079" si="10504">countif($D2079,"*"&amp;AE$2&amp;"*")</f>
        <v>0</v>
      </c>
      <c r="AF2079" s="200">
        <f t="shared" si="10504"/>
        <v>0</v>
      </c>
      <c r="AG2079" s="200">
        <f t="shared" si="10504"/>
        <v>0</v>
      </c>
      <c r="AH2079" s="171">
        <f t="shared" si="13"/>
        <v>0</v>
      </c>
      <c r="AI2079" s="200">
        <f t="shared" si="14"/>
        <v>0</v>
      </c>
      <c r="AJ2079" s="200">
        <f t="shared" ref="AJ2079:AJ2080" si="10510">SUM(AK2079:AR2079)</f>
        <v>0</v>
      </c>
      <c r="AK2079" s="201">
        <f t="shared" ref="AK2079:AS2079" si="10505">countif($D2079,"*"&amp;AK$2&amp;"*")</f>
        <v>0</v>
      </c>
      <c r="AL2079" s="201">
        <f t="shared" si="10505"/>
        <v>0</v>
      </c>
      <c r="AM2079" s="201">
        <f t="shared" si="10505"/>
        <v>0</v>
      </c>
      <c r="AN2079" s="201">
        <f t="shared" si="10505"/>
        <v>0</v>
      </c>
      <c r="AO2079" s="201">
        <f t="shared" si="10505"/>
        <v>0</v>
      </c>
      <c r="AP2079" s="201">
        <f t="shared" si="10505"/>
        <v>0</v>
      </c>
      <c r="AQ2079" s="201">
        <f t="shared" si="10505"/>
        <v>0</v>
      </c>
      <c r="AR2079" s="200">
        <f t="shared" si="10505"/>
        <v>0</v>
      </c>
      <c r="AS2079" s="200">
        <f t="shared" si="10505"/>
        <v>0</v>
      </c>
      <c r="AT2079" s="173">
        <v>1.0</v>
      </c>
      <c r="AU2079" s="200">
        <f t="shared" ref="AU2079:AX2079" si="10506">countif($D2079,"*"&amp;AU$2&amp;"*")</f>
        <v>0</v>
      </c>
      <c r="AV2079" s="200">
        <f t="shared" si="10506"/>
        <v>0</v>
      </c>
      <c r="AW2079" s="200">
        <f t="shared" si="10506"/>
        <v>0</v>
      </c>
      <c r="AX2079" s="200">
        <f t="shared" si="10506"/>
        <v>0</v>
      </c>
      <c r="AY2079" s="202">
        <v>0.0</v>
      </c>
      <c r="AZ2079" s="200"/>
      <c r="BA2079" s="171" t="str">
        <f t="shared" si="18"/>
        <v/>
      </c>
      <c r="BB2079" s="171" t="str">
        <f t="shared" si="19"/>
        <v/>
      </c>
      <c r="BC2079" s="171" t="str">
        <f t="shared" si="20"/>
        <v/>
      </c>
      <c r="BD2079" s="171" t="str">
        <f t="shared" si="21"/>
        <v>Institutional</v>
      </c>
      <c r="BE2079" s="171" t="str">
        <f t="shared" si="22"/>
        <v/>
      </c>
      <c r="BF2079" s="171" t="str">
        <f t="shared" si="23"/>
        <v>Institutional</v>
      </c>
    </row>
    <row r="2080">
      <c r="A2080" s="171">
        <f t="array" ref="A2080">XLOOKUP(C2080,FSE!A:A,FSE!C:C,"XXXXX",0,1)</f>
        <v>2015</v>
      </c>
      <c r="B2080" s="213" t="s">
        <v>5676</v>
      </c>
      <c r="C2080" s="214">
        <v>710.0</v>
      </c>
      <c r="D2080" s="215" t="s">
        <v>3551</v>
      </c>
      <c r="E2080" s="197" t="str">
        <f t="array" ref="E2080">XLOOKUP(C2080,FSE!A:A,FSE!Z:Z,"XXXXX",0,1)</f>
        <v>Publicly Available (1)</v>
      </c>
      <c r="F2080" s="213" t="s">
        <v>3394</v>
      </c>
      <c r="G2080" s="163" t="str">
        <f t="array" ref="G2080">IF(B2080="ICSE",IF(COUNTIFS(B:B,B2080,C:C,C2080)=XLOOKUP(C2080,ICSE!A:A,ICSE!AA:AA,"ERROR",0,1),"OK","ERROR"),IF(B2080="FSE",IF(COUNTIFS(B:B,B2080,C:C,C2080)=XLOOKUP(C2080,FSE!A:A,FSE!AA:AA,"ERROR",0,1),"OK","ERROR")))</f>
        <v>OK</v>
      </c>
      <c r="H2080" s="199">
        <f t="shared" ref="H2080:O2080" si="10507">countif($D2080,"*"&amp;H$2&amp;"*")</f>
        <v>0</v>
      </c>
      <c r="I2080" s="200">
        <f t="shared" si="10507"/>
        <v>0</v>
      </c>
      <c r="J2080" s="200">
        <f t="shared" si="10507"/>
        <v>0</v>
      </c>
      <c r="K2080" s="200">
        <f t="shared" si="10507"/>
        <v>0</v>
      </c>
      <c r="L2080" s="200">
        <f t="shared" si="10507"/>
        <v>0</v>
      </c>
      <c r="M2080" s="200">
        <f t="shared" si="10507"/>
        <v>0</v>
      </c>
      <c r="N2080" s="200">
        <f t="shared" si="10507"/>
        <v>0</v>
      </c>
      <c r="O2080" s="200">
        <f t="shared" si="10507"/>
        <v>0</v>
      </c>
      <c r="P2080" s="200">
        <f t="shared" si="9"/>
        <v>1</v>
      </c>
      <c r="Q2080" s="200">
        <f t="shared" ref="Q2080:AC2080" si="10508">countif($D2080,"*"&amp;Q$2&amp;"*")</f>
        <v>0</v>
      </c>
      <c r="R2080" s="200">
        <f t="shared" si="10508"/>
        <v>0</v>
      </c>
      <c r="S2080" s="200">
        <f t="shared" si="10508"/>
        <v>0</v>
      </c>
      <c r="T2080" s="200">
        <f t="shared" si="10508"/>
        <v>0</v>
      </c>
      <c r="U2080" s="200">
        <f t="shared" si="10508"/>
        <v>0</v>
      </c>
      <c r="V2080" s="200">
        <f t="shared" si="10508"/>
        <v>0</v>
      </c>
      <c r="W2080" s="200">
        <f t="shared" si="10508"/>
        <v>0</v>
      </c>
      <c r="X2080" s="200">
        <f t="shared" si="10508"/>
        <v>0</v>
      </c>
      <c r="Y2080" s="200">
        <f t="shared" si="10508"/>
        <v>0</v>
      </c>
      <c r="Z2080" s="200">
        <f t="shared" si="10508"/>
        <v>0</v>
      </c>
      <c r="AA2080" s="200">
        <f t="shared" si="10508"/>
        <v>0</v>
      </c>
      <c r="AB2080" s="200">
        <f t="shared" si="10508"/>
        <v>0</v>
      </c>
      <c r="AC2080" s="200">
        <f t="shared" si="10508"/>
        <v>0</v>
      </c>
      <c r="AD2080" s="200">
        <f t="shared" si="11"/>
        <v>0</v>
      </c>
      <c r="AE2080" s="200">
        <f t="shared" ref="AE2080:AG2080" si="10509">countif($D2080,"*"&amp;AE$2&amp;"*")</f>
        <v>0</v>
      </c>
      <c r="AF2080" s="200">
        <f t="shared" si="10509"/>
        <v>0</v>
      </c>
      <c r="AG2080" s="200">
        <f t="shared" si="10509"/>
        <v>0</v>
      </c>
      <c r="AH2080" s="171">
        <f t="shared" si="13"/>
        <v>0</v>
      </c>
      <c r="AI2080" s="200">
        <f t="shared" si="14"/>
        <v>0</v>
      </c>
      <c r="AJ2080" s="200">
        <f t="shared" si="10510"/>
        <v>0</v>
      </c>
      <c r="AK2080" s="201">
        <f t="shared" ref="AK2080:AS2080" si="10511">countif($D2080,"*"&amp;AK$2&amp;"*")</f>
        <v>0</v>
      </c>
      <c r="AL2080" s="201">
        <f t="shared" si="10511"/>
        <v>0</v>
      </c>
      <c r="AM2080" s="201">
        <f t="shared" si="10511"/>
        <v>0</v>
      </c>
      <c r="AN2080" s="201">
        <f t="shared" si="10511"/>
        <v>0</v>
      </c>
      <c r="AO2080" s="201">
        <f t="shared" si="10511"/>
        <v>0</v>
      </c>
      <c r="AP2080" s="201">
        <f t="shared" si="10511"/>
        <v>0</v>
      </c>
      <c r="AQ2080" s="201">
        <f t="shared" si="10511"/>
        <v>0</v>
      </c>
      <c r="AR2080" s="200">
        <f t="shared" si="10511"/>
        <v>0</v>
      </c>
      <c r="AS2080" s="200">
        <f t="shared" si="10511"/>
        <v>0</v>
      </c>
      <c r="AT2080" s="173">
        <v>0.0</v>
      </c>
      <c r="AU2080" s="200">
        <f t="shared" ref="AU2080:AX2080" si="10512">countif($D2080,"*"&amp;AU$2&amp;"*")</f>
        <v>0</v>
      </c>
      <c r="AV2080" s="200">
        <f t="shared" si="10512"/>
        <v>1</v>
      </c>
      <c r="AW2080" s="200">
        <f t="shared" si="10512"/>
        <v>0</v>
      </c>
      <c r="AX2080" s="200">
        <f t="shared" si="10512"/>
        <v>0</v>
      </c>
      <c r="AY2080" s="202">
        <v>0.0</v>
      </c>
      <c r="AZ2080" s="200"/>
      <c r="BA2080" s="171" t="str">
        <f t="shared" si="18"/>
        <v/>
      </c>
      <c r="BB2080" s="171" t="str">
        <f t="shared" si="19"/>
        <v>Code</v>
      </c>
      <c r="BC2080" s="171" t="str">
        <f t="shared" si="20"/>
        <v/>
      </c>
      <c r="BD2080" s="171" t="str">
        <f t="shared" si="21"/>
        <v/>
      </c>
      <c r="BE2080" s="171" t="str">
        <f t="shared" si="22"/>
        <v/>
      </c>
      <c r="BF2080" s="171" t="str">
        <f t="shared" si="23"/>
        <v>Code</v>
      </c>
    </row>
    <row r="2081">
      <c r="A2081" s="171">
        <f t="array" ref="A2081">XLOOKUP(C2081,FSE!A:A,FSE!C:C,"XXXXX",0,1)</f>
        <v>2015</v>
      </c>
      <c r="B2081" s="213" t="s">
        <v>5676</v>
      </c>
      <c r="C2081" s="214">
        <v>711.0</v>
      </c>
      <c r="D2081" s="215" t="s">
        <v>3556</v>
      </c>
      <c r="E2081" s="197" t="str">
        <f t="array" ref="E2081">XLOOKUP(C2081,FSE!A:A,FSE!Z:Z,"XXXXX",0,1)</f>
        <v>Publicly Available (1)</v>
      </c>
      <c r="F2081" s="213" t="s">
        <v>3394</v>
      </c>
      <c r="G2081" s="163" t="str">
        <f t="array" ref="G2081">IF(B2081="ICSE",IF(COUNTIFS(B:B,B2081,C:C,C2081)=XLOOKUP(C2081,ICSE!A:A,ICSE!AA:AA,"ERROR",0,1),"OK","ERROR"),IF(B2081="FSE",IF(COUNTIFS(B:B,B2081,C:C,C2081)=XLOOKUP(C2081,FSE!A:A,FSE!AA:AA,"ERROR",0,1),"OK","ERROR")))</f>
        <v>OK</v>
      </c>
      <c r="H2081" s="199">
        <f t="shared" ref="H2081:O2081" si="10513">countif($D2081,"*"&amp;H$2&amp;"*")</f>
        <v>0</v>
      </c>
      <c r="I2081" s="200">
        <f t="shared" si="10513"/>
        <v>0</v>
      </c>
      <c r="J2081" s="200">
        <f t="shared" si="10513"/>
        <v>0</v>
      </c>
      <c r="K2081" s="200">
        <f t="shared" si="10513"/>
        <v>0</v>
      </c>
      <c r="L2081" s="200">
        <f t="shared" si="10513"/>
        <v>0</v>
      </c>
      <c r="M2081" s="200">
        <f t="shared" si="10513"/>
        <v>0</v>
      </c>
      <c r="N2081" s="200">
        <f t="shared" si="10513"/>
        <v>0</v>
      </c>
      <c r="O2081" s="200">
        <f t="shared" si="10513"/>
        <v>0</v>
      </c>
      <c r="P2081" s="200">
        <f t="shared" si="9"/>
        <v>0</v>
      </c>
      <c r="Q2081" s="200">
        <f t="shared" ref="Q2081:AC2081" si="10514">countif($D2081,"*"&amp;Q$2&amp;"*")</f>
        <v>0</v>
      </c>
      <c r="R2081" s="200">
        <f t="shared" si="10514"/>
        <v>0</v>
      </c>
      <c r="S2081" s="200">
        <f t="shared" si="10514"/>
        <v>0</v>
      </c>
      <c r="T2081" s="200">
        <f t="shared" si="10514"/>
        <v>0</v>
      </c>
      <c r="U2081" s="200">
        <f t="shared" si="10514"/>
        <v>0</v>
      </c>
      <c r="V2081" s="200">
        <f t="shared" si="10514"/>
        <v>0</v>
      </c>
      <c r="W2081" s="200">
        <f t="shared" si="10514"/>
        <v>0</v>
      </c>
      <c r="X2081" s="200">
        <f t="shared" si="10514"/>
        <v>0</v>
      </c>
      <c r="Y2081" s="200">
        <f t="shared" si="10514"/>
        <v>0</v>
      </c>
      <c r="Z2081" s="200">
        <f t="shared" si="10514"/>
        <v>0</v>
      </c>
      <c r="AA2081" s="200">
        <f t="shared" si="10514"/>
        <v>0</v>
      </c>
      <c r="AB2081" s="200">
        <f t="shared" si="10514"/>
        <v>0</v>
      </c>
      <c r="AC2081" s="200">
        <f t="shared" si="10514"/>
        <v>0</v>
      </c>
      <c r="AD2081" s="200">
        <f t="shared" si="11"/>
        <v>1</v>
      </c>
      <c r="AE2081" s="200">
        <f t="shared" ref="AE2081:AG2081" si="10515">countif($D2081,"*"&amp;AE$2&amp;"*")</f>
        <v>0</v>
      </c>
      <c r="AF2081" s="200">
        <f t="shared" si="10515"/>
        <v>0</v>
      </c>
      <c r="AG2081" s="200">
        <f t="shared" si="10515"/>
        <v>0</v>
      </c>
      <c r="AH2081" s="171">
        <f t="shared" si="13"/>
        <v>0</v>
      </c>
      <c r="AI2081" s="200">
        <f t="shared" si="14"/>
        <v>0</v>
      </c>
      <c r="AJ2081" s="200">
        <f>SUM(AK2081:AQ2081)</f>
        <v>0</v>
      </c>
      <c r="AK2081" s="201">
        <f t="shared" ref="AK2081:AS2081" si="10516">countif($D2081,"*"&amp;AK$2&amp;"*")</f>
        <v>0</v>
      </c>
      <c r="AL2081" s="201">
        <f t="shared" si="10516"/>
        <v>0</v>
      </c>
      <c r="AM2081" s="201">
        <f t="shared" si="10516"/>
        <v>0</v>
      </c>
      <c r="AN2081" s="201">
        <f t="shared" si="10516"/>
        <v>0</v>
      </c>
      <c r="AO2081" s="201">
        <f t="shared" si="10516"/>
        <v>0</v>
      </c>
      <c r="AP2081" s="201">
        <f t="shared" si="10516"/>
        <v>0</v>
      </c>
      <c r="AQ2081" s="201">
        <f t="shared" si="10516"/>
        <v>0</v>
      </c>
      <c r="AR2081" s="201">
        <f t="shared" si="10516"/>
        <v>0</v>
      </c>
      <c r="AS2081" s="200">
        <f t="shared" si="10516"/>
        <v>0</v>
      </c>
      <c r="AT2081" s="205">
        <v>0.0</v>
      </c>
      <c r="AU2081" s="200">
        <f t="shared" ref="AU2081:AX2081" si="10517">countif($D2081,"*"&amp;AU$2&amp;"*")</f>
        <v>1</v>
      </c>
      <c r="AV2081" s="200">
        <f t="shared" si="10517"/>
        <v>0</v>
      </c>
      <c r="AW2081" s="200">
        <f t="shared" si="10517"/>
        <v>0</v>
      </c>
      <c r="AX2081" s="200">
        <f t="shared" si="10517"/>
        <v>0</v>
      </c>
      <c r="AY2081" s="202">
        <v>0.0</v>
      </c>
      <c r="AZ2081" s="200"/>
      <c r="BA2081" s="171" t="str">
        <f t="shared" si="18"/>
        <v/>
      </c>
      <c r="BB2081" s="171" t="str">
        <f t="shared" si="19"/>
        <v/>
      </c>
      <c r="BC2081" s="171" t="str">
        <f t="shared" si="20"/>
        <v/>
      </c>
      <c r="BD2081" s="171" t="str">
        <f t="shared" si="21"/>
        <v>Institutional</v>
      </c>
      <c r="BE2081" s="171" t="str">
        <f t="shared" si="22"/>
        <v/>
      </c>
      <c r="BF2081" s="171" t="str">
        <f t="shared" si="23"/>
        <v>Institutional</v>
      </c>
    </row>
    <row r="2082">
      <c r="A2082" s="171">
        <f t="array" ref="A2082">XLOOKUP(C2082,FSE!A:A,FSE!C:C,"XXXXX",0,1)</f>
        <v>2015</v>
      </c>
      <c r="B2082" s="213" t="s">
        <v>5676</v>
      </c>
      <c r="C2082" s="214">
        <v>712.0</v>
      </c>
      <c r="D2082" s="215" t="s">
        <v>3559</v>
      </c>
      <c r="E2082" s="197" t="str">
        <f t="array" ref="E2082">XLOOKUP(C2082,FSE!A:A,FSE!Z:Z,"XXXXX",0,1)</f>
        <v>Publicly Available (1)</v>
      </c>
      <c r="F2082" s="213" t="s">
        <v>3394</v>
      </c>
      <c r="G2082" s="163" t="str">
        <f t="array" ref="G2082">IF(B2082="ICSE",IF(COUNTIFS(B:B,B2082,C:C,C2082)=XLOOKUP(C2082,ICSE!A:A,ICSE!AA:AA,"ERROR",0,1),"OK","ERROR"),IF(B2082="FSE",IF(COUNTIFS(B:B,B2082,C:C,C2082)=XLOOKUP(C2082,FSE!A:A,FSE!AA:AA,"ERROR",0,1),"OK","ERROR")))</f>
        <v>OK</v>
      </c>
      <c r="H2082" s="199">
        <f t="shared" ref="H2082:O2082" si="10518">countif($D2082,"*"&amp;H$2&amp;"*")</f>
        <v>0</v>
      </c>
      <c r="I2082" s="200">
        <f t="shared" si="10518"/>
        <v>0</v>
      </c>
      <c r="J2082" s="200">
        <f t="shared" si="10518"/>
        <v>0</v>
      </c>
      <c r="K2082" s="200">
        <f t="shared" si="10518"/>
        <v>0</v>
      </c>
      <c r="L2082" s="200">
        <f t="shared" si="10518"/>
        <v>0</v>
      </c>
      <c r="M2082" s="200">
        <f t="shared" si="10518"/>
        <v>0</v>
      </c>
      <c r="N2082" s="200">
        <f t="shared" si="10518"/>
        <v>0</v>
      </c>
      <c r="O2082" s="200">
        <f t="shared" si="10518"/>
        <v>0</v>
      </c>
      <c r="P2082" s="200">
        <f t="shared" si="9"/>
        <v>1</v>
      </c>
      <c r="Q2082" s="200">
        <f t="shared" ref="Q2082:AC2082" si="10519">countif($D2082,"*"&amp;Q$2&amp;"*")</f>
        <v>0</v>
      </c>
      <c r="R2082" s="200">
        <f t="shared" si="10519"/>
        <v>0</v>
      </c>
      <c r="S2082" s="200">
        <f t="shared" si="10519"/>
        <v>0</v>
      </c>
      <c r="T2082" s="200">
        <f t="shared" si="10519"/>
        <v>0</v>
      </c>
      <c r="U2082" s="200">
        <f t="shared" si="10519"/>
        <v>0</v>
      </c>
      <c r="V2082" s="200">
        <f t="shared" si="10519"/>
        <v>0</v>
      </c>
      <c r="W2082" s="200">
        <f t="shared" si="10519"/>
        <v>0</v>
      </c>
      <c r="X2082" s="200">
        <f t="shared" si="10519"/>
        <v>0</v>
      </c>
      <c r="Y2082" s="200">
        <f t="shared" si="10519"/>
        <v>0</v>
      </c>
      <c r="Z2082" s="200">
        <f t="shared" si="10519"/>
        <v>0</v>
      </c>
      <c r="AA2082" s="200">
        <f t="shared" si="10519"/>
        <v>0</v>
      </c>
      <c r="AB2082" s="200">
        <f t="shared" si="10519"/>
        <v>0</v>
      </c>
      <c r="AC2082" s="200">
        <f t="shared" si="10519"/>
        <v>0</v>
      </c>
      <c r="AD2082" s="200">
        <f t="shared" si="11"/>
        <v>0</v>
      </c>
      <c r="AE2082" s="200">
        <f t="shared" ref="AE2082:AG2082" si="10520">countif($D2082,"*"&amp;AE$2&amp;"*")</f>
        <v>0</v>
      </c>
      <c r="AF2082" s="200">
        <f t="shared" si="10520"/>
        <v>0</v>
      </c>
      <c r="AG2082" s="200">
        <f t="shared" si="10520"/>
        <v>0</v>
      </c>
      <c r="AH2082" s="171">
        <f t="shared" si="13"/>
        <v>0</v>
      </c>
      <c r="AI2082" s="200">
        <f t="shared" si="14"/>
        <v>0</v>
      </c>
      <c r="AJ2082" s="200">
        <f t="shared" ref="AJ2082:AJ2086" si="10526">SUM(AK2082:AR2082)</f>
        <v>0</v>
      </c>
      <c r="AK2082" s="201">
        <f t="shared" ref="AK2082:AS2082" si="10521">countif($D2082,"*"&amp;AK$2&amp;"*")</f>
        <v>0</v>
      </c>
      <c r="AL2082" s="201">
        <f t="shared" si="10521"/>
        <v>0</v>
      </c>
      <c r="AM2082" s="201">
        <f t="shared" si="10521"/>
        <v>0</v>
      </c>
      <c r="AN2082" s="201">
        <f t="shared" si="10521"/>
        <v>0</v>
      </c>
      <c r="AO2082" s="201">
        <f t="shared" si="10521"/>
        <v>0</v>
      </c>
      <c r="AP2082" s="201">
        <f t="shared" si="10521"/>
        <v>0</v>
      </c>
      <c r="AQ2082" s="201">
        <f t="shared" si="10521"/>
        <v>0</v>
      </c>
      <c r="AR2082" s="200">
        <f t="shared" si="10521"/>
        <v>0</v>
      </c>
      <c r="AS2082" s="200">
        <f t="shared" si="10521"/>
        <v>0</v>
      </c>
      <c r="AT2082" s="173">
        <v>0.0</v>
      </c>
      <c r="AU2082" s="200">
        <f t="shared" ref="AU2082:AX2082" si="10522">countif($D2082,"*"&amp;AU$2&amp;"*")</f>
        <v>0</v>
      </c>
      <c r="AV2082" s="200">
        <f t="shared" si="10522"/>
        <v>1</v>
      </c>
      <c r="AW2082" s="200">
        <f t="shared" si="10522"/>
        <v>0</v>
      </c>
      <c r="AX2082" s="200">
        <f t="shared" si="10522"/>
        <v>0</v>
      </c>
      <c r="AY2082" s="202">
        <v>0.0</v>
      </c>
      <c r="AZ2082" s="200"/>
      <c r="BA2082" s="171" t="str">
        <f t="shared" si="18"/>
        <v/>
      </c>
      <c r="BB2082" s="171" t="str">
        <f t="shared" si="19"/>
        <v>Code</v>
      </c>
      <c r="BC2082" s="171" t="str">
        <f t="shared" si="20"/>
        <v/>
      </c>
      <c r="BD2082" s="171" t="str">
        <f t="shared" si="21"/>
        <v/>
      </c>
      <c r="BE2082" s="171" t="str">
        <f t="shared" si="22"/>
        <v/>
      </c>
      <c r="BF2082" s="171" t="str">
        <f t="shared" si="23"/>
        <v>Code</v>
      </c>
    </row>
    <row r="2083">
      <c r="A2083" s="171">
        <f t="array" ref="A2083">XLOOKUP(C2083,FSE!A:A,FSE!C:C,"XXXXX",0,1)</f>
        <v>2015</v>
      </c>
      <c r="B2083" s="213" t="s">
        <v>5676</v>
      </c>
      <c r="C2083" s="214">
        <v>713.0</v>
      </c>
      <c r="D2083" s="215" t="s">
        <v>3562</v>
      </c>
      <c r="E2083" s="197" t="str">
        <f t="array" ref="E2083">XLOOKUP(C2083,FSE!A:A,FSE!Z:Z,"XXXXX",0,1)</f>
        <v>Restrict Access (1)</v>
      </c>
      <c r="F2083" s="218" t="s">
        <v>3396</v>
      </c>
      <c r="G2083" s="163" t="str">
        <f t="array" ref="G2083">IF(B2083="ICSE",IF(COUNTIFS(B:B,B2083,C:C,C2083)=XLOOKUP(C2083,ICSE!A:A,ICSE!AA:AA,"ERROR",0,1),"OK","ERROR"),IF(B2083="FSE",IF(COUNTIFS(B:B,B2083,C:C,C2083)=XLOOKUP(C2083,FSE!A:A,FSE!AA:AA,"ERROR",0,1),"OK","ERROR")))</f>
        <v>OK</v>
      </c>
      <c r="H2083" s="199">
        <f t="shared" ref="H2083:O2083" si="10523">countif($D2083,"*"&amp;H$2&amp;"*")</f>
        <v>0</v>
      </c>
      <c r="I2083" s="200">
        <f t="shared" si="10523"/>
        <v>0</v>
      </c>
      <c r="J2083" s="200">
        <f t="shared" si="10523"/>
        <v>0</v>
      </c>
      <c r="K2083" s="200">
        <f t="shared" si="10523"/>
        <v>0</v>
      </c>
      <c r="L2083" s="200">
        <f t="shared" si="10523"/>
        <v>0</v>
      </c>
      <c r="M2083" s="200">
        <f t="shared" si="10523"/>
        <v>0</v>
      </c>
      <c r="N2083" s="200">
        <f t="shared" si="10523"/>
        <v>0</v>
      </c>
      <c r="O2083" s="200">
        <f t="shared" si="10523"/>
        <v>0</v>
      </c>
      <c r="P2083" s="200">
        <f t="shared" si="9"/>
        <v>0</v>
      </c>
      <c r="Q2083" s="200">
        <f t="shared" ref="Q2083:AC2083" si="10524">countif($D2083,"*"&amp;Q$2&amp;"*")</f>
        <v>0</v>
      </c>
      <c r="R2083" s="200">
        <f t="shared" si="10524"/>
        <v>0</v>
      </c>
      <c r="S2083" s="200">
        <f t="shared" si="10524"/>
        <v>0</v>
      </c>
      <c r="T2083" s="200">
        <f t="shared" si="10524"/>
        <v>0</v>
      </c>
      <c r="U2083" s="200">
        <f t="shared" si="10524"/>
        <v>0</v>
      </c>
      <c r="V2083" s="200">
        <f t="shared" si="10524"/>
        <v>1</v>
      </c>
      <c r="W2083" s="200">
        <f t="shared" si="10524"/>
        <v>0</v>
      </c>
      <c r="X2083" s="200">
        <f t="shared" si="10524"/>
        <v>0</v>
      </c>
      <c r="Y2083" s="200">
        <f t="shared" si="10524"/>
        <v>0</v>
      </c>
      <c r="Z2083" s="200">
        <f t="shared" si="10524"/>
        <v>0</v>
      </c>
      <c r="AA2083" s="200">
        <f t="shared" si="10524"/>
        <v>0</v>
      </c>
      <c r="AB2083" s="200">
        <f t="shared" si="10524"/>
        <v>0</v>
      </c>
      <c r="AC2083" s="200">
        <f t="shared" si="10524"/>
        <v>0</v>
      </c>
      <c r="AD2083" s="200">
        <f t="shared" si="11"/>
        <v>0</v>
      </c>
      <c r="AE2083" s="200">
        <f t="shared" ref="AE2083:AG2083" si="10525">countif($D2083,"*"&amp;AE$2&amp;"*")</f>
        <v>0</v>
      </c>
      <c r="AF2083" s="200">
        <f t="shared" si="10525"/>
        <v>0</v>
      </c>
      <c r="AG2083" s="200">
        <f t="shared" si="10525"/>
        <v>0</v>
      </c>
      <c r="AH2083" s="171">
        <f t="shared" si="13"/>
        <v>0</v>
      </c>
      <c r="AI2083" s="200">
        <f t="shared" si="14"/>
        <v>0</v>
      </c>
      <c r="AJ2083" s="200">
        <f t="shared" si="10526"/>
        <v>0</v>
      </c>
      <c r="AK2083" s="201">
        <f t="shared" ref="AK2083:AS2083" si="10527">countif($D2083,"*"&amp;AK$2&amp;"*")</f>
        <v>0</v>
      </c>
      <c r="AL2083" s="201">
        <f t="shared" si="10527"/>
        <v>0</v>
      </c>
      <c r="AM2083" s="201">
        <f t="shared" si="10527"/>
        <v>0</v>
      </c>
      <c r="AN2083" s="201">
        <f t="shared" si="10527"/>
        <v>0</v>
      </c>
      <c r="AO2083" s="201">
        <f t="shared" si="10527"/>
        <v>0</v>
      </c>
      <c r="AP2083" s="201">
        <f t="shared" si="10527"/>
        <v>0</v>
      </c>
      <c r="AQ2083" s="201">
        <f t="shared" si="10527"/>
        <v>0</v>
      </c>
      <c r="AR2083" s="200">
        <f t="shared" si="10527"/>
        <v>0</v>
      </c>
      <c r="AS2083" s="200">
        <f t="shared" si="10527"/>
        <v>0</v>
      </c>
      <c r="AT2083" s="173">
        <v>0.0</v>
      </c>
      <c r="AU2083" s="200">
        <f t="shared" ref="AU2083:AX2083" si="10528">countif($D2083,"*"&amp;AU$2&amp;"*")</f>
        <v>0</v>
      </c>
      <c r="AV2083" s="200">
        <f t="shared" si="10528"/>
        <v>0</v>
      </c>
      <c r="AW2083" s="200">
        <f t="shared" si="10528"/>
        <v>0</v>
      </c>
      <c r="AX2083" s="200">
        <f t="shared" si="10528"/>
        <v>0</v>
      </c>
      <c r="AY2083" s="202">
        <v>0.0</v>
      </c>
      <c r="AZ2083" s="200"/>
      <c r="BA2083" s="171" t="str">
        <f t="shared" si="18"/>
        <v/>
      </c>
      <c r="BB2083" s="171" t="str">
        <f t="shared" si="19"/>
        <v/>
      </c>
      <c r="BC2083" s="171" t="str">
        <f t="shared" si="20"/>
        <v>General-purpose</v>
      </c>
      <c r="BD2083" s="171" t="str">
        <f t="shared" si="21"/>
        <v/>
      </c>
      <c r="BE2083" s="171" t="str">
        <f t="shared" si="22"/>
        <v/>
      </c>
      <c r="BF2083" s="171" t="str">
        <f t="shared" si="23"/>
        <v>General-purpose</v>
      </c>
    </row>
    <row r="2084">
      <c r="A2084" s="171">
        <f t="array" ref="A2084">XLOOKUP(C2084,FSE!A:A,FSE!C:C,"XXXXX",0,1)</f>
        <v>2015</v>
      </c>
      <c r="B2084" s="213" t="s">
        <v>5676</v>
      </c>
      <c r="C2084" s="214">
        <v>714.0</v>
      </c>
      <c r="D2084" s="215" t="s">
        <v>3567</v>
      </c>
      <c r="E2084" s="197" t="str">
        <f t="array" ref="E2084">XLOOKUP(C2084,FSE!A:A,FSE!Z:Z,"XXXXX",0,1)</f>
        <v>Publicly Available (1)</v>
      </c>
      <c r="F2084" s="213" t="s">
        <v>3394</v>
      </c>
      <c r="G2084" s="163" t="str">
        <f t="array" ref="G2084">IF(B2084="ICSE",IF(COUNTIFS(B:B,B2084,C:C,C2084)=XLOOKUP(C2084,ICSE!A:A,ICSE!AA:AA,"ERROR",0,1),"OK","ERROR"),IF(B2084="FSE",IF(COUNTIFS(B:B,B2084,C:C,C2084)=XLOOKUP(C2084,FSE!A:A,FSE!AA:AA,"ERROR",0,1),"OK","ERROR")))</f>
        <v>OK</v>
      </c>
      <c r="H2084" s="199">
        <f t="shared" ref="H2084:O2084" si="10529">countif($D2084,"*"&amp;H$2&amp;"*")</f>
        <v>0</v>
      </c>
      <c r="I2084" s="200">
        <f t="shared" si="10529"/>
        <v>0</v>
      </c>
      <c r="J2084" s="200">
        <f t="shared" si="10529"/>
        <v>0</v>
      </c>
      <c r="K2084" s="200">
        <f t="shared" si="10529"/>
        <v>0</v>
      </c>
      <c r="L2084" s="200">
        <f t="shared" si="10529"/>
        <v>0</v>
      </c>
      <c r="M2084" s="200">
        <f t="shared" si="10529"/>
        <v>0</v>
      </c>
      <c r="N2084" s="200">
        <f t="shared" si="10529"/>
        <v>0</v>
      </c>
      <c r="O2084" s="200">
        <f t="shared" si="10529"/>
        <v>0</v>
      </c>
      <c r="P2084" s="200">
        <f t="shared" si="9"/>
        <v>0</v>
      </c>
      <c r="Q2084" s="200">
        <f t="shared" ref="Q2084:AC2084" si="10530">countif($D2084,"*"&amp;Q$2&amp;"*")</f>
        <v>0</v>
      </c>
      <c r="R2084" s="200">
        <f t="shared" si="10530"/>
        <v>0</v>
      </c>
      <c r="S2084" s="200">
        <f t="shared" si="10530"/>
        <v>0</v>
      </c>
      <c r="T2084" s="200">
        <f t="shared" si="10530"/>
        <v>0</v>
      </c>
      <c r="U2084" s="200">
        <f t="shared" si="10530"/>
        <v>0</v>
      </c>
      <c r="V2084" s="200">
        <f t="shared" si="10530"/>
        <v>0</v>
      </c>
      <c r="W2084" s="200">
        <f t="shared" si="10530"/>
        <v>0</v>
      </c>
      <c r="X2084" s="200">
        <f t="shared" si="10530"/>
        <v>0</v>
      </c>
      <c r="Y2084" s="200">
        <f t="shared" si="10530"/>
        <v>0</v>
      </c>
      <c r="Z2084" s="200">
        <f t="shared" si="10530"/>
        <v>0</v>
      </c>
      <c r="AA2084" s="200">
        <f t="shared" si="10530"/>
        <v>0</v>
      </c>
      <c r="AB2084" s="200">
        <f t="shared" si="10530"/>
        <v>0</v>
      </c>
      <c r="AC2084" s="200">
        <f t="shared" si="10530"/>
        <v>0</v>
      </c>
      <c r="AD2084" s="200">
        <f t="shared" si="11"/>
        <v>1</v>
      </c>
      <c r="AE2084" s="200">
        <f t="shared" ref="AE2084:AG2084" si="10531">countif($D2084,"*"&amp;AE$2&amp;"*")</f>
        <v>0</v>
      </c>
      <c r="AF2084" s="200">
        <f t="shared" si="10531"/>
        <v>0</v>
      </c>
      <c r="AG2084" s="200">
        <f t="shared" si="10531"/>
        <v>0</v>
      </c>
      <c r="AH2084" s="171">
        <f t="shared" si="13"/>
        <v>0</v>
      </c>
      <c r="AI2084" s="200">
        <f t="shared" si="14"/>
        <v>0</v>
      </c>
      <c r="AJ2084" s="200">
        <f t="shared" si="10526"/>
        <v>0</v>
      </c>
      <c r="AK2084" s="201">
        <f t="shared" ref="AK2084:AS2084" si="10532">countif($D2084,"*"&amp;AK$2&amp;"*")</f>
        <v>0</v>
      </c>
      <c r="AL2084" s="201">
        <f t="shared" si="10532"/>
        <v>0</v>
      </c>
      <c r="AM2084" s="201">
        <f t="shared" si="10532"/>
        <v>0</v>
      </c>
      <c r="AN2084" s="201">
        <f t="shared" si="10532"/>
        <v>0</v>
      </c>
      <c r="AO2084" s="201">
        <f t="shared" si="10532"/>
        <v>0</v>
      </c>
      <c r="AP2084" s="201">
        <f t="shared" si="10532"/>
        <v>0</v>
      </c>
      <c r="AQ2084" s="201">
        <f t="shared" si="10532"/>
        <v>0</v>
      </c>
      <c r="AR2084" s="200">
        <f t="shared" si="10532"/>
        <v>0</v>
      </c>
      <c r="AS2084" s="200">
        <f t="shared" si="10532"/>
        <v>0</v>
      </c>
      <c r="AT2084" s="173">
        <v>1.0</v>
      </c>
      <c r="AU2084" s="200">
        <f t="shared" ref="AU2084:AX2084" si="10533">countif($D2084,"*"&amp;AU$2&amp;"*")</f>
        <v>0</v>
      </c>
      <c r="AV2084" s="200">
        <f t="shared" si="10533"/>
        <v>0</v>
      </c>
      <c r="AW2084" s="200">
        <f t="shared" si="10533"/>
        <v>0</v>
      </c>
      <c r="AX2084" s="200">
        <f t="shared" si="10533"/>
        <v>0</v>
      </c>
      <c r="AY2084" s="202">
        <v>0.0</v>
      </c>
      <c r="AZ2084" s="200"/>
      <c r="BA2084" s="171" t="str">
        <f t="shared" si="18"/>
        <v/>
      </c>
      <c r="BB2084" s="171" t="str">
        <f t="shared" si="19"/>
        <v/>
      </c>
      <c r="BC2084" s="171" t="str">
        <f t="shared" si="20"/>
        <v/>
      </c>
      <c r="BD2084" s="171" t="str">
        <f t="shared" si="21"/>
        <v>Institutional</v>
      </c>
      <c r="BE2084" s="171" t="str">
        <f t="shared" si="22"/>
        <v/>
      </c>
      <c r="BF2084" s="171" t="str">
        <f t="shared" si="23"/>
        <v>Institutional</v>
      </c>
    </row>
    <row r="2085">
      <c r="A2085" s="171">
        <f t="array" ref="A2085">XLOOKUP(C2085,FSE!A:A,FSE!C:C,"XXXXX",0,1)</f>
        <v>2015</v>
      </c>
      <c r="B2085" s="213" t="s">
        <v>5676</v>
      </c>
      <c r="C2085" s="219">
        <v>716.0</v>
      </c>
      <c r="D2085" s="217" t="s">
        <v>3570</v>
      </c>
      <c r="E2085" s="197" t="str">
        <f t="array" ref="E2085">XLOOKUP(C2085,FSE!A:A,FSE!Z:Z,"XXXXX",0,1)</f>
        <v>Publicly Available (1)</v>
      </c>
      <c r="F2085" s="218" t="s">
        <v>3394</v>
      </c>
      <c r="G2085" s="163" t="str">
        <f t="array" ref="G2085">IF(B2085="ICSE",IF(COUNTIFS(B:B,B2085,C:C,C2085)=XLOOKUP(C2085,ICSE!A:A,ICSE!AA:AA,"ERROR",0,1),"OK","ERROR"),IF(B2085="FSE",IF(COUNTIFS(B:B,B2085,C:C,C2085)=XLOOKUP(C2085,FSE!A:A,FSE!AA:AA,"ERROR",0,1),"OK","ERROR")))</f>
        <v>OK</v>
      </c>
      <c r="H2085" s="199">
        <f t="shared" ref="H2085:O2085" si="10534">countif($D2085,"*"&amp;H$2&amp;"*")</f>
        <v>0</v>
      </c>
      <c r="I2085" s="200">
        <f t="shared" si="10534"/>
        <v>0</v>
      </c>
      <c r="J2085" s="200">
        <f t="shared" si="10534"/>
        <v>0</v>
      </c>
      <c r="K2085" s="200">
        <f t="shared" si="10534"/>
        <v>0</v>
      </c>
      <c r="L2085" s="200">
        <f t="shared" si="10534"/>
        <v>0</v>
      </c>
      <c r="M2085" s="200">
        <f t="shared" si="10534"/>
        <v>0</v>
      </c>
      <c r="N2085" s="200">
        <f t="shared" si="10534"/>
        <v>0</v>
      </c>
      <c r="O2085" s="200">
        <f t="shared" si="10534"/>
        <v>0</v>
      </c>
      <c r="P2085" s="200">
        <f t="shared" si="9"/>
        <v>0</v>
      </c>
      <c r="Q2085" s="200">
        <f t="shared" ref="Q2085:AC2085" si="10535">countif($D2085,"*"&amp;Q$2&amp;"*")</f>
        <v>0</v>
      </c>
      <c r="R2085" s="200">
        <f t="shared" si="10535"/>
        <v>0</v>
      </c>
      <c r="S2085" s="200">
        <f t="shared" si="10535"/>
        <v>0</v>
      </c>
      <c r="T2085" s="200">
        <f t="shared" si="10535"/>
        <v>0</v>
      </c>
      <c r="U2085" s="200">
        <f t="shared" si="10535"/>
        <v>0</v>
      </c>
      <c r="V2085" s="200">
        <f t="shared" si="10535"/>
        <v>0</v>
      </c>
      <c r="W2085" s="200">
        <f t="shared" si="10535"/>
        <v>0</v>
      </c>
      <c r="X2085" s="200">
        <f t="shared" si="10535"/>
        <v>0</v>
      </c>
      <c r="Y2085" s="200">
        <f t="shared" si="10535"/>
        <v>0</v>
      </c>
      <c r="Z2085" s="200">
        <f t="shared" si="10535"/>
        <v>0</v>
      </c>
      <c r="AA2085" s="200">
        <f t="shared" si="10535"/>
        <v>0</v>
      </c>
      <c r="AB2085" s="200">
        <f t="shared" si="10535"/>
        <v>0</v>
      </c>
      <c r="AC2085" s="200">
        <f t="shared" si="10535"/>
        <v>0</v>
      </c>
      <c r="AD2085" s="200">
        <f t="shared" si="11"/>
        <v>0</v>
      </c>
      <c r="AE2085" s="200">
        <f t="shared" ref="AE2085:AG2085" si="10536">countif($D2085,"*"&amp;AE$2&amp;"*")</f>
        <v>0</v>
      </c>
      <c r="AF2085" s="200">
        <f t="shared" si="10536"/>
        <v>0</v>
      </c>
      <c r="AG2085" s="200">
        <f t="shared" si="10536"/>
        <v>0</v>
      </c>
      <c r="AH2085" s="171">
        <f t="shared" si="13"/>
        <v>1</v>
      </c>
      <c r="AI2085" s="200">
        <f t="shared" si="14"/>
        <v>0</v>
      </c>
      <c r="AJ2085" s="200">
        <f t="shared" si="10526"/>
        <v>0</v>
      </c>
      <c r="AK2085" s="201">
        <f t="shared" ref="AK2085:AS2085" si="10537">countif($D2085,"*"&amp;AK$2&amp;"*")</f>
        <v>0</v>
      </c>
      <c r="AL2085" s="201">
        <f t="shared" si="10537"/>
        <v>0</v>
      </c>
      <c r="AM2085" s="201">
        <f t="shared" si="10537"/>
        <v>0</v>
      </c>
      <c r="AN2085" s="201">
        <f t="shared" si="10537"/>
        <v>0</v>
      </c>
      <c r="AO2085" s="201">
        <f t="shared" si="10537"/>
        <v>0</v>
      </c>
      <c r="AP2085" s="201">
        <f t="shared" si="10537"/>
        <v>0</v>
      </c>
      <c r="AQ2085" s="201">
        <f t="shared" si="10537"/>
        <v>0</v>
      </c>
      <c r="AR2085" s="200">
        <f t="shared" si="10537"/>
        <v>0</v>
      </c>
      <c r="AS2085" s="200">
        <f t="shared" si="10537"/>
        <v>0</v>
      </c>
      <c r="AT2085" s="173">
        <v>0.0</v>
      </c>
      <c r="AU2085" s="200">
        <f t="shared" ref="AU2085:AX2085" si="10538">countif($D2085,"*"&amp;AU$2&amp;"*")</f>
        <v>0</v>
      </c>
      <c r="AV2085" s="200">
        <f t="shared" si="10538"/>
        <v>0</v>
      </c>
      <c r="AW2085" s="200">
        <f t="shared" si="10538"/>
        <v>0</v>
      </c>
      <c r="AX2085" s="200">
        <f t="shared" si="10538"/>
        <v>0</v>
      </c>
      <c r="AY2085" s="202">
        <v>0.0</v>
      </c>
      <c r="AZ2085" s="200"/>
      <c r="BA2085" s="171" t="str">
        <f t="shared" si="18"/>
        <v/>
      </c>
      <c r="BB2085" s="171" t="str">
        <f t="shared" si="19"/>
        <v/>
      </c>
      <c r="BC2085" s="171" t="str">
        <f t="shared" si="20"/>
        <v/>
      </c>
      <c r="BD2085" s="171" t="str">
        <f t="shared" si="21"/>
        <v/>
      </c>
      <c r="BE2085" s="171" t="str">
        <f t="shared" si="22"/>
        <v>Others</v>
      </c>
      <c r="BF2085" s="171" t="str">
        <f t="shared" si="23"/>
        <v>Others</v>
      </c>
    </row>
    <row r="2086">
      <c r="A2086" s="171">
        <f t="array" ref="A2086">XLOOKUP(C2086,FSE!A:A,FSE!C:C,"XXXXX",0,1)</f>
        <v>2015</v>
      </c>
      <c r="B2086" s="213" t="s">
        <v>5676</v>
      </c>
      <c r="C2086" s="214">
        <v>717.0</v>
      </c>
      <c r="D2086" s="215" t="s">
        <v>3574</v>
      </c>
      <c r="E2086" s="197" t="str">
        <f t="array" ref="E2086">XLOOKUP(C2086,FSE!A:A,FSE!Z:Z,"XXXXX",0,1)</f>
        <v>Not Available (1)</v>
      </c>
      <c r="F2086" s="213" t="s">
        <v>3395</v>
      </c>
      <c r="G2086" s="163" t="str">
        <f t="array" ref="G2086">IF(B2086="ICSE",IF(COUNTIFS(B:B,B2086,C:C,C2086)=XLOOKUP(C2086,ICSE!A:A,ICSE!AA:AA,"ERROR",0,1),"OK","ERROR"),IF(B2086="FSE",IF(COUNTIFS(B:B,B2086,C:C,C2086)=XLOOKUP(C2086,FSE!A:A,FSE!AA:AA,"ERROR",0,1),"OK","ERROR")))</f>
        <v>OK</v>
      </c>
      <c r="H2086" s="199">
        <f t="shared" ref="H2086:O2086" si="10539">countif($D2086,"*"&amp;H$2&amp;"*")</f>
        <v>0</v>
      </c>
      <c r="I2086" s="200">
        <f t="shared" si="10539"/>
        <v>0</v>
      </c>
      <c r="J2086" s="200">
        <f t="shared" si="10539"/>
        <v>0</v>
      </c>
      <c r="K2086" s="200">
        <f t="shared" si="10539"/>
        <v>0</v>
      </c>
      <c r="L2086" s="200">
        <f t="shared" si="10539"/>
        <v>0</v>
      </c>
      <c r="M2086" s="200">
        <f t="shared" si="10539"/>
        <v>0</v>
      </c>
      <c r="N2086" s="200">
        <f t="shared" si="10539"/>
        <v>0</v>
      </c>
      <c r="O2086" s="200">
        <f t="shared" si="10539"/>
        <v>0</v>
      </c>
      <c r="P2086" s="200">
        <f t="shared" si="9"/>
        <v>0</v>
      </c>
      <c r="Q2086" s="200">
        <f t="shared" ref="Q2086:AC2086" si="10540">countif($D2086,"*"&amp;Q$2&amp;"*")</f>
        <v>0</v>
      </c>
      <c r="R2086" s="200">
        <f t="shared" si="10540"/>
        <v>0</v>
      </c>
      <c r="S2086" s="200">
        <f t="shared" si="10540"/>
        <v>0</v>
      </c>
      <c r="T2086" s="200">
        <f t="shared" si="10540"/>
        <v>0</v>
      </c>
      <c r="U2086" s="200">
        <f t="shared" si="10540"/>
        <v>0</v>
      </c>
      <c r="V2086" s="200">
        <f t="shared" si="10540"/>
        <v>0</v>
      </c>
      <c r="W2086" s="200">
        <f t="shared" si="10540"/>
        <v>0</v>
      </c>
      <c r="X2086" s="200">
        <f t="shared" si="10540"/>
        <v>0</v>
      </c>
      <c r="Y2086" s="200">
        <f t="shared" si="10540"/>
        <v>0</v>
      </c>
      <c r="Z2086" s="200">
        <f t="shared" si="10540"/>
        <v>0</v>
      </c>
      <c r="AA2086" s="200">
        <f t="shared" si="10540"/>
        <v>0</v>
      </c>
      <c r="AB2086" s="200">
        <f t="shared" si="10540"/>
        <v>0</v>
      </c>
      <c r="AC2086" s="200">
        <f t="shared" si="10540"/>
        <v>0</v>
      </c>
      <c r="AD2086" s="200">
        <f t="shared" si="11"/>
        <v>0</v>
      </c>
      <c r="AE2086" s="200">
        <f t="shared" ref="AE2086:AG2086" si="10541">countif($D2086,"*"&amp;AE$2&amp;"*")</f>
        <v>0</v>
      </c>
      <c r="AF2086" s="200">
        <f t="shared" si="10541"/>
        <v>0</v>
      </c>
      <c r="AG2086" s="200">
        <f t="shared" si="10541"/>
        <v>0</v>
      </c>
      <c r="AH2086" s="171">
        <f t="shared" si="13"/>
        <v>1</v>
      </c>
      <c r="AI2086" s="200">
        <f t="shared" si="14"/>
        <v>0</v>
      </c>
      <c r="AJ2086" s="200">
        <f t="shared" si="10526"/>
        <v>0</v>
      </c>
      <c r="AK2086" s="201">
        <f t="shared" ref="AK2086:AS2086" si="10542">countif($D2086,"*"&amp;AK$2&amp;"*")</f>
        <v>0</v>
      </c>
      <c r="AL2086" s="201">
        <f t="shared" si="10542"/>
        <v>0</v>
      </c>
      <c r="AM2086" s="201">
        <f t="shared" si="10542"/>
        <v>0</v>
      </c>
      <c r="AN2086" s="201">
        <f t="shared" si="10542"/>
        <v>0</v>
      </c>
      <c r="AO2086" s="201">
        <f t="shared" si="10542"/>
        <v>0</v>
      </c>
      <c r="AP2086" s="201">
        <f t="shared" si="10542"/>
        <v>0</v>
      </c>
      <c r="AQ2086" s="201">
        <f t="shared" si="10542"/>
        <v>0</v>
      </c>
      <c r="AR2086" s="200">
        <f t="shared" si="10542"/>
        <v>0</v>
      </c>
      <c r="AS2086" s="200">
        <f t="shared" si="10542"/>
        <v>0</v>
      </c>
      <c r="AT2086" s="173">
        <v>0.0</v>
      </c>
      <c r="AU2086" s="200">
        <f t="shared" ref="AU2086:AX2086" si="10543">countif($D2086,"*"&amp;AU$2&amp;"*")</f>
        <v>0</v>
      </c>
      <c r="AV2086" s="200">
        <f t="shared" si="10543"/>
        <v>0</v>
      </c>
      <c r="AW2086" s="200">
        <f t="shared" si="10543"/>
        <v>0</v>
      </c>
      <c r="AX2086" s="200">
        <f t="shared" si="10543"/>
        <v>0</v>
      </c>
      <c r="AY2086" s="202">
        <v>0.0</v>
      </c>
      <c r="AZ2086" s="200"/>
      <c r="BA2086" s="171" t="str">
        <f t="shared" si="18"/>
        <v/>
      </c>
      <c r="BB2086" s="171" t="str">
        <f t="shared" si="19"/>
        <v/>
      </c>
      <c r="BC2086" s="171" t="str">
        <f t="shared" si="20"/>
        <v/>
      </c>
      <c r="BD2086" s="171" t="str">
        <f t="shared" si="21"/>
        <v/>
      </c>
      <c r="BE2086" s="171" t="str">
        <f t="shared" si="22"/>
        <v>Others</v>
      </c>
      <c r="BF2086" s="171" t="str">
        <f t="shared" si="23"/>
        <v>Others</v>
      </c>
    </row>
    <row r="2087">
      <c r="A2087" s="171">
        <f t="array" ref="A2087">XLOOKUP(C2087,FSE!A:A,FSE!C:C,"XXXXX",0,1)</f>
        <v>2015</v>
      </c>
      <c r="B2087" s="213" t="s">
        <v>5676</v>
      </c>
      <c r="C2087" s="214">
        <v>718.0</v>
      </c>
      <c r="D2087" s="215" t="s">
        <v>3577</v>
      </c>
      <c r="E2087" s="197" t="str">
        <f t="array" ref="E2087">XLOOKUP(C2087,FSE!A:A,FSE!Z:Z,"XXXXX",0,1)</f>
        <v>Publicly Available (1)</v>
      </c>
      <c r="F2087" s="213" t="s">
        <v>3394</v>
      </c>
      <c r="G2087" s="163" t="str">
        <f t="array" ref="G2087">IF(B2087="ICSE",IF(COUNTIFS(B:B,B2087,C:C,C2087)=XLOOKUP(C2087,ICSE!A:A,ICSE!AA:AA,"ERROR",0,1),"OK","ERROR"),IF(B2087="FSE",IF(COUNTIFS(B:B,B2087,C:C,C2087)=XLOOKUP(C2087,FSE!A:A,FSE!AA:AA,"ERROR",0,1),"OK","ERROR")))</f>
        <v>OK</v>
      </c>
      <c r="H2087" s="199">
        <f t="shared" ref="H2087:O2087" si="10544">countif($D2087,"*"&amp;H$2&amp;"*")</f>
        <v>0</v>
      </c>
      <c r="I2087" s="200">
        <f t="shared" si="10544"/>
        <v>0</v>
      </c>
      <c r="J2087" s="200">
        <f t="shared" si="10544"/>
        <v>0</v>
      </c>
      <c r="K2087" s="200">
        <f t="shared" si="10544"/>
        <v>0</v>
      </c>
      <c r="L2087" s="200">
        <f t="shared" si="10544"/>
        <v>0</v>
      </c>
      <c r="M2087" s="200">
        <f t="shared" si="10544"/>
        <v>0</v>
      </c>
      <c r="N2087" s="200">
        <f t="shared" si="10544"/>
        <v>0</v>
      </c>
      <c r="O2087" s="200">
        <f t="shared" si="10544"/>
        <v>0</v>
      </c>
      <c r="P2087" s="200">
        <f t="shared" si="9"/>
        <v>0</v>
      </c>
      <c r="Q2087" s="200">
        <f t="shared" ref="Q2087:AC2087" si="10545">countif($D2087,"*"&amp;Q$2&amp;"*")</f>
        <v>0</v>
      </c>
      <c r="R2087" s="200">
        <f t="shared" si="10545"/>
        <v>0</v>
      </c>
      <c r="S2087" s="200">
        <f t="shared" si="10545"/>
        <v>0</v>
      </c>
      <c r="T2087" s="200">
        <f t="shared" si="10545"/>
        <v>0</v>
      </c>
      <c r="U2087" s="200">
        <f t="shared" si="10545"/>
        <v>0</v>
      </c>
      <c r="V2087" s="200">
        <f t="shared" si="10545"/>
        <v>0</v>
      </c>
      <c r="W2087" s="200">
        <f t="shared" si="10545"/>
        <v>0</v>
      </c>
      <c r="X2087" s="200">
        <f t="shared" si="10545"/>
        <v>0</v>
      </c>
      <c r="Y2087" s="200">
        <f t="shared" si="10545"/>
        <v>0</v>
      </c>
      <c r="Z2087" s="200">
        <f t="shared" si="10545"/>
        <v>0</v>
      </c>
      <c r="AA2087" s="200">
        <f t="shared" si="10545"/>
        <v>0</v>
      </c>
      <c r="AB2087" s="200">
        <f t="shared" si="10545"/>
        <v>0</v>
      </c>
      <c r="AC2087" s="200">
        <f t="shared" si="10545"/>
        <v>0</v>
      </c>
      <c r="AD2087" s="200">
        <f t="shared" si="11"/>
        <v>1</v>
      </c>
      <c r="AE2087" s="200">
        <f t="shared" ref="AE2087:AG2087" si="10546">countif($D2087,"*"&amp;AE$2&amp;"*")</f>
        <v>0</v>
      </c>
      <c r="AF2087" s="200">
        <f t="shared" si="10546"/>
        <v>0</v>
      </c>
      <c r="AG2087" s="200">
        <f t="shared" si="10546"/>
        <v>0</v>
      </c>
      <c r="AH2087" s="171">
        <f t="shared" si="13"/>
        <v>0</v>
      </c>
      <c r="AI2087" s="200">
        <f t="shared" si="14"/>
        <v>0</v>
      </c>
      <c r="AJ2087" s="200">
        <f>SUM(AK2087:AQ2087)</f>
        <v>0</v>
      </c>
      <c r="AK2087" s="201">
        <f t="shared" ref="AK2087:AS2087" si="10547">countif($D2087,"*"&amp;AK$2&amp;"*")</f>
        <v>0</v>
      </c>
      <c r="AL2087" s="201">
        <f t="shared" si="10547"/>
        <v>0</v>
      </c>
      <c r="AM2087" s="201">
        <f t="shared" si="10547"/>
        <v>0</v>
      </c>
      <c r="AN2087" s="201">
        <f t="shared" si="10547"/>
        <v>0</v>
      </c>
      <c r="AO2087" s="201">
        <f t="shared" si="10547"/>
        <v>0</v>
      </c>
      <c r="AP2087" s="201">
        <f t="shared" si="10547"/>
        <v>0</v>
      </c>
      <c r="AQ2087" s="201">
        <f t="shared" si="10547"/>
        <v>0</v>
      </c>
      <c r="AR2087" s="201">
        <f t="shared" si="10547"/>
        <v>0</v>
      </c>
      <c r="AS2087" s="200">
        <f t="shared" si="10547"/>
        <v>0</v>
      </c>
      <c r="AT2087" s="205">
        <v>0.0</v>
      </c>
      <c r="AU2087" s="200">
        <f t="shared" ref="AU2087:AX2087" si="10548">countif($D2087,"*"&amp;AU$2&amp;"*")</f>
        <v>1</v>
      </c>
      <c r="AV2087" s="200">
        <f t="shared" si="10548"/>
        <v>0</v>
      </c>
      <c r="AW2087" s="200">
        <f t="shared" si="10548"/>
        <v>0</v>
      </c>
      <c r="AX2087" s="200">
        <f t="shared" si="10548"/>
        <v>0</v>
      </c>
      <c r="AY2087" s="202">
        <v>0.0</v>
      </c>
      <c r="AZ2087" s="200"/>
      <c r="BA2087" s="171" t="str">
        <f t="shared" si="18"/>
        <v/>
      </c>
      <c r="BB2087" s="171" t="str">
        <f t="shared" si="19"/>
        <v/>
      </c>
      <c r="BC2087" s="171" t="str">
        <f t="shared" si="20"/>
        <v/>
      </c>
      <c r="BD2087" s="171" t="str">
        <f t="shared" si="21"/>
        <v>Institutional</v>
      </c>
      <c r="BE2087" s="171" t="str">
        <f t="shared" si="22"/>
        <v/>
      </c>
      <c r="BF2087" s="171" t="str">
        <f t="shared" si="23"/>
        <v>Institutional</v>
      </c>
    </row>
    <row r="2088">
      <c r="A2088" s="171">
        <f t="array" ref="A2088">XLOOKUP(C2088,FSE!A:A,FSE!C:C,"XXXXX",0,1)</f>
        <v>2015</v>
      </c>
      <c r="B2088" s="213" t="s">
        <v>5676</v>
      </c>
      <c r="C2088" s="214">
        <v>719.0</v>
      </c>
      <c r="D2088" s="215" t="s">
        <v>3580</v>
      </c>
      <c r="E2088" s="197" t="str">
        <f t="array" ref="E2088">XLOOKUP(C2088,FSE!A:A,FSE!Z:Z,"XXXXX",0,1)</f>
        <v>Publicly Available (1)</v>
      </c>
      <c r="F2088" s="213" t="s">
        <v>3394</v>
      </c>
      <c r="G2088" s="163" t="str">
        <f t="array" ref="G2088">IF(B2088="ICSE",IF(COUNTIFS(B:B,B2088,C:C,C2088)=XLOOKUP(C2088,ICSE!A:A,ICSE!AA:AA,"ERROR",0,1),"OK","ERROR"),IF(B2088="FSE",IF(COUNTIFS(B:B,B2088,C:C,C2088)=XLOOKUP(C2088,FSE!A:A,FSE!AA:AA,"ERROR",0,1),"OK","ERROR")))</f>
        <v>OK</v>
      </c>
      <c r="H2088" s="199">
        <f t="shared" ref="H2088:O2088" si="10549">countif($D2088,"*"&amp;H$2&amp;"*")</f>
        <v>0</v>
      </c>
      <c r="I2088" s="200">
        <f t="shared" si="10549"/>
        <v>0</v>
      </c>
      <c r="J2088" s="200">
        <f t="shared" si="10549"/>
        <v>0</v>
      </c>
      <c r="K2088" s="200">
        <f t="shared" si="10549"/>
        <v>0</v>
      </c>
      <c r="L2088" s="200">
        <f t="shared" si="10549"/>
        <v>0</v>
      </c>
      <c r="M2088" s="200">
        <f t="shared" si="10549"/>
        <v>0</v>
      </c>
      <c r="N2088" s="200">
        <f t="shared" si="10549"/>
        <v>0</v>
      </c>
      <c r="O2088" s="200">
        <f t="shared" si="10549"/>
        <v>0</v>
      </c>
      <c r="P2088" s="200">
        <f t="shared" si="9"/>
        <v>0</v>
      </c>
      <c r="Q2088" s="200">
        <f t="shared" ref="Q2088:AC2088" si="10550">countif($D2088,"*"&amp;Q$2&amp;"*")</f>
        <v>0</v>
      </c>
      <c r="R2088" s="200">
        <f t="shared" si="10550"/>
        <v>0</v>
      </c>
      <c r="S2088" s="200">
        <f t="shared" si="10550"/>
        <v>0</v>
      </c>
      <c r="T2088" s="200">
        <f t="shared" si="10550"/>
        <v>0</v>
      </c>
      <c r="U2088" s="200">
        <f t="shared" si="10550"/>
        <v>0</v>
      </c>
      <c r="V2088" s="200">
        <f t="shared" si="10550"/>
        <v>0</v>
      </c>
      <c r="W2088" s="200">
        <f t="shared" si="10550"/>
        <v>0</v>
      </c>
      <c r="X2088" s="200">
        <f t="shared" si="10550"/>
        <v>0</v>
      </c>
      <c r="Y2088" s="200">
        <f t="shared" si="10550"/>
        <v>0</v>
      </c>
      <c r="Z2088" s="200">
        <f t="shared" si="10550"/>
        <v>0</v>
      </c>
      <c r="AA2088" s="200">
        <f t="shared" si="10550"/>
        <v>0</v>
      </c>
      <c r="AB2088" s="200">
        <f t="shared" si="10550"/>
        <v>0</v>
      </c>
      <c r="AC2088" s="200">
        <f t="shared" si="10550"/>
        <v>0</v>
      </c>
      <c r="AD2088" s="200">
        <f t="shared" si="11"/>
        <v>0</v>
      </c>
      <c r="AE2088" s="200">
        <f t="shared" ref="AE2088:AG2088" si="10551">countif($D2088,"*"&amp;AE$2&amp;"*")</f>
        <v>0</v>
      </c>
      <c r="AF2088" s="200">
        <f t="shared" si="10551"/>
        <v>0</v>
      </c>
      <c r="AG2088" s="200">
        <f t="shared" si="10551"/>
        <v>0</v>
      </c>
      <c r="AH2088" s="171">
        <f t="shared" si="13"/>
        <v>1</v>
      </c>
      <c r="AI2088" s="200">
        <f t="shared" si="14"/>
        <v>0</v>
      </c>
      <c r="AJ2088" s="200">
        <f>SUM(AK2088:AR2088)</f>
        <v>0</v>
      </c>
      <c r="AK2088" s="201">
        <f t="shared" ref="AK2088:AS2088" si="10552">countif($D2088,"*"&amp;AK$2&amp;"*")</f>
        <v>0</v>
      </c>
      <c r="AL2088" s="201">
        <f t="shared" si="10552"/>
        <v>0</v>
      </c>
      <c r="AM2088" s="201">
        <f t="shared" si="10552"/>
        <v>0</v>
      </c>
      <c r="AN2088" s="201">
        <f t="shared" si="10552"/>
        <v>0</v>
      </c>
      <c r="AO2088" s="201">
        <f t="shared" si="10552"/>
        <v>0</v>
      </c>
      <c r="AP2088" s="201">
        <f t="shared" si="10552"/>
        <v>0</v>
      </c>
      <c r="AQ2088" s="201">
        <f t="shared" si="10552"/>
        <v>0</v>
      </c>
      <c r="AR2088" s="200">
        <f t="shared" si="10552"/>
        <v>0</v>
      </c>
      <c r="AS2088" s="200">
        <f t="shared" si="10552"/>
        <v>0</v>
      </c>
      <c r="AT2088" s="173">
        <v>0.0</v>
      </c>
      <c r="AU2088" s="200">
        <f t="shared" ref="AU2088:AX2088" si="10553">countif($D2088,"*"&amp;AU$2&amp;"*")</f>
        <v>0</v>
      </c>
      <c r="AV2088" s="200">
        <f t="shared" si="10553"/>
        <v>0</v>
      </c>
      <c r="AW2088" s="200">
        <f t="shared" si="10553"/>
        <v>0</v>
      </c>
      <c r="AX2088" s="200">
        <f t="shared" si="10553"/>
        <v>0</v>
      </c>
      <c r="AY2088" s="202">
        <v>0.0</v>
      </c>
      <c r="AZ2088" s="200"/>
      <c r="BA2088" s="171" t="str">
        <f t="shared" si="18"/>
        <v/>
      </c>
      <c r="BB2088" s="171" t="str">
        <f t="shared" si="19"/>
        <v/>
      </c>
      <c r="BC2088" s="171" t="str">
        <f t="shared" si="20"/>
        <v/>
      </c>
      <c r="BD2088" s="171" t="str">
        <f t="shared" si="21"/>
        <v/>
      </c>
      <c r="BE2088" s="171" t="str">
        <f t="shared" si="22"/>
        <v>Others</v>
      </c>
      <c r="BF2088" s="171" t="str">
        <f t="shared" si="23"/>
        <v>Others</v>
      </c>
    </row>
    <row r="2089">
      <c r="A2089" s="171">
        <f t="array" ref="A2089">XLOOKUP(C2089,FSE!A:A,FSE!C:C,"XXXXX",0,1)</f>
        <v>2015</v>
      </c>
      <c r="B2089" s="213" t="s">
        <v>5676</v>
      </c>
      <c r="C2089" s="219">
        <v>720.0</v>
      </c>
      <c r="D2089" s="217" t="s">
        <v>6574</v>
      </c>
      <c r="E2089" s="197" t="str">
        <f t="array" ref="E2089">XLOOKUP(C2089,FSE!A:A,FSE!Z:Z,"XXXXX",0,1)</f>
        <v>Publicly Available (1)
Not Available (1)</v>
      </c>
      <c r="F2089" s="218" t="s">
        <v>3395</v>
      </c>
      <c r="G2089" s="163" t="str">
        <f t="array" ref="G2089">IF(B2089="ICSE",IF(COUNTIFS(B:B,B2089,C:C,C2089)=XLOOKUP(C2089,ICSE!A:A,ICSE!AA:AA,"ERROR",0,1),"OK","ERROR"),IF(B2089="FSE",IF(COUNTIFS(B:B,B2089,C:C,C2089)=XLOOKUP(C2089,FSE!A:A,FSE!AA:AA,"ERROR",0,1),"OK","ERROR")))</f>
        <v>OK</v>
      </c>
      <c r="H2089" s="199">
        <f t="shared" ref="H2089:O2089" si="10554">countif($D2089,"*"&amp;H$2&amp;"*")</f>
        <v>0</v>
      </c>
      <c r="I2089" s="200">
        <f t="shared" si="10554"/>
        <v>0</v>
      </c>
      <c r="J2089" s="200">
        <f t="shared" si="10554"/>
        <v>0</v>
      </c>
      <c r="K2089" s="200">
        <f t="shared" si="10554"/>
        <v>0</v>
      </c>
      <c r="L2089" s="200">
        <f t="shared" si="10554"/>
        <v>0</v>
      </c>
      <c r="M2089" s="200">
        <f t="shared" si="10554"/>
        <v>0</v>
      </c>
      <c r="N2089" s="200">
        <f t="shared" si="10554"/>
        <v>0</v>
      </c>
      <c r="O2089" s="200">
        <f t="shared" si="10554"/>
        <v>0</v>
      </c>
      <c r="P2089" s="200">
        <f t="shared" si="9"/>
        <v>0</v>
      </c>
      <c r="Q2089" s="200">
        <f t="shared" ref="Q2089:AC2089" si="10555">countif($D2089,"*"&amp;Q$2&amp;"*")</f>
        <v>0</v>
      </c>
      <c r="R2089" s="200">
        <f t="shared" si="10555"/>
        <v>0</v>
      </c>
      <c r="S2089" s="200">
        <f t="shared" si="10555"/>
        <v>0</v>
      </c>
      <c r="T2089" s="200">
        <f t="shared" si="10555"/>
        <v>0</v>
      </c>
      <c r="U2089" s="200">
        <f t="shared" si="10555"/>
        <v>0</v>
      </c>
      <c r="V2089" s="200">
        <f t="shared" si="10555"/>
        <v>0</v>
      </c>
      <c r="W2089" s="200">
        <f t="shared" si="10555"/>
        <v>0</v>
      </c>
      <c r="X2089" s="200">
        <f t="shared" si="10555"/>
        <v>0</v>
      </c>
      <c r="Y2089" s="200">
        <f t="shared" si="10555"/>
        <v>0</v>
      </c>
      <c r="Z2089" s="200">
        <f t="shared" si="10555"/>
        <v>0</v>
      </c>
      <c r="AA2089" s="200">
        <f t="shared" si="10555"/>
        <v>0</v>
      </c>
      <c r="AB2089" s="200">
        <f t="shared" si="10555"/>
        <v>0</v>
      </c>
      <c r="AC2089" s="200">
        <f t="shared" si="10555"/>
        <v>0</v>
      </c>
      <c r="AD2089" s="200">
        <f t="shared" si="11"/>
        <v>1</v>
      </c>
      <c r="AE2089" s="200">
        <f t="shared" ref="AE2089:AG2089" si="10556">countif($D2089,"*"&amp;AE$2&amp;"*")</f>
        <v>0</v>
      </c>
      <c r="AF2089" s="200">
        <f t="shared" si="10556"/>
        <v>0</v>
      </c>
      <c r="AG2089" s="200">
        <f t="shared" si="10556"/>
        <v>0</v>
      </c>
      <c r="AH2089" s="171">
        <f t="shared" si="13"/>
        <v>0</v>
      </c>
      <c r="AI2089" s="200">
        <f t="shared" si="14"/>
        <v>0</v>
      </c>
      <c r="AJ2089" s="200">
        <f t="shared" ref="AJ2089:AJ2091" si="10562">SUM(AK2089:AQ2089)</f>
        <v>0</v>
      </c>
      <c r="AK2089" s="201">
        <f t="shared" ref="AK2089:AS2089" si="10557">countif($D2089,"*"&amp;AK$2&amp;"*")</f>
        <v>0</v>
      </c>
      <c r="AL2089" s="201">
        <f t="shared" si="10557"/>
        <v>0</v>
      </c>
      <c r="AM2089" s="201">
        <f t="shared" si="10557"/>
        <v>0</v>
      </c>
      <c r="AN2089" s="201">
        <f t="shared" si="10557"/>
        <v>0</v>
      </c>
      <c r="AO2089" s="201">
        <f t="shared" si="10557"/>
        <v>0</v>
      </c>
      <c r="AP2089" s="201">
        <f t="shared" si="10557"/>
        <v>0</v>
      </c>
      <c r="AQ2089" s="201">
        <f t="shared" si="10557"/>
        <v>0</v>
      </c>
      <c r="AR2089" s="201">
        <f t="shared" si="10557"/>
        <v>0</v>
      </c>
      <c r="AS2089" s="200">
        <f t="shared" si="10557"/>
        <v>0</v>
      </c>
      <c r="AT2089" s="205">
        <v>0.0</v>
      </c>
      <c r="AU2089" s="200">
        <f t="shared" ref="AU2089:AX2089" si="10558">countif($D2089,"*"&amp;AU$2&amp;"*")</f>
        <v>1</v>
      </c>
      <c r="AV2089" s="200">
        <f t="shared" si="10558"/>
        <v>0</v>
      </c>
      <c r="AW2089" s="200">
        <f t="shared" si="10558"/>
        <v>0</v>
      </c>
      <c r="AX2089" s="200">
        <f t="shared" si="10558"/>
        <v>0</v>
      </c>
      <c r="AY2089" s="202">
        <v>0.0</v>
      </c>
      <c r="AZ2089" s="200"/>
      <c r="BA2089" s="171" t="str">
        <f t="shared" si="18"/>
        <v/>
      </c>
      <c r="BB2089" s="171" t="str">
        <f t="shared" si="19"/>
        <v/>
      </c>
      <c r="BC2089" s="171" t="str">
        <f t="shared" si="20"/>
        <v/>
      </c>
      <c r="BD2089" s="171" t="str">
        <f t="shared" si="21"/>
        <v>Institutional</v>
      </c>
      <c r="BE2089" s="171" t="str">
        <f t="shared" si="22"/>
        <v/>
      </c>
      <c r="BF2089" s="171" t="str">
        <f t="shared" si="23"/>
        <v>Institutional</v>
      </c>
    </row>
    <row r="2090">
      <c r="A2090" s="171">
        <f t="array" ref="A2090">XLOOKUP(C2090,FSE!A:A,FSE!C:C,"XXXXX",0,1)</f>
        <v>2015</v>
      </c>
      <c r="B2090" s="213" t="s">
        <v>5676</v>
      </c>
      <c r="C2090" s="214">
        <v>720.0</v>
      </c>
      <c r="D2090" s="215" t="s">
        <v>6575</v>
      </c>
      <c r="E2090" s="197" t="str">
        <f t="array" ref="E2090">XLOOKUP(C2090,FSE!A:A,FSE!Z:Z,"XXXXX",0,1)</f>
        <v>Publicly Available (1)
Not Available (1)</v>
      </c>
      <c r="F2090" s="213" t="s">
        <v>3394</v>
      </c>
      <c r="G2090" s="163" t="str">
        <f t="array" ref="G2090">IF(B2090="ICSE",IF(COUNTIFS(B:B,B2090,C:C,C2090)=XLOOKUP(C2090,ICSE!A:A,ICSE!AA:AA,"ERROR",0,1),"OK","ERROR"),IF(B2090="FSE",IF(COUNTIFS(B:B,B2090,C:C,C2090)=XLOOKUP(C2090,FSE!A:A,FSE!AA:AA,"ERROR",0,1),"OK","ERROR")))</f>
        <v>OK</v>
      </c>
      <c r="H2090" s="199">
        <f t="shared" ref="H2090:O2090" si="10559">countif($D2090,"*"&amp;H$2&amp;"*")</f>
        <v>0</v>
      </c>
      <c r="I2090" s="200">
        <f t="shared" si="10559"/>
        <v>0</v>
      </c>
      <c r="J2090" s="200">
        <f t="shared" si="10559"/>
        <v>0</v>
      </c>
      <c r="K2090" s="200">
        <f t="shared" si="10559"/>
        <v>0</v>
      </c>
      <c r="L2090" s="200">
        <f t="shared" si="10559"/>
        <v>0</v>
      </c>
      <c r="M2090" s="200">
        <f t="shared" si="10559"/>
        <v>0</v>
      </c>
      <c r="N2090" s="200">
        <f t="shared" si="10559"/>
        <v>0</v>
      </c>
      <c r="O2090" s="200">
        <f t="shared" si="10559"/>
        <v>0</v>
      </c>
      <c r="P2090" s="200">
        <f t="shared" si="9"/>
        <v>0</v>
      </c>
      <c r="Q2090" s="200">
        <f t="shared" ref="Q2090:AC2090" si="10560">countif($D2090,"*"&amp;Q$2&amp;"*")</f>
        <v>0</v>
      </c>
      <c r="R2090" s="200">
        <f t="shared" si="10560"/>
        <v>0</v>
      </c>
      <c r="S2090" s="200">
        <f t="shared" si="10560"/>
        <v>0</v>
      </c>
      <c r="T2090" s="200">
        <f t="shared" si="10560"/>
        <v>0</v>
      </c>
      <c r="U2090" s="200">
        <f t="shared" si="10560"/>
        <v>0</v>
      </c>
      <c r="V2090" s="200">
        <f t="shared" si="10560"/>
        <v>0</v>
      </c>
      <c r="W2090" s="200">
        <f t="shared" si="10560"/>
        <v>0</v>
      </c>
      <c r="X2090" s="200">
        <f t="shared" si="10560"/>
        <v>0</v>
      </c>
      <c r="Y2090" s="200">
        <f t="shared" si="10560"/>
        <v>0</v>
      </c>
      <c r="Z2090" s="200">
        <f t="shared" si="10560"/>
        <v>0</v>
      </c>
      <c r="AA2090" s="200">
        <f t="shared" si="10560"/>
        <v>0</v>
      </c>
      <c r="AB2090" s="200">
        <f t="shared" si="10560"/>
        <v>0</v>
      </c>
      <c r="AC2090" s="200">
        <f t="shared" si="10560"/>
        <v>0</v>
      </c>
      <c r="AD2090" s="200">
        <f t="shared" si="11"/>
        <v>1</v>
      </c>
      <c r="AE2090" s="200">
        <f t="shared" ref="AE2090:AG2090" si="10561">countif($D2090,"*"&amp;AE$2&amp;"*")</f>
        <v>0</v>
      </c>
      <c r="AF2090" s="200">
        <f t="shared" si="10561"/>
        <v>0</v>
      </c>
      <c r="AG2090" s="200">
        <f t="shared" si="10561"/>
        <v>0</v>
      </c>
      <c r="AH2090" s="171">
        <f t="shared" si="13"/>
        <v>0</v>
      </c>
      <c r="AI2090" s="200">
        <f t="shared" si="14"/>
        <v>0</v>
      </c>
      <c r="AJ2090" s="200">
        <f t="shared" si="10562"/>
        <v>0</v>
      </c>
      <c r="AK2090" s="201">
        <f t="shared" ref="AK2090:AS2090" si="10563">countif($D2090,"*"&amp;AK$2&amp;"*")</f>
        <v>0</v>
      </c>
      <c r="AL2090" s="201">
        <f t="shared" si="10563"/>
        <v>0</v>
      </c>
      <c r="AM2090" s="201">
        <f t="shared" si="10563"/>
        <v>0</v>
      </c>
      <c r="AN2090" s="201">
        <f t="shared" si="10563"/>
        <v>0</v>
      </c>
      <c r="AO2090" s="201">
        <f t="shared" si="10563"/>
        <v>0</v>
      </c>
      <c r="AP2090" s="201">
        <f t="shared" si="10563"/>
        <v>0</v>
      </c>
      <c r="AQ2090" s="201">
        <f t="shared" si="10563"/>
        <v>0</v>
      </c>
      <c r="AR2090" s="201">
        <f t="shared" si="10563"/>
        <v>0</v>
      </c>
      <c r="AS2090" s="200">
        <f t="shared" si="10563"/>
        <v>0</v>
      </c>
      <c r="AT2090" s="205">
        <v>0.0</v>
      </c>
      <c r="AU2090" s="200">
        <f t="shared" ref="AU2090:AX2090" si="10564">countif($D2090,"*"&amp;AU$2&amp;"*")</f>
        <v>1</v>
      </c>
      <c r="AV2090" s="200">
        <f t="shared" si="10564"/>
        <v>0</v>
      </c>
      <c r="AW2090" s="200">
        <f t="shared" si="10564"/>
        <v>0</v>
      </c>
      <c r="AX2090" s="200">
        <f t="shared" si="10564"/>
        <v>0</v>
      </c>
      <c r="AY2090" s="202">
        <v>0.0</v>
      </c>
      <c r="AZ2090" s="200"/>
      <c r="BA2090" s="171" t="str">
        <f t="shared" si="18"/>
        <v/>
      </c>
      <c r="BB2090" s="171" t="str">
        <f t="shared" si="19"/>
        <v/>
      </c>
      <c r="BC2090" s="171" t="str">
        <f t="shared" si="20"/>
        <v/>
      </c>
      <c r="BD2090" s="171" t="str">
        <f t="shared" si="21"/>
        <v>Institutional</v>
      </c>
      <c r="BE2090" s="171" t="str">
        <f t="shared" si="22"/>
        <v/>
      </c>
      <c r="BF2090" s="171" t="str">
        <f t="shared" si="23"/>
        <v>Institutional</v>
      </c>
    </row>
    <row r="2091">
      <c r="A2091" s="171">
        <f t="array" ref="A2091">XLOOKUP(C2091,FSE!A:A,FSE!C:C,"XXXXX",0,1)</f>
        <v>2015</v>
      </c>
      <c r="B2091" s="213" t="s">
        <v>5676</v>
      </c>
      <c r="C2091" s="214">
        <v>723.0</v>
      </c>
      <c r="D2091" s="215" t="s">
        <v>3590</v>
      </c>
      <c r="E2091" s="197" t="str">
        <f t="array" ref="E2091">XLOOKUP(C2091,FSE!A:A,FSE!Z:Z,"XXXXX",0,1)</f>
        <v>Not Available (1)</v>
      </c>
      <c r="F2091" s="213" t="s">
        <v>3395</v>
      </c>
      <c r="G2091" s="163" t="str">
        <f t="array" ref="G2091">IF(B2091="ICSE",IF(COUNTIFS(B:B,B2091,C:C,C2091)=XLOOKUP(C2091,ICSE!A:A,ICSE!AA:AA,"ERROR",0,1),"OK","ERROR"),IF(B2091="FSE",IF(COUNTIFS(B:B,B2091,C:C,C2091)=XLOOKUP(C2091,FSE!A:A,FSE!AA:AA,"ERROR",0,1),"OK","ERROR")))</f>
        <v>OK</v>
      </c>
      <c r="H2091" s="199">
        <f t="shared" ref="H2091:O2091" si="10565">countif($D2091,"*"&amp;H$2&amp;"*")</f>
        <v>0</v>
      </c>
      <c r="I2091" s="200">
        <f t="shared" si="10565"/>
        <v>0</v>
      </c>
      <c r="J2091" s="200">
        <f t="shared" si="10565"/>
        <v>0</v>
      </c>
      <c r="K2091" s="200">
        <f t="shared" si="10565"/>
        <v>0</v>
      </c>
      <c r="L2091" s="200">
        <f t="shared" si="10565"/>
        <v>0</v>
      </c>
      <c r="M2091" s="200">
        <f t="shared" si="10565"/>
        <v>0</v>
      </c>
      <c r="N2091" s="200">
        <f t="shared" si="10565"/>
        <v>0</v>
      </c>
      <c r="O2091" s="200">
        <f t="shared" si="10565"/>
        <v>0</v>
      </c>
      <c r="P2091" s="200">
        <f t="shared" si="9"/>
        <v>0</v>
      </c>
      <c r="Q2091" s="200">
        <f t="shared" ref="Q2091:AC2091" si="10566">countif($D2091,"*"&amp;Q$2&amp;"*")</f>
        <v>0</v>
      </c>
      <c r="R2091" s="200">
        <f t="shared" si="10566"/>
        <v>0</v>
      </c>
      <c r="S2091" s="200">
        <f t="shared" si="10566"/>
        <v>0</v>
      </c>
      <c r="T2091" s="200">
        <f t="shared" si="10566"/>
        <v>0</v>
      </c>
      <c r="U2091" s="200">
        <f t="shared" si="10566"/>
        <v>0</v>
      </c>
      <c r="V2091" s="200">
        <f t="shared" si="10566"/>
        <v>0</v>
      </c>
      <c r="W2091" s="200">
        <f t="shared" si="10566"/>
        <v>0</v>
      </c>
      <c r="X2091" s="200">
        <f t="shared" si="10566"/>
        <v>0</v>
      </c>
      <c r="Y2091" s="200">
        <f t="shared" si="10566"/>
        <v>0</v>
      </c>
      <c r="Z2091" s="200">
        <f t="shared" si="10566"/>
        <v>0</v>
      </c>
      <c r="AA2091" s="200">
        <f t="shared" si="10566"/>
        <v>0</v>
      </c>
      <c r="AB2091" s="200">
        <f t="shared" si="10566"/>
        <v>0</v>
      </c>
      <c r="AC2091" s="200">
        <f t="shared" si="10566"/>
        <v>0</v>
      </c>
      <c r="AD2091" s="200">
        <f t="shared" si="11"/>
        <v>1</v>
      </c>
      <c r="AE2091" s="200">
        <f t="shared" ref="AE2091:AG2091" si="10567">countif($D2091,"*"&amp;AE$2&amp;"*")</f>
        <v>0</v>
      </c>
      <c r="AF2091" s="200">
        <f t="shared" si="10567"/>
        <v>0</v>
      </c>
      <c r="AG2091" s="200">
        <f t="shared" si="10567"/>
        <v>0</v>
      </c>
      <c r="AH2091" s="171">
        <f t="shared" si="13"/>
        <v>0</v>
      </c>
      <c r="AI2091" s="200">
        <f t="shared" si="14"/>
        <v>0</v>
      </c>
      <c r="AJ2091" s="200">
        <f t="shared" si="10562"/>
        <v>0</v>
      </c>
      <c r="AK2091" s="201">
        <f t="shared" ref="AK2091:AS2091" si="10568">countif($D2091,"*"&amp;AK$2&amp;"*")</f>
        <v>0</v>
      </c>
      <c r="AL2091" s="201">
        <f t="shared" si="10568"/>
        <v>0</v>
      </c>
      <c r="AM2091" s="201">
        <f t="shared" si="10568"/>
        <v>0</v>
      </c>
      <c r="AN2091" s="201">
        <f t="shared" si="10568"/>
        <v>0</v>
      </c>
      <c r="AO2091" s="201">
        <f t="shared" si="10568"/>
        <v>0</v>
      </c>
      <c r="AP2091" s="201">
        <f t="shared" si="10568"/>
        <v>0</v>
      </c>
      <c r="AQ2091" s="201">
        <f t="shared" si="10568"/>
        <v>0</v>
      </c>
      <c r="AR2091" s="201">
        <f t="shared" si="10568"/>
        <v>0</v>
      </c>
      <c r="AS2091" s="200">
        <f t="shared" si="10568"/>
        <v>0</v>
      </c>
      <c r="AT2091" s="205">
        <v>0.0</v>
      </c>
      <c r="AU2091" s="200">
        <f t="shared" ref="AU2091:AX2091" si="10569">countif($D2091,"*"&amp;AU$2&amp;"*")</f>
        <v>1</v>
      </c>
      <c r="AV2091" s="200">
        <f t="shared" si="10569"/>
        <v>0</v>
      </c>
      <c r="AW2091" s="200">
        <f t="shared" si="10569"/>
        <v>0</v>
      </c>
      <c r="AX2091" s="200">
        <f t="shared" si="10569"/>
        <v>0</v>
      </c>
      <c r="AY2091" s="202">
        <v>0.0</v>
      </c>
      <c r="AZ2091" s="200"/>
      <c r="BA2091" s="171" t="str">
        <f t="shared" si="18"/>
        <v/>
      </c>
      <c r="BB2091" s="171" t="str">
        <f t="shared" si="19"/>
        <v/>
      </c>
      <c r="BC2091" s="171" t="str">
        <f t="shared" si="20"/>
        <v/>
      </c>
      <c r="BD2091" s="171" t="str">
        <f t="shared" si="21"/>
        <v>Institutional</v>
      </c>
      <c r="BE2091" s="171" t="str">
        <f t="shared" si="22"/>
        <v/>
      </c>
      <c r="BF2091" s="171" t="str">
        <f t="shared" si="23"/>
        <v>Institutional</v>
      </c>
    </row>
    <row r="2092">
      <c r="A2092" s="171">
        <f t="array" ref="A2092">XLOOKUP(C2092,FSE!A:A,FSE!C:C,"XXXXX",0,1)</f>
        <v>2015</v>
      </c>
      <c r="B2092" s="213" t="s">
        <v>5676</v>
      </c>
      <c r="C2092" s="214">
        <v>724.0</v>
      </c>
      <c r="D2092" s="215" t="s">
        <v>3593</v>
      </c>
      <c r="E2092" s="197" t="str">
        <f t="array" ref="E2092">XLOOKUP(C2092,FSE!A:A,FSE!Z:Z,"XXXXX",0,1)</f>
        <v>Publicly Available (1)</v>
      </c>
      <c r="F2092" s="213" t="s">
        <v>3394</v>
      </c>
      <c r="G2092" s="163" t="str">
        <f t="array" ref="G2092">IF(B2092="ICSE",IF(COUNTIFS(B:B,B2092,C:C,C2092)=XLOOKUP(C2092,ICSE!A:A,ICSE!AA:AA,"ERROR",0,1),"OK","ERROR"),IF(B2092="FSE",IF(COUNTIFS(B:B,B2092,C:C,C2092)=XLOOKUP(C2092,FSE!A:A,FSE!AA:AA,"ERROR",0,1),"OK","ERROR")))</f>
        <v>OK</v>
      </c>
      <c r="H2092" s="199">
        <f t="shared" ref="H2092:O2092" si="10570">countif($D2092,"*"&amp;H$2&amp;"*")</f>
        <v>0</v>
      </c>
      <c r="I2092" s="200">
        <f t="shared" si="10570"/>
        <v>0</v>
      </c>
      <c r="J2092" s="200">
        <f t="shared" si="10570"/>
        <v>0</v>
      </c>
      <c r="K2092" s="200">
        <f t="shared" si="10570"/>
        <v>0</v>
      </c>
      <c r="L2092" s="200">
        <f t="shared" si="10570"/>
        <v>0</v>
      </c>
      <c r="M2092" s="200">
        <f t="shared" si="10570"/>
        <v>0</v>
      </c>
      <c r="N2092" s="200">
        <f t="shared" si="10570"/>
        <v>0</v>
      </c>
      <c r="O2092" s="200">
        <f t="shared" si="10570"/>
        <v>0</v>
      </c>
      <c r="P2092" s="200">
        <f t="shared" si="9"/>
        <v>0</v>
      </c>
      <c r="Q2092" s="200">
        <f t="shared" ref="Q2092:AC2092" si="10571">countif($D2092,"*"&amp;Q$2&amp;"*")</f>
        <v>0</v>
      </c>
      <c r="R2092" s="200">
        <f t="shared" si="10571"/>
        <v>0</v>
      </c>
      <c r="S2092" s="200">
        <f t="shared" si="10571"/>
        <v>0</v>
      </c>
      <c r="T2092" s="200">
        <f t="shared" si="10571"/>
        <v>0</v>
      </c>
      <c r="U2092" s="200">
        <f t="shared" si="10571"/>
        <v>0</v>
      </c>
      <c r="V2092" s="200">
        <f t="shared" si="10571"/>
        <v>0</v>
      </c>
      <c r="W2092" s="200">
        <f t="shared" si="10571"/>
        <v>0</v>
      </c>
      <c r="X2092" s="200">
        <f t="shared" si="10571"/>
        <v>0</v>
      </c>
      <c r="Y2092" s="200">
        <f t="shared" si="10571"/>
        <v>0</v>
      </c>
      <c r="Z2092" s="200">
        <f t="shared" si="10571"/>
        <v>0</v>
      </c>
      <c r="AA2092" s="200">
        <f t="shared" si="10571"/>
        <v>0</v>
      </c>
      <c r="AB2092" s="200">
        <f t="shared" si="10571"/>
        <v>0</v>
      </c>
      <c r="AC2092" s="200">
        <f t="shared" si="10571"/>
        <v>0</v>
      </c>
      <c r="AD2092" s="200">
        <f t="shared" si="11"/>
        <v>1</v>
      </c>
      <c r="AE2092" s="200">
        <f t="shared" ref="AE2092:AG2092" si="10572">countif($D2092,"*"&amp;AE$2&amp;"*")</f>
        <v>0</v>
      </c>
      <c r="AF2092" s="200">
        <f t="shared" si="10572"/>
        <v>0</v>
      </c>
      <c r="AG2092" s="200">
        <f t="shared" si="10572"/>
        <v>0</v>
      </c>
      <c r="AH2092" s="171">
        <f t="shared" si="13"/>
        <v>0</v>
      </c>
      <c r="AI2092" s="200">
        <f t="shared" si="14"/>
        <v>0</v>
      </c>
      <c r="AJ2092" s="200">
        <f>SUM(AK2092:AR2092)</f>
        <v>0</v>
      </c>
      <c r="AK2092" s="201">
        <f t="shared" ref="AK2092:AS2092" si="10573">countif($D2092,"*"&amp;AK$2&amp;"*")</f>
        <v>0</v>
      </c>
      <c r="AL2092" s="201">
        <f t="shared" si="10573"/>
        <v>0</v>
      </c>
      <c r="AM2092" s="201">
        <f t="shared" si="10573"/>
        <v>0</v>
      </c>
      <c r="AN2092" s="201">
        <f t="shared" si="10573"/>
        <v>0</v>
      </c>
      <c r="AO2092" s="201">
        <f t="shared" si="10573"/>
        <v>0</v>
      </c>
      <c r="AP2092" s="201">
        <f t="shared" si="10573"/>
        <v>0</v>
      </c>
      <c r="AQ2092" s="201">
        <f t="shared" si="10573"/>
        <v>0</v>
      </c>
      <c r="AR2092" s="200">
        <f t="shared" si="10573"/>
        <v>0</v>
      </c>
      <c r="AS2092" s="200">
        <f t="shared" si="10573"/>
        <v>0</v>
      </c>
      <c r="AT2092" s="173">
        <v>1.0</v>
      </c>
      <c r="AU2092" s="200">
        <f t="shared" ref="AU2092:AX2092" si="10574">countif($D2092,"*"&amp;AU$2&amp;"*")</f>
        <v>0</v>
      </c>
      <c r="AV2092" s="200">
        <f t="shared" si="10574"/>
        <v>0</v>
      </c>
      <c r="AW2092" s="200">
        <f t="shared" si="10574"/>
        <v>0</v>
      </c>
      <c r="AX2092" s="200">
        <f t="shared" si="10574"/>
        <v>0</v>
      </c>
      <c r="AY2092" s="202">
        <v>0.0</v>
      </c>
      <c r="AZ2092" s="200"/>
      <c r="BA2092" s="171" t="str">
        <f t="shared" si="18"/>
        <v/>
      </c>
      <c r="BB2092" s="171" t="str">
        <f t="shared" si="19"/>
        <v/>
      </c>
      <c r="BC2092" s="171" t="str">
        <f t="shared" si="20"/>
        <v/>
      </c>
      <c r="BD2092" s="171" t="str">
        <f t="shared" si="21"/>
        <v>Institutional</v>
      </c>
      <c r="BE2092" s="171" t="str">
        <f t="shared" si="22"/>
        <v/>
      </c>
      <c r="BF2092" s="171" t="str">
        <f t="shared" si="23"/>
        <v>Institutional</v>
      </c>
    </row>
    <row r="2093">
      <c r="A2093" s="171">
        <f t="array" ref="A2093">XLOOKUP(C2093,FSE!A:A,FSE!C:C,"XXXXX",0,1)</f>
        <v>2015</v>
      </c>
      <c r="B2093" s="213" t="s">
        <v>5676</v>
      </c>
      <c r="C2093" s="214">
        <v>727.0</v>
      </c>
      <c r="D2093" s="215" t="s">
        <v>3598</v>
      </c>
      <c r="E2093" s="197" t="str">
        <f t="array" ref="E2093">XLOOKUP(C2093,FSE!A:A,FSE!Z:Z,"XXXXX",0,1)</f>
        <v>Not Available (1)</v>
      </c>
      <c r="F2093" s="213" t="s">
        <v>3395</v>
      </c>
      <c r="G2093" s="163" t="str">
        <f t="array" ref="G2093">IF(B2093="ICSE",IF(COUNTIFS(B:B,B2093,C:C,C2093)=XLOOKUP(C2093,ICSE!A:A,ICSE!AA:AA,"ERROR",0,1),"OK","ERROR"),IF(B2093="FSE",IF(COUNTIFS(B:B,B2093,C:C,C2093)=XLOOKUP(C2093,FSE!A:A,FSE!AA:AA,"ERROR",0,1),"OK","ERROR")))</f>
        <v>OK</v>
      </c>
      <c r="H2093" s="199">
        <f t="shared" ref="H2093:O2093" si="10575">countif($D2093,"*"&amp;H$2&amp;"*")</f>
        <v>0</v>
      </c>
      <c r="I2093" s="200">
        <f t="shared" si="10575"/>
        <v>0</v>
      </c>
      <c r="J2093" s="200">
        <f t="shared" si="10575"/>
        <v>0</v>
      </c>
      <c r="K2093" s="200">
        <f t="shared" si="10575"/>
        <v>0</v>
      </c>
      <c r="L2093" s="200">
        <f t="shared" si="10575"/>
        <v>0</v>
      </c>
      <c r="M2093" s="200">
        <f t="shared" si="10575"/>
        <v>0</v>
      </c>
      <c r="N2093" s="200">
        <f t="shared" si="10575"/>
        <v>0</v>
      </c>
      <c r="O2093" s="200">
        <f t="shared" si="10575"/>
        <v>0</v>
      </c>
      <c r="P2093" s="200">
        <f t="shared" si="9"/>
        <v>0</v>
      </c>
      <c r="Q2093" s="200">
        <f t="shared" ref="Q2093:AC2093" si="10576">countif($D2093,"*"&amp;Q$2&amp;"*")</f>
        <v>0</v>
      </c>
      <c r="R2093" s="200">
        <f t="shared" si="10576"/>
        <v>0</v>
      </c>
      <c r="S2093" s="200">
        <f t="shared" si="10576"/>
        <v>0</v>
      </c>
      <c r="T2093" s="200">
        <f t="shared" si="10576"/>
        <v>0</v>
      </c>
      <c r="U2093" s="200">
        <f t="shared" si="10576"/>
        <v>0</v>
      </c>
      <c r="V2093" s="200">
        <f t="shared" si="10576"/>
        <v>0</v>
      </c>
      <c r="W2093" s="200">
        <f t="shared" si="10576"/>
        <v>0</v>
      </c>
      <c r="X2093" s="200">
        <f t="shared" si="10576"/>
        <v>0</v>
      </c>
      <c r="Y2093" s="200">
        <f t="shared" si="10576"/>
        <v>0</v>
      </c>
      <c r="Z2093" s="200">
        <f t="shared" si="10576"/>
        <v>0</v>
      </c>
      <c r="AA2093" s="200">
        <f t="shared" si="10576"/>
        <v>0</v>
      </c>
      <c r="AB2093" s="200">
        <f t="shared" si="10576"/>
        <v>0</v>
      </c>
      <c r="AC2093" s="200">
        <f t="shared" si="10576"/>
        <v>0</v>
      </c>
      <c r="AD2093" s="200">
        <f t="shared" si="11"/>
        <v>1</v>
      </c>
      <c r="AE2093" s="200">
        <f t="shared" ref="AE2093:AG2093" si="10577">countif($D2093,"*"&amp;AE$2&amp;"*")</f>
        <v>0</v>
      </c>
      <c r="AF2093" s="200">
        <f t="shared" si="10577"/>
        <v>0</v>
      </c>
      <c r="AG2093" s="200">
        <f t="shared" si="10577"/>
        <v>0</v>
      </c>
      <c r="AH2093" s="171">
        <f t="shared" si="13"/>
        <v>0</v>
      </c>
      <c r="AI2093" s="200">
        <f t="shared" si="14"/>
        <v>0</v>
      </c>
      <c r="AJ2093" s="200">
        <f t="shared" ref="AJ2093:AJ2094" si="10583">SUM(AK2093:AQ2093)</f>
        <v>0</v>
      </c>
      <c r="AK2093" s="201">
        <f t="shared" ref="AK2093:AS2093" si="10578">countif($D2093,"*"&amp;AK$2&amp;"*")</f>
        <v>0</v>
      </c>
      <c r="AL2093" s="201">
        <f t="shared" si="10578"/>
        <v>0</v>
      </c>
      <c r="AM2093" s="201">
        <f t="shared" si="10578"/>
        <v>0</v>
      </c>
      <c r="AN2093" s="201">
        <f t="shared" si="10578"/>
        <v>0</v>
      </c>
      <c r="AO2093" s="201">
        <f t="shared" si="10578"/>
        <v>0</v>
      </c>
      <c r="AP2093" s="201">
        <f t="shared" si="10578"/>
        <v>0</v>
      </c>
      <c r="AQ2093" s="201">
        <f t="shared" si="10578"/>
        <v>0</v>
      </c>
      <c r="AR2093" s="201">
        <f t="shared" si="10578"/>
        <v>0</v>
      </c>
      <c r="AS2093" s="200">
        <f t="shared" si="10578"/>
        <v>0</v>
      </c>
      <c r="AT2093" s="205">
        <v>0.0</v>
      </c>
      <c r="AU2093" s="200">
        <f t="shared" ref="AU2093:AX2093" si="10579">countif($D2093,"*"&amp;AU$2&amp;"*")</f>
        <v>1</v>
      </c>
      <c r="AV2093" s="200">
        <f t="shared" si="10579"/>
        <v>0</v>
      </c>
      <c r="AW2093" s="200">
        <f t="shared" si="10579"/>
        <v>0</v>
      </c>
      <c r="AX2093" s="200">
        <f t="shared" si="10579"/>
        <v>0</v>
      </c>
      <c r="AY2093" s="202">
        <v>0.0</v>
      </c>
      <c r="AZ2093" s="200"/>
      <c r="BA2093" s="171" t="str">
        <f t="shared" si="18"/>
        <v/>
      </c>
      <c r="BB2093" s="171" t="str">
        <f t="shared" si="19"/>
        <v/>
      </c>
      <c r="BC2093" s="171" t="str">
        <f t="shared" si="20"/>
        <v/>
      </c>
      <c r="BD2093" s="171" t="str">
        <f t="shared" si="21"/>
        <v>Institutional</v>
      </c>
      <c r="BE2093" s="171" t="str">
        <f t="shared" si="22"/>
        <v/>
      </c>
      <c r="BF2093" s="171" t="str">
        <f t="shared" si="23"/>
        <v>Institutional</v>
      </c>
    </row>
    <row r="2094">
      <c r="A2094" s="171">
        <f t="array" ref="A2094">XLOOKUP(C2094,FSE!A:A,FSE!C:C,"XXXXX",0,1)</f>
        <v>2015</v>
      </c>
      <c r="B2094" s="213" t="s">
        <v>5676</v>
      </c>
      <c r="C2094" s="214">
        <v>728.0</v>
      </c>
      <c r="D2094" s="215" t="s">
        <v>3601</v>
      </c>
      <c r="E2094" s="197" t="str">
        <f t="array" ref="E2094">XLOOKUP(C2094,FSE!A:A,FSE!Z:Z,"XXXXX",0,1)</f>
        <v>Not Available (1)</v>
      </c>
      <c r="F2094" s="213" t="s">
        <v>3395</v>
      </c>
      <c r="G2094" s="163" t="str">
        <f t="array" ref="G2094">IF(B2094="ICSE",IF(COUNTIFS(B:B,B2094,C:C,C2094)=XLOOKUP(C2094,ICSE!A:A,ICSE!AA:AA,"ERROR",0,1),"OK","ERROR"),IF(B2094="FSE",IF(COUNTIFS(B:B,B2094,C:C,C2094)=XLOOKUP(C2094,FSE!A:A,FSE!AA:AA,"ERROR",0,1),"OK","ERROR")))</f>
        <v>OK</v>
      </c>
      <c r="H2094" s="199">
        <f t="shared" ref="H2094:O2094" si="10580">countif($D2094,"*"&amp;H$2&amp;"*")</f>
        <v>0</v>
      </c>
      <c r="I2094" s="200">
        <f t="shared" si="10580"/>
        <v>0</v>
      </c>
      <c r="J2094" s="200">
        <f t="shared" si="10580"/>
        <v>0</v>
      </c>
      <c r="K2094" s="200">
        <f t="shared" si="10580"/>
        <v>0</v>
      </c>
      <c r="L2094" s="200">
        <f t="shared" si="10580"/>
        <v>0</v>
      </c>
      <c r="M2094" s="200">
        <f t="shared" si="10580"/>
        <v>0</v>
      </c>
      <c r="N2094" s="200">
        <f t="shared" si="10580"/>
        <v>0</v>
      </c>
      <c r="O2094" s="200">
        <f t="shared" si="10580"/>
        <v>0</v>
      </c>
      <c r="P2094" s="200">
        <f t="shared" si="9"/>
        <v>0</v>
      </c>
      <c r="Q2094" s="200">
        <f t="shared" ref="Q2094:AC2094" si="10581">countif($D2094,"*"&amp;Q$2&amp;"*")</f>
        <v>0</v>
      </c>
      <c r="R2094" s="200">
        <f t="shared" si="10581"/>
        <v>0</v>
      </c>
      <c r="S2094" s="200">
        <f t="shared" si="10581"/>
        <v>0</v>
      </c>
      <c r="T2094" s="200">
        <f t="shared" si="10581"/>
        <v>0</v>
      </c>
      <c r="U2094" s="200">
        <f t="shared" si="10581"/>
        <v>0</v>
      </c>
      <c r="V2094" s="200">
        <f t="shared" si="10581"/>
        <v>0</v>
      </c>
      <c r="W2094" s="200">
        <f t="shared" si="10581"/>
        <v>0</v>
      </c>
      <c r="X2094" s="200">
        <f t="shared" si="10581"/>
        <v>0</v>
      </c>
      <c r="Y2094" s="200">
        <f t="shared" si="10581"/>
        <v>0</v>
      </c>
      <c r="Z2094" s="200">
        <f t="shared" si="10581"/>
        <v>0</v>
      </c>
      <c r="AA2094" s="200">
        <f t="shared" si="10581"/>
        <v>0</v>
      </c>
      <c r="AB2094" s="200">
        <f t="shared" si="10581"/>
        <v>0</v>
      </c>
      <c r="AC2094" s="200">
        <f t="shared" si="10581"/>
        <v>0</v>
      </c>
      <c r="AD2094" s="200">
        <f t="shared" si="11"/>
        <v>1</v>
      </c>
      <c r="AE2094" s="200">
        <f t="shared" ref="AE2094:AG2094" si="10582">countif($D2094,"*"&amp;AE$2&amp;"*")</f>
        <v>0</v>
      </c>
      <c r="AF2094" s="200">
        <f t="shared" si="10582"/>
        <v>0</v>
      </c>
      <c r="AG2094" s="200">
        <f t="shared" si="10582"/>
        <v>0</v>
      </c>
      <c r="AH2094" s="171">
        <f t="shared" si="13"/>
        <v>0</v>
      </c>
      <c r="AI2094" s="200">
        <f t="shared" si="14"/>
        <v>0</v>
      </c>
      <c r="AJ2094" s="200">
        <f t="shared" si="10583"/>
        <v>0</v>
      </c>
      <c r="AK2094" s="201">
        <f t="shared" ref="AK2094:AS2094" si="10584">countif($D2094,"*"&amp;AK$2&amp;"*")</f>
        <v>0</v>
      </c>
      <c r="AL2094" s="201">
        <f t="shared" si="10584"/>
        <v>0</v>
      </c>
      <c r="AM2094" s="201">
        <f t="shared" si="10584"/>
        <v>0</v>
      </c>
      <c r="AN2094" s="201">
        <f t="shared" si="10584"/>
        <v>0</v>
      </c>
      <c r="AO2094" s="201">
        <f t="shared" si="10584"/>
        <v>0</v>
      </c>
      <c r="AP2094" s="201">
        <f t="shared" si="10584"/>
        <v>0</v>
      </c>
      <c r="AQ2094" s="201">
        <f t="shared" si="10584"/>
        <v>0</v>
      </c>
      <c r="AR2094" s="201">
        <f t="shared" si="10584"/>
        <v>0</v>
      </c>
      <c r="AS2094" s="200">
        <f t="shared" si="10584"/>
        <v>0</v>
      </c>
      <c r="AT2094" s="205">
        <v>0.0</v>
      </c>
      <c r="AU2094" s="200">
        <f t="shared" ref="AU2094:AX2094" si="10585">countif($D2094,"*"&amp;AU$2&amp;"*")</f>
        <v>1</v>
      </c>
      <c r="AV2094" s="200">
        <f t="shared" si="10585"/>
        <v>0</v>
      </c>
      <c r="AW2094" s="200">
        <f t="shared" si="10585"/>
        <v>0</v>
      </c>
      <c r="AX2094" s="200">
        <f t="shared" si="10585"/>
        <v>0</v>
      </c>
      <c r="AY2094" s="202">
        <v>0.0</v>
      </c>
      <c r="AZ2094" s="200"/>
      <c r="BA2094" s="171" t="str">
        <f t="shared" si="18"/>
        <v/>
      </c>
      <c r="BB2094" s="171" t="str">
        <f t="shared" si="19"/>
        <v/>
      </c>
      <c r="BC2094" s="171" t="str">
        <f t="shared" si="20"/>
        <v/>
      </c>
      <c r="BD2094" s="171" t="str">
        <f t="shared" si="21"/>
        <v>Institutional</v>
      </c>
      <c r="BE2094" s="171" t="str">
        <f t="shared" si="22"/>
        <v/>
      </c>
      <c r="BF2094" s="171" t="str">
        <f t="shared" si="23"/>
        <v>Institutional</v>
      </c>
    </row>
    <row r="2095">
      <c r="A2095" s="171">
        <f t="array" ref="A2095">XLOOKUP(C2095,FSE!A:A,FSE!C:C,"XXXXX",0,1)</f>
        <v>2015</v>
      </c>
      <c r="B2095" s="213" t="s">
        <v>5676</v>
      </c>
      <c r="C2095" s="214">
        <v>729.0</v>
      </c>
      <c r="D2095" s="215" t="s">
        <v>6576</v>
      </c>
      <c r="E2095" s="197" t="str">
        <f t="array" ref="E2095">XLOOKUP(C2095,FSE!A:A,FSE!Z:Z,"XXXXX",0,1)</f>
        <v>Not Available (1)</v>
      </c>
      <c r="F2095" s="213" t="s">
        <v>3395</v>
      </c>
      <c r="G2095" s="163" t="str">
        <f t="array" ref="G2095">IF(B2095="ICSE",IF(COUNTIFS(B:B,B2095,C:C,C2095)=XLOOKUP(C2095,ICSE!A:A,ICSE!AA:AA,"ERROR",0,1),"OK","ERROR"),IF(B2095="FSE",IF(COUNTIFS(B:B,B2095,C:C,C2095)=XLOOKUP(C2095,FSE!A:A,FSE!AA:AA,"ERROR",0,1),"OK","ERROR")))</f>
        <v>OK</v>
      </c>
      <c r="H2095" s="199">
        <f t="shared" ref="H2095:O2095" si="10586">countif($D2095,"*"&amp;H$2&amp;"*")</f>
        <v>0</v>
      </c>
      <c r="I2095" s="200">
        <f t="shared" si="10586"/>
        <v>0</v>
      </c>
      <c r="J2095" s="200">
        <f t="shared" si="10586"/>
        <v>0</v>
      </c>
      <c r="K2095" s="200">
        <f t="shared" si="10586"/>
        <v>0</v>
      </c>
      <c r="L2095" s="200">
        <f t="shared" si="10586"/>
        <v>0</v>
      </c>
      <c r="M2095" s="200">
        <f t="shared" si="10586"/>
        <v>0</v>
      </c>
      <c r="N2095" s="200">
        <f t="shared" si="10586"/>
        <v>0</v>
      </c>
      <c r="O2095" s="200">
        <f t="shared" si="10586"/>
        <v>0</v>
      </c>
      <c r="P2095" s="200">
        <f t="shared" si="9"/>
        <v>0</v>
      </c>
      <c r="Q2095" s="200">
        <f t="shared" ref="Q2095:AC2095" si="10587">countif($D2095,"*"&amp;Q$2&amp;"*")</f>
        <v>0</v>
      </c>
      <c r="R2095" s="200">
        <f t="shared" si="10587"/>
        <v>0</v>
      </c>
      <c r="S2095" s="200">
        <f t="shared" si="10587"/>
        <v>0</v>
      </c>
      <c r="T2095" s="200">
        <f t="shared" si="10587"/>
        <v>0</v>
      </c>
      <c r="U2095" s="200">
        <f t="shared" si="10587"/>
        <v>0</v>
      </c>
      <c r="V2095" s="200">
        <f t="shared" si="10587"/>
        <v>0</v>
      </c>
      <c r="W2095" s="200">
        <f t="shared" si="10587"/>
        <v>0</v>
      </c>
      <c r="X2095" s="200">
        <f t="shared" si="10587"/>
        <v>0</v>
      </c>
      <c r="Y2095" s="200">
        <f t="shared" si="10587"/>
        <v>0</v>
      </c>
      <c r="Z2095" s="200">
        <f t="shared" si="10587"/>
        <v>0</v>
      </c>
      <c r="AA2095" s="200">
        <f t="shared" si="10587"/>
        <v>0</v>
      </c>
      <c r="AB2095" s="200">
        <f t="shared" si="10587"/>
        <v>0</v>
      </c>
      <c r="AC2095" s="200">
        <f t="shared" si="10587"/>
        <v>0</v>
      </c>
      <c r="AD2095" s="200">
        <f t="shared" si="11"/>
        <v>0</v>
      </c>
      <c r="AE2095" s="200">
        <f t="shared" ref="AE2095:AG2095" si="10588">countif($D2095,"*"&amp;AE$2&amp;"*")</f>
        <v>0</v>
      </c>
      <c r="AF2095" s="200">
        <f t="shared" si="10588"/>
        <v>0</v>
      </c>
      <c r="AG2095" s="200">
        <f t="shared" si="10588"/>
        <v>0</v>
      </c>
      <c r="AH2095" s="171">
        <f t="shared" si="13"/>
        <v>1</v>
      </c>
      <c r="AI2095" s="200">
        <f t="shared" si="14"/>
        <v>0</v>
      </c>
      <c r="AJ2095" s="200">
        <f t="shared" ref="AJ2095:AJ2096" si="10594">SUM(AK2095:AR2095)</f>
        <v>0</v>
      </c>
      <c r="AK2095" s="201">
        <f t="shared" ref="AK2095:AS2095" si="10589">countif($D2095,"*"&amp;AK$2&amp;"*")</f>
        <v>0</v>
      </c>
      <c r="AL2095" s="201">
        <f t="shared" si="10589"/>
        <v>0</v>
      </c>
      <c r="AM2095" s="201">
        <f t="shared" si="10589"/>
        <v>0</v>
      </c>
      <c r="AN2095" s="201">
        <f t="shared" si="10589"/>
        <v>0</v>
      </c>
      <c r="AO2095" s="201">
        <f t="shared" si="10589"/>
        <v>0</v>
      </c>
      <c r="AP2095" s="201">
        <f t="shared" si="10589"/>
        <v>0</v>
      </c>
      <c r="AQ2095" s="201">
        <f t="shared" si="10589"/>
        <v>0</v>
      </c>
      <c r="AR2095" s="200">
        <f t="shared" si="10589"/>
        <v>0</v>
      </c>
      <c r="AS2095" s="200">
        <f t="shared" si="10589"/>
        <v>0</v>
      </c>
      <c r="AT2095" s="173">
        <v>0.0</v>
      </c>
      <c r="AU2095" s="200">
        <f t="shared" ref="AU2095:AX2095" si="10590">countif($D2095,"*"&amp;AU$2&amp;"*")</f>
        <v>0</v>
      </c>
      <c r="AV2095" s="200">
        <f t="shared" si="10590"/>
        <v>0</v>
      </c>
      <c r="AW2095" s="200">
        <f t="shared" si="10590"/>
        <v>0</v>
      </c>
      <c r="AX2095" s="200">
        <f t="shared" si="10590"/>
        <v>0</v>
      </c>
      <c r="AY2095" s="202">
        <v>0.0</v>
      </c>
      <c r="AZ2095" s="200"/>
      <c r="BA2095" s="171" t="str">
        <f t="shared" si="18"/>
        <v/>
      </c>
      <c r="BB2095" s="171" t="str">
        <f t="shared" si="19"/>
        <v/>
      </c>
      <c r="BC2095" s="171" t="str">
        <f t="shared" si="20"/>
        <v/>
      </c>
      <c r="BD2095" s="171" t="str">
        <f t="shared" si="21"/>
        <v/>
      </c>
      <c r="BE2095" s="171" t="str">
        <f t="shared" si="22"/>
        <v>Others</v>
      </c>
      <c r="BF2095" s="171" t="str">
        <f t="shared" si="23"/>
        <v>Others</v>
      </c>
    </row>
    <row r="2096">
      <c r="A2096" s="171">
        <f t="array" ref="A2096">XLOOKUP(C2096,FSE!A:A,FSE!C:C,"XXXXX",0,1)</f>
        <v>2015</v>
      </c>
      <c r="B2096" s="213" t="s">
        <v>5676</v>
      </c>
      <c r="C2096" s="214">
        <v>730.0</v>
      </c>
      <c r="D2096" s="215" t="s">
        <v>3607</v>
      </c>
      <c r="E2096" s="197" t="str">
        <f t="array" ref="E2096">XLOOKUP(C2096,FSE!A:A,FSE!Z:Z,"XXXXX",0,1)</f>
        <v>Publicly Available (1)</v>
      </c>
      <c r="F2096" s="213" t="s">
        <v>3394</v>
      </c>
      <c r="G2096" s="163" t="str">
        <f t="array" ref="G2096">IF(B2096="ICSE",IF(COUNTIFS(B:B,B2096,C:C,C2096)=XLOOKUP(C2096,ICSE!A:A,ICSE!AA:AA,"ERROR",0,1),"OK","ERROR"),IF(B2096="FSE",IF(COUNTIFS(B:B,B2096,C:C,C2096)=XLOOKUP(C2096,FSE!A:A,FSE!AA:AA,"ERROR",0,1),"OK","ERROR")))</f>
        <v>OK</v>
      </c>
      <c r="H2096" s="199">
        <f t="shared" ref="H2096:O2096" si="10591">countif($D2096,"*"&amp;H$2&amp;"*")</f>
        <v>0</v>
      </c>
      <c r="I2096" s="200">
        <f t="shared" si="10591"/>
        <v>0</v>
      </c>
      <c r="J2096" s="200">
        <f t="shared" si="10591"/>
        <v>0</v>
      </c>
      <c r="K2096" s="200">
        <f t="shared" si="10591"/>
        <v>0</v>
      </c>
      <c r="L2096" s="200">
        <f t="shared" si="10591"/>
        <v>0</v>
      </c>
      <c r="M2096" s="200">
        <f t="shared" si="10591"/>
        <v>0</v>
      </c>
      <c r="N2096" s="200">
        <f t="shared" si="10591"/>
        <v>0</v>
      </c>
      <c r="O2096" s="200">
        <f t="shared" si="10591"/>
        <v>0</v>
      </c>
      <c r="P2096" s="200">
        <f t="shared" si="9"/>
        <v>0</v>
      </c>
      <c r="Q2096" s="200">
        <f t="shared" ref="Q2096:AC2096" si="10592">countif($D2096,"*"&amp;Q$2&amp;"*")</f>
        <v>0</v>
      </c>
      <c r="R2096" s="200">
        <f t="shared" si="10592"/>
        <v>0</v>
      </c>
      <c r="S2096" s="200">
        <f t="shared" si="10592"/>
        <v>0</v>
      </c>
      <c r="T2096" s="200">
        <f t="shared" si="10592"/>
        <v>0</v>
      </c>
      <c r="U2096" s="200">
        <f t="shared" si="10592"/>
        <v>0</v>
      </c>
      <c r="V2096" s="200">
        <f t="shared" si="10592"/>
        <v>0</v>
      </c>
      <c r="W2096" s="200">
        <f t="shared" si="10592"/>
        <v>0</v>
      </c>
      <c r="X2096" s="200">
        <f t="shared" si="10592"/>
        <v>0</v>
      </c>
      <c r="Y2096" s="200">
        <f t="shared" si="10592"/>
        <v>0</v>
      </c>
      <c r="Z2096" s="200">
        <f t="shared" si="10592"/>
        <v>0</v>
      </c>
      <c r="AA2096" s="200">
        <f t="shared" si="10592"/>
        <v>0</v>
      </c>
      <c r="AB2096" s="200">
        <f t="shared" si="10592"/>
        <v>0</v>
      </c>
      <c r="AC2096" s="200">
        <f t="shared" si="10592"/>
        <v>0</v>
      </c>
      <c r="AD2096" s="200">
        <f t="shared" si="11"/>
        <v>0</v>
      </c>
      <c r="AE2096" s="200">
        <f t="shared" ref="AE2096:AG2096" si="10593">countif($D2096,"*"&amp;AE$2&amp;"*")</f>
        <v>0</v>
      </c>
      <c r="AF2096" s="200">
        <f t="shared" si="10593"/>
        <v>0</v>
      </c>
      <c r="AG2096" s="200">
        <f t="shared" si="10593"/>
        <v>0</v>
      </c>
      <c r="AH2096" s="171">
        <f t="shared" si="13"/>
        <v>1</v>
      </c>
      <c r="AI2096" s="200">
        <f t="shared" si="14"/>
        <v>0</v>
      </c>
      <c r="AJ2096" s="200">
        <f t="shared" si="10594"/>
        <v>0</v>
      </c>
      <c r="AK2096" s="201">
        <f t="shared" ref="AK2096:AS2096" si="10595">countif($D2096,"*"&amp;AK$2&amp;"*")</f>
        <v>0</v>
      </c>
      <c r="AL2096" s="201">
        <f t="shared" si="10595"/>
        <v>0</v>
      </c>
      <c r="AM2096" s="201">
        <f t="shared" si="10595"/>
        <v>0</v>
      </c>
      <c r="AN2096" s="201">
        <f t="shared" si="10595"/>
        <v>0</v>
      </c>
      <c r="AO2096" s="201">
        <f t="shared" si="10595"/>
        <v>0</v>
      </c>
      <c r="AP2096" s="201">
        <f t="shared" si="10595"/>
        <v>0</v>
      </c>
      <c r="AQ2096" s="201">
        <f t="shared" si="10595"/>
        <v>0</v>
      </c>
      <c r="AR2096" s="200">
        <f t="shared" si="10595"/>
        <v>0</v>
      </c>
      <c r="AS2096" s="200">
        <f t="shared" si="10595"/>
        <v>0</v>
      </c>
      <c r="AT2096" s="173">
        <v>0.0</v>
      </c>
      <c r="AU2096" s="200">
        <f t="shared" ref="AU2096:AX2096" si="10596">countif($D2096,"*"&amp;AU$2&amp;"*")</f>
        <v>0</v>
      </c>
      <c r="AV2096" s="200">
        <f t="shared" si="10596"/>
        <v>0</v>
      </c>
      <c r="AW2096" s="200">
        <f t="shared" si="10596"/>
        <v>0</v>
      </c>
      <c r="AX2096" s="200">
        <f t="shared" si="10596"/>
        <v>0</v>
      </c>
      <c r="AY2096" s="202">
        <v>0.0</v>
      </c>
      <c r="AZ2096" s="200"/>
      <c r="BA2096" s="171" t="str">
        <f t="shared" si="18"/>
        <v/>
      </c>
      <c r="BB2096" s="171" t="str">
        <f t="shared" si="19"/>
        <v/>
      </c>
      <c r="BC2096" s="171" t="str">
        <f t="shared" si="20"/>
        <v/>
      </c>
      <c r="BD2096" s="171" t="str">
        <f t="shared" si="21"/>
        <v/>
      </c>
      <c r="BE2096" s="171" t="str">
        <f t="shared" si="22"/>
        <v>Others</v>
      </c>
      <c r="BF2096" s="171" t="str">
        <f t="shared" si="23"/>
        <v>Others</v>
      </c>
    </row>
    <row r="2097">
      <c r="A2097" s="171">
        <f t="array" ref="A2097">XLOOKUP(C2097,FSE!A:A,FSE!C:C,"XXXXX",0,1)</f>
        <v>2015</v>
      </c>
      <c r="B2097" s="213" t="s">
        <v>5676</v>
      </c>
      <c r="C2097" s="214">
        <v>731.0</v>
      </c>
      <c r="D2097" s="217" t="s">
        <v>6577</v>
      </c>
      <c r="E2097" s="197" t="str">
        <f t="array" ref="E2097">XLOOKUP(C2097,FSE!A:A,FSE!Z:Z,"XXXXX",0,1)</f>
        <v>Not Available (1)</v>
      </c>
      <c r="F2097" s="213" t="s">
        <v>3395</v>
      </c>
      <c r="G2097" s="163" t="str">
        <f t="array" ref="G2097">IF(B2097="ICSE",IF(COUNTIFS(B:B,B2097,C:C,C2097)=XLOOKUP(C2097,ICSE!A:A,ICSE!AA:AA,"ERROR",0,1),"OK","ERROR"),IF(B2097="FSE",IF(COUNTIFS(B:B,B2097,C:C,C2097)=XLOOKUP(C2097,FSE!A:A,FSE!AA:AA,"ERROR",0,1),"OK","ERROR")))</f>
        <v>OK</v>
      </c>
      <c r="H2097" s="199">
        <f t="shared" ref="H2097:O2097" si="10597">countif($D2097,"*"&amp;H$2&amp;"*")</f>
        <v>0</v>
      </c>
      <c r="I2097" s="200">
        <f t="shared" si="10597"/>
        <v>0</v>
      </c>
      <c r="J2097" s="200">
        <f t="shared" si="10597"/>
        <v>0</v>
      </c>
      <c r="K2097" s="200">
        <f t="shared" si="10597"/>
        <v>0</v>
      </c>
      <c r="L2097" s="200">
        <f t="shared" si="10597"/>
        <v>0</v>
      </c>
      <c r="M2097" s="200">
        <f t="shared" si="10597"/>
        <v>0</v>
      </c>
      <c r="N2097" s="200">
        <f t="shared" si="10597"/>
        <v>0</v>
      </c>
      <c r="O2097" s="200">
        <f t="shared" si="10597"/>
        <v>0</v>
      </c>
      <c r="P2097" s="200">
        <f t="shared" si="9"/>
        <v>0</v>
      </c>
      <c r="Q2097" s="200">
        <f t="shared" ref="Q2097:AC2097" si="10598">countif($D2097,"*"&amp;Q$2&amp;"*")</f>
        <v>0</v>
      </c>
      <c r="R2097" s="200">
        <f t="shared" si="10598"/>
        <v>0</v>
      </c>
      <c r="S2097" s="200">
        <f t="shared" si="10598"/>
        <v>0</v>
      </c>
      <c r="T2097" s="200">
        <f t="shared" si="10598"/>
        <v>0</v>
      </c>
      <c r="U2097" s="200">
        <f t="shared" si="10598"/>
        <v>0</v>
      </c>
      <c r="V2097" s="200">
        <f t="shared" si="10598"/>
        <v>0</v>
      </c>
      <c r="W2097" s="200">
        <f t="shared" si="10598"/>
        <v>0</v>
      </c>
      <c r="X2097" s="200">
        <f t="shared" si="10598"/>
        <v>0</v>
      </c>
      <c r="Y2097" s="200">
        <f t="shared" si="10598"/>
        <v>0</v>
      </c>
      <c r="Z2097" s="200">
        <f t="shared" si="10598"/>
        <v>0</v>
      </c>
      <c r="AA2097" s="200">
        <f t="shared" si="10598"/>
        <v>0</v>
      </c>
      <c r="AB2097" s="200">
        <f t="shared" si="10598"/>
        <v>0</v>
      </c>
      <c r="AC2097" s="200">
        <f t="shared" si="10598"/>
        <v>0</v>
      </c>
      <c r="AD2097" s="200">
        <f t="shared" si="11"/>
        <v>1</v>
      </c>
      <c r="AE2097" s="200">
        <f t="shared" ref="AE2097:AG2097" si="10599">countif($D2097,"*"&amp;AE$2&amp;"*")</f>
        <v>0</v>
      </c>
      <c r="AF2097" s="200">
        <f t="shared" si="10599"/>
        <v>0</v>
      </c>
      <c r="AG2097" s="200">
        <f t="shared" si="10599"/>
        <v>0</v>
      </c>
      <c r="AH2097" s="171">
        <f t="shared" si="13"/>
        <v>0</v>
      </c>
      <c r="AI2097" s="200">
        <f t="shared" si="14"/>
        <v>0</v>
      </c>
      <c r="AJ2097" s="200">
        <f>SUM(AK2097:AQ2097)</f>
        <v>0</v>
      </c>
      <c r="AK2097" s="201">
        <f t="shared" ref="AK2097:AS2097" si="10600">countif($D2097,"*"&amp;AK$2&amp;"*")</f>
        <v>0</v>
      </c>
      <c r="AL2097" s="201">
        <f t="shared" si="10600"/>
        <v>0</v>
      </c>
      <c r="AM2097" s="201">
        <f t="shared" si="10600"/>
        <v>0</v>
      </c>
      <c r="AN2097" s="201">
        <f t="shared" si="10600"/>
        <v>0</v>
      </c>
      <c r="AO2097" s="201">
        <f t="shared" si="10600"/>
        <v>0</v>
      </c>
      <c r="AP2097" s="201">
        <f t="shared" si="10600"/>
        <v>0</v>
      </c>
      <c r="AQ2097" s="201">
        <f t="shared" si="10600"/>
        <v>0</v>
      </c>
      <c r="AR2097" s="201">
        <f t="shared" si="10600"/>
        <v>0</v>
      </c>
      <c r="AS2097" s="200">
        <f t="shared" si="10600"/>
        <v>0</v>
      </c>
      <c r="AT2097" s="205">
        <v>0.0</v>
      </c>
      <c r="AU2097" s="200">
        <f t="shared" ref="AU2097:AX2097" si="10601">countif($D2097,"*"&amp;AU$2&amp;"*")</f>
        <v>1</v>
      </c>
      <c r="AV2097" s="200">
        <f t="shared" si="10601"/>
        <v>0</v>
      </c>
      <c r="AW2097" s="200">
        <f t="shared" si="10601"/>
        <v>0</v>
      </c>
      <c r="AX2097" s="200">
        <f t="shared" si="10601"/>
        <v>0</v>
      </c>
      <c r="AY2097" s="202">
        <v>0.0</v>
      </c>
      <c r="AZ2097" s="200"/>
      <c r="BA2097" s="171" t="str">
        <f t="shared" si="18"/>
        <v/>
      </c>
      <c r="BB2097" s="171" t="str">
        <f t="shared" si="19"/>
        <v/>
      </c>
      <c r="BC2097" s="171" t="str">
        <f t="shared" si="20"/>
        <v/>
      </c>
      <c r="BD2097" s="171" t="str">
        <f t="shared" si="21"/>
        <v>Institutional</v>
      </c>
      <c r="BE2097" s="171" t="str">
        <f t="shared" si="22"/>
        <v/>
      </c>
      <c r="BF2097" s="171" t="str">
        <f t="shared" si="23"/>
        <v>Institutional</v>
      </c>
    </row>
    <row r="2098">
      <c r="A2098" s="171">
        <f t="array" ref="A2098">XLOOKUP(C2098,FSE!A:A,FSE!C:C,"XXXXX",0,1)</f>
        <v>2015</v>
      </c>
      <c r="B2098" s="213" t="s">
        <v>5676</v>
      </c>
      <c r="C2098" s="214">
        <v>732.0</v>
      </c>
      <c r="D2098" s="215" t="s">
        <v>6578</v>
      </c>
      <c r="E2098" s="197" t="str">
        <f t="array" ref="E2098">XLOOKUP(C2098,FSE!A:A,FSE!Z:Z,"XXXXX",0,1)</f>
        <v>Publicly Available (2)</v>
      </c>
      <c r="F2098" s="213" t="s">
        <v>3394</v>
      </c>
      <c r="G2098" s="163" t="str">
        <f t="array" ref="G2098">IF(B2098="ICSE",IF(COUNTIFS(B:B,B2098,C:C,C2098)=XLOOKUP(C2098,ICSE!A:A,ICSE!AA:AA,"ERROR",0,1),"OK","ERROR"),IF(B2098="FSE",IF(COUNTIFS(B:B,B2098,C:C,C2098)=XLOOKUP(C2098,FSE!A:A,FSE!AA:AA,"ERROR",0,1),"OK","ERROR")))</f>
        <v>OK</v>
      </c>
      <c r="H2098" s="199">
        <f t="shared" ref="H2098:O2098" si="10602">countif($D2098,"*"&amp;H$2&amp;"*")</f>
        <v>0</v>
      </c>
      <c r="I2098" s="200">
        <f t="shared" si="10602"/>
        <v>0</v>
      </c>
      <c r="J2098" s="200">
        <f t="shared" si="10602"/>
        <v>0</v>
      </c>
      <c r="K2098" s="200">
        <f t="shared" si="10602"/>
        <v>0</v>
      </c>
      <c r="L2098" s="200">
        <f t="shared" si="10602"/>
        <v>0</v>
      </c>
      <c r="M2098" s="200">
        <f t="shared" si="10602"/>
        <v>0</v>
      </c>
      <c r="N2098" s="200">
        <f t="shared" si="10602"/>
        <v>0</v>
      </c>
      <c r="O2098" s="200">
        <f t="shared" si="10602"/>
        <v>0</v>
      </c>
      <c r="P2098" s="200">
        <f t="shared" si="9"/>
        <v>1</v>
      </c>
      <c r="Q2098" s="200">
        <f t="shared" ref="Q2098:AC2098" si="10603">countif($D2098,"*"&amp;Q$2&amp;"*")</f>
        <v>0</v>
      </c>
      <c r="R2098" s="200">
        <f t="shared" si="10603"/>
        <v>0</v>
      </c>
      <c r="S2098" s="200">
        <f t="shared" si="10603"/>
        <v>0</v>
      </c>
      <c r="T2098" s="200">
        <f t="shared" si="10603"/>
        <v>0</v>
      </c>
      <c r="U2098" s="200">
        <f t="shared" si="10603"/>
        <v>0</v>
      </c>
      <c r="V2098" s="200">
        <f t="shared" si="10603"/>
        <v>0</v>
      </c>
      <c r="W2098" s="200">
        <f t="shared" si="10603"/>
        <v>0</v>
      </c>
      <c r="X2098" s="200">
        <f t="shared" si="10603"/>
        <v>0</v>
      </c>
      <c r="Y2098" s="200">
        <f t="shared" si="10603"/>
        <v>0</v>
      </c>
      <c r="Z2098" s="200">
        <f t="shared" si="10603"/>
        <v>0</v>
      </c>
      <c r="AA2098" s="200">
        <f t="shared" si="10603"/>
        <v>0</v>
      </c>
      <c r="AB2098" s="200">
        <f t="shared" si="10603"/>
        <v>0</v>
      </c>
      <c r="AC2098" s="200">
        <f t="shared" si="10603"/>
        <v>0</v>
      </c>
      <c r="AD2098" s="200">
        <f t="shared" si="11"/>
        <v>0</v>
      </c>
      <c r="AE2098" s="200">
        <f t="shared" ref="AE2098:AG2098" si="10604">countif($D2098,"*"&amp;AE$2&amp;"*")</f>
        <v>0</v>
      </c>
      <c r="AF2098" s="200">
        <f t="shared" si="10604"/>
        <v>0</v>
      </c>
      <c r="AG2098" s="200">
        <f t="shared" si="10604"/>
        <v>0</v>
      </c>
      <c r="AH2098" s="171">
        <f t="shared" si="13"/>
        <v>0</v>
      </c>
      <c r="AI2098" s="200">
        <f t="shared" si="14"/>
        <v>0</v>
      </c>
      <c r="AJ2098" s="200">
        <f t="shared" ref="AJ2098:AJ2103" si="10610">SUM(AK2098:AR2098)</f>
        <v>0</v>
      </c>
      <c r="AK2098" s="201">
        <f t="shared" ref="AK2098:AS2098" si="10605">countif($D2098,"*"&amp;AK$2&amp;"*")</f>
        <v>0</v>
      </c>
      <c r="AL2098" s="201">
        <f t="shared" si="10605"/>
        <v>0</v>
      </c>
      <c r="AM2098" s="201">
        <f t="shared" si="10605"/>
        <v>0</v>
      </c>
      <c r="AN2098" s="201">
        <f t="shared" si="10605"/>
        <v>0</v>
      </c>
      <c r="AO2098" s="201">
        <f t="shared" si="10605"/>
        <v>0</v>
      </c>
      <c r="AP2098" s="201">
        <f t="shared" si="10605"/>
        <v>0</v>
      </c>
      <c r="AQ2098" s="201">
        <f t="shared" si="10605"/>
        <v>0</v>
      </c>
      <c r="AR2098" s="200">
        <f t="shared" si="10605"/>
        <v>0</v>
      </c>
      <c r="AS2098" s="200">
        <f t="shared" si="10605"/>
        <v>0</v>
      </c>
      <c r="AT2098" s="173">
        <v>0.0</v>
      </c>
      <c r="AU2098" s="200">
        <f t="shared" ref="AU2098:AX2098" si="10606">countif($D2098,"*"&amp;AU$2&amp;"*")</f>
        <v>0</v>
      </c>
      <c r="AV2098" s="200">
        <f t="shared" si="10606"/>
        <v>1</v>
      </c>
      <c r="AW2098" s="200">
        <f t="shared" si="10606"/>
        <v>0</v>
      </c>
      <c r="AX2098" s="200">
        <f t="shared" si="10606"/>
        <v>0</v>
      </c>
      <c r="AY2098" s="202">
        <v>0.0</v>
      </c>
      <c r="AZ2098" s="200"/>
      <c r="BA2098" s="171" t="str">
        <f t="shared" si="18"/>
        <v/>
      </c>
      <c r="BB2098" s="171" t="str">
        <f t="shared" si="19"/>
        <v>Code</v>
      </c>
      <c r="BC2098" s="171" t="str">
        <f t="shared" si="20"/>
        <v/>
      </c>
      <c r="BD2098" s="171" t="str">
        <f t="shared" si="21"/>
        <v/>
      </c>
      <c r="BE2098" s="171" t="str">
        <f t="shared" si="22"/>
        <v/>
      </c>
      <c r="BF2098" s="171" t="str">
        <f t="shared" si="23"/>
        <v>Code</v>
      </c>
    </row>
    <row r="2099">
      <c r="A2099" s="171">
        <f t="array" ref="A2099">XLOOKUP(C2099,FSE!A:A,FSE!C:C,"XXXXX",0,1)</f>
        <v>2015</v>
      </c>
      <c r="B2099" s="213" t="s">
        <v>5676</v>
      </c>
      <c r="C2099" s="214">
        <v>732.0</v>
      </c>
      <c r="D2099" s="215" t="s">
        <v>6579</v>
      </c>
      <c r="E2099" s="197" t="str">
        <f t="array" ref="E2099">XLOOKUP(C2099,FSE!A:A,FSE!Z:Z,"XXXXX",0,1)</f>
        <v>Publicly Available (2)</v>
      </c>
      <c r="F2099" s="213" t="s">
        <v>3394</v>
      </c>
      <c r="G2099" s="163" t="str">
        <f t="array" ref="G2099">IF(B2099="ICSE",IF(COUNTIFS(B:B,B2099,C:C,C2099)=XLOOKUP(C2099,ICSE!A:A,ICSE!AA:AA,"ERROR",0,1),"OK","ERROR"),IF(B2099="FSE",IF(COUNTIFS(B:B,B2099,C:C,C2099)=XLOOKUP(C2099,FSE!A:A,FSE!AA:AA,"ERROR",0,1),"OK","ERROR")))</f>
        <v>OK</v>
      </c>
      <c r="H2099" s="199">
        <f t="shared" ref="H2099:O2099" si="10607">countif($D2099,"*"&amp;H$2&amp;"*")</f>
        <v>0</v>
      </c>
      <c r="I2099" s="200">
        <f t="shared" si="10607"/>
        <v>0</v>
      </c>
      <c r="J2099" s="200">
        <f t="shared" si="10607"/>
        <v>0</v>
      </c>
      <c r="K2099" s="200">
        <f t="shared" si="10607"/>
        <v>0</v>
      </c>
      <c r="L2099" s="200">
        <f t="shared" si="10607"/>
        <v>0</v>
      </c>
      <c r="M2099" s="200">
        <f t="shared" si="10607"/>
        <v>0</v>
      </c>
      <c r="N2099" s="200">
        <f t="shared" si="10607"/>
        <v>0</v>
      </c>
      <c r="O2099" s="200">
        <f t="shared" si="10607"/>
        <v>0</v>
      </c>
      <c r="P2099" s="200">
        <f t="shared" si="9"/>
        <v>1</v>
      </c>
      <c r="Q2099" s="200">
        <f t="shared" ref="Q2099:AC2099" si="10608">countif($D2099,"*"&amp;Q$2&amp;"*")</f>
        <v>0</v>
      </c>
      <c r="R2099" s="200">
        <f t="shared" si="10608"/>
        <v>0</v>
      </c>
      <c r="S2099" s="200">
        <f t="shared" si="10608"/>
        <v>0</v>
      </c>
      <c r="T2099" s="200">
        <f t="shared" si="10608"/>
        <v>0</v>
      </c>
      <c r="U2099" s="200">
        <f t="shared" si="10608"/>
        <v>0</v>
      </c>
      <c r="V2099" s="200">
        <f t="shared" si="10608"/>
        <v>0</v>
      </c>
      <c r="W2099" s="200">
        <f t="shared" si="10608"/>
        <v>0</v>
      </c>
      <c r="X2099" s="200">
        <f t="shared" si="10608"/>
        <v>0</v>
      </c>
      <c r="Y2099" s="200">
        <f t="shared" si="10608"/>
        <v>0</v>
      </c>
      <c r="Z2099" s="200">
        <f t="shared" si="10608"/>
        <v>0</v>
      </c>
      <c r="AA2099" s="200">
        <f t="shared" si="10608"/>
        <v>0</v>
      </c>
      <c r="AB2099" s="200">
        <f t="shared" si="10608"/>
        <v>0</v>
      </c>
      <c r="AC2099" s="200">
        <f t="shared" si="10608"/>
        <v>0</v>
      </c>
      <c r="AD2099" s="200">
        <f t="shared" si="11"/>
        <v>0</v>
      </c>
      <c r="AE2099" s="200">
        <f t="shared" ref="AE2099:AG2099" si="10609">countif($D2099,"*"&amp;AE$2&amp;"*")</f>
        <v>0</v>
      </c>
      <c r="AF2099" s="200">
        <f t="shared" si="10609"/>
        <v>0</v>
      </c>
      <c r="AG2099" s="200">
        <f t="shared" si="10609"/>
        <v>0</v>
      </c>
      <c r="AH2099" s="171">
        <f t="shared" si="13"/>
        <v>0</v>
      </c>
      <c r="AI2099" s="200">
        <f t="shared" si="14"/>
        <v>0</v>
      </c>
      <c r="AJ2099" s="200">
        <f t="shared" si="10610"/>
        <v>0</v>
      </c>
      <c r="AK2099" s="201">
        <f t="shared" ref="AK2099:AS2099" si="10611">countif($D2099,"*"&amp;AK$2&amp;"*")</f>
        <v>0</v>
      </c>
      <c r="AL2099" s="201">
        <f t="shared" si="10611"/>
        <v>0</v>
      </c>
      <c r="AM2099" s="201">
        <f t="shared" si="10611"/>
        <v>0</v>
      </c>
      <c r="AN2099" s="201">
        <f t="shared" si="10611"/>
        <v>0</v>
      </c>
      <c r="AO2099" s="201">
        <f t="shared" si="10611"/>
        <v>0</v>
      </c>
      <c r="AP2099" s="201">
        <f t="shared" si="10611"/>
        <v>0</v>
      </c>
      <c r="AQ2099" s="201">
        <f t="shared" si="10611"/>
        <v>0</v>
      </c>
      <c r="AR2099" s="200">
        <f t="shared" si="10611"/>
        <v>0</v>
      </c>
      <c r="AS2099" s="200">
        <f t="shared" si="10611"/>
        <v>0</v>
      </c>
      <c r="AT2099" s="173">
        <v>0.0</v>
      </c>
      <c r="AU2099" s="200">
        <f t="shared" ref="AU2099:AX2099" si="10612">countif($D2099,"*"&amp;AU$2&amp;"*")</f>
        <v>0</v>
      </c>
      <c r="AV2099" s="200">
        <f t="shared" si="10612"/>
        <v>1</v>
      </c>
      <c r="AW2099" s="200">
        <f t="shared" si="10612"/>
        <v>0</v>
      </c>
      <c r="AX2099" s="200">
        <f t="shared" si="10612"/>
        <v>0</v>
      </c>
      <c r="AY2099" s="202">
        <v>0.0</v>
      </c>
      <c r="AZ2099" s="200"/>
      <c r="BA2099" s="171" t="str">
        <f t="shared" si="18"/>
        <v/>
      </c>
      <c r="BB2099" s="171" t="str">
        <f t="shared" si="19"/>
        <v>Code</v>
      </c>
      <c r="BC2099" s="171" t="str">
        <f t="shared" si="20"/>
        <v/>
      </c>
      <c r="BD2099" s="171" t="str">
        <f t="shared" si="21"/>
        <v/>
      </c>
      <c r="BE2099" s="171" t="str">
        <f t="shared" si="22"/>
        <v/>
      </c>
      <c r="BF2099" s="171" t="str">
        <f t="shared" si="23"/>
        <v>Code</v>
      </c>
    </row>
    <row r="2100">
      <c r="A2100" s="171">
        <f t="array" ref="A2100">XLOOKUP(C2100,FSE!A:A,FSE!C:C,"XXXXX",0,1)</f>
        <v>2015</v>
      </c>
      <c r="B2100" s="213" t="s">
        <v>5676</v>
      </c>
      <c r="C2100" s="214">
        <v>734.0</v>
      </c>
      <c r="D2100" s="215" t="s">
        <v>3618</v>
      </c>
      <c r="E2100" s="197" t="str">
        <f t="array" ref="E2100">XLOOKUP(C2100,FSE!A:A,FSE!Z:Z,"XXXXX",0,1)</f>
        <v>Not Available (1)</v>
      </c>
      <c r="F2100" s="213" t="s">
        <v>3395</v>
      </c>
      <c r="G2100" s="163" t="str">
        <f t="array" ref="G2100">IF(B2100="ICSE",IF(COUNTIFS(B:B,B2100,C:C,C2100)=XLOOKUP(C2100,ICSE!A:A,ICSE!AA:AA,"ERROR",0,1),"OK","ERROR"),IF(B2100="FSE",IF(COUNTIFS(B:B,B2100,C:C,C2100)=XLOOKUP(C2100,FSE!A:A,FSE!AA:AA,"ERROR",0,1),"OK","ERROR")))</f>
        <v>OK</v>
      </c>
      <c r="H2100" s="199">
        <f t="shared" ref="H2100:O2100" si="10613">countif($D2100,"*"&amp;H$2&amp;"*")</f>
        <v>0</v>
      </c>
      <c r="I2100" s="200">
        <f t="shared" si="10613"/>
        <v>0</v>
      </c>
      <c r="J2100" s="200">
        <f t="shared" si="10613"/>
        <v>0</v>
      </c>
      <c r="K2100" s="200">
        <f t="shared" si="10613"/>
        <v>0</v>
      </c>
      <c r="L2100" s="200">
        <f t="shared" si="10613"/>
        <v>0</v>
      </c>
      <c r="M2100" s="200">
        <f t="shared" si="10613"/>
        <v>0</v>
      </c>
      <c r="N2100" s="200">
        <f t="shared" si="10613"/>
        <v>0</v>
      </c>
      <c r="O2100" s="200">
        <f t="shared" si="10613"/>
        <v>0</v>
      </c>
      <c r="P2100" s="200">
        <f t="shared" si="9"/>
        <v>0</v>
      </c>
      <c r="Q2100" s="200">
        <f t="shared" ref="Q2100:AC2100" si="10614">countif($D2100,"*"&amp;Q$2&amp;"*")</f>
        <v>0</v>
      </c>
      <c r="R2100" s="200">
        <f t="shared" si="10614"/>
        <v>0</v>
      </c>
      <c r="S2100" s="200">
        <f t="shared" si="10614"/>
        <v>0</v>
      </c>
      <c r="T2100" s="200">
        <f t="shared" si="10614"/>
        <v>0</v>
      </c>
      <c r="U2100" s="200">
        <f t="shared" si="10614"/>
        <v>0</v>
      </c>
      <c r="V2100" s="200">
        <f t="shared" si="10614"/>
        <v>0</v>
      </c>
      <c r="W2100" s="200">
        <f t="shared" si="10614"/>
        <v>0</v>
      </c>
      <c r="X2100" s="200">
        <f t="shared" si="10614"/>
        <v>0</v>
      </c>
      <c r="Y2100" s="200">
        <f t="shared" si="10614"/>
        <v>0</v>
      </c>
      <c r="Z2100" s="200">
        <f t="shared" si="10614"/>
        <v>0</v>
      </c>
      <c r="AA2100" s="200">
        <f t="shared" si="10614"/>
        <v>1</v>
      </c>
      <c r="AB2100" s="200">
        <f t="shared" si="10614"/>
        <v>0</v>
      </c>
      <c r="AC2100" s="200">
        <f t="shared" si="10614"/>
        <v>0</v>
      </c>
      <c r="AD2100" s="200">
        <f t="shared" si="11"/>
        <v>0</v>
      </c>
      <c r="AE2100" s="200">
        <f t="shared" ref="AE2100:AG2100" si="10615">countif($D2100,"*"&amp;AE$2&amp;"*")</f>
        <v>0</v>
      </c>
      <c r="AF2100" s="200">
        <f t="shared" si="10615"/>
        <v>0</v>
      </c>
      <c r="AG2100" s="200">
        <f t="shared" si="10615"/>
        <v>0</v>
      </c>
      <c r="AH2100" s="171">
        <f t="shared" si="13"/>
        <v>0</v>
      </c>
      <c r="AI2100" s="200">
        <f t="shared" si="14"/>
        <v>0</v>
      </c>
      <c r="AJ2100" s="200">
        <f t="shared" si="10610"/>
        <v>0</v>
      </c>
      <c r="AK2100" s="201">
        <f t="shared" ref="AK2100:AS2100" si="10616">countif($D2100,"*"&amp;AK$2&amp;"*")</f>
        <v>0</v>
      </c>
      <c r="AL2100" s="201">
        <f t="shared" si="10616"/>
        <v>0</v>
      </c>
      <c r="AM2100" s="201">
        <f t="shared" si="10616"/>
        <v>0</v>
      </c>
      <c r="AN2100" s="201">
        <f t="shared" si="10616"/>
        <v>0</v>
      </c>
      <c r="AO2100" s="201">
        <f t="shared" si="10616"/>
        <v>0</v>
      </c>
      <c r="AP2100" s="201">
        <f t="shared" si="10616"/>
        <v>0</v>
      </c>
      <c r="AQ2100" s="201">
        <f t="shared" si="10616"/>
        <v>0</v>
      </c>
      <c r="AR2100" s="200">
        <f t="shared" si="10616"/>
        <v>0</v>
      </c>
      <c r="AS2100" s="200">
        <f t="shared" si="10616"/>
        <v>0</v>
      </c>
      <c r="AT2100" s="173">
        <v>0.0</v>
      </c>
      <c r="AU2100" s="200">
        <f t="shared" ref="AU2100:AX2100" si="10617">countif($D2100,"*"&amp;AU$2&amp;"*")</f>
        <v>0</v>
      </c>
      <c r="AV2100" s="200">
        <f t="shared" si="10617"/>
        <v>0</v>
      </c>
      <c r="AW2100" s="200">
        <f t="shared" si="10617"/>
        <v>0</v>
      </c>
      <c r="AX2100" s="200">
        <f t="shared" si="10617"/>
        <v>0</v>
      </c>
      <c r="AY2100" s="202">
        <v>0.0</v>
      </c>
      <c r="AZ2100" s="200"/>
      <c r="BA2100" s="171" t="str">
        <f t="shared" si="18"/>
        <v/>
      </c>
      <c r="BB2100" s="171" t="str">
        <f t="shared" si="19"/>
        <v/>
      </c>
      <c r="BC2100" s="171" t="str">
        <f t="shared" si="20"/>
        <v>General-purpose</v>
      </c>
      <c r="BD2100" s="171" t="str">
        <f t="shared" si="21"/>
        <v/>
      </c>
      <c r="BE2100" s="171" t="str">
        <f t="shared" si="22"/>
        <v/>
      </c>
      <c r="BF2100" s="171" t="str">
        <f t="shared" si="23"/>
        <v>General-purpose</v>
      </c>
    </row>
    <row r="2101">
      <c r="A2101" s="171">
        <f t="array" ref="A2101">XLOOKUP(C2101,FSE!A:A,FSE!C:C,"XXXXX",0,1)</f>
        <v>2015</v>
      </c>
      <c r="B2101" s="213" t="s">
        <v>5676</v>
      </c>
      <c r="C2101" s="219">
        <v>735.0</v>
      </c>
      <c r="D2101" s="217" t="s">
        <v>6580</v>
      </c>
      <c r="E2101" s="197" t="str">
        <f t="array" ref="E2101">XLOOKUP(C2101,FSE!A:A,FSE!Z:Z,"XXXXX",0,1)</f>
        <v>Publicly Available (2)</v>
      </c>
      <c r="F2101" s="213" t="s">
        <v>3394</v>
      </c>
      <c r="G2101" s="163" t="str">
        <f t="array" ref="G2101">IF(B2101="ICSE",IF(COUNTIFS(B:B,B2101,C:C,C2101)=XLOOKUP(C2101,ICSE!A:A,ICSE!AA:AA,"ERROR",0,1),"OK","ERROR"),IF(B2101="FSE",IF(COUNTIFS(B:B,B2101,C:C,C2101)=XLOOKUP(C2101,FSE!A:A,FSE!AA:AA,"ERROR",0,1),"OK","ERROR")))</f>
        <v>OK</v>
      </c>
      <c r="H2101" s="199">
        <f t="shared" ref="H2101:O2101" si="10618">countif($D2101,"*"&amp;H$2&amp;"*")</f>
        <v>0</v>
      </c>
      <c r="I2101" s="200">
        <f t="shared" si="10618"/>
        <v>0</v>
      </c>
      <c r="J2101" s="200">
        <f t="shared" si="10618"/>
        <v>0</v>
      </c>
      <c r="K2101" s="200">
        <f t="shared" si="10618"/>
        <v>0</v>
      </c>
      <c r="L2101" s="200">
        <f t="shared" si="10618"/>
        <v>0</v>
      </c>
      <c r="M2101" s="200">
        <f t="shared" si="10618"/>
        <v>0</v>
      </c>
      <c r="N2101" s="200">
        <f t="shared" si="10618"/>
        <v>0</v>
      </c>
      <c r="O2101" s="200">
        <f t="shared" si="10618"/>
        <v>0</v>
      </c>
      <c r="P2101" s="200">
        <f t="shared" si="9"/>
        <v>0</v>
      </c>
      <c r="Q2101" s="200">
        <f t="shared" ref="Q2101:AC2101" si="10619">countif($D2101,"*"&amp;Q$2&amp;"*")</f>
        <v>0</v>
      </c>
      <c r="R2101" s="200">
        <f t="shared" si="10619"/>
        <v>0</v>
      </c>
      <c r="S2101" s="200">
        <f t="shared" si="10619"/>
        <v>0</v>
      </c>
      <c r="T2101" s="200">
        <f t="shared" si="10619"/>
        <v>0</v>
      </c>
      <c r="U2101" s="200">
        <f t="shared" si="10619"/>
        <v>0</v>
      </c>
      <c r="V2101" s="200">
        <f t="shared" si="10619"/>
        <v>0</v>
      </c>
      <c r="W2101" s="200">
        <f t="shared" si="10619"/>
        <v>0</v>
      </c>
      <c r="X2101" s="200">
        <f t="shared" si="10619"/>
        <v>0</v>
      </c>
      <c r="Y2101" s="200">
        <f t="shared" si="10619"/>
        <v>0</v>
      </c>
      <c r="Z2101" s="200">
        <f t="shared" si="10619"/>
        <v>0</v>
      </c>
      <c r="AA2101" s="200">
        <f t="shared" si="10619"/>
        <v>0</v>
      </c>
      <c r="AB2101" s="200">
        <f t="shared" si="10619"/>
        <v>0</v>
      </c>
      <c r="AC2101" s="200">
        <f t="shared" si="10619"/>
        <v>0</v>
      </c>
      <c r="AD2101" s="200">
        <f t="shared" si="11"/>
        <v>0</v>
      </c>
      <c r="AE2101" s="200">
        <f t="shared" ref="AE2101:AG2101" si="10620">countif($D2101,"*"&amp;AE$2&amp;"*")</f>
        <v>0</v>
      </c>
      <c r="AF2101" s="200">
        <f t="shared" si="10620"/>
        <v>0</v>
      </c>
      <c r="AG2101" s="200">
        <f t="shared" si="10620"/>
        <v>0</v>
      </c>
      <c r="AH2101" s="171">
        <f t="shared" si="13"/>
        <v>1</v>
      </c>
      <c r="AI2101" s="200">
        <f t="shared" si="14"/>
        <v>0</v>
      </c>
      <c r="AJ2101" s="200">
        <f t="shared" si="10610"/>
        <v>0</v>
      </c>
      <c r="AK2101" s="201">
        <f t="shared" ref="AK2101:AS2101" si="10621">countif($D2101,"*"&amp;AK$2&amp;"*")</f>
        <v>0</v>
      </c>
      <c r="AL2101" s="201">
        <f t="shared" si="10621"/>
        <v>0</v>
      </c>
      <c r="AM2101" s="201">
        <f t="shared" si="10621"/>
        <v>0</v>
      </c>
      <c r="AN2101" s="201">
        <f t="shared" si="10621"/>
        <v>0</v>
      </c>
      <c r="AO2101" s="201">
        <f t="shared" si="10621"/>
        <v>0</v>
      </c>
      <c r="AP2101" s="201">
        <f t="shared" si="10621"/>
        <v>0</v>
      </c>
      <c r="AQ2101" s="201">
        <f t="shared" si="10621"/>
        <v>0</v>
      </c>
      <c r="AR2101" s="200">
        <f t="shared" si="10621"/>
        <v>0</v>
      </c>
      <c r="AS2101" s="200">
        <f t="shared" si="10621"/>
        <v>1</v>
      </c>
      <c r="AT2101" s="173">
        <v>0.0</v>
      </c>
      <c r="AU2101" s="200">
        <f t="shared" ref="AU2101:AX2101" si="10622">countif($D2101,"*"&amp;AU$2&amp;"*")</f>
        <v>0</v>
      </c>
      <c r="AV2101" s="200">
        <f t="shared" si="10622"/>
        <v>0</v>
      </c>
      <c r="AW2101" s="200">
        <f t="shared" si="10622"/>
        <v>0</v>
      </c>
      <c r="AX2101" s="200">
        <f t="shared" si="10622"/>
        <v>0</v>
      </c>
      <c r="AY2101" s="202">
        <v>0.0</v>
      </c>
      <c r="AZ2101" s="200"/>
      <c r="BA2101" s="171" t="str">
        <f t="shared" si="18"/>
        <v/>
      </c>
      <c r="BB2101" s="171" t="str">
        <f t="shared" si="19"/>
        <v/>
      </c>
      <c r="BC2101" s="171" t="str">
        <f t="shared" si="20"/>
        <v/>
      </c>
      <c r="BD2101" s="171" t="str">
        <f t="shared" si="21"/>
        <v/>
      </c>
      <c r="BE2101" s="171" t="str">
        <f t="shared" si="22"/>
        <v>Others</v>
      </c>
      <c r="BF2101" s="171" t="str">
        <f t="shared" si="23"/>
        <v>Others</v>
      </c>
    </row>
    <row r="2102">
      <c r="A2102" s="171">
        <f t="array" ref="A2102">XLOOKUP(C2102,FSE!A:A,FSE!C:C,"XXXXX",0,1)</f>
        <v>2015</v>
      </c>
      <c r="B2102" s="213" t="s">
        <v>5676</v>
      </c>
      <c r="C2102" s="214">
        <v>735.0</v>
      </c>
      <c r="D2102" s="215" t="s">
        <v>6581</v>
      </c>
      <c r="E2102" s="197" t="str">
        <f t="array" ref="E2102">XLOOKUP(C2102,FSE!A:A,FSE!Z:Z,"XXXXX",0,1)</f>
        <v>Publicly Available (2)</v>
      </c>
      <c r="F2102" s="213" t="s">
        <v>3394</v>
      </c>
      <c r="G2102" s="163" t="str">
        <f t="array" ref="G2102">IF(B2102="ICSE",IF(COUNTIFS(B:B,B2102,C:C,C2102)=XLOOKUP(C2102,ICSE!A:A,ICSE!AA:AA,"ERROR",0,1),"OK","ERROR"),IF(B2102="FSE",IF(COUNTIFS(B:B,B2102,C:C,C2102)=XLOOKUP(C2102,FSE!A:A,FSE!AA:AA,"ERROR",0,1),"OK","ERROR")))</f>
        <v>OK</v>
      </c>
      <c r="H2102" s="199">
        <f t="shared" ref="H2102:O2102" si="10623">countif($D2102,"*"&amp;H$2&amp;"*")</f>
        <v>0</v>
      </c>
      <c r="I2102" s="200">
        <f t="shared" si="10623"/>
        <v>0</v>
      </c>
      <c r="J2102" s="200">
        <f t="shared" si="10623"/>
        <v>0</v>
      </c>
      <c r="K2102" s="200">
        <f t="shared" si="10623"/>
        <v>0</v>
      </c>
      <c r="L2102" s="200">
        <f t="shared" si="10623"/>
        <v>0</v>
      </c>
      <c r="M2102" s="200">
        <f t="shared" si="10623"/>
        <v>0</v>
      </c>
      <c r="N2102" s="200">
        <f t="shared" si="10623"/>
        <v>0</v>
      </c>
      <c r="O2102" s="200">
        <f t="shared" si="10623"/>
        <v>0</v>
      </c>
      <c r="P2102" s="200">
        <f t="shared" si="9"/>
        <v>1</v>
      </c>
      <c r="Q2102" s="200">
        <f t="shared" ref="Q2102:AC2102" si="10624">countif($D2102,"*"&amp;Q$2&amp;"*")</f>
        <v>0</v>
      </c>
      <c r="R2102" s="200">
        <f t="shared" si="10624"/>
        <v>0</v>
      </c>
      <c r="S2102" s="200">
        <f t="shared" si="10624"/>
        <v>0</v>
      </c>
      <c r="T2102" s="200">
        <f t="shared" si="10624"/>
        <v>0</v>
      </c>
      <c r="U2102" s="200">
        <f t="shared" si="10624"/>
        <v>0</v>
      </c>
      <c r="V2102" s="200">
        <f t="shared" si="10624"/>
        <v>0</v>
      </c>
      <c r="W2102" s="200">
        <f t="shared" si="10624"/>
        <v>0</v>
      </c>
      <c r="X2102" s="200">
        <f t="shared" si="10624"/>
        <v>0</v>
      </c>
      <c r="Y2102" s="200">
        <f t="shared" si="10624"/>
        <v>0</v>
      </c>
      <c r="Z2102" s="200">
        <f t="shared" si="10624"/>
        <v>0</v>
      </c>
      <c r="AA2102" s="200">
        <f t="shared" si="10624"/>
        <v>0</v>
      </c>
      <c r="AB2102" s="200">
        <f t="shared" si="10624"/>
        <v>0</v>
      </c>
      <c r="AC2102" s="200">
        <f t="shared" si="10624"/>
        <v>0</v>
      </c>
      <c r="AD2102" s="200">
        <f t="shared" si="11"/>
        <v>0</v>
      </c>
      <c r="AE2102" s="200">
        <f t="shared" ref="AE2102:AG2102" si="10625">countif($D2102,"*"&amp;AE$2&amp;"*")</f>
        <v>0</v>
      </c>
      <c r="AF2102" s="200">
        <f t="shared" si="10625"/>
        <v>0</v>
      </c>
      <c r="AG2102" s="200">
        <f t="shared" si="10625"/>
        <v>0</v>
      </c>
      <c r="AH2102" s="171">
        <f t="shared" si="13"/>
        <v>0</v>
      </c>
      <c r="AI2102" s="200">
        <f t="shared" si="14"/>
        <v>0</v>
      </c>
      <c r="AJ2102" s="200">
        <f t="shared" si="10610"/>
        <v>0</v>
      </c>
      <c r="AK2102" s="201">
        <f t="shared" ref="AK2102:AS2102" si="10626">countif($D2102,"*"&amp;AK$2&amp;"*")</f>
        <v>0</v>
      </c>
      <c r="AL2102" s="201">
        <f t="shared" si="10626"/>
        <v>0</v>
      </c>
      <c r="AM2102" s="201">
        <f t="shared" si="10626"/>
        <v>0</v>
      </c>
      <c r="AN2102" s="201">
        <f t="shared" si="10626"/>
        <v>0</v>
      </c>
      <c r="AO2102" s="201">
        <f t="shared" si="10626"/>
        <v>0</v>
      </c>
      <c r="AP2102" s="201">
        <f t="shared" si="10626"/>
        <v>0</v>
      </c>
      <c r="AQ2102" s="201">
        <f t="shared" si="10626"/>
        <v>0</v>
      </c>
      <c r="AR2102" s="200">
        <f t="shared" si="10626"/>
        <v>0</v>
      </c>
      <c r="AS2102" s="200">
        <f t="shared" si="10626"/>
        <v>0</v>
      </c>
      <c r="AT2102" s="173">
        <v>0.0</v>
      </c>
      <c r="AU2102" s="200">
        <f t="shared" ref="AU2102:AX2102" si="10627">countif($D2102,"*"&amp;AU$2&amp;"*")</f>
        <v>0</v>
      </c>
      <c r="AV2102" s="200">
        <f t="shared" si="10627"/>
        <v>1</v>
      </c>
      <c r="AW2102" s="200">
        <f t="shared" si="10627"/>
        <v>0</v>
      </c>
      <c r="AX2102" s="200">
        <f t="shared" si="10627"/>
        <v>0</v>
      </c>
      <c r="AY2102" s="202">
        <v>0.0</v>
      </c>
      <c r="AZ2102" s="200"/>
      <c r="BA2102" s="171" t="str">
        <f t="shared" si="18"/>
        <v/>
      </c>
      <c r="BB2102" s="171" t="str">
        <f t="shared" si="19"/>
        <v>Code</v>
      </c>
      <c r="BC2102" s="171" t="str">
        <f t="shared" si="20"/>
        <v/>
      </c>
      <c r="BD2102" s="171" t="str">
        <f t="shared" si="21"/>
        <v/>
      </c>
      <c r="BE2102" s="171" t="str">
        <f t="shared" si="22"/>
        <v/>
      </c>
      <c r="BF2102" s="171" t="str">
        <f t="shared" si="23"/>
        <v>Code</v>
      </c>
    </row>
    <row r="2103">
      <c r="A2103" s="171">
        <f t="array" ref="A2103">XLOOKUP(C2103,FSE!A:A,FSE!C:C,"XXXXX",0,1)</f>
        <v>2015</v>
      </c>
      <c r="B2103" s="213" t="s">
        <v>5676</v>
      </c>
      <c r="C2103" s="214">
        <v>736.0</v>
      </c>
      <c r="D2103" s="215" t="s">
        <v>6582</v>
      </c>
      <c r="E2103" s="197" t="str">
        <f t="array" ref="E2103">XLOOKUP(C2103,FSE!A:A,FSE!Z:Z,"XXXXX",0,1)</f>
        <v>Publicly Available (2)</v>
      </c>
      <c r="F2103" s="213" t="s">
        <v>3394</v>
      </c>
      <c r="G2103" s="163" t="str">
        <f t="array" ref="G2103">IF(B2103="ICSE",IF(COUNTIFS(B:B,B2103,C:C,C2103)=XLOOKUP(C2103,ICSE!A:A,ICSE!AA:AA,"ERROR",0,1),"OK","ERROR"),IF(B2103="FSE",IF(COUNTIFS(B:B,B2103,C:C,C2103)=XLOOKUP(C2103,FSE!A:A,FSE!AA:AA,"ERROR",0,1),"OK","ERROR")))</f>
        <v>OK</v>
      </c>
      <c r="H2103" s="199">
        <f t="shared" ref="H2103:O2103" si="10628">countif($D2103,"*"&amp;H$2&amp;"*")</f>
        <v>0</v>
      </c>
      <c r="I2103" s="200">
        <f t="shared" si="10628"/>
        <v>0</v>
      </c>
      <c r="J2103" s="200">
        <f t="shared" si="10628"/>
        <v>0</v>
      </c>
      <c r="K2103" s="200">
        <f t="shared" si="10628"/>
        <v>0</v>
      </c>
      <c r="L2103" s="200">
        <f t="shared" si="10628"/>
        <v>0</v>
      </c>
      <c r="M2103" s="200">
        <f t="shared" si="10628"/>
        <v>0</v>
      </c>
      <c r="N2103" s="200">
        <f t="shared" si="10628"/>
        <v>0</v>
      </c>
      <c r="O2103" s="200">
        <f t="shared" si="10628"/>
        <v>0</v>
      </c>
      <c r="P2103" s="200">
        <f t="shared" si="9"/>
        <v>1</v>
      </c>
      <c r="Q2103" s="200">
        <f t="shared" ref="Q2103:AC2103" si="10629">countif($D2103,"*"&amp;Q$2&amp;"*")</f>
        <v>0</v>
      </c>
      <c r="R2103" s="200">
        <f t="shared" si="10629"/>
        <v>0</v>
      </c>
      <c r="S2103" s="200">
        <f t="shared" si="10629"/>
        <v>0</v>
      </c>
      <c r="T2103" s="200">
        <f t="shared" si="10629"/>
        <v>0</v>
      </c>
      <c r="U2103" s="200">
        <f t="shared" si="10629"/>
        <v>0</v>
      </c>
      <c r="V2103" s="200">
        <f t="shared" si="10629"/>
        <v>0</v>
      </c>
      <c r="W2103" s="200">
        <f t="shared" si="10629"/>
        <v>0</v>
      </c>
      <c r="X2103" s="200">
        <f t="shared" si="10629"/>
        <v>0</v>
      </c>
      <c r="Y2103" s="200">
        <f t="shared" si="10629"/>
        <v>0</v>
      </c>
      <c r="Z2103" s="200">
        <f t="shared" si="10629"/>
        <v>0</v>
      </c>
      <c r="AA2103" s="200">
        <f t="shared" si="10629"/>
        <v>0</v>
      </c>
      <c r="AB2103" s="200">
        <f t="shared" si="10629"/>
        <v>0</v>
      </c>
      <c r="AC2103" s="200">
        <f t="shared" si="10629"/>
        <v>0</v>
      </c>
      <c r="AD2103" s="200">
        <f t="shared" si="11"/>
        <v>0</v>
      </c>
      <c r="AE2103" s="200">
        <f t="shared" ref="AE2103:AG2103" si="10630">countif($D2103,"*"&amp;AE$2&amp;"*")</f>
        <v>0</v>
      </c>
      <c r="AF2103" s="200">
        <f t="shared" si="10630"/>
        <v>0</v>
      </c>
      <c r="AG2103" s="200">
        <f t="shared" si="10630"/>
        <v>0</v>
      </c>
      <c r="AH2103" s="171">
        <f t="shared" si="13"/>
        <v>0</v>
      </c>
      <c r="AI2103" s="200">
        <f t="shared" si="14"/>
        <v>0</v>
      </c>
      <c r="AJ2103" s="200">
        <f t="shared" si="10610"/>
        <v>0</v>
      </c>
      <c r="AK2103" s="201">
        <f t="shared" ref="AK2103:AS2103" si="10631">countif($D2103,"*"&amp;AK$2&amp;"*")</f>
        <v>0</v>
      </c>
      <c r="AL2103" s="201">
        <f t="shared" si="10631"/>
        <v>0</v>
      </c>
      <c r="AM2103" s="201">
        <f t="shared" si="10631"/>
        <v>0</v>
      </c>
      <c r="AN2103" s="201">
        <f t="shared" si="10631"/>
        <v>0</v>
      </c>
      <c r="AO2103" s="201">
        <f t="shared" si="10631"/>
        <v>0</v>
      </c>
      <c r="AP2103" s="201">
        <f t="shared" si="10631"/>
        <v>0</v>
      </c>
      <c r="AQ2103" s="201">
        <f t="shared" si="10631"/>
        <v>0</v>
      </c>
      <c r="AR2103" s="200">
        <f t="shared" si="10631"/>
        <v>0</v>
      </c>
      <c r="AS2103" s="200">
        <f t="shared" si="10631"/>
        <v>0</v>
      </c>
      <c r="AT2103" s="173">
        <v>0.0</v>
      </c>
      <c r="AU2103" s="200">
        <f t="shared" ref="AU2103:AX2103" si="10632">countif($D2103,"*"&amp;AU$2&amp;"*")</f>
        <v>0</v>
      </c>
      <c r="AV2103" s="200">
        <f t="shared" si="10632"/>
        <v>1</v>
      </c>
      <c r="AW2103" s="200">
        <f t="shared" si="10632"/>
        <v>0</v>
      </c>
      <c r="AX2103" s="200">
        <f t="shared" si="10632"/>
        <v>0</v>
      </c>
      <c r="AY2103" s="202">
        <v>0.0</v>
      </c>
      <c r="AZ2103" s="200"/>
      <c r="BA2103" s="171" t="str">
        <f t="shared" si="18"/>
        <v/>
      </c>
      <c r="BB2103" s="171" t="str">
        <f t="shared" si="19"/>
        <v>Code</v>
      </c>
      <c r="BC2103" s="171" t="str">
        <f t="shared" si="20"/>
        <v/>
      </c>
      <c r="BD2103" s="171" t="str">
        <f t="shared" si="21"/>
        <v/>
      </c>
      <c r="BE2103" s="171" t="str">
        <f t="shared" si="22"/>
        <v/>
      </c>
      <c r="BF2103" s="171" t="str">
        <f t="shared" si="23"/>
        <v>Code</v>
      </c>
    </row>
    <row r="2104">
      <c r="A2104" s="213">
        <f t="array" ref="A2104">XLOOKUP(C2104,FSE!A:A,FSE!C:C,"XXXXX",0,1)</f>
        <v>2015</v>
      </c>
      <c r="B2104" s="213" t="s">
        <v>5676</v>
      </c>
      <c r="C2104" s="220">
        <v>736.0</v>
      </c>
      <c r="D2104" s="217" t="s">
        <v>6583</v>
      </c>
      <c r="E2104" s="221" t="str">
        <f t="array" ref="E2104">XLOOKUP(C2104,FSE!A:A,FSE!Z:Z,"XXXXX",0,1)</f>
        <v>Publicly Available (2)</v>
      </c>
      <c r="F2104" s="213" t="s">
        <v>3394</v>
      </c>
      <c r="G2104" s="163" t="str">
        <f t="array" ref="G2104">IF(B2104="ICSE",IF(COUNTIFS(B:B,B2104,C:C,C2104)=XLOOKUP(C2104,ICSE!A:A,ICSE!AA:AA,"ERROR",0,1),"OK","ERROR"),IF(B2104="FSE",IF(COUNTIFS(B:B,B2104,C:C,C2104)=XLOOKUP(C2104,FSE!A:A,FSE!AA:AA,"ERROR",0,1),"OK","ERROR")))</f>
        <v>OK</v>
      </c>
      <c r="H2104" s="199">
        <f t="shared" ref="H2104:O2104" si="10633">countif($D2104,"*"&amp;H$2&amp;"*")</f>
        <v>0</v>
      </c>
      <c r="I2104" s="200">
        <f t="shared" si="10633"/>
        <v>0</v>
      </c>
      <c r="J2104" s="200">
        <f t="shared" si="10633"/>
        <v>0</v>
      </c>
      <c r="K2104" s="200">
        <f t="shared" si="10633"/>
        <v>0</v>
      </c>
      <c r="L2104" s="200">
        <f t="shared" si="10633"/>
        <v>0</v>
      </c>
      <c r="M2104" s="200">
        <f t="shared" si="10633"/>
        <v>0</v>
      </c>
      <c r="N2104" s="200">
        <f t="shared" si="10633"/>
        <v>0</v>
      </c>
      <c r="O2104" s="200">
        <f t="shared" si="10633"/>
        <v>0</v>
      </c>
      <c r="P2104" s="200">
        <f t="shared" si="9"/>
        <v>0</v>
      </c>
      <c r="Q2104" s="200">
        <f t="shared" ref="Q2104:AC2104" si="10634">countif($D2104,"*"&amp;Q$2&amp;"*")</f>
        <v>0</v>
      </c>
      <c r="R2104" s="200">
        <f t="shared" si="10634"/>
        <v>0</v>
      </c>
      <c r="S2104" s="200">
        <f t="shared" si="10634"/>
        <v>0</v>
      </c>
      <c r="T2104" s="200">
        <f t="shared" si="10634"/>
        <v>0</v>
      </c>
      <c r="U2104" s="200">
        <f t="shared" si="10634"/>
        <v>0</v>
      </c>
      <c r="V2104" s="200">
        <f t="shared" si="10634"/>
        <v>0</v>
      </c>
      <c r="W2104" s="200">
        <f t="shared" si="10634"/>
        <v>0</v>
      </c>
      <c r="X2104" s="200">
        <f t="shared" si="10634"/>
        <v>0</v>
      </c>
      <c r="Y2104" s="200">
        <f t="shared" si="10634"/>
        <v>0</v>
      </c>
      <c r="Z2104" s="200">
        <f t="shared" si="10634"/>
        <v>0</v>
      </c>
      <c r="AA2104" s="200">
        <f t="shared" si="10634"/>
        <v>0</v>
      </c>
      <c r="AB2104" s="200">
        <f t="shared" si="10634"/>
        <v>0</v>
      </c>
      <c r="AC2104" s="200">
        <f t="shared" si="10634"/>
        <v>0</v>
      </c>
      <c r="AD2104" s="222">
        <f t="shared" si="11"/>
        <v>1</v>
      </c>
      <c r="AE2104" s="200">
        <f t="shared" ref="AE2104:AG2104" si="10635">countif($D2104,"*"&amp;AE$2&amp;"*")</f>
        <v>0</v>
      </c>
      <c r="AF2104" s="200">
        <f t="shared" si="10635"/>
        <v>0</v>
      </c>
      <c r="AG2104" s="200">
        <f t="shared" si="10635"/>
        <v>0</v>
      </c>
      <c r="AH2104" s="171">
        <f t="shared" si="13"/>
        <v>0</v>
      </c>
      <c r="AI2104" s="200">
        <f t="shared" si="14"/>
        <v>0</v>
      </c>
      <c r="AJ2104" s="222">
        <f t="shared" ref="AJ2104:AJ2106" si="10641">SUM(AK2104:AQ2104)</f>
        <v>0</v>
      </c>
      <c r="AK2104" s="201">
        <f t="shared" ref="AK2104:AS2104" si="10636">countif($D2104,"*"&amp;AK$2&amp;"*")</f>
        <v>0</v>
      </c>
      <c r="AL2104" s="201">
        <f t="shared" si="10636"/>
        <v>0</v>
      </c>
      <c r="AM2104" s="201">
        <f t="shared" si="10636"/>
        <v>0</v>
      </c>
      <c r="AN2104" s="201">
        <f t="shared" si="10636"/>
        <v>0</v>
      </c>
      <c r="AO2104" s="201">
        <f t="shared" si="10636"/>
        <v>0</v>
      </c>
      <c r="AP2104" s="201">
        <f t="shared" si="10636"/>
        <v>0</v>
      </c>
      <c r="AQ2104" s="201">
        <f t="shared" si="10636"/>
        <v>0</v>
      </c>
      <c r="AR2104" s="227">
        <f t="shared" si="10636"/>
        <v>0</v>
      </c>
      <c r="AS2104" s="200">
        <f t="shared" si="10636"/>
        <v>1</v>
      </c>
      <c r="AT2104" s="228">
        <v>0.0</v>
      </c>
      <c r="AU2104" s="200">
        <f t="shared" ref="AU2104:AX2104" si="10637">countif($D2104,"*"&amp;AU$2&amp;"*")</f>
        <v>1</v>
      </c>
      <c r="AV2104" s="200">
        <f t="shared" si="10637"/>
        <v>0</v>
      </c>
      <c r="AW2104" s="200">
        <f t="shared" si="10637"/>
        <v>0</v>
      </c>
      <c r="AX2104" s="200">
        <f t="shared" si="10637"/>
        <v>0</v>
      </c>
      <c r="AY2104" s="202">
        <v>0.0</v>
      </c>
      <c r="AZ2104" s="200"/>
      <c r="BA2104" s="171" t="str">
        <f t="shared" si="18"/>
        <v/>
      </c>
      <c r="BB2104" s="171" t="str">
        <f t="shared" si="19"/>
        <v/>
      </c>
      <c r="BC2104" s="171" t="str">
        <f t="shared" si="20"/>
        <v/>
      </c>
      <c r="BD2104" s="171" t="str">
        <f t="shared" si="21"/>
        <v>Institutional</v>
      </c>
      <c r="BE2104" s="171" t="str">
        <f t="shared" si="22"/>
        <v/>
      </c>
      <c r="BF2104" s="171" t="str">
        <f t="shared" si="23"/>
        <v>Institutional</v>
      </c>
    </row>
    <row r="2105">
      <c r="A2105" s="171">
        <f t="array" ref="A2105">XLOOKUP(C2105,FSE!A:A,FSE!C:C,"XXXXX",0,1)</f>
        <v>2015</v>
      </c>
      <c r="B2105" s="213" t="s">
        <v>5676</v>
      </c>
      <c r="C2105" s="214">
        <v>737.0</v>
      </c>
      <c r="D2105" s="215" t="s">
        <v>3628</v>
      </c>
      <c r="E2105" s="197" t="str">
        <f t="array" ref="E2105">XLOOKUP(C2105,FSE!A:A,FSE!Z:Z,"XXXXX",0,1)</f>
        <v>Not Available (1)</v>
      </c>
      <c r="F2105" s="213" t="s">
        <v>3395</v>
      </c>
      <c r="G2105" s="163" t="str">
        <f t="array" ref="G2105">IF(B2105="ICSE",IF(COUNTIFS(B:B,B2105,C:C,C2105)=XLOOKUP(C2105,ICSE!A:A,ICSE!AA:AA,"ERROR",0,1),"OK","ERROR"),IF(B2105="FSE",IF(COUNTIFS(B:B,B2105,C:C,C2105)=XLOOKUP(C2105,FSE!A:A,FSE!AA:AA,"ERROR",0,1),"OK","ERROR")))</f>
        <v>OK</v>
      </c>
      <c r="H2105" s="199">
        <f t="shared" ref="H2105:O2105" si="10638">countif($D2105,"*"&amp;H$2&amp;"*")</f>
        <v>0</v>
      </c>
      <c r="I2105" s="200">
        <f t="shared" si="10638"/>
        <v>0</v>
      </c>
      <c r="J2105" s="200">
        <f t="shared" si="10638"/>
        <v>0</v>
      </c>
      <c r="K2105" s="200">
        <f t="shared" si="10638"/>
        <v>0</v>
      </c>
      <c r="L2105" s="200">
        <f t="shared" si="10638"/>
        <v>0</v>
      </c>
      <c r="M2105" s="200">
        <f t="shared" si="10638"/>
        <v>0</v>
      </c>
      <c r="N2105" s="200">
        <f t="shared" si="10638"/>
        <v>0</v>
      </c>
      <c r="O2105" s="200">
        <f t="shared" si="10638"/>
        <v>0</v>
      </c>
      <c r="P2105" s="200">
        <f t="shared" si="9"/>
        <v>0</v>
      </c>
      <c r="Q2105" s="200">
        <f t="shared" ref="Q2105:AC2105" si="10639">countif($D2105,"*"&amp;Q$2&amp;"*")</f>
        <v>0</v>
      </c>
      <c r="R2105" s="200">
        <f t="shared" si="10639"/>
        <v>0</v>
      </c>
      <c r="S2105" s="200">
        <f t="shared" si="10639"/>
        <v>0</v>
      </c>
      <c r="T2105" s="200">
        <f t="shared" si="10639"/>
        <v>0</v>
      </c>
      <c r="U2105" s="200">
        <f t="shared" si="10639"/>
        <v>0</v>
      </c>
      <c r="V2105" s="200">
        <f t="shared" si="10639"/>
        <v>0</v>
      </c>
      <c r="W2105" s="200">
        <f t="shared" si="10639"/>
        <v>0</v>
      </c>
      <c r="X2105" s="200">
        <f t="shared" si="10639"/>
        <v>0</v>
      </c>
      <c r="Y2105" s="200">
        <f t="shared" si="10639"/>
        <v>0</v>
      </c>
      <c r="Z2105" s="200">
        <f t="shared" si="10639"/>
        <v>0</v>
      </c>
      <c r="AA2105" s="200">
        <f t="shared" si="10639"/>
        <v>0</v>
      </c>
      <c r="AB2105" s="200">
        <f t="shared" si="10639"/>
        <v>0</v>
      </c>
      <c r="AC2105" s="200">
        <f t="shared" si="10639"/>
        <v>0</v>
      </c>
      <c r="AD2105" s="200">
        <f t="shared" si="11"/>
        <v>1</v>
      </c>
      <c r="AE2105" s="200">
        <f t="shared" ref="AE2105:AG2105" si="10640">countif($D2105,"*"&amp;AE$2&amp;"*")</f>
        <v>0</v>
      </c>
      <c r="AF2105" s="200">
        <f t="shared" si="10640"/>
        <v>0</v>
      </c>
      <c r="AG2105" s="200">
        <f t="shared" si="10640"/>
        <v>0</v>
      </c>
      <c r="AH2105" s="171">
        <f t="shared" si="13"/>
        <v>0</v>
      </c>
      <c r="AI2105" s="200">
        <f t="shared" si="14"/>
        <v>0</v>
      </c>
      <c r="AJ2105" s="200">
        <f t="shared" si="10641"/>
        <v>0</v>
      </c>
      <c r="AK2105" s="201">
        <f t="shared" ref="AK2105:AS2105" si="10642">countif($D2105,"*"&amp;AK$2&amp;"*")</f>
        <v>0</v>
      </c>
      <c r="AL2105" s="201">
        <f t="shared" si="10642"/>
        <v>0</v>
      </c>
      <c r="AM2105" s="201">
        <f t="shared" si="10642"/>
        <v>0</v>
      </c>
      <c r="AN2105" s="201">
        <f t="shared" si="10642"/>
        <v>0</v>
      </c>
      <c r="AO2105" s="201">
        <f t="shared" si="10642"/>
        <v>0</v>
      </c>
      <c r="AP2105" s="201">
        <f t="shared" si="10642"/>
        <v>0</v>
      </c>
      <c r="AQ2105" s="201">
        <f t="shared" si="10642"/>
        <v>0</v>
      </c>
      <c r="AR2105" s="201">
        <f t="shared" si="10642"/>
        <v>0</v>
      </c>
      <c r="AS2105" s="200">
        <f t="shared" si="10642"/>
        <v>0</v>
      </c>
      <c r="AT2105" s="205">
        <v>0.0</v>
      </c>
      <c r="AU2105" s="200">
        <f t="shared" ref="AU2105:AX2105" si="10643">countif($D2105,"*"&amp;AU$2&amp;"*")</f>
        <v>1</v>
      </c>
      <c r="AV2105" s="200">
        <f t="shared" si="10643"/>
        <v>0</v>
      </c>
      <c r="AW2105" s="200">
        <f t="shared" si="10643"/>
        <v>0</v>
      </c>
      <c r="AX2105" s="200">
        <f t="shared" si="10643"/>
        <v>0</v>
      </c>
      <c r="AY2105" s="202">
        <v>0.0</v>
      </c>
      <c r="AZ2105" s="200"/>
      <c r="BA2105" s="171" t="str">
        <f t="shared" si="18"/>
        <v/>
      </c>
      <c r="BB2105" s="171" t="str">
        <f t="shared" si="19"/>
        <v/>
      </c>
      <c r="BC2105" s="171" t="str">
        <f t="shared" si="20"/>
        <v/>
      </c>
      <c r="BD2105" s="171" t="str">
        <f t="shared" si="21"/>
        <v>Institutional</v>
      </c>
      <c r="BE2105" s="171" t="str">
        <f t="shared" si="22"/>
        <v/>
      </c>
      <c r="BF2105" s="171" t="str">
        <f t="shared" si="23"/>
        <v>Institutional</v>
      </c>
    </row>
    <row r="2106">
      <c r="A2106" s="171">
        <f t="array" ref="A2106">XLOOKUP(C2106,FSE!A:A,FSE!C:C,"XXXXX",0,1)</f>
        <v>2015</v>
      </c>
      <c r="B2106" s="213" t="s">
        <v>5676</v>
      </c>
      <c r="C2106" s="214">
        <v>738.0</v>
      </c>
      <c r="D2106" s="217" t="s">
        <v>6584</v>
      </c>
      <c r="E2106" s="197" t="str">
        <f t="array" ref="E2106">XLOOKUP(C2106,FSE!A:A,FSE!Z:Z,"XXXXX",0,1)</f>
        <v>Not Available (1)</v>
      </c>
      <c r="F2106" s="213" t="s">
        <v>3395</v>
      </c>
      <c r="G2106" s="163" t="str">
        <f t="array" ref="G2106">IF(B2106="ICSE",IF(COUNTIFS(B:B,B2106,C:C,C2106)=XLOOKUP(C2106,ICSE!A:A,ICSE!AA:AA,"ERROR",0,1),"OK","ERROR"),IF(B2106="FSE",IF(COUNTIFS(B:B,B2106,C:C,C2106)=XLOOKUP(C2106,FSE!A:A,FSE!AA:AA,"ERROR",0,1),"OK","ERROR")))</f>
        <v>OK</v>
      </c>
      <c r="H2106" s="199">
        <f t="shared" ref="H2106:O2106" si="10644">countif($D2106,"*"&amp;H$2&amp;"*")</f>
        <v>0</v>
      </c>
      <c r="I2106" s="200">
        <f t="shared" si="10644"/>
        <v>0</v>
      </c>
      <c r="J2106" s="200">
        <f t="shared" si="10644"/>
        <v>0</v>
      </c>
      <c r="K2106" s="200">
        <f t="shared" si="10644"/>
        <v>0</v>
      </c>
      <c r="L2106" s="200">
        <f t="shared" si="10644"/>
        <v>0</v>
      </c>
      <c r="M2106" s="200">
        <f t="shared" si="10644"/>
        <v>0</v>
      </c>
      <c r="N2106" s="200">
        <f t="shared" si="10644"/>
        <v>0</v>
      </c>
      <c r="O2106" s="200">
        <f t="shared" si="10644"/>
        <v>0</v>
      </c>
      <c r="P2106" s="200">
        <f t="shared" si="9"/>
        <v>0</v>
      </c>
      <c r="Q2106" s="200">
        <f t="shared" ref="Q2106:AC2106" si="10645">countif($D2106,"*"&amp;Q$2&amp;"*")</f>
        <v>0</v>
      </c>
      <c r="R2106" s="200">
        <f t="shared" si="10645"/>
        <v>0</v>
      </c>
      <c r="S2106" s="200">
        <f t="shared" si="10645"/>
        <v>0</v>
      </c>
      <c r="T2106" s="200">
        <f t="shared" si="10645"/>
        <v>0</v>
      </c>
      <c r="U2106" s="200">
        <f t="shared" si="10645"/>
        <v>0</v>
      </c>
      <c r="V2106" s="200">
        <f t="shared" si="10645"/>
        <v>0</v>
      </c>
      <c r="W2106" s="200">
        <f t="shared" si="10645"/>
        <v>0</v>
      </c>
      <c r="X2106" s="200">
        <f t="shared" si="10645"/>
        <v>0</v>
      </c>
      <c r="Y2106" s="200">
        <f t="shared" si="10645"/>
        <v>0</v>
      </c>
      <c r="Z2106" s="200">
        <f t="shared" si="10645"/>
        <v>0</v>
      </c>
      <c r="AA2106" s="200">
        <f t="shared" si="10645"/>
        <v>0</v>
      </c>
      <c r="AB2106" s="200">
        <f t="shared" si="10645"/>
        <v>0</v>
      </c>
      <c r="AC2106" s="200">
        <f t="shared" si="10645"/>
        <v>0</v>
      </c>
      <c r="AD2106" s="200">
        <f t="shared" si="11"/>
        <v>1</v>
      </c>
      <c r="AE2106" s="200">
        <f t="shared" ref="AE2106:AG2106" si="10646">countif($D2106,"*"&amp;AE$2&amp;"*")</f>
        <v>0</v>
      </c>
      <c r="AF2106" s="200">
        <f t="shared" si="10646"/>
        <v>0</v>
      </c>
      <c r="AG2106" s="200">
        <f t="shared" si="10646"/>
        <v>0</v>
      </c>
      <c r="AH2106" s="171">
        <f t="shared" si="13"/>
        <v>0</v>
      </c>
      <c r="AI2106" s="200">
        <f t="shared" si="14"/>
        <v>0</v>
      </c>
      <c r="AJ2106" s="200">
        <f t="shared" si="10641"/>
        <v>1</v>
      </c>
      <c r="AK2106" s="201">
        <f t="shared" ref="AK2106:AS2106" si="10647">countif($D2106,"*"&amp;AK$2&amp;"*")</f>
        <v>1</v>
      </c>
      <c r="AL2106" s="201">
        <f t="shared" si="10647"/>
        <v>0</v>
      </c>
      <c r="AM2106" s="201">
        <f t="shared" si="10647"/>
        <v>0</v>
      </c>
      <c r="AN2106" s="201">
        <f t="shared" si="10647"/>
        <v>0</v>
      </c>
      <c r="AO2106" s="201">
        <f t="shared" si="10647"/>
        <v>0</v>
      </c>
      <c r="AP2106" s="201">
        <f t="shared" si="10647"/>
        <v>0</v>
      </c>
      <c r="AQ2106" s="201">
        <f t="shared" si="10647"/>
        <v>0</v>
      </c>
      <c r="AR2106" s="201">
        <f t="shared" si="10647"/>
        <v>0</v>
      </c>
      <c r="AS2106" s="200">
        <f t="shared" si="10647"/>
        <v>1</v>
      </c>
      <c r="AT2106" s="205">
        <v>0.0</v>
      </c>
      <c r="AU2106" s="200">
        <f t="shared" ref="AU2106:AX2106" si="10648">countif($D2106,"*"&amp;AU$2&amp;"*")</f>
        <v>1</v>
      </c>
      <c r="AV2106" s="200">
        <f t="shared" si="10648"/>
        <v>0</v>
      </c>
      <c r="AW2106" s="200">
        <f t="shared" si="10648"/>
        <v>0</v>
      </c>
      <c r="AX2106" s="200">
        <f t="shared" si="10648"/>
        <v>0</v>
      </c>
      <c r="AY2106" s="202">
        <v>0.0</v>
      </c>
      <c r="AZ2106" s="200"/>
      <c r="BA2106" s="171" t="str">
        <f t="shared" si="18"/>
        <v/>
      </c>
      <c r="BB2106" s="171" t="str">
        <f t="shared" si="19"/>
        <v/>
      </c>
      <c r="BC2106" s="171" t="str">
        <f t="shared" si="20"/>
        <v/>
      </c>
      <c r="BD2106" s="171" t="str">
        <f t="shared" si="21"/>
        <v>Institutional</v>
      </c>
      <c r="BE2106" s="171" t="str">
        <f t="shared" si="22"/>
        <v/>
      </c>
      <c r="BF2106" s="171" t="str">
        <f t="shared" si="23"/>
        <v>Institutional</v>
      </c>
    </row>
    <row r="2107">
      <c r="A2107" s="171">
        <f t="array" ref="A2107">XLOOKUP(C2107,FSE!A:A,FSE!C:C,"XXXXX",0,1)</f>
        <v>2015</v>
      </c>
      <c r="B2107" s="213" t="s">
        <v>5676</v>
      </c>
      <c r="C2107" s="214">
        <v>739.0</v>
      </c>
      <c r="D2107" s="215" t="s">
        <v>3635</v>
      </c>
      <c r="E2107" s="197" t="str">
        <f t="array" ref="E2107">XLOOKUP(C2107,FSE!A:A,FSE!Z:Z,"XXXXX",0,1)</f>
        <v>Publicly Available (1)</v>
      </c>
      <c r="F2107" s="213" t="s">
        <v>3394</v>
      </c>
      <c r="G2107" s="163" t="str">
        <f t="array" ref="G2107">IF(B2107="ICSE",IF(COUNTIFS(B:B,B2107,C:C,C2107)=XLOOKUP(C2107,ICSE!A:A,ICSE!AA:AA,"ERROR",0,1),"OK","ERROR"),IF(B2107="FSE",IF(COUNTIFS(B:B,B2107,C:C,C2107)=XLOOKUP(C2107,FSE!A:A,FSE!AA:AA,"ERROR",0,1),"OK","ERROR")))</f>
        <v>OK</v>
      </c>
      <c r="H2107" s="199">
        <f t="shared" ref="H2107:O2107" si="10649">countif($D2107,"*"&amp;H$2&amp;"*")</f>
        <v>0</v>
      </c>
      <c r="I2107" s="200">
        <f t="shared" si="10649"/>
        <v>0</v>
      </c>
      <c r="J2107" s="200">
        <f t="shared" si="10649"/>
        <v>0</v>
      </c>
      <c r="K2107" s="200">
        <f t="shared" si="10649"/>
        <v>0</v>
      </c>
      <c r="L2107" s="200">
        <f t="shared" si="10649"/>
        <v>0</v>
      </c>
      <c r="M2107" s="200">
        <f t="shared" si="10649"/>
        <v>0</v>
      </c>
      <c r="N2107" s="200">
        <f t="shared" si="10649"/>
        <v>0</v>
      </c>
      <c r="O2107" s="200">
        <f t="shared" si="10649"/>
        <v>0</v>
      </c>
      <c r="P2107" s="200">
        <f t="shared" si="9"/>
        <v>0</v>
      </c>
      <c r="Q2107" s="200">
        <f t="shared" ref="Q2107:AC2107" si="10650">countif($D2107,"*"&amp;Q$2&amp;"*")</f>
        <v>0</v>
      </c>
      <c r="R2107" s="200">
        <f t="shared" si="10650"/>
        <v>0</v>
      </c>
      <c r="S2107" s="200">
        <f t="shared" si="10650"/>
        <v>0</v>
      </c>
      <c r="T2107" s="200">
        <f t="shared" si="10650"/>
        <v>0</v>
      </c>
      <c r="U2107" s="200">
        <f t="shared" si="10650"/>
        <v>0</v>
      </c>
      <c r="V2107" s="200">
        <f t="shared" si="10650"/>
        <v>0</v>
      </c>
      <c r="W2107" s="200">
        <f t="shared" si="10650"/>
        <v>0</v>
      </c>
      <c r="X2107" s="200">
        <f t="shared" si="10650"/>
        <v>0</v>
      </c>
      <c r="Y2107" s="200">
        <f t="shared" si="10650"/>
        <v>0</v>
      </c>
      <c r="Z2107" s="200">
        <f t="shared" si="10650"/>
        <v>0</v>
      </c>
      <c r="AA2107" s="200">
        <f t="shared" si="10650"/>
        <v>0</v>
      </c>
      <c r="AB2107" s="200">
        <f t="shared" si="10650"/>
        <v>0</v>
      </c>
      <c r="AC2107" s="200">
        <f t="shared" si="10650"/>
        <v>0</v>
      </c>
      <c r="AD2107" s="200">
        <f t="shared" si="11"/>
        <v>1</v>
      </c>
      <c r="AE2107" s="200">
        <f t="shared" ref="AE2107:AG2107" si="10651">countif($D2107,"*"&amp;AE$2&amp;"*")</f>
        <v>0</v>
      </c>
      <c r="AF2107" s="200">
        <f t="shared" si="10651"/>
        <v>0</v>
      </c>
      <c r="AG2107" s="200">
        <f t="shared" si="10651"/>
        <v>0</v>
      </c>
      <c r="AH2107" s="171">
        <f t="shared" si="13"/>
        <v>0</v>
      </c>
      <c r="AI2107" s="200">
        <f t="shared" si="14"/>
        <v>0</v>
      </c>
      <c r="AJ2107" s="200">
        <f t="shared" ref="AJ2107:AJ2111" si="10657">SUM(AK2107:AR2107)</f>
        <v>0</v>
      </c>
      <c r="AK2107" s="201">
        <f t="shared" ref="AK2107:AS2107" si="10652">countif($D2107,"*"&amp;AK$2&amp;"*")</f>
        <v>0</v>
      </c>
      <c r="AL2107" s="201">
        <f t="shared" si="10652"/>
        <v>0</v>
      </c>
      <c r="AM2107" s="201">
        <f t="shared" si="10652"/>
        <v>0</v>
      </c>
      <c r="AN2107" s="201">
        <f t="shared" si="10652"/>
        <v>0</v>
      </c>
      <c r="AO2107" s="201">
        <f t="shared" si="10652"/>
        <v>0</v>
      </c>
      <c r="AP2107" s="201">
        <f t="shared" si="10652"/>
        <v>0</v>
      </c>
      <c r="AQ2107" s="201">
        <f t="shared" si="10652"/>
        <v>0</v>
      </c>
      <c r="AR2107" s="200">
        <f t="shared" si="10652"/>
        <v>0</v>
      </c>
      <c r="AS2107" s="200">
        <f t="shared" si="10652"/>
        <v>0</v>
      </c>
      <c r="AT2107" s="173">
        <v>1.0</v>
      </c>
      <c r="AU2107" s="200">
        <f t="shared" ref="AU2107:AX2107" si="10653">countif($D2107,"*"&amp;AU$2&amp;"*")</f>
        <v>0</v>
      </c>
      <c r="AV2107" s="200">
        <f t="shared" si="10653"/>
        <v>0</v>
      </c>
      <c r="AW2107" s="200">
        <f t="shared" si="10653"/>
        <v>0</v>
      </c>
      <c r="AX2107" s="200">
        <f t="shared" si="10653"/>
        <v>0</v>
      </c>
      <c r="AY2107" s="202">
        <v>0.0</v>
      </c>
      <c r="AZ2107" s="200"/>
      <c r="BA2107" s="171" t="str">
        <f t="shared" si="18"/>
        <v/>
      </c>
      <c r="BB2107" s="171" t="str">
        <f t="shared" si="19"/>
        <v/>
      </c>
      <c r="BC2107" s="171" t="str">
        <f t="shared" si="20"/>
        <v/>
      </c>
      <c r="BD2107" s="171" t="str">
        <f t="shared" si="21"/>
        <v>Institutional</v>
      </c>
      <c r="BE2107" s="171" t="str">
        <f t="shared" si="22"/>
        <v/>
      </c>
      <c r="BF2107" s="171" t="str">
        <f t="shared" si="23"/>
        <v>Institutional</v>
      </c>
    </row>
    <row r="2108">
      <c r="A2108" s="171">
        <f t="array" ref="A2108">XLOOKUP(C2108,FSE!A:A,FSE!C:C,"XXXXX",0,1)</f>
        <v>2015</v>
      </c>
      <c r="B2108" s="213" t="s">
        <v>5676</v>
      </c>
      <c r="C2108" s="214">
        <v>741.0</v>
      </c>
      <c r="D2108" s="215" t="s">
        <v>3639</v>
      </c>
      <c r="E2108" s="197" t="str">
        <f t="array" ref="E2108">XLOOKUP(C2108,FSE!A:A,FSE!Z:Z,"XXXXX",0,1)</f>
        <v>Not Available (1)</v>
      </c>
      <c r="F2108" s="213" t="s">
        <v>3395</v>
      </c>
      <c r="G2108" s="163" t="str">
        <f t="array" ref="G2108">IF(B2108="ICSE",IF(COUNTIFS(B:B,B2108,C:C,C2108)=XLOOKUP(C2108,ICSE!A:A,ICSE!AA:AA,"ERROR",0,1),"OK","ERROR"),IF(B2108="FSE",IF(COUNTIFS(B:B,B2108,C:C,C2108)=XLOOKUP(C2108,FSE!A:A,FSE!AA:AA,"ERROR",0,1),"OK","ERROR")))</f>
        <v>OK</v>
      </c>
      <c r="H2108" s="199">
        <f t="shared" ref="H2108:O2108" si="10654">countif($D2108,"*"&amp;H$2&amp;"*")</f>
        <v>0</v>
      </c>
      <c r="I2108" s="200">
        <f t="shared" si="10654"/>
        <v>0</v>
      </c>
      <c r="J2108" s="200">
        <f t="shared" si="10654"/>
        <v>0</v>
      </c>
      <c r="K2108" s="200">
        <f t="shared" si="10654"/>
        <v>0</v>
      </c>
      <c r="L2108" s="200">
        <f t="shared" si="10654"/>
        <v>0</v>
      </c>
      <c r="M2108" s="200">
        <f t="shared" si="10654"/>
        <v>0</v>
      </c>
      <c r="N2108" s="200">
        <f t="shared" si="10654"/>
        <v>0</v>
      </c>
      <c r="O2108" s="200">
        <f t="shared" si="10654"/>
        <v>0</v>
      </c>
      <c r="P2108" s="200">
        <f t="shared" si="9"/>
        <v>0</v>
      </c>
      <c r="Q2108" s="200">
        <f t="shared" ref="Q2108:AC2108" si="10655">countif($D2108,"*"&amp;Q$2&amp;"*")</f>
        <v>0</v>
      </c>
      <c r="R2108" s="200">
        <f t="shared" si="10655"/>
        <v>0</v>
      </c>
      <c r="S2108" s="200">
        <f t="shared" si="10655"/>
        <v>0</v>
      </c>
      <c r="T2108" s="200">
        <f t="shared" si="10655"/>
        <v>0</v>
      </c>
      <c r="U2108" s="200">
        <f t="shared" si="10655"/>
        <v>0</v>
      </c>
      <c r="V2108" s="200">
        <f t="shared" si="10655"/>
        <v>0</v>
      </c>
      <c r="W2108" s="200">
        <f t="shared" si="10655"/>
        <v>0</v>
      </c>
      <c r="X2108" s="200">
        <f t="shared" si="10655"/>
        <v>0</v>
      </c>
      <c r="Y2108" s="200">
        <f t="shared" si="10655"/>
        <v>0</v>
      </c>
      <c r="Z2108" s="200">
        <f t="shared" si="10655"/>
        <v>0</v>
      </c>
      <c r="AA2108" s="200">
        <f t="shared" si="10655"/>
        <v>0</v>
      </c>
      <c r="AB2108" s="200">
        <f t="shared" si="10655"/>
        <v>0</v>
      </c>
      <c r="AC2108" s="200">
        <f t="shared" si="10655"/>
        <v>0</v>
      </c>
      <c r="AD2108" s="200">
        <f t="shared" si="11"/>
        <v>0</v>
      </c>
      <c r="AE2108" s="200">
        <f t="shared" ref="AE2108:AG2108" si="10656">countif($D2108,"*"&amp;AE$2&amp;"*")</f>
        <v>1</v>
      </c>
      <c r="AF2108" s="200">
        <f t="shared" si="10656"/>
        <v>0</v>
      </c>
      <c r="AG2108" s="200">
        <f t="shared" si="10656"/>
        <v>0</v>
      </c>
      <c r="AH2108" s="171">
        <f t="shared" si="13"/>
        <v>0</v>
      </c>
      <c r="AI2108" s="200">
        <f t="shared" si="14"/>
        <v>0</v>
      </c>
      <c r="AJ2108" s="200">
        <f t="shared" si="10657"/>
        <v>0</v>
      </c>
      <c r="AK2108" s="201">
        <f t="shared" ref="AK2108:AS2108" si="10658">countif($D2108,"*"&amp;AK$2&amp;"*")</f>
        <v>0</v>
      </c>
      <c r="AL2108" s="201">
        <f t="shared" si="10658"/>
        <v>0</v>
      </c>
      <c r="AM2108" s="201">
        <f t="shared" si="10658"/>
        <v>0</v>
      </c>
      <c r="AN2108" s="201">
        <f t="shared" si="10658"/>
        <v>0</v>
      </c>
      <c r="AO2108" s="201">
        <f t="shared" si="10658"/>
        <v>0</v>
      </c>
      <c r="AP2108" s="201">
        <f t="shared" si="10658"/>
        <v>0</v>
      </c>
      <c r="AQ2108" s="201">
        <f t="shared" si="10658"/>
        <v>0</v>
      </c>
      <c r="AR2108" s="200">
        <f t="shared" si="10658"/>
        <v>0</v>
      </c>
      <c r="AS2108" s="200">
        <f t="shared" si="10658"/>
        <v>0</v>
      </c>
      <c r="AT2108" s="173">
        <v>0.0</v>
      </c>
      <c r="AU2108" s="200">
        <f t="shared" ref="AU2108:AX2108" si="10659">countif($D2108,"*"&amp;AU$2&amp;"*")</f>
        <v>0</v>
      </c>
      <c r="AV2108" s="200">
        <f t="shared" si="10659"/>
        <v>0</v>
      </c>
      <c r="AW2108" s="200">
        <f t="shared" si="10659"/>
        <v>0</v>
      </c>
      <c r="AX2108" s="200">
        <f t="shared" si="10659"/>
        <v>0</v>
      </c>
      <c r="AY2108" s="202">
        <v>0.0</v>
      </c>
      <c r="AZ2108" s="200"/>
      <c r="BA2108" s="171" t="str">
        <f t="shared" si="18"/>
        <v/>
      </c>
      <c r="BB2108" s="171" t="str">
        <f t="shared" si="19"/>
        <v/>
      </c>
      <c r="BC2108" s="171" t="str">
        <f t="shared" si="20"/>
        <v/>
      </c>
      <c r="BD2108" s="171" t="str">
        <f t="shared" si="21"/>
        <v>Institutional</v>
      </c>
      <c r="BE2108" s="171" t="str">
        <f t="shared" si="22"/>
        <v/>
      </c>
      <c r="BF2108" s="171" t="str">
        <f t="shared" si="23"/>
        <v>Institutional</v>
      </c>
    </row>
    <row r="2109">
      <c r="A2109" s="171">
        <f t="array" ref="A2109">XLOOKUP(C2109,FSE!A:A,FSE!C:C,"XXXXX",0,1)</f>
        <v>2015</v>
      </c>
      <c r="B2109" s="213" t="s">
        <v>5676</v>
      </c>
      <c r="C2109" s="214">
        <v>746.0</v>
      </c>
      <c r="D2109" s="217" t="s">
        <v>3647</v>
      </c>
      <c r="E2109" s="197" t="str">
        <f t="array" ref="E2109">XLOOKUP(C2109,FSE!A:A,FSE!Z:Z,"XXXXX",0,1)</f>
        <v>Not Available (1)</v>
      </c>
      <c r="F2109" s="213" t="s">
        <v>3395</v>
      </c>
      <c r="G2109" s="163" t="str">
        <f t="array" ref="G2109">IF(B2109="ICSE",IF(COUNTIFS(B:B,B2109,C:C,C2109)=XLOOKUP(C2109,ICSE!A:A,ICSE!AA:AA,"ERROR",0,1),"OK","ERROR"),IF(B2109="FSE",IF(COUNTIFS(B:B,B2109,C:C,C2109)=XLOOKUP(C2109,FSE!A:A,FSE!AA:AA,"ERROR",0,1),"OK","ERROR")))</f>
        <v>OK</v>
      </c>
      <c r="H2109" s="199">
        <f t="shared" ref="H2109:O2109" si="10660">countif($D2109,"*"&amp;H$2&amp;"*")</f>
        <v>0</v>
      </c>
      <c r="I2109" s="200">
        <f t="shared" si="10660"/>
        <v>0</v>
      </c>
      <c r="J2109" s="200">
        <f t="shared" si="10660"/>
        <v>0</v>
      </c>
      <c r="K2109" s="200">
        <f t="shared" si="10660"/>
        <v>0</v>
      </c>
      <c r="L2109" s="200">
        <f t="shared" si="10660"/>
        <v>0</v>
      </c>
      <c r="M2109" s="200">
        <f t="shared" si="10660"/>
        <v>0</v>
      </c>
      <c r="N2109" s="200">
        <f t="shared" si="10660"/>
        <v>0</v>
      </c>
      <c r="O2109" s="200">
        <f t="shared" si="10660"/>
        <v>0</v>
      </c>
      <c r="P2109" s="200">
        <f t="shared" si="9"/>
        <v>0</v>
      </c>
      <c r="Q2109" s="200">
        <f t="shared" ref="Q2109:AC2109" si="10661">countif($D2109,"*"&amp;Q$2&amp;"*")</f>
        <v>0</v>
      </c>
      <c r="R2109" s="200">
        <f t="shared" si="10661"/>
        <v>0</v>
      </c>
      <c r="S2109" s="200">
        <f t="shared" si="10661"/>
        <v>0</v>
      </c>
      <c r="T2109" s="200">
        <f t="shared" si="10661"/>
        <v>0</v>
      </c>
      <c r="U2109" s="200">
        <f t="shared" si="10661"/>
        <v>0</v>
      </c>
      <c r="V2109" s="200">
        <f t="shared" si="10661"/>
        <v>0</v>
      </c>
      <c r="W2109" s="200">
        <f t="shared" si="10661"/>
        <v>0</v>
      </c>
      <c r="X2109" s="200">
        <f t="shared" si="10661"/>
        <v>0</v>
      </c>
      <c r="Y2109" s="200">
        <f t="shared" si="10661"/>
        <v>0</v>
      </c>
      <c r="Z2109" s="200">
        <f t="shared" si="10661"/>
        <v>0</v>
      </c>
      <c r="AA2109" s="200">
        <f t="shared" si="10661"/>
        <v>0</v>
      </c>
      <c r="AB2109" s="200">
        <f t="shared" si="10661"/>
        <v>0</v>
      </c>
      <c r="AC2109" s="200">
        <f t="shared" si="10661"/>
        <v>0</v>
      </c>
      <c r="AD2109" s="200">
        <f t="shared" si="11"/>
        <v>0</v>
      </c>
      <c r="AE2109" s="200">
        <f t="shared" ref="AE2109:AG2109" si="10662">countif($D2109,"*"&amp;AE$2&amp;"*")</f>
        <v>0</v>
      </c>
      <c r="AF2109" s="200">
        <f t="shared" si="10662"/>
        <v>0</v>
      </c>
      <c r="AG2109" s="200">
        <f t="shared" si="10662"/>
        <v>0</v>
      </c>
      <c r="AH2109" s="171">
        <f t="shared" si="13"/>
        <v>1</v>
      </c>
      <c r="AI2109" s="200">
        <f t="shared" si="14"/>
        <v>0</v>
      </c>
      <c r="AJ2109" s="200">
        <f t="shared" si="10657"/>
        <v>0</v>
      </c>
      <c r="AK2109" s="201">
        <f t="shared" ref="AK2109:AS2109" si="10663">countif($D2109,"*"&amp;AK$2&amp;"*")</f>
        <v>0</v>
      </c>
      <c r="AL2109" s="201">
        <f t="shared" si="10663"/>
        <v>0</v>
      </c>
      <c r="AM2109" s="201">
        <f t="shared" si="10663"/>
        <v>0</v>
      </c>
      <c r="AN2109" s="201">
        <f t="shared" si="10663"/>
        <v>0</v>
      </c>
      <c r="AO2109" s="201">
        <f t="shared" si="10663"/>
        <v>0</v>
      </c>
      <c r="AP2109" s="201">
        <f t="shared" si="10663"/>
        <v>0</v>
      </c>
      <c r="AQ2109" s="201">
        <f t="shared" si="10663"/>
        <v>0</v>
      </c>
      <c r="AR2109" s="200">
        <f t="shared" si="10663"/>
        <v>0</v>
      </c>
      <c r="AS2109" s="200">
        <f t="shared" si="10663"/>
        <v>0</v>
      </c>
      <c r="AT2109" s="173">
        <v>0.0</v>
      </c>
      <c r="AU2109" s="200">
        <f t="shared" ref="AU2109:AX2109" si="10664">countif($D2109,"*"&amp;AU$2&amp;"*")</f>
        <v>0</v>
      </c>
      <c r="AV2109" s="200">
        <f t="shared" si="10664"/>
        <v>0</v>
      </c>
      <c r="AW2109" s="200">
        <f t="shared" si="10664"/>
        <v>0</v>
      </c>
      <c r="AX2109" s="200">
        <f t="shared" si="10664"/>
        <v>0</v>
      </c>
      <c r="AY2109" s="202">
        <v>0.0</v>
      </c>
      <c r="AZ2109" s="200"/>
      <c r="BA2109" s="171" t="str">
        <f t="shared" si="18"/>
        <v/>
      </c>
      <c r="BB2109" s="171" t="str">
        <f t="shared" si="19"/>
        <v/>
      </c>
      <c r="BC2109" s="171" t="str">
        <f t="shared" si="20"/>
        <v/>
      </c>
      <c r="BD2109" s="171" t="str">
        <f t="shared" si="21"/>
        <v/>
      </c>
      <c r="BE2109" s="171" t="str">
        <f t="shared" si="22"/>
        <v>Others</v>
      </c>
      <c r="BF2109" s="171" t="str">
        <f t="shared" si="23"/>
        <v>Others</v>
      </c>
    </row>
    <row r="2110">
      <c r="A2110" s="171">
        <f t="array" ref="A2110">XLOOKUP(C2110,FSE!A:A,FSE!C:C,"XXXXX",0,1)</f>
        <v>2015</v>
      </c>
      <c r="B2110" s="213" t="s">
        <v>5676</v>
      </c>
      <c r="C2110" s="219">
        <v>752.0</v>
      </c>
      <c r="D2110" s="217" t="s">
        <v>3654</v>
      </c>
      <c r="E2110" s="197" t="str">
        <f t="array" ref="E2110">XLOOKUP(C2110,FSE!A:A,FSE!Z:Z,"XXXXX",0,1)</f>
        <v>Not Available (1)</v>
      </c>
      <c r="F2110" s="218" t="s">
        <v>3395</v>
      </c>
      <c r="G2110" s="163" t="str">
        <f t="array" ref="G2110">IF(B2110="ICSE",IF(COUNTIFS(B:B,B2110,C:C,C2110)=XLOOKUP(C2110,ICSE!A:A,ICSE!AA:AA,"ERROR",0,1),"OK","ERROR"),IF(B2110="FSE",IF(COUNTIFS(B:B,B2110,C:C,C2110)=XLOOKUP(C2110,FSE!A:A,FSE!AA:AA,"ERROR",0,1),"OK","ERROR")))</f>
        <v>OK</v>
      </c>
      <c r="H2110" s="199">
        <f t="shared" ref="H2110:O2110" si="10665">countif($D2110,"*"&amp;H$2&amp;"*")</f>
        <v>0</v>
      </c>
      <c r="I2110" s="200">
        <f t="shared" si="10665"/>
        <v>0</v>
      </c>
      <c r="J2110" s="200">
        <f t="shared" si="10665"/>
        <v>0</v>
      </c>
      <c r="K2110" s="200">
        <f t="shared" si="10665"/>
        <v>0</v>
      </c>
      <c r="L2110" s="200">
        <f t="shared" si="10665"/>
        <v>0</v>
      </c>
      <c r="M2110" s="200">
        <f t="shared" si="10665"/>
        <v>0</v>
      </c>
      <c r="N2110" s="200">
        <f t="shared" si="10665"/>
        <v>0</v>
      </c>
      <c r="O2110" s="200">
        <f t="shared" si="10665"/>
        <v>0</v>
      </c>
      <c r="P2110" s="200">
        <f t="shared" si="9"/>
        <v>0</v>
      </c>
      <c r="Q2110" s="200">
        <f t="shared" ref="Q2110:AC2110" si="10666">countif($D2110,"*"&amp;Q$2&amp;"*")</f>
        <v>0</v>
      </c>
      <c r="R2110" s="200">
        <f t="shared" si="10666"/>
        <v>0</v>
      </c>
      <c r="S2110" s="200">
        <f t="shared" si="10666"/>
        <v>0</v>
      </c>
      <c r="T2110" s="200">
        <f t="shared" si="10666"/>
        <v>0</v>
      </c>
      <c r="U2110" s="200">
        <f t="shared" si="10666"/>
        <v>0</v>
      </c>
      <c r="V2110" s="200">
        <f t="shared" si="10666"/>
        <v>0</v>
      </c>
      <c r="W2110" s="200">
        <f t="shared" si="10666"/>
        <v>0</v>
      </c>
      <c r="X2110" s="200">
        <f t="shared" si="10666"/>
        <v>0</v>
      </c>
      <c r="Y2110" s="200">
        <f t="shared" si="10666"/>
        <v>0</v>
      </c>
      <c r="Z2110" s="200">
        <f t="shared" si="10666"/>
        <v>0</v>
      </c>
      <c r="AA2110" s="200">
        <f t="shared" si="10666"/>
        <v>0</v>
      </c>
      <c r="AB2110" s="200">
        <f t="shared" si="10666"/>
        <v>0</v>
      </c>
      <c r="AC2110" s="200">
        <f t="shared" si="10666"/>
        <v>0</v>
      </c>
      <c r="AD2110" s="200">
        <f t="shared" si="11"/>
        <v>0</v>
      </c>
      <c r="AE2110" s="200">
        <f t="shared" ref="AE2110:AG2110" si="10667">countif($D2110,"*"&amp;AE$2&amp;"*")</f>
        <v>0</v>
      </c>
      <c r="AF2110" s="200">
        <f t="shared" si="10667"/>
        <v>1</v>
      </c>
      <c r="AG2110" s="200">
        <f t="shared" si="10667"/>
        <v>0</v>
      </c>
      <c r="AH2110" s="171">
        <f t="shared" si="13"/>
        <v>0</v>
      </c>
      <c r="AI2110" s="200">
        <f t="shared" si="14"/>
        <v>0</v>
      </c>
      <c r="AJ2110" s="200">
        <f t="shared" si="10657"/>
        <v>0</v>
      </c>
      <c r="AK2110" s="201">
        <f t="shared" ref="AK2110:AS2110" si="10668">countif($D2110,"*"&amp;AK$2&amp;"*")</f>
        <v>0</v>
      </c>
      <c r="AL2110" s="201">
        <f t="shared" si="10668"/>
        <v>0</v>
      </c>
      <c r="AM2110" s="201">
        <f t="shared" si="10668"/>
        <v>0</v>
      </c>
      <c r="AN2110" s="201">
        <f t="shared" si="10668"/>
        <v>0</v>
      </c>
      <c r="AO2110" s="201">
        <f t="shared" si="10668"/>
        <v>0</v>
      </c>
      <c r="AP2110" s="201">
        <f t="shared" si="10668"/>
        <v>0</v>
      </c>
      <c r="AQ2110" s="201">
        <f t="shared" si="10668"/>
        <v>0</v>
      </c>
      <c r="AR2110" s="200">
        <f t="shared" si="10668"/>
        <v>0</v>
      </c>
      <c r="AS2110" s="200">
        <f t="shared" si="10668"/>
        <v>0</v>
      </c>
      <c r="AT2110" s="173">
        <v>0.0</v>
      </c>
      <c r="AU2110" s="200">
        <f t="shared" ref="AU2110:AX2110" si="10669">countif($D2110,"*"&amp;AU$2&amp;"*")</f>
        <v>0</v>
      </c>
      <c r="AV2110" s="200">
        <f t="shared" si="10669"/>
        <v>0</v>
      </c>
      <c r="AW2110" s="200">
        <f t="shared" si="10669"/>
        <v>0</v>
      </c>
      <c r="AX2110" s="200">
        <f t="shared" si="10669"/>
        <v>0</v>
      </c>
      <c r="AY2110" s="202">
        <v>0.0</v>
      </c>
      <c r="AZ2110" s="200"/>
      <c r="BA2110" s="171" t="str">
        <f t="shared" si="18"/>
        <v/>
      </c>
      <c r="BB2110" s="171" t="str">
        <f t="shared" si="19"/>
        <v/>
      </c>
      <c r="BC2110" s="171" t="str">
        <f t="shared" si="20"/>
        <v/>
      </c>
      <c r="BD2110" s="171" t="str">
        <f t="shared" si="21"/>
        <v>Institutional</v>
      </c>
      <c r="BE2110" s="171" t="str">
        <f t="shared" si="22"/>
        <v/>
      </c>
      <c r="BF2110" s="171" t="str">
        <f t="shared" si="23"/>
        <v>Institutional</v>
      </c>
    </row>
    <row r="2111">
      <c r="A2111" s="171">
        <f t="array" ref="A2111">XLOOKUP(C2111,FSE!A:A,FSE!C:C,"XXXXX",0,1)</f>
        <v>2015</v>
      </c>
      <c r="B2111" s="213" t="s">
        <v>5676</v>
      </c>
      <c r="C2111" s="214">
        <v>753.0</v>
      </c>
      <c r="D2111" s="215" t="s">
        <v>3656</v>
      </c>
      <c r="E2111" s="197" t="str">
        <f t="array" ref="E2111">XLOOKUP(C2111,FSE!A:A,FSE!Z:Z,"XXXXX",0,1)</f>
        <v>Publicly Available (1)</v>
      </c>
      <c r="F2111" s="213" t="s">
        <v>3394</v>
      </c>
      <c r="G2111" s="163" t="str">
        <f t="array" ref="G2111">IF(B2111="ICSE",IF(COUNTIFS(B:B,B2111,C:C,C2111)=XLOOKUP(C2111,ICSE!A:A,ICSE!AA:AA,"ERROR",0,1),"OK","ERROR"),IF(B2111="FSE",IF(COUNTIFS(B:B,B2111,C:C,C2111)=XLOOKUP(C2111,FSE!A:A,FSE!AA:AA,"ERROR",0,1),"OK","ERROR")))</f>
        <v>OK</v>
      </c>
      <c r="H2111" s="199">
        <f t="shared" ref="H2111:O2111" si="10670">countif($D2111,"*"&amp;H$2&amp;"*")</f>
        <v>0</v>
      </c>
      <c r="I2111" s="200">
        <f t="shared" si="10670"/>
        <v>0</v>
      </c>
      <c r="J2111" s="200">
        <f t="shared" si="10670"/>
        <v>0</v>
      </c>
      <c r="K2111" s="200">
        <f t="shared" si="10670"/>
        <v>0</v>
      </c>
      <c r="L2111" s="200">
        <f t="shared" si="10670"/>
        <v>0</v>
      </c>
      <c r="M2111" s="200">
        <f t="shared" si="10670"/>
        <v>0</v>
      </c>
      <c r="N2111" s="200">
        <f t="shared" si="10670"/>
        <v>0</v>
      </c>
      <c r="O2111" s="200">
        <f t="shared" si="10670"/>
        <v>0</v>
      </c>
      <c r="P2111" s="200">
        <f t="shared" si="9"/>
        <v>1</v>
      </c>
      <c r="Q2111" s="200">
        <f t="shared" ref="Q2111:AC2111" si="10671">countif($D2111,"*"&amp;Q$2&amp;"*")</f>
        <v>0</v>
      </c>
      <c r="R2111" s="200">
        <f t="shared" si="10671"/>
        <v>0</v>
      </c>
      <c r="S2111" s="200">
        <f t="shared" si="10671"/>
        <v>0</v>
      </c>
      <c r="T2111" s="200">
        <f t="shared" si="10671"/>
        <v>0</v>
      </c>
      <c r="U2111" s="200">
        <f t="shared" si="10671"/>
        <v>0</v>
      </c>
      <c r="V2111" s="200">
        <f t="shared" si="10671"/>
        <v>0</v>
      </c>
      <c r="W2111" s="200">
        <f t="shared" si="10671"/>
        <v>0</v>
      </c>
      <c r="X2111" s="200">
        <f t="shared" si="10671"/>
        <v>0</v>
      </c>
      <c r="Y2111" s="200">
        <f t="shared" si="10671"/>
        <v>0</v>
      </c>
      <c r="Z2111" s="200">
        <f t="shared" si="10671"/>
        <v>0</v>
      </c>
      <c r="AA2111" s="200">
        <f t="shared" si="10671"/>
        <v>0</v>
      </c>
      <c r="AB2111" s="200">
        <f t="shared" si="10671"/>
        <v>0</v>
      </c>
      <c r="AC2111" s="200">
        <f t="shared" si="10671"/>
        <v>0</v>
      </c>
      <c r="AD2111" s="200">
        <f t="shared" si="11"/>
        <v>0</v>
      </c>
      <c r="AE2111" s="200">
        <f t="shared" ref="AE2111:AG2111" si="10672">countif($D2111,"*"&amp;AE$2&amp;"*")</f>
        <v>0</v>
      </c>
      <c r="AF2111" s="200">
        <f t="shared" si="10672"/>
        <v>0</v>
      </c>
      <c r="AG2111" s="200">
        <f t="shared" si="10672"/>
        <v>0</v>
      </c>
      <c r="AH2111" s="171">
        <f t="shared" si="13"/>
        <v>0</v>
      </c>
      <c r="AI2111" s="200">
        <f t="shared" si="14"/>
        <v>0</v>
      </c>
      <c r="AJ2111" s="200">
        <f t="shared" si="10657"/>
        <v>0</v>
      </c>
      <c r="AK2111" s="201">
        <f t="shared" ref="AK2111:AS2111" si="10673">countif($D2111,"*"&amp;AK$2&amp;"*")</f>
        <v>0</v>
      </c>
      <c r="AL2111" s="201">
        <f t="shared" si="10673"/>
        <v>0</v>
      </c>
      <c r="AM2111" s="201">
        <f t="shared" si="10673"/>
        <v>0</v>
      </c>
      <c r="AN2111" s="201">
        <f t="shared" si="10673"/>
        <v>0</v>
      </c>
      <c r="AO2111" s="201">
        <f t="shared" si="10673"/>
        <v>0</v>
      </c>
      <c r="AP2111" s="201">
        <f t="shared" si="10673"/>
        <v>0</v>
      </c>
      <c r="AQ2111" s="201">
        <f t="shared" si="10673"/>
        <v>0</v>
      </c>
      <c r="AR2111" s="200">
        <f t="shared" si="10673"/>
        <v>0</v>
      </c>
      <c r="AS2111" s="200">
        <f t="shared" si="10673"/>
        <v>0</v>
      </c>
      <c r="AT2111" s="173">
        <v>0.0</v>
      </c>
      <c r="AU2111" s="200">
        <f t="shared" ref="AU2111:AX2111" si="10674">countif($D2111,"*"&amp;AU$2&amp;"*")</f>
        <v>0</v>
      </c>
      <c r="AV2111" s="200">
        <f t="shared" si="10674"/>
        <v>1</v>
      </c>
      <c r="AW2111" s="200">
        <f t="shared" si="10674"/>
        <v>0</v>
      </c>
      <c r="AX2111" s="200">
        <f t="shared" si="10674"/>
        <v>0</v>
      </c>
      <c r="AY2111" s="202">
        <v>0.0</v>
      </c>
      <c r="AZ2111" s="200"/>
      <c r="BA2111" s="171" t="str">
        <f t="shared" si="18"/>
        <v/>
      </c>
      <c r="BB2111" s="171" t="str">
        <f t="shared" si="19"/>
        <v>Code</v>
      </c>
      <c r="BC2111" s="171" t="str">
        <f t="shared" si="20"/>
        <v/>
      </c>
      <c r="BD2111" s="171" t="str">
        <f t="shared" si="21"/>
        <v/>
      </c>
      <c r="BE2111" s="171" t="str">
        <f t="shared" si="22"/>
        <v/>
      </c>
      <c r="BF2111" s="171" t="str">
        <f t="shared" si="23"/>
        <v>Code</v>
      </c>
    </row>
    <row r="2112">
      <c r="A2112" s="171">
        <f t="array" ref="A2112">XLOOKUP(C2112,FSE!A:A,FSE!C:C,"XXXXX",0,1)</f>
        <v>2015</v>
      </c>
      <c r="B2112" s="213" t="s">
        <v>5676</v>
      </c>
      <c r="C2112" s="214">
        <v>754.0</v>
      </c>
      <c r="D2112" s="215" t="s">
        <v>3658</v>
      </c>
      <c r="E2112" s="197" t="str">
        <f t="array" ref="E2112">XLOOKUP(C2112,FSE!A:A,FSE!Z:Z,"XXXXX",0,1)</f>
        <v>Not Available (1)</v>
      </c>
      <c r="F2112" s="213" t="s">
        <v>3395</v>
      </c>
      <c r="G2112" s="163" t="str">
        <f t="array" ref="G2112">IF(B2112="ICSE",IF(COUNTIFS(B:B,B2112,C:C,C2112)=XLOOKUP(C2112,ICSE!A:A,ICSE!AA:AA,"ERROR",0,1),"OK","ERROR"),IF(B2112="FSE",IF(COUNTIFS(B:B,B2112,C:C,C2112)=XLOOKUP(C2112,FSE!A:A,FSE!AA:AA,"ERROR",0,1),"OK","ERROR")))</f>
        <v>OK</v>
      </c>
      <c r="H2112" s="199">
        <f t="shared" ref="H2112:O2112" si="10675">countif($D2112,"*"&amp;H$2&amp;"*")</f>
        <v>0</v>
      </c>
      <c r="I2112" s="200">
        <f t="shared" si="10675"/>
        <v>0</v>
      </c>
      <c r="J2112" s="200">
        <f t="shared" si="10675"/>
        <v>0</v>
      </c>
      <c r="K2112" s="200">
        <f t="shared" si="10675"/>
        <v>0</v>
      </c>
      <c r="L2112" s="200">
        <f t="shared" si="10675"/>
        <v>0</v>
      </c>
      <c r="M2112" s="200">
        <f t="shared" si="10675"/>
        <v>0</v>
      </c>
      <c r="N2112" s="200">
        <f t="shared" si="10675"/>
        <v>0</v>
      </c>
      <c r="O2112" s="200">
        <f t="shared" si="10675"/>
        <v>0</v>
      </c>
      <c r="P2112" s="200">
        <f t="shared" si="9"/>
        <v>0</v>
      </c>
      <c r="Q2112" s="200">
        <f t="shared" ref="Q2112:AC2112" si="10676">countif($D2112,"*"&amp;Q$2&amp;"*")</f>
        <v>0</v>
      </c>
      <c r="R2112" s="200">
        <f t="shared" si="10676"/>
        <v>0</v>
      </c>
      <c r="S2112" s="200">
        <f t="shared" si="10676"/>
        <v>0</v>
      </c>
      <c r="T2112" s="200">
        <f t="shared" si="10676"/>
        <v>0</v>
      </c>
      <c r="U2112" s="200">
        <f t="shared" si="10676"/>
        <v>0</v>
      </c>
      <c r="V2112" s="200">
        <f t="shared" si="10676"/>
        <v>0</v>
      </c>
      <c r="W2112" s="200">
        <f t="shared" si="10676"/>
        <v>0</v>
      </c>
      <c r="X2112" s="200">
        <f t="shared" si="10676"/>
        <v>0</v>
      </c>
      <c r="Y2112" s="200">
        <f t="shared" si="10676"/>
        <v>0</v>
      </c>
      <c r="Z2112" s="200">
        <f t="shared" si="10676"/>
        <v>0</v>
      </c>
      <c r="AA2112" s="200">
        <f t="shared" si="10676"/>
        <v>0</v>
      </c>
      <c r="AB2112" s="200">
        <f t="shared" si="10676"/>
        <v>0</v>
      </c>
      <c r="AC2112" s="200">
        <f t="shared" si="10676"/>
        <v>0</v>
      </c>
      <c r="AD2112" s="200">
        <f t="shared" si="11"/>
        <v>1</v>
      </c>
      <c r="AE2112" s="200">
        <f t="shared" ref="AE2112:AG2112" si="10677">countif($D2112,"*"&amp;AE$2&amp;"*")</f>
        <v>0</v>
      </c>
      <c r="AF2112" s="200">
        <f t="shared" si="10677"/>
        <v>0</v>
      </c>
      <c r="AG2112" s="200">
        <f t="shared" si="10677"/>
        <v>0</v>
      </c>
      <c r="AH2112" s="171">
        <f t="shared" si="13"/>
        <v>0</v>
      </c>
      <c r="AI2112" s="200">
        <f t="shared" si="14"/>
        <v>0</v>
      </c>
      <c r="AJ2112" s="200">
        <f>SUM(AK2112:AQ2112)</f>
        <v>0</v>
      </c>
      <c r="AK2112" s="201">
        <f t="shared" ref="AK2112:AS2112" si="10678">countif($D2112,"*"&amp;AK$2&amp;"*")</f>
        <v>0</v>
      </c>
      <c r="AL2112" s="201">
        <f t="shared" si="10678"/>
        <v>0</v>
      </c>
      <c r="AM2112" s="201">
        <f t="shared" si="10678"/>
        <v>0</v>
      </c>
      <c r="AN2112" s="201">
        <f t="shared" si="10678"/>
        <v>0</v>
      </c>
      <c r="AO2112" s="201">
        <f t="shared" si="10678"/>
        <v>0</v>
      </c>
      <c r="AP2112" s="201">
        <f t="shared" si="10678"/>
        <v>0</v>
      </c>
      <c r="AQ2112" s="201">
        <f t="shared" si="10678"/>
        <v>0</v>
      </c>
      <c r="AR2112" s="201">
        <f t="shared" si="10678"/>
        <v>0</v>
      </c>
      <c r="AS2112" s="200">
        <f t="shared" si="10678"/>
        <v>0</v>
      </c>
      <c r="AT2112" s="205">
        <v>0.0</v>
      </c>
      <c r="AU2112" s="200">
        <f t="shared" ref="AU2112:AX2112" si="10679">countif($D2112,"*"&amp;AU$2&amp;"*")</f>
        <v>1</v>
      </c>
      <c r="AV2112" s="200">
        <f t="shared" si="10679"/>
        <v>0</v>
      </c>
      <c r="AW2112" s="200">
        <f t="shared" si="10679"/>
        <v>0</v>
      </c>
      <c r="AX2112" s="200">
        <f t="shared" si="10679"/>
        <v>0</v>
      </c>
      <c r="AY2112" s="202">
        <v>0.0</v>
      </c>
      <c r="AZ2112" s="200"/>
      <c r="BA2112" s="171" t="str">
        <f t="shared" si="18"/>
        <v/>
      </c>
      <c r="BB2112" s="171" t="str">
        <f t="shared" si="19"/>
        <v/>
      </c>
      <c r="BC2112" s="171" t="str">
        <f t="shared" si="20"/>
        <v/>
      </c>
      <c r="BD2112" s="171" t="str">
        <f t="shared" si="21"/>
        <v>Institutional</v>
      </c>
      <c r="BE2112" s="171" t="str">
        <f t="shared" si="22"/>
        <v/>
      </c>
      <c r="BF2112" s="171" t="str">
        <f t="shared" si="23"/>
        <v>Institutional</v>
      </c>
    </row>
    <row r="2113">
      <c r="A2113" s="171">
        <f t="array" ref="A2113">XLOOKUP(C2113,FSE!A:A,FSE!C:C,"XXXXX",0,1)</f>
        <v>2015</v>
      </c>
      <c r="B2113" s="213" t="s">
        <v>5676</v>
      </c>
      <c r="C2113" s="214">
        <v>755.0</v>
      </c>
      <c r="D2113" s="215" t="s">
        <v>3661</v>
      </c>
      <c r="E2113" s="197" t="str">
        <f t="array" ref="E2113">XLOOKUP(C2113,FSE!A:A,FSE!Z:Z,"XXXXX",0,1)</f>
        <v>Publicly Available (1)</v>
      </c>
      <c r="F2113" s="213" t="s">
        <v>3394</v>
      </c>
      <c r="G2113" s="163" t="str">
        <f t="array" ref="G2113">IF(B2113="ICSE",IF(COUNTIFS(B:B,B2113,C:C,C2113)=XLOOKUP(C2113,ICSE!A:A,ICSE!AA:AA,"ERROR",0,1),"OK","ERROR"),IF(B2113="FSE",IF(COUNTIFS(B:B,B2113,C:C,C2113)=XLOOKUP(C2113,FSE!A:A,FSE!AA:AA,"ERROR",0,1),"OK","ERROR")))</f>
        <v>OK</v>
      </c>
      <c r="H2113" s="199">
        <f t="shared" ref="H2113:O2113" si="10680">countif($D2113,"*"&amp;H$2&amp;"*")</f>
        <v>0</v>
      </c>
      <c r="I2113" s="200">
        <f t="shared" si="10680"/>
        <v>0</v>
      </c>
      <c r="J2113" s="200">
        <f t="shared" si="10680"/>
        <v>0</v>
      </c>
      <c r="K2113" s="200">
        <f t="shared" si="10680"/>
        <v>0</v>
      </c>
      <c r="L2113" s="200">
        <f t="shared" si="10680"/>
        <v>0</v>
      </c>
      <c r="M2113" s="200">
        <f t="shared" si="10680"/>
        <v>0</v>
      </c>
      <c r="N2113" s="200">
        <f t="shared" si="10680"/>
        <v>0</v>
      </c>
      <c r="O2113" s="200">
        <f t="shared" si="10680"/>
        <v>0</v>
      </c>
      <c r="P2113" s="200">
        <f t="shared" si="9"/>
        <v>0</v>
      </c>
      <c r="Q2113" s="200">
        <f t="shared" ref="Q2113:AC2113" si="10681">countif($D2113,"*"&amp;Q$2&amp;"*")</f>
        <v>0</v>
      </c>
      <c r="R2113" s="200">
        <f t="shared" si="10681"/>
        <v>1</v>
      </c>
      <c r="S2113" s="200">
        <f t="shared" si="10681"/>
        <v>0</v>
      </c>
      <c r="T2113" s="200">
        <f t="shared" si="10681"/>
        <v>0</v>
      </c>
      <c r="U2113" s="200">
        <f t="shared" si="10681"/>
        <v>0</v>
      </c>
      <c r="V2113" s="200">
        <f t="shared" si="10681"/>
        <v>0</v>
      </c>
      <c r="W2113" s="200">
        <f t="shared" si="10681"/>
        <v>0</v>
      </c>
      <c r="X2113" s="200">
        <f t="shared" si="10681"/>
        <v>0</v>
      </c>
      <c r="Y2113" s="200">
        <f t="shared" si="10681"/>
        <v>0</v>
      </c>
      <c r="Z2113" s="200">
        <f t="shared" si="10681"/>
        <v>0</v>
      </c>
      <c r="AA2113" s="200">
        <f t="shared" si="10681"/>
        <v>0</v>
      </c>
      <c r="AB2113" s="200">
        <f t="shared" si="10681"/>
        <v>0</v>
      </c>
      <c r="AC2113" s="200">
        <f t="shared" si="10681"/>
        <v>0</v>
      </c>
      <c r="AD2113" s="200">
        <f t="shared" si="11"/>
        <v>0</v>
      </c>
      <c r="AE2113" s="200">
        <f t="shared" ref="AE2113:AG2113" si="10682">countif($D2113,"*"&amp;AE$2&amp;"*")</f>
        <v>0</v>
      </c>
      <c r="AF2113" s="200">
        <f t="shared" si="10682"/>
        <v>0</v>
      </c>
      <c r="AG2113" s="200">
        <f t="shared" si="10682"/>
        <v>0</v>
      </c>
      <c r="AH2113" s="171">
        <f t="shared" si="13"/>
        <v>0</v>
      </c>
      <c r="AI2113" s="200">
        <f t="shared" si="14"/>
        <v>0</v>
      </c>
      <c r="AJ2113" s="200">
        <f>SUM(AK2113:AR2113)</f>
        <v>0</v>
      </c>
      <c r="AK2113" s="201">
        <f t="shared" ref="AK2113:AS2113" si="10683">countif($D2113,"*"&amp;AK$2&amp;"*")</f>
        <v>0</v>
      </c>
      <c r="AL2113" s="201">
        <f t="shared" si="10683"/>
        <v>0</v>
      </c>
      <c r="AM2113" s="201">
        <f t="shared" si="10683"/>
        <v>0</v>
      </c>
      <c r="AN2113" s="201">
        <f t="shared" si="10683"/>
        <v>0</v>
      </c>
      <c r="AO2113" s="201">
        <f t="shared" si="10683"/>
        <v>0</v>
      </c>
      <c r="AP2113" s="201">
        <f t="shared" si="10683"/>
        <v>0</v>
      </c>
      <c r="AQ2113" s="201">
        <f t="shared" si="10683"/>
        <v>0</v>
      </c>
      <c r="AR2113" s="200">
        <f t="shared" si="10683"/>
        <v>0</v>
      </c>
      <c r="AS2113" s="200">
        <f t="shared" si="10683"/>
        <v>0</v>
      </c>
      <c r="AT2113" s="173">
        <v>0.0</v>
      </c>
      <c r="AU2113" s="200">
        <f t="shared" ref="AU2113:AX2113" si="10684">countif($D2113,"*"&amp;AU$2&amp;"*")</f>
        <v>0</v>
      </c>
      <c r="AV2113" s="200">
        <f t="shared" si="10684"/>
        <v>0</v>
      </c>
      <c r="AW2113" s="200">
        <f t="shared" si="10684"/>
        <v>0</v>
      </c>
      <c r="AX2113" s="200">
        <f t="shared" si="10684"/>
        <v>0</v>
      </c>
      <c r="AY2113" s="202">
        <v>0.0</v>
      </c>
      <c r="AZ2113" s="200"/>
      <c r="BA2113" s="171" t="str">
        <f t="shared" si="18"/>
        <v/>
      </c>
      <c r="BB2113" s="171" t="str">
        <f t="shared" si="19"/>
        <v>Code</v>
      </c>
      <c r="BC2113" s="171" t="str">
        <f t="shared" si="20"/>
        <v/>
      </c>
      <c r="BD2113" s="171" t="str">
        <f t="shared" si="21"/>
        <v/>
      </c>
      <c r="BE2113" s="171" t="str">
        <f t="shared" si="22"/>
        <v/>
      </c>
      <c r="BF2113" s="171" t="str">
        <f t="shared" si="23"/>
        <v>Code</v>
      </c>
    </row>
    <row r="2114">
      <c r="A2114" s="171">
        <f t="array" ref="A2114">XLOOKUP(C2114,FSE!A:A,FSE!C:C,"XXXXX",0,1)</f>
        <v>2015</v>
      </c>
      <c r="B2114" s="213" t="s">
        <v>5676</v>
      </c>
      <c r="C2114" s="214">
        <v>756.0</v>
      </c>
      <c r="D2114" s="217" t="s">
        <v>6585</v>
      </c>
      <c r="E2114" s="197" t="str">
        <f t="array" ref="E2114">XLOOKUP(C2114,FSE!A:A,FSE!Z:Z,"XXXXX",0,1)</f>
        <v>Not Available (1)</v>
      </c>
      <c r="F2114" s="213" t="s">
        <v>3395</v>
      </c>
      <c r="G2114" s="163" t="str">
        <f t="array" ref="G2114">IF(B2114="ICSE",IF(COUNTIFS(B:B,B2114,C:C,C2114)=XLOOKUP(C2114,ICSE!A:A,ICSE!AA:AA,"ERROR",0,1),"OK","ERROR"),IF(B2114="FSE",IF(COUNTIFS(B:B,B2114,C:C,C2114)=XLOOKUP(C2114,FSE!A:A,FSE!AA:AA,"ERROR",0,1),"OK","ERROR")))</f>
        <v>OK</v>
      </c>
      <c r="H2114" s="199">
        <f t="shared" ref="H2114:O2114" si="10685">countif($D2114,"*"&amp;H$2&amp;"*")</f>
        <v>0</v>
      </c>
      <c r="I2114" s="200">
        <f t="shared" si="10685"/>
        <v>0</v>
      </c>
      <c r="J2114" s="200">
        <f t="shared" si="10685"/>
        <v>0</v>
      </c>
      <c r="K2114" s="200">
        <f t="shared" si="10685"/>
        <v>0</v>
      </c>
      <c r="L2114" s="200">
        <f t="shared" si="10685"/>
        <v>0</v>
      </c>
      <c r="M2114" s="200">
        <f t="shared" si="10685"/>
        <v>0</v>
      </c>
      <c r="N2114" s="200">
        <f t="shared" si="10685"/>
        <v>0</v>
      </c>
      <c r="O2114" s="200">
        <f t="shared" si="10685"/>
        <v>0</v>
      </c>
      <c r="P2114" s="200">
        <f t="shared" si="9"/>
        <v>0</v>
      </c>
      <c r="Q2114" s="200">
        <f t="shared" ref="Q2114:AC2114" si="10686">countif($D2114,"*"&amp;Q$2&amp;"*")</f>
        <v>0</v>
      </c>
      <c r="R2114" s="200">
        <f t="shared" si="10686"/>
        <v>0</v>
      </c>
      <c r="S2114" s="200">
        <f t="shared" si="10686"/>
        <v>0</v>
      </c>
      <c r="T2114" s="200">
        <f t="shared" si="10686"/>
        <v>0</v>
      </c>
      <c r="U2114" s="200">
        <f t="shared" si="10686"/>
        <v>0</v>
      </c>
      <c r="V2114" s="200">
        <f t="shared" si="10686"/>
        <v>0</v>
      </c>
      <c r="W2114" s="200">
        <f t="shared" si="10686"/>
        <v>0</v>
      </c>
      <c r="X2114" s="200">
        <f t="shared" si="10686"/>
        <v>0</v>
      </c>
      <c r="Y2114" s="200">
        <f t="shared" si="10686"/>
        <v>0</v>
      </c>
      <c r="Z2114" s="200">
        <f t="shared" si="10686"/>
        <v>0</v>
      </c>
      <c r="AA2114" s="200">
        <f t="shared" si="10686"/>
        <v>0</v>
      </c>
      <c r="AB2114" s="200">
        <f t="shared" si="10686"/>
        <v>0</v>
      </c>
      <c r="AC2114" s="200">
        <f t="shared" si="10686"/>
        <v>0</v>
      </c>
      <c r="AD2114" s="200">
        <f t="shared" si="11"/>
        <v>1</v>
      </c>
      <c r="AE2114" s="200">
        <f t="shared" ref="AE2114:AG2114" si="10687">countif($D2114,"*"&amp;AE$2&amp;"*")</f>
        <v>0</v>
      </c>
      <c r="AF2114" s="200">
        <f t="shared" si="10687"/>
        <v>0</v>
      </c>
      <c r="AG2114" s="200">
        <f t="shared" si="10687"/>
        <v>0</v>
      </c>
      <c r="AH2114" s="171">
        <f t="shared" si="13"/>
        <v>0</v>
      </c>
      <c r="AI2114" s="200">
        <f t="shared" si="14"/>
        <v>0</v>
      </c>
      <c r="AJ2114" s="200">
        <f>SUM(AK2114:AQ2114)</f>
        <v>1</v>
      </c>
      <c r="AK2114" s="201">
        <f t="shared" ref="AK2114:AS2114" si="10688">countif($D2114,"*"&amp;AK$2&amp;"*")</f>
        <v>0</v>
      </c>
      <c r="AL2114" s="201">
        <f t="shared" si="10688"/>
        <v>1</v>
      </c>
      <c r="AM2114" s="201">
        <f t="shared" si="10688"/>
        <v>0</v>
      </c>
      <c r="AN2114" s="201">
        <f t="shared" si="10688"/>
        <v>0</v>
      </c>
      <c r="AO2114" s="201">
        <f t="shared" si="10688"/>
        <v>0</v>
      </c>
      <c r="AP2114" s="201">
        <f t="shared" si="10688"/>
        <v>0</v>
      </c>
      <c r="AQ2114" s="201">
        <f t="shared" si="10688"/>
        <v>0</v>
      </c>
      <c r="AR2114" s="201">
        <f t="shared" si="10688"/>
        <v>0</v>
      </c>
      <c r="AS2114" s="200">
        <f t="shared" si="10688"/>
        <v>1</v>
      </c>
      <c r="AT2114" s="205">
        <v>0.0</v>
      </c>
      <c r="AU2114" s="200">
        <f t="shared" ref="AU2114:AX2114" si="10689">countif($D2114,"*"&amp;AU$2&amp;"*")</f>
        <v>1</v>
      </c>
      <c r="AV2114" s="200">
        <f t="shared" si="10689"/>
        <v>0</v>
      </c>
      <c r="AW2114" s="200">
        <f t="shared" si="10689"/>
        <v>0</v>
      </c>
      <c r="AX2114" s="200">
        <f t="shared" si="10689"/>
        <v>0</v>
      </c>
      <c r="AY2114" s="202">
        <v>0.0</v>
      </c>
      <c r="AZ2114" s="200"/>
      <c r="BA2114" s="171" t="str">
        <f t="shared" si="18"/>
        <v/>
      </c>
      <c r="BB2114" s="171" t="str">
        <f t="shared" si="19"/>
        <v/>
      </c>
      <c r="BC2114" s="171" t="str">
        <f t="shared" si="20"/>
        <v/>
      </c>
      <c r="BD2114" s="171" t="str">
        <f t="shared" si="21"/>
        <v>Institutional</v>
      </c>
      <c r="BE2114" s="171" t="str">
        <f t="shared" si="22"/>
        <v/>
      </c>
      <c r="BF2114" s="171" t="str">
        <f t="shared" si="23"/>
        <v>Institutional</v>
      </c>
    </row>
    <row r="2115">
      <c r="A2115" s="171">
        <f t="array" ref="A2115">XLOOKUP(C2115,FSE!A:A,FSE!C:C,"XXXXX",0,1)</f>
        <v>2015</v>
      </c>
      <c r="B2115" s="213" t="s">
        <v>5676</v>
      </c>
      <c r="C2115" s="214">
        <v>757.0</v>
      </c>
      <c r="D2115" s="215" t="s">
        <v>6586</v>
      </c>
      <c r="E2115" s="197" t="str">
        <f t="array" ref="E2115">XLOOKUP(C2115,FSE!A:A,FSE!Z:Z,"XXXXX",0,1)</f>
        <v>Not Available (1)
Publicly Available (1)</v>
      </c>
      <c r="F2115" s="213" t="s">
        <v>3395</v>
      </c>
      <c r="G2115" s="163" t="str">
        <f t="array" ref="G2115">IF(B2115="ICSE",IF(COUNTIFS(B:B,B2115,C:C,C2115)=XLOOKUP(C2115,ICSE!A:A,ICSE!AA:AA,"ERROR",0,1),"OK","ERROR"),IF(B2115="FSE",IF(COUNTIFS(B:B,B2115,C:C,C2115)=XLOOKUP(C2115,FSE!A:A,FSE!AA:AA,"ERROR",0,1),"OK","ERROR")))</f>
        <v>OK</v>
      </c>
      <c r="H2115" s="199">
        <f t="shared" ref="H2115:O2115" si="10690">countif($D2115,"*"&amp;H$2&amp;"*")</f>
        <v>0</v>
      </c>
      <c r="I2115" s="200">
        <f t="shared" si="10690"/>
        <v>0</v>
      </c>
      <c r="J2115" s="200">
        <f t="shared" si="10690"/>
        <v>0</v>
      </c>
      <c r="K2115" s="200">
        <f t="shared" si="10690"/>
        <v>0</v>
      </c>
      <c r="L2115" s="200">
        <f t="shared" si="10690"/>
        <v>0</v>
      </c>
      <c r="M2115" s="200">
        <f t="shared" si="10690"/>
        <v>0</v>
      </c>
      <c r="N2115" s="200">
        <f t="shared" si="10690"/>
        <v>0</v>
      </c>
      <c r="O2115" s="200">
        <f t="shared" si="10690"/>
        <v>0</v>
      </c>
      <c r="P2115" s="200">
        <f t="shared" si="9"/>
        <v>0</v>
      </c>
      <c r="Q2115" s="200">
        <f t="shared" ref="Q2115:AC2115" si="10691">countif($D2115,"*"&amp;Q$2&amp;"*")</f>
        <v>0</v>
      </c>
      <c r="R2115" s="200">
        <f t="shared" si="10691"/>
        <v>0</v>
      </c>
      <c r="S2115" s="200">
        <f t="shared" si="10691"/>
        <v>0</v>
      </c>
      <c r="T2115" s="200">
        <f t="shared" si="10691"/>
        <v>0</v>
      </c>
      <c r="U2115" s="200">
        <f t="shared" si="10691"/>
        <v>0</v>
      </c>
      <c r="V2115" s="200">
        <f t="shared" si="10691"/>
        <v>0</v>
      </c>
      <c r="W2115" s="200">
        <f t="shared" si="10691"/>
        <v>0</v>
      </c>
      <c r="X2115" s="200">
        <f t="shared" si="10691"/>
        <v>0</v>
      </c>
      <c r="Y2115" s="200">
        <f t="shared" si="10691"/>
        <v>0</v>
      </c>
      <c r="Z2115" s="200">
        <f t="shared" si="10691"/>
        <v>0</v>
      </c>
      <c r="AA2115" s="200">
        <f t="shared" si="10691"/>
        <v>0</v>
      </c>
      <c r="AB2115" s="200">
        <f t="shared" si="10691"/>
        <v>0</v>
      </c>
      <c r="AC2115" s="200">
        <f t="shared" si="10691"/>
        <v>0</v>
      </c>
      <c r="AD2115" s="200">
        <f t="shared" si="11"/>
        <v>1</v>
      </c>
      <c r="AE2115" s="200">
        <f t="shared" ref="AE2115:AG2115" si="10692">countif($D2115,"*"&amp;AE$2&amp;"*")</f>
        <v>0</v>
      </c>
      <c r="AF2115" s="200">
        <f t="shared" si="10692"/>
        <v>0</v>
      </c>
      <c r="AG2115" s="200">
        <f t="shared" si="10692"/>
        <v>0</v>
      </c>
      <c r="AH2115" s="171">
        <f t="shared" si="13"/>
        <v>0</v>
      </c>
      <c r="AI2115" s="200">
        <f t="shared" si="14"/>
        <v>0</v>
      </c>
      <c r="AJ2115" s="200">
        <f t="shared" ref="AJ2115:AJ2127" si="10698">SUM(AK2115:AR2115)</f>
        <v>0</v>
      </c>
      <c r="AK2115" s="201">
        <f t="shared" ref="AK2115:AS2115" si="10693">countif($D2115,"*"&amp;AK$2&amp;"*")</f>
        <v>0</v>
      </c>
      <c r="AL2115" s="201">
        <f t="shared" si="10693"/>
        <v>0</v>
      </c>
      <c r="AM2115" s="201">
        <f t="shared" si="10693"/>
        <v>0</v>
      </c>
      <c r="AN2115" s="201">
        <f t="shared" si="10693"/>
        <v>0</v>
      </c>
      <c r="AO2115" s="201">
        <f t="shared" si="10693"/>
        <v>0</v>
      </c>
      <c r="AP2115" s="201">
        <f t="shared" si="10693"/>
        <v>0</v>
      </c>
      <c r="AQ2115" s="201">
        <f t="shared" si="10693"/>
        <v>0</v>
      </c>
      <c r="AR2115" s="200">
        <f t="shared" si="10693"/>
        <v>0</v>
      </c>
      <c r="AS2115" s="200">
        <f t="shared" si="10693"/>
        <v>0</v>
      </c>
      <c r="AT2115" s="173">
        <v>1.0</v>
      </c>
      <c r="AU2115" s="200">
        <f t="shared" ref="AU2115:AX2115" si="10694">countif($D2115,"*"&amp;AU$2&amp;"*")</f>
        <v>0</v>
      </c>
      <c r="AV2115" s="200">
        <f t="shared" si="10694"/>
        <v>0</v>
      </c>
      <c r="AW2115" s="200">
        <f t="shared" si="10694"/>
        <v>0</v>
      </c>
      <c r="AX2115" s="200">
        <f t="shared" si="10694"/>
        <v>0</v>
      </c>
      <c r="AY2115" s="202">
        <v>0.0</v>
      </c>
      <c r="AZ2115" s="200"/>
      <c r="BA2115" s="171" t="str">
        <f t="shared" si="18"/>
        <v/>
      </c>
      <c r="BB2115" s="171" t="str">
        <f t="shared" si="19"/>
        <v/>
      </c>
      <c r="BC2115" s="171" t="str">
        <f t="shared" si="20"/>
        <v/>
      </c>
      <c r="BD2115" s="171" t="str">
        <f t="shared" si="21"/>
        <v>Institutional</v>
      </c>
      <c r="BE2115" s="171" t="str">
        <f t="shared" si="22"/>
        <v/>
      </c>
      <c r="BF2115" s="171" t="str">
        <f t="shared" si="23"/>
        <v>Institutional</v>
      </c>
    </row>
    <row r="2116">
      <c r="A2116" s="213">
        <f t="array" ref="A2116">XLOOKUP(C2116,FSE!A:A,FSE!C:C,"XXXXX",0,1)</f>
        <v>2015</v>
      </c>
      <c r="B2116" s="213" t="s">
        <v>5676</v>
      </c>
      <c r="C2116" s="220">
        <v>757.0</v>
      </c>
      <c r="D2116" s="217" t="s">
        <v>6587</v>
      </c>
      <c r="E2116" s="221" t="str">
        <f t="array" ref="E2116">XLOOKUP(C2116,FSE!A:A,FSE!Z:Z,"XXXXX",0,1)</f>
        <v>Not Available (1)
Publicly Available (1)</v>
      </c>
      <c r="F2116" s="213" t="s">
        <v>3394</v>
      </c>
      <c r="G2116" s="163" t="str">
        <f t="array" ref="G2116">IF(B2116="ICSE",IF(COUNTIFS(B:B,B2116,C:C,C2116)=XLOOKUP(C2116,ICSE!A:A,ICSE!AA:AA,"ERROR",0,1),"OK","ERROR"),IF(B2116="FSE",IF(COUNTIFS(B:B,B2116,C:C,C2116)=XLOOKUP(C2116,FSE!A:A,FSE!AA:AA,"ERROR",0,1),"OK","ERROR")))</f>
        <v>OK</v>
      </c>
      <c r="H2116" s="199">
        <f t="shared" ref="H2116:O2116" si="10695">countif($D2116,"*"&amp;H$2&amp;"*")</f>
        <v>0</v>
      </c>
      <c r="I2116" s="200">
        <f t="shared" si="10695"/>
        <v>0</v>
      </c>
      <c r="J2116" s="200">
        <f t="shared" si="10695"/>
        <v>0</v>
      </c>
      <c r="K2116" s="200">
        <f t="shared" si="10695"/>
        <v>0</v>
      </c>
      <c r="L2116" s="200">
        <f t="shared" si="10695"/>
        <v>0</v>
      </c>
      <c r="M2116" s="200">
        <f t="shared" si="10695"/>
        <v>0</v>
      </c>
      <c r="N2116" s="200">
        <f t="shared" si="10695"/>
        <v>0</v>
      </c>
      <c r="O2116" s="200">
        <f t="shared" si="10695"/>
        <v>0</v>
      </c>
      <c r="P2116" s="200">
        <f t="shared" si="9"/>
        <v>1</v>
      </c>
      <c r="Q2116" s="200">
        <f t="shared" ref="Q2116:AC2116" si="10696">countif($D2116,"*"&amp;Q$2&amp;"*")</f>
        <v>0</v>
      </c>
      <c r="R2116" s="200">
        <f t="shared" si="10696"/>
        <v>0</v>
      </c>
      <c r="S2116" s="200">
        <f t="shared" si="10696"/>
        <v>0</v>
      </c>
      <c r="T2116" s="200">
        <f t="shared" si="10696"/>
        <v>0</v>
      </c>
      <c r="U2116" s="200">
        <f t="shared" si="10696"/>
        <v>0</v>
      </c>
      <c r="V2116" s="200">
        <f t="shared" si="10696"/>
        <v>0</v>
      </c>
      <c r="W2116" s="200">
        <f t="shared" si="10696"/>
        <v>0</v>
      </c>
      <c r="X2116" s="200">
        <f t="shared" si="10696"/>
        <v>0</v>
      </c>
      <c r="Y2116" s="200">
        <f t="shared" si="10696"/>
        <v>0</v>
      </c>
      <c r="Z2116" s="200">
        <f t="shared" si="10696"/>
        <v>0</v>
      </c>
      <c r="AA2116" s="200">
        <f t="shared" si="10696"/>
        <v>0</v>
      </c>
      <c r="AB2116" s="200">
        <f t="shared" si="10696"/>
        <v>0</v>
      </c>
      <c r="AC2116" s="200">
        <f t="shared" si="10696"/>
        <v>0</v>
      </c>
      <c r="AD2116" s="222">
        <f t="shared" si="11"/>
        <v>0</v>
      </c>
      <c r="AE2116" s="200">
        <f t="shared" ref="AE2116:AG2116" si="10697">countif($D2116,"*"&amp;AE$2&amp;"*")</f>
        <v>0</v>
      </c>
      <c r="AF2116" s="200">
        <f t="shared" si="10697"/>
        <v>0</v>
      </c>
      <c r="AG2116" s="200">
        <f t="shared" si="10697"/>
        <v>0</v>
      </c>
      <c r="AH2116" s="171">
        <f t="shared" si="13"/>
        <v>0</v>
      </c>
      <c r="AI2116" s="200">
        <f t="shared" si="14"/>
        <v>0</v>
      </c>
      <c r="AJ2116" s="200">
        <f t="shared" si="10698"/>
        <v>0</v>
      </c>
      <c r="AK2116" s="201">
        <f t="shared" ref="AK2116:AS2116" si="10699">countif($D2116,"*"&amp;AK$2&amp;"*")</f>
        <v>0</v>
      </c>
      <c r="AL2116" s="201">
        <f t="shared" si="10699"/>
        <v>0</v>
      </c>
      <c r="AM2116" s="201">
        <f t="shared" si="10699"/>
        <v>0</v>
      </c>
      <c r="AN2116" s="201">
        <f t="shared" si="10699"/>
        <v>0</v>
      </c>
      <c r="AO2116" s="201">
        <f t="shared" si="10699"/>
        <v>0</v>
      </c>
      <c r="AP2116" s="201">
        <f t="shared" si="10699"/>
        <v>0</v>
      </c>
      <c r="AQ2116" s="201">
        <f t="shared" si="10699"/>
        <v>0</v>
      </c>
      <c r="AR2116" s="222">
        <f t="shared" si="10699"/>
        <v>0</v>
      </c>
      <c r="AS2116" s="200">
        <f t="shared" si="10699"/>
        <v>0</v>
      </c>
      <c r="AT2116" s="223">
        <v>0.0</v>
      </c>
      <c r="AU2116" s="200">
        <f t="shared" ref="AU2116:AX2116" si="10700">countif($D2116,"*"&amp;AU$2&amp;"*")</f>
        <v>0</v>
      </c>
      <c r="AV2116" s="200">
        <f t="shared" si="10700"/>
        <v>1</v>
      </c>
      <c r="AW2116" s="200">
        <f t="shared" si="10700"/>
        <v>0</v>
      </c>
      <c r="AX2116" s="200">
        <f t="shared" si="10700"/>
        <v>0</v>
      </c>
      <c r="AY2116" s="202">
        <v>0.0</v>
      </c>
      <c r="AZ2116" s="200"/>
      <c r="BA2116" s="171" t="str">
        <f t="shared" si="18"/>
        <v/>
      </c>
      <c r="BB2116" s="171" t="str">
        <f t="shared" si="19"/>
        <v>Code</v>
      </c>
      <c r="BC2116" s="171" t="str">
        <f t="shared" si="20"/>
        <v/>
      </c>
      <c r="BD2116" s="171" t="str">
        <f t="shared" si="21"/>
        <v/>
      </c>
      <c r="BE2116" s="171" t="str">
        <f t="shared" si="22"/>
        <v/>
      </c>
      <c r="BF2116" s="171" t="str">
        <f t="shared" si="23"/>
        <v>Code</v>
      </c>
    </row>
    <row r="2117">
      <c r="A2117" s="171">
        <f t="array" ref="A2117">XLOOKUP(C2117,FSE!A:A,FSE!C:C,"XXXXX",0,1)</f>
        <v>2015</v>
      </c>
      <c r="B2117" s="213" t="s">
        <v>5676</v>
      </c>
      <c r="C2117" s="214">
        <v>759.0</v>
      </c>
      <c r="D2117" s="217" t="s">
        <v>6588</v>
      </c>
      <c r="E2117" s="197" t="str">
        <f t="array" ref="E2117">XLOOKUP(C2117,FSE!A:A,FSE!Z:Z,"XXXXX",0,1)</f>
        <v>Publicly Available (1)
Restrict Access (1)</v>
      </c>
      <c r="F2117" s="213" t="s">
        <v>3394</v>
      </c>
      <c r="G2117" s="163" t="str">
        <f t="array" ref="G2117">IF(B2117="ICSE",IF(COUNTIFS(B:B,B2117,C:C,C2117)=XLOOKUP(C2117,ICSE!A:A,ICSE!AA:AA,"ERROR",0,1),"OK","ERROR"),IF(B2117="FSE",IF(COUNTIFS(B:B,B2117,C:C,C2117)=XLOOKUP(C2117,FSE!A:A,FSE!AA:AA,"ERROR",0,1),"OK","ERROR")))</f>
        <v>OK</v>
      </c>
      <c r="H2117" s="199">
        <f t="shared" ref="H2117:O2117" si="10701">countif($D2117,"*"&amp;H$2&amp;"*")</f>
        <v>0</v>
      </c>
      <c r="I2117" s="200">
        <f t="shared" si="10701"/>
        <v>0</v>
      </c>
      <c r="J2117" s="200">
        <f t="shared" si="10701"/>
        <v>0</v>
      </c>
      <c r="K2117" s="200">
        <f t="shared" si="10701"/>
        <v>0</v>
      </c>
      <c r="L2117" s="200">
        <f t="shared" si="10701"/>
        <v>0</v>
      </c>
      <c r="M2117" s="200">
        <f t="shared" si="10701"/>
        <v>0</v>
      </c>
      <c r="N2117" s="200">
        <f t="shared" si="10701"/>
        <v>0</v>
      </c>
      <c r="O2117" s="200">
        <f t="shared" si="10701"/>
        <v>0</v>
      </c>
      <c r="P2117" s="200">
        <f t="shared" si="9"/>
        <v>0</v>
      </c>
      <c r="Q2117" s="200">
        <f t="shared" ref="Q2117:AC2117" si="10702">countif($D2117,"*"&amp;Q$2&amp;"*")</f>
        <v>0</v>
      </c>
      <c r="R2117" s="200">
        <f t="shared" si="10702"/>
        <v>0</v>
      </c>
      <c r="S2117" s="200">
        <f t="shared" si="10702"/>
        <v>0</v>
      </c>
      <c r="T2117" s="200">
        <f t="shared" si="10702"/>
        <v>0</v>
      </c>
      <c r="U2117" s="200">
        <f t="shared" si="10702"/>
        <v>0</v>
      </c>
      <c r="V2117" s="200">
        <f t="shared" si="10702"/>
        <v>0</v>
      </c>
      <c r="W2117" s="200">
        <f t="shared" si="10702"/>
        <v>0</v>
      </c>
      <c r="X2117" s="200">
        <f t="shared" si="10702"/>
        <v>0</v>
      </c>
      <c r="Y2117" s="200">
        <f t="shared" si="10702"/>
        <v>0</v>
      </c>
      <c r="Z2117" s="200">
        <f t="shared" si="10702"/>
        <v>1</v>
      </c>
      <c r="AA2117" s="200">
        <f t="shared" si="10702"/>
        <v>0</v>
      </c>
      <c r="AB2117" s="200">
        <f t="shared" si="10702"/>
        <v>0</v>
      </c>
      <c r="AC2117" s="200">
        <f t="shared" si="10702"/>
        <v>0</v>
      </c>
      <c r="AD2117" s="200">
        <f t="shared" si="11"/>
        <v>0</v>
      </c>
      <c r="AE2117" s="200">
        <f t="shared" ref="AE2117:AG2117" si="10703">countif($D2117,"*"&amp;AE$2&amp;"*")</f>
        <v>0</v>
      </c>
      <c r="AF2117" s="200">
        <f t="shared" si="10703"/>
        <v>0</v>
      </c>
      <c r="AG2117" s="200">
        <f t="shared" si="10703"/>
        <v>0</v>
      </c>
      <c r="AH2117" s="171">
        <f t="shared" si="13"/>
        <v>0</v>
      </c>
      <c r="AI2117" s="200">
        <f t="shared" si="14"/>
        <v>0</v>
      </c>
      <c r="AJ2117" s="200">
        <f t="shared" si="10698"/>
        <v>1</v>
      </c>
      <c r="AK2117" s="201">
        <f t="shared" ref="AK2117:AS2117" si="10704">countif($D2117,"*"&amp;AK$2&amp;"*")</f>
        <v>0</v>
      </c>
      <c r="AL2117" s="201">
        <f t="shared" si="10704"/>
        <v>0</v>
      </c>
      <c r="AM2117" s="201">
        <f t="shared" si="10704"/>
        <v>1</v>
      </c>
      <c r="AN2117" s="201">
        <f t="shared" si="10704"/>
        <v>0</v>
      </c>
      <c r="AO2117" s="201">
        <f t="shared" si="10704"/>
        <v>0</v>
      </c>
      <c r="AP2117" s="201">
        <f t="shared" si="10704"/>
        <v>0</v>
      </c>
      <c r="AQ2117" s="201">
        <f t="shared" si="10704"/>
        <v>0</v>
      </c>
      <c r="AR2117" s="200">
        <f t="shared" si="10704"/>
        <v>0</v>
      </c>
      <c r="AS2117" s="200">
        <f t="shared" si="10704"/>
        <v>1</v>
      </c>
      <c r="AT2117" s="173">
        <v>0.0</v>
      </c>
      <c r="AU2117" s="200">
        <f t="shared" ref="AU2117:AX2117" si="10705">countif($D2117,"*"&amp;AU$2&amp;"*")</f>
        <v>0</v>
      </c>
      <c r="AV2117" s="200">
        <f t="shared" si="10705"/>
        <v>0</v>
      </c>
      <c r="AW2117" s="200">
        <f t="shared" si="10705"/>
        <v>0</v>
      </c>
      <c r="AX2117" s="200">
        <f t="shared" si="10705"/>
        <v>0</v>
      </c>
      <c r="AY2117" s="202">
        <v>0.0</v>
      </c>
      <c r="AZ2117" s="200"/>
      <c r="BA2117" s="171" t="str">
        <f t="shared" si="18"/>
        <v/>
      </c>
      <c r="BB2117" s="171" t="str">
        <f t="shared" si="19"/>
        <v/>
      </c>
      <c r="BC2117" s="171" t="str">
        <f t="shared" si="20"/>
        <v>General-purpose</v>
      </c>
      <c r="BD2117" s="171" t="str">
        <f t="shared" si="21"/>
        <v/>
      </c>
      <c r="BE2117" s="171" t="str">
        <f t="shared" si="22"/>
        <v/>
      </c>
      <c r="BF2117" s="171" t="str">
        <f t="shared" si="23"/>
        <v>General-purpose</v>
      </c>
    </row>
    <row r="2118">
      <c r="A2118" s="171">
        <f t="array" ref="A2118">XLOOKUP(C2118,FSE!A:A,FSE!C:C,"XXXXX",0,1)</f>
        <v>2015</v>
      </c>
      <c r="B2118" s="213" t="s">
        <v>5676</v>
      </c>
      <c r="C2118" s="214">
        <v>759.0</v>
      </c>
      <c r="D2118" s="217" t="s">
        <v>6589</v>
      </c>
      <c r="E2118" s="197" t="str">
        <f t="array" ref="E2118">XLOOKUP(C2118,FSE!A:A,FSE!Z:Z,"XXXXX",0,1)</f>
        <v>Publicly Available (1)
Restrict Access (1)</v>
      </c>
      <c r="F2118" s="213" t="s">
        <v>3396</v>
      </c>
      <c r="G2118" s="163" t="str">
        <f t="array" ref="G2118">IF(B2118="ICSE",IF(COUNTIFS(B:B,B2118,C:C,C2118)=XLOOKUP(C2118,ICSE!A:A,ICSE!AA:AA,"ERROR",0,1),"OK","ERROR"),IF(B2118="FSE",IF(COUNTIFS(B:B,B2118,C:C,C2118)=XLOOKUP(C2118,FSE!A:A,FSE!AA:AA,"ERROR",0,1),"OK","ERROR")))</f>
        <v>OK</v>
      </c>
      <c r="H2118" s="199">
        <f t="shared" ref="H2118:O2118" si="10706">countif($D2118,"*"&amp;H$2&amp;"*")</f>
        <v>0</v>
      </c>
      <c r="I2118" s="200">
        <f t="shared" si="10706"/>
        <v>0</v>
      </c>
      <c r="J2118" s="200">
        <f t="shared" si="10706"/>
        <v>0</v>
      </c>
      <c r="K2118" s="200">
        <f t="shared" si="10706"/>
        <v>0</v>
      </c>
      <c r="L2118" s="200">
        <f t="shared" si="10706"/>
        <v>0</v>
      </c>
      <c r="M2118" s="200">
        <f t="shared" si="10706"/>
        <v>0</v>
      </c>
      <c r="N2118" s="200">
        <f t="shared" si="10706"/>
        <v>0</v>
      </c>
      <c r="O2118" s="200">
        <f t="shared" si="10706"/>
        <v>0</v>
      </c>
      <c r="P2118" s="200">
        <f t="shared" si="9"/>
        <v>0</v>
      </c>
      <c r="Q2118" s="200">
        <f t="shared" ref="Q2118:AC2118" si="10707">countif($D2118,"*"&amp;Q$2&amp;"*")</f>
        <v>0</v>
      </c>
      <c r="R2118" s="200">
        <f t="shared" si="10707"/>
        <v>0</v>
      </c>
      <c r="S2118" s="200">
        <f t="shared" si="10707"/>
        <v>0</v>
      </c>
      <c r="T2118" s="200">
        <f t="shared" si="10707"/>
        <v>0</v>
      </c>
      <c r="U2118" s="200">
        <f t="shared" si="10707"/>
        <v>0</v>
      </c>
      <c r="V2118" s="200">
        <f t="shared" si="10707"/>
        <v>1</v>
      </c>
      <c r="W2118" s="200">
        <f t="shared" si="10707"/>
        <v>0</v>
      </c>
      <c r="X2118" s="200">
        <f t="shared" si="10707"/>
        <v>0</v>
      </c>
      <c r="Y2118" s="200">
        <f t="shared" si="10707"/>
        <v>0</v>
      </c>
      <c r="Z2118" s="200">
        <f t="shared" si="10707"/>
        <v>0</v>
      </c>
      <c r="AA2118" s="200">
        <f t="shared" si="10707"/>
        <v>0</v>
      </c>
      <c r="AB2118" s="200">
        <f t="shared" si="10707"/>
        <v>0</v>
      </c>
      <c r="AC2118" s="200">
        <f t="shared" si="10707"/>
        <v>0</v>
      </c>
      <c r="AD2118" s="200">
        <f t="shared" si="11"/>
        <v>0</v>
      </c>
      <c r="AE2118" s="200">
        <f t="shared" ref="AE2118:AG2118" si="10708">countif($D2118,"*"&amp;AE$2&amp;"*")</f>
        <v>0</v>
      </c>
      <c r="AF2118" s="200">
        <f t="shared" si="10708"/>
        <v>0</v>
      </c>
      <c r="AG2118" s="200">
        <f t="shared" si="10708"/>
        <v>0</v>
      </c>
      <c r="AH2118" s="171">
        <f t="shared" si="13"/>
        <v>0</v>
      </c>
      <c r="AI2118" s="200">
        <f t="shared" si="14"/>
        <v>0</v>
      </c>
      <c r="AJ2118" s="200">
        <f t="shared" si="10698"/>
        <v>1</v>
      </c>
      <c r="AK2118" s="201">
        <f t="shared" ref="AK2118:AS2118" si="10709">countif($D2118,"*"&amp;AK$2&amp;"*")</f>
        <v>0</v>
      </c>
      <c r="AL2118" s="201">
        <f t="shared" si="10709"/>
        <v>0</v>
      </c>
      <c r="AM2118" s="201">
        <f t="shared" si="10709"/>
        <v>1</v>
      </c>
      <c r="AN2118" s="201">
        <f t="shared" si="10709"/>
        <v>0</v>
      </c>
      <c r="AO2118" s="201">
        <f t="shared" si="10709"/>
        <v>0</v>
      </c>
      <c r="AP2118" s="201">
        <f t="shared" si="10709"/>
        <v>0</v>
      </c>
      <c r="AQ2118" s="201">
        <f t="shared" si="10709"/>
        <v>0</v>
      </c>
      <c r="AR2118" s="200">
        <f t="shared" si="10709"/>
        <v>0</v>
      </c>
      <c r="AS2118" s="200">
        <f t="shared" si="10709"/>
        <v>1</v>
      </c>
      <c r="AT2118" s="173">
        <v>0.0</v>
      </c>
      <c r="AU2118" s="200">
        <f t="shared" ref="AU2118:AX2118" si="10710">countif($D2118,"*"&amp;AU$2&amp;"*")</f>
        <v>0</v>
      </c>
      <c r="AV2118" s="200">
        <f t="shared" si="10710"/>
        <v>0</v>
      </c>
      <c r="AW2118" s="200">
        <f t="shared" si="10710"/>
        <v>0</v>
      </c>
      <c r="AX2118" s="200">
        <f t="shared" si="10710"/>
        <v>0</v>
      </c>
      <c r="AY2118" s="202">
        <v>0.0</v>
      </c>
      <c r="AZ2118" s="200"/>
      <c r="BA2118" s="171" t="str">
        <f t="shared" si="18"/>
        <v/>
      </c>
      <c r="BB2118" s="171" t="str">
        <f t="shared" si="19"/>
        <v/>
      </c>
      <c r="BC2118" s="171" t="str">
        <f t="shared" si="20"/>
        <v>General-purpose</v>
      </c>
      <c r="BD2118" s="171" t="str">
        <f t="shared" si="21"/>
        <v/>
      </c>
      <c r="BE2118" s="171" t="str">
        <f t="shared" si="22"/>
        <v/>
      </c>
      <c r="BF2118" s="171" t="str">
        <f t="shared" si="23"/>
        <v>General-purpose</v>
      </c>
    </row>
    <row r="2119">
      <c r="A2119" s="171">
        <f t="array" ref="A2119">XLOOKUP(C2119,FSE!A:A,FSE!C:C,"XXXXX",0,1)</f>
        <v>2015</v>
      </c>
      <c r="B2119" s="213" t="s">
        <v>5676</v>
      </c>
      <c r="C2119" s="214">
        <v>760.0</v>
      </c>
      <c r="D2119" s="215" t="s">
        <v>6590</v>
      </c>
      <c r="E2119" s="197" t="str">
        <f t="array" ref="E2119">XLOOKUP(C2119,FSE!A:A,FSE!Z:Z,"XXXXX",0,1)</f>
        <v>Not Available (1)</v>
      </c>
      <c r="F2119" s="213" t="s">
        <v>3395</v>
      </c>
      <c r="G2119" s="163" t="str">
        <f t="array" ref="G2119">IF(B2119="ICSE",IF(COUNTIFS(B:B,B2119,C:C,C2119)=XLOOKUP(C2119,ICSE!A:A,ICSE!AA:AA,"ERROR",0,1),"OK","ERROR"),IF(B2119="FSE",IF(COUNTIFS(B:B,B2119,C:C,C2119)=XLOOKUP(C2119,FSE!A:A,FSE!AA:AA,"ERROR",0,1),"OK","ERROR")))</f>
        <v>OK</v>
      </c>
      <c r="H2119" s="199">
        <f t="shared" ref="H2119:O2119" si="10711">countif($D2119,"*"&amp;H$2&amp;"*")</f>
        <v>0</v>
      </c>
      <c r="I2119" s="200">
        <f t="shared" si="10711"/>
        <v>0</v>
      </c>
      <c r="J2119" s="200">
        <f t="shared" si="10711"/>
        <v>0</v>
      </c>
      <c r="K2119" s="200">
        <f t="shared" si="10711"/>
        <v>0</v>
      </c>
      <c r="L2119" s="200">
        <f t="shared" si="10711"/>
        <v>0</v>
      </c>
      <c r="M2119" s="200">
        <f t="shared" si="10711"/>
        <v>0</v>
      </c>
      <c r="N2119" s="200">
        <f t="shared" si="10711"/>
        <v>0</v>
      </c>
      <c r="O2119" s="200">
        <f t="shared" si="10711"/>
        <v>0</v>
      </c>
      <c r="P2119" s="200">
        <f t="shared" si="9"/>
        <v>0</v>
      </c>
      <c r="Q2119" s="200">
        <f t="shared" ref="Q2119:AC2119" si="10712">countif($D2119,"*"&amp;Q$2&amp;"*")</f>
        <v>0</v>
      </c>
      <c r="R2119" s="200">
        <f t="shared" si="10712"/>
        <v>0</v>
      </c>
      <c r="S2119" s="200">
        <f t="shared" si="10712"/>
        <v>0</v>
      </c>
      <c r="T2119" s="200">
        <f t="shared" si="10712"/>
        <v>0</v>
      </c>
      <c r="U2119" s="200">
        <f t="shared" si="10712"/>
        <v>0</v>
      </c>
      <c r="V2119" s="200">
        <f t="shared" si="10712"/>
        <v>0</v>
      </c>
      <c r="W2119" s="200">
        <f t="shared" si="10712"/>
        <v>0</v>
      </c>
      <c r="X2119" s="200">
        <f t="shared" si="10712"/>
        <v>0</v>
      </c>
      <c r="Y2119" s="200">
        <f t="shared" si="10712"/>
        <v>0</v>
      </c>
      <c r="Z2119" s="200">
        <f t="shared" si="10712"/>
        <v>0</v>
      </c>
      <c r="AA2119" s="200">
        <f t="shared" si="10712"/>
        <v>0</v>
      </c>
      <c r="AB2119" s="200">
        <f t="shared" si="10712"/>
        <v>0</v>
      </c>
      <c r="AC2119" s="200">
        <f t="shared" si="10712"/>
        <v>0</v>
      </c>
      <c r="AD2119" s="200">
        <f t="shared" si="11"/>
        <v>0</v>
      </c>
      <c r="AE2119" s="200">
        <f t="shared" ref="AE2119:AG2119" si="10713">countif($D2119,"*"&amp;AE$2&amp;"*")</f>
        <v>0</v>
      </c>
      <c r="AF2119" s="200">
        <f t="shared" si="10713"/>
        <v>0</v>
      </c>
      <c r="AG2119" s="200">
        <f t="shared" si="10713"/>
        <v>0</v>
      </c>
      <c r="AH2119" s="171">
        <f t="shared" si="13"/>
        <v>1</v>
      </c>
      <c r="AI2119" s="200">
        <f t="shared" si="14"/>
        <v>0</v>
      </c>
      <c r="AJ2119" s="200">
        <f t="shared" si="10698"/>
        <v>0</v>
      </c>
      <c r="AK2119" s="201">
        <f t="shared" ref="AK2119:AS2119" si="10714">countif($D2119,"*"&amp;AK$2&amp;"*")</f>
        <v>0</v>
      </c>
      <c r="AL2119" s="201">
        <f t="shared" si="10714"/>
        <v>0</v>
      </c>
      <c r="AM2119" s="201">
        <f t="shared" si="10714"/>
        <v>0</v>
      </c>
      <c r="AN2119" s="201">
        <f t="shared" si="10714"/>
        <v>0</v>
      </c>
      <c r="AO2119" s="201">
        <f t="shared" si="10714"/>
        <v>0</v>
      </c>
      <c r="AP2119" s="201">
        <f t="shared" si="10714"/>
        <v>0</v>
      </c>
      <c r="AQ2119" s="201">
        <f t="shared" si="10714"/>
        <v>0</v>
      </c>
      <c r="AR2119" s="200">
        <f t="shared" si="10714"/>
        <v>0</v>
      </c>
      <c r="AS2119" s="200">
        <f t="shared" si="10714"/>
        <v>0</v>
      </c>
      <c r="AT2119" s="173">
        <v>0.0</v>
      </c>
      <c r="AU2119" s="200">
        <f t="shared" ref="AU2119:AX2119" si="10715">countif($D2119,"*"&amp;AU$2&amp;"*")</f>
        <v>0</v>
      </c>
      <c r="AV2119" s="200">
        <f t="shared" si="10715"/>
        <v>0</v>
      </c>
      <c r="AW2119" s="200">
        <f t="shared" si="10715"/>
        <v>0</v>
      </c>
      <c r="AX2119" s="200">
        <f t="shared" si="10715"/>
        <v>0</v>
      </c>
      <c r="AY2119" s="202">
        <v>0.0</v>
      </c>
      <c r="AZ2119" s="200"/>
      <c r="BA2119" s="171" t="str">
        <f t="shared" si="18"/>
        <v/>
      </c>
      <c r="BB2119" s="171" t="str">
        <f t="shared" si="19"/>
        <v/>
      </c>
      <c r="BC2119" s="171" t="str">
        <f t="shared" si="20"/>
        <v/>
      </c>
      <c r="BD2119" s="171" t="str">
        <f t="shared" si="21"/>
        <v/>
      </c>
      <c r="BE2119" s="171" t="str">
        <f t="shared" si="22"/>
        <v>Others</v>
      </c>
      <c r="BF2119" s="171" t="str">
        <f t="shared" si="23"/>
        <v>Others</v>
      </c>
    </row>
    <row r="2120">
      <c r="A2120" s="171">
        <f t="array" ref="A2120">XLOOKUP(C2120,FSE!A:A,FSE!C:C,"XXXXX",0,1)</f>
        <v>2015</v>
      </c>
      <c r="B2120" s="213" t="s">
        <v>5676</v>
      </c>
      <c r="C2120" s="214">
        <v>763.0</v>
      </c>
      <c r="D2120" s="215" t="s">
        <v>3684</v>
      </c>
      <c r="E2120" s="197" t="str">
        <f t="array" ref="E2120">XLOOKUP(C2120,FSE!A:A,FSE!Z:Z,"XXXXX",0,1)</f>
        <v>Not Available (1)</v>
      </c>
      <c r="F2120" s="213" t="s">
        <v>3395</v>
      </c>
      <c r="G2120" s="163" t="str">
        <f t="array" ref="G2120">IF(B2120="ICSE",IF(COUNTIFS(B:B,B2120,C:C,C2120)=XLOOKUP(C2120,ICSE!A:A,ICSE!AA:AA,"ERROR",0,1),"OK","ERROR"),IF(B2120="FSE",IF(COUNTIFS(B:B,B2120,C:C,C2120)=XLOOKUP(C2120,FSE!A:A,FSE!AA:AA,"ERROR",0,1),"OK","ERROR")))</f>
        <v>OK</v>
      </c>
      <c r="H2120" s="199">
        <f t="shared" ref="H2120:O2120" si="10716">countif($D2120,"*"&amp;H$2&amp;"*")</f>
        <v>0</v>
      </c>
      <c r="I2120" s="200">
        <f t="shared" si="10716"/>
        <v>0</v>
      </c>
      <c r="J2120" s="200">
        <f t="shared" si="10716"/>
        <v>0</v>
      </c>
      <c r="K2120" s="200">
        <f t="shared" si="10716"/>
        <v>0</v>
      </c>
      <c r="L2120" s="200">
        <f t="shared" si="10716"/>
        <v>0</v>
      </c>
      <c r="M2120" s="200">
        <f t="shared" si="10716"/>
        <v>0</v>
      </c>
      <c r="N2120" s="200">
        <f t="shared" si="10716"/>
        <v>0</v>
      </c>
      <c r="O2120" s="200">
        <f t="shared" si="10716"/>
        <v>0</v>
      </c>
      <c r="P2120" s="200">
        <f t="shared" si="9"/>
        <v>0</v>
      </c>
      <c r="Q2120" s="200">
        <f t="shared" ref="Q2120:AC2120" si="10717">countif($D2120,"*"&amp;Q$2&amp;"*")</f>
        <v>0</v>
      </c>
      <c r="R2120" s="200">
        <f t="shared" si="10717"/>
        <v>0</v>
      </c>
      <c r="S2120" s="200">
        <f t="shared" si="10717"/>
        <v>0</v>
      </c>
      <c r="T2120" s="200">
        <f t="shared" si="10717"/>
        <v>0</v>
      </c>
      <c r="U2120" s="200">
        <f t="shared" si="10717"/>
        <v>0</v>
      </c>
      <c r="V2120" s="200">
        <f t="shared" si="10717"/>
        <v>0</v>
      </c>
      <c r="W2120" s="200">
        <f t="shared" si="10717"/>
        <v>0</v>
      </c>
      <c r="X2120" s="200">
        <f t="shared" si="10717"/>
        <v>0</v>
      </c>
      <c r="Y2120" s="200">
        <f t="shared" si="10717"/>
        <v>0</v>
      </c>
      <c r="Z2120" s="200">
        <f t="shared" si="10717"/>
        <v>0</v>
      </c>
      <c r="AA2120" s="200">
        <f t="shared" si="10717"/>
        <v>0</v>
      </c>
      <c r="AB2120" s="200">
        <f t="shared" si="10717"/>
        <v>0</v>
      </c>
      <c r="AC2120" s="200">
        <f t="shared" si="10717"/>
        <v>0</v>
      </c>
      <c r="AD2120" s="200">
        <f t="shared" si="11"/>
        <v>0</v>
      </c>
      <c r="AE2120" s="200">
        <f t="shared" ref="AE2120:AG2120" si="10718">countif($D2120,"*"&amp;AE$2&amp;"*")</f>
        <v>0</v>
      </c>
      <c r="AF2120" s="200">
        <f t="shared" si="10718"/>
        <v>0</v>
      </c>
      <c r="AG2120" s="200">
        <f t="shared" si="10718"/>
        <v>0</v>
      </c>
      <c r="AH2120" s="171">
        <f t="shared" si="13"/>
        <v>1</v>
      </c>
      <c r="AI2120" s="200">
        <f t="shared" si="14"/>
        <v>0</v>
      </c>
      <c r="AJ2120" s="200">
        <f t="shared" si="10698"/>
        <v>0</v>
      </c>
      <c r="AK2120" s="201">
        <f t="shared" ref="AK2120:AS2120" si="10719">countif($D2120,"*"&amp;AK$2&amp;"*")</f>
        <v>0</v>
      </c>
      <c r="AL2120" s="201">
        <f t="shared" si="10719"/>
        <v>0</v>
      </c>
      <c r="AM2120" s="201">
        <f t="shared" si="10719"/>
        <v>0</v>
      </c>
      <c r="AN2120" s="201">
        <f t="shared" si="10719"/>
        <v>0</v>
      </c>
      <c r="AO2120" s="201">
        <f t="shared" si="10719"/>
        <v>0</v>
      </c>
      <c r="AP2120" s="201">
        <f t="shared" si="10719"/>
        <v>0</v>
      </c>
      <c r="AQ2120" s="201">
        <f t="shared" si="10719"/>
        <v>0</v>
      </c>
      <c r="AR2120" s="200">
        <f t="shared" si="10719"/>
        <v>0</v>
      </c>
      <c r="AS2120" s="200">
        <f t="shared" si="10719"/>
        <v>0</v>
      </c>
      <c r="AT2120" s="173">
        <v>0.0</v>
      </c>
      <c r="AU2120" s="200">
        <f t="shared" ref="AU2120:AX2120" si="10720">countif($D2120,"*"&amp;AU$2&amp;"*")</f>
        <v>0</v>
      </c>
      <c r="AV2120" s="200">
        <f t="shared" si="10720"/>
        <v>0</v>
      </c>
      <c r="AW2120" s="200">
        <f t="shared" si="10720"/>
        <v>0</v>
      </c>
      <c r="AX2120" s="200">
        <f t="shared" si="10720"/>
        <v>0</v>
      </c>
      <c r="AY2120" s="202">
        <v>0.0</v>
      </c>
      <c r="AZ2120" s="200"/>
      <c r="BA2120" s="171" t="str">
        <f t="shared" si="18"/>
        <v/>
      </c>
      <c r="BB2120" s="171" t="str">
        <f t="shared" si="19"/>
        <v/>
      </c>
      <c r="BC2120" s="171" t="str">
        <f t="shared" si="20"/>
        <v/>
      </c>
      <c r="BD2120" s="171" t="str">
        <f t="shared" si="21"/>
        <v/>
      </c>
      <c r="BE2120" s="171" t="str">
        <f t="shared" si="22"/>
        <v>Others</v>
      </c>
      <c r="BF2120" s="171" t="str">
        <f t="shared" si="23"/>
        <v>Others</v>
      </c>
    </row>
    <row r="2121">
      <c r="A2121" s="171">
        <f t="array" ref="A2121">XLOOKUP(C2121,FSE!A:A,FSE!C:C,"XXXXX",0,1)</f>
        <v>2015</v>
      </c>
      <c r="B2121" s="213" t="s">
        <v>5676</v>
      </c>
      <c r="C2121" s="214">
        <v>765.0</v>
      </c>
      <c r="D2121" s="215" t="s">
        <v>3689</v>
      </c>
      <c r="E2121" s="197" t="str">
        <f t="array" ref="E2121">XLOOKUP(C2121,FSE!A:A,FSE!Z:Z,"XXXXX",0,1)</f>
        <v>Not Available (1)</v>
      </c>
      <c r="F2121" s="213" t="s">
        <v>3395</v>
      </c>
      <c r="G2121" s="163" t="str">
        <f t="array" ref="G2121">IF(B2121="ICSE",IF(COUNTIFS(B:B,B2121,C:C,C2121)=XLOOKUP(C2121,ICSE!A:A,ICSE!AA:AA,"ERROR",0,1),"OK","ERROR"),IF(B2121="FSE",IF(COUNTIFS(B:B,B2121,C:C,C2121)=XLOOKUP(C2121,FSE!A:A,FSE!AA:AA,"ERROR",0,1),"OK","ERROR")))</f>
        <v>OK</v>
      </c>
      <c r="H2121" s="199">
        <f t="shared" ref="H2121:O2121" si="10721">countif($D2121,"*"&amp;H$2&amp;"*")</f>
        <v>0</v>
      </c>
      <c r="I2121" s="200">
        <f t="shared" si="10721"/>
        <v>0</v>
      </c>
      <c r="J2121" s="200">
        <f t="shared" si="10721"/>
        <v>0</v>
      </c>
      <c r="K2121" s="200">
        <f t="shared" si="10721"/>
        <v>0</v>
      </c>
      <c r="L2121" s="200">
        <f t="shared" si="10721"/>
        <v>0</v>
      </c>
      <c r="M2121" s="200">
        <f t="shared" si="10721"/>
        <v>0</v>
      </c>
      <c r="N2121" s="200">
        <f t="shared" si="10721"/>
        <v>0</v>
      </c>
      <c r="O2121" s="200">
        <f t="shared" si="10721"/>
        <v>0</v>
      </c>
      <c r="P2121" s="200">
        <f t="shared" si="9"/>
        <v>0</v>
      </c>
      <c r="Q2121" s="200">
        <f t="shared" ref="Q2121:AC2121" si="10722">countif($D2121,"*"&amp;Q$2&amp;"*")</f>
        <v>0</v>
      </c>
      <c r="R2121" s="200">
        <f t="shared" si="10722"/>
        <v>1</v>
      </c>
      <c r="S2121" s="200">
        <f t="shared" si="10722"/>
        <v>0</v>
      </c>
      <c r="T2121" s="200">
        <f t="shared" si="10722"/>
        <v>0</v>
      </c>
      <c r="U2121" s="200">
        <f t="shared" si="10722"/>
        <v>0</v>
      </c>
      <c r="V2121" s="200">
        <f t="shared" si="10722"/>
        <v>0</v>
      </c>
      <c r="W2121" s="200">
        <f t="shared" si="10722"/>
        <v>0</v>
      </c>
      <c r="X2121" s="200">
        <f t="shared" si="10722"/>
        <v>0</v>
      </c>
      <c r="Y2121" s="200">
        <f t="shared" si="10722"/>
        <v>0</v>
      </c>
      <c r="Z2121" s="200">
        <f t="shared" si="10722"/>
        <v>0</v>
      </c>
      <c r="AA2121" s="200">
        <f t="shared" si="10722"/>
        <v>0</v>
      </c>
      <c r="AB2121" s="200">
        <f t="shared" si="10722"/>
        <v>0</v>
      </c>
      <c r="AC2121" s="200">
        <f t="shared" si="10722"/>
        <v>0</v>
      </c>
      <c r="AD2121" s="200">
        <f t="shared" si="11"/>
        <v>0</v>
      </c>
      <c r="AE2121" s="200">
        <f t="shared" ref="AE2121:AG2121" si="10723">countif($D2121,"*"&amp;AE$2&amp;"*")</f>
        <v>0</v>
      </c>
      <c r="AF2121" s="200">
        <f t="shared" si="10723"/>
        <v>0</v>
      </c>
      <c r="AG2121" s="200">
        <f t="shared" si="10723"/>
        <v>0</v>
      </c>
      <c r="AH2121" s="171">
        <f t="shared" si="13"/>
        <v>0</v>
      </c>
      <c r="AI2121" s="200">
        <f t="shared" si="14"/>
        <v>0</v>
      </c>
      <c r="AJ2121" s="200">
        <f t="shared" si="10698"/>
        <v>0</v>
      </c>
      <c r="AK2121" s="201">
        <f t="shared" ref="AK2121:AS2121" si="10724">countif($D2121,"*"&amp;AK$2&amp;"*")</f>
        <v>0</v>
      </c>
      <c r="AL2121" s="201">
        <f t="shared" si="10724"/>
        <v>0</v>
      </c>
      <c r="AM2121" s="201">
        <f t="shared" si="10724"/>
        <v>0</v>
      </c>
      <c r="AN2121" s="201">
        <f t="shared" si="10724"/>
        <v>0</v>
      </c>
      <c r="AO2121" s="201">
        <f t="shared" si="10724"/>
        <v>0</v>
      </c>
      <c r="AP2121" s="201">
        <f t="shared" si="10724"/>
        <v>0</v>
      </c>
      <c r="AQ2121" s="201">
        <f t="shared" si="10724"/>
        <v>0</v>
      </c>
      <c r="AR2121" s="200">
        <f t="shared" si="10724"/>
        <v>0</v>
      </c>
      <c r="AS2121" s="200">
        <f t="shared" si="10724"/>
        <v>0</v>
      </c>
      <c r="AT2121" s="173">
        <v>0.0</v>
      </c>
      <c r="AU2121" s="200">
        <f t="shared" ref="AU2121:AX2121" si="10725">countif($D2121,"*"&amp;AU$2&amp;"*")</f>
        <v>0</v>
      </c>
      <c r="AV2121" s="200">
        <f t="shared" si="10725"/>
        <v>0</v>
      </c>
      <c r="AW2121" s="200">
        <f t="shared" si="10725"/>
        <v>0</v>
      </c>
      <c r="AX2121" s="200">
        <f t="shared" si="10725"/>
        <v>0</v>
      </c>
      <c r="AY2121" s="202">
        <v>0.0</v>
      </c>
      <c r="AZ2121" s="200"/>
      <c r="BA2121" s="171" t="str">
        <f t="shared" si="18"/>
        <v/>
      </c>
      <c r="BB2121" s="171" t="str">
        <f t="shared" si="19"/>
        <v>Code</v>
      </c>
      <c r="BC2121" s="171" t="str">
        <f t="shared" si="20"/>
        <v/>
      </c>
      <c r="BD2121" s="171" t="str">
        <f t="shared" si="21"/>
        <v/>
      </c>
      <c r="BE2121" s="171" t="str">
        <f t="shared" si="22"/>
        <v/>
      </c>
      <c r="BF2121" s="171" t="str">
        <f t="shared" si="23"/>
        <v>Code</v>
      </c>
    </row>
    <row r="2122">
      <c r="A2122" s="171">
        <f t="array" ref="A2122">XLOOKUP(C2122,FSE!A:A,FSE!C:C,"XXXXX",0,1)</f>
        <v>2015</v>
      </c>
      <c r="B2122" s="213" t="s">
        <v>5676</v>
      </c>
      <c r="C2122" s="214">
        <v>766.0</v>
      </c>
      <c r="D2122" s="215" t="s">
        <v>3693</v>
      </c>
      <c r="E2122" s="197" t="str">
        <f t="array" ref="E2122">XLOOKUP(C2122,FSE!A:A,FSE!Z:Z,"XXXXX",0,1)</f>
        <v>Publicly Available (1)</v>
      </c>
      <c r="F2122" s="213" t="s">
        <v>3394</v>
      </c>
      <c r="G2122" s="163" t="str">
        <f t="array" ref="G2122">IF(B2122="ICSE",IF(COUNTIFS(B:B,B2122,C:C,C2122)=XLOOKUP(C2122,ICSE!A:A,ICSE!AA:AA,"ERROR",0,1),"OK","ERROR"),IF(B2122="FSE",IF(COUNTIFS(B:B,B2122,C:C,C2122)=XLOOKUP(C2122,FSE!A:A,FSE!AA:AA,"ERROR",0,1),"OK","ERROR")))</f>
        <v>OK</v>
      </c>
      <c r="H2122" s="199">
        <f t="shared" ref="H2122:O2122" si="10726">countif($D2122,"*"&amp;H$2&amp;"*")</f>
        <v>0</v>
      </c>
      <c r="I2122" s="200">
        <f t="shared" si="10726"/>
        <v>0</v>
      </c>
      <c r="J2122" s="200">
        <f t="shared" si="10726"/>
        <v>0</v>
      </c>
      <c r="K2122" s="200">
        <f t="shared" si="10726"/>
        <v>0</v>
      </c>
      <c r="L2122" s="200">
        <f t="shared" si="10726"/>
        <v>0</v>
      </c>
      <c r="M2122" s="200">
        <f t="shared" si="10726"/>
        <v>0</v>
      </c>
      <c r="N2122" s="200">
        <f t="shared" si="10726"/>
        <v>0</v>
      </c>
      <c r="O2122" s="200">
        <f t="shared" si="10726"/>
        <v>0</v>
      </c>
      <c r="P2122" s="200">
        <f t="shared" si="9"/>
        <v>1</v>
      </c>
      <c r="Q2122" s="200">
        <f t="shared" ref="Q2122:AC2122" si="10727">countif($D2122,"*"&amp;Q$2&amp;"*")</f>
        <v>0</v>
      </c>
      <c r="R2122" s="200">
        <f t="shared" si="10727"/>
        <v>0</v>
      </c>
      <c r="S2122" s="200">
        <f t="shared" si="10727"/>
        <v>0</v>
      </c>
      <c r="T2122" s="200">
        <f t="shared" si="10727"/>
        <v>0</v>
      </c>
      <c r="U2122" s="200">
        <f t="shared" si="10727"/>
        <v>0</v>
      </c>
      <c r="V2122" s="200">
        <f t="shared" si="10727"/>
        <v>0</v>
      </c>
      <c r="W2122" s="200">
        <f t="shared" si="10727"/>
        <v>0</v>
      </c>
      <c r="X2122" s="200">
        <f t="shared" si="10727"/>
        <v>0</v>
      </c>
      <c r="Y2122" s="200">
        <f t="shared" si="10727"/>
        <v>0</v>
      </c>
      <c r="Z2122" s="200">
        <f t="shared" si="10727"/>
        <v>0</v>
      </c>
      <c r="AA2122" s="200">
        <f t="shared" si="10727"/>
        <v>0</v>
      </c>
      <c r="AB2122" s="200">
        <f t="shared" si="10727"/>
        <v>0</v>
      </c>
      <c r="AC2122" s="200">
        <f t="shared" si="10727"/>
        <v>0</v>
      </c>
      <c r="AD2122" s="200">
        <f t="shared" si="11"/>
        <v>0</v>
      </c>
      <c r="AE2122" s="200">
        <f t="shared" ref="AE2122:AG2122" si="10728">countif($D2122,"*"&amp;AE$2&amp;"*")</f>
        <v>0</v>
      </c>
      <c r="AF2122" s="200">
        <f t="shared" si="10728"/>
        <v>0</v>
      </c>
      <c r="AG2122" s="200">
        <f t="shared" si="10728"/>
        <v>0</v>
      </c>
      <c r="AH2122" s="171">
        <f t="shared" si="13"/>
        <v>0</v>
      </c>
      <c r="AI2122" s="200">
        <f t="shared" si="14"/>
        <v>0</v>
      </c>
      <c r="AJ2122" s="200">
        <f t="shared" si="10698"/>
        <v>0</v>
      </c>
      <c r="AK2122" s="201">
        <f t="shared" ref="AK2122:AS2122" si="10729">countif($D2122,"*"&amp;AK$2&amp;"*")</f>
        <v>0</v>
      </c>
      <c r="AL2122" s="201">
        <f t="shared" si="10729"/>
        <v>0</v>
      </c>
      <c r="AM2122" s="201">
        <f t="shared" si="10729"/>
        <v>0</v>
      </c>
      <c r="AN2122" s="201">
        <f t="shared" si="10729"/>
        <v>0</v>
      </c>
      <c r="AO2122" s="201">
        <f t="shared" si="10729"/>
        <v>0</v>
      </c>
      <c r="AP2122" s="201">
        <f t="shared" si="10729"/>
        <v>0</v>
      </c>
      <c r="AQ2122" s="201">
        <f t="shared" si="10729"/>
        <v>0</v>
      </c>
      <c r="AR2122" s="200">
        <f t="shared" si="10729"/>
        <v>0</v>
      </c>
      <c r="AS2122" s="200">
        <f t="shared" si="10729"/>
        <v>0</v>
      </c>
      <c r="AT2122" s="173">
        <v>0.0</v>
      </c>
      <c r="AU2122" s="200">
        <f t="shared" ref="AU2122:AX2122" si="10730">countif($D2122,"*"&amp;AU$2&amp;"*")</f>
        <v>0</v>
      </c>
      <c r="AV2122" s="200">
        <f t="shared" si="10730"/>
        <v>1</v>
      </c>
      <c r="AW2122" s="200">
        <f t="shared" si="10730"/>
        <v>0</v>
      </c>
      <c r="AX2122" s="200">
        <f t="shared" si="10730"/>
        <v>0</v>
      </c>
      <c r="AY2122" s="202">
        <v>0.0</v>
      </c>
      <c r="AZ2122" s="200"/>
      <c r="BA2122" s="171" t="str">
        <f t="shared" si="18"/>
        <v/>
      </c>
      <c r="BB2122" s="171" t="str">
        <f t="shared" si="19"/>
        <v>Code</v>
      </c>
      <c r="BC2122" s="171" t="str">
        <f t="shared" si="20"/>
        <v/>
      </c>
      <c r="BD2122" s="171" t="str">
        <f t="shared" si="21"/>
        <v/>
      </c>
      <c r="BE2122" s="171" t="str">
        <f t="shared" si="22"/>
        <v/>
      </c>
      <c r="BF2122" s="171" t="str">
        <f t="shared" si="23"/>
        <v>Code</v>
      </c>
    </row>
    <row r="2123">
      <c r="A2123" s="171">
        <f t="array" ref="A2123">XLOOKUP(C2123,FSE!A:A,FSE!C:C,"XXXXX",0,1)</f>
        <v>2015</v>
      </c>
      <c r="B2123" s="213" t="s">
        <v>5676</v>
      </c>
      <c r="C2123" s="214">
        <v>767.0</v>
      </c>
      <c r="D2123" s="215" t="s">
        <v>3697</v>
      </c>
      <c r="E2123" s="197" t="str">
        <f t="array" ref="E2123">XLOOKUP(C2123,FSE!A:A,FSE!Z:Z,"XXXXX",0,1)</f>
        <v>Publicly Available (1)</v>
      </c>
      <c r="F2123" s="213" t="s">
        <v>3394</v>
      </c>
      <c r="G2123" s="163" t="str">
        <f t="array" ref="G2123">IF(B2123="ICSE",IF(COUNTIFS(B:B,B2123,C:C,C2123)=XLOOKUP(C2123,ICSE!A:A,ICSE!AA:AA,"ERROR",0,1),"OK","ERROR"),IF(B2123="FSE",IF(COUNTIFS(B:B,B2123,C:C,C2123)=XLOOKUP(C2123,FSE!A:A,FSE!AA:AA,"ERROR",0,1),"OK","ERROR")))</f>
        <v>OK</v>
      </c>
      <c r="H2123" s="199">
        <f t="shared" ref="H2123:O2123" si="10731">countif($D2123,"*"&amp;H$2&amp;"*")</f>
        <v>0</v>
      </c>
      <c r="I2123" s="200">
        <f t="shared" si="10731"/>
        <v>0</v>
      </c>
      <c r="J2123" s="200">
        <f t="shared" si="10731"/>
        <v>0</v>
      </c>
      <c r="K2123" s="200">
        <f t="shared" si="10731"/>
        <v>0</v>
      </c>
      <c r="L2123" s="200">
        <f t="shared" si="10731"/>
        <v>0</v>
      </c>
      <c r="M2123" s="200">
        <f t="shared" si="10731"/>
        <v>0</v>
      </c>
      <c r="N2123" s="200">
        <f t="shared" si="10731"/>
        <v>0</v>
      </c>
      <c r="O2123" s="200">
        <f t="shared" si="10731"/>
        <v>0</v>
      </c>
      <c r="P2123" s="200">
        <f t="shared" si="9"/>
        <v>0</v>
      </c>
      <c r="Q2123" s="200">
        <f t="shared" ref="Q2123:AC2123" si="10732">countif($D2123,"*"&amp;Q$2&amp;"*")</f>
        <v>0</v>
      </c>
      <c r="R2123" s="200">
        <f t="shared" si="10732"/>
        <v>0</v>
      </c>
      <c r="S2123" s="200">
        <f t="shared" si="10732"/>
        <v>0</v>
      </c>
      <c r="T2123" s="200">
        <f t="shared" si="10732"/>
        <v>0</v>
      </c>
      <c r="U2123" s="200">
        <f t="shared" si="10732"/>
        <v>0</v>
      </c>
      <c r="V2123" s="200">
        <f t="shared" si="10732"/>
        <v>0</v>
      </c>
      <c r="W2123" s="200">
        <f t="shared" si="10732"/>
        <v>0</v>
      </c>
      <c r="X2123" s="200">
        <f t="shared" si="10732"/>
        <v>0</v>
      </c>
      <c r="Y2123" s="200">
        <f t="shared" si="10732"/>
        <v>0</v>
      </c>
      <c r="Z2123" s="200">
        <f t="shared" si="10732"/>
        <v>0</v>
      </c>
      <c r="AA2123" s="200">
        <f t="shared" si="10732"/>
        <v>0</v>
      </c>
      <c r="AB2123" s="200">
        <f t="shared" si="10732"/>
        <v>0</v>
      </c>
      <c r="AC2123" s="200">
        <f t="shared" si="10732"/>
        <v>0</v>
      </c>
      <c r="AD2123" s="200">
        <f t="shared" si="11"/>
        <v>0</v>
      </c>
      <c r="AE2123" s="200">
        <f t="shared" ref="AE2123:AG2123" si="10733">countif($D2123,"*"&amp;AE$2&amp;"*")</f>
        <v>0</v>
      </c>
      <c r="AF2123" s="200">
        <f t="shared" si="10733"/>
        <v>0</v>
      </c>
      <c r="AG2123" s="200">
        <f t="shared" si="10733"/>
        <v>0</v>
      </c>
      <c r="AH2123" s="171">
        <f t="shared" si="13"/>
        <v>1</v>
      </c>
      <c r="AI2123" s="200">
        <f t="shared" si="14"/>
        <v>0</v>
      </c>
      <c r="AJ2123" s="200">
        <f t="shared" si="10698"/>
        <v>0</v>
      </c>
      <c r="AK2123" s="201">
        <f t="shared" ref="AK2123:AS2123" si="10734">countif($D2123,"*"&amp;AK$2&amp;"*")</f>
        <v>0</v>
      </c>
      <c r="AL2123" s="201">
        <f t="shared" si="10734"/>
        <v>0</v>
      </c>
      <c r="AM2123" s="201">
        <f t="shared" si="10734"/>
        <v>0</v>
      </c>
      <c r="AN2123" s="201">
        <f t="shared" si="10734"/>
        <v>0</v>
      </c>
      <c r="AO2123" s="201">
        <f t="shared" si="10734"/>
        <v>0</v>
      </c>
      <c r="AP2123" s="201">
        <f t="shared" si="10734"/>
        <v>0</v>
      </c>
      <c r="AQ2123" s="201">
        <f t="shared" si="10734"/>
        <v>0</v>
      </c>
      <c r="AR2123" s="200">
        <f t="shared" si="10734"/>
        <v>0</v>
      </c>
      <c r="AS2123" s="200">
        <f t="shared" si="10734"/>
        <v>0</v>
      </c>
      <c r="AT2123" s="173">
        <v>0.0</v>
      </c>
      <c r="AU2123" s="200">
        <f t="shared" ref="AU2123:AX2123" si="10735">countif($D2123,"*"&amp;AU$2&amp;"*")</f>
        <v>0</v>
      </c>
      <c r="AV2123" s="200">
        <f t="shared" si="10735"/>
        <v>0</v>
      </c>
      <c r="AW2123" s="200">
        <f t="shared" si="10735"/>
        <v>0</v>
      </c>
      <c r="AX2123" s="200">
        <f t="shared" si="10735"/>
        <v>0</v>
      </c>
      <c r="AY2123" s="202">
        <v>0.0</v>
      </c>
      <c r="AZ2123" s="200"/>
      <c r="BA2123" s="171" t="str">
        <f t="shared" si="18"/>
        <v/>
      </c>
      <c r="BB2123" s="171" t="str">
        <f t="shared" si="19"/>
        <v/>
      </c>
      <c r="BC2123" s="171" t="str">
        <f t="shared" si="20"/>
        <v/>
      </c>
      <c r="BD2123" s="171" t="str">
        <f t="shared" si="21"/>
        <v/>
      </c>
      <c r="BE2123" s="171" t="str">
        <f t="shared" si="22"/>
        <v>Others</v>
      </c>
      <c r="BF2123" s="171" t="str">
        <f t="shared" si="23"/>
        <v>Others</v>
      </c>
    </row>
    <row r="2124">
      <c r="A2124" s="171">
        <f t="array" ref="A2124">XLOOKUP(C2124,FSE!A:A,FSE!C:C,"XXXXX",0,1)</f>
        <v>2015</v>
      </c>
      <c r="B2124" s="213" t="s">
        <v>5676</v>
      </c>
      <c r="C2124" s="214">
        <v>768.0</v>
      </c>
      <c r="D2124" s="215" t="s">
        <v>3700</v>
      </c>
      <c r="E2124" s="197" t="str">
        <f t="array" ref="E2124">XLOOKUP(C2124,FSE!A:A,FSE!Z:Z,"XXXXX",0,1)</f>
        <v>Publicly Available (1)</v>
      </c>
      <c r="F2124" s="213" t="s">
        <v>3394</v>
      </c>
      <c r="G2124" s="163" t="str">
        <f t="array" ref="G2124">IF(B2124="ICSE",IF(COUNTIFS(B:B,B2124,C:C,C2124)=XLOOKUP(C2124,ICSE!A:A,ICSE!AA:AA,"ERROR",0,1),"OK","ERROR"),IF(B2124="FSE",IF(COUNTIFS(B:B,B2124,C:C,C2124)=XLOOKUP(C2124,FSE!A:A,FSE!AA:AA,"ERROR",0,1),"OK","ERROR")))</f>
        <v>OK</v>
      </c>
      <c r="H2124" s="199">
        <f t="shared" ref="H2124:O2124" si="10736">countif($D2124,"*"&amp;H$2&amp;"*")</f>
        <v>0</v>
      </c>
      <c r="I2124" s="200">
        <f t="shared" si="10736"/>
        <v>0</v>
      </c>
      <c r="J2124" s="200">
        <f t="shared" si="10736"/>
        <v>0</v>
      </c>
      <c r="K2124" s="200">
        <f t="shared" si="10736"/>
        <v>0</v>
      </c>
      <c r="L2124" s="200">
        <f t="shared" si="10736"/>
        <v>0</v>
      </c>
      <c r="M2124" s="200">
        <f t="shared" si="10736"/>
        <v>0</v>
      </c>
      <c r="N2124" s="200">
        <f t="shared" si="10736"/>
        <v>0</v>
      </c>
      <c r="O2124" s="200">
        <f t="shared" si="10736"/>
        <v>0</v>
      </c>
      <c r="P2124" s="200">
        <f t="shared" si="9"/>
        <v>1</v>
      </c>
      <c r="Q2124" s="200">
        <f t="shared" ref="Q2124:AC2124" si="10737">countif($D2124,"*"&amp;Q$2&amp;"*")</f>
        <v>0</v>
      </c>
      <c r="R2124" s="200">
        <f t="shared" si="10737"/>
        <v>0</v>
      </c>
      <c r="S2124" s="200">
        <f t="shared" si="10737"/>
        <v>0</v>
      </c>
      <c r="T2124" s="200">
        <f t="shared" si="10737"/>
        <v>0</v>
      </c>
      <c r="U2124" s="200">
        <f t="shared" si="10737"/>
        <v>0</v>
      </c>
      <c r="V2124" s="200">
        <f t="shared" si="10737"/>
        <v>0</v>
      </c>
      <c r="W2124" s="200">
        <f t="shared" si="10737"/>
        <v>0</v>
      </c>
      <c r="X2124" s="200">
        <f t="shared" si="10737"/>
        <v>0</v>
      </c>
      <c r="Y2124" s="200">
        <f t="shared" si="10737"/>
        <v>0</v>
      </c>
      <c r="Z2124" s="200">
        <f t="shared" si="10737"/>
        <v>0</v>
      </c>
      <c r="AA2124" s="200">
        <f t="shared" si="10737"/>
        <v>0</v>
      </c>
      <c r="AB2124" s="200">
        <f t="shared" si="10737"/>
        <v>0</v>
      </c>
      <c r="AC2124" s="200">
        <f t="shared" si="10737"/>
        <v>0</v>
      </c>
      <c r="AD2124" s="200">
        <f t="shared" si="11"/>
        <v>0</v>
      </c>
      <c r="AE2124" s="200">
        <f t="shared" ref="AE2124:AG2124" si="10738">countif($D2124,"*"&amp;AE$2&amp;"*")</f>
        <v>0</v>
      </c>
      <c r="AF2124" s="200">
        <f t="shared" si="10738"/>
        <v>0</v>
      </c>
      <c r="AG2124" s="200">
        <f t="shared" si="10738"/>
        <v>0</v>
      </c>
      <c r="AH2124" s="171">
        <f t="shared" si="13"/>
        <v>0</v>
      </c>
      <c r="AI2124" s="200">
        <f t="shared" si="14"/>
        <v>0</v>
      </c>
      <c r="AJ2124" s="200">
        <f t="shared" si="10698"/>
        <v>0</v>
      </c>
      <c r="AK2124" s="201">
        <f t="shared" ref="AK2124:AS2124" si="10739">countif($D2124,"*"&amp;AK$2&amp;"*")</f>
        <v>0</v>
      </c>
      <c r="AL2124" s="201">
        <f t="shared" si="10739"/>
        <v>0</v>
      </c>
      <c r="AM2124" s="201">
        <f t="shared" si="10739"/>
        <v>0</v>
      </c>
      <c r="AN2124" s="201">
        <f t="shared" si="10739"/>
        <v>0</v>
      </c>
      <c r="AO2124" s="201">
        <f t="shared" si="10739"/>
        <v>0</v>
      </c>
      <c r="AP2124" s="201">
        <f t="shared" si="10739"/>
        <v>0</v>
      </c>
      <c r="AQ2124" s="201">
        <f t="shared" si="10739"/>
        <v>0</v>
      </c>
      <c r="AR2124" s="200">
        <f t="shared" si="10739"/>
        <v>0</v>
      </c>
      <c r="AS2124" s="200">
        <f t="shared" si="10739"/>
        <v>0</v>
      </c>
      <c r="AT2124" s="173">
        <v>0.0</v>
      </c>
      <c r="AU2124" s="200">
        <f t="shared" ref="AU2124:AX2124" si="10740">countif($D2124,"*"&amp;AU$2&amp;"*")</f>
        <v>0</v>
      </c>
      <c r="AV2124" s="200">
        <f t="shared" si="10740"/>
        <v>1</v>
      </c>
      <c r="AW2124" s="200">
        <f t="shared" si="10740"/>
        <v>0</v>
      </c>
      <c r="AX2124" s="200">
        <f t="shared" si="10740"/>
        <v>0</v>
      </c>
      <c r="AY2124" s="202">
        <v>0.0</v>
      </c>
      <c r="AZ2124" s="200"/>
      <c r="BA2124" s="171" t="str">
        <f t="shared" si="18"/>
        <v/>
      </c>
      <c r="BB2124" s="171" t="str">
        <f t="shared" si="19"/>
        <v>Code</v>
      </c>
      <c r="BC2124" s="171" t="str">
        <f t="shared" si="20"/>
        <v/>
      </c>
      <c r="BD2124" s="171" t="str">
        <f t="shared" si="21"/>
        <v/>
      </c>
      <c r="BE2124" s="171" t="str">
        <f t="shared" si="22"/>
        <v/>
      </c>
      <c r="BF2124" s="171" t="str">
        <f t="shared" si="23"/>
        <v>Code</v>
      </c>
    </row>
    <row r="2125">
      <c r="A2125" s="171">
        <f t="array" ref="A2125">XLOOKUP(C2125,FSE!A:A,FSE!C:C,"XXXXX",0,1)</f>
        <v>2015</v>
      </c>
      <c r="B2125" s="213" t="s">
        <v>5676</v>
      </c>
      <c r="C2125" s="214">
        <v>769.0</v>
      </c>
      <c r="D2125" s="215" t="s">
        <v>6591</v>
      </c>
      <c r="E2125" s="197" t="str">
        <f t="array" ref="E2125">XLOOKUP(C2125,FSE!A:A,FSE!Z:Z,"XXXXX",0,1)</f>
        <v>Publicly Available (2)</v>
      </c>
      <c r="F2125" s="213" t="s">
        <v>3394</v>
      </c>
      <c r="G2125" s="163" t="str">
        <f t="array" ref="G2125">IF(B2125="ICSE",IF(COUNTIFS(B:B,B2125,C:C,C2125)=XLOOKUP(C2125,ICSE!A:A,ICSE!AA:AA,"ERROR",0,1),"OK","ERROR"),IF(B2125="FSE",IF(COUNTIFS(B:B,B2125,C:C,C2125)=XLOOKUP(C2125,FSE!A:A,FSE!AA:AA,"ERROR",0,1),"OK","ERROR")))</f>
        <v>OK</v>
      </c>
      <c r="H2125" s="199">
        <f t="shared" ref="H2125:O2125" si="10741">countif($D2125,"*"&amp;H$2&amp;"*")</f>
        <v>0</v>
      </c>
      <c r="I2125" s="200">
        <f t="shared" si="10741"/>
        <v>0</v>
      </c>
      <c r="J2125" s="200">
        <f t="shared" si="10741"/>
        <v>0</v>
      </c>
      <c r="K2125" s="200">
        <f t="shared" si="10741"/>
        <v>0</v>
      </c>
      <c r="L2125" s="200">
        <f t="shared" si="10741"/>
        <v>0</v>
      </c>
      <c r="M2125" s="200">
        <f t="shared" si="10741"/>
        <v>0</v>
      </c>
      <c r="N2125" s="200">
        <f t="shared" si="10741"/>
        <v>0</v>
      </c>
      <c r="O2125" s="200">
        <f t="shared" si="10741"/>
        <v>0</v>
      </c>
      <c r="P2125" s="200">
        <f t="shared" si="9"/>
        <v>0</v>
      </c>
      <c r="Q2125" s="200">
        <f t="shared" ref="Q2125:AC2125" si="10742">countif($D2125,"*"&amp;Q$2&amp;"*")</f>
        <v>0</v>
      </c>
      <c r="R2125" s="200">
        <f t="shared" si="10742"/>
        <v>0</v>
      </c>
      <c r="S2125" s="200">
        <f t="shared" si="10742"/>
        <v>0</v>
      </c>
      <c r="T2125" s="200">
        <f t="shared" si="10742"/>
        <v>0</v>
      </c>
      <c r="U2125" s="200">
        <f t="shared" si="10742"/>
        <v>0</v>
      </c>
      <c r="V2125" s="200">
        <f t="shared" si="10742"/>
        <v>0</v>
      </c>
      <c r="W2125" s="200">
        <f t="shared" si="10742"/>
        <v>0</v>
      </c>
      <c r="X2125" s="200">
        <f t="shared" si="10742"/>
        <v>0</v>
      </c>
      <c r="Y2125" s="200">
        <f t="shared" si="10742"/>
        <v>0</v>
      </c>
      <c r="Z2125" s="200">
        <f t="shared" si="10742"/>
        <v>0</v>
      </c>
      <c r="AA2125" s="200">
        <f t="shared" si="10742"/>
        <v>0</v>
      </c>
      <c r="AB2125" s="200">
        <f t="shared" si="10742"/>
        <v>0</v>
      </c>
      <c r="AC2125" s="200">
        <f t="shared" si="10742"/>
        <v>0</v>
      </c>
      <c r="AD2125" s="200">
        <f t="shared" si="11"/>
        <v>0</v>
      </c>
      <c r="AE2125" s="200">
        <f t="shared" ref="AE2125:AG2125" si="10743">countif($D2125,"*"&amp;AE$2&amp;"*")</f>
        <v>0</v>
      </c>
      <c r="AF2125" s="200">
        <f t="shared" si="10743"/>
        <v>0</v>
      </c>
      <c r="AG2125" s="200">
        <f t="shared" si="10743"/>
        <v>0</v>
      </c>
      <c r="AH2125" s="171">
        <f t="shared" si="13"/>
        <v>1</v>
      </c>
      <c r="AI2125" s="200">
        <f t="shared" si="14"/>
        <v>0</v>
      </c>
      <c r="AJ2125" s="200">
        <f t="shared" si="10698"/>
        <v>0</v>
      </c>
      <c r="AK2125" s="201">
        <f t="shared" ref="AK2125:AS2125" si="10744">countif($D2125,"*"&amp;AK$2&amp;"*")</f>
        <v>0</v>
      </c>
      <c r="AL2125" s="201">
        <f t="shared" si="10744"/>
        <v>0</v>
      </c>
      <c r="AM2125" s="201">
        <f t="shared" si="10744"/>
        <v>0</v>
      </c>
      <c r="AN2125" s="201">
        <f t="shared" si="10744"/>
        <v>0</v>
      </c>
      <c r="AO2125" s="201">
        <f t="shared" si="10744"/>
        <v>0</v>
      </c>
      <c r="AP2125" s="201">
        <f t="shared" si="10744"/>
        <v>0</v>
      </c>
      <c r="AQ2125" s="201">
        <f t="shared" si="10744"/>
        <v>0</v>
      </c>
      <c r="AR2125" s="200">
        <f t="shared" si="10744"/>
        <v>0</v>
      </c>
      <c r="AS2125" s="200">
        <f t="shared" si="10744"/>
        <v>0</v>
      </c>
      <c r="AT2125" s="173">
        <v>0.0</v>
      </c>
      <c r="AU2125" s="200">
        <f t="shared" ref="AU2125:AX2125" si="10745">countif($D2125,"*"&amp;AU$2&amp;"*")</f>
        <v>0</v>
      </c>
      <c r="AV2125" s="200">
        <f t="shared" si="10745"/>
        <v>0</v>
      </c>
      <c r="AW2125" s="200">
        <f t="shared" si="10745"/>
        <v>0</v>
      </c>
      <c r="AX2125" s="200">
        <f t="shared" si="10745"/>
        <v>0</v>
      </c>
      <c r="AY2125" s="202">
        <v>0.0</v>
      </c>
      <c r="AZ2125" s="200"/>
      <c r="BA2125" s="171" t="str">
        <f t="shared" si="18"/>
        <v/>
      </c>
      <c r="BB2125" s="171" t="str">
        <f t="shared" si="19"/>
        <v/>
      </c>
      <c r="BC2125" s="171" t="str">
        <f t="shared" si="20"/>
        <v/>
      </c>
      <c r="BD2125" s="171" t="str">
        <f t="shared" si="21"/>
        <v/>
      </c>
      <c r="BE2125" s="171" t="str">
        <f t="shared" si="22"/>
        <v>Others</v>
      </c>
      <c r="BF2125" s="171" t="str">
        <f t="shared" si="23"/>
        <v>Others</v>
      </c>
    </row>
    <row r="2126">
      <c r="A2126" s="171">
        <f t="array" ref="A2126">XLOOKUP(C2126,FSE!A:A,FSE!C:C,"XXXXX",0,1)</f>
        <v>2015</v>
      </c>
      <c r="B2126" s="213" t="s">
        <v>5676</v>
      </c>
      <c r="C2126" s="214">
        <v>769.0</v>
      </c>
      <c r="D2126" s="215" t="s">
        <v>6592</v>
      </c>
      <c r="E2126" s="197" t="str">
        <f t="array" ref="E2126">XLOOKUP(C2126,FSE!A:A,FSE!Z:Z,"XXXXX",0,1)</f>
        <v>Publicly Available (2)</v>
      </c>
      <c r="F2126" s="213" t="s">
        <v>3394</v>
      </c>
      <c r="G2126" s="163" t="str">
        <f t="array" ref="G2126">IF(B2126="ICSE",IF(COUNTIFS(B:B,B2126,C:C,C2126)=XLOOKUP(C2126,ICSE!A:A,ICSE!AA:AA,"ERROR",0,1),"OK","ERROR"),IF(B2126="FSE",IF(COUNTIFS(B:B,B2126,C:C,C2126)=XLOOKUP(C2126,FSE!A:A,FSE!AA:AA,"ERROR",0,1),"OK","ERROR")))</f>
        <v>OK</v>
      </c>
      <c r="H2126" s="199">
        <f t="shared" ref="H2126:O2126" si="10746">countif($D2126,"*"&amp;H$2&amp;"*")</f>
        <v>0</v>
      </c>
      <c r="I2126" s="200">
        <f t="shared" si="10746"/>
        <v>0</v>
      </c>
      <c r="J2126" s="200">
        <f t="shared" si="10746"/>
        <v>0</v>
      </c>
      <c r="K2126" s="200">
        <f t="shared" si="10746"/>
        <v>0</v>
      </c>
      <c r="L2126" s="200">
        <f t="shared" si="10746"/>
        <v>0</v>
      </c>
      <c r="M2126" s="200">
        <f t="shared" si="10746"/>
        <v>0</v>
      </c>
      <c r="N2126" s="200">
        <f t="shared" si="10746"/>
        <v>0</v>
      </c>
      <c r="O2126" s="200">
        <f t="shared" si="10746"/>
        <v>0</v>
      </c>
      <c r="P2126" s="200">
        <f t="shared" si="9"/>
        <v>0</v>
      </c>
      <c r="Q2126" s="200">
        <f t="shared" ref="Q2126:AC2126" si="10747">countif($D2126,"*"&amp;Q$2&amp;"*")</f>
        <v>0</v>
      </c>
      <c r="R2126" s="200">
        <f t="shared" si="10747"/>
        <v>1</v>
      </c>
      <c r="S2126" s="200">
        <f t="shared" si="10747"/>
        <v>0</v>
      </c>
      <c r="T2126" s="200">
        <f t="shared" si="10747"/>
        <v>0</v>
      </c>
      <c r="U2126" s="200">
        <f t="shared" si="10747"/>
        <v>0</v>
      </c>
      <c r="V2126" s="200">
        <f t="shared" si="10747"/>
        <v>0</v>
      </c>
      <c r="W2126" s="200">
        <f t="shared" si="10747"/>
        <v>0</v>
      </c>
      <c r="X2126" s="200">
        <f t="shared" si="10747"/>
        <v>0</v>
      </c>
      <c r="Y2126" s="200">
        <f t="shared" si="10747"/>
        <v>0</v>
      </c>
      <c r="Z2126" s="200">
        <f t="shared" si="10747"/>
        <v>0</v>
      </c>
      <c r="AA2126" s="200">
        <f t="shared" si="10747"/>
        <v>0</v>
      </c>
      <c r="AB2126" s="200">
        <f t="shared" si="10747"/>
        <v>0</v>
      </c>
      <c r="AC2126" s="200">
        <f t="shared" si="10747"/>
        <v>0</v>
      </c>
      <c r="AD2126" s="200">
        <f t="shared" si="11"/>
        <v>0</v>
      </c>
      <c r="AE2126" s="200">
        <f t="shared" ref="AE2126:AG2126" si="10748">countif($D2126,"*"&amp;AE$2&amp;"*")</f>
        <v>0</v>
      </c>
      <c r="AF2126" s="200">
        <f t="shared" si="10748"/>
        <v>0</v>
      </c>
      <c r="AG2126" s="200">
        <f t="shared" si="10748"/>
        <v>0</v>
      </c>
      <c r="AH2126" s="171">
        <f t="shared" si="13"/>
        <v>0</v>
      </c>
      <c r="AI2126" s="200">
        <f t="shared" si="14"/>
        <v>0</v>
      </c>
      <c r="AJ2126" s="200">
        <f t="shared" si="10698"/>
        <v>0</v>
      </c>
      <c r="AK2126" s="201">
        <f t="shared" ref="AK2126:AS2126" si="10749">countif($D2126,"*"&amp;AK$2&amp;"*")</f>
        <v>0</v>
      </c>
      <c r="AL2126" s="201">
        <f t="shared" si="10749"/>
        <v>0</v>
      </c>
      <c r="AM2126" s="201">
        <f t="shared" si="10749"/>
        <v>0</v>
      </c>
      <c r="AN2126" s="201">
        <f t="shared" si="10749"/>
        <v>0</v>
      </c>
      <c r="AO2126" s="201">
        <f t="shared" si="10749"/>
        <v>0</v>
      </c>
      <c r="AP2126" s="201">
        <f t="shared" si="10749"/>
        <v>0</v>
      </c>
      <c r="AQ2126" s="201">
        <f t="shared" si="10749"/>
        <v>0</v>
      </c>
      <c r="AR2126" s="200">
        <f t="shared" si="10749"/>
        <v>0</v>
      </c>
      <c r="AS2126" s="200">
        <f t="shared" si="10749"/>
        <v>0</v>
      </c>
      <c r="AT2126" s="173">
        <v>0.0</v>
      </c>
      <c r="AU2126" s="200">
        <f t="shared" ref="AU2126:AX2126" si="10750">countif($D2126,"*"&amp;AU$2&amp;"*")</f>
        <v>0</v>
      </c>
      <c r="AV2126" s="200">
        <f t="shared" si="10750"/>
        <v>0</v>
      </c>
      <c r="AW2126" s="200">
        <f t="shared" si="10750"/>
        <v>0</v>
      </c>
      <c r="AX2126" s="200">
        <f t="shared" si="10750"/>
        <v>0</v>
      </c>
      <c r="AY2126" s="202">
        <v>0.0</v>
      </c>
      <c r="AZ2126" s="200"/>
      <c r="BA2126" s="171" t="str">
        <f t="shared" si="18"/>
        <v/>
      </c>
      <c r="BB2126" s="171" t="str">
        <f t="shared" si="19"/>
        <v>Code</v>
      </c>
      <c r="BC2126" s="171" t="str">
        <f t="shared" si="20"/>
        <v/>
      </c>
      <c r="BD2126" s="171" t="str">
        <f t="shared" si="21"/>
        <v/>
      </c>
      <c r="BE2126" s="171" t="str">
        <f t="shared" si="22"/>
        <v/>
      </c>
      <c r="BF2126" s="171" t="str">
        <f t="shared" si="23"/>
        <v>Code</v>
      </c>
    </row>
    <row r="2127">
      <c r="A2127" s="171">
        <f t="array" ref="A2127">XLOOKUP(C2127,FSE!A:A,FSE!C:C,"XXXXX",0,1)</f>
        <v>2015</v>
      </c>
      <c r="B2127" s="213" t="s">
        <v>5676</v>
      </c>
      <c r="C2127" s="214">
        <v>770.0</v>
      </c>
      <c r="D2127" s="215" t="s">
        <v>3707</v>
      </c>
      <c r="E2127" s="197" t="str">
        <f t="array" ref="E2127">XLOOKUP(C2127,FSE!A:A,FSE!Z:Z,"XXXXX",0,1)</f>
        <v>Publicly Available (1)</v>
      </c>
      <c r="F2127" s="213" t="s">
        <v>3394</v>
      </c>
      <c r="G2127" s="163" t="str">
        <f t="array" ref="G2127">IF(B2127="ICSE",IF(COUNTIFS(B:B,B2127,C:C,C2127)=XLOOKUP(C2127,ICSE!A:A,ICSE!AA:AA,"ERROR",0,1),"OK","ERROR"),IF(B2127="FSE",IF(COUNTIFS(B:B,B2127,C:C,C2127)=XLOOKUP(C2127,FSE!A:A,FSE!AA:AA,"ERROR",0,1),"OK","ERROR")))</f>
        <v>OK</v>
      </c>
      <c r="H2127" s="199">
        <f t="shared" ref="H2127:O2127" si="10751">countif($D2127,"*"&amp;H$2&amp;"*")</f>
        <v>0</v>
      </c>
      <c r="I2127" s="200">
        <f t="shared" si="10751"/>
        <v>0</v>
      </c>
      <c r="J2127" s="200">
        <f t="shared" si="10751"/>
        <v>0</v>
      </c>
      <c r="K2127" s="200">
        <f t="shared" si="10751"/>
        <v>0</v>
      </c>
      <c r="L2127" s="200">
        <f t="shared" si="10751"/>
        <v>0</v>
      </c>
      <c r="M2127" s="200">
        <f t="shared" si="10751"/>
        <v>0</v>
      </c>
      <c r="N2127" s="200">
        <f t="shared" si="10751"/>
        <v>0</v>
      </c>
      <c r="O2127" s="200">
        <f t="shared" si="10751"/>
        <v>0</v>
      </c>
      <c r="P2127" s="200">
        <f t="shared" si="9"/>
        <v>0</v>
      </c>
      <c r="Q2127" s="200">
        <f t="shared" ref="Q2127:AC2127" si="10752">countif($D2127,"*"&amp;Q$2&amp;"*")</f>
        <v>0</v>
      </c>
      <c r="R2127" s="200">
        <f t="shared" si="10752"/>
        <v>0</v>
      </c>
      <c r="S2127" s="200">
        <f t="shared" si="10752"/>
        <v>0</v>
      </c>
      <c r="T2127" s="200">
        <f t="shared" si="10752"/>
        <v>0</v>
      </c>
      <c r="U2127" s="200">
        <f t="shared" si="10752"/>
        <v>0</v>
      </c>
      <c r="V2127" s="200">
        <f t="shared" si="10752"/>
        <v>0</v>
      </c>
      <c r="W2127" s="200">
        <f t="shared" si="10752"/>
        <v>0</v>
      </c>
      <c r="X2127" s="200">
        <f t="shared" si="10752"/>
        <v>0</v>
      </c>
      <c r="Y2127" s="200">
        <f t="shared" si="10752"/>
        <v>0</v>
      </c>
      <c r="Z2127" s="200">
        <f t="shared" si="10752"/>
        <v>0</v>
      </c>
      <c r="AA2127" s="200">
        <f t="shared" si="10752"/>
        <v>0</v>
      </c>
      <c r="AB2127" s="200">
        <f t="shared" si="10752"/>
        <v>0</v>
      </c>
      <c r="AC2127" s="200">
        <f t="shared" si="10752"/>
        <v>0</v>
      </c>
      <c r="AD2127" s="200">
        <f t="shared" si="11"/>
        <v>1</v>
      </c>
      <c r="AE2127" s="200">
        <f t="shared" ref="AE2127:AG2127" si="10753">countif($D2127,"*"&amp;AE$2&amp;"*")</f>
        <v>0</v>
      </c>
      <c r="AF2127" s="200">
        <f t="shared" si="10753"/>
        <v>0</v>
      </c>
      <c r="AG2127" s="200">
        <f t="shared" si="10753"/>
        <v>0</v>
      </c>
      <c r="AH2127" s="171">
        <f t="shared" si="13"/>
        <v>0</v>
      </c>
      <c r="AI2127" s="200">
        <f t="shared" si="14"/>
        <v>0</v>
      </c>
      <c r="AJ2127" s="200">
        <f t="shared" si="10698"/>
        <v>0</v>
      </c>
      <c r="AK2127" s="201">
        <f t="shared" ref="AK2127:AS2127" si="10754">countif($D2127,"*"&amp;AK$2&amp;"*")</f>
        <v>0</v>
      </c>
      <c r="AL2127" s="201">
        <f t="shared" si="10754"/>
        <v>0</v>
      </c>
      <c r="AM2127" s="201">
        <f t="shared" si="10754"/>
        <v>0</v>
      </c>
      <c r="AN2127" s="201">
        <f t="shared" si="10754"/>
        <v>0</v>
      </c>
      <c r="AO2127" s="201">
        <f t="shared" si="10754"/>
        <v>0</v>
      </c>
      <c r="AP2127" s="201">
        <f t="shared" si="10754"/>
        <v>0</v>
      </c>
      <c r="AQ2127" s="201">
        <f t="shared" si="10754"/>
        <v>0</v>
      </c>
      <c r="AR2127" s="200">
        <f t="shared" si="10754"/>
        <v>0</v>
      </c>
      <c r="AS2127" s="200">
        <f t="shared" si="10754"/>
        <v>0</v>
      </c>
      <c r="AT2127" s="173">
        <v>1.0</v>
      </c>
      <c r="AU2127" s="200">
        <f t="shared" ref="AU2127:AX2127" si="10755">countif($D2127,"*"&amp;AU$2&amp;"*")</f>
        <v>0</v>
      </c>
      <c r="AV2127" s="200">
        <f t="shared" si="10755"/>
        <v>0</v>
      </c>
      <c r="AW2127" s="200">
        <f t="shared" si="10755"/>
        <v>0</v>
      </c>
      <c r="AX2127" s="200">
        <f t="shared" si="10755"/>
        <v>0</v>
      </c>
      <c r="AY2127" s="202">
        <v>0.0</v>
      </c>
      <c r="AZ2127" s="200"/>
      <c r="BA2127" s="171" t="str">
        <f t="shared" si="18"/>
        <v/>
      </c>
      <c r="BB2127" s="171" t="str">
        <f t="shared" si="19"/>
        <v/>
      </c>
      <c r="BC2127" s="171" t="str">
        <f t="shared" si="20"/>
        <v/>
      </c>
      <c r="BD2127" s="171" t="str">
        <f t="shared" si="21"/>
        <v>Institutional</v>
      </c>
      <c r="BE2127" s="171" t="str">
        <f t="shared" si="22"/>
        <v/>
      </c>
      <c r="BF2127" s="171" t="str">
        <f t="shared" si="23"/>
        <v>Institutional</v>
      </c>
    </row>
    <row r="2128">
      <c r="A2128" s="171">
        <f t="array" ref="A2128">XLOOKUP(C2128,FSE!A:A,FSE!C:C,"XXXXX",0,1)</f>
        <v>2015</v>
      </c>
      <c r="B2128" s="213" t="s">
        <v>5676</v>
      </c>
      <c r="C2128" s="214">
        <v>773.0</v>
      </c>
      <c r="D2128" s="215" t="s">
        <v>3712</v>
      </c>
      <c r="E2128" s="197" t="str">
        <f t="array" ref="E2128">XLOOKUP(C2128,FSE!A:A,FSE!Z:Z,"XXXXX",0,1)</f>
        <v>Not Available (1)</v>
      </c>
      <c r="F2128" s="213" t="s">
        <v>3395</v>
      </c>
      <c r="G2128" s="163" t="str">
        <f t="array" ref="G2128">IF(B2128="ICSE",IF(COUNTIFS(B:B,B2128,C:C,C2128)=XLOOKUP(C2128,ICSE!A:A,ICSE!AA:AA,"ERROR",0,1),"OK","ERROR"),IF(B2128="FSE",IF(COUNTIFS(B:B,B2128,C:C,C2128)=XLOOKUP(C2128,FSE!A:A,FSE!AA:AA,"ERROR",0,1),"OK","ERROR")))</f>
        <v>OK</v>
      </c>
      <c r="H2128" s="199">
        <f t="shared" ref="H2128:O2128" si="10756">countif($D2128,"*"&amp;H$2&amp;"*")</f>
        <v>0</v>
      </c>
      <c r="I2128" s="200">
        <f t="shared" si="10756"/>
        <v>0</v>
      </c>
      <c r="J2128" s="200">
        <f t="shared" si="10756"/>
        <v>0</v>
      </c>
      <c r="K2128" s="200">
        <f t="shared" si="10756"/>
        <v>0</v>
      </c>
      <c r="L2128" s="200">
        <f t="shared" si="10756"/>
        <v>0</v>
      </c>
      <c r="M2128" s="200">
        <f t="shared" si="10756"/>
        <v>0</v>
      </c>
      <c r="N2128" s="200">
        <f t="shared" si="10756"/>
        <v>0</v>
      </c>
      <c r="O2128" s="200">
        <f t="shared" si="10756"/>
        <v>0</v>
      </c>
      <c r="P2128" s="200">
        <f t="shared" si="9"/>
        <v>0</v>
      </c>
      <c r="Q2128" s="200">
        <f t="shared" ref="Q2128:AC2128" si="10757">countif($D2128,"*"&amp;Q$2&amp;"*")</f>
        <v>0</v>
      </c>
      <c r="R2128" s="200">
        <f t="shared" si="10757"/>
        <v>0</v>
      </c>
      <c r="S2128" s="200">
        <f t="shared" si="10757"/>
        <v>0</v>
      </c>
      <c r="T2128" s="200">
        <f t="shared" si="10757"/>
        <v>0</v>
      </c>
      <c r="U2128" s="200">
        <f t="shared" si="10757"/>
        <v>0</v>
      </c>
      <c r="V2128" s="200">
        <f t="shared" si="10757"/>
        <v>0</v>
      </c>
      <c r="W2128" s="200">
        <f t="shared" si="10757"/>
        <v>0</v>
      </c>
      <c r="X2128" s="200">
        <f t="shared" si="10757"/>
        <v>0</v>
      </c>
      <c r="Y2128" s="200">
        <f t="shared" si="10757"/>
        <v>0</v>
      </c>
      <c r="Z2128" s="200">
        <f t="shared" si="10757"/>
        <v>0</v>
      </c>
      <c r="AA2128" s="200">
        <f t="shared" si="10757"/>
        <v>0</v>
      </c>
      <c r="AB2128" s="200">
        <f t="shared" si="10757"/>
        <v>0</v>
      </c>
      <c r="AC2128" s="200">
        <f t="shared" si="10757"/>
        <v>0</v>
      </c>
      <c r="AD2128" s="200">
        <f t="shared" si="11"/>
        <v>1</v>
      </c>
      <c r="AE2128" s="200">
        <f t="shared" ref="AE2128:AG2128" si="10758">countif($D2128,"*"&amp;AE$2&amp;"*")</f>
        <v>0</v>
      </c>
      <c r="AF2128" s="200">
        <f t="shared" si="10758"/>
        <v>0</v>
      </c>
      <c r="AG2128" s="200">
        <f t="shared" si="10758"/>
        <v>0</v>
      </c>
      <c r="AH2128" s="171">
        <f t="shared" si="13"/>
        <v>0</v>
      </c>
      <c r="AI2128" s="200">
        <f t="shared" si="14"/>
        <v>0</v>
      </c>
      <c r="AJ2128" s="200">
        <f>SUM(AK2128:AQ2128)</f>
        <v>0</v>
      </c>
      <c r="AK2128" s="201">
        <f t="shared" ref="AK2128:AS2128" si="10759">countif($D2128,"*"&amp;AK$2&amp;"*")</f>
        <v>0</v>
      </c>
      <c r="AL2128" s="201">
        <f t="shared" si="10759"/>
        <v>0</v>
      </c>
      <c r="AM2128" s="201">
        <f t="shared" si="10759"/>
        <v>0</v>
      </c>
      <c r="AN2128" s="201">
        <f t="shared" si="10759"/>
        <v>0</v>
      </c>
      <c r="AO2128" s="201">
        <f t="shared" si="10759"/>
        <v>0</v>
      </c>
      <c r="AP2128" s="201">
        <f t="shared" si="10759"/>
        <v>0</v>
      </c>
      <c r="AQ2128" s="201">
        <f t="shared" si="10759"/>
        <v>0</v>
      </c>
      <c r="AR2128" s="201">
        <f t="shared" si="10759"/>
        <v>0</v>
      </c>
      <c r="AS2128" s="200">
        <f t="shared" si="10759"/>
        <v>0</v>
      </c>
      <c r="AT2128" s="205">
        <v>0.0</v>
      </c>
      <c r="AU2128" s="200">
        <f t="shared" ref="AU2128:AX2128" si="10760">countif($D2128,"*"&amp;AU$2&amp;"*")</f>
        <v>1</v>
      </c>
      <c r="AV2128" s="200">
        <f t="shared" si="10760"/>
        <v>0</v>
      </c>
      <c r="AW2128" s="200">
        <f t="shared" si="10760"/>
        <v>0</v>
      </c>
      <c r="AX2128" s="200">
        <f t="shared" si="10760"/>
        <v>0</v>
      </c>
      <c r="AY2128" s="202">
        <v>0.0</v>
      </c>
      <c r="AZ2128" s="200"/>
      <c r="BA2128" s="171" t="str">
        <f t="shared" si="18"/>
        <v/>
      </c>
      <c r="BB2128" s="171" t="str">
        <f t="shared" si="19"/>
        <v/>
      </c>
      <c r="BC2128" s="171" t="str">
        <f t="shared" si="20"/>
        <v/>
      </c>
      <c r="BD2128" s="171" t="str">
        <f t="shared" si="21"/>
        <v>Institutional</v>
      </c>
      <c r="BE2128" s="171" t="str">
        <f t="shared" si="22"/>
        <v/>
      </c>
      <c r="BF2128" s="171" t="str">
        <f t="shared" si="23"/>
        <v>Institutional</v>
      </c>
    </row>
    <row r="2129">
      <c r="A2129" s="171">
        <f t="array" ref="A2129">XLOOKUP(C2129,FSE!A:A,FSE!C:C,"XXXXX",0,1)</f>
        <v>2015</v>
      </c>
      <c r="B2129" s="213" t="s">
        <v>5676</v>
      </c>
      <c r="C2129" s="214">
        <v>774.0</v>
      </c>
      <c r="D2129" s="215" t="s">
        <v>3714</v>
      </c>
      <c r="E2129" s="197" t="str">
        <f t="array" ref="E2129">XLOOKUP(C2129,FSE!A:A,FSE!Z:Z,"XXXXX",0,1)</f>
        <v>Publicly Available (1)</v>
      </c>
      <c r="F2129" s="213" t="s">
        <v>3394</v>
      </c>
      <c r="G2129" s="163" t="str">
        <f t="array" ref="G2129">IF(B2129="ICSE",IF(COUNTIFS(B:B,B2129,C:C,C2129)=XLOOKUP(C2129,ICSE!A:A,ICSE!AA:AA,"ERROR",0,1),"OK","ERROR"),IF(B2129="FSE",IF(COUNTIFS(B:B,B2129,C:C,C2129)=XLOOKUP(C2129,FSE!A:A,FSE!AA:AA,"ERROR",0,1),"OK","ERROR")))</f>
        <v>OK</v>
      </c>
      <c r="H2129" s="199">
        <f t="shared" ref="H2129:O2129" si="10761">countif($D2129,"*"&amp;H$2&amp;"*")</f>
        <v>0</v>
      </c>
      <c r="I2129" s="200">
        <f t="shared" si="10761"/>
        <v>0</v>
      </c>
      <c r="J2129" s="200">
        <f t="shared" si="10761"/>
        <v>0</v>
      </c>
      <c r="K2129" s="200">
        <f t="shared" si="10761"/>
        <v>0</v>
      </c>
      <c r="L2129" s="200">
        <f t="shared" si="10761"/>
        <v>0</v>
      </c>
      <c r="M2129" s="200">
        <f t="shared" si="10761"/>
        <v>0</v>
      </c>
      <c r="N2129" s="200">
        <f t="shared" si="10761"/>
        <v>0</v>
      </c>
      <c r="O2129" s="200">
        <f t="shared" si="10761"/>
        <v>0</v>
      </c>
      <c r="P2129" s="200">
        <f t="shared" si="9"/>
        <v>1</v>
      </c>
      <c r="Q2129" s="200">
        <f t="shared" ref="Q2129:AC2129" si="10762">countif($D2129,"*"&amp;Q$2&amp;"*")</f>
        <v>0</v>
      </c>
      <c r="R2129" s="200">
        <f t="shared" si="10762"/>
        <v>0</v>
      </c>
      <c r="S2129" s="200">
        <f t="shared" si="10762"/>
        <v>0</v>
      </c>
      <c r="T2129" s="200">
        <f t="shared" si="10762"/>
        <v>0</v>
      </c>
      <c r="U2129" s="200">
        <f t="shared" si="10762"/>
        <v>0</v>
      </c>
      <c r="V2129" s="200">
        <f t="shared" si="10762"/>
        <v>0</v>
      </c>
      <c r="W2129" s="200">
        <f t="shared" si="10762"/>
        <v>0</v>
      </c>
      <c r="X2129" s="200">
        <f t="shared" si="10762"/>
        <v>0</v>
      </c>
      <c r="Y2129" s="200">
        <f t="shared" si="10762"/>
        <v>0</v>
      </c>
      <c r="Z2129" s="200">
        <f t="shared" si="10762"/>
        <v>0</v>
      </c>
      <c r="AA2129" s="200">
        <f t="shared" si="10762"/>
        <v>0</v>
      </c>
      <c r="AB2129" s="200">
        <f t="shared" si="10762"/>
        <v>0</v>
      </c>
      <c r="AC2129" s="200">
        <f t="shared" si="10762"/>
        <v>0</v>
      </c>
      <c r="AD2129" s="200">
        <f t="shared" si="11"/>
        <v>0</v>
      </c>
      <c r="AE2129" s="200">
        <f t="shared" ref="AE2129:AG2129" si="10763">countif($D2129,"*"&amp;AE$2&amp;"*")</f>
        <v>0</v>
      </c>
      <c r="AF2129" s="200">
        <f t="shared" si="10763"/>
        <v>0</v>
      </c>
      <c r="AG2129" s="200">
        <f t="shared" si="10763"/>
        <v>0</v>
      </c>
      <c r="AH2129" s="171">
        <f t="shared" si="13"/>
        <v>0</v>
      </c>
      <c r="AI2129" s="200">
        <f t="shared" si="14"/>
        <v>0</v>
      </c>
      <c r="AJ2129" s="200">
        <f t="shared" ref="AJ2129:AJ2142" si="10769">SUM(AK2129:AR2129)</f>
        <v>0</v>
      </c>
      <c r="AK2129" s="201">
        <f t="shared" ref="AK2129:AS2129" si="10764">countif($D2129,"*"&amp;AK$2&amp;"*")</f>
        <v>0</v>
      </c>
      <c r="AL2129" s="201">
        <f t="shared" si="10764"/>
        <v>0</v>
      </c>
      <c r="AM2129" s="201">
        <f t="shared" si="10764"/>
        <v>0</v>
      </c>
      <c r="AN2129" s="201">
        <f t="shared" si="10764"/>
        <v>0</v>
      </c>
      <c r="AO2129" s="201">
        <f t="shared" si="10764"/>
        <v>0</v>
      </c>
      <c r="AP2129" s="201">
        <f t="shared" si="10764"/>
        <v>0</v>
      </c>
      <c r="AQ2129" s="201">
        <f t="shared" si="10764"/>
        <v>0</v>
      </c>
      <c r="AR2129" s="200">
        <f t="shared" si="10764"/>
        <v>0</v>
      </c>
      <c r="AS2129" s="200">
        <f t="shared" si="10764"/>
        <v>0</v>
      </c>
      <c r="AT2129" s="173">
        <v>0.0</v>
      </c>
      <c r="AU2129" s="200">
        <f t="shared" ref="AU2129:AX2129" si="10765">countif($D2129,"*"&amp;AU$2&amp;"*")</f>
        <v>0</v>
      </c>
      <c r="AV2129" s="200">
        <f t="shared" si="10765"/>
        <v>1</v>
      </c>
      <c r="AW2129" s="200">
        <f t="shared" si="10765"/>
        <v>0</v>
      </c>
      <c r="AX2129" s="200">
        <f t="shared" si="10765"/>
        <v>0</v>
      </c>
      <c r="AY2129" s="202">
        <v>0.0</v>
      </c>
      <c r="AZ2129" s="200"/>
      <c r="BA2129" s="171" t="str">
        <f t="shared" si="18"/>
        <v/>
      </c>
      <c r="BB2129" s="171" t="str">
        <f t="shared" si="19"/>
        <v>Code</v>
      </c>
      <c r="BC2129" s="171" t="str">
        <f t="shared" si="20"/>
        <v/>
      </c>
      <c r="BD2129" s="171" t="str">
        <f t="shared" si="21"/>
        <v/>
      </c>
      <c r="BE2129" s="171" t="str">
        <f t="shared" si="22"/>
        <v/>
      </c>
      <c r="BF2129" s="171" t="str">
        <f t="shared" si="23"/>
        <v>Code</v>
      </c>
    </row>
    <row r="2130">
      <c r="A2130" s="171">
        <f t="array" ref="A2130">XLOOKUP(C2130,FSE!A:A,FSE!C:C,"XXXXX",0,1)</f>
        <v>2015</v>
      </c>
      <c r="B2130" s="213" t="s">
        <v>5676</v>
      </c>
      <c r="C2130" s="214">
        <v>776.0</v>
      </c>
      <c r="D2130" s="215" t="s">
        <v>3719</v>
      </c>
      <c r="E2130" s="197" t="str">
        <f t="array" ref="E2130">XLOOKUP(C2130,FSE!A:A,FSE!Z:Z,"XXXXX",0,1)</f>
        <v>Publicly Available (1)</v>
      </c>
      <c r="F2130" s="213" t="s">
        <v>3394</v>
      </c>
      <c r="G2130" s="163" t="str">
        <f t="array" ref="G2130">IF(B2130="ICSE",IF(COUNTIFS(B:B,B2130,C:C,C2130)=XLOOKUP(C2130,ICSE!A:A,ICSE!AA:AA,"ERROR",0,1),"OK","ERROR"),IF(B2130="FSE",IF(COUNTIFS(B:B,B2130,C:C,C2130)=XLOOKUP(C2130,FSE!A:A,FSE!AA:AA,"ERROR",0,1),"OK","ERROR")))</f>
        <v>OK</v>
      </c>
      <c r="H2130" s="199">
        <f t="shared" ref="H2130:O2130" si="10766">countif($D2130,"*"&amp;H$2&amp;"*")</f>
        <v>0</v>
      </c>
      <c r="I2130" s="200">
        <f t="shared" si="10766"/>
        <v>0</v>
      </c>
      <c r="J2130" s="200">
        <f t="shared" si="10766"/>
        <v>0</v>
      </c>
      <c r="K2130" s="200">
        <f t="shared" si="10766"/>
        <v>0</v>
      </c>
      <c r="L2130" s="200">
        <f t="shared" si="10766"/>
        <v>0</v>
      </c>
      <c r="M2130" s="200">
        <f t="shared" si="10766"/>
        <v>0</v>
      </c>
      <c r="N2130" s="200">
        <f t="shared" si="10766"/>
        <v>0</v>
      </c>
      <c r="O2130" s="200">
        <f t="shared" si="10766"/>
        <v>0</v>
      </c>
      <c r="P2130" s="200">
        <f t="shared" si="9"/>
        <v>0</v>
      </c>
      <c r="Q2130" s="200">
        <f t="shared" ref="Q2130:AC2130" si="10767">countif($D2130,"*"&amp;Q$2&amp;"*")</f>
        <v>0</v>
      </c>
      <c r="R2130" s="200">
        <f t="shared" si="10767"/>
        <v>0</v>
      </c>
      <c r="S2130" s="200">
        <f t="shared" si="10767"/>
        <v>0</v>
      </c>
      <c r="T2130" s="200">
        <f t="shared" si="10767"/>
        <v>0</v>
      </c>
      <c r="U2130" s="200">
        <f t="shared" si="10767"/>
        <v>0</v>
      </c>
      <c r="V2130" s="200">
        <f t="shared" si="10767"/>
        <v>0</v>
      </c>
      <c r="W2130" s="200">
        <f t="shared" si="10767"/>
        <v>0</v>
      </c>
      <c r="X2130" s="200">
        <f t="shared" si="10767"/>
        <v>0</v>
      </c>
      <c r="Y2130" s="200">
        <f t="shared" si="10767"/>
        <v>0</v>
      </c>
      <c r="Z2130" s="200">
        <f t="shared" si="10767"/>
        <v>0</v>
      </c>
      <c r="AA2130" s="200">
        <f t="shared" si="10767"/>
        <v>0</v>
      </c>
      <c r="AB2130" s="200">
        <f t="shared" si="10767"/>
        <v>0</v>
      </c>
      <c r="AC2130" s="200">
        <f t="shared" si="10767"/>
        <v>0</v>
      </c>
      <c r="AD2130" s="200">
        <f t="shared" si="11"/>
        <v>0</v>
      </c>
      <c r="AE2130" s="200">
        <f t="shared" ref="AE2130:AG2130" si="10768">countif($D2130,"*"&amp;AE$2&amp;"*")</f>
        <v>0</v>
      </c>
      <c r="AF2130" s="200">
        <f t="shared" si="10768"/>
        <v>0</v>
      </c>
      <c r="AG2130" s="200">
        <f t="shared" si="10768"/>
        <v>0</v>
      </c>
      <c r="AH2130" s="171">
        <f t="shared" si="13"/>
        <v>1</v>
      </c>
      <c r="AI2130" s="200">
        <f t="shared" si="14"/>
        <v>0</v>
      </c>
      <c r="AJ2130" s="200">
        <f t="shared" si="10769"/>
        <v>0</v>
      </c>
      <c r="AK2130" s="201">
        <f t="shared" ref="AK2130:AS2130" si="10770">countif($D2130,"*"&amp;AK$2&amp;"*")</f>
        <v>0</v>
      </c>
      <c r="AL2130" s="201">
        <f t="shared" si="10770"/>
        <v>0</v>
      </c>
      <c r="AM2130" s="201">
        <f t="shared" si="10770"/>
        <v>0</v>
      </c>
      <c r="AN2130" s="201">
        <f t="shared" si="10770"/>
        <v>0</v>
      </c>
      <c r="AO2130" s="201">
        <f t="shared" si="10770"/>
        <v>0</v>
      </c>
      <c r="AP2130" s="201">
        <f t="shared" si="10770"/>
        <v>0</v>
      </c>
      <c r="AQ2130" s="201">
        <f t="shared" si="10770"/>
        <v>0</v>
      </c>
      <c r="AR2130" s="200">
        <f t="shared" si="10770"/>
        <v>0</v>
      </c>
      <c r="AS2130" s="200">
        <f t="shared" si="10770"/>
        <v>0</v>
      </c>
      <c r="AT2130" s="173">
        <v>0.0</v>
      </c>
      <c r="AU2130" s="200">
        <f t="shared" ref="AU2130:AX2130" si="10771">countif($D2130,"*"&amp;AU$2&amp;"*")</f>
        <v>0</v>
      </c>
      <c r="AV2130" s="200">
        <f t="shared" si="10771"/>
        <v>0</v>
      </c>
      <c r="AW2130" s="200">
        <f t="shared" si="10771"/>
        <v>0</v>
      </c>
      <c r="AX2130" s="200">
        <f t="shared" si="10771"/>
        <v>0</v>
      </c>
      <c r="AY2130" s="202">
        <v>0.0</v>
      </c>
      <c r="AZ2130" s="200"/>
      <c r="BA2130" s="171" t="str">
        <f t="shared" si="18"/>
        <v/>
      </c>
      <c r="BB2130" s="171" t="str">
        <f t="shared" si="19"/>
        <v/>
      </c>
      <c r="BC2130" s="171" t="str">
        <f t="shared" si="20"/>
        <v/>
      </c>
      <c r="BD2130" s="171" t="str">
        <f t="shared" si="21"/>
        <v/>
      </c>
      <c r="BE2130" s="171" t="str">
        <f t="shared" si="22"/>
        <v>Others</v>
      </c>
      <c r="BF2130" s="171" t="str">
        <f t="shared" si="23"/>
        <v>Others</v>
      </c>
    </row>
    <row r="2131">
      <c r="A2131" s="171">
        <f t="array" ref="A2131">XLOOKUP(C2131,FSE!A:A,FSE!C:C,"XXXXX",0,1)</f>
        <v>2015</v>
      </c>
      <c r="B2131" s="213" t="s">
        <v>5676</v>
      </c>
      <c r="C2131" s="214">
        <v>777.0</v>
      </c>
      <c r="D2131" s="215" t="s">
        <v>3722</v>
      </c>
      <c r="E2131" s="197" t="str">
        <f t="array" ref="E2131">XLOOKUP(C2131,FSE!A:A,FSE!Z:Z,"XXXXX",0,1)</f>
        <v>Publicly Available (1)</v>
      </c>
      <c r="F2131" s="213" t="s">
        <v>3394</v>
      </c>
      <c r="G2131" s="163" t="str">
        <f t="array" ref="G2131">IF(B2131="ICSE",IF(COUNTIFS(B:B,B2131,C:C,C2131)=XLOOKUP(C2131,ICSE!A:A,ICSE!AA:AA,"ERROR",0,1),"OK","ERROR"),IF(B2131="FSE",IF(COUNTIFS(B:B,B2131,C:C,C2131)=XLOOKUP(C2131,FSE!A:A,FSE!AA:AA,"ERROR",0,1),"OK","ERROR")))</f>
        <v>OK</v>
      </c>
      <c r="H2131" s="199">
        <f t="shared" ref="H2131:O2131" si="10772">countif($D2131,"*"&amp;H$2&amp;"*")</f>
        <v>0</v>
      </c>
      <c r="I2131" s="200">
        <f t="shared" si="10772"/>
        <v>0</v>
      </c>
      <c r="J2131" s="200">
        <f t="shared" si="10772"/>
        <v>0</v>
      </c>
      <c r="K2131" s="200">
        <f t="shared" si="10772"/>
        <v>0</v>
      </c>
      <c r="L2131" s="200">
        <f t="shared" si="10772"/>
        <v>0</v>
      </c>
      <c r="M2131" s="200">
        <f t="shared" si="10772"/>
        <v>0</v>
      </c>
      <c r="N2131" s="200">
        <f t="shared" si="10772"/>
        <v>0</v>
      </c>
      <c r="O2131" s="200">
        <f t="shared" si="10772"/>
        <v>0</v>
      </c>
      <c r="P2131" s="200">
        <f t="shared" si="9"/>
        <v>1</v>
      </c>
      <c r="Q2131" s="200">
        <f t="shared" ref="Q2131:AC2131" si="10773">countif($D2131,"*"&amp;Q$2&amp;"*")</f>
        <v>0</v>
      </c>
      <c r="R2131" s="200">
        <f t="shared" si="10773"/>
        <v>0</v>
      </c>
      <c r="S2131" s="200">
        <f t="shared" si="10773"/>
        <v>0</v>
      </c>
      <c r="T2131" s="200">
        <f t="shared" si="10773"/>
        <v>0</v>
      </c>
      <c r="U2131" s="200">
        <f t="shared" si="10773"/>
        <v>0</v>
      </c>
      <c r="V2131" s="200">
        <f t="shared" si="10773"/>
        <v>0</v>
      </c>
      <c r="W2131" s="200">
        <f t="shared" si="10773"/>
        <v>0</v>
      </c>
      <c r="X2131" s="200">
        <f t="shared" si="10773"/>
        <v>0</v>
      </c>
      <c r="Y2131" s="200">
        <f t="shared" si="10773"/>
        <v>0</v>
      </c>
      <c r="Z2131" s="200">
        <f t="shared" si="10773"/>
        <v>0</v>
      </c>
      <c r="AA2131" s="200">
        <f t="shared" si="10773"/>
        <v>0</v>
      </c>
      <c r="AB2131" s="200">
        <f t="shared" si="10773"/>
        <v>0</v>
      </c>
      <c r="AC2131" s="200">
        <f t="shared" si="10773"/>
        <v>0</v>
      </c>
      <c r="AD2131" s="200">
        <f t="shared" si="11"/>
        <v>0</v>
      </c>
      <c r="AE2131" s="200">
        <f t="shared" ref="AE2131:AG2131" si="10774">countif($D2131,"*"&amp;AE$2&amp;"*")</f>
        <v>0</v>
      </c>
      <c r="AF2131" s="200">
        <f t="shared" si="10774"/>
        <v>0</v>
      </c>
      <c r="AG2131" s="200">
        <f t="shared" si="10774"/>
        <v>0</v>
      </c>
      <c r="AH2131" s="171">
        <f t="shared" si="13"/>
        <v>0</v>
      </c>
      <c r="AI2131" s="200">
        <f t="shared" si="14"/>
        <v>0</v>
      </c>
      <c r="AJ2131" s="200">
        <f t="shared" si="10769"/>
        <v>0</v>
      </c>
      <c r="AK2131" s="201">
        <f t="shared" ref="AK2131:AS2131" si="10775">countif($D2131,"*"&amp;AK$2&amp;"*")</f>
        <v>0</v>
      </c>
      <c r="AL2131" s="201">
        <f t="shared" si="10775"/>
        <v>0</v>
      </c>
      <c r="AM2131" s="201">
        <f t="shared" si="10775"/>
        <v>0</v>
      </c>
      <c r="AN2131" s="201">
        <f t="shared" si="10775"/>
        <v>0</v>
      </c>
      <c r="AO2131" s="201">
        <f t="shared" si="10775"/>
        <v>0</v>
      </c>
      <c r="AP2131" s="201">
        <f t="shared" si="10775"/>
        <v>0</v>
      </c>
      <c r="AQ2131" s="201">
        <f t="shared" si="10775"/>
        <v>0</v>
      </c>
      <c r="AR2131" s="200">
        <f t="shared" si="10775"/>
        <v>0</v>
      </c>
      <c r="AS2131" s="200">
        <f t="shared" si="10775"/>
        <v>0</v>
      </c>
      <c r="AT2131" s="173">
        <v>0.0</v>
      </c>
      <c r="AU2131" s="200">
        <f t="shared" ref="AU2131:AX2131" si="10776">countif($D2131,"*"&amp;AU$2&amp;"*")</f>
        <v>0</v>
      </c>
      <c r="AV2131" s="200">
        <f t="shared" si="10776"/>
        <v>1</v>
      </c>
      <c r="AW2131" s="200">
        <f t="shared" si="10776"/>
        <v>0</v>
      </c>
      <c r="AX2131" s="200">
        <f t="shared" si="10776"/>
        <v>0</v>
      </c>
      <c r="AY2131" s="202">
        <v>0.0</v>
      </c>
      <c r="AZ2131" s="200"/>
      <c r="BA2131" s="171" t="str">
        <f t="shared" si="18"/>
        <v/>
      </c>
      <c r="BB2131" s="171" t="str">
        <f t="shared" si="19"/>
        <v>Code</v>
      </c>
      <c r="BC2131" s="171" t="str">
        <f t="shared" si="20"/>
        <v/>
      </c>
      <c r="BD2131" s="171" t="str">
        <f t="shared" si="21"/>
        <v/>
      </c>
      <c r="BE2131" s="171" t="str">
        <f t="shared" si="22"/>
        <v/>
      </c>
      <c r="BF2131" s="171" t="str">
        <f t="shared" si="23"/>
        <v>Code</v>
      </c>
    </row>
    <row r="2132">
      <c r="A2132" s="213">
        <f t="array" ref="A2132">XLOOKUP(C2132,FSE!A:A,FSE!C:C,"XXXXX",0,1)</f>
        <v>2015</v>
      </c>
      <c r="B2132" s="213" t="s">
        <v>5676</v>
      </c>
      <c r="C2132" s="220">
        <v>779.0</v>
      </c>
      <c r="D2132" s="217" t="s">
        <v>3726</v>
      </c>
      <c r="E2132" s="221" t="str">
        <f t="array" ref="E2132">XLOOKUP(C2132,FSE!A:A,FSE!Z:Z,"XXXXX",0,1)</f>
        <v>Publicly Available (1)</v>
      </c>
      <c r="F2132" s="213" t="s">
        <v>3394</v>
      </c>
      <c r="G2132" s="163" t="str">
        <f t="array" ref="G2132">IF(B2132="ICSE",IF(COUNTIFS(B:B,B2132,C:C,C2132)=XLOOKUP(C2132,ICSE!A:A,ICSE!AA:AA,"ERROR",0,1),"OK","ERROR"),IF(B2132="FSE",IF(COUNTIFS(B:B,B2132,C:C,C2132)=XLOOKUP(C2132,FSE!A:A,FSE!AA:AA,"ERROR",0,1),"OK","ERROR")))</f>
        <v>OK</v>
      </c>
      <c r="H2132" s="199">
        <f t="shared" ref="H2132:O2132" si="10777">countif($D2132,"*"&amp;H$2&amp;"*")</f>
        <v>0</v>
      </c>
      <c r="I2132" s="200">
        <f t="shared" si="10777"/>
        <v>0</v>
      </c>
      <c r="J2132" s="200">
        <f t="shared" si="10777"/>
        <v>0</v>
      </c>
      <c r="K2132" s="200">
        <f t="shared" si="10777"/>
        <v>0</v>
      </c>
      <c r="L2132" s="200">
        <f t="shared" si="10777"/>
        <v>0</v>
      </c>
      <c r="M2132" s="200">
        <f t="shared" si="10777"/>
        <v>0</v>
      </c>
      <c r="N2132" s="200">
        <f t="shared" si="10777"/>
        <v>0</v>
      </c>
      <c r="O2132" s="200">
        <f t="shared" si="10777"/>
        <v>0</v>
      </c>
      <c r="P2132" s="200">
        <f t="shared" si="9"/>
        <v>0</v>
      </c>
      <c r="Q2132" s="200">
        <f t="shared" ref="Q2132:AC2132" si="10778">countif($D2132,"*"&amp;Q$2&amp;"*")</f>
        <v>0</v>
      </c>
      <c r="R2132" s="200">
        <f t="shared" si="10778"/>
        <v>0</v>
      </c>
      <c r="S2132" s="200">
        <f t="shared" si="10778"/>
        <v>0</v>
      </c>
      <c r="T2132" s="200">
        <f t="shared" si="10778"/>
        <v>0</v>
      </c>
      <c r="U2132" s="200">
        <f t="shared" si="10778"/>
        <v>0</v>
      </c>
      <c r="V2132" s="200">
        <f t="shared" si="10778"/>
        <v>0</v>
      </c>
      <c r="W2132" s="200">
        <f t="shared" si="10778"/>
        <v>0</v>
      </c>
      <c r="X2132" s="200">
        <f t="shared" si="10778"/>
        <v>0</v>
      </c>
      <c r="Y2132" s="200">
        <f t="shared" si="10778"/>
        <v>0</v>
      </c>
      <c r="Z2132" s="200">
        <f t="shared" si="10778"/>
        <v>0</v>
      </c>
      <c r="AA2132" s="200">
        <f t="shared" si="10778"/>
        <v>0</v>
      </c>
      <c r="AB2132" s="200">
        <f t="shared" si="10778"/>
        <v>0</v>
      </c>
      <c r="AC2132" s="200">
        <f t="shared" si="10778"/>
        <v>0</v>
      </c>
      <c r="AD2132" s="222">
        <f t="shared" si="11"/>
        <v>0</v>
      </c>
      <c r="AE2132" s="200">
        <f t="shared" ref="AE2132:AG2132" si="10779">countif($D2132,"*"&amp;AE$2&amp;"*")</f>
        <v>0</v>
      </c>
      <c r="AF2132" s="200">
        <f t="shared" si="10779"/>
        <v>0</v>
      </c>
      <c r="AG2132" s="200">
        <f t="shared" si="10779"/>
        <v>0</v>
      </c>
      <c r="AH2132" s="171">
        <f t="shared" si="13"/>
        <v>1</v>
      </c>
      <c r="AI2132" s="200">
        <f t="shared" si="14"/>
        <v>0</v>
      </c>
      <c r="AJ2132" s="200">
        <f t="shared" si="10769"/>
        <v>0</v>
      </c>
      <c r="AK2132" s="201">
        <f t="shared" ref="AK2132:AS2132" si="10780">countif($D2132,"*"&amp;AK$2&amp;"*")</f>
        <v>0</v>
      </c>
      <c r="AL2132" s="201">
        <f t="shared" si="10780"/>
        <v>0</v>
      </c>
      <c r="AM2132" s="201">
        <f t="shared" si="10780"/>
        <v>0</v>
      </c>
      <c r="AN2132" s="201">
        <f t="shared" si="10780"/>
        <v>0</v>
      </c>
      <c r="AO2132" s="201">
        <f t="shared" si="10780"/>
        <v>0</v>
      </c>
      <c r="AP2132" s="201">
        <f t="shared" si="10780"/>
        <v>0</v>
      </c>
      <c r="AQ2132" s="201">
        <f t="shared" si="10780"/>
        <v>0</v>
      </c>
      <c r="AR2132" s="222">
        <f t="shared" si="10780"/>
        <v>0</v>
      </c>
      <c r="AS2132" s="200">
        <f t="shared" si="10780"/>
        <v>0</v>
      </c>
      <c r="AT2132" s="223">
        <v>0.0</v>
      </c>
      <c r="AU2132" s="200">
        <f t="shared" ref="AU2132:AX2132" si="10781">countif($D2132,"*"&amp;AU$2&amp;"*")</f>
        <v>0</v>
      </c>
      <c r="AV2132" s="200">
        <f t="shared" si="10781"/>
        <v>0</v>
      </c>
      <c r="AW2132" s="200">
        <f t="shared" si="10781"/>
        <v>0</v>
      </c>
      <c r="AX2132" s="200">
        <f t="shared" si="10781"/>
        <v>0</v>
      </c>
      <c r="AY2132" s="202">
        <v>0.0</v>
      </c>
      <c r="AZ2132" s="200"/>
      <c r="BA2132" s="171" t="str">
        <f t="shared" si="18"/>
        <v/>
      </c>
      <c r="BB2132" s="171" t="str">
        <f t="shared" si="19"/>
        <v/>
      </c>
      <c r="BC2132" s="171" t="str">
        <f t="shared" si="20"/>
        <v/>
      </c>
      <c r="BD2132" s="171" t="str">
        <f t="shared" si="21"/>
        <v/>
      </c>
      <c r="BE2132" s="171" t="str">
        <f t="shared" si="22"/>
        <v>Others</v>
      </c>
      <c r="BF2132" s="171" t="str">
        <f t="shared" si="23"/>
        <v>Others</v>
      </c>
    </row>
    <row r="2133">
      <c r="A2133" s="171">
        <f t="array" ref="A2133">XLOOKUP(C2133,FSE!A:A,FSE!C:C,"XXXXX",0,1)</f>
        <v>2014</v>
      </c>
      <c r="B2133" s="213" t="s">
        <v>5676</v>
      </c>
      <c r="C2133" s="214">
        <v>780.0</v>
      </c>
      <c r="D2133" s="215" t="s">
        <v>3399</v>
      </c>
      <c r="E2133" s="197" t="str">
        <f t="array" ref="E2133">XLOOKUP(C2133,FSE!A:A,FSE!Z:Z,"XXXXX",0,1)</f>
        <v>Publicly Available (1)</v>
      </c>
      <c r="F2133" s="213" t="s">
        <v>3394</v>
      </c>
      <c r="G2133" s="163" t="str">
        <f t="array" ref="G2133">IF(B2133="ICSE",IF(COUNTIFS(B:B,B2133,C:C,C2133)=XLOOKUP(C2133,ICSE!A:A,ICSE!AA:AA,"ERROR",0,1),"OK","ERROR"),IF(B2133="FSE",IF(COUNTIFS(B:B,B2133,C:C,C2133)=XLOOKUP(C2133,FSE!A:A,FSE!AA:AA,"ERROR",0,1),"OK","ERROR")))</f>
        <v>OK</v>
      </c>
      <c r="H2133" s="199">
        <f t="shared" ref="H2133:O2133" si="10782">countif($D2133,"*"&amp;H$2&amp;"*")</f>
        <v>0</v>
      </c>
      <c r="I2133" s="200">
        <f t="shared" si="10782"/>
        <v>0</v>
      </c>
      <c r="J2133" s="200">
        <f t="shared" si="10782"/>
        <v>0</v>
      </c>
      <c r="K2133" s="200">
        <f t="shared" si="10782"/>
        <v>0</v>
      </c>
      <c r="L2133" s="200">
        <f t="shared" si="10782"/>
        <v>0</v>
      </c>
      <c r="M2133" s="200">
        <f t="shared" si="10782"/>
        <v>0</v>
      </c>
      <c r="N2133" s="200">
        <f t="shared" si="10782"/>
        <v>0</v>
      </c>
      <c r="O2133" s="200">
        <f t="shared" si="10782"/>
        <v>0</v>
      </c>
      <c r="P2133" s="200">
        <f t="shared" si="9"/>
        <v>1</v>
      </c>
      <c r="Q2133" s="200">
        <f t="shared" ref="Q2133:AC2133" si="10783">countif($D2133,"*"&amp;Q$2&amp;"*")</f>
        <v>0</v>
      </c>
      <c r="R2133" s="200">
        <f t="shared" si="10783"/>
        <v>0</v>
      </c>
      <c r="S2133" s="200">
        <f t="shared" si="10783"/>
        <v>0</v>
      </c>
      <c r="T2133" s="200">
        <f t="shared" si="10783"/>
        <v>0</v>
      </c>
      <c r="U2133" s="200">
        <f t="shared" si="10783"/>
        <v>0</v>
      </c>
      <c r="V2133" s="200">
        <f t="shared" si="10783"/>
        <v>0</v>
      </c>
      <c r="W2133" s="200">
        <f t="shared" si="10783"/>
        <v>0</v>
      </c>
      <c r="X2133" s="200">
        <f t="shared" si="10783"/>
        <v>0</v>
      </c>
      <c r="Y2133" s="200">
        <f t="shared" si="10783"/>
        <v>0</v>
      </c>
      <c r="Z2133" s="200">
        <f t="shared" si="10783"/>
        <v>0</v>
      </c>
      <c r="AA2133" s="200">
        <f t="shared" si="10783"/>
        <v>0</v>
      </c>
      <c r="AB2133" s="200">
        <f t="shared" si="10783"/>
        <v>0</v>
      </c>
      <c r="AC2133" s="200">
        <f t="shared" si="10783"/>
        <v>0</v>
      </c>
      <c r="AD2133" s="200">
        <f t="shared" si="11"/>
        <v>0</v>
      </c>
      <c r="AE2133" s="200">
        <f t="shared" ref="AE2133:AG2133" si="10784">countif($D2133,"*"&amp;AE$2&amp;"*")</f>
        <v>0</v>
      </c>
      <c r="AF2133" s="200">
        <f t="shared" si="10784"/>
        <v>0</v>
      </c>
      <c r="AG2133" s="200">
        <f t="shared" si="10784"/>
        <v>0</v>
      </c>
      <c r="AH2133" s="171">
        <f t="shared" si="13"/>
        <v>0</v>
      </c>
      <c r="AI2133" s="200">
        <f t="shared" si="14"/>
        <v>0</v>
      </c>
      <c r="AJ2133" s="200">
        <f t="shared" si="10769"/>
        <v>0</v>
      </c>
      <c r="AK2133" s="201">
        <f t="shared" ref="AK2133:AS2133" si="10785">countif($D2133,"*"&amp;AK$2&amp;"*")</f>
        <v>0</v>
      </c>
      <c r="AL2133" s="201">
        <f t="shared" si="10785"/>
        <v>0</v>
      </c>
      <c r="AM2133" s="201">
        <f t="shared" si="10785"/>
        <v>0</v>
      </c>
      <c r="AN2133" s="201">
        <f t="shared" si="10785"/>
        <v>0</v>
      </c>
      <c r="AO2133" s="201">
        <f t="shared" si="10785"/>
        <v>0</v>
      </c>
      <c r="AP2133" s="201">
        <f t="shared" si="10785"/>
        <v>0</v>
      </c>
      <c r="AQ2133" s="201">
        <f t="shared" si="10785"/>
        <v>0</v>
      </c>
      <c r="AR2133" s="200">
        <f t="shared" si="10785"/>
        <v>0</v>
      </c>
      <c r="AS2133" s="200">
        <f t="shared" si="10785"/>
        <v>0</v>
      </c>
      <c r="AT2133" s="173">
        <v>0.0</v>
      </c>
      <c r="AU2133" s="200">
        <f t="shared" ref="AU2133:AX2133" si="10786">countif($D2133,"*"&amp;AU$2&amp;"*")</f>
        <v>0</v>
      </c>
      <c r="AV2133" s="200">
        <f t="shared" si="10786"/>
        <v>1</v>
      </c>
      <c r="AW2133" s="200">
        <f t="shared" si="10786"/>
        <v>0</v>
      </c>
      <c r="AX2133" s="200">
        <f t="shared" si="10786"/>
        <v>0</v>
      </c>
      <c r="AY2133" s="202">
        <v>0.0</v>
      </c>
      <c r="AZ2133" s="200"/>
      <c r="BA2133" s="171" t="str">
        <f t="shared" si="18"/>
        <v/>
      </c>
      <c r="BB2133" s="171" t="str">
        <f t="shared" si="19"/>
        <v>Code</v>
      </c>
      <c r="BC2133" s="171" t="str">
        <f t="shared" si="20"/>
        <v/>
      </c>
      <c r="BD2133" s="171" t="str">
        <f t="shared" si="21"/>
        <v/>
      </c>
      <c r="BE2133" s="171" t="str">
        <f t="shared" si="22"/>
        <v/>
      </c>
      <c r="BF2133" s="171" t="str">
        <f t="shared" si="23"/>
        <v>Code</v>
      </c>
    </row>
    <row r="2134">
      <c r="A2134" s="171">
        <f t="array" ref="A2134">XLOOKUP(C2134,FSE!A:A,FSE!C:C,"XXXXX",0,1)</f>
        <v>2014</v>
      </c>
      <c r="B2134" s="213" t="s">
        <v>5676</v>
      </c>
      <c r="C2134" s="214">
        <v>781.0</v>
      </c>
      <c r="D2134" s="215" t="s">
        <v>3405</v>
      </c>
      <c r="E2134" s="197" t="str">
        <f t="array" ref="E2134">XLOOKUP(C2134,FSE!A:A,FSE!Z:Z,"XXXXX",0,1)</f>
        <v>Publicly Available (1)</v>
      </c>
      <c r="F2134" s="213" t="s">
        <v>3394</v>
      </c>
      <c r="G2134" s="163" t="str">
        <f t="array" ref="G2134">IF(B2134="ICSE",IF(COUNTIFS(B:B,B2134,C:C,C2134)=XLOOKUP(C2134,ICSE!A:A,ICSE!AA:AA,"ERROR",0,1),"OK","ERROR"),IF(B2134="FSE",IF(COUNTIFS(B:B,B2134,C:C,C2134)=XLOOKUP(C2134,FSE!A:A,FSE!AA:AA,"ERROR",0,1),"OK","ERROR")))</f>
        <v>OK</v>
      </c>
      <c r="H2134" s="199">
        <f t="shared" ref="H2134:O2134" si="10787">countif($D2134,"*"&amp;H$2&amp;"*")</f>
        <v>0</v>
      </c>
      <c r="I2134" s="200">
        <f t="shared" si="10787"/>
        <v>0</v>
      </c>
      <c r="J2134" s="200">
        <f t="shared" si="10787"/>
        <v>0</v>
      </c>
      <c r="K2134" s="200">
        <f t="shared" si="10787"/>
        <v>0</v>
      </c>
      <c r="L2134" s="200">
        <f t="shared" si="10787"/>
        <v>0</v>
      </c>
      <c r="M2134" s="200">
        <f t="shared" si="10787"/>
        <v>0</v>
      </c>
      <c r="N2134" s="200">
        <f t="shared" si="10787"/>
        <v>0</v>
      </c>
      <c r="O2134" s="200">
        <f t="shared" si="10787"/>
        <v>0</v>
      </c>
      <c r="P2134" s="200">
        <f t="shared" si="9"/>
        <v>0</v>
      </c>
      <c r="Q2134" s="200">
        <f t="shared" ref="Q2134:AC2134" si="10788">countif($D2134,"*"&amp;Q$2&amp;"*")</f>
        <v>0</v>
      </c>
      <c r="R2134" s="200">
        <f t="shared" si="10788"/>
        <v>0</v>
      </c>
      <c r="S2134" s="200">
        <f t="shared" si="10788"/>
        <v>0</v>
      </c>
      <c r="T2134" s="200">
        <f t="shared" si="10788"/>
        <v>0</v>
      </c>
      <c r="U2134" s="200">
        <f t="shared" si="10788"/>
        <v>0</v>
      </c>
      <c r="V2134" s="200">
        <f t="shared" si="10788"/>
        <v>0</v>
      </c>
      <c r="W2134" s="200">
        <f t="shared" si="10788"/>
        <v>0</v>
      </c>
      <c r="X2134" s="200">
        <f t="shared" si="10788"/>
        <v>0</v>
      </c>
      <c r="Y2134" s="200">
        <f t="shared" si="10788"/>
        <v>0</v>
      </c>
      <c r="Z2134" s="200">
        <f t="shared" si="10788"/>
        <v>0</v>
      </c>
      <c r="AA2134" s="200">
        <f t="shared" si="10788"/>
        <v>0</v>
      </c>
      <c r="AB2134" s="200">
        <f t="shared" si="10788"/>
        <v>0</v>
      </c>
      <c r="AC2134" s="200">
        <f t="shared" si="10788"/>
        <v>0</v>
      </c>
      <c r="AD2134" s="200">
        <f t="shared" si="11"/>
        <v>1</v>
      </c>
      <c r="AE2134" s="200">
        <f t="shared" ref="AE2134:AG2134" si="10789">countif($D2134,"*"&amp;AE$2&amp;"*")</f>
        <v>0</v>
      </c>
      <c r="AF2134" s="200">
        <f t="shared" si="10789"/>
        <v>0</v>
      </c>
      <c r="AG2134" s="200">
        <f t="shared" si="10789"/>
        <v>0</v>
      </c>
      <c r="AH2134" s="171">
        <f t="shared" si="13"/>
        <v>0</v>
      </c>
      <c r="AI2134" s="200">
        <f t="shared" si="14"/>
        <v>0</v>
      </c>
      <c r="AJ2134" s="200">
        <f t="shared" si="10769"/>
        <v>0</v>
      </c>
      <c r="AK2134" s="201">
        <f t="shared" ref="AK2134:AS2134" si="10790">countif($D2134,"*"&amp;AK$2&amp;"*")</f>
        <v>0</v>
      </c>
      <c r="AL2134" s="201">
        <f t="shared" si="10790"/>
        <v>0</v>
      </c>
      <c r="AM2134" s="201">
        <f t="shared" si="10790"/>
        <v>0</v>
      </c>
      <c r="AN2134" s="201">
        <f t="shared" si="10790"/>
        <v>0</v>
      </c>
      <c r="AO2134" s="201">
        <f t="shared" si="10790"/>
        <v>0</v>
      </c>
      <c r="AP2134" s="201">
        <f t="shared" si="10790"/>
        <v>0</v>
      </c>
      <c r="AQ2134" s="201">
        <f t="shared" si="10790"/>
        <v>0</v>
      </c>
      <c r="AR2134" s="200">
        <f t="shared" si="10790"/>
        <v>0</v>
      </c>
      <c r="AS2134" s="200">
        <f t="shared" si="10790"/>
        <v>0</v>
      </c>
      <c r="AT2134" s="173">
        <v>1.0</v>
      </c>
      <c r="AU2134" s="200">
        <f t="shared" ref="AU2134:AX2134" si="10791">countif($D2134,"*"&amp;AU$2&amp;"*")</f>
        <v>0</v>
      </c>
      <c r="AV2134" s="200">
        <f t="shared" si="10791"/>
        <v>0</v>
      </c>
      <c r="AW2134" s="200">
        <f t="shared" si="10791"/>
        <v>0</v>
      </c>
      <c r="AX2134" s="200">
        <f t="shared" si="10791"/>
        <v>0</v>
      </c>
      <c r="AY2134" s="202">
        <v>0.0</v>
      </c>
      <c r="AZ2134" s="200"/>
      <c r="BA2134" s="171" t="str">
        <f t="shared" si="18"/>
        <v/>
      </c>
      <c r="BB2134" s="171" t="str">
        <f t="shared" si="19"/>
        <v/>
      </c>
      <c r="BC2134" s="171" t="str">
        <f t="shared" si="20"/>
        <v/>
      </c>
      <c r="BD2134" s="171" t="str">
        <f t="shared" si="21"/>
        <v>Institutional</v>
      </c>
      <c r="BE2134" s="171" t="str">
        <f t="shared" si="22"/>
        <v/>
      </c>
      <c r="BF2134" s="171" t="str">
        <f t="shared" si="23"/>
        <v>Institutional</v>
      </c>
    </row>
    <row r="2135">
      <c r="A2135" s="171">
        <f t="array" ref="A2135">XLOOKUP(C2135,FSE!A:A,FSE!C:C,"XXXXX",0,1)</f>
        <v>2014</v>
      </c>
      <c r="B2135" s="213" t="s">
        <v>5676</v>
      </c>
      <c r="C2135" s="214">
        <v>783.0</v>
      </c>
      <c r="D2135" s="215" t="s">
        <v>6593</v>
      </c>
      <c r="E2135" s="197" t="str">
        <f t="array" ref="E2135">XLOOKUP(C2135,FSE!A:A,FSE!Z:Z,"XXXXX",0,1)</f>
        <v>Not Available (1)
Publicly Available (2)</v>
      </c>
      <c r="F2135" s="213" t="s">
        <v>3395</v>
      </c>
      <c r="G2135" s="163" t="str">
        <f t="array" ref="G2135">IF(B2135="ICSE",IF(COUNTIFS(B:B,B2135,C:C,C2135)=XLOOKUP(C2135,ICSE!A:A,ICSE!AA:AA,"ERROR",0,1),"OK","ERROR"),IF(B2135="FSE",IF(COUNTIFS(B:B,B2135,C:C,C2135)=XLOOKUP(C2135,FSE!A:A,FSE!AA:AA,"ERROR",0,1),"OK","ERROR")))</f>
        <v>OK</v>
      </c>
      <c r="H2135" s="199">
        <f t="shared" ref="H2135:O2135" si="10792">countif($D2135,"*"&amp;H$2&amp;"*")</f>
        <v>0</v>
      </c>
      <c r="I2135" s="200">
        <f t="shared" si="10792"/>
        <v>0</v>
      </c>
      <c r="J2135" s="200">
        <f t="shared" si="10792"/>
        <v>0</v>
      </c>
      <c r="K2135" s="200">
        <f t="shared" si="10792"/>
        <v>0</v>
      </c>
      <c r="L2135" s="200">
        <f t="shared" si="10792"/>
        <v>0</v>
      </c>
      <c r="M2135" s="200">
        <f t="shared" si="10792"/>
        <v>0</v>
      </c>
      <c r="N2135" s="200">
        <f t="shared" si="10792"/>
        <v>0</v>
      </c>
      <c r="O2135" s="200">
        <f t="shared" si="10792"/>
        <v>0</v>
      </c>
      <c r="P2135" s="200">
        <f t="shared" si="9"/>
        <v>0</v>
      </c>
      <c r="Q2135" s="200">
        <f t="shared" ref="Q2135:AC2135" si="10793">countif($D2135,"*"&amp;Q$2&amp;"*")</f>
        <v>0</v>
      </c>
      <c r="R2135" s="200">
        <f t="shared" si="10793"/>
        <v>0</v>
      </c>
      <c r="S2135" s="200">
        <f t="shared" si="10793"/>
        <v>0</v>
      </c>
      <c r="T2135" s="200">
        <f t="shared" si="10793"/>
        <v>0</v>
      </c>
      <c r="U2135" s="200">
        <f t="shared" si="10793"/>
        <v>0</v>
      </c>
      <c r="V2135" s="200">
        <f t="shared" si="10793"/>
        <v>0</v>
      </c>
      <c r="W2135" s="200">
        <f t="shared" si="10793"/>
        <v>0</v>
      </c>
      <c r="X2135" s="200">
        <f t="shared" si="10793"/>
        <v>0</v>
      </c>
      <c r="Y2135" s="200">
        <f t="shared" si="10793"/>
        <v>0</v>
      </c>
      <c r="Z2135" s="200">
        <f t="shared" si="10793"/>
        <v>0</v>
      </c>
      <c r="AA2135" s="200">
        <f t="shared" si="10793"/>
        <v>0</v>
      </c>
      <c r="AB2135" s="200">
        <f t="shared" si="10793"/>
        <v>0</v>
      </c>
      <c r="AC2135" s="200">
        <f t="shared" si="10793"/>
        <v>0</v>
      </c>
      <c r="AD2135" s="200">
        <f t="shared" si="11"/>
        <v>0</v>
      </c>
      <c r="AE2135" s="200">
        <f t="shared" ref="AE2135:AG2135" si="10794">countif($D2135,"*"&amp;AE$2&amp;"*")</f>
        <v>0</v>
      </c>
      <c r="AF2135" s="200">
        <f t="shared" si="10794"/>
        <v>0</v>
      </c>
      <c r="AG2135" s="200">
        <f t="shared" si="10794"/>
        <v>0</v>
      </c>
      <c r="AH2135" s="171">
        <f t="shared" si="13"/>
        <v>1</v>
      </c>
      <c r="AI2135" s="200">
        <f t="shared" si="14"/>
        <v>0</v>
      </c>
      <c r="AJ2135" s="200">
        <f t="shared" si="10769"/>
        <v>0</v>
      </c>
      <c r="AK2135" s="201">
        <f t="shared" ref="AK2135:AS2135" si="10795">countif($D2135,"*"&amp;AK$2&amp;"*")</f>
        <v>0</v>
      </c>
      <c r="AL2135" s="201">
        <f t="shared" si="10795"/>
        <v>0</v>
      </c>
      <c r="AM2135" s="201">
        <f t="shared" si="10795"/>
        <v>0</v>
      </c>
      <c r="AN2135" s="201">
        <f t="shared" si="10795"/>
        <v>0</v>
      </c>
      <c r="AO2135" s="201">
        <f t="shared" si="10795"/>
        <v>0</v>
      </c>
      <c r="AP2135" s="201">
        <f t="shared" si="10795"/>
        <v>0</v>
      </c>
      <c r="AQ2135" s="201">
        <f t="shared" si="10795"/>
        <v>0</v>
      </c>
      <c r="AR2135" s="200">
        <f t="shared" si="10795"/>
        <v>0</v>
      </c>
      <c r="AS2135" s="200">
        <f t="shared" si="10795"/>
        <v>0</v>
      </c>
      <c r="AT2135" s="173">
        <v>0.0</v>
      </c>
      <c r="AU2135" s="200">
        <f t="shared" ref="AU2135:AX2135" si="10796">countif($D2135,"*"&amp;AU$2&amp;"*")</f>
        <v>0</v>
      </c>
      <c r="AV2135" s="200">
        <f t="shared" si="10796"/>
        <v>0</v>
      </c>
      <c r="AW2135" s="200">
        <f t="shared" si="10796"/>
        <v>0</v>
      </c>
      <c r="AX2135" s="200">
        <f t="shared" si="10796"/>
        <v>0</v>
      </c>
      <c r="AY2135" s="202">
        <v>0.0</v>
      </c>
      <c r="AZ2135" s="200"/>
      <c r="BA2135" s="171" t="str">
        <f t="shared" si="18"/>
        <v/>
      </c>
      <c r="BB2135" s="171" t="str">
        <f t="shared" si="19"/>
        <v/>
      </c>
      <c r="BC2135" s="171" t="str">
        <f t="shared" si="20"/>
        <v/>
      </c>
      <c r="BD2135" s="171" t="str">
        <f t="shared" si="21"/>
        <v/>
      </c>
      <c r="BE2135" s="171" t="str">
        <f t="shared" si="22"/>
        <v>Others</v>
      </c>
      <c r="BF2135" s="171" t="str">
        <f t="shared" si="23"/>
        <v>Others</v>
      </c>
    </row>
    <row r="2136">
      <c r="A2136" s="213">
        <f t="array" ref="A2136">XLOOKUP(C2136,FSE!A:A,FSE!C:C,"XXXXX",0,1)</f>
        <v>2014</v>
      </c>
      <c r="B2136" s="213" t="s">
        <v>5676</v>
      </c>
      <c r="C2136" s="229">
        <v>783.0</v>
      </c>
      <c r="D2136" s="215" t="s">
        <v>6594</v>
      </c>
      <c r="E2136" s="221" t="str">
        <f t="array" ref="E2136">XLOOKUP(C2136,FSE!A:A,FSE!Z:Z,"XXXXX",0,1)</f>
        <v>Not Available (1)
Publicly Available (2)</v>
      </c>
      <c r="F2136" s="213" t="s">
        <v>3394</v>
      </c>
      <c r="G2136" s="163" t="str">
        <f t="array" ref="G2136">IF(B2136="ICSE",IF(COUNTIFS(B:B,B2136,C:C,C2136)=XLOOKUP(C2136,ICSE!A:A,ICSE!AA:AA,"ERROR",0,1),"OK","ERROR"),IF(B2136="FSE",IF(COUNTIFS(B:B,B2136,C:C,C2136)=XLOOKUP(C2136,FSE!A:A,FSE!AA:AA,"ERROR",0,1),"OK","ERROR")))</f>
        <v>OK</v>
      </c>
      <c r="H2136" s="199">
        <f t="shared" ref="H2136:O2136" si="10797">countif($D2136,"*"&amp;H$2&amp;"*")</f>
        <v>0</v>
      </c>
      <c r="I2136" s="200">
        <f t="shared" si="10797"/>
        <v>0</v>
      </c>
      <c r="J2136" s="200">
        <f t="shared" si="10797"/>
        <v>1</v>
      </c>
      <c r="K2136" s="200">
        <f t="shared" si="10797"/>
        <v>0</v>
      </c>
      <c r="L2136" s="200">
        <f t="shared" si="10797"/>
        <v>0</v>
      </c>
      <c r="M2136" s="200">
        <f t="shared" si="10797"/>
        <v>0</v>
      </c>
      <c r="N2136" s="200">
        <f t="shared" si="10797"/>
        <v>0</v>
      </c>
      <c r="O2136" s="200">
        <f t="shared" si="10797"/>
        <v>0</v>
      </c>
      <c r="P2136" s="200">
        <f t="shared" si="9"/>
        <v>0</v>
      </c>
      <c r="Q2136" s="200">
        <f t="shared" ref="Q2136:AC2136" si="10798">countif($D2136,"*"&amp;Q$2&amp;"*")</f>
        <v>0</v>
      </c>
      <c r="R2136" s="200">
        <f t="shared" si="10798"/>
        <v>0</v>
      </c>
      <c r="S2136" s="200">
        <f t="shared" si="10798"/>
        <v>0</v>
      </c>
      <c r="T2136" s="200">
        <f t="shared" si="10798"/>
        <v>0</v>
      </c>
      <c r="U2136" s="200">
        <f t="shared" si="10798"/>
        <v>0</v>
      </c>
      <c r="V2136" s="200">
        <f t="shared" si="10798"/>
        <v>0</v>
      </c>
      <c r="W2136" s="200">
        <f t="shared" si="10798"/>
        <v>0</v>
      </c>
      <c r="X2136" s="200">
        <f t="shared" si="10798"/>
        <v>0</v>
      </c>
      <c r="Y2136" s="200">
        <f t="shared" si="10798"/>
        <v>0</v>
      </c>
      <c r="Z2136" s="200">
        <f t="shared" si="10798"/>
        <v>0</v>
      </c>
      <c r="AA2136" s="200">
        <f t="shared" si="10798"/>
        <v>0</v>
      </c>
      <c r="AB2136" s="200">
        <f t="shared" si="10798"/>
        <v>0</v>
      </c>
      <c r="AC2136" s="200">
        <f t="shared" si="10798"/>
        <v>0</v>
      </c>
      <c r="AD2136" s="222">
        <f t="shared" si="11"/>
        <v>0</v>
      </c>
      <c r="AE2136" s="200">
        <f t="shared" ref="AE2136:AG2136" si="10799">countif($D2136,"*"&amp;AE$2&amp;"*")</f>
        <v>0</v>
      </c>
      <c r="AF2136" s="200">
        <f t="shared" si="10799"/>
        <v>0</v>
      </c>
      <c r="AG2136" s="200">
        <f t="shared" si="10799"/>
        <v>0</v>
      </c>
      <c r="AH2136" s="171">
        <f t="shared" si="13"/>
        <v>0</v>
      </c>
      <c r="AI2136" s="200">
        <f t="shared" si="14"/>
        <v>0</v>
      </c>
      <c r="AJ2136" s="200">
        <f t="shared" si="10769"/>
        <v>0</v>
      </c>
      <c r="AK2136" s="201">
        <f t="shared" ref="AK2136:AS2136" si="10800">countif($D2136,"*"&amp;AK$2&amp;"*")</f>
        <v>0</v>
      </c>
      <c r="AL2136" s="201">
        <f t="shared" si="10800"/>
        <v>0</v>
      </c>
      <c r="AM2136" s="201">
        <f t="shared" si="10800"/>
        <v>0</v>
      </c>
      <c r="AN2136" s="201">
        <f t="shared" si="10800"/>
        <v>0</v>
      </c>
      <c r="AO2136" s="201">
        <f t="shared" si="10800"/>
        <v>0</v>
      </c>
      <c r="AP2136" s="201">
        <f t="shared" si="10800"/>
        <v>0</v>
      </c>
      <c r="AQ2136" s="201">
        <f t="shared" si="10800"/>
        <v>0</v>
      </c>
      <c r="AR2136" s="222">
        <f t="shared" si="10800"/>
        <v>0</v>
      </c>
      <c r="AS2136" s="200">
        <f t="shared" si="10800"/>
        <v>1</v>
      </c>
      <c r="AT2136" s="223">
        <v>0.0</v>
      </c>
      <c r="AU2136" s="200">
        <f t="shared" ref="AU2136:AX2136" si="10801">countif($D2136,"*"&amp;AU$2&amp;"*")</f>
        <v>0</v>
      </c>
      <c r="AV2136" s="200">
        <f t="shared" si="10801"/>
        <v>0</v>
      </c>
      <c r="AW2136" s="200">
        <f t="shared" si="10801"/>
        <v>0</v>
      </c>
      <c r="AX2136" s="200">
        <f t="shared" si="10801"/>
        <v>0</v>
      </c>
      <c r="AY2136" s="202">
        <v>0.0</v>
      </c>
      <c r="AZ2136" s="200"/>
      <c r="BA2136" s="171" t="str">
        <f t="shared" si="18"/>
        <v>Archival</v>
      </c>
      <c r="BB2136" s="171" t="str">
        <f t="shared" si="19"/>
        <v/>
      </c>
      <c r="BC2136" s="171" t="str">
        <f t="shared" si="20"/>
        <v/>
      </c>
      <c r="BD2136" s="171" t="str">
        <f t="shared" si="21"/>
        <v/>
      </c>
      <c r="BE2136" s="171" t="str">
        <f t="shared" si="22"/>
        <v/>
      </c>
      <c r="BF2136" s="171" t="str">
        <f t="shared" si="23"/>
        <v>Archival</v>
      </c>
    </row>
    <row r="2137">
      <c r="A2137" s="213">
        <f t="array" ref="A2137">XLOOKUP(C2137,FSE!A:A,FSE!C:C,"XXXXX",0,1)</f>
        <v>2014</v>
      </c>
      <c r="B2137" s="213" t="s">
        <v>5676</v>
      </c>
      <c r="C2137" s="220">
        <v>783.0</v>
      </c>
      <c r="D2137" s="217" t="s">
        <v>6595</v>
      </c>
      <c r="E2137" s="221" t="str">
        <f t="array" ref="E2137">XLOOKUP(C2137,FSE!A:A,FSE!Z:Z,"XXXXX",0,1)</f>
        <v>Not Available (1)
Publicly Available (2)</v>
      </c>
      <c r="F2137" s="213" t="s">
        <v>3394</v>
      </c>
      <c r="G2137" s="163" t="str">
        <f t="array" ref="G2137">IF(B2137="ICSE",IF(COUNTIFS(B:B,B2137,C:C,C2137)=XLOOKUP(C2137,ICSE!A:A,ICSE!AA:AA,"ERROR",0,1),"OK","ERROR"),IF(B2137="FSE",IF(COUNTIFS(B:B,B2137,C:C,C2137)=XLOOKUP(C2137,FSE!A:A,FSE!AA:AA,"ERROR",0,1),"OK","ERROR")))</f>
        <v>OK</v>
      </c>
      <c r="H2137" s="199">
        <f t="shared" ref="H2137:O2137" si="10802">countif($D2137,"*"&amp;H$2&amp;"*")</f>
        <v>0</v>
      </c>
      <c r="I2137" s="200">
        <f t="shared" si="10802"/>
        <v>0</v>
      </c>
      <c r="J2137" s="200">
        <f t="shared" si="10802"/>
        <v>0</v>
      </c>
      <c r="K2137" s="200">
        <f t="shared" si="10802"/>
        <v>0</v>
      </c>
      <c r="L2137" s="200">
        <f t="shared" si="10802"/>
        <v>0</v>
      </c>
      <c r="M2137" s="200">
        <f t="shared" si="10802"/>
        <v>0</v>
      </c>
      <c r="N2137" s="200">
        <f t="shared" si="10802"/>
        <v>0</v>
      </c>
      <c r="O2137" s="200">
        <f t="shared" si="10802"/>
        <v>0</v>
      </c>
      <c r="P2137" s="200">
        <f t="shared" si="9"/>
        <v>0</v>
      </c>
      <c r="Q2137" s="200">
        <f t="shared" ref="Q2137:AC2137" si="10803">countif($D2137,"*"&amp;Q$2&amp;"*")</f>
        <v>0</v>
      </c>
      <c r="R2137" s="200">
        <f t="shared" si="10803"/>
        <v>0</v>
      </c>
      <c r="S2137" s="200">
        <f t="shared" si="10803"/>
        <v>0</v>
      </c>
      <c r="T2137" s="200">
        <f t="shared" si="10803"/>
        <v>0</v>
      </c>
      <c r="U2137" s="200">
        <f t="shared" si="10803"/>
        <v>0</v>
      </c>
      <c r="V2137" s="200">
        <f t="shared" si="10803"/>
        <v>0</v>
      </c>
      <c r="W2137" s="200">
        <f t="shared" si="10803"/>
        <v>0</v>
      </c>
      <c r="X2137" s="200">
        <f t="shared" si="10803"/>
        <v>0</v>
      </c>
      <c r="Y2137" s="200">
        <f t="shared" si="10803"/>
        <v>0</v>
      </c>
      <c r="Z2137" s="200">
        <f t="shared" si="10803"/>
        <v>0</v>
      </c>
      <c r="AA2137" s="200">
        <f t="shared" si="10803"/>
        <v>0</v>
      </c>
      <c r="AB2137" s="200">
        <f t="shared" si="10803"/>
        <v>0</v>
      </c>
      <c r="AC2137" s="200">
        <f t="shared" si="10803"/>
        <v>0</v>
      </c>
      <c r="AD2137" s="222">
        <f t="shared" si="11"/>
        <v>1</v>
      </c>
      <c r="AE2137" s="200">
        <f t="shared" ref="AE2137:AG2137" si="10804">countif($D2137,"*"&amp;AE$2&amp;"*")</f>
        <v>0</v>
      </c>
      <c r="AF2137" s="200">
        <f t="shared" si="10804"/>
        <v>0</v>
      </c>
      <c r="AG2137" s="200">
        <f t="shared" si="10804"/>
        <v>0</v>
      </c>
      <c r="AH2137" s="171">
        <f t="shared" si="13"/>
        <v>0</v>
      </c>
      <c r="AI2137" s="200">
        <f t="shared" si="14"/>
        <v>0</v>
      </c>
      <c r="AJ2137" s="200">
        <f t="shared" si="10769"/>
        <v>0</v>
      </c>
      <c r="AK2137" s="201">
        <f t="shared" ref="AK2137:AS2137" si="10805">countif($D2137,"*"&amp;AK$2&amp;"*")</f>
        <v>0</v>
      </c>
      <c r="AL2137" s="201">
        <f t="shared" si="10805"/>
        <v>0</v>
      </c>
      <c r="AM2137" s="201">
        <f t="shared" si="10805"/>
        <v>0</v>
      </c>
      <c r="AN2137" s="201">
        <f t="shared" si="10805"/>
        <v>0</v>
      </c>
      <c r="AO2137" s="201">
        <f t="shared" si="10805"/>
        <v>0</v>
      </c>
      <c r="AP2137" s="201">
        <f t="shared" si="10805"/>
        <v>0</v>
      </c>
      <c r="AQ2137" s="201">
        <f t="shared" si="10805"/>
        <v>0</v>
      </c>
      <c r="AR2137" s="222">
        <f t="shared" si="10805"/>
        <v>0</v>
      </c>
      <c r="AS2137" s="200">
        <f t="shared" si="10805"/>
        <v>0</v>
      </c>
      <c r="AT2137" s="230">
        <v>1.0</v>
      </c>
      <c r="AU2137" s="200">
        <f t="shared" ref="AU2137:AX2137" si="10806">countif($D2137,"*"&amp;AU$2&amp;"*")</f>
        <v>0</v>
      </c>
      <c r="AV2137" s="200">
        <f t="shared" si="10806"/>
        <v>0</v>
      </c>
      <c r="AW2137" s="200">
        <f t="shared" si="10806"/>
        <v>0</v>
      </c>
      <c r="AX2137" s="200">
        <f t="shared" si="10806"/>
        <v>0</v>
      </c>
      <c r="AY2137" s="202">
        <v>0.0</v>
      </c>
      <c r="AZ2137" s="200"/>
      <c r="BA2137" s="171" t="str">
        <f t="shared" si="18"/>
        <v/>
      </c>
      <c r="BB2137" s="171" t="str">
        <f t="shared" si="19"/>
        <v/>
      </c>
      <c r="BC2137" s="171" t="str">
        <f t="shared" si="20"/>
        <v/>
      </c>
      <c r="BD2137" s="171" t="str">
        <f t="shared" si="21"/>
        <v>Institutional</v>
      </c>
      <c r="BE2137" s="171" t="str">
        <f t="shared" si="22"/>
        <v/>
      </c>
      <c r="BF2137" s="171" t="str">
        <f t="shared" si="23"/>
        <v>Institutional</v>
      </c>
    </row>
    <row r="2138">
      <c r="A2138" s="171">
        <f t="array" ref="A2138">XLOOKUP(C2138,FSE!A:A,FSE!C:C,"XXXXX",0,1)</f>
        <v>2014</v>
      </c>
      <c r="B2138" s="213" t="s">
        <v>5676</v>
      </c>
      <c r="C2138" s="214">
        <v>785.0</v>
      </c>
      <c r="D2138" s="217" t="s">
        <v>6596</v>
      </c>
      <c r="E2138" s="197" t="str">
        <f t="array" ref="E2138">XLOOKUP(C2138,FSE!A:A,FSE!Z:Z,"XXXXX",0,1)</f>
        <v>Not Available (2)</v>
      </c>
      <c r="F2138" s="213" t="s">
        <v>3395</v>
      </c>
      <c r="G2138" s="163" t="str">
        <f t="array" ref="G2138">IF(B2138="ICSE",IF(COUNTIFS(B:B,B2138,C:C,C2138)=XLOOKUP(C2138,ICSE!A:A,ICSE!AA:AA,"ERROR",0,1),"OK","ERROR"),IF(B2138="FSE",IF(COUNTIFS(B:B,B2138,C:C,C2138)=XLOOKUP(C2138,FSE!A:A,FSE!AA:AA,"ERROR",0,1),"OK","ERROR")))</f>
        <v>OK</v>
      </c>
      <c r="H2138" s="199">
        <f t="shared" ref="H2138:O2138" si="10807">countif($D2138,"*"&amp;H$2&amp;"*")</f>
        <v>0</v>
      </c>
      <c r="I2138" s="200">
        <f t="shared" si="10807"/>
        <v>0</v>
      </c>
      <c r="J2138" s="200">
        <f t="shared" si="10807"/>
        <v>0</v>
      </c>
      <c r="K2138" s="200">
        <f t="shared" si="10807"/>
        <v>0</v>
      </c>
      <c r="L2138" s="200">
        <f t="shared" si="10807"/>
        <v>0</v>
      </c>
      <c r="M2138" s="200">
        <f t="shared" si="10807"/>
        <v>0</v>
      </c>
      <c r="N2138" s="200">
        <f t="shared" si="10807"/>
        <v>0</v>
      </c>
      <c r="O2138" s="200">
        <f t="shared" si="10807"/>
        <v>0</v>
      </c>
      <c r="P2138" s="200">
        <f t="shared" si="9"/>
        <v>0</v>
      </c>
      <c r="Q2138" s="200">
        <f t="shared" ref="Q2138:AC2138" si="10808">countif($D2138,"*"&amp;Q$2&amp;"*")</f>
        <v>0</v>
      </c>
      <c r="R2138" s="200">
        <f t="shared" si="10808"/>
        <v>0</v>
      </c>
      <c r="S2138" s="200">
        <f t="shared" si="10808"/>
        <v>0</v>
      </c>
      <c r="T2138" s="200">
        <f t="shared" si="10808"/>
        <v>0</v>
      </c>
      <c r="U2138" s="200">
        <f t="shared" si="10808"/>
        <v>0</v>
      </c>
      <c r="V2138" s="200">
        <f t="shared" si="10808"/>
        <v>0</v>
      </c>
      <c r="W2138" s="200">
        <f t="shared" si="10808"/>
        <v>0</v>
      </c>
      <c r="X2138" s="200">
        <f t="shared" si="10808"/>
        <v>0</v>
      </c>
      <c r="Y2138" s="200">
        <f t="shared" si="10808"/>
        <v>0</v>
      </c>
      <c r="Z2138" s="200">
        <f t="shared" si="10808"/>
        <v>0</v>
      </c>
      <c r="AA2138" s="200">
        <f t="shared" si="10808"/>
        <v>0</v>
      </c>
      <c r="AB2138" s="200">
        <f t="shared" si="10808"/>
        <v>0</v>
      </c>
      <c r="AC2138" s="200">
        <f t="shared" si="10808"/>
        <v>0</v>
      </c>
      <c r="AD2138" s="200">
        <f t="shared" si="11"/>
        <v>1</v>
      </c>
      <c r="AE2138" s="200">
        <f t="shared" ref="AE2138:AG2138" si="10809">countif($D2138,"*"&amp;AE$2&amp;"*")</f>
        <v>0</v>
      </c>
      <c r="AF2138" s="200">
        <f t="shared" si="10809"/>
        <v>0</v>
      </c>
      <c r="AG2138" s="200">
        <f t="shared" si="10809"/>
        <v>0</v>
      </c>
      <c r="AH2138" s="171">
        <f t="shared" si="13"/>
        <v>0</v>
      </c>
      <c r="AI2138" s="200">
        <f t="shared" si="14"/>
        <v>0</v>
      </c>
      <c r="AJ2138" s="200">
        <f t="shared" si="10769"/>
        <v>0</v>
      </c>
      <c r="AK2138" s="201">
        <f t="shared" ref="AK2138:AS2138" si="10810">countif($D2138,"*"&amp;AK$2&amp;"*")</f>
        <v>0</v>
      </c>
      <c r="AL2138" s="201">
        <f t="shared" si="10810"/>
        <v>0</v>
      </c>
      <c r="AM2138" s="201">
        <f t="shared" si="10810"/>
        <v>0</v>
      </c>
      <c r="AN2138" s="201">
        <f t="shared" si="10810"/>
        <v>0</v>
      </c>
      <c r="AO2138" s="201">
        <f t="shared" si="10810"/>
        <v>0</v>
      </c>
      <c r="AP2138" s="201">
        <f t="shared" si="10810"/>
        <v>0</v>
      </c>
      <c r="AQ2138" s="201">
        <f t="shared" si="10810"/>
        <v>0</v>
      </c>
      <c r="AR2138" s="200">
        <f t="shared" si="10810"/>
        <v>0</v>
      </c>
      <c r="AS2138" s="200">
        <f t="shared" si="10810"/>
        <v>0</v>
      </c>
      <c r="AT2138" s="173">
        <v>1.0</v>
      </c>
      <c r="AU2138" s="200">
        <f t="shared" ref="AU2138:AX2138" si="10811">countif($D2138,"*"&amp;AU$2&amp;"*")</f>
        <v>0</v>
      </c>
      <c r="AV2138" s="200">
        <f t="shared" si="10811"/>
        <v>0</v>
      </c>
      <c r="AW2138" s="200">
        <f t="shared" si="10811"/>
        <v>0</v>
      </c>
      <c r="AX2138" s="200">
        <f t="shared" si="10811"/>
        <v>0</v>
      </c>
      <c r="AY2138" s="202">
        <v>0.0</v>
      </c>
      <c r="AZ2138" s="200"/>
      <c r="BA2138" s="171" t="str">
        <f t="shared" si="18"/>
        <v/>
      </c>
      <c r="BB2138" s="171" t="str">
        <f t="shared" si="19"/>
        <v/>
      </c>
      <c r="BC2138" s="171" t="str">
        <f t="shared" si="20"/>
        <v/>
      </c>
      <c r="BD2138" s="171" t="str">
        <f t="shared" si="21"/>
        <v>Institutional</v>
      </c>
      <c r="BE2138" s="171" t="str">
        <f t="shared" si="22"/>
        <v/>
      </c>
      <c r="BF2138" s="171" t="str">
        <f t="shared" si="23"/>
        <v>Institutional</v>
      </c>
    </row>
    <row r="2139">
      <c r="A2139" s="213">
        <f t="array" ref="A2139">XLOOKUP(C2139,FSE!A:A,FSE!C:C,"XXXXX",0,1)</f>
        <v>2014</v>
      </c>
      <c r="B2139" s="213" t="s">
        <v>5676</v>
      </c>
      <c r="C2139" s="229">
        <v>785.0</v>
      </c>
      <c r="D2139" s="215" t="s">
        <v>6597</v>
      </c>
      <c r="E2139" s="221" t="str">
        <f t="array" ref="E2139">XLOOKUP(C2139,FSE!A:A,FSE!Z:Z,"XXXXX",0,1)</f>
        <v>Not Available (2)</v>
      </c>
      <c r="F2139" s="213" t="s">
        <v>3395</v>
      </c>
      <c r="G2139" s="163" t="str">
        <f t="array" ref="G2139">IF(B2139="ICSE",IF(COUNTIFS(B:B,B2139,C:C,C2139)=XLOOKUP(C2139,ICSE!A:A,ICSE!AA:AA,"ERROR",0,1),"OK","ERROR"),IF(B2139="FSE",IF(COUNTIFS(B:B,B2139,C:C,C2139)=XLOOKUP(C2139,FSE!A:A,FSE!AA:AA,"ERROR",0,1),"OK","ERROR")))</f>
        <v>OK</v>
      </c>
      <c r="H2139" s="199">
        <f t="shared" ref="H2139:O2139" si="10812">countif($D2139,"*"&amp;H$2&amp;"*")</f>
        <v>0</v>
      </c>
      <c r="I2139" s="200">
        <f t="shared" si="10812"/>
        <v>0</v>
      </c>
      <c r="J2139" s="200">
        <f t="shared" si="10812"/>
        <v>0</v>
      </c>
      <c r="K2139" s="200">
        <f t="shared" si="10812"/>
        <v>0</v>
      </c>
      <c r="L2139" s="200">
        <f t="shared" si="10812"/>
        <v>0</v>
      </c>
      <c r="M2139" s="200">
        <f t="shared" si="10812"/>
        <v>0</v>
      </c>
      <c r="N2139" s="200">
        <f t="shared" si="10812"/>
        <v>0</v>
      </c>
      <c r="O2139" s="200">
        <f t="shared" si="10812"/>
        <v>0</v>
      </c>
      <c r="P2139" s="200">
        <f t="shared" si="9"/>
        <v>0</v>
      </c>
      <c r="Q2139" s="200">
        <f t="shared" ref="Q2139:AC2139" si="10813">countif($D2139,"*"&amp;Q$2&amp;"*")</f>
        <v>0</v>
      </c>
      <c r="R2139" s="200">
        <f t="shared" si="10813"/>
        <v>0</v>
      </c>
      <c r="S2139" s="200">
        <f t="shared" si="10813"/>
        <v>0</v>
      </c>
      <c r="T2139" s="200">
        <f t="shared" si="10813"/>
        <v>0</v>
      </c>
      <c r="U2139" s="200">
        <f t="shared" si="10813"/>
        <v>0</v>
      </c>
      <c r="V2139" s="200">
        <f t="shared" si="10813"/>
        <v>0</v>
      </c>
      <c r="W2139" s="200">
        <f t="shared" si="10813"/>
        <v>0</v>
      </c>
      <c r="X2139" s="200">
        <f t="shared" si="10813"/>
        <v>0</v>
      </c>
      <c r="Y2139" s="200">
        <f t="shared" si="10813"/>
        <v>0</v>
      </c>
      <c r="Z2139" s="200">
        <f t="shared" si="10813"/>
        <v>0</v>
      </c>
      <c r="AA2139" s="200">
        <f t="shared" si="10813"/>
        <v>0</v>
      </c>
      <c r="AB2139" s="200">
        <f t="shared" si="10813"/>
        <v>0</v>
      </c>
      <c r="AC2139" s="200">
        <f t="shared" si="10813"/>
        <v>0</v>
      </c>
      <c r="AD2139" s="222">
        <f t="shared" si="11"/>
        <v>0</v>
      </c>
      <c r="AE2139" s="200">
        <f t="shared" ref="AE2139:AG2139" si="10814">countif($D2139,"*"&amp;AE$2&amp;"*")</f>
        <v>0</v>
      </c>
      <c r="AF2139" s="200">
        <f t="shared" si="10814"/>
        <v>0</v>
      </c>
      <c r="AG2139" s="200">
        <f t="shared" si="10814"/>
        <v>0</v>
      </c>
      <c r="AH2139" s="171">
        <f t="shared" si="13"/>
        <v>1</v>
      </c>
      <c r="AI2139" s="200">
        <f t="shared" si="14"/>
        <v>0</v>
      </c>
      <c r="AJ2139" s="200">
        <f t="shared" si="10769"/>
        <v>0</v>
      </c>
      <c r="AK2139" s="201">
        <f t="shared" ref="AK2139:AS2139" si="10815">countif($D2139,"*"&amp;AK$2&amp;"*")</f>
        <v>0</v>
      </c>
      <c r="AL2139" s="201">
        <f t="shared" si="10815"/>
        <v>0</v>
      </c>
      <c r="AM2139" s="201">
        <f t="shared" si="10815"/>
        <v>0</v>
      </c>
      <c r="AN2139" s="201">
        <f t="shared" si="10815"/>
        <v>0</v>
      </c>
      <c r="AO2139" s="201">
        <f t="shared" si="10815"/>
        <v>0</v>
      </c>
      <c r="AP2139" s="201">
        <f t="shared" si="10815"/>
        <v>0</v>
      </c>
      <c r="AQ2139" s="201">
        <f t="shared" si="10815"/>
        <v>0</v>
      </c>
      <c r="AR2139" s="222">
        <f t="shared" si="10815"/>
        <v>0</v>
      </c>
      <c r="AS2139" s="200">
        <f t="shared" si="10815"/>
        <v>0</v>
      </c>
      <c r="AT2139" s="223">
        <v>0.0</v>
      </c>
      <c r="AU2139" s="200">
        <f t="shared" ref="AU2139:AX2139" si="10816">countif($D2139,"*"&amp;AU$2&amp;"*")</f>
        <v>0</v>
      </c>
      <c r="AV2139" s="200">
        <f t="shared" si="10816"/>
        <v>0</v>
      </c>
      <c r="AW2139" s="200">
        <f t="shared" si="10816"/>
        <v>0</v>
      </c>
      <c r="AX2139" s="200">
        <f t="shared" si="10816"/>
        <v>0</v>
      </c>
      <c r="AY2139" s="202">
        <v>0.0</v>
      </c>
      <c r="AZ2139" s="200"/>
      <c r="BA2139" s="171" t="str">
        <f t="shared" si="18"/>
        <v/>
      </c>
      <c r="BB2139" s="171" t="str">
        <f t="shared" si="19"/>
        <v/>
      </c>
      <c r="BC2139" s="171" t="str">
        <f t="shared" si="20"/>
        <v/>
      </c>
      <c r="BD2139" s="171" t="str">
        <f t="shared" si="21"/>
        <v/>
      </c>
      <c r="BE2139" s="171" t="str">
        <f t="shared" si="22"/>
        <v>Others</v>
      </c>
      <c r="BF2139" s="171" t="str">
        <f t="shared" si="23"/>
        <v>Others</v>
      </c>
    </row>
    <row r="2140">
      <c r="A2140" s="171">
        <f t="array" ref="A2140">XLOOKUP(C2140,FSE!A:A,FSE!C:C,"XXXXX",0,1)</f>
        <v>2014</v>
      </c>
      <c r="B2140" s="213" t="s">
        <v>5676</v>
      </c>
      <c r="C2140" s="214">
        <v>786.0</v>
      </c>
      <c r="D2140" s="215" t="s">
        <v>3422</v>
      </c>
      <c r="E2140" s="197" t="str">
        <f t="array" ref="E2140">XLOOKUP(C2140,FSE!A:A,FSE!Z:Z,"XXXXX",0,1)</f>
        <v>Not Available (1)</v>
      </c>
      <c r="F2140" s="213" t="s">
        <v>3395</v>
      </c>
      <c r="G2140" s="163" t="str">
        <f t="array" ref="G2140">IF(B2140="ICSE",IF(COUNTIFS(B:B,B2140,C:C,C2140)=XLOOKUP(C2140,ICSE!A:A,ICSE!AA:AA,"ERROR",0,1),"OK","ERROR"),IF(B2140="FSE",IF(COUNTIFS(B:B,B2140,C:C,C2140)=XLOOKUP(C2140,FSE!A:A,FSE!AA:AA,"ERROR",0,1),"OK","ERROR")))</f>
        <v>OK</v>
      </c>
      <c r="H2140" s="199">
        <f t="shared" ref="H2140:O2140" si="10817">countif($D2140,"*"&amp;H$2&amp;"*")</f>
        <v>0</v>
      </c>
      <c r="I2140" s="200">
        <f t="shared" si="10817"/>
        <v>0</v>
      </c>
      <c r="J2140" s="200">
        <f t="shared" si="10817"/>
        <v>0</v>
      </c>
      <c r="K2140" s="200">
        <f t="shared" si="10817"/>
        <v>0</v>
      </c>
      <c r="L2140" s="200">
        <f t="shared" si="10817"/>
        <v>0</v>
      </c>
      <c r="M2140" s="200">
        <f t="shared" si="10817"/>
        <v>0</v>
      </c>
      <c r="N2140" s="200">
        <f t="shared" si="10817"/>
        <v>0</v>
      </c>
      <c r="O2140" s="200">
        <f t="shared" si="10817"/>
        <v>0</v>
      </c>
      <c r="P2140" s="200">
        <f t="shared" si="9"/>
        <v>0</v>
      </c>
      <c r="Q2140" s="200">
        <f t="shared" ref="Q2140:AC2140" si="10818">countif($D2140,"*"&amp;Q$2&amp;"*")</f>
        <v>0</v>
      </c>
      <c r="R2140" s="200">
        <f t="shared" si="10818"/>
        <v>0</v>
      </c>
      <c r="S2140" s="200">
        <f t="shared" si="10818"/>
        <v>0</v>
      </c>
      <c r="T2140" s="200">
        <f t="shared" si="10818"/>
        <v>0</v>
      </c>
      <c r="U2140" s="200">
        <f t="shared" si="10818"/>
        <v>0</v>
      </c>
      <c r="V2140" s="200">
        <f t="shared" si="10818"/>
        <v>0</v>
      </c>
      <c r="W2140" s="200">
        <f t="shared" si="10818"/>
        <v>0</v>
      </c>
      <c r="X2140" s="200">
        <f t="shared" si="10818"/>
        <v>0</v>
      </c>
      <c r="Y2140" s="200">
        <f t="shared" si="10818"/>
        <v>0</v>
      </c>
      <c r="Z2140" s="200">
        <f t="shared" si="10818"/>
        <v>0</v>
      </c>
      <c r="AA2140" s="200">
        <f t="shared" si="10818"/>
        <v>1</v>
      </c>
      <c r="AB2140" s="200">
        <f t="shared" si="10818"/>
        <v>0</v>
      </c>
      <c r="AC2140" s="200">
        <f t="shared" si="10818"/>
        <v>0</v>
      </c>
      <c r="AD2140" s="200">
        <f t="shared" si="11"/>
        <v>0</v>
      </c>
      <c r="AE2140" s="200">
        <f t="shared" ref="AE2140:AG2140" si="10819">countif($D2140,"*"&amp;AE$2&amp;"*")</f>
        <v>0</v>
      </c>
      <c r="AF2140" s="200">
        <f t="shared" si="10819"/>
        <v>0</v>
      </c>
      <c r="AG2140" s="200">
        <f t="shared" si="10819"/>
        <v>0</v>
      </c>
      <c r="AH2140" s="171">
        <f t="shared" si="13"/>
        <v>0</v>
      </c>
      <c r="AI2140" s="200">
        <f t="shared" si="14"/>
        <v>0</v>
      </c>
      <c r="AJ2140" s="200">
        <f t="shared" si="10769"/>
        <v>0</v>
      </c>
      <c r="AK2140" s="201">
        <f t="shared" ref="AK2140:AS2140" si="10820">countif($D2140,"*"&amp;AK$2&amp;"*")</f>
        <v>0</v>
      </c>
      <c r="AL2140" s="201">
        <f t="shared" si="10820"/>
        <v>0</v>
      </c>
      <c r="AM2140" s="201">
        <f t="shared" si="10820"/>
        <v>0</v>
      </c>
      <c r="AN2140" s="201">
        <f t="shared" si="10820"/>
        <v>0</v>
      </c>
      <c r="AO2140" s="201">
        <f t="shared" si="10820"/>
        <v>0</v>
      </c>
      <c r="AP2140" s="201">
        <f t="shared" si="10820"/>
        <v>0</v>
      </c>
      <c r="AQ2140" s="201">
        <f t="shared" si="10820"/>
        <v>0</v>
      </c>
      <c r="AR2140" s="200">
        <f t="shared" si="10820"/>
        <v>0</v>
      </c>
      <c r="AS2140" s="200">
        <f t="shared" si="10820"/>
        <v>0</v>
      </c>
      <c r="AT2140" s="173">
        <v>0.0</v>
      </c>
      <c r="AU2140" s="200">
        <f t="shared" ref="AU2140:AX2140" si="10821">countif($D2140,"*"&amp;AU$2&amp;"*")</f>
        <v>0</v>
      </c>
      <c r="AV2140" s="200">
        <f t="shared" si="10821"/>
        <v>0</v>
      </c>
      <c r="AW2140" s="200">
        <f t="shared" si="10821"/>
        <v>0</v>
      </c>
      <c r="AX2140" s="200">
        <f t="shared" si="10821"/>
        <v>0</v>
      </c>
      <c r="AY2140" s="202">
        <v>0.0</v>
      </c>
      <c r="AZ2140" s="200"/>
      <c r="BA2140" s="171" t="str">
        <f t="shared" si="18"/>
        <v/>
      </c>
      <c r="BB2140" s="171" t="str">
        <f t="shared" si="19"/>
        <v/>
      </c>
      <c r="BC2140" s="171" t="str">
        <f t="shared" si="20"/>
        <v>General-purpose</v>
      </c>
      <c r="BD2140" s="171" t="str">
        <f t="shared" si="21"/>
        <v/>
      </c>
      <c r="BE2140" s="171" t="str">
        <f t="shared" si="22"/>
        <v/>
      </c>
      <c r="BF2140" s="171" t="str">
        <f t="shared" si="23"/>
        <v>General-purpose</v>
      </c>
    </row>
    <row r="2141">
      <c r="A2141" s="171">
        <f t="array" ref="A2141">XLOOKUP(C2141,FSE!A:A,FSE!C:C,"XXXXX",0,1)</f>
        <v>2014</v>
      </c>
      <c r="B2141" s="171" t="s">
        <v>5676</v>
      </c>
      <c r="C2141" s="160">
        <v>788.0</v>
      </c>
      <c r="D2141" s="161" t="s">
        <v>3427</v>
      </c>
      <c r="E2141" s="197" t="str">
        <f t="array" ref="E2141">XLOOKUP(C2141,FSE!A:A,FSE!Z:Z,"XXXXX",0,1)</f>
        <v>Publicly Available (1)</v>
      </c>
      <c r="F2141" s="213" t="s">
        <v>3394</v>
      </c>
      <c r="G2141" s="163" t="str">
        <f t="array" ref="G2141">IF(B2141="ICSE",IF(COUNTIFS(B:B,B2141,C:C,C2141)=XLOOKUP(C2141,ICSE!A:A,ICSE!AA:AA,"ERROR",0,1),"OK","ERROR"),IF(B2141="FSE",IF(COUNTIFS(B:B,B2141,C:C,C2141)=XLOOKUP(C2141,FSE!A:A,FSE!AA:AA,"ERROR",0,1),"OK","ERROR")))</f>
        <v>OK</v>
      </c>
      <c r="H2141" s="199">
        <f t="shared" ref="H2141:O2141" si="10822">countif($D2141,"*"&amp;H$2&amp;"*")</f>
        <v>0</v>
      </c>
      <c r="I2141" s="200">
        <f t="shared" si="10822"/>
        <v>0</v>
      </c>
      <c r="J2141" s="200">
        <f t="shared" si="10822"/>
        <v>0</v>
      </c>
      <c r="K2141" s="200">
        <f t="shared" si="10822"/>
        <v>0</v>
      </c>
      <c r="L2141" s="200">
        <f t="shared" si="10822"/>
        <v>0</v>
      </c>
      <c r="M2141" s="200">
        <f t="shared" si="10822"/>
        <v>0</v>
      </c>
      <c r="N2141" s="200">
        <f t="shared" si="10822"/>
        <v>0</v>
      </c>
      <c r="O2141" s="200">
        <f t="shared" si="10822"/>
        <v>0</v>
      </c>
      <c r="P2141" s="200">
        <f t="shared" si="9"/>
        <v>1</v>
      </c>
      <c r="Q2141" s="200">
        <f t="shared" ref="Q2141:AC2141" si="10823">countif($D2141,"*"&amp;Q$2&amp;"*")</f>
        <v>0</v>
      </c>
      <c r="R2141" s="200">
        <f t="shared" si="10823"/>
        <v>0</v>
      </c>
      <c r="S2141" s="200">
        <f t="shared" si="10823"/>
        <v>0</v>
      </c>
      <c r="T2141" s="200">
        <f t="shared" si="10823"/>
        <v>0</v>
      </c>
      <c r="U2141" s="200">
        <f t="shared" si="10823"/>
        <v>0</v>
      </c>
      <c r="V2141" s="200">
        <f t="shared" si="10823"/>
        <v>0</v>
      </c>
      <c r="W2141" s="200">
        <f t="shared" si="10823"/>
        <v>0</v>
      </c>
      <c r="X2141" s="200">
        <f t="shared" si="10823"/>
        <v>0</v>
      </c>
      <c r="Y2141" s="200">
        <f t="shared" si="10823"/>
        <v>0</v>
      </c>
      <c r="Z2141" s="200">
        <f t="shared" si="10823"/>
        <v>0</v>
      </c>
      <c r="AA2141" s="200">
        <f t="shared" si="10823"/>
        <v>0</v>
      </c>
      <c r="AB2141" s="200">
        <f t="shared" si="10823"/>
        <v>0</v>
      </c>
      <c r="AC2141" s="200">
        <f t="shared" si="10823"/>
        <v>0</v>
      </c>
      <c r="AD2141" s="200">
        <f t="shared" si="11"/>
        <v>0</v>
      </c>
      <c r="AE2141" s="200">
        <f t="shared" ref="AE2141:AG2141" si="10824">countif($D2141,"*"&amp;AE$2&amp;"*")</f>
        <v>0</v>
      </c>
      <c r="AF2141" s="200">
        <f t="shared" si="10824"/>
        <v>0</v>
      </c>
      <c r="AG2141" s="200">
        <f t="shared" si="10824"/>
        <v>0</v>
      </c>
      <c r="AH2141" s="171">
        <f t="shared" si="13"/>
        <v>0</v>
      </c>
      <c r="AI2141" s="200">
        <f t="shared" si="14"/>
        <v>0</v>
      </c>
      <c r="AJ2141" s="200">
        <f t="shared" si="10769"/>
        <v>0</v>
      </c>
      <c r="AK2141" s="201">
        <f t="shared" ref="AK2141:AS2141" si="10825">countif($D2141,"*"&amp;AK$2&amp;"*")</f>
        <v>0</v>
      </c>
      <c r="AL2141" s="201">
        <f t="shared" si="10825"/>
        <v>0</v>
      </c>
      <c r="AM2141" s="201">
        <f t="shared" si="10825"/>
        <v>0</v>
      </c>
      <c r="AN2141" s="201">
        <f t="shared" si="10825"/>
        <v>0</v>
      </c>
      <c r="AO2141" s="201">
        <f t="shared" si="10825"/>
        <v>0</v>
      </c>
      <c r="AP2141" s="201">
        <f t="shared" si="10825"/>
        <v>0</v>
      </c>
      <c r="AQ2141" s="201">
        <f t="shared" si="10825"/>
        <v>0</v>
      </c>
      <c r="AR2141" s="200">
        <f t="shared" si="10825"/>
        <v>0</v>
      </c>
      <c r="AS2141" s="200">
        <f t="shared" si="10825"/>
        <v>0</v>
      </c>
      <c r="AT2141" s="173">
        <v>0.0</v>
      </c>
      <c r="AU2141" s="200">
        <f t="shared" ref="AU2141:AX2141" si="10826">countif($D2141,"*"&amp;AU$2&amp;"*")</f>
        <v>0</v>
      </c>
      <c r="AV2141" s="200">
        <f t="shared" si="10826"/>
        <v>1</v>
      </c>
      <c r="AW2141" s="200">
        <f t="shared" si="10826"/>
        <v>0</v>
      </c>
      <c r="AX2141" s="200">
        <f t="shared" si="10826"/>
        <v>0</v>
      </c>
      <c r="AY2141" s="202">
        <v>0.0</v>
      </c>
      <c r="AZ2141" s="200"/>
      <c r="BA2141" s="171" t="str">
        <f t="shared" si="18"/>
        <v/>
      </c>
      <c r="BB2141" s="171" t="str">
        <f t="shared" si="19"/>
        <v>Code</v>
      </c>
      <c r="BC2141" s="171" t="str">
        <f t="shared" si="20"/>
        <v/>
      </c>
      <c r="BD2141" s="171" t="str">
        <f t="shared" si="21"/>
        <v/>
      </c>
      <c r="BE2141" s="171" t="str">
        <f t="shared" si="22"/>
        <v/>
      </c>
      <c r="BF2141" s="171" t="str">
        <f t="shared" si="23"/>
        <v>Code</v>
      </c>
    </row>
    <row r="2142">
      <c r="A2142" s="171">
        <f t="array" ref="A2142">XLOOKUP(C2142,FSE!A:A,FSE!C:C,"XXXXX",0,1)</f>
        <v>2014</v>
      </c>
      <c r="B2142" s="213" t="s">
        <v>5676</v>
      </c>
      <c r="C2142" s="214">
        <v>789.0</v>
      </c>
      <c r="D2142" s="215" t="s">
        <v>3430</v>
      </c>
      <c r="E2142" s="197" t="str">
        <f t="array" ref="E2142">XLOOKUP(C2142,FSE!A:A,FSE!Z:Z,"XXXXX",0,1)</f>
        <v>Publicly Available (1)</v>
      </c>
      <c r="F2142" s="213" t="s">
        <v>3394</v>
      </c>
      <c r="G2142" s="163" t="str">
        <f t="array" ref="G2142">IF(B2142="ICSE",IF(COUNTIFS(B:B,B2142,C:C,C2142)=XLOOKUP(C2142,ICSE!A:A,ICSE!AA:AA,"ERROR",0,1),"OK","ERROR"),IF(B2142="FSE",IF(COUNTIFS(B:B,B2142,C:C,C2142)=XLOOKUP(C2142,FSE!A:A,FSE!AA:AA,"ERROR",0,1),"OK","ERROR")))</f>
        <v>OK</v>
      </c>
      <c r="H2142" s="199">
        <f t="shared" ref="H2142:O2142" si="10827">countif($D2142,"*"&amp;H$2&amp;"*")</f>
        <v>0</v>
      </c>
      <c r="I2142" s="200">
        <f t="shared" si="10827"/>
        <v>0</v>
      </c>
      <c r="J2142" s="200">
        <f t="shared" si="10827"/>
        <v>0</v>
      </c>
      <c r="K2142" s="200">
        <f t="shared" si="10827"/>
        <v>0</v>
      </c>
      <c r="L2142" s="200">
        <f t="shared" si="10827"/>
        <v>0</v>
      </c>
      <c r="M2142" s="200">
        <f t="shared" si="10827"/>
        <v>0</v>
      </c>
      <c r="N2142" s="200">
        <f t="shared" si="10827"/>
        <v>0</v>
      </c>
      <c r="O2142" s="200">
        <f t="shared" si="10827"/>
        <v>0</v>
      </c>
      <c r="P2142" s="200">
        <f t="shared" si="9"/>
        <v>0</v>
      </c>
      <c r="Q2142" s="200">
        <f t="shared" ref="Q2142:AC2142" si="10828">countif($D2142,"*"&amp;Q$2&amp;"*")</f>
        <v>0</v>
      </c>
      <c r="R2142" s="200">
        <f t="shared" si="10828"/>
        <v>0</v>
      </c>
      <c r="S2142" s="200">
        <f t="shared" si="10828"/>
        <v>0</v>
      </c>
      <c r="T2142" s="200">
        <f t="shared" si="10828"/>
        <v>0</v>
      </c>
      <c r="U2142" s="200">
        <f t="shared" si="10828"/>
        <v>0</v>
      </c>
      <c r="V2142" s="200">
        <f t="shared" si="10828"/>
        <v>0</v>
      </c>
      <c r="W2142" s="200">
        <f t="shared" si="10828"/>
        <v>0</v>
      </c>
      <c r="X2142" s="200">
        <f t="shared" si="10828"/>
        <v>0</v>
      </c>
      <c r="Y2142" s="200">
        <f t="shared" si="10828"/>
        <v>0</v>
      </c>
      <c r="Z2142" s="200">
        <f t="shared" si="10828"/>
        <v>0</v>
      </c>
      <c r="AA2142" s="200">
        <f t="shared" si="10828"/>
        <v>0</v>
      </c>
      <c r="AB2142" s="200">
        <f t="shared" si="10828"/>
        <v>0</v>
      </c>
      <c r="AC2142" s="200">
        <f t="shared" si="10828"/>
        <v>0</v>
      </c>
      <c r="AD2142" s="200">
        <f t="shared" si="11"/>
        <v>1</v>
      </c>
      <c r="AE2142" s="200">
        <f t="shared" ref="AE2142:AG2142" si="10829">countif($D2142,"*"&amp;AE$2&amp;"*")</f>
        <v>0</v>
      </c>
      <c r="AF2142" s="200">
        <f t="shared" si="10829"/>
        <v>0</v>
      </c>
      <c r="AG2142" s="200">
        <f t="shared" si="10829"/>
        <v>0</v>
      </c>
      <c r="AH2142" s="171">
        <f t="shared" si="13"/>
        <v>0</v>
      </c>
      <c r="AI2142" s="200">
        <f t="shared" si="14"/>
        <v>0</v>
      </c>
      <c r="AJ2142" s="200">
        <f t="shared" si="10769"/>
        <v>0</v>
      </c>
      <c r="AK2142" s="201">
        <f t="shared" ref="AK2142:AS2142" si="10830">countif($D2142,"*"&amp;AK$2&amp;"*")</f>
        <v>0</v>
      </c>
      <c r="AL2142" s="201">
        <f t="shared" si="10830"/>
        <v>0</v>
      </c>
      <c r="AM2142" s="201">
        <f t="shared" si="10830"/>
        <v>0</v>
      </c>
      <c r="AN2142" s="201">
        <f t="shared" si="10830"/>
        <v>0</v>
      </c>
      <c r="AO2142" s="201">
        <f t="shared" si="10830"/>
        <v>0</v>
      </c>
      <c r="AP2142" s="201">
        <f t="shared" si="10830"/>
        <v>0</v>
      </c>
      <c r="AQ2142" s="201">
        <f t="shared" si="10830"/>
        <v>0</v>
      </c>
      <c r="AR2142" s="200">
        <f t="shared" si="10830"/>
        <v>0</v>
      </c>
      <c r="AS2142" s="200">
        <f t="shared" si="10830"/>
        <v>0</v>
      </c>
      <c r="AT2142" s="173">
        <v>1.0</v>
      </c>
      <c r="AU2142" s="200">
        <f t="shared" ref="AU2142:AX2142" si="10831">countif($D2142,"*"&amp;AU$2&amp;"*")</f>
        <v>0</v>
      </c>
      <c r="AV2142" s="200">
        <f t="shared" si="10831"/>
        <v>0</v>
      </c>
      <c r="AW2142" s="200">
        <f t="shared" si="10831"/>
        <v>0</v>
      </c>
      <c r="AX2142" s="200">
        <f t="shared" si="10831"/>
        <v>0</v>
      </c>
      <c r="AY2142" s="202">
        <v>0.0</v>
      </c>
      <c r="AZ2142" s="200"/>
      <c r="BA2142" s="171" t="str">
        <f t="shared" si="18"/>
        <v/>
      </c>
      <c r="BB2142" s="171" t="str">
        <f t="shared" si="19"/>
        <v/>
      </c>
      <c r="BC2142" s="171" t="str">
        <f t="shared" si="20"/>
        <v/>
      </c>
      <c r="BD2142" s="171" t="str">
        <f t="shared" si="21"/>
        <v>Institutional</v>
      </c>
      <c r="BE2142" s="171" t="str">
        <f t="shared" si="22"/>
        <v/>
      </c>
      <c r="BF2142" s="171" t="str">
        <f t="shared" si="23"/>
        <v>Institutional</v>
      </c>
    </row>
    <row r="2143">
      <c r="A2143" s="171">
        <f t="array" ref="A2143">XLOOKUP(C2143,FSE!A:A,FSE!C:C,"XXXXX",0,1)</f>
        <v>2014</v>
      </c>
      <c r="B2143" s="213" t="s">
        <v>5676</v>
      </c>
      <c r="C2143" s="214">
        <v>790.0</v>
      </c>
      <c r="D2143" s="215" t="s">
        <v>3432</v>
      </c>
      <c r="E2143" s="197" t="str">
        <f t="array" ref="E2143">XLOOKUP(C2143,FSE!A:A,FSE!Z:Z,"XXXXX",0,1)</f>
        <v>Publicly Available (1)</v>
      </c>
      <c r="F2143" s="213" t="s">
        <v>3394</v>
      </c>
      <c r="G2143" s="163" t="str">
        <f t="array" ref="G2143">IF(B2143="ICSE",IF(COUNTIFS(B:B,B2143,C:C,C2143)=XLOOKUP(C2143,ICSE!A:A,ICSE!AA:AA,"ERROR",0,1),"OK","ERROR"),IF(B2143="FSE",IF(COUNTIFS(B:B,B2143,C:C,C2143)=XLOOKUP(C2143,FSE!A:A,FSE!AA:AA,"ERROR",0,1),"OK","ERROR")))</f>
        <v>OK</v>
      </c>
      <c r="H2143" s="199">
        <f t="shared" ref="H2143:O2143" si="10832">countif($D2143,"*"&amp;H$2&amp;"*")</f>
        <v>0</v>
      </c>
      <c r="I2143" s="200">
        <f t="shared" si="10832"/>
        <v>0</v>
      </c>
      <c r="J2143" s="200">
        <f t="shared" si="10832"/>
        <v>0</v>
      </c>
      <c r="K2143" s="200">
        <f t="shared" si="10832"/>
        <v>0</v>
      </c>
      <c r="L2143" s="200">
        <f t="shared" si="10832"/>
        <v>0</v>
      </c>
      <c r="M2143" s="200">
        <f t="shared" si="10832"/>
        <v>0</v>
      </c>
      <c r="N2143" s="200">
        <f t="shared" si="10832"/>
        <v>0</v>
      </c>
      <c r="O2143" s="200">
        <f t="shared" si="10832"/>
        <v>0</v>
      </c>
      <c r="P2143" s="200">
        <f t="shared" si="9"/>
        <v>0</v>
      </c>
      <c r="Q2143" s="200">
        <f t="shared" ref="Q2143:AC2143" si="10833">countif($D2143,"*"&amp;Q$2&amp;"*")</f>
        <v>0</v>
      </c>
      <c r="R2143" s="200">
        <f t="shared" si="10833"/>
        <v>0</v>
      </c>
      <c r="S2143" s="200">
        <f t="shared" si="10833"/>
        <v>0</v>
      </c>
      <c r="T2143" s="200">
        <f t="shared" si="10833"/>
        <v>0</v>
      </c>
      <c r="U2143" s="200">
        <f t="shared" si="10833"/>
        <v>0</v>
      </c>
      <c r="V2143" s="200">
        <f t="shared" si="10833"/>
        <v>0</v>
      </c>
      <c r="W2143" s="200">
        <f t="shared" si="10833"/>
        <v>0</v>
      </c>
      <c r="X2143" s="200">
        <f t="shared" si="10833"/>
        <v>0</v>
      </c>
      <c r="Y2143" s="200">
        <f t="shared" si="10833"/>
        <v>0</v>
      </c>
      <c r="Z2143" s="200">
        <f t="shared" si="10833"/>
        <v>0</v>
      </c>
      <c r="AA2143" s="200">
        <f t="shared" si="10833"/>
        <v>0</v>
      </c>
      <c r="AB2143" s="200">
        <f t="shared" si="10833"/>
        <v>0</v>
      </c>
      <c r="AC2143" s="200">
        <f t="shared" si="10833"/>
        <v>0</v>
      </c>
      <c r="AD2143" s="200">
        <f t="shared" si="11"/>
        <v>1</v>
      </c>
      <c r="AE2143" s="200">
        <f t="shared" ref="AE2143:AG2143" si="10834">countif($D2143,"*"&amp;AE$2&amp;"*")</f>
        <v>0</v>
      </c>
      <c r="AF2143" s="200">
        <f t="shared" si="10834"/>
        <v>0</v>
      </c>
      <c r="AG2143" s="200">
        <f t="shared" si="10834"/>
        <v>0</v>
      </c>
      <c r="AH2143" s="171">
        <f t="shared" si="13"/>
        <v>0</v>
      </c>
      <c r="AI2143" s="200">
        <f t="shared" si="14"/>
        <v>0</v>
      </c>
      <c r="AJ2143" s="200">
        <f>SUM(AK2143:AQ2143)</f>
        <v>0</v>
      </c>
      <c r="AK2143" s="201">
        <f t="shared" ref="AK2143:AS2143" si="10835">countif($D2143,"*"&amp;AK$2&amp;"*")</f>
        <v>0</v>
      </c>
      <c r="AL2143" s="201">
        <f t="shared" si="10835"/>
        <v>0</v>
      </c>
      <c r="AM2143" s="201">
        <f t="shared" si="10835"/>
        <v>0</v>
      </c>
      <c r="AN2143" s="201">
        <f t="shared" si="10835"/>
        <v>0</v>
      </c>
      <c r="AO2143" s="201">
        <f t="shared" si="10835"/>
        <v>0</v>
      </c>
      <c r="AP2143" s="201">
        <f t="shared" si="10835"/>
        <v>0</v>
      </c>
      <c r="AQ2143" s="201">
        <f t="shared" si="10835"/>
        <v>0</v>
      </c>
      <c r="AR2143" s="201">
        <f t="shared" si="10835"/>
        <v>0</v>
      </c>
      <c r="AS2143" s="200">
        <f t="shared" si="10835"/>
        <v>0</v>
      </c>
      <c r="AT2143" s="205">
        <v>0.0</v>
      </c>
      <c r="AU2143" s="200">
        <f t="shared" ref="AU2143:AX2143" si="10836">countif($D2143,"*"&amp;AU$2&amp;"*")</f>
        <v>1</v>
      </c>
      <c r="AV2143" s="200">
        <f t="shared" si="10836"/>
        <v>0</v>
      </c>
      <c r="AW2143" s="200">
        <f t="shared" si="10836"/>
        <v>0</v>
      </c>
      <c r="AX2143" s="200">
        <f t="shared" si="10836"/>
        <v>0</v>
      </c>
      <c r="AY2143" s="202">
        <v>0.0</v>
      </c>
      <c r="AZ2143" s="200"/>
      <c r="BA2143" s="171" t="str">
        <f t="shared" si="18"/>
        <v/>
      </c>
      <c r="BB2143" s="171" t="str">
        <f t="shared" si="19"/>
        <v/>
      </c>
      <c r="BC2143" s="171" t="str">
        <f t="shared" si="20"/>
        <v/>
      </c>
      <c r="BD2143" s="171" t="str">
        <f t="shared" si="21"/>
        <v>Institutional</v>
      </c>
      <c r="BE2143" s="171" t="str">
        <f t="shared" si="22"/>
        <v/>
      </c>
      <c r="BF2143" s="171" t="str">
        <f t="shared" si="23"/>
        <v>Institutional</v>
      </c>
    </row>
    <row r="2144">
      <c r="A2144" s="171">
        <f t="array" ref="A2144">XLOOKUP(C2144,FSE!A:A,FSE!C:C,"XXXXX",0,1)</f>
        <v>2014</v>
      </c>
      <c r="B2144" s="213" t="s">
        <v>5676</v>
      </c>
      <c r="C2144" s="231">
        <v>792.0</v>
      </c>
      <c r="D2144" s="232" t="s">
        <v>3435</v>
      </c>
      <c r="E2144" s="197" t="str">
        <f t="array" ref="E2144">XLOOKUP(C2144,FSE!A:A,FSE!Z:Z,"XXXXX",0,1)</f>
        <v>Publicly Available (1)</v>
      </c>
      <c r="F2144" s="198" t="s">
        <v>3394</v>
      </c>
      <c r="G2144" s="163" t="str">
        <f t="array" ref="G2144">IF(B2144="ICSE",IF(COUNTIFS(B:B,B2144,C:C,C2144)=XLOOKUP(C2144,ICSE!A:A,ICSE!AA:AA,"ERROR",0,1),"OK","ERROR"),IF(B2144="FSE",IF(COUNTIFS(B:B,B2144,C:C,C2144)=XLOOKUP(C2144,FSE!A:A,FSE!AA:AA,"ERROR",0,1),"OK","ERROR")))</f>
        <v>OK</v>
      </c>
      <c r="H2144" s="199">
        <f t="shared" ref="H2144:O2144" si="10837">countif($D2144,"*"&amp;H$2&amp;"*")</f>
        <v>0</v>
      </c>
      <c r="I2144" s="200">
        <f t="shared" si="10837"/>
        <v>0</v>
      </c>
      <c r="J2144" s="200">
        <f t="shared" si="10837"/>
        <v>0</v>
      </c>
      <c r="K2144" s="200">
        <f t="shared" si="10837"/>
        <v>0</v>
      </c>
      <c r="L2144" s="200">
        <f t="shared" si="10837"/>
        <v>0</v>
      </c>
      <c r="M2144" s="200">
        <f t="shared" si="10837"/>
        <v>0</v>
      </c>
      <c r="N2144" s="200">
        <f t="shared" si="10837"/>
        <v>0</v>
      </c>
      <c r="O2144" s="200">
        <f t="shared" si="10837"/>
        <v>0</v>
      </c>
      <c r="P2144" s="200">
        <f t="shared" si="9"/>
        <v>0</v>
      </c>
      <c r="Q2144" s="200">
        <f t="shared" ref="Q2144:AC2144" si="10838">countif($D2144,"*"&amp;Q$2&amp;"*")</f>
        <v>0</v>
      </c>
      <c r="R2144" s="200">
        <f t="shared" si="10838"/>
        <v>0</v>
      </c>
      <c r="S2144" s="200">
        <f t="shared" si="10838"/>
        <v>0</v>
      </c>
      <c r="T2144" s="200">
        <f t="shared" si="10838"/>
        <v>0</v>
      </c>
      <c r="U2144" s="200">
        <f t="shared" si="10838"/>
        <v>0</v>
      </c>
      <c r="V2144" s="200">
        <f t="shared" si="10838"/>
        <v>0</v>
      </c>
      <c r="W2144" s="200">
        <f t="shared" si="10838"/>
        <v>0</v>
      </c>
      <c r="X2144" s="200">
        <f t="shared" si="10838"/>
        <v>0</v>
      </c>
      <c r="Y2144" s="200">
        <f t="shared" si="10838"/>
        <v>0</v>
      </c>
      <c r="Z2144" s="200">
        <f t="shared" si="10838"/>
        <v>0</v>
      </c>
      <c r="AA2144" s="200">
        <f t="shared" si="10838"/>
        <v>0</v>
      </c>
      <c r="AB2144" s="200">
        <f t="shared" si="10838"/>
        <v>0</v>
      </c>
      <c r="AC2144" s="200">
        <f t="shared" si="10838"/>
        <v>0</v>
      </c>
      <c r="AD2144" s="200">
        <f t="shared" si="11"/>
        <v>0</v>
      </c>
      <c r="AE2144" s="200">
        <f t="shared" ref="AE2144:AG2144" si="10839">countif($D2144,"*"&amp;AE$2&amp;"*")</f>
        <v>0</v>
      </c>
      <c r="AF2144" s="200">
        <f t="shared" si="10839"/>
        <v>0</v>
      </c>
      <c r="AG2144" s="200">
        <f t="shared" si="10839"/>
        <v>0</v>
      </c>
      <c r="AH2144" s="171">
        <f t="shared" si="13"/>
        <v>1</v>
      </c>
      <c r="AI2144" s="200">
        <f t="shared" si="14"/>
        <v>0</v>
      </c>
      <c r="AJ2144" s="200">
        <f>SUM(AK2144:AR2144)</f>
        <v>0</v>
      </c>
      <c r="AK2144" s="201">
        <f t="shared" ref="AK2144:AS2144" si="10840">countif($D2144,"*"&amp;AK$2&amp;"*")</f>
        <v>0</v>
      </c>
      <c r="AL2144" s="201">
        <f t="shared" si="10840"/>
        <v>0</v>
      </c>
      <c r="AM2144" s="201">
        <f t="shared" si="10840"/>
        <v>0</v>
      </c>
      <c r="AN2144" s="201">
        <f t="shared" si="10840"/>
        <v>0</v>
      </c>
      <c r="AO2144" s="201">
        <f t="shared" si="10840"/>
        <v>0</v>
      </c>
      <c r="AP2144" s="201">
        <f t="shared" si="10840"/>
        <v>0</v>
      </c>
      <c r="AQ2144" s="201">
        <f t="shared" si="10840"/>
        <v>0</v>
      </c>
      <c r="AR2144" s="200">
        <f t="shared" si="10840"/>
        <v>0</v>
      </c>
      <c r="AS2144" s="200">
        <f t="shared" si="10840"/>
        <v>0</v>
      </c>
      <c r="AT2144" s="173">
        <v>0.0</v>
      </c>
      <c r="AU2144" s="200">
        <f t="shared" ref="AU2144:AX2144" si="10841">countif($D2144,"*"&amp;AU$2&amp;"*")</f>
        <v>0</v>
      </c>
      <c r="AV2144" s="200">
        <f t="shared" si="10841"/>
        <v>0</v>
      </c>
      <c r="AW2144" s="200">
        <f t="shared" si="10841"/>
        <v>0</v>
      </c>
      <c r="AX2144" s="200">
        <f t="shared" si="10841"/>
        <v>0</v>
      </c>
      <c r="AY2144" s="202">
        <v>0.0</v>
      </c>
      <c r="AZ2144" s="200"/>
      <c r="BA2144" s="171" t="str">
        <f t="shared" si="18"/>
        <v/>
      </c>
      <c r="BB2144" s="171" t="str">
        <f t="shared" si="19"/>
        <v/>
      </c>
      <c r="BC2144" s="171" t="str">
        <f t="shared" si="20"/>
        <v/>
      </c>
      <c r="BD2144" s="171" t="str">
        <f t="shared" si="21"/>
        <v/>
      </c>
      <c r="BE2144" s="171" t="str">
        <f t="shared" si="22"/>
        <v>Others</v>
      </c>
      <c r="BF2144" s="171" t="str">
        <f t="shared" si="23"/>
        <v>Others</v>
      </c>
    </row>
    <row r="2145">
      <c r="A2145" s="171">
        <f t="array" ref="A2145">XLOOKUP(C2145,FSE!A:A,FSE!C:C,"XXXXX",0,1)</f>
        <v>2014</v>
      </c>
      <c r="B2145" s="213" t="s">
        <v>5676</v>
      </c>
      <c r="C2145" s="214">
        <v>795.0</v>
      </c>
      <c r="D2145" s="215" t="s">
        <v>6598</v>
      </c>
      <c r="E2145" s="197" t="str">
        <f t="array" ref="E2145">XLOOKUP(C2145,FSE!A:A,FSE!Z:Z,"XXXXX",0,1)</f>
        <v>Not Available (1)
Publicly Available (1)</v>
      </c>
      <c r="F2145" s="213" t="s">
        <v>3395</v>
      </c>
      <c r="G2145" s="163" t="str">
        <f t="array" ref="G2145">IF(B2145="ICSE",IF(COUNTIFS(B:B,B2145,C:C,C2145)=XLOOKUP(C2145,ICSE!A:A,ICSE!AA:AA,"ERROR",0,1),"OK","ERROR"),IF(B2145="FSE",IF(COUNTIFS(B:B,B2145,C:C,C2145)=XLOOKUP(C2145,FSE!A:A,FSE!AA:AA,"ERROR",0,1),"OK","ERROR")))</f>
        <v>OK</v>
      </c>
      <c r="H2145" s="199">
        <f t="shared" ref="H2145:O2145" si="10842">countif($D2145,"*"&amp;H$2&amp;"*")</f>
        <v>0</v>
      </c>
      <c r="I2145" s="200">
        <f t="shared" si="10842"/>
        <v>0</v>
      </c>
      <c r="J2145" s="200">
        <f t="shared" si="10842"/>
        <v>0</v>
      </c>
      <c r="K2145" s="200">
        <f t="shared" si="10842"/>
        <v>0</v>
      </c>
      <c r="L2145" s="200">
        <f t="shared" si="10842"/>
        <v>0</v>
      </c>
      <c r="M2145" s="200">
        <f t="shared" si="10842"/>
        <v>0</v>
      </c>
      <c r="N2145" s="200">
        <f t="shared" si="10842"/>
        <v>0</v>
      </c>
      <c r="O2145" s="200">
        <f t="shared" si="10842"/>
        <v>0</v>
      </c>
      <c r="P2145" s="200">
        <f t="shared" si="9"/>
        <v>0</v>
      </c>
      <c r="Q2145" s="200">
        <f t="shared" ref="Q2145:AC2145" si="10843">countif($D2145,"*"&amp;Q$2&amp;"*")</f>
        <v>0</v>
      </c>
      <c r="R2145" s="200">
        <f t="shared" si="10843"/>
        <v>0</v>
      </c>
      <c r="S2145" s="200">
        <f t="shared" si="10843"/>
        <v>0</v>
      </c>
      <c r="T2145" s="200">
        <f t="shared" si="10843"/>
        <v>0</v>
      </c>
      <c r="U2145" s="200">
        <f t="shared" si="10843"/>
        <v>0</v>
      </c>
      <c r="V2145" s="200">
        <f t="shared" si="10843"/>
        <v>0</v>
      </c>
      <c r="W2145" s="200">
        <f t="shared" si="10843"/>
        <v>0</v>
      </c>
      <c r="X2145" s="200">
        <f t="shared" si="10843"/>
        <v>0</v>
      </c>
      <c r="Y2145" s="200">
        <f t="shared" si="10843"/>
        <v>0</v>
      </c>
      <c r="Z2145" s="200">
        <f t="shared" si="10843"/>
        <v>0</v>
      </c>
      <c r="AA2145" s="200">
        <f t="shared" si="10843"/>
        <v>0</v>
      </c>
      <c r="AB2145" s="200">
        <f t="shared" si="10843"/>
        <v>0</v>
      </c>
      <c r="AC2145" s="200">
        <f t="shared" si="10843"/>
        <v>0</v>
      </c>
      <c r="AD2145" s="200">
        <f t="shared" si="11"/>
        <v>1</v>
      </c>
      <c r="AE2145" s="200">
        <f t="shared" ref="AE2145:AG2145" si="10844">countif($D2145,"*"&amp;AE$2&amp;"*")</f>
        <v>0</v>
      </c>
      <c r="AF2145" s="200">
        <f t="shared" si="10844"/>
        <v>0</v>
      </c>
      <c r="AG2145" s="200">
        <f t="shared" si="10844"/>
        <v>0</v>
      </c>
      <c r="AH2145" s="171">
        <f t="shared" si="13"/>
        <v>0</v>
      </c>
      <c r="AI2145" s="200">
        <f t="shared" si="14"/>
        <v>0</v>
      </c>
      <c r="AJ2145" s="200">
        <f t="shared" ref="AJ2145:AJ2146" si="10850">SUM(AK2145:AQ2145)</f>
        <v>0</v>
      </c>
      <c r="AK2145" s="201">
        <f t="shared" ref="AK2145:AS2145" si="10845">countif($D2145,"*"&amp;AK$2&amp;"*")</f>
        <v>0</v>
      </c>
      <c r="AL2145" s="201">
        <f t="shared" si="10845"/>
        <v>0</v>
      </c>
      <c r="AM2145" s="201">
        <f t="shared" si="10845"/>
        <v>0</v>
      </c>
      <c r="AN2145" s="201">
        <f t="shared" si="10845"/>
        <v>0</v>
      </c>
      <c r="AO2145" s="201">
        <f t="shared" si="10845"/>
        <v>0</v>
      </c>
      <c r="AP2145" s="201">
        <f t="shared" si="10845"/>
        <v>0</v>
      </c>
      <c r="AQ2145" s="201">
        <f t="shared" si="10845"/>
        <v>0</v>
      </c>
      <c r="AR2145" s="201">
        <f t="shared" si="10845"/>
        <v>0</v>
      </c>
      <c r="AS2145" s="200">
        <f t="shared" si="10845"/>
        <v>0</v>
      </c>
      <c r="AT2145" s="205">
        <v>0.0</v>
      </c>
      <c r="AU2145" s="200">
        <f t="shared" ref="AU2145:AX2145" si="10846">countif($D2145,"*"&amp;AU$2&amp;"*")</f>
        <v>1</v>
      </c>
      <c r="AV2145" s="200">
        <f t="shared" si="10846"/>
        <v>0</v>
      </c>
      <c r="AW2145" s="200">
        <f t="shared" si="10846"/>
        <v>0</v>
      </c>
      <c r="AX2145" s="200">
        <f t="shared" si="10846"/>
        <v>0</v>
      </c>
      <c r="AY2145" s="202">
        <v>0.0</v>
      </c>
      <c r="AZ2145" s="200"/>
      <c r="BA2145" s="171" t="str">
        <f t="shared" si="18"/>
        <v/>
      </c>
      <c r="BB2145" s="171" t="str">
        <f t="shared" si="19"/>
        <v/>
      </c>
      <c r="BC2145" s="171" t="str">
        <f t="shared" si="20"/>
        <v/>
      </c>
      <c r="BD2145" s="171" t="str">
        <f t="shared" si="21"/>
        <v>Institutional</v>
      </c>
      <c r="BE2145" s="171" t="str">
        <f t="shared" si="22"/>
        <v/>
      </c>
      <c r="BF2145" s="171" t="str">
        <f t="shared" si="23"/>
        <v>Institutional</v>
      </c>
    </row>
    <row r="2146">
      <c r="A2146" s="213">
        <f t="array" ref="A2146">XLOOKUP(C2146,FSE!A:A,FSE!C:C,"XXXXX",0,1)</f>
        <v>2014</v>
      </c>
      <c r="B2146" s="213" t="s">
        <v>5676</v>
      </c>
      <c r="C2146" s="229">
        <v>795.0</v>
      </c>
      <c r="D2146" s="215" t="s">
        <v>6599</v>
      </c>
      <c r="E2146" s="221" t="str">
        <f t="array" ref="E2146">XLOOKUP(C2146,FSE!A:A,FSE!Z:Z,"XXXXX",0,1)</f>
        <v>Not Available (1)
Publicly Available (1)</v>
      </c>
      <c r="F2146" s="213" t="s">
        <v>3394</v>
      </c>
      <c r="G2146" s="163" t="str">
        <f t="array" ref="G2146">IF(B2146="ICSE",IF(COUNTIFS(B:B,B2146,C:C,C2146)=XLOOKUP(C2146,ICSE!A:A,ICSE!AA:AA,"ERROR",0,1),"OK","ERROR"),IF(B2146="FSE",IF(COUNTIFS(B:B,B2146,C:C,C2146)=XLOOKUP(C2146,FSE!A:A,FSE!AA:AA,"ERROR",0,1),"OK","ERROR")))</f>
        <v>OK</v>
      </c>
      <c r="H2146" s="199">
        <f t="shared" ref="H2146:O2146" si="10847">countif($D2146,"*"&amp;H$2&amp;"*")</f>
        <v>0</v>
      </c>
      <c r="I2146" s="200">
        <f t="shared" si="10847"/>
        <v>0</v>
      </c>
      <c r="J2146" s="200">
        <f t="shared" si="10847"/>
        <v>0</v>
      </c>
      <c r="K2146" s="200">
        <f t="shared" si="10847"/>
        <v>0</v>
      </c>
      <c r="L2146" s="200">
        <f t="shared" si="10847"/>
        <v>0</v>
      </c>
      <c r="M2146" s="200">
        <f t="shared" si="10847"/>
        <v>0</v>
      </c>
      <c r="N2146" s="200">
        <f t="shared" si="10847"/>
        <v>0</v>
      </c>
      <c r="O2146" s="200">
        <f t="shared" si="10847"/>
        <v>0</v>
      </c>
      <c r="P2146" s="200">
        <f t="shared" si="9"/>
        <v>0</v>
      </c>
      <c r="Q2146" s="200">
        <f t="shared" ref="Q2146:AC2146" si="10848">countif($D2146,"*"&amp;Q$2&amp;"*")</f>
        <v>0</v>
      </c>
      <c r="R2146" s="200">
        <f t="shared" si="10848"/>
        <v>0</v>
      </c>
      <c r="S2146" s="200">
        <f t="shared" si="10848"/>
        <v>0</v>
      </c>
      <c r="T2146" s="200">
        <f t="shared" si="10848"/>
        <v>0</v>
      </c>
      <c r="U2146" s="200">
        <f t="shared" si="10848"/>
        <v>0</v>
      </c>
      <c r="V2146" s="200">
        <f t="shared" si="10848"/>
        <v>0</v>
      </c>
      <c r="W2146" s="200">
        <f t="shared" si="10848"/>
        <v>0</v>
      </c>
      <c r="X2146" s="200">
        <f t="shared" si="10848"/>
        <v>0</v>
      </c>
      <c r="Y2146" s="200">
        <f t="shared" si="10848"/>
        <v>0</v>
      </c>
      <c r="Z2146" s="200">
        <f t="shared" si="10848"/>
        <v>0</v>
      </c>
      <c r="AA2146" s="200">
        <f t="shared" si="10848"/>
        <v>0</v>
      </c>
      <c r="AB2146" s="200">
        <f t="shared" si="10848"/>
        <v>0</v>
      </c>
      <c r="AC2146" s="200">
        <f t="shared" si="10848"/>
        <v>0</v>
      </c>
      <c r="AD2146" s="222">
        <f t="shared" si="11"/>
        <v>1</v>
      </c>
      <c r="AE2146" s="200">
        <f t="shared" ref="AE2146:AG2146" si="10849">countif($D2146,"*"&amp;AE$2&amp;"*")</f>
        <v>0</v>
      </c>
      <c r="AF2146" s="200">
        <f t="shared" si="10849"/>
        <v>0</v>
      </c>
      <c r="AG2146" s="200">
        <f t="shared" si="10849"/>
        <v>0</v>
      </c>
      <c r="AH2146" s="171">
        <f t="shared" si="13"/>
        <v>0</v>
      </c>
      <c r="AI2146" s="200">
        <f t="shared" si="14"/>
        <v>1</v>
      </c>
      <c r="AJ2146" s="222">
        <f t="shared" si="10850"/>
        <v>0</v>
      </c>
      <c r="AK2146" s="201">
        <f t="shared" ref="AK2146:AS2146" si="10851">countif($D2146,"*"&amp;AK$2&amp;"*")</f>
        <v>0</v>
      </c>
      <c r="AL2146" s="201">
        <f t="shared" si="10851"/>
        <v>0</v>
      </c>
      <c r="AM2146" s="201">
        <f t="shared" si="10851"/>
        <v>0</v>
      </c>
      <c r="AN2146" s="201">
        <f t="shared" si="10851"/>
        <v>0</v>
      </c>
      <c r="AO2146" s="201">
        <f t="shared" si="10851"/>
        <v>0</v>
      </c>
      <c r="AP2146" s="201">
        <f t="shared" si="10851"/>
        <v>0</v>
      </c>
      <c r="AQ2146" s="201">
        <f t="shared" si="10851"/>
        <v>0</v>
      </c>
      <c r="AR2146" s="227">
        <f t="shared" si="10851"/>
        <v>0</v>
      </c>
      <c r="AS2146" s="200">
        <f t="shared" si="10851"/>
        <v>1</v>
      </c>
      <c r="AT2146" s="228">
        <v>0.0</v>
      </c>
      <c r="AU2146" s="200">
        <f t="shared" ref="AU2146:AW2146" si="10852">countif($D2146,"*"&amp;AU$2&amp;"*")</f>
        <v>1</v>
      </c>
      <c r="AV2146" s="200">
        <f t="shared" si="10852"/>
        <v>0</v>
      </c>
      <c r="AW2146" s="200">
        <f t="shared" si="10852"/>
        <v>0</v>
      </c>
      <c r="AX2146" s="209">
        <v>0.0</v>
      </c>
      <c r="AY2146" s="204">
        <v>1.0</v>
      </c>
      <c r="AZ2146" s="200"/>
      <c r="BA2146" s="171" t="str">
        <f t="shared" si="18"/>
        <v/>
      </c>
      <c r="BB2146" s="171" t="str">
        <f t="shared" si="19"/>
        <v/>
      </c>
      <c r="BC2146" s="171" t="str">
        <f t="shared" si="20"/>
        <v/>
      </c>
      <c r="BD2146" s="171" t="str">
        <f t="shared" si="21"/>
        <v>Institutional</v>
      </c>
      <c r="BE2146" s="171" t="str">
        <f t="shared" si="22"/>
        <v/>
      </c>
      <c r="BF2146" s="171" t="str">
        <f t="shared" si="23"/>
        <v>Institutional</v>
      </c>
    </row>
    <row r="2147">
      <c r="A2147" s="171">
        <f t="array" ref="A2147">XLOOKUP(C2147,FSE!A:A,FSE!C:C,"XXXXX",0,1)</f>
        <v>2014</v>
      </c>
      <c r="B2147" s="213" t="s">
        <v>5676</v>
      </c>
      <c r="C2147" s="214">
        <v>796.0</v>
      </c>
      <c r="D2147" s="215" t="s">
        <v>3444</v>
      </c>
      <c r="E2147" s="197" t="str">
        <f t="array" ref="E2147">XLOOKUP(C2147,FSE!A:A,FSE!Z:Z,"XXXXX",0,1)</f>
        <v>Not Available (1)</v>
      </c>
      <c r="F2147" s="213" t="s">
        <v>3395</v>
      </c>
      <c r="G2147" s="163" t="str">
        <f t="array" ref="G2147">IF(B2147="ICSE",IF(COUNTIFS(B:B,B2147,C:C,C2147)=XLOOKUP(C2147,ICSE!A:A,ICSE!AA:AA,"ERROR",0,1),"OK","ERROR"),IF(B2147="FSE",IF(COUNTIFS(B:B,B2147,C:C,C2147)=XLOOKUP(C2147,FSE!A:A,FSE!AA:AA,"ERROR",0,1),"OK","ERROR")))</f>
        <v>OK</v>
      </c>
      <c r="H2147" s="199">
        <f t="shared" ref="H2147:O2147" si="10853">countif($D2147,"*"&amp;H$2&amp;"*")</f>
        <v>0</v>
      </c>
      <c r="I2147" s="200">
        <f t="shared" si="10853"/>
        <v>0</v>
      </c>
      <c r="J2147" s="200">
        <f t="shared" si="10853"/>
        <v>0</v>
      </c>
      <c r="K2147" s="200">
        <f t="shared" si="10853"/>
        <v>0</v>
      </c>
      <c r="L2147" s="200">
        <f t="shared" si="10853"/>
        <v>0</v>
      </c>
      <c r="M2147" s="200">
        <f t="shared" si="10853"/>
        <v>0</v>
      </c>
      <c r="N2147" s="200">
        <f t="shared" si="10853"/>
        <v>0</v>
      </c>
      <c r="O2147" s="200">
        <f t="shared" si="10853"/>
        <v>0</v>
      </c>
      <c r="P2147" s="200">
        <f t="shared" si="9"/>
        <v>0</v>
      </c>
      <c r="Q2147" s="200">
        <f t="shared" ref="Q2147:AC2147" si="10854">countif($D2147,"*"&amp;Q$2&amp;"*")</f>
        <v>0</v>
      </c>
      <c r="R2147" s="200">
        <f t="shared" si="10854"/>
        <v>0</v>
      </c>
      <c r="S2147" s="200">
        <f t="shared" si="10854"/>
        <v>0</v>
      </c>
      <c r="T2147" s="200">
        <f t="shared" si="10854"/>
        <v>0</v>
      </c>
      <c r="U2147" s="200">
        <f t="shared" si="10854"/>
        <v>0</v>
      </c>
      <c r="V2147" s="200">
        <f t="shared" si="10854"/>
        <v>0</v>
      </c>
      <c r="W2147" s="200">
        <f t="shared" si="10854"/>
        <v>0</v>
      </c>
      <c r="X2147" s="200">
        <f t="shared" si="10854"/>
        <v>0</v>
      </c>
      <c r="Y2147" s="200">
        <f t="shared" si="10854"/>
        <v>0</v>
      </c>
      <c r="Z2147" s="200">
        <f t="shared" si="10854"/>
        <v>0</v>
      </c>
      <c r="AA2147" s="200">
        <f t="shared" si="10854"/>
        <v>0</v>
      </c>
      <c r="AB2147" s="200">
        <f t="shared" si="10854"/>
        <v>0</v>
      </c>
      <c r="AC2147" s="200">
        <f t="shared" si="10854"/>
        <v>0</v>
      </c>
      <c r="AD2147" s="200">
        <f t="shared" si="11"/>
        <v>1</v>
      </c>
      <c r="AE2147" s="200">
        <f t="shared" ref="AE2147:AG2147" si="10855">countif($D2147,"*"&amp;AE$2&amp;"*")</f>
        <v>0</v>
      </c>
      <c r="AF2147" s="200">
        <f t="shared" si="10855"/>
        <v>0</v>
      </c>
      <c r="AG2147" s="200">
        <f t="shared" si="10855"/>
        <v>0</v>
      </c>
      <c r="AH2147" s="171">
        <f t="shared" si="13"/>
        <v>0</v>
      </c>
      <c r="AI2147" s="200">
        <f t="shared" si="14"/>
        <v>0</v>
      </c>
      <c r="AJ2147" s="200">
        <f t="shared" ref="AJ2147:AJ2150" si="10861">SUM(AK2147:AR2147)</f>
        <v>0</v>
      </c>
      <c r="AK2147" s="201">
        <f t="shared" ref="AK2147:AS2147" si="10856">countif($D2147,"*"&amp;AK$2&amp;"*")</f>
        <v>0</v>
      </c>
      <c r="AL2147" s="201">
        <f t="shared" si="10856"/>
        <v>0</v>
      </c>
      <c r="AM2147" s="201">
        <f t="shared" si="10856"/>
        <v>0</v>
      </c>
      <c r="AN2147" s="201">
        <f t="shared" si="10856"/>
        <v>0</v>
      </c>
      <c r="AO2147" s="201">
        <f t="shared" si="10856"/>
        <v>0</v>
      </c>
      <c r="AP2147" s="201">
        <f t="shared" si="10856"/>
        <v>0</v>
      </c>
      <c r="AQ2147" s="201">
        <f t="shared" si="10856"/>
        <v>0</v>
      </c>
      <c r="AR2147" s="200">
        <f t="shared" si="10856"/>
        <v>0</v>
      </c>
      <c r="AS2147" s="200">
        <f t="shared" si="10856"/>
        <v>0</v>
      </c>
      <c r="AT2147" s="173">
        <v>1.0</v>
      </c>
      <c r="AU2147" s="200">
        <f t="shared" ref="AU2147:AX2147" si="10857">countif($D2147,"*"&amp;AU$2&amp;"*")</f>
        <v>0</v>
      </c>
      <c r="AV2147" s="200">
        <f t="shared" si="10857"/>
        <v>0</v>
      </c>
      <c r="AW2147" s="200">
        <f t="shared" si="10857"/>
        <v>0</v>
      </c>
      <c r="AX2147" s="200">
        <f t="shared" si="10857"/>
        <v>0</v>
      </c>
      <c r="AY2147" s="202">
        <v>0.0</v>
      </c>
      <c r="AZ2147" s="200"/>
      <c r="BA2147" s="171" t="str">
        <f t="shared" si="18"/>
        <v/>
      </c>
      <c r="BB2147" s="171" t="str">
        <f t="shared" si="19"/>
        <v/>
      </c>
      <c r="BC2147" s="171" t="str">
        <f t="shared" si="20"/>
        <v/>
      </c>
      <c r="BD2147" s="171" t="str">
        <f t="shared" si="21"/>
        <v>Institutional</v>
      </c>
      <c r="BE2147" s="171" t="str">
        <f t="shared" si="22"/>
        <v/>
      </c>
      <c r="BF2147" s="171" t="str">
        <f t="shared" si="23"/>
        <v>Institutional</v>
      </c>
    </row>
    <row r="2148">
      <c r="A2148" s="171">
        <f t="array" ref="A2148">XLOOKUP(C2148,FSE!A:A,FSE!C:C,"XXXXX",0,1)</f>
        <v>2014</v>
      </c>
      <c r="B2148" s="213" t="s">
        <v>5676</v>
      </c>
      <c r="C2148" s="214">
        <v>798.0</v>
      </c>
      <c r="D2148" s="215" t="s">
        <v>3448</v>
      </c>
      <c r="E2148" s="197" t="str">
        <f t="array" ref="E2148">XLOOKUP(C2148,FSE!A:A,FSE!Z:Z,"XXXXX",0,1)</f>
        <v>Not Available (1)</v>
      </c>
      <c r="F2148" s="213" t="s">
        <v>3395</v>
      </c>
      <c r="G2148" s="163" t="str">
        <f t="array" ref="G2148">IF(B2148="ICSE",IF(COUNTIFS(B:B,B2148,C:C,C2148)=XLOOKUP(C2148,ICSE!A:A,ICSE!AA:AA,"ERROR",0,1),"OK","ERROR"),IF(B2148="FSE",IF(COUNTIFS(B:B,B2148,C:C,C2148)=XLOOKUP(C2148,FSE!A:A,FSE!AA:AA,"ERROR",0,1),"OK","ERROR")))</f>
        <v>OK</v>
      </c>
      <c r="H2148" s="199">
        <f t="shared" ref="H2148:O2148" si="10858">countif($D2148,"*"&amp;H$2&amp;"*")</f>
        <v>0</v>
      </c>
      <c r="I2148" s="200">
        <f t="shared" si="10858"/>
        <v>0</v>
      </c>
      <c r="J2148" s="200">
        <f t="shared" si="10858"/>
        <v>0</v>
      </c>
      <c r="K2148" s="200">
        <f t="shared" si="10858"/>
        <v>0</v>
      </c>
      <c r="L2148" s="200">
        <f t="shared" si="10858"/>
        <v>0</v>
      </c>
      <c r="M2148" s="200">
        <f t="shared" si="10858"/>
        <v>0</v>
      </c>
      <c r="N2148" s="200">
        <f t="shared" si="10858"/>
        <v>0</v>
      </c>
      <c r="O2148" s="200">
        <f t="shared" si="10858"/>
        <v>0</v>
      </c>
      <c r="P2148" s="200">
        <f t="shared" si="9"/>
        <v>0</v>
      </c>
      <c r="Q2148" s="200">
        <f t="shared" ref="Q2148:AC2148" si="10859">countif($D2148,"*"&amp;Q$2&amp;"*")</f>
        <v>0</v>
      </c>
      <c r="R2148" s="200">
        <f t="shared" si="10859"/>
        <v>0</v>
      </c>
      <c r="S2148" s="200">
        <f t="shared" si="10859"/>
        <v>0</v>
      </c>
      <c r="T2148" s="200">
        <f t="shared" si="10859"/>
        <v>0</v>
      </c>
      <c r="U2148" s="200">
        <f t="shared" si="10859"/>
        <v>0</v>
      </c>
      <c r="V2148" s="200">
        <f t="shared" si="10859"/>
        <v>0</v>
      </c>
      <c r="W2148" s="200">
        <f t="shared" si="10859"/>
        <v>0</v>
      </c>
      <c r="X2148" s="200">
        <f t="shared" si="10859"/>
        <v>0</v>
      </c>
      <c r="Y2148" s="200">
        <f t="shared" si="10859"/>
        <v>0</v>
      </c>
      <c r="Z2148" s="200">
        <f t="shared" si="10859"/>
        <v>0</v>
      </c>
      <c r="AA2148" s="200">
        <f t="shared" si="10859"/>
        <v>0</v>
      </c>
      <c r="AB2148" s="200">
        <f t="shared" si="10859"/>
        <v>0</v>
      </c>
      <c r="AC2148" s="200">
        <f t="shared" si="10859"/>
        <v>0</v>
      </c>
      <c r="AD2148" s="200">
        <f t="shared" si="11"/>
        <v>1</v>
      </c>
      <c r="AE2148" s="200">
        <f t="shared" ref="AE2148:AG2148" si="10860">countif($D2148,"*"&amp;AE$2&amp;"*")</f>
        <v>0</v>
      </c>
      <c r="AF2148" s="200">
        <f t="shared" si="10860"/>
        <v>0</v>
      </c>
      <c r="AG2148" s="200">
        <f t="shared" si="10860"/>
        <v>0</v>
      </c>
      <c r="AH2148" s="171">
        <f t="shared" si="13"/>
        <v>0</v>
      </c>
      <c r="AI2148" s="200">
        <f t="shared" si="14"/>
        <v>0</v>
      </c>
      <c r="AJ2148" s="200">
        <f t="shared" si="10861"/>
        <v>0</v>
      </c>
      <c r="AK2148" s="201">
        <f t="shared" ref="AK2148:AS2148" si="10862">countif($D2148,"*"&amp;AK$2&amp;"*")</f>
        <v>0</v>
      </c>
      <c r="AL2148" s="201">
        <f t="shared" si="10862"/>
        <v>0</v>
      </c>
      <c r="AM2148" s="201">
        <f t="shared" si="10862"/>
        <v>0</v>
      </c>
      <c r="AN2148" s="201">
        <f t="shared" si="10862"/>
        <v>0</v>
      </c>
      <c r="AO2148" s="201">
        <f t="shared" si="10862"/>
        <v>0</v>
      </c>
      <c r="AP2148" s="201">
        <f t="shared" si="10862"/>
        <v>0</v>
      </c>
      <c r="AQ2148" s="201">
        <f t="shared" si="10862"/>
        <v>0</v>
      </c>
      <c r="AR2148" s="200">
        <f t="shared" si="10862"/>
        <v>0</v>
      </c>
      <c r="AS2148" s="200">
        <f t="shared" si="10862"/>
        <v>0</v>
      </c>
      <c r="AT2148" s="173">
        <v>1.0</v>
      </c>
      <c r="AU2148" s="200">
        <f t="shared" ref="AU2148:AX2148" si="10863">countif($D2148,"*"&amp;AU$2&amp;"*")</f>
        <v>0</v>
      </c>
      <c r="AV2148" s="200">
        <f t="shared" si="10863"/>
        <v>0</v>
      </c>
      <c r="AW2148" s="200">
        <f t="shared" si="10863"/>
        <v>0</v>
      </c>
      <c r="AX2148" s="200">
        <f t="shared" si="10863"/>
        <v>0</v>
      </c>
      <c r="AY2148" s="202">
        <v>0.0</v>
      </c>
      <c r="AZ2148" s="200"/>
      <c r="BA2148" s="171" t="str">
        <f t="shared" si="18"/>
        <v/>
      </c>
      <c r="BB2148" s="171" t="str">
        <f t="shared" si="19"/>
        <v/>
      </c>
      <c r="BC2148" s="171" t="str">
        <f t="shared" si="20"/>
        <v/>
      </c>
      <c r="BD2148" s="171" t="str">
        <f t="shared" si="21"/>
        <v>Institutional</v>
      </c>
      <c r="BE2148" s="171" t="str">
        <f t="shared" si="22"/>
        <v/>
      </c>
      <c r="BF2148" s="171" t="str">
        <f t="shared" si="23"/>
        <v>Institutional</v>
      </c>
    </row>
    <row r="2149">
      <c r="A2149" s="171">
        <f t="array" ref="A2149">XLOOKUP(C2149,FSE!A:A,FSE!C:C,"XXXXX",0,1)</f>
        <v>2014</v>
      </c>
      <c r="B2149" s="213" t="s">
        <v>5676</v>
      </c>
      <c r="C2149" s="214">
        <v>799.0</v>
      </c>
      <c r="D2149" s="215" t="s">
        <v>6600</v>
      </c>
      <c r="E2149" s="197" t="str">
        <f t="array" ref="E2149">XLOOKUP(C2149,FSE!A:A,FSE!Z:Z,"XXXXX",0,1)</f>
        <v>Publicly Available (2)</v>
      </c>
      <c r="F2149" s="213" t="s">
        <v>3394</v>
      </c>
      <c r="G2149" s="163" t="str">
        <f t="array" ref="G2149">IF(B2149="ICSE",IF(COUNTIFS(B:B,B2149,C:C,C2149)=XLOOKUP(C2149,ICSE!A:A,ICSE!AA:AA,"ERROR",0,1),"OK","ERROR"),IF(B2149="FSE",IF(COUNTIFS(B:B,B2149,C:C,C2149)=XLOOKUP(C2149,FSE!A:A,FSE!AA:AA,"ERROR",0,1),"OK","ERROR")))</f>
        <v>OK</v>
      </c>
      <c r="H2149" s="199">
        <f t="shared" ref="H2149:O2149" si="10864">countif($D2149,"*"&amp;H$2&amp;"*")</f>
        <v>0</v>
      </c>
      <c r="I2149" s="200">
        <f t="shared" si="10864"/>
        <v>0</v>
      </c>
      <c r="J2149" s="200">
        <f t="shared" si="10864"/>
        <v>0</v>
      </c>
      <c r="K2149" s="200">
        <f t="shared" si="10864"/>
        <v>0</v>
      </c>
      <c r="L2149" s="200">
        <f t="shared" si="10864"/>
        <v>0</v>
      </c>
      <c r="M2149" s="200">
        <f t="shared" si="10864"/>
        <v>0</v>
      </c>
      <c r="N2149" s="200">
        <f t="shared" si="10864"/>
        <v>0</v>
      </c>
      <c r="O2149" s="200">
        <f t="shared" si="10864"/>
        <v>0</v>
      </c>
      <c r="P2149" s="200">
        <f t="shared" si="9"/>
        <v>1</v>
      </c>
      <c r="Q2149" s="200">
        <f t="shared" ref="Q2149:AC2149" si="10865">countif($D2149,"*"&amp;Q$2&amp;"*")</f>
        <v>0</v>
      </c>
      <c r="R2149" s="200">
        <f t="shared" si="10865"/>
        <v>0</v>
      </c>
      <c r="S2149" s="200">
        <f t="shared" si="10865"/>
        <v>0</v>
      </c>
      <c r="T2149" s="200">
        <f t="shared" si="10865"/>
        <v>0</v>
      </c>
      <c r="U2149" s="200">
        <f t="shared" si="10865"/>
        <v>0</v>
      </c>
      <c r="V2149" s="200">
        <f t="shared" si="10865"/>
        <v>0</v>
      </c>
      <c r="W2149" s="200">
        <f t="shared" si="10865"/>
        <v>0</v>
      </c>
      <c r="X2149" s="200">
        <f t="shared" si="10865"/>
        <v>0</v>
      </c>
      <c r="Y2149" s="200">
        <f t="shared" si="10865"/>
        <v>0</v>
      </c>
      <c r="Z2149" s="200">
        <f t="shared" si="10865"/>
        <v>0</v>
      </c>
      <c r="AA2149" s="200">
        <f t="shared" si="10865"/>
        <v>0</v>
      </c>
      <c r="AB2149" s="200">
        <f t="shared" si="10865"/>
        <v>0</v>
      </c>
      <c r="AC2149" s="200">
        <f t="shared" si="10865"/>
        <v>0</v>
      </c>
      <c r="AD2149" s="200">
        <f t="shared" si="11"/>
        <v>0</v>
      </c>
      <c r="AE2149" s="200">
        <f t="shared" ref="AE2149:AG2149" si="10866">countif($D2149,"*"&amp;AE$2&amp;"*")</f>
        <v>0</v>
      </c>
      <c r="AF2149" s="200">
        <f t="shared" si="10866"/>
        <v>0</v>
      </c>
      <c r="AG2149" s="200">
        <f t="shared" si="10866"/>
        <v>0</v>
      </c>
      <c r="AH2149" s="171">
        <f t="shared" si="13"/>
        <v>0</v>
      </c>
      <c r="AI2149" s="200">
        <f t="shared" si="14"/>
        <v>0</v>
      </c>
      <c r="AJ2149" s="200">
        <f t="shared" si="10861"/>
        <v>0</v>
      </c>
      <c r="AK2149" s="201">
        <f t="shared" ref="AK2149:AS2149" si="10867">countif($D2149,"*"&amp;AK$2&amp;"*")</f>
        <v>0</v>
      </c>
      <c r="AL2149" s="201">
        <f t="shared" si="10867"/>
        <v>0</v>
      </c>
      <c r="AM2149" s="201">
        <f t="shared" si="10867"/>
        <v>0</v>
      </c>
      <c r="AN2149" s="201">
        <f t="shared" si="10867"/>
        <v>0</v>
      </c>
      <c r="AO2149" s="201">
        <f t="shared" si="10867"/>
        <v>0</v>
      </c>
      <c r="AP2149" s="201">
        <f t="shared" si="10867"/>
        <v>0</v>
      </c>
      <c r="AQ2149" s="201">
        <f t="shared" si="10867"/>
        <v>0</v>
      </c>
      <c r="AR2149" s="200">
        <f t="shared" si="10867"/>
        <v>0</v>
      </c>
      <c r="AS2149" s="200">
        <f t="shared" si="10867"/>
        <v>0</v>
      </c>
      <c r="AT2149" s="173">
        <v>0.0</v>
      </c>
      <c r="AU2149" s="200">
        <f t="shared" ref="AU2149:AX2149" si="10868">countif($D2149,"*"&amp;AU$2&amp;"*")</f>
        <v>0</v>
      </c>
      <c r="AV2149" s="200">
        <f t="shared" si="10868"/>
        <v>1</v>
      </c>
      <c r="AW2149" s="200">
        <f t="shared" si="10868"/>
        <v>0</v>
      </c>
      <c r="AX2149" s="200">
        <f t="shared" si="10868"/>
        <v>0</v>
      </c>
      <c r="AY2149" s="202">
        <v>0.0</v>
      </c>
      <c r="AZ2149" s="200"/>
      <c r="BA2149" s="171" t="str">
        <f t="shared" si="18"/>
        <v/>
      </c>
      <c r="BB2149" s="171" t="str">
        <f t="shared" si="19"/>
        <v>Code</v>
      </c>
      <c r="BC2149" s="171" t="str">
        <f t="shared" si="20"/>
        <v/>
      </c>
      <c r="BD2149" s="171" t="str">
        <f t="shared" si="21"/>
        <v/>
      </c>
      <c r="BE2149" s="171" t="str">
        <f t="shared" si="22"/>
        <v/>
      </c>
      <c r="BF2149" s="171" t="str">
        <f t="shared" si="23"/>
        <v>Code</v>
      </c>
    </row>
    <row r="2150">
      <c r="A2150" s="171">
        <f t="array" ref="A2150">XLOOKUP(C2150,FSE!A:A,FSE!C:C,"XXXXX",0,1)</f>
        <v>2014</v>
      </c>
      <c r="B2150" s="213" t="s">
        <v>5676</v>
      </c>
      <c r="C2150" s="214">
        <v>799.0</v>
      </c>
      <c r="D2150" s="215" t="s">
        <v>6601</v>
      </c>
      <c r="E2150" s="197" t="str">
        <f t="array" ref="E2150">XLOOKUP(C2150,FSE!A:A,FSE!Z:Z,"XXXXX",0,1)</f>
        <v>Publicly Available (2)</v>
      </c>
      <c r="F2150" s="213" t="s">
        <v>3394</v>
      </c>
      <c r="G2150" s="163" t="str">
        <f t="array" ref="G2150">IF(B2150="ICSE",IF(COUNTIFS(B:B,B2150,C:C,C2150)=XLOOKUP(C2150,ICSE!A:A,ICSE!AA:AA,"ERROR",0,1),"OK","ERROR"),IF(B2150="FSE",IF(COUNTIFS(B:B,B2150,C:C,C2150)=XLOOKUP(C2150,FSE!A:A,FSE!AA:AA,"ERROR",0,1),"OK","ERROR")))</f>
        <v>OK</v>
      </c>
      <c r="H2150" s="199">
        <f t="shared" ref="H2150:O2150" si="10869">countif($D2150,"*"&amp;H$2&amp;"*")</f>
        <v>0</v>
      </c>
      <c r="I2150" s="200">
        <f t="shared" si="10869"/>
        <v>0</v>
      </c>
      <c r="J2150" s="200">
        <f t="shared" si="10869"/>
        <v>0</v>
      </c>
      <c r="K2150" s="200">
        <f t="shared" si="10869"/>
        <v>0</v>
      </c>
      <c r="L2150" s="200">
        <f t="shared" si="10869"/>
        <v>0</v>
      </c>
      <c r="M2150" s="200">
        <f t="shared" si="10869"/>
        <v>0</v>
      </c>
      <c r="N2150" s="200">
        <f t="shared" si="10869"/>
        <v>0</v>
      </c>
      <c r="O2150" s="200">
        <f t="shared" si="10869"/>
        <v>0</v>
      </c>
      <c r="P2150" s="200">
        <f t="shared" si="9"/>
        <v>1</v>
      </c>
      <c r="Q2150" s="200">
        <f t="shared" ref="Q2150:AC2150" si="10870">countif($D2150,"*"&amp;Q$2&amp;"*")</f>
        <v>0</v>
      </c>
      <c r="R2150" s="200">
        <f t="shared" si="10870"/>
        <v>0</v>
      </c>
      <c r="S2150" s="200">
        <f t="shared" si="10870"/>
        <v>0</v>
      </c>
      <c r="T2150" s="200">
        <f t="shared" si="10870"/>
        <v>0</v>
      </c>
      <c r="U2150" s="200">
        <f t="shared" si="10870"/>
        <v>0</v>
      </c>
      <c r="V2150" s="200">
        <f t="shared" si="10870"/>
        <v>0</v>
      </c>
      <c r="W2150" s="200">
        <f t="shared" si="10870"/>
        <v>0</v>
      </c>
      <c r="X2150" s="200">
        <f t="shared" si="10870"/>
        <v>0</v>
      </c>
      <c r="Y2150" s="200">
        <f t="shared" si="10870"/>
        <v>0</v>
      </c>
      <c r="Z2150" s="200">
        <f t="shared" si="10870"/>
        <v>0</v>
      </c>
      <c r="AA2150" s="200">
        <f t="shared" si="10870"/>
        <v>0</v>
      </c>
      <c r="AB2150" s="200">
        <f t="shared" si="10870"/>
        <v>0</v>
      </c>
      <c r="AC2150" s="200">
        <f t="shared" si="10870"/>
        <v>0</v>
      </c>
      <c r="AD2150" s="200">
        <f t="shared" si="11"/>
        <v>0</v>
      </c>
      <c r="AE2150" s="200">
        <f t="shared" ref="AE2150:AG2150" si="10871">countif($D2150,"*"&amp;AE$2&amp;"*")</f>
        <v>0</v>
      </c>
      <c r="AF2150" s="200">
        <f t="shared" si="10871"/>
        <v>0</v>
      </c>
      <c r="AG2150" s="200">
        <f t="shared" si="10871"/>
        <v>0</v>
      </c>
      <c r="AH2150" s="171">
        <f t="shared" si="13"/>
        <v>0</v>
      </c>
      <c r="AI2150" s="200">
        <f t="shared" si="14"/>
        <v>0</v>
      </c>
      <c r="AJ2150" s="200">
        <f t="shared" si="10861"/>
        <v>0</v>
      </c>
      <c r="AK2150" s="201">
        <f t="shared" ref="AK2150:AS2150" si="10872">countif($D2150,"*"&amp;AK$2&amp;"*")</f>
        <v>0</v>
      </c>
      <c r="AL2150" s="201">
        <f t="shared" si="10872"/>
        <v>0</v>
      </c>
      <c r="AM2150" s="201">
        <f t="shared" si="10872"/>
        <v>0</v>
      </c>
      <c r="AN2150" s="201">
        <f t="shared" si="10872"/>
        <v>0</v>
      </c>
      <c r="AO2150" s="201">
        <f t="shared" si="10872"/>
        <v>0</v>
      </c>
      <c r="AP2150" s="201">
        <f t="shared" si="10872"/>
        <v>0</v>
      </c>
      <c r="AQ2150" s="201">
        <f t="shared" si="10872"/>
        <v>0</v>
      </c>
      <c r="AR2150" s="200">
        <f t="shared" si="10872"/>
        <v>0</v>
      </c>
      <c r="AS2150" s="200">
        <f t="shared" si="10872"/>
        <v>0</v>
      </c>
      <c r="AT2150" s="173">
        <v>0.0</v>
      </c>
      <c r="AU2150" s="200">
        <f t="shared" ref="AU2150:AX2150" si="10873">countif($D2150,"*"&amp;AU$2&amp;"*")</f>
        <v>0</v>
      </c>
      <c r="AV2150" s="200">
        <f t="shared" si="10873"/>
        <v>1</v>
      </c>
      <c r="AW2150" s="200">
        <f t="shared" si="10873"/>
        <v>0</v>
      </c>
      <c r="AX2150" s="200">
        <f t="shared" si="10873"/>
        <v>0</v>
      </c>
      <c r="AY2150" s="202">
        <v>0.0</v>
      </c>
      <c r="AZ2150" s="200"/>
      <c r="BA2150" s="171" t="str">
        <f t="shared" si="18"/>
        <v/>
      </c>
      <c r="BB2150" s="171" t="str">
        <f t="shared" si="19"/>
        <v>Code</v>
      </c>
      <c r="BC2150" s="171" t="str">
        <f t="shared" si="20"/>
        <v/>
      </c>
      <c r="BD2150" s="171" t="str">
        <f t="shared" si="21"/>
        <v/>
      </c>
      <c r="BE2150" s="171" t="str">
        <f t="shared" si="22"/>
        <v/>
      </c>
      <c r="BF2150" s="171" t="str">
        <f t="shared" si="23"/>
        <v>Code</v>
      </c>
    </row>
    <row r="2151">
      <c r="A2151" s="171">
        <f t="array" ref="A2151">XLOOKUP(C2151,FSE!A:A,FSE!C:C,"XXXXX",0,1)</f>
        <v>2014</v>
      </c>
      <c r="B2151" s="213" t="s">
        <v>5676</v>
      </c>
      <c r="C2151" s="214">
        <v>801.0</v>
      </c>
      <c r="D2151" s="215" t="s">
        <v>3456</v>
      </c>
      <c r="E2151" s="197" t="str">
        <f t="array" ref="E2151">XLOOKUP(C2151,FSE!A:A,FSE!Z:Z,"XXXXX",0,1)</f>
        <v>Publicly Available (1)</v>
      </c>
      <c r="F2151" s="213" t="s">
        <v>3394</v>
      </c>
      <c r="G2151" s="163" t="str">
        <f t="array" ref="G2151">IF(B2151="ICSE",IF(COUNTIFS(B:B,B2151,C:C,C2151)=XLOOKUP(C2151,ICSE!A:A,ICSE!AA:AA,"ERROR",0,1),"OK","ERROR"),IF(B2151="FSE",IF(COUNTIFS(B:B,B2151,C:C,C2151)=XLOOKUP(C2151,FSE!A:A,FSE!AA:AA,"ERROR",0,1),"OK","ERROR")))</f>
        <v>OK</v>
      </c>
      <c r="H2151" s="199">
        <f t="shared" ref="H2151:O2151" si="10874">countif($D2151,"*"&amp;H$2&amp;"*")</f>
        <v>0</v>
      </c>
      <c r="I2151" s="200">
        <f t="shared" si="10874"/>
        <v>0</v>
      </c>
      <c r="J2151" s="200">
        <f t="shared" si="10874"/>
        <v>0</v>
      </c>
      <c r="K2151" s="200">
        <f t="shared" si="10874"/>
        <v>0</v>
      </c>
      <c r="L2151" s="200">
        <f t="shared" si="10874"/>
        <v>0</v>
      </c>
      <c r="M2151" s="200">
        <f t="shared" si="10874"/>
        <v>0</v>
      </c>
      <c r="N2151" s="200">
        <f t="shared" si="10874"/>
        <v>0</v>
      </c>
      <c r="O2151" s="200">
        <f t="shared" si="10874"/>
        <v>0</v>
      </c>
      <c r="P2151" s="200">
        <f t="shared" si="9"/>
        <v>0</v>
      </c>
      <c r="Q2151" s="200">
        <f t="shared" ref="Q2151:AC2151" si="10875">countif($D2151,"*"&amp;Q$2&amp;"*")</f>
        <v>0</v>
      </c>
      <c r="R2151" s="200">
        <f t="shared" si="10875"/>
        <v>0</v>
      </c>
      <c r="S2151" s="200">
        <f t="shared" si="10875"/>
        <v>0</v>
      </c>
      <c r="T2151" s="200">
        <f t="shared" si="10875"/>
        <v>0</v>
      </c>
      <c r="U2151" s="200">
        <f t="shared" si="10875"/>
        <v>0</v>
      </c>
      <c r="V2151" s="200">
        <f t="shared" si="10875"/>
        <v>0</v>
      </c>
      <c r="W2151" s="200">
        <f t="shared" si="10875"/>
        <v>0</v>
      </c>
      <c r="X2151" s="200">
        <f t="shared" si="10875"/>
        <v>0</v>
      </c>
      <c r="Y2151" s="200">
        <f t="shared" si="10875"/>
        <v>0</v>
      </c>
      <c r="Z2151" s="200">
        <f t="shared" si="10875"/>
        <v>0</v>
      </c>
      <c r="AA2151" s="200">
        <f t="shared" si="10875"/>
        <v>0</v>
      </c>
      <c r="AB2151" s="200">
        <f t="shared" si="10875"/>
        <v>0</v>
      </c>
      <c r="AC2151" s="200">
        <f t="shared" si="10875"/>
        <v>0</v>
      </c>
      <c r="AD2151" s="200">
        <f t="shared" si="11"/>
        <v>1</v>
      </c>
      <c r="AE2151" s="200">
        <f t="shared" ref="AE2151:AG2151" si="10876">countif($D2151,"*"&amp;AE$2&amp;"*")</f>
        <v>0</v>
      </c>
      <c r="AF2151" s="200">
        <f t="shared" si="10876"/>
        <v>0</v>
      </c>
      <c r="AG2151" s="200">
        <f t="shared" si="10876"/>
        <v>0</v>
      </c>
      <c r="AH2151" s="171">
        <f t="shared" si="13"/>
        <v>0</v>
      </c>
      <c r="AI2151" s="200">
        <f t="shared" si="14"/>
        <v>0</v>
      </c>
      <c r="AJ2151" s="200">
        <f>SUM(AK2151:AQ2151)</f>
        <v>0</v>
      </c>
      <c r="AK2151" s="201">
        <f t="shared" ref="AK2151:AS2151" si="10877">countif($D2151,"*"&amp;AK$2&amp;"*")</f>
        <v>0</v>
      </c>
      <c r="AL2151" s="201">
        <f t="shared" si="10877"/>
        <v>0</v>
      </c>
      <c r="AM2151" s="201">
        <f t="shared" si="10877"/>
        <v>0</v>
      </c>
      <c r="AN2151" s="201">
        <f t="shared" si="10877"/>
        <v>0</v>
      </c>
      <c r="AO2151" s="201">
        <f t="shared" si="10877"/>
        <v>0</v>
      </c>
      <c r="AP2151" s="201">
        <f t="shared" si="10877"/>
        <v>0</v>
      </c>
      <c r="AQ2151" s="201">
        <f t="shared" si="10877"/>
        <v>0</v>
      </c>
      <c r="AR2151" s="201">
        <f t="shared" si="10877"/>
        <v>0</v>
      </c>
      <c r="AS2151" s="200">
        <f t="shared" si="10877"/>
        <v>0</v>
      </c>
      <c r="AT2151" s="205">
        <v>0.0</v>
      </c>
      <c r="AU2151" s="200">
        <f t="shared" ref="AU2151:AX2151" si="10878">countif($D2151,"*"&amp;AU$2&amp;"*")</f>
        <v>1</v>
      </c>
      <c r="AV2151" s="200">
        <f t="shared" si="10878"/>
        <v>0</v>
      </c>
      <c r="AW2151" s="200">
        <f t="shared" si="10878"/>
        <v>0</v>
      </c>
      <c r="AX2151" s="200">
        <f t="shared" si="10878"/>
        <v>0</v>
      </c>
      <c r="AY2151" s="202">
        <v>0.0</v>
      </c>
      <c r="AZ2151" s="200"/>
      <c r="BA2151" s="171" t="str">
        <f t="shared" si="18"/>
        <v/>
      </c>
      <c r="BB2151" s="171" t="str">
        <f t="shared" si="19"/>
        <v/>
      </c>
      <c r="BC2151" s="171" t="str">
        <f t="shared" si="20"/>
        <v/>
      </c>
      <c r="BD2151" s="171" t="str">
        <f t="shared" si="21"/>
        <v>Institutional</v>
      </c>
      <c r="BE2151" s="171" t="str">
        <f t="shared" si="22"/>
        <v/>
      </c>
      <c r="BF2151" s="171" t="str">
        <f t="shared" si="23"/>
        <v>Institutional</v>
      </c>
    </row>
    <row r="2152">
      <c r="A2152" s="171">
        <f t="array" ref="A2152">XLOOKUP(C2152,FSE!A:A,FSE!C:C,"XXXXX",0,1)</f>
        <v>2014</v>
      </c>
      <c r="B2152" s="213" t="s">
        <v>5676</v>
      </c>
      <c r="C2152" s="214">
        <v>802.0</v>
      </c>
      <c r="D2152" s="215" t="s">
        <v>3459</v>
      </c>
      <c r="E2152" s="197" t="str">
        <f t="array" ref="E2152">XLOOKUP(C2152,FSE!A:A,FSE!Z:Z,"XXXXX",0,1)</f>
        <v>Not Available (1)</v>
      </c>
      <c r="F2152" s="213" t="s">
        <v>3395</v>
      </c>
      <c r="G2152" s="163" t="str">
        <f t="array" ref="G2152">IF(B2152="ICSE",IF(COUNTIFS(B:B,B2152,C:C,C2152)=XLOOKUP(C2152,ICSE!A:A,ICSE!AA:AA,"ERROR",0,1),"OK","ERROR"),IF(B2152="FSE",IF(COUNTIFS(B:B,B2152,C:C,C2152)=XLOOKUP(C2152,FSE!A:A,FSE!AA:AA,"ERROR",0,1),"OK","ERROR")))</f>
        <v>OK</v>
      </c>
      <c r="H2152" s="199">
        <f t="shared" ref="H2152:O2152" si="10879">countif($D2152,"*"&amp;H$2&amp;"*")</f>
        <v>0</v>
      </c>
      <c r="I2152" s="200">
        <f t="shared" si="10879"/>
        <v>0</v>
      </c>
      <c r="J2152" s="200">
        <f t="shared" si="10879"/>
        <v>0</v>
      </c>
      <c r="K2152" s="200">
        <f t="shared" si="10879"/>
        <v>0</v>
      </c>
      <c r="L2152" s="200">
        <f t="shared" si="10879"/>
        <v>0</v>
      </c>
      <c r="M2152" s="200">
        <f t="shared" si="10879"/>
        <v>0</v>
      </c>
      <c r="N2152" s="200">
        <f t="shared" si="10879"/>
        <v>0</v>
      </c>
      <c r="O2152" s="200">
        <f t="shared" si="10879"/>
        <v>0</v>
      </c>
      <c r="P2152" s="200">
        <f t="shared" si="9"/>
        <v>0</v>
      </c>
      <c r="Q2152" s="200">
        <f t="shared" ref="Q2152:AC2152" si="10880">countif($D2152,"*"&amp;Q$2&amp;"*")</f>
        <v>0</v>
      </c>
      <c r="R2152" s="200">
        <f t="shared" si="10880"/>
        <v>0</v>
      </c>
      <c r="S2152" s="200">
        <f t="shared" si="10880"/>
        <v>0</v>
      </c>
      <c r="T2152" s="200">
        <f t="shared" si="10880"/>
        <v>0</v>
      </c>
      <c r="U2152" s="200">
        <f t="shared" si="10880"/>
        <v>0</v>
      </c>
      <c r="V2152" s="200">
        <f t="shared" si="10880"/>
        <v>0</v>
      </c>
      <c r="W2152" s="200">
        <f t="shared" si="10880"/>
        <v>0</v>
      </c>
      <c r="X2152" s="200">
        <f t="shared" si="10880"/>
        <v>0</v>
      </c>
      <c r="Y2152" s="200">
        <f t="shared" si="10880"/>
        <v>0</v>
      </c>
      <c r="Z2152" s="200">
        <f t="shared" si="10880"/>
        <v>0</v>
      </c>
      <c r="AA2152" s="200">
        <f t="shared" si="10880"/>
        <v>0</v>
      </c>
      <c r="AB2152" s="200">
        <f t="shared" si="10880"/>
        <v>0</v>
      </c>
      <c r="AC2152" s="200">
        <f t="shared" si="10880"/>
        <v>0</v>
      </c>
      <c r="AD2152" s="200">
        <f t="shared" si="11"/>
        <v>0</v>
      </c>
      <c r="AE2152" s="200">
        <f t="shared" ref="AE2152:AG2152" si="10881">countif($D2152,"*"&amp;AE$2&amp;"*")</f>
        <v>0</v>
      </c>
      <c r="AF2152" s="200">
        <f t="shared" si="10881"/>
        <v>0</v>
      </c>
      <c r="AG2152" s="200">
        <f t="shared" si="10881"/>
        <v>0</v>
      </c>
      <c r="AH2152" s="171">
        <f t="shared" si="13"/>
        <v>1</v>
      </c>
      <c r="AI2152" s="200">
        <f t="shared" si="14"/>
        <v>0</v>
      </c>
      <c r="AJ2152" s="200">
        <f t="shared" ref="AJ2152:AJ2158" si="10887">SUM(AK2152:AR2152)</f>
        <v>0</v>
      </c>
      <c r="AK2152" s="201">
        <f t="shared" ref="AK2152:AS2152" si="10882">countif($D2152,"*"&amp;AK$2&amp;"*")</f>
        <v>0</v>
      </c>
      <c r="AL2152" s="201">
        <f t="shared" si="10882"/>
        <v>0</v>
      </c>
      <c r="AM2152" s="201">
        <f t="shared" si="10882"/>
        <v>0</v>
      </c>
      <c r="AN2152" s="201">
        <f t="shared" si="10882"/>
        <v>0</v>
      </c>
      <c r="AO2152" s="201">
        <f t="shared" si="10882"/>
        <v>0</v>
      </c>
      <c r="AP2152" s="201">
        <f t="shared" si="10882"/>
        <v>0</v>
      </c>
      <c r="AQ2152" s="201">
        <f t="shared" si="10882"/>
        <v>0</v>
      </c>
      <c r="AR2152" s="200">
        <f t="shared" si="10882"/>
        <v>0</v>
      </c>
      <c r="AS2152" s="200">
        <f t="shared" si="10882"/>
        <v>0</v>
      </c>
      <c r="AT2152" s="173">
        <v>0.0</v>
      </c>
      <c r="AU2152" s="200">
        <f t="shared" ref="AU2152:AX2152" si="10883">countif($D2152,"*"&amp;AU$2&amp;"*")</f>
        <v>0</v>
      </c>
      <c r="AV2152" s="200">
        <f t="shared" si="10883"/>
        <v>0</v>
      </c>
      <c r="AW2152" s="200">
        <f t="shared" si="10883"/>
        <v>0</v>
      </c>
      <c r="AX2152" s="200">
        <f t="shared" si="10883"/>
        <v>0</v>
      </c>
      <c r="AY2152" s="202">
        <v>0.0</v>
      </c>
      <c r="AZ2152" s="200"/>
      <c r="BA2152" s="171" t="str">
        <f t="shared" si="18"/>
        <v/>
      </c>
      <c r="BB2152" s="171" t="str">
        <f t="shared" si="19"/>
        <v/>
      </c>
      <c r="BC2152" s="171" t="str">
        <f t="shared" si="20"/>
        <v/>
      </c>
      <c r="BD2152" s="171" t="str">
        <f t="shared" si="21"/>
        <v/>
      </c>
      <c r="BE2152" s="171" t="str">
        <f t="shared" si="22"/>
        <v>Others</v>
      </c>
      <c r="BF2152" s="171" t="str">
        <f t="shared" si="23"/>
        <v>Others</v>
      </c>
    </row>
    <row r="2153">
      <c r="A2153" s="171">
        <f t="array" ref="A2153">XLOOKUP(C2153,FSE!A:A,FSE!C:C,"XXXXX",0,1)</f>
        <v>2014</v>
      </c>
      <c r="B2153" s="213" t="s">
        <v>5676</v>
      </c>
      <c r="C2153" s="214">
        <v>804.0</v>
      </c>
      <c r="D2153" s="215" t="s">
        <v>3463</v>
      </c>
      <c r="E2153" s="197" t="str">
        <f t="array" ref="E2153">XLOOKUP(C2153,FSE!A:A,FSE!Z:Z,"XXXXX",0,1)</f>
        <v>Publicly Available (1)</v>
      </c>
      <c r="F2153" s="213" t="s">
        <v>3394</v>
      </c>
      <c r="G2153" s="163" t="str">
        <f t="array" ref="G2153">IF(B2153="ICSE",IF(COUNTIFS(B:B,B2153,C:C,C2153)=XLOOKUP(C2153,ICSE!A:A,ICSE!AA:AA,"ERROR",0,1),"OK","ERROR"),IF(B2153="FSE",IF(COUNTIFS(B:B,B2153,C:C,C2153)=XLOOKUP(C2153,FSE!A:A,FSE!AA:AA,"ERROR",0,1),"OK","ERROR")))</f>
        <v>OK</v>
      </c>
      <c r="H2153" s="199">
        <f t="shared" ref="H2153:O2153" si="10884">countif($D2153,"*"&amp;H$2&amp;"*")</f>
        <v>0</v>
      </c>
      <c r="I2153" s="200">
        <f t="shared" si="10884"/>
        <v>0</v>
      </c>
      <c r="J2153" s="200">
        <f t="shared" si="10884"/>
        <v>0</v>
      </c>
      <c r="K2153" s="200">
        <f t="shared" si="10884"/>
        <v>0</v>
      </c>
      <c r="L2153" s="200">
        <f t="shared" si="10884"/>
        <v>0</v>
      </c>
      <c r="M2153" s="200">
        <f t="shared" si="10884"/>
        <v>0</v>
      </c>
      <c r="N2153" s="200">
        <f t="shared" si="10884"/>
        <v>0</v>
      </c>
      <c r="O2153" s="200">
        <f t="shared" si="10884"/>
        <v>0</v>
      </c>
      <c r="P2153" s="200">
        <f t="shared" si="9"/>
        <v>0</v>
      </c>
      <c r="Q2153" s="200">
        <f t="shared" ref="Q2153:AC2153" si="10885">countif($D2153,"*"&amp;Q$2&amp;"*")</f>
        <v>0</v>
      </c>
      <c r="R2153" s="200">
        <f t="shared" si="10885"/>
        <v>0</v>
      </c>
      <c r="S2153" s="200">
        <f t="shared" si="10885"/>
        <v>0</v>
      </c>
      <c r="T2153" s="200">
        <f t="shared" si="10885"/>
        <v>0</v>
      </c>
      <c r="U2153" s="200">
        <f t="shared" si="10885"/>
        <v>0</v>
      </c>
      <c r="V2153" s="200">
        <f t="shared" si="10885"/>
        <v>0</v>
      </c>
      <c r="W2153" s="200">
        <f t="shared" si="10885"/>
        <v>0</v>
      </c>
      <c r="X2153" s="200">
        <f t="shared" si="10885"/>
        <v>0</v>
      </c>
      <c r="Y2153" s="200">
        <f t="shared" si="10885"/>
        <v>0</v>
      </c>
      <c r="Z2153" s="200">
        <f t="shared" si="10885"/>
        <v>0</v>
      </c>
      <c r="AA2153" s="200">
        <f t="shared" si="10885"/>
        <v>0</v>
      </c>
      <c r="AB2153" s="200">
        <f t="shared" si="10885"/>
        <v>0</v>
      </c>
      <c r="AC2153" s="200">
        <f t="shared" si="10885"/>
        <v>0</v>
      </c>
      <c r="AD2153" s="200">
        <f t="shared" si="11"/>
        <v>1</v>
      </c>
      <c r="AE2153" s="200">
        <f t="shared" ref="AE2153:AG2153" si="10886">countif($D2153,"*"&amp;AE$2&amp;"*")</f>
        <v>0</v>
      </c>
      <c r="AF2153" s="200">
        <f t="shared" si="10886"/>
        <v>0</v>
      </c>
      <c r="AG2153" s="200">
        <f t="shared" si="10886"/>
        <v>0</v>
      </c>
      <c r="AH2153" s="171">
        <f t="shared" si="13"/>
        <v>0</v>
      </c>
      <c r="AI2153" s="200">
        <f t="shared" si="14"/>
        <v>0</v>
      </c>
      <c r="AJ2153" s="200">
        <f t="shared" si="10887"/>
        <v>0</v>
      </c>
      <c r="AK2153" s="201">
        <f t="shared" ref="AK2153:AS2153" si="10888">countif($D2153,"*"&amp;AK$2&amp;"*")</f>
        <v>0</v>
      </c>
      <c r="AL2153" s="201">
        <f t="shared" si="10888"/>
        <v>0</v>
      </c>
      <c r="AM2153" s="201">
        <f t="shared" si="10888"/>
        <v>0</v>
      </c>
      <c r="AN2153" s="201">
        <f t="shared" si="10888"/>
        <v>0</v>
      </c>
      <c r="AO2153" s="201">
        <f t="shared" si="10888"/>
        <v>0</v>
      </c>
      <c r="AP2153" s="201">
        <f t="shared" si="10888"/>
        <v>0</v>
      </c>
      <c r="AQ2153" s="201">
        <f t="shared" si="10888"/>
        <v>0</v>
      </c>
      <c r="AR2153" s="200">
        <f t="shared" si="10888"/>
        <v>0</v>
      </c>
      <c r="AS2153" s="200">
        <f t="shared" si="10888"/>
        <v>0</v>
      </c>
      <c r="AT2153" s="173">
        <v>1.0</v>
      </c>
      <c r="AU2153" s="200">
        <f t="shared" ref="AU2153:AX2153" si="10889">countif($D2153,"*"&amp;AU$2&amp;"*")</f>
        <v>0</v>
      </c>
      <c r="AV2153" s="200">
        <f t="shared" si="10889"/>
        <v>0</v>
      </c>
      <c r="AW2153" s="200">
        <f t="shared" si="10889"/>
        <v>0</v>
      </c>
      <c r="AX2153" s="200">
        <f t="shared" si="10889"/>
        <v>0</v>
      </c>
      <c r="AY2153" s="202">
        <v>0.0</v>
      </c>
      <c r="AZ2153" s="200"/>
      <c r="BA2153" s="171" t="str">
        <f t="shared" si="18"/>
        <v/>
      </c>
      <c r="BB2153" s="171" t="str">
        <f t="shared" si="19"/>
        <v/>
      </c>
      <c r="BC2153" s="171" t="str">
        <f t="shared" si="20"/>
        <v/>
      </c>
      <c r="BD2153" s="171" t="str">
        <f t="shared" si="21"/>
        <v>Institutional</v>
      </c>
      <c r="BE2153" s="171" t="str">
        <f t="shared" si="22"/>
        <v/>
      </c>
      <c r="BF2153" s="171" t="str">
        <f t="shared" si="23"/>
        <v>Institutional</v>
      </c>
    </row>
    <row r="2154">
      <c r="A2154" s="171">
        <f t="array" ref="A2154">XLOOKUP(C2154,FSE!A:A,FSE!C:C,"XXXXX",0,1)</f>
        <v>2014</v>
      </c>
      <c r="B2154" s="213" t="s">
        <v>5676</v>
      </c>
      <c r="C2154" s="214">
        <v>805.0</v>
      </c>
      <c r="D2154" s="215" t="s">
        <v>3466</v>
      </c>
      <c r="E2154" s="197" t="str">
        <f t="array" ref="E2154">XLOOKUP(C2154,FSE!A:A,FSE!Z:Z,"XXXXX",0,1)</f>
        <v>Publicly Available (1)</v>
      </c>
      <c r="F2154" s="213" t="s">
        <v>3394</v>
      </c>
      <c r="G2154" s="163" t="str">
        <f t="array" ref="G2154">IF(B2154="ICSE",IF(COUNTIFS(B:B,B2154,C:C,C2154)=XLOOKUP(C2154,ICSE!A:A,ICSE!AA:AA,"ERROR",0,1),"OK","ERROR"),IF(B2154="FSE",IF(COUNTIFS(B:B,B2154,C:C,C2154)=XLOOKUP(C2154,FSE!A:A,FSE!AA:AA,"ERROR",0,1),"OK","ERROR")))</f>
        <v>OK</v>
      </c>
      <c r="H2154" s="199">
        <f t="shared" ref="H2154:O2154" si="10890">countif($D2154,"*"&amp;H$2&amp;"*")</f>
        <v>0</v>
      </c>
      <c r="I2154" s="200">
        <f t="shared" si="10890"/>
        <v>0</v>
      </c>
      <c r="J2154" s="200">
        <f t="shared" si="10890"/>
        <v>0</v>
      </c>
      <c r="K2154" s="200">
        <f t="shared" si="10890"/>
        <v>0</v>
      </c>
      <c r="L2154" s="200">
        <f t="shared" si="10890"/>
        <v>0</v>
      </c>
      <c r="M2154" s="200">
        <f t="shared" si="10890"/>
        <v>0</v>
      </c>
      <c r="N2154" s="200">
        <f t="shared" si="10890"/>
        <v>0</v>
      </c>
      <c r="O2154" s="200">
        <f t="shared" si="10890"/>
        <v>0</v>
      </c>
      <c r="P2154" s="200">
        <f t="shared" si="9"/>
        <v>0</v>
      </c>
      <c r="Q2154" s="200">
        <f t="shared" ref="Q2154:AC2154" si="10891">countif($D2154,"*"&amp;Q$2&amp;"*")</f>
        <v>0</v>
      </c>
      <c r="R2154" s="200">
        <f t="shared" si="10891"/>
        <v>0</v>
      </c>
      <c r="S2154" s="200">
        <f t="shared" si="10891"/>
        <v>0</v>
      </c>
      <c r="T2154" s="200">
        <f t="shared" si="10891"/>
        <v>0</v>
      </c>
      <c r="U2154" s="200">
        <f t="shared" si="10891"/>
        <v>0</v>
      </c>
      <c r="V2154" s="200">
        <f t="shared" si="10891"/>
        <v>0</v>
      </c>
      <c r="W2154" s="200">
        <f t="shared" si="10891"/>
        <v>0</v>
      </c>
      <c r="X2154" s="200">
        <f t="shared" si="10891"/>
        <v>0</v>
      </c>
      <c r="Y2154" s="200">
        <f t="shared" si="10891"/>
        <v>0</v>
      </c>
      <c r="Z2154" s="200">
        <f t="shared" si="10891"/>
        <v>0</v>
      </c>
      <c r="AA2154" s="200">
        <f t="shared" si="10891"/>
        <v>0</v>
      </c>
      <c r="AB2154" s="200">
        <f t="shared" si="10891"/>
        <v>0</v>
      </c>
      <c r="AC2154" s="200">
        <f t="shared" si="10891"/>
        <v>0</v>
      </c>
      <c r="AD2154" s="200">
        <f t="shared" si="11"/>
        <v>1</v>
      </c>
      <c r="AE2154" s="200">
        <f t="shared" ref="AE2154:AG2154" si="10892">countif($D2154,"*"&amp;AE$2&amp;"*")</f>
        <v>0</v>
      </c>
      <c r="AF2154" s="200">
        <f t="shared" si="10892"/>
        <v>0</v>
      </c>
      <c r="AG2154" s="200">
        <f t="shared" si="10892"/>
        <v>0</v>
      </c>
      <c r="AH2154" s="171">
        <f t="shared" si="13"/>
        <v>0</v>
      </c>
      <c r="AI2154" s="200">
        <f t="shared" si="14"/>
        <v>0</v>
      </c>
      <c r="AJ2154" s="200">
        <f t="shared" si="10887"/>
        <v>0</v>
      </c>
      <c r="AK2154" s="201">
        <f t="shared" ref="AK2154:AS2154" si="10893">countif($D2154,"*"&amp;AK$2&amp;"*")</f>
        <v>0</v>
      </c>
      <c r="AL2154" s="201">
        <f t="shared" si="10893"/>
        <v>0</v>
      </c>
      <c r="AM2154" s="201">
        <f t="shared" si="10893"/>
        <v>0</v>
      </c>
      <c r="AN2154" s="201">
        <f t="shared" si="10893"/>
        <v>0</v>
      </c>
      <c r="AO2154" s="201">
        <f t="shared" si="10893"/>
        <v>0</v>
      </c>
      <c r="AP2154" s="201">
        <f t="shared" si="10893"/>
        <v>0</v>
      </c>
      <c r="AQ2154" s="201">
        <f t="shared" si="10893"/>
        <v>0</v>
      </c>
      <c r="AR2154" s="200">
        <f t="shared" si="10893"/>
        <v>0</v>
      </c>
      <c r="AS2154" s="200">
        <f t="shared" si="10893"/>
        <v>0</v>
      </c>
      <c r="AT2154" s="173">
        <v>1.0</v>
      </c>
      <c r="AU2154" s="200">
        <f t="shared" ref="AU2154:AX2154" si="10894">countif($D2154,"*"&amp;AU$2&amp;"*")</f>
        <v>0</v>
      </c>
      <c r="AV2154" s="200">
        <f t="shared" si="10894"/>
        <v>0</v>
      </c>
      <c r="AW2154" s="200">
        <f t="shared" si="10894"/>
        <v>0</v>
      </c>
      <c r="AX2154" s="200">
        <f t="shared" si="10894"/>
        <v>0</v>
      </c>
      <c r="AY2154" s="202">
        <v>0.0</v>
      </c>
      <c r="AZ2154" s="200"/>
      <c r="BA2154" s="171" t="str">
        <f t="shared" si="18"/>
        <v/>
      </c>
      <c r="BB2154" s="171" t="str">
        <f t="shared" si="19"/>
        <v/>
      </c>
      <c r="BC2154" s="171" t="str">
        <f t="shared" si="20"/>
        <v/>
      </c>
      <c r="BD2154" s="171" t="str">
        <f t="shared" si="21"/>
        <v>Institutional</v>
      </c>
      <c r="BE2154" s="171" t="str">
        <f t="shared" si="22"/>
        <v/>
      </c>
      <c r="BF2154" s="171" t="str">
        <f t="shared" si="23"/>
        <v>Institutional</v>
      </c>
    </row>
    <row r="2155">
      <c r="A2155" s="171">
        <f t="array" ref="A2155">XLOOKUP(C2155,FSE!A:A,FSE!C:C,"XXXXX",0,1)</f>
        <v>2014</v>
      </c>
      <c r="B2155" s="213" t="s">
        <v>5676</v>
      </c>
      <c r="C2155" s="214">
        <v>807.0</v>
      </c>
      <c r="D2155" s="215" t="s">
        <v>3470</v>
      </c>
      <c r="E2155" s="197" t="str">
        <f t="array" ref="E2155">XLOOKUP(C2155,FSE!A:A,FSE!Z:Z,"XXXXX",0,1)</f>
        <v>Not Available (1)</v>
      </c>
      <c r="F2155" s="213" t="s">
        <v>3395</v>
      </c>
      <c r="G2155" s="163" t="str">
        <f t="array" ref="G2155">IF(B2155="ICSE",IF(COUNTIFS(B:B,B2155,C:C,C2155)=XLOOKUP(C2155,ICSE!A:A,ICSE!AA:AA,"ERROR",0,1),"OK","ERROR"),IF(B2155="FSE",IF(COUNTIFS(B:B,B2155,C:C,C2155)=XLOOKUP(C2155,FSE!A:A,FSE!AA:AA,"ERROR",0,1),"OK","ERROR")))</f>
        <v>OK</v>
      </c>
      <c r="H2155" s="199">
        <f t="shared" ref="H2155:O2155" si="10895">countif($D2155,"*"&amp;H$2&amp;"*")</f>
        <v>0</v>
      </c>
      <c r="I2155" s="200">
        <f t="shared" si="10895"/>
        <v>0</v>
      </c>
      <c r="J2155" s="200">
        <f t="shared" si="10895"/>
        <v>0</v>
      </c>
      <c r="K2155" s="200">
        <f t="shared" si="10895"/>
        <v>0</v>
      </c>
      <c r="L2155" s="200">
        <f t="shared" si="10895"/>
        <v>0</v>
      </c>
      <c r="M2155" s="200">
        <f t="shared" si="10895"/>
        <v>0</v>
      </c>
      <c r="N2155" s="200">
        <f t="shared" si="10895"/>
        <v>0</v>
      </c>
      <c r="O2155" s="200">
        <f t="shared" si="10895"/>
        <v>0</v>
      </c>
      <c r="P2155" s="200">
        <f t="shared" si="9"/>
        <v>0</v>
      </c>
      <c r="Q2155" s="200">
        <f t="shared" ref="Q2155:AC2155" si="10896">countif($D2155,"*"&amp;Q$2&amp;"*")</f>
        <v>0</v>
      </c>
      <c r="R2155" s="200">
        <f t="shared" si="10896"/>
        <v>0</v>
      </c>
      <c r="S2155" s="200">
        <f t="shared" si="10896"/>
        <v>0</v>
      </c>
      <c r="T2155" s="200">
        <f t="shared" si="10896"/>
        <v>0</v>
      </c>
      <c r="U2155" s="200">
        <f t="shared" si="10896"/>
        <v>0</v>
      </c>
      <c r="V2155" s="200">
        <f t="shared" si="10896"/>
        <v>0</v>
      </c>
      <c r="W2155" s="200">
        <f t="shared" si="10896"/>
        <v>0</v>
      </c>
      <c r="X2155" s="200">
        <f t="shared" si="10896"/>
        <v>0</v>
      </c>
      <c r="Y2155" s="200">
        <f t="shared" si="10896"/>
        <v>0</v>
      </c>
      <c r="Z2155" s="200">
        <f t="shared" si="10896"/>
        <v>0</v>
      </c>
      <c r="AA2155" s="200">
        <f t="shared" si="10896"/>
        <v>1</v>
      </c>
      <c r="AB2155" s="200">
        <f t="shared" si="10896"/>
        <v>0</v>
      </c>
      <c r="AC2155" s="200">
        <f t="shared" si="10896"/>
        <v>0</v>
      </c>
      <c r="AD2155" s="200">
        <f t="shared" si="11"/>
        <v>0</v>
      </c>
      <c r="AE2155" s="200">
        <f t="shared" ref="AE2155:AG2155" si="10897">countif($D2155,"*"&amp;AE$2&amp;"*")</f>
        <v>0</v>
      </c>
      <c r="AF2155" s="200">
        <f t="shared" si="10897"/>
        <v>0</v>
      </c>
      <c r="AG2155" s="200">
        <f t="shared" si="10897"/>
        <v>0</v>
      </c>
      <c r="AH2155" s="171">
        <f t="shared" si="13"/>
        <v>0</v>
      </c>
      <c r="AI2155" s="200">
        <f t="shared" si="14"/>
        <v>0</v>
      </c>
      <c r="AJ2155" s="200">
        <f t="shared" si="10887"/>
        <v>0</v>
      </c>
      <c r="AK2155" s="201">
        <f t="shared" ref="AK2155:AS2155" si="10898">countif($D2155,"*"&amp;AK$2&amp;"*")</f>
        <v>0</v>
      </c>
      <c r="AL2155" s="201">
        <f t="shared" si="10898"/>
        <v>0</v>
      </c>
      <c r="AM2155" s="201">
        <f t="shared" si="10898"/>
        <v>0</v>
      </c>
      <c r="AN2155" s="201">
        <f t="shared" si="10898"/>
        <v>0</v>
      </c>
      <c r="AO2155" s="201">
        <f t="shared" si="10898"/>
        <v>0</v>
      </c>
      <c r="AP2155" s="201">
        <f t="shared" si="10898"/>
        <v>0</v>
      </c>
      <c r="AQ2155" s="201">
        <f t="shared" si="10898"/>
        <v>0</v>
      </c>
      <c r="AR2155" s="200">
        <f t="shared" si="10898"/>
        <v>0</v>
      </c>
      <c r="AS2155" s="200">
        <f t="shared" si="10898"/>
        <v>0</v>
      </c>
      <c r="AT2155" s="173">
        <v>0.0</v>
      </c>
      <c r="AU2155" s="200">
        <f t="shared" ref="AU2155:AX2155" si="10899">countif($D2155,"*"&amp;AU$2&amp;"*")</f>
        <v>0</v>
      </c>
      <c r="AV2155" s="200">
        <f t="shared" si="10899"/>
        <v>0</v>
      </c>
      <c r="AW2155" s="200">
        <f t="shared" si="10899"/>
        <v>0</v>
      </c>
      <c r="AX2155" s="200">
        <f t="shared" si="10899"/>
        <v>0</v>
      </c>
      <c r="AY2155" s="202">
        <v>0.0</v>
      </c>
      <c r="AZ2155" s="200"/>
      <c r="BA2155" s="171" t="str">
        <f t="shared" si="18"/>
        <v/>
      </c>
      <c r="BB2155" s="171" t="str">
        <f t="shared" si="19"/>
        <v/>
      </c>
      <c r="BC2155" s="171" t="str">
        <f t="shared" si="20"/>
        <v>General-purpose</v>
      </c>
      <c r="BD2155" s="171" t="str">
        <f t="shared" si="21"/>
        <v/>
      </c>
      <c r="BE2155" s="171" t="str">
        <f t="shared" si="22"/>
        <v/>
      </c>
      <c r="BF2155" s="171" t="str">
        <f t="shared" si="23"/>
        <v>General-purpose</v>
      </c>
    </row>
    <row r="2156">
      <c r="A2156" s="171">
        <f t="array" ref="A2156">XLOOKUP(C2156,FSE!A:A,FSE!C:C,"XXXXX",0,1)</f>
        <v>2014</v>
      </c>
      <c r="B2156" s="213" t="s">
        <v>5676</v>
      </c>
      <c r="C2156" s="214">
        <v>808.0</v>
      </c>
      <c r="D2156" s="215" t="s">
        <v>3473</v>
      </c>
      <c r="E2156" s="197" t="str">
        <f t="array" ref="E2156">XLOOKUP(C2156,FSE!A:A,FSE!Z:Z,"XXXXX",0,1)</f>
        <v>Publicly Available (1)</v>
      </c>
      <c r="F2156" s="213" t="s">
        <v>3394</v>
      </c>
      <c r="G2156" s="163" t="str">
        <f t="array" ref="G2156">IF(B2156="ICSE",IF(COUNTIFS(B:B,B2156,C:C,C2156)=XLOOKUP(C2156,ICSE!A:A,ICSE!AA:AA,"ERROR",0,1),"OK","ERROR"),IF(B2156="FSE",IF(COUNTIFS(B:B,B2156,C:C,C2156)=XLOOKUP(C2156,FSE!A:A,FSE!AA:AA,"ERROR",0,1),"OK","ERROR")))</f>
        <v>OK</v>
      </c>
      <c r="H2156" s="199">
        <f t="shared" ref="H2156:O2156" si="10900">countif($D2156,"*"&amp;H$2&amp;"*")</f>
        <v>0</v>
      </c>
      <c r="I2156" s="200">
        <f t="shared" si="10900"/>
        <v>0</v>
      </c>
      <c r="J2156" s="200">
        <f t="shared" si="10900"/>
        <v>0</v>
      </c>
      <c r="K2156" s="200">
        <f t="shared" si="10900"/>
        <v>0</v>
      </c>
      <c r="L2156" s="200">
        <f t="shared" si="10900"/>
        <v>0</v>
      </c>
      <c r="M2156" s="200">
        <f t="shared" si="10900"/>
        <v>0</v>
      </c>
      <c r="N2156" s="200">
        <f t="shared" si="10900"/>
        <v>0</v>
      </c>
      <c r="O2156" s="200">
        <f t="shared" si="10900"/>
        <v>0</v>
      </c>
      <c r="P2156" s="200">
        <f t="shared" si="9"/>
        <v>1</v>
      </c>
      <c r="Q2156" s="200">
        <f t="shared" ref="Q2156:AC2156" si="10901">countif($D2156,"*"&amp;Q$2&amp;"*")</f>
        <v>0</v>
      </c>
      <c r="R2156" s="200">
        <f t="shared" si="10901"/>
        <v>0</v>
      </c>
      <c r="S2156" s="200">
        <f t="shared" si="10901"/>
        <v>0</v>
      </c>
      <c r="T2156" s="200">
        <f t="shared" si="10901"/>
        <v>0</v>
      </c>
      <c r="U2156" s="200">
        <f t="shared" si="10901"/>
        <v>0</v>
      </c>
      <c r="V2156" s="200">
        <f t="shared" si="10901"/>
        <v>0</v>
      </c>
      <c r="W2156" s="200">
        <f t="shared" si="10901"/>
        <v>0</v>
      </c>
      <c r="X2156" s="200">
        <f t="shared" si="10901"/>
        <v>0</v>
      </c>
      <c r="Y2156" s="200">
        <f t="shared" si="10901"/>
        <v>0</v>
      </c>
      <c r="Z2156" s="200">
        <f t="shared" si="10901"/>
        <v>0</v>
      </c>
      <c r="AA2156" s="200">
        <f t="shared" si="10901"/>
        <v>0</v>
      </c>
      <c r="AB2156" s="200">
        <f t="shared" si="10901"/>
        <v>0</v>
      </c>
      <c r="AC2156" s="200">
        <f t="shared" si="10901"/>
        <v>0</v>
      </c>
      <c r="AD2156" s="200">
        <f t="shared" si="11"/>
        <v>0</v>
      </c>
      <c r="AE2156" s="200">
        <f t="shared" ref="AE2156:AG2156" si="10902">countif($D2156,"*"&amp;AE$2&amp;"*")</f>
        <v>0</v>
      </c>
      <c r="AF2156" s="200">
        <f t="shared" si="10902"/>
        <v>0</v>
      </c>
      <c r="AG2156" s="200">
        <f t="shared" si="10902"/>
        <v>0</v>
      </c>
      <c r="AH2156" s="171">
        <f t="shared" si="13"/>
        <v>0</v>
      </c>
      <c r="AI2156" s="200">
        <f t="shared" si="14"/>
        <v>0</v>
      </c>
      <c r="AJ2156" s="200">
        <f t="shared" si="10887"/>
        <v>0</v>
      </c>
      <c r="AK2156" s="201">
        <f t="shared" ref="AK2156:AS2156" si="10903">countif($D2156,"*"&amp;AK$2&amp;"*")</f>
        <v>0</v>
      </c>
      <c r="AL2156" s="201">
        <f t="shared" si="10903"/>
        <v>0</v>
      </c>
      <c r="AM2156" s="201">
        <f t="shared" si="10903"/>
        <v>0</v>
      </c>
      <c r="AN2156" s="201">
        <f t="shared" si="10903"/>
        <v>0</v>
      </c>
      <c r="AO2156" s="201">
        <f t="shared" si="10903"/>
        <v>0</v>
      </c>
      <c r="AP2156" s="201">
        <f t="shared" si="10903"/>
        <v>0</v>
      </c>
      <c r="AQ2156" s="201">
        <f t="shared" si="10903"/>
        <v>0</v>
      </c>
      <c r="AR2156" s="200">
        <f t="shared" si="10903"/>
        <v>0</v>
      </c>
      <c r="AS2156" s="200">
        <f t="shared" si="10903"/>
        <v>0</v>
      </c>
      <c r="AT2156" s="173">
        <v>0.0</v>
      </c>
      <c r="AU2156" s="200">
        <f t="shared" ref="AU2156:AX2156" si="10904">countif($D2156,"*"&amp;AU$2&amp;"*")</f>
        <v>0</v>
      </c>
      <c r="AV2156" s="200">
        <f t="shared" si="10904"/>
        <v>1</v>
      </c>
      <c r="AW2156" s="200">
        <f t="shared" si="10904"/>
        <v>0</v>
      </c>
      <c r="AX2156" s="200">
        <f t="shared" si="10904"/>
        <v>0</v>
      </c>
      <c r="AY2156" s="202">
        <v>0.0</v>
      </c>
      <c r="AZ2156" s="200"/>
      <c r="BA2156" s="171" t="str">
        <f t="shared" si="18"/>
        <v/>
      </c>
      <c r="BB2156" s="171" t="str">
        <f t="shared" si="19"/>
        <v>Code</v>
      </c>
      <c r="BC2156" s="171" t="str">
        <f t="shared" si="20"/>
        <v/>
      </c>
      <c r="BD2156" s="171" t="str">
        <f t="shared" si="21"/>
        <v/>
      </c>
      <c r="BE2156" s="171" t="str">
        <f t="shared" si="22"/>
        <v/>
      </c>
      <c r="BF2156" s="171" t="str">
        <f t="shared" si="23"/>
        <v>Code</v>
      </c>
    </row>
    <row r="2157">
      <c r="A2157" s="171">
        <f t="array" ref="A2157">XLOOKUP(C2157,FSE!A:A,FSE!C:C,"XXXXX",0,1)</f>
        <v>2014</v>
      </c>
      <c r="B2157" s="213" t="s">
        <v>5676</v>
      </c>
      <c r="C2157" s="214">
        <v>809.0</v>
      </c>
      <c r="D2157" s="215" t="s">
        <v>3476</v>
      </c>
      <c r="E2157" s="197" t="str">
        <f t="array" ref="E2157">XLOOKUP(C2157,FSE!A:A,FSE!Z:Z,"XXXXX",0,1)</f>
        <v>Not Available (1)</v>
      </c>
      <c r="F2157" s="213" t="s">
        <v>3395</v>
      </c>
      <c r="G2157" s="163" t="str">
        <f t="array" ref="G2157">IF(B2157="ICSE",IF(COUNTIFS(B:B,B2157,C:C,C2157)=XLOOKUP(C2157,ICSE!A:A,ICSE!AA:AA,"ERROR",0,1),"OK","ERROR"),IF(B2157="FSE",IF(COUNTIFS(B:B,B2157,C:C,C2157)=XLOOKUP(C2157,FSE!A:A,FSE!AA:AA,"ERROR",0,1),"OK","ERROR")))</f>
        <v>OK</v>
      </c>
      <c r="H2157" s="199">
        <f t="shared" ref="H2157:O2157" si="10905">countif($D2157,"*"&amp;H$2&amp;"*")</f>
        <v>0</v>
      </c>
      <c r="I2157" s="200">
        <f t="shared" si="10905"/>
        <v>0</v>
      </c>
      <c r="J2157" s="200">
        <f t="shared" si="10905"/>
        <v>0</v>
      </c>
      <c r="K2157" s="200">
        <f t="shared" si="10905"/>
        <v>0</v>
      </c>
      <c r="L2157" s="200">
        <f t="shared" si="10905"/>
        <v>0</v>
      </c>
      <c r="M2157" s="200">
        <f t="shared" si="10905"/>
        <v>0</v>
      </c>
      <c r="N2157" s="200">
        <f t="shared" si="10905"/>
        <v>0</v>
      </c>
      <c r="O2157" s="200">
        <f t="shared" si="10905"/>
        <v>0</v>
      </c>
      <c r="P2157" s="200">
        <f t="shared" si="9"/>
        <v>0</v>
      </c>
      <c r="Q2157" s="200">
        <f t="shared" ref="Q2157:AC2157" si="10906">countif($D2157,"*"&amp;Q$2&amp;"*")</f>
        <v>0</v>
      </c>
      <c r="R2157" s="200">
        <f t="shared" si="10906"/>
        <v>0</v>
      </c>
      <c r="S2157" s="200">
        <f t="shared" si="10906"/>
        <v>0</v>
      </c>
      <c r="T2157" s="200">
        <f t="shared" si="10906"/>
        <v>0</v>
      </c>
      <c r="U2157" s="200">
        <f t="shared" si="10906"/>
        <v>0</v>
      </c>
      <c r="V2157" s="200">
        <f t="shared" si="10906"/>
        <v>0</v>
      </c>
      <c r="W2157" s="200">
        <f t="shared" si="10906"/>
        <v>0</v>
      </c>
      <c r="X2157" s="200">
        <f t="shared" si="10906"/>
        <v>0</v>
      </c>
      <c r="Y2157" s="200">
        <f t="shared" si="10906"/>
        <v>0</v>
      </c>
      <c r="Z2157" s="200">
        <f t="shared" si="10906"/>
        <v>0</v>
      </c>
      <c r="AA2157" s="200">
        <f t="shared" si="10906"/>
        <v>0</v>
      </c>
      <c r="AB2157" s="200">
        <f t="shared" si="10906"/>
        <v>0</v>
      </c>
      <c r="AC2157" s="200">
        <f t="shared" si="10906"/>
        <v>0</v>
      </c>
      <c r="AD2157" s="200">
        <f t="shared" si="11"/>
        <v>0</v>
      </c>
      <c r="AE2157" s="200">
        <f t="shared" ref="AE2157:AG2157" si="10907">countif($D2157,"*"&amp;AE$2&amp;"*")</f>
        <v>0</v>
      </c>
      <c r="AF2157" s="200">
        <f t="shared" si="10907"/>
        <v>0</v>
      </c>
      <c r="AG2157" s="200">
        <f t="shared" si="10907"/>
        <v>0</v>
      </c>
      <c r="AH2157" s="171">
        <f t="shared" si="13"/>
        <v>1</v>
      </c>
      <c r="AI2157" s="200">
        <f t="shared" si="14"/>
        <v>0</v>
      </c>
      <c r="AJ2157" s="200">
        <f t="shared" si="10887"/>
        <v>0</v>
      </c>
      <c r="AK2157" s="201">
        <f t="shared" ref="AK2157:AS2157" si="10908">countif($D2157,"*"&amp;AK$2&amp;"*")</f>
        <v>0</v>
      </c>
      <c r="AL2157" s="201">
        <f t="shared" si="10908"/>
        <v>0</v>
      </c>
      <c r="AM2157" s="201">
        <f t="shared" si="10908"/>
        <v>0</v>
      </c>
      <c r="AN2157" s="201">
        <f t="shared" si="10908"/>
        <v>0</v>
      </c>
      <c r="AO2157" s="201">
        <f t="shared" si="10908"/>
        <v>0</v>
      </c>
      <c r="AP2157" s="201">
        <f t="shared" si="10908"/>
        <v>0</v>
      </c>
      <c r="AQ2157" s="201">
        <f t="shared" si="10908"/>
        <v>0</v>
      </c>
      <c r="AR2157" s="200">
        <f t="shared" si="10908"/>
        <v>0</v>
      </c>
      <c r="AS2157" s="200">
        <f t="shared" si="10908"/>
        <v>0</v>
      </c>
      <c r="AT2157" s="173">
        <v>0.0</v>
      </c>
      <c r="AU2157" s="200">
        <f t="shared" ref="AU2157:AX2157" si="10909">countif($D2157,"*"&amp;AU$2&amp;"*")</f>
        <v>0</v>
      </c>
      <c r="AV2157" s="200">
        <f t="shared" si="10909"/>
        <v>0</v>
      </c>
      <c r="AW2157" s="200">
        <f t="shared" si="10909"/>
        <v>0</v>
      </c>
      <c r="AX2157" s="200">
        <f t="shared" si="10909"/>
        <v>0</v>
      </c>
      <c r="AY2157" s="202">
        <v>0.0</v>
      </c>
      <c r="AZ2157" s="200"/>
      <c r="BA2157" s="171" t="str">
        <f t="shared" si="18"/>
        <v/>
      </c>
      <c r="BB2157" s="171" t="str">
        <f t="shared" si="19"/>
        <v/>
      </c>
      <c r="BC2157" s="171" t="str">
        <f t="shared" si="20"/>
        <v/>
      </c>
      <c r="BD2157" s="171" t="str">
        <f t="shared" si="21"/>
        <v/>
      </c>
      <c r="BE2157" s="171" t="str">
        <f t="shared" si="22"/>
        <v>Others</v>
      </c>
      <c r="BF2157" s="171" t="str">
        <f t="shared" si="23"/>
        <v>Others</v>
      </c>
    </row>
    <row r="2158">
      <c r="A2158" s="171">
        <f t="array" ref="A2158">XLOOKUP(C2158,FSE!A:A,FSE!C:C,"XXXXX",0,1)</f>
        <v>2014</v>
      </c>
      <c r="B2158" s="213" t="s">
        <v>5676</v>
      </c>
      <c r="C2158" s="214">
        <v>811.0</v>
      </c>
      <c r="D2158" s="217" t="s">
        <v>3480</v>
      </c>
      <c r="E2158" s="197" t="str">
        <f t="array" ref="E2158">XLOOKUP(C2158,FSE!A:A,FSE!Z:Z,"XXXXX",0,1)</f>
        <v>Publicly Available (1)</v>
      </c>
      <c r="F2158" s="198" t="s">
        <v>3394</v>
      </c>
      <c r="G2158" s="163" t="str">
        <f t="array" ref="G2158">IF(B2158="ICSE",IF(COUNTIFS(B:B,B2158,C:C,C2158)=XLOOKUP(C2158,ICSE!A:A,ICSE!AA:AA,"ERROR",0,1),"OK","ERROR"),IF(B2158="FSE",IF(COUNTIFS(B:B,B2158,C:C,C2158)=XLOOKUP(C2158,FSE!A:A,FSE!AA:AA,"ERROR",0,1),"OK","ERROR")))</f>
        <v>OK</v>
      </c>
      <c r="H2158" s="199">
        <f t="shared" ref="H2158:O2158" si="10910">countif($D2158,"*"&amp;H$2&amp;"*")</f>
        <v>0</v>
      </c>
      <c r="I2158" s="200">
        <f t="shared" si="10910"/>
        <v>0</v>
      </c>
      <c r="J2158" s="200">
        <f t="shared" si="10910"/>
        <v>0</v>
      </c>
      <c r="K2158" s="200">
        <f t="shared" si="10910"/>
        <v>0</v>
      </c>
      <c r="L2158" s="200">
        <f t="shared" si="10910"/>
        <v>0</v>
      </c>
      <c r="M2158" s="200">
        <f t="shared" si="10910"/>
        <v>0</v>
      </c>
      <c r="N2158" s="200">
        <f t="shared" si="10910"/>
        <v>0</v>
      </c>
      <c r="O2158" s="200">
        <f t="shared" si="10910"/>
        <v>0</v>
      </c>
      <c r="P2158" s="200">
        <f t="shared" si="9"/>
        <v>0</v>
      </c>
      <c r="Q2158" s="200">
        <f t="shared" ref="Q2158:AC2158" si="10911">countif($D2158,"*"&amp;Q$2&amp;"*")</f>
        <v>0</v>
      </c>
      <c r="R2158" s="200">
        <f t="shared" si="10911"/>
        <v>0</v>
      </c>
      <c r="S2158" s="200">
        <f t="shared" si="10911"/>
        <v>0</v>
      </c>
      <c r="T2158" s="200">
        <f t="shared" si="10911"/>
        <v>0</v>
      </c>
      <c r="U2158" s="200">
        <f t="shared" si="10911"/>
        <v>0</v>
      </c>
      <c r="V2158" s="200">
        <f t="shared" si="10911"/>
        <v>0</v>
      </c>
      <c r="W2158" s="200">
        <f t="shared" si="10911"/>
        <v>0</v>
      </c>
      <c r="X2158" s="200">
        <f t="shared" si="10911"/>
        <v>0</v>
      </c>
      <c r="Y2158" s="200">
        <f t="shared" si="10911"/>
        <v>0</v>
      </c>
      <c r="Z2158" s="200">
        <f t="shared" si="10911"/>
        <v>0</v>
      </c>
      <c r="AA2158" s="200">
        <f t="shared" si="10911"/>
        <v>0</v>
      </c>
      <c r="AB2158" s="200">
        <f t="shared" si="10911"/>
        <v>0</v>
      </c>
      <c r="AC2158" s="200">
        <f t="shared" si="10911"/>
        <v>0</v>
      </c>
      <c r="AD2158" s="200">
        <f t="shared" si="11"/>
        <v>1</v>
      </c>
      <c r="AE2158" s="200">
        <f t="shared" ref="AE2158:AG2158" si="10912">countif($D2158,"*"&amp;AE$2&amp;"*")</f>
        <v>0</v>
      </c>
      <c r="AF2158" s="200">
        <f t="shared" si="10912"/>
        <v>0</v>
      </c>
      <c r="AG2158" s="200">
        <f t="shared" si="10912"/>
        <v>0</v>
      </c>
      <c r="AH2158" s="171">
        <f t="shared" si="13"/>
        <v>0</v>
      </c>
      <c r="AI2158" s="200">
        <f t="shared" si="14"/>
        <v>0</v>
      </c>
      <c r="AJ2158" s="200">
        <f t="shared" si="10887"/>
        <v>0</v>
      </c>
      <c r="AK2158" s="201">
        <f t="shared" ref="AK2158:AS2158" si="10913">countif($D2158,"*"&amp;AK$2&amp;"*")</f>
        <v>0</v>
      </c>
      <c r="AL2158" s="201">
        <f t="shared" si="10913"/>
        <v>0</v>
      </c>
      <c r="AM2158" s="201">
        <f t="shared" si="10913"/>
        <v>0</v>
      </c>
      <c r="AN2158" s="201">
        <f t="shared" si="10913"/>
        <v>0</v>
      </c>
      <c r="AO2158" s="201">
        <f t="shared" si="10913"/>
        <v>0</v>
      </c>
      <c r="AP2158" s="201">
        <f t="shared" si="10913"/>
        <v>0</v>
      </c>
      <c r="AQ2158" s="201">
        <f t="shared" si="10913"/>
        <v>0</v>
      </c>
      <c r="AR2158" s="200">
        <f t="shared" si="10913"/>
        <v>0</v>
      </c>
      <c r="AS2158" s="200">
        <f t="shared" si="10913"/>
        <v>0</v>
      </c>
      <c r="AT2158" s="173">
        <v>1.0</v>
      </c>
      <c r="AU2158" s="200">
        <f t="shared" ref="AU2158:AX2158" si="10914">countif($D2158,"*"&amp;AU$2&amp;"*")</f>
        <v>0</v>
      </c>
      <c r="AV2158" s="200">
        <f t="shared" si="10914"/>
        <v>0</v>
      </c>
      <c r="AW2158" s="200">
        <f t="shared" si="10914"/>
        <v>0</v>
      </c>
      <c r="AX2158" s="200">
        <f t="shared" si="10914"/>
        <v>0</v>
      </c>
      <c r="AY2158" s="202">
        <v>0.0</v>
      </c>
      <c r="AZ2158" s="200"/>
      <c r="BA2158" s="171" t="str">
        <f t="shared" si="18"/>
        <v/>
      </c>
      <c r="BB2158" s="171" t="str">
        <f t="shared" si="19"/>
        <v/>
      </c>
      <c r="BC2158" s="171" t="str">
        <f t="shared" si="20"/>
        <v/>
      </c>
      <c r="BD2158" s="171" t="str">
        <f t="shared" si="21"/>
        <v>Institutional</v>
      </c>
      <c r="BE2158" s="171" t="str">
        <f t="shared" si="22"/>
        <v/>
      </c>
      <c r="BF2158" s="171" t="str">
        <f t="shared" si="23"/>
        <v>Institutional</v>
      </c>
    </row>
    <row r="2159">
      <c r="A2159" s="171">
        <f t="array" ref="A2159">XLOOKUP(C2159,FSE!A:A,FSE!C:C,"XXXXX",0,1)</f>
        <v>2014</v>
      </c>
      <c r="B2159" s="213" t="s">
        <v>5676</v>
      </c>
      <c r="C2159" s="214">
        <v>812.0</v>
      </c>
      <c r="D2159" s="215" t="s">
        <v>3483</v>
      </c>
      <c r="E2159" s="197" t="str">
        <f t="array" ref="E2159">XLOOKUP(C2159,FSE!A:A,FSE!Z:Z,"XXXXX",0,1)</f>
        <v>Publicly Available (1)</v>
      </c>
      <c r="F2159" s="213" t="s">
        <v>3394</v>
      </c>
      <c r="G2159" s="163" t="str">
        <f t="array" ref="G2159">IF(B2159="ICSE",IF(COUNTIFS(B:B,B2159,C:C,C2159)=XLOOKUP(C2159,ICSE!A:A,ICSE!AA:AA,"ERROR",0,1),"OK","ERROR"),IF(B2159="FSE",IF(COUNTIFS(B:B,B2159,C:C,C2159)=XLOOKUP(C2159,FSE!A:A,FSE!AA:AA,"ERROR",0,1),"OK","ERROR")))</f>
        <v>OK</v>
      </c>
      <c r="H2159" s="199">
        <f t="shared" ref="H2159:O2159" si="10915">countif($D2159,"*"&amp;H$2&amp;"*")</f>
        <v>0</v>
      </c>
      <c r="I2159" s="200">
        <f t="shared" si="10915"/>
        <v>0</v>
      </c>
      <c r="J2159" s="200">
        <f t="shared" si="10915"/>
        <v>0</v>
      </c>
      <c r="K2159" s="200">
        <f t="shared" si="10915"/>
        <v>0</v>
      </c>
      <c r="L2159" s="200">
        <f t="shared" si="10915"/>
        <v>0</v>
      </c>
      <c r="M2159" s="200">
        <f t="shared" si="10915"/>
        <v>0</v>
      </c>
      <c r="N2159" s="200">
        <f t="shared" si="10915"/>
        <v>0</v>
      </c>
      <c r="O2159" s="200">
        <f t="shared" si="10915"/>
        <v>0</v>
      </c>
      <c r="P2159" s="200">
        <f t="shared" si="9"/>
        <v>0</v>
      </c>
      <c r="Q2159" s="200">
        <f t="shared" ref="Q2159:AC2159" si="10916">countif($D2159,"*"&amp;Q$2&amp;"*")</f>
        <v>0</v>
      </c>
      <c r="R2159" s="200">
        <f t="shared" si="10916"/>
        <v>0</v>
      </c>
      <c r="S2159" s="200">
        <f t="shared" si="10916"/>
        <v>0</v>
      </c>
      <c r="T2159" s="200">
        <f t="shared" si="10916"/>
        <v>0</v>
      </c>
      <c r="U2159" s="200">
        <f t="shared" si="10916"/>
        <v>0</v>
      </c>
      <c r="V2159" s="200">
        <f t="shared" si="10916"/>
        <v>0</v>
      </c>
      <c r="W2159" s="200">
        <f t="shared" si="10916"/>
        <v>0</v>
      </c>
      <c r="X2159" s="200">
        <f t="shared" si="10916"/>
        <v>0</v>
      </c>
      <c r="Y2159" s="200">
        <f t="shared" si="10916"/>
        <v>0</v>
      </c>
      <c r="Z2159" s="200">
        <f t="shared" si="10916"/>
        <v>0</v>
      </c>
      <c r="AA2159" s="200">
        <f t="shared" si="10916"/>
        <v>0</v>
      </c>
      <c r="AB2159" s="200">
        <f t="shared" si="10916"/>
        <v>0</v>
      </c>
      <c r="AC2159" s="200">
        <f t="shared" si="10916"/>
        <v>0</v>
      </c>
      <c r="AD2159" s="200">
        <f t="shared" si="11"/>
        <v>1</v>
      </c>
      <c r="AE2159" s="200">
        <f t="shared" ref="AE2159:AG2159" si="10917">countif($D2159,"*"&amp;AE$2&amp;"*")</f>
        <v>0</v>
      </c>
      <c r="AF2159" s="200">
        <f t="shared" si="10917"/>
        <v>0</v>
      </c>
      <c r="AG2159" s="200">
        <f t="shared" si="10917"/>
        <v>0</v>
      </c>
      <c r="AH2159" s="171">
        <f t="shared" si="13"/>
        <v>0</v>
      </c>
      <c r="AI2159" s="200">
        <f t="shared" si="14"/>
        <v>0</v>
      </c>
      <c r="AJ2159" s="200">
        <f t="shared" ref="AJ2159:AJ2160" si="10923">SUM(AK2159:AQ2159)</f>
        <v>0</v>
      </c>
      <c r="AK2159" s="201">
        <f t="shared" ref="AK2159:AS2159" si="10918">countif($D2159,"*"&amp;AK$2&amp;"*")</f>
        <v>0</v>
      </c>
      <c r="AL2159" s="201">
        <f t="shared" si="10918"/>
        <v>0</v>
      </c>
      <c r="AM2159" s="201">
        <f t="shared" si="10918"/>
        <v>0</v>
      </c>
      <c r="AN2159" s="201">
        <f t="shared" si="10918"/>
        <v>0</v>
      </c>
      <c r="AO2159" s="201">
        <f t="shared" si="10918"/>
        <v>0</v>
      </c>
      <c r="AP2159" s="201">
        <f t="shared" si="10918"/>
        <v>0</v>
      </c>
      <c r="AQ2159" s="201">
        <f t="shared" si="10918"/>
        <v>0</v>
      </c>
      <c r="AR2159" s="201">
        <f t="shared" si="10918"/>
        <v>0</v>
      </c>
      <c r="AS2159" s="200">
        <f t="shared" si="10918"/>
        <v>0</v>
      </c>
      <c r="AT2159" s="205">
        <v>0.0</v>
      </c>
      <c r="AU2159" s="200">
        <f t="shared" ref="AU2159:AX2159" si="10919">countif($D2159,"*"&amp;AU$2&amp;"*")</f>
        <v>1</v>
      </c>
      <c r="AV2159" s="200">
        <f t="shared" si="10919"/>
        <v>0</v>
      </c>
      <c r="AW2159" s="200">
        <f t="shared" si="10919"/>
        <v>0</v>
      </c>
      <c r="AX2159" s="200">
        <f t="shared" si="10919"/>
        <v>0</v>
      </c>
      <c r="AY2159" s="202">
        <v>0.0</v>
      </c>
      <c r="AZ2159" s="200"/>
      <c r="BA2159" s="171" t="str">
        <f t="shared" si="18"/>
        <v/>
      </c>
      <c r="BB2159" s="171" t="str">
        <f t="shared" si="19"/>
        <v/>
      </c>
      <c r="BC2159" s="171" t="str">
        <f t="shared" si="20"/>
        <v/>
      </c>
      <c r="BD2159" s="171" t="str">
        <f t="shared" si="21"/>
        <v>Institutional</v>
      </c>
      <c r="BE2159" s="171" t="str">
        <f t="shared" si="22"/>
        <v/>
      </c>
      <c r="BF2159" s="171" t="str">
        <f t="shared" si="23"/>
        <v>Institutional</v>
      </c>
    </row>
    <row r="2160">
      <c r="A2160" s="171">
        <f t="array" ref="A2160">XLOOKUP(C2160,FSE!A:A,FSE!C:C,"XXXXX",0,1)</f>
        <v>2014</v>
      </c>
      <c r="B2160" s="213" t="s">
        <v>5676</v>
      </c>
      <c r="C2160" s="214">
        <v>816.0</v>
      </c>
      <c r="D2160" s="215" t="s">
        <v>3489</v>
      </c>
      <c r="E2160" s="197" t="str">
        <f t="array" ref="E2160">XLOOKUP(C2160,FSE!A:A,FSE!Z:Z,"XXXXX",0,1)</f>
        <v>Publicly Available (1)</v>
      </c>
      <c r="F2160" s="213" t="s">
        <v>3394</v>
      </c>
      <c r="G2160" s="163" t="str">
        <f t="array" ref="G2160">IF(B2160="ICSE",IF(COUNTIFS(B:B,B2160,C:C,C2160)=XLOOKUP(C2160,ICSE!A:A,ICSE!AA:AA,"ERROR",0,1),"OK","ERROR"),IF(B2160="FSE",IF(COUNTIFS(B:B,B2160,C:C,C2160)=XLOOKUP(C2160,FSE!A:A,FSE!AA:AA,"ERROR",0,1),"OK","ERROR")))</f>
        <v>OK</v>
      </c>
      <c r="H2160" s="199">
        <f t="shared" ref="H2160:O2160" si="10920">countif($D2160,"*"&amp;H$2&amp;"*")</f>
        <v>0</v>
      </c>
      <c r="I2160" s="200">
        <f t="shared" si="10920"/>
        <v>0</v>
      </c>
      <c r="J2160" s="200">
        <f t="shared" si="10920"/>
        <v>0</v>
      </c>
      <c r="K2160" s="200">
        <f t="shared" si="10920"/>
        <v>0</v>
      </c>
      <c r="L2160" s="200">
        <f t="shared" si="10920"/>
        <v>0</v>
      </c>
      <c r="M2160" s="200">
        <f t="shared" si="10920"/>
        <v>0</v>
      </c>
      <c r="N2160" s="200">
        <f t="shared" si="10920"/>
        <v>0</v>
      </c>
      <c r="O2160" s="200">
        <f t="shared" si="10920"/>
        <v>0</v>
      </c>
      <c r="P2160" s="200">
        <f t="shared" si="9"/>
        <v>0</v>
      </c>
      <c r="Q2160" s="200">
        <f t="shared" ref="Q2160:AC2160" si="10921">countif($D2160,"*"&amp;Q$2&amp;"*")</f>
        <v>0</v>
      </c>
      <c r="R2160" s="200">
        <f t="shared" si="10921"/>
        <v>0</v>
      </c>
      <c r="S2160" s="200">
        <f t="shared" si="10921"/>
        <v>0</v>
      </c>
      <c r="T2160" s="200">
        <f t="shared" si="10921"/>
        <v>0</v>
      </c>
      <c r="U2160" s="200">
        <f t="shared" si="10921"/>
        <v>0</v>
      </c>
      <c r="V2160" s="200">
        <f t="shared" si="10921"/>
        <v>0</v>
      </c>
      <c r="W2160" s="200">
        <f t="shared" si="10921"/>
        <v>0</v>
      </c>
      <c r="X2160" s="200">
        <f t="shared" si="10921"/>
        <v>0</v>
      </c>
      <c r="Y2160" s="200">
        <f t="shared" si="10921"/>
        <v>0</v>
      </c>
      <c r="Z2160" s="200">
        <f t="shared" si="10921"/>
        <v>0</v>
      </c>
      <c r="AA2160" s="200">
        <f t="shared" si="10921"/>
        <v>0</v>
      </c>
      <c r="AB2160" s="200">
        <f t="shared" si="10921"/>
        <v>0</v>
      </c>
      <c r="AC2160" s="200">
        <f t="shared" si="10921"/>
        <v>0</v>
      </c>
      <c r="AD2160" s="200">
        <f t="shared" si="11"/>
        <v>1</v>
      </c>
      <c r="AE2160" s="200">
        <f t="shared" ref="AE2160:AG2160" si="10922">countif($D2160,"*"&amp;AE$2&amp;"*")</f>
        <v>0</v>
      </c>
      <c r="AF2160" s="200">
        <f t="shared" si="10922"/>
        <v>0</v>
      </c>
      <c r="AG2160" s="200">
        <f t="shared" si="10922"/>
        <v>0</v>
      </c>
      <c r="AH2160" s="171">
        <f t="shared" si="13"/>
        <v>0</v>
      </c>
      <c r="AI2160" s="200">
        <f t="shared" si="14"/>
        <v>0</v>
      </c>
      <c r="AJ2160" s="200">
        <f t="shared" si="10923"/>
        <v>0</v>
      </c>
      <c r="AK2160" s="201">
        <f t="shared" ref="AK2160:AS2160" si="10924">countif($D2160,"*"&amp;AK$2&amp;"*")</f>
        <v>0</v>
      </c>
      <c r="AL2160" s="201">
        <f t="shared" si="10924"/>
        <v>0</v>
      </c>
      <c r="AM2160" s="201">
        <f t="shared" si="10924"/>
        <v>0</v>
      </c>
      <c r="AN2160" s="201">
        <f t="shared" si="10924"/>
        <v>0</v>
      </c>
      <c r="AO2160" s="201">
        <f t="shared" si="10924"/>
        <v>0</v>
      </c>
      <c r="AP2160" s="201">
        <f t="shared" si="10924"/>
        <v>0</v>
      </c>
      <c r="AQ2160" s="201">
        <f t="shared" si="10924"/>
        <v>0</v>
      </c>
      <c r="AR2160" s="201">
        <f t="shared" si="10924"/>
        <v>0</v>
      </c>
      <c r="AS2160" s="200">
        <f t="shared" si="10924"/>
        <v>0</v>
      </c>
      <c r="AT2160" s="205">
        <v>0.0</v>
      </c>
      <c r="AU2160" s="200">
        <f t="shared" ref="AU2160:AX2160" si="10925">countif($D2160,"*"&amp;AU$2&amp;"*")</f>
        <v>1</v>
      </c>
      <c r="AV2160" s="200">
        <f t="shared" si="10925"/>
        <v>0</v>
      </c>
      <c r="AW2160" s="200">
        <f t="shared" si="10925"/>
        <v>0</v>
      </c>
      <c r="AX2160" s="200">
        <f t="shared" si="10925"/>
        <v>0</v>
      </c>
      <c r="AY2160" s="202">
        <v>0.0</v>
      </c>
      <c r="AZ2160" s="200"/>
      <c r="BA2160" s="171" t="str">
        <f t="shared" si="18"/>
        <v/>
      </c>
      <c r="BB2160" s="171" t="str">
        <f t="shared" si="19"/>
        <v/>
      </c>
      <c r="BC2160" s="171" t="str">
        <f t="shared" si="20"/>
        <v/>
      </c>
      <c r="BD2160" s="171" t="str">
        <f t="shared" si="21"/>
        <v>Institutional</v>
      </c>
      <c r="BE2160" s="171" t="str">
        <f t="shared" si="22"/>
        <v/>
      </c>
      <c r="BF2160" s="171" t="str">
        <f t="shared" si="23"/>
        <v>Institutional</v>
      </c>
    </row>
    <row r="2161">
      <c r="A2161" s="171">
        <f t="array" ref="A2161">XLOOKUP(C2161,FSE!A:A,FSE!C:C,"XXXXX",0,1)</f>
        <v>2014</v>
      </c>
      <c r="B2161" s="213" t="s">
        <v>5676</v>
      </c>
      <c r="C2161" s="214">
        <v>817.0</v>
      </c>
      <c r="D2161" s="217" t="s">
        <v>3492</v>
      </c>
      <c r="E2161" s="197" t="str">
        <f t="array" ref="E2161">XLOOKUP(C2161,FSE!A:A,FSE!Z:Z,"XXXXX",0,1)</f>
        <v>Not Available (1)</v>
      </c>
      <c r="F2161" s="213" t="s">
        <v>3395</v>
      </c>
      <c r="G2161" s="163" t="str">
        <f t="array" ref="G2161">IF(B2161="ICSE",IF(COUNTIFS(B:B,B2161,C:C,C2161)=XLOOKUP(C2161,ICSE!A:A,ICSE!AA:AA,"ERROR",0,1),"OK","ERROR"),IF(B2161="FSE",IF(COUNTIFS(B:B,B2161,C:C,C2161)=XLOOKUP(C2161,FSE!A:A,FSE!AA:AA,"ERROR",0,1),"OK","ERROR")))</f>
        <v>OK</v>
      </c>
      <c r="H2161" s="199">
        <f t="shared" ref="H2161:O2161" si="10926">countif($D2161,"*"&amp;H$2&amp;"*")</f>
        <v>0</v>
      </c>
      <c r="I2161" s="200">
        <f t="shared" si="10926"/>
        <v>0</v>
      </c>
      <c r="J2161" s="200">
        <f t="shared" si="10926"/>
        <v>0</v>
      </c>
      <c r="K2161" s="200">
        <f t="shared" si="10926"/>
        <v>0</v>
      </c>
      <c r="L2161" s="200">
        <f t="shared" si="10926"/>
        <v>0</v>
      </c>
      <c r="M2161" s="200">
        <f t="shared" si="10926"/>
        <v>0</v>
      </c>
      <c r="N2161" s="200">
        <f t="shared" si="10926"/>
        <v>0</v>
      </c>
      <c r="O2161" s="200">
        <f t="shared" si="10926"/>
        <v>0</v>
      </c>
      <c r="P2161" s="200">
        <f t="shared" si="9"/>
        <v>0</v>
      </c>
      <c r="Q2161" s="200">
        <f t="shared" ref="Q2161:AC2161" si="10927">countif($D2161,"*"&amp;Q$2&amp;"*")</f>
        <v>0</v>
      </c>
      <c r="R2161" s="200">
        <f t="shared" si="10927"/>
        <v>0</v>
      </c>
      <c r="S2161" s="200">
        <f t="shared" si="10927"/>
        <v>0</v>
      </c>
      <c r="T2161" s="200">
        <f t="shared" si="10927"/>
        <v>0</v>
      </c>
      <c r="U2161" s="200">
        <f t="shared" si="10927"/>
        <v>0</v>
      </c>
      <c r="V2161" s="200">
        <f t="shared" si="10927"/>
        <v>0</v>
      </c>
      <c r="W2161" s="200">
        <f t="shared" si="10927"/>
        <v>0</v>
      </c>
      <c r="X2161" s="200">
        <f t="shared" si="10927"/>
        <v>0</v>
      </c>
      <c r="Y2161" s="200">
        <f t="shared" si="10927"/>
        <v>0</v>
      </c>
      <c r="Z2161" s="200">
        <f t="shared" si="10927"/>
        <v>0</v>
      </c>
      <c r="AA2161" s="200">
        <f t="shared" si="10927"/>
        <v>0</v>
      </c>
      <c r="AB2161" s="200">
        <f t="shared" si="10927"/>
        <v>0</v>
      </c>
      <c r="AC2161" s="200">
        <f t="shared" si="10927"/>
        <v>0</v>
      </c>
      <c r="AD2161" s="200">
        <f t="shared" si="11"/>
        <v>1</v>
      </c>
      <c r="AE2161" s="200">
        <f t="shared" ref="AE2161:AG2161" si="10928">countif($D2161,"*"&amp;AE$2&amp;"*")</f>
        <v>0</v>
      </c>
      <c r="AF2161" s="200">
        <f t="shared" si="10928"/>
        <v>0</v>
      </c>
      <c r="AG2161" s="200">
        <f t="shared" si="10928"/>
        <v>0</v>
      </c>
      <c r="AH2161" s="171">
        <f t="shared" si="13"/>
        <v>0</v>
      </c>
      <c r="AI2161" s="200">
        <f t="shared" si="14"/>
        <v>0</v>
      </c>
      <c r="AJ2161" s="200">
        <f>SUM(AK2161:AR2161)</f>
        <v>0</v>
      </c>
      <c r="AK2161" s="201">
        <f t="shared" ref="AK2161:AS2161" si="10929">countif($D2161,"*"&amp;AK$2&amp;"*")</f>
        <v>0</v>
      </c>
      <c r="AL2161" s="201">
        <f t="shared" si="10929"/>
        <v>0</v>
      </c>
      <c r="AM2161" s="201">
        <f t="shared" si="10929"/>
        <v>0</v>
      </c>
      <c r="AN2161" s="201">
        <f t="shared" si="10929"/>
        <v>0</v>
      </c>
      <c r="AO2161" s="201">
        <f t="shared" si="10929"/>
        <v>0</v>
      </c>
      <c r="AP2161" s="201">
        <f t="shared" si="10929"/>
        <v>0</v>
      </c>
      <c r="AQ2161" s="201">
        <f t="shared" si="10929"/>
        <v>0</v>
      </c>
      <c r="AR2161" s="200">
        <f t="shared" si="10929"/>
        <v>0</v>
      </c>
      <c r="AS2161" s="200">
        <f t="shared" si="10929"/>
        <v>0</v>
      </c>
      <c r="AT2161" s="173">
        <v>1.0</v>
      </c>
      <c r="AU2161" s="200">
        <f t="shared" ref="AU2161:AX2161" si="10930">countif($D2161,"*"&amp;AU$2&amp;"*")</f>
        <v>0</v>
      </c>
      <c r="AV2161" s="200">
        <f t="shared" si="10930"/>
        <v>0</v>
      </c>
      <c r="AW2161" s="200">
        <f t="shared" si="10930"/>
        <v>0</v>
      </c>
      <c r="AX2161" s="200">
        <f t="shared" si="10930"/>
        <v>0</v>
      </c>
      <c r="AY2161" s="202">
        <v>0.0</v>
      </c>
      <c r="AZ2161" s="200"/>
      <c r="BA2161" s="171" t="str">
        <f t="shared" si="18"/>
        <v/>
      </c>
      <c r="BB2161" s="171" t="str">
        <f t="shared" si="19"/>
        <v/>
      </c>
      <c r="BC2161" s="171" t="str">
        <f t="shared" si="20"/>
        <v/>
      </c>
      <c r="BD2161" s="171" t="str">
        <f t="shared" si="21"/>
        <v>Institutional</v>
      </c>
      <c r="BE2161" s="171" t="str">
        <f t="shared" si="22"/>
        <v/>
      </c>
      <c r="BF2161" s="171" t="str">
        <f t="shared" si="23"/>
        <v>Institutional</v>
      </c>
    </row>
    <row r="2162">
      <c r="A2162" s="171">
        <f t="array" ref="A2162">XLOOKUP(C2162,FSE!A:A,FSE!C:C,"XXXXX",0,1)</f>
        <v>2014</v>
      </c>
      <c r="B2162" s="213" t="s">
        <v>5676</v>
      </c>
      <c r="C2162" s="214">
        <v>821.0</v>
      </c>
      <c r="D2162" s="217" t="s">
        <v>6602</v>
      </c>
      <c r="E2162" s="197" t="str">
        <f t="array" ref="E2162">XLOOKUP(C2162,FSE!A:A,FSE!Z:Z,"XXXXX",0,1)</f>
        <v>Not Available (2)</v>
      </c>
      <c r="F2162" s="213" t="s">
        <v>3395</v>
      </c>
      <c r="G2162" s="163" t="str">
        <f t="array" ref="G2162">IF(B2162="ICSE",IF(COUNTIFS(B:B,B2162,C:C,C2162)=XLOOKUP(C2162,ICSE!A:A,ICSE!AA:AA,"ERROR",0,1),"OK","ERROR"),IF(B2162="FSE",IF(COUNTIFS(B:B,B2162,C:C,C2162)=XLOOKUP(C2162,FSE!A:A,FSE!AA:AA,"ERROR",0,1),"OK","ERROR")))</f>
        <v>OK</v>
      </c>
      <c r="H2162" s="199">
        <f t="shared" ref="H2162:O2162" si="10931">countif($D2162,"*"&amp;H$2&amp;"*")</f>
        <v>0</v>
      </c>
      <c r="I2162" s="200">
        <f t="shared" si="10931"/>
        <v>0</v>
      </c>
      <c r="J2162" s="200">
        <f t="shared" si="10931"/>
        <v>0</v>
      </c>
      <c r="K2162" s="200">
        <f t="shared" si="10931"/>
        <v>0</v>
      </c>
      <c r="L2162" s="200">
        <f t="shared" si="10931"/>
        <v>0</v>
      </c>
      <c r="M2162" s="200">
        <f t="shared" si="10931"/>
        <v>0</v>
      </c>
      <c r="N2162" s="200">
        <f t="shared" si="10931"/>
        <v>0</v>
      </c>
      <c r="O2162" s="200">
        <f t="shared" si="10931"/>
        <v>0</v>
      </c>
      <c r="P2162" s="200">
        <f t="shared" si="9"/>
        <v>0</v>
      </c>
      <c r="Q2162" s="200">
        <f t="shared" ref="Q2162:AC2162" si="10932">countif($D2162,"*"&amp;Q$2&amp;"*")</f>
        <v>0</v>
      </c>
      <c r="R2162" s="200">
        <f t="shared" si="10932"/>
        <v>0</v>
      </c>
      <c r="S2162" s="200">
        <f t="shared" si="10932"/>
        <v>0</v>
      </c>
      <c r="T2162" s="200">
        <f t="shared" si="10932"/>
        <v>0</v>
      </c>
      <c r="U2162" s="200">
        <f t="shared" si="10932"/>
        <v>0</v>
      </c>
      <c r="V2162" s="200">
        <f t="shared" si="10932"/>
        <v>0</v>
      </c>
      <c r="W2162" s="200">
        <f t="shared" si="10932"/>
        <v>0</v>
      </c>
      <c r="X2162" s="200">
        <f t="shared" si="10932"/>
        <v>0</v>
      </c>
      <c r="Y2162" s="200">
        <f t="shared" si="10932"/>
        <v>0</v>
      </c>
      <c r="Z2162" s="200">
        <f t="shared" si="10932"/>
        <v>0</v>
      </c>
      <c r="AA2162" s="200">
        <f t="shared" si="10932"/>
        <v>0</v>
      </c>
      <c r="AB2162" s="200">
        <f t="shared" si="10932"/>
        <v>0</v>
      </c>
      <c r="AC2162" s="200">
        <f t="shared" si="10932"/>
        <v>0</v>
      </c>
      <c r="AD2162" s="200">
        <f t="shared" si="11"/>
        <v>1</v>
      </c>
      <c r="AE2162" s="200">
        <f t="shared" ref="AE2162:AG2162" si="10933">countif($D2162,"*"&amp;AE$2&amp;"*")</f>
        <v>0</v>
      </c>
      <c r="AF2162" s="200">
        <f t="shared" si="10933"/>
        <v>0</v>
      </c>
      <c r="AG2162" s="200">
        <f t="shared" si="10933"/>
        <v>0</v>
      </c>
      <c r="AH2162" s="171">
        <f t="shared" si="13"/>
        <v>0</v>
      </c>
      <c r="AI2162" s="200">
        <f t="shared" si="14"/>
        <v>0</v>
      </c>
      <c r="AJ2162" s="200">
        <f t="shared" ref="AJ2162:AJ2163" si="10939">SUM(AK2162:AQ2162)</f>
        <v>1</v>
      </c>
      <c r="AK2162" s="201">
        <f t="shared" ref="AK2162:AS2162" si="10934">countif($D2162,"*"&amp;AK$2&amp;"*")</f>
        <v>0</v>
      </c>
      <c r="AL2162" s="201">
        <f t="shared" si="10934"/>
        <v>0</v>
      </c>
      <c r="AM2162" s="201">
        <f t="shared" si="10934"/>
        <v>1</v>
      </c>
      <c r="AN2162" s="201">
        <f t="shared" si="10934"/>
        <v>0</v>
      </c>
      <c r="AO2162" s="201">
        <f t="shared" si="10934"/>
        <v>0</v>
      </c>
      <c r="AP2162" s="201">
        <f t="shared" si="10934"/>
        <v>0</v>
      </c>
      <c r="AQ2162" s="201">
        <f t="shared" si="10934"/>
        <v>0</v>
      </c>
      <c r="AR2162" s="201">
        <f t="shared" si="10934"/>
        <v>0</v>
      </c>
      <c r="AS2162" s="200">
        <f t="shared" si="10934"/>
        <v>1</v>
      </c>
      <c r="AT2162" s="205">
        <v>0.0</v>
      </c>
      <c r="AU2162" s="200">
        <f t="shared" ref="AU2162:AX2162" si="10935">countif($D2162,"*"&amp;AU$2&amp;"*")</f>
        <v>1</v>
      </c>
      <c r="AV2162" s="200">
        <f t="shared" si="10935"/>
        <v>0</v>
      </c>
      <c r="AW2162" s="200">
        <f t="shared" si="10935"/>
        <v>0</v>
      </c>
      <c r="AX2162" s="200">
        <f t="shared" si="10935"/>
        <v>0</v>
      </c>
      <c r="AY2162" s="202">
        <v>0.0</v>
      </c>
      <c r="AZ2162" s="200"/>
      <c r="BA2162" s="171" t="str">
        <f t="shared" si="18"/>
        <v/>
      </c>
      <c r="BB2162" s="171" t="str">
        <f t="shared" si="19"/>
        <v/>
      </c>
      <c r="BC2162" s="171" t="str">
        <f t="shared" si="20"/>
        <v/>
      </c>
      <c r="BD2162" s="171" t="str">
        <f t="shared" si="21"/>
        <v>Institutional</v>
      </c>
      <c r="BE2162" s="171" t="str">
        <f t="shared" si="22"/>
        <v/>
      </c>
      <c r="BF2162" s="171" t="str">
        <f t="shared" si="23"/>
        <v>Institutional</v>
      </c>
    </row>
    <row r="2163">
      <c r="A2163" s="171">
        <f t="array" ref="A2163">XLOOKUP(C2163,FSE!A:A,FSE!C:C,"XXXXX",0,1)</f>
        <v>2014</v>
      </c>
      <c r="B2163" s="213" t="s">
        <v>5676</v>
      </c>
      <c r="C2163" s="214">
        <v>821.0</v>
      </c>
      <c r="D2163" s="217" t="s">
        <v>6603</v>
      </c>
      <c r="E2163" s="197" t="str">
        <f t="array" ref="E2163">XLOOKUP(C2163,FSE!A:A,FSE!Z:Z,"XXXXX",0,1)</f>
        <v>Not Available (2)</v>
      </c>
      <c r="F2163" s="213" t="s">
        <v>3395</v>
      </c>
      <c r="G2163" s="163" t="str">
        <f t="array" ref="G2163">IF(B2163="ICSE",IF(COUNTIFS(B:B,B2163,C:C,C2163)=XLOOKUP(C2163,ICSE!A:A,ICSE!AA:AA,"ERROR",0,1),"OK","ERROR"),IF(B2163="FSE",IF(COUNTIFS(B:B,B2163,C:C,C2163)=XLOOKUP(C2163,FSE!A:A,FSE!AA:AA,"ERROR",0,1),"OK","ERROR")))</f>
        <v>OK</v>
      </c>
      <c r="H2163" s="199">
        <f t="shared" ref="H2163:O2163" si="10936">countif($D2163,"*"&amp;H$2&amp;"*")</f>
        <v>0</v>
      </c>
      <c r="I2163" s="200">
        <f t="shared" si="10936"/>
        <v>0</v>
      </c>
      <c r="J2163" s="200">
        <f t="shared" si="10936"/>
        <v>0</v>
      </c>
      <c r="K2163" s="200">
        <f t="shared" si="10936"/>
        <v>0</v>
      </c>
      <c r="L2163" s="200">
        <f t="shared" si="10936"/>
        <v>0</v>
      </c>
      <c r="M2163" s="200">
        <f t="shared" si="10936"/>
        <v>0</v>
      </c>
      <c r="N2163" s="200">
        <f t="shared" si="10936"/>
        <v>0</v>
      </c>
      <c r="O2163" s="200">
        <f t="shared" si="10936"/>
        <v>0</v>
      </c>
      <c r="P2163" s="200">
        <f t="shared" si="9"/>
        <v>0</v>
      </c>
      <c r="Q2163" s="200">
        <f t="shared" ref="Q2163:AC2163" si="10937">countif($D2163,"*"&amp;Q$2&amp;"*")</f>
        <v>0</v>
      </c>
      <c r="R2163" s="200">
        <f t="shared" si="10937"/>
        <v>0</v>
      </c>
      <c r="S2163" s="200">
        <f t="shared" si="10937"/>
        <v>0</v>
      </c>
      <c r="T2163" s="200">
        <f t="shared" si="10937"/>
        <v>0</v>
      </c>
      <c r="U2163" s="200">
        <f t="shared" si="10937"/>
        <v>0</v>
      </c>
      <c r="V2163" s="200">
        <f t="shared" si="10937"/>
        <v>0</v>
      </c>
      <c r="W2163" s="200">
        <f t="shared" si="10937"/>
        <v>0</v>
      </c>
      <c r="X2163" s="200">
        <f t="shared" si="10937"/>
        <v>0</v>
      </c>
      <c r="Y2163" s="200">
        <f t="shared" si="10937"/>
        <v>0</v>
      </c>
      <c r="Z2163" s="200">
        <f t="shared" si="10937"/>
        <v>0</v>
      </c>
      <c r="AA2163" s="200">
        <f t="shared" si="10937"/>
        <v>0</v>
      </c>
      <c r="AB2163" s="200">
        <f t="shared" si="10937"/>
        <v>0</v>
      </c>
      <c r="AC2163" s="200">
        <f t="shared" si="10937"/>
        <v>0</v>
      </c>
      <c r="AD2163" s="200">
        <f t="shared" si="11"/>
        <v>1</v>
      </c>
      <c r="AE2163" s="200">
        <f t="shared" ref="AE2163:AG2163" si="10938">countif($D2163,"*"&amp;AE$2&amp;"*")</f>
        <v>0</v>
      </c>
      <c r="AF2163" s="200">
        <f t="shared" si="10938"/>
        <v>0</v>
      </c>
      <c r="AG2163" s="200">
        <f t="shared" si="10938"/>
        <v>0</v>
      </c>
      <c r="AH2163" s="171">
        <f t="shared" si="13"/>
        <v>0</v>
      </c>
      <c r="AI2163" s="200">
        <f t="shared" si="14"/>
        <v>0</v>
      </c>
      <c r="AJ2163" s="200">
        <f t="shared" si="10939"/>
        <v>1</v>
      </c>
      <c r="AK2163" s="201">
        <f t="shared" ref="AK2163:AS2163" si="10940">countif($D2163,"*"&amp;AK$2&amp;"*")</f>
        <v>0</v>
      </c>
      <c r="AL2163" s="201">
        <f t="shared" si="10940"/>
        <v>0</v>
      </c>
      <c r="AM2163" s="201">
        <f t="shared" si="10940"/>
        <v>1</v>
      </c>
      <c r="AN2163" s="201">
        <f t="shared" si="10940"/>
        <v>0</v>
      </c>
      <c r="AO2163" s="201">
        <f t="shared" si="10940"/>
        <v>0</v>
      </c>
      <c r="AP2163" s="201">
        <f t="shared" si="10940"/>
        <v>0</v>
      </c>
      <c r="AQ2163" s="201">
        <f t="shared" si="10940"/>
        <v>0</v>
      </c>
      <c r="AR2163" s="201">
        <f t="shared" si="10940"/>
        <v>0</v>
      </c>
      <c r="AS2163" s="200">
        <f t="shared" si="10940"/>
        <v>1</v>
      </c>
      <c r="AT2163" s="205">
        <v>0.0</v>
      </c>
      <c r="AU2163" s="200">
        <f t="shared" ref="AU2163:AX2163" si="10941">countif($D2163,"*"&amp;AU$2&amp;"*")</f>
        <v>1</v>
      </c>
      <c r="AV2163" s="200">
        <f t="shared" si="10941"/>
        <v>0</v>
      </c>
      <c r="AW2163" s="200">
        <f t="shared" si="10941"/>
        <v>0</v>
      </c>
      <c r="AX2163" s="200">
        <f t="shared" si="10941"/>
        <v>0</v>
      </c>
      <c r="AY2163" s="202">
        <v>0.0</v>
      </c>
      <c r="AZ2163" s="200"/>
      <c r="BA2163" s="171" t="str">
        <f t="shared" si="18"/>
        <v/>
      </c>
      <c r="BB2163" s="171" t="str">
        <f t="shared" si="19"/>
        <v/>
      </c>
      <c r="BC2163" s="171" t="str">
        <f t="shared" si="20"/>
        <v/>
      </c>
      <c r="BD2163" s="171" t="str">
        <f t="shared" si="21"/>
        <v>Institutional</v>
      </c>
      <c r="BE2163" s="171" t="str">
        <f t="shared" si="22"/>
        <v/>
      </c>
      <c r="BF2163" s="171" t="str">
        <f t="shared" si="23"/>
        <v>Institutional</v>
      </c>
    </row>
    <row r="2164">
      <c r="A2164" s="171">
        <f t="array" ref="A2164">XLOOKUP(C2164,FSE!A:A,FSE!C:C,"XXXXX",0,1)</f>
        <v>2014</v>
      </c>
      <c r="B2164" s="213" t="s">
        <v>5676</v>
      </c>
      <c r="C2164" s="214">
        <v>822.0</v>
      </c>
      <c r="D2164" s="217" t="s">
        <v>3502</v>
      </c>
      <c r="E2164" s="197" t="str">
        <f t="array" ref="E2164">XLOOKUP(C2164,FSE!A:A,FSE!Z:Z,"XXXXX",0,1)</f>
        <v>Not Available (1)</v>
      </c>
      <c r="F2164" s="213" t="s">
        <v>3395</v>
      </c>
      <c r="G2164" s="163" t="str">
        <f t="array" ref="G2164">IF(B2164="ICSE",IF(COUNTIFS(B:B,B2164,C:C,C2164)=XLOOKUP(C2164,ICSE!A:A,ICSE!AA:AA,"ERROR",0,1),"OK","ERROR"),IF(B2164="FSE",IF(COUNTIFS(B:B,B2164,C:C,C2164)=XLOOKUP(C2164,FSE!A:A,FSE!AA:AA,"ERROR",0,1),"OK","ERROR")))</f>
        <v>OK</v>
      </c>
      <c r="H2164" s="199">
        <f t="shared" ref="H2164:O2164" si="10942">countif($D2164,"*"&amp;H$2&amp;"*")</f>
        <v>0</v>
      </c>
      <c r="I2164" s="200">
        <f t="shared" si="10942"/>
        <v>0</v>
      </c>
      <c r="J2164" s="200">
        <f t="shared" si="10942"/>
        <v>0</v>
      </c>
      <c r="K2164" s="200">
        <f t="shared" si="10942"/>
        <v>0</v>
      </c>
      <c r="L2164" s="200">
        <f t="shared" si="10942"/>
        <v>0</v>
      </c>
      <c r="M2164" s="200">
        <f t="shared" si="10942"/>
        <v>0</v>
      </c>
      <c r="N2164" s="200">
        <f t="shared" si="10942"/>
        <v>0</v>
      </c>
      <c r="O2164" s="200">
        <f t="shared" si="10942"/>
        <v>0</v>
      </c>
      <c r="P2164" s="200">
        <f t="shared" si="9"/>
        <v>0</v>
      </c>
      <c r="Q2164" s="200">
        <f t="shared" ref="Q2164:AC2164" si="10943">countif($D2164,"*"&amp;Q$2&amp;"*")</f>
        <v>0</v>
      </c>
      <c r="R2164" s="200">
        <f t="shared" si="10943"/>
        <v>0</v>
      </c>
      <c r="S2164" s="200">
        <f t="shared" si="10943"/>
        <v>0</v>
      </c>
      <c r="T2164" s="200">
        <f t="shared" si="10943"/>
        <v>0</v>
      </c>
      <c r="U2164" s="200">
        <f t="shared" si="10943"/>
        <v>0</v>
      </c>
      <c r="V2164" s="200">
        <f t="shared" si="10943"/>
        <v>0</v>
      </c>
      <c r="W2164" s="200">
        <f t="shared" si="10943"/>
        <v>0</v>
      </c>
      <c r="X2164" s="200">
        <f t="shared" si="10943"/>
        <v>0</v>
      </c>
      <c r="Y2164" s="200">
        <f t="shared" si="10943"/>
        <v>0</v>
      </c>
      <c r="Z2164" s="200">
        <f t="shared" si="10943"/>
        <v>0</v>
      </c>
      <c r="AA2164" s="200">
        <f t="shared" si="10943"/>
        <v>0</v>
      </c>
      <c r="AB2164" s="200">
        <f t="shared" si="10943"/>
        <v>0</v>
      </c>
      <c r="AC2164" s="200">
        <f t="shared" si="10943"/>
        <v>0</v>
      </c>
      <c r="AD2164" s="200">
        <f t="shared" si="11"/>
        <v>1</v>
      </c>
      <c r="AE2164" s="200">
        <f t="shared" ref="AE2164:AG2164" si="10944">countif($D2164,"*"&amp;AE$2&amp;"*")</f>
        <v>0</v>
      </c>
      <c r="AF2164" s="200">
        <f t="shared" si="10944"/>
        <v>0</v>
      </c>
      <c r="AG2164" s="200">
        <f t="shared" si="10944"/>
        <v>0</v>
      </c>
      <c r="AH2164" s="171">
        <f t="shared" si="13"/>
        <v>0</v>
      </c>
      <c r="AI2164" s="200">
        <f t="shared" si="14"/>
        <v>0</v>
      </c>
      <c r="AJ2164" s="200">
        <f t="shared" ref="AJ2164:AJ2165" si="10950">SUM(AK2164:AR2164)</f>
        <v>1</v>
      </c>
      <c r="AK2164" s="201">
        <f t="shared" ref="AK2164:AS2164" si="10945">countif($D2164,"*"&amp;AK$2&amp;"*")</f>
        <v>0</v>
      </c>
      <c r="AL2164" s="201">
        <f t="shared" si="10945"/>
        <v>1</v>
      </c>
      <c r="AM2164" s="201">
        <f t="shared" si="10945"/>
        <v>0</v>
      </c>
      <c r="AN2164" s="201">
        <f t="shared" si="10945"/>
        <v>0</v>
      </c>
      <c r="AO2164" s="201">
        <f t="shared" si="10945"/>
        <v>0</v>
      </c>
      <c r="AP2164" s="201">
        <f t="shared" si="10945"/>
        <v>0</v>
      </c>
      <c r="AQ2164" s="201">
        <f t="shared" si="10945"/>
        <v>0</v>
      </c>
      <c r="AR2164" s="200">
        <f t="shared" si="10945"/>
        <v>0</v>
      </c>
      <c r="AS2164" s="200">
        <f t="shared" si="10945"/>
        <v>1</v>
      </c>
      <c r="AT2164" s="173">
        <v>1.0</v>
      </c>
      <c r="AU2164" s="200">
        <f t="shared" ref="AU2164:AX2164" si="10946">countif($D2164,"*"&amp;AU$2&amp;"*")</f>
        <v>0</v>
      </c>
      <c r="AV2164" s="200">
        <f t="shared" si="10946"/>
        <v>0</v>
      </c>
      <c r="AW2164" s="200">
        <f t="shared" si="10946"/>
        <v>0</v>
      </c>
      <c r="AX2164" s="200">
        <f t="shared" si="10946"/>
        <v>0</v>
      </c>
      <c r="AY2164" s="202">
        <v>0.0</v>
      </c>
      <c r="AZ2164" s="200"/>
      <c r="BA2164" s="171" t="str">
        <f t="shared" si="18"/>
        <v/>
      </c>
      <c r="BB2164" s="171" t="str">
        <f t="shared" si="19"/>
        <v/>
      </c>
      <c r="BC2164" s="171" t="str">
        <f t="shared" si="20"/>
        <v/>
      </c>
      <c r="BD2164" s="171" t="str">
        <f t="shared" si="21"/>
        <v>Institutional</v>
      </c>
      <c r="BE2164" s="171" t="str">
        <f t="shared" si="22"/>
        <v/>
      </c>
      <c r="BF2164" s="171" t="str">
        <f t="shared" si="23"/>
        <v>Institutional</v>
      </c>
    </row>
    <row r="2165">
      <c r="A2165" s="171">
        <f t="array" ref="A2165">XLOOKUP(C2165,FSE!A:A,FSE!C:C,"XXXXX",0,1)</f>
        <v>2014</v>
      </c>
      <c r="B2165" s="213" t="s">
        <v>5676</v>
      </c>
      <c r="C2165" s="214">
        <v>823.0</v>
      </c>
      <c r="D2165" s="215" t="s">
        <v>3506</v>
      </c>
      <c r="E2165" s="197" t="str">
        <f t="array" ref="E2165">XLOOKUP(C2165,FSE!A:A,FSE!Z:Z,"XXXXX",0,1)</f>
        <v>Publicly Available (1)</v>
      </c>
      <c r="F2165" s="213" t="s">
        <v>3394</v>
      </c>
      <c r="G2165" s="163" t="str">
        <f t="array" ref="G2165">IF(B2165="ICSE",IF(COUNTIFS(B:B,B2165,C:C,C2165)=XLOOKUP(C2165,ICSE!A:A,ICSE!AA:AA,"ERROR",0,1),"OK","ERROR"),IF(B2165="FSE",IF(COUNTIFS(B:B,B2165,C:C,C2165)=XLOOKUP(C2165,FSE!A:A,FSE!AA:AA,"ERROR",0,1),"OK","ERROR")))</f>
        <v>OK</v>
      </c>
      <c r="H2165" s="199">
        <f t="shared" ref="H2165:O2165" si="10947">countif($D2165,"*"&amp;H$2&amp;"*")</f>
        <v>0</v>
      </c>
      <c r="I2165" s="200">
        <f t="shared" si="10947"/>
        <v>0</v>
      </c>
      <c r="J2165" s="200">
        <f t="shared" si="10947"/>
        <v>0</v>
      </c>
      <c r="K2165" s="200">
        <f t="shared" si="10947"/>
        <v>0</v>
      </c>
      <c r="L2165" s="200">
        <f t="shared" si="10947"/>
        <v>0</v>
      </c>
      <c r="M2165" s="200">
        <f t="shared" si="10947"/>
        <v>0</v>
      </c>
      <c r="N2165" s="200">
        <f t="shared" si="10947"/>
        <v>0</v>
      </c>
      <c r="O2165" s="200">
        <f t="shared" si="10947"/>
        <v>0</v>
      </c>
      <c r="P2165" s="200">
        <f t="shared" si="9"/>
        <v>0</v>
      </c>
      <c r="Q2165" s="200">
        <f t="shared" ref="Q2165:AC2165" si="10948">countif($D2165,"*"&amp;Q$2&amp;"*")</f>
        <v>0</v>
      </c>
      <c r="R2165" s="200">
        <f t="shared" si="10948"/>
        <v>0</v>
      </c>
      <c r="S2165" s="200">
        <f t="shared" si="10948"/>
        <v>0</v>
      </c>
      <c r="T2165" s="200">
        <f t="shared" si="10948"/>
        <v>0</v>
      </c>
      <c r="U2165" s="200">
        <f t="shared" si="10948"/>
        <v>0</v>
      </c>
      <c r="V2165" s="200">
        <f t="shared" si="10948"/>
        <v>0</v>
      </c>
      <c r="W2165" s="200">
        <f t="shared" si="10948"/>
        <v>0</v>
      </c>
      <c r="X2165" s="200">
        <f t="shared" si="10948"/>
        <v>0</v>
      </c>
      <c r="Y2165" s="200">
        <f t="shared" si="10948"/>
        <v>0</v>
      </c>
      <c r="Z2165" s="200">
        <f t="shared" si="10948"/>
        <v>0</v>
      </c>
      <c r="AA2165" s="200">
        <f t="shared" si="10948"/>
        <v>0</v>
      </c>
      <c r="AB2165" s="200">
        <f t="shared" si="10948"/>
        <v>0</v>
      </c>
      <c r="AC2165" s="200">
        <f t="shared" si="10948"/>
        <v>0</v>
      </c>
      <c r="AD2165" s="200">
        <f t="shared" si="11"/>
        <v>1</v>
      </c>
      <c r="AE2165" s="200">
        <f t="shared" ref="AE2165:AG2165" si="10949">countif($D2165,"*"&amp;AE$2&amp;"*")</f>
        <v>0</v>
      </c>
      <c r="AF2165" s="200">
        <f t="shared" si="10949"/>
        <v>0</v>
      </c>
      <c r="AG2165" s="200">
        <f t="shared" si="10949"/>
        <v>0</v>
      </c>
      <c r="AH2165" s="171">
        <f t="shared" si="13"/>
        <v>0</v>
      </c>
      <c r="AI2165" s="200">
        <f t="shared" si="14"/>
        <v>0</v>
      </c>
      <c r="AJ2165" s="200">
        <f t="shared" si="10950"/>
        <v>0</v>
      </c>
      <c r="AK2165" s="201">
        <f t="shared" ref="AK2165:AS2165" si="10951">countif($D2165,"*"&amp;AK$2&amp;"*")</f>
        <v>0</v>
      </c>
      <c r="AL2165" s="201">
        <f t="shared" si="10951"/>
        <v>0</v>
      </c>
      <c r="AM2165" s="201">
        <f t="shared" si="10951"/>
        <v>0</v>
      </c>
      <c r="AN2165" s="201">
        <f t="shared" si="10951"/>
        <v>0</v>
      </c>
      <c r="AO2165" s="201">
        <f t="shared" si="10951"/>
        <v>0</v>
      </c>
      <c r="AP2165" s="201">
        <f t="shared" si="10951"/>
        <v>0</v>
      </c>
      <c r="AQ2165" s="201">
        <f t="shared" si="10951"/>
        <v>0</v>
      </c>
      <c r="AR2165" s="200">
        <f t="shared" si="10951"/>
        <v>0</v>
      </c>
      <c r="AS2165" s="200">
        <f t="shared" si="10951"/>
        <v>0</v>
      </c>
      <c r="AT2165" s="173">
        <v>1.0</v>
      </c>
      <c r="AU2165" s="200">
        <f t="shared" ref="AU2165:AX2165" si="10952">countif($D2165,"*"&amp;AU$2&amp;"*")</f>
        <v>0</v>
      </c>
      <c r="AV2165" s="200">
        <f t="shared" si="10952"/>
        <v>0</v>
      </c>
      <c r="AW2165" s="200">
        <f t="shared" si="10952"/>
        <v>0</v>
      </c>
      <c r="AX2165" s="200">
        <f t="shared" si="10952"/>
        <v>0</v>
      </c>
      <c r="AY2165" s="202">
        <v>0.0</v>
      </c>
      <c r="AZ2165" s="200"/>
      <c r="BA2165" s="171" t="str">
        <f t="shared" si="18"/>
        <v/>
      </c>
      <c r="BB2165" s="171" t="str">
        <f t="shared" si="19"/>
        <v/>
      </c>
      <c r="BC2165" s="171" t="str">
        <f t="shared" si="20"/>
        <v/>
      </c>
      <c r="BD2165" s="171" t="str">
        <f t="shared" si="21"/>
        <v>Institutional</v>
      </c>
      <c r="BE2165" s="171" t="str">
        <f t="shared" si="22"/>
        <v/>
      </c>
      <c r="BF2165" s="171" t="str">
        <f t="shared" si="23"/>
        <v>Institutional</v>
      </c>
    </row>
    <row r="2166">
      <c r="A2166" s="171">
        <f t="array" ref="A2166">XLOOKUP(C2166,FSE!A:A,FSE!C:C,"XXXXX",0,1)</f>
        <v>2014</v>
      </c>
      <c r="B2166" s="213" t="s">
        <v>5676</v>
      </c>
      <c r="C2166" s="214">
        <v>824.0</v>
      </c>
      <c r="D2166" s="215" t="s">
        <v>3509</v>
      </c>
      <c r="E2166" s="197" t="str">
        <f t="array" ref="E2166">XLOOKUP(C2166,FSE!A:A,FSE!Z:Z,"XXXXX",0,1)</f>
        <v>Not Available (1)</v>
      </c>
      <c r="F2166" s="213" t="s">
        <v>3395</v>
      </c>
      <c r="G2166" s="163" t="str">
        <f t="array" ref="G2166">IF(B2166="ICSE",IF(COUNTIFS(B:B,B2166,C:C,C2166)=XLOOKUP(C2166,ICSE!A:A,ICSE!AA:AA,"ERROR",0,1),"OK","ERROR"),IF(B2166="FSE",IF(COUNTIFS(B:B,B2166,C:C,C2166)=XLOOKUP(C2166,FSE!A:A,FSE!AA:AA,"ERROR",0,1),"OK","ERROR")))</f>
        <v>OK</v>
      </c>
      <c r="H2166" s="199">
        <f t="shared" ref="H2166:O2166" si="10953">countif($D2166,"*"&amp;H$2&amp;"*")</f>
        <v>0</v>
      </c>
      <c r="I2166" s="200">
        <f t="shared" si="10953"/>
        <v>0</v>
      </c>
      <c r="J2166" s="200">
        <f t="shared" si="10953"/>
        <v>0</v>
      </c>
      <c r="K2166" s="200">
        <f t="shared" si="10953"/>
        <v>0</v>
      </c>
      <c r="L2166" s="200">
        <f t="shared" si="10953"/>
        <v>0</v>
      </c>
      <c r="M2166" s="200">
        <f t="shared" si="10953"/>
        <v>0</v>
      </c>
      <c r="N2166" s="200">
        <f t="shared" si="10953"/>
        <v>0</v>
      </c>
      <c r="O2166" s="200">
        <f t="shared" si="10953"/>
        <v>0</v>
      </c>
      <c r="P2166" s="200">
        <f t="shared" si="9"/>
        <v>0</v>
      </c>
      <c r="Q2166" s="200">
        <f t="shared" ref="Q2166:AC2166" si="10954">countif($D2166,"*"&amp;Q$2&amp;"*")</f>
        <v>0</v>
      </c>
      <c r="R2166" s="200">
        <f t="shared" si="10954"/>
        <v>0</v>
      </c>
      <c r="S2166" s="200">
        <f t="shared" si="10954"/>
        <v>0</v>
      </c>
      <c r="T2166" s="200">
        <f t="shared" si="10954"/>
        <v>0</v>
      </c>
      <c r="U2166" s="200">
        <f t="shared" si="10954"/>
        <v>0</v>
      </c>
      <c r="V2166" s="200">
        <f t="shared" si="10954"/>
        <v>0</v>
      </c>
      <c r="W2166" s="200">
        <f t="shared" si="10954"/>
        <v>0</v>
      </c>
      <c r="X2166" s="200">
        <f t="shared" si="10954"/>
        <v>0</v>
      </c>
      <c r="Y2166" s="200">
        <f t="shared" si="10954"/>
        <v>0</v>
      </c>
      <c r="Z2166" s="200">
        <f t="shared" si="10954"/>
        <v>0</v>
      </c>
      <c r="AA2166" s="200">
        <f t="shared" si="10954"/>
        <v>0</v>
      </c>
      <c r="AB2166" s="200">
        <f t="shared" si="10954"/>
        <v>0</v>
      </c>
      <c r="AC2166" s="200">
        <f t="shared" si="10954"/>
        <v>0</v>
      </c>
      <c r="AD2166" s="200">
        <f t="shared" si="11"/>
        <v>1</v>
      </c>
      <c r="AE2166" s="200">
        <f t="shared" ref="AE2166:AG2166" si="10955">countif($D2166,"*"&amp;AE$2&amp;"*")</f>
        <v>0</v>
      </c>
      <c r="AF2166" s="200">
        <f t="shared" si="10955"/>
        <v>0</v>
      </c>
      <c r="AG2166" s="200">
        <f t="shared" si="10955"/>
        <v>0</v>
      </c>
      <c r="AH2166" s="171">
        <f t="shared" si="13"/>
        <v>0</v>
      </c>
      <c r="AI2166" s="200">
        <f t="shared" si="14"/>
        <v>0</v>
      </c>
      <c r="AJ2166" s="200">
        <f>SUM(AK2166:AQ2166)</f>
        <v>0</v>
      </c>
      <c r="AK2166" s="201">
        <f t="shared" ref="AK2166:AS2166" si="10956">countif($D2166,"*"&amp;AK$2&amp;"*")</f>
        <v>0</v>
      </c>
      <c r="AL2166" s="201">
        <f t="shared" si="10956"/>
        <v>0</v>
      </c>
      <c r="AM2166" s="201">
        <f t="shared" si="10956"/>
        <v>0</v>
      </c>
      <c r="AN2166" s="201">
        <f t="shared" si="10956"/>
        <v>0</v>
      </c>
      <c r="AO2166" s="201">
        <f t="shared" si="10956"/>
        <v>0</v>
      </c>
      <c r="AP2166" s="201">
        <f t="shared" si="10956"/>
        <v>0</v>
      </c>
      <c r="AQ2166" s="201">
        <f t="shared" si="10956"/>
        <v>0</v>
      </c>
      <c r="AR2166" s="201">
        <f t="shared" si="10956"/>
        <v>0</v>
      </c>
      <c r="AS2166" s="200">
        <f t="shared" si="10956"/>
        <v>0</v>
      </c>
      <c r="AT2166" s="205">
        <v>0.0</v>
      </c>
      <c r="AU2166" s="200">
        <f t="shared" ref="AU2166:AX2166" si="10957">countif($D2166,"*"&amp;AU$2&amp;"*")</f>
        <v>1</v>
      </c>
      <c r="AV2166" s="200">
        <f t="shared" si="10957"/>
        <v>0</v>
      </c>
      <c r="AW2166" s="200">
        <f t="shared" si="10957"/>
        <v>0</v>
      </c>
      <c r="AX2166" s="200">
        <f t="shared" si="10957"/>
        <v>0</v>
      </c>
      <c r="AY2166" s="202">
        <v>0.0</v>
      </c>
      <c r="AZ2166" s="200"/>
      <c r="BA2166" s="171" t="str">
        <f t="shared" si="18"/>
        <v/>
      </c>
      <c r="BB2166" s="171" t="str">
        <f t="shared" si="19"/>
        <v/>
      </c>
      <c r="BC2166" s="171" t="str">
        <f t="shared" si="20"/>
        <v/>
      </c>
      <c r="BD2166" s="171" t="str">
        <f t="shared" si="21"/>
        <v>Institutional</v>
      </c>
      <c r="BE2166" s="171" t="str">
        <f t="shared" si="22"/>
        <v/>
      </c>
      <c r="BF2166" s="171" t="str">
        <f t="shared" si="23"/>
        <v>Institutional</v>
      </c>
    </row>
    <row r="2167">
      <c r="A2167" s="171">
        <f t="array" ref="A2167">XLOOKUP(C2167,FSE!A:A,FSE!C:C,"XXXXX",0,1)</f>
        <v>2014</v>
      </c>
      <c r="B2167" s="213" t="s">
        <v>5676</v>
      </c>
      <c r="C2167" s="214">
        <v>825.0</v>
      </c>
      <c r="D2167" s="215" t="s">
        <v>3512</v>
      </c>
      <c r="E2167" s="197" t="str">
        <f t="array" ref="E2167">XLOOKUP(C2167,FSE!A:A,FSE!Z:Z,"XXXXX",0,1)</f>
        <v>Publicly Available (1)</v>
      </c>
      <c r="F2167" s="213" t="s">
        <v>3394</v>
      </c>
      <c r="G2167" s="163" t="str">
        <f t="array" ref="G2167">IF(B2167="ICSE",IF(COUNTIFS(B:B,B2167,C:C,C2167)=XLOOKUP(C2167,ICSE!A:A,ICSE!AA:AA,"ERROR",0,1),"OK","ERROR"),IF(B2167="FSE",IF(COUNTIFS(B:B,B2167,C:C,C2167)=XLOOKUP(C2167,FSE!A:A,FSE!AA:AA,"ERROR",0,1),"OK","ERROR")))</f>
        <v>OK</v>
      </c>
      <c r="H2167" s="199">
        <f t="shared" ref="H2167:O2167" si="10958">countif($D2167,"*"&amp;H$2&amp;"*")</f>
        <v>0</v>
      </c>
      <c r="I2167" s="200">
        <f t="shared" si="10958"/>
        <v>0</v>
      </c>
      <c r="J2167" s="200">
        <f t="shared" si="10958"/>
        <v>0</v>
      </c>
      <c r="K2167" s="200">
        <f t="shared" si="10958"/>
        <v>0</v>
      </c>
      <c r="L2167" s="200">
        <f t="shared" si="10958"/>
        <v>0</v>
      </c>
      <c r="M2167" s="200">
        <f t="shared" si="10958"/>
        <v>0</v>
      </c>
      <c r="N2167" s="200">
        <f t="shared" si="10958"/>
        <v>0</v>
      </c>
      <c r="O2167" s="200">
        <f t="shared" si="10958"/>
        <v>0</v>
      </c>
      <c r="P2167" s="200">
        <f t="shared" si="9"/>
        <v>0</v>
      </c>
      <c r="Q2167" s="200">
        <f t="shared" ref="Q2167:AC2167" si="10959">countif($D2167,"*"&amp;Q$2&amp;"*")</f>
        <v>0</v>
      </c>
      <c r="R2167" s="200">
        <f t="shared" si="10959"/>
        <v>0</v>
      </c>
      <c r="S2167" s="200">
        <f t="shared" si="10959"/>
        <v>0</v>
      </c>
      <c r="T2167" s="200">
        <f t="shared" si="10959"/>
        <v>0</v>
      </c>
      <c r="U2167" s="200">
        <f t="shared" si="10959"/>
        <v>0</v>
      </c>
      <c r="V2167" s="200">
        <f t="shared" si="10959"/>
        <v>0</v>
      </c>
      <c r="W2167" s="200">
        <f t="shared" si="10959"/>
        <v>0</v>
      </c>
      <c r="X2167" s="200">
        <f t="shared" si="10959"/>
        <v>0</v>
      </c>
      <c r="Y2167" s="200">
        <f t="shared" si="10959"/>
        <v>0</v>
      </c>
      <c r="Z2167" s="200">
        <f t="shared" si="10959"/>
        <v>0</v>
      </c>
      <c r="AA2167" s="200">
        <f t="shared" si="10959"/>
        <v>0</v>
      </c>
      <c r="AB2167" s="200">
        <f t="shared" si="10959"/>
        <v>0</v>
      </c>
      <c r="AC2167" s="200">
        <f t="shared" si="10959"/>
        <v>0</v>
      </c>
      <c r="AD2167" s="200">
        <f t="shared" si="11"/>
        <v>1</v>
      </c>
      <c r="AE2167" s="200">
        <f t="shared" ref="AE2167:AG2167" si="10960">countif($D2167,"*"&amp;AE$2&amp;"*")</f>
        <v>0</v>
      </c>
      <c r="AF2167" s="200">
        <f t="shared" si="10960"/>
        <v>0</v>
      </c>
      <c r="AG2167" s="200">
        <f t="shared" si="10960"/>
        <v>0</v>
      </c>
      <c r="AH2167" s="171">
        <f t="shared" si="13"/>
        <v>0</v>
      </c>
      <c r="AI2167" s="200">
        <f t="shared" si="14"/>
        <v>0</v>
      </c>
      <c r="AJ2167" s="200">
        <f t="shared" ref="AJ2167:AJ2173" si="10966">SUM(AK2167:AR2167)</f>
        <v>0</v>
      </c>
      <c r="AK2167" s="201">
        <f t="shared" ref="AK2167:AS2167" si="10961">countif($D2167,"*"&amp;AK$2&amp;"*")</f>
        <v>0</v>
      </c>
      <c r="AL2167" s="201">
        <f t="shared" si="10961"/>
        <v>0</v>
      </c>
      <c r="AM2167" s="201">
        <f t="shared" si="10961"/>
        <v>0</v>
      </c>
      <c r="AN2167" s="201">
        <f t="shared" si="10961"/>
        <v>0</v>
      </c>
      <c r="AO2167" s="201">
        <f t="shared" si="10961"/>
        <v>0</v>
      </c>
      <c r="AP2167" s="201">
        <f t="shared" si="10961"/>
        <v>0</v>
      </c>
      <c r="AQ2167" s="201">
        <f t="shared" si="10961"/>
        <v>0</v>
      </c>
      <c r="AR2167" s="200">
        <f t="shared" si="10961"/>
        <v>0</v>
      </c>
      <c r="AS2167" s="200">
        <f t="shared" si="10961"/>
        <v>0</v>
      </c>
      <c r="AT2167" s="173">
        <v>1.0</v>
      </c>
      <c r="AU2167" s="200">
        <f t="shared" ref="AU2167:AX2167" si="10962">countif($D2167,"*"&amp;AU$2&amp;"*")</f>
        <v>0</v>
      </c>
      <c r="AV2167" s="200">
        <f t="shared" si="10962"/>
        <v>0</v>
      </c>
      <c r="AW2167" s="200">
        <f t="shared" si="10962"/>
        <v>0</v>
      </c>
      <c r="AX2167" s="200">
        <f t="shared" si="10962"/>
        <v>0</v>
      </c>
      <c r="AY2167" s="202">
        <v>0.0</v>
      </c>
      <c r="AZ2167" s="200"/>
      <c r="BA2167" s="171" t="str">
        <f t="shared" si="18"/>
        <v/>
      </c>
      <c r="BB2167" s="171" t="str">
        <f t="shared" si="19"/>
        <v/>
      </c>
      <c r="BC2167" s="171" t="str">
        <f t="shared" si="20"/>
        <v/>
      </c>
      <c r="BD2167" s="171" t="str">
        <f t="shared" si="21"/>
        <v>Institutional</v>
      </c>
      <c r="BE2167" s="171" t="str">
        <f t="shared" si="22"/>
        <v/>
      </c>
      <c r="BF2167" s="171" t="str">
        <f t="shared" si="23"/>
        <v>Institutional</v>
      </c>
    </row>
    <row r="2168">
      <c r="A2168" s="171">
        <f t="array" ref="A2168">XLOOKUP(C2168,FSE!A:A,FSE!C:C,"XXXXX",0,1)</f>
        <v>2014</v>
      </c>
      <c r="B2168" s="213" t="s">
        <v>5676</v>
      </c>
      <c r="C2168" s="214">
        <v>828.0</v>
      </c>
      <c r="D2168" s="215" t="s">
        <v>3516</v>
      </c>
      <c r="E2168" s="197" t="str">
        <f t="array" ref="E2168">XLOOKUP(C2168,FSE!A:A,FSE!Z:Z,"XXXXX",0,1)</f>
        <v>Not Available (1)</v>
      </c>
      <c r="F2168" s="213" t="s">
        <v>3395</v>
      </c>
      <c r="G2168" s="163" t="str">
        <f t="array" ref="G2168">IF(B2168="ICSE",IF(COUNTIFS(B:B,B2168,C:C,C2168)=XLOOKUP(C2168,ICSE!A:A,ICSE!AA:AA,"ERROR",0,1),"OK","ERROR"),IF(B2168="FSE",IF(COUNTIFS(B:B,B2168,C:C,C2168)=XLOOKUP(C2168,FSE!A:A,FSE!AA:AA,"ERROR",0,1),"OK","ERROR")))</f>
        <v>OK</v>
      </c>
      <c r="H2168" s="199">
        <f t="shared" ref="H2168:O2168" si="10963">countif($D2168,"*"&amp;H$2&amp;"*")</f>
        <v>0</v>
      </c>
      <c r="I2168" s="200">
        <f t="shared" si="10963"/>
        <v>0</v>
      </c>
      <c r="J2168" s="200">
        <f t="shared" si="10963"/>
        <v>0</v>
      </c>
      <c r="K2168" s="200">
        <f t="shared" si="10963"/>
        <v>0</v>
      </c>
      <c r="L2168" s="200">
        <f t="shared" si="10963"/>
        <v>0</v>
      </c>
      <c r="M2168" s="200">
        <f t="shared" si="10963"/>
        <v>0</v>
      </c>
      <c r="N2168" s="200">
        <f t="shared" si="10963"/>
        <v>0</v>
      </c>
      <c r="O2168" s="200">
        <f t="shared" si="10963"/>
        <v>0</v>
      </c>
      <c r="P2168" s="200">
        <f t="shared" si="9"/>
        <v>0</v>
      </c>
      <c r="Q2168" s="200">
        <f t="shared" ref="Q2168:AC2168" si="10964">countif($D2168,"*"&amp;Q$2&amp;"*")</f>
        <v>0</v>
      </c>
      <c r="R2168" s="200">
        <f t="shared" si="10964"/>
        <v>0</v>
      </c>
      <c r="S2168" s="200">
        <f t="shared" si="10964"/>
        <v>0</v>
      </c>
      <c r="T2168" s="200">
        <f t="shared" si="10964"/>
        <v>0</v>
      </c>
      <c r="U2168" s="200">
        <f t="shared" si="10964"/>
        <v>0</v>
      </c>
      <c r="V2168" s="200">
        <f t="shared" si="10964"/>
        <v>0</v>
      </c>
      <c r="W2168" s="200">
        <f t="shared" si="10964"/>
        <v>0</v>
      </c>
      <c r="X2168" s="200">
        <f t="shared" si="10964"/>
        <v>0</v>
      </c>
      <c r="Y2168" s="200">
        <f t="shared" si="10964"/>
        <v>0</v>
      </c>
      <c r="Z2168" s="200">
        <f t="shared" si="10964"/>
        <v>0</v>
      </c>
      <c r="AA2168" s="200">
        <f t="shared" si="10964"/>
        <v>0</v>
      </c>
      <c r="AB2168" s="200">
        <f t="shared" si="10964"/>
        <v>0</v>
      </c>
      <c r="AC2168" s="200">
        <f t="shared" si="10964"/>
        <v>0</v>
      </c>
      <c r="AD2168" s="200">
        <f t="shared" si="11"/>
        <v>1</v>
      </c>
      <c r="AE2168" s="200">
        <f t="shared" ref="AE2168:AG2168" si="10965">countif($D2168,"*"&amp;AE$2&amp;"*")</f>
        <v>0</v>
      </c>
      <c r="AF2168" s="200">
        <f t="shared" si="10965"/>
        <v>0</v>
      </c>
      <c r="AG2168" s="200">
        <f t="shared" si="10965"/>
        <v>0</v>
      </c>
      <c r="AH2168" s="171">
        <f t="shared" si="13"/>
        <v>0</v>
      </c>
      <c r="AI2168" s="200">
        <f t="shared" si="14"/>
        <v>0</v>
      </c>
      <c r="AJ2168" s="200">
        <f t="shared" si="10966"/>
        <v>0</v>
      </c>
      <c r="AK2168" s="201">
        <f t="shared" ref="AK2168:AS2168" si="10967">countif($D2168,"*"&amp;AK$2&amp;"*")</f>
        <v>0</v>
      </c>
      <c r="AL2168" s="201">
        <f t="shared" si="10967"/>
        <v>0</v>
      </c>
      <c r="AM2168" s="201">
        <f t="shared" si="10967"/>
        <v>0</v>
      </c>
      <c r="AN2168" s="201">
        <f t="shared" si="10967"/>
        <v>0</v>
      </c>
      <c r="AO2168" s="201">
        <f t="shared" si="10967"/>
        <v>0</v>
      </c>
      <c r="AP2168" s="201">
        <f t="shared" si="10967"/>
        <v>0</v>
      </c>
      <c r="AQ2168" s="201">
        <f t="shared" si="10967"/>
        <v>0</v>
      </c>
      <c r="AR2168" s="200">
        <f t="shared" si="10967"/>
        <v>0</v>
      </c>
      <c r="AS2168" s="200">
        <f t="shared" si="10967"/>
        <v>0</v>
      </c>
      <c r="AT2168" s="173">
        <v>1.0</v>
      </c>
      <c r="AU2168" s="200">
        <f t="shared" ref="AU2168:AX2168" si="10968">countif($D2168,"*"&amp;AU$2&amp;"*")</f>
        <v>0</v>
      </c>
      <c r="AV2168" s="200">
        <f t="shared" si="10968"/>
        <v>0</v>
      </c>
      <c r="AW2168" s="200">
        <f t="shared" si="10968"/>
        <v>0</v>
      </c>
      <c r="AX2168" s="200">
        <f t="shared" si="10968"/>
        <v>0</v>
      </c>
      <c r="AY2168" s="202">
        <v>0.0</v>
      </c>
      <c r="AZ2168" s="200"/>
      <c r="BA2168" s="171" t="str">
        <f t="shared" si="18"/>
        <v/>
      </c>
      <c r="BB2168" s="171" t="str">
        <f t="shared" si="19"/>
        <v/>
      </c>
      <c r="BC2168" s="171" t="str">
        <f t="shared" si="20"/>
        <v/>
      </c>
      <c r="BD2168" s="171" t="str">
        <f t="shared" si="21"/>
        <v>Institutional</v>
      </c>
      <c r="BE2168" s="171" t="str">
        <f t="shared" si="22"/>
        <v/>
      </c>
      <c r="BF2168" s="171" t="str">
        <f t="shared" si="23"/>
        <v>Institutional</v>
      </c>
    </row>
    <row r="2169">
      <c r="A2169" s="171">
        <f t="array" ref="A2169">XLOOKUP(C2169,FSE!A:A,FSE!C:C,"XXXXX",0,1)</f>
        <v>2014</v>
      </c>
      <c r="B2169" s="213" t="s">
        <v>5676</v>
      </c>
      <c r="C2169" s="214">
        <v>831.0</v>
      </c>
      <c r="D2169" s="215" t="s">
        <v>3521</v>
      </c>
      <c r="E2169" s="197" t="str">
        <f t="array" ref="E2169">XLOOKUP(C2169,FSE!A:A,FSE!Z:Z,"XXXXX",0,1)</f>
        <v>Not Available (1)</v>
      </c>
      <c r="F2169" s="213" t="s">
        <v>3395</v>
      </c>
      <c r="G2169" s="163" t="str">
        <f t="array" ref="G2169">IF(B2169="ICSE",IF(COUNTIFS(B:B,B2169,C:C,C2169)=XLOOKUP(C2169,ICSE!A:A,ICSE!AA:AA,"ERROR",0,1),"OK","ERROR"),IF(B2169="FSE",IF(COUNTIFS(B:B,B2169,C:C,C2169)=XLOOKUP(C2169,FSE!A:A,FSE!AA:AA,"ERROR",0,1),"OK","ERROR")))</f>
        <v>OK</v>
      </c>
      <c r="H2169" s="199">
        <f t="shared" ref="H2169:O2169" si="10969">countif($D2169,"*"&amp;H$2&amp;"*")</f>
        <v>0</v>
      </c>
      <c r="I2169" s="200">
        <f t="shared" si="10969"/>
        <v>0</v>
      </c>
      <c r="J2169" s="200">
        <f t="shared" si="10969"/>
        <v>0</v>
      </c>
      <c r="K2169" s="200">
        <f t="shared" si="10969"/>
        <v>0</v>
      </c>
      <c r="L2169" s="200">
        <f t="shared" si="10969"/>
        <v>0</v>
      </c>
      <c r="M2169" s="200">
        <f t="shared" si="10969"/>
        <v>0</v>
      </c>
      <c r="N2169" s="200">
        <f t="shared" si="10969"/>
        <v>0</v>
      </c>
      <c r="O2169" s="200">
        <f t="shared" si="10969"/>
        <v>0</v>
      </c>
      <c r="P2169" s="200">
        <f t="shared" si="9"/>
        <v>0</v>
      </c>
      <c r="Q2169" s="200">
        <f t="shared" ref="Q2169:AC2169" si="10970">countif($D2169,"*"&amp;Q$2&amp;"*")</f>
        <v>0</v>
      </c>
      <c r="R2169" s="200">
        <f t="shared" si="10970"/>
        <v>0</v>
      </c>
      <c r="S2169" s="200">
        <f t="shared" si="10970"/>
        <v>0</v>
      </c>
      <c r="T2169" s="200">
        <f t="shared" si="10970"/>
        <v>0</v>
      </c>
      <c r="U2169" s="200">
        <f t="shared" si="10970"/>
        <v>0</v>
      </c>
      <c r="V2169" s="200">
        <f t="shared" si="10970"/>
        <v>0</v>
      </c>
      <c r="W2169" s="200">
        <f t="shared" si="10970"/>
        <v>0</v>
      </c>
      <c r="X2169" s="200">
        <f t="shared" si="10970"/>
        <v>0</v>
      </c>
      <c r="Y2169" s="200">
        <f t="shared" si="10970"/>
        <v>0</v>
      </c>
      <c r="Z2169" s="200">
        <f t="shared" si="10970"/>
        <v>0</v>
      </c>
      <c r="AA2169" s="200">
        <f t="shared" si="10970"/>
        <v>0</v>
      </c>
      <c r="AB2169" s="200">
        <f t="shared" si="10970"/>
        <v>0</v>
      </c>
      <c r="AC2169" s="200">
        <f t="shared" si="10970"/>
        <v>0</v>
      </c>
      <c r="AD2169" s="200">
        <f t="shared" si="11"/>
        <v>0</v>
      </c>
      <c r="AE2169" s="200">
        <f t="shared" ref="AE2169:AG2169" si="10971">countif($D2169,"*"&amp;AE$2&amp;"*")</f>
        <v>0</v>
      </c>
      <c r="AF2169" s="200">
        <f t="shared" si="10971"/>
        <v>0</v>
      </c>
      <c r="AG2169" s="200">
        <f t="shared" si="10971"/>
        <v>0</v>
      </c>
      <c r="AH2169" s="171">
        <f t="shared" si="13"/>
        <v>1</v>
      </c>
      <c r="AI2169" s="200">
        <f t="shared" si="14"/>
        <v>0</v>
      </c>
      <c r="AJ2169" s="200">
        <f t="shared" si="10966"/>
        <v>0</v>
      </c>
      <c r="AK2169" s="201">
        <f t="shared" ref="AK2169:AS2169" si="10972">countif($D2169,"*"&amp;AK$2&amp;"*")</f>
        <v>0</v>
      </c>
      <c r="AL2169" s="201">
        <f t="shared" si="10972"/>
        <v>0</v>
      </c>
      <c r="AM2169" s="201">
        <f t="shared" si="10972"/>
        <v>0</v>
      </c>
      <c r="AN2169" s="201">
        <f t="shared" si="10972"/>
        <v>0</v>
      </c>
      <c r="AO2169" s="201">
        <f t="shared" si="10972"/>
        <v>0</v>
      </c>
      <c r="AP2169" s="201">
        <f t="shared" si="10972"/>
        <v>0</v>
      </c>
      <c r="AQ2169" s="201">
        <f t="shared" si="10972"/>
        <v>0</v>
      </c>
      <c r="AR2169" s="200">
        <f t="shared" si="10972"/>
        <v>0</v>
      </c>
      <c r="AS2169" s="200">
        <f t="shared" si="10972"/>
        <v>0</v>
      </c>
      <c r="AT2169" s="173">
        <v>0.0</v>
      </c>
      <c r="AU2169" s="200">
        <f t="shared" ref="AU2169:AX2169" si="10973">countif($D2169,"*"&amp;AU$2&amp;"*")</f>
        <v>0</v>
      </c>
      <c r="AV2169" s="200">
        <f t="shared" si="10973"/>
        <v>0</v>
      </c>
      <c r="AW2169" s="200">
        <f t="shared" si="10973"/>
        <v>0</v>
      </c>
      <c r="AX2169" s="200">
        <f t="shared" si="10973"/>
        <v>0</v>
      </c>
      <c r="AY2169" s="202">
        <v>0.0</v>
      </c>
      <c r="AZ2169" s="200"/>
      <c r="BA2169" s="171" t="str">
        <f t="shared" si="18"/>
        <v/>
      </c>
      <c r="BB2169" s="171" t="str">
        <f t="shared" si="19"/>
        <v/>
      </c>
      <c r="BC2169" s="171" t="str">
        <f t="shared" si="20"/>
        <v/>
      </c>
      <c r="BD2169" s="171" t="str">
        <f t="shared" si="21"/>
        <v/>
      </c>
      <c r="BE2169" s="171" t="str">
        <f t="shared" si="22"/>
        <v>Others</v>
      </c>
      <c r="BF2169" s="171" t="str">
        <f t="shared" si="23"/>
        <v>Others</v>
      </c>
    </row>
    <row r="2170">
      <c r="A2170" s="171">
        <f t="array" ref="A2170">XLOOKUP(C2170,FSE!A:A,FSE!C:C,"XXXXX",0,1)</f>
        <v>2014</v>
      </c>
      <c r="B2170" s="213" t="s">
        <v>5676</v>
      </c>
      <c r="C2170" s="214">
        <v>832.0</v>
      </c>
      <c r="D2170" s="215" t="s">
        <v>3524</v>
      </c>
      <c r="E2170" s="197" t="str">
        <f t="array" ref="E2170">XLOOKUP(C2170,FSE!A:A,FSE!Z:Z,"XXXXX",0,1)</f>
        <v>Not Available (1)</v>
      </c>
      <c r="F2170" s="213" t="s">
        <v>3395</v>
      </c>
      <c r="G2170" s="163" t="str">
        <f t="array" ref="G2170">IF(B2170="ICSE",IF(COUNTIFS(B:B,B2170,C:C,C2170)=XLOOKUP(C2170,ICSE!A:A,ICSE!AA:AA,"ERROR",0,1),"OK","ERROR"),IF(B2170="FSE",IF(COUNTIFS(B:B,B2170,C:C,C2170)=XLOOKUP(C2170,FSE!A:A,FSE!AA:AA,"ERROR",0,1),"OK","ERROR")))</f>
        <v>OK</v>
      </c>
      <c r="H2170" s="199">
        <f t="shared" ref="H2170:O2170" si="10974">countif($D2170,"*"&amp;H$2&amp;"*")</f>
        <v>0</v>
      </c>
      <c r="I2170" s="200">
        <f t="shared" si="10974"/>
        <v>0</v>
      </c>
      <c r="J2170" s="200">
        <f t="shared" si="10974"/>
        <v>0</v>
      </c>
      <c r="K2170" s="200">
        <f t="shared" si="10974"/>
        <v>0</v>
      </c>
      <c r="L2170" s="200">
        <f t="shared" si="10974"/>
        <v>0</v>
      </c>
      <c r="M2170" s="200">
        <f t="shared" si="10974"/>
        <v>0</v>
      </c>
      <c r="N2170" s="200">
        <f t="shared" si="10974"/>
        <v>0</v>
      </c>
      <c r="O2170" s="200">
        <f t="shared" si="10974"/>
        <v>0</v>
      </c>
      <c r="P2170" s="200">
        <f t="shared" si="9"/>
        <v>0</v>
      </c>
      <c r="Q2170" s="200">
        <f t="shared" ref="Q2170:AC2170" si="10975">countif($D2170,"*"&amp;Q$2&amp;"*")</f>
        <v>0</v>
      </c>
      <c r="R2170" s="200">
        <f t="shared" si="10975"/>
        <v>0</v>
      </c>
      <c r="S2170" s="200">
        <f t="shared" si="10975"/>
        <v>0</v>
      </c>
      <c r="T2170" s="200">
        <f t="shared" si="10975"/>
        <v>0</v>
      </c>
      <c r="U2170" s="200">
        <f t="shared" si="10975"/>
        <v>0</v>
      </c>
      <c r="V2170" s="200">
        <f t="shared" si="10975"/>
        <v>0</v>
      </c>
      <c r="W2170" s="200">
        <f t="shared" si="10975"/>
        <v>0</v>
      </c>
      <c r="X2170" s="200">
        <f t="shared" si="10975"/>
        <v>0</v>
      </c>
      <c r="Y2170" s="200">
        <f t="shared" si="10975"/>
        <v>0</v>
      </c>
      <c r="Z2170" s="200">
        <f t="shared" si="10975"/>
        <v>0</v>
      </c>
      <c r="AA2170" s="200">
        <f t="shared" si="10975"/>
        <v>0</v>
      </c>
      <c r="AB2170" s="200">
        <f t="shared" si="10975"/>
        <v>0</v>
      </c>
      <c r="AC2170" s="200">
        <f t="shared" si="10975"/>
        <v>0</v>
      </c>
      <c r="AD2170" s="200">
        <f t="shared" si="11"/>
        <v>1</v>
      </c>
      <c r="AE2170" s="200">
        <f t="shared" ref="AE2170:AG2170" si="10976">countif($D2170,"*"&amp;AE$2&amp;"*")</f>
        <v>0</v>
      </c>
      <c r="AF2170" s="200">
        <f t="shared" si="10976"/>
        <v>0</v>
      </c>
      <c r="AG2170" s="200">
        <f t="shared" si="10976"/>
        <v>0</v>
      </c>
      <c r="AH2170" s="171">
        <f t="shared" si="13"/>
        <v>0</v>
      </c>
      <c r="AI2170" s="200">
        <f t="shared" si="14"/>
        <v>0</v>
      </c>
      <c r="AJ2170" s="200">
        <f t="shared" si="10966"/>
        <v>0</v>
      </c>
      <c r="AK2170" s="201">
        <f t="shared" ref="AK2170:AS2170" si="10977">countif($D2170,"*"&amp;AK$2&amp;"*")</f>
        <v>0</v>
      </c>
      <c r="AL2170" s="201">
        <f t="shared" si="10977"/>
        <v>0</v>
      </c>
      <c r="AM2170" s="201">
        <f t="shared" si="10977"/>
        <v>0</v>
      </c>
      <c r="AN2170" s="201">
        <f t="shared" si="10977"/>
        <v>0</v>
      </c>
      <c r="AO2170" s="201">
        <f t="shared" si="10977"/>
        <v>0</v>
      </c>
      <c r="AP2170" s="201">
        <f t="shared" si="10977"/>
        <v>0</v>
      </c>
      <c r="AQ2170" s="201">
        <f t="shared" si="10977"/>
        <v>0</v>
      </c>
      <c r="AR2170" s="200">
        <f t="shared" si="10977"/>
        <v>0</v>
      </c>
      <c r="AS2170" s="200">
        <f t="shared" si="10977"/>
        <v>0</v>
      </c>
      <c r="AT2170" s="173">
        <v>1.0</v>
      </c>
      <c r="AU2170" s="200">
        <f t="shared" ref="AU2170:AX2170" si="10978">countif($D2170,"*"&amp;AU$2&amp;"*")</f>
        <v>0</v>
      </c>
      <c r="AV2170" s="200">
        <f t="shared" si="10978"/>
        <v>0</v>
      </c>
      <c r="AW2170" s="200">
        <f t="shared" si="10978"/>
        <v>0</v>
      </c>
      <c r="AX2170" s="200">
        <f t="shared" si="10978"/>
        <v>0</v>
      </c>
      <c r="AY2170" s="202">
        <v>0.0</v>
      </c>
      <c r="AZ2170" s="200"/>
      <c r="BA2170" s="171" t="str">
        <f t="shared" si="18"/>
        <v/>
      </c>
      <c r="BB2170" s="171" t="str">
        <f t="shared" si="19"/>
        <v/>
      </c>
      <c r="BC2170" s="171" t="str">
        <f t="shared" si="20"/>
        <v/>
      </c>
      <c r="BD2170" s="171" t="str">
        <f t="shared" si="21"/>
        <v>Institutional</v>
      </c>
      <c r="BE2170" s="171" t="str">
        <f t="shared" si="22"/>
        <v/>
      </c>
      <c r="BF2170" s="171" t="str">
        <f t="shared" si="23"/>
        <v>Institutional</v>
      </c>
    </row>
    <row r="2171">
      <c r="A2171" s="171">
        <f t="array" ref="A2171">XLOOKUP(C2171,FSE!A:A,FSE!C:C,"XXXXX",0,1)</f>
        <v>2014</v>
      </c>
      <c r="B2171" s="213" t="s">
        <v>5676</v>
      </c>
      <c r="C2171" s="214">
        <v>833.0</v>
      </c>
      <c r="D2171" s="226" t="s">
        <v>3526</v>
      </c>
      <c r="E2171" s="197" t="str">
        <f t="array" ref="E2171">XLOOKUP(C2171,FSE!A:A,FSE!Z:Z,"XXXXX",0,1)</f>
        <v>Publicly Available (1)</v>
      </c>
      <c r="F2171" s="213" t="s">
        <v>3394</v>
      </c>
      <c r="G2171" s="163" t="str">
        <f t="array" ref="G2171">IF(B2171="ICSE",IF(COUNTIFS(B:B,B2171,C:C,C2171)=XLOOKUP(C2171,ICSE!A:A,ICSE!AA:AA,"ERROR",0,1),"OK","ERROR"),IF(B2171="FSE",IF(COUNTIFS(B:B,B2171,C:C,C2171)=XLOOKUP(C2171,FSE!A:A,FSE!AA:AA,"ERROR",0,1),"OK","ERROR")))</f>
        <v>OK</v>
      </c>
      <c r="H2171" s="199">
        <f t="shared" ref="H2171:O2171" si="10979">countif($D2171,"*"&amp;H$2&amp;"*")</f>
        <v>0</v>
      </c>
      <c r="I2171" s="200">
        <f t="shared" si="10979"/>
        <v>0</v>
      </c>
      <c r="J2171" s="200">
        <f t="shared" si="10979"/>
        <v>0</v>
      </c>
      <c r="K2171" s="200">
        <f t="shared" si="10979"/>
        <v>0</v>
      </c>
      <c r="L2171" s="200">
        <f t="shared" si="10979"/>
        <v>0</v>
      </c>
      <c r="M2171" s="200">
        <f t="shared" si="10979"/>
        <v>0</v>
      </c>
      <c r="N2171" s="200">
        <f t="shared" si="10979"/>
        <v>0</v>
      </c>
      <c r="O2171" s="200">
        <f t="shared" si="10979"/>
        <v>0</v>
      </c>
      <c r="P2171" s="200">
        <f t="shared" si="9"/>
        <v>0</v>
      </c>
      <c r="Q2171" s="200">
        <f t="shared" ref="Q2171:AC2171" si="10980">countif($D2171,"*"&amp;Q$2&amp;"*")</f>
        <v>0</v>
      </c>
      <c r="R2171" s="200">
        <f t="shared" si="10980"/>
        <v>1</v>
      </c>
      <c r="S2171" s="200">
        <f t="shared" si="10980"/>
        <v>0</v>
      </c>
      <c r="T2171" s="200">
        <f t="shared" si="10980"/>
        <v>0</v>
      </c>
      <c r="U2171" s="200">
        <f t="shared" si="10980"/>
        <v>0</v>
      </c>
      <c r="V2171" s="200">
        <f t="shared" si="10980"/>
        <v>0</v>
      </c>
      <c r="W2171" s="200">
        <f t="shared" si="10980"/>
        <v>0</v>
      </c>
      <c r="X2171" s="200">
        <f t="shared" si="10980"/>
        <v>0</v>
      </c>
      <c r="Y2171" s="200">
        <f t="shared" si="10980"/>
        <v>0</v>
      </c>
      <c r="Z2171" s="200">
        <f t="shared" si="10980"/>
        <v>0</v>
      </c>
      <c r="AA2171" s="200">
        <f t="shared" si="10980"/>
        <v>0</v>
      </c>
      <c r="AB2171" s="200">
        <f t="shared" si="10980"/>
        <v>0</v>
      </c>
      <c r="AC2171" s="200">
        <f t="shared" si="10980"/>
        <v>0</v>
      </c>
      <c r="AD2171" s="200">
        <f t="shared" si="11"/>
        <v>0</v>
      </c>
      <c r="AE2171" s="200">
        <f t="shared" ref="AE2171:AG2171" si="10981">countif($D2171,"*"&amp;AE$2&amp;"*")</f>
        <v>0</v>
      </c>
      <c r="AF2171" s="200">
        <f t="shared" si="10981"/>
        <v>0</v>
      </c>
      <c r="AG2171" s="200">
        <f t="shared" si="10981"/>
        <v>0</v>
      </c>
      <c r="AH2171" s="171">
        <f t="shared" si="13"/>
        <v>0</v>
      </c>
      <c r="AI2171" s="200">
        <f t="shared" si="14"/>
        <v>0</v>
      </c>
      <c r="AJ2171" s="200">
        <f t="shared" si="10966"/>
        <v>0</v>
      </c>
      <c r="AK2171" s="201">
        <f t="shared" ref="AK2171:AS2171" si="10982">countif($D2171,"*"&amp;AK$2&amp;"*")</f>
        <v>0</v>
      </c>
      <c r="AL2171" s="201">
        <f t="shared" si="10982"/>
        <v>0</v>
      </c>
      <c r="AM2171" s="201">
        <f t="shared" si="10982"/>
        <v>0</v>
      </c>
      <c r="AN2171" s="201">
        <f t="shared" si="10982"/>
        <v>0</v>
      </c>
      <c r="AO2171" s="201">
        <f t="shared" si="10982"/>
        <v>0</v>
      </c>
      <c r="AP2171" s="201">
        <f t="shared" si="10982"/>
        <v>0</v>
      </c>
      <c r="AQ2171" s="201">
        <f t="shared" si="10982"/>
        <v>0</v>
      </c>
      <c r="AR2171" s="200">
        <f t="shared" si="10982"/>
        <v>0</v>
      </c>
      <c r="AS2171" s="200">
        <f t="shared" si="10982"/>
        <v>0</v>
      </c>
      <c r="AT2171" s="173">
        <v>0.0</v>
      </c>
      <c r="AU2171" s="200">
        <f t="shared" ref="AU2171:AX2171" si="10983">countif($D2171,"*"&amp;AU$2&amp;"*")</f>
        <v>0</v>
      </c>
      <c r="AV2171" s="200">
        <f t="shared" si="10983"/>
        <v>0</v>
      </c>
      <c r="AW2171" s="200">
        <f t="shared" si="10983"/>
        <v>0</v>
      </c>
      <c r="AX2171" s="200">
        <f t="shared" si="10983"/>
        <v>0</v>
      </c>
      <c r="AY2171" s="202">
        <v>0.0</v>
      </c>
      <c r="AZ2171" s="200"/>
      <c r="BA2171" s="171" t="str">
        <f t="shared" si="18"/>
        <v/>
      </c>
      <c r="BB2171" s="171" t="str">
        <f t="shared" si="19"/>
        <v>Code</v>
      </c>
      <c r="BC2171" s="171" t="str">
        <f t="shared" si="20"/>
        <v/>
      </c>
      <c r="BD2171" s="171" t="str">
        <f t="shared" si="21"/>
        <v/>
      </c>
      <c r="BE2171" s="171" t="str">
        <f t="shared" si="22"/>
        <v/>
      </c>
      <c r="BF2171" s="171" t="str">
        <f t="shared" si="23"/>
        <v>Code</v>
      </c>
    </row>
    <row r="2172">
      <c r="A2172" s="171">
        <f t="array" ref="A2172">XLOOKUP(C2172,FSE!A:A,FSE!C:C,"XXXXX",0,1)</f>
        <v>2014</v>
      </c>
      <c r="B2172" s="213" t="s">
        <v>5676</v>
      </c>
      <c r="C2172" s="214">
        <v>837.0</v>
      </c>
      <c r="D2172" s="215" t="s">
        <v>3532</v>
      </c>
      <c r="E2172" s="197" t="str">
        <f t="array" ref="E2172">XLOOKUP(C2172,FSE!A:A,FSE!Z:Z,"XXXXX",0,1)</f>
        <v>Publicly Available (1)</v>
      </c>
      <c r="F2172" s="213" t="s">
        <v>3394</v>
      </c>
      <c r="G2172" s="163" t="str">
        <f t="array" ref="G2172">IF(B2172="ICSE",IF(COUNTIFS(B:B,B2172,C:C,C2172)=XLOOKUP(C2172,ICSE!A:A,ICSE!AA:AA,"ERROR",0,1),"OK","ERROR"),IF(B2172="FSE",IF(COUNTIFS(B:B,B2172,C:C,C2172)=XLOOKUP(C2172,FSE!A:A,FSE!AA:AA,"ERROR",0,1),"OK","ERROR")))</f>
        <v>OK</v>
      </c>
      <c r="H2172" s="199">
        <f t="shared" ref="H2172:O2172" si="10984">countif($D2172,"*"&amp;H$2&amp;"*")</f>
        <v>0</v>
      </c>
      <c r="I2172" s="200">
        <f t="shared" si="10984"/>
        <v>0</v>
      </c>
      <c r="J2172" s="200">
        <f t="shared" si="10984"/>
        <v>0</v>
      </c>
      <c r="K2172" s="200">
        <f t="shared" si="10984"/>
        <v>0</v>
      </c>
      <c r="L2172" s="200">
        <f t="shared" si="10984"/>
        <v>0</v>
      </c>
      <c r="M2172" s="200">
        <f t="shared" si="10984"/>
        <v>0</v>
      </c>
      <c r="N2172" s="200">
        <f t="shared" si="10984"/>
        <v>0</v>
      </c>
      <c r="O2172" s="200">
        <f t="shared" si="10984"/>
        <v>0</v>
      </c>
      <c r="P2172" s="200">
        <f t="shared" si="9"/>
        <v>0</v>
      </c>
      <c r="Q2172" s="200">
        <f t="shared" ref="Q2172:AC2172" si="10985">countif($D2172,"*"&amp;Q$2&amp;"*")</f>
        <v>0</v>
      </c>
      <c r="R2172" s="200">
        <f t="shared" si="10985"/>
        <v>0</v>
      </c>
      <c r="S2172" s="200">
        <f t="shared" si="10985"/>
        <v>0</v>
      </c>
      <c r="T2172" s="200">
        <f t="shared" si="10985"/>
        <v>0</v>
      </c>
      <c r="U2172" s="200">
        <f t="shared" si="10985"/>
        <v>0</v>
      </c>
      <c r="V2172" s="200">
        <f t="shared" si="10985"/>
        <v>0</v>
      </c>
      <c r="W2172" s="200">
        <f t="shared" si="10985"/>
        <v>0</v>
      </c>
      <c r="X2172" s="200">
        <f t="shared" si="10985"/>
        <v>0</v>
      </c>
      <c r="Y2172" s="200">
        <f t="shared" si="10985"/>
        <v>0</v>
      </c>
      <c r="Z2172" s="200">
        <f t="shared" si="10985"/>
        <v>0</v>
      </c>
      <c r="AA2172" s="200">
        <f t="shared" si="10985"/>
        <v>0</v>
      </c>
      <c r="AB2172" s="200">
        <f t="shared" si="10985"/>
        <v>0</v>
      </c>
      <c r="AC2172" s="200">
        <f t="shared" si="10985"/>
        <v>0</v>
      </c>
      <c r="AD2172" s="200">
        <f t="shared" si="11"/>
        <v>1</v>
      </c>
      <c r="AE2172" s="200">
        <f t="shared" ref="AE2172:AG2172" si="10986">countif($D2172,"*"&amp;AE$2&amp;"*")</f>
        <v>0</v>
      </c>
      <c r="AF2172" s="200">
        <f t="shared" si="10986"/>
        <v>0</v>
      </c>
      <c r="AG2172" s="200">
        <f t="shared" si="10986"/>
        <v>0</v>
      </c>
      <c r="AH2172" s="171">
        <f t="shared" si="13"/>
        <v>0</v>
      </c>
      <c r="AI2172" s="200">
        <f t="shared" si="14"/>
        <v>0</v>
      </c>
      <c r="AJ2172" s="200">
        <f t="shared" si="10966"/>
        <v>0</v>
      </c>
      <c r="AK2172" s="201">
        <f t="shared" ref="AK2172:AS2172" si="10987">countif($D2172,"*"&amp;AK$2&amp;"*")</f>
        <v>0</v>
      </c>
      <c r="AL2172" s="201">
        <f t="shared" si="10987"/>
        <v>0</v>
      </c>
      <c r="AM2172" s="201">
        <f t="shared" si="10987"/>
        <v>0</v>
      </c>
      <c r="AN2172" s="201">
        <f t="shared" si="10987"/>
        <v>0</v>
      </c>
      <c r="AO2172" s="201">
        <f t="shared" si="10987"/>
        <v>0</v>
      </c>
      <c r="AP2172" s="201">
        <f t="shared" si="10987"/>
        <v>0</v>
      </c>
      <c r="AQ2172" s="201">
        <f t="shared" si="10987"/>
        <v>0</v>
      </c>
      <c r="AR2172" s="200">
        <f t="shared" si="10987"/>
        <v>0</v>
      </c>
      <c r="AS2172" s="200">
        <f t="shared" si="10987"/>
        <v>0</v>
      </c>
      <c r="AT2172" s="173">
        <v>1.0</v>
      </c>
      <c r="AU2172" s="200">
        <f t="shared" ref="AU2172:AX2172" si="10988">countif($D2172,"*"&amp;AU$2&amp;"*")</f>
        <v>0</v>
      </c>
      <c r="AV2172" s="200">
        <f t="shared" si="10988"/>
        <v>0</v>
      </c>
      <c r="AW2172" s="200">
        <f t="shared" si="10988"/>
        <v>0</v>
      </c>
      <c r="AX2172" s="200">
        <f t="shared" si="10988"/>
        <v>0</v>
      </c>
      <c r="AY2172" s="202">
        <v>0.0</v>
      </c>
      <c r="AZ2172" s="200"/>
      <c r="BA2172" s="171" t="str">
        <f t="shared" si="18"/>
        <v/>
      </c>
      <c r="BB2172" s="171" t="str">
        <f t="shared" si="19"/>
        <v/>
      </c>
      <c r="BC2172" s="171" t="str">
        <f t="shared" si="20"/>
        <v/>
      </c>
      <c r="BD2172" s="171" t="str">
        <f t="shared" si="21"/>
        <v>Institutional</v>
      </c>
      <c r="BE2172" s="171" t="str">
        <f t="shared" si="22"/>
        <v/>
      </c>
      <c r="BF2172" s="171" t="str">
        <f t="shared" si="23"/>
        <v>Institutional</v>
      </c>
    </row>
    <row r="2173">
      <c r="A2173" s="171">
        <f t="array" ref="A2173">XLOOKUP(C2173,FSE!A:A,FSE!C:C,"XXXXX",0,1)</f>
        <v>2014</v>
      </c>
      <c r="B2173" s="213" t="s">
        <v>5676</v>
      </c>
      <c r="C2173" s="214">
        <v>839.0</v>
      </c>
      <c r="D2173" s="215" t="s">
        <v>3537</v>
      </c>
      <c r="E2173" s="197" t="str">
        <f t="array" ref="E2173">XLOOKUP(C2173,FSE!A:A,FSE!Z:Z,"XXXXX",0,1)</f>
        <v>Publicly Available (1)</v>
      </c>
      <c r="F2173" s="213" t="s">
        <v>3394</v>
      </c>
      <c r="G2173" s="163" t="str">
        <f t="array" ref="G2173">IF(B2173="ICSE",IF(COUNTIFS(B:B,B2173,C:C,C2173)=XLOOKUP(C2173,ICSE!A:A,ICSE!AA:AA,"ERROR",0,1),"OK","ERROR"),IF(B2173="FSE",IF(COUNTIFS(B:B,B2173,C:C,C2173)=XLOOKUP(C2173,FSE!A:A,FSE!AA:AA,"ERROR",0,1),"OK","ERROR")))</f>
        <v>OK</v>
      </c>
      <c r="H2173" s="199">
        <f t="shared" ref="H2173:O2173" si="10989">countif($D2173,"*"&amp;H$2&amp;"*")</f>
        <v>0</v>
      </c>
      <c r="I2173" s="200">
        <f t="shared" si="10989"/>
        <v>1</v>
      </c>
      <c r="J2173" s="200">
        <f t="shared" si="10989"/>
        <v>0</v>
      </c>
      <c r="K2173" s="200">
        <f t="shared" si="10989"/>
        <v>0</v>
      </c>
      <c r="L2173" s="200">
        <f t="shared" si="10989"/>
        <v>0</v>
      </c>
      <c r="M2173" s="200">
        <f t="shared" si="10989"/>
        <v>0</v>
      </c>
      <c r="N2173" s="200">
        <f t="shared" si="10989"/>
        <v>0</v>
      </c>
      <c r="O2173" s="200">
        <f t="shared" si="10989"/>
        <v>0</v>
      </c>
      <c r="P2173" s="200">
        <f t="shared" si="9"/>
        <v>0</v>
      </c>
      <c r="Q2173" s="200">
        <f t="shared" ref="Q2173:AC2173" si="10990">countif($D2173,"*"&amp;Q$2&amp;"*")</f>
        <v>0</v>
      </c>
      <c r="R2173" s="200">
        <f t="shared" si="10990"/>
        <v>0</v>
      </c>
      <c r="S2173" s="200">
        <f t="shared" si="10990"/>
        <v>0</v>
      </c>
      <c r="T2173" s="200">
        <f t="shared" si="10990"/>
        <v>0</v>
      </c>
      <c r="U2173" s="200">
        <f t="shared" si="10990"/>
        <v>0</v>
      </c>
      <c r="V2173" s="200">
        <f t="shared" si="10990"/>
        <v>0</v>
      </c>
      <c r="W2173" s="200">
        <f t="shared" si="10990"/>
        <v>0</v>
      </c>
      <c r="X2173" s="200">
        <f t="shared" si="10990"/>
        <v>0</v>
      </c>
      <c r="Y2173" s="200">
        <f t="shared" si="10990"/>
        <v>0</v>
      </c>
      <c r="Z2173" s="200">
        <f t="shared" si="10990"/>
        <v>0</v>
      </c>
      <c r="AA2173" s="200">
        <f t="shared" si="10990"/>
        <v>0</v>
      </c>
      <c r="AB2173" s="200">
        <f t="shared" si="10990"/>
        <v>0</v>
      </c>
      <c r="AC2173" s="200">
        <f t="shared" si="10990"/>
        <v>0</v>
      </c>
      <c r="AD2173" s="200">
        <f t="shared" si="11"/>
        <v>0</v>
      </c>
      <c r="AE2173" s="200">
        <f t="shared" ref="AE2173:AG2173" si="10991">countif($D2173,"*"&amp;AE$2&amp;"*")</f>
        <v>0</v>
      </c>
      <c r="AF2173" s="200">
        <f t="shared" si="10991"/>
        <v>0</v>
      </c>
      <c r="AG2173" s="200">
        <f t="shared" si="10991"/>
        <v>0</v>
      </c>
      <c r="AH2173" s="171">
        <f t="shared" si="13"/>
        <v>0</v>
      </c>
      <c r="AI2173" s="200">
        <f t="shared" si="14"/>
        <v>1</v>
      </c>
      <c r="AJ2173" s="200">
        <f t="shared" si="10966"/>
        <v>0</v>
      </c>
      <c r="AK2173" s="201">
        <f t="shared" ref="AK2173:AS2173" si="10992">countif($D2173,"*"&amp;AK$2&amp;"*")</f>
        <v>0</v>
      </c>
      <c r="AL2173" s="201">
        <f t="shared" si="10992"/>
        <v>0</v>
      </c>
      <c r="AM2173" s="201">
        <f t="shared" si="10992"/>
        <v>0</v>
      </c>
      <c r="AN2173" s="201">
        <f t="shared" si="10992"/>
        <v>0</v>
      </c>
      <c r="AO2173" s="201">
        <f t="shared" si="10992"/>
        <v>0</v>
      </c>
      <c r="AP2173" s="201">
        <f t="shared" si="10992"/>
        <v>0</v>
      </c>
      <c r="AQ2173" s="201">
        <f t="shared" si="10992"/>
        <v>0</v>
      </c>
      <c r="AR2173" s="200">
        <f t="shared" si="10992"/>
        <v>0</v>
      </c>
      <c r="AS2173" s="200">
        <f t="shared" si="10992"/>
        <v>0</v>
      </c>
      <c r="AT2173" s="173">
        <v>0.0</v>
      </c>
      <c r="AU2173" s="200">
        <f t="shared" ref="AU2173:AX2173" si="10993">countif($D2173,"*"&amp;AU$2&amp;"*")</f>
        <v>0</v>
      </c>
      <c r="AV2173" s="200">
        <f t="shared" si="10993"/>
        <v>0</v>
      </c>
      <c r="AW2173" s="200">
        <f t="shared" si="10993"/>
        <v>0</v>
      </c>
      <c r="AX2173" s="200">
        <f t="shared" si="10993"/>
        <v>1</v>
      </c>
      <c r="AY2173" s="202">
        <v>0.0</v>
      </c>
      <c r="AZ2173" s="200"/>
      <c r="BA2173" s="171" t="str">
        <f t="shared" si="18"/>
        <v>Archival</v>
      </c>
      <c r="BB2173" s="171" t="str">
        <f t="shared" si="19"/>
        <v/>
      </c>
      <c r="BC2173" s="171" t="str">
        <f t="shared" si="20"/>
        <v/>
      </c>
      <c r="BD2173" s="171" t="str">
        <f t="shared" si="21"/>
        <v/>
      </c>
      <c r="BE2173" s="171" t="str">
        <f t="shared" si="22"/>
        <v/>
      </c>
      <c r="BF2173" s="171" t="str">
        <f t="shared" si="23"/>
        <v>Archival</v>
      </c>
    </row>
  </sheetData>
  <autoFilter ref="$A$2:$BF$2173"/>
  <conditionalFormatting sqref="H2:AX2173 AY3:AZ2173">
    <cfRule type="cellIs" dxfId="4" priority="1" operator="equal">
      <formula>1</formula>
    </cfRule>
  </conditionalFormatting>
  <conditionalFormatting sqref="E2 F2:F2025 F2028:F2173">
    <cfRule type="containsBlanks" dxfId="5" priority="2">
      <formula>LEN(TRIM(E2))=0</formula>
    </cfRule>
  </conditionalFormatting>
  <dataValidations>
    <dataValidation type="list" allowBlank="1" showDropDown="1" showErrorMessage="1" sqref="F1230:F1429 F1431:F2143 F2145:F2157 F2159:F2173">
      <formula1>"Not Available,Publicly Available,Restrict Access"</formula1>
    </dataValidation>
  </dataValidations>
  <hyperlinks>
    <hyperlink r:id="rId2" ref="U2"/>
    <hyperlink r:id="rId3" ref="AR2"/>
    <hyperlink r:id="rId4" ref="D2058"/>
  </hyperlinks>
  <drawing r:id="rId5"/>
  <legacy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63"/>
    <col customWidth="1" min="2" max="2" width="53.0"/>
    <col customWidth="1" min="3" max="3" width="63.0"/>
    <col customWidth="1" min="4" max="5" width="5.38"/>
    <col customWidth="1" min="6" max="6" width="3.38"/>
  </cols>
  <sheetData>
    <row r="1">
      <c r="A1" s="233" t="s">
        <v>6604</v>
      </c>
      <c r="B1" s="234" t="s">
        <v>6605</v>
      </c>
      <c r="C1" s="234" t="s">
        <v>6606</v>
      </c>
      <c r="D1" s="235" t="s">
        <v>6607</v>
      </c>
      <c r="E1" s="235" t="s">
        <v>6608</v>
      </c>
      <c r="F1" s="236">
        <f>COUNTIF(F2:F1098,"This value has changed!!")</f>
        <v>0</v>
      </c>
    </row>
    <row r="2">
      <c r="A2" s="237" t="s">
        <v>6609</v>
      </c>
      <c r="B2" s="238" t="s">
        <v>6610</v>
      </c>
      <c r="C2" s="239" t="str">
        <f t="shared" ref="C2:C363" si="1">IF(B2="",,"\FPeval"&amp;B2&amp;"{"&amp;D2&amp;"}")</f>
        <v>\FPeval\varFSEArtifactSharingEvolutionEighteen{83.6}</v>
      </c>
      <c r="D2" s="240" t="str">
        <f>PapersOverview!K7</f>
        <v>83.6</v>
      </c>
      <c r="E2" s="241" t="s">
        <v>6611</v>
      </c>
      <c r="F2" s="242" t="str">
        <f t="shared" ref="F2:F486" si="2">IF(C2&lt;&gt;"",IF(E2&lt;&gt;D2,"This value has changed!!",""),"-")</f>
        <v/>
      </c>
    </row>
    <row r="3">
      <c r="A3" s="243" t="s">
        <v>6609</v>
      </c>
      <c r="B3" s="244" t="s">
        <v>6612</v>
      </c>
      <c r="C3" s="245" t="str">
        <f t="shared" si="1"/>
        <v>\FPeval\varFSEArtifactSharingEvolutionFifteen{64.9}</v>
      </c>
      <c r="D3" s="246" t="str">
        <f>PapersOverview!K4</f>
        <v>64.9</v>
      </c>
      <c r="E3" s="241" t="s">
        <v>6613</v>
      </c>
      <c r="F3" s="247" t="str">
        <f t="shared" si="2"/>
        <v/>
      </c>
    </row>
    <row r="4">
      <c r="A4" s="237" t="s">
        <v>6609</v>
      </c>
      <c r="B4" s="238" t="s">
        <v>6614</v>
      </c>
      <c r="C4" s="239" t="str">
        <f t="shared" si="1"/>
        <v>\FPeval\varFSEArtifactSharingEvolutionFourteen{57.4}</v>
      </c>
      <c r="D4" s="240" t="str">
        <f>PapersOverview!K3</f>
        <v>57.4</v>
      </c>
      <c r="E4" s="241" t="s">
        <v>6615</v>
      </c>
      <c r="F4" s="242" t="str">
        <f t="shared" si="2"/>
        <v/>
      </c>
    </row>
    <row r="5">
      <c r="A5" s="243" t="s">
        <v>6609</v>
      </c>
      <c r="B5" s="244" t="s">
        <v>6616</v>
      </c>
      <c r="C5" s="245" t="str">
        <f t="shared" si="1"/>
        <v>\FPeval\varFSEArtifactSharingEvolutionNineteen{83.8}</v>
      </c>
      <c r="D5" s="246" t="str">
        <f>PapersOverview!K8</f>
        <v>83.8</v>
      </c>
      <c r="E5" s="241" t="s">
        <v>6617</v>
      </c>
      <c r="F5" s="247" t="str">
        <f t="shared" si="2"/>
        <v/>
      </c>
    </row>
    <row r="6">
      <c r="A6" s="237" t="s">
        <v>6609</v>
      </c>
      <c r="B6" s="238" t="s">
        <v>6618</v>
      </c>
      <c r="C6" s="239" t="str">
        <f t="shared" si="1"/>
        <v>\FPeval\varFSEArtifactSharingEvolutionSeventeen{73.6}</v>
      </c>
      <c r="D6" s="240" t="str">
        <f>PapersOverview!K6</f>
        <v>73.6</v>
      </c>
      <c r="E6" s="241" t="s">
        <v>6619</v>
      </c>
      <c r="F6" s="242" t="str">
        <f t="shared" si="2"/>
        <v/>
      </c>
    </row>
    <row r="7">
      <c r="A7" s="243" t="s">
        <v>6609</v>
      </c>
      <c r="B7" s="244" t="s">
        <v>6620</v>
      </c>
      <c r="C7" s="245" t="str">
        <f t="shared" si="1"/>
        <v>\FPeval\varFSEArtifactSharingEvolutionSixteen{73.0}</v>
      </c>
      <c r="D7" s="246" t="str">
        <f>PapersOverview!K5</f>
        <v>73.0</v>
      </c>
      <c r="E7" s="241" t="s">
        <v>6621</v>
      </c>
      <c r="F7" s="247" t="str">
        <f t="shared" si="2"/>
        <v/>
      </c>
    </row>
    <row r="8">
      <c r="A8" s="237" t="s">
        <v>6609</v>
      </c>
      <c r="B8" s="238" t="s">
        <v>6622</v>
      </c>
      <c r="C8" s="239" t="str">
        <f t="shared" si="1"/>
        <v>\FPeval\varFSEArtifactSharingEvolutionTwenty{90.1}</v>
      </c>
      <c r="D8" s="240" t="str">
        <f>PapersOverview!K9</f>
        <v>90.1</v>
      </c>
      <c r="E8" s="241" t="s">
        <v>6623</v>
      </c>
      <c r="F8" s="242" t="str">
        <f t="shared" si="2"/>
        <v/>
      </c>
    </row>
    <row r="9">
      <c r="A9" s="243" t="s">
        <v>6609</v>
      </c>
      <c r="B9" s="244" t="s">
        <v>6624</v>
      </c>
      <c r="C9" s="245" t="str">
        <f t="shared" si="1"/>
        <v>\FPeval\varFSEArtifactSharingEvolutionTwentyOne{87.6}</v>
      </c>
      <c r="D9" s="246" t="str">
        <f>PapersOverview!K10</f>
        <v>87.6</v>
      </c>
      <c r="E9" s="241" t="s">
        <v>6625</v>
      </c>
      <c r="F9" s="247" t="str">
        <f t="shared" si="2"/>
        <v/>
      </c>
    </row>
    <row r="10">
      <c r="A10" s="237" t="s">
        <v>6609</v>
      </c>
      <c r="B10" s="238" t="s">
        <v>6626</v>
      </c>
      <c r="C10" s="239" t="str">
        <f t="shared" si="1"/>
        <v>\FPeval\varFSEArtifactSharingEvolutionTwentyThree{98.4}</v>
      </c>
      <c r="D10" s="240" t="str">
        <f>PapersOverview!K12</f>
        <v>98.4</v>
      </c>
      <c r="E10" s="241" t="s">
        <v>6627</v>
      </c>
      <c r="F10" s="242" t="str">
        <f t="shared" si="2"/>
        <v/>
      </c>
    </row>
    <row r="11">
      <c r="A11" s="243" t="s">
        <v>6609</v>
      </c>
      <c r="B11" s="244" t="s">
        <v>6628</v>
      </c>
      <c r="C11" s="245" t="str">
        <f t="shared" si="1"/>
        <v>\FPeval\varFSEArtifactSharingEvolutionTwentyTwo{91.9}</v>
      </c>
      <c r="D11" s="246" t="str">
        <f>PapersOverview!K11</f>
        <v>91.9</v>
      </c>
      <c r="E11" s="241" t="s">
        <v>6629</v>
      </c>
      <c r="F11" s="247" t="str">
        <f t="shared" si="2"/>
        <v/>
      </c>
    </row>
    <row r="12">
      <c r="A12" s="237" t="s">
        <v>6609</v>
      </c>
      <c r="B12" s="248" t="s">
        <v>6630</v>
      </c>
      <c r="C12" s="239" t="str">
        <f t="shared" si="1"/>
        <v>\FPeval\varICSEArtifactSharingEvolutionEighteen{79.0}</v>
      </c>
      <c r="D12" s="240" t="str">
        <f>PapersOverview!J7</f>
        <v>79.0</v>
      </c>
      <c r="E12" s="241" t="s">
        <v>6631</v>
      </c>
      <c r="F12" s="242" t="str">
        <f t="shared" si="2"/>
        <v/>
      </c>
    </row>
    <row r="13">
      <c r="A13" s="243" t="s">
        <v>6609</v>
      </c>
      <c r="B13" s="249" t="s">
        <v>6632</v>
      </c>
      <c r="C13" s="245" t="str">
        <f t="shared" si="1"/>
        <v>\FPeval\varICSEArtifactSharingEvolutionFifteen{58.3}</v>
      </c>
      <c r="D13" s="246" t="str">
        <f>PapersOverview!J4</f>
        <v>58.3</v>
      </c>
      <c r="E13" s="241" t="s">
        <v>6633</v>
      </c>
      <c r="F13" s="247" t="str">
        <f t="shared" si="2"/>
        <v/>
      </c>
    </row>
    <row r="14">
      <c r="A14" s="237" t="s">
        <v>6609</v>
      </c>
      <c r="B14" s="248" t="s">
        <v>6634</v>
      </c>
      <c r="C14" s="239" t="str">
        <f t="shared" si="1"/>
        <v>\FPeval\varICSEArtifactSharingEvolutionFourteen{63.3}</v>
      </c>
      <c r="D14" s="240" t="str">
        <f>PapersOverview!J3</f>
        <v>63.3</v>
      </c>
      <c r="E14" s="241" t="s">
        <v>6635</v>
      </c>
      <c r="F14" s="242" t="str">
        <f t="shared" si="2"/>
        <v/>
      </c>
    </row>
    <row r="15">
      <c r="A15" s="243" t="s">
        <v>6609</v>
      </c>
      <c r="B15" s="249" t="s">
        <v>6636</v>
      </c>
      <c r="C15" s="245" t="str">
        <f t="shared" si="1"/>
        <v>\FPeval\varICSEArtifactSharingEvolutionNineteen{72.5}</v>
      </c>
      <c r="D15" s="246" t="str">
        <f>PapersOverview!J8</f>
        <v>72.5</v>
      </c>
      <c r="E15" s="241" t="s">
        <v>6637</v>
      </c>
      <c r="F15" s="247" t="str">
        <f t="shared" si="2"/>
        <v/>
      </c>
    </row>
    <row r="16">
      <c r="A16" s="237" t="s">
        <v>6609</v>
      </c>
      <c r="B16" s="248" t="s">
        <v>6638</v>
      </c>
      <c r="C16" s="239" t="str">
        <f t="shared" si="1"/>
        <v>\FPeval\varICSEArtifactSharingEvolutionSeventeen{82.4}</v>
      </c>
      <c r="D16" s="240" t="str">
        <f>PapersOverview!J6</f>
        <v>82.4</v>
      </c>
      <c r="E16" s="241" t="s">
        <v>6639</v>
      </c>
      <c r="F16" s="242" t="str">
        <f t="shared" si="2"/>
        <v/>
      </c>
    </row>
    <row r="17">
      <c r="A17" s="243" t="s">
        <v>6609</v>
      </c>
      <c r="B17" s="249" t="s">
        <v>6640</v>
      </c>
      <c r="C17" s="245" t="str">
        <f t="shared" si="1"/>
        <v>\FPeval\varICSEArtifactSharingEvolutionSixteen{69.3}</v>
      </c>
      <c r="D17" s="246" t="str">
        <f>PapersOverview!J5</f>
        <v>69.3</v>
      </c>
      <c r="E17" s="241" t="s">
        <v>6641</v>
      </c>
      <c r="F17" s="247" t="str">
        <f t="shared" si="2"/>
        <v/>
      </c>
    </row>
    <row r="18">
      <c r="A18" s="237" t="s">
        <v>6609</v>
      </c>
      <c r="B18" s="248" t="s">
        <v>6642</v>
      </c>
      <c r="C18" s="239" t="str">
        <f t="shared" si="1"/>
        <v>\FPeval\varICSEArtifactSharingEvolutionTwenty{82.2}</v>
      </c>
      <c r="D18" s="240" t="str">
        <f>PapersOverview!J9</f>
        <v>82.2</v>
      </c>
      <c r="E18" s="241" t="s">
        <v>6643</v>
      </c>
      <c r="F18" s="242" t="str">
        <f t="shared" si="2"/>
        <v/>
      </c>
    </row>
    <row r="19">
      <c r="A19" s="243" t="s">
        <v>6609</v>
      </c>
      <c r="B19" s="249" t="s">
        <v>6644</v>
      </c>
      <c r="C19" s="245" t="str">
        <f t="shared" si="1"/>
        <v>\FPeval\varICSEArtifactSharingEvolutionTwentyOne{87.0}</v>
      </c>
      <c r="D19" s="246" t="str">
        <f>PapersOverview!J10</f>
        <v>87.0</v>
      </c>
      <c r="E19" s="241" t="s">
        <v>6645</v>
      </c>
      <c r="F19" s="247" t="str">
        <f t="shared" si="2"/>
        <v/>
      </c>
    </row>
    <row r="20">
      <c r="A20" s="237" t="s">
        <v>6609</v>
      </c>
      <c r="B20" s="248" t="s">
        <v>6646</v>
      </c>
      <c r="C20" s="239" t="str">
        <f t="shared" si="1"/>
        <v>\FPeval\varICSEArtifactSharingEvolutionTwentyThree{96.6}</v>
      </c>
      <c r="D20" s="240" t="str">
        <f>PapersOverview!J12</f>
        <v>96.6</v>
      </c>
      <c r="E20" s="241" t="s">
        <v>6647</v>
      </c>
      <c r="F20" s="242" t="str">
        <f t="shared" si="2"/>
        <v/>
      </c>
    </row>
    <row r="21">
      <c r="A21" s="243" t="s">
        <v>6609</v>
      </c>
      <c r="B21" s="249" t="s">
        <v>6648</v>
      </c>
      <c r="C21" s="245" t="str">
        <f t="shared" si="1"/>
        <v>\FPeval\varICSEArtifactSharingEvolutionTwentyTwo{89.3}</v>
      </c>
      <c r="D21" s="246" t="str">
        <f>PapersOverview!J11</f>
        <v>89.3</v>
      </c>
      <c r="E21" s="241" t="s">
        <v>6649</v>
      </c>
      <c r="F21" s="247" t="str">
        <f t="shared" si="2"/>
        <v/>
      </c>
    </row>
    <row r="22">
      <c r="A22" s="237" t="s">
        <v>6650</v>
      </c>
      <c r="B22" s="238" t="s">
        <v>6651</v>
      </c>
      <c r="C22" s="239" t="str">
        <f t="shared" si="1"/>
        <v>\FPeval\varPapersNotShareLinkFSEXIV{3.8}</v>
      </c>
      <c r="D22" s="250" t="str">
        <f>LinkingAndStatementsEvolution!P23</f>
        <v>3.8</v>
      </c>
      <c r="E22" s="251" t="s">
        <v>6652</v>
      </c>
      <c r="F22" s="242" t="str">
        <f t="shared" si="2"/>
        <v/>
      </c>
    </row>
    <row r="23">
      <c r="A23" s="243" t="s">
        <v>6650</v>
      </c>
      <c r="B23" s="244" t="s">
        <v>6653</v>
      </c>
      <c r="C23" s="245" t="str">
        <f t="shared" si="1"/>
        <v>\FPeval\varPapersNotShareLinkFSEXIX{8.3}</v>
      </c>
      <c r="D23" s="252" t="str">
        <f>LinkingAndStatementsEvolution!P28</f>
        <v>8.3</v>
      </c>
      <c r="E23" s="251" t="s">
        <v>6654</v>
      </c>
      <c r="F23" s="247" t="str">
        <f t="shared" si="2"/>
        <v/>
      </c>
    </row>
    <row r="24">
      <c r="A24" s="237" t="s">
        <v>6650</v>
      </c>
      <c r="B24" s="238" t="s">
        <v>6655</v>
      </c>
      <c r="C24" s="239" t="str">
        <f t="shared" si="1"/>
        <v>\FPeval\varPapersNotShareLinkFSEXV{3.8}</v>
      </c>
      <c r="D24" s="250" t="str">
        <f>LinkingAndStatementsEvolution!P24</f>
        <v>3.8</v>
      </c>
      <c r="E24" s="251" t="s">
        <v>6652</v>
      </c>
      <c r="F24" s="242" t="str">
        <f t="shared" si="2"/>
        <v/>
      </c>
    </row>
    <row r="25">
      <c r="A25" s="243" t="s">
        <v>6650</v>
      </c>
      <c r="B25" s="244" t="s">
        <v>6656</v>
      </c>
      <c r="C25" s="245" t="str">
        <f t="shared" si="1"/>
        <v>\FPeval\varPapersNotShareLinkFSEXVI{0.0}</v>
      </c>
      <c r="D25" s="252" t="str">
        <f>LinkingAndStatementsEvolution!P25</f>
        <v>0.0</v>
      </c>
      <c r="E25" s="251" t="s">
        <v>6657</v>
      </c>
      <c r="F25" s="247" t="str">
        <f t="shared" si="2"/>
        <v/>
      </c>
    </row>
    <row r="26">
      <c r="A26" s="237" t="s">
        <v>6650</v>
      </c>
      <c r="B26" s="238" t="s">
        <v>6658</v>
      </c>
      <c r="C26" s="239" t="str">
        <f t="shared" si="1"/>
        <v>\FPeval\varPapersNotShareLinkFSEXVII{0.0}</v>
      </c>
      <c r="D26" s="250" t="str">
        <f>LinkingAndStatementsEvolution!P26</f>
        <v>0.0</v>
      </c>
      <c r="E26" s="251" t="s">
        <v>6657</v>
      </c>
      <c r="F26" s="242" t="str">
        <f t="shared" si="2"/>
        <v/>
      </c>
    </row>
    <row r="27">
      <c r="A27" s="243" t="s">
        <v>6650</v>
      </c>
      <c r="B27" s="244" t="s">
        <v>6659</v>
      </c>
      <c r="C27" s="245" t="str">
        <f t="shared" si="1"/>
        <v>\FPeval\varPapersNotShareLinkFSEXVIII{0.0}</v>
      </c>
      <c r="D27" s="252" t="str">
        <f>LinkingAndStatementsEvolution!P27</f>
        <v>0.0</v>
      </c>
      <c r="E27" s="251" t="s">
        <v>6657</v>
      </c>
      <c r="F27" s="247" t="str">
        <f t="shared" si="2"/>
        <v/>
      </c>
    </row>
    <row r="28">
      <c r="A28" s="237" t="s">
        <v>6650</v>
      </c>
      <c r="B28" s="238" t="s">
        <v>6660</v>
      </c>
      <c r="C28" s="239" t="str">
        <f t="shared" si="1"/>
        <v>\FPeval\varPapersNotShareLinkFSEXX{10.0}</v>
      </c>
      <c r="D28" s="250" t="str">
        <f>LinkingAndStatementsEvolution!P29</f>
        <v>10.0</v>
      </c>
      <c r="E28" s="251" t="s">
        <v>6661</v>
      </c>
      <c r="F28" s="242" t="str">
        <f t="shared" si="2"/>
        <v/>
      </c>
    </row>
    <row r="29">
      <c r="A29" s="243" t="s">
        <v>6650</v>
      </c>
      <c r="B29" s="244" t="s">
        <v>6662</v>
      </c>
      <c r="C29" s="245" t="str">
        <f t="shared" si="1"/>
        <v>\FPeval\varPapersNotShareLinkFSEXXI{16.7}</v>
      </c>
      <c r="D29" s="252" t="str">
        <f>LinkingAndStatementsEvolution!P30</f>
        <v>16.7</v>
      </c>
      <c r="E29" s="251" t="s">
        <v>6663</v>
      </c>
      <c r="F29" s="247" t="str">
        <f t="shared" si="2"/>
        <v/>
      </c>
    </row>
    <row r="30">
      <c r="A30" s="237" t="s">
        <v>6650</v>
      </c>
      <c r="B30" s="238" t="s">
        <v>6664</v>
      </c>
      <c r="C30" s="239" t="str">
        <f t="shared" si="1"/>
        <v>\FPeval\varPapersNotShareLinkFSEXXII{0.0}</v>
      </c>
      <c r="D30" s="250" t="str">
        <f>LinkingAndStatementsEvolution!P31</f>
        <v>0.0</v>
      </c>
      <c r="E30" s="251" t="s">
        <v>6657</v>
      </c>
      <c r="F30" s="242" t="str">
        <f t="shared" si="2"/>
        <v/>
      </c>
    </row>
    <row r="31">
      <c r="A31" s="243" t="s">
        <v>6650</v>
      </c>
      <c r="B31" s="244" t="s">
        <v>6665</v>
      </c>
      <c r="C31" s="245" t="str">
        <f t="shared" si="1"/>
        <v>\FPeval\varPapersNotShareLinkFSEXXIII{50.0}</v>
      </c>
      <c r="D31" s="252" t="str">
        <f>LinkingAndStatementsEvolution!P32</f>
        <v>50.0</v>
      </c>
      <c r="E31" s="251" t="s">
        <v>6666</v>
      </c>
      <c r="F31" s="247" t="str">
        <f t="shared" si="2"/>
        <v/>
      </c>
    </row>
    <row r="32">
      <c r="A32" s="237" t="s">
        <v>6650</v>
      </c>
      <c r="B32" s="238" t="s">
        <v>6667</v>
      </c>
      <c r="C32" s="239" t="str">
        <f t="shared" si="1"/>
        <v>\FPeval\varPapersNotShareLinkICSEXIV{5.6}</v>
      </c>
      <c r="D32" s="250" t="str">
        <f>LinkingAndStatementsEvolution!P5</f>
        <v>5.6</v>
      </c>
      <c r="E32" s="251" t="s">
        <v>6668</v>
      </c>
      <c r="F32" s="242" t="str">
        <f t="shared" si="2"/>
        <v/>
      </c>
    </row>
    <row r="33">
      <c r="A33" s="243" t="s">
        <v>6650</v>
      </c>
      <c r="B33" s="244" t="s">
        <v>6669</v>
      </c>
      <c r="C33" s="245" t="str">
        <f t="shared" si="1"/>
        <v>\FPeval\varPapersNotShareLinkICSEXIX{3.3}</v>
      </c>
      <c r="D33" s="252" t="str">
        <f>LinkingAndStatementsEvolution!P10</f>
        <v>3.3</v>
      </c>
      <c r="E33" s="251" t="s">
        <v>6670</v>
      </c>
      <c r="F33" s="247" t="str">
        <f t="shared" si="2"/>
        <v/>
      </c>
    </row>
    <row r="34">
      <c r="A34" s="237" t="s">
        <v>6650</v>
      </c>
      <c r="B34" s="238" t="s">
        <v>6671</v>
      </c>
      <c r="C34" s="239" t="str">
        <f t="shared" si="1"/>
        <v>\FPeval\varPapersNotShareLinkICSEXV{2.9}</v>
      </c>
      <c r="D34" s="250" t="str">
        <f>LinkingAndStatementsEvolution!P6</f>
        <v>2.9</v>
      </c>
      <c r="E34" s="251" t="s">
        <v>6672</v>
      </c>
      <c r="F34" s="242" t="str">
        <f t="shared" si="2"/>
        <v/>
      </c>
    </row>
    <row r="35">
      <c r="A35" s="243" t="s">
        <v>6650</v>
      </c>
      <c r="B35" s="244" t="s">
        <v>6673</v>
      </c>
      <c r="C35" s="245" t="str">
        <f t="shared" si="1"/>
        <v>\FPeval\varPapersNotShareLinkICSEXVI{12.9}</v>
      </c>
      <c r="D35" s="252" t="str">
        <f>LinkingAndStatementsEvolution!P7</f>
        <v>12.9</v>
      </c>
      <c r="E35" s="251" t="s">
        <v>6674</v>
      </c>
      <c r="F35" s="247" t="str">
        <f t="shared" si="2"/>
        <v/>
      </c>
    </row>
    <row r="36">
      <c r="A36" s="237" t="s">
        <v>6650</v>
      </c>
      <c r="B36" s="238" t="s">
        <v>6675</v>
      </c>
      <c r="C36" s="239" t="str">
        <f t="shared" si="1"/>
        <v>\FPeval\varPapersNotShareLinkICSEXVII{0.0}</v>
      </c>
      <c r="D36" s="250" t="str">
        <f>LinkingAndStatementsEvolution!P8</f>
        <v>0.0</v>
      </c>
      <c r="E36" s="251" t="s">
        <v>6657</v>
      </c>
      <c r="F36" s="242" t="str">
        <f t="shared" si="2"/>
        <v/>
      </c>
    </row>
    <row r="37">
      <c r="A37" s="243" t="s">
        <v>6650</v>
      </c>
      <c r="B37" s="244" t="s">
        <v>6676</v>
      </c>
      <c r="C37" s="245" t="str">
        <f t="shared" si="1"/>
        <v>\FPeval\varPapersNotShareLinkICSEXVIII{9.1}</v>
      </c>
      <c r="D37" s="252" t="str">
        <f>LinkingAndStatementsEvolution!P9</f>
        <v>9.1</v>
      </c>
      <c r="E37" s="251" t="s">
        <v>6677</v>
      </c>
      <c r="F37" s="247" t="str">
        <f t="shared" si="2"/>
        <v/>
      </c>
    </row>
    <row r="38">
      <c r="A38" s="237" t="s">
        <v>6650</v>
      </c>
      <c r="B38" s="238" t="s">
        <v>6678</v>
      </c>
      <c r="C38" s="239" t="str">
        <f t="shared" si="1"/>
        <v>\FPeval\varPapersNotShareLinkICSEXX{0.0}</v>
      </c>
      <c r="D38" s="250" t="str">
        <f>LinkingAndStatementsEvolution!P11</f>
        <v>0.0</v>
      </c>
      <c r="E38" s="251" t="s">
        <v>6657</v>
      </c>
      <c r="F38" s="242" t="str">
        <f t="shared" si="2"/>
        <v/>
      </c>
    </row>
    <row r="39">
      <c r="A39" s="243" t="s">
        <v>6650</v>
      </c>
      <c r="B39" s="244" t="s">
        <v>6679</v>
      </c>
      <c r="C39" s="245" t="str">
        <f t="shared" si="1"/>
        <v>\FPeval\varPapersNotShareLinkICSEXXI{16.7}</v>
      </c>
      <c r="D39" s="252" t="str">
        <f>LinkingAndStatementsEvolution!P12</f>
        <v>16.7</v>
      </c>
      <c r="E39" s="251" t="s">
        <v>6663</v>
      </c>
      <c r="F39" s="247" t="str">
        <f t="shared" si="2"/>
        <v/>
      </c>
    </row>
    <row r="40">
      <c r="A40" s="237" t="s">
        <v>6650</v>
      </c>
      <c r="B40" s="238" t="s">
        <v>6680</v>
      </c>
      <c r="C40" s="239" t="str">
        <f t="shared" si="1"/>
        <v>\FPeval\varPapersNotShareLinkICSEXXII{19.0}</v>
      </c>
      <c r="D40" s="250" t="str">
        <f>LinkingAndStatementsEvolution!P13</f>
        <v>19.0</v>
      </c>
      <c r="E40" s="251" t="s">
        <v>6681</v>
      </c>
      <c r="F40" s="242" t="str">
        <f t="shared" si="2"/>
        <v/>
      </c>
    </row>
    <row r="41">
      <c r="A41" s="243" t="s">
        <v>6650</v>
      </c>
      <c r="B41" s="244" t="s">
        <v>6682</v>
      </c>
      <c r="C41" s="245" t="str">
        <f t="shared" si="1"/>
        <v>\FPeval\varPapersNotShareLinkICSEXXIII{14.3}</v>
      </c>
      <c r="D41" s="252" t="str">
        <f>LinkingAndStatementsEvolution!P14</f>
        <v>14.3</v>
      </c>
      <c r="E41" s="251" t="s">
        <v>6683</v>
      </c>
      <c r="F41" s="247" t="str">
        <f t="shared" si="2"/>
        <v/>
      </c>
    </row>
    <row r="42">
      <c r="A42" s="237" t="s">
        <v>6684</v>
      </c>
      <c r="B42" s="239" t="s">
        <v>6685</v>
      </c>
      <c r="C42" s="239" t="str">
        <f t="shared" si="1"/>
        <v>\FPeval\varEvolutionOfPapersWithLinkInSpecifSectionXIVFSE{5.7}</v>
      </c>
      <c r="D42" s="253" t="str">
        <f>SectionLocation!M4</f>
        <v>5.7</v>
      </c>
      <c r="E42" s="254" t="s">
        <v>6686</v>
      </c>
      <c r="F42" s="242" t="str">
        <f t="shared" si="2"/>
        <v/>
      </c>
    </row>
    <row r="43">
      <c r="A43" s="243" t="s">
        <v>6684</v>
      </c>
      <c r="B43" s="245" t="s">
        <v>6687</v>
      </c>
      <c r="C43" s="245" t="str">
        <f t="shared" si="1"/>
        <v>\FPeval\varEvolutionOfPapersWithLinkInSpecifSectionXIVICSE{1.6}</v>
      </c>
      <c r="D43" s="255" t="str">
        <f>SectionLocation!K4</f>
        <v>1.6</v>
      </c>
      <c r="E43" s="254" t="s">
        <v>6688</v>
      </c>
      <c r="F43" s="247" t="str">
        <f t="shared" si="2"/>
        <v/>
      </c>
    </row>
    <row r="44">
      <c r="A44" s="237" t="s">
        <v>6684</v>
      </c>
      <c r="B44" s="239" t="s">
        <v>6689</v>
      </c>
      <c r="C44" s="239" t="str">
        <f t="shared" si="1"/>
        <v>\FPeval\varEvolutionOfPapersWithLinkInSpecifSectionXIXFSE{4.8}</v>
      </c>
      <c r="D44" s="253" t="str">
        <f>SectionLocation!M9</f>
        <v>4.8</v>
      </c>
      <c r="E44" s="254" t="s">
        <v>6690</v>
      </c>
      <c r="F44" s="242" t="str">
        <f t="shared" si="2"/>
        <v/>
      </c>
    </row>
    <row r="45">
      <c r="A45" s="243" t="s">
        <v>6684</v>
      </c>
      <c r="B45" s="245" t="s">
        <v>6691</v>
      </c>
      <c r="C45" s="245" t="str">
        <f t="shared" si="1"/>
        <v>\FPeval\varEvolutionOfPapersWithLinkInSpecifSectionXIXICSE{5.1}</v>
      </c>
      <c r="D45" s="255" t="str">
        <f>SectionLocation!K9</f>
        <v>5.1</v>
      </c>
      <c r="E45" s="254" t="s">
        <v>6692</v>
      </c>
      <c r="F45" s="247" t="str">
        <f t="shared" si="2"/>
        <v/>
      </c>
    </row>
    <row r="46">
      <c r="A46" s="237" t="s">
        <v>6684</v>
      </c>
      <c r="B46" s="239" t="s">
        <v>6693</v>
      </c>
      <c r="C46" s="239" t="str">
        <f t="shared" si="1"/>
        <v>\FPeval\varEvolutionOfPapersWithLinkInSpecifSectionXVFSE{22.9}</v>
      </c>
      <c r="D46" s="253" t="str">
        <f>SectionLocation!M5</f>
        <v>22.9</v>
      </c>
      <c r="E46" s="254" t="s">
        <v>6694</v>
      </c>
      <c r="F46" s="242" t="str">
        <f t="shared" si="2"/>
        <v/>
      </c>
    </row>
    <row r="47">
      <c r="A47" s="243" t="s">
        <v>6684</v>
      </c>
      <c r="B47" s="245" t="s">
        <v>6695</v>
      </c>
      <c r="C47" s="245" t="str">
        <f t="shared" si="1"/>
        <v>\FPeval\varEvolutionOfPapersWithLinkInSpecifSectionXVICSE{0.0}</v>
      </c>
      <c r="D47" s="255" t="str">
        <f>SectionLocation!K5</f>
        <v>0.0</v>
      </c>
      <c r="E47" s="254" t="s">
        <v>6657</v>
      </c>
      <c r="F47" s="247" t="str">
        <f t="shared" si="2"/>
        <v/>
      </c>
    </row>
    <row r="48">
      <c r="A48" s="237" t="s">
        <v>6684</v>
      </c>
      <c r="B48" s="239" t="s">
        <v>6696</v>
      </c>
      <c r="C48" s="239" t="str">
        <f t="shared" si="1"/>
        <v>\FPeval\varEvolutionOfPapersWithLinkInSpecifSectionXVIFSE{33.3}</v>
      </c>
      <c r="D48" s="253" t="str">
        <f>SectionLocation!M6</f>
        <v>33.3</v>
      </c>
      <c r="E48" s="254" t="s">
        <v>6697</v>
      </c>
      <c r="F48" s="242" t="str">
        <f t="shared" si="2"/>
        <v/>
      </c>
    </row>
    <row r="49">
      <c r="A49" s="243" t="s">
        <v>6684</v>
      </c>
      <c r="B49" s="245" t="s">
        <v>6698</v>
      </c>
      <c r="C49" s="245" t="str">
        <f t="shared" si="1"/>
        <v>\FPeval\varEvolutionOfPapersWithLinkInSpecifSectionXVIICSE{0.0}</v>
      </c>
      <c r="D49" s="255" t="str">
        <f>SectionLocation!K6</f>
        <v>0.0</v>
      </c>
      <c r="E49" s="254" t="s">
        <v>6657</v>
      </c>
      <c r="F49" s="247" t="str">
        <f t="shared" si="2"/>
        <v/>
      </c>
    </row>
    <row r="50">
      <c r="A50" s="237" t="s">
        <v>6684</v>
      </c>
      <c r="B50" s="239" t="s">
        <v>6699</v>
      </c>
      <c r="C50" s="239" t="str">
        <f t="shared" si="1"/>
        <v>\FPeval\varEvolutionOfPapersWithLinkInSpecifSectionXVIIFSE{15.1}</v>
      </c>
      <c r="D50" s="253" t="str">
        <f>SectionLocation!M7</f>
        <v>15.1</v>
      </c>
      <c r="E50" s="254" t="s">
        <v>6700</v>
      </c>
      <c r="F50" s="242" t="str">
        <f t="shared" si="2"/>
        <v/>
      </c>
    </row>
    <row r="51">
      <c r="A51" s="243" t="s">
        <v>6684</v>
      </c>
      <c r="B51" s="245" t="s">
        <v>6701</v>
      </c>
      <c r="C51" s="245" t="str">
        <f t="shared" si="1"/>
        <v>\FPeval\varEvolutionOfPapersWithLinkInSpecifSectionXVIIICSE{19.6}</v>
      </c>
      <c r="D51" s="255" t="str">
        <f>SectionLocation!K7</f>
        <v>19.6</v>
      </c>
      <c r="E51" s="254" t="s">
        <v>6702</v>
      </c>
      <c r="F51" s="247" t="str">
        <f t="shared" si="2"/>
        <v/>
      </c>
    </row>
    <row r="52">
      <c r="A52" s="237" t="s">
        <v>6684</v>
      </c>
      <c r="B52" s="239" t="s">
        <v>6703</v>
      </c>
      <c r="C52" s="239" t="str">
        <f t="shared" si="1"/>
        <v>\FPeval\varEvolutionOfPapersWithLinkInSpecifSectionXVIIIFSE{5.9}</v>
      </c>
      <c r="D52" s="253" t="str">
        <f>SectionLocation!M8</f>
        <v>5.9</v>
      </c>
      <c r="E52" s="254" t="s">
        <v>6704</v>
      </c>
      <c r="F52" s="242" t="str">
        <f t="shared" si="2"/>
        <v/>
      </c>
    </row>
    <row r="53">
      <c r="A53" s="243" t="s">
        <v>6684</v>
      </c>
      <c r="B53" s="245" t="s">
        <v>6705</v>
      </c>
      <c r="C53" s="245" t="str">
        <f t="shared" si="1"/>
        <v>\FPeval\varEvolutionOfPapersWithLinkInSpecifSectionXVIIIICSE{1.2}</v>
      </c>
      <c r="D53" s="255" t="str">
        <f>SectionLocation!K8</f>
        <v>1.2</v>
      </c>
      <c r="E53" s="254" t="s">
        <v>6706</v>
      </c>
      <c r="F53" s="247" t="str">
        <f t="shared" si="2"/>
        <v/>
      </c>
    </row>
    <row r="54">
      <c r="A54" s="237" t="s">
        <v>6684</v>
      </c>
      <c r="B54" s="239" t="s">
        <v>6707</v>
      </c>
      <c r="C54" s="239" t="str">
        <f t="shared" si="1"/>
        <v>\FPeval\varEvolutionOfPapersWithLinkInSpecifSectionXXFSE{7.7}</v>
      </c>
      <c r="D54" s="253" t="str">
        <f>SectionLocation!M10</f>
        <v>7.7</v>
      </c>
      <c r="E54" s="254" t="s">
        <v>6708</v>
      </c>
      <c r="F54" s="242" t="str">
        <f t="shared" si="2"/>
        <v/>
      </c>
    </row>
    <row r="55">
      <c r="A55" s="243" t="s">
        <v>6684</v>
      </c>
      <c r="B55" s="245" t="s">
        <v>6709</v>
      </c>
      <c r="C55" s="245" t="str">
        <f t="shared" si="1"/>
        <v>\FPeval\varEvolutionOfPapersWithLinkInSpecifSectionXXICSE{4.7}</v>
      </c>
      <c r="D55" s="255" t="str">
        <f>SectionLocation!K10</f>
        <v>4.7</v>
      </c>
      <c r="E55" s="254" t="s">
        <v>6710</v>
      </c>
      <c r="F55" s="247" t="str">
        <f t="shared" si="2"/>
        <v/>
      </c>
    </row>
    <row r="56">
      <c r="A56" s="237" t="s">
        <v>6684</v>
      </c>
      <c r="B56" s="239" t="s">
        <v>6711</v>
      </c>
      <c r="C56" s="239" t="str">
        <f t="shared" si="1"/>
        <v>\FPeval\varEvolutionOfPapersWithLinkInSpecifSectionXXIFSE{7.1}</v>
      </c>
      <c r="D56" s="253" t="str">
        <f>SectionLocation!M11</f>
        <v>7.1</v>
      </c>
      <c r="E56" s="254" t="s">
        <v>6712</v>
      </c>
      <c r="F56" s="242" t="str">
        <f t="shared" si="2"/>
        <v/>
      </c>
    </row>
    <row r="57">
      <c r="A57" s="243" t="s">
        <v>6684</v>
      </c>
      <c r="B57" s="245" t="s">
        <v>6713</v>
      </c>
      <c r="C57" s="245" t="str">
        <f t="shared" si="1"/>
        <v>\FPeval\varEvolutionOfPapersWithLinkInSpecifSectionXXIICSE{21.7}</v>
      </c>
      <c r="D57" s="255" t="str">
        <f>SectionLocation!K11</f>
        <v>21.7</v>
      </c>
      <c r="E57" s="254" t="s">
        <v>6714</v>
      </c>
      <c r="F57" s="247" t="str">
        <f t="shared" si="2"/>
        <v/>
      </c>
    </row>
    <row r="58">
      <c r="A58" s="237" t="s">
        <v>6684</v>
      </c>
      <c r="B58" s="239" t="s">
        <v>6715</v>
      </c>
      <c r="C58" s="239" t="str">
        <f t="shared" si="1"/>
        <v>\FPeval\varEvolutionOfPapersWithLinkInSpecifSectionXXIIFSE{25.3}</v>
      </c>
      <c r="D58" s="253" t="str">
        <f>SectionLocation!M12</f>
        <v>25.3</v>
      </c>
      <c r="E58" s="254" t="s">
        <v>6716</v>
      </c>
      <c r="F58" s="242" t="str">
        <f t="shared" si="2"/>
        <v/>
      </c>
    </row>
    <row r="59">
      <c r="A59" s="243" t="s">
        <v>6684</v>
      </c>
      <c r="B59" s="245" t="s">
        <v>6717</v>
      </c>
      <c r="C59" s="245" t="str">
        <f t="shared" si="1"/>
        <v>\FPeval\varEvolutionOfPapersWithLinkInSpecifSectionXXIIICSE{17.0}</v>
      </c>
      <c r="D59" s="255" t="str">
        <f>SectionLocation!K12</f>
        <v>17.0</v>
      </c>
      <c r="E59" s="254" t="s">
        <v>6718</v>
      </c>
      <c r="F59" s="247" t="str">
        <f t="shared" si="2"/>
        <v/>
      </c>
    </row>
    <row r="60">
      <c r="A60" s="237" t="s">
        <v>6684</v>
      </c>
      <c r="B60" s="239" t="s">
        <v>6719</v>
      </c>
      <c r="C60" s="239" t="str">
        <f t="shared" si="1"/>
        <v>\FPeval\varEvolutionOfPapersWithLinkInSpecifSectionXXIIIFSE{82.4}</v>
      </c>
      <c r="D60" s="253" t="str">
        <f>SectionLocation!M13</f>
        <v>82.4</v>
      </c>
      <c r="E60" s="254" t="s">
        <v>6639</v>
      </c>
      <c r="F60" s="242" t="str">
        <f t="shared" si="2"/>
        <v/>
      </c>
    </row>
    <row r="61">
      <c r="A61" s="243" t="s">
        <v>6684</v>
      </c>
      <c r="B61" s="245" t="s">
        <v>6720</v>
      </c>
      <c r="C61" s="245" t="str">
        <f t="shared" si="1"/>
        <v>\FPeval\varEvolutionOfPapersWithLinkInSpecifSectionXXIIIICSE{24.5}</v>
      </c>
      <c r="D61" s="255" t="str">
        <f>SectionLocation!K13</f>
        <v>24.5</v>
      </c>
      <c r="E61" s="254" t="s">
        <v>6721</v>
      </c>
      <c r="F61" s="247" t="str">
        <f t="shared" si="2"/>
        <v/>
      </c>
    </row>
    <row r="62">
      <c r="A62" s="237" t="s">
        <v>6722</v>
      </c>
      <c r="B62" s="248" t="s">
        <v>6723</v>
      </c>
      <c r="C62" s="239" t="str">
        <f t="shared" si="1"/>
        <v>\FPeval\varArtifactLocationEvolutionUniqueIdentifierXIVFSE{5.7}</v>
      </c>
      <c r="D62" s="253" t="str">
        <f>Repositories!AC49</f>
        <v>5.7</v>
      </c>
      <c r="E62" s="254" t="s">
        <v>6686</v>
      </c>
      <c r="F62" s="242" t="str">
        <f t="shared" si="2"/>
        <v/>
      </c>
    </row>
    <row r="63">
      <c r="A63" s="243" t="s">
        <v>6722</v>
      </c>
      <c r="B63" s="249" t="s">
        <v>6724</v>
      </c>
      <c r="C63" s="245" t="str">
        <f t="shared" si="1"/>
        <v>\FPeval\varArtifactLocationEvolutionUniqueIdentifierXIVICSE{1.6}</v>
      </c>
      <c r="D63" s="255" t="str">
        <f>Repositories!AC21</f>
        <v>1.6</v>
      </c>
      <c r="E63" s="254" t="s">
        <v>6688</v>
      </c>
      <c r="F63" s="247" t="str">
        <f t="shared" si="2"/>
        <v/>
      </c>
    </row>
    <row r="64">
      <c r="A64" s="237" t="s">
        <v>6722</v>
      </c>
      <c r="B64" s="248" t="s">
        <v>6725</v>
      </c>
      <c r="C64" s="239" t="str">
        <f t="shared" si="1"/>
        <v>\FPeval\varArtifactLocationEvolutionUniqueIdentifierXIXFSE{24.2}</v>
      </c>
      <c r="D64" s="253" t="str">
        <f>Repositories!AC54</f>
        <v>24.2</v>
      </c>
      <c r="E64" s="254" t="s">
        <v>6726</v>
      </c>
      <c r="F64" s="242" t="str">
        <f t="shared" si="2"/>
        <v/>
      </c>
    </row>
    <row r="65">
      <c r="A65" s="243" t="s">
        <v>6722</v>
      </c>
      <c r="B65" s="249" t="s">
        <v>6727</v>
      </c>
      <c r="C65" s="245" t="str">
        <f t="shared" si="1"/>
        <v>\FPeval\varArtifactLocationEvolutionUniqueIdentifierXIXICSE{19.0}</v>
      </c>
      <c r="D65" s="255" t="str">
        <f>Repositories!AC26</f>
        <v>19.0</v>
      </c>
      <c r="E65" s="254" t="s">
        <v>6681</v>
      </c>
      <c r="F65" s="247" t="str">
        <f t="shared" si="2"/>
        <v/>
      </c>
    </row>
    <row r="66">
      <c r="A66" s="237" t="s">
        <v>6722</v>
      </c>
      <c r="B66" s="248" t="s">
        <v>6728</v>
      </c>
      <c r="C66" s="239" t="str">
        <f t="shared" si="1"/>
        <v>\FPeval\varArtifactLocationEvolutionUniqueIdentifierXVFSE{0.0}</v>
      </c>
      <c r="D66" s="253" t="str">
        <f>Repositories!AC50</f>
        <v>0.0</v>
      </c>
      <c r="E66" s="254" t="s">
        <v>6657</v>
      </c>
      <c r="F66" s="242" t="str">
        <f t="shared" si="2"/>
        <v/>
      </c>
    </row>
    <row r="67">
      <c r="A67" s="243" t="s">
        <v>6722</v>
      </c>
      <c r="B67" s="249" t="s">
        <v>6729</v>
      </c>
      <c r="C67" s="245" t="str">
        <f t="shared" si="1"/>
        <v>\FPeval\varArtifactLocationEvolutionUniqueIdentifierXVICSE{2.0}</v>
      </c>
      <c r="D67" s="255" t="str">
        <f>Repositories!AC22</f>
        <v>2.0</v>
      </c>
      <c r="E67" s="254" t="s">
        <v>6730</v>
      </c>
      <c r="F67" s="247" t="str">
        <f t="shared" si="2"/>
        <v/>
      </c>
    </row>
    <row r="68">
      <c r="A68" s="237" t="s">
        <v>6722</v>
      </c>
      <c r="B68" s="248" t="s">
        <v>6731</v>
      </c>
      <c r="C68" s="239" t="str">
        <f t="shared" si="1"/>
        <v>\FPeval\varArtifactLocationEvolutionUniqueIdentifierXVIFSE{1.9}</v>
      </c>
      <c r="D68" s="253" t="str">
        <f>Repositories!AC51</f>
        <v>1.9</v>
      </c>
      <c r="E68" s="254" t="s">
        <v>6732</v>
      </c>
      <c r="F68" s="242" t="str">
        <f t="shared" si="2"/>
        <v/>
      </c>
    </row>
    <row r="69">
      <c r="A69" s="243" t="s">
        <v>6722</v>
      </c>
      <c r="B69" s="249" t="s">
        <v>6733</v>
      </c>
      <c r="C69" s="245" t="str">
        <f t="shared" si="1"/>
        <v>\FPeval\varArtifactLocationEvolutionUniqueIdentifierXVIICSE{10.0}</v>
      </c>
      <c r="D69" s="255" t="str">
        <f>Repositories!AC23</f>
        <v>10.0</v>
      </c>
      <c r="E69" s="254" t="s">
        <v>6661</v>
      </c>
      <c r="F69" s="247" t="str">
        <f t="shared" si="2"/>
        <v/>
      </c>
    </row>
    <row r="70">
      <c r="A70" s="237" t="s">
        <v>6722</v>
      </c>
      <c r="B70" s="248" t="s">
        <v>6734</v>
      </c>
      <c r="C70" s="239" t="str">
        <f t="shared" si="1"/>
        <v>\FPeval\varArtifactLocationEvolutionUniqueIdentifierXVIIFSE{1.9}</v>
      </c>
      <c r="D70" s="253" t="str">
        <f>Repositories!AC52</f>
        <v>1.9</v>
      </c>
      <c r="E70" s="254" t="s">
        <v>6732</v>
      </c>
      <c r="F70" s="242" t="str">
        <f t="shared" si="2"/>
        <v/>
      </c>
    </row>
    <row r="71">
      <c r="A71" s="243" t="s">
        <v>6722</v>
      </c>
      <c r="B71" s="249" t="s">
        <v>6735</v>
      </c>
      <c r="C71" s="245" t="str">
        <f t="shared" si="1"/>
        <v>\FPeval\varArtifactLocationEvolutionUniqueIdentifierXVIIICSE{3.6}</v>
      </c>
      <c r="D71" s="255" t="str">
        <f>Repositories!AC24</f>
        <v>3.6</v>
      </c>
      <c r="E71" s="254" t="s">
        <v>6736</v>
      </c>
      <c r="F71" s="247" t="str">
        <f t="shared" si="2"/>
        <v/>
      </c>
    </row>
    <row r="72">
      <c r="A72" s="237" t="s">
        <v>6722</v>
      </c>
      <c r="B72" s="248" t="s">
        <v>6737</v>
      </c>
      <c r="C72" s="239" t="str">
        <f t="shared" si="1"/>
        <v>\FPeval\varArtifactLocationEvolutionUniqueIdentifierXVIIIFSE{13.7}</v>
      </c>
      <c r="D72" s="253" t="str">
        <f>Repositories!AC53</f>
        <v>13.7</v>
      </c>
      <c r="E72" s="254" t="s">
        <v>6738</v>
      </c>
      <c r="F72" s="242" t="str">
        <f t="shared" si="2"/>
        <v/>
      </c>
    </row>
    <row r="73">
      <c r="A73" s="243" t="s">
        <v>6722</v>
      </c>
      <c r="B73" s="249" t="s">
        <v>6739</v>
      </c>
      <c r="C73" s="245" t="str">
        <f t="shared" si="1"/>
        <v>\FPeval\varArtifactLocationEvolutionUniqueIdentifierXVIIIICSE{13.3}</v>
      </c>
      <c r="D73" s="255" t="str">
        <f>Repositories!AC25</f>
        <v>13.3</v>
      </c>
      <c r="E73" s="254" t="s">
        <v>6740</v>
      </c>
      <c r="F73" s="247" t="str">
        <f t="shared" si="2"/>
        <v/>
      </c>
    </row>
    <row r="74">
      <c r="A74" s="237" t="s">
        <v>6722</v>
      </c>
      <c r="B74" s="248" t="s">
        <v>6741</v>
      </c>
      <c r="C74" s="239" t="str">
        <f t="shared" si="1"/>
        <v>\FPeval\varArtifactLocationEvolutionUniqueIdentifierXXFSE{47.3}</v>
      </c>
      <c r="D74" s="253" t="str">
        <f>Repositories!AC55</f>
        <v>47.3</v>
      </c>
      <c r="E74" s="254" t="s">
        <v>6742</v>
      </c>
      <c r="F74" s="242" t="str">
        <f t="shared" si="2"/>
        <v/>
      </c>
    </row>
    <row r="75">
      <c r="A75" s="243" t="s">
        <v>6722</v>
      </c>
      <c r="B75" s="249" t="s">
        <v>6743</v>
      </c>
      <c r="C75" s="245" t="str">
        <f t="shared" si="1"/>
        <v>\FPeval\varArtifactLocationEvolutionUniqueIdentifierXXICSE{17.0}</v>
      </c>
      <c r="D75" s="255" t="str">
        <f>Repositories!AC27</f>
        <v>17.0</v>
      </c>
      <c r="E75" s="254" t="s">
        <v>6718</v>
      </c>
      <c r="F75" s="247" t="str">
        <f t="shared" si="2"/>
        <v/>
      </c>
    </row>
    <row r="76">
      <c r="A76" s="237" t="s">
        <v>6722</v>
      </c>
      <c r="B76" s="248" t="s">
        <v>6744</v>
      </c>
      <c r="C76" s="239" t="str">
        <f t="shared" si="1"/>
        <v>\FPeval\varArtifactLocationEvolutionUniqueIdentifierXXIFSE{27.1}</v>
      </c>
      <c r="D76" s="253" t="str">
        <f>Repositories!AC56</f>
        <v>27.1</v>
      </c>
      <c r="E76" s="254" t="s">
        <v>6745</v>
      </c>
      <c r="F76" s="242" t="str">
        <f t="shared" si="2"/>
        <v/>
      </c>
    </row>
    <row r="77">
      <c r="A77" s="243" t="s">
        <v>6722</v>
      </c>
      <c r="B77" s="249" t="s">
        <v>6746</v>
      </c>
      <c r="C77" s="245" t="str">
        <f t="shared" si="1"/>
        <v>\FPeval\varArtifactLocationEvolutionUniqueIdentifierXXIICSE{31.7}</v>
      </c>
      <c r="D77" s="255" t="str">
        <f>Repositories!AC28</f>
        <v>31.7</v>
      </c>
      <c r="E77" s="254" t="s">
        <v>6747</v>
      </c>
      <c r="F77" s="247" t="str">
        <f t="shared" si="2"/>
        <v/>
      </c>
    </row>
    <row r="78">
      <c r="A78" s="237" t="s">
        <v>6722</v>
      </c>
      <c r="B78" s="248" t="s">
        <v>6748</v>
      </c>
      <c r="C78" s="239" t="str">
        <f t="shared" si="1"/>
        <v>\FPeval\varArtifactLocationEvolutionUniqueIdentifierXXIIFSE{46.2}</v>
      </c>
      <c r="D78" s="253" t="str">
        <f>Repositories!AC57</f>
        <v>46.2</v>
      </c>
      <c r="E78" s="254" t="s">
        <v>6749</v>
      </c>
      <c r="F78" s="242" t="str">
        <f t="shared" si="2"/>
        <v/>
      </c>
    </row>
    <row r="79">
      <c r="A79" s="243" t="s">
        <v>6722</v>
      </c>
      <c r="B79" s="249" t="s">
        <v>6750</v>
      </c>
      <c r="C79" s="245" t="str">
        <f t="shared" si="1"/>
        <v>\FPeval\varArtifactLocationEvolutionUniqueIdentifierXXIIICSE{31.3}</v>
      </c>
      <c r="D79" s="255" t="str">
        <f>Repositories!AC29</f>
        <v>31.3</v>
      </c>
      <c r="E79" s="254" t="s">
        <v>6751</v>
      </c>
      <c r="F79" s="247" t="str">
        <f t="shared" si="2"/>
        <v/>
      </c>
    </row>
    <row r="80">
      <c r="A80" s="237" t="s">
        <v>6722</v>
      </c>
      <c r="B80" s="248" t="s">
        <v>6752</v>
      </c>
      <c r="C80" s="239" t="str">
        <f t="shared" si="1"/>
        <v>\FPeval\varArtifactLocationEvolutionUniqueIdentifierXXIIIFSE{46.4}</v>
      </c>
      <c r="D80" s="253" t="str">
        <f>Repositories!AC58</f>
        <v>46.4</v>
      </c>
      <c r="E80" s="254" t="s">
        <v>6753</v>
      </c>
      <c r="F80" s="242" t="str">
        <f t="shared" si="2"/>
        <v/>
      </c>
    </row>
    <row r="81">
      <c r="A81" s="243" t="s">
        <v>6722</v>
      </c>
      <c r="B81" s="249" t="s">
        <v>6754</v>
      </c>
      <c r="C81" s="245" t="str">
        <f t="shared" si="1"/>
        <v>\FPeval\varArtifactLocationEvolutionUniqueIdentifierXXIIIICSE{35.5}</v>
      </c>
      <c r="D81" s="255" t="str">
        <f>Repositories!AC30</f>
        <v>35.5</v>
      </c>
      <c r="E81" s="254" t="s">
        <v>6755</v>
      </c>
      <c r="F81" s="247" t="str">
        <f t="shared" si="2"/>
        <v/>
      </c>
    </row>
    <row r="82">
      <c r="A82" s="237" t="s">
        <v>6756</v>
      </c>
      <c r="B82" s="256" t="s">
        <v>6757</v>
      </c>
      <c r="C82" s="239" t="str">
        <f t="shared" si="1"/>
        <v>\FPeval\FSEXIVInstitutionalPages{65.7}</v>
      </c>
      <c r="D82" s="250" t="str">
        <f>Repositories!Z62</f>
        <v>65.7</v>
      </c>
      <c r="E82" s="251" t="s">
        <v>6758</v>
      </c>
      <c r="F82" s="242" t="str">
        <f t="shared" si="2"/>
        <v/>
      </c>
    </row>
    <row r="83">
      <c r="A83" s="243" t="s">
        <v>6756</v>
      </c>
      <c r="B83" s="257" t="s">
        <v>6759</v>
      </c>
      <c r="C83" s="245" t="str">
        <f t="shared" si="1"/>
        <v>\FPeval\FSEXIXInstitutionalPages{4.8}</v>
      </c>
      <c r="D83" s="252" t="str">
        <f>Repositories!Z67</f>
        <v>4.8</v>
      </c>
      <c r="E83" s="251" t="s">
        <v>6690</v>
      </c>
      <c r="F83" s="247" t="str">
        <f t="shared" si="2"/>
        <v/>
      </c>
    </row>
    <row r="84">
      <c r="A84" s="237" t="s">
        <v>6756</v>
      </c>
      <c r="B84" s="256" t="s">
        <v>6760</v>
      </c>
      <c r="C84" s="239" t="str">
        <f t="shared" si="1"/>
        <v>\FPeval\FSEXVIIIInstitutionalPages{11.8}</v>
      </c>
      <c r="D84" s="250" t="str">
        <f>Repositories!Z66</f>
        <v>11.8</v>
      </c>
      <c r="E84" s="251" t="s">
        <v>6761</v>
      </c>
      <c r="F84" s="242" t="str">
        <f t="shared" si="2"/>
        <v/>
      </c>
    </row>
    <row r="85">
      <c r="A85" s="243" t="s">
        <v>6756</v>
      </c>
      <c r="B85" s="257" t="s">
        <v>6762</v>
      </c>
      <c r="C85" s="245" t="str">
        <f t="shared" si="1"/>
        <v>\FPeval\FSEXVIIInstitutionalPages{39.6}</v>
      </c>
      <c r="D85" s="252" t="str">
        <f>Repositories!Z65</f>
        <v>39.6</v>
      </c>
      <c r="E85" s="251" t="s">
        <v>6763</v>
      </c>
      <c r="F85" s="247" t="str">
        <f t="shared" si="2"/>
        <v/>
      </c>
    </row>
    <row r="86">
      <c r="A86" s="237" t="s">
        <v>6756</v>
      </c>
      <c r="B86" s="256" t="s">
        <v>6764</v>
      </c>
      <c r="C86" s="239" t="str">
        <f t="shared" si="1"/>
        <v>\FPeval\FSEXVIInstitutionalPages{38.9}</v>
      </c>
      <c r="D86" s="250" t="str">
        <f>Repositories!Z64</f>
        <v>38.9</v>
      </c>
      <c r="E86" s="251" t="s">
        <v>6765</v>
      </c>
      <c r="F86" s="242" t="str">
        <f t="shared" si="2"/>
        <v/>
      </c>
    </row>
    <row r="87">
      <c r="A87" s="243" t="s">
        <v>6756</v>
      </c>
      <c r="B87" s="257" t="s">
        <v>6766</v>
      </c>
      <c r="C87" s="245" t="str">
        <f t="shared" si="1"/>
        <v>\FPeval\FSEXVInstitutionalPages{45.8}</v>
      </c>
      <c r="D87" s="252" t="str">
        <f>Repositories!Z63</f>
        <v>45.8</v>
      </c>
      <c r="E87" s="251" t="s">
        <v>6767</v>
      </c>
      <c r="F87" s="247" t="str">
        <f t="shared" si="2"/>
        <v/>
      </c>
    </row>
    <row r="88">
      <c r="A88" s="237" t="s">
        <v>6756</v>
      </c>
      <c r="B88" s="256" t="s">
        <v>6768</v>
      </c>
      <c r="C88" s="239" t="str">
        <f t="shared" si="1"/>
        <v>\FPeval\FSEXXIIIInstitutionalPages{0.0}</v>
      </c>
      <c r="D88" s="250" t="str">
        <f>Repositories!Z71</f>
        <v>0.0</v>
      </c>
      <c r="E88" s="251" t="s">
        <v>6657</v>
      </c>
      <c r="F88" s="242" t="str">
        <f t="shared" si="2"/>
        <v/>
      </c>
    </row>
    <row r="89">
      <c r="A89" s="243" t="s">
        <v>6756</v>
      </c>
      <c r="B89" s="257" t="s">
        <v>6769</v>
      </c>
      <c r="C89" s="245" t="str">
        <f t="shared" si="1"/>
        <v>\FPeval\FSEXXIIInstitutionalPages{1.1}</v>
      </c>
      <c r="D89" s="252" t="str">
        <f>Repositories!Z70</f>
        <v>1.1</v>
      </c>
      <c r="E89" s="251" t="s">
        <v>6770</v>
      </c>
      <c r="F89" s="247" t="str">
        <f t="shared" si="2"/>
        <v/>
      </c>
    </row>
    <row r="90">
      <c r="A90" s="237" t="s">
        <v>6756</v>
      </c>
      <c r="B90" s="256" t="s">
        <v>6771</v>
      </c>
      <c r="C90" s="239" t="str">
        <f t="shared" si="1"/>
        <v>\FPeval\FSEXXIInstitutionalPages{0.0}</v>
      </c>
      <c r="D90" s="250" t="str">
        <f>Repositories!Z69</f>
        <v>0.0</v>
      </c>
      <c r="E90" s="251" t="s">
        <v>6657</v>
      </c>
      <c r="F90" s="242" t="str">
        <f t="shared" si="2"/>
        <v/>
      </c>
    </row>
    <row r="91">
      <c r="A91" s="243" t="s">
        <v>6756</v>
      </c>
      <c r="B91" s="257" t="s">
        <v>6772</v>
      </c>
      <c r="C91" s="245" t="str">
        <f t="shared" si="1"/>
        <v>\FPeval\FSEXXInstitutionalPages{8.8}</v>
      </c>
      <c r="D91" s="252" t="str">
        <f>Repositories!Z68</f>
        <v>8.8</v>
      </c>
      <c r="E91" s="251" t="s">
        <v>6773</v>
      </c>
      <c r="F91" s="247" t="str">
        <f t="shared" si="2"/>
        <v/>
      </c>
    </row>
    <row r="92">
      <c r="A92" s="237" t="s">
        <v>6756</v>
      </c>
      <c r="B92" s="256" t="s">
        <v>6774</v>
      </c>
      <c r="C92" s="239" t="str">
        <f t="shared" si="1"/>
        <v>\FPeval\ICSEXIVInstitutionalPages{64.5}</v>
      </c>
      <c r="D92" s="250" t="str">
        <f>Repositories!Z34</f>
        <v>64.5</v>
      </c>
      <c r="E92" s="251" t="s">
        <v>6775</v>
      </c>
      <c r="F92" s="242" t="str">
        <f t="shared" si="2"/>
        <v/>
      </c>
    </row>
    <row r="93">
      <c r="A93" s="243" t="s">
        <v>6756</v>
      </c>
      <c r="B93" s="257" t="s">
        <v>6776</v>
      </c>
      <c r="C93" s="245" t="str">
        <f t="shared" si="1"/>
        <v>\FPeval\ICSEXIXInstitutionalPages{8.9}</v>
      </c>
      <c r="D93" s="252" t="str">
        <f>Repositories!Z39</f>
        <v>8.9</v>
      </c>
      <c r="E93" s="251" t="s">
        <v>6777</v>
      </c>
      <c r="F93" s="247" t="str">
        <f t="shared" si="2"/>
        <v/>
      </c>
    </row>
    <row r="94">
      <c r="A94" s="237" t="s">
        <v>6756</v>
      </c>
      <c r="B94" s="256" t="s">
        <v>6778</v>
      </c>
      <c r="C94" s="239" t="str">
        <f t="shared" si="1"/>
        <v>\FPeval\ICSEXVIIIInstitutionalPages{20.5}</v>
      </c>
      <c r="D94" s="250" t="str">
        <f>Repositories!Z38</f>
        <v>20.5</v>
      </c>
      <c r="E94" s="251" t="s">
        <v>6779</v>
      </c>
      <c r="F94" s="242" t="str">
        <f t="shared" si="2"/>
        <v/>
      </c>
    </row>
    <row r="95">
      <c r="A95" s="243" t="s">
        <v>6756</v>
      </c>
      <c r="B95" s="257" t="s">
        <v>6780</v>
      </c>
      <c r="C95" s="245" t="str">
        <f t="shared" si="1"/>
        <v>\FPeval\ICSEXVIIInstitutionalPages{37.5}</v>
      </c>
      <c r="D95" s="252" t="str">
        <f>Repositories!Z37</f>
        <v>37.5</v>
      </c>
      <c r="E95" s="251" t="s">
        <v>6781</v>
      </c>
      <c r="F95" s="247" t="str">
        <f t="shared" si="2"/>
        <v/>
      </c>
    </row>
    <row r="96">
      <c r="A96" s="237" t="s">
        <v>6756</v>
      </c>
      <c r="B96" s="256" t="s">
        <v>6782</v>
      </c>
      <c r="C96" s="239" t="str">
        <f t="shared" si="1"/>
        <v>\FPeval\ICSEXVIInstitutionalPages{58.6}</v>
      </c>
      <c r="D96" s="250" t="str">
        <f>Repositories!Z36</f>
        <v>58.6</v>
      </c>
      <c r="E96" s="251" t="s">
        <v>6783</v>
      </c>
      <c r="F96" s="242" t="str">
        <f t="shared" si="2"/>
        <v/>
      </c>
    </row>
    <row r="97">
      <c r="A97" s="243" t="s">
        <v>6756</v>
      </c>
      <c r="B97" s="257" t="s">
        <v>6784</v>
      </c>
      <c r="C97" s="245" t="str">
        <f t="shared" si="1"/>
        <v>\FPeval\ICSEXVInstitutionalPages{59.2}</v>
      </c>
      <c r="D97" s="252" t="str">
        <f>Repositories!Z35</f>
        <v>59.2</v>
      </c>
      <c r="E97" s="251" t="s">
        <v>6785</v>
      </c>
      <c r="F97" s="247" t="str">
        <f t="shared" si="2"/>
        <v/>
      </c>
    </row>
    <row r="98">
      <c r="A98" s="237" t="s">
        <v>6756</v>
      </c>
      <c r="B98" s="256" t="s">
        <v>6786</v>
      </c>
      <c r="C98" s="239" t="str">
        <f t="shared" si="1"/>
        <v>\FPeval\ICSEXXIIIInstitutionalPages{2.5}</v>
      </c>
      <c r="D98" s="250" t="str">
        <f>Repositories!Z43</f>
        <v>2.5</v>
      </c>
      <c r="E98" s="251" t="s">
        <v>6787</v>
      </c>
      <c r="F98" s="242" t="str">
        <f t="shared" si="2"/>
        <v/>
      </c>
    </row>
    <row r="99">
      <c r="A99" s="243" t="s">
        <v>6756</v>
      </c>
      <c r="B99" s="257" t="s">
        <v>6788</v>
      </c>
      <c r="C99" s="245" t="str">
        <f t="shared" si="1"/>
        <v>\FPeval\ICSEXXIIInstitutionalPages{1.1}</v>
      </c>
      <c r="D99" s="252" t="str">
        <f>Repositories!Z42</f>
        <v>1.1</v>
      </c>
      <c r="E99" s="251" t="s">
        <v>6770</v>
      </c>
      <c r="F99" s="247" t="str">
        <f t="shared" si="2"/>
        <v/>
      </c>
    </row>
    <row r="100">
      <c r="A100" s="237" t="s">
        <v>6756</v>
      </c>
      <c r="B100" s="256" t="s">
        <v>6789</v>
      </c>
      <c r="C100" s="239" t="str">
        <f t="shared" si="1"/>
        <v>\FPeval\ICSEXXIInstitutionalPages{5.0}</v>
      </c>
      <c r="D100" s="250" t="str">
        <f>Repositories!Z41</f>
        <v>5.0</v>
      </c>
      <c r="E100" s="251" t="s">
        <v>6790</v>
      </c>
      <c r="F100" s="242" t="str">
        <f t="shared" si="2"/>
        <v/>
      </c>
    </row>
    <row r="101">
      <c r="A101" s="243" t="s">
        <v>6756</v>
      </c>
      <c r="B101" s="257" t="s">
        <v>6791</v>
      </c>
      <c r="C101" s="245" t="str">
        <f t="shared" si="1"/>
        <v>\FPeval\ICSEXXInstitutionalPages{5.7}</v>
      </c>
      <c r="D101" s="252" t="str">
        <f>Repositories!Z40</f>
        <v>5.7</v>
      </c>
      <c r="E101" s="251" t="s">
        <v>6686</v>
      </c>
      <c r="F101" s="247" t="str">
        <f t="shared" si="2"/>
        <v/>
      </c>
    </row>
    <row r="102">
      <c r="A102" s="258" t="s">
        <v>6756</v>
      </c>
      <c r="B102" s="238" t="s">
        <v>6792</v>
      </c>
      <c r="C102" s="239" t="str">
        <f t="shared" si="1"/>
        <v>\FPeval\varFSEArchivalPlatEighteen{13.7}</v>
      </c>
      <c r="D102" s="250" t="str">
        <f>Repositories!B66</f>
        <v>13.7</v>
      </c>
      <c r="E102" s="251" t="s">
        <v>6738</v>
      </c>
      <c r="F102" s="242" t="str">
        <f t="shared" si="2"/>
        <v/>
      </c>
    </row>
    <row r="103">
      <c r="A103" s="259" t="s">
        <v>6756</v>
      </c>
      <c r="B103" s="244" t="s">
        <v>6793</v>
      </c>
      <c r="C103" s="245" t="str">
        <f t="shared" si="1"/>
        <v>\FPeval\varFSEArchivalPlatFifteen{0.0}</v>
      </c>
      <c r="D103" s="252" t="str">
        <f>Repositories!B63</f>
        <v>0.0</v>
      </c>
      <c r="E103" s="251" t="s">
        <v>6657</v>
      </c>
      <c r="F103" s="247" t="str">
        <f t="shared" si="2"/>
        <v/>
      </c>
    </row>
    <row r="104">
      <c r="A104" s="258" t="s">
        <v>6756</v>
      </c>
      <c r="B104" s="238" t="s">
        <v>6794</v>
      </c>
      <c r="C104" s="239" t="str">
        <f t="shared" si="1"/>
        <v>\FPeval\varFSEArchivalPlatFourteen{5.7}</v>
      </c>
      <c r="D104" s="250" t="str">
        <f>Repositories!B62</f>
        <v>5.7</v>
      </c>
      <c r="E104" s="251" t="s">
        <v>6686</v>
      </c>
      <c r="F104" s="242" t="str">
        <f t="shared" si="2"/>
        <v/>
      </c>
    </row>
    <row r="105">
      <c r="A105" s="259" t="s">
        <v>6756</v>
      </c>
      <c r="B105" s="244" t="s">
        <v>6795</v>
      </c>
      <c r="C105" s="245" t="str">
        <f t="shared" si="1"/>
        <v>\FPeval\varFSEArchivalPlatNineteen{24.2}</v>
      </c>
      <c r="D105" s="252" t="str">
        <f>Repositories!B67</f>
        <v>24.2</v>
      </c>
      <c r="E105" s="251" t="s">
        <v>6726</v>
      </c>
      <c r="F105" s="247" t="str">
        <f t="shared" si="2"/>
        <v/>
      </c>
    </row>
    <row r="106">
      <c r="A106" s="258" t="s">
        <v>6756</v>
      </c>
      <c r="B106" s="238" t="s">
        <v>6796</v>
      </c>
      <c r="C106" s="239" t="str">
        <f t="shared" si="1"/>
        <v>\FPeval\varFSEArchivalPlatSeventeen{0.0}</v>
      </c>
      <c r="D106" s="250" t="str">
        <f>Repositories!B65</f>
        <v>0.0</v>
      </c>
      <c r="E106" s="251" t="s">
        <v>6657</v>
      </c>
      <c r="F106" s="242" t="str">
        <f t="shared" si="2"/>
        <v/>
      </c>
    </row>
    <row r="107">
      <c r="A107" s="259" t="s">
        <v>6756</v>
      </c>
      <c r="B107" s="244" t="s">
        <v>6797</v>
      </c>
      <c r="C107" s="245" t="str">
        <f t="shared" si="1"/>
        <v>\FPeval\varFSEArchivalPlatSixteen{1.9}</v>
      </c>
      <c r="D107" s="252" t="str">
        <f>Repositories!B64</f>
        <v>1.9</v>
      </c>
      <c r="E107" s="251" t="s">
        <v>6732</v>
      </c>
      <c r="F107" s="247" t="str">
        <f t="shared" si="2"/>
        <v/>
      </c>
    </row>
    <row r="108">
      <c r="A108" s="258" t="s">
        <v>6756</v>
      </c>
      <c r="B108" s="238" t="s">
        <v>6798</v>
      </c>
      <c r="C108" s="239" t="str">
        <f t="shared" si="1"/>
        <v>\FPeval\varFSEArchivalPlatTwenty{45.1}</v>
      </c>
      <c r="D108" s="250" t="str">
        <f>Repositories!B68</f>
        <v>45.1</v>
      </c>
      <c r="E108" s="251" t="s">
        <v>6799</v>
      </c>
      <c r="F108" s="242" t="str">
        <f t="shared" si="2"/>
        <v/>
      </c>
    </row>
    <row r="109">
      <c r="A109" s="259" t="s">
        <v>6756</v>
      </c>
      <c r="B109" s="244" t="s">
        <v>6800</v>
      </c>
      <c r="C109" s="245" t="str">
        <f t="shared" si="1"/>
        <v>\FPeval\varFSEArchivalPlatTwentyOne{27.1}</v>
      </c>
      <c r="D109" s="252" t="str">
        <f>Repositories!B69</f>
        <v>27.1</v>
      </c>
      <c r="E109" s="251" t="s">
        <v>6745</v>
      </c>
      <c r="F109" s="247" t="str">
        <f t="shared" si="2"/>
        <v/>
      </c>
    </row>
    <row r="110">
      <c r="A110" s="258" t="s">
        <v>6756</v>
      </c>
      <c r="B110" s="238" t="s">
        <v>6801</v>
      </c>
      <c r="C110" s="239" t="str">
        <f t="shared" si="1"/>
        <v>\FPeval\varFSEArchivalPlatTwentyThree{46.4}</v>
      </c>
      <c r="D110" s="250" t="str">
        <f>Repositories!B71</f>
        <v>46.4</v>
      </c>
      <c r="E110" s="251" t="s">
        <v>6753</v>
      </c>
      <c r="F110" s="242" t="str">
        <f t="shared" si="2"/>
        <v/>
      </c>
    </row>
    <row r="111">
      <c r="A111" s="259" t="s">
        <v>6756</v>
      </c>
      <c r="B111" s="244" t="s">
        <v>6802</v>
      </c>
      <c r="C111" s="245" t="str">
        <f t="shared" si="1"/>
        <v>\FPeval\varFSEArchivalPlatTwentyTwo{46.2}</v>
      </c>
      <c r="D111" s="252" t="str">
        <f>Repositories!B70</f>
        <v>46.2</v>
      </c>
      <c r="E111" s="251" t="s">
        <v>6749</v>
      </c>
      <c r="F111" s="247" t="str">
        <f t="shared" si="2"/>
        <v/>
      </c>
    </row>
    <row r="112">
      <c r="A112" s="258" t="s">
        <v>6756</v>
      </c>
      <c r="B112" s="238" t="s">
        <v>6803</v>
      </c>
      <c r="C112" s="239" t="str">
        <f t="shared" si="1"/>
        <v>\FPeval\varFSECodePlatEighteen{58.8}</v>
      </c>
      <c r="D112" s="250" t="str">
        <f>Repositories!J66</f>
        <v>58.8</v>
      </c>
      <c r="E112" s="251" t="s">
        <v>6804</v>
      </c>
      <c r="F112" s="242" t="str">
        <f t="shared" si="2"/>
        <v/>
      </c>
    </row>
    <row r="113">
      <c r="A113" s="259" t="s">
        <v>6756</v>
      </c>
      <c r="B113" s="244" t="s">
        <v>6805</v>
      </c>
      <c r="C113" s="245" t="str">
        <f t="shared" si="1"/>
        <v>\FPeval\varFSECodePlatFifteen{29.2}</v>
      </c>
      <c r="D113" s="252" t="str">
        <f>Repositories!J63</f>
        <v>29.2</v>
      </c>
      <c r="E113" s="251" t="s">
        <v>6806</v>
      </c>
      <c r="F113" s="247" t="str">
        <f t="shared" si="2"/>
        <v/>
      </c>
    </row>
    <row r="114">
      <c r="A114" s="258" t="s">
        <v>6756</v>
      </c>
      <c r="B114" s="238" t="s">
        <v>6807</v>
      </c>
      <c r="C114" s="239" t="str">
        <f t="shared" si="1"/>
        <v>\FPeval\varFSECodePlatFourteen{14.3}</v>
      </c>
      <c r="D114" s="250" t="str">
        <f>Repositories!J62</f>
        <v>14.3</v>
      </c>
      <c r="E114" s="251" t="s">
        <v>6683</v>
      </c>
      <c r="F114" s="242" t="str">
        <f t="shared" si="2"/>
        <v/>
      </c>
    </row>
    <row r="115">
      <c r="A115" s="259" t="s">
        <v>6756</v>
      </c>
      <c r="B115" s="244" t="s">
        <v>6808</v>
      </c>
      <c r="C115" s="245" t="str">
        <f t="shared" si="1"/>
        <v>\FPeval\varFSECodePlatNineteen{62.9}</v>
      </c>
      <c r="D115" s="252" t="str">
        <f>Repositories!J67</f>
        <v>62.9</v>
      </c>
      <c r="E115" s="251" t="s">
        <v>6809</v>
      </c>
      <c r="F115" s="247" t="str">
        <f t="shared" si="2"/>
        <v/>
      </c>
    </row>
    <row r="116">
      <c r="A116" s="258" t="s">
        <v>6756</v>
      </c>
      <c r="B116" s="238" t="s">
        <v>6810</v>
      </c>
      <c r="C116" s="239" t="str">
        <f t="shared" si="1"/>
        <v>\FPeval\varFSECodePlatSeventeen{49.1}</v>
      </c>
      <c r="D116" s="250" t="str">
        <f>Repositories!J65</f>
        <v>49.1</v>
      </c>
      <c r="E116" s="251" t="s">
        <v>6811</v>
      </c>
      <c r="F116" s="242" t="str">
        <f t="shared" si="2"/>
        <v/>
      </c>
    </row>
    <row r="117">
      <c r="A117" s="259" t="s">
        <v>6756</v>
      </c>
      <c r="B117" s="244" t="s">
        <v>6812</v>
      </c>
      <c r="C117" s="245" t="str">
        <f t="shared" si="1"/>
        <v>\FPeval\varFSECodePlatSixteen{40.7}</v>
      </c>
      <c r="D117" s="252" t="str">
        <f>Repositories!J64</f>
        <v>40.7</v>
      </c>
      <c r="E117" s="251" t="s">
        <v>6813</v>
      </c>
      <c r="F117" s="247" t="str">
        <f t="shared" si="2"/>
        <v/>
      </c>
    </row>
    <row r="118">
      <c r="A118" s="258" t="s">
        <v>6756</v>
      </c>
      <c r="B118" s="238" t="s">
        <v>6814</v>
      </c>
      <c r="C118" s="239" t="str">
        <f t="shared" si="1"/>
        <v>\FPeval\varFSECodePlatTwenty{53.8}</v>
      </c>
      <c r="D118" s="250" t="str">
        <f>Repositories!J68</f>
        <v>53.8</v>
      </c>
      <c r="E118" s="251" t="s">
        <v>6815</v>
      </c>
      <c r="F118" s="242" t="str">
        <f t="shared" si="2"/>
        <v/>
      </c>
    </row>
    <row r="119">
      <c r="A119" s="259" t="s">
        <v>6756</v>
      </c>
      <c r="B119" s="244" t="s">
        <v>6816</v>
      </c>
      <c r="C119" s="245" t="str">
        <f t="shared" si="1"/>
        <v>\FPeval\varFSECodePlatTwentyOne{81.2}</v>
      </c>
      <c r="D119" s="252" t="str">
        <f>Repositories!J69</f>
        <v>81.2</v>
      </c>
      <c r="E119" s="251" t="s">
        <v>6817</v>
      </c>
      <c r="F119" s="247" t="str">
        <f t="shared" si="2"/>
        <v/>
      </c>
    </row>
    <row r="120">
      <c r="A120" s="258" t="s">
        <v>6756</v>
      </c>
      <c r="B120" s="238" t="s">
        <v>6818</v>
      </c>
      <c r="C120" s="239" t="str">
        <f t="shared" si="1"/>
        <v>\FPeval\varFSECodePlatTwentyThree{64.8}</v>
      </c>
      <c r="D120" s="250" t="str">
        <f>Repositories!J71</f>
        <v>64.8</v>
      </c>
      <c r="E120" s="251" t="s">
        <v>6819</v>
      </c>
      <c r="F120" s="242" t="str">
        <f t="shared" si="2"/>
        <v/>
      </c>
    </row>
    <row r="121">
      <c r="A121" s="259" t="s">
        <v>6756</v>
      </c>
      <c r="B121" s="244" t="s">
        <v>6820</v>
      </c>
      <c r="C121" s="245" t="str">
        <f t="shared" si="1"/>
        <v>\FPeval\varFSECodePlatTwentyTwo{58.2}</v>
      </c>
      <c r="D121" s="252" t="str">
        <f>Repositories!J70</f>
        <v>58.2</v>
      </c>
      <c r="E121" s="251" t="s">
        <v>6821</v>
      </c>
      <c r="F121" s="247" t="str">
        <f t="shared" si="2"/>
        <v/>
      </c>
    </row>
    <row r="122">
      <c r="A122" s="258" t="s">
        <v>6756</v>
      </c>
      <c r="B122" s="238" t="s">
        <v>6822</v>
      </c>
      <c r="C122" s="239" t="str">
        <f t="shared" si="1"/>
        <v>\FPeval\varFSEOtherAndGeneraPurposeEighteen{21.6}</v>
      </c>
      <c r="D122" s="250" t="str">
        <f>Repositories!P66</f>
        <v>21.6</v>
      </c>
      <c r="E122" s="251" t="s">
        <v>6823</v>
      </c>
      <c r="F122" s="242" t="str">
        <f t="shared" si="2"/>
        <v/>
      </c>
    </row>
    <row r="123">
      <c r="A123" s="259" t="s">
        <v>6756</v>
      </c>
      <c r="B123" s="244" t="s">
        <v>6824</v>
      </c>
      <c r="C123" s="245" t="str">
        <f t="shared" si="1"/>
        <v>\FPeval\varFSEOtherAndGeneraPurposeFifteen{33.3}</v>
      </c>
      <c r="D123" s="252" t="str">
        <f>Repositories!P63</f>
        <v>33.3</v>
      </c>
      <c r="E123" s="251" t="s">
        <v>6697</v>
      </c>
      <c r="F123" s="247" t="str">
        <f t="shared" si="2"/>
        <v/>
      </c>
    </row>
    <row r="124">
      <c r="A124" s="258" t="s">
        <v>6756</v>
      </c>
      <c r="B124" s="238" t="s">
        <v>6825</v>
      </c>
      <c r="C124" s="239" t="str">
        <f t="shared" si="1"/>
        <v>\FPeval\varFSEOtherAndGeneraPurposeFourteen{22.9}</v>
      </c>
      <c r="D124" s="250" t="str">
        <f>Repositories!P62</f>
        <v>22.9</v>
      </c>
      <c r="E124" s="251" t="s">
        <v>6694</v>
      </c>
      <c r="F124" s="242" t="str">
        <f t="shared" si="2"/>
        <v/>
      </c>
    </row>
    <row r="125">
      <c r="A125" s="259" t="s">
        <v>6756</v>
      </c>
      <c r="B125" s="244" t="s">
        <v>6826</v>
      </c>
      <c r="C125" s="245" t="str">
        <f t="shared" si="1"/>
        <v>\FPeval\varFSEOtherAndGeneraPurposeNineteen{16.1}</v>
      </c>
      <c r="D125" s="252" t="str">
        <f>Repositories!P67</f>
        <v>16.1</v>
      </c>
      <c r="E125" s="251" t="s">
        <v>6827</v>
      </c>
      <c r="F125" s="247" t="str">
        <f t="shared" si="2"/>
        <v/>
      </c>
    </row>
    <row r="126">
      <c r="A126" s="258" t="s">
        <v>6756</v>
      </c>
      <c r="B126" s="238" t="s">
        <v>6828</v>
      </c>
      <c r="C126" s="239" t="str">
        <f t="shared" si="1"/>
        <v>\FPeval\varFSEOtherAndGeneraPurposeSeventeen{18.9}</v>
      </c>
      <c r="D126" s="250" t="str">
        <f>Repositories!P65</f>
        <v>18.9</v>
      </c>
      <c r="E126" s="251" t="s">
        <v>6829</v>
      </c>
      <c r="F126" s="242" t="str">
        <f t="shared" si="2"/>
        <v/>
      </c>
    </row>
    <row r="127">
      <c r="A127" s="259" t="s">
        <v>6756</v>
      </c>
      <c r="B127" s="244" t="s">
        <v>6830</v>
      </c>
      <c r="C127" s="245" t="str">
        <f t="shared" si="1"/>
        <v>\FPeval\varFSEOtherAndGeneraPurposeSixteen{35.2}</v>
      </c>
      <c r="D127" s="252" t="str">
        <f>Repositories!P64</f>
        <v>35.2</v>
      </c>
      <c r="E127" s="251" t="s">
        <v>6831</v>
      </c>
      <c r="F127" s="247" t="str">
        <f t="shared" si="2"/>
        <v/>
      </c>
    </row>
    <row r="128">
      <c r="A128" s="258" t="s">
        <v>6756</v>
      </c>
      <c r="B128" s="238" t="s">
        <v>6832</v>
      </c>
      <c r="C128" s="239" t="str">
        <f t="shared" si="1"/>
        <v>\FPeval\varFSEOtherAndGeneraPurposeTwenty{18.7}</v>
      </c>
      <c r="D128" s="250" t="str">
        <f>Repositories!P68</f>
        <v>18.7</v>
      </c>
      <c r="E128" s="251" t="s">
        <v>6833</v>
      </c>
      <c r="F128" s="242" t="str">
        <f t="shared" si="2"/>
        <v/>
      </c>
    </row>
    <row r="129">
      <c r="A129" s="259" t="s">
        <v>6756</v>
      </c>
      <c r="B129" s="244" t="s">
        <v>6834</v>
      </c>
      <c r="C129" s="245" t="str">
        <f t="shared" si="1"/>
        <v>\FPeval\varFSEOtherAndGeneraPurposeTwentyOne{4.7}</v>
      </c>
      <c r="D129" s="252" t="str">
        <f>Repositories!P69</f>
        <v>4.7</v>
      </c>
      <c r="E129" s="251" t="s">
        <v>6710</v>
      </c>
      <c r="F129" s="247" t="str">
        <f t="shared" si="2"/>
        <v/>
      </c>
    </row>
    <row r="130">
      <c r="A130" s="258" t="s">
        <v>6756</v>
      </c>
      <c r="B130" s="238" t="s">
        <v>6835</v>
      </c>
      <c r="C130" s="239" t="str">
        <f t="shared" si="1"/>
        <v>\FPeval\varFSEOtherAndGeneraPurposeTwentyThree{12.8}</v>
      </c>
      <c r="D130" s="250" t="str">
        <f>Repositories!P71</f>
        <v>12.8</v>
      </c>
      <c r="E130" s="251" t="s">
        <v>6836</v>
      </c>
      <c r="F130" s="242" t="str">
        <f t="shared" si="2"/>
        <v/>
      </c>
    </row>
    <row r="131">
      <c r="A131" s="259" t="s">
        <v>6756</v>
      </c>
      <c r="B131" s="244" t="s">
        <v>6837</v>
      </c>
      <c r="C131" s="245" t="str">
        <f t="shared" si="1"/>
        <v>\FPeval\varFSEOtherAndGeneraPurposeTwentyTwo{15.4}</v>
      </c>
      <c r="D131" s="252" t="str">
        <f>Repositories!P70</f>
        <v>15.4</v>
      </c>
      <c r="E131" s="251" t="s">
        <v>6838</v>
      </c>
      <c r="F131" s="247" t="str">
        <f t="shared" si="2"/>
        <v/>
      </c>
    </row>
    <row r="132">
      <c r="A132" s="258" t="s">
        <v>6756</v>
      </c>
      <c r="B132" s="238" t="s">
        <v>6839</v>
      </c>
      <c r="C132" s="239" t="str">
        <f t="shared" si="1"/>
        <v>\FPeval\varICSEArchivalPlatEighteen{13.3}</v>
      </c>
      <c r="D132" s="250" t="str">
        <f>Repositories!B38</f>
        <v>13.3</v>
      </c>
      <c r="E132" s="251" t="s">
        <v>6740</v>
      </c>
      <c r="F132" s="242" t="str">
        <f t="shared" si="2"/>
        <v/>
      </c>
    </row>
    <row r="133">
      <c r="A133" s="259" t="s">
        <v>6756</v>
      </c>
      <c r="B133" s="244" t="s">
        <v>6840</v>
      </c>
      <c r="C133" s="245" t="str">
        <f t="shared" si="1"/>
        <v>\FPeval\varICSEArchivalPlatFifteen{2.0}</v>
      </c>
      <c r="D133" s="252" t="str">
        <f>Repositories!B35</f>
        <v>2.0</v>
      </c>
      <c r="E133" s="251" t="s">
        <v>6730</v>
      </c>
      <c r="F133" s="247" t="str">
        <f t="shared" si="2"/>
        <v/>
      </c>
    </row>
    <row r="134">
      <c r="A134" s="258" t="s">
        <v>6756</v>
      </c>
      <c r="B134" s="238" t="s">
        <v>6841</v>
      </c>
      <c r="C134" s="239" t="str">
        <f t="shared" si="1"/>
        <v>\FPeval\varICSEArchivalPlatFourteen{0.0}</v>
      </c>
      <c r="D134" s="250" t="str">
        <f>Repositories!B34</f>
        <v>0.0</v>
      </c>
      <c r="E134" s="251" t="s">
        <v>6657</v>
      </c>
      <c r="F134" s="242" t="str">
        <f t="shared" si="2"/>
        <v/>
      </c>
    </row>
    <row r="135">
      <c r="A135" s="259" t="s">
        <v>6756</v>
      </c>
      <c r="B135" s="244" t="s">
        <v>6842</v>
      </c>
      <c r="C135" s="245" t="str">
        <f t="shared" si="1"/>
        <v>\FPeval\varICSEArchivalPlatNineteen{17.7}</v>
      </c>
      <c r="D135" s="252" t="str">
        <f>Repositories!B39</f>
        <v>17.7</v>
      </c>
      <c r="E135" s="251" t="s">
        <v>6843</v>
      </c>
      <c r="F135" s="247" t="str">
        <f t="shared" si="2"/>
        <v/>
      </c>
    </row>
    <row r="136">
      <c r="A136" s="258" t="s">
        <v>6756</v>
      </c>
      <c r="B136" s="238" t="s">
        <v>6844</v>
      </c>
      <c r="C136" s="239" t="str">
        <f t="shared" si="1"/>
        <v>\FPeval\varICSEArchivalPlatSeventeen{3.6}</v>
      </c>
      <c r="D136" s="250" t="str">
        <f>Repositories!B37</f>
        <v>3.6</v>
      </c>
      <c r="E136" s="251" t="s">
        <v>6736</v>
      </c>
      <c r="F136" s="242" t="str">
        <f t="shared" si="2"/>
        <v/>
      </c>
    </row>
    <row r="137">
      <c r="A137" s="259" t="s">
        <v>6756</v>
      </c>
      <c r="B137" s="244" t="s">
        <v>6845</v>
      </c>
      <c r="C137" s="245" t="str">
        <f t="shared" si="1"/>
        <v>\FPeval\varICSEArchivalPlatSixteen{8.6}</v>
      </c>
      <c r="D137" s="252" t="str">
        <f>Repositories!B36</f>
        <v>8.6</v>
      </c>
      <c r="E137" s="251" t="s">
        <v>6846</v>
      </c>
      <c r="F137" s="247" t="str">
        <f t="shared" si="2"/>
        <v/>
      </c>
    </row>
    <row r="138">
      <c r="A138" s="258" t="s">
        <v>6756</v>
      </c>
      <c r="B138" s="238" t="s">
        <v>6847</v>
      </c>
      <c r="C138" s="239" t="str">
        <f t="shared" si="1"/>
        <v>\FPeval\varICSEArchivalPlatTwenty{20.8}</v>
      </c>
      <c r="D138" s="250" t="str">
        <f>Repositories!B40</f>
        <v>20.8</v>
      </c>
      <c r="E138" s="251" t="s">
        <v>6848</v>
      </c>
      <c r="F138" s="242" t="str">
        <f t="shared" si="2"/>
        <v/>
      </c>
    </row>
    <row r="139">
      <c r="A139" s="259" t="s">
        <v>6756</v>
      </c>
      <c r="B139" s="244" t="s">
        <v>6849</v>
      </c>
      <c r="C139" s="245" t="str">
        <f t="shared" si="1"/>
        <v>\FPeval\varICSEArchivalPlatTwentyOne{30.8}</v>
      </c>
      <c r="D139" s="252" t="str">
        <f>Repositories!B41</f>
        <v>30.8</v>
      </c>
      <c r="E139" s="251" t="s">
        <v>6850</v>
      </c>
      <c r="F139" s="247" t="str">
        <f t="shared" si="2"/>
        <v/>
      </c>
    </row>
    <row r="140">
      <c r="A140" s="258" t="s">
        <v>6756</v>
      </c>
      <c r="B140" s="238" t="s">
        <v>6851</v>
      </c>
      <c r="C140" s="239" t="str">
        <f t="shared" si="1"/>
        <v>\FPeval\varICSEArchivalPlatTwentyThree{36.0}</v>
      </c>
      <c r="D140" s="250" t="str">
        <f>Repositories!B43</f>
        <v>36.0</v>
      </c>
      <c r="E140" s="251" t="s">
        <v>6852</v>
      </c>
      <c r="F140" s="242" t="str">
        <f t="shared" si="2"/>
        <v/>
      </c>
    </row>
    <row r="141">
      <c r="A141" s="259" t="s">
        <v>6756</v>
      </c>
      <c r="B141" s="244" t="s">
        <v>6853</v>
      </c>
      <c r="C141" s="245" t="str">
        <f t="shared" si="1"/>
        <v>\FPeval\varICSEArchivalPlatTwentyTwo{31.8}</v>
      </c>
      <c r="D141" s="252" t="str">
        <f>Repositories!B42</f>
        <v>31.8</v>
      </c>
      <c r="E141" s="251" t="s">
        <v>6854</v>
      </c>
      <c r="F141" s="247" t="str">
        <f t="shared" si="2"/>
        <v/>
      </c>
    </row>
    <row r="142">
      <c r="A142" s="258" t="s">
        <v>6756</v>
      </c>
      <c r="B142" s="238" t="s">
        <v>6855</v>
      </c>
      <c r="C142" s="239" t="str">
        <f t="shared" si="1"/>
        <v>\FPeval\varICSECodePlatEighteen{49.4}</v>
      </c>
      <c r="D142" s="250" t="str">
        <f>Repositories!J38</f>
        <v>49.4</v>
      </c>
      <c r="E142" s="251" t="s">
        <v>6856</v>
      </c>
      <c r="F142" s="242" t="str">
        <f t="shared" si="2"/>
        <v/>
      </c>
    </row>
    <row r="143">
      <c r="A143" s="259" t="s">
        <v>6756</v>
      </c>
      <c r="B143" s="244" t="s">
        <v>6857</v>
      </c>
      <c r="C143" s="245" t="str">
        <f t="shared" si="1"/>
        <v>\FPeval\varICSECodePlatFifteen{16.3}</v>
      </c>
      <c r="D143" s="252" t="str">
        <f>Repositories!J35</f>
        <v>16.3</v>
      </c>
      <c r="E143" s="251" t="s">
        <v>6858</v>
      </c>
      <c r="F143" s="247" t="str">
        <f t="shared" si="2"/>
        <v/>
      </c>
    </row>
    <row r="144">
      <c r="A144" s="258" t="s">
        <v>6756</v>
      </c>
      <c r="B144" s="238" t="s">
        <v>6859</v>
      </c>
      <c r="C144" s="239" t="str">
        <f t="shared" si="1"/>
        <v>\FPeval\varICSECodePlatFourteen{17.7}</v>
      </c>
      <c r="D144" s="250" t="str">
        <f>Repositories!J34</f>
        <v>17.7</v>
      </c>
      <c r="E144" s="251" t="s">
        <v>6843</v>
      </c>
      <c r="F144" s="242" t="str">
        <f t="shared" si="2"/>
        <v/>
      </c>
    </row>
    <row r="145">
      <c r="A145" s="259" t="s">
        <v>6756</v>
      </c>
      <c r="B145" s="244" t="s">
        <v>6860</v>
      </c>
      <c r="C145" s="245" t="str">
        <f t="shared" si="1"/>
        <v>\FPeval\varICSECodePlatNineteen{62.0}</v>
      </c>
      <c r="D145" s="252" t="str">
        <f>Repositories!J39</f>
        <v>62.0</v>
      </c>
      <c r="E145" s="251" t="s">
        <v>6861</v>
      </c>
      <c r="F145" s="247" t="str">
        <f t="shared" si="2"/>
        <v/>
      </c>
    </row>
    <row r="146">
      <c r="A146" s="258" t="s">
        <v>6756</v>
      </c>
      <c r="B146" s="238" t="s">
        <v>6862</v>
      </c>
      <c r="C146" s="239" t="str">
        <f t="shared" si="1"/>
        <v>\FPeval\varICSECodePlatSeventeen{42.9}</v>
      </c>
      <c r="D146" s="250" t="str">
        <f>Repositories!J37</f>
        <v>42.9</v>
      </c>
      <c r="E146" s="251" t="s">
        <v>6863</v>
      </c>
      <c r="F146" s="242" t="str">
        <f t="shared" si="2"/>
        <v/>
      </c>
    </row>
    <row r="147">
      <c r="A147" s="259" t="s">
        <v>6756</v>
      </c>
      <c r="B147" s="244" t="s">
        <v>6864</v>
      </c>
      <c r="C147" s="245" t="str">
        <f t="shared" si="1"/>
        <v>\FPeval\varICSECodePlatSixteen{18.6}</v>
      </c>
      <c r="D147" s="252" t="str">
        <f>Repositories!J36</f>
        <v>18.6</v>
      </c>
      <c r="E147" s="251" t="s">
        <v>6865</v>
      </c>
      <c r="F147" s="247" t="str">
        <f t="shared" si="2"/>
        <v/>
      </c>
    </row>
    <row r="148">
      <c r="A148" s="258" t="s">
        <v>6756</v>
      </c>
      <c r="B148" s="238" t="s">
        <v>6866</v>
      </c>
      <c r="C148" s="239" t="str">
        <f t="shared" si="1"/>
        <v>\FPeval\varICSECodePlatTwenty{69.8}</v>
      </c>
      <c r="D148" s="250" t="str">
        <f>Repositories!J40</f>
        <v>69.8</v>
      </c>
      <c r="E148" s="251" t="s">
        <v>6867</v>
      </c>
      <c r="F148" s="242" t="str">
        <f t="shared" si="2"/>
        <v/>
      </c>
    </row>
    <row r="149">
      <c r="A149" s="259" t="s">
        <v>6756</v>
      </c>
      <c r="B149" s="244" t="s">
        <v>6868</v>
      </c>
      <c r="C149" s="245" t="str">
        <f t="shared" si="1"/>
        <v>\FPeval\varICSECodePlatTwentyOne{66.7}</v>
      </c>
      <c r="D149" s="252" t="str">
        <f>Repositories!J41</f>
        <v>66.7</v>
      </c>
      <c r="E149" s="251" t="s">
        <v>6869</v>
      </c>
      <c r="F149" s="247" t="str">
        <f t="shared" si="2"/>
        <v/>
      </c>
    </row>
    <row r="150">
      <c r="A150" s="258" t="s">
        <v>6756</v>
      </c>
      <c r="B150" s="238" t="s">
        <v>6870</v>
      </c>
      <c r="C150" s="239" t="str">
        <f t="shared" si="1"/>
        <v>\FPeval\varICSECodePlatTwentyThree{68.5}</v>
      </c>
      <c r="D150" s="250" t="str">
        <f>Repositories!J43</f>
        <v>68.5</v>
      </c>
      <c r="E150" s="251" t="s">
        <v>6871</v>
      </c>
      <c r="F150" s="242" t="str">
        <f t="shared" si="2"/>
        <v/>
      </c>
    </row>
    <row r="151">
      <c r="A151" s="259" t="s">
        <v>6756</v>
      </c>
      <c r="B151" s="244" t="s">
        <v>6872</v>
      </c>
      <c r="C151" s="245" t="str">
        <f t="shared" si="1"/>
        <v>\FPeval\varICSECodePlatTwentyTwo{71.0}</v>
      </c>
      <c r="D151" s="252" t="str">
        <f>Repositories!J42</f>
        <v>71.0</v>
      </c>
      <c r="E151" s="251" t="s">
        <v>6873</v>
      </c>
      <c r="F151" s="247" t="str">
        <f t="shared" si="2"/>
        <v/>
      </c>
    </row>
    <row r="152">
      <c r="A152" s="258" t="s">
        <v>6756</v>
      </c>
      <c r="B152" s="238" t="s">
        <v>6874</v>
      </c>
      <c r="C152" s="239" t="str">
        <f t="shared" si="1"/>
        <v>\FPeval\varICSEOtherAndGeneraPurposeEighteen{27.7}</v>
      </c>
      <c r="D152" s="250" t="str">
        <f>Repositories!P38</f>
        <v>27.7</v>
      </c>
      <c r="E152" s="251" t="s">
        <v>6875</v>
      </c>
      <c r="F152" s="242" t="str">
        <f t="shared" si="2"/>
        <v/>
      </c>
    </row>
    <row r="153">
      <c r="A153" s="259" t="s">
        <v>6756</v>
      </c>
      <c r="B153" s="244" t="s">
        <v>6876</v>
      </c>
      <c r="C153" s="245" t="str">
        <f t="shared" si="1"/>
        <v>\FPeval\varICSEOtherAndGeneraPurposeFifteen{30.6}</v>
      </c>
      <c r="D153" s="252" t="str">
        <f>Repositories!P35</f>
        <v>30.6</v>
      </c>
      <c r="E153" s="251" t="s">
        <v>6877</v>
      </c>
      <c r="F153" s="247" t="str">
        <f t="shared" si="2"/>
        <v/>
      </c>
    </row>
    <row r="154">
      <c r="A154" s="258" t="s">
        <v>6756</v>
      </c>
      <c r="B154" s="238" t="s">
        <v>6878</v>
      </c>
      <c r="C154" s="239" t="str">
        <f t="shared" si="1"/>
        <v>\FPeval\varICSEOtherAndGeneraPurposeFourteen{38.7}</v>
      </c>
      <c r="D154" s="250" t="str">
        <f>Repositories!P34</f>
        <v>38.7</v>
      </c>
      <c r="E154" s="251" t="s">
        <v>6879</v>
      </c>
      <c r="F154" s="242" t="str">
        <f t="shared" si="2"/>
        <v/>
      </c>
    </row>
    <row r="155">
      <c r="A155" s="259" t="s">
        <v>6756</v>
      </c>
      <c r="B155" s="244" t="s">
        <v>6880</v>
      </c>
      <c r="C155" s="245" t="str">
        <f t="shared" si="1"/>
        <v>\FPeval\varICSEOtherAndGeneraPurposeNineteen{19.0}</v>
      </c>
      <c r="D155" s="252" t="str">
        <f>Repositories!P39</f>
        <v>19.0</v>
      </c>
      <c r="E155" s="251" t="s">
        <v>6681</v>
      </c>
      <c r="F155" s="247" t="str">
        <f t="shared" si="2"/>
        <v/>
      </c>
    </row>
    <row r="156">
      <c r="A156" s="258" t="s">
        <v>6756</v>
      </c>
      <c r="B156" s="238" t="s">
        <v>6881</v>
      </c>
      <c r="C156" s="239" t="str">
        <f t="shared" si="1"/>
        <v>\FPeval\varICSEOtherAndGeneraPurposeSeventeen{26.8}</v>
      </c>
      <c r="D156" s="250" t="str">
        <f>Repositories!P37</f>
        <v>26.8</v>
      </c>
      <c r="E156" s="251" t="s">
        <v>6882</v>
      </c>
      <c r="F156" s="242" t="str">
        <f t="shared" si="2"/>
        <v/>
      </c>
    </row>
    <row r="157">
      <c r="A157" s="259" t="s">
        <v>6756</v>
      </c>
      <c r="B157" s="244" t="s">
        <v>6883</v>
      </c>
      <c r="C157" s="245" t="str">
        <f t="shared" si="1"/>
        <v>\FPeval\varICSEOtherAndGeneraPurposeSixteen{20.0}</v>
      </c>
      <c r="D157" s="252" t="str">
        <f>Repositories!P36</f>
        <v>20.0</v>
      </c>
      <c r="E157" s="251" t="s">
        <v>6884</v>
      </c>
      <c r="F157" s="247" t="str">
        <f t="shared" si="2"/>
        <v/>
      </c>
    </row>
    <row r="158">
      <c r="A158" s="258" t="s">
        <v>6756</v>
      </c>
      <c r="B158" s="238" t="s">
        <v>6885</v>
      </c>
      <c r="C158" s="239" t="str">
        <f t="shared" si="1"/>
        <v>\FPeval\varICSEOtherAndGeneraPurposeTwenty{14.2}</v>
      </c>
      <c r="D158" s="250" t="str">
        <f>Repositories!P40</f>
        <v>14.2</v>
      </c>
      <c r="E158" s="251" t="s">
        <v>6886</v>
      </c>
      <c r="F158" s="242" t="str">
        <f t="shared" si="2"/>
        <v/>
      </c>
    </row>
    <row r="159">
      <c r="A159" s="259" t="s">
        <v>6756</v>
      </c>
      <c r="B159" s="244" t="s">
        <v>6887</v>
      </c>
      <c r="C159" s="245" t="str">
        <f t="shared" si="1"/>
        <v>\FPeval\varICSEOtherAndGeneraPurposeTwentyOne{12.5}</v>
      </c>
      <c r="D159" s="252" t="str">
        <f>Repositories!P41</f>
        <v>12.5</v>
      </c>
      <c r="E159" s="251" t="s">
        <v>6888</v>
      </c>
      <c r="F159" s="247" t="str">
        <f t="shared" si="2"/>
        <v/>
      </c>
    </row>
    <row r="160">
      <c r="A160" s="258" t="s">
        <v>6756</v>
      </c>
      <c r="B160" s="238" t="s">
        <v>6889</v>
      </c>
      <c r="C160" s="239" t="str">
        <f t="shared" si="1"/>
        <v>\FPeval\varICSEOtherAndGeneraPurposeTwentyThree{10.5}</v>
      </c>
      <c r="D160" s="250" t="str">
        <f>Repositories!P43</f>
        <v>10.5</v>
      </c>
      <c r="E160" s="251" t="s">
        <v>6890</v>
      </c>
      <c r="F160" s="242" t="str">
        <f t="shared" si="2"/>
        <v/>
      </c>
    </row>
    <row r="161">
      <c r="A161" s="259" t="s">
        <v>6756</v>
      </c>
      <c r="B161" s="244" t="s">
        <v>6891</v>
      </c>
      <c r="C161" s="245" t="str">
        <f t="shared" si="1"/>
        <v>\FPeval\varICSEOtherAndGeneraPurposeTwentyTwo{8.5}</v>
      </c>
      <c r="D161" s="252" t="str">
        <f>Repositories!P42</f>
        <v>8.5</v>
      </c>
      <c r="E161" s="251" t="s">
        <v>6892</v>
      </c>
      <c r="F161" s="247" t="str">
        <f t="shared" si="2"/>
        <v/>
      </c>
    </row>
    <row r="162">
      <c r="A162" s="237" t="s">
        <v>6893</v>
      </c>
      <c r="B162" s="238" t="s">
        <v>6894</v>
      </c>
      <c r="C162" s="239" t="str">
        <f t="shared" si="1"/>
        <v>\FPeval\varFSENotAvailablePerPaperXIV{45.7}</v>
      </c>
      <c r="D162" s="260" t="str">
        <f>PapersOverview!AA3</f>
        <v>45.7</v>
      </c>
      <c r="E162" s="261" t="s">
        <v>6895</v>
      </c>
      <c r="F162" s="242" t="str">
        <f t="shared" si="2"/>
        <v/>
      </c>
    </row>
    <row r="163">
      <c r="A163" s="243" t="s">
        <v>6893</v>
      </c>
      <c r="B163" s="244" t="s">
        <v>6896</v>
      </c>
      <c r="C163" s="245" t="str">
        <f t="shared" si="1"/>
        <v>\FPeval\varFSENotAvailablePerPaperXIX{14.5}</v>
      </c>
      <c r="D163" s="262" t="str">
        <f>PapersOverview!AA8</f>
        <v>14.5</v>
      </c>
      <c r="E163" s="261" t="s">
        <v>6897</v>
      </c>
      <c r="F163" s="247" t="str">
        <f t="shared" si="2"/>
        <v/>
      </c>
    </row>
    <row r="164">
      <c r="A164" s="237" t="s">
        <v>6893</v>
      </c>
      <c r="B164" s="238" t="s">
        <v>6898</v>
      </c>
      <c r="C164" s="239" t="str">
        <f t="shared" si="1"/>
        <v>\FPeval\varFSENotAvailablePerPaperXV{43.8}</v>
      </c>
      <c r="D164" s="260" t="str">
        <f>PapersOverview!AA4</f>
        <v>43.8</v>
      </c>
      <c r="E164" s="261" t="s">
        <v>6899</v>
      </c>
      <c r="F164" s="242" t="str">
        <f t="shared" si="2"/>
        <v/>
      </c>
    </row>
    <row r="165">
      <c r="A165" s="243" t="s">
        <v>6893</v>
      </c>
      <c r="B165" s="244" t="s">
        <v>6900</v>
      </c>
      <c r="C165" s="245" t="str">
        <f t="shared" si="1"/>
        <v>\FPeval\varFSENotAvailablePerPaperXVI{38.9}</v>
      </c>
      <c r="D165" s="262" t="str">
        <f>PapersOverview!AA5</f>
        <v>38.9</v>
      </c>
      <c r="E165" s="261" t="s">
        <v>6765</v>
      </c>
      <c r="F165" s="247" t="str">
        <f t="shared" si="2"/>
        <v/>
      </c>
    </row>
    <row r="166">
      <c r="A166" s="237" t="s">
        <v>6893</v>
      </c>
      <c r="B166" s="238" t="s">
        <v>6901</v>
      </c>
      <c r="C166" s="239" t="str">
        <f t="shared" si="1"/>
        <v>\FPeval\varFSENotAvailablePerPaperXVII{26.4}</v>
      </c>
      <c r="D166" s="260" t="str">
        <f>PapersOverview!AA6</f>
        <v>26.4</v>
      </c>
      <c r="E166" s="261" t="s">
        <v>6902</v>
      </c>
      <c r="F166" s="242" t="str">
        <f t="shared" si="2"/>
        <v/>
      </c>
    </row>
    <row r="167">
      <c r="A167" s="243" t="s">
        <v>6893</v>
      </c>
      <c r="B167" s="244" t="s">
        <v>6903</v>
      </c>
      <c r="C167" s="245" t="str">
        <f t="shared" si="1"/>
        <v>\FPeval\varFSENotAvailablePerPaperXVIII{9.8}</v>
      </c>
      <c r="D167" s="262" t="str">
        <f>PapersOverview!AA7</f>
        <v>9.8</v>
      </c>
      <c r="E167" s="261" t="s">
        <v>6904</v>
      </c>
      <c r="F167" s="247" t="str">
        <f t="shared" si="2"/>
        <v/>
      </c>
    </row>
    <row r="168">
      <c r="A168" s="237" t="s">
        <v>6893</v>
      </c>
      <c r="B168" s="238" t="s">
        <v>6905</v>
      </c>
      <c r="C168" s="239" t="str">
        <f t="shared" si="1"/>
        <v>\FPeval\varFSENotAvailablePerPaperXX{5.5}</v>
      </c>
      <c r="D168" s="260" t="str">
        <f>PapersOverview!AA9</f>
        <v>5.5</v>
      </c>
      <c r="E168" s="261" t="s">
        <v>6906</v>
      </c>
      <c r="F168" s="242" t="str">
        <f t="shared" si="2"/>
        <v/>
      </c>
    </row>
    <row r="169">
      <c r="A169" s="243" t="s">
        <v>6893</v>
      </c>
      <c r="B169" s="244" t="s">
        <v>6907</v>
      </c>
      <c r="C169" s="245" t="str">
        <f t="shared" si="1"/>
        <v>\FPeval\varFSENotAvailablePerPaperXXI{2.4}</v>
      </c>
      <c r="D169" s="262" t="str">
        <f>PapersOverview!AA10</f>
        <v>2.4</v>
      </c>
      <c r="E169" s="261" t="s">
        <v>6908</v>
      </c>
      <c r="F169" s="247" t="str">
        <f t="shared" si="2"/>
        <v/>
      </c>
    </row>
    <row r="170">
      <c r="A170" s="237" t="s">
        <v>6893</v>
      </c>
      <c r="B170" s="238" t="s">
        <v>6909</v>
      </c>
      <c r="C170" s="239" t="str">
        <f t="shared" si="1"/>
        <v>\FPeval\varFSENotAvailablePerPaperXXII{1.1}</v>
      </c>
      <c r="D170" s="260" t="str">
        <f>PapersOverview!AA11</f>
        <v>1.1</v>
      </c>
      <c r="E170" s="261" t="s">
        <v>6770</v>
      </c>
      <c r="F170" s="242" t="str">
        <f t="shared" si="2"/>
        <v/>
      </c>
    </row>
    <row r="171">
      <c r="A171" s="243" t="s">
        <v>6893</v>
      </c>
      <c r="B171" s="244" t="s">
        <v>6910</v>
      </c>
      <c r="C171" s="245" t="str">
        <f t="shared" si="1"/>
        <v>\FPeval\varFSENotAvailablePerPaperXXIII{3.2}</v>
      </c>
      <c r="D171" s="262" t="str">
        <f>PapersOverview!AA12</f>
        <v>3.2</v>
      </c>
      <c r="E171" s="261" t="s">
        <v>6911</v>
      </c>
      <c r="F171" s="247" t="str">
        <f t="shared" si="2"/>
        <v/>
      </c>
    </row>
    <row r="172">
      <c r="A172" s="237" t="s">
        <v>6893</v>
      </c>
      <c r="B172" s="248" t="s">
        <v>6912</v>
      </c>
      <c r="C172" s="239" t="str">
        <f t="shared" si="1"/>
        <v>\FPeval\varICSENotAvailablePerPaperEighteen{20.5}</v>
      </c>
      <c r="D172" s="263" t="str">
        <f>PapersOverview!Z7</f>
        <v>20.5</v>
      </c>
      <c r="E172" s="241" t="s">
        <v>6779</v>
      </c>
      <c r="F172" s="242" t="str">
        <f t="shared" si="2"/>
        <v/>
      </c>
    </row>
    <row r="173">
      <c r="A173" s="243" t="s">
        <v>6893</v>
      </c>
      <c r="B173" s="249" t="s">
        <v>6913</v>
      </c>
      <c r="C173" s="245" t="str">
        <f t="shared" si="1"/>
        <v>\FPeval\varICSENotAvailablePerPaperFifteen{46.9}</v>
      </c>
      <c r="D173" s="264" t="str">
        <f>PapersOverview!Z4</f>
        <v>46.9</v>
      </c>
      <c r="E173" s="241" t="s">
        <v>6914</v>
      </c>
      <c r="F173" s="247" t="str">
        <f t="shared" si="2"/>
        <v/>
      </c>
    </row>
    <row r="174">
      <c r="A174" s="237" t="s">
        <v>6893</v>
      </c>
      <c r="B174" s="248" t="s">
        <v>6915</v>
      </c>
      <c r="C174" s="239" t="str">
        <f t="shared" si="1"/>
        <v>\FPeval\varICSENotAvailablePerPaperFourteen{56.5}</v>
      </c>
      <c r="D174" s="263" t="str">
        <f>PapersOverview!Z3</f>
        <v>56.5</v>
      </c>
      <c r="E174" s="241" t="s">
        <v>6916</v>
      </c>
      <c r="F174" s="242" t="str">
        <f t="shared" si="2"/>
        <v/>
      </c>
    </row>
    <row r="175">
      <c r="A175" s="243" t="s">
        <v>6893</v>
      </c>
      <c r="B175" s="249" t="s">
        <v>6917</v>
      </c>
      <c r="C175" s="245" t="str">
        <f t="shared" si="1"/>
        <v>\FPeval\varICSENotAvailablePerPaperNineteen{7.6}</v>
      </c>
      <c r="D175" s="264" t="str">
        <f>PapersOverview!Z8</f>
        <v>7.6</v>
      </c>
      <c r="E175" s="241" t="s">
        <v>6918</v>
      </c>
      <c r="F175" s="247" t="str">
        <f t="shared" si="2"/>
        <v/>
      </c>
    </row>
    <row r="176">
      <c r="A176" s="237" t="s">
        <v>6893</v>
      </c>
      <c r="B176" s="248" t="s">
        <v>6919</v>
      </c>
      <c r="C176" s="239" t="str">
        <f t="shared" si="1"/>
        <v>\FPeval\varICSENotAvailablePerPaperSeventeen{35.7}</v>
      </c>
      <c r="D176" s="263" t="str">
        <f>PapersOverview!Z6</f>
        <v>35.7</v>
      </c>
      <c r="E176" s="241" t="s">
        <v>6920</v>
      </c>
      <c r="F176" s="242" t="str">
        <f t="shared" si="2"/>
        <v/>
      </c>
    </row>
    <row r="177">
      <c r="A177" s="243" t="s">
        <v>6893</v>
      </c>
      <c r="B177" s="249" t="s">
        <v>6921</v>
      </c>
      <c r="C177" s="245" t="str">
        <f t="shared" si="1"/>
        <v>\FPeval\varICSENotAvailablePerPaperSixteen{52.9}</v>
      </c>
      <c r="D177" s="264" t="str">
        <f>PapersOverview!Z5</f>
        <v>52.9</v>
      </c>
      <c r="E177" s="241" t="s">
        <v>6922</v>
      </c>
      <c r="F177" s="247" t="str">
        <f t="shared" si="2"/>
        <v/>
      </c>
    </row>
    <row r="178">
      <c r="A178" s="237" t="s">
        <v>6893</v>
      </c>
      <c r="B178" s="248" t="s">
        <v>6923</v>
      </c>
      <c r="C178" s="239" t="str">
        <f t="shared" si="1"/>
        <v>\FPeval\varICSENotAvailablePerPaperTwenty{6.6}</v>
      </c>
      <c r="D178" s="263" t="str">
        <f>PapersOverview!Z9</f>
        <v>6.6</v>
      </c>
      <c r="E178" s="241" t="s">
        <v>6924</v>
      </c>
      <c r="F178" s="242" t="str">
        <f t="shared" si="2"/>
        <v/>
      </c>
    </row>
    <row r="179">
      <c r="A179" s="243" t="s">
        <v>6893</v>
      </c>
      <c r="B179" s="249" t="s">
        <v>6925</v>
      </c>
      <c r="C179" s="245" t="str">
        <f t="shared" si="1"/>
        <v>\FPeval\varICSENotAvailablePerPaperTwentyOne{5.0}</v>
      </c>
      <c r="D179" s="264" t="str">
        <f>PapersOverview!Z10</f>
        <v>5.0</v>
      </c>
      <c r="E179" s="241" t="s">
        <v>6790</v>
      </c>
      <c r="F179" s="247" t="str">
        <f t="shared" si="2"/>
        <v/>
      </c>
    </row>
    <row r="180">
      <c r="A180" s="237" t="s">
        <v>6893</v>
      </c>
      <c r="B180" s="248" t="s">
        <v>6926</v>
      </c>
      <c r="C180" s="239" t="str">
        <f t="shared" si="1"/>
        <v>\FPeval\varICSENotAvailablePerPaperTwentyThree{4.5}</v>
      </c>
      <c r="D180" s="263" t="str">
        <f>PapersOverview!Z12</f>
        <v>4.5</v>
      </c>
      <c r="E180" s="241" t="s">
        <v>6927</v>
      </c>
      <c r="F180" s="242" t="str">
        <f t="shared" si="2"/>
        <v/>
      </c>
    </row>
    <row r="181">
      <c r="A181" s="243" t="s">
        <v>6893</v>
      </c>
      <c r="B181" s="249" t="s">
        <v>6928</v>
      </c>
      <c r="C181" s="245" t="str">
        <f t="shared" si="1"/>
        <v>\FPeval\varICSENotAvailablePerPaperTwentyTwo{2.8}</v>
      </c>
      <c r="D181" s="264" t="str">
        <f>PapersOverview!Z11</f>
        <v>2.8</v>
      </c>
      <c r="E181" s="241" t="s">
        <v>6929</v>
      </c>
      <c r="F181" s="247" t="str">
        <f t="shared" si="2"/>
        <v/>
      </c>
    </row>
    <row r="182">
      <c r="A182" s="237" t="s">
        <v>6930</v>
      </c>
      <c r="B182" s="248" t="s">
        <v>6931</v>
      </c>
      <c r="C182" s="239" t="str">
        <f t="shared" si="1"/>
        <v>\FPeval\varFSEEvaluatedArtifactEighteen{32.8}</v>
      </c>
      <c r="D182" s="240" t="str">
        <f>PapersOverview!S7</f>
        <v>32.8</v>
      </c>
      <c r="E182" s="241" t="s">
        <v>6932</v>
      </c>
      <c r="F182" s="242" t="str">
        <f t="shared" si="2"/>
        <v/>
      </c>
    </row>
    <row r="183">
      <c r="A183" s="243" t="s">
        <v>6930</v>
      </c>
      <c r="B183" s="249" t="s">
        <v>6933</v>
      </c>
      <c r="C183" s="245" t="str">
        <f t="shared" si="1"/>
        <v>\FPeval\varFSEEvaluatedArtifactFifteen{23.0}</v>
      </c>
      <c r="D183" s="246" t="str">
        <f>PapersOverview!S4</f>
        <v>23.0</v>
      </c>
      <c r="E183" s="241" t="s">
        <v>6934</v>
      </c>
      <c r="F183" s="247" t="str">
        <f t="shared" si="2"/>
        <v/>
      </c>
    </row>
    <row r="184">
      <c r="A184" s="237" t="s">
        <v>6930</v>
      </c>
      <c r="B184" s="248" t="s">
        <v>6935</v>
      </c>
      <c r="C184" s="239" t="str">
        <f t="shared" si="1"/>
        <v>\FPeval\varFSEEvaluatedArtifactFourteen{24.6}</v>
      </c>
      <c r="D184" s="240" t="str">
        <f>PapersOverview!S3</f>
        <v>24.6</v>
      </c>
      <c r="E184" s="241" t="s">
        <v>6936</v>
      </c>
      <c r="F184" s="242" t="str">
        <f t="shared" si="2"/>
        <v/>
      </c>
    </row>
    <row r="185">
      <c r="A185" s="243" t="s">
        <v>6930</v>
      </c>
      <c r="B185" s="249" t="s">
        <v>6937</v>
      </c>
      <c r="C185" s="245" t="str">
        <f t="shared" si="1"/>
        <v>\FPeval\varFSEEvaluatedArtifactNineteen{28.4}</v>
      </c>
      <c r="D185" s="246" t="str">
        <f>PapersOverview!S8</f>
        <v>28.4</v>
      </c>
      <c r="E185" s="241" t="s">
        <v>6938</v>
      </c>
      <c r="F185" s="247" t="str">
        <f t="shared" si="2"/>
        <v/>
      </c>
    </row>
    <row r="186">
      <c r="A186" s="237" t="s">
        <v>6930</v>
      </c>
      <c r="B186" s="248" t="s">
        <v>6939</v>
      </c>
      <c r="C186" s="239" t="str">
        <f t="shared" si="1"/>
        <v>\FPeval\varFSEEvaluatedArtifactSeventeen{15.3}</v>
      </c>
      <c r="D186" s="240" t="str">
        <f>PapersOverview!S6</f>
        <v>15.3</v>
      </c>
      <c r="E186" s="241" t="s">
        <v>6940</v>
      </c>
      <c r="F186" s="242" t="str">
        <f t="shared" si="2"/>
        <v/>
      </c>
    </row>
    <row r="187">
      <c r="A187" s="243" t="s">
        <v>6930</v>
      </c>
      <c r="B187" s="249" t="s">
        <v>6941</v>
      </c>
      <c r="C187" s="245" t="str">
        <f t="shared" si="1"/>
        <v>\FPeval\varFSEEvaluatedArtifactSixteen{23.0}</v>
      </c>
      <c r="D187" s="246" t="str">
        <f>PapersOverview!S5</f>
        <v>23.0</v>
      </c>
      <c r="E187" s="241" t="s">
        <v>6934</v>
      </c>
      <c r="F187" s="247" t="str">
        <f t="shared" si="2"/>
        <v/>
      </c>
    </row>
    <row r="188">
      <c r="A188" s="237" t="s">
        <v>6930</v>
      </c>
      <c r="B188" s="248" t="s">
        <v>6942</v>
      </c>
      <c r="C188" s="239" t="str">
        <f t="shared" si="1"/>
        <v>\FPeval\varFSEEvaluatedArtifactTwenty{53.5}</v>
      </c>
      <c r="D188" s="240" t="str">
        <f>PapersOverview!S9</f>
        <v>53.5</v>
      </c>
      <c r="E188" s="241" t="s">
        <v>6943</v>
      </c>
      <c r="F188" s="242" t="str">
        <f t="shared" si="2"/>
        <v/>
      </c>
    </row>
    <row r="189">
      <c r="A189" s="243" t="s">
        <v>6930</v>
      </c>
      <c r="B189" s="249" t="s">
        <v>6944</v>
      </c>
      <c r="C189" s="245" t="str">
        <f t="shared" si="1"/>
        <v>\FPeval\varFSEEvaluatedArtifactTwentyOne{51.5}</v>
      </c>
      <c r="D189" s="246" t="str">
        <f>PapersOverview!S10</f>
        <v>51.5</v>
      </c>
      <c r="E189" s="241" t="s">
        <v>6945</v>
      </c>
      <c r="F189" s="247" t="str">
        <f t="shared" si="2"/>
        <v/>
      </c>
    </row>
    <row r="190">
      <c r="A190" s="237" t="s">
        <v>6930</v>
      </c>
      <c r="B190" s="248" t="s">
        <v>6946</v>
      </c>
      <c r="C190" s="239" t="str">
        <f t="shared" si="1"/>
        <v>\FPeval\varFSEEvaluatedArtifactTwentyThree{48.8}</v>
      </c>
      <c r="D190" s="240" t="str">
        <f>PapersOverview!S12</f>
        <v>48.8</v>
      </c>
      <c r="E190" s="241" t="s">
        <v>6947</v>
      </c>
      <c r="F190" s="242" t="str">
        <f t="shared" si="2"/>
        <v/>
      </c>
    </row>
    <row r="191">
      <c r="A191" s="243" t="s">
        <v>6930</v>
      </c>
      <c r="B191" s="249" t="s">
        <v>6948</v>
      </c>
      <c r="C191" s="245" t="str">
        <f t="shared" si="1"/>
        <v>\FPeval\varFSEEvaluatedArtifactTwentyTwo{41.4}</v>
      </c>
      <c r="D191" s="246" t="str">
        <f>PapersOverview!S11</f>
        <v>41.4</v>
      </c>
      <c r="E191" s="241" t="s">
        <v>6949</v>
      </c>
      <c r="F191" s="247" t="str">
        <f t="shared" si="2"/>
        <v/>
      </c>
    </row>
    <row r="192">
      <c r="A192" s="265" t="s">
        <v>6930</v>
      </c>
      <c r="B192" s="248" t="s">
        <v>6950</v>
      </c>
      <c r="C192" s="239" t="str">
        <f t="shared" si="1"/>
        <v>\FPeval\varICSEEvaluatedArtifactNineteen{41.3}</v>
      </c>
      <c r="D192" s="240" t="str">
        <f>PapersOverview!R8</f>
        <v>41.3</v>
      </c>
      <c r="E192" s="241" t="s">
        <v>6951</v>
      </c>
      <c r="F192" s="242" t="str">
        <f t="shared" si="2"/>
        <v/>
      </c>
    </row>
    <row r="193">
      <c r="A193" s="266" t="s">
        <v>6930</v>
      </c>
      <c r="B193" s="249" t="s">
        <v>6952</v>
      </c>
      <c r="C193" s="245" t="str">
        <f t="shared" si="1"/>
        <v>\FPeval\varICSEEvaluatedArtifactTwenty{41.9}</v>
      </c>
      <c r="D193" s="246" t="str">
        <f>PapersOverview!R9</f>
        <v>41.9</v>
      </c>
      <c r="E193" s="241" t="s">
        <v>6953</v>
      </c>
      <c r="F193" s="247" t="str">
        <f t="shared" si="2"/>
        <v/>
      </c>
    </row>
    <row r="194">
      <c r="A194" s="265" t="s">
        <v>6930</v>
      </c>
      <c r="B194" s="248" t="s">
        <v>6954</v>
      </c>
      <c r="C194" s="239" t="str">
        <f t="shared" si="1"/>
        <v>\FPeval\varICSEEvaluatedArtifactTwentyOne{36.2}</v>
      </c>
      <c r="D194" s="240" t="str">
        <f>PapersOverview!R10</f>
        <v>36.2</v>
      </c>
      <c r="E194" s="241" t="s">
        <v>6955</v>
      </c>
      <c r="F194" s="242" t="str">
        <f t="shared" si="2"/>
        <v/>
      </c>
    </row>
    <row r="195">
      <c r="A195" s="266" t="s">
        <v>6930</v>
      </c>
      <c r="B195" s="249" t="s">
        <v>6956</v>
      </c>
      <c r="C195" s="245" t="str">
        <f t="shared" si="1"/>
        <v>\FPeval\varICSEEvaluatedArtifactTwentyThree{39.6}</v>
      </c>
      <c r="D195" s="246" t="str">
        <f>PapersOverview!R12</f>
        <v>39.6</v>
      </c>
      <c r="E195" s="241" t="s">
        <v>6763</v>
      </c>
      <c r="F195" s="247" t="str">
        <f t="shared" si="2"/>
        <v/>
      </c>
    </row>
    <row r="196">
      <c r="A196" s="265" t="s">
        <v>6930</v>
      </c>
      <c r="B196" s="248" t="s">
        <v>6957</v>
      </c>
      <c r="C196" s="239" t="str">
        <f t="shared" si="1"/>
        <v>\FPeval\varICSEEvaluatedArtifactTwentyTwo{32.0}</v>
      </c>
      <c r="D196" s="240" t="str">
        <f>PapersOverview!R11</f>
        <v>32.0</v>
      </c>
      <c r="E196" s="241" t="s">
        <v>6958</v>
      </c>
      <c r="F196" s="242" t="str">
        <f t="shared" si="2"/>
        <v/>
      </c>
    </row>
    <row r="197">
      <c r="A197" s="243" t="s">
        <v>6959</v>
      </c>
      <c r="B197" s="244" t="s">
        <v>6960</v>
      </c>
      <c r="C197" s="245" t="str">
        <f t="shared" si="1"/>
        <v>\FPeval\varCollectedPapersFSEEighteen{61}</v>
      </c>
      <c r="D197" s="267">
        <f>PapersOverview!C7</f>
        <v>61</v>
      </c>
      <c r="E197" s="268">
        <v>61.0</v>
      </c>
      <c r="F197" s="247" t="str">
        <f t="shared" si="2"/>
        <v/>
      </c>
    </row>
    <row r="198">
      <c r="A198" s="237" t="s">
        <v>6959</v>
      </c>
      <c r="B198" s="238" t="s">
        <v>6961</v>
      </c>
      <c r="C198" s="239" t="str">
        <f t="shared" si="1"/>
        <v>\FPeval\varCollectedPapersFSEFifteen{74}</v>
      </c>
      <c r="D198" s="269">
        <f>PapersOverview!C4</f>
        <v>74</v>
      </c>
      <c r="E198" s="268">
        <v>74.0</v>
      </c>
      <c r="F198" s="242" t="str">
        <f t="shared" si="2"/>
        <v/>
      </c>
    </row>
    <row r="199">
      <c r="A199" s="243" t="s">
        <v>6959</v>
      </c>
      <c r="B199" s="244" t="s">
        <v>6962</v>
      </c>
      <c r="C199" s="245" t="str">
        <f t="shared" si="1"/>
        <v>\FPeval\varCollectedPapersFSEFourteen{61}</v>
      </c>
      <c r="D199" s="267">
        <f>PapersOverview!C3</f>
        <v>61</v>
      </c>
      <c r="E199" s="268">
        <v>61.0</v>
      </c>
      <c r="F199" s="247" t="str">
        <f t="shared" si="2"/>
        <v/>
      </c>
    </row>
    <row r="200">
      <c r="A200" s="237" t="s">
        <v>6959</v>
      </c>
      <c r="B200" s="238" t="s">
        <v>6963</v>
      </c>
      <c r="C200" s="239" t="str">
        <f t="shared" si="1"/>
        <v>\FPeval\varCollectedPapersFSENineteen{74}</v>
      </c>
      <c r="D200" s="269">
        <f>PapersOverview!C8</f>
        <v>74</v>
      </c>
      <c r="E200" s="268">
        <v>74.0</v>
      </c>
      <c r="F200" s="242" t="str">
        <f t="shared" si="2"/>
        <v/>
      </c>
    </row>
    <row r="201">
      <c r="A201" s="243" t="s">
        <v>6959</v>
      </c>
      <c r="B201" s="244" t="s">
        <v>6964</v>
      </c>
      <c r="C201" s="245" t="str">
        <f t="shared" si="1"/>
        <v>\FPeval\varCollectedPapersFSESeventeen{72}</v>
      </c>
      <c r="D201" s="267">
        <f>PapersOverview!C6</f>
        <v>72</v>
      </c>
      <c r="E201" s="268">
        <v>72.0</v>
      </c>
      <c r="F201" s="247" t="str">
        <f t="shared" si="2"/>
        <v/>
      </c>
    </row>
    <row r="202">
      <c r="A202" s="237" t="s">
        <v>6959</v>
      </c>
      <c r="B202" s="238" t="s">
        <v>6965</v>
      </c>
      <c r="C202" s="239" t="str">
        <f t="shared" si="1"/>
        <v>\FPeval\varCollectedPapersFSESixteen{74}</v>
      </c>
      <c r="D202" s="269">
        <f>PapersOverview!C5</f>
        <v>74</v>
      </c>
      <c r="E202" s="268">
        <v>74.0</v>
      </c>
      <c r="F202" s="242" t="str">
        <f t="shared" si="2"/>
        <v/>
      </c>
    </row>
    <row r="203">
      <c r="A203" s="243" t="s">
        <v>6959</v>
      </c>
      <c r="B203" s="244" t="s">
        <v>6966</v>
      </c>
      <c r="C203" s="245" t="str">
        <f t="shared" si="1"/>
        <v>\FPeval\varCollectedPapersFSETwenty{101}</v>
      </c>
      <c r="D203" s="267">
        <f>PapersOverview!C9</f>
        <v>101</v>
      </c>
      <c r="E203" s="268">
        <v>101.0</v>
      </c>
      <c r="F203" s="247" t="str">
        <f t="shared" si="2"/>
        <v/>
      </c>
    </row>
    <row r="204">
      <c r="A204" s="237" t="s">
        <v>6959</v>
      </c>
      <c r="B204" s="238" t="s">
        <v>6967</v>
      </c>
      <c r="C204" s="239" t="str">
        <f t="shared" si="1"/>
        <v>\FPeval\varCollectedPapersFSETwentyOne{97}</v>
      </c>
      <c r="D204" s="269">
        <f>PapersOverview!C10</f>
        <v>97</v>
      </c>
      <c r="E204" s="268">
        <v>97.0</v>
      </c>
      <c r="F204" s="242" t="str">
        <f t="shared" si="2"/>
        <v/>
      </c>
    </row>
    <row r="205">
      <c r="A205" s="243" t="s">
        <v>6959</v>
      </c>
      <c r="B205" s="244" t="s">
        <v>6968</v>
      </c>
      <c r="C205" s="245" t="str">
        <f t="shared" si="1"/>
        <v>\FPeval\varCollectedPapersFSETwentyThree{127}</v>
      </c>
      <c r="D205" s="267">
        <f>PapersOverview!C12</f>
        <v>127</v>
      </c>
      <c r="E205" s="268">
        <v>127.0</v>
      </c>
      <c r="F205" s="247" t="str">
        <f t="shared" si="2"/>
        <v/>
      </c>
    </row>
    <row r="206">
      <c r="A206" s="237" t="s">
        <v>6959</v>
      </c>
      <c r="B206" s="238" t="s">
        <v>6969</v>
      </c>
      <c r="C206" s="239" t="str">
        <f t="shared" si="1"/>
        <v>\FPeval\varCollectedPapersFSETwentyTwo{99}</v>
      </c>
      <c r="D206" s="269">
        <f>PapersOverview!C11</f>
        <v>99</v>
      </c>
      <c r="E206" s="268">
        <v>99.0</v>
      </c>
      <c r="F206" s="242" t="str">
        <f t="shared" si="2"/>
        <v/>
      </c>
    </row>
    <row r="207">
      <c r="A207" s="243" t="s">
        <v>6959</v>
      </c>
      <c r="B207" s="249" t="s">
        <v>6970</v>
      </c>
      <c r="C207" s="245" t="str">
        <f t="shared" si="1"/>
        <v>\FPeval\varCollectedPapersICSEEighteen{105}</v>
      </c>
      <c r="D207" s="267">
        <f>PapersOverview!B7</f>
        <v>105</v>
      </c>
      <c r="E207" s="268">
        <v>105.0</v>
      </c>
      <c r="F207" s="247" t="str">
        <f t="shared" si="2"/>
        <v/>
      </c>
    </row>
    <row r="208">
      <c r="A208" s="237" t="s">
        <v>6959</v>
      </c>
      <c r="B208" s="248" t="s">
        <v>6971</v>
      </c>
      <c r="C208" s="239" t="str">
        <f t="shared" si="1"/>
        <v>\FPeval\varCollectedPapersICSEFifteen{84}</v>
      </c>
      <c r="D208" s="269">
        <f>PapersOverview!B4</f>
        <v>84</v>
      </c>
      <c r="E208" s="268">
        <v>84.0</v>
      </c>
      <c r="F208" s="242" t="str">
        <f t="shared" si="2"/>
        <v/>
      </c>
    </row>
    <row r="209">
      <c r="A209" s="243" t="s">
        <v>6959</v>
      </c>
      <c r="B209" s="249" t="s">
        <v>6972</v>
      </c>
      <c r="C209" s="245" t="str">
        <f t="shared" si="1"/>
        <v>\FPeval\varCollectedPapersICSEFourteen{98}</v>
      </c>
      <c r="D209" s="267">
        <f>PapersOverview!B3</f>
        <v>98</v>
      </c>
      <c r="E209" s="268">
        <v>98.0</v>
      </c>
      <c r="F209" s="247" t="str">
        <f t="shared" si="2"/>
        <v/>
      </c>
    </row>
    <row r="210">
      <c r="A210" s="237" t="s">
        <v>6959</v>
      </c>
      <c r="B210" s="248" t="s">
        <v>6973</v>
      </c>
      <c r="C210" s="239" t="str">
        <f t="shared" si="1"/>
        <v>\FPeval\varCollectedPapersICSENineteen{109}</v>
      </c>
      <c r="D210" s="269">
        <f>PapersOverview!B8</f>
        <v>109</v>
      </c>
      <c r="E210" s="268">
        <v>109.0</v>
      </c>
      <c r="F210" s="242" t="str">
        <f t="shared" si="2"/>
        <v/>
      </c>
    </row>
    <row r="211">
      <c r="A211" s="243" t="s">
        <v>6959</v>
      </c>
      <c r="B211" s="249" t="s">
        <v>6974</v>
      </c>
      <c r="C211" s="245" t="str">
        <f t="shared" si="1"/>
        <v>\FPeval\varCollectedPapersICSESeventeen{68}</v>
      </c>
      <c r="D211" s="267">
        <f>PapersOverview!B6</f>
        <v>68</v>
      </c>
      <c r="E211" s="268">
        <v>68.0</v>
      </c>
      <c r="F211" s="247" t="str">
        <f t="shared" si="2"/>
        <v/>
      </c>
    </row>
    <row r="212">
      <c r="A212" s="237" t="s">
        <v>6959</v>
      </c>
      <c r="B212" s="248" t="s">
        <v>6975</v>
      </c>
      <c r="C212" s="239" t="str">
        <f t="shared" si="1"/>
        <v>\FPeval\varCollectedPapersICSESixteen{101}</v>
      </c>
      <c r="D212" s="269">
        <f>PapersOverview!B5</f>
        <v>101</v>
      </c>
      <c r="E212" s="268">
        <v>101.0</v>
      </c>
      <c r="F212" s="242" t="str">
        <f t="shared" si="2"/>
        <v/>
      </c>
    </row>
    <row r="213">
      <c r="A213" s="243" t="s">
        <v>6959</v>
      </c>
      <c r="B213" s="249" t="s">
        <v>6976</v>
      </c>
      <c r="C213" s="245" t="str">
        <f t="shared" si="1"/>
        <v>\FPeval\varCollectedPapersICSETwenty{129}</v>
      </c>
      <c r="D213" s="267">
        <f>PapersOverview!B9</f>
        <v>129</v>
      </c>
      <c r="E213" s="268">
        <v>129.0</v>
      </c>
      <c r="F213" s="247" t="str">
        <f t="shared" si="2"/>
        <v/>
      </c>
    </row>
    <row r="214">
      <c r="A214" s="237" t="s">
        <v>6959</v>
      </c>
      <c r="B214" s="248" t="s">
        <v>6977</v>
      </c>
      <c r="C214" s="239" t="str">
        <f t="shared" si="1"/>
        <v>\FPeval\varCollectedPapersICSETwentyOne{138}</v>
      </c>
      <c r="D214" s="269">
        <f>PapersOverview!B10</f>
        <v>138</v>
      </c>
      <c r="E214" s="268">
        <v>138.0</v>
      </c>
      <c r="F214" s="242" t="str">
        <f t="shared" si="2"/>
        <v/>
      </c>
    </row>
    <row r="215">
      <c r="A215" s="243" t="s">
        <v>6959</v>
      </c>
      <c r="B215" s="249" t="s">
        <v>6978</v>
      </c>
      <c r="C215" s="245" t="str">
        <f t="shared" si="1"/>
        <v>\FPeval\varCollectedPapersICSETwentyThree{207}</v>
      </c>
      <c r="D215" s="267">
        <f>PapersOverview!B12</f>
        <v>207</v>
      </c>
      <c r="E215" s="268">
        <v>207.0</v>
      </c>
      <c r="F215" s="247" t="str">
        <f t="shared" si="2"/>
        <v/>
      </c>
    </row>
    <row r="216">
      <c r="A216" s="237" t="s">
        <v>6959</v>
      </c>
      <c r="B216" s="248" t="s">
        <v>6979</v>
      </c>
      <c r="C216" s="239" t="str">
        <f t="shared" si="1"/>
        <v>\FPeval\varCollectedPapersICSETwentyTwo{197}</v>
      </c>
      <c r="D216" s="269">
        <f>PapersOverview!B11</f>
        <v>197</v>
      </c>
      <c r="E216" s="268">
        <v>197.0</v>
      </c>
      <c r="F216" s="242" t="str">
        <f t="shared" si="2"/>
        <v/>
      </c>
    </row>
    <row r="217">
      <c r="A217" s="243" t="s">
        <v>6959</v>
      </c>
      <c r="B217" s="249" t="s">
        <v>6980</v>
      </c>
      <c r="C217" s="245" t="str">
        <f t="shared" si="1"/>
        <v>\FPeval\varTotalPapersXIVICSEFSE{159}</v>
      </c>
      <c r="D217" s="264">
        <f>PapersOverview!D3</f>
        <v>159</v>
      </c>
      <c r="E217" s="270">
        <v>159.0</v>
      </c>
      <c r="F217" s="247" t="str">
        <f t="shared" si="2"/>
        <v/>
      </c>
    </row>
    <row r="218">
      <c r="A218" s="237" t="s">
        <v>6959</v>
      </c>
      <c r="B218" s="248" t="s">
        <v>6981</v>
      </c>
      <c r="C218" s="239" t="str">
        <f t="shared" si="1"/>
        <v>\FPeval\varTotalPapersXIXICSEFSE{183}</v>
      </c>
      <c r="D218" s="263">
        <f>PapersOverview!D8</f>
        <v>183</v>
      </c>
      <c r="E218" s="270">
        <v>183.0</v>
      </c>
      <c r="F218" s="242" t="str">
        <f t="shared" si="2"/>
        <v/>
      </c>
    </row>
    <row r="219">
      <c r="A219" s="243" t="s">
        <v>6959</v>
      </c>
      <c r="B219" s="249" t="s">
        <v>6982</v>
      </c>
      <c r="C219" s="245" t="str">
        <f t="shared" si="1"/>
        <v>\FPeval\varTotalPapersXVICSEFSE{158}</v>
      </c>
      <c r="D219" s="264">
        <f>PapersOverview!D4</f>
        <v>158</v>
      </c>
      <c r="E219" s="270">
        <v>158.0</v>
      </c>
      <c r="F219" s="247" t="str">
        <f t="shared" si="2"/>
        <v/>
      </c>
    </row>
    <row r="220">
      <c r="A220" s="237" t="s">
        <v>6959</v>
      </c>
      <c r="B220" s="248" t="s">
        <v>6983</v>
      </c>
      <c r="C220" s="239" t="str">
        <f t="shared" si="1"/>
        <v>\FPeval\varTotalPapersXVIICSEFSE{175}</v>
      </c>
      <c r="D220" s="263">
        <f>PapersOverview!D5</f>
        <v>175</v>
      </c>
      <c r="E220" s="270">
        <v>175.0</v>
      </c>
      <c r="F220" s="242" t="str">
        <f t="shared" si="2"/>
        <v/>
      </c>
    </row>
    <row r="221">
      <c r="A221" s="243" t="s">
        <v>6959</v>
      </c>
      <c r="B221" s="249" t="s">
        <v>6984</v>
      </c>
      <c r="C221" s="245" t="str">
        <f t="shared" si="1"/>
        <v>\FPeval\varTotalPapersXVIIICSEFSE{140}</v>
      </c>
      <c r="D221" s="264">
        <f>PapersOverview!D6</f>
        <v>140</v>
      </c>
      <c r="E221" s="270">
        <v>140.0</v>
      </c>
      <c r="F221" s="247" t="str">
        <f t="shared" si="2"/>
        <v/>
      </c>
    </row>
    <row r="222">
      <c r="A222" s="237" t="s">
        <v>6959</v>
      </c>
      <c r="B222" s="248" t="s">
        <v>6985</v>
      </c>
      <c r="C222" s="239" t="str">
        <f t="shared" si="1"/>
        <v>\FPeval\varTotalPapersXVIIIICSEFSE{166}</v>
      </c>
      <c r="D222" s="263">
        <f>PapersOverview!D7</f>
        <v>166</v>
      </c>
      <c r="E222" s="270">
        <v>166.0</v>
      </c>
      <c r="F222" s="242" t="str">
        <f t="shared" si="2"/>
        <v/>
      </c>
    </row>
    <row r="223">
      <c r="A223" s="243" t="s">
        <v>6959</v>
      </c>
      <c r="B223" s="249" t="s">
        <v>6986</v>
      </c>
      <c r="C223" s="245" t="str">
        <f t="shared" si="1"/>
        <v>\FPeval\varTotalPapersXXICSEFSE{230}</v>
      </c>
      <c r="D223" s="264">
        <f>PapersOverview!D9</f>
        <v>230</v>
      </c>
      <c r="E223" s="270">
        <v>230.0</v>
      </c>
      <c r="F223" s="247" t="str">
        <f t="shared" si="2"/>
        <v/>
      </c>
    </row>
    <row r="224">
      <c r="A224" s="237" t="s">
        <v>6959</v>
      </c>
      <c r="B224" s="248" t="s">
        <v>6987</v>
      </c>
      <c r="C224" s="239" t="str">
        <f t="shared" si="1"/>
        <v>\FPeval\varTotalPapersXXIICSEFSE{235}</v>
      </c>
      <c r="D224" s="263">
        <f>PapersOverview!D10</f>
        <v>235</v>
      </c>
      <c r="E224" s="270">
        <v>235.0</v>
      </c>
      <c r="F224" s="242" t="str">
        <f t="shared" si="2"/>
        <v/>
      </c>
    </row>
    <row r="225">
      <c r="A225" s="243" t="s">
        <v>6959</v>
      </c>
      <c r="B225" s="249" t="s">
        <v>6988</v>
      </c>
      <c r="C225" s="245" t="str">
        <f t="shared" si="1"/>
        <v>\FPeval\varTotalPapersXXIIICSEFSE{296}</v>
      </c>
      <c r="D225" s="264">
        <f>PapersOverview!D11</f>
        <v>296</v>
      </c>
      <c r="E225" s="270">
        <v>296.0</v>
      </c>
      <c r="F225" s="247" t="str">
        <f t="shared" si="2"/>
        <v/>
      </c>
    </row>
    <row r="226">
      <c r="A226" s="237" t="s">
        <v>6959</v>
      </c>
      <c r="B226" s="248" t="s">
        <v>6989</v>
      </c>
      <c r="C226" s="239" t="str">
        <f t="shared" si="1"/>
        <v>\FPeval\varTotalPapersXXIIIICSEFSE{334}</v>
      </c>
      <c r="D226" s="263">
        <f>PapersOverview!D12</f>
        <v>334</v>
      </c>
      <c r="E226" s="270">
        <v>334.0</v>
      </c>
      <c r="F226" s="242" t="str">
        <f t="shared" si="2"/>
        <v/>
      </c>
    </row>
    <row r="227">
      <c r="A227" s="243" t="s">
        <v>6990</v>
      </c>
      <c r="B227" s="244" t="s">
        <v>6991</v>
      </c>
      <c r="C227" s="245" t="str">
        <f t="shared" si="1"/>
        <v>\FPeval\varTotalOfPapersFSE{840}</v>
      </c>
      <c r="D227" s="267">
        <f>PapersOverview!C14</f>
        <v>840</v>
      </c>
      <c r="E227" s="268">
        <v>840.0</v>
      </c>
      <c r="F227" s="247" t="str">
        <f t="shared" si="2"/>
        <v/>
      </c>
    </row>
    <row r="228">
      <c r="A228" s="237" t="s">
        <v>6990</v>
      </c>
      <c r="B228" s="248" t="s">
        <v>6992</v>
      </c>
      <c r="C228" s="239" t="str">
        <f t="shared" si="1"/>
        <v>\FPeval\varTotalOfPapersICSE{1236}</v>
      </c>
      <c r="D228" s="263">
        <f>PapersOverview!B14</f>
        <v>1236</v>
      </c>
      <c r="E228" s="270">
        <v>1236.0</v>
      </c>
      <c r="F228" s="242" t="str">
        <f t="shared" si="2"/>
        <v/>
      </c>
    </row>
    <row r="229">
      <c r="A229" s="243" t="s">
        <v>6990</v>
      </c>
      <c r="B229" s="249" t="s">
        <v>6993</v>
      </c>
      <c r="C229" s="245" t="str">
        <f t="shared" si="1"/>
        <v>\FPeval\varTotalOfPapersICSEFSE{2076}</v>
      </c>
      <c r="D229" s="267">
        <f>PapersOverview!D14</f>
        <v>2076</v>
      </c>
      <c r="E229" s="268">
        <v>2076.0</v>
      </c>
      <c r="F229" s="247" t="str">
        <f t="shared" si="2"/>
        <v/>
      </c>
    </row>
    <row r="230">
      <c r="A230" s="237" t="s">
        <v>6994</v>
      </c>
      <c r="B230" s="248" t="s">
        <v>6995</v>
      </c>
      <c r="C230" s="239" t="str">
        <f t="shared" si="1"/>
        <v>\FPeval\varTotalOfPapersWithLinkICSE{1001}</v>
      </c>
      <c r="D230" s="269">
        <f>PapersOverview!F14</f>
        <v>1001</v>
      </c>
      <c r="E230" s="268">
        <v>1001.0</v>
      </c>
      <c r="F230" s="242" t="str">
        <f t="shared" si="2"/>
        <v/>
      </c>
    </row>
    <row r="231">
      <c r="A231" s="243" t="s">
        <v>6994</v>
      </c>
      <c r="B231" s="249" t="s">
        <v>6996</v>
      </c>
      <c r="C231" s="245" t="str">
        <f t="shared" si="1"/>
        <v>\FPeval\varTotalOfPapersWithLinkICSEFSE{1696}</v>
      </c>
      <c r="D231" s="267">
        <f>PapersOverview!H14</f>
        <v>1696</v>
      </c>
      <c r="E231" s="268">
        <v>1696.0</v>
      </c>
      <c r="F231" s="247" t="str">
        <f t="shared" si="2"/>
        <v/>
      </c>
    </row>
    <row r="232">
      <c r="A232" s="237" t="s">
        <v>6997</v>
      </c>
      <c r="B232" s="248" t="s">
        <v>6998</v>
      </c>
      <c r="C232" s="239" t="str">
        <f t="shared" si="1"/>
        <v>\FPeval\varTotalOfPapersWithLinkFSE{695}</v>
      </c>
      <c r="D232" s="269">
        <f>PapersOverview!G14</f>
        <v>695</v>
      </c>
      <c r="E232" s="268">
        <v>695.0</v>
      </c>
      <c r="F232" s="242" t="str">
        <f t="shared" si="2"/>
        <v/>
      </c>
    </row>
    <row r="233">
      <c r="A233" s="243" t="s">
        <v>6999</v>
      </c>
      <c r="B233" s="249" t="s">
        <v>7000</v>
      </c>
      <c r="C233" s="245" t="str">
        <f t="shared" si="1"/>
        <v>\FPeval\varPapersFourLinksAndMoreICSEFSE{29}</v>
      </c>
      <c r="D233" s="271">
        <f>ArtifactsAvailability!D54</f>
        <v>29</v>
      </c>
      <c r="E233" s="272">
        <v>29.0</v>
      </c>
      <c r="F233" s="247" t="str">
        <f t="shared" si="2"/>
        <v/>
      </c>
    </row>
    <row r="234">
      <c r="A234" s="237" t="s">
        <v>6999</v>
      </c>
      <c r="B234" s="248" t="s">
        <v>7001</v>
      </c>
      <c r="C234" s="239" t="str">
        <f t="shared" si="1"/>
        <v>\FPeval\varPapersOneLinkICSEFSE{1382}</v>
      </c>
      <c r="D234" s="273">
        <f>ArtifactsAvailability!D51</f>
        <v>1382</v>
      </c>
      <c r="E234" s="272">
        <v>1382.0</v>
      </c>
      <c r="F234" s="242" t="str">
        <f t="shared" si="2"/>
        <v/>
      </c>
    </row>
    <row r="235">
      <c r="A235" s="243" t="s">
        <v>6999</v>
      </c>
      <c r="B235" s="249" t="s">
        <v>7002</v>
      </c>
      <c r="C235" s="245" t="str">
        <f t="shared" si="1"/>
        <v>\FPeval\varPapersThreeLinksICSEFSE{46}</v>
      </c>
      <c r="D235" s="271">
        <f>ArtifactsAvailability!D53</f>
        <v>46</v>
      </c>
      <c r="E235" s="272">
        <v>46.0</v>
      </c>
      <c r="F235" s="247" t="str">
        <f t="shared" si="2"/>
        <v/>
      </c>
    </row>
    <row r="236">
      <c r="A236" s="237" t="s">
        <v>6999</v>
      </c>
      <c r="B236" s="248" t="s">
        <v>7003</v>
      </c>
      <c r="C236" s="239" t="str">
        <f t="shared" si="1"/>
        <v>\FPeval\varPapersTwoLinksICSEFSE{239}</v>
      </c>
      <c r="D236" s="273">
        <f>ArtifactsAvailability!D52</f>
        <v>239</v>
      </c>
      <c r="E236" s="272">
        <v>239.0</v>
      </c>
      <c r="F236" s="242" t="str">
        <f t="shared" si="2"/>
        <v/>
      </c>
    </row>
    <row r="237">
      <c r="A237" s="243" t="s">
        <v>7004</v>
      </c>
      <c r="B237" s="249" t="s">
        <v>7005</v>
      </c>
      <c r="C237" s="245" t="str">
        <f t="shared" si="1"/>
        <v>\FPeval\varLinkInConclusionAndMoreFSE{36}</v>
      </c>
      <c r="D237" s="255">
        <f>SectionLocation!D16</f>
        <v>36</v>
      </c>
      <c r="E237" s="254">
        <v>36.0</v>
      </c>
      <c r="F237" s="247" t="str">
        <f t="shared" si="2"/>
        <v/>
      </c>
    </row>
    <row r="238">
      <c r="A238" s="237" t="s">
        <v>7004</v>
      </c>
      <c r="B238" s="248" t="s">
        <v>7006</v>
      </c>
      <c r="C238" s="239" t="str">
        <f t="shared" si="1"/>
        <v>\FPeval\varLinkInConclusionAndMoreICSE{78}</v>
      </c>
      <c r="D238" s="253">
        <f>SectionLocation!B16</f>
        <v>78</v>
      </c>
      <c r="E238" s="254">
        <v>78.0</v>
      </c>
      <c r="F238" s="242" t="str">
        <f t="shared" si="2"/>
        <v/>
      </c>
    </row>
    <row r="239">
      <c r="A239" s="243" t="s">
        <v>7004</v>
      </c>
      <c r="B239" s="249" t="s">
        <v>7007</v>
      </c>
      <c r="C239" s="245" t="str">
        <f t="shared" si="1"/>
        <v>\FPeval\varLinkInConclusionAndMoreICSEFSE{114}</v>
      </c>
      <c r="D239" s="255">
        <f>SectionLocation!F16</f>
        <v>114</v>
      </c>
      <c r="E239" s="254">
        <v>114.0</v>
      </c>
      <c r="F239" s="247" t="str">
        <f t="shared" si="2"/>
        <v/>
      </c>
    </row>
    <row r="240">
      <c r="A240" s="237" t="s">
        <v>7004</v>
      </c>
      <c r="B240" s="238" t="s">
        <v>7008</v>
      </c>
      <c r="C240" s="239" t="str">
        <f t="shared" si="1"/>
        <v>\FPeval\varLinkInConclusionFSE{62}</v>
      </c>
      <c r="D240" s="273">
        <f>SectionLocation!D24</f>
        <v>62</v>
      </c>
      <c r="E240" s="272">
        <v>62.0</v>
      </c>
      <c r="F240" s="242" t="str">
        <f t="shared" si="2"/>
        <v/>
      </c>
    </row>
    <row r="241">
      <c r="A241" s="243" t="s">
        <v>7004</v>
      </c>
      <c r="B241" s="244" t="s">
        <v>7009</v>
      </c>
      <c r="C241" s="245" t="str">
        <f t="shared" si="1"/>
        <v>\FPeval\varLinkInConclusionICSE{127}</v>
      </c>
      <c r="D241" s="271">
        <f>SectionLocation!B24</f>
        <v>127</v>
      </c>
      <c r="E241" s="272">
        <v>127.0</v>
      </c>
      <c r="F241" s="247" t="str">
        <f t="shared" si="2"/>
        <v/>
      </c>
    </row>
    <row r="242">
      <c r="A242" s="237" t="s">
        <v>7004</v>
      </c>
      <c r="B242" s="238" t="s">
        <v>7010</v>
      </c>
      <c r="C242" s="239" t="str">
        <f t="shared" si="1"/>
        <v>\FPeval\varLinkInConclusionICSEFSE{189}</v>
      </c>
      <c r="D242" s="274">
        <f>SectionLocation!F24</f>
        <v>189</v>
      </c>
      <c r="E242" s="275">
        <v>189.0</v>
      </c>
      <c r="F242" s="242" t="str">
        <f t="shared" si="2"/>
        <v/>
      </c>
    </row>
    <row r="243">
      <c r="A243" s="243" t="s">
        <v>7004</v>
      </c>
      <c r="B243" s="249" t="s">
        <v>7011</v>
      </c>
      <c r="C243" s="245" t="str">
        <f t="shared" si="1"/>
        <v>\FPeval\varLinkInIntroductionAndMoreFSE{165}</v>
      </c>
      <c r="D243" s="264">
        <f>SectionLocation!D15</f>
        <v>165</v>
      </c>
      <c r="E243" s="270">
        <v>165.0</v>
      </c>
      <c r="F243" s="247" t="str">
        <f t="shared" si="2"/>
        <v/>
      </c>
    </row>
    <row r="244">
      <c r="A244" s="237" t="s">
        <v>7004</v>
      </c>
      <c r="B244" s="248" t="s">
        <v>7012</v>
      </c>
      <c r="C244" s="239" t="str">
        <f t="shared" si="1"/>
        <v>\FPeval\varLinkInIntroductionAndMoreICSE{242}</v>
      </c>
      <c r="D244" s="263">
        <f>SectionLocation!B15</f>
        <v>242</v>
      </c>
      <c r="E244" s="270">
        <v>242.0</v>
      </c>
      <c r="F244" s="242" t="str">
        <f t="shared" si="2"/>
        <v/>
      </c>
    </row>
    <row r="245">
      <c r="A245" s="243" t="s">
        <v>7004</v>
      </c>
      <c r="B245" s="249" t="s">
        <v>7013</v>
      </c>
      <c r="C245" s="245" t="str">
        <f t="shared" si="1"/>
        <v>\FPeval\varLinkInIntroductionAndMoreICSEFSE{407}</v>
      </c>
      <c r="D245" s="264">
        <f>SectionLocation!F15</f>
        <v>407</v>
      </c>
      <c r="E245" s="270">
        <v>407.0</v>
      </c>
      <c r="F245" s="247" t="str">
        <f t="shared" si="2"/>
        <v/>
      </c>
    </row>
    <row r="246">
      <c r="A246" s="237" t="s">
        <v>7004</v>
      </c>
      <c r="B246" s="238" t="s">
        <v>7014</v>
      </c>
      <c r="C246" s="239" t="str">
        <f t="shared" si="1"/>
        <v>\FPeval\varLinkInIntroductionFSE{282}</v>
      </c>
      <c r="D246" s="273">
        <f>SectionLocation!D23</f>
        <v>282</v>
      </c>
      <c r="E246" s="272">
        <v>282.0</v>
      </c>
      <c r="F246" s="242" t="str">
        <f t="shared" si="2"/>
        <v/>
      </c>
    </row>
    <row r="247">
      <c r="A247" s="243" t="s">
        <v>7004</v>
      </c>
      <c r="B247" s="244" t="s">
        <v>7015</v>
      </c>
      <c r="C247" s="245" t="str">
        <f t="shared" si="1"/>
        <v>\FPeval\varLinkInIntroductionICSE{447}</v>
      </c>
      <c r="D247" s="271">
        <f>SectionLocation!B23</f>
        <v>447</v>
      </c>
      <c r="E247" s="272">
        <v>447.0</v>
      </c>
      <c r="F247" s="247" t="str">
        <f t="shared" si="2"/>
        <v/>
      </c>
    </row>
    <row r="248">
      <c r="A248" s="237" t="s">
        <v>7004</v>
      </c>
      <c r="B248" s="238" t="s">
        <v>7016</v>
      </c>
      <c r="C248" s="239" t="str">
        <f t="shared" si="1"/>
        <v>\FPeval\varLinkInIntroductionICSEFSE{729}</v>
      </c>
      <c r="D248" s="274">
        <f>SectionLocation!F23</f>
        <v>729</v>
      </c>
      <c r="E248" s="275">
        <v>729.0</v>
      </c>
      <c r="F248" s="242" t="str">
        <f t="shared" si="2"/>
        <v/>
      </c>
    </row>
    <row r="249">
      <c r="A249" s="243" t="s">
        <v>7004</v>
      </c>
      <c r="B249" s="249" t="s">
        <v>7017</v>
      </c>
      <c r="C249" s="245" t="str">
        <f t="shared" si="1"/>
        <v>\FPeval\varLinkInOtherPlaceAndMoreFSE{205}</v>
      </c>
      <c r="D249" s="255">
        <f>SectionLocation!D18</f>
        <v>205</v>
      </c>
      <c r="E249" s="254">
        <v>205.0</v>
      </c>
      <c r="F249" s="247" t="str">
        <f t="shared" si="2"/>
        <v/>
      </c>
    </row>
    <row r="250">
      <c r="A250" s="237" t="s">
        <v>7004</v>
      </c>
      <c r="B250" s="248" t="s">
        <v>7018</v>
      </c>
      <c r="C250" s="239" t="str">
        <f t="shared" si="1"/>
        <v>\FPeval\varLinkInOtherPlaceAndMoreICSE{297}</v>
      </c>
      <c r="D250" s="253">
        <f>SectionLocation!B18</f>
        <v>297</v>
      </c>
      <c r="E250" s="254">
        <v>297.0</v>
      </c>
      <c r="F250" s="242" t="str">
        <f t="shared" si="2"/>
        <v/>
      </c>
    </row>
    <row r="251">
      <c r="A251" s="243" t="s">
        <v>7004</v>
      </c>
      <c r="B251" s="249" t="s">
        <v>7019</v>
      </c>
      <c r="C251" s="245" t="str">
        <f t="shared" si="1"/>
        <v>\FPeval\varLinkInOtherPlaceAndMoreICSEFSE{502}</v>
      </c>
      <c r="D251" s="264">
        <f>SectionLocation!F18</f>
        <v>502</v>
      </c>
      <c r="E251" s="270">
        <v>502.0</v>
      </c>
      <c r="F251" s="247" t="str">
        <f t="shared" si="2"/>
        <v/>
      </c>
    </row>
    <row r="252">
      <c r="A252" s="237" t="s">
        <v>7004</v>
      </c>
      <c r="B252" s="238" t="s">
        <v>7020</v>
      </c>
      <c r="C252" s="239" t="str">
        <f t="shared" si="1"/>
        <v>\FPeval\varLinkInOtherPlaceFSE{436}</v>
      </c>
      <c r="D252" s="273">
        <f>SectionLocation!D26</f>
        <v>436</v>
      </c>
      <c r="E252" s="272">
        <v>436.0</v>
      </c>
      <c r="F252" s="242" t="str">
        <f t="shared" si="2"/>
        <v/>
      </c>
    </row>
    <row r="253">
      <c r="A253" s="243" t="s">
        <v>7004</v>
      </c>
      <c r="B253" s="244" t="s">
        <v>7021</v>
      </c>
      <c r="C253" s="245" t="str">
        <f t="shared" si="1"/>
        <v>\FPeval\varLinkInOtherPlaceICSE{662}</v>
      </c>
      <c r="D253" s="271">
        <f>SectionLocation!B26</f>
        <v>662</v>
      </c>
      <c r="E253" s="272">
        <v>662.0</v>
      </c>
      <c r="F253" s="247" t="str">
        <f t="shared" si="2"/>
        <v/>
      </c>
    </row>
    <row r="254">
      <c r="A254" s="237" t="s">
        <v>7004</v>
      </c>
      <c r="B254" s="238" t="s">
        <v>7022</v>
      </c>
      <c r="C254" s="239" t="str">
        <f t="shared" si="1"/>
        <v>\FPeval\varLinkInOtherPlaceICSEFSE{1098}</v>
      </c>
      <c r="D254" s="276">
        <f>SectionLocation!F26</f>
        <v>1098</v>
      </c>
      <c r="E254" s="268">
        <v>1098.0</v>
      </c>
      <c r="F254" s="242" t="str">
        <f t="shared" si="2"/>
        <v/>
      </c>
    </row>
    <row r="255">
      <c r="A255" s="243" t="s">
        <v>7004</v>
      </c>
      <c r="B255" s="249" t="s">
        <v>7023</v>
      </c>
      <c r="C255" s="245" t="str">
        <f t="shared" si="1"/>
        <v>\FPeval\varLinkInSpecificAndMoreFSE{104}</v>
      </c>
      <c r="D255" s="255">
        <f>SectionLocation!D17</f>
        <v>104</v>
      </c>
      <c r="E255" s="254">
        <v>104.0</v>
      </c>
      <c r="F255" s="247" t="str">
        <f t="shared" si="2"/>
        <v/>
      </c>
    </row>
    <row r="256">
      <c r="A256" s="237" t="s">
        <v>7004</v>
      </c>
      <c r="B256" s="248" t="s">
        <v>7024</v>
      </c>
      <c r="C256" s="239" t="str">
        <f t="shared" si="1"/>
        <v>\FPeval\varLinkInSpecificAndMoreICSE{63}</v>
      </c>
      <c r="D256" s="253">
        <f>SectionLocation!B17</f>
        <v>63</v>
      </c>
      <c r="E256" s="254">
        <v>63.0</v>
      </c>
      <c r="F256" s="242" t="str">
        <f t="shared" si="2"/>
        <v/>
      </c>
    </row>
    <row r="257">
      <c r="A257" s="243" t="s">
        <v>7004</v>
      </c>
      <c r="B257" s="249" t="s">
        <v>7025</v>
      </c>
      <c r="C257" s="245" t="str">
        <f t="shared" si="1"/>
        <v>\FPeval\varLinkInSpecificAndMoreICSEFSE{167}</v>
      </c>
      <c r="D257" s="255">
        <f>SectionLocation!F17</f>
        <v>167</v>
      </c>
      <c r="E257" s="254">
        <v>167.0</v>
      </c>
      <c r="F257" s="247" t="str">
        <f t="shared" si="2"/>
        <v/>
      </c>
    </row>
    <row r="258">
      <c r="A258" s="237" t="s">
        <v>7004</v>
      </c>
      <c r="B258" s="238" t="s">
        <v>7026</v>
      </c>
      <c r="C258" s="239" t="str">
        <f t="shared" si="1"/>
        <v>\FPeval\varLinkInSpecificFSE{184}</v>
      </c>
      <c r="D258" s="273">
        <f>SectionLocation!D25</f>
        <v>184</v>
      </c>
      <c r="E258" s="272">
        <v>184.0</v>
      </c>
      <c r="F258" s="242" t="str">
        <f t="shared" si="2"/>
        <v/>
      </c>
    </row>
    <row r="259">
      <c r="A259" s="243" t="s">
        <v>7004</v>
      </c>
      <c r="B259" s="244" t="s">
        <v>7027</v>
      </c>
      <c r="C259" s="245" t="str">
        <f t="shared" si="1"/>
        <v>\FPeval\varLinkInSpecificICSE{127}</v>
      </c>
      <c r="D259" s="271">
        <f>SectionLocation!B25</f>
        <v>127</v>
      </c>
      <c r="E259" s="272">
        <v>127.0</v>
      </c>
      <c r="F259" s="247" t="str">
        <f t="shared" si="2"/>
        <v/>
      </c>
    </row>
    <row r="260">
      <c r="A260" s="237" t="s">
        <v>7004</v>
      </c>
      <c r="B260" s="238" t="s">
        <v>7028</v>
      </c>
      <c r="C260" s="239" t="str">
        <f t="shared" si="1"/>
        <v>\FPeval\varLinkInSpecificICSEFSE{311}</v>
      </c>
      <c r="D260" s="274">
        <f>SectionLocation!F25</f>
        <v>311</v>
      </c>
      <c r="E260" s="275">
        <v>311.0</v>
      </c>
      <c r="F260" s="242" t="str">
        <f t="shared" si="2"/>
        <v/>
      </c>
    </row>
    <row r="261">
      <c r="A261" s="243" t="s">
        <v>7004</v>
      </c>
      <c r="B261" s="244" t="s">
        <v>7029</v>
      </c>
      <c r="C261" s="245" t="str">
        <f t="shared" si="1"/>
        <v>\FPeval\varLinkOnlyInConclusionFSE{26}</v>
      </c>
      <c r="D261" s="271">
        <f>SectionLocation!D8</f>
        <v>26</v>
      </c>
      <c r="E261" s="272">
        <v>26.0</v>
      </c>
      <c r="F261" s="247" t="str">
        <f t="shared" si="2"/>
        <v/>
      </c>
    </row>
    <row r="262">
      <c r="A262" s="237" t="s">
        <v>7004</v>
      </c>
      <c r="B262" s="238" t="s">
        <v>7030</v>
      </c>
      <c r="C262" s="239" t="str">
        <f t="shared" si="1"/>
        <v>\FPeval\varLinkOnlyInConclusionICSE{49}</v>
      </c>
      <c r="D262" s="253">
        <f>SectionLocation!B8</f>
        <v>49</v>
      </c>
      <c r="E262" s="254">
        <v>49.0</v>
      </c>
      <c r="F262" s="242" t="str">
        <f t="shared" si="2"/>
        <v/>
      </c>
    </row>
    <row r="263">
      <c r="A263" s="243" t="s">
        <v>7004</v>
      </c>
      <c r="B263" s="244" t="s">
        <v>7031</v>
      </c>
      <c r="C263" s="245" t="str">
        <f t="shared" si="1"/>
        <v>\FPeval\varLinkOnlyInConclusionICSEFSE{75}</v>
      </c>
      <c r="D263" s="255">
        <f>SectionLocation!F8</f>
        <v>75</v>
      </c>
      <c r="E263" s="254">
        <v>75.0</v>
      </c>
      <c r="F263" s="247" t="str">
        <f t="shared" si="2"/>
        <v/>
      </c>
    </row>
    <row r="264">
      <c r="A264" s="237" t="s">
        <v>7004</v>
      </c>
      <c r="B264" s="238" t="s">
        <v>7032</v>
      </c>
      <c r="C264" s="239" t="str">
        <f t="shared" si="1"/>
        <v>\FPeval\varLinkOnlyInIntroductionFSE{117}</v>
      </c>
      <c r="D264" s="269">
        <f>SectionLocation!D7</f>
        <v>117</v>
      </c>
      <c r="E264" s="268">
        <v>117.0</v>
      </c>
      <c r="F264" s="242" t="str">
        <f t="shared" si="2"/>
        <v/>
      </c>
    </row>
    <row r="265">
      <c r="A265" s="243" t="s">
        <v>7004</v>
      </c>
      <c r="B265" s="244" t="s">
        <v>7033</v>
      </c>
      <c r="C265" s="245" t="str">
        <f t="shared" si="1"/>
        <v>\FPeval\varLinkOnlyInIntroductionICSE{205}</v>
      </c>
      <c r="D265" s="264">
        <f>SectionLocation!B7</f>
        <v>205</v>
      </c>
      <c r="E265" s="270">
        <v>205.0</v>
      </c>
      <c r="F265" s="247" t="str">
        <f t="shared" si="2"/>
        <v/>
      </c>
    </row>
    <row r="266">
      <c r="A266" s="237" t="s">
        <v>7004</v>
      </c>
      <c r="B266" s="238" t="s">
        <v>7034</v>
      </c>
      <c r="C266" s="239" t="str">
        <f t="shared" si="1"/>
        <v>\FPeval\varLinkOnlyInIntroductionICSEFSE{322}</v>
      </c>
      <c r="D266" s="263">
        <f>SectionLocation!F7</f>
        <v>322</v>
      </c>
      <c r="E266" s="270">
        <v>322.0</v>
      </c>
      <c r="F266" s="242" t="str">
        <f t="shared" si="2"/>
        <v/>
      </c>
    </row>
    <row r="267">
      <c r="A267" s="243" t="s">
        <v>7004</v>
      </c>
      <c r="B267" s="244" t="s">
        <v>7035</v>
      </c>
      <c r="C267" s="245" t="str">
        <f t="shared" si="1"/>
        <v>\FPeval\varLinkOnlyInOtherPlacesFSE{231}</v>
      </c>
      <c r="D267" s="271">
        <f>SectionLocation!D10</f>
        <v>231</v>
      </c>
      <c r="E267" s="272">
        <v>231.0</v>
      </c>
      <c r="F267" s="247" t="str">
        <f t="shared" si="2"/>
        <v/>
      </c>
    </row>
    <row r="268">
      <c r="A268" s="237" t="s">
        <v>7004</v>
      </c>
      <c r="B268" s="238" t="s">
        <v>7036</v>
      </c>
      <c r="C268" s="239" t="str">
        <f t="shared" si="1"/>
        <v>\FPeval\varLinkOnlyInOtherPlacesICSE{365}</v>
      </c>
      <c r="D268" s="253">
        <f>SectionLocation!B10</f>
        <v>365</v>
      </c>
      <c r="E268" s="254">
        <v>365.0</v>
      </c>
      <c r="F268" s="242" t="str">
        <f t="shared" si="2"/>
        <v/>
      </c>
    </row>
    <row r="269">
      <c r="A269" s="243" t="s">
        <v>7004</v>
      </c>
      <c r="B269" s="244" t="s">
        <v>7037</v>
      </c>
      <c r="C269" s="245" t="str">
        <f t="shared" si="1"/>
        <v>\FPeval\varLinkOnlyInOtherPlacesICSEFSE{596}</v>
      </c>
      <c r="D269" s="255">
        <f>SectionLocation!F10</f>
        <v>596</v>
      </c>
      <c r="E269" s="254">
        <v>596.0</v>
      </c>
      <c r="F269" s="247" t="str">
        <f t="shared" si="2"/>
        <v/>
      </c>
    </row>
    <row r="270">
      <c r="A270" s="237" t="s">
        <v>7004</v>
      </c>
      <c r="B270" s="238" t="s">
        <v>7038</v>
      </c>
      <c r="C270" s="239" t="str">
        <f t="shared" si="1"/>
        <v>\FPeval\varLinkOnlyInSpecificFSE{80}</v>
      </c>
      <c r="D270" s="273">
        <f>SectionLocation!D9</f>
        <v>80</v>
      </c>
      <c r="E270" s="272">
        <v>80.0</v>
      </c>
      <c r="F270" s="242" t="str">
        <f t="shared" si="2"/>
        <v/>
      </c>
    </row>
    <row r="271">
      <c r="A271" s="243" t="s">
        <v>7004</v>
      </c>
      <c r="B271" s="244" t="s">
        <v>7039</v>
      </c>
      <c r="C271" s="245" t="str">
        <f t="shared" si="1"/>
        <v>\FPeval\varLinkOnlyInSpecificICSE{64}</v>
      </c>
      <c r="D271" s="255">
        <f>SectionLocation!B9</f>
        <v>64</v>
      </c>
      <c r="E271" s="254">
        <v>64.0</v>
      </c>
      <c r="F271" s="247" t="str">
        <f t="shared" si="2"/>
        <v/>
      </c>
    </row>
    <row r="272">
      <c r="A272" s="237" t="s">
        <v>7004</v>
      </c>
      <c r="B272" s="238" t="s">
        <v>7040</v>
      </c>
      <c r="C272" s="239" t="str">
        <f t="shared" si="1"/>
        <v>\FPeval\varLinkOnlyInSpecificICSEFSE{144}</v>
      </c>
      <c r="D272" s="253">
        <f>SectionLocation!F9</f>
        <v>144</v>
      </c>
      <c r="E272" s="254">
        <v>144.0</v>
      </c>
      <c r="F272" s="242" t="str">
        <f t="shared" si="2"/>
        <v/>
      </c>
    </row>
    <row r="273">
      <c r="A273" s="277" t="s">
        <v>7041</v>
      </c>
      <c r="B273" s="249" t="s">
        <v>7042</v>
      </c>
      <c r="C273" s="245" t="str">
        <f t="shared" si="1"/>
        <v>\FPeval\varNumLinksNotAvailableICSEFSE{292}</v>
      </c>
      <c r="D273" s="255">
        <f>ArtifactsAvailability!D24</f>
        <v>292</v>
      </c>
      <c r="E273" s="254">
        <v>292.0</v>
      </c>
      <c r="F273" s="247" t="str">
        <f t="shared" si="2"/>
        <v/>
      </c>
    </row>
    <row r="274">
      <c r="A274" s="278" t="s">
        <v>7041</v>
      </c>
      <c r="B274" s="248" t="s">
        <v>7043</v>
      </c>
      <c r="C274" s="239" t="str">
        <f t="shared" si="1"/>
        <v>\FPeval\varNumLinksPublicAvailableICSEFSE{1862}</v>
      </c>
      <c r="D274" s="253">
        <f>ArtifactsAvailability!D23</f>
        <v>1862</v>
      </c>
      <c r="E274" s="254">
        <v>1862.0</v>
      </c>
      <c r="F274" s="242" t="str">
        <f t="shared" si="2"/>
        <v/>
      </c>
    </row>
    <row r="275">
      <c r="A275" s="277" t="s">
        <v>7041</v>
      </c>
      <c r="B275" s="249" t="s">
        <v>7044</v>
      </c>
      <c r="C275" s="245" t="str">
        <f t="shared" si="1"/>
        <v>\FPeval\varNumLinksRestrictAccessICSEFSE{17}</v>
      </c>
      <c r="D275" s="255">
        <f>ArtifactsAvailability!D25</f>
        <v>17</v>
      </c>
      <c r="E275" s="254">
        <v>17.0</v>
      </c>
      <c r="F275" s="247" t="str">
        <f t="shared" si="2"/>
        <v/>
      </c>
    </row>
    <row r="276">
      <c r="A276" s="278" t="s">
        <v>7041</v>
      </c>
      <c r="B276" s="248" t="s">
        <v>7045</v>
      </c>
      <c r="C276" s="239" t="str">
        <f t="shared" si="1"/>
        <v>\FPeval\varNumPapersLinkNotAvailableICSEFSE{263}</v>
      </c>
      <c r="D276" s="253">
        <f>ArtifactsAvailability!D9</f>
        <v>263</v>
      </c>
      <c r="E276" s="254">
        <v>263.0</v>
      </c>
      <c r="F276" s="242" t="str">
        <f t="shared" si="2"/>
        <v/>
      </c>
    </row>
    <row r="277">
      <c r="A277" s="277" t="s">
        <v>7041</v>
      </c>
      <c r="B277" s="249" t="s">
        <v>7046</v>
      </c>
      <c r="C277" s="245" t="str">
        <f t="shared" si="1"/>
        <v>\FPeval\varNumPapersLinkPublicAvailableICSEFSE{1469}</v>
      </c>
      <c r="D277" s="271">
        <f>ArtifactsAvailability!D8</f>
        <v>1469</v>
      </c>
      <c r="E277" s="272">
        <v>1469.0</v>
      </c>
      <c r="F277" s="247" t="str">
        <f t="shared" si="2"/>
        <v/>
      </c>
    </row>
    <row r="278">
      <c r="A278" s="278" t="s">
        <v>7041</v>
      </c>
      <c r="B278" s="248" t="s">
        <v>7047</v>
      </c>
      <c r="C278" s="239" t="str">
        <f t="shared" si="1"/>
        <v>\FPeval\varNumPapersLinkRestrictAccessICSEFSE{16}</v>
      </c>
      <c r="D278" s="253">
        <f>ArtifactsAvailability!D10</f>
        <v>16</v>
      </c>
      <c r="E278" s="254">
        <v>16.0</v>
      </c>
      <c r="F278" s="242" t="str">
        <f t="shared" si="2"/>
        <v/>
      </c>
    </row>
    <row r="279">
      <c r="A279" s="243" t="s">
        <v>7041</v>
      </c>
      <c r="B279" s="244" t="s">
        <v>7048</v>
      </c>
      <c r="C279" s="245" t="str">
        <f t="shared" si="1"/>
        <v>\FPeval\varPapersHaveOnlyNotAvailableLinksICSEFSE{217}</v>
      </c>
      <c r="D279" s="271">
        <f>ArtifactsAvailability!D32</f>
        <v>217</v>
      </c>
      <c r="E279" s="272">
        <v>217.0</v>
      </c>
      <c r="F279" s="247" t="str">
        <f t="shared" si="2"/>
        <v/>
      </c>
    </row>
    <row r="280">
      <c r="A280" s="237" t="s">
        <v>7041</v>
      </c>
      <c r="B280" s="248" t="s">
        <v>7049</v>
      </c>
      <c r="C280" s="239" t="str">
        <f t="shared" si="1"/>
        <v>\FPeval\varPapersHaveOnlyPubliclyAvailableLinksICSEFSE{1419}</v>
      </c>
      <c r="D280" s="253">
        <f>ArtifactsAvailability!D31</f>
        <v>1419</v>
      </c>
      <c r="E280" s="254">
        <v>1419.0</v>
      </c>
      <c r="F280" s="242" t="str">
        <f t="shared" si="2"/>
        <v/>
      </c>
    </row>
    <row r="281">
      <c r="A281" s="243" t="s">
        <v>7041</v>
      </c>
      <c r="B281" s="244" t="s">
        <v>7050</v>
      </c>
      <c r="C281" s="245" t="str">
        <f t="shared" si="1"/>
        <v>\FPeval\varPapersHaveOnlyRestrictAccessLinksICSEFSE{9}</v>
      </c>
      <c r="D281" s="271">
        <f>ArtifactsAvailability!D33</f>
        <v>9</v>
      </c>
      <c r="E281" s="272">
        <v>9.0</v>
      </c>
      <c r="F281" s="247" t="str">
        <f t="shared" si="2"/>
        <v/>
      </c>
    </row>
    <row r="282">
      <c r="A282" s="237" t="s">
        <v>7041</v>
      </c>
      <c r="B282" s="248" t="s">
        <v>7051</v>
      </c>
      <c r="C282" s="239" t="str">
        <f t="shared" si="1"/>
        <v>\FPeval\varTotalPapersUniqueInCategoryICSEFSE{1645}</v>
      </c>
      <c r="D282" s="263">
        <f>ArtifactsAvailability!D34</f>
        <v>1645</v>
      </c>
      <c r="E282" s="270">
        <v>1645.0</v>
      </c>
      <c r="F282" s="242" t="str">
        <f t="shared" si="2"/>
        <v/>
      </c>
    </row>
    <row r="283">
      <c r="A283" s="243" t="s">
        <v>7052</v>
      </c>
      <c r="B283" s="249" t="s">
        <v>7053</v>
      </c>
      <c r="C283" s="245" t="str">
        <f t="shared" si="1"/>
        <v>\FPeval\varTotalOfLinksICSEFSE{2171}</v>
      </c>
      <c r="D283" s="267">
        <f>ArtifactsAvailability!D3</f>
        <v>2171</v>
      </c>
      <c r="E283" s="268">
        <v>2171.0</v>
      </c>
      <c r="F283" s="247" t="str">
        <f t="shared" si="2"/>
        <v/>
      </c>
    </row>
    <row r="284">
      <c r="A284" s="279" t="s">
        <v>7054</v>
      </c>
      <c r="B284" s="248" t="s">
        <v>7055</v>
      </c>
      <c r="C284" s="239" t="str">
        <f t="shared" si="1"/>
        <v>\FPeval\varArchivalPlatformsICSEFSE{468}</v>
      </c>
      <c r="D284" s="280">
        <f>Repositories!AI4</f>
        <v>468</v>
      </c>
      <c r="E284" s="281">
        <v>468.0</v>
      </c>
      <c r="F284" s="242" t="str">
        <f t="shared" si="2"/>
        <v/>
      </c>
    </row>
    <row r="285">
      <c r="A285" s="282" t="s">
        <v>7054</v>
      </c>
      <c r="B285" s="249" t="s">
        <v>7056</v>
      </c>
      <c r="C285" s="245" t="str">
        <f t="shared" si="1"/>
        <v>\FPeval\varCodePlatICSEFSE{1035}</v>
      </c>
      <c r="D285" s="264">
        <f>Repositories!AI13</f>
        <v>1035</v>
      </c>
      <c r="E285" s="270">
        <v>1035.0</v>
      </c>
      <c r="F285" s="247" t="str">
        <f t="shared" si="2"/>
        <v/>
      </c>
    </row>
    <row r="286">
      <c r="A286" s="279" t="s">
        <v>7054</v>
      </c>
      <c r="B286" s="248" t="s">
        <v>7057</v>
      </c>
      <c r="C286" s="239" t="str">
        <f t="shared" si="1"/>
        <v>\FPeval\varGeneralPurposePlatICSEFSE{172}</v>
      </c>
      <c r="D286" s="280">
        <f>Repositories!AI20</f>
        <v>172</v>
      </c>
      <c r="E286" s="281">
        <v>172.0</v>
      </c>
      <c r="F286" s="242" t="str">
        <f t="shared" si="2"/>
        <v/>
      </c>
    </row>
    <row r="287">
      <c r="A287" s="282" t="s">
        <v>7054</v>
      </c>
      <c r="B287" s="249" t="s">
        <v>7058</v>
      </c>
      <c r="C287" s="245" t="str">
        <f t="shared" si="1"/>
        <v>\FPeval\varInstPersProfesPagesICSEFSE{309}</v>
      </c>
      <c r="D287" s="283">
        <f>Repositories!AI29</f>
        <v>309</v>
      </c>
      <c r="E287" s="281">
        <v>309.0</v>
      </c>
      <c r="F287" s="247" t="str">
        <f t="shared" si="2"/>
        <v/>
      </c>
    </row>
    <row r="288">
      <c r="A288" s="279" t="s">
        <v>7054</v>
      </c>
      <c r="B288" s="248" t="s">
        <v>7059</v>
      </c>
      <c r="C288" s="239" t="str">
        <f t="shared" si="1"/>
        <v>\FPeval\varOtherRepsICSEFSE{188}</v>
      </c>
      <c r="D288" s="280">
        <f>Repositories!AI33</f>
        <v>188</v>
      </c>
      <c r="E288" s="281">
        <v>188.0</v>
      </c>
      <c r="F288" s="242" t="str">
        <f t="shared" si="2"/>
        <v/>
      </c>
    </row>
    <row r="289">
      <c r="A289" s="243" t="s">
        <v>7060</v>
      </c>
      <c r="B289" s="249" t="s">
        <v>7061</v>
      </c>
      <c r="C289" s="245" t="str">
        <f t="shared" si="1"/>
        <v>\FPeval\varJustificationPapersICSEFSE{105}</v>
      </c>
      <c r="D289" s="271">
        <f>Statements!B2+Statements!C2</f>
        <v>105</v>
      </c>
      <c r="E289" s="272">
        <v>105.0</v>
      </c>
      <c r="F289" s="247" t="str">
        <f t="shared" si="2"/>
        <v/>
      </c>
    </row>
    <row r="290">
      <c r="A290" s="237" t="s">
        <v>7060</v>
      </c>
      <c r="B290" s="248" t="s">
        <v>7062</v>
      </c>
      <c r="C290" s="239" t="str">
        <f t="shared" si="1"/>
        <v>\FPeval\varStatementAccessThroughCredentialsICSEFSE{1}</v>
      </c>
      <c r="D290" s="273">
        <f>Statements!D14</f>
        <v>1</v>
      </c>
      <c r="E290" s="272">
        <v>1.0</v>
      </c>
      <c r="F290" s="242" t="str">
        <f t="shared" si="2"/>
        <v/>
      </c>
    </row>
    <row r="291">
      <c r="A291" s="243" t="s">
        <v>7060</v>
      </c>
      <c r="B291" s="249" t="s">
        <v>7063</v>
      </c>
      <c r="C291" s="245" t="str">
        <f t="shared" si="1"/>
        <v>\FPeval\varStatementAccessUponRequestICSEFSE{13}</v>
      </c>
      <c r="D291" s="271">
        <f>Statements!D12</f>
        <v>13</v>
      </c>
      <c r="E291" s="272">
        <v>13.0</v>
      </c>
      <c r="F291" s="247" t="str">
        <f t="shared" si="2"/>
        <v/>
      </c>
    </row>
    <row r="292">
      <c r="A292" s="237" t="s">
        <v>7060</v>
      </c>
      <c r="B292" s="248" t="s">
        <v>7064</v>
      </c>
      <c r="C292" s="239" t="str">
        <f t="shared" si="1"/>
        <v>\FPeval\varStatementAgreementsAndLegalRightsICSEFSE{28}</v>
      </c>
      <c r="D292" s="273">
        <f>Statements!D9</f>
        <v>28</v>
      </c>
      <c r="E292" s="272">
        <v>28.0</v>
      </c>
      <c r="F292" s="242" t="str">
        <f t="shared" si="2"/>
        <v/>
      </c>
    </row>
    <row r="293">
      <c r="A293" s="243" t="s">
        <v>7060</v>
      </c>
      <c r="B293" s="249" t="s">
        <v>7065</v>
      </c>
      <c r="C293" s="245" t="str">
        <f t="shared" si="1"/>
        <v>\FPeval\varStatementConfidentialityAndPrivacyICSEFSE{46}</v>
      </c>
      <c r="D293" s="271">
        <f>Statements!D8</f>
        <v>46</v>
      </c>
      <c r="E293" s="272">
        <v>46.0</v>
      </c>
      <c r="F293" s="247" t="str">
        <f t="shared" si="2"/>
        <v/>
      </c>
    </row>
    <row r="294">
      <c r="A294" s="237" t="s">
        <v>7060</v>
      </c>
      <c r="B294" s="248" t="s">
        <v>7066</v>
      </c>
      <c r="C294" s="239" t="str">
        <f t="shared" si="1"/>
        <v>\FPeval\varStatementFuturePlansICSEFSE{26}</v>
      </c>
      <c r="D294" s="273">
        <f>Statements!D15</f>
        <v>26</v>
      </c>
      <c r="E294" s="272">
        <v>26.0</v>
      </c>
      <c r="F294" s="242" t="str">
        <f t="shared" si="2"/>
        <v/>
      </c>
    </row>
    <row r="295">
      <c r="A295" s="243" t="s">
        <v>7060</v>
      </c>
      <c r="B295" s="249" t="s">
        <v>7067</v>
      </c>
      <c r="C295" s="245" t="str">
        <f t="shared" si="1"/>
        <v>\FPeval\varStatementLimitedToPhysicalAccessICSEFSE{1}</v>
      </c>
      <c r="D295" s="271">
        <f>Statements!D13</f>
        <v>1</v>
      </c>
      <c r="E295" s="272">
        <v>1.0</v>
      </c>
      <c r="F295" s="247" t="str">
        <f t="shared" si="2"/>
        <v/>
      </c>
    </row>
    <row r="296">
      <c r="A296" s="237" t="s">
        <v>7060</v>
      </c>
      <c r="B296" s="248" t="s">
        <v>7068</v>
      </c>
      <c r="C296" s="239" t="str">
        <f t="shared" si="1"/>
        <v>\FPeval\varStatementReasonNotExplainedICSEFSE{5}</v>
      </c>
      <c r="D296" s="273">
        <f>Statements!D16</f>
        <v>5</v>
      </c>
      <c r="E296" s="272">
        <v>5.0</v>
      </c>
      <c r="F296" s="242" t="str">
        <f t="shared" si="2"/>
        <v/>
      </c>
    </row>
    <row r="297">
      <c r="A297" s="243" t="s">
        <v>7060</v>
      </c>
      <c r="B297" s="249" t="s">
        <v>7069</v>
      </c>
      <c r="C297" s="245" t="str">
        <f t="shared" si="1"/>
        <v>\FPeval\varStatementSecurityICSEFSE{5}</v>
      </c>
      <c r="D297" s="271">
        <f>Statements!D10</f>
        <v>5</v>
      </c>
      <c r="E297" s="272">
        <v>5.0</v>
      </c>
      <c r="F297" s="247" t="str">
        <f t="shared" si="2"/>
        <v/>
      </c>
    </row>
    <row r="298">
      <c r="A298" s="237" t="s">
        <v>7060</v>
      </c>
      <c r="B298" s="248" t="s">
        <v>7070</v>
      </c>
      <c r="C298" s="239" t="str">
        <f t="shared" si="1"/>
        <v>\FPeval\varStatementTechnicalIssuesICSEFSE{3}</v>
      </c>
      <c r="D298" s="273">
        <f>Statements!D11</f>
        <v>3</v>
      </c>
      <c r="E298" s="272">
        <v>3.0</v>
      </c>
      <c r="F298" s="242" t="str">
        <f t="shared" si="2"/>
        <v/>
      </c>
    </row>
    <row r="299">
      <c r="A299" s="243" t="s">
        <v>7071</v>
      </c>
      <c r="B299" s="244" t="s">
        <v>7072</v>
      </c>
      <c r="C299" s="245" t="str">
        <f t="shared" si="1"/>
        <v>\FPeval\varLinkNoStatementNoFSE{138}</v>
      </c>
      <c r="D299" s="271">
        <f>Statements!C23</f>
        <v>138</v>
      </c>
      <c r="E299" s="272">
        <v>138.0</v>
      </c>
      <c r="F299" s="247" t="str">
        <f t="shared" si="2"/>
        <v/>
      </c>
    </row>
    <row r="300">
      <c r="A300" s="237" t="s">
        <v>7071</v>
      </c>
      <c r="B300" s="238" t="s">
        <v>7073</v>
      </c>
      <c r="C300" s="239" t="str">
        <f t="shared" si="1"/>
        <v>\FPeval\varLinkNoStatementNoICSE{217}</v>
      </c>
      <c r="D300" s="273">
        <f>Statements!B23</f>
        <v>217</v>
      </c>
      <c r="E300" s="272">
        <v>217.0</v>
      </c>
      <c r="F300" s="242" t="str">
        <f t="shared" si="2"/>
        <v/>
      </c>
    </row>
    <row r="301">
      <c r="A301" s="243" t="s">
        <v>7071</v>
      </c>
      <c r="B301" s="249" t="s">
        <v>7074</v>
      </c>
      <c r="C301" s="245" t="str">
        <f t="shared" si="1"/>
        <v>\FPeval\varLinkNoStatementNoICSEFSE{355}</v>
      </c>
      <c r="D301" s="271">
        <f>Statements!D23</f>
        <v>355</v>
      </c>
      <c r="E301" s="272">
        <v>355.0</v>
      </c>
      <c r="F301" s="247" t="str">
        <f t="shared" si="2"/>
        <v/>
      </c>
    </row>
    <row r="302">
      <c r="A302" s="237" t="s">
        <v>7071</v>
      </c>
      <c r="B302" s="238" t="s">
        <v>7075</v>
      </c>
      <c r="C302" s="239" t="str">
        <f t="shared" si="1"/>
        <v>\FPeval\varLinkNoStatementYesFSE{7}</v>
      </c>
      <c r="D302" s="273">
        <f>Statements!C21</f>
        <v>7</v>
      </c>
      <c r="E302" s="272">
        <v>7.0</v>
      </c>
      <c r="F302" s="242" t="str">
        <f t="shared" si="2"/>
        <v/>
      </c>
    </row>
    <row r="303">
      <c r="A303" s="243" t="s">
        <v>7071</v>
      </c>
      <c r="B303" s="244" t="s">
        <v>7076</v>
      </c>
      <c r="C303" s="245" t="str">
        <f t="shared" si="1"/>
        <v>\FPeval\varLinkNoStatementYesICSE{18}</v>
      </c>
      <c r="D303" s="271">
        <f>Statements!B21</f>
        <v>18</v>
      </c>
      <c r="E303" s="272">
        <v>18.0</v>
      </c>
      <c r="F303" s="247" t="str">
        <f t="shared" si="2"/>
        <v/>
      </c>
    </row>
    <row r="304">
      <c r="A304" s="237" t="s">
        <v>7071</v>
      </c>
      <c r="B304" s="248" t="s">
        <v>7077</v>
      </c>
      <c r="C304" s="239" t="str">
        <f t="shared" si="1"/>
        <v>\FPeval\varLinkNoStatementYesICSEFSE{25}</v>
      </c>
      <c r="D304" s="273">
        <f>Statements!D21</f>
        <v>25</v>
      </c>
      <c r="E304" s="272">
        <v>25.0</v>
      </c>
      <c r="F304" s="242" t="str">
        <f t="shared" si="2"/>
        <v/>
      </c>
    </row>
    <row r="305">
      <c r="A305" s="243" t="s">
        <v>7071</v>
      </c>
      <c r="B305" s="244" t="s">
        <v>7078</v>
      </c>
      <c r="C305" s="245" t="str">
        <f t="shared" si="1"/>
        <v>\FPeval\varLinkYesStatementNoFSE{665}</v>
      </c>
      <c r="D305" s="271">
        <f>Statements!C22</f>
        <v>665</v>
      </c>
      <c r="E305" s="272">
        <v>665.0</v>
      </c>
      <c r="F305" s="247" t="str">
        <f t="shared" si="2"/>
        <v/>
      </c>
    </row>
    <row r="306">
      <c r="A306" s="237" t="s">
        <v>7071</v>
      </c>
      <c r="B306" s="238" t="s">
        <v>7079</v>
      </c>
      <c r="C306" s="239" t="str">
        <f t="shared" si="1"/>
        <v>\FPeval\varLinkYesStatementNoICSE{951}</v>
      </c>
      <c r="D306" s="273">
        <f>Statements!B22</f>
        <v>951</v>
      </c>
      <c r="E306" s="272">
        <v>951.0</v>
      </c>
      <c r="F306" s="242" t="str">
        <f t="shared" si="2"/>
        <v/>
      </c>
    </row>
    <row r="307">
      <c r="A307" s="243" t="s">
        <v>7071</v>
      </c>
      <c r="B307" s="249" t="s">
        <v>7080</v>
      </c>
      <c r="C307" s="245" t="str">
        <f t="shared" si="1"/>
        <v>\FPeval\varLinkYesStatementNoICSEFSE{1616}</v>
      </c>
      <c r="D307" s="271">
        <f>Statements!D22</f>
        <v>1616</v>
      </c>
      <c r="E307" s="272">
        <v>1616.0</v>
      </c>
      <c r="F307" s="247" t="str">
        <f t="shared" si="2"/>
        <v/>
      </c>
    </row>
    <row r="308">
      <c r="A308" s="237" t="s">
        <v>7071</v>
      </c>
      <c r="B308" s="238" t="s">
        <v>7081</v>
      </c>
      <c r="C308" s="239" t="str">
        <f t="shared" si="1"/>
        <v>\FPeval\varLinkYesStatementYesFSE{30}</v>
      </c>
      <c r="D308" s="273">
        <f>Statements!C20</f>
        <v>30</v>
      </c>
      <c r="E308" s="272">
        <v>30.0</v>
      </c>
      <c r="F308" s="242" t="str">
        <f t="shared" si="2"/>
        <v/>
      </c>
    </row>
    <row r="309">
      <c r="A309" s="243" t="s">
        <v>7071</v>
      </c>
      <c r="B309" s="244" t="s">
        <v>7082</v>
      </c>
      <c r="C309" s="245" t="str">
        <f t="shared" si="1"/>
        <v>\FPeval\varLinkYesStatementYesICSE{50}</v>
      </c>
      <c r="D309" s="271">
        <f>Statements!B20</f>
        <v>50</v>
      </c>
      <c r="E309" s="272">
        <v>50.0</v>
      </c>
      <c r="F309" s="247" t="str">
        <f t="shared" si="2"/>
        <v/>
      </c>
    </row>
    <row r="310">
      <c r="A310" s="237" t="s">
        <v>7071</v>
      </c>
      <c r="B310" s="248" t="s">
        <v>7083</v>
      </c>
      <c r="C310" s="239" t="str">
        <f t="shared" si="1"/>
        <v>\FPeval\varLinkYesStatementYesICSEFSE{80}</v>
      </c>
      <c r="D310" s="273">
        <f>Statements!D20</f>
        <v>80</v>
      </c>
      <c r="E310" s="272">
        <v>80.0</v>
      </c>
      <c r="F310" s="242" t="str">
        <f t="shared" si="2"/>
        <v/>
      </c>
    </row>
    <row r="311">
      <c r="A311" s="243" t="s">
        <v>7084</v>
      </c>
      <c r="B311" s="245" t="s">
        <v>7085</v>
      </c>
      <c r="C311" s="245" t="str">
        <f t="shared" si="1"/>
        <v>\FPeval\varEvolutionArtifactsAvailableBadgeANDUniqueIdentifierXIXFSE{47.4}</v>
      </c>
      <c r="D311" s="255" t="str">
        <f>Badges!K9</f>
        <v>47.4</v>
      </c>
      <c r="E311" s="254" t="s">
        <v>7086</v>
      </c>
      <c r="F311" s="247" t="str">
        <f t="shared" si="2"/>
        <v/>
      </c>
    </row>
    <row r="312">
      <c r="A312" s="237" t="s">
        <v>7084</v>
      </c>
      <c r="B312" s="239" t="s">
        <v>7087</v>
      </c>
      <c r="C312" s="239" t="str">
        <f t="shared" si="1"/>
        <v>\FPeval\varEvolutionArtifactsAvailableBadgeANDUniqueIdentifierXIXICSE{21.6}</v>
      </c>
      <c r="D312" s="253" t="str">
        <f>Badges!E9</f>
        <v>21.6</v>
      </c>
      <c r="E312" s="254" t="s">
        <v>6823</v>
      </c>
      <c r="F312" s="242" t="str">
        <f t="shared" si="2"/>
        <v/>
      </c>
    </row>
    <row r="313">
      <c r="A313" s="243" t="s">
        <v>7084</v>
      </c>
      <c r="B313" s="245" t="s">
        <v>7088</v>
      </c>
      <c r="C313" s="245" t="str">
        <f t="shared" si="1"/>
        <v>\FPeval\varEvolutionArtifactsAvailableBadgeANDUniqueIdentifierXVIIFSE{0.0}</v>
      </c>
      <c r="D313" s="255" t="str">
        <f>Badges!K7</f>
        <v>0.0</v>
      </c>
      <c r="E313" s="254" t="s">
        <v>6657</v>
      </c>
      <c r="F313" s="247" t="str">
        <f t="shared" si="2"/>
        <v/>
      </c>
    </row>
    <row r="314">
      <c r="A314" s="237" t="s">
        <v>7084</v>
      </c>
      <c r="B314" s="239" t="s">
        <v>7089</v>
      </c>
      <c r="C314" s="239" t="str">
        <f t="shared" si="1"/>
        <v>\FPeval\varEvolutionArtifactsAvailableBadgeANDUniqueIdentifierXVIIIFSE{22.2}</v>
      </c>
      <c r="D314" s="253" t="str">
        <f>Badges!K8</f>
        <v>22.2</v>
      </c>
      <c r="E314" s="254" t="s">
        <v>7090</v>
      </c>
      <c r="F314" s="242" t="str">
        <f t="shared" si="2"/>
        <v/>
      </c>
    </row>
    <row r="315">
      <c r="A315" s="243" t="s">
        <v>7084</v>
      </c>
      <c r="B315" s="245" t="s">
        <v>7091</v>
      </c>
      <c r="C315" s="245" t="str">
        <f t="shared" si="1"/>
        <v>\FPeval\varEvolutionArtifactsAvailableBadgeANDUniqueIdentifierXVIIIICSE{50.0}</v>
      </c>
      <c r="D315" s="255" t="str">
        <f>Badges!E8</f>
        <v>50.0</v>
      </c>
      <c r="E315" s="254" t="s">
        <v>6666</v>
      </c>
      <c r="F315" s="247" t="str">
        <f t="shared" si="2"/>
        <v/>
      </c>
    </row>
    <row r="316">
      <c r="A316" s="237" t="s">
        <v>7084</v>
      </c>
      <c r="B316" s="239" t="s">
        <v>7092</v>
      </c>
      <c r="C316" s="239" t="str">
        <f t="shared" si="1"/>
        <v>\FPeval\varEvolutionArtifactsAvailableBadgeANDUniqueIdentifierXXFSE{68.6}</v>
      </c>
      <c r="D316" s="253" t="str">
        <f>Badges!K10</f>
        <v>68.6</v>
      </c>
      <c r="E316" s="254" t="s">
        <v>7093</v>
      </c>
      <c r="F316" s="242" t="str">
        <f t="shared" si="2"/>
        <v/>
      </c>
    </row>
    <row r="317">
      <c r="A317" s="243" t="s">
        <v>7084</v>
      </c>
      <c r="B317" s="245" t="s">
        <v>7094</v>
      </c>
      <c r="C317" s="245" t="str">
        <f t="shared" si="1"/>
        <v>\FPeval\varEvolutionArtifactsAvailableBadgeANDUniqueIdentifierXXICSE{24.0}</v>
      </c>
      <c r="D317" s="255" t="str">
        <f>Badges!E10</f>
        <v>24.0</v>
      </c>
      <c r="E317" s="254" t="s">
        <v>7095</v>
      </c>
      <c r="F317" s="247" t="str">
        <f t="shared" si="2"/>
        <v/>
      </c>
    </row>
    <row r="318">
      <c r="A318" s="237" t="s">
        <v>7084</v>
      </c>
      <c r="B318" s="239" t="s">
        <v>7096</v>
      </c>
      <c r="C318" s="239" t="str">
        <f t="shared" si="1"/>
        <v>\FPeval\varEvolutionArtifactsAvailableBadgeANDUniqueIdentifierXXIFSE{35.4}</v>
      </c>
      <c r="D318" s="253" t="str">
        <f>Badges!K11</f>
        <v>35.4</v>
      </c>
      <c r="E318" s="254" t="s">
        <v>7097</v>
      </c>
      <c r="F318" s="242" t="str">
        <f t="shared" si="2"/>
        <v/>
      </c>
    </row>
    <row r="319">
      <c r="A319" s="243" t="s">
        <v>7084</v>
      </c>
      <c r="B319" s="245" t="s">
        <v>7098</v>
      </c>
      <c r="C319" s="245" t="str">
        <f t="shared" si="1"/>
        <v>\FPeval\varEvolutionArtifactsAvailableBadgeANDUniqueIdentifierXXIICSE{60.5}</v>
      </c>
      <c r="D319" s="255" t="str">
        <f>Badges!E11</f>
        <v>60.5</v>
      </c>
      <c r="E319" s="254" t="s">
        <v>7099</v>
      </c>
      <c r="F319" s="247" t="str">
        <f t="shared" si="2"/>
        <v/>
      </c>
    </row>
    <row r="320">
      <c r="A320" s="237" t="s">
        <v>7084</v>
      </c>
      <c r="B320" s="239" t="s">
        <v>7100</v>
      </c>
      <c r="C320" s="239" t="str">
        <f t="shared" si="1"/>
        <v>\FPeval\varEvolutionArtifactsAvailableBadgeANDUniqueIdentifierXXIIFSE{78.0}</v>
      </c>
      <c r="D320" s="253" t="str">
        <f>Badges!K12</f>
        <v>78.0</v>
      </c>
      <c r="E320" s="254" t="s">
        <v>7101</v>
      </c>
      <c r="F320" s="242" t="str">
        <f t="shared" si="2"/>
        <v/>
      </c>
    </row>
    <row r="321">
      <c r="A321" s="243" t="s">
        <v>7084</v>
      </c>
      <c r="B321" s="245" t="s">
        <v>7102</v>
      </c>
      <c r="C321" s="245" t="str">
        <f t="shared" si="1"/>
        <v>\FPeval\varEvolutionArtifactsAvailableBadgeANDUniqueIdentifierXXIIICSE{56.9}</v>
      </c>
      <c r="D321" s="255" t="str">
        <f>Badges!E12</f>
        <v>56.9</v>
      </c>
      <c r="E321" s="254" t="s">
        <v>7103</v>
      </c>
      <c r="F321" s="247" t="str">
        <f t="shared" si="2"/>
        <v/>
      </c>
    </row>
    <row r="322">
      <c r="A322" s="237" t="s">
        <v>7084</v>
      </c>
      <c r="B322" s="239" t="s">
        <v>7104</v>
      </c>
      <c r="C322" s="239" t="str">
        <f t="shared" si="1"/>
        <v>\FPeval\varEvolutionArtifactsAvailableBadgeANDUniqueIdentifierXXIIIFSE{72.6}</v>
      </c>
      <c r="D322" s="253" t="str">
        <f>Badges!K13</f>
        <v>72.6</v>
      </c>
      <c r="E322" s="254" t="s">
        <v>7105</v>
      </c>
      <c r="F322" s="242" t="str">
        <f t="shared" si="2"/>
        <v/>
      </c>
    </row>
    <row r="323">
      <c r="A323" s="243" t="s">
        <v>7084</v>
      </c>
      <c r="B323" s="245" t="s">
        <v>7106</v>
      </c>
      <c r="C323" s="245" t="str">
        <f t="shared" si="1"/>
        <v>\FPeval\varEvolutionArtifactsAvailableBadgeANDUniqueIdentifierXXIIIICSE{50.0}</v>
      </c>
      <c r="D323" s="255" t="str">
        <f>Badges!E13</f>
        <v>50.0</v>
      </c>
      <c r="E323" s="254" t="s">
        <v>6666</v>
      </c>
      <c r="F323" s="247" t="str">
        <f t="shared" si="2"/>
        <v/>
      </c>
    </row>
    <row r="324">
      <c r="A324" s="237" t="s">
        <v>7084</v>
      </c>
      <c r="B324" s="239" t="s">
        <v>7107</v>
      </c>
      <c r="C324" s="239" t="str">
        <f t="shared" si="1"/>
        <v>\FPeval\varEvolutionArtifactsAvailableBadgeWithoutLinkXIXFSE{5.3}</v>
      </c>
      <c r="D324" s="253" t="str">
        <f>Badges!M9</f>
        <v>5.3</v>
      </c>
      <c r="E324" s="254" t="s">
        <v>7108</v>
      </c>
      <c r="F324" s="242" t="str">
        <f t="shared" si="2"/>
        <v/>
      </c>
    </row>
    <row r="325">
      <c r="A325" s="243" t="s">
        <v>7084</v>
      </c>
      <c r="B325" s="249" t="s">
        <v>7109</v>
      </c>
      <c r="C325" s="245" t="str">
        <f t="shared" si="1"/>
        <v>\FPeval\varEvolutionArtifactsAvailableBadgeWithoutLinkXIXICSE{5.4}</v>
      </c>
      <c r="D325" s="255" t="str">
        <f>Badges!G9</f>
        <v>5.4</v>
      </c>
      <c r="E325" s="254" t="s">
        <v>7110</v>
      </c>
      <c r="F325" s="247" t="str">
        <f t="shared" si="2"/>
        <v/>
      </c>
    </row>
    <row r="326">
      <c r="A326" s="237" t="s">
        <v>7084</v>
      </c>
      <c r="B326" s="239" t="s">
        <v>7111</v>
      </c>
      <c r="C326" s="239" t="str">
        <f t="shared" si="1"/>
        <v>\FPeval\varEvolutionArtifactsAvailableBadgeWithoutLinkXVIIFSE{0.0}</v>
      </c>
      <c r="D326" s="253" t="str">
        <f>Badges!M7</f>
        <v>0.0</v>
      </c>
      <c r="E326" s="254" t="s">
        <v>6657</v>
      </c>
      <c r="F326" s="242" t="str">
        <f t="shared" si="2"/>
        <v/>
      </c>
    </row>
    <row r="327">
      <c r="A327" s="243" t="s">
        <v>7084</v>
      </c>
      <c r="B327" s="245" t="s">
        <v>7112</v>
      </c>
      <c r="C327" s="245" t="str">
        <f t="shared" si="1"/>
        <v>\FPeval\varEvolutionArtifactsAvailableBadgeWithoutLinkXVIIIFSE{16.7}</v>
      </c>
      <c r="D327" s="255" t="str">
        <f>Badges!M8</f>
        <v>16.7</v>
      </c>
      <c r="E327" s="254" t="s">
        <v>6663</v>
      </c>
      <c r="F327" s="247" t="str">
        <f t="shared" si="2"/>
        <v/>
      </c>
    </row>
    <row r="328">
      <c r="A328" s="237" t="s">
        <v>7084</v>
      </c>
      <c r="B328" s="248" t="s">
        <v>7113</v>
      </c>
      <c r="C328" s="239" t="str">
        <f t="shared" si="1"/>
        <v>\FPeval\varEvolutionArtifactsAvailableBadgeWithoutLinkXVIIIICSE{0.0}</v>
      </c>
      <c r="D328" s="253" t="str">
        <f>Badges!G8</f>
        <v>0.0</v>
      </c>
      <c r="E328" s="254" t="s">
        <v>6657</v>
      </c>
      <c r="F328" s="242" t="str">
        <f t="shared" si="2"/>
        <v/>
      </c>
    </row>
    <row r="329">
      <c r="A329" s="243" t="s">
        <v>7084</v>
      </c>
      <c r="B329" s="245" t="s">
        <v>7114</v>
      </c>
      <c r="C329" s="245" t="str">
        <f t="shared" si="1"/>
        <v>\FPeval\varEvolutionArtifactsAvailableBadgeWithoutLinkXXFSE{2.0}</v>
      </c>
      <c r="D329" s="255" t="str">
        <f>Badges!M10</f>
        <v>2.0</v>
      </c>
      <c r="E329" s="254" t="s">
        <v>6730</v>
      </c>
      <c r="F329" s="247" t="str">
        <f t="shared" si="2"/>
        <v/>
      </c>
    </row>
    <row r="330">
      <c r="A330" s="237" t="s">
        <v>7084</v>
      </c>
      <c r="B330" s="248" t="s">
        <v>7115</v>
      </c>
      <c r="C330" s="239" t="str">
        <f t="shared" si="1"/>
        <v>\FPeval\varEvolutionArtifactsAvailableBadgeWithoutLinkXXICSE{10.0}</v>
      </c>
      <c r="D330" s="253" t="str">
        <f>Badges!G10</f>
        <v>10.0</v>
      </c>
      <c r="E330" s="254" t="s">
        <v>6661</v>
      </c>
      <c r="F330" s="242" t="str">
        <f t="shared" si="2"/>
        <v/>
      </c>
    </row>
    <row r="331">
      <c r="A331" s="243" t="s">
        <v>7084</v>
      </c>
      <c r="B331" s="245" t="s">
        <v>7116</v>
      </c>
      <c r="C331" s="245" t="str">
        <f t="shared" si="1"/>
        <v>\FPeval\varEvolutionArtifactsAvailableBadgeWithoutLinkXXIFSE{4.2}</v>
      </c>
      <c r="D331" s="255" t="str">
        <f>Badges!M11</f>
        <v>4.2</v>
      </c>
      <c r="E331" s="254" t="s">
        <v>7117</v>
      </c>
      <c r="F331" s="247" t="str">
        <f t="shared" si="2"/>
        <v/>
      </c>
    </row>
    <row r="332">
      <c r="A332" s="237" t="s">
        <v>7084</v>
      </c>
      <c r="B332" s="248" t="s">
        <v>7118</v>
      </c>
      <c r="C332" s="239" t="str">
        <f t="shared" si="1"/>
        <v>\FPeval\varEvolutionArtifactsAvailableBadgeWithoutLinkXXIICSE{2.6}</v>
      </c>
      <c r="D332" s="253" t="str">
        <f>Badges!G11</f>
        <v>2.6</v>
      </c>
      <c r="E332" s="254" t="s">
        <v>7119</v>
      </c>
      <c r="F332" s="242" t="str">
        <f t="shared" si="2"/>
        <v/>
      </c>
    </row>
    <row r="333">
      <c r="A333" s="243" t="s">
        <v>7084</v>
      </c>
      <c r="B333" s="245" t="s">
        <v>7120</v>
      </c>
      <c r="C333" s="245" t="str">
        <f t="shared" si="1"/>
        <v>\FPeval\varEvolutionArtifactsAvailableBadgeWithoutLinkXXIIFSE{0.0}</v>
      </c>
      <c r="D333" s="255" t="str">
        <f>Badges!M12</f>
        <v>0.0</v>
      </c>
      <c r="E333" s="254" t="s">
        <v>6657</v>
      </c>
      <c r="F333" s="247" t="str">
        <f t="shared" si="2"/>
        <v/>
      </c>
    </row>
    <row r="334">
      <c r="A334" s="237" t="s">
        <v>7084</v>
      </c>
      <c r="B334" s="248" t="s">
        <v>7121</v>
      </c>
      <c r="C334" s="239" t="str">
        <f t="shared" si="1"/>
        <v>\FPeval\varEvolutionArtifactsAvailableBadgeWithoutLinkXXIIICSE{3.4}</v>
      </c>
      <c r="D334" s="253" t="str">
        <f>Badges!G12</f>
        <v>3.4</v>
      </c>
      <c r="E334" s="254" t="s">
        <v>7122</v>
      </c>
      <c r="F334" s="242" t="str">
        <f t="shared" si="2"/>
        <v/>
      </c>
    </row>
    <row r="335">
      <c r="A335" s="243" t="s">
        <v>7084</v>
      </c>
      <c r="B335" s="245" t="s">
        <v>7123</v>
      </c>
      <c r="C335" s="245" t="str">
        <f t="shared" si="1"/>
        <v>\FPeval\varEvolutionArtifactsAvailableBadgeWithoutLinkXXIIIFSE{0.0}</v>
      </c>
      <c r="D335" s="255" t="str">
        <f>Badges!M13</f>
        <v>0.0</v>
      </c>
      <c r="E335" s="254" t="s">
        <v>6657</v>
      </c>
      <c r="F335" s="247" t="str">
        <f t="shared" si="2"/>
        <v/>
      </c>
    </row>
    <row r="336">
      <c r="A336" s="237" t="s">
        <v>7084</v>
      </c>
      <c r="B336" s="248" t="s">
        <v>7124</v>
      </c>
      <c r="C336" s="239" t="str">
        <f t="shared" si="1"/>
        <v>\FPeval\varEvolutionArtifactsAvailableBadgeWithoutLinkXXIIIICSE{0.0}</v>
      </c>
      <c r="D336" s="253" t="str">
        <f>Badges!G13</f>
        <v>0.0</v>
      </c>
      <c r="E336" s="254" t="s">
        <v>6657</v>
      </c>
      <c r="F336" s="242" t="str">
        <f t="shared" si="2"/>
        <v/>
      </c>
    </row>
    <row r="337">
      <c r="A337" s="243" t="s">
        <v>7084</v>
      </c>
      <c r="B337" s="245" t="s">
        <v>7125</v>
      </c>
      <c r="C337" s="245" t="str">
        <f t="shared" si="1"/>
        <v>\FPeval\varEvolutionArtifactsAvailableBadgeWithoutUniqueIdentifierXIXFSE{47.4}</v>
      </c>
      <c r="D337" s="255" t="str">
        <f>Badges!L9</f>
        <v>47.4</v>
      </c>
      <c r="E337" s="254" t="s">
        <v>7086</v>
      </c>
      <c r="F337" s="247" t="str">
        <f t="shared" si="2"/>
        <v/>
      </c>
    </row>
    <row r="338">
      <c r="A338" s="237" t="s">
        <v>7084</v>
      </c>
      <c r="B338" s="239" t="s">
        <v>7126</v>
      </c>
      <c r="C338" s="239" t="str">
        <f t="shared" si="1"/>
        <v>\FPeval\varEvolutionArtifactsAvailableBadgeWithoutUniqueIdentifierXIXICSE{73.0}</v>
      </c>
      <c r="D338" s="253" t="str">
        <f>Badges!F9</f>
        <v>73.0</v>
      </c>
      <c r="E338" s="254" t="s">
        <v>6621</v>
      </c>
      <c r="F338" s="242" t="str">
        <f t="shared" si="2"/>
        <v/>
      </c>
    </row>
    <row r="339">
      <c r="A339" s="243" t="s">
        <v>7084</v>
      </c>
      <c r="B339" s="245" t="s">
        <v>7127</v>
      </c>
      <c r="C339" s="245" t="str">
        <f t="shared" si="1"/>
        <v>\FPeval\varEvolutionArtifactsAvailableBadgeWithoutUniqueIdentifierXVIIFSE{100}</v>
      </c>
      <c r="D339" s="255" t="str">
        <f>Badges!L7</f>
        <v>100</v>
      </c>
      <c r="E339" s="254" t="s">
        <v>7128</v>
      </c>
      <c r="F339" s="247" t="str">
        <f t="shared" si="2"/>
        <v/>
      </c>
    </row>
    <row r="340">
      <c r="A340" s="237" t="s">
        <v>7084</v>
      </c>
      <c r="B340" s="239" t="s">
        <v>7129</v>
      </c>
      <c r="C340" s="239" t="str">
        <f t="shared" si="1"/>
        <v>\FPeval\varEvolutionArtifactsAvailableBadgeWithoutUniqueIdentifierXVIIIFSE{61.1}</v>
      </c>
      <c r="D340" s="253" t="str">
        <f>Badges!L8</f>
        <v>61.1</v>
      </c>
      <c r="E340" s="254" t="s">
        <v>7130</v>
      </c>
      <c r="F340" s="242" t="str">
        <f t="shared" si="2"/>
        <v/>
      </c>
    </row>
    <row r="341">
      <c r="A341" s="243" t="s">
        <v>7084</v>
      </c>
      <c r="B341" s="245" t="s">
        <v>7131</v>
      </c>
      <c r="C341" s="245" t="str">
        <f t="shared" si="1"/>
        <v>\FPeval\varEvolutionArtifactsAvailableBadgeWithoutUniqueIdentifierXVIIIICSE{50.0}</v>
      </c>
      <c r="D341" s="255" t="str">
        <f>Badges!F8</f>
        <v>50.0</v>
      </c>
      <c r="E341" s="254" t="s">
        <v>6666</v>
      </c>
      <c r="F341" s="247" t="str">
        <f t="shared" si="2"/>
        <v/>
      </c>
    </row>
    <row r="342">
      <c r="A342" s="237" t="s">
        <v>7084</v>
      </c>
      <c r="B342" s="239" t="s">
        <v>7132</v>
      </c>
      <c r="C342" s="239" t="str">
        <f t="shared" si="1"/>
        <v>\FPeval\varEvolutionArtifactsAvailableBadgeWithoutUniqueIdentifierXXFSE{29.4}</v>
      </c>
      <c r="D342" s="253" t="str">
        <f>Badges!L10</f>
        <v>29.4</v>
      </c>
      <c r="E342" s="254" t="s">
        <v>7133</v>
      </c>
      <c r="F342" s="242" t="str">
        <f t="shared" si="2"/>
        <v/>
      </c>
    </row>
    <row r="343">
      <c r="A343" s="243" t="s">
        <v>7084</v>
      </c>
      <c r="B343" s="245" t="s">
        <v>7134</v>
      </c>
      <c r="C343" s="245" t="str">
        <f t="shared" si="1"/>
        <v>\FPeval\varEvolutionArtifactsAvailableBadgeWithoutUniqueIdentifierXXICSE{66.0}</v>
      </c>
      <c r="D343" s="255" t="str">
        <f>Badges!F10</f>
        <v>66.0</v>
      </c>
      <c r="E343" s="254" t="s">
        <v>7135</v>
      </c>
      <c r="F343" s="247" t="str">
        <f t="shared" si="2"/>
        <v/>
      </c>
    </row>
    <row r="344">
      <c r="A344" s="237" t="s">
        <v>7084</v>
      </c>
      <c r="B344" s="239" t="s">
        <v>7136</v>
      </c>
      <c r="C344" s="239" t="str">
        <f t="shared" si="1"/>
        <v>\FPeval\varEvolutionArtifactsAvailableBadgeWithoutUniqueIdentifierXXIFSE{60.4}</v>
      </c>
      <c r="D344" s="253" t="str">
        <f>Badges!L11</f>
        <v>60.4</v>
      </c>
      <c r="E344" s="254" t="s">
        <v>7137</v>
      </c>
      <c r="F344" s="242" t="str">
        <f t="shared" si="2"/>
        <v/>
      </c>
    </row>
    <row r="345">
      <c r="A345" s="243" t="s">
        <v>7084</v>
      </c>
      <c r="B345" s="245" t="s">
        <v>7138</v>
      </c>
      <c r="C345" s="245" t="str">
        <f t="shared" si="1"/>
        <v>\FPeval\varEvolutionArtifactsAvailableBadgeWithoutUniqueIdentifierXXIICSE{36.8}</v>
      </c>
      <c r="D345" s="255" t="str">
        <f>Badges!F11</f>
        <v>36.8</v>
      </c>
      <c r="E345" s="254" t="s">
        <v>7139</v>
      </c>
      <c r="F345" s="247" t="str">
        <f t="shared" si="2"/>
        <v/>
      </c>
    </row>
    <row r="346">
      <c r="A346" s="237" t="s">
        <v>7084</v>
      </c>
      <c r="B346" s="239" t="s">
        <v>7140</v>
      </c>
      <c r="C346" s="239" t="str">
        <f t="shared" si="1"/>
        <v>\FPeval\varEvolutionArtifactsAvailableBadgeWithoutUniqueIdentifierXXIIFSE{22.0}</v>
      </c>
      <c r="D346" s="253" t="str">
        <f>Badges!L12</f>
        <v>22.0</v>
      </c>
      <c r="E346" s="254" t="s">
        <v>7141</v>
      </c>
      <c r="F346" s="242" t="str">
        <f t="shared" si="2"/>
        <v/>
      </c>
    </row>
    <row r="347">
      <c r="A347" s="243" t="s">
        <v>7084</v>
      </c>
      <c r="B347" s="245" t="s">
        <v>7142</v>
      </c>
      <c r="C347" s="245" t="str">
        <f t="shared" si="1"/>
        <v>\FPeval\varEvolutionArtifactsAvailableBadgeWithoutUniqueIdentifierXXIIICSE{39.7}</v>
      </c>
      <c r="D347" s="255" t="str">
        <f>Badges!F12</f>
        <v>39.7</v>
      </c>
      <c r="E347" s="254" t="s">
        <v>7143</v>
      </c>
      <c r="F347" s="247" t="str">
        <f t="shared" si="2"/>
        <v/>
      </c>
    </row>
    <row r="348">
      <c r="A348" s="237" t="s">
        <v>7084</v>
      </c>
      <c r="B348" s="239" t="s">
        <v>7144</v>
      </c>
      <c r="C348" s="239" t="str">
        <f t="shared" si="1"/>
        <v>\FPeval\varEvolutionArtifactsAvailableBadgeWithoutUniqueIdentifierXXIIIFSE{27.4}</v>
      </c>
      <c r="D348" s="253" t="str">
        <f>Badges!L13</f>
        <v>27.4</v>
      </c>
      <c r="E348" s="254" t="s">
        <v>7145</v>
      </c>
      <c r="F348" s="242" t="str">
        <f t="shared" si="2"/>
        <v/>
      </c>
    </row>
    <row r="349">
      <c r="A349" s="243" t="s">
        <v>7084</v>
      </c>
      <c r="B349" s="245" t="s">
        <v>7146</v>
      </c>
      <c r="C349" s="245" t="str">
        <f t="shared" si="1"/>
        <v>\FPeval\varEvolutionArtifactsAvailableBadgeWithoutUniqueIdentifierXXIIIICSE{50.0}</v>
      </c>
      <c r="D349" s="255" t="str">
        <f>Badges!F13</f>
        <v>50.0</v>
      </c>
      <c r="E349" s="254" t="s">
        <v>6666</v>
      </c>
      <c r="F349" s="247" t="str">
        <f t="shared" si="2"/>
        <v/>
      </c>
    </row>
    <row r="350">
      <c r="A350" s="237" t="s">
        <v>7084</v>
      </c>
      <c r="B350" s="239" t="s">
        <v>7147</v>
      </c>
      <c r="C350" s="239" t="str">
        <f t="shared" si="1"/>
        <v>\FPeval\varEvolutionBadgeArtifactAvailableXIXFSE{19}</v>
      </c>
      <c r="D350" s="253">
        <f>Badges!I9</f>
        <v>19</v>
      </c>
      <c r="E350" s="254">
        <v>19.0</v>
      </c>
      <c r="F350" s="242" t="str">
        <f t="shared" si="2"/>
        <v/>
      </c>
    </row>
    <row r="351">
      <c r="A351" s="243" t="s">
        <v>7084</v>
      </c>
      <c r="B351" s="245" t="s">
        <v>7148</v>
      </c>
      <c r="C351" s="245" t="str">
        <f t="shared" si="1"/>
        <v>\FPeval\varEvolutionBadgeArtifactAvailableXIXICSE{37}</v>
      </c>
      <c r="D351" s="255">
        <f>Badges!C9</f>
        <v>37</v>
      </c>
      <c r="E351" s="254">
        <v>37.0</v>
      </c>
      <c r="F351" s="247" t="str">
        <f t="shared" si="2"/>
        <v/>
      </c>
    </row>
    <row r="352">
      <c r="A352" s="237" t="s">
        <v>7084</v>
      </c>
      <c r="B352" s="239" t="s">
        <v>7149</v>
      </c>
      <c r="C352" s="239" t="str">
        <f t="shared" si="1"/>
        <v>\FPeval\varEvolutionBadgeArtifactAvailableXVIIFSE{1}</v>
      </c>
      <c r="D352" s="253">
        <f>Badges!I7</f>
        <v>1</v>
      </c>
      <c r="E352" s="254">
        <v>1.0</v>
      </c>
      <c r="F352" s="242" t="str">
        <f t="shared" si="2"/>
        <v/>
      </c>
    </row>
    <row r="353">
      <c r="A353" s="243" t="s">
        <v>7084</v>
      </c>
      <c r="B353" s="245" t="s">
        <v>7150</v>
      </c>
      <c r="C353" s="245" t="str">
        <f t="shared" si="1"/>
        <v>\FPeval\varEvolutionBadgeArtifactAvailableXVIIICSE{0}</v>
      </c>
      <c r="D353" s="255">
        <f>Badges!C7</f>
        <v>0</v>
      </c>
      <c r="E353" s="254">
        <v>0.0</v>
      </c>
      <c r="F353" s="247" t="str">
        <f t="shared" si="2"/>
        <v/>
      </c>
    </row>
    <row r="354">
      <c r="A354" s="237" t="s">
        <v>7084</v>
      </c>
      <c r="B354" s="239" t="s">
        <v>7151</v>
      </c>
      <c r="C354" s="239" t="str">
        <f t="shared" si="1"/>
        <v>\FPeval\varEvolutionBadgeArtifactAvailableXVIIIFSE{18}</v>
      </c>
      <c r="D354" s="253">
        <f>Badges!I8</f>
        <v>18</v>
      </c>
      <c r="E354" s="254">
        <v>18.0</v>
      </c>
      <c r="F354" s="242" t="str">
        <f t="shared" si="2"/>
        <v/>
      </c>
    </row>
    <row r="355">
      <c r="A355" s="243" t="s">
        <v>7084</v>
      </c>
      <c r="B355" s="245" t="s">
        <v>7152</v>
      </c>
      <c r="C355" s="245" t="str">
        <f t="shared" si="1"/>
        <v>\FPeval\varEvolutionBadgeArtifactAvailableXVIIIICSE{2}</v>
      </c>
      <c r="D355" s="255">
        <f>Badges!C8</f>
        <v>2</v>
      </c>
      <c r="E355" s="254">
        <v>2.0</v>
      </c>
      <c r="F355" s="247" t="str">
        <f t="shared" si="2"/>
        <v/>
      </c>
    </row>
    <row r="356">
      <c r="A356" s="237" t="s">
        <v>7084</v>
      </c>
      <c r="B356" s="239" t="s">
        <v>7153</v>
      </c>
      <c r="C356" s="239" t="str">
        <f t="shared" si="1"/>
        <v>\FPeval\varEvolutionBadgeArtifactAvailableXXFSE{51}</v>
      </c>
      <c r="D356" s="253">
        <f>Badges!I10</f>
        <v>51</v>
      </c>
      <c r="E356" s="254">
        <v>51.0</v>
      </c>
      <c r="F356" s="242" t="str">
        <f t="shared" si="2"/>
        <v/>
      </c>
    </row>
    <row r="357">
      <c r="A357" s="243" t="s">
        <v>7084</v>
      </c>
      <c r="B357" s="245" t="s">
        <v>7154</v>
      </c>
      <c r="C357" s="245" t="str">
        <f t="shared" si="1"/>
        <v>\FPeval\varEvolutionBadgeArtifactAvailableXXICSE{50}</v>
      </c>
      <c r="D357" s="255">
        <f>Badges!C10</f>
        <v>50</v>
      </c>
      <c r="E357" s="254">
        <v>50.0</v>
      </c>
      <c r="F357" s="247" t="str">
        <f t="shared" si="2"/>
        <v/>
      </c>
    </row>
    <row r="358">
      <c r="A358" s="237" t="s">
        <v>7084</v>
      </c>
      <c r="B358" s="239" t="s">
        <v>7155</v>
      </c>
      <c r="C358" s="239" t="str">
        <f t="shared" si="1"/>
        <v>\FPeval\varEvolutionBadgeArtifactAvailableXXIFSE{48}</v>
      </c>
      <c r="D358" s="253">
        <f>Badges!I11</f>
        <v>48</v>
      </c>
      <c r="E358" s="254">
        <v>48.0</v>
      </c>
      <c r="F358" s="242" t="str">
        <f t="shared" si="2"/>
        <v/>
      </c>
    </row>
    <row r="359">
      <c r="A359" s="243" t="s">
        <v>7084</v>
      </c>
      <c r="B359" s="245" t="s">
        <v>7156</v>
      </c>
      <c r="C359" s="245" t="str">
        <f t="shared" si="1"/>
        <v>\FPeval\varEvolutionBadgeArtifactAvailableXXIICSE{38}</v>
      </c>
      <c r="D359" s="255">
        <f>Badges!C11</f>
        <v>38</v>
      </c>
      <c r="E359" s="254">
        <v>38.0</v>
      </c>
      <c r="F359" s="247" t="str">
        <f t="shared" si="2"/>
        <v/>
      </c>
    </row>
    <row r="360">
      <c r="A360" s="237" t="s">
        <v>7084</v>
      </c>
      <c r="B360" s="239" t="s">
        <v>7157</v>
      </c>
      <c r="C360" s="239" t="str">
        <f t="shared" si="1"/>
        <v>\FPeval\varEvolutionBadgeArtifactAvailableXXIIFSE{41}</v>
      </c>
      <c r="D360" s="253">
        <f>Badges!I12</f>
        <v>41</v>
      </c>
      <c r="E360" s="254">
        <v>41.0</v>
      </c>
      <c r="F360" s="242" t="str">
        <f t="shared" si="2"/>
        <v/>
      </c>
    </row>
    <row r="361">
      <c r="A361" s="243" t="s">
        <v>7084</v>
      </c>
      <c r="B361" s="245" t="s">
        <v>7158</v>
      </c>
      <c r="C361" s="245" t="str">
        <f t="shared" si="1"/>
        <v>\FPeval\varEvolutionBadgeArtifactAvailableXXIIICSE{58}</v>
      </c>
      <c r="D361" s="255">
        <f>Badges!C12</f>
        <v>58</v>
      </c>
      <c r="E361" s="254">
        <v>58.0</v>
      </c>
      <c r="F361" s="247" t="str">
        <f t="shared" si="2"/>
        <v/>
      </c>
    </row>
    <row r="362">
      <c r="A362" s="237" t="s">
        <v>7084</v>
      </c>
      <c r="B362" s="239" t="s">
        <v>7159</v>
      </c>
      <c r="C362" s="239" t="str">
        <f t="shared" si="1"/>
        <v>\FPeval\varEvolutionBadgeArtifactAvailableXXIIIFSE{62}</v>
      </c>
      <c r="D362" s="253">
        <f>Badges!I13</f>
        <v>62</v>
      </c>
      <c r="E362" s="254">
        <v>62.0</v>
      </c>
      <c r="F362" s="242" t="str">
        <f t="shared" si="2"/>
        <v/>
      </c>
    </row>
    <row r="363">
      <c r="A363" s="243" t="s">
        <v>7084</v>
      </c>
      <c r="B363" s="245" t="s">
        <v>7160</v>
      </c>
      <c r="C363" s="245" t="str">
        <f t="shared" si="1"/>
        <v>\FPeval\varEvolutionBadgeArtifactAvailableXXIIIICSE{80}</v>
      </c>
      <c r="D363" s="255">
        <f>Badges!C13</f>
        <v>80</v>
      </c>
      <c r="E363" s="254">
        <v>80.0</v>
      </c>
      <c r="F363" s="247" t="str">
        <f t="shared" si="2"/>
        <v/>
      </c>
    </row>
    <row r="364">
      <c r="A364" s="237" t="s">
        <v>7161</v>
      </c>
      <c r="B364" s="256" t="s">
        <v>7162</v>
      </c>
      <c r="C364" s="239" t="str">
        <f t="shared" ref="C364:C414" si="3">IF(B364="",,"\newcommand"&amp;B364&amp;"{"&amp;D364&amp;"}")</f>
        <v>\newcommand\EventFSEInviteResearchArtifacts{F01}</v>
      </c>
      <c r="D364" s="253" t="str">
        <f t="array" ref="D364">XLOOKUP(B364,FSETimelineData!P:P,FSETimelineData!N:N,"Error",0,1)</f>
        <v>F01</v>
      </c>
      <c r="E364" s="254" t="s">
        <v>7163</v>
      </c>
      <c r="F364" s="242" t="str">
        <f t="shared" si="2"/>
        <v/>
      </c>
    </row>
    <row r="365">
      <c r="A365" s="243" t="s">
        <v>7161</v>
      </c>
      <c r="B365" s="257" t="s">
        <v>7164</v>
      </c>
      <c r="C365" s="245" t="str">
        <f t="shared" si="3"/>
        <v>\newcommand\EventFSEInviteIndustrialArtifacts{F02}</v>
      </c>
      <c r="D365" s="255" t="str">
        <f t="array" ref="D365">XLOOKUP(B365,FSETimelineData!P:P,FSETimelineData!N:N,"Error",0,1)</f>
        <v>F02</v>
      </c>
      <c r="E365" s="254" t="s">
        <v>7165</v>
      </c>
      <c r="F365" s="247" t="str">
        <f t="shared" si="2"/>
        <v/>
      </c>
    </row>
    <row r="366">
      <c r="A366" s="237" t="s">
        <v>7161</v>
      </c>
      <c r="B366" s="256" t="s">
        <v>7166</v>
      </c>
      <c r="C366" s="239" t="str">
        <f t="shared" si="3"/>
        <v>\newcommand\EventFSEInvitePriorSEArtifacts{F03}</v>
      </c>
      <c r="D366" s="253" t="str">
        <f t="array" ref="D366">XLOOKUP(B366,FSETimelineData!P:P,FSETimelineData!N:N,"Error",0,1)</f>
        <v>F03</v>
      </c>
      <c r="E366" s="254" t="s">
        <v>7167</v>
      </c>
      <c r="F366" s="242" t="str">
        <f t="shared" si="2"/>
        <v/>
      </c>
    </row>
    <row r="367">
      <c r="A367" s="243" t="s">
        <v>7161</v>
      </c>
      <c r="B367" s="257" t="s">
        <v>7168</v>
      </c>
      <c r="C367" s="245" t="str">
        <f t="shared" si="3"/>
        <v>\newcommand\EventFSEArtifactScores{F04}</v>
      </c>
      <c r="D367" s="255" t="str">
        <f t="array" ref="D367">XLOOKUP(B367,FSETimelineData!P:P,FSETimelineData!N:N,"Error",0,1)</f>
        <v>F04</v>
      </c>
      <c r="E367" s="254" t="s">
        <v>7169</v>
      </c>
      <c r="F367" s="247" t="str">
        <f t="shared" si="2"/>
        <v/>
      </c>
    </row>
    <row r="368">
      <c r="A368" s="237" t="s">
        <v>7161</v>
      </c>
      <c r="B368" s="256" t="s">
        <v>7170</v>
      </c>
      <c r="C368" s="239" t="str">
        <f t="shared" si="3"/>
        <v>\newcommand\EventFSEBadgeOnFrontPage{F05}</v>
      </c>
      <c r="D368" s="253" t="str">
        <f t="array" ref="D368">XLOOKUP(B368,FSETimelineData!P:P,FSETimelineData!N:N,"Error",0,1)</f>
        <v>F05</v>
      </c>
      <c r="E368" s="254" t="s">
        <v>7171</v>
      </c>
      <c r="F368" s="242" t="str">
        <f t="shared" si="2"/>
        <v/>
      </c>
    </row>
    <row r="369">
      <c r="A369" s="243" t="s">
        <v>7161</v>
      </c>
      <c r="B369" s="257" t="s">
        <v>7172</v>
      </c>
      <c r="C369" s="245" t="str">
        <f t="shared" si="3"/>
        <v>\newcommand\EventFSEUseACMBadges{F06}</v>
      </c>
      <c r="D369" s="255" t="str">
        <f t="array" ref="D369">XLOOKUP(B369,FSETimelineData!P:P,FSETimelineData!N:N,"Error",0,1)</f>
        <v>F06</v>
      </c>
      <c r="E369" s="254" t="s">
        <v>7173</v>
      </c>
      <c r="F369" s="247" t="str">
        <f t="shared" si="2"/>
        <v/>
      </c>
    </row>
    <row r="370">
      <c r="A370" s="237" t="s">
        <v>7161</v>
      </c>
      <c r="B370" s="256" t="s">
        <v>7174</v>
      </c>
      <c r="C370" s="239" t="str">
        <f t="shared" si="3"/>
        <v>\newcommand\EventFSEArtifactVisibilityRewards{F07}</v>
      </c>
      <c r="D370" s="253" t="str">
        <f t="array" ref="D370">XLOOKUP(B370,FSETimelineData!P:P,FSETimelineData!N:N,"Error",0,1)</f>
        <v>F07</v>
      </c>
      <c r="E370" s="254" t="s">
        <v>7175</v>
      </c>
      <c r="F370" s="242" t="str">
        <f t="shared" si="2"/>
        <v/>
      </c>
    </row>
    <row r="371">
      <c r="A371" s="243" t="s">
        <v>7161</v>
      </c>
      <c r="B371" s="249" t="s">
        <v>7176</v>
      </c>
      <c r="C371" s="245" t="str">
        <f t="shared" si="3"/>
        <v>\newcommand\EventFSEBestArtifact{F08}</v>
      </c>
      <c r="D371" s="255" t="str">
        <f t="array" ref="D371">XLOOKUP(B371,FSETimelineData!P:P,FSETimelineData!N:N,"Error",0,1)</f>
        <v>F08</v>
      </c>
      <c r="E371" s="254" t="s">
        <v>7177</v>
      </c>
      <c r="F371" s="247" t="str">
        <f t="shared" si="2"/>
        <v/>
      </c>
    </row>
    <row r="372">
      <c r="A372" s="237" t="s">
        <v>7161</v>
      </c>
      <c r="B372" s="256" t="s">
        <v>7178</v>
      </c>
      <c r="C372" s="239" t="str">
        <f t="shared" si="3"/>
        <v>\newcommand\EventFSEExtraPresentationTime{F09}</v>
      </c>
      <c r="D372" s="253" t="str">
        <f t="array" ref="D372">XLOOKUP(B372,FSETimelineData!P:P,FSETimelineData!N:N,"Error",0,1)</f>
        <v>F09</v>
      </c>
      <c r="E372" s="254" t="s">
        <v>7179</v>
      </c>
      <c r="F372" s="242" t="str">
        <f t="shared" si="2"/>
        <v/>
      </c>
    </row>
    <row r="373">
      <c r="A373" s="243" t="s">
        <v>7161</v>
      </c>
      <c r="B373" s="257" t="s">
        <v>7180</v>
      </c>
      <c r="C373" s="245" t="str">
        <f t="shared" si="3"/>
        <v>\newcommand\EventFSEArtifactInACMDL{F10}</v>
      </c>
      <c r="D373" s="255" t="str">
        <f t="array" ref="D373">XLOOKUP(B373,FSETimelineData!P:P,FSETimelineData!N:N,"Error",0,1)</f>
        <v>F10</v>
      </c>
      <c r="E373" s="254" t="s">
        <v>7181</v>
      </c>
      <c r="F373" s="247" t="str">
        <f t="shared" si="2"/>
        <v/>
      </c>
    </row>
    <row r="374">
      <c r="A374" s="237" t="s">
        <v>7161</v>
      </c>
      <c r="B374" s="256" t="s">
        <v>7182</v>
      </c>
      <c r="C374" s="239" t="str">
        <f t="shared" si="3"/>
        <v>\newcommand\EventFSEExtraArtifactPage{F11}</v>
      </c>
      <c r="D374" s="253" t="str">
        <f t="array" ref="D374">XLOOKUP(B374,FSETimelineData!P:P,FSETimelineData!N:N,"Error",0,1)</f>
        <v>F11</v>
      </c>
      <c r="E374" s="254" t="s">
        <v>7183</v>
      </c>
      <c r="F374" s="242" t="str">
        <f t="shared" si="2"/>
        <v/>
      </c>
    </row>
    <row r="375">
      <c r="A375" s="243" t="s">
        <v>7161</v>
      </c>
      <c r="B375" s="257" t="s">
        <v>7184</v>
      </c>
      <c r="C375" s="245" t="str">
        <f t="shared" si="3"/>
        <v>\newcommand\EventFSEArtifactAbstractsProceedings{F12}</v>
      </c>
      <c r="D375" s="255" t="str">
        <f t="array" ref="D375">XLOOKUP(B375,FSETimelineData!P:P,FSETimelineData!N:N,"Error",0,1)</f>
        <v>F12</v>
      </c>
      <c r="E375" s="254" t="s">
        <v>7185</v>
      </c>
      <c r="F375" s="247" t="str">
        <f t="shared" si="2"/>
        <v/>
      </c>
    </row>
    <row r="376">
      <c r="A376" s="237" t="s">
        <v>7161</v>
      </c>
      <c r="B376" s="256" t="s">
        <v>7186</v>
      </c>
      <c r="C376" s="239" t="str">
        <f t="shared" si="3"/>
        <v>\newcommand\EventFSELightningTalksResultsValidated{F13}</v>
      </c>
      <c r="D376" s="253" t="str">
        <f t="array" ref="D376">XLOOKUP(B376,FSETimelineData!P:P,FSETimelineData!N:N,"Error",0,1)</f>
        <v>F13</v>
      </c>
      <c r="E376" s="254" t="s">
        <v>7187</v>
      </c>
      <c r="F376" s="242" t="str">
        <f t="shared" si="2"/>
        <v/>
      </c>
    </row>
    <row r="377">
      <c r="A377" s="243" t="s">
        <v>7161</v>
      </c>
      <c r="B377" s="257" t="s">
        <v>7188</v>
      </c>
      <c r="C377" s="245" t="str">
        <f t="shared" si="3"/>
        <v>\newcommand\EventFSELightningTalksArtifactsEvaluated{F14}</v>
      </c>
      <c r="D377" s="255" t="str">
        <f t="array" ref="D377">XLOOKUP(B377,FSETimelineData!P:P,FSETimelineData!N:N,"Error",0,1)</f>
        <v>F14</v>
      </c>
      <c r="E377" s="254" t="s">
        <v>7189</v>
      </c>
      <c r="F377" s="247" t="str">
        <f t="shared" si="2"/>
        <v/>
      </c>
    </row>
    <row r="378">
      <c r="A378" s="237" t="s">
        <v>7161</v>
      </c>
      <c r="B378" s="238" t="s">
        <v>7190</v>
      </c>
      <c r="C378" s="239" t="str">
        <f t="shared" si="3"/>
        <v>\newcommand\EventFSENoURLsDoubleAnonymous{F15}</v>
      </c>
      <c r="D378" s="253" t="str">
        <f t="array" ref="D378">XLOOKUP(B378,FSETimelineData!P:P,FSETimelineData!N:N,"Error",0,1)</f>
        <v>F15</v>
      </c>
      <c r="E378" s="254" t="s">
        <v>7191</v>
      </c>
      <c r="F378" s="242" t="str">
        <f t="shared" si="2"/>
        <v/>
      </c>
    </row>
    <row r="379">
      <c r="A379" s="243" t="s">
        <v>7161</v>
      </c>
      <c r="B379" s="257" t="s">
        <v>7192</v>
      </c>
      <c r="C379" s="245" t="str">
        <f t="shared" si="3"/>
        <v>\newcommand\EventFSEOptionalSupplementaryFile{F16}</v>
      </c>
      <c r="D379" s="255" t="str">
        <f t="array" ref="D379">XLOOKUP(B379,FSETimelineData!P:P,FSETimelineData!N:N,"Error",0,1)</f>
        <v>F16</v>
      </c>
      <c r="E379" s="254" t="s">
        <v>7193</v>
      </c>
      <c r="F379" s="247" t="str">
        <f t="shared" si="2"/>
        <v/>
      </c>
    </row>
    <row r="380">
      <c r="A380" s="237" t="s">
        <v>7161</v>
      </c>
      <c r="B380" s="238" t="s">
        <v>7194</v>
      </c>
      <c r="C380" s="239" t="str">
        <f t="shared" si="3"/>
        <v>\newcommand\EventFSEAnonymousArtifactLink{F17}</v>
      </c>
      <c r="D380" s="253" t="str">
        <f t="array" ref="D380">XLOOKUP(B380,FSETimelineData!P:P,FSETimelineData!N:N,"Error",0,1)</f>
        <v>F17</v>
      </c>
      <c r="E380" s="254" t="s">
        <v>7195</v>
      </c>
      <c r="F380" s="242" t="str">
        <f t="shared" si="2"/>
        <v/>
      </c>
    </row>
    <row r="381">
      <c r="A381" s="243" t="s">
        <v>7161</v>
      </c>
      <c r="B381" s="257" t="s">
        <v>7196</v>
      </c>
      <c r="C381" s="245" t="str">
        <f t="shared" si="3"/>
        <v>\newcommand\EventFSEDataAvailabilityRequest{F18}</v>
      </c>
      <c r="D381" s="255" t="str">
        <f t="array" ref="D381">XLOOKUP(B381,FSETimelineData!P:P,FSETimelineData!N:N,"Error",0,1)</f>
        <v>F18</v>
      </c>
      <c r="E381" s="254" t="s">
        <v>7197</v>
      </c>
      <c r="F381" s="247" t="str">
        <f t="shared" si="2"/>
        <v/>
      </c>
    </row>
    <row r="382">
      <c r="A382" s="237" t="s">
        <v>7161</v>
      </c>
      <c r="B382" s="256" t="s">
        <v>7198</v>
      </c>
      <c r="C382" s="239" t="str">
        <f t="shared" si="3"/>
        <v>\newcommand\EventFSEDeclareArtifactAvailability{F19}</v>
      </c>
      <c r="D382" s="253" t="str">
        <f t="array" ref="D382">XLOOKUP(B382,FSETimelineData!P:P,FSETimelineData!N:N,"Error",0,1)</f>
        <v>F19</v>
      </c>
      <c r="E382" s="254" t="s">
        <v>7199</v>
      </c>
      <c r="F382" s="242" t="str">
        <f t="shared" si="2"/>
        <v/>
      </c>
    </row>
    <row r="383">
      <c r="A383" s="243" t="s">
        <v>7161</v>
      </c>
      <c r="B383" s="257" t="s">
        <v>7200</v>
      </c>
      <c r="C383" s="245" t="str">
        <f t="shared" si="3"/>
        <v>\newcommand\EventFSEOptionalArtifactChecking{F20}</v>
      </c>
      <c r="D383" s="255" t="str">
        <f t="array" ref="D383">XLOOKUP(B383,FSETimelineData!P:P,FSETimelineData!N:N,"Error",0,1)</f>
        <v>F20</v>
      </c>
      <c r="E383" s="254" t="s">
        <v>7201</v>
      </c>
      <c r="F383" s="247" t="str">
        <f t="shared" si="2"/>
        <v/>
      </c>
    </row>
    <row r="384">
      <c r="A384" s="237" t="s">
        <v>7161</v>
      </c>
      <c r="B384" s="256" t="s">
        <v>7202</v>
      </c>
      <c r="C384" s="239" t="str">
        <f t="shared" si="3"/>
        <v>\newcommand\EventFSEOpenScienceWebsite{F21}</v>
      </c>
      <c r="D384" s="253" t="str">
        <f t="array" ref="D384">XLOOKUP(B384,FSETimelineData!P:P,FSETimelineData!N:N,"Error",0,1)</f>
        <v>F21</v>
      </c>
      <c r="E384" s="254" t="s">
        <v>7203</v>
      </c>
      <c r="F384" s="242" t="str">
        <f t="shared" si="2"/>
        <v/>
      </c>
    </row>
    <row r="385">
      <c r="A385" s="243" t="s">
        <v>7161</v>
      </c>
      <c r="B385" s="257" t="s">
        <v>7204</v>
      </c>
      <c r="C385" s="245" t="str">
        <f t="shared" si="3"/>
        <v>\newcommand\EventFSEAdhereSIGSOFTPolicies{F22}</v>
      </c>
      <c r="D385" s="255" t="str">
        <f t="array" ref="D385">XLOOKUP(B385,FSETimelineData!P:P,FSETimelineData!N:N,"Error",0,1)</f>
        <v>F22</v>
      </c>
      <c r="E385" s="254" t="s">
        <v>7205</v>
      </c>
      <c r="F385" s="247" t="str">
        <f t="shared" si="2"/>
        <v/>
      </c>
    </row>
    <row r="386">
      <c r="A386" s="237" t="s">
        <v>7161</v>
      </c>
      <c r="B386" s="256" t="s">
        <v>7206</v>
      </c>
      <c r="C386" s="239" t="str">
        <f t="shared" si="3"/>
        <v>\newcommand\EventFSEGuideDataDisclosure{F23}</v>
      </c>
      <c r="D386" s="253" t="str">
        <f t="array" ref="D386">XLOOKUP(B386,FSETimelineData!P:P,FSETimelineData!N:N,"Error",0,1)</f>
        <v>F23</v>
      </c>
      <c r="E386" s="254" t="s">
        <v>7207</v>
      </c>
      <c r="F386" s="242" t="str">
        <f t="shared" si="2"/>
        <v/>
      </c>
    </row>
    <row r="387">
      <c r="A387" s="243" t="s">
        <v>7161</v>
      </c>
      <c r="B387" s="257" t="s">
        <v>7208</v>
      </c>
      <c r="C387" s="245" t="str">
        <f t="shared" si="3"/>
        <v>\newcommand\EventFSEGuideArchiveGitHub{F24}</v>
      </c>
      <c r="D387" s="255" t="str">
        <f t="array" ref="D387">XLOOKUP(B387,FSETimelineData!P:P,FSETimelineData!N:N,"Error",0,1)</f>
        <v>F24</v>
      </c>
      <c r="E387" s="254" t="s">
        <v>7209</v>
      </c>
      <c r="F387" s="247" t="str">
        <f t="shared" si="2"/>
        <v/>
      </c>
    </row>
    <row r="388">
      <c r="A388" s="237" t="s">
        <v>7161</v>
      </c>
      <c r="B388" s="256" t="s">
        <v>7210</v>
      </c>
      <c r="C388" s="239" t="str">
        <f t="shared" si="3"/>
        <v>\newcommand\EventFSERoseFestival{F25}</v>
      </c>
      <c r="D388" s="253" t="str">
        <f t="array" ref="D388">XLOOKUP(B388,FSETimelineData!P:P,FSETimelineData!N:N,"Error",0,1)</f>
        <v>F25</v>
      </c>
      <c r="E388" s="254" t="s">
        <v>7211</v>
      </c>
      <c r="F388" s="242" t="str">
        <f t="shared" si="2"/>
        <v/>
      </c>
    </row>
    <row r="389">
      <c r="A389" s="243" t="s">
        <v>7161</v>
      </c>
      <c r="B389" s="284" t="s">
        <v>7212</v>
      </c>
      <c r="C389" s="245" t="str">
        <f t="shared" si="3"/>
        <v>\newcommand\EventICSEVerifiabilitySection{I01}</v>
      </c>
      <c r="D389" s="255" t="str">
        <f t="array" ref="D389">XLOOKUP(B389,ICSETimelineData!P:P,ICSETimelineData!N:N,"Error",0,1)</f>
        <v>I01</v>
      </c>
      <c r="E389" s="254" t="s">
        <v>7213</v>
      </c>
      <c r="F389" s="247" t="str">
        <f t="shared" si="2"/>
        <v/>
      </c>
    </row>
    <row r="390">
      <c r="A390" s="237" t="s">
        <v>7161</v>
      </c>
      <c r="B390" s="285" t="s">
        <v>7214</v>
      </c>
      <c r="C390" s="239" t="str">
        <f t="shared" si="3"/>
        <v>\newcommand\EventICSEVerifiabilityCriterionTechnical{I02}</v>
      </c>
      <c r="D390" s="253" t="str">
        <f t="array" ref="D390">XLOOKUP(B390,ICSETimelineData!P:P,ICSETimelineData!N:N,"Error",0,1)</f>
        <v>I02</v>
      </c>
      <c r="E390" s="254" t="s">
        <v>7215</v>
      </c>
      <c r="F390" s="242" t="str">
        <f t="shared" si="2"/>
        <v/>
      </c>
    </row>
    <row r="391">
      <c r="A391" s="243" t="s">
        <v>7161</v>
      </c>
      <c r="B391" s="284" t="s">
        <v>7216</v>
      </c>
      <c r="C391" s="245" t="str">
        <f t="shared" si="3"/>
        <v>\newcommand\EventICSEVerifiabilityCriterionSEET{I03}</v>
      </c>
      <c r="D391" s="255" t="str">
        <f t="array" ref="D391">XLOOKUP(B391,ICSETimelineData!P:P,ICSETimelineData!N:N,"Error",0,1)</f>
        <v>I03</v>
      </c>
      <c r="E391" s="254" t="s">
        <v>7217</v>
      </c>
      <c r="F391" s="247" t="str">
        <f t="shared" si="2"/>
        <v/>
      </c>
    </row>
    <row r="392">
      <c r="A392" s="237" t="s">
        <v>7161</v>
      </c>
      <c r="B392" s="285" t="s">
        <v>7218</v>
      </c>
      <c r="C392" s="239" t="str">
        <f t="shared" si="3"/>
        <v>\newcommand\EventICSEVerifiabilityCriterionNIER{I04}</v>
      </c>
      <c r="D392" s="253" t="str">
        <f t="array" ref="D392">XLOOKUP(B392,ICSETimelineData!P:P,ICSETimelineData!N:N,"Error",0,1)</f>
        <v>I04</v>
      </c>
      <c r="E392" s="254" t="s">
        <v>7219</v>
      </c>
      <c r="F392" s="242" t="str">
        <f t="shared" si="2"/>
        <v/>
      </c>
    </row>
    <row r="393">
      <c r="A393" s="243" t="s">
        <v>7161</v>
      </c>
      <c r="B393" s="284" t="s">
        <v>7220</v>
      </c>
      <c r="C393" s="245" t="str">
        <f t="shared" si="3"/>
        <v>\newcommand\EventICSEAvailabilityCriterionSEET{I05}</v>
      </c>
      <c r="D393" s="255" t="str">
        <f t="array" ref="D393">XLOOKUP(B393,ICSETimelineData!P:P,ICSETimelineData!N:N,"Error",0,1)</f>
        <v>I05</v>
      </c>
      <c r="E393" s="254" t="s">
        <v>7221</v>
      </c>
      <c r="F393" s="247" t="str">
        <f t="shared" si="2"/>
        <v/>
      </c>
    </row>
    <row r="394">
      <c r="A394" s="237" t="s">
        <v>7161</v>
      </c>
      <c r="B394" s="285" t="s">
        <v>7222</v>
      </c>
      <c r="C394" s="239" t="str">
        <f t="shared" si="3"/>
        <v>\newcommand\EventICSEArtifactCommitteeSEIS{I06}</v>
      </c>
      <c r="D394" s="253" t="str">
        <f t="array" ref="D394">XLOOKUP(B394,ICSETimelineData!P:P,ICSETimelineData!N:N,"Error",0,1)</f>
        <v>I06</v>
      </c>
      <c r="E394" s="254" t="s">
        <v>7223</v>
      </c>
      <c r="F394" s="242" t="str">
        <f t="shared" si="2"/>
        <v/>
      </c>
    </row>
    <row r="395">
      <c r="A395" s="243" t="s">
        <v>7161</v>
      </c>
      <c r="B395" s="284" t="s">
        <v>7224</v>
      </c>
      <c r="C395" s="245" t="str">
        <f t="shared" si="3"/>
        <v>\newcommand\EventICSEInviteTechnicalArtifacts{I07}</v>
      </c>
      <c r="D395" s="255" t="str">
        <f t="array" ref="D395">XLOOKUP(B395,ICSETimelineData!P:P,ICSETimelineData!N:N,"Error",0,1)</f>
        <v>I07</v>
      </c>
      <c r="E395" s="254" t="s">
        <v>7225</v>
      </c>
      <c r="F395" s="247" t="str">
        <f t="shared" si="2"/>
        <v/>
      </c>
    </row>
    <row r="396">
      <c r="A396" s="237" t="s">
        <v>7161</v>
      </c>
      <c r="B396" s="285" t="s">
        <v>7226</v>
      </c>
      <c r="C396" s="239" t="str">
        <f t="shared" si="3"/>
        <v>\newcommand\EventICSEUseACMBadges{I08}</v>
      </c>
      <c r="D396" s="253" t="str">
        <f t="array" ref="D396">XLOOKUP(B396,ICSETimelineData!P:P,ICSETimelineData!N:N,"Error",0,1)</f>
        <v>I08</v>
      </c>
      <c r="E396" s="254" t="s">
        <v>7227</v>
      </c>
      <c r="F396" s="242" t="str">
        <f t="shared" si="2"/>
        <v/>
      </c>
    </row>
    <row r="397">
      <c r="A397" s="243" t="s">
        <v>7161</v>
      </c>
      <c r="B397" s="284" t="s">
        <v>7228</v>
      </c>
      <c r="C397" s="245" t="str">
        <f t="shared" si="3"/>
        <v>\newcommand\EventICSEBadgeOnFrontPage{I09}</v>
      </c>
      <c r="D397" s="255" t="str">
        <f t="array" ref="D397">XLOOKUP(B397,ICSETimelineData!P:P,ICSETimelineData!N:N,"Error",0,1)</f>
        <v>I09</v>
      </c>
      <c r="E397" s="254" t="s">
        <v>7229</v>
      </c>
      <c r="F397" s="247" t="str">
        <f t="shared" si="2"/>
        <v/>
      </c>
    </row>
    <row r="398">
      <c r="A398" s="237" t="s">
        <v>7161</v>
      </c>
      <c r="B398" s="248" t="s">
        <v>7230</v>
      </c>
      <c r="C398" s="239" t="str">
        <f t="shared" si="3"/>
        <v>\newcommand\EventICSEBestArtifact{I10}</v>
      </c>
      <c r="D398" s="253" t="str">
        <f t="array" ref="D398">XLOOKUP(B398,ICSETimelineData!P:P,ICSETimelineData!N:N,"Error",0,1)</f>
        <v>I10</v>
      </c>
      <c r="E398" s="286" t="s">
        <v>7231</v>
      </c>
      <c r="F398" s="242" t="str">
        <f t="shared" si="2"/>
        <v/>
      </c>
    </row>
    <row r="399">
      <c r="A399" s="243" t="s">
        <v>7161</v>
      </c>
      <c r="B399" s="284" t="s">
        <v>7232</v>
      </c>
      <c r="C399" s="245" t="str">
        <f t="shared" si="3"/>
        <v>\newcommand\EventICSEInviteOtherTracksArtifacts{I11}</v>
      </c>
      <c r="D399" s="255" t="str">
        <f t="array" ref="D399">XLOOKUP(B399,ICSETimelineData!P:P,ICSETimelineData!N:N,"Error",0,1)</f>
        <v>I11</v>
      </c>
      <c r="E399" s="254" t="s">
        <v>7233</v>
      </c>
      <c r="F399" s="247" t="str">
        <f t="shared" si="2"/>
        <v/>
      </c>
    </row>
    <row r="400">
      <c r="A400" s="237" t="s">
        <v>7161</v>
      </c>
      <c r="B400" s="285" t="s">
        <v>7234</v>
      </c>
      <c r="C400" s="239" t="str">
        <f t="shared" si="3"/>
        <v>\newcommand\EventICSEInvitePriorSEArtifacts{I12}</v>
      </c>
      <c r="D400" s="253" t="str">
        <f t="array" ref="D400">XLOOKUP(B400,ICSETimelineData!P:P,ICSETimelineData!N:N,"Error",0,1)</f>
        <v>I12</v>
      </c>
      <c r="E400" s="254" t="s">
        <v>7235</v>
      </c>
      <c r="F400" s="242" t="str">
        <f t="shared" si="2"/>
        <v/>
      </c>
    </row>
    <row r="401">
      <c r="A401" s="243" t="s">
        <v>7161</v>
      </c>
      <c r="B401" s="284" t="s">
        <v>7236</v>
      </c>
      <c r="C401" s="245" t="str">
        <f t="shared" si="3"/>
        <v>\newcommand\EventICSELightningTalksResultsValidated{I13}</v>
      </c>
      <c r="D401" s="255" t="str">
        <f t="array" ref="D401">XLOOKUP(B401,ICSETimelineData!P:P,ICSETimelineData!N:N,"Error",0,1)</f>
        <v>I13</v>
      </c>
      <c r="E401" s="254" t="s">
        <v>7237</v>
      </c>
      <c r="F401" s="247" t="str">
        <f t="shared" si="2"/>
        <v/>
      </c>
    </row>
    <row r="402">
      <c r="A402" s="237" t="s">
        <v>7161</v>
      </c>
      <c r="B402" s="285" t="s">
        <v>7238</v>
      </c>
      <c r="C402" s="239" t="str">
        <f t="shared" si="3"/>
        <v>\newcommand\EventICSEArtifactAbstractsProceedings{I14}</v>
      </c>
      <c r="D402" s="253" t="str">
        <f t="array" ref="D402">XLOOKUP(B402,ICSETimelineData!P:P,ICSETimelineData!N:N,"Error",0,1)</f>
        <v>I14</v>
      </c>
      <c r="E402" s="254" t="s">
        <v>7239</v>
      </c>
      <c r="F402" s="242" t="str">
        <f t="shared" si="2"/>
        <v/>
      </c>
    </row>
    <row r="403">
      <c r="A403" s="243" t="s">
        <v>7161</v>
      </c>
      <c r="B403" s="249" t="s">
        <v>7240</v>
      </c>
      <c r="C403" s="245" t="str">
        <f t="shared" si="3"/>
        <v>\newcommand\EventICSENoURLsDoubleAnonymous{I15}</v>
      </c>
      <c r="D403" s="255" t="str">
        <f t="array" ref="D403">XLOOKUP(B403,ICSETimelineData!P:P,ICSETimelineData!N:N,"Error",0,1)</f>
        <v>I15</v>
      </c>
      <c r="E403" s="254" t="s">
        <v>7241</v>
      </c>
      <c r="F403" s="247" t="str">
        <f t="shared" si="2"/>
        <v/>
      </c>
    </row>
    <row r="404">
      <c r="A404" s="237" t="s">
        <v>7161</v>
      </c>
      <c r="B404" s="285" t="s">
        <v>7242</v>
      </c>
      <c r="C404" s="239" t="str">
        <f t="shared" si="3"/>
        <v>\newcommand\EventICSEOptionalSupplementaryFile{I16}</v>
      </c>
      <c r="D404" s="253" t="str">
        <f t="array" ref="D404">XLOOKUP(B404,ICSETimelineData!P:P,ICSETimelineData!N:N,"Error",0,1)</f>
        <v>I16</v>
      </c>
      <c r="E404" s="254" t="s">
        <v>7243</v>
      </c>
      <c r="F404" s="242" t="str">
        <f t="shared" si="2"/>
        <v/>
      </c>
    </row>
    <row r="405">
      <c r="A405" s="243" t="s">
        <v>7161</v>
      </c>
      <c r="B405" s="249" t="s">
        <v>7244</v>
      </c>
      <c r="C405" s="245" t="str">
        <f t="shared" si="3"/>
        <v>\newcommand\EventICSEAnonymousArtifactLink{I17}</v>
      </c>
      <c r="D405" s="255" t="str">
        <f t="array" ref="D405">XLOOKUP(B405,ICSETimelineData!P:P,ICSETimelineData!N:N,"Error",0,1)</f>
        <v>I17</v>
      </c>
      <c r="E405" s="254" t="s">
        <v>7245</v>
      </c>
      <c r="F405" s="247" t="str">
        <f t="shared" si="2"/>
        <v/>
      </c>
    </row>
    <row r="406">
      <c r="A406" s="237" t="s">
        <v>7161</v>
      </c>
      <c r="B406" s="285" t="s">
        <v>7246</v>
      </c>
      <c r="C406" s="239" t="str">
        <f t="shared" si="3"/>
        <v>\newcommand\EventICSEDataAvailabilityRequest{I18}</v>
      </c>
      <c r="D406" s="253" t="str">
        <f t="array" ref="D406">XLOOKUP(B406,ICSETimelineData!P:P,ICSETimelineData!N:N,"Error",0,1)</f>
        <v>I18</v>
      </c>
      <c r="E406" s="254" t="s">
        <v>7247</v>
      </c>
      <c r="F406" s="242" t="str">
        <f t="shared" si="2"/>
        <v/>
      </c>
    </row>
    <row r="407">
      <c r="A407" s="243" t="s">
        <v>7161</v>
      </c>
      <c r="B407" s="284" t="s">
        <v>7248</v>
      </c>
      <c r="C407" s="245" t="str">
        <f t="shared" si="3"/>
        <v>\newcommand\EventICSEDeclareArtifactAvailability{I19}</v>
      </c>
      <c r="D407" s="255" t="str">
        <f t="array" ref="D407">XLOOKUP(B407,ICSETimelineData!P:P,ICSETimelineData!N:N,"Error",0,1)</f>
        <v>I19</v>
      </c>
      <c r="E407" s="254" t="s">
        <v>7249</v>
      </c>
      <c r="F407" s="247" t="str">
        <f t="shared" si="2"/>
        <v/>
      </c>
    </row>
    <row r="408">
      <c r="A408" s="237" t="s">
        <v>7161</v>
      </c>
      <c r="B408" s="285" t="s">
        <v>7250</v>
      </c>
      <c r="C408" s="239" t="str">
        <f t="shared" si="3"/>
        <v>\newcommand\EventICSEOptionalArtifactChecking{I20}</v>
      </c>
      <c r="D408" s="253" t="str">
        <f t="array" ref="D408">XLOOKUP(B408,ICSETimelineData!P:P,ICSETimelineData!N:N,"Error",0,1)</f>
        <v>I20</v>
      </c>
      <c r="E408" s="254" t="s">
        <v>7251</v>
      </c>
      <c r="F408" s="242" t="str">
        <f t="shared" si="2"/>
        <v/>
      </c>
    </row>
    <row r="409">
      <c r="A409" s="243" t="s">
        <v>7161</v>
      </c>
      <c r="B409" s="284" t="s">
        <v>7252</v>
      </c>
      <c r="C409" s="245" t="str">
        <f t="shared" si="3"/>
        <v>\newcommand\EventICSELightweightArtifactCheck{I21}</v>
      </c>
      <c r="D409" s="255" t="str">
        <f t="array" ref="D409">XLOOKUP(B409,ICSETimelineData!P:P,ICSETimelineData!N:N,"Error",0,1)</f>
        <v>I21</v>
      </c>
      <c r="E409" s="254" t="s">
        <v>7253</v>
      </c>
      <c r="F409" s="247" t="str">
        <f t="shared" si="2"/>
        <v/>
      </c>
    </row>
    <row r="410">
      <c r="A410" s="237" t="s">
        <v>7161</v>
      </c>
      <c r="B410" s="285" t="s">
        <v>7254</v>
      </c>
      <c r="C410" s="239" t="str">
        <f t="shared" si="3"/>
        <v>\newcommand\EventICSEOpenScienceWebsite{I22}</v>
      </c>
      <c r="D410" s="253" t="str">
        <f t="array" ref="D410">XLOOKUP(B410,ICSETimelineData!P:P,ICSETimelineData!N:N,"Error",0,1)</f>
        <v>I22</v>
      </c>
      <c r="E410" s="254" t="s">
        <v>7255</v>
      </c>
      <c r="F410" s="242" t="str">
        <f t="shared" si="2"/>
        <v/>
      </c>
    </row>
    <row r="411">
      <c r="A411" s="243" t="s">
        <v>7161</v>
      </c>
      <c r="B411" s="284" t="s">
        <v>7256</v>
      </c>
      <c r="C411" s="245" t="str">
        <f t="shared" si="3"/>
        <v>\newcommand\EventICSEAdhereSIGSOFTPolicies{I23}</v>
      </c>
      <c r="D411" s="255" t="str">
        <f t="array" ref="D411">XLOOKUP(B411,ICSETimelineData!P:P,ICSETimelineData!N:N,"Error",0,1)</f>
        <v>I23</v>
      </c>
      <c r="E411" s="254" t="s">
        <v>7257</v>
      </c>
      <c r="F411" s="247" t="str">
        <f t="shared" si="2"/>
        <v/>
      </c>
    </row>
    <row r="412">
      <c r="A412" s="237" t="s">
        <v>7161</v>
      </c>
      <c r="B412" s="285" t="s">
        <v>7258</v>
      </c>
      <c r="C412" s="239" t="str">
        <f t="shared" si="3"/>
        <v>\newcommand\EventICSEGuideDataDisclosure{I24}</v>
      </c>
      <c r="D412" s="253" t="str">
        <f t="array" ref="D412">XLOOKUP(B412,ICSETimelineData!P:P,ICSETimelineData!N:N,"Error",0,1)</f>
        <v>I24</v>
      </c>
      <c r="E412" s="254" t="s">
        <v>7259</v>
      </c>
      <c r="F412" s="242" t="str">
        <f t="shared" si="2"/>
        <v/>
      </c>
    </row>
    <row r="413">
      <c r="A413" s="243" t="s">
        <v>7161</v>
      </c>
      <c r="B413" s="284" t="s">
        <v>7260</v>
      </c>
      <c r="C413" s="245" t="str">
        <f t="shared" si="3"/>
        <v>\newcommand\EventICSEGuideArchiveGitHub{I25}</v>
      </c>
      <c r="D413" s="255" t="str">
        <f t="array" ref="D413">XLOOKUP(B413,ICSETimelineData!P:P,ICSETimelineData!N:N,"Error",0,1)</f>
        <v>I25</v>
      </c>
      <c r="E413" s="254" t="s">
        <v>7261</v>
      </c>
      <c r="F413" s="247" t="str">
        <f t="shared" si="2"/>
        <v/>
      </c>
    </row>
    <row r="414">
      <c r="A414" s="237" t="s">
        <v>7161</v>
      </c>
      <c r="B414" s="285" t="s">
        <v>7262</v>
      </c>
      <c r="C414" s="239" t="str">
        <f t="shared" si="3"/>
        <v>\newcommand\EventICSERoseFestival{I26}</v>
      </c>
      <c r="D414" s="253" t="str">
        <f t="array" ref="D414">XLOOKUP(B414,ICSETimelineData!P:P,ICSETimelineData!N:N,"Error",0,1)</f>
        <v>I26</v>
      </c>
      <c r="E414" s="254" t="s">
        <v>7263</v>
      </c>
      <c r="F414" s="242" t="str">
        <f t="shared" si="2"/>
        <v/>
      </c>
    </row>
    <row r="415">
      <c r="A415" s="243" t="s">
        <v>36</v>
      </c>
      <c r="B415" s="245" t="s">
        <v>7264</v>
      </c>
      <c r="C415" s="245" t="str">
        <f t="shared" ref="C415:C486" si="4">IF(B415="",,"\FPeval"&amp;B415&amp;"{"&amp;D415&amp;"}")</f>
        <v>\FPeval\varEvolutionBadgeArtifactAvailableXIVFSE{0}</v>
      </c>
      <c r="D415" s="255">
        <f>Badges!I4</f>
        <v>0</v>
      </c>
      <c r="E415" s="254">
        <v>0.0</v>
      </c>
      <c r="F415" s="247" t="str">
        <f t="shared" si="2"/>
        <v/>
      </c>
    </row>
    <row r="416">
      <c r="A416" s="237" t="s">
        <v>36</v>
      </c>
      <c r="B416" s="239" t="s">
        <v>7265</v>
      </c>
      <c r="C416" s="239" t="str">
        <f t="shared" si="4"/>
        <v>\FPeval\varEvolutionBadgeArtifactAvailableXIVICSE{0}</v>
      </c>
      <c r="D416" s="253">
        <f>Badges!C4</f>
        <v>0</v>
      </c>
      <c r="E416" s="254">
        <v>0.0</v>
      </c>
      <c r="F416" s="242" t="str">
        <f t="shared" si="2"/>
        <v/>
      </c>
    </row>
    <row r="417">
      <c r="A417" s="243" t="s">
        <v>36</v>
      </c>
      <c r="B417" s="245" t="s">
        <v>7266</v>
      </c>
      <c r="C417" s="245" t="str">
        <f t="shared" si="4"/>
        <v>\FPeval\varEvolutionBadgeArtifactAvailableXVFSE{0}</v>
      </c>
      <c r="D417" s="255">
        <f>Badges!I5</f>
        <v>0</v>
      </c>
      <c r="E417" s="254">
        <v>0.0</v>
      </c>
      <c r="F417" s="247" t="str">
        <f t="shared" si="2"/>
        <v/>
      </c>
    </row>
    <row r="418">
      <c r="A418" s="237" t="s">
        <v>36</v>
      </c>
      <c r="B418" s="239" t="s">
        <v>7267</v>
      </c>
      <c r="C418" s="239" t="str">
        <f t="shared" si="4"/>
        <v>\FPeval\varEvolutionBadgeArtifactAvailableXVICSE{0}</v>
      </c>
      <c r="D418" s="253">
        <f>Badges!C5</f>
        <v>0</v>
      </c>
      <c r="E418" s="254">
        <v>0.0</v>
      </c>
      <c r="F418" s="242" t="str">
        <f t="shared" si="2"/>
        <v/>
      </c>
    </row>
    <row r="419">
      <c r="A419" s="243" t="s">
        <v>36</v>
      </c>
      <c r="B419" s="245" t="s">
        <v>7268</v>
      </c>
      <c r="C419" s="245" t="str">
        <f t="shared" si="4"/>
        <v>\FPeval\varEvolutionBadgeArtifactAvailableXVIFSE{0}</v>
      </c>
      <c r="D419" s="255">
        <f>Badges!I6</f>
        <v>0</v>
      </c>
      <c r="E419" s="254">
        <v>0.0</v>
      </c>
      <c r="F419" s="247" t="str">
        <f t="shared" si="2"/>
        <v/>
      </c>
    </row>
    <row r="420">
      <c r="A420" s="237" t="s">
        <v>36</v>
      </c>
      <c r="B420" s="239" t="s">
        <v>7269</v>
      </c>
      <c r="C420" s="239" t="str">
        <f t="shared" si="4"/>
        <v>\FPeval\varEvolutionBadgeArtifactAvailableXVIICSE{0}</v>
      </c>
      <c r="D420" s="253">
        <f>Badges!C6</f>
        <v>0</v>
      </c>
      <c r="E420" s="254">
        <v>0.0</v>
      </c>
      <c r="F420" s="242" t="str">
        <f t="shared" si="2"/>
        <v/>
      </c>
    </row>
    <row r="421">
      <c r="A421" s="243" t="s">
        <v>7161</v>
      </c>
      <c r="B421" s="249" t="s">
        <v>7270</v>
      </c>
      <c r="C421" s="245" t="str">
        <f t="shared" si="4"/>
        <v>\FPeval\varStatementAccessThroughCredentialsFSE{0}</v>
      </c>
      <c r="D421" s="271">
        <f>Statements!C14</f>
        <v>0</v>
      </c>
      <c r="E421" s="272">
        <v>0.0</v>
      </c>
      <c r="F421" s="247" t="str">
        <f t="shared" si="2"/>
        <v/>
      </c>
    </row>
    <row r="422">
      <c r="A422" s="237" t="s">
        <v>7161</v>
      </c>
      <c r="B422" s="248" t="s">
        <v>7271</v>
      </c>
      <c r="C422" s="239" t="str">
        <f t="shared" si="4"/>
        <v>\FPeval\varStatementLimitedToPhysicalAccessFSE{0}</v>
      </c>
      <c r="D422" s="273">
        <f>Statements!C13</f>
        <v>0</v>
      </c>
      <c r="E422" s="272">
        <v>0.0</v>
      </c>
      <c r="F422" s="242" t="str">
        <f t="shared" si="2"/>
        <v/>
      </c>
    </row>
    <row r="423">
      <c r="A423" s="243" t="s">
        <v>7161</v>
      </c>
      <c r="B423" s="249" t="s">
        <v>7272</v>
      </c>
      <c r="C423" s="245" t="str">
        <f t="shared" si="4"/>
        <v>\FPeval\varStatementTechnicalIssuesFSE{0}</v>
      </c>
      <c r="D423" s="271">
        <f>Statements!C11</f>
        <v>0</v>
      </c>
      <c r="E423" s="272">
        <v>0.0</v>
      </c>
      <c r="F423" s="247" t="str">
        <f t="shared" si="2"/>
        <v/>
      </c>
    </row>
    <row r="424">
      <c r="A424" s="237" t="s">
        <v>7161</v>
      </c>
      <c r="B424" s="248" t="s">
        <v>7273</v>
      </c>
      <c r="C424" s="239" t="str">
        <f t="shared" si="4"/>
        <v>\FPeval\varFSEBadgeReplicated{1}</v>
      </c>
      <c r="D424" s="273">
        <f>Badges!G21</f>
        <v>1</v>
      </c>
      <c r="E424" s="272">
        <v>1.0</v>
      </c>
      <c r="F424" s="242" t="str">
        <f t="shared" si="2"/>
        <v/>
      </c>
    </row>
    <row r="425">
      <c r="A425" s="243" t="s">
        <v>7161</v>
      </c>
      <c r="B425" s="249" t="s">
        <v>7274</v>
      </c>
      <c r="C425" s="245" t="str">
        <f t="shared" si="4"/>
        <v>\FPeval\varFSEBadgeReproduced{1}</v>
      </c>
      <c r="D425" s="271">
        <f>Badges!G22</f>
        <v>1</v>
      </c>
      <c r="E425" s="272">
        <v>1.0</v>
      </c>
      <c r="F425" s="247" t="str">
        <f t="shared" si="2"/>
        <v/>
      </c>
    </row>
    <row r="426">
      <c r="A426" s="237" t="s">
        <v>7161</v>
      </c>
      <c r="B426" s="248" t="s">
        <v>7275</v>
      </c>
      <c r="C426" s="239" t="str">
        <f t="shared" si="4"/>
        <v>\FPeval\varStatementAccessThroughCredentialsICSE{1}</v>
      </c>
      <c r="D426" s="273">
        <f>Statements!B14</f>
        <v>1</v>
      </c>
      <c r="E426" s="272">
        <v>1.0</v>
      </c>
      <c r="F426" s="242" t="str">
        <f t="shared" si="2"/>
        <v/>
      </c>
    </row>
    <row r="427">
      <c r="A427" s="243" t="s">
        <v>7161</v>
      </c>
      <c r="B427" s="249" t="s">
        <v>7276</v>
      </c>
      <c r="C427" s="245" t="str">
        <f t="shared" si="4"/>
        <v>\FPeval\varStatementLimitedToPhysicalAccessICSE{1}</v>
      </c>
      <c r="D427" s="271">
        <f>Statements!B13</f>
        <v>1</v>
      </c>
      <c r="E427" s="272">
        <v>1.0</v>
      </c>
      <c r="F427" s="247" t="str">
        <f t="shared" si="2"/>
        <v/>
      </c>
    </row>
    <row r="428">
      <c r="A428" s="237" t="s">
        <v>7161</v>
      </c>
      <c r="B428" s="248" t="s">
        <v>7277</v>
      </c>
      <c r="C428" s="239" t="str">
        <f t="shared" si="4"/>
        <v>\FPeval\varStatementReasonNotExplainedICSE{2}</v>
      </c>
      <c r="D428" s="273">
        <f>Statements!B16</f>
        <v>2</v>
      </c>
      <c r="E428" s="272">
        <v>2.0</v>
      </c>
      <c r="F428" s="242" t="str">
        <f t="shared" si="2"/>
        <v/>
      </c>
    </row>
    <row r="429">
      <c r="A429" s="243" t="s">
        <v>7161</v>
      </c>
      <c r="B429" s="249" t="s">
        <v>7278</v>
      </c>
      <c r="C429" s="245" t="str">
        <f t="shared" si="4"/>
        <v>\FPeval\varStatementSecurityFSE{2}</v>
      </c>
      <c r="D429" s="271">
        <f>Statements!C10</f>
        <v>2</v>
      </c>
      <c r="E429" s="272">
        <v>2.0</v>
      </c>
      <c r="F429" s="247" t="str">
        <f t="shared" si="2"/>
        <v/>
      </c>
    </row>
    <row r="430">
      <c r="A430" s="237" t="s">
        <v>7161</v>
      </c>
      <c r="B430" s="248" t="s">
        <v>7279</v>
      </c>
      <c r="C430" s="239" t="str">
        <f t="shared" si="4"/>
        <v>\FPeval\varStatementReasonNotExplainedFSE{3}</v>
      </c>
      <c r="D430" s="273">
        <f>Statements!C16</f>
        <v>3</v>
      </c>
      <c r="E430" s="272">
        <v>3.0</v>
      </c>
      <c r="F430" s="242" t="str">
        <f t="shared" si="2"/>
        <v/>
      </c>
    </row>
    <row r="431">
      <c r="A431" s="243" t="s">
        <v>7161</v>
      </c>
      <c r="B431" s="249" t="s">
        <v>7280</v>
      </c>
      <c r="C431" s="245" t="str">
        <f t="shared" si="4"/>
        <v>\FPeval\varStatementSecurityICSE{3}</v>
      </c>
      <c r="D431" s="271">
        <f>Statements!B10</f>
        <v>3</v>
      </c>
      <c r="E431" s="272">
        <v>3.0</v>
      </c>
      <c r="F431" s="247" t="str">
        <f t="shared" si="2"/>
        <v/>
      </c>
    </row>
    <row r="432">
      <c r="A432" s="237" t="s">
        <v>7161</v>
      </c>
      <c r="B432" s="248" t="s">
        <v>7281</v>
      </c>
      <c r="C432" s="239" t="str">
        <f t="shared" si="4"/>
        <v>\FPeval\varStatementTechnicalIssuesICSE{3}</v>
      </c>
      <c r="D432" s="273">
        <f>Statements!B11</f>
        <v>3</v>
      </c>
      <c r="E432" s="272">
        <v>3.0</v>
      </c>
      <c r="F432" s="242" t="str">
        <f t="shared" si="2"/>
        <v/>
      </c>
    </row>
    <row r="433">
      <c r="A433" s="243" t="s">
        <v>7161</v>
      </c>
      <c r="B433" s="249" t="s">
        <v>7282</v>
      </c>
      <c r="C433" s="245" t="str">
        <f t="shared" si="4"/>
        <v>\FPeval\varStatementAccessUponRequestFSE{4}</v>
      </c>
      <c r="D433" s="271">
        <f>Statements!C12</f>
        <v>4</v>
      </c>
      <c r="E433" s="272">
        <v>4.0</v>
      </c>
      <c r="F433" s="247" t="str">
        <f t="shared" si="2"/>
        <v/>
      </c>
    </row>
    <row r="434">
      <c r="A434" s="237" t="s">
        <v>7161</v>
      </c>
      <c r="B434" s="248" t="s">
        <v>7283</v>
      </c>
      <c r="C434" s="239" t="str">
        <f t="shared" si="4"/>
        <v>\FPeval\varStatementAccessUponRequestICSE{9}</v>
      </c>
      <c r="D434" s="273">
        <f>Statements!B12</f>
        <v>9</v>
      </c>
      <c r="E434" s="272">
        <v>9.0</v>
      </c>
      <c r="F434" s="242" t="str">
        <f t="shared" si="2"/>
        <v/>
      </c>
    </row>
    <row r="435">
      <c r="A435" s="243" t="s">
        <v>7161</v>
      </c>
      <c r="B435" s="249" t="s">
        <v>7284</v>
      </c>
      <c r="C435" s="245" t="str">
        <f t="shared" si="4"/>
        <v>\FPeval\varStatementAgreementsAndLegalRightsFSE{11}</v>
      </c>
      <c r="D435" s="271">
        <f>Statements!C9</f>
        <v>11</v>
      </c>
      <c r="E435" s="272">
        <v>11.0</v>
      </c>
      <c r="F435" s="247" t="str">
        <f t="shared" si="2"/>
        <v/>
      </c>
    </row>
    <row r="436">
      <c r="A436" s="237" t="s">
        <v>7161</v>
      </c>
      <c r="B436" s="248" t="s">
        <v>7285</v>
      </c>
      <c r="C436" s="239" t="str">
        <f t="shared" si="4"/>
        <v>\FPeval\varStatementFuturePlansFSE{12}</v>
      </c>
      <c r="D436" s="273">
        <f>Statements!C15</f>
        <v>12</v>
      </c>
      <c r="E436" s="272">
        <v>12.0</v>
      </c>
      <c r="F436" s="242" t="str">
        <f t="shared" si="2"/>
        <v/>
      </c>
    </row>
    <row r="437">
      <c r="A437" s="243" t="s">
        <v>7161</v>
      </c>
      <c r="B437" s="249" t="s">
        <v>7286</v>
      </c>
      <c r="C437" s="245" t="str">
        <f t="shared" si="4"/>
        <v>\FPeval\varStatementConfidentialityAndPrivacyFSE{14}</v>
      </c>
      <c r="D437" s="271">
        <f>Statements!C8</f>
        <v>14</v>
      </c>
      <c r="E437" s="272">
        <v>14.0</v>
      </c>
      <c r="F437" s="247" t="str">
        <f t="shared" si="2"/>
        <v/>
      </c>
    </row>
    <row r="438">
      <c r="A438" s="237" t="s">
        <v>7161</v>
      </c>
      <c r="B438" s="248" t="s">
        <v>7287</v>
      </c>
      <c r="C438" s="239" t="str">
        <f t="shared" si="4"/>
        <v>\FPeval\varStatementFuturePlansICSE{14}</v>
      </c>
      <c r="D438" s="273">
        <f>Statements!B15</f>
        <v>14</v>
      </c>
      <c r="E438" s="272">
        <v>14.0</v>
      </c>
      <c r="F438" s="242" t="str">
        <f t="shared" si="2"/>
        <v/>
      </c>
    </row>
    <row r="439">
      <c r="A439" s="243" t="s">
        <v>7161</v>
      </c>
      <c r="B439" s="249" t="s">
        <v>7288</v>
      </c>
      <c r="C439" s="245" t="str">
        <f t="shared" si="4"/>
        <v>\FPeval\varStatementAgreementsAndLegalRightsICSE{17}</v>
      </c>
      <c r="D439" s="271">
        <f>Statements!B9</f>
        <v>17</v>
      </c>
      <c r="E439" s="272">
        <v>17.0</v>
      </c>
      <c r="F439" s="247" t="str">
        <f t="shared" si="2"/>
        <v/>
      </c>
    </row>
    <row r="440">
      <c r="A440" s="237" t="s">
        <v>7161</v>
      </c>
      <c r="B440" s="248" t="s">
        <v>7289</v>
      </c>
      <c r="C440" s="239" t="str">
        <f t="shared" si="4"/>
        <v>\FPeval\varDataAvailabilitySectionFSEXXIINumber{23}</v>
      </c>
      <c r="D440" s="253">
        <f>SectionLocation!L12</f>
        <v>23</v>
      </c>
      <c r="E440" s="254">
        <v>23.0</v>
      </c>
      <c r="F440" s="242" t="str">
        <f t="shared" si="2"/>
        <v/>
      </c>
    </row>
    <row r="441">
      <c r="A441" s="243" t="s">
        <v>7161</v>
      </c>
      <c r="B441" s="249" t="s">
        <v>7290</v>
      </c>
      <c r="C441" s="245" t="str">
        <f t="shared" si="4"/>
        <v>\FPeval\varLiuFSEPapersLinkSpecificSectionNumber{27}</v>
      </c>
      <c r="D441" s="255">
        <f>SectionLocation!M23</f>
        <v>27</v>
      </c>
      <c r="E441" s="254">
        <v>27.0</v>
      </c>
      <c r="F441" s="247" t="str">
        <f t="shared" si="2"/>
        <v/>
      </c>
    </row>
    <row r="442">
      <c r="A442" s="237" t="s">
        <v>7161</v>
      </c>
      <c r="B442" s="248" t="s">
        <v>7291</v>
      </c>
      <c r="C442" s="239" t="str">
        <f t="shared" si="4"/>
        <v>\FPeval\varDataAvailabilitySectionICSEXXIINumber{30}</v>
      </c>
      <c r="D442" s="253">
        <f>SectionLocation!J12</f>
        <v>30</v>
      </c>
      <c r="E442" s="254">
        <v>30.0</v>
      </c>
      <c r="F442" s="242" t="str">
        <f t="shared" si="2"/>
        <v/>
      </c>
    </row>
    <row r="443">
      <c r="A443" s="243" t="s">
        <v>7161</v>
      </c>
      <c r="B443" s="249" t="s">
        <v>7292</v>
      </c>
      <c r="C443" s="245" t="str">
        <f t="shared" si="4"/>
        <v>\FPeval\varStatementConfidentialityAndPrivacyICSE{32}</v>
      </c>
      <c r="D443" s="271">
        <f>Statements!B8</f>
        <v>32</v>
      </c>
      <c r="E443" s="272">
        <v>32.0</v>
      </c>
      <c r="F443" s="247" t="str">
        <f t="shared" si="2"/>
        <v/>
      </c>
    </row>
    <row r="444">
      <c r="A444" s="237" t="s">
        <v>7161</v>
      </c>
      <c r="B444" s="248" t="s">
        <v>7293</v>
      </c>
      <c r="C444" s="239" t="str">
        <f t="shared" si="4"/>
        <v>\FPeval\varArtifactLocationEvolutionShortLinkFSE{34}</v>
      </c>
      <c r="D444" s="253">
        <f>Repositories!AM38</f>
        <v>34</v>
      </c>
      <c r="E444" s="254">
        <v>34.0</v>
      </c>
      <c r="F444" s="242" t="str">
        <f t="shared" si="2"/>
        <v/>
      </c>
    </row>
    <row r="445">
      <c r="A445" s="243" t="s">
        <v>7161</v>
      </c>
      <c r="B445" s="249" t="s">
        <v>7294</v>
      </c>
      <c r="C445" s="245" t="str">
        <f t="shared" si="4"/>
        <v>\FPeval\varJustificationPapersFSE{37}</v>
      </c>
      <c r="D445" s="271">
        <f>Statements!C2</f>
        <v>37</v>
      </c>
      <c r="E445" s="272">
        <v>37.0</v>
      </c>
      <c r="F445" s="247" t="str">
        <f t="shared" si="2"/>
        <v/>
      </c>
    </row>
    <row r="446">
      <c r="A446" s="237" t="s">
        <v>7161</v>
      </c>
      <c r="B446" s="248" t="s">
        <v>7295</v>
      </c>
      <c r="C446" s="239" t="str">
        <f t="shared" si="4"/>
        <v>\FPeval\varArtifactLocationEvolutionShortLinkICSE{46}</v>
      </c>
      <c r="D446" s="253">
        <f>Repositories!AK38</f>
        <v>46</v>
      </c>
      <c r="E446" s="254">
        <v>46.0</v>
      </c>
      <c r="F446" s="242" t="str">
        <f t="shared" si="2"/>
        <v/>
      </c>
    </row>
    <row r="447">
      <c r="A447" s="243" t="s">
        <v>7161</v>
      </c>
      <c r="B447" s="249" t="s">
        <v>7296</v>
      </c>
      <c r="C447" s="245" t="str">
        <f t="shared" si="4"/>
        <v>\FPeval\varLiuICSEPapersLinkSpecificSectionNumber{47}</v>
      </c>
      <c r="D447" s="255">
        <f>SectionLocation!K23</f>
        <v>47</v>
      </c>
      <c r="E447" s="254">
        <v>47.0</v>
      </c>
      <c r="F447" s="247" t="str">
        <f t="shared" si="2"/>
        <v/>
      </c>
    </row>
    <row r="448">
      <c r="A448" s="237" t="s">
        <v>7161</v>
      </c>
      <c r="B448" s="248" t="s">
        <v>7297</v>
      </c>
      <c r="C448" s="239" t="str">
        <f t="shared" si="4"/>
        <v>\FPeval\varJustificationPapersICSE{68}</v>
      </c>
      <c r="D448" s="253">
        <f>Statements!B2</f>
        <v>68</v>
      </c>
      <c r="E448" s="254">
        <v>68.0</v>
      </c>
      <c r="F448" s="242" t="str">
        <f t="shared" si="2"/>
        <v/>
      </c>
    </row>
    <row r="449">
      <c r="A449" s="243" t="s">
        <v>7161</v>
      </c>
      <c r="B449" s="249" t="s">
        <v>7298</v>
      </c>
      <c r="C449" s="245" t="str">
        <f t="shared" si="4"/>
        <v>\FPeval\varArtifactLocationEvolutionShortLinkICSEFSE{80}</v>
      </c>
      <c r="D449" s="255">
        <f>Repositories!AI38</f>
        <v>80</v>
      </c>
      <c r="E449" s="254">
        <v>80.0</v>
      </c>
      <c r="F449" s="247" t="str">
        <f t="shared" si="2"/>
        <v/>
      </c>
    </row>
    <row r="450">
      <c r="A450" s="237" t="s">
        <v>7161</v>
      </c>
      <c r="B450" s="238" t="s">
        <v>7299</v>
      </c>
      <c r="C450" s="239" t="str">
        <f t="shared" si="4"/>
        <v>\FPeval\varTotalOfPapersWithLinksXXIIFSE{91}</v>
      </c>
      <c r="D450" s="263">
        <f>PapersOverview!G11</f>
        <v>91</v>
      </c>
      <c r="E450" s="270">
        <v>91.0</v>
      </c>
      <c r="F450" s="242" t="str">
        <f t="shared" si="2"/>
        <v/>
      </c>
    </row>
    <row r="451">
      <c r="A451" s="243" t="s">
        <v>7161</v>
      </c>
      <c r="B451" s="249" t="s">
        <v>7300</v>
      </c>
      <c r="C451" s="245" t="str">
        <f t="shared" si="4"/>
        <v>\FPeval\varFSEBadgeFunctional{103}</v>
      </c>
      <c r="D451" s="271">
        <f>Badges!G19</f>
        <v>103</v>
      </c>
      <c r="E451" s="272">
        <v>103.0</v>
      </c>
      <c r="F451" s="247" t="str">
        <f t="shared" si="2"/>
        <v/>
      </c>
    </row>
    <row r="452">
      <c r="A452" s="237" t="s">
        <v>7161</v>
      </c>
      <c r="B452" s="238" t="s">
        <v>7301</v>
      </c>
      <c r="C452" s="239" t="str">
        <f t="shared" si="4"/>
        <v>\FPeval\varICSEPapersXXItoXXIIIWithLinkInSpecificSection{105}</v>
      </c>
      <c r="D452" s="274">
        <f>SectionLocation!J16</f>
        <v>105</v>
      </c>
      <c r="E452" s="275">
        <v>105.0</v>
      </c>
      <c r="F452" s="242" t="str">
        <f t="shared" si="2"/>
        <v/>
      </c>
    </row>
    <row r="453">
      <c r="A453" s="243" t="s">
        <v>7161</v>
      </c>
      <c r="B453" s="244" t="s">
        <v>7302</v>
      </c>
      <c r="C453" s="245" t="str">
        <f t="shared" si="4"/>
        <v>\FPeval\varFSEPapersXXItoXXIIIWithLinkInSpecificSection{119}</v>
      </c>
      <c r="D453" s="287">
        <f>SectionLocation!L16</f>
        <v>119</v>
      </c>
      <c r="E453" s="275">
        <v>119.0</v>
      </c>
      <c r="F453" s="247" t="str">
        <f t="shared" si="2"/>
        <v/>
      </c>
    </row>
    <row r="454">
      <c r="A454" s="237" t="s">
        <v>7161</v>
      </c>
      <c r="B454" s="248" t="s">
        <v>7303</v>
      </c>
      <c r="C454" s="239" t="str">
        <f t="shared" si="4"/>
        <v>\FPeval\varFSEBadgeReusable{126}</v>
      </c>
      <c r="D454" s="273">
        <f>Badges!G20</f>
        <v>126</v>
      </c>
      <c r="E454" s="272">
        <v>126.0</v>
      </c>
      <c r="F454" s="242" t="str">
        <f t="shared" si="2"/>
        <v/>
      </c>
    </row>
    <row r="455">
      <c r="A455" s="243" t="s">
        <v>7161</v>
      </c>
      <c r="B455" s="249" t="s">
        <v>7304</v>
      </c>
      <c r="C455" s="288" t="str">
        <f t="shared" si="4"/>
        <v>\FPeval\varArtifactLocationZenodoFSE{162}</v>
      </c>
      <c r="D455" s="255">
        <f>Repositories!AM5</f>
        <v>162</v>
      </c>
      <c r="E455" s="270">
        <v>162.0</v>
      </c>
      <c r="F455" s="247" t="str">
        <f t="shared" si="2"/>
        <v/>
      </c>
    </row>
    <row r="456">
      <c r="A456" s="237" t="s">
        <v>7161</v>
      </c>
      <c r="B456" s="248" t="s">
        <v>7305</v>
      </c>
      <c r="C456" s="239" t="str">
        <f t="shared" si="4"/>
        <v>\FPeval\varArtifactLocationZenodoICSE{166}</v>
      </c>
      <c r="D456" s="253">
        <f>Repositories!AK5</f>
        <v>166</v>
      </c>
      <c r="E456" s="254">
        <v>166.0</v>
      </c>
      <c r="F456" s="242" t="str">
        <f t="shared" si="2"/>
        <v/>
      </c>
    </row>
    <row r="457">
      <c r="A457" s="243" t="s">
        <v>7161</v>
      </c>
      <c r="B457" s="244" t="s">
        <v>7306</v>
      </c>
      <c r="C457" s="245" t="str">
        <f t="shared" si="4"/>
        <v>\FPeval\varTotalOfPapersWithLinksXXIIICSE{176}</v>
      </c>
      <c r="D457" s="264">
        <f>PapersOverview!F11</f>
        <v>176</v>
      </c>
      <c r="E457" s="270">
        <v>176.0</v>
      </c>
      <c r="F457" s="247" t="str">
        <f t="shared" si="2"/>
        <v/>
      </c>
    </row>
    <row r="458">
      <c r="A458" s="237" t="s">
        <v>7161</v>
      </c>
      <c r="B458" s="248" t="s">
        <v>7307</v>
      </c>
      <c r="C458" s="239" t="str">
        <f t="shared" si="4"/>
        <v>\FPeval\varArtifactLocationUniqueIdentifierFSE{213}</v>
      </c>
      <c r="D458" s="253">
        <f>Repositories!AM37</f>
        <v>213</v>
      </c>
      <c r="E458" s="254">
        <v>213.0</v>
      </c>
      <c r="F458" s="242" t="str">
        <f t="shared" si="2"/>
        <v/>
      </c>
    </row>
    <row r="459">
      <c r="A459" s="243" t="s">
        <v>7161</v>
      </c>
      <c r="B459" s="249" t="s">
        <v>7308</v>
      </c>
      <c r="C459" s="245" t="str">
        <f t="shared" si="4"/>
        <v>\FPeval\varArtifactLocationArchivalPlatFSE{218}</v>
      </c>
      <c r="D459" s="283">
        <f>Repositories!AM4</f>
        <v>218</v>
      </c>
      <c r="E459" s="281">
        <v>218.0</v>
      </c>
      <c r="F459" s="247" t="str">
        <f t="shared" si="2"/>
        <v/>
      </c>
    </row>
    <row r="460">
      <c r="A460" s="237" t="s">
        <v>7161</v>
      </c>
      <c r="B460" s="248" t="s">
        <v>7309</v>
      </c>
      <c r="C460" s="239" t="str">
        <f t="shared" si="4"/>
        <v>\FPeval\varFSEBadgeAvailable{240}</v>
      </c>
      <c r="D460" s="273">
        <f>Badges!G18</f>
        <v>240</v>
      </c>
      <c r="E460" s="272">
        <v>240.0</v>
      </c>
      <c r="F460" s="242" t="str">
        <f t="shared" si="2"/>
        <v/>
      </c>
    </row>
    <row r="461">
      <c r="A461" s="243" t="s">
        <v>7161</v>
      </c>
      <c r="B461" s="249" t="s">
        <v>7310</v>
      </c>
      <c r="C461" s="245" t="str">
        <f t="shared" si="4"/>
        <v>\FPeval\varArtifactLocationUniqueIdentifierICSE{248}</v>
      </c>
      <c r="D461" s="255">
        <f>Repositories!AK37</f>
        <v>248</v>
      </c>
      <c r="E461" s="254">
        <v>248.0</v>
      </c>
      <c r="F461" s="247" t="str">
        <f t="shared" si="2"/>
        <v/>
      </c>
    </row>
    <row r="462">
      <c r="A462" s="237" t="s">
        <v>7161</v>
      </c>
      <c r="B462" s="248" t="s">
        <v>7311</v>
      </c>
      <c r="C462" s="239" t="str">
        <f t="shared" si="4"/>
        <v>\FPeval\varArtifactLocationArchivalPlatICSE{250}</v>
      </c>
      <c r="D462" s="280">
        <f>Repositories!AK4</f>
        <v>250</v>
      </c>
      <c r="E462" s="281">
        <v>250.0</v>
      </c>
      <c r="F462" s="242" t="str">
        <f t="shared" si="2"/>
        <v/>
      </c>
    </row>
    <row r="463">
      <c r="A463" s="243" t="s">
        <v>7161</v>
      </c>
      <c r="B463" s="244" t="s">
        <v>7312</v>
      </c>
      <c r="C463" s="245" t="str">
        <f t="shared" si="4"/>
        <v>\FPeval\varPapersHaveMoreThanOneLinkICSEFSE{314}</v>
      </c>
      <c r="D463" s="255">
        <f>ArtifactsAvailability!D57</f>
        <v>314</v>
      </c>
      <c r="E463" s="254">
        <v>314.0</v>
      </c>
      <c r="F463" s="247" t="str">
        <f t="shared" si="2"/>
        <v/>
      </c>
    </row>
    <row r="464">
      <c r="A464" s="237" t="s">
        <v>7161</v>
      </c>
      <c r="B464" s="248" t="s">
        <v>7313</v>
      </c>
      <c r="C464" s="239" t="str">
        <f t="shared" si="4"/>
        <v>\FPeval\varLiuFSETotalPapersLinkSpecificSection{342}</v>
      </c>
      <c r="D464" s="263">
        <f>SectionLocation!M24</f>
        <v>342</v>
      </c>
      <c r="E464" s="270">
        <v>342.0</v>
      </c>
      <c r="F464" s="242" t="str">
        <f t="shared" si="2"/>
        <v/>
      </c>
    </row>
    <row r="465">
      <c r="A465" s="243" t="s">
        <v>7161</v>
      </c>
      <c r="B465" s="244" t="s">
        <v>7314</v>
      </c>
      <c r="C465" s="245" t="str">
        <f t="shared" si="4"/>
        <v>\FPeval\varTotalFSEPapersXIXtoXXIIIOnlyWithLink{363}</v>
      </c>
      <c r="D465" s="289">
        <f>SectionLocation!L20</f>
        <v>363</v>
      </c>
      <c r="E465" s="268">
        <v>363.0</v>
      </c>
      <c r="F465" s="247" t="str">
        <f t="shared" si="2"/>
        <v/>
      </c>
    </row>
    <row r="466">
      <c r="A466" s="237" t="s">
        <v>7161</v>
      </c>
      <c r="B466" s="238" t="s">
        <v>7315</v>
      </c>
      <c r="C466" s="239" t="str">
        <f t="shared" si="4"/>
        <v>\FPeval\varLinkNoStatementYesAndNoWhateverICSEFSE{380}</v>
      </c>
      <c r="D466" s="274">
        <f>Statements!D25</f>
        <v>380</v>
      </c>
      <c r="E466" s="275">
        <v>380.0</v>
      </c>
      <c r="F466" s="242" t="str">
        <f t="shared" si="2"/>
        <v/>
      </c>
    </row>
    <row r="467">
      <c r="A467" s="243" t="s">
        <v>7161</v>
      </c>
      <c r="B467" s="244" t="s">
        <v>7316</v>
      </c>
      <c r="C467" s="245" t="str">
        <f t="shared" si="4"/>
        <v>\FPeval\varTotalFSEPapersXIXtoXXIII{399}</v>
      </c>
      <c r="D467" s="289">
        <f>SectionLocation!L21</f>
        <v>399</v>
      </c>
      <c r="E467" s="268">
        <v>399.0</v>
      </c>
      <c r="F467" s="247" t="str">
        <f t="shared" si="2"/>
        <v/>
      </c>
    </row>
    <row r="468">
      <c r="A468" s="237" t="s">
        <v>7161</v>
      </c>
      <c r="B468" s="248" t="s">
        <v>7317</v>
      </c>
      <c r="C468" s="239" t="str">
        <f t="shared" si="4"/>
        <v>\FPeval\varTotalLinksArtifactLocationGitHubFSE{419}</v>
      </c>
      <c r="D468" s="253">
        <f>Repositories!J5</f>
        <v>419</v>
      </c>
      <c r="E468" s="254">
        <v>419.0</v>
      </c>
      <c r="F468" s="242" t="str">
        <f t="shared" si="2"/>
        <v/>
      </c>
    </row>
    <row r="469">
      <c r="A469" s="243" t="s">
        <v>7161</v>
      </c>
      <c r="B469" s="244" t="s">
        <v>7318</v>
      </c>
      <c r="C469" s="245" t="str">
        <f t="shared" si="4"/>
        <v>\FPeval\varTotalOfGithubLinksFSE{419}</v>
      </c>
      <c r="D469" s="255">
        <f>Repositories!AM14</f>
        <v>419</v>
      </c>
      <c r="E469" s="254">
        <v>419.0</v>
      </c>
      <c r="F469" s="247" t="str">
        <f t="shared" si="2"/>
        <v/>
      </c>
    </row>
    <row r="470">
      <c r="A470" s="237" t="s">
        <v>7161</v>
      </c>
      <c r="B470" s="248" t="s">
        <v>7319</v>
      </c>
      <c r="C470" s="239" t="str">
        <f t="shared" si="4"/>
        <v>\FPeval\varCodePlatFSE{441}</v>
      </c>
      <c r="D470" s="280">
        <f>Repositories!AM13</f>
        <v>441</v>
      </c>
      <c r="E470" s="281">
        <v>441.0</v>
      </c>
      <c r="F470" s="242" t="str">
        <f t="shared" si="2"/>
        <v/>
      </c>
    </row>
    <row r="471">
      <c r="A471" s="243" t="s">
        <v>7161</v>
      </c>
      <c r="B471" s="249" t="s">
        <v>7320</v>
      </c>
      <c r="C471" s="245" t="str">
        <f t="shared" si="4"/>
        <v>\FPeval\varLiuICSETotalPapersLinkSpecificSection{444}</v>
      </c>
      <c r="D471" s="264">
        <f>SectionLocation!K24</f>
        <v>444</v>
      </c>
      <c r="E471" s="270">
        <v>444.0</v>
      </c>
      <c r="F471" s="247" t="str">
        <f t="shared" si="2"/>
        <v/>
      </c>
    </row>
    <row r="472">
      <c r="A472" s="237" t="s">
        <v>7161</v>
      </c>
      <c r="B472" s="248" t="s">
        <v>7321</v>
      </c>
      <c r="C472" s="239" t="str">
        <f t="shared" si="4"/>
        <v>\FPeval\varArtifactLocationArchivalPlatICSEFSE{468}</v>
      </c>
      <c r="D472" s="280">
        <f>Repositories!AI4</f>
        <v>468</v>
      </c>
      <c r="E472" s="281">
        <v>468.0</v>
      </c>
      <c r="F472" s="242" t="str">
        <f t="shared" si="2"/>
        <v/>
      </c>
    </row>
    <row r="473">
      <c r="A473" s="243" t="s">
        <v>7161</v>
      </c>
      <c r="B473" s="244" t="s">
        <v>7322</v>
      </c>
      <c r="C473" s="245" t="str">
        <f t="shared" si="4"/>
        <v>\FPeval\varTotalICSEPapersXXItoXXIIIOnlyWithLink{496}</v>
      </c>
      <c r="D473" s="289">
        <f>SectionLocation!J20</f>
        <v>496</v>
      </c>
      <c r="E473" s="268">
        <v>496.0</v>
      </c>
      <c r="F473" s="247" t="str">
        <f t="shared" si="2"/>
        <v/>
      </c>
    </row>
    <row r="474">
      <c r="A474" s="237" t="s">
        <v>7161</v>
      </c>
      <c r="B474" s="238" t="s">
        <v>7323</v>
      </c>
      <c r="C474" s="239" t="str">
        <f t="shared" si="4"/>
        <v>\FPeval\varTotalICSEPapersXXItoXXIII{542}</v>
      </c>
      <c r="D474" s="276">
        <f>SectionLocation!J21</f>
        <v>542</v>
      </c>
      <c r="E474" s="268">
        <v>542.0</v>
      </c>
      <c r="F474" s="242" t="str">
        <f t="shared" si="2"/>
        <v/>
      </c>
    </row>
    <row r="475">
      <c r="A475" s="243" t="s">
        <v>7161</v>
      </c>
      <c r="B475" s="249" t="s">
        <v>7324</v>
      </c>
      <c r="C475" s="245" t="str">
        <f t="shared" si="4"/>
        <v>\FPeval\varTotalLinksArtifactLocationGitHubICSE{568}</v>
      </c>
      <c r="D475" s="255">
        <f>Repositories!J4</f>
        <v>568</v>
      </c>
      <c r="E475" s="254">
        <v>568.0</v>
      </c>
      <c r="F475" s="247" t="str">
        <f t="shared" si="2"/>
        <v/>
      </c>
    </row>
    <row r="476">
      <c r="A476" s="237" t="s">
        <v>7161</v>
      </c>
      <c r="B476" s="238" t="s">
        <v>7325</v>
      </c>
      <c r="C476" s="239" t="str">
        <f t="shared" si="4"/>
        <v>\FPeval\varTotalOfGithubLinksICSE{568}</v>
      </c>
      <c r="D476" s="253">
        <f>Repositories!AK14</f>
        <v>568</v>
      </c>
      <c r="E476" s="254">
        <v>568.0</v>
      </c>
      <c r="F476" s="242" t="str">
        <f t="shared" si="2"/>
        <v/>
      </c>
    </row>
    <row r="477">
      <c r="A477" s="243" t="s">
        <v>7161</v>
      </c>
      <c r="B477" s="249" t="s">
        <v>7326</v>
      </c>
      <c r="C477" s="245" t="str">
        <f t="shared" si="4"/>
        <v>\FPeval\varCodePlatICSE{594}</v>
      </c>
      <c r="D477" s="283">
        <f>Repositories!AK13</f>
        <v>594</v>
      </c>
      <c r="E477" s="281">
        <v>594.0</v>
      </c>
      <c r="F477" s="247" t="str">
        <f t="shared" si="2"/>
        <v/>
      </c>
    </row>
    <row r="478">
      <c r="A478" s="237" t="s">
        <v>7161</v>
      </c>
      <c r="B478" s="248" t="s">
        <v>7327</v>
      </c>
      <c r="C478" s="239" t="str">
        <f t="shared" si="4"/>
        <v>\FPeval\varTotalOfPapersYearsWithAEFSE{840}</v>
      </c>
      <c r="D478" s="269">
        <f>PapersOverview!C16</f>
        <v>840</v>
      </c>
      <c r="E478" s="268">
        <v>840.0</v>
      </c>
      <c r="F478" s="242" t="str">
        <f t="shared" si="2"/>
        <v/>
      </c>
    </row>
    <row r="479">
      <c r="A479" s="243" t="s">
        <v>7161</v>
      </c>
      <c r="B479" s="249" t="s">
        <v>7328</v>
      </c>
      <c r="C479" s="245" t="str">
        <f t="shared" si="4"/>
        <v>\FPeval\varTotalOfLinksFSE{944}</v>
      </c>
      <c r="D479" s="264">
        <f>ArtifactsAvailability!C3</f>
        <v>944</v>
      </c>
      <c r="E479" s="270">
        <v>944.0</v>
      </c>
      <c r="F479" s="247" t="str">
        <f t="shared" si="2"/>
        <v/>
      </c>
    </row>
    <row r="480">
      <c r="A480" s="237" t="s">
        <v>7161</v>
      </c>
      <c r="B480" s="238" t="s">
        <v>7329</v>
      </c>
      <c r="C480" s="239" t="str">
        <f t="shared" si="4"/>
        <v>\FPeval\varTotalOfLinksICSE{1227}</v>
      </c>
      <c r="D480" s="263">
        <f>ArtifactsAvailability!B3</f>
        <v>1227</v>
      </c>
      <c r="E480" s="270">
        <v>1227.0</v>
      </c>
      <c r="F480" s="242" t="str">
        <f t="shared" si="2"/>
        <v/>
      </c>
    </row>
    <row r="481">
      <c r="A481" s="243" t="s">
        <v>7161</v>
      </c>
      <c r="B481" s="249" t="s">
        <v>7330</v>
      </c>
      <c r="C481" s="245" t="str">
        <f t="shared" si="4"/>
        <v>\FPeval\varPercBrokenLinksSharedByUniqueIdentifiers{1.3}</v>
      </c>
      <c r="D481" s="255" t="str">
        <f>ArtifactsAvailability!D64</f>
        <v>1.3</v>
      </c>
      <c r="E481" s="254" t="s">
        <v>7331</v>
      </c>
      <c r="F481" s="247" t="str">
        <f t="shared" si="2"/>
        <v/>
      </c>
    </row>
    <row r="482">
      <c r="A482" s="237" t="s">
        <v>7161</v>
      </c>
      <c r="B482" s="248" t="s">
        <v>7332</v>
      </c>
      <c r="C482" s="239" t="str">
        <f t="shared" si="4"/>
        <v>\FPeval\varLiuICSEPapersLinkSpecificSection{10.6}</v>
      </c>
      <c r="D482" s="290" t="str">
        <f>SectionLocation!K22</f>
        <v>10.6</v>
      </c>
      <c r="E482" s="291" t="s">
        <v>7333</v>
      </c>
      <c r="F482" s="242" t="str">
        <f t="shared" si="2"/>
        <v/>
      </c>
    </row>
    <row r="483">
      <c r="A483" s="243" t="s">
        <v>7161</v>
      </c>
      <c r="B483" s="249" t="s">
        <v>7334</v>
      </c>
      <c r="C483" s="245" t="str">
        <f t="shared" si="4"/>
        <v>\FPeval\varDataAvailabilitySectionICSEXXII{17.0}</v>
      </c>
      <c r="D483" s="255" t="str">
        <f>SectionLocation!K12</f>
        <v>17.0</v>
      </c>
      <c r="E483" s="254" t="s">
        <v>6718</v>
      </c>
      <c r="F483" s="247" t="str">
        <f t="shared" si="2"/>
        <v/>
      </c>
    </row>
    <row r="484">
      <c r="A484" s="237" t="s">
        <v>7161</v>
      </c>
      <c r="B484" s="248" t="s">
        <v>7335</v>
      </c>
      <c r="C484" s="239" t="str">
        <f t="shared" si="4"/>
        <v>\FPeval\varPapersDoNotProvideLinksICSEFSE{18.3}</v>
      </c>
      <c r="D484" s="253" t="str">
        <f>TEXT((ArtifactsAvailability!D11/PapersOverview!D14)*100, "#0.0")</f>
        <v>18.3</v>
      </c>
      <c r="E484" s="254" t="s">
        <v>7336</v>
      </c>
      <c r="F484" s="242" t="str">
        <f t="shared" si="2"/>
        <v/>
      </c>
    </row>
    <row r="485">
      <c r="A485" s="243" t="s">
        <v>7161</v>
      </c>
      <c r="B485" s="249" t="s">
        <v>7337</v>
      </c>
      <c r="C485" s="245" t="str">
        <f t="shared" si="4"/>
        <v>\FPeval\varDataAvailabilitySectionFSEXXII{25.3}</v>
      </c>
      <c r="D485" s="255" t="str">
        <f>SectionLocation!M12</f>
        <v>25.3</v>
      </c>
      <c r="E485" s="254" t="s">
        <v>6716</v>
      </c>
      <c r="F485" s="247" t="str">
        <f t="shared" si="2"/>
        <v/>
      </c>
    </row>
    <row r="486">
      <c r="A486" s="237" t="s">
        <v>7161</v>
      </c>
      <c r="B486" s="248" t="s">
        <v>7338</v>
      </c>
      <c r="C486" s="239" t="str">
        <f t="shared" si="4"/>
        <v>\FPeval\varLiuFSEPapersLinkSpecificSection{7.9}</v>
      </c>
      <c r="D486" s="290" t="str">
        <f>SectionLocation!M22</f>
        <v>7.9</v>
      </c>
      <c r="E486" s="291" t="s">
        <v>7339</v>
      </c>
      <c r="F486" s="242" t="str">
        <f t="shared" si="2"/>
        <v/>
      </c>
    </row>
  </sheetData>
  <autoFilter ref="$A$1:$F$486">
    <sortState ref="A1:F486">
      <sortCondition ref="D1:D486"/>
      <sortCondition ref="A1:A486"/>
      <sortCondition ref="B1:B486"/>
      <sortCondition ref="E1:E486"/>
    </sortState>
  </autoFilter>
  <conditionalFormatting sqref="A2:A221 F2:F486 A256:A486 B273">
    <cfRule type="containsText" dxfId="6" priority="1" operator="containsText" text="Error!!">
      <formula>NOT(ISERROR(SEARCH(("Error!!"),(A2))))</formula>
    </cfRule>
  </conditionalFormatting>
  <conditionalFormatting sqref="A2:F486">
    <cfRule type="expression" dxfId="7" priority="2">
      <formula>$F$1&lt;&gt;0</formula>
    </cfRule>
  </conditionalFormatting>
  <dataValidations>
    <dataValidation type="list" allowBlank="1" showErrorMessage="1" sqref="A2:A486">
      <formula1>"T01-collected-papers.tex,T03-artifact-sharing-frequency.tex,T04-different-links-in-papers.tex,T05-artifact-link-location-distribution.tex,T06-artifact-link-statuses.tex,T07-artifact-storage-platforms.tex,T08-non-public-disclosure-statements.tex,T09-links-"&amp;"and-non-disclosure-frequency.tex, T10-artifacts-available-unique-identifier.tex,T11-examples-non-clickable-links.tex,T12-related-work.tex,F05-artifact-sharing-evolution.tex,F06-disclosure-statements-evolution.tex,F07-papers-with-link-data-availability.tex"&amp;",F08-artifact-links-by-unique-identifier.tex,F09-artifact-location-over-years.tex,F10-artifacts-no-longer-available-per-paper.tex,F11-artifact-sharing-and-evaluation-rates.tex,Body,-"</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13"/>
    <col customWidth="1" min="2" max="2" width="36.63"/>
    <col customWidth="1" min="3" max="3" width="53.13"/>
    <col customWidth="1" min="4" max="4" width="51.25"/>
    <col customWidth="1" min="5" max="5" width="46.25"/>
    <col customWidth="1" min="6" max="6" width="42.75"/>
    <col customWidth="1" min="7" max="7" width="45.13"/>
    <col customWidth="1" min="8" max="8" width="39.13"/>
    <col customWidth="1" min="9" max="9" width="38.38"/>
    <col customWidth="1" min="10" max="10" width="38.88"/>
    <col customWidth="1" min="11" max="11" width="40.38"/>
    <col customWidth="1" min="12" max="12" width="50.38"/>
    <col customWidth="1" min="13" max="13" width="36.13"/>
    <col customWidth="1" min="14" max="14" width="47.88"/>
    <col customWidth="1" min="15" max="15" width="36.88"/>
    <col customWidth="1" min="16" max="16" width="63.0"/>
  </cols>
  <sheetData>
    <row r="1">
      <c r="A1" s="292" t="s">
        <v>7340</v>
      </c>
      <c r="B1" s="292" t="s">
        <v>6650</v>
      </c>
      <c r="C1" s="292" t="s">
        <v>6684</v>
      </c>
      <c r="D1" s="292" t="s">
        <v>6722</v>
      </c>
      <c r="E1" s="292" t="s">
        <v>6756</v>
      </c>
      <c r="F1" s="292" t="s">
        <v>6893</v>
      </c>
      <c r="G1" s="292" t="s">
        <v>6930</v>
      </c>
      <c r="H1" s="292" t="s">
        <v>6959</v>
      </c>
      <c r="I1" s="292" t="s">
        <v>7341</v>
      </c>
      <c r="J1" s="292" t="s">
        <v>6999</v>
      </c>
      <c r="K1" s="292" t="s">
        <v>7004</v>
      </c>
      <c r="L1" s="292" t="s">
        <v>7041</v>
      </c>
      <c r="M1" s="292" t="s">
        <v>7054</v>
      </c>
      <c r="N1" s="292" t="s">
        <v>7060</v>
      </c>
      <c r="O1" s="292" t="s">
        <v>7071</v>
      </c>
      <c r="P1" s="292" t="s">
        <v>7084</v>
      </c>
    </row>
    <row r="2">
      <c r="A2" s="293" t="str">
        <f>IFERROR(__xludf.DUMMYFUNCTION("FILTER(LatexVariables!$C:$C, ISNUMBER(SEARCH(A$1, LatexVariables!$A:$A)))"),"\FPeval\varFSEArtifactSharingEvolutionEighteen{83.6}")</f>
        <v>\FPeval\varFSEArtifactSharingEvolutionEighteen{83.6}</v>
      </c>
      <c r="B2" s="293" t="str">
        <f>IFERROR(__xludf.DUMMYFUNCTION("FILTER(LatexVariables!$C:$C, ISNUMBER(SEARCH(B$1, LatexVariables!$A:$A)))"),"\FPeval\varPapersNotShareLinkFSEXIV{3.8}")</f>
        <v>\FPeval\varPapersNotShareLinkFSEXIV{3.8}</v>
      </c>
      <c r="C2" s="293" t="str">
        <f>IFERROR(__xludf.DUMMYFUNCTION("FILTER(LatexVariables!$C:$C, ISNUMBER(SEARCH(C$1, LatexVariables!$A:$A)))"),"\FPeval\varEvolutionOfPapersWithLinkInSpecifSectionXIVFSE{5.7}")</f>
        <v>\FPeval\varEvolutionOfPapersWithLinkInSpecifSectionXIVFSE{5.7}</v>
      </c>
      <c r="D2" s="293" t="str">
        <f>IFERROR(__xludf.DUMMYFUNCTION("FILTER(LatexVariables!$C:$C, ISNUMBER(SEARCH(D$1, LatexVariables!$A:$A)))"),"\FPeval\varArtifactLocationEvolutionUniqueIdentifierXIVFSE{5.7}")</f>
        <v>\FPeval\varArtifactLocationEvolutionUniqueIdentifierXIVFSE{5.7}</v>
      </c>
      <c r="E2" s="293" t="str">
        <f>IFERROR(__xludf.DUMMYFUNCTION("FILTER(LatexVariables!$C:$C, ISNUMBER(SEARCH(E$1, LatexVariables!$A:$A)))"),"\FPeval\FSEXIVInstitutionalPages{65.7}")</f>
        <v>\FPeval\FSEXIVInstitutionalPages{65.7}</v>
      </c>
      <c r="F2" s="293" t="str">
        <f>IFERROR(__xludf.DUMMYFUNCTION("FILTER(LatexVariables!$C:$C, ISNUMBER(SEARCH(F$1, LatexVariables!$A:$A)))"),"\FPeval\varFSENotAvailablePerPaperXIV{45.7}")</f>
        <v>\FPeval\varFSENotAvailablePerPaperXIV{45.7}</v>
      </c>
      <c r="G2" s="293" t="str">
        <f>IFERROR(__xludf.DUMMYFUNCTION("FILTER(LatexVariables!$C:$C, ISNUMBER(SEARCH(G$1, LatexVariables!$A:$A)))"),"\FPeval\varFSEArtifactSharingEvolutionEighteen{83.6}")</f>
        <v>\FPeval\varFSEArtifactSharingEvolutionEighteen{83.6}</v>
      </c>
      <c r="H2" s="293" t="str">
        <f>IFERROR(__xludf.DUMMYFUNCTION("FILTER(LatexVariables!$C:$C, ISNUMBER(SEARCH(H$1, LatexVariables!$A:$A)))"),"\FPeval\varCollectedPapersFSEEighteen{61}")</f>
        <v>\FPeval\varCollectedPapersFSEEighteen{61}</v>
      </c>
      <c r="I2" s="293" t="str">
        <f>IFERROR(__xludf.DUMMYFUNCTION("FILTER(LatexVariables!$C:$C, ISNUMBER(SEARCH(I$1, LatexVariables!$A:$A)))"),"\FPeval\varTotalOfPapersFSE{840}")</f>
        <v>\FPeval\varTotalOfPapersFSE{840}</v>
      </c>
      <c r="J2" s="293" t="str">
        <f>IFERROR(__xludf.DUMMYFUNCTION("FILTER(LatexVariables!$C:$C, ISNUMBER(SEARCH(J$1, LatexVariables!$A:$A)))"),"\FPeval\varTotalOfPapersWithLinkICSE{1001}")</f>
        <v>\FPeval\varTotalOfPapersWithLinkICSE{1001}</v>
      </c>
      <c r="K2" s="293" t="str">
        <f>IFERROR(__xludf.DUMMYFUNCTION("FILTER(LatexVariables!$C:$C, ISNUMBER(SEARCH(K$1, LatexVariables!$A:$A)))"),"\FPeval\varTotalOfPapersWithLinkICSE{1001}")</f>
        <v>\FPeval\varTotalOfPapersWithLinkICSE{1001}</v>
      </c>
      <c r="L2" s="293" t="str">
        <f>IFERROR(__xludf.DUMMYFUNCTION("FILTER(LatexVariables!$C:$C, ISNUMBER(SEARCH(L$1, LatexVariables!$A:$A)))"),"\FPeval\varTotalOfPapersWithLinkICSE{1001}")</f>
        <v>\FPeval\varTotalOfPapersWithLinkICSE{1001}</v>
      </c>
      <c r="M2" s="293" t="str">
        <f>IFERROR(__xludf.DUMMYFUNCTION("FILTER(LatexVariables!$C:$C, ISNUMBER(SEARCH(M$1, LatexVariables!$A:$A)))"),"\FPeval\varTotalOfLinksICSEFSE{2171}")</f>
        <v>\FPeval\varTotalOfLinksICSEFSE{2171}</v>
      </c>
      <c r="N2" s="293" t="str">
        <f>IFERROR(__xludf.DUMMYFUNCTION("FILTER(LatexVariables!$C:$C, ISNUMBER(SEARCH(N$1, LatexVariables!$A:$A)))"),"\FPeval\varJustificationPapersICSEFSE{105}")</f>
        <v>\FPeval\varJustificationPapersICSEFSE{105}</v>
      </c>
      <c r="O2" s="293" t="str">
        <f>IFERROR(__xludf.DUMMYFUNCTION("FILTER(LatexVariables!$C:$C, ISNUMBER(SEARCH(O$1, LatexVariables!$A:$A)))"),"\FPeval\varTotalOfPapersFSE{840}")</f>
        <v>\FPeval\varTotalOfPapersFSE{840}</v>
      </c>
      <c r="P2" s="293" t="str">
        <f>IFERROR(__xludf.DUMMYFUNCTION("FILTER(LatexVariables!$C:$C, ISNUMBER(SEARCH(P$1, LatexVariables!$A:$A)))"),"\FPeval\varEvolutionArtifactsAvailableBadgeANDUniqueIdentifierXIXFSE{47.4}")</f>
        <v>\FPeval\varEvolutionArtifactsAvailableBadgeANDUniqueIdentifierXIXFSE{47.4}</v>
      </c>
    </row>
    <row r="3">
      <c r="A3" s="293" t="str">
        <f>IFERROR(__xludf.DUMMYFUNCTION("""COMPUTED_VALUE"""),"\FPeval\varFSEArtifactSharingEvolutionFifteen{64.9}")</f>
        <v>\FPeval\varFSEArtifactSharingEvolutionFifteen{64.9}</v>
      </c>
      <c r="B3" s="293" t="str">
        <f>IFERROR(__xludf.DUMMYFUNCTION("""COMPUTED_VALUE"""),"\FPeval\varPapersNotShareLinkFSEXIX{8.3}")</f>
        <v>\FPeval\varPapersNotShareLinkFSEXIX{8.3}</v>
      </c>
      <c r="C3" s="293" t="str">
        <f>IFERROR(__xludf.DUMMYFUNCTION("""COMPUTED_VALUE"""),"\FPeval\varEvolutionOfPapersWithLinkInSpecifSectionXIVICSE{1.6}")</f>
        <v>\FPeval\varEvolutionOfPapersWithLinkInSpecifSectionXIVICSE{1.6}</v>
      </c>
      <c r="D3" s="293" t="str">
        <f>IFERROR(__xludf.DUMMYFUNCTION("""COMPUTED_VALUE"""),"\FPeval\varArtifactLocationEvolutionUniqueIdentifierXIVICSE{1.6}")</f>
        <v>\FPeval\varArtifactLocationEvolutionUniqueIdentifierXIVICSE{1.6}</v>
      </c>
      <c r="E3" s="293" t="str">
        <f>IFERROR(__xludf.DUMMYFUNCTION("""COMPUTED_VALUE"""),"\FPeval\FSEXIXInstitutionalPages{4.8}")</f>
        <v>\FPeval\FSEXIXInstitutionalPages{4.8}</v>
      </c>
      <c r="F3" s="293" t="str">
        <f>IFERROR(__xludf.DUMMYFUNCTION("""COMPUTED_VALUE"""),"\FPeval\varFSENotAvailablePerPaperXIX{14.5}")</f>
        <v>\FPeval\varFSENotAvailablePerPaperXIX{14.5}</v>
      </c>
      <c r="G3" s="293" t="str">
        <f>IFERROR(__xludf.DUMMYFUNCTION("""COMPUTED_VALUE"""),"\FPeval\varFSEArtifactSharingEvolutionFifteen{64.9}")</f>
        <v>\FPeval\varFSEArtifactSharingEvolutionFifteen{64.9}</v>
      </c>
      <c r="H3" s="293" t="str">
        <f>IFERROR(__xludf.DUMMYFUNCTION("""COMPUTED_VALUE"""),"\FPeval\varCollectedPapersFSEFifteen{74}")</f>
        <v>\FPeval\varCollectedPapersFSEFifteen{74}</v>
      </c>
      <c r="I3" s="293" t="str">
        <f>IFERROR(__xludf.DUMMYFUNCTION("""COMPUTED_VALUE"""),"\FPeval\varTotalOfPapersICSE{1236}")</f>
        <v>\FPeval\varTotalOfPapersICSE{1236}</v>
      </c>
      <c r="J3" s="293" t="str">
        <f>IFERROR(__xludf.DUMMYFUNCTION("""COMPUTED_VALUE"""),"\FPeval\varTotalOfPapersWithLinkICSEFSE{1696}")</f>
        <v>\FPeval\varTotalOfPapersWithLinkICSEFSE{1696}</v>
      </c>
      <c r="K3" s="293" t="str">
        <f>IFERROR(__xludf.DUMMYFUNCTION("""COMPUTED_VALUE"""),"\FPeval\varTotalOfPapersWithLinkICSEFSE{1696}")</f>
        <v>\FPeval\varTotalOfPapersWithLinkICSEFSE{1696}</v>
      </c>
      <c r="L3" s="293" t="str">
        <f>IFERROR(__xludf.DUMMYFUNCTION("""COMPUTED_VALUE"""),"\FPeval\varTotalOfPapersWithLinkICSEFSE{1696}")</f>
        <v>\FPeval\varTotalOfPapersWithLinkICSEFSE{1696}</v>
      </c>
      <c r="M3" s="293" t="str">
        <f>IFERROR(__xludf.DUMMYFUNCTION("""COMPUTED_VALUE"""),"\FPeval\varArchivalPlatformsICSEFSE{468}")</f>
        <v>\FPeval\varArchivalPlatformsICSEFSE{468}</v>
      </c>
      <c r="N3" s="293" t="str">
        <f>IFERROR(__xludf.DUMMYFUNCTION("""COMPUTED_VALUE"""),"\FPeval\varStatementAccessThroughCredentialsICSEFSE{1}")</f>
        <v>\FPeval\varStatementAccessThroughCredentialsICSEFSE{1}</v>
      </c>
      <c r="O3" s="293" t="str">
        <f>IFERROR(__xludf.DUMMYFUNCTION("""COMPUTED_VALUE"""),"\FPeval\varTotalOfPapersICSE{1236}")</f>
        <v>\FPeval\varTotalOfPapersICSE{1236}</v>
      </c>
      <c r="P3" s="293" t="str">
        <f>IFERROR(__xludf.DUMMYFUNCTION("""COMPUTED_VALUE"""),"\FPeval\varEvolutionArtifactsAvailableBadgeANDUniqueIdentifierXIXICSE{21.6}")</f>
        <v>\FPeval\varEvolutionArtifactsAvailableBadgeANDUniqueIdentifierXIXICSE{21.6}</v>
      </c>
    </row>
    <row r="4">
      <c r="A4" s="293" t="str">
        <f>IFERROR(__xludf.DUMMYFUNCTION("""COMPUTED_VALUE"""),"\FPeval\varFSEArtifactSharingEvolutionFourteen{57.4}")</f>
        <v>\FPeval\varFSEArtifactSharingEvolutionFourteen{57.4}</v>
      </c>
      <c r="B4" s="293" t="str">
        <f>IFERROR(__xludf.DUMMYFUNCTION("""COMPUTED_VALUE"""),"\FPeval\varPapersNotShareLinkFSEXV{3.8}")</f>
        <v>\FPeval\varPapersNotShareLinkFSEXV{3.8}</v>
      </c>
      <c r="C4" s="293" t="str">
        <f>IFERROR(__xludf.DUMMYFUNCTION("""COMPUTED_VALUE"""),"\FPeval\varEvolutionOfPapersWithLinkInSpecifSectionXIXFSE{4.8}")</f>
        <v>\FPeval\varEvolutionOfPapersWithLinkInSpecifSectionXIXFSE{4.8}</v>
      </c>
      <c r="D4" s="293" t="str">
        <f>IFERROR(__xludf.DUMMYFUNCTION("""COMPUTED_VALUE"""),"\FPeval\varArtifactLocationEvolutionUniqueIdentifierXIXFSE{24.2}")</f>
        <v>\FPeval\varArtifactLocationEvolutionUniqueIdentifierXIXFSE{24.2}</v>
      </c>
      <c r="E4" s="293" t="str">
        <f>IFERROR(__xludf.DUMMYFUNCTION("""COMPUTED_VALUE"""),"\FPeval\FSEXVIIIInstitutionalPages{11.8}")</f>
        <v>\FPeval\FSEXVIIIInstitutionalPages{11.8}</v>
      </c>
      <c r="F4" s="293" t="str">
        <f>IFERROR(__xludf.DUMMYFUNCTION("""COMPUTED_VALUE"""),"\FPeval\varFSENotAvailablePerPaperXV{43.8}")</f>
        <v>\FPeval\varFSENotAvailablePerPaperXV{43.8}</v>
      </c>
      <c r="G4" s="293" t="str">
        <f>IFERROR(__xludf.DUMMYFUNCTION("""COMPUTED_VALUE"""),"\FPeval\varFSEArtifactSharingEvolutionFourteen{57.4}")</f>
        <v>\FPeval\varFSEArtifactSharingEvolutionFourteen{57.4}</v>
      </c>
      <c r="H4" s="293" t="str">
        <f>IFERROR(__xludf.DUMMYFUNCTION("""COMPUTED_VALUE"""),"\FPeval\varCollectedPapersFSEFourteen{61}")</f>
        <v>\FPeval\varCollectedPapersFSEFourteen{61}</v>
      </c>
      <c r="I4" s="293" t="str">
        <f>IFERROR(__xludf.DUMMYFUNCTION("""COMPUTED_VALUE"""),"\FPeval\varTotalOfPapersICSEFSE{2076}")</f>
        <v>\FPeval\varTotalOfPapersICSEFSE{2076}</v>
      </c>
      <c r="J4" s="293" t="str">
        <f>IFERROR(__xludf.DUMMYFUNCTION("""COMPUTED_VALUE"""),"\FPeval\varPapersFourLinksAndMoreICSEFSE{29}")</f>
        <v>\FPeval\varPapersFourLinksAndMoreICSEFSE{29}</v>
      </c>
      <c r="K4" s="293" t="str">
        <f>IFERROR(__xludf.DUMMYFUNCTION("""COMPUTED_VALUE"""),"\FPeval\varTotalOfPapersWithLinkFSE{695}")</f>
        <v>\FPeval\varTotalOfPapersWithLinkFSE{695}</v>
      </c>
      <c r="L4" s="293" t="str">
        <f>IFERROR(__xludf.DUMMYFUNCTION("""COMPUTED_VALUE"""),"\FPeval\varNumLinksNotAvailableICSEFSE{292}")</f>
        <v>\FPeval\varNumLinksNotAvailableICSEFSE{292}</v>
      </c>
      <c r="M4" s="293" t="str">
        <f>IFERROR(__xludf.DUMMYFUNCTION("""COMPUTED_VALUE"""),"\FPeval\varCodePlatICSEFSE{1035}")</f>
        <v>\FPeval\varCodePlatICSEFSE{1035}</v>
      </c>
      <c r="N4" s="293" t="str">
        <f>IFERROR(__xludf.DUMMYFUNCTION("""COMPUTED_VALUE"""),"\FPeval\varStatementAccessUponRequestICSEFSE{13}")</f>
        <v>\FPeval\varStatementAccessUponRequestICSEFSE{13}</v>
      </c>
      <c r="O4" s="293" t="str">
        <f>IFERROR(__xludf.DUMMYFUNCTION("""COMPUTED_VALUE"""),"\FPeval\varTotalOfPapersICSEFSE{2076}")</f>
        <v>\FPeval\varTotalOfPapersICSEFSE{2076}</v>
      </c>
      <c r="P4" s="293" t="str">
        <f>IFERROR(__xludf.DUMMYFUNCTION("""COMPUTED_VALUE"""),"\FPeval\varEvolutionArtifactsAvailableBadgeANDUniqueIdentifierXVIIFSE{0.0}")</f>
        <v>\FPeval\varEvolutionArtifactsAvailableBadgeANDUniqueIdentifierXVIIFSE{0.0}</v>
      </c>
    </row>
    <row r="5">
      <c r="A5" s="293" t="str">
        <f>IFERROR(__xludf.DUMMYFUNCTION("""COMPUTED_VALUE"""),"\FPeval\varFSEArtifactSharingEvolutionNineteen{83.8}")</f>
        <v>\FPeval\varFSEArtifactSharingEvolutionNineteen{83.8}</v>
      </c>
      <c r="B5" s="293" t="str">
        <f>IFERROR(__xludf.DUMMYFUNCTION("""COMPUTED_VALUE"""),"\FPeval\varPapersNotShareLinkFSEXVI{0.0}")</f>
        <v>\FPeval\varPapersNotShareLinkFSEXVI{0.0}</v>
      </c>
      <c r="C5" s="293" t="str">
        <f>IFERROR(__xludf.DUMMYFUNCTION("""COMPUTED_VALUE"""),"\FPeval\varEvolutionOfPapersWithLinkInSpecifSectionXIXICSE{5.1}")</f>
        <v>\FPeval\varEvolutionOfPapersWithLinkInSpecifSectionXIXICSE{5.1}</v>
      </c>
      <c r="D5" s="293" t="str">
        <f>IFERROR(__xludf.DUMMYFUNCTION("""COMPUTED_VALUE"""),"\FPeval\varArtifactLocationEvolutionUniqueIdentifierXIXICSE{19.0}")</f>
        <v>\FPeval\varArtifactLocationEvolutionUniqueIdentifierXIXICSE{19.0}</v>
      </c>
      <c r="E5" s="293" t="str">
        <f>IFERROR(__xludf.DUMMYFUNCTION("""COMPUTED_VALUE"""),"\FPeval\FSEXVIIInstitutionalPages{39.6}")</f>
        <v>\FPeval\FSEXVIIInstitutionalPages{39.6}</v>
      </c>
      <c r="F5" s="293" t="str">
        <f>IFERROR(__xludf.DUMMYFUNCTION("""COMPUTED_VALUE"""),"\FPeval\varFSENotAvailablePerPaperXVI{38.9}")</f>
        <v>\FPeval\varFSENotAvailablePerPaperXVI{38.9}</v>
      </c>
      <c r="G5" s="293" t="str">
        <f>IFERROR(__xludf.DUMMYFUNCTION("""COMPUTED_VALUE"""),"\FPeval\varFSEArtifactSharingEvolutionNineteen{83.8}")</f>
        <v>\FPeval\varFSEArtifactSharingEvolutionNineteen{83.8}</v>
      </c>
      <c r="H5" s="293" t="str">
        <f>IFERROR(__xludf.DUMMYFUNCTION("""COMPUTED_VALUE"""),"\FPeval\varCollectedPapersFSENineteen{74}")</f>
        <v>\FPeval\varCollectedPapersFSENineteen{74}</v>
      </c>
      <c r="I5" s="293" t="str">
        <f>IFERROR(__xludf.DUMMYFUNCTION("""COMPUTED_VALUE"""),"\FPeval\varTotalOfPapersWithLinkICSE{1001}")</f>
        <v>\FPeval\varTotalOfPapersWithLinkICSE{1001}</v>
      </c>
      <c r="J5" s="293" t="str">
        <f>IFERROR(__xludf.DUMMYFUNCTION("""COMPUTED_VALUE"""),"\FPeval\varPapersOneLinkICSEFSE{1382}")</f>
        <v>\FPeval\varPapersOneLinkICSEFSE{1382}</v>
      </c>
      <c r="K5" s="293" t="str">
        <f>IFERROR(__xludf.DUMMYFUNCTION("""COMPUTED_VALUE"""),"\FPeval\varLinkInConclusionAndMoreFSE{36}")</f>
        <v>\FPeval\varLinkInConclusionAndMoreFSE{36}</v>
      </c>
      <c r="L5" s="293" t="str">
        <f>IFERROR(__xludf.DUMMYFUNCTION("""COMPUTED_VALUE"""),"\FPeval\varNumLinksPublicAvailableICSEFSE{1862}")</f>
        <v>\FPeval\varNumLinksPublicAvailableICSEFSE{1862}</v>
      </c>
      <c r="M5" s="293" t="str">
        <f>IFERROR(__xludf.DUMMYFUNCTION("""COMPUTED_VALUE"""),"\FPeval\varGeneralPurposePlatICSEFSE{172}")</f>
        <v>\FPeval\varGeneralPurposePlatICSEFSE{172}</v>
      </c>
      <c r="N5" s="293" t="str">
        <f>IFERROR(__xludf.DUMMYFUNCTION("""COMPUTED_VALUE"""),"\FPeval\varStatementAgreementsAndLegalRightsICSEFSE{28}")</f>
        <v>\FPeval\varStatementAgreementsAndLegalRightsICSEFSE{28}</v>
      </c>
      <c r="O5" s="293" t="str">
        <f>IFERROR(__xludf.DUMMYFUNCTION("""COMPUTED_VALUE"""),"\FPeval\varLinkNoStatementNoFSE{138}")</f>
        <v>\FPeval\varLinkNoStatementNoFSE{138}</v>
      </c>
      <c r="P5" s="293" t="str">
        <f>IFERROR(__xludf.DUMMYFUNCTION("""COMPUTED_VALUE"""),"\FPeval\varEvolutionArtifactsAvailableBadgeANDUniqueIdentifierXVIIIFSE{22.2}")</f>
        <v>\FPeval\varEvolutionArtifactsAvailableBadgeANDUniqueIdentifierXVIIIFSE{22.2}</v>
      </c>
    </row>
    <row r="6">
      <c r="A6" s="293" t="str">
        <f>IFERROR(__xludf.DUMMYFUNCTION("""COMPUTED_VALUE"""),"\FPeval\varFSEArtifactSharingEvolutionSeventeen{73.6}")</f>
        <v>\FPeval\varFSEArtifactSharingEvolutionSeventeen{73.6}</v>
      </c>
      <c r="B6" s="293" t="str">
        <f>IFERROR(__xludf.DUMMYFUNCTION("""COMPUTED_VALUE"""),"\FPeval\varPapersNotShareLinkFSEXVII{0.0}")</f>
        <v>\FPeval\varPapersNotShareLinkFSEXVII{0.0}</v>
      </c>
      <c r="C6" s="293" t="str">
        <f>IFERROR(__xludf.DUMMYFUNCTION("""COMPUTED_VALUE"""),"\FPeval\varEvolutionOfPapersWithLinkInSpecifSectionXVFSE{22.9}")</f>
        <v>\FPeval\varEvolutionOfPapersWithLinkInSpecifSectionXVFSE{22.9}</v>
      </c>
      <c r="D6" s="293" t="str">
        <f>IFERROR(__xludf.DUMMYFUNCTION("""COMPUTED_VALUE"""),"\FPeval\varArtifactLocationEvolutionUniqueIdentifierXVFSE{0.0}")</f>
        <v>\FPeval\varArtifactLocationEvolutionUniqueIdentifierXVFSE{0.0}</v>
      </c>
      <c r="E6" s="293" t="str">
        <f>IFERROR(__xludf.DUMMYFUNCTION("""COMPUTED_VALUE"""),"\FPeval\FSEXVIInstitutionalPages{38.9}")</f>
        <v>\FPeval\FSEXVIInstitutionalPages{38.9}</v>
      </c>
      <c r="F6" s="293" t="str">
        <f>IFERROR(__xludf.DUMMYFUNCTION("""COMPUTED_VALUE"""),"\FPeval\varFSENotAvailablePerPaperXVII{26.4}")</f>
        <v>\FPeval\varFSENotAvailablePerPaperXVII{26.4}</v>
      </c>
      <c r="G6" s="293" t="str">
        <f>IFERROR(__xludf.DUMMYFUNCTION("""COMPUTED_VALUE"""),"\FPeval\varFSEArtifactSharingEvolutionSeventeen{73.6}")</f>
        <v>\FPeval\varFSEArtifactSharingEvolutionSeventeen{73.6}</v>
      </c>
      <c r="H6" s="293" t="str">
        <f>IFERROR(__xludf.DUMMYFUNCTION("""COMPUTED_VALUE"""),"\FPeval\varCollectedPapersFSESeventeen{72}")</f>
        <v>\FPeval\varCollectedPapersFSESeventeen{72}</v>
      </c>
      <c r="I6" s="293" t="str">
        <f>IFERROR(__xludf.DUMMYFUNCTION("""COMPUTED_VALUE"""),"\FPeval\varTotalOfPapersWithLinkICSEFSE{1696}")</f>
        <v>\FPeval\varTotalOfPapersWithLinkICSEFSE{1696}</v>
      </c>
      <c r="J6" s="293" t="str">
        <f>IFERROR(__xludf.DUMMYFUNCTION("""COMPUTED_VALUE"""),"\FPeval\varPapersThreeLinksICSEFSE{46}")</f>
        <v>\FPeval\varPapersThreeLinksICSEFSE{46}</v>
      </c>
      <c r="K6" s="293" t="str">
        <f>IFERROR(__xludf.DUMMYFUNCTION("""COMPUTED_VALUE"""),"\FPeval\varLinkInConclusionAndMoreICSE{78}")</f>
        <v>\FPeval\varLinkInConclusionAndMoreICSE{78}</v>
      </c>
      <c r="L6" s="293" t="str">
        <f>IFERROR(__xludf.DUMMYFUNCTION("""COMPUTED_VALUE"""),"\FPeval\varNumLinksRestrictAccessICSEFSE{17}")</f>
        <v>\FPeval\varNumLinksRestrictAccessICSEFSE{17}</v>
      </c>
      <c r="M6" s="293" t="str">
        <f>IFERROR(__xludf.DUMMYFUNCTION("""COMPUTED_VALUE"""),"\FPeval\varInstPersProfesPagesICSEFSE{309}")</f>
        <v>\FPeval\varInstPersProfesPagesICSEFSE{309}</v>
      </c>
      <c r="N6" s="293" t="str">
        <f>IFERROR(__xludf.DUMMYFUNCTION("""COMPUTED_VALUE"""),"\FPeval\varStatementConfidentialityAndPrivacyICSEFSE{46}")</f>
        <v>\FPeval\varStatementConfidentialityAndPrivacyICSEFSE{46}</v>
      </c>
      <c r="O6" s="293" t="str">
        <f>IFERROR(__xludf.DUMMYFUNCTION("""COMPUTED_VALUE"""),"\FPeval\varLinkNoStatementNoICSE{217}")</f>
        <v>\FPeval\varLinkNoStatementNoICSE{217}</v>
      </c>
      <c r="P6" s="293" t="str">
        <f>IFERROR(__xludf.DUMMYFUNCTION("""COMPUTED_VALUE"""),"\FPeval\varEvolutionArtifactsAvailableBadgeANDUniqueIdentifierXVIIIICSE{50.0}")</f>
        <v>\FPeval\varEvolutionArtifactsAvailableBadgeANDUniqueIdentifierXVIIIICSE{50.0}</v>
      </c>
    </row>
    <row r="7">
      <c r="A7" s="293" t="str">
        <f>IFERROR(__xludf.DUMMYFUNCTION("""COMPUTED_VALUE"""),"\FPeval\varFSEArtifactSharingEvolutionSixteen{73.0}")</f>
        <v>\FPeval\varFSEArtifactSharingEvolutionSixteen{73.0}</v>
      </c>
      <c r="B7" s="293" t="str">
        <f>IFERROR(__xludf.DUMMYFUNCTION("""COMPUTED_VALUE"""),"\FPeval\varPapersNotShareLinkFSEXVIII{0.0}")</f>
        <v>\FPeval\varPapersNotShareLinkFSEXVIII{0.0}</v>
      </c>
      <c r="C7" s="293" t="str">
        <f>IFERROR(__xludf.DUMMYFUNCTION("""COMPUTED_VALUE"""),"\FPeval\varEvolutionOfPapersWithLinkInSpecifSectionXVICSE{0.0}")</f>
        <v>\FPeval\varEvolutionOfPapersWithLinkInSpecifSectionXVICSE{0.0}</v>
      </c>
      <c r="D7" s="293" t="str">
        <f>IFERROR(__xludf.DUMMYFUNCTION("""COMPUTED_VALUE"""),"\FPeval\varArtifactLocationEvolutionUniqueIdentifierXVICSE{2.0}")</f>
        <v>\FPeval\varArtifactLocationEvolutionUniqueIdentifierXVICSE{2.0}</v>
      </c>
      <c r="E7" s="293" t="str">
        <f>IFERROR(__xludf.DUMMYFUNCTION("""COMPUTED_VALUE"""),"\FPeval\FSEXVInstitutionalPages{45.8}")</f>
        <v>\FPeval\FSEXVInstitutionalPages{45.8}</v>
      </c>
      <c r="F7" s="293" t="str">
        <f>IFERROR(__xludf.DUMMYFUNCTION("""COMPUTED_VALUE"""),"\FPeval\varFSENotAvailablePerPaperXVIII{9.8}")</f>
        <v>\FPeval\varFSENotAvailablePerPaperXVIII{9.8}</v>
      </c>
      <c r="G7" s="293" t="str">
        <f>IFERROR(__xludf.DUMMYFUNCTION("""COMPUTED_VALUE"""),"\FPeval\varFSEArtifactSharingEvolutionSixteen{73.0}")</f>
        <v>\FPeval\varFSEArtifactSharingEvolutionSixteen{73.0}</v>
      </c>
      <c r="H7" s="293" t="str">
        <f>IFERROR(__xludf.DUMMYFUNCTION("""COMPUTED_VALUE"""),"\FPeval\varCollectedPapersFSESixteen{74}")</f>
        <v>\FPeval\varCollectedPapersFSESixteen{74}</v>
      </c>
      <c r="I7" s="293" t="str">
        <f>IFERROR(__xludf.DUMMYFUNCTION("""COMPUTED_VALUE"""),"\FPeval\varTotalOfPapersWithLinkFSE{695}")</f>
        <v>\FPeval\varTotalOfPapersWithLinkFSE{695}</v>
      </c>
      <c r="J7" s="293" t="str">
        <f>IFERROR(__xludf.DUMMYFUNCTION("""COMPUTED_VALUE"""),"\FPeval\varPapersTwoLinksICSEFSE{239}")</f>
        <v>\FPeval\varPapersTwoLinksICSEFSE{239}</v>
      </c>
      <c r="K7" s="293" t="str">
        <f>IFERROR(__xludf.DUMMYFUNCTION("""COMPUTED_VALUE"""),"\FPeval\varLinkInConclusionAndMoreICSEFSE{114}")</f>
        <v>\FPeval\varLinkInConclusionAndMoreICSEFSE{114}</v>
      </c>
      <c r="L7" s="293" t="str">
        <f>IFERROR(__xludf.DUMMYFUNCTION("""COMPUTED_VALUE"""),"\FPeval\varNumPapersLinkNotAvailableICSEFSE{263}")</f>
        <v>\FPeval\varNumPapersLinkNotAvailableICSEFSE{263}</v>
      </c>
      <c r="M7" s="293" t="str">
        <f>IFERROR(__xludf.DUMMYFUNCTION("""COMPUTED_VALUE"""),"\FPeval\varOtherRepsICSEFSE{188}")</f>
        <v>\FPeval\varOtherRepsICSEFSE{188}</v>
      </c>
      <c r="N7" s="293" t="str">
        <f>IFERROR(__xludf.DUMMYFUNCTION("""COMPUTED_VALUE"""),"\FPeval\varStatementFuturePlansICSEFSE{26}")</f>
        <v>\FPeval\varStatementFuturePlansICSEFSE{26}</v>
      </c>
      <c r="O7" s="293" t="str">
        <f>IFERROR(__xludf.DUMMYFUNCTION("""COMPUTED_VALUE"""),"\FPeval\varLinkNoStatementNoICSEFSE{355}")</f>
        <v>\FPeval\varLinkNoStatementNoICSEFSE{355}</v>
      </c>
      <c r="P7" s="293" t="str">
        <f>IFERROR(__xludf.DUMMYFUNCTION("""COMPUTED_VALUE"""),"\FPeval\varEvolutionArtifactsAvailableBadgeANDUniqueIdentifierXXFSE{68.6}")</f>
        <v>\FPeval\varEvolutionArtifactsAvailableBadgeANDUniqueIdentifierXXFSE{68.6}</v>
      </c>
    </row>
    <row r="8">
      <c r="A8" s="293" t="str">
        <f>IFERROR(__xludf.DUMMYFUNCTION("""COMPUTED_VALUE"""),"\FPeval\varFSEArtifactSharingEvolutionTwenty{90.1}")</f>
        <v>\FPeval\varFSEArtifactSharingEvolutionTwenty{90.1}</v>
      </c>
      <c r="B8" s="293" t="str">
        <f>IFERROR(__xludf.DUMMYFUNCTION("""COMPUTED_VALUE"""),"\FPeval\varPapersNotShareLinkFSEXX{10.0}")</f>
        <v>\FPeval\varPapersNotShareLinkFSEXX{10.0}</v>
      </c>
      <c r="C8" s="293" t="str">
        <f>IFERROR(__xludf.DUMMYFUNCTION("""COMPUTED_VALUE"""),"\FPeval\varEvolutionOfPapersWithLinkInSpecifSectionXVIFSE{33.3}")</f>
        <v>\FPeval\varEvolutionOfPapersWithLinkInSpecifSectionXVIFSE{33.3}</v>
      </c>
      <c r="D8" s="293" t="str">
        <f>IFERROR(__xludf.DUMMYFUNCTION("""COMPUTED_VALUE"""),"\FPeval\varArtifactLocationEvolutionUniqueIdentifierXVIFSE{1.9}")</f>
        <v>\FPeval\varArtifactLocationEvolutionUniqueIdentifierXVIFSE{1.9}</v>
      </c>
      <c r="E8" s="293" t="str">
        <f>IFERROR(__xludf.DUMMYFUNCTION("""COMPUTED_VALUE"""),"\FPeval\FSEXXIIIInstitutionalPages{0.0}")</f>
        <v>\FPeval\FSEXXIIIInstitutionalPages{0.0}</v>
      </c>
      <c r="F8" s="293" t="str">
        <f>IFERROR(__xludf.DUMMYFUNCTION("""COMPUTED_VALUE"""),"\FPeval\varFSENotAvailablePerPaperXX{5.5}")</f>
        <v>\FPeval\varFSENotAvailablePerPaperXX{5.5}</v>
      </c>
      <c r="G8" s="293" t="str">
        <f>IFERROR(__xludf.DUMMYFUNCTION("""COMPUTED_VALUE"""),"\FPeval\varFSEArtifactSharingEvolutionTwenty{90.1}")</f>
        <v>\FPeval\varFSEArtifactSharingEvolutionTwenty{90.1}</v>
      </c>
      <c r="H8" s="293" t="str">
        <f>IFERROR(__xludf.DUMMYFUNCTION("""COMPUTED_VALUE"""),"\FPeval\varCollectedPapersFSETwenty{101}")</f>
        <v>\FPeval\varCollectedPapersFSETwenty{101}</v>
      </c>
      <c r="K8" s="293" t="str">
        <f>IFERROR(__xludf.DUMMYFUNCTION("""COMPUTED_VALUE"""),"\FPeval\varLinkInConclusionFSE{62}")</f>
        <v>\FPeval\varLinkInConclusionFSE{62}</v>
      </c>
      <c r="L8" s="293" t="str">
        <f>IFERROR(__xludf.DUMMYFUNCTION("""COMPUTED_VALUE"""),"\FPeval\varNumPapersLinkPublicAvailableICSEFSE{1469}")</f>
        <v>\FPeval\varNumPapersLinkPublicAvailableICSEFSE{1469}</v>
      </c>
      <c r="N8" s="293" t="str">
        <f>IFERROR(__xludf.DUMMYFUNCTION("""COMPUTED_VALUE"""),"\FPeval\varStatementLimitedToPhysicalAccessICSEFSE{1}")</f>
        <v>\FPeval\varStatementLimitedToPhysicalAccessICSEFSE{1}</v>
      </c>
      <c r="O8" s="293" t="str">
        <f>IFERROR(__xludf.DUMMYFUNCTION("""COMPUTED_VALUE"""),"\FPeval\varLinkNoStatementYesFSE{7}")</f>
        <v>\FPeval\varLinkNoStatementYesFSE{7}</v>
      </c>
      <c r="P8" s="293" t="str">
        <f>IFERROR(__xludf.DUMMYFUNCTION("""COMPUTED_VALUE"""),"\FPeval\varEvolutionArtifactsAvailableBadgeANDUniqueIdentifierXXICSE{24.0}")</f>
        <v>\FPeval\varEvolutionArtifactsAvailableBadgeANDUniqueIdentifierXXICSE{24.0}</v>
      </c>
    </row>
    <row r="9">
      <c r="A9" s="293" t="str">
        <f>IFERROR(__xludf.DUMMYFUNCTION("""COMPUTED_VALUE"""),"\FPeval\varFSEArtifactSharingEvolutionTwentyOne{87.6}")</f>
        <v>\FPeval\varFSEArtifactSharingEvolutionTwentyOne{87.6}</v>
      </c>
      <c r="B9" s="293" t="str">
        <f>IFERROR(__xludf.DUMMYFUNCTION("""COMPUTED_VALUE"""),"\FPeval\varPapersNotShareLinkFSEXXI{16.7}")</f>
        <v>\FPeval\varPapersNotShareLinkFSEXXI{16.7}</v>
      </c>
      <c r="C9" s="293" t="str">
        <f>IFERROR(__xludf.DUMMYFUNCTION("""COMPUTED_VALUE"""),"\FPeval\varEvolutionOfPapersWithLinkInSpecifSectionXVIICSE{0.0}")</f>
        <v>\FPeval\varEvolutionOfPapersWithLinkInSpecifSectionXVIICSE{0.0}</v>
      </c>
      <c r="D9" s="293" t="str">
        <f>IFERROR(__xludf.DUMMYFUNCTION("""COMPUTED_VALUE"""),"\FPeval\varArtifactLocationEvolutionUniqueIdentifierXVIICSE{10.0}")</f>
        <v>\FPeval\varArtifactLocationEvolutionUniqueIdentifierXVIICSE{10.0}</v>
      </c>
      <c r="E9" s="293" t="str">
        <f>IFERROR(__xludf.DUMMYFUNCTION("""COMPUTED_VALUE"""),"\FPeval\FSEXXIIInstitutionalPages{1.1}")</f>
        <v>\FPeval\FSEXXIIInstitutionalPages{1.1}</v>
      </c>
      <c r="F9" s="293" t="str">
        <f>IFERROR(__xludf.DUMMYFUNCTION("""COMPUTED_VALUE"""),"\FPeval\varFSENotAvailablePerPaperXXI{2.4}")</f>
        <v>\FPeval\varFSENotAvailablePerPaperXXI{2.4}</v>
      </c>
      <c r="G9" s="293" t="str">
        <f>IFERROR(__xludf.DUMMYFUNCTION("""COMPUTED_VALUE"""),"\FPeval\varFSEArtifactSharingEvolutionTwentyOne{87.6}")</f>
        <v>\FPeval\varFSEArtifactSharingEvolutionTwentyOne{87.6}</v>
      </c>
      <c r="H9" s="293" t="str">
        <f>IFERROR(__xludf.DUMMYFUNCTION("""COMPUTED_VALUE"""),"\FPeval\varCollectedPapersFSETwentyOne{97}")</f>
        <v>\FPeval\varCollectedPapersFSETwentyOne{97}</v>
      </c>
      <c r="K9" s="293" t="str">
        <f>IFERROR(__xludf.DUMMYFUNCTION("""COMPUTED_VALUE"""),"\FPeval\varLinkInConclusionICSE{127}")</f>
        <v>\FPeval\varLinkInConclusionICSE{127}</v>
      </c>
      <c r="L9" s="293" t="str">
        <f>IFERROR(__xludf.DUMMYFUNCTION("""COMPUTED_VALUE"""),"\FPeval\varNumPapersLinkRestrictAccessICSEFSE{16}")</f>
        <v>\FPeval\varNumPapersLinkRestrictAccessICSEFSE{16}</v>
      </c>
      <c r="N9" s="293" t="str">
        <f>IFERROR(__xludf.DUMMYFUNCTION("""COMPUTED_VALUE"""),"\FPeval\varStatementReasonNotExplainedICSEFSE{5}")</f>
        <v>\FPeval\varStatementReasonNotExplainedICSEFSE{5}</v>
      </c>
      <c r="O9" s="293" t="str">
        <f>IFERROR(__xludf.DUMMYFUNCTION("""COMPUTED_VALUE"""),"\FPeval\varLinkNoStatementYesICSE{18}")</f>
        <v>\FPeval\varLinkNoStatementYesICSE{18}</v>
      </c>
      <c r="P9" s="293" t="str">
        <f>IFERROR(__xludf.DUMMYFUNCTION("""COMPUTED_VALUE"""),"\FPeval\varEvolutionArtifactsAvailableBadgeANDUniqueIdentifierXXIFSE{35.4}")</f>
        <v>\FPeval\varEvolutionArtifactsAvailableBadgeANDUniqueIdentifierXXIFSE{35.4}</v>
      </c>
    </row>
    <row r="10">
      <c r="A10" s="293" t="str">
        <f>IFERROR(__xludf.DUMMYFUNCTION("""COMPUTED_VALUE"""),"\FPeval\varFSEArtifactSharingEvolutionTwentyThree{98.4}")</f>
        <v>\FPeval\varFSEArtifactSharingEvolutionTwentyThree{98.4}</v>
      </c>
      <c r="B10" s="293" t="str">
        <f>IFERROR(__xludf.DUMMYFUNCTION("""COMPUTED_VALUE"""),"\FPeval\varPapersNotShareLinkFSEXXII{0.0}")</f>
        <v>\FPeval\varPapersNotShareLinkFSEXXII{0.0}</v>
      </c>
      <c r="C10" s="293" t="str">
        <f>IFERROR(__xludf.DUMMYFUNCTION("""COMPUTED_VALUE"""),"\FPeval\varEvolutionOfPapersWithLinkInSpecifSectionXVIIFSE{15.1}")</f>
        <v>\FPeval\varEvolutionOfPapersWithLinkInSpecifSectionXVIIFSE{15.1}</v>
      </c>
      <c r="D10" s="293" t="str">
        <f>IFERROR(__xludf.DUMMYFUNCTION("""COMPUTED_VALUE"""),"\FPeval\varArtifactLocationEvolutionUniqueIdentifierXVIIFSE{1.9}")</f>
        <v>\FPeval\varArtifactLocationEvolutionUniqueIdentifierXVIIFSE{1.9}</v>
      </c>
      <c r="E10" s="293" t="str">
        <f>IFERROR(__xludf.DUMMYFUNCTION("""COMPUTED_VALUE"""),"\FPeval\FSEXXIInstitutionalPages{0.0}")</f>
        <v>\FPeval\FSEXXIInstitutionalPages{0.0}</v>
      </c>
      <c r="F10" s="293" t="str">
        <f>IFERROR(__xludf.DUMMYFUNCTION("""COMPUTED_VALUE"""),"\FPeval\varFSENotAvailablePerPaperXXII{1.1}")</f>
        <v>\FPeval\varFSENotAvailablePerPaperXXII{1.1}</v>
      </c>
      <c r="G10" s="293" t="str">
        <f>IFERROR(__xludf.DUMMYFUNCTION("""COMPUTED_VALUE"""),"\FPeval\varFSEArtifactSharingEvolutionTwentyThree{98.4}")</f>
        <v>\FPeval\varFSEArtifactSharingEvolutionTwentyThree{98.4}</v>
      </c>
      <c r="H10" s="293" t="str">
        <f>IFERROR(__xludf.DUMMYFUNCTION("""COMPUTED_VALUE"""),"\FPeval\varCollectedPapersFSETwentyThree{127}")</f>
        <v>\FPeval\varCollectedPapersFSETwentyThree{127}</v>
      </c>
      <c r="K10" s="293" t="str">
        <f>IFERROR(__xludf.DUMMYFUNCTION("""COMPUTED_VALUE"""),"\FPeval\varLinkInConclusionICSEFSE{189}")</f>
        <v>\FPeval\varLinkInConclusionICSEFSE{189}</v>
      </c>
      <c r="L10" s="293" t="str">
        <f>IFERROR(__xludf.DUMMYFUNCTION("""COMPUTED_VALUE"""),"\FPeval\varPapersHaveOnlyNotAvailableLinksICSEFSE{217}")</f>
        <v>\FPeval\varPapersHaveOnlyNotAvailableLinksICSEFSE{217}</v>
      </c>
      <c r="N10" s="293" t="str">
        <f>IFERROR(__xludf.DUMMYFUNCTION("""COMPUTED_VALUE"""),"\FPeval\varStatementSecurityICSEFSE{5}")</f>
        <v>\FPeval\varStatementSecurityICSEFSE{5}</v>
      </c>
      <c r="O10" s="293" t="str">
        <f>IFERROR(__xludf.DUMMYFUNCTION("""COMPUTED_VALUE"""),"\FPeval\varLinkNoStatementYesICSEFSE{25}")</f>
        <v>\FPeval\varLinkNoStatementYesICSEFSE{25}</v>
      </c>
      <c r="P10" s="293" t="str">
        <f>IFERROR(__xludf.DUMMYFUNCTION("""COMPUTED_VALUE"""),"\FPeval\varEvolutionArtifactsAvailableBadgeANDUniqueIdentifierXXIICSE{60.5}")</f>
        <v>\FPeval\varEvolutionArtifactsAvailableBadgeANDUniqueIdentifierXXIICSE{60.5}</v>
      </c>
    </row>
    <row r="11">
      <c r="A11" s="293" t="str">
        <f>IFERROR(__xludf.DUMMYFUNCTION("""COMPUTED_VALUE"""),"\FPeval\varFSEArtifactSharingEvolutionTwentyTwo{91.9}")</f>
        <v>\FPeval\varFSEArtifactSharingEvolutionTwentyTwo{91.9}</v>
      </c>
      <c r="B11" s="293" t="str">
        <f>IFERROR(__xludf.DUMMYFUNCTION("""COMPUTED_VALUE"""),"\FPeval\varPapersNotShareLinkFSEXXIII{50.0}")</f>
        <v>\FPeval\varPapersNotShareLinkFSEXXIII{50.0}</v>
      </c>
      <c r="C11" s="293" t="str">
        <f>IFERROR(__xludf.DUMMYFUNCTION("""COMPUTED_VALUE"""),"\FPeval\varEvolutionOfPapersWithLinkInSpecifSectionXVIIICSE{19.6}")</f>
        <v>\FPeval\varEvolutionOfPapersWithLinkInSpecifSectionXVIIICSE{19.6}</v>
      </c>
      <c r="D11" s="293" t="str">
        <f>IFERROR(__xludf.DUMMYFUNCTION("""COMPUTED_VALUE"""),"\FPeval\varArtifactLocationEvolutionUniqueIdentifierXVIIICSE{3.6}")</f>
        <v>\FPeval\varArtifactLocationEvolutionUniqueIdentifierXVIIICSE{3.6}</v>
      </c>
      <c r="E11" s="293" t="str">
        <f>IFERROR(__xludf.DUMMYFUNCTION("""COMPUTED_VALUE"""),"\FPeval\FSEXXInstitutionalPages{8.8}")</f>
        <v>\FPeval\FSEXXInstitutionalPages{8.8}</v>
      </c>
      <c r="F11" s="293" t="str">
        <f>IFERROR(__xludf.DUMMYFUNCTION("""COMPUTED_VALUE"""),"\FPeval\varFSENotAvailablePerPaperXXIII{3.2}")</f>
        <v>\FPeval\varFSENotAvailablePerPaperXXIII{3.2}</v>
      </c>
      <c r="G11" s="293" t="str">
        <f>IFERROR(__xludf.DUMMYFUNCTION("""COMPUTED_VALUE"""),"\FPeval\varFSEArtifactSharingEvolutionTwentyTwo{91.9}")</f>
        <v>\FPeval\varFSEArtifactSharingEvolutionTwentyTwo{91.9}</v>
      </c>
      <c r="H11" s="293" t="str">
        <f>IFERROR(__xludf.DUMMYFUNCTION("""COMPUTED_VALUE"""),"\FPeval\varCollectedPapersFSETwentyTwo{99}")</f>
        <v>\FPeval\varCollectedPapersFSETwentyTwo{99}</v>
      </c>
      <c r="K11" s="293" t="str">
        <f>IFERROR(__xludf.DUMMYFUNCTION("""COMPUTED_VALUE"""),"\FPeval\varLinkInIntroductionAndMoreFSE{165}")</f>
        <v>\FPeval\varLinkInIntroductionAndMoreFSE{165}</v>
      </c>
      <c r="L11" s="293" t="str">
        <f>IFERROR(__xludf.DUMMYFUNCTION("""COMPUTED_VALUE"""),"\FPeval\varPapersHaveOnlyPubliclyAvailableLinksICSEFSE{1419}")</f>
        <v>\FPeval\varPapersHaveOnlyPubliclyAvailableLinksICSEFSE{1419}</v>
      </c>
      <c r="N11" s="293" t="str">
        <f>IFERROR(__xludf.DUMMYFUNCTION("""COMPUTED_VALUE"""),"\FPeval\varStatementTechnicalIssuesICSEFSE{3}")</f>
        <v>\FPeval\varStatementTechnicalIssuesICSEFSE{3}</v>
      </c>
      <c r="O11" s="293" t="str">
        <f>IFERROR(__xludf.DUMMYFUNCTION("""COMPUTED_VALUE"""),"\FPeval\varLinkYesStatementNoFSE{665}")</f>
        <v>\FPeval\varLinkYesStatementNoFSE{665}</v>
      </c>
      <c r="P11" s="293" t="str">
        <f>IFERROR(__xludf.DUMMYFUNCTION("""COMPUTED_VALUE"""),"\FPeval\varEvolutionArtifactsAvailableBadgeANDUniqueIdentifierXXIIFSE{78.0}")</f>
        <v>\FPeval\varEvolutionArtifactsAvailableBadgeANDUniqueIdentifierXXIIFSE{78.0}</v>
      </c>
    </row>
    <row r="12">
      <c r="A12" s="293" t="str">
        <f>IFERROR(__xludf.DUMMYFUNCTION("""COMPUTED_VALUE"""),"\FPeval\varICSEArtifactSharingEvolutionEighteen{79.0}")</f>
        <v>\FPeval\varICSEArtifactSharingEvolutionEighteen{79.0}</v>
      </c>
      <c r="B12" s="293" t="str">
        <f>IFERROR(__xludf.DUMMYFUNCTION("""COMPUTED_VALUE"""),"\FPeval\varPapersNotShareLinkICSEXIV{5.6}")</f>
        <v>\FPeval\varPapersNotShareLinkICSEXIV{5.6}</v>
      </c>
      <c r="C12" s="293" t="str">
        <f>IFERROR(__xludf.DUMMYFUNCTION("""COMPUTED_VALUE"""),"\FPeval\varEvolutionOfPapersWithLinkInSpecifSectionXVIIIFSE{5.9}")</f>
        <v>\FPeval\varEvolutionOfPapersWithLinkInSpecifSectionXVIIIFSE{5.9}</v>
      </c>
      <c r="D12" s="293" t="str">
        <f>IFERROR(__xludf.DUMMYFUNCTION("""COMPUTED_VALUE"""),"\FPeval\varArtifactLocationEvolutionUniqueIdentifierXVIIIFSE{13.7}")</f>
        <v>\FPeval\varArtifactLocationEvolutionUniqueIdentifierXVIIIFSE{13.7}</v>
      </c>
      <c r="E12" s="293" t="str">
        <f>IFERROR(__xludf.DUMMYFUNCTION("""COMPUTED_VALUE"""),"\FPeval\ICSEXIVInstitutionalPages{64.5}")</f>
        <v>\FPeval\ICSEXIVInstitutionalPages{64.5}</v>
      </c>
      <c r="F12" s="293" t="str">
        <f>IFERROR(__xludf.DUMMYFUNCTION("""COMPUTED_VALUE"""),"\FPeval\varICSENotAvailablePerPaperEighteen{20.5}")</f>
        <v>\FPeval\varICSENotAvailablePerPaperEighteen{20.5}</v>
      </c>
      <c r="G12" s="293" t="str">
        <f>IFERROR(__xludf.DUMMYFUNCTION("""COMPUTED_VALUE"""),"\FPeval\varICSEArtifactSharingEvolutionEighteen{79.0}")</f>
        <v>\FPeval\varICSEArtifactSharingEvolutionEighteen{79.0}</v>
      </c>
      <c r="H12" s="293" t="str">
        <f>IFERROR(__xludf.DUMMYFUNCTION("""COMPUTED_VALUE"""),"\FPeval\varCollectedPapersICSEEighteen{105}")</f>
        <v>\FPeval\varCollectedPapersICSEEighteen{105}</v>
      </c>
      <c r="K12" s="293" t="str">
        <f>IFERROR(__xludf.DUMMYFUNCTION("""COMPUTED_VALUE"""),"\FPeval\varLinkInIntroductionAndMoreICSE{242}")</f>
        <v>\FPeval\varLinkInIntroductionAndMoreICSE{242}</v>
      </c>
      <c r="L12" s="293" t="str">
        <f>IFERROR(__xludf.DUMMYFUNCTION("""COMPUTED_VALUE"""),"\FPeval\varPapersHaveOnlyRestrictAccessLinksICSEFSE{9}")</f>
        <v>\FPeval\varPapersHaveOnlyRestrictAccessLinksICSEFSE{9}</v>
      </c>
      <c r="O12" s="293" t="str">
        <f>IFERROR(__xludf.DUMMYFUNCTION("""COMPUTED_VALUE"""),"\FPeval\varLinkYesStatementNoICSE{951}")</f>
        <v>\FPeval\varLinkYesStatementNoICSE{951}</v>
      </c>
      <c r="P12" s="293" t="str">
        <f>IFERROR(__xludf.DUMMYFUNCTION("""COMPUTED_VALUE"""),"\FPeval\varEvolutionArtifactsAvailableBadgeANDUniqueIdentifierXXIIICSE{56.9}")</f>
        <v>\FPeval\varEvolutionArtifactsAvailableBadgeANDUniqueIdentifierXXIIICSE{56.9}</v>
      </c>
    </row>
    <row r="13">
      <c r="A13" s="293" t="str">
        <f>IFERROR(__xludf.DUMMYFUNCTION("""COMPUTED_VALUE"""),"\FPeval\varICSEArtifactSharingEvolutionFifteen{58.3}")</f>
        <v>\FPeval\varICSEArtifactSharingEvolutionFifteen{58.3}</v>
      </c>
      <c r="B13" s="293" t="str">
        <f>IFERROR(__xludf.DUMMYFUNCTION("""COMPUTED_VALUE"""),"\FPeval\varPapersNotShareLinkICSEXIX{3.3}")</f>
        <v>\FPeval\varPapersNotShareLinkICSEXIX{3.3}</v>
      </c>
      <c r="C13" s="293" t="str">
        <f>IFERROR(__xludf.DUMMYFUNCTION("""COMPUTED_VALUE"""),"\FPeval\varEvolutionOfPapersWithLinkInSpecifSectionXVIIIICSE{1.2}")</f>
        <v>\FPeval\varEvolutionOfPapersWithLinkInSpecifSectionXVIIIICSE{1.2}</v>
      </c>
      <c r="D13" s="293" t="str">
        <f>IFERROR(__xludf.DUMMYFUNCTION("""COMPUTED_VALUE"""),"\FPeval\varArtifactLocationEvolutionUniqueIdentifierXVIIIICSE{13.3}")</f>
        <v>\FPeval\varArtifactLocationEvolutionUniqueIdentifierXVIIIICSE{13.3}</v>
      </c>
      <c r="E13" s="293" t="str">
        <f>IFERROR(__xludf.DUMMYFUNCTION("""COMPUTED_VALUE"""),"\FPeval\ICSEXIXInstitutionalPages{8.9}")</f>
        <v>\FPeval\ICSEXIXInstitutionalPages{8.9}</v>
      </c>
      <c r="F13" s="293" t="str">
        <f>IFERROR(__xludf.DUMMYFUNCTION("""COMPUTED_VALUE"""),"\FPeval\varICSENotAvailablePerPaperFifteen{46.9}")</f>
        <v>\FPeval\varICSENotAvailablePerPaperFifteen{46.9}</v>
      </c>
      <c r="G13" s="293" t="str">
        <f>IFERROR(__xludf.DUMMYFUNCTION("""COMPUTED_VALUE"""),"\FPeval\varICSEArtifactSharingEvolutionFifteen{58.3}")</f>
        <v>\FPeval\varICSEArtifactSharingEvolutionFifteen{58.3}</v>
      </c>
      <c r="H13" s="293" t="str">
        <f>IFERROR(__xludf.DUMMYFUNCTION("""COMPUTED_VALUE"""),"\FPeval\varCollectedPapersICSEFifteen{84}")</f>
        <v>\FPeval\varCollectedPapersICSEFifteen{84}</v>
      </c>
      <c r="K13" s="293" t="str">
        <f>IFERROR(__xludf.DUMMYFUNCTION("""COMPUTED_VALUE"""),"\FPeval\varLinkInIntroductionAndMoreICSEFSE{407}")</f>
        <v>\FPeval\varLinkInIntroductionAndMoreICSEFSE{407}</v>
      </c>
      <c r="L13" s="293" t="str">
        <f>IFERROR(__xludf.DUMMYFUNCTION("""COMPUTED_VALUE"""),"\FPeval\varTotalPapersUniqueInCategoryICSEFSE{1645}")</f>
        <v>\FPeval\varTotalPapersUniqueInCategoryICSEFSE{1645}</v>
      </c>
      <c r="O13" s="293" t="str">
        <f>IFERROR(__xludf.DUMMYFUNCTION("""COMPUTED_VALUE"""),"\FPeval\varLinkYesStatementNoICSEFSE{1616}")</f>
        <v>\FPeval\varLinkYesStatementNoICSEFSE{1616}</v>
      </c>
      <c r="P13" s="293" t="str">
        <f>IFERROR(__xludf.DUMMYFUNCTION("""COMPUTED_VALUE"""),"\FPeval\varEvolutionArtifactsAvailableBadgeANDUniqueIdentifierXXIIIFSE{72.6}")</f>
        <v>\FPeval\varEvolutionArtifactsAvailableBadgeANDUniqueIdentifierXXIIIFSE{72.6}</v>
      </c>
    </row>
    <row r="14">
      <c r="A14" s="293" t="str">
        <f>IFERROR(__xludf.DUMMYFUNCTION("""COMPUTED_VALUE"""),"\FPeval\varICSEArtifactSharingEvolutionFourteen{63.3}")</f>
        <v>\FPeval\varICSEArtifactSharingEvolutionFourteen{63.3}</v>
      </c>
      <c r="B14" s="293" t="str">
        <f>IFERROR(__xludf.DUMMYFUNCTION("""COMPUTED_VALUE"""),"\FPeval\varPapersNotShareLinkICSEXV{2.9}")</f>
        <v>\FPeval\varPapersNotShareLinkICSEXV{2.9}</v>
      </c>
      <c r="C14" s="293" t="str">
        <f>IFERROR(__xludf.DUMMYFUNCTION("""COMPUTED_VALUE"""),"\FPeval\varEvolutionOfPapersWithLinkInSpecifSectionXXFSE{7.7}")</f>
        <v>\FPeval\varEvolutionOfPapersWithLinkInSpecifSectionXXFSE{7.7}</v>
      </c>
      <c r="D14" s="293" t="str">
        <f>IFERROR(__xludf.DUMMYFUNCTION("""COMPUTED_VALUE"""),"\FPeval\varArtifactLocationEvolutionUniqueIdentifierXXFSE{47.3}")</f>
        <v>\FPeval\varArtifactLocationEvolutionUniqueIdentifierXXFSE{47.3}</v>
      </c>
      <c r="E14" s="293" t="str">
        <f>IFERROR(__xludf.DUMMYFUNCTION("""COMPUTED_VALUE"""),"\FPeval\ICSEXVIIIInstitutionalPages{20.5}")</f>
        <v>\FPeval\ICSEXVIIIInstitutionalPages{20.5}</v>
      </c>
      <c r="F14" s="293" t="str">
        <f>IFERROR(__xludf.DUMMYFUNCTION("""COMPUTED_VALUE"""),"\FPeval\varICSENotAvailablePerPaperFourteen{56.5}")</f>
        <v>\FPeval\varICSENotAvailablePerPaperFourteen{56.5}</v>
      </c>
      <c r="G14" s="293" t="str">
        <f>IFERROR(__xludf.DUMMYFUNCTION("""COMPUTED_VALUE"""),"\FPeval\varICSEArtifactSharingEvolutionFourteen{63.3}")</f>
        <v>\FPeval\varICSEArtifactSharingEvolutionFourteen{63.3}</v>
      </c>
      <c r="H14" s="293" t="str">
        <f>IFERROR(__xludf.DUMMYFUNCTION("""COMPUTED_VALUE"""),"\FPeval\varCollectedPapersICSEFourteen{98}")</f>
        <v>\FPeval\varCollectedPapersICSEFourteen{98}</v>
      </c>
      <c r="K14" s="293" t="str">
        <f>IFERROR(__xludf.DUMMYFUNCTION("""COMPUTED_VALUE"""),"\FPeval\varLinkInIntroductionFSE{282}")</f>
        <v>\FPeval\varLinkInIntroductionFSE{282}</v>
      </c>
      <c r="L14" s="293" t="str">
        <f>IFERROR(__xludf.DUMMYFUNCTION("""COMPUTED_VALUE"""),"\FPeval\varTotalOfLinksICSEFSE{2171}")</f>
        <v>\FPeval\varTotalOfLinksICSEFSE{2171}</v>
      </c>
      <c r="O14" s="293" t="str">
        <f>IFERROR(__xludf.DUMMYFUNCTION("""COMPUTED_VALUE"""),"\FPeval\varLinkYesStatementYesFSE{30}")</f>
        <v>\FPeval\varLinkYesStatementYesFSE{30}</v>
      </c>
      <c r="P14" s="293" t="str">
        <f>IFERROR(__xludf.DUMMYFUNCTION("""COMPUTED_VALUE"""),"\FPeval\varEvolutionArtifactsAvailableBadgeANDUniqueIdentifierXXIIIICSE{50.0}")</f>
        <v>\FPeval\varEvolutionArtifactsAvailableBadgeANDUniqueIdentifierXXIIIICSE{50.0}</v>
      </c>
    </row>
    <row r="15">
      <c r="A15" s="293" t="str">
        <f>IFERROR(__xludf.DUMMYFUNCTION("""COMPUTED_VALUE"""),"\FPeval\varICSEArtifactSharingEvolutionNineteen{72.5}")</f>
        <v>\FPeval\varICSEArtifactSharingEvolutionNineteen{72.5}</v>
      </c>
      <c r="B15" s="293" t="str">
        <f>IFERROR(__xludf.DUMMYFUNCTION("""COMPUTED_VALUE"""),"\FPeval\varPapersNotShareLinkICSEXVI{12.9}")</f>
        <v>\FPeval\varPapersNotShareLinkICSEXVI{12.9}</v>
      </c>
      <c r="C15" s="293" t="str">
        <f>IFERROR(__xludf.DUMMYFUNCTION("""COMPUTED_VALUE"""),"\FPeval\varEvolutionOfPapersWithLinkInSpecifSectionXXICSE{4.7}")</f>
        <v>\FPeval\varEvolutionOfPapersWithLinkInSpecifSectionXXICSE{4.7}</v>
      </c>
      <c r="D15" s="293" t="str">
        <f>IFERROR(__xludf.DUMMYFUNCTION("""COMPUTED_VALUE"""),"\FPeval\varArtifactLocationEvolutionUniqueIdentifierXXICSE{17.0}")</f>
        <v>\FPeval\varArtifactLocationEvolutionUniqueIdentifierXXICSE{17.0}</v>
      </c>
      <c r="E15" s="293" t="str">
        <f>IFERROR(__xludf.DUMMYFUNCTION("""COMPUTED_VALUE"""),"\FPeval\ICSEXVIIInstitutionalPages{37.5}")</f>
        <v>\FPeval\ICSEXVIIInstitutionalPages{37.5}</v>
      </c>
      <c r="F15" s="293" t="str">
        <f>IFERROR(__xludf.DUMMYFUNCTION("""COMPUTED_VALUE"""),"\FPeval\varICSENotAvailablePerPaperNineteen{7.6}")</f>
        <v>\FPeval\varICSENotAvailablePerPaperNineteen{7.6}</v>
      </c>
      <c r="G15" s="293" t="str">
        <f>IFERROR(__xludf.DUMMYFUNCTION("""COMPUTED_VALUE"""),"\FPeval\varICSEArtifactSharingEvolutionNineteen{72.5}")</f>
        <v>\FPeval\varICSEArtifactSharingEvolutionNineteen{72.5}</v>
      </c>
      <c r="H15" s="293" t="str">
        <f>IFERROR(__xludf.DUMMYFUNCTION("""COMPUTED_VALUE"""),"\FPeval\varCollectedPapersICSENineteen{109}")</f>
        <v>\FPeval\varCollectedPapersICSENineteen{109}</v>
      </c>
      <c r="K15" s="293" t="str">
        <f>IFERROR(__xludf.DUMMYFUNCTION("""COMPUTED_VALUE"""),"\FPeval\varLinkInIntroductionICSE{447}")</f>
        <v>\FPeval\varLinkInIntroductionICSE{447}</v>
      </c>
      <c r="O15" s="293" t="str">
        <f>IFERROR(__xludf.DUMMYFUNCTION("""COMPUTED_VALUE"""),"\FPeval\varLinkYesStatementYesICSE{50}")</f>
        <v>\FPeval\varLinkYesStatementYesICSE{50}</v>
      </c>
      <c r="P15" s="293" t="str">
        <f>IFERROR(__xludf.DUMMYFUNCTION("""COMPUTED_VALUE"""),"\FPeval\varEvolutionArtifactsAvailableBadgeWithoutLinkXIXFSE{5.3}")</f>
        <v>\FPeval\varEvolutionArtifactsAvailableBadgeWithoutLinkXIXFSE{5.3}</v>
      </c>
    </row>
    <row r="16">
      <c r="A16" s="293" t="str">
        <f>IFERROR(__xludf.DUMMYFUNCTION("""COMPUTED_VALUE"""),"\FPeval\varICSEArtifactSharingEvolutionSeventeen{82.4}")</f>
        <v>\FPeval\varICSEArtifactSharingEvolutionSeventeen{82.4}</v>
      </c>
      <c r="B16" s="293" t="str">
        <f>IFERROR(__xludf.DUMMYFUNCTION("""COMPUTED_VALUE"""),"\FPeval\varPapersNotShareLinkICSEXVII{0.0}")</f>
        <v>\FPeval\varPapersNotShareLinkICSEXVII{0.0}</v>
      </c>
      <c r="C16" s="293" t="str">
        <f>IFERROR(__xludf.DUMMYFUNCTION("""COMPUTED_VALUE"""),"\FPeval\varEvolutionOfPapersWithLinkInSpecifSectionXXIFSE{7.1}")</f>
        <v>\FPeval\varEvolutionOfPapersWithLinkInSpecifSectionXXIFSE{7.1}</v>
      </c>
      <c r="D16" s="293" t="str">
        <f>IFERROR(__xludf.DUMMYFUNCTION("""COMPUTED_VALUE"""),"\FPeval\varArtifactLocationEvolutionUniqueIdentifierXXIFSE{27.1}")</f>
        <v>\FPeval\varArtifactLocationEvolutionUniqueIdentifierXXIFSE{27.1}</v>
      </c>
      <c r="E16" s="293" t="str">
        <f>IFERROR(__xludf.DUMMYFUNCTION("""COMPUTED_VALUE"""),"\FPeval\ICSEXVIInstitutionalPages{58.6}")</f>
        <v>\FPeval\ICSEXVIInstitutionalPages{58.6}</v>
      </c>
      <c r="F16" s="293" t="str">
        <f>IFERROR(__xludf.DUMMYFUNCTION("""COMPUTED_VALUE"""),"\FPeval\varICSENotAvailablePerPaperSeventeen{35.7}")</f>
        <v>\FPeval\varICSENotAvailablePerPaperSeventeen{35.7}</v>
      </c>
      <c r="G16" s="293" t="str">
        <f>IFERROR(__xludf.DUMMYFUNCTION("""COMPUTED_VALUE"""),"\FPeval\varICSEArtifactSharingEvolutionSeventeen{82.4}")</f>
        <v>\FPeval\varICSEArtifactSharingEvolutionSeventeen{82.4}</v>
      </c>
      <c r="H16" s="293" t="str">
        <f>IFERROR(__xludf.DUMMYFUNCTION("""COMPUTED_VALUE"""),"\FPeval\varCollectedPapersICSESeventeen{68}")</f>
        <v>\FPeval\varCollectedPapersICSESeventeen{68}</v>
      </c>
      <c r="K16" s="293" t="str">
        <f>IFERROR(__xludf.DUMMYFUNCTION("""COMPUTED_VALUE"""),"\FPeval\varLinkInIntroductionICSEFSE{729}")</f>
        <v>\FPeval\varLinkInIntroductionICSEFSE{729}</v>
      </c>
      <c r="O16" s="293" t="str">
        <f>IFERROR(__xludf.DUMMYFUNCTION("""COMPUTED_VALUE"""),"\FPeval\varLinkYesStatementYesICSEFSE{80}")</f>
        <v>\FPeval\varLinkYesStatementYesICSEFSE{80}</v>
      </c>
      <c r="P16" s="293" t="str">
        <f>IFERROR(__xludf.DUMMYFUNCTION("""COMPUTED_VALUE"""),"\FPeval\varEvolutionArtifactsAvailableBadgeWithoutLinkXIXICSE{5.4}")</f>
        <v>\FPeval\varEvolutionArtifactsAvailableBadgeWithoutLinkXIXICSE{5.4}</v>
      </c>
    </row>
    <row r="17">
      <c r="A17" s="293" t="str">
        <f>IFERROR(__xludf.DUMMYFUNCTION("""COMPUTED_VALUE"""),"\FPeval\varICSEArtifactSharingEvolutionSixteen{69.3}")</f>
        <v>\FPeval\varICSEArtifactSharingEvolutionSixteen{69.3}</v>
      </c>
      <c r="B17" s="293" t="str">
        <f>IFERROR(__xludf.DUMMYFUNCTION("""COMPUTED_VALUE"""),"\FPeval\varPapersNotShareLinkICSEXVIII{9.1}")</f>
        <v>\FPeval\varPapersNotShareLinkICSEXVIII{9.1}</v>
      </c>
      <c r="C17" s="293" t="str">
        <f>IFERROR(__xludf.DUMMYFUNCTION("""COMPUTED_VALUE"""),"\FPeval\varEvolutionOfPapersWithLinkInSpecifSectionXXIICSE{21.7}")</f>
        <v>\FPeval\varEvolutionOfPapersWithLinkInSpecifSectionXXIICSE{21.7}</v>
      </c>
      <c r="D17" s="293" t="str">
        <f>IFERROR(__xludf.DUMMYFUNCTION("""COMPUTED_VALUE"""),"\FPeval\varArtifactLocationEvolutionUniqueIdentifierXXIICSE{31.7}")</f>
        <v>\FPeval\varArtifactLocationEvolutionUniqueIdentifierXXIICSE{31.7}</v>
      </c>
      <c r="E17" s="293" t="str">
        <f>IFERROR(__xludf.DUMMYFUNCTION("""COMPUTED_VALUE"""),"\FPeval\ICSEXVInstitutionalPages{59.2}")</f>
        <v>\FPeval\ICSEXVInstitutionalPages{59.2}</v>
      </c>
      <c r="F17" s="293" t="str">
        <f>IFERROR(__xludf.DUMMYFUNCTION("""COMPUTED_VALUE"""),"\FPeval\varICSENotAvailablePerPaperSixteen{52.9}")</f>
        <v>\FPeval\varICSENotAvailablePerPaperSixteen{52.9}</v>
      </c>
      <c r="G17" s="293" t="str">
        <f>IFERROR(__xludf.DUMMYFUNCTION("""COMPUTED_VALUE"""),"\FPeval\varICSEArtifactSharingEvolutionSixteen{69.3}")</f>
        <v>\FPeval\varICSEArtifactSharingEvolutionSixteen{69.3}</v>
      </c>
      <c r="H17" s="293" t="str">
        <f>IFERROR(__xludf.DUMMYFUNCTION("""COMPUTED_VALUE"""),"\FPeval\varCollectedPapersICSESixteen{101}")</f>
        <v>\FPeval\varCollectedPapersICSESixteen{101}</v>
      </c>
      <c r="K17" s="293" t="str">
        <f>IFERROR(__xludf.DUMMYFUNCTION("""COMPUTED_VALUE"""),"\FPeval\varLinkInOtherPlaceAndMoreFSE{205}")</f>
        <v>\FPeval\varLinkInOtherPlaceAndMoreFSE{205}</v>
      </c>
      <c r="M17" s="294"/>
      <c r="N17" s="294"/>
      <c r="P17" s="293" t="str">
        <f>IFERROR(__xludf.DUMMYFUNCTION("""COMPUTED_VALUE"""),"\FPeval\varEvolutionArtifactsAvailableBadgeWithoutLinkXVIIFSE{0.0}")</f>
        <v>\FPeval\varEvolutionArtifactsAvailableBadgeWithoutLinkXVIIFSE{0.0}</v>
      </c>
    </row>
    <row r="18">
      <c r="A18" s="293" t="str">
        <f>IFERROR(__xludf.DUMMYFUNCTION("""COMPUTED_VALUE"""),"\FPeval\varICSEArtifactSharingEvolutionTwenty{82.2}")</f>
        <v>\FPeval\varICSEArtifactSharingEvolutionTwenty{82.2}</v>
      </c>
      <c r="B18" s="293" t="str">
        <f>IFERROR(__xludf.DUMMYFUNCTION("""COMPUTED_VALUE"""),"\FPeval\varPapersNotShareLinkICSEXX{0.0}")</f>
        <v>\FPeval\varPapersNotShareLinkICSEXX{0.0}</v>
      </c>
      <c r="C18" s="293" t="str">
        <f>IFERROR(__xludf.DUMMYFUNCTION("""COMPUTED_VALUE"""),"\FPeval\varEvolutionOfPapersWithLinkInSpecifSectionXXIIFSE{25.3}")</f>
        <v>\FPeval\varEvolutionOfPapersWithLinkInSpecifSectionXXIIFSE{25.3}</v>
      </c>
      <c r="D18" s="293" t="str">
        <f>IFERROR(__xludf.DUMMYFUNCTION("""COMPUTED_VALUE"""),"\FPeval\varArtifactLocationEvolutionUniqueIdentifierXXIIFSE{46.2}")</f>
        <v>\FPeval\varArtifactLocationEvolutionUniqueIdentifierXXIIFSE{46.2}</v>
      </c>
      <c r="E18" s="293" t="str">
        <f>IFERROR(__xludf.DUMMYFUNCTION("""COMPUTED_VALUE"""),"\FPeval\ICSEXXIIIInstitutionalPages{2.5}")</f>
        <v>\FPeval\ICSEXXIIIInstitutionalPages{2.5}</v>
      </c>
      <c r="F18" s="293" t="str">
        <f>IFERROR(__xludf.DUMMYFUNCTION("""COMPUTED_VALUE"""),"\FPeval\varICSENotAvailablePerPaperTwenty{6.6}")</f>
        <v>\FPeval\varICSENotAvailablePerPaperTwenty{6.6}</v>
      </c>
      <c r="G18" s="293" t="str">
        <f>IFERROR(__xludf.DUMMYFUNCTION("""COMPUTED_VALUE"""),"\FPeval\varICSEArtifactSharingEvolutionTwenty{82.2}")</f>
        <v>\FPeval\varICSEArtifactSharingEvolutionTwenty{82.2}</v>
      </c>
      <c r="H18" s="293" t="str">
        <f>IFERROR(__xludf.DUMMYFUNCTION("""COMPUTED_VALUE"""),"\FPeval\varCollectedPapersICSETwenty{129}")</f>
        <v>\FPeval\varCollectedPapersICSETwenty{129}</v>
      </c>
      <c r="K18" s="293" t="str">
        <f>IFERROR(__xludf.DUMMYFUNCTION("""COMPUTED_VALUE"""),"\FPeval\varLinkInOtherPlaceAndMoreICSE{297}")</f>
        <v>\FPeval\varLinkInOtherPlaceAndMoreICSE{297}</v>
      </c>
      <c r="M18" s="294"/>
      <c r="N18" s="294"/>
      <c r="P18" s="293" t="str">
        <f>IFERROR(__xludf.DUMMYFUNCTION("""COMPUTED_VALUE"""),"\FPeval\varEvolutionArtifactsAvailableBadgeWithoutLinkXVIIIFSE{16.7}")</f>
        <v>\FPeval\varEvolutionArtifactsAvailableBadgeWithoutLinkXVIIIFSE{16.7}</v>
      </c>
    </row>
    <row r="19">
      <c r="A19" s="293" t="str">
        <f>IFERROR(__xludf.DUMMYFUNCTION("""COMPUTED_VALUE"""),"\FPeval\varICSEArtifactSharingEvolutionTwentyOne{87.0}")</f>
        <v>\FPeval\varICSEArtifactSharingEvolutionTwentyOne{87.0}</v>
      </c>
      <c r="B19" s="293" t="str">
        <f>IFERROR(__xludf.DUMMYFUNCTION("""COMPUTED_VALUE"""),"\FPeval\varPapersNotShareLinkICSEXXI{16.7}")</f>
        <v>\FPeval\varPapersNotShareLinkICSEXXI{16.7}</v>
      </c>
      <c r="C19" s="293" t="str">
        <f>IFERROR(__xludf.DUMMYFUNCTION("""COMPUTED_VALUE"""),"\FPeval\varEvolutionOfPapersWithLinkInSpecifSectionXXIIICSE{17.0}")</f>
        <v>\FPeval\varEvolutionOfPapersWithLinkInSpecifSectionXXIIICSE{17.0}</v>
      </c>
      <c r="D19" s="293" t="str">
        <f>IFERROR(__xludf.DUMMYFUNCTION("""COMPUTED_VALUE"""),"\FPeval\varArtifactLocationEvolutionUniqueIdentifierXXIIICSE{31.3}")</f>
        <v>\FPeval\varArtifactLocationEvolutionUniqueIdentifierXXIIICSE{31.3}</v>
      </c>
      <c r="E19" s="293" t="str">
        <f>IFERROR(__xludf.DUMMYFUNCTION("""COMPUTED_VALUE"""),"\FPeval\ICSEXXIIInstitutionalPages{1.1}")</f>
        <v>\FPeval\ICSEXXIIInstitutionalPages{1.1}</v>
      </c>
      <c r="F19" s="293" t="str">
        <f>IFERROR(__xludf.DUMMYFUNCTION("""COMPUTED_VALUE"""),"\FPeval\varICSENotAvailablePerPaperTwentyOne{5.0}")</f>
        <v>\FPeval\varICSENotAvailablePerPaperTwentyOne{5.0}</v>
      </c>
      <c r="G19" s="293" t="str">
        <f>IFERROR(__xludf.DUMMYFUNCTION("""COMPUTED_VALUE"""),"\FPeval\varICSEArtifactSharingEvolutionTwentyOne{87.0}")</f>
        <v>\FPeval\varICSEArtifactSharingEvolutionTwentyOne{87.0}</v>
      </c>
      <c r="H19" s="293" t="str">
        <f>IFERROR(__xludf.DUMMYFUNCTION("""COMPUTED_VALUE"""),"\FPeval\varCollectedPapersICSETwentyOne{138}")</f>
        <v>\FPeval\varCollectedPapersICSETwentyOne{138}</v>
      </c>
      <c r="K19" s="293" t="str">
        <f>IFERROR(__xludf.DUMMYFUNCTION("""COMPUTED_VALUE"""),"\FPeval\varLinkInOtherPlaceAndMoreICSEFSE{502}")</f>
        <v>\FPeval\varLinkInOtherPlaceAndMoreICSEFSE{502}</v>
      </c>
      <c r="M19" s="294"/>
      <c r="N19" s="294"/>
      <c r="O19" s="294"/>
      <c r="P19" s="293" t="str">
        <f>IFERROR(__xludf.DUMMYFUNCTION("""COMPUTED_VALUE"""),"\FPeval\varEvolutionArtifactsAvailableBadgeWithoutLinkXVIIIICSE{0.0}")</f>
        <v>\FPeval\varEvolutionArtifactsAvailableBadgeWithoutLinkXVIIIICSE{0.0}</v>
      </c>
    </row>
    <row r="20">
      <c r="A20" s="293" t="str">
        <f>IFERROR(__xludf.DUMMYFUNCTION("""COMPUTED_VALUE"""),"\FPeval\varICSEArtifactSharingEvolutionTwentyThree{96.6}")</f>
        <v>\FPeval\varICSEArtifactSharingEvolutionTwentyThree{96.6}</v>
      </c>
      <c r="B20" s="293" t="str">
        <f>IFERROR(__xludf.DUMMYFUNCTION("""COMPUTED_VALUE"""),"\FPeval\varPapersNotShareLinkICSEXXII{19.0}")</f>
        <v>\FPeval\varPapersNotShareLinkICSEXXII{19.0}</v>
      </c>
      <c r="C20" s="293" t="str">
        <f>IFERROR(__xludf.DUMMYFUNCTION("""COMPUTED_VALUE"""),"\FPeval\varEvolutionOfPapersWithLinkInSpecifSectionXXIIIFSE{82.4}")</f>
        <v>\FPeval\varEvolutionOfPapersWithLinkInSpecifSectionXXIIIFSE{82.4}</v>
      </c>
      <c r="D20" s="293" t="str">
        <f>IFERROR(__xludf.DUMMYFUNCTION("""COMPUTED_VALUE"""),"\FPeval\varArtifactLocationEvolutionUniqueIdentifierXXIIIFSE{46.4}")</f>
        <v>\FPeval\varArtifactLocationEvolutionUniqueIdentifierXXIIIFSE{46.4}</v>
      </c>
      <c r="E20" s="293" t="str">
        <f>IFERROR(__xludf.DUMMYFUNCTION("""COMPUTED_VALUE"""),"\FPeval\ICSEXXIInstitutionalPages{5.0}")</f>
        <v>\FPeval\ICSEXXIInstitutionalPages{5.0}</v>
      </c>
      <c r="F20" s="293" t="str">
        <f>IFERROR(__xludf.DUMMYFUNCTION("""COMPUTED_VALUE"""),"\FPeval\varICSENotAvailablePerPaperTwentyThree{4.5}")</f>
        <v>\FPeval\varICSENotAvailablePerPaperTwentyThree{4.5}</v>
      </c>
      <c r="G20" s="293" t="str">
        <f>IFERROR(__xludf.DUMMYFUNCTION("""COMPUTED_VALUE"""),"\FPeval\varICSEArtifactSharingEvolutionTwentyThree{96.6}")</f>
        <v>\FPeval\varICSEArtifactSharingEvolutionTwentyThree{96.6}</v>
      </c>
      <c r="H20" s="293" t="str">
        <f>IFERROR(__xludf.DUMMYFUNCTION("""COMPUTED_VALUE"""),"\FPeval\varCollectedPapersICSETwentyThree{207}")</f>
        <v>\FPeval\varCollectedPapersICSETwentyThree{207}</v>
      </c>
      <c r="K20" s="293" t="str">
        <f>IFERROR(__xludf.DUMMYFUNCTION("""COMPUTED_VALUE"""),"\FPeval\varLinkInOtherPlaceFSE{436}")</f>
        <v>\FPeval\varLinkInOtherPlaceFSE{436}</v>
      </c>
      <c r="M20" s="294"/>
      <c r="N20" s="294"/>
      <c r="O20" s="294"/>
      <c r="P20" s="293" t="str">
        <f>IFERROR(__xludf.DUMMYFUNCTION("""COMPUTED_VALUE"""),"\FPeval\varEvolutionArtifactsAvailableBadgeWithoutLinkXXFSE{2.0}")</f>
        <v>\FPeval\varEvolutionArtifactsAvailableBadgeWithoutLinkXXFSE{2.0}</v>
      </c>
    </row>
    <row r="21">
      <c r="A21" s="293" t="str">
        <f>IFERROR(__xludf.DUMMYFUNCTION("""COMPUTED_VALUE"""),"\FPeval\varICSEArtifactSharingEvolutionTwentyTwo{89.3}")</f>
        <v>\FPeval\varICSEArtifactSharingEvolutionTwentyTwo{89.3}</v>
      </c>
      <c r="B21" s="293" t="str">
        <f>IFERROR(__xludf.DUMMYFUNCTION("""COMPUTED_VALUE"""),"\FPeval\varPapersNotShareLinkICSEXXIII{14.3}")</f>
        <v>\FPeval\varPapersNotShareLinkICSEXXIII{14.3}</v>
      </c>
      <c r="C21" s="293" t="str">
        <f>IFERROR(__xludf.DUMMYFUNCTION("""COMPUTED_VALUE"""),"\FPeval\varEvolutionOfPapersWithLinkInSpecifSectionXXIIIICSE{24.5}")</f>
        <v>\FPeval\varEvolutionOfPapersWithLinkInSpecifSectionXXIIIICSE{24.5}</v>
      </c>
      <c r="D21" s="293" t="str">
        <f>IFERROR(__xludf.DUMMYFUNCTION("""COMPUTED_VALUE"""),"\FPeval\varArtifactLocationEvolutionUniqueIdentifierXXIIIICSE{35.5}")</f>
        <v>\FPeval\varArtifactLocationEvolutionUniqueIdentifierXXIIIICSE{35.5}</v>
      </c>
      <c r="E21" s="293" t="str">
        <f>IFERROR(__xludf.DUMMYFUNCTION("""COMPUTED_VALUE"""),"\FPeval\ICSEXXInstitutionalPages{5.7}")</f>
        <v>\FPeval\ICSEXXInstitutionalPages{5.7}</v>
      </c>
      <c r="F21" s="293" t="str">
        <f>IFERROR(__xludf.DUMMYFUNCTION("""COMPUTED_VALUE"""),"\FPeval\varICSENotAvailablePerPaperTwentyTwo{2.8}")</f>
        <v>\FPeval\varICSENotAvailablePerPaperTwentyTwo{2.8}</v>
      </c>
      <c r="G21" s="293" t="str">
        <f>IFERROR(__xludf.DUMMYFUNCTION("""COMPUTED_VALUE"""),"\FPeval\varICSEArtifactSharingEvolutionTwentyTwo{89.3}")</f>
        <v>\FPeval\varICSEArtifactSharingEvolutionTwentyTwo{89.3}</v>
      </c>
      <c r="H21" s="293" t="str">
        <f>IFERROR(__xludf.DUMMYFUNCTION("""COMPUTED_VALUE"""),"\FPeval\varCollectedPapersICSETwentyTwo{197}")</f>
        <v>\FPeval\varCollectedPapersICSETwentyTwo{197}</v>
      </c>
      <c r="K21" s="293" t="str">
        <f>IFERROR(__xludf.DUMMYFUNCTION("""COMPUTED_VALUE"""),"\FPeval\varLinkInOtherPlaceICSE{662}")</f>
        <v>\FPeval\varLinkInOtherPlaceICSE{662}</v>
      </c>
      <c r="M21" s="294"/>
      <c r="N21" s="294"/>
      <c r="O21" s="294"/>
      <c r="P21" s="293" t="str">
        <f>IFERROR(__xludf.DUMMYFUNCTION("""COMPUTED_VALUE"""),"\FPeval\varEvolutionArtifactsAvailableBadgeWithoutLinkXXICSE{10.0}")</f>
        <v>\FPeval\varEvolutionArtifactsAvailableBadgeWithoutLinkXXICSE{10.0}</v>
      </c>
    </row>
    <row r="22">
      <c r="E22" s="293" t="str">
        <f>IFERROR(__xludf.DUMMYFUNCTION("""COMPUTED_VALUE"""),"\FPeval\varFSEArchivalPlatEighteen{13.7}")</f>
        <v>\FPeval\varFSEArchivalPlatEighteen{13.7}</v>
      </c>
      <c r="G22" s="293" t="str">
        <f>IFERROR(__xludf.DUMMYFUNCTION("""COMPUTED_VALUE"""),"\FPeval\varFSEEvaluatedArtifactEighteen{32.8}")</f>
        <v>\FPeval\varFSEEvaluatedArtifactEighteen{32.8}</v>
      </c>
      <c r="H22" s="293" t="str">
        <f>IFERROR(__xludf.DUMMYFUNCTION("""COMPUTED_VALUE"""),"\FPeval\varTotalPapersXIVICSEFSE{159}")</f>
        <v>\FPeval\varTotalPapersXIVICSEFSE{159}</v>
      </c>
      <c r="K22" s="293" t="str">
        <f>IFERROR(__xludf.DUMMYFUNCTION("""COMPUTED_VALUE"""),"\FPeval\varLinkInOtherPlaceICSEFSE{1098}")</f>
        <v>\FPeval\varLinkInOtherPlaceICSEFSE{1098}</v>
      </c>
      <c r="M22" s="294"/>
      <c r="N22" s="294"/>
      <c r="O22" s="294"/>
      <c r="P22" s="293" t="str">
        <f>IFERROR(__xludf.DUMMYFUNCTION("""COMPUTED_VALUE"""),"\FPeval\varEvolutionArtifactsAvailableBadgeWithoutLinkXXIFSE{4.2}")</f>
        <v>\FPeval\varEvolutionArtifactsAvailableBadgeWithoutLinkXXIFSE{4.2}</v>
      </c>
    </row>
    <row r="23">
      <c r="E23" s="293" t="str">
        <f>IFERROR(__xludf.DUMMYFUNCTION("""COMPUTED_VALUE"""),"\FPeval\varFSEArchivalPlatFifteen{0.0}")</f>
        <v>\FPeval\varFSEArchivalPlatFifteen{0.0}</v>
      </c>
      <c r="G23" s="293" t="str">
        <f>IFERROR(__xludf.DUMMYFUNCTION("""COMPUTED_VALUE"""),"\FPeval\varFSEEvaluatedArtifactFifteen{23.0}")</f>
        <v>\FPeval\varFSEEvaluatedArtifactFifteen{23.0}</v>
      </c>
      <c r="H23" s="293" t="str">
        <f>IFERROR(__xludf.DUMMYFUNCTION("""COMPUTED_VALUE"""),"\FPeval\varTotalPapersXIXICSEFSE{183}")</f>
        <v>\FPeval\varTotalPapersXIXICSEFSE{183}</v>
      </c>
      <c r="K23" s="293" t="str">
        <f>IFERROR(__xludf.DUMMYFUNCTION("""COMPUTED_VALUE"""),"\FPeval\varLinkInSpecificAndMoreFSE{104}")</f>
        <v>\FPeval\varLinkInSpecificAndMoreFSE{104}</v>
      </c>
      <c r="M23" s="294"/>
      <c r="N23" s="294"/>
      <c r="O23" s="294"/>
      <c r="P23" s="293" t="str">
        <f>IFERROR(__xludf.DUMMYFUNCTION("""COMPUTED_VALUE"""),"\FPeval\varEvolutionArtifactsAvailableBadgeWithoutLinkXXIICSE{2.6}")</f>
        <v>\FPeval\varEvolutionArtifactsAvailableBadgeWithoutLinkXXIICSE{2.6}</v>
      </c>
    </row>
    <row r="24">
      <c r="E24" s="293" t="str">
        <f>IFERROR(__xludf.DUMMYFUNCTION("""COMPUTED_VALUE"""),"\FPeval\varFSEArchivalPlatFourteen{5.7}")</f>
        <v>\FPeval\varFSEArchivalPlatFourteen{5.7}</v>
      </c>
      <c r="G24" s="293" t="str">
        <f>IFERROR(__xludf.DUMMYFUNCTION("""COMPUTED_VALUE"""),"\FPeval\varFSEEvaluatedArtifactFourteen{24.6}")</f>
        <v>\FPeval\varFSEEvaluatedArtifactFourteen{24.6}</v>
      </c>
      <c r="H24" s="293" t="str">
        <f>IFERROR(__xludf.DUMMYFUNCTION("""COMPUTED_VALUE"""),"\FPeval\varTotalPapersXVICSEFSE{158}")</f>
        <v>\FPeval\varTotalPapersXVICSEFSE{158}</v>
      </c>
      <c r="K24" s="293" t="str">
        <f>IFERROR(__xludf.DUMMYFUNCTION("""COMPUTED_VALUE"""),"\FPeval\varLinkInSpecificAndMoreICSE{63}")</f>
        <v>\FPeval\varLinkInSpecificAndMoreICSE{63}</v>
      </c>
      <c r="M24" s="294"/>
      <c r="N24" s="294"/>
      <c r="O24" s="294"/>
      <c r="P24" s="293" t="str">
        <f>IFERROR(__xludf.DUMMYFUNCTION("""COMPUTED_VALUE"""),"\FPeval\varEvolutionArtifactsAvailableBadgeWithoutLinkXXIIFSE{0.0}")</f>
        <v>\FPeval\varEvolutionArtifactsAvailableBadgeWithoutLinkXXIIFSE{0.0}</v>
      </c>
    </row>
    <row r="25">
      <c r="E25" s="293" t="str">
        <f>IFERROR(__xludf.DUMMYFUNCTION("""COMPUTED_VALUE"""),"\FPeval\varFSEArchivalPlatNineteen{24.2}")</f>
        <v>\FPeval\varFSEArchivalPlatNineteen{24.2}</v>
      </c>
      <c r="G25" s="293" t="str">
        <f>IFERROR(__xludf.DUMMYFUNCTION("""COMPUTED_VALUE"""),"\FPeval\varFSEEvaluatedArtifactNineteen{28.4}")</f>
        <v>\FPeval\varFSEEvaluatedArtifactNineteen{28.4}</v>
      </c>
      <c r="H25" s="293" t="str">
        <f>IFERROR(__xludf.DUMMYFUNCTION("""COMPUTED_VALUE"""),"\FPeval\varTotalPapersXVIICSEFSE{175}")</f>
        <v>\FPeval\varTotalPapersXVIICSEFSE{175}</v>
      </c>
      <c r="K25" s="293" t="str">
        <f>IFERROR(__xludf.DUMMYFUNCTION("""COMPUTED_VALUE"""),"\FPeval\varLinkInSpecificAndMoreICSEFSE{167}")</f>
        <v>\FPeval\varLinkInSpecificAndMoreICSEFSE{167}</v>
      </c>
      <c r="M25" s="294"/>
      <c r="N25" s="294"/>
      <c r="O25" s="294"/>
      <c r="P25" s="293" t="str">
        <f>IFERROR(__xludf.DUMMYFUNCTION("""COMPUTED_VALUE"""),"\FPeval\varEvolutionArtifactsAvailableBadgeWithoutLinkXXIIICSE{3.4}")</f>
        <v>\FPeval\varEvolutionArtifactsAvailableBadgeWithoutLinkXXIIICSE{3.4}</v>
      </c>
    </row>
    <row r="26">
      <c r="E26" s="293" t="str">
        <f>IFERROR(__xludf.DUMMYFUNCTION("""COMPUTED_VALUE"""),"\FPeval\varFSEArchivalPlatSeventeen{0.0}")</f>
        <v>\FPeval\varFSEArchivalPlatSeventeen{0.0}</v>
      </c>
      <c r="G26" s="293" t="str">
        <f>IFERROR(__xludf.DUMMYFUNCTION("""COMPUTED_VALUE"""),"\FPeval\varFSEEvaluatedArtifactSeventeen{15.3}")</f>
        <v>\FPeval\varFSEEvaluatedArtifactSeventeen{15.3}</v>
      </c>
      <c r="H26" s="293" t="str">
        <f>IFERROR(__xludf.DUMMYFUNCTION("""COMPUTED_VALUE"""),"\FPeval\varTotalPapersXVIIICSEFSE{140}")</f>
        <v>\FPeval\varTotalPapersXVIIICSEFSE{140}</v>
      </c>
      <c r="K26" s="293" t="str">
        <f>IFERROR(__xludf.DUMMYFUNCTION("""COMPUTED_VALUE"""),"\FPeval\varLinkInSpecificFSE{184}")</f>
        <v>\FPeval\varLinkInSpecificFSE{184}</v>
      </c>
      <c r="M26" s="294"/>
      <c r="N26" s="294"/>
      <c r="O26" s="294"/>
      <c r="P26" s="293" t="str">
        <f>IFERROR(__xludf.DUMMYFUNCTION("""COMPUTED_VALUE"""),"\FPeval\varEvolutionArtifactsAvailableBadgeWithoutLinkXXIIIFSE{0.0}")</f>
        <v>\FPeval\varEvolutionArtifactsAvailableBadgeWithoutLinkXXIIIFSE{0.0}</v>
      </c>
    </row>
    <row r="27">
      <c r="E27" s="293" t="str">
        <f>IFERROR(__xludf.DUMMYFUNCTION("""COMPUTED_VALUE"""),"\FPeval\varFSEArchivalPlatSixteen{1.9}")</f>
        <v>\FPeval\varFSEArchivalPlatSixteen{1.9}</v>
      </c>
      <c r="G27" s="293" t="str">
        <f>IFERROR(__xludf.DUMMYFUNCTION("""COMPUTED_VALUE"""),"\FPeval\varFSEEvaluatedArtifactSixteen{23.0}")</f>
        <v>\FPeval\varFSEEvaluatedArtifactSixteen{23.0}</v>
      </c>
      <c r="H27" s="293" t="str">
        <f>IFERROR(__xludf.DUMMYFUNCTION("""COMPUTED_VALUE"""),"\FPeval\varTotalPapersXVIIIICSEFSE{166}")</f>
        <v>\FPeval\varTotalPapersXVIIIICSEFSE{166}</v>
      </c>
      <c r="K27" s="293" t="str">
        <f>IFERROR(__xludf.DUMMYFUNCTION("""COMPUTED_VALUE"""),"\FPeval\varLinkInSpecificICSE{127}")</f>
        <v>\FPeval\varLinkInSpecificICSE{127}</v>
      </c>
      <c r="M27" s="294"/>
      <c r="N27" s="294"/>
      <c r="O27" s="294"/>
      <c r="P27" s="293" t="str">
        <f>IFERROR(__xludf.DUMMYFUNCTION("""COMPUTED_VALUE"""),"\FPeval\varEvolutionArtifactsAvailableBadgeWithoutLinkXXIIIICSE{0.0}")</f>
        <v>\FPeval\varEvolutionArtifactsAvailableBadgeWithoutLinkXXIIIICSE{0.0}</v>
      </c>
    </row>
    <row r="28">
      <c r="E28" s="293" t="str">
        <f>IFERROR(__xludf.DUMMYFUNCTION("""COMPUTED_VALUE"""),"\FPeval\varFSEArchivalPlatTwenty{45.1}")</f>
        <v>\FPeval\varFSEArchivalPlatTwenty{45.1}</v>
      </c>
      <c r="G28" s="293" t="str">
        <f>IFERROR(__xludf.DUMMYFUNCTION("""COMPUTED_VALUE"""),"\FPeval\varFSEEvaluatedArtifactTwenty{53.5}")</f>
        <v>\FPeval\varFSEEvaluatedArtifactTwenty{53.5}</v>
      </c>
      <c r="H28" s="293" t="str">
        <f>IFERROR(__xludf.DUMMYFUNCTION("""COMPUTED_VALUE"""),"\FPeval\varTotalPapersXXICSEFSE{230}")</f>
        <v>\FPeval\varTotalPapersXXICSEFSE{230}</v>
      </c>
      <c r="K28" s="293" t="str">
        <f>IFERROR(__xludf.DUMMYFUNCTION("""COMPUTED_VALUE"""),"\FPeval\varLinkInSpecificICSEFSE{311}")</f>
        <v>\FPeval\varLinkInSpecificICSEFSE{311}</v>
      </c>
      <c r="M28" s="294"/>
      <c r="N28" s="294"/>
      <c r="O28" s="294"/>
      <c r="P28" s="293" t="str">
        <f>IFERROR(__xludf.DUMMYFUNCTION("""COMPUTED_VALUE"""),"\FPeval\varEvolutionArtifactsAvailableBadgeWithoutUniqueIdentifierXIXFSE{47.4}")</f>
        <v>\FPeval\varEvolutionArtifactsAvailableBadgeWithoutUniqueIdentifierXIXFSE{47.4}</v>
      </c>
    </row>
    <row r="29">
      <c r="E29" s="293" t="str">
        <f>IFERROR(__xludf.DUMMYFUNCTION("""COMPUTED_VALUE"""),"\FPeval\varFSEArchivalPlatTwentyOne{27.1}")</f>
        <v>\FPeval\varFSEArchivalPlatTwentyOne{27.1}</v>
      </c>
      <c r="G29" s="293" t="str">
        <f>IFERROR(__xludf.DUMMYFUNCTION("""COMPUTED_VALUE"""),"\FPeval\varFSEEvaluatedArtifactTwentyOne{51.5}")</f>
        <v>\FPeval\varFSEEvaluatedArtifactTwentyOne{51.5}</v>
      </c>
      <c r="H29" s="293" t="str">
        <f>IFERROR(__xludf.DUMMYFUNCTION("""COMPUTED_VALUE"""),"\FPeval\varTotalPapersXXIICSEFSE{235}")</f>
        <v>\FPeval\varTotalPapersXXIICSEFSE{235}</v>
      </c>
      <c r="K29" s="293" t="str">
        <f>IFERROR(__xludf.DUMMYFUNCTION("""COMPUTED_VALUE"""),"\FPeval\varLinkOnlyInConclusionFSE{26}")</f>
        <v>\FPeval\varLinkOnlyInConclusionFSE{26}</v>
      </c>
      <c r="M29" s="294"/>
      <c r="N29" s="294"/>
      <c r="O29" s="294"/>
      <c r="P29" s="293" t="str">
        <f>IFERROR(__xludf.DUMMYFUNCTION("""COMPUTED_VALUE"""),"\FPeval\varEvolutionArtifactsAvailableBadgeWithoutUniqueIdentifierXIXICSE{73.0}")</f>
        <v>\FPeval\varEvolutionArtifactsAvailableBadgeWithoutUniqueIdentifierXIXICSE{73.0}</v>
      </c>
    </row>
    <row r="30">
      <c r="E30" s="293" t="str">
        <f>IFERROR(__xludf.DUMMYFUNCTION("""COMPUTED_VALUE"""),"\FPeval\varFSEArchivalPlatTwentyThree{46.4}")</f>
        <v>\FPeval\varFSEArchivalPlatTwentyThree{46.4}</v>
      </c>
      <c r="G30" s="293" t="str">
        <f>IFERROR(__xludf.DUMMYFUNCTION("""COMPUTED_VALUE"""),"\FPeval\varFSEEvaluatedArtifactTwentyThree{48.8}")</f>
        <v>\FPeval\varFSEEvaluatedArtifactTwentyThree{48.8}</v>
      </c>
      <c r="H30" s="293" t="str">
        <f>IFERROR(__xludf.DUMMYFUNCTION("""COMPUTED_VALUE"""),"\FPeval\varTotalPapersXXIIICSEFSE{296}")</f>
        <v>\FPeval\varTotalPapersXXIIICSEFSE{296}</v>
      </c>
      <c r="K30" s="293" t="str">
        <f>IFERROR(__xludf.DUMMYFUNCTION("""COMPUTED_VALUE"""),"\FPeval\varLinkOnlyInConclusionICSE{49}")</f>
        <v>\FPeval\varLinkOnlyInConclusionICSE{49}</v>
      </c>
      <c r="M30" s="294"/>
      <c r="N30" s="294"/>
      <c r="O30" s="294"/>
      <c r="P30" s="293" t="str">
        <f>IFERROR(__xludf.DUMMYFUNCTION("""COMPUTED_VALUE"""),"\FPeval\varEvolutionArtifactsAvailableBadgeWithoutUniqueIdentifierXVIIFSE{100}")</f>
        <v>\FPeval\varEvolutionArtifactsAvailableBadgeWithoutUniqueIdentifierXVIIFSE{100}</v>
      </c>
    </row>
    <row r="31">
      <c r="E31" s="293" t="str">
        <f>IFERROR(__xludf.DUMMYFUNCTION("""COMPUTED_VALUE"""),"\FPeval\varFSEArchivalPlatTwentyTwo{46.2}")</f>
        <v>\FPeval\varFSEArchivalPlatTwentyTwo{46.2}</v>
      </c>
      <c r="G31" s="293" t="str">
        <f>IFERROR(__xludf.DUMMYFUNCTION("""COMPUTED_VALUE"""),"\FPeval\varFSEEvaluatedArtifactTwentyTwo{41.4}")</f>
        <v>\FPeval\varFSEEvaluatedArtifactTwentyTwo{41.4}</v>
      </c>
      <c r="H31" s="293" t="str">
        <f>IFERROR(__xludf.DUMMYFUNCTION("""COMPUTED_VALUE"""),"\FPeval\varTotalPapersXXIIIICSEFSE{334}")</f>
        <v>\FPeval\varTotalPapersXXIIIICSEFSE{334}</v>
      </c>
      <c r="K31" s="293" t="str">
        <f>IFERROR(__xludf.DUMMYFUNCTION("""COMPUTED_VALUE"""),"\FPeval\varLinkOnlyInConclusionICSEFSE{75}")</f>
        <v>\FPeval\varLinkOnlyInConclusionICSEFSE{75}</v>
      </c>
      <c r="M31" s="294"/>
      <c r="N31" s="294"/>
      <c r="O31" s="294"/>
      <c r="P31" s="293" t="str">
        <f>IFERROR(__xludf.DUMMYFUNCTION("""COMPUTED_VALUE"""),"\FPeval\varEvolutionArtifactsAvailableBadgeWithoutUniqueIdentifierXVIIIFSE{61.1}")</f>
        <v>\FPeval\varEvolutionArtifactsAvailableBadgeWithoutUniqueIdentifierXVIIIFSE{61.1}</v>
      </c>
    </row>
    <row r="32">
      <c r="E32" s="293" t="str">
        <f>IFERROR(__xludf.DUMMYFUNCTION("""COMPUTED_VALUE"""),"\FPeval\varFSECodePlatEighteen{58.8}")</f>
        <v>\FPeval\varFSECodePlatEighteen{58.8}</v>
      </c>
      <c r="G32" s="293" t="str">
        <f>IFERROR(__xludf.DUMMYFUNCTION("""COMPUTED_VALUE"""),"\FPeval\varICSEEvaluatedArtifactNineteen{41.3}")</f>
        <v>\FPeval\varICSEEvaluatedArtifactNineteen{41.3}</v>
      </c>
      <c r="H32" s="293" t="str">
        <f>IFERROR(__xludf.DUMMYFUNCTION("""COMPUTED_VALUE"""),"\FPeval\varTotalOfPapersFSE{840}")</f>
        <v>\FPeval\varTotalOfPapersFSE{840}</v>
      </c>
      <c r="K32" s="293" t="str">
        <f>IFERROR(__xludf.DUMMYFUNCTION("""COMPUTED_VALUE"""),"\FPeval\varLinkOnlyInIntroductionFSE{117}")</f>
        <v>\FPeval\varLinkOnlyInIntroductionFSE{117}</v>
      </c>
      <c r="M32" s="294"/>
      <c r="N32" s="294"/>
      <c r="O32" s="294"/>
      <c r="P32" s="293" t="str">
        <f>IFERROR(__xludf.DUMMYFUNCTION("""COMPUTED_VALUE"""),"\FPeval\varEvolutionArtifactsAvailableBadgeWithoutUniqueIdentifierXVIIIICSE{50.0}")</f>
        <v>\FPeval\varEvolutionArtifactsAvailableBadgeWithoutUniqueIdentifierXVIIIICSE{50.0}</v>
      </c>
    </row>
    <row r="33">
      <c r="E33" s="293" t="str">
        <f>IFERROR(__xludf.DUMMYFUNCTION("""COMPUTED_VALUE"""),"\FPeval\varFSECodePlatFifteen{29.2}")</f>
        <v>\FPeval\varFSECodePlatFifteen{29.2}</v>
      </c>
      <c r="G33" s="293" t="str">
        <f>IFERROR(__xludf.DUMMYFUNCTION("""COMPUTED_VALUE"""),"\FPeval\varICSEEvaluatedArtifactTwenty{41.9}")</f>
        <v>\FPeval\varICSEEvaluatedArtifactTwenty{41.9}</v>
      </c>
      <c r="H33" s="293" t="str">
        <f>IFERROR(__xludf.DUMMYFUNCTION("""COMPUTED_VALUE"""),"\FPeval\varTotalOfPapersICSE{1236}")</f>
        <v>\FPeval\varTotalOfPapersICSE{1236}</v>
      </c>
      <c r="K33" s="293" t="str">
        <f>IFERROR(__xludf.DUMMYFUNCTION("""COMPUTED_VALUE"""),"\FPeval\varLinkOnlyInIntroductionICSE{205}")</f>
        <v>\FPeval\varLinkOnlyInIntroductionICSE{205}</v>
      </c>
      <c r="M33" s="294"/>
      <c r="N33" s="294"/>
      <c r="O33" s="294"/>
      <c r="P33" s="293" t="str">
        <f>IFERROR(__xludf.DUMMYFUNCTION("""COMPUTED_VALUE"""),"\FPeval\varEvolutionArtifactsAvailableBadgeWithoutUniqueIdentifierXXFSE{29.4}")</f>
        <v>\FPeval\varEvolutionArtifactsAvailableBadgeWithoutUniqueIdentifierXXFSE{29.4}</v>
      </c>
    </row>
    <row r="34">
      <c r="E34" s="293" t="str">
        <f>IFERROR(__xludf.DUMMYFUNCTION("""COMPUTED_VALUE"""),"\FPeval\varFSECodePlatFourteen{14.3}")</f>
        <v>\FPeval\varFSECodePlatFourteen{14.3}</v>
      </c>
      <c r="G34" s="293" t="str">
        <f>IFERROR(__xludf.DUMMYFUNCTION("""COMPUTED_VALUE"""),"\FPeval\varICSEEvaluatedArtifactTwentyOne{36.2}")</f>
        <v>\FPeval\varICSEEvaluatedArtifactTwentyOne{36.2}</v>
      </c>
      <c r="H34" s="293" t="str">
        <f>IFERROR(__xludf.DUMMYFUNCTION("""COMPUTED_VALUE"""),"\FPeval\varTotalOfPapersICSEFSE{2076}")</f>
        <v>\FPeval\varTotalOfPapersICSEFSE{2076}</v>
      </c>
      <c r="K34" s="293" t="str">
        <f>IFERROR(__xludf.DUMMYFUNCTION("""COMPUTED_VALUE"""),"\FPeval\varLinkOnlyInIntroductionICSEFSE{322}")</f>
        <v>\FPeval\varLinkOnlyInIntroductionICSEFSE{322}</v>
      </c>
      <c r="M34" s="294"/>
      <c r="N34" s="294"/>
      <c r="O34" s="294"/>
      <c r="P34" s="293" t="str">
        <f>IFERROR(__xludf.DUMMYFUNCTION("""COMPUTED_VALUE"""),"\FPeval\varEvolutionArtifactsAvailableBadgeWithoutUniqueIdentifierXXICSE{66.0}")</f>
        <v>\FPeval\varEvolutionArtifactsAvailableBadgeWithoutUniqueIdentifierXXICSE{66.0}</v>
      </c>
    </row>
    <row r="35">
      <c r="E35" s="293" t="str">
        <f>IFERROR(__xludf.DUMMYFUNCTION("""COMPUTED_VALUE"""),"\FPeval\varFSECodePlatNineteen{62.9}")</f>
        <v>\FPeval\varFSECodePlatNineteen{62.9}</v>
      </c>
      <c r="G35" s="293" t="str">
        <f>IFERROR(__xludf.DUMMYFUNCTION("""COMPUTED_VALUE"""),"\FPeval\varICSEEvaluatedArtifactTwentyThree{39.6}")</f>
        <v>\FPeval\varICSEEvaluatedArtifactTwentyThree{39.6}</v>
      </c>
      <c r="K35" s="293" t="str">
        <f>IFERROR(__xludf.DUMMYFUNCTION("""COMPUTED_VALUE"""),"\FPeval\varLinkOnlyInOtherPlacesFSE{231}")</f>
        <v>\FPeval\varLinkOnlyInOtherPlacesFSE{231}</v>
      </c>
      <c r="M35" s="294"/>
      <c r="N35" s="294"/>
      <c r="O35" s="294"/>
      <c r="P35" s="293" t="str">
        <f>IFERROR(__xludf.DUMMYFUNCTION("""COMPUTED_VALUE"""),"\FPeval\varEvolutionArtifactsAvailableBadgeWithoutUniqueIdentifierXXIFSE{60.4}")</f>
        <v>\FPeval\varEvolutionArtifactsAvailableBadgeWithoutUniqueIdentifierXXIFSE{60.4}</v>
      </c>
    </row>
    <row r="36">
      <c r="E36" s="293" t="str">
        <f>IFERROR(__xludf.DUMMYFUNCTION("""COMPUTED_VALUE"""),"\FPeval\varFSECodePlatSeventeen{49.1}")</f>
        <v>\FPeval\varFSECodePlatSeventeen{49.1}</v>
      </c>
      <c r="G36" s="293" t="str">
        <f>IFERROR(__xludf.DUMMYFUNCTION("""COMPUTED_VALUE"""),"\FPeval\varICSEEvaluatedArtifactTwentyTwo{32.0}")</f>
        <v>\FPeval\varICSEEvaluatedArtifactTwentyTwo{32.0}</v>
      </c>
      <c r="K36" s="293" t="str">
        <f>IFERROR(__xludf.DUMMYFUNCTION("""COMPUTED_VALUE"""),"\FPeval\varLinkOnlyInOtherPlacesICSE{365}")</f>
        <v>\FPeval\varLinkOnlyInOtherPlacesICSE{365}</v>
      </c>
      <c r="M36" s="294"/>
      <c r="N36" s="294"/>
      <c r="O36" s="294"/>
      <c r="P36" s="293" t="str">
        <f>IFERROR(__xludf.DUMMYFUNCTION("""COMPUTED_VALUE"""),"\FPeval\varEvolutionArtifactsAvailableBadgeWithoutUniqueIdentifierXXIICSE{36.8}")</f>
        <v>\FPeval\varEvolutionArtifactsAvailableBadgeWithoutUniqueIdentifierXXIICSE{36.8}</v>
      </c>
    </row>
    <row r="37">
      <c r="E37" s="293" t="str">
        <f>IFERROR(__xludf.DUMMYFUNCTION("""COMPUTED_VALUE"""),"\FPeval\varFSECodePlatSixteen{40.7}")</f>
        <v>\FPeval\varFSECodePlatSixteen{40.7}</v>
      </c>
      <c r="I37" s="295"/>
      <c r="J37" s="294"/>
      <c r="K37" s="293" t="str">
        <f>IFERROR(__xludf.DUMMYFUNCTION("""COMPUTED_VALUE"""),"\FPeval\varLinkOnlyInOtherPlacesICSEFSE{596}")</f>
        <v>\FPeval\varLinkOnlyInOtherPlacesICSEFSE{596}</v>
      </c>
      <c r="M37" s="294"/>
      <c r="N37" s="294"/>
      <c r="O37" s="294"/>
      <c r="P37" s="293" t="str">
        <f>IFERROR(__xludf.DUMMYFUNCTION("""COMPUTED_VALUE"""),"\FPeval\varEvolutionArtifactsAvailableBadgeWithoutUniqueIdentifierXXIIFSE{22.0}")</f>
        <v>\FPeval\varEvolutionArtifactsAvailableBadgeWithoutUniqueIdentifierXXIIFSE{22.0}</v>
      </c>
    </row>
    <row r="38">
      <c r="E38" s="293" t="str">
        <f>IFERROR(__xludf.DUMMYFUNCTION("""COMPUTED_VALUE"""),"\FPeval\varFSECodePlatTwenty{53.8}")</f>
        <v>\FPeval\varFSECodePlatTwenty{53.8}</v>
      </c>
      <c r="I38" s="295"/>
      <c r="J38" s="294"/>
      <c r="K38" s="293" t="str">
        <f>IFERROR(__xludf.DUMMYFUNCTION("""COMPUTED_VALUE"""),"\FPeval\varLinkOnlyInSpecificFSE{80}")</f>
        <v>\FPeval\varLinkOnlyInSpecificFSE{80}</v>
      </c>
      <c r="M38" s="294"/>
      <c r="N38" s="294"/>
      <c r="O38" s="294"/>
      <c r="P38" s="293" t="str">
        <f>IFERROR(__xludf.DUMMYFUNCTION("""COMPUTED_VALUE"""),"\FPeval\varEvolutionArtifactsAvailableBadgeWithoutUniqueIdentifierXXIIICSE{39.7}")</f>
        <v>\FPeval\varEvolutionArtifactsAvailableBadgeWithoutUniqueIdentifierXXIIICSE{39.7}</v>
      </c>
    </row>
    <row r="39">
      <c r="E39" s="293" t="str">
        <f>IFERROR(__xludf.DUMMYFUNCTION("""COMPUTED_VALUE"""),"\FPeval\varFSECodePlatTwentyOne{81.2}")</f>
        <v>\FPeval\varFSECodePlatTwentyOne{81.2}</v>
      </c>
      <c r="I39" s="295"/>
      <c r="J39" s="294"/>
      <c r="K39" s="293" t="str">
        <f>IFERROR(__xludf.DUMMYFUNCTION("""COMPUTED_VALUE"""),"\FPeval\varLinkOnlyInSpecificICSE{64}")</f>
        <v>\FPeval\varLinkOnlyInSpecificICSE{64}</v>
      </c>
      <c r="M39" s="294"/>
      <c r="O39" s="294"/>
      <c r="P39" s="293" t="str">
        <f>IFERROR(__xludf.DUMMYFUNCTION("""COMPUTED_VALUE"""),"\FPeval\varEvolutionArtifactsAvailableBadgeWithoutUniqueIdentifierXXIIIFSE{27.4}")</f>
        <v>\FPeval\varEvolutionArtifactsAvailableBadgeWithoutUniqueIdentifierXXIIIFSE{27.4}</v>
      </c>
    </row>
    <row r="40">
      <c r="E40" s="293" t="str">
        <f>IFERROR(__xludf.DUMMYFUNCTION("""COMPUTED_VALUE"""),"\FPeval\varFSECodePlatTwentyThree{64.8}")</f>
        <v>\FPeval\varFSECodePlatTwentyThree{64.8}</v>
      </c>
      <c r="I40" s="295"/>
      <c r="J40" s="294"/>
      <c r="K40" s="293" t="str">
        <f>IFERROR(__xludf.DUMMYFUNCTION("""COMPUTED_VALUE"""),"\FPeval\varLinkOnlyInSpecificICSEFSE{144}")</f>
        <v>\FPeval\varLinkOnlyInSpecificICSEFSE{144}</v>
      </c>
      <c r="M40" s="294"/>
      <c r="O40" s="294"/>
      <c r="P40" s="293" t="str">
        <f>IFERROR(__xludf.DUMMYFUNCTION("""COMPUTED_VALUE"""),"\FPeval\varEvolutionArtifactsAvailableBadgeWithoutUniqueIdentifierXXIIIICSE{50.0}")</f>
        <v>\FPeval\varEvolutionArtifactsAvailableBadgeWithoutUniqueIdentifierXXIIIICSE{50.0}</v>
      </c>
    </row>
    <row r="41">
      <c r="E41" s="293" t="str">
        <f>IFERROR(__xludf.DUMMYFUNCTION("""COMPUTED_VALUE"""),"\FPeval\varFSECodePlatTwentyTwo{58.2}")</f>
        <v>\FPeval\varFSECodePlatTwentyTwo{58.2}</v>
      </c>
      <c r="I41" s="295"/>
      <c r="J41" s="294"/>
      <c r="M41" s="294"/>
      <c r="P41" s="293" t="str">
        <f>IFERROR(__xludf.DUMMYFUNCTION("""COMPUTED_VALUE"""),"\FPeval\varEvolutionBadgeArtifactAvailableXIXFSE{19}")</f>
        <v>\FPeval\varEvolutionBadgeArtifactAvailableXIXFSE{19}</v>
      </c>
    </row>
    <row r="42">
      <c r="E42" s="293" t="str">
        <f>IFERROR(__xludf.DUMMYFUNCTION("""COMPUTED_VALUE"""),"\FPeval\varFSEOtherAndGeneraPurposeEighteen{21.6}")</f>
        <v>\FPeval\varFSEOtherAndGeneraPurposeEighteen{21.6}</v>
      </c>
      <c r="I42" s="295"/>
      <c r="J42" s="294"/>
      <c r="M42" s="294"/>
      <c r="P42" s="293" t="str">
        <f>IFERROR(__xludf.DUMMYFUNCTION("""COMPUTED_VALUE"""),"\FPeval\varEvolutionBadgeArtifactAvailableXIXICSE{37}")</f>
        <v>\FPeval\varEvolutionBadgeArtifactAvailableXIXICSE{37}</v>
      </c>
    </row>
    <row r="43">
      <c r="E43" s="293" t="str">
        <f>IFERROR(__xludf.DUMMYFUNCTION("""COMPUTED_VALUE"""),"\FPeval\varFSEOtherAndGeneraPurposeFifteen{33.3}")</f>
        <v>\FPeval\varFSEOtherAndGeneraPurposeFifteen{33.3}</v>
      </c>
      <c r="I43" s="294"/>
      <c r="J43" s="295"/>
      <c r="K43" s="295"/>
      <c r="L43" s="294"/>
      <c r="M43" s="294"/>
      <c r="P43" s="293" t="str">
        <f>IFERROR(__xludf.DUMMYFUNCTION("""COMPUTED_VALUE"""),"\FPeval\varEvolutionBadgeArtifactAvailableXVIIFSE{1}")</f>
        <v>\FPeval\varEvolutionBadgeArtifactAvailableXVIIFSE{1}</v>
      </c>
    </row>
    <row r="44">
      <c r="E44" s="293" t="str">
        <f>IFERROR(__xludf.DUMMYFUNCTION("""COMPUTED_VALUE"""),"\FPeval\varFSEOtherAndGeneraPurposeFourteen{22.9}")</f>
        <v>\FPeval\varFSEOtherAndGeneraPurposeFourteen{22.9}</v>
      </c>
      <c r="I44" s="294"/>
      <c r="J44" s="295"/>
      <c r="K44" s="295"/>
      <c r="L44" s="294"/>
      <c r="M44" s="294"/>
      <c r="P44" s="293" t="str">
        <f>IFERROR(__xludf.DUMMYFUNCTION("""COMPUTED_VALUE"""),"\FPeval\varEvolutionBadgeArtifactAvailableXVIIICSE{0}")</f>
        <v>\FPeval\varEvolutionBadgeArtifactAvailableXVIIICSE{0}</v>
      </c>
    </row>
    <row r="45">
      <c r="E45" s="293" t="str">
        <f>IFERROR(__xludf.DUMMYFUNCTION("""COMPUTED_VALUE"""),"\FPeval\varFSEOtherAndGeneraPurposeNineteen{16.1}")</f>
        <v>\FPeval\varFSEOtherAndGeneraPurposeNineteen{16.1}</v>
      </c>
      <c r="I45" s="294"/>
      <c r="J45" s="295"/>
      <c r="K45" s="295"/>
      <c r="L45" s="294"/>
      <c r="M45" s="294"/>
      <c r="P45" s="293" t="str">
        <f>IFERROR(__xludf.DUMMYFUNCTION("""COMPUTED_VALUE"""),"\FPeval\varEvolutionBadgeArtifactAvailableXVIIIFSE{18}")</f>
        <v>\FPeval\varEvolutionBadgeArtifactAvailableXVIIIFSE{18}</v>
      </c>
    </row>
    <row r="46">
      <c r="E46" s="293" t="str">
        <f>IFERROR(__xludf.DUMMYFUNCTION("""COMPUTED_VALUE"""),"\FPeval\varFSEOtherAndGeneraPurposeSeventeen{18.9}")</f>
        <v>\FPeval\varFSEOtherAndGeneraPurposeSeventeen{18.9}</v>
      </c>
      <c r="I46" s="294"/>
      <c r="J46" s="295"/>
      <c r="K46" s="295"/>
      <c r="L46" s="294"/>
      <c r="M46" s="294"/>
      <c r="P46" s="293" t="str">
        <f>IFERROR(__xludf.DUMMYFUNCTION("""COMPUTED_VALUE"""),"\FPeval\varEvolutionBadgeArtifactAvailableXVIIIICSE{2}")</f>
        <v>\FPeval\varEvolutionBadgeArtifactAvailableXVIIIICSE{2}</v>
      </c>
    </row>
    <row r="47">
      <c r="E47" s="293" t="str">
        <f>IFERROR(__xludf.DUMMYFUNCTION("""COMPUTED_VALUE"""),"\FPeval\varFSEOtherAndGeneraPurposeSixteen{35.2}")</f>
        <v>\FPeval\varFSEOtherAndGeneraPurposeSixteen{35.2}</v>
      </c>
      <c r="I47" s="294"/>
      <c r="J47" s="295"/>
      <c r="K47" s="295"/>
      <c r="L47" s="294"/>
      <c r="M47" s="294"/>
      <c r="P47" s="293" t="str">
        <f>IFERROR(__xludf.DUMMYFUNCTION("""COMPUTED_VALUE"""),"\FPeval\varEvolutionBadgeArtifactAvailableXXFSE{51}")</f>
        <v>\FPeval\varEvolutionBadgeArtifactAvailableXXFSE{51}</v>
      </c>
    </row>
    <row r="48">
      <c r="E48" s="293" t="str">
        <f>IFERROR(__xludf.DUMMYFUNCTION("""COMPUTED_VALUE"""),"\FPeval\varFSEOtherAndGeneraPurposeTwenty{18.7}")</f>
        <v>\FPeval\varFSEOtherAndGeneraPurposeTwenty{18.7}</v>
      </c>
      <c r="I48" s="294"/>
      <c r="J48" s="295"/>
      <c r="K48" s="295"/>
      <c r="L48" s="294"/>
      <c r="M48" s="294"/>
      <c r="P48" s="293" t="str">
        <f>IFERROR(__xludf.DUMMYFUNCTION("""COMPUTED_VALUE"""),"\FPeval\varEvolutionBadgeArtifactAvailableXXICSE{50}")</f>
        <v>\FPeval\varEvolutionBadgeArtifactAvailableXXICSE{50}</v>
      </c>
    </row>
    <row r="49">
      <c r="E49" s="293" t="str">
        <f>IFERROR(__xludf.DUMMYFUNCTION("""COMPUTED_VALUE"""),"\FPeval\varFSEOtherAndGeneraPurposeTwentyOne{4.7}")</f>
        <v>\FPeval\varFSEOtherAndGeneraPurposeTwentyOne{4.7}</v>
      </c>
      <c r="I49" s="294"/>
      <c r="J49" s="294"/>
      <c r="K49" s="295"/>
      <c r="L49" s="294"/>
      <c r="M49" s="294"/>
      <c r="P49" s="293" t="str">
        <f>IFERROR(__xludf.DUMMYFUNCTION("""COMPUTED_VALUE"""),"\FPeval\varEvolutionBadgeArtifactAvailableXXIFSE{48}")</f>
        <v>\FPeval\varEvolutionBadgeArtifactAvailableXXIFSE{48}</v>
      </c>
    </row>
    <row r="50">
      <c r="E50" s="293" t="str">
        <f>IFERROR(__xludf.DUMMYFUNCTION("""COMPUTED_VALUE"""),"\FPeval\varFSEOtherAndGeneraPurposeTwentyThree{12.8}")</f>
        <v>\FPeval\varFSEOtherAndGeneraPurposeTwentyThree{12.8}</v>
      </c>
      <c r="I50" s="294"/>
      <c r="J50" s="294"/>
      <c r="K50" s="295"/>
      <c r="L50" s="294"/>
      <c r="M50" s="294"/>
      <c r="P50" s="293" t="str">
        <f>IFERROR(__xludf.DUMMYFUNCTION("""COMPUTED_VALUE"""),"\FPeval\varEvolutionBadgeArtifactAvailableXXIICSE{38}")</f>
        <v>\FPeval\varEvolutionBadgeArtifactAvailableXXIICSE{38}</v>
      </c>
    </row>
    <row r="51">
      <c r="E51" s="293" t="str">
        <f>IFERROR(__xludf.DUMMYFUNCTION("""COMPUTED_VALUE"""),"\FPeval\varFSEOtherAndGeneraPurposeTwentyTwo{15.4}")</f>
        <v>\FPeval\varFSEOtherAndGeneraPurposeTwentyTwo{15.4}</v>
      </c>
      <c r="I51" s="294"/>
      <c r="J51" s="294"/>
      <c r="K51" s="295"/>
      <c r="L51" s="294"/>
      <c r="M51" s="294"/>
      <c r="P51" s="293" t="str">
        <f>IFERROR(__xludf.DUMMYFUNCTION("""COMPUTED_VALUE"""),"\FPeval\varEvolutionBadgeArtifactAvailableXXIIFSE{41}")</f>
        <v>\FPeval\varEvolutionBadgeArtifactAvailableXXIIFSE{41}</v>
      </c>
    </row>
    <row r="52">
      <c r="E52" s="293" t="str">
        <f>IFERROR(__xludf.DUMMYFUNCTION("""COMPUTED_VALUE"""),"\FPeval\varICSEArchivalPlatEighteen{13.3}")</f>
        <v>\FPeval\varICSEArchivalPlatEighteen{13.3}</v>
      </c>
      <c r="I52" s="294"/>
      <c r="J52" s="294"/>
      <c r="K52" s="295"/>
      <c r="L52" s="294"/>
      <c r="M52" s="294"/>
      <c r="P52" s="293" t="str">
        <f>IFERROR(__xludf.DUMMYFUNCTION("""COMPUTED_VALUE"""),"\FPeval\varEvolutionBadgeArtifactAvailableXXIIICSE{58}")</f>
        <v>\FPeval\varEvolutionBadgeArtifactAvailableXXIIICSE{58}</v>
      </c>
    </row>
    <row r="53">
      <c r="E53" s="293" t="str">
        <f>IFERROR(__xludf.DUMMYFUNCTION("""COMPUTED_VALUE"""),"\FPeval\varICSEArchivalPlatFifteen{2.0}")</f>
        <v>\FPeval\varICSEArchivalPlatFifteen{2.0}</v>
      </c>
      <c r="I53" s="294"/>
      <c r="J53" s="294"/>
      <c r="K53" s="295"/>
      <c r="L53" s="294"/>
      <c r="M53" s="294"/>
      <c r="P53" s="293" t="str">
        <f>IFERROR(__xludf.DUMMYFUNCTION("""COMPUTED_VALUE"""),"\FPeval\varEvolutionBadgeArtifactAvailableXXIIIFSE{62}")</f>
        <v>\FPeval\varEvolutionBadgeArtifactAvailableXXIIIFSE{62}</v>
      </c>
    </row>
    <row r="54">
      <c r="E54" s="293" t="str">
        <f>IFERROR(__xludf.DUMMYFUNCTION("""COMPUTED_VALUE"""),"\FPeval\varICSEArchivalPlatFourteen{0.0}")</f>
        <v>\FPeval\varICSEArchivalPlatFourteen{0.0}</v>
      </c>
      <c r="I54" s="294"/>
      <c r="J54" s="294"/>
      <c r="K54" s="295"/>
      <c r="L54" s="294"/>
      <c r="M54" s="294"/>
      <c r="P54" s="293" t="str">
        <f>IFERROR(__xludf.DUMMYFUNCTION("""COMPUTED_VALUE"""),"\FPeval\varEvolutionBadgeArtifactAvailableXXIIIICSE{80}")</f>
        <v>\FPeval\varEvolutionBadgeArtifactAvailableXXIIIICSE{80}</v>
      </c>
    </row>
    <row r="55">
      <c r="E55" s="293" t="str">
        <f>IFERROR(__xludf.DUMMYFUNCTION("""COMPUTED_VALUE"""),"\FPeval\varICSEArchivalPlatNineteen{17.7}")</f>
        <v>\FPeval\varICSEArchivalPlatNineteen{17.7}</v>
      </c>
      <c r="I55" s="294"/>
      <c r="J55" s="294"/>
      <c r="K55" s="295"/>
      <c r="L55" s="294"/>
      <c r="M55" s="294"/>
    </row>
    <row r="56">
      <c r="E56" s="293" t="str">
        <f>IFERROR(__xludf.DUMMYFUNCTION("""COMPUTED_VALUE"""),"\FPeval\varICSEArchivalPlatSeventeen{3.6}")</f>
        <v>\FPeval\varICSEArchivalPlatSeventeen{3.6}</v>
      </c>
      <c r="I56" s="294"/>
      <c r="J56" s="294"/>
      <c r="K56" s="295"/>
      <c r="L56" s="294"/>
      <c r="M56" s="294"/>
    </row>
    <row r="57">
      <c r="E57" s="293" t="str">
        <f>IFERROR(__xludf.DUMMYFUNCTION("""COMPUTED_VALUE"""),"\FPeval\varICSEArchivalPlatSixteen{8.6}")</f>
        <v>\FPeval\varICSEArchivalPlatSixteen{8.6}</v>
      </c>
      <c r="I57" s="294"/>
      <c r="J57" s="294"/>
      <c r="K57" s="295"/>
      <c r="L57" s="294"/>
      <c r="M57" s="294"/>
      <c r="O57" s="294"/>
      <c r="P57" s="295"/>
    </row>
    <row r="58">
      <c r="E58" s="293" t="str">
        <f>IFERROR(__xludf.DUMMYFUNCTION("""COMPUTED_VALUE"""),"\FPeval\varICSEArchivalPlatTwenty{20.8}")</f>
        <v>\FPeval\varICSEArchivalPlatTwenty{20.8}</v>
      </c>
      <c r="I58" s="294"/>
      <c r="J58" s="294"/>
      <c r="K58" s="295"/>
      <c r="L58" s="294"/>
      <c r="M58" s="294"/>
      <c r="O58" s="294"/>
      <c r="P58" s="295"/>
    </row>
    <row r="59">
      <c r="E59" s="293" t="str">
        <f>IFERROR(__xludf.DUMMYFUNCTION("""COMPUTED_VALUE"""),"\FPeval\varICSEArchivalPlatTwentyOne{30.8}")</f>
        <v>\FPeval\varICSEArchivalPlatTwentyOne{30.8}</v>
      </c>
      <c r="I59" s="294"/>
      <c r="J59" s="294"/>
      <c r="K59" s="295"/>
      <c r="L59" s="294"/>
      <c r="M59" s="294"/>
      <c r="O59" s="294"/>
      <c r="P59" s="295"/>
    </row>
    <row r="60">
      <c r="E60" s="293" t="str">
        <f>IFERROR(__xludf.DUMMYFUNCTION("""COMPUTED_VALUE"""),"\FPeval\varICSEArchivalPlatTwentyThree{36.0}")</f>
        <v>\FPeval\varICSEArchivalPlatTwentyThree{36.0}</v>
      </c>
      <c r="I60" s="294"/>
      <c r="J60" s="294"/>
      <c r="K60" s="295"/>
      <c r="L60" s="294"/>
      <c r="M60" s="294"/>
      <c r="O60" s="294"/>
      <c r="P60" s="295"/>
    </row>
    <row r="61">
      <c r="E61" s="293" t="str">
        <f>IFERROR(__xludf.DUMMYFUNCTION("""COMPUTED_VALUE"""),"\FPeval\varICSEArchivalPlatTwentyTwo{31.8}")</f>
        <v>\FPeval\varICSEArchivalPlatTwentyTwo{31.8}</v>
      </c>
      <c r="I61" s="294"/>
      <c r="J61" s="294"/>
      <c r="K61" s="295"/>
      <c r="L61" s="294"/>
      <c r="M61" s="294"/>
      <c r="O61" s="294"/>
      <c r="P61" s="295"/>
    </row>
    <row r="62">
      <c r="E62" s="293" t="str">
        <f>IFERROR(__xludf.DUMMYFUNCTION("""COMPUTED_VALUE"""),"\FPeval\varICSECodePlatEighteen{49.4}")</f>
        <v>\FPeval\varICSECodePlatEighteen{49.4}</v>
      </c>
      <c r="I62" s="294"/>
      <c r="J62" s="294"/>
      <c r="K62" s="295"/>
      <c r="L62" s="294"/>
      <c r="M62" s="294"/>
      <c r="O62" s="294"/>
      <c r="P62" s="295"/>
    </row>
    <row r="63">
      <c r="E63" s="293" t="str">
        <f>IFERROR(__xludf.DUMMYFUNCTION("""COMPUTED_VALUE"""),"\FPeval\varICSECodePlatFifteen{16.3}")</f>
        <v>\FPeval\varICSECodePlatFifteen{16.3}</v>
      </c>
      <c r="I63" s="294"/>
      <c r="J63" s="294"/>
      <c r="K63" s="295"/>
      <c r="L63" s="294"/>
      <c r="M63" s="294"/>
      <c r="O63" s="294"/>
      <c r="P63" s="295"/>
    </row>
    <row r="64">
      <c r="E64" s="293" t="str">
        <f>IFERROR(__xludf.DUMMYFUNCTION("""COMPUTED_VALUE"""),"\FPeval\varICSECodePlatFourteen{17.7}")</f>
        <v>\FPeval\varICSECodePlatFourteen{17.7}</v>
      </c>
      <c r="I64" s="294"/>
      <c r="J64" s="294"/>
      <c r="K64" s="295"/>
      <c r="L64" s="294"/>
      <c r="M64" s="294"/>
      <c r="O64" s="294"/>
      <c r="P64" s="295"/>
    </row>
    <row r="65">
      <c r="E65" s="293" t="str">
        <f>IFERROR(__xludf.DUMMYFUNCTION("""COMPUTED_VALUE"""),"\FPeval\varICSECodePlatNineteen{62.0}")</f>
        <v>\FPeval\varICSECodePlatNineteen{62.0}</v>
      </c>
      <c r="I65" s="294"/>
      <c r="J65" s="294"/>
      <c r="K65" s="295"/>
      <c r="L65" s="294"/>
      <c r="O65" s="294"/>
      <c r="P65" s="295"/>
    </row>
    <row r="66">
      <c r="E66" s="293" t="str">
        <f>IFERROR(__xludf.DUMMYFUNCTION("""COMPUTED_VALUE"""),"\FPeval\varICSECodePlatSeventeen{42.9}")</f>
        <v>\FPeval\varICSECodePlatSeventeen{42.9}</v>
      </c>
      <c r="I66" s="294"/>
      <c r="J66" s="294"/>
      <c r="K66" s="295"/>
      <c r="L66" s="294"/>
      <c r="O66" s="294"/>
      <c r="P66" s="295"/>
    </row>
    <row r="67">
      <c r="E67" s="293" t="str">
        <f>IFERROR(__xludf.DUMMYFUNCTION("""COMPUTED_VALUE"""),"\FPeval\varICSECodePlatSixteen{18.6}")</f>
        <v>\FPeval\varICSECodePlatSixteen{18.6}</v>
      </c>
      <c r="I67" s="294"/>
      <c r="J67" s="294"/>
      <c r="K67" s="295"/>
      <c r="L67" s="294"/>
      <c r="O67" s="294"/>
      <c r="P67" s="295"/>
    </row>
    <row r="68">
      <c r="E68" s="293" t="str">
        <f>IFERROR(__xludf.DUMMYFUNCTION("""COMPUTED_VALUE"""),"\FPeval\varICSECodePlatTwenty{69.8}")</f>
        <v>\FPeval\varICSECodePlatTwenty{69.8}</v>
      </c>
      <c r="I68" s="294"/>
      <c r="J68" s="294"/>
      <c r="K68" s="295"/>
      <c r="L68" s="294"/>
      <c r="O68" s="294"/>
      <c r="P68" s="295"/>
    </row>
    <row r="69">
      <c r="E69" s="293" t="str">
        <f>IFERROR(__xludf.DUMMYFUNCTION("""COMPUTED_VALUE"""),"\FPeval\varICSECodePlatTwentyOne{66.7}")</f>
        <v>\FPeval\varICSECodePlatTwentyOne{66.7}</v>
      </c>
      <c r="I69" s="294"/>
      <c r="J69" s="294"/>
      <c r="K69" s="295"/>
      <c r="L69" s="294"/>
      <c r="O69" s="294"/>
      <c r="P69" s="295"/>
    </row>
    <row r="70">
      <c r="E70" s="293" t="str">
        <f>IFERROR(__xludf.DUMMYFUNCTION("""COMPUTED_VALUE"""),"\FPeval\varICSECodePlatTwentyThree{68.5}")</f>
        <v>\FPeval\varICSECodePlatTwentyThree{68.5}</v>
      </c>
      <c r="I70" s="294"/>
      <c r="J70" s="294"/>
      <c r="K70" s="295"/>
      <c r="L70" s="294"/>
      <c r="O70" s="294"/>
      <c r="P70" s="295"/>
    </row>
    <row r="71">
      <c r="E71" s="293" t="str">
        <f>IFERROR(__xludf.DUMMYFUNCTION("""COMPUTED_VALUE"""),"\FPeval\varICSECodePlatTwentyTwo{71.0}")</f>
        <v>\FPeval\varICSECodePlatTwentyTwo{71.0}</v>
      </c>
      <c r="I71" s="294"/>
      <c r="J71" s="294"/>
      <c r="K71" s="295"/>
      <c r="L71" s="294"/>
      <c r="O71" s="294"/>
      <c r="P71" s="295"/>
    </row>
    <row r="72">
      <c r="E72" s="293" t="str">
        <f>IFERROR(__xludf.DUMMYFUNCTION("""COMPUTED_VALUE"""),"\FPeval\varICSEOtherAndGeneraPurposeEighteen{27.7}")</f>
        <v>\FPeval\varICSEOtherAndGeneraPurposeEighteen{27.7}</v>
      </c>
      <c r="I72" s="294"/>
      <c r="J72" s="294"/>
      <c r="K72" s="295"/>
      <c r="L72" s="294"/>
      <c r="O72" s="294"/>
      <c r="P72" s="295"/>
    </row>
    <row r="73">
      <c r="E73" s="293" t="str">
        <f>IFERROR(__xludf.DUMMYFUNCTION("""COMPUTED_VALUE"""),"\FPeval\varICSEOtherAndGeneraPurposeFifteen{30.6}")</f>
        <v>\FPeval\varICSEOtherAndGeneraPurposeFifteen{30.6}</v>
      </c>
      <c r="I73" s="294"/>
      <c r="J73" s="294"/>
      <c r="K73" s="295"/>
      <c r="L73" s="294"/>
      <c r="O73" s="294"/>
      <c r="P73" s="295"/>
    </row>
    <row r="74">
      <c r="E74" s="293" t="str">
        <f>IFERROR(__xludf.DUMMYFUNCTION("""COMPUTED_VALUE"""),"\FPeval\varICSEOtherAndGeneraPurposeFourteen{38.7}")</f>
        <v>\FPeval\varICSEOtherAndGeneraPurposeFourteen{38.7}</v>
      </c>
      <c r="I74" s="294"/>
      <c r="J74" s="294"/>
      <c r="K74" s="295"/>
      <c r="L74" s="294"/>
      <c r="O74" s="294"/>
      <c r="P74" s="295"/>
    </row>
    <row r="75">
      <c r="E75" s="293" t="str">
        <f>IFERROR(__xludf.DUMMYFUNCTION("""COMPUTED_VALUE"""),"\FPeval\varICSEOtherAndGeneraPurposeNineteen{19.0}")</f>
        <v>\FPeval\varICSEOtherAndGeneraPurposeNineteen{19.0}</v>
      </c>
      <c r="I75" s="294"/>
      <c r="J75" s="294"/>
      <c r="K75" s="295"/>
      <c r="L75" s="294"/>
      <c r="O75" s="294"/>
      <c r="P75" s="295"/>
    </row>
    <row r="76">
      <c r="E76" s="293" t="str">
        <f>IFERROR(__xludf.DUMMYFUNCTION("""COMPUTED_VALUE"""),"\FPeval\varICSEOtherAndGeneraPurposeSeventeen{26.8}")</f>
        <v>\FPeval\varICSEOtherAndGeneraPurposeSeventeen{26.8}</v>
      </c>
      <c r="I76" s="294"/>
      <c r="J76" s="294"/>
      <c r="K76" s="295"/>
      <c r="L76" s="294"/>
      <c r="O76" s="294"/>
      <c r="P76" s="295"/>
    </row>
    <row r="77">
      <c r="E77" s="293" t="str">
        <f>IFERROR(__xludf.DUMMYFUNCTION("""COMPUTED_VALUE"""),"\FPeval\varICSEOtherAndGeneraPurposeSixteen{20.0}")</f>
        <v>\FPeval\varICSEOtherAndGeneraPurposeSixteen{20.0}</v>
      </c>
      <c r="I77" s="294"/>
      <c r="J77" s="294"/>
      <c r="K77" s="295"/>
      <c r="L77" s="294"/>
      <c r="O77" s="294"/>
      <c r="P77" s="295"/>
    </row>
    <row r="78">
      <c r="E78" s="293" t="str">
        <f>IFERROR(__xludf.DUMMYFUNCTION("""COMPUTED_VALUE"""),"\FPeval\varICSEOtherAndGeneraPurposeTwenty{14.2}")</f>
        <v>\FPeval\varICSEOtherAndGeneraPurposeTwenty{14.2}</v>
      </c>
      <c r="I78" s="294"/>
      <c r="J78" s="294"/>
      <c r="K78" s="295"/>
      <c r="L78" s="294"/>
      <c r="O78" s="294"/>
      <c r="P78" s="295"/>
    </row>
    <row r="79">
      <c r="E79" s="293" t="str">
        <f>IFERROR(__xludf.DUMMYFUNCTION("""COMPUTED_VALUE"""),"\FPeval\varICSEOtherAndGeneraPurposeTwentyOne{12.5}")</f>
        <v>\FPeval\varICSEOtherAndGeneraPurposeTwentyOne{12.5}</v>
      </c>
      <c r="I79" s="294"/>
      <c r="J79" s="294"/>
      <c r="K79" s="295"/>
      <c r="L79" s="294"/>
      <c r="O79" s="294"/>
    </row>
    <row r="80">
      <c r="E80" s="293" t="str">
        <f>IFERROR(__xludf.DUMMYFUNCTION("""COMPUTED_VALUE"""),"\FPeval\varICSEOtherAndGeneraPurposeTwentyThree{10.5}")</f>
        <v>\FPeval\varICSEOtherAndGeneraPurposeTwentyThree{10.5}</v>
      </c>
      <c r="I80" s="294"/>
      <c r="J80" s="294"/>
      <c r="K80" s="295"/>
      <c r="L80" s="294"/>
      <c r="O80" s="294"/>
    </row>
    <row r="81">
      <c r="E81" s="293" t="str">
        <f>IFERROR(__xludf.DUMMYFUNCTION("""COMPUTED_VALUE"""),"\FPeval\varICSEOtherAndGeneraPurposeTwentyTwo{8.5}")</f>
        <v>\FPeval\varICSEOtherAndGeneraPurposeTwentyTwo{8.5}</v>
      </c>
      <c r="I81" s="294"/>
      <c r="J81" s="294"/>
      <c r="K81" s="295"/>
      <c r="L81" s="294"/>
      <c r="O81" s="294"/>
    </row>
    <row r="82">
      <c r="I82" s="294"/>
      <c r="J82" s="294"/>
      <c r="K82" s="294"/>
      <c r="L82" s="294"/>
      <c r="O82" s="29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88"/>
    <col customWidth="1" min="2" max="30" width="4.0"/>
    <col customWidth="1" min="31" max="31" width="7.13"/>
    <col customWidth="1" min="32" max="33" width="2.63"/>
    <col customWidth="1" min="34" max="34" width="16.63"/>
    <col customWidth="1" min="35" max="35" width="5.88"/>
    <col customWidth="1" min="36" max="36" width="6.5"/>
    <col customWidth="1" min="37" max="37" width="6.25"/>
    <col customWidth="1" min="38" max="38" width="6.88"/>
    <col customWidth="1" min="39" max="39" width="5.63"/>
    <col customWidth="1" min="40" max="40" width="6.13"/>
    <col customWidth="1" min="41" max="41" width="13.88"/>
  </cols>
  <sheetData>
    <row r="1">
      <c r="A1" s="296"/>
      <c r="B1" s="297" t="s">
        <v>5731</v>
      </c>
      <c r="J1" s="298" t="s">
        <v>5732</v>
      </c>
      <c r="P1" s="299" t="s">
        <v>5733</v>
      </c>
      <c r="X1" s="300" t="s">
        <v>5735</v>
      </c>
      <c r="Z1" s="301" t="s">
        <v>5734</v>
      </c>
      <c r="AC1" s="175"/>
      <c r="AD1" s="302"/>
      <c r="AE1" s="302"/>
      <c r="AF1" s="302"/>
      <c r="AG1" s="302"/>
    </row>
    <row r="2">
      <c r="A2" s="303"/>
      <c r="B2" s="192" t="str">
        <f>Links!H2</f>
        <v>Zenodo</v>
      </c>
      <c r="C2" s="192" t="str">
        <f>Links!I2</f>
        <v>Figshare</v>
      </c>
      <c r="D2" s="192" t="str">
        <f>Links!J2</f>
        <v>arXiv</v>
      </c>
      <c r="E2" s="192" t="str">
        <f>Links!K2</f>
        <v>OSF</v>
      </c>
      <c r="F2" s="304" t="str">
        <f>Links!L2</f>
        <v>archive.org</v>
      </c>
      <c r="G2" s="192" t="str">
        <f>Links!M2</f>
        <v>acm.</v>
      </c>
      <c r="H2" s="192" t="str">
        <f>Links!N2</f>
        <v>SoftwareHeritage</v>
      </c>
      <c r="I2" s="192" t="str">
        <f>Links!O2</f>
        <v>mendeley</v>
      </c>
      <c r="J2" s="193" t="str">
        <f>Links!P2</f>
        <v>GitHub</v>
      </c>
      <c r="K2" s="193" t="str">
        <f>Links!Q2</f>
        <v>GitLab</v>
      </c>
      <c r="L2" s="193" t="str">
        <f>Links!R2</f>
        <v>Bitbucket</v>
      </c>
      <c r="M2" s="193" t="str">
        <f>Links!S2</f>
        <v>Docker.</v>
      </c>
      <c r="N2" s="193" t="str">
        <f>Links!T2</f>
        <v>/Pypi</v>
      </c>
      <c r="O2" s="305" t="str">
        <f>Links!U2</f>
        <v>Crates.io</v>
      </c>
      <c r="P2" s="194" t="str">
        <f>Links!V2</f>
        <v>Drive.</v>
      </c>
      <c r="Q2" s="194" t="str">
        <f>Links!W2</f>
        <v>Dropbox</v>
      </c>
      <c r="R2" s="194" t="str">
        <f>Links!X2</f>
        <v>googlecode</v>
      </c>
      <c r="S2" s="194" t="str">
        <f>Links!Y2</f>
        <v>cloud.google</v>
      </c>
      <c r="T2" s="194" t="str">
        <f>Links!Z2</f>
        <v>docs.google</v>
      </c>
      <c r="U2" s="194" t="str">
        <f>Links!AA2</f>
        <v>sites.google</v>
      </c>
      <c r="V2" s="194" t="str">
        <f>Links!AB2</f>
        <v>Youtube</v>
      </c>
      <c r="W2" s="194" t="str">
        <f>Links!AC2</f>
        <v>kaggle</v>
      </c>
      <c r="X2" s="196" t="str">
        <f>Links!AG2</f>
        <v>researchgate</v>
      </c>
      <c r="Y2" s="196" t="str">
        <f>Links!AH2</f>
        <v>Other</v>
      </c>
      <c r="Z2" s="195" t="str">
        <f>Links!AD2</f>
        <v>University</v>
      </c>
      <c r="AA2" s="195" t="str">
        <f>Links!AE2</f>
        <v>Microsoft.</v>
      </c>
      <c r="AB2" s="195" t="str">
        <f>Links!AF2</f>
        <v>ibm</v>
      </c>
      <c r="AC2" s="306" t="str">
        <f>Links!AI2</f>
        <v>Unique identifier</v>
      </c>
      <c r="AD2" s="307" t="str">
        <f>Links!AJ2</f>
        <v>Short link</v>
      </c>
      <c r="AE2" s="308" t="s">
        <v>7342</v>
      </c>
      <c r="AF2" s="308"/>
      <c r="AG2" s="308"/>
    </row>
    <row r="3">
      <c r="A3" s="308" t="s">
        <v>5678</v>
      </c>
      <c r="B3" s="309">
        <f>Links!H1</f>
        <v>328</v>
      </c>
      <c r="C3" s="309">
        <f>Links!I1</f>
        <v>93</v>
      </c>
      <c r="D3" s="309">
        <f>Links!J1</f>
        <v>27</v>
      </c>
      <c r="E3" s="309">
        <f>Links!K1</f>
        <v>5</v>
      </c>
      <c r="F3" s="310">
        <f>Links!L1</f>
        <v>1</v>
      </c>
      <c r="G3" s="310">
        <f>Links!M1</f>
        <v>7</v>
      </c>
      <c r="H3" s="310">
        <f>Links!N1</f>
        <v>6</v>
      </c>
      <c r="I3" s="310">
        <f>Links!O1</f>
        <v>1</v>
      </c>
      <c r="J3" s="311">
        <f>Links!P1</f>
        <v>987</v>
      </c>
      <c r="K3" s="311">
        <f>Links!Q1</f>
        <v>5</v>
      </c>
      <c r="L3" s="311">
        <f>Links!R1</f>
        <v>31</v>
      </c>
      <c r="M3" s="311">
        <f>Links!S1</f>
        <v>7</v>
      </c>
      <c r="N3" s="311">
        <f>Links!T1</f>
        <v>4</v>
      </c>
      <c r="O3" s="311">
        <f>Links!U1</f>
        <v>1</v>
      </c>
      <c r="P3" s="312">
        <f>Links!V1</f>
        <v>28</v>
      </c>
      <c r="Q3" s="312">
        <f>Links!W1</f>
        <v>9</v>
      </c>
      <c r="R3" s="312">
        <f>Links!X1</f>
        <v>2</v>
      </c>
      <c r="S3" s="312">
        <f>Links!Y1</f>
        <v>1</v>
      </c>
      <c r="T3" s="312">
        <f>Links!Z1</f>
        <v>14</v>
      </c>
      <c r="U3" s="312">
        <f>Links!AA1</f>
        <v>108</v>
      </c>
      <c r="V3" s="312">
        <f>Links!AB1</f>
        <v>5</v>
      </c>
      <c r="W3" s="312">
        <f>Links!AC1</f>
        <v>5</v>
      </c>
      <c r="X3" s="313">
        <f>Links!AG1</f>
        <v>1</v>
      </c>
      <c r="Y3" s="313">
        <f>Links!AH1</f>
        <v>187</v>
      </c>
      <c r="Z3" s="314">
        <f>Links!AD1</f>
        <v>300</v>
      </c>
      <c r="AA3" s="314">
        <f>Links!AE1</f>
        <v>7</v>
      </c>
      <c r="AB3" s="314">
        <f>Links!AF1</f>
        <v>2</v>
      </c>
      <c r="AC3" s="315">
        <f>Links!AI1</f>
        <v>461</v>
      </c>
      <c r="AD3" s="316">
        <f>Links!AJ1</f>
        <v>80</v>
      </c>
      <c r="AE3" s="152">
        <f>ArtifactsAvailability!D3</f>
        <v>2171</v>
      </c>
      <c r="AF3" s="303"/>
      <c r="AG3" s="303"/>
      <c r="AH3" s="317" t="s">
        <v>7343</v>
      </c>
      <c r="AI3" s="317" t="s">
        <v>7344</v>
      </c>
      <c r="AJ3" s="317" t="s">
        <v>7345</v>
      </c>
      <c r="AK3" s="317" t="s">
        <v>7346</v>
      </c>
      <c r="AL3" s="317" t="s">
        <v>7347</v>
      </c>
      <c r="AM3" s="317" t="s">
        <v>7348</v>
      </c>
      <c r="AN3" s="317" t="s">
        <v>7349</v>
      </c>
    </row>
    <row r="4">
      <c r="A4" s="308" t="s">
        <v>5675</v>
      </c>
      <c r="B4" s="309">
        <f>SUMIF(Links!$B:$B,$A4,Links!H:H)</f>
        <v>166</v>
      </c>
      <c r="C4" s="309">
        <f>SUMIF(Links!$B:$B,$A4,Links!I:I)</f>
        <v>54</v>
      </c>
      <c r="D4" s="309">
        <f>SUMIF(Links!$B:$B,$A4,Links!J:J)</f>
        <v>17</v>
      </c>
      <c r="E4" s="309">
        <f>SUMIF(Links!$B:$B,$A4,Links!K:K)</f>
        <v>4</v>
      </c>
      <c r="F4" s="309">
        <f>SUMIF(Links!$B:$B,$A4,Links!L:L)</f>
        <v>1</v>
      </c>
      <c r="G4" s="309">
        <f>SUMIF(Links!$B:$B,$A4,Links!M:M)</f>
        <v>1</v>
      </c>
      <c r="H4" s="309">
        <f>SUMIF(Links!$B:$B,$A4,Links!N:N)</f>
        <v>6</v>
      </c>
      <c r="I4" s="309">
        <f>SUMIF(Links!$B:$B,$A4,Links!O:O)</f>
        <v>1</v>
      </c>
      <c r="J4" s="318">
        <f>SUMIF(Links!$B:$B,$A4,Links!P:P)</f>
        <v>568</v>
      </c>
      <c r="K4" s="318">
        <f>SUMIF(Links!$B:$B,$A4,Links!Q:Q)</f>
        <v>4</v>
      </c>
      <c r="L4" s="318">
        <f>SUMIF(Links!$B:$B,$A4,Links!R:R)</f>
        <v>17</v>
      </c>
      <c r="M4" s="318">
        <f>SUMIF(Links!$B:$B,$A4,Links!S:S)</f>
        <v>4</v>
      </c>
      <c r="N4" s="318">
        <f>SUMIF(Links!$B:$B,$A4,Links!T:T)</f>
        <v>0</v>
      </c>
      <c r="O4" s="318">
        <f>SUMIF(Links!$B:$B,$A4,Links!U:U)</f>
        <v>1</v>
      </c>
      <c r="P4" s="319">
        <f>SUMIF(Links!$B:$B,$A4,Links!V:V)</f>
        <v>9</v>
      </c>
      <c r="Q4" s="319">
        <f>SUMIF(Links!$B:$B,$A4,Links!W:W)</f>
        <v>7</v>
      </c>
      <c r="R4" s="319">
        <f>SUMIF(Links!$B:$B,$A4,Links!X:X)</f>
        <v>2</v>
      </c>
      <c r="S4" s="319">
        <f>SUMIF(Links!$B:$B,$A4,Links!Y:Y)</f>
        <v>1</v>
      </c>
      <c r="T4" s="319">
        <f>SUMIF(Links!$B:$B,$A4,Links!Z:Z)</f>
        <v>9</v>
      </c>
      <c r="U4" s="319">
        <f>SUMIF(Links!$B:$B,$A4,Links!AA:AA)</f>
        <v>69</v>
      </c>
      <c r="V4" s="319">
        <f>SUMIF(Links!$B:$B,$A4,Links!AB:AB)</f>
        <v>4</v>
      </c>
      <c r="W4" s="319">
        <f>SUMIF(Links!$B:$B,$A4,Links!AC:AC)</f>
        <v>0</v>
      </c>
      <c r="X4" s="320">
        <f>SUMIF(Links!$B:$B,$A4,Links!AG:AG)</f>
        <v>1</v>
      </c>
      <c r="Y4" s="320">
        <f>SUMIF(Links!$B:$B,$A4,Links!AH:AH)</f>
        <v>89</v>
      </c>
      <c r="Z4" s="321">
        <f>SUMIF(Links!$B:$B,$A4,Links!AD:AD)</f>
        <v>186</v>
      </c>
      <c r="AA4" s="321">
        <f>SUMIF(Links!$B:$B,$A4,Links!AE:AE)</f>
        <v>6</v>
      </c>
      <c r="AB4" s="321">
        <f>SUMIF(Links!$B:$B,$A4,Links!AF:AF)</f>
        <v>1</v>
      </c>
      <c r="AC4" s="322">
        <f>SUMIF(Links!$B:$B,$A4,Links!AI:AI)</f>
        <v>248</v>
      </c>
      <c r="AD4" s="323">
        <f>SUMIF(Links!$B:$B,$A4,Links!AJ:AJ)</f>
        <v>46</v>
      </c>
      <c r="AE4" s="152">
        <f>ArtifactsAvailability!B3</f>
        <v>1227</v>
      </c>
      <c r="AF4" s="303"/>
      <c r="AG4" s="303"/>
      <c r="AH4" s="324" t="s">
        <v>5731</v>
      </c>
      <c r="AI4" s="325">
        <f t="array" ref="AI4">XLOOKUP($AH4,$1:$1,$11:$11,"ERROR",0,1)</f>
        <v>468</v>
      </c>
      <c r="AJ4" s="326" t="str">
        <f t="array" ref="AJ4">TEXT(XLOOKUP($AH4,$1:$1,$15:$15,"ERROR",0,1),"#0.0")&amp;"%"</f>
        <v>21.6%</v>
      </c>
      <c r="AK4" s="325">
        <f t="array" ref="AK4">XLOOKUP($AH4,$1:$1,$12:$12,"ERROR",0,1)</f>
        <v>250</v>
      </c>
      <c r="AL4" s="326" t="str">
        <f t="array" ref="AL4">TEXT(XLOOKUP($AH4,$1:$1,$16:$16,"ERROR",0,1),"#0.0")&amp;"%"</f>
        <v>20.4%</v>
      </c>
      <c r="AM4" s="325">
        <f t="array" ref="AM4">XLOOKUP($AH4,$1:$1,$13:$13,"ERROR",0,1)</f>
        <v>218</v>
      </c>
      <c r="AN4" s="326" t="str">
        <f t="array" ref="AN4">TEXT(XLOOKUP($AH4,$1:$1,$17:$17,"ERROR",0,1),"#0.0")&amp;"%"</f>
        <v>23.1%</v>
      </c>
    </row>
    <row r="5">
      <c r="A5" s="308" t="s">
        <v>5676</v>
      </c>
      <c r="B5" s="309">
        <f>SUMIF(Links!$B:$B,$A5,Links!H:H)</f>
        <v>162</v>
      </c>
      <c r="C5" s="309">
        <f>SUMIF(Links!$B:$B,$A5,Links!I:I)</f>
        <v>39</v>
      </c>
      <c r="D5" s="309">
        <f>SUMIF(Links!$B:$B,$A5,Links!J:J)</f>
        <v>10</v>
      </c>
      <c r="E5" s="309">
        <f>SUMIF(Links!$B:$B,$A5,Links!K:K)</f>
        <v>1</v>
      </c>
      <c r="F5" s="309">
        <f>SUMIF(Links!$B:$B,$A5,Links!L:L)</f>
        <v>0</v>
      </c>
      <c r="G5" s="309">
        <f>SUMIF(Links!$B:$B,$A5,Links!M:M)</f>
        <v>6</v>
      </c>
      <c r="H5" s="309">
        <f>SUMIF(Links!$B:$B,$A5,Links!N:N)</f>
        <v>0</v>
      </c>
      <c r="I5" s="309">
        <f>SUMIF(Links!$B:$B,$A5,Links!O:O)</f>
        <v>0</v>
      </c>
      <c r="J5" s="318">
        <f>SUMIF(Links!$B:$B,$A5,Links!P:P)</f>
        <v>419</v>
      </c>
      <c r="K5" s="318">
        <f>SUMIF(Links!$B:$B,$A5,Links!Q:Q)</f>
        <v>1</v>
      </c>
      <c r="L5" s="318">
        <f>SUMIF(Links!$B:$B,$A5,Links!R:R)</f>
        <v>14</v>
      </c>
      <c r="M5" s="318">
        <f>SUMIF(Links!$B:$B,$A5,Links!S:S)</f>
        <v>3</v>
      </c>
      <c r="N5" s="318">
        <f>SUMIF(Links!$B:$B,$A5,Links!T:T)</f>
        <v>4</v>
      </c>
      <c r="O5" s="318">
        <f>SUMIF(Links!$B:$B,$A5,Links!U:U)</f>
        <v>0</v>
      </c>
      <c r="P5" s="319">
        <f>SUMIF(Links!$B:$B,$A5,Links!V:V)</f>
        <v>19</v>
      </c>
      <c r="Q5" s="319">
        <f>SUMIF(Links!$B:$B,$A5,Links!W:W)</f>
        <v>2</v>
      </c>
      <c r="R5" s="319">
        <f>SUMIF(Links!$B:$B,$A5,Links!X:X)</f>
        <v>0</v>
      </c>
      <c r="S5" s="319">
        <f>SUMIF(Links!$B:$B,$A5,Links!Y:Y)</f>
        <v>0</v>
      </c>
      <c r="T5" s="319">
        <f>SUMIF(Links!$B:$B,$A5,Links!Z:Z)</f>
        <v>5</v>
      </c>
      <c r="U5" s="319">
        <f>SUMIF(Links!$B:$B,$A5,Links!AA:AA)</f>
        <v>39</v>
      </c>
      <c r="V5" s="319">
        <f>SUMIF(Links!$B:$B,$A5,Links!AB:AB)</f>
        <v>1</v>
      </c>
      <c r="W5" s="319">
        <f>SUMIF(Links!$B:$B,$A5,Links!AC:AC)</f>
        <v>5</v>
      </c>
      <c r="X5" s="320">
        <f>SUMIF(Links!$B:$B,$A5,Links!AG:AG)</f>
        <v>0</v>
      </c>
      <c r="Y5" s="320">
        <f>SUMIF(Links!$B:$B,$A5,Links!AH:AH)</f>
        <v>98</v>
      </c>
      <c r="Z5" s="321">
        <f>SUMIF(Links!$B:$B,$A5,Links!AD:AD)</f>
        <v>114</v>
      </c>
      <c r="AA5" s="321">
        <f>SUMIF(Links!$B:$B,$A5,Links!AE:AE)</f>
        <v>1</v>
      </c>
      <c r="AB5" s="321">
        <f>SUMIF(Links!$B:$B,$A5,Links!AF:AF)</f>
        <v>1</v>
      </c>
      <c r="AC5" s="322">
        <f>SUMIF(Links!$B:$B,$A5,Links!AI:AI)</f>
        <v>213</v>
      </c>
      <c r="AD5" s="323">
        <f>SUMIF(Links!$B:$B,$A5,Links!AJ:AJ)</f>
        <v>34</v>
      </c>
      <c r="AE5" s="152">
        <f>ArtifactsAvailability!C3</f>
        <v>944</v>
      </c>
      <c r="AF5" s="303"/>
      <c r="AG5" s="303"/>
      <c r="AH5" s="327" t="s">
        <v>7350</v>
      </c>
      <c r="AI5" s="328">
        <f t="shared" ref="AI5:AI12" si="1">XLOOKUP($AO5,$2:$2,$3:$3,"ERROR",0,1)</f>
        <v>328</v>
      </c>
      <c r="AJ5" s="329" t="str">
        <f t="shared" ref="AJ5:AJ12" si="2">TEXT(XLOOKUP($AO5,$2:$2,$7:$7,"ERROR",0,1),"#0.0")&amp;"%"</f>
        <v>15.1%</v>
      </c>
      <c r="AK5" s="329">
        <f t="shared" ref="AK5:AK12" si="3">XLOOKUP($AO5,$2:$2,$4:$4,"ERROR",0,1)</f>
        <v>166</v>
      </c>
      <c r="AL5" s="329" t="str">
        <f t="shared" ref="AL5:AL12" si="4">TEXT(XLOOKUP($AO5,$2:$2,$8:$8,"ERROR",0,1),"#0.0")&amp;"%"</f>
        <v>13.5%</v>
      </c>
      <c r="AM5" s="329">
        <f t="shared" ref="AM5:AM12" si="5">XLOOKUP($AO5,$2:$2,$5:$5,"ERROR",0,1)</f>
        <v>162</v>
      </c>
      <c r="AN5" s="329" t="str">
        <f t="shared" ref="AN5:AN12" si="6">TEXT(XLOOKUP($AO5,$2:$2,$9:$9,"ERROR",0,1),"#0.0")&amp;"%"</f>
        <v>17.2%</v>
      </c>
      <c r="AO5" s="330" t="s">
        <v>5688</v>
      </c>
    </row>
    <row r="6">
      <c r="AH6" s="327" t="s">
        <v>7351</v>
      </c>
      <c r="AI6" s="328">
        <f t="shared" si="1"/>
        <v>93</v>
      </c>
      <c r="AJ6" s="329" t="str">
        <f t="shared" si="2"/>
        <v>4.3%</v>
      </c>
      <c r="AK6" s="329">
        <f t="shared" si="3"/>
        <v>54</v>
      </c>
      <c r="AL6" s="329" t="str">
        <f t="shared" si="4"/>
        <v>4.4%</v>
      </c>
      <c r="AM6" s="329">
        <f t="shared" si="5"/>
        <v>39</v>
      </c>
      <c r="AN6" s="329" t="str">
        <f t="shared" si="6"/>
        <v>4.1%</v>
      </c>
      <c r="AO6" s="330" t="s">
        <v>5689</v>
      </c>
    </row>
    <row r="7">
      <c r="A7" s="308" t="s">
        <v>5678</v>
      </c>
      <c r="B7" s="331">
        <f t="shared" ref="B7:AD7" si="7">(B3/$AE3)*100</f>
        <v>15.10824505</v>
      </c>
      <c r="C7" s="331">
        <f t="shared" si="7"/>
        <v>4.283740212</v>
      </c>
      <c r="D7" s="331">
        <f t="shared" si="7"/>
        <v>1.243666513</v>
      </c>
      <c r="E7" s="331">
        <f t="shared" si="7"/>
        <v>0.2303086135</v>
      </c>
      <c r="F7" s="331">
        <f t="shared" si="7"/>
        <v>0.04606172271</v>
      </c>
      <c r="G7" s="331">
        <f t="shared" si="7"/>
        <v>0.322432059</v>
      </c>
      <c r="H7" s="331">
        <f t="shared" si="7"/>
        <v>0.2763703363</v>
      </c>
      <c r="I7" s="331">
        <f t="shared" si="7"/>
        <v>0.04606172271</v>
      </c>
      <c r="J7" s="332">
        <f t="shared" si="7"/>
        <v>45.46292031</v>
      </c>
      <c r="K7" s="332">
        <f t="shared" si="7"/>
        <v>0.2303086135</v>
      </c>
      <c r="L7" s="332">
        <f t="shared" si="7"/>
        <v>1.427913404</v>
      </c>
      <c r="M7" s="332">
        <f t="shared" si="7"/>
        <v>0.322432059</v>
      </c>
      <c r="N7" s="332">
        <f t="shared" si="7"/>
        <v>0.1842468908</v>
      </c>
      <c r="O7" s="332">
        <f t="shared" si="7"/>
        <v>0.04606172271</v>
      </c>
      <c r="P7" s="333">
        <f t="shared" si="7"/>
        <v>1.289728236</v>
      </c>
      <c r="Q7" s="333">
        <f t="shared" si="7"/>
        <v>0.4145555044</v>
      </c>
      <c r="R7" s="333">
        <f t="shared" si="7"/>
        <v>0.09212344542</v>
      </c>
      <c r="S7" s="333">
        <f t="shared" si="7"/>
        <v>0.04606172271</v>
      </c>
      <c r="T7" s="333">
        <f t="shared" si="7"/>
        <v>0.6448641179</v>
      </c>
      <c r="U7" s="333">
        <f t="shared" si="7"/>
        <v>4.974666053</v>
      </c>
      <c r="V7" s="333">
        <f t="shared" si="7"/>
        <v>0.2303086135</v>
      </c>
      <c r="W7" s="333">
        <f t="shared" si="7"/>
        <v>0.2303086135</v>
      </c>
      <c r="X7" s="334">
        <f t="shared" si="7"/>
        <v>0.04606172271</v>
      </c>
      <c r="Y7" s="334">
        <f t="shared" si="7"/>
        <v>8.613542146</v>
      </c>
      <c r="Z7" s="335">
        <f t="shared" si="7"/>
        <v>13.81851681</v>
      </c>
      <c r="AA7" s="335">
        <f t="shared" si="7"/>
        <v>0.322432059</v>
      </c>
      <c r="AB7" s="335">
        <f t="shared" si="7"/>
        <v>0.09212344542</v>
      </c>
      <c r="AC7" s="336">
        <f t="shared" si="7"/>
        <v>21.23445417</v>
      </c>
      <c r="AD7" s="337">
        <f t="shared" si="7"/>
        <v>3.684937817</v>
      </c>
      <c r="AE7" s="308" t="str">
        <f t="shared" ref="AE7:AE9" si="9">"% "&amp;A7</f>
        <v>% Total</v>
      </c>
      <c r="AF7" s="308"/>
      <c r="AG7" s="308"/>
      <c r="AH7" s="327" t="s">
        <v>7352</v>
      </c>
      <c r="AI7" s="328">
        <f t="shared" si="1"/>
        <v>27</v>
      </c>
      <c r="AJ7" s="329" t="str">
        <f t="shared" si="2"/>
        <v>1.2%</v>
      </c>
      <c r="AK7" s="329">
        <f t="shared" si="3"/>
        <v>17</v>
      </c>
      <c r="AL7" s="329" t="str">
        <f t="shared" si="4"/>
        <v>1.4%</v>
      </c>
      <c r="AM7" s="329">
        <f t="shared" si="5"/>
        <v>10</v>
      </c>
      <c r="AN7" s="329" t="str">
        <f t="shared" si="6"/>
        <v>1.1%</v>
      </c>
      <c r="AO7" s="330" t="s">
        <v>5690</v>
      </c>
    </row>
    <row r="8">
      <c r="A8" s="308" t="s">
        <v>5675</v>
      </c>
      <c r="B8" s="331">
        <f t="shared" ref="B8:AD8" si="8">(B4/$AE4)*100</f>
        <v>13.52893236</v>
      </c>
      <c r="C8" s="331">
        <f t="shared" si="8"/>
        <v>4.400977995</v>
      </c>
      <c r="D8" s="331">
        <f t="shared" si="8"/>
        <v>1.385493073</v>
      </c>
      <c r="E8" s="331">
        <f t="shared" si="8"/>
        <v>0.32599837</v>
      </c>
      <c r="F8" s="331">
        <f t="shared" si="8"/>
        <v>0.0814995925</v>
      </c>
      <c r="G8" s="331">
        <f t="shared" si="8"/>
        <v>0.0814995925</v>
      </c>
      <c r="H8" s="331">
        <f t="shared" si="8"/>
        <v>0.488997555</v>
      </c>
      <c r="I8" s="331">
        <f t="shared" si="8"/>
        <v>0.0814995925</v>
      </c>
      <c r="J8" s="332">
        <f t="shared" si="8"/>
        <v>46.29176854</v>
      </c>
      <c r="K8" s="332">
        <f t="shared" si="8"/>
        <v>0.32599837</v>
      </c>
      <c r="L8" s="332">
        <f t="shared" si="8"/>
        <v>1.385493073</v>
      </c>
      <c r="M8" s="332">
        <f t="shared" si="8"/>
        <v>0.32599837</v>
      </c>
      <c r="N8" s="332">
        <f t="shared" si="8"/>
        <v>0</v>
      </c>
      <c r="O8" s="332">
        <f t="shared" si="8"/>
        <v>0.0814995925</v>
      </c>
      <c r="P8" s="333">
        <f t="shared" si="8"/>
        <v>0.7334963325</v>
      </c>
      <c r="Q8" s="333">
        <f t="shared" si="8"/>
        <v>0.5704971475</v>
      </c>
      <c r="R8" s="333">
        <f t="shared" si="8"/>
        <v>0.162999185</v>
      </c>
      <c r="S8" s="333">
        <f t="shared" si="8"/>
        <v>0.0814995925</v>
      </c>
      <c r="T8" s="333">
        <f t="shared" si="8"/>
        <v>0.7334963325</v>
      </c>
      <c r="U8" s="333">
        <f t="shared" si="8"/>
        <v>5.623471883</v>
      </c>
      <c r="V8" s="333">
        <f t="shared" si="8"/>
        <v>0.32599837</v>
      </c>
      <c r="W8" s="333">
        <f t="shared" si="8"/>
        <v>0</v>
      </c>
      <c r="X8" s="334">
        <f t="shared" si="8"/>
        <v>0.0814995925</v>
      </c>
      <c r="Y8" s="334">
        <f t="shared" si="8"/>
        <v>7.253463733</v>
      </c>
      <c r="Z8" s="335">
        <f t="shared" si="8"/>
        <v>15.15892421</v>
      </c>
      <c r="AA8" s="335">
        <f t="shared" si="8"/>
        <v>0.488997555</v>
      </c>
      <c r="AB8" s="335">
        <f t="shared" si="8"/>
        <v>0.0814995925</v>
      </c>
      <c r="AC8" s="336">
        <f t="shared" si="8"/>
        <v>20.21189894</v>
      </c>
      <c r="AD8" s="337">
        <f t="shared" si="8"/>
        <v>3.748981255</v>
      </c>
      <c r="AE8" s="308" t="str">
        <f t="shared" si="9"/>
        <v>% ICSE</v>
      </c>
      <c r="AF8" s="308"/>
      <c r="AG8" s="308"/>
      <c r="AH8" s="327" t="s">
        <v>7353</v>
      </c>
      <c r="AI8" s="328">
        <f t="shared" si="1"/>
        <v>7</v>
      </c>
      <c r="AJ8" s="329" t="str">
        <f t="shared" si="2"/>
        <v>0.3%</v>
      </c>
      <c r="AK8" s="329">
        <f t="shared" si="3"/>
        <v>1</v>
      </c>
      <c r="AL8" s="329" t="str">
        <f t="shared" si="4"/>
        <v>0.1%</v>
      </c>
      <c r="AM8" s="329">
        <f t="shared" si="5"/>
        <v>6</v>
      </c>
      <c r="AN8" s="329" t="str">
        <f t="shared" si="6"/>
        <v>0.6%</v>
      </c>
      <c r="AO8" s="330" t="s">
        <v>5693</v>
      </c>
    </row>
    <row r="9">
      <c r="A9" s="308" t="s">
        <v>5676</v>
      </c>
      <c r="B9" s="331">
        <f t="shared" ref="B9:AD9" si="10">(B5/$AE5)*100</f>
        <v>17.16101695</v>
      </c>
      <c r="C9" s="331">
        <f t="shared" si="10"/>
        <v>4.131355932</v>
      </c>
      <c r="D9" s="331">
        <f t="shared" si="10"/>
        <v>1.059322034</v>
      </c>
      <c r="E9" s="331">
        <f t="shared" si="10"/>
        <v>0.1059322034</v>
      </c>
      <c r="F9" s="331">
        <f t="shared" si="10"/>
        <v>0</v>
      </c>
      <c r="G9" s="331">
        <f t="shared" si="10"/>
        <v>0.6355932203</v>
      </c>
      <c r="H9" s="331">
        <f t="shared" si="10"/>
        <v>0</v>
      </c>
      <c r="I9" s="331">
        <f t="shared" si="10"/>
        <v>0</v>
      </c>
      <c r="J9" s="332">
        <f t="shared" si="10"/>
        <v>44.38559322</v>
      </c>
      <c r="K9" s="332">
        <f t="shared" si="10"/>
        <v>0.1059322034</v>
      </c>
      <c r="L9" s="332">
        <f t="shared" si="10"/>
        <v>1.483050847</v>
      </c>
      <c r="M9" s="332">
        <f t="shared" si="10"/>
        <v>0.3177966102</v>
      </c>
      <c r="N9" s="332">
        <f t="shared" si="10"/>
        <v>0.4237288136</v>
      </c>
      <c r="O9" s="332">
        <f t="shared" si="10"/>
        <v>0</v>
      </c>
      <c r="P9" s="333">
        <f t="shared" si="10"/>
        <v>2.012711864</v>
      </c>
      <c r="Q9" s="333">
        <f t="shared" si="10"/>
        <v>0.2118644068</v>
      </c>
      <c r="R9" s="333">
        <f t="shared" si="10"/>
        <v>0</v>
      </c>
      <c r="S9" s="333">
        <f t="shared" si="10"/>
        <v>0</v>
      </c>
      <c r="T9" s="333">
        <f t="shared" si="10"/>
        <v>0.5296610169</v>
      </c>
      <c r="U9" s="333">
        <f t="shared" si="10"/>
        <v>4.131355932</v>
      </c>
      <c r="V9" s="333">
        <f t="shared" si="10"/>
        <v>0.1059322034</v>
      </c>
      <c r="W9" s="333">
        <f t="shared" si="10"/>
        <v>0.5296610169</v>
      </c>
      <c r="X9" s="334">
        <f t="shared" si="10"/>
        <v>0</v>
      </c>
      <c r="Y9" s="334">
        <f t="shared" si="10"/>
        <v>10.38135593</v>
      </c>
      <c r="Z9" s="335">
        <f t="shared" si="10"/>
        <v>12.07627119</v>
      </c>
      <c r="AA9" s="335">
        <f t="shared" si="10"/>
        <v>0.1059322034</v>
      </c>
      <c r="AB9" s="335">
        <f t="shared" si="10"/>
        <v>0.1059322034</v>
      </c>
      <c r="AC9" s="336">
        <f t="shared" si="10"/>
        <v>22.56355932</v>
      </c>
      <c r="AD9" s="337">
        <f t="shared" si="10"/>
        <v>3.601694915</v>
      </c>
      <c r="AE9" s="308" t="str">
        <f t="shared" si="9"/>
        <v>% FSE</v>
      </c>
      <c r="AF9" s="308"/>
      <c r="AG9" s="308"/>
      <c r="AH9" s="327" t="s">
        <v>7354</v>
      </c>
      <c r="AI9" s="328">
        <f t="shared" si="1"/>
        <v>5</v>
      </c>
      <c r="AJ9" s="329" t="str">
        <f t="shared" si="2"/>
        <v>0.2%</v>
      </c>
      <c r="AK9" s="329">
        <f t="shared" si="3"/>
        <v>4</v>
      </c>
      <c r="AL9" s="329" t="str">
        <f t="shared" si="4"/>
        <v>0.3%</v>
      </c>
      <c r="AM9" s="329">
        <f t="shared" si="5"/>
        <v>1</v>
      </c>
      <c r="AN9" s="329" t="str">
        <f t="shared" si="6"/>
        <v>0.1%</v>
      </c>
      <c r="AO9" s="330" t="s">
        <v>5691</v>
      </c>
    </row>
    <row r="10">
      <c r="AH10" s="327" t="s">
        <v>7355</v>
      </c>
      <c r="AI10" s="329">
        <f t="shared" si="1"/>
        <v>6</v>
      </c>
      <c r="AJ10" s="329" t="str">
        <f t="shared" si="2"/>
        <v>0.3%</v>
      </c>
      <c r="AK10" s="329">
        <f t="shared" si="3"/>
        <v>6</v>
      </c>
      <c r="AL10" s="329" t="str">
        <f t="shared" si="4"/>
        <v>0.5%</v>
      </c>
      <c r="AM10" s="329">
        <f t="shared" si="5"/>
        <v>0</v>
      </c>
      <c r="AN10" s="329" t="str">
        <f t="shared" si="6"/>
        <v>0.0%</v>
      </c>
      <c r="AO10" s="330" t="s">
        <v>5694</v>
      </c>
    </row>
    <row r="11">
      <c r="A11" s="308" t="s">
        <v>5678</v>
      </c>
      <c r="B11" s="338">
        <f>(SUM(B3:I3))</f>
        <v>468</v>
      </c>
      <c r="J11" s="339">
        <f t="shared" ref="J11:J13" si="12">(SUM(J3:O3))</f>
        <v>1035</v>
      </c>
      <c r="P11" s="340">
        <f t="shared" ref="P11:P13" si="13">(SUM(P3:W3))</f>
        <v>172</v>
      </c>
      <c r="X11" s="341">
        <f t="shared" ref="X11:X13" si="14">(SUM(X3:Y3))</f>
        <v>188</v>
      </c>
      <c r="Z11" s="342">
        <f t="shared" ref="Z11:Z13" si="15">(SUM(Z3:AB3))</f>
        <v>309</v>
      </c>
      <c r="AC11" s="343">
        <f t="shared" ref="AC11:AD11" si="11">AC3</f>
        <v>461</v>
      </c>
      <c r="AD11" s="344">
        <f t="shared" si="11"/>
        <v>80</v>
      </c>
      <c r="AE11" s="308" t="str">
        <f t="shared" ref="AE11:AE13" si="17">"# "&amp;A11</f>
        <v># Total</v>
      </c>
      <c r="AF11" s="308"/>
      <c r="AG11" s="308"/>
      <c r="AH11" s="327" t="s">
        <v>7356</v>
      </c>
      <c r="AI11" s="328">
        <f t="shared" si="1"/>
        <v>1</v>
      </c>
      <c r="AJ11" s="329" t="str">
        <f t="shared" si="2"/>
        <v>0.0%</v>
      </c>
      <c r="AK11" s="329">
        <f t="shared" si="3"/>
        <v>1</v>
      </c>
      <c r="AL11" s="329" t="str">
        <f t="shared" si="4"/>
        <v>0.1%</v>
      </c>
      <c r="AM11" s="329">
        <f t="shared" si="5"/>
        <v>0</v>
      </c>
      <c r="AN11" s="329" t="str">
        <f t="shared" si="6"/>
        <v>0.0%</v>
      </c>
      <c r="AO11" s="330" t="s">
        <v>5695</v>
      </c>
    </row>
    <row r="12">
      <c r="A12" s="308" t="s">
        <v>5675</v>
      </c>
      <c r="B12" s="338">
        <f t="shared" ref="B12:B13" si="18">SUM(B4:I4)</f>
        <v>250</v>
      </c>
      <c r="J12" s="339">
        <f t="shared" si="12"/>
        <v>594</v>
      </c>
      <c r="P12" s="340">
        <f t="shared" si="13"/>
        <v>101</v>
      </c>
      <c r="X12" s="341">
        <f t="shared" si="14"/>
        <v>90</v>
      </c>
      <c r="Z12" s="342">
        <f t="shared" si="15"/>
        <v>193</v>
      </c>
      <c r="AC12" s="343">
        <f t="shared" ref="AC12:AD12" si="16">AC4</f>
        <v>248</v>
      </c>
      <c r="AD12" s="344">
        <f t="shared" si="16"/>
        <v>46</v>
      </c>
      <c r="AE12" s="308" t="str">
        <f t="shared" si="17"/>
        <v># ICSE</v>
      </c>
      <c r="AF12" s="308"/>
      <c r="AG12" s="308"/>
      <c r="AH12" s="327" t="s">
        <v>7357</v>
      </c>
      <c r="AI12" s="328">
        <f t="shared" si="1"/>
        <v>1</v>
      </c>
      <c r="AJ12" s="329" t="str">
        <f t="shared" si="2"/>
        <v>0.0%</v>
      </c>
      <c r="AK12" s="329">
        <f t="shared" si="3"/>
        <v>1</v>
      </c>
      <c r="AL12" s="329" t="str">
        <f t="shared" si="4"/>
        <v>0.1%</v>
      </c>
      <c r="AM12" s="329">
        <f t="shared" si="5"/>
        <v>0</v>
      </c>
      <c r="AN12" s="329" t="str">
        <f t="shared" si="6"/>
        <v>0.0%</v>
      </c>
      <c r="AO12" s="330" t="s">
        <v>5692</v>
      </c>
    </row>
    <row r="13">
      <c r="A13" s="308" t="s">
        <v>5676</v>
      </c>
      <c r="B13" s="338">
        <f t="shared" si="18"/>
        <v>218</v>
      </c>
      <c r="J13" s="339">
        <f t="shared" si="12"/>
        <v>441</v>
      </c>
      <c r="P13" s="340">
        <f t="shared" si="13"/>
        <v>71</v>
      </c>
      <c r="X13" s="341">
        <f t="shared" si="14"/>
        <v>98</v>
      </c>
      <c r="Z13" s="342">
        <f t="shared" si="15"/>
        <v>116</v>
      </c>
      <c r="AC13" s="343">
        <f t="shared" ref="AC13:AD13" si="19">AC5</f>
        <v>213</v>
      </c>
      <c r="AD13" s="344">
        <f t="shared" si="19"/>
        <v>34</v>
      </c>
      <c r="AE13" s="308" t="str">
        <f t="shared" si="17"/>
        <v># FSE</v>
      </c>
      <c r="AF13" s="308"/>
      <c r="AG13" s="308"/>
      <c r="AH13" s="345" t="s">
        <v>5732</v>
      </c>
      <c r="AI13" s="346">
        <f t="array" ref="AI13">XLOOKUP($AH13,$1:$1,$11:$11,"ERROR",0,1)</f>
        <v>1035</v>
      </c>
      <c r="AJ13" s="347" t="str">
        <f t="array" ref="AJ13">TEXT(XLOOKUP($AH13,$1:$1,$15:$15,"ERROR",0,1),"#0.0")&amp;"%"</f>
        <v>47.7%</v>
      </c>
      <c r="AK13" s="348">
        <f t="array" ref="AK13">XLOOKUP($AH13,$1:$1,$12:$12,"ERROR",0,1)</f>
        <v>594</v>
      </c>
      <c r="AL13" s="347" t="str">
        <f t="array" ref="AL13">TEXT(XLOOKUP($AH13,$1:$1,$16:$16,"ERROR",0,1),"#0.0")&amp;"%"</f>
        <v>48.4%</v>
      </c>
      <c r="AM13" s="348">
        <f t="array" ref="AM13">XLOOKUP($AH13,$1:$1,$13:$13,"ERROR",0,1)</f>
        <v>441</v>
      </c>
      <c r="AN13" s="348" t="str">
        <f t="array" ref="AN13">TEXT(XLOOKUP($AH13,$1:$1,$17:$17,"ERROR",0,1),"#0.0")&amp;"%"</f>
        <v>46.7%</v>
      </c>
      <c r="AO13" s="330"/>
    </row>
    <row r="14">
      <c r="AF14" s="303"/>
      <c r="AG14" s="303"/>
      <c r="AH14" s="327" t="s">
        <v>7358</v>
      </c>
      <c r="AI14" s="329">
        <f t="shared" ref="AI14:AI19" si="20">XLOOKUP($AO14,$2:$2,$3:$3,"ERROR",0,1)</f>
        <v>987</v>
      </c>
      <c r="AJ14" s="329" t="str">
        <f t="shared" ref="AJ14:AJ19" si="21">TEXT(XLOOKUP($AO14,$2:$2,$7:$7,"ERROR",0,1),"#0.0")&amp;"%"</f>
        <v>45.5%</v>
      </c>
      <c r="AK14" s="329">
        <f t="shared" ref="AK14:AK19" si="22">XLOOKUP($AO14,$2:$2,$4:$4,"ERROR",0,1)</f>
        <v>568</v>
      </c>
      <c r="AL14" s="329" t="str">
        <f t="shared" ref="AL14:AL19" si="23">TEXT(XLOOKUP($AO14,$2:$2,$8:$8,"ERROR",0,1),"#0.0")&amp;"%"</f>
        <v>46.3%</v>
      </c>
      <c r="AM14" s="329">
        <f t="shared" ref="AM14:AM19" si="24">XLOOKUP($AO14,$2:$2,$5:$5,"ERROR",0,1)</f>
        <v>419</v>
      </c>
      <c r="AN14" s="329" t="str">
        <f t="shared" ref="AN14:AN19" si="25">TEXT(XLOOKUP($AO14,$2:$2,$9:$9,"ERROR",0,1),"#0.0")&amp;"%"</f>
        <v>44.4%</v>
      </c>
      <c r="AO14" s="330" t="s">
        <v>5696</v>
      </c>
    </row>
    <row r="15">
      <c r="A15" s="308" t="s">
        <v>5678</v>
      </c>
      <c r="B15" s="349">
        <f t="shared" ref="B15:B17" si="26">(B11/$AE3)*100</f>
        <v>21.55688623</v>
      </c>
      <c r="J15" s="350">
        <f t="shared" ref="J15:J17" si="27">(J11/$AE3)*100</f>
        <v>47.673883</v>
      </c>
      <c r="P15" s="351">
        <f t="shared" ref="P15:P17" si="28">(P11/$AE3)*100</f>
        <v>7.922616306</v>
      </c>
      <c r="X15" s="352">
        <f t="shared" ref="X15:X17" si="29">(X11/$AE3)*100</f>
        <v>8.659603869</v>
      </c>
      <c r="Z15" s="353">
        <f t="shared" ref="Z15:Z17" si="30">(Z11/$AE3)*100</f>
        <v>14.23307232</v>
      </c>
      <c r="AC15" s="354">
        <f t="shared" ref="AC15:AC17" si="31">(AC11/$AE3)*100</f>
        <v>21.23445417</v>
      </c>
      <c r="AD15" s="355">
        <f t="shared" ref="AD15:AD17" si="32">(AD11/AE3)*100</f>
        <v>3.684937817</v>
      </c>
      <c r="AE15" s="308" t="str">
        <f t="shared" ref="AE15:AE17" si="33">"% "&amp;A15</f>
        <v>% Total</v>
      </c>
      <c r="AF15" s="308"/>
      <c r="AG15" s="308"/>
      <c r="AH15" s="327" t="s">
        <v>7359</v>
      </c>
      <c r="AI15" s="329">
        <f t="shared" si="20"/>
        <v>31</v>
      </c>
      <c r="AJ15" s="329" t="str">
        <f t="shared" si="21"/>
        <v>1.4%</v>
      </c>
      <c r="AK15" s="329">
        <f t="shared" si="22"/>
        <v>17</v>
      </c>
      <c r="AL15" s="329" t="str">
        <f t="shared" si="23"/>
        <v>1.4%</v>
      </c>
      <c r="AM15" s="329">
        <f t="shared" si="24"/>
        <v>14</v>
      </c>
      <c r="AN15" s="329" t="str">
        <f t="shared" si="25"/>
        <v>1.5%</v>
      </c>
      <c r="AO15" s="330" t="s">
        <v>5698</v>
      </c>
    </row>
    <row r="16">
      <c r="A16" s="308" t="s">
        <v>5675</v>
      </c>
      <c r="B16" s="349">
        <f t="shared" si="26"/>
        <v>20.37489813</v>
      </c>
      <c r="J16" s="350">
        <f t="shared" si="27"/>
        <v>48.41075795</v>
      </c>
      <c r="P16" s="351">
        <f t="shared" si="28"/>
        <v>8.231458843</v>
      </c>
      <c r="X16" s="352">
        <f t="shared" si="29"/>
        <v>7.334963325</v>
      </c>
      <c r="Z16" s="353">
        <f t="shared" si="30"/>
        <v>15.72942135</v>
      </c>
      <c r="AC16" s="354">
        <f t="shared" si="31"/>
        <v>20.21189894</v>
      </c>
      <c r="AD16" s="355">
        <f t="shared" si="32"/>
        <v>3.748981255</v>
      </c>
      <c r="AE16" s="308" t="str">
        <f t="shared" si="33"/>
        <v>% ICSE</v>
      </c>
      <c r="AF16" s="308"/>
      <c r="AG16" s="308"/>
      <c r="AH16" s="327" t="s">
        <v>7360</v>
      </c>
      <c r="AI16" s="329">
        <f t="shared" si="20"/>
        <v>7</v>
      </c>
      <c r="AJ16" s="329" t="str">
        <f t="shared" si="21"/>
        <v>0.3%</v>
      </c>
      <c r="AK16" s="329">
        <f t="shared" si="22"/>
        <v>4</v>
      </c>
      <c r="AL16" s="329" t="str">
        <f t="shared" si="23"/>
        <v>0.3%</v>
      </c>
      <c r="AM16" s="329">
        <f t="shared" si="24"/>
        <v>3</v>
      </c>
      <c r="AN16" s="329" t="str">
        <f t="shared" si="25"/>
        <v>0.3%</v>
      </c>
      <c r="AO16" s="330" t="s">
        <v>5699</v>
      </c>
    </row>
    <row r="17">
      <c r="A17" s="308" t="s">
        <v>5676</v>
      </c>
      <c r="B17" s="349">
        <f t="shared" si="26"/>
        <v>23.09322034</v>
      </c>
      <c r="J17" s="350">
        <f t="shared" si="27"/>
        <v>46.71610169</v>
      </c>
      <c r="P17" s="351">
        <f t="shared" si="28"/>
        <v>7.521186441</v>
      </c>
      <c r="X17" s="352">
        <f t="shared" si="29"/>
        <v>10.38135593</v>
      </c>
      <c r="Z17" s="353">
        <f t="shared" si="30"/>
        <v>12.28813559</v>
      </c>
      <c r="AC17" s="354">
        <f t="shared" si="31"/>
        <v>22.56355932</v>
      </c>
      <c r="AD17" s="355">
        <f t="shared" si="32"/>
        <v>3.601694915</v>
      </c>
      <c r="AE17" s="308" t="str">
        <f t="shared" si="33"/>
        <v>% FSE</v>
      </c>
      <c r="AF17" s="308"/>
      <c r="AG17" s="308"/>
      <c r="AH17" s="327" t="s">
        <v>7361</v>
      </c>
      <c r="AI17" s="329">
        <f t="shared" si="20"/>
        <v>5</v>
      </c>
      <c r="AJ17" s="329" t="str">
        <f t="shared" si="21"/>
        <v>0.2%</v>
      </c>
      <c r="AK17" s="329">
        <f t="shared" si="22"/>
        <v>4</v>
      </c>
      <c r="AL17" s="329" t="str">
        <f t="shared" si="23"/>
        <v>0.3%</v>
      </c>
      <c r="AM17" s="329">
        <f t="shared" si="24"/>
        <v>1</v>
      </c>
      <c r="AN17" s="329" t="str">
        <f t="shared" si="25"/>
        <v>0.1%</v>
      </c>
      <c r="AO17" s="330" t="s">
        <v>5697</v>
      </c>
    </row>
    <row r="18">
      <c r="AH18" s="327" t="s">
        <v>7362</v>
      </c>
      <c r="AI18" s="329">
        <f t="shared" si="20"/>
        <v>4</v>
      </c>
      <c r="AJ18" s="329" t="str">
        <f t="shared" si="21"/>
        <v>0.2%</v>
      </c>
      <c r="AK18" s="329">
        <f t="shared" si="22"/>
        <v>0</v>
      </c>
      <c r="AL18" s="329" t="str">
        <f t="shared" si="23"/>
        <v>0.0%</v>
      </c>
      <c r="AM18" s="329">
        <f t="shared" si="24"/>
        <v>4</v>
      </c>
      <c r="AN18" s="329" t="str">
        <f t="shared" si="25"/>
        <v>0.4%</v>
      </c>
      <c r="AO18" s="330" t="s">
        <v>5700</v>
      </c>
    </row>
    <row r="19">
      <c r="A19" s="356"/>
      <c r="B19" s="356"/>
      <c r="C19" s="356"/>
      <c r="D19" s="356"/>
      <c r="E19" s="356"/>
      <c r="F19" s="356"/>
      <c r="G19" s="356"/>
      <c r="H19" s="356"/>
      <c r="I19" s="356"/>
      <c r="J19" s="356"/>
      <c r="K19" s="356"/>
      <c r="L19" s="356"/>
      <c r="M19" s="356"/>
      <c r="N19" s="356"/>
      <c r="O19" s="356"/>
      <c r="P19" s="356" t="s">
        <v>5675</v>
      </c>
      <c r="Q19" s="356"/>
      <c r="R19" s="356"/>
      <c r="S19" s="356"/>
      <c r="T19" s="356"/>
      <c r="U19" s="356"/>
      <c r="V19" s="356"/>
      <c r="W19" s="356"/>
      <c r="X19" s="356"/>
      <c r="Y19" s="356"/>
      <c r="Z19" s="356"/>
      <c r="AA19" s="356"/>
      <c r="AB19" s="356"/>
      <c r="AC19" s="356"/>
      <c r="AD19" s="356"/>
      <c r="AE19" s="356"/>
      <c r="AH19" s="327" t="s">
        <v>7363</v>
      </c>
      <c r="AI19" s="329">
        <f t="shared" si="20"/>
        <v>1</v>
      </c>
      <c r="AJ19" s="329" t="str">
        <f t="shared" si="21"/>
        <v>0.0%</v>
      </c>
      <c r="AK19" s="329">
        <f t="shared" si="22"/>
        <v>1</v>
      </c>
      <c r="AL19" s="329" t="str">
        <f t="shared" si="23"/>
        <v>0.1%</v>
      </c>
      <c r="AM19" s="329">
        <f t="shared" si="24"/>
        <v>0</v>
      </c>
      <c r="AN19" s="329" t="str">
        <f t="shared" si="25"/>
        <v>0.0%</v>
      </c>
      <c r="AO19" s="330" t="s">
        <v>5701</v>
      </c>
    </row>
    <row r="20">
      <c r="A20" s="308" t="s">
        <v>2</v>
      </c>
      <c r="B20" s="357"/>
      <c r="C20" s="357"/>
      <c r="D20" s="358"/>
      <c r="E20" s="358"/>
      <c r="F20" s="358"/>
      <c r="G20" s="358"/>
      <c r="H20" s="358"/>
      <c r="I20" s="358"/>
      <c r="J20" s="359"/>
      <c r="K20" s="358"/>
      <c r="L20" s="358"/>
      <c r="M20" s="358"/>
      <c r="N20" s="358"/>
      <c r="O20" s="358"/>
      <c r="P20" s="358"/>
      <c r="Q20" s="358"/>
      <c r="R20" s="358"/>
      <c r="S20" s="358"/>
      <c r="T20" s="358"/>
      <c r="U20" s="358"/>
      <c r="V20" s="358"/>
      <c r="W20" s="358"/>
      <c r="X20" s="358"/>
      <c r="Z20" s="358" t="s">
        <v>7364</v>
      </c>
      <c r="AA20" s="358"/>
      <c r="AB20" s="358"/>
      <c r="AC20" s="358"/>
      <c r="AE20" s="360" t="s">
        <v>7365</v>
      </c>
      <c r="AH20" s="361" t="s">
        <v>5733</v>
      </c>
      <c r="AI20" s="362">
        <f t="array" ref="AI20">XLOOKUP($AH20,$1:$1,$11:$11,"ERROR",0,1)</f>
        <v>172</v>
      </c>
      <c r="AJ20" s="363" t="str">
        <f t="array" ref="AJ20">TEXT(XLOOKUP($AH20,$1:$1,$15:$15,"ERROR",0,1),"#0.0")&amp;"%"</f>
        <v>7.9%</v>
      </c>
      <c r="AK20" s="362">
        <f t="array" ref="AK20">XLOOKUP($AH20,$1:$1,$12:$12,"ERROR",0,1)</f>
        <v>101</v>
      </c>
      <c r="AL20" s="363" t="str">
        <f t="array" ref="AL20">TEXT(XLOOKUP($AH20,$1:$1,$16:$16,"ERROR",0,1),"#0.0")&amp;"%"</f>
        <v>8.2%</v>
      </c>
      <c r="AM20" s="362">
        <f t="array" ref="AM20">XLOOKUP($AH20,$1:$1,$13:$13,"ERROR",0,1)</f>
        <v>71</v>
      </c>
      <c r="AN20" s="363" t="str">
        <f t="array" ref="AN20">TEXT(XLOOKUP($AH20,$1:$1,$17:$17,"ERROR",0,1),"#0.0")&amp;"%"</f>
        <v>7.5%</v>
      </c>
      <c r="AO20" s="330"/>
    </row>
    <row r="21">
      <c r="A21" s="308">
        <v>2014.0</v>
      </c>
      <c r="B21" s="357" t="str">
        <f>TEXT((COUNTIFS(ICSE!$U:$U,"*"&amp;B$2&amp;"*",ICSE!$C:$C,$A21)/$AE21)*100,"#0.0")</f>
        <v>0.0</v>
      </c>
      <c r="C21" s="357" t="str">
        <f>TEXT((COUNTIFS(ICSE!$U:$U,"*"&amp;C$2&amp;"*",ICSE!$C:$C,$A21)/$AE21)*100,"#0.0")</f>
        <v>0.0</v>
      </c>
      <c r="D21" s="358" t="str">
        <f>TEXT((COUNTIFS(ICSE!$U:$U,"*"&amp;D$2&amp;"*",ICSE!$C:$C,$A21)/$AE21)*100,"#0.0")</f>
        <v>0.0</v>
      </c>
      <c r="E21" s="358" t="str">
        <f>TEXT((COUNTIFS(ICSE!$U:$U,"*"&amp;E$2&amp;"*",ICSE!$C:$C,$A21)/$AE21)*100,"#0.0")</f>
        <v>0.0</v>
      </c>
      <c r="F21" s="358" t="str">
        <f>TEXT((COUNTIFS(ICSE!$U:$U,"*"&amp;F$2&amp;"*",ICSE!$C:$C,$A21)/$AE21)*100,"#0.0")</f>
        <v>0.0</v>
      </c>
      <c r="G21" s="358" t="str">
        <f>TEXT((COUNTIFS(ICSE!$U:$U,"*"&amp;G$2&amp;"*",ICSE!$C:$C,$A21)/$AE21)*100,"#0.0")</f>
        <v>0.0</v>
      </c>
      <c r="H21" s="358" t="str">
        <f>TEXT((COUNTIFS(ICSE!$U:$U,"*"&amp;H$2&amp;"*",ICSE!$C:$C,$A21)/$AE21)*100,"#0.0")</f>
        <v>0.0</v>
      </c>
      <c r="I21" s="358" t="str">
        <f>TEXT((COUNTIFS(ICSE!$U:$U,"*"&amp;I$2&amp;"*",ICSE!$C:$C,$A21)/$AE21)*100,"#0.0")</f>
        <v>0.0</v>
      </c>
      <c r="J21" s="359" t="str">
        <f>TEXT((COUNTIFS(ICSE!$U:$U,"*"&amp;J$2&amp;"*",ICSE!$C:$C,$A21)/$AE21)*100,"#0.0")</f>
        <v>14.5</v>
      </c>
      <c r="K21" s="358" t="str">
        <f>TEXT((COUNTIFS(ICSE!$U:$U,"*"&amp;K$2&amp;"*",ICSE!$C:$C,$A21)/$AE21)*100,"#0.0")</f>
        <v>0.0</v>
      </c>
      <c r="L21" s="358" t="str">
        <f>TEXT((COUNTIFS(ICSE!$U:$U,"*"&amp;L$2&amp;"*",ICSE!$C:$C,$A21)/$AE21)*100,"#0.0")</f>
        <v>3.2</v>
      </c>
      <c r="M21" s="358" t="str">
        <f>TEXT((COUNTIFS(ICSE!$U:$U,"*"&amp;M$2&amp;"*",ICSE!$C:$C,$A21)/$AE21)*100,"#0.0")</f>
        <v>0.0</v>
      </c>
      <c r="N21" s="358" t="str">
        <f>TEXT((COUNTIFS(ICSE!$U:$U,"*"&amp;N$2&amp;"*",ICSE!$C:$C,$A21)/$AE21)*100,"#0.0")</f>
        <v>0.0</v>
      </c>
      <c r="O21" s="358" t="str">
        <f>TEXT((COUNTIFS(ICSE!$U:$U,"*"&amp;O$2&amp;"*",ICSE!$C:$C,$A21)/$AE21)*100,"#0.0")</f>
        <v>0.0</v>
      </c>
      <c r="P21" s="358" t="str">
        <f>TEXT((COUNTIFS(ICSE!$U:$U,"*"&amp;P$2&amp;"*",ICSE!$C:$C,$A21)/$AE21)*100,"#0.0")</f>
        <v>0.0</v>
      </c>
      <c r="Q21" s="358" t="str">
        <f>TEXT((COUNTIFS(ICSE!$U:$U,"*"&amp;Q$2&amp;"*",ICSE!$C:$C,$A21)/$AE21)*100,"#0.0")</f>
        <v>0.0</v>
      </c>
      <c r="R21" s="358" t="str">
        <f>TEXT((COUNTIFS(ICSE!$U:$U,"*"&amp;R$2&amp;"*",ICSE!$C:$C,$A21)/$AE21)*100,"#0.0")</f>
        <v>3.2</v>
      </c>
      <c r="S21" s="358" t="str">
        <f>TEXT((COUNTIFS(ICSE!$U:$U,"*"&amp;S$2&amp;"*",ICSE!$C:$C,$A21)/$AE21)*100,"#0.0")</f>
        <v>0.0</v>
      </c>
      <c r="T21" s="358" t="str">
        <f>TEXT((COUNTIFS(ICSE!$U:$U,"*"&amp;T$2&amp;"*",ICSE!$C:$C,$A21)/$AE21)*100,"#0.0")</f>
        <v>0.0</v>
      </c>
      <c r="U21" s="358" t="str">
        <f>TEXT((COUNTIFS(ICSE!$U:$U,"*"&amp;U$2&amp;"*",ICSE!$C:$C,$A21)/$AE21)*100,"#0.0")</f>
        <v>3.2</v>
      </c>
      <c r="V21" s="358" t="str">
        <f>TEXT((COUNTIFS(ICSE!$U:$U,"*"&amp;V$2&amp;"*",ICSE!$C:$C,$A21)/$AE21)*100,"#0.0")</f>
        <v>1.6</v>
      </c>
      <c r="W21" s="358" t="str">
        <f>TEXT((COUNTIFS(ICSE!$U:$U,"*"&amp;W$2&amp;"*",ICSE!$C:$C,$A21)/$AE21)*100,"#0.0")</f>
        <v>0.0</v>
      </c>
      <c r="X21" s="358" t="str">
        <f>TEXT((COUNTIFS(ICSE!$U:$U,"*"&amp;X$2&amp;"*",ICSE!$C:$C,$A21)/$AE21)*100,"#0.0")</f>
        <v>0.0</v>
      </c>
      <c r="Y21" s="358"/>
      <c r="Z21" s="364" t="str">
        <f>TEXT((COUNTIFS(ICSE!AB:AB,"&gt;0",ICSE!$C:$C,$A21)/$AE21)*100,"#0.0")</f>
        <v>59.7</v>
      </c>
      <c r="AA21" s="358" t="str">
        <f>TEXT((COUNTIFS(ICSE!$U:$U,"*"&amp;AA$2&amp;"*",ICSE!$C:$C,$A21)/$AE21)*100,"#0.0")</f>
        <v>4.8</v>
      </c>
      <c r="AB21" s="358" t="str">
        <f>TEXT((COUNTIFS(ICSE!$U:$U,"*"&amp;AB$2&amp;"*",ICSE!$C:$C,$A21)/$AE21)*100,"#0.0")</f>
        <v>1.6</v>
      </c>
      <c r="AC21" s="365" t="str">
        <f>TEXT((COUNTIFS(ICSE!AC:AC,"Yes",ICSE!$C:$C,$A21)/$AE21)*100,"#0.0")</f>
        <v>1.6</v>
      </c>
      <c r="AD21" s="355"/>
      <c r="AE21" s="293">
        <f>COUNTIFS(ICSE!C:C,A21,ICSE!K:K,"Yes")</f>
        <v>62</v>
      </c>
      <c r="AH21" s="327" t="s">
        <v>7366</v>
      </c>
      <c r="AI21" s="329">
        <f t="shared" ref="AI21:AI28" si="34">XLOOKUP($AO21,$2:$2,$3:$3,"ERROR",0,1)</f>
        <v>28</v>
      </c>
      <c r="AJ21" s="329" t="str">
        <f t="shared" ref="AJ21:AJ28" si="35">TEXT(XLOOKUP($AO21,$2:$2,$7:$7,"ERROR",0,1),"#0.0")&amp;"%"</f>
        <v>1.3%</v>
      </c>
      <c r="AK21" s="329">
        <f t="shared" ref="AK21:AK28" si="36">XLOOKUP($AO21,$2:$2,$4:$4,"ERROR",0,1)</f>
        <v>9</v>
      </c>
      <c r="AL21" s="329" t="str">
        <f t="shared" ref="AL21:AL28" si="37">TEXT(XLOOKUP($AO21,$2:$2,$8:$8,"ERROR",0,1),"#0.0")&amp;"%"</f>
        <v>0.7%</v>
      </c>
      <c r="AM21" s="329">
        <f t="shared" ref="AM21:AM28" si="38">XLOOKUP($AO21,$2:$2,$5:$5,"ERROR",0,1)</f>
        <v>19</v>
      </c>
      <c r="AN21" s="329" t="str">
        <f t="shared" ref="AN21:AN28" si="39">TEXT(XLOOKUP($AO21,$2:$2,$9:$9,"ERROR",0,1),"#0.0")&amp;"%"</f>
        <v>2.0%</v>
      </c>
      <c r="AO21" s="330" t="s">
        <v>5702</v>
      </c>
    </row>
    <row r="22">
      <c r="A22" s="308">
        <v>2015.0</v>
      </c>
      <c r="B22" s="357" t="str">
        <f>TEXT((COUNTIFS(ICSE!$U:$U,"*"&amp;B$2&amp;"*",ICSE!$C:$C,$A22)/$AE22)*100,"#0.0")</f>
        <v>0.0</v>
      </c>
      <c r="C22" s="357" t="str">
        <f>TEXT((COUNTIFS(ICSE!$U:$U,"*"&amp;C$2&amp;"*",ICSE!$C:$C,$A22)/$AE22)*100,"#0.0")</f>
        <v>0.0</v>
      </c>
      <c r="D22" s="358" t="str">
        <f>TEXT((COUNTIFS(ICSE!$U:$U,"*"&amp;D$2&amp;"*",ICSE!$C:$C,$A22)/$AE22)*100,"#0.0")</f>
        <v>2.0</v>
      </c>
      <c r="E22" s="358" t="str">
        <f>TEXT((COUNTIFS(ICSE!$U:$U,"*"&amp;E$2&amp;"*",ICSE!$C:$C,$A22)/$AE22)*100,"#0.0")</f>
        <v>0.0</v>
      </c>
      <c r="F22" s="358" t="str">
        <f>TEXT((COUNTIFS(ICSE!$U:$U,"*"&amp;F$2&amp;"*",ICSE!$C:$C,$A22)/$AE22)*100,"#0.0")</f>
        <v>0.0</v>
      </c>
      <c r="G22" s="358" t="str">
        <f>TEXT((COUNTIFS(ICSE!$U:$U,"*"&amp;G$2&amp;"*",ICSE!$C:$C,$A22)/$AE22)*100,"#0.0")</f>
        <v>0.0</v>
      </c>
      <c r="H22" s="358" t="str">
        <f>TEXT((COUNTIFS(ICSE!$U:$U,"*"&amp;H$2&amp;"*",ICSE!$C:$C,$A22)/$AE22)*100,"#0.0")</f>
        <v>0.0</v>
      </c>
      <c r="I22" s="358" t="str">
        <f>TEXT((COUNTIFS(ICSE!$U:$U,"*"&amp;I$2&amp;"*",ICSE!$C:$C,$A22)/$AE22)*100,"#0.0")</f>
        <v>0.0</v>
      </c>
      <c r="J22" s="359" t="str">
        <f>TEXT((COUNTIFS(ICSE!$U:$U,"*"&amp;J$2&amp;"*",ICSE!$C:$C,$A22)/$AE22)*100,"#0.0")</f>
        <v>14.3</v>
      </c>
      <c r="K22" s="358" t="str">
        <f>TEXT((COUNTIFS(ICSE!$U:$U,"*"&amp;K$2&amp;"*",ICSE!$C:$C,$A22)/$AE22)*100,"#0.0")</f>
        <v>0.0</v>
      </c>
      <c r="L22" s="358" t="str">
        <f>TEXT((COUNTIFS(ICSE!$U:$U,"*"&amp;L$2&amp;"*",ICSE!$C:$C,$A22)/$AE22)*100,"#0.0")</f>
        <v>2.0</v>
      </c>
      <c r="M22" s="358" t="str">
        <f>TEXT((COUNTIFS(ICSE!$U:$U,"*"&amp;M$2&amp;"*",ICSE!$C:$C,$A22)/$AE22)*100,"#0.0")</f>
        <v>0.0</v>
      </c>
      <c r="N22" s="358" t="str">
        <f>TEXT((COUNTIFS(ICSE!$U:$U,"*"&amp;N$2&amp;"*",ICSE!$C:$C,$A22)/$AE22)*100,"#0.0")</f>
        <v>0.0</v>
      </c>
      <c r="O22" s="358" t="str">
        <f>TEXT((COUNTIFS(ICSE!$U:$U,"*"&amp;O$2&amp;"*",ICSE!$C:$C,$A22)/$AE22)*100,"#0.0")</f>
        <v>0.0</v>
      </c>
      <c r="P22" s="358" t="str">
        <f>TEXT((COUNTIFS(ICSE!$U:$U,"*"&amp;P$2&amp;"*",ICSE!$C:$C,$A22)/$AE22)*100,"#0.0")</f>
        <v>0.0</v>
      </c>
      <c r="Q22" s="358" t="str">
        <f>TEXT((COUNTIFS(ICSE!$U:$U,"*"&amp;Q$2&amp;"*",ICSE!$C:$C,$A22)/$AE22)*100,"#0.0")</f>
        <v>2.0</v>
      </c>
      <c r="R22" s="358" t="str">
        <f>TEXT((COUNTIFS(ICSE!$U:$U,"*"&amp;R$2&amp;"*",ICSE!$C:$C,$A22)/$AE22)*100,"#0.0")</f>
        <v>0.0</v>
      </c>
      <c r="S22" s="358" t="str">
        <f>TEXT((COUNTIFS(ICSE!$U:$U,"*"&amp;S$2&amp;"*",ICSE!$C:$C,$A22)/$AE22)*100,"#0.0")</f>
        <v>0.0</v>
      </c>
      <c r="T22" s="358" t="str">
        <f>TEXT((COUNTIFS(ICSE!$U:$U,"*"&amp;T$2&amp;"*",ICSE!$C:$C,$A22)/$AE22)*100,"#0.0")</f>
        <v>0.0</v>
      </c>
      <c r="U22" s="358" t="str">
        <f>TEXT((COUNTIFS(ICSE!$U:$U,"*"&amp;U$2&amp;"*",ICSE!$C:$C,$A22)/$AE22)*100,"#0.0")</f>
        <v>8.2</v>
      </c>
      <c r="V22" s="358" t="str">
        <f>TEXT((COUNTIFS(ICSE!$U:$U,"*"&amp;V$2&amp;"*",ICSE!$C:$C,$A22)/$AE22)*100,"#0.0")</f>
        <v>0.0</v>
      </c>
      <c r="W22" s="358" t="str">
        <f>TEXT((COUNTIFS(ICSE!$U:$U,"*"&amp;W$2&amp;"*",ICSE!$C:$C,$A22)/$AE22)*100,"#0.0")</f>
        <v>0.0</v>
      </c>
      <c r="X22" s="358" t="str">
        <f>TEXT((COUNTIFS(ICSE!$U:$U,"*"&amp;X$2&amp;"*",ICSE!$C:$C,$A22)/$AE22)*100,"#0.0")</f>
        <v>0.0</v>
      </c>
      <c r="Y22" s="358"/>
      <c r="Z22" s="364" t="str">
        <f>TEXT((COUNTIFS(ICSE!AB:AB,"&gt;0",ICSE!$C:$C,$A22)/$AE22)*100,"#0.0")</f>
        <v>57.1</v>
      </c>
      <c r="AA22" s="358" t="str">
        <f>TEXT((COUNTIFS(ICSE!$U:$U,"*"&amp;AA$2&amp;"*",ICSE!$C:$C,$A22)/$AE22)*100,"#0.0")</f>
        <v>2.0</v>
      </c>
      <c r="AB22" s="358" t="str">
        <f>TEXT((COUNTIFS(ICSE!$U:$U,"*"&amp;AB$2&amp;"*",ICSE!$C:$C,$A22)/$AE22)*100,"#0.0")</f>
        <v>0.0</v>
      </c>
      <c r="AC22" s="365" t="str">
        <f>TEXT((COUNTIFS(ICSE!AC:AC,"Yes",ICSE!$C:$C,$A22)/$AE22)*100,"#0.0")</f>
        <v>2.0</v>
      </c>
      <c r="AD22" s="355"/>
      <c r="AE22" s="293">
        <f>COUNTIFS(ICSE!C:C,A22,ICSE!K:K,"Yes")</f>
        <v>49</v>
      </c>
      <c r="AH22" s="327" t="s">
        <v>7367</v>
      </c>
      <c r="AI22" s="329">
        <f t="shared" si="34"/>
        <v>9</v>
      </c>
      <c r="AJ22" s="329" t="str">
        <f t="shared" si="35"/>
        <v>0.4%</v>
      </c>
      <c r="AK22" s="329">
        <f t="shared" si="36"/>
        <v>7</v>
      </c>
      <c r="AL22" s="329" t="str">
        <f t="shared" si="37"/>
        <v>0.6%</v>
      </c>
      <c r="AM22" s="329">
        <f t="shared" si="38"/>
        <v>2</v>
      </c>
      <c r="AN22" s="329" t="str">
        <f t="shared" si="39"/>
        <v>0.2%</v>
      </c>
      <c r="AO22" s="330" t="s">
        <v>5703</v>
      </c>
    </row>
    <row r="23">
      <c r="A23" s="308">
        <v>2016.0</v>
      </c>
      <c r="B23" s="357" t="str">
        <f>TEXT((COUNTIFS(ICSE!$U:$U,"*"&amp;B$2&amp;"*",ICSE!$C:$C,$A23)/$AE23)*100,"#0.0")</f>
        <v>2.9</v>
      </c>
      <c r="C23" s="357" t="str">
        <f>TEXT((COUNTIFS(ICSE!$U:$U,"*"&amp;C$2&amp;"*",ICSE!$C:$C,$A23)/$AE23)*100,"#0.0")</f>
        <v>0.0</v>
      </c>
      <c r="D23" s="358" t="str">
        <f>TEXT((COUNTIFS(ICSE!$U:$U,"*"&amp;D$2&amp;"*",ICSE!$C:$C,$A23)/$AE23)*100,"#0.0")</f>
        <v>4.3</v>
      </c>
      <c r="E23" s="358" t="str">
        <f>TEXT((COUNTIFS(ICSE!$U:$U,"*"&amp;E$2&amp;"*",ICSE!$C:$C,$A23)/$AE23)*100,"#0.0")</f>
        <v>0.0</v>
      </c>
      <c r="F23" s="358" t="str">
        <f>TEXT((COUNTIFS(ICSE!$U:$U,"*"&amp;F$2&amp;"*",ICSE!$C:$C,$A23)/$AE23)*100,"#0.0")</f>
        <v>0.0</v>
      </c>
      <c r="G23" s="358" t="str">
        <f>TEXT((COUNTIFS(ICSE!$U:$U,"*"&amp;G$2&amp;"*",ICSE!$C:$C,$A23)/$AE23)*100,"#0.0")</f>
        <v>0.0</v>
      </c>
      <c r="H23" s="358" t="str">
        <f>TEXT((COUNTIFS(ICSE!$U:$U,"*"&amp;H$2&amp;"*",ICSE!$C:$C,$A23)/$AE23)*100,"#0.0")</f>
        <v>0.0</v>
      </c>
      <c r="I23" s="358" t="str">
        <f>TEXT((COUNTIFS(ICSE!$U:$U,"*"&amp;I$2&amp;"*",ICSE!$C:$C,$A23)/$AE23)*100,"#0.0")</f>
        <v>0.0</v>
      </c>
      <c r="J23" s="359" t="str">
        <f>TEXT((COUNTIFS(ICSE!$U:$U,"*"&amp;J$2&amp;"*",ICSE!$C:$C,$A23)/$AE23)*100,"#0.0")</f>
        <v>15.7</v>
      </c>
      <c r="K23" s="358" t="str">
        <f>TEXT((COUNTIFS(ICSE!$U:$U,"*"&amp;K$2&amp;"*",ICSE!$C:$C,$A23)/$AE23)*100,"#0.0")</f>
        <v>0.0</v>
      </c>
      <c r="L23" s="358" t="str">
        <f>TEXT((COUNTIFS(ICSE!$U:$U,"*"&amp;L$2&amp;"*",ICSE!$C:$C,$A23)/$AE23)*100,"#0.0")</f>
        <v>2.9</v>
      </c>
      <c r="M23" s="358" t="str">
        <f>TEXT((COUNTIFS(ICSE!$U:$U,"*"&amp;M$2&amp;"*",ICSE!$C:$C,$A23)/$AE23)*100,"#0.0")</f>
        <v>0.0</v>
      </c>
      <c r="N23" s="358" t="str">
        <f>TEXT((COUNTIFS(ICSE!$U:$U,"*"&amp;N$2&amp;"*",ICSE!$C:$C,$A23)/$AE23)*100,"#0.0")</f>
        <v>0.0</v>
      </c>
      <c r="O23" s="358" t="str">
        <f>TEXT((COUNTIFS(ICSE!$U:$U,"*"&amp;O$2&amp;"*",ICSE!$C:$C,$A23)/$AE23)*100,"#0.0")</f>
        <v>0.0</v>
      </c>
      <c r="P23" s="358" t="str">
        <f>TEXT((COUNTIFS(ICSE!$U:$U,"*"&amp;P$2&amp;"*",ICSE!$C:$C,$A23)/$AE23)*100,"#0.0")</f>
        <v>0.0</v>
      </c>
      <c r="Q23" s="358" t="str">
        <f>TEXT((COUNTIFS(ICSE!$U:$U,"*"&amp;Q$2&amp;"*",ICSE!$C:$C,$A23)/$AE23)*100,"#0.0")</f>
        <v>0.0</v>
      </c>
      <c r="R23" s="358" t="str">
        <f>TEXT((COUNTIFS(ICSE!$U:$U,"*"&amp;R$2&amp;"*",ICSE!$C:$C,$A23)/$AE23)*100,"#0.0")</f>
        <v>0.0</v>
      </c>
      <c r="S23" s="358" t="str">
        <f>TEXT((COUNTIFS(ICSE!$U:$U,"*"&amp;S$2&amp;"*",ICSE!$C:$C,$A23)/$AE23)*100,"#0.0")</f>
        <v>0.0</v>
      </c>
      <c r="T23" s="358" t="str">
        <f>TEXT((COUNTIFS(ICSE!$U:$U,"*"&amp;T$2&amp;"*",ICSE!$C:$C,$A23)/$AE23)*100,"#0.0")</f>
        <v>0.0</v>
      </c>
      <c r="U23" s="358" t="str">
        <f>TEXT((COUNTIFS(ICSE!$U:$U,"*"&amp;U$2&amp;"*",ICSE!$C:$C,$A23)/$AE23)*100,"#0.0")</f>
        <v>7.1</v>
      </c>
      <c r="V23" s="358" t="str">
        <f>TEXT((COUNTIFS(ICSE!$U:$U,"*"&amp;V$2&amp;"*",ICSE!$C:$C,$A23)/$AE23)*100,"#0.0")</f>
        <v>0.0</v>
      </c>
      <c r="W23" s="358" t="str">
        <f>TEXT((COUNTIFS(ICSE!$U:$U,"*"&amp;W$2&amp;"*",ICSE!$C:$C,$A23)/$AE23)*100,"#0.0")</f>
        <v>0.0</v>
      </c>
      <c r="X23" s="358" t="str">
        <f>TEXT((COUNTIFS(ICSE!$U:$U,"*"&amp;X$2&amp;"*",ICSE!$C:$C,$A23)/$AE23)*100,"#0.0")</f>
        <v>0.0</v>
      </c>
      <c r="Y23" s="358"/>
      <c r="Z23" s="364" t="str">
        <f>TEXT((COUNTIFS(ICSE!AB:AB,"&gt;0",ICSE!$C:$C,$A23)/$AE23)*100,"#0.0")</f>
        <v>55.7</v>
      </c>
      <c r="AA23" s="358" t="str">
        <f>TEXT((COUNTIFS(ICSE!$U:$U,"*"&amp;AA$2&amp;"*",ICSE!$C:$C,$A23)/$AE23)*100,"#0.0")</f>
        <v>2.9</v>
      </c>
      <c r="AB23" s="358" t="str">
        <f>TEXT((COUNTIFS(ICSE!$U:$U,"*"&amp;AB$2&amp;"*",ICSE!$C:$C,$A23)/$AE23)*100,"#0.0")</f>
        <v>0.0</v>
      </c>
      <c r="AC23" s="365" t="str">
        <f>TEXT((COUNTIFS(ICSE!AC:AC,"Yes",ICSE!$C:$C,$A23)/$AE23)*100,"#0.0")</f>
        <v>10.0</v>
      </c>
      <c r="AD23" s="355"/>
      <c r="AE23" s="293">
        <f>COUNTIFS(ICSE!C:C,A23,ICSE!K:K,"Yes")</f>
        <v>70</v>
      </c>
      <c r="AH23" s="327" t="s">
        <v>7368</v>
      </c>
      <c r="AI23" s="329">
        <f t="shared" si="34"/>
        <v>108</v>
      </c>
      <c r="AJ23" s="329" t="str">
        <f t="shared" si="35"/>
        <v>5.0%</v>
      </c>
      <c r="AK23" s="329">
        <f t="shared" si="36"/>
        <v>69</v>
      </c>
      <c r="AL23" s="329" t="str">
        <f t="shared" si="37"/>
        <v>5.6%</v>
      </c>
      <c r="AM23" s="329">
        <f t="shared" si="38"/>
        <v>39</v>
      </c>
      <c r="AN23" s="329" t="str">
        <f t="shared" si="39"/>
        <v>4.1%</v>
      </c>
      <c r="AO23" s="330" t="s">
        <v>5707</v>
      </c>
    </row>
    <row r="24">
      <c r="A24" s="308">
        <v>2017.0</v>
      </c>
      <c r="B24" s="357" t="str">
        <f>TEXT((COUNTIFS(ICSE!$U:$U,"*"&amp;B$2&amp;"*",ICSE!$C:$C,$A24)/$AE24)*100,"#0.0")</f>
        <v>1.8</v>
      </c>
      <c r="C24" s="357" t="str">
        <f>TEXT((COUNTIFS(ICSE!$U:$U,"*"&amp;C$2&amp;"*",ICSE!$C:$C,$A24)/$AE24)*100,"#0.0")</f>
        <v>0.0</v>
      </c>
      <c r="D24" s="358" t="str">
        <f>TEXT((COUNTIFS(ICSE!$U:$U,"*"&amp;D$2&amp;"*",ICSE!$C:$C,$A24)/$AE24)*100,"#0.0")</f>
        <v>1.8</v>
      </c>
      <c r="E24" s="358" t="str">
        <f>TEXT((COUNTIFS(ICSE!$U:$U,"*"&amp;E$2&amp;"*",ICSE!$C:$C,$A24)/$AE24)*100,"#0.0")</f>
        <v>0.0</v>
      </c>
      <c r="F24" s="358" t="str">
        <f>TEXT((COUNTIFS(ICSE!$U:$U,"*"&amp;F$2&amp;"*",ICSE!$C:$C,$A24)/$AE24)*100,"#0.0")</f>
        <v>0.0</v>
      </c>
      <c r="G24" s="358" t="str">
        <f>TEXT((COUNTIFS(ICSE!$U:$U,"*"&amp;G$2&amp;"*",ICSE!$C:$C,$A24)/$AE24)*100,"#0.0")</f>
        <v>0.0</v>
      </c>
      <c r="H24" s="358" t="str">
        <f>TEXT((COUNTIFS(ICSE!$U:$U,"*"&amp;H$2&amp;"*",ICSE!$C:$C,$A24)/$AE24)*100,"#0.0")</f>
        <v>0.0</v>
      </c>
      <c r="I24" s="358" t="str">
        <f>TEXT((COUNTIFS(ICSE!$U:$U,"*"&amp;I$2&amp;"*",ICSE!$C:$C,$A24)/$AE24)*100,"#0.0")</f>
        <v>0.0</v>
      </c>
      <c r="J24" s="359" t="str">
        <f>TEXT((COUNTIFS(ICSE!$U:$U,"*"&amp;J$2&amp;"*",ICSE!$C:$C,$A24)/$AE24)*100,"#0.0")</f>
        <v>37.5</v>
      </c>
      <c r="K24" s="358" t="str">
        <f>TEXT((COUNTIFS(ICSE!$U:$U,"*"&amp;K$2&amp;"*",ICSE!$C:$C,$A24)/$AE24)*100,"#0.0")</f>
        <v>0.0</v>
      </c>
      <c r="L24" s="358" t="str">
        <f>TEXT((COUNTIFS(ICSE!$U:$U,"*"&amp;L$2&amp;"*",ICSE!$C:$C,$A24)/$AE24)*100,"#0.0")</f>
        <v>3.6</v>
      </c>
      <c r="M24" s="358" t="str">
        <f>TEXT((COUNTIFS(ICSE!$U:$U,"*"&amp;M$2&amp;"*",ICSE!$C:$C,$A24)/$AE24)*100,"#0.0")</f>
        <v>0.0</v>
      </c>
      <c r="N24" s="358" t="str">
        <f>TEXT((COUNTIFS(ICSE!$U:$U,"*"&amp;N$2&amp;"*",ICSE!$C:$C,$A24)/$AE24)*100,"#0.0")</f>
        <v>0.0</v>
      </c>
      <c r="O24" s="358" t="str">
        <f>TEXT((COUNTIFS(ICSE!$U:$U,"*"&amp;O$2&amp;"*",ICSE!$C:$C,$A24)/$AE24)*100,"#0.0")</f>
        <v>0.0</v>
      </c>
      <c r="P24" s="358" t="str">
        <f>TEXT((COUNTIFS(ICSE!$U:$U,"*"&amp;P$2&amp;"*",ICSE!$C:$C,$A24)/$AE24)*100,"#0.0")</f>
        <v>0.0</v>
      </c>
      <c r="Q24" s="358" t="str">
        <f>TEXT((COUNTIFS(ICSE!$U:$U,"*"&amp;Q$2&amp;"*",ICSE!$C:$C,$A24)/$AE24)*100,"#0.0")</f>
        <v>0.0</v>
      </c>
      <c r="R24" s="358" t="str">
        <f>TEXT((COUNTIFS(ICSE!$U:$U,"*"&amp;R$2&amp;"*",ICSE!$C:$C,$A24)/$AE24)*100,"#0.0")</f>
        <v>0.0</v>
      </c>
      <c r="S24" s="358" t="str">
        <f>TEXT((COUNTIFS(ICSE!$U:$U,"*"&amp;S$2&amp;"*",ICSE!$C:$C,$A24)/$AE24)*100,"#0.0")</f>
        <v>0.0</v>
      </c>
      <c r="T24" s="358" t="str">
        <f>TEXT((COUNTIFS(ICSE!$U:$U,"*"&amp;T$2&amp;"*",ICSE!$C:$C,$A24)/$AE24)*100,"#0.0")</f>
        <v>0.0</v>
      </c>
      <c r="U24" s="358" t="str">
        <f>TEXT((COUNTIFS(ICSE!$U:$U,"*"&amp;U$2&amp;"*",ICSE!$C:$C,$A24)/$AE24)*100,"#0.0")</f>
        <v>7.1</v>
      </c>
      <c r="V24" s="358" t="str">
        <f>TEXT((COUNTIFS(ICSE!$U:$U,"*"&amp;V$2&amp;"*",ICSE!$C:$C,$A24)/$AE24)*100,"#0.0")</f>
        <v>0.0</v>
      </c>
      <c r="W24" s="358" t="str">
        <f>TEXT((COUNTIFS(ICSE!$U:$U,"*"&amp;W$2&amp;"*",ICSE!$C:$C,$A24)/$AE24)*100,"#0.0")</f>
        <v>0.0</v>
      </c>
      <c r="X24" s="358" t="str">
        <f>TEXT((COUNTIFS(ICSE!$U:$U,"*"&amp;X$2&amp;"*",ICSE!$C:$C,$A24)/$AE24)*100,"#0.0")</f>
        <v>0.0</v>
      </c>
      <c r="Y24" s="358"/>
      <c r="Z24" s="364" t="str">
        <f>TEXT((COUNTIFS(ICSE!AB:AB,"&gt;0",ICSE!$C:$C,$A24)/$AE24)*100,"#0.0")</f>
        <v>37.5</v>
      </c>
      <c r="AA24" s="358" t="str">
        <f>TEXT((COUNTIFS(ICSE!$U:$U,"*"&amp;AA$2&amp;"*",ICSE!$C:$C,$A24)/$AE24)*100,"#0.0")</f>
        <v>0.0</v>
      </c>
      <c r="AB24" s="358" t="str">
        <f>TEXT((COUNTIFS(ICSE!$U:$U,"*"&amp;AB$2&amp;"*",ICSE!$C:$C,$A24)/$AE24)*100,"#0.0")</f>
        <v>0.0</v>
      </c>
      <c r="AC24" s="365" t="str">
        <f>TEXT((COUNTIFS(ICSE!AC:AC,"Yes",ICSE!$C:$C,$A24)/$AE24)*100,"#0.0")</f>
        <v>3.6</v>
      </c>
      <c r="AD24" s="355"/>
      <c r="AE24" s="293">
        <f>COUNTIFS(ICSE!C:C,A24,ICSE!K:K,"Yes")</f>
        <v>56</v>
      </c>
      <c r="AH24" s="327" t="s">
        <v>7369</v>
      </c>
      <c r="AI24" s="329">
        <f t="shared" si="34"/>
        <v>14</v>
      </c>
      <c r="AJ24" s="329" t="str">
        <f t="shared" si="35"/>
        <v>0.6%</v>
      </c>
      <c r="AK24" s="329">
        <f t="shared" si="36"/>
        <v>9</v>
      </c>
      <c r="AL24" s="329" t="str">
        <f t="shared" si="37"/>
        <v>0.7%</v>
      </c>
      <c r="AM24" s="329">
        <f t="shared" si="38"/>
        <v>5</v>
      </c>
      <c r="AN24" s="329" t="str">
        <f t="shared" si="39"/>
        <v>0.5%</v>
      </c>
      <c r="AO24" s="330" t="s">
        <v>5706</v>
      </c>
    </row>
    <row r="25">
      <c r="A25" s="308">
        <v>2018.0</v>
      </c>
      <c r="B25" s="357" t="str">
        <f>TEXT((COUNTIFS(ICSE!$U:$U,"*"&amp;B$2&amp;"*",ICSE!$C:$C,$A25)/$AE25)*100,"#0.0")</f>
        <v>8.4</v>
      </c>
      <c r="C25" s="357" t="str">
        <f>TEXT((COUNTIFS(ICSE!$U:$U,"*"&amp;C$2&amp;"*",ICSE!$C:$C,$A25)/$AE25)*100,"#0.0")</f>
        <v>1.2</v>
      </c>
      <c r="D25" s="358" t="str">
        <f>TEXT((COUNTIFS(ICSE!$U:$U,"*"&amp;D$2&amp;"*",ICSE!$C:$C,$A25)/$AE25)*100,"#0.0")</f>
        <v>1.2</v>
      </c>
      <c r="E25" s="358" t="str">
        <f>TEXT((COUNTIFS(ICSE!$U:$U,"*"&amp;E$2&amp;"*",ICSE!$C:$C,$A25)/$AE25)*100,"#0.0")</f>
        <v>0.0</v>
      </c>
      <c r="F25" s="358" t="str">
        <f>TEXT((COUNTIFS(ICSE!$U:$U,"*"&amp;F$2&amp;"*",ICSE!$C:$C,$A25)/$AE25)*100,"#0.0")</f>
        <v>1.2</v>
      </c>
      <c r="G25" s="358" t="str">
        <f>TEXT((COUNTIFS(ICSE!$U:$U,"*"&amp;G$2&amp;"*",ICSE!$C:$C,$A25)/$AE25)*100,"#0.0")</f>
        <v>0.0</v>
      </c>
      <c r="H25" s="358" t="str">
        <f>TEXT((COUNTIFS(ICSE!$U:$U,"*"&amp;H$2&amp;"*",ICSE!$C:$C,$A25)/$AE25)*100,"#0.0")</f>
        <v>0.0</v>
      </c>
      <c r="I25" s="358" t="str">
        <f>TEXT((COUNTIFS(ICSE!$U:$U,"*"&amp;I$2&amp;"*",ICSE!$C:$C,$A25)/$AE25)*100,"#0.0")</f>
        <v>0.0</v>
      </c>
      <c r="J25" s="359" t="str">
        <f>TEXT((COUNTIFS(ICSE!$U:$U,"*"&amp;J$2&amp;"*",ICSE!$C:$C,$A25)/$AE25)*100,"#0.0")</f>
        <v>43.4</v>
      </c>
      <c r="K25" s="358" t="str">
        <f>TEXT((COUNTIFS(ICSE!$U:$U,"*"&amp;K$2&amp;"*",ICSE!$C:$C,$A25)/$AE25)*100,"#0.0")</f>
        <v>0.0</v>
      </c>
      <c r="L25" s="358" t="str">
        <f>TEXT((COUNTIFS(ICSE!$U:$U,"*"&amp;L$2&amp;"*",ICSE!$C:$C,$A25)/$AE25)*100,"#0.0")</f>
        <v>4.8</v>
      </c>
      <c r="M25" s="358" t="str">
        <f>TEXT((COUNTIFS(ICSE!$U:$U,"*"&amp;M$2&amp;"*",ICSE!$C:$C,$A25)/$AE25)*100,"#0.0")</f>
        <v>0.0</v>
      </c>
      <c r="N25" s="358" t="str">
        <f>TEXT((COUNTIFS(ICSE!$U:$U,"*"&amp;N$2&amp;"*",ICSE!$C:$C,$A25)/$AE25)*100,"#0.0")</f>
        <v>0.0</v>
      </c>
      <c r="O25" s="358" t="str">
        <f>TEXT((COUNTIFS(ICSE!$U:$U,"*"&amp;O$2&amp;"*",ICSE!$C:$C,$A25)/$AE25)*100,"#0.0")</f>
        <v>0.0</v>
      </c>
      <c r="P25" s="358" t="str">
        <f>TEXT((COUNTIFS(ICSE!$U:$U,"*"&amp;P$2&amp;"*",ICSE!$C:$C,$A25)/$AE25)*100,"#0.0")</f>
        <v>0.0</v>
      </c>
      <c r="Q25" s="358" t="str">
        <f>TEXT((COUNTIFS(ICSE!$U:$U,"*"&amp;Q$2&amp;"*",ICSE!$C:$C,$A25)/$AE25)*100,"#0.0")</f>
        <v>1.2</v>
      </c>
      <c r="R25" s="358" t="str">
        <f>TEXT((COUNTIFS(ICSE!$U:$U,"*"&amp;R$2&amp;"*",ICSE!$C:$C,$A25)/$AE25)*100,"#0.0")</f>
        <v>0.0</v>
      </c>
      <c r="S25" s="358" t="str">
        <f>TEXT((COUNTIFS(ICSE!$U:$U,"*"&amp;S$2&amp;"*",ICSE!$C:$C,$A25)/$AE25)*100,"#0.0")</f>
        <v>0.0</v>
      </c>
      <c r="T25" s="358" t="str">
        <f>TEXT((COUNTIFS(ICSE!$U:$U,"*"&amp;T$2&amp;"*",ICSE!$C:$C,$A25)/$AE25)*100,"#0.0")</f>
        <v>0.0</v>
      </c>
      <c r="U25" s="358" t="str">
        <f>TEXT((COUNTIFS(ICSE!$U:$U,"*"&amp;U$2&amp;"*",ICSE!$C:$C,$A25)/$AE25)*100,"#0.0")</f>
        <v>8.4</v>
      </c>
      <c r="V25" s="358" t="str">
        <f>TEXT((COUNTIFS(ICSE!$U:$U,"*"&amp;V$2&amp;"*",ICSE!$C:$C,$A25)/$AE25)*100,"#0.0")</f>
        <v>0.0</v>
      </c>
      <c r="W25" s="358" t="str">
        <f>TEXT((COUNTIFS(ICSE!$U:$U,"*"&amp;W$2&amp;"*",ICSE!$C:$C,$A25)/$AE25)*100,"#0.0")</f>
        <v>0.0</v>
      </c>
      <c r="X25" s="358" t="str">
        <f>TEXT((COUNTIFS(ICSE!$U:$U,"*"&amp;X$2&amp;"*",ICSE!$C:$C,$A25)/$AE25)*100,"#0.0")</f>
        <v>0.0</v>
      </c>
      <c r="Y25" s="358"/>
      <c r="Z25" s="364" t="str">
        <f>TEXT((COUNTIFS(ICSE!AB:AB,"&gt;0",ICSE!$C:$C,$A25)/$AE25)*100,"#0.0")</f>
        <v>20.5</v>
      </c>
      <c r="AA25" s="358" t="str">
        <f>TEXT((COUNTIFS(ICSE!$U:$U,"*"&amp;AA$2&amp;"*",ICSE!$C:$C,$A25)/$AE25)*100,"#0.0")</f>
        <v>0.0</v>
      </c>
      <c r="AB25" s="358" t="str">
        <f>TEXT((COUNTIFS(ICSE!$U:$U,"*"&amp;AB$2&amp;"*",ICSE!$C:$C,$A25)/$AE25)*100,"#0.0")</f>
        <v>0.0</v>
      </c>
      <c r="AC25" s="365" t="str">
        <f>TEXT((COUNTIFS(ICSE!AC:AC,"Yes",ICSE!$C:$C,$A25)/$AE25)*100,"#0.0")</f>
        <v>13.3</v>
      </c>
      <c r="AD25" s="355"/>
      <c r="AE25" s="293">
        <f>COUNTIFS(ICSE!C:C,A25,ICSE!K:K,"Yes")</f>
        <v>83</v>
      </c>
      <c r="AH25" s="327" t="s">
        <v>7370</v>
      </c>
      <c r="AI25" s="329">
        <f t="shared" si="34"/>
        <v>5</v>
      </c>
      <c r="AJ25" s="329" t="str">
        <f t="shared" si="35"/>
        <v>0.2%</v>
      </c>
      <c r="AK25" s="329">
        <f t="shared" si="36"/>
        <v>4</v>
      </c>
      <c r="AL25" s="329" t="str">
        <f t="shared" si="37"/>
        <v>0.3%</v>
      </c>
      <c r="AM25" s="329">
        <f t="shared" si="38"/>
        <v>1</v>
      </c>
      <c r="AN25" s="329" t="str">
        <f t="shared" si="39"/>
        <v>0.1%</v>
      </c>
      <c r="AO25" s="330" t="s">
        <v>5708</v>
      </c>
    </row>
    <row r="26">
      <c r="A26" s="308">
        <v>2019.0</v>
      </c>
      <c r="B26" s="357" t="str">
        <f>TEXT((COUNTIFS(ICSE!$U:$U,"*"&amp;B$2&amp;"*",ICSE!$C:$C,$A26)/$AE26)*100,"#0.0")</f>
        <v>12.7</v>
      </c>
      <c r="C26" s="357" t="str">
        <f>TEXT((COUNTIFS(ICSE!$U:$U,"*"&amp;C$2&amp;"*",ICSE!$C:$C,$A26)/$AE26)*100,"#0.0")</f>
        <v>3.8</v>
      </c>
      <c r="D26" s="358" t="str">
        <f>TEXT((COUNTIFS(ICSE!$U:$U,"*"&amp;D$2&amp;"*",ICSE!$C:$C,$A26)/$AE26)*100,"#0.0")</f>
        <v>1.3</v>
      </c>
      <c r="E26" s="358" t="str">
        <f>TEXT((COUNTIFS(ICSE!$U:$U,"*"&amp;E$2&amp;"*",ICSE!$C:$C,$A26)/$AE26)*100,"#0.0")</f>
        <v>0.0</v>
      </c>
      <c r="F26" s="358" t="str">
        <f>TEXT((COUNTIFS(ICSE!$U:$U,"*"&amp;F$2&amp;"*",ICSE!$C:$C,$A26)/$AE26)*100,"#0.0")</f>
        <v>0.0</v>
      </c>
      <c r="G26" s="358" t="str">
        <f>TEXT((COUNTIFS(ICSE!$U:$U,"*"&amp;G$2&amp;"*",ICSE!$C:$C,$A26)/$AE26)*100,"#0.0")</f>
        <v>0.0</v>
      </c>
      <c r="H26" s="358" t="str">
        <f>TEXT((COUNTIFS(ICSE!$U:$U,"*"&amp;H$2&amp;"*",ICSE!$C:$C,$A26)/$AE26)*100,"#0.0")</f>
        <v>0.0</v>
      </c>
      <c r="I26" s="358" t="str">
        <f>TEXT((COUNTIFS(ICSE!$U:$U,"*"&amp;I$2&amp;"*",ICSE!$C:$C,$A26)/$AE26)*100,"#0.0")</f>
        <v>0.0</v>
      </c>
      <c r="J26" s="359" t="str">
        <f>TEXT((COUNTIFS(ICSE!$U:$U,"*"&amp;J$2&amp;"*",ICSE!$C:$C,$A26)/$AE26)*100,"#0.0")</f>
        <v>55.7</v>
      </c>
      <c r="K26" s="358" t="str">
        <f>TEXT((COUNTIFS(ICSE!$U:$U,"*"&amp;K$2&amp;"*",ICSE!$C:$C,$A26)/$AE26)*100,"#0.0")</f>
        <v>0.0</v>
      </c>
      <c r="L26" s="358" t="str">
        <f>TEXT((COUNTIFS(ICSE!$U:$U,"*"&amp;L$2&amp;"*",ICSE!$C:$C,$A26)/$AE26)*100,"#0.0")</f>
        <v>1.3</v>
      </c>
      <c r="M26" s="358" t="str">
        <f>TEXT((COUNTIFS(ICSE!$U:$U,"*"&amp;M$2&amp;"*",ICSE!$C:$C,$A26)/$AE26)*100,"#0.0")</f>
        <v>1.3</v>
      </c>
      <c r="N26" s="358" t="str">
        <f>TEXT((COUNTIFS(ICSE!$U:$U,"*"&amp;N$2&amp;"*",ICSE!$C:$C,$A26)/$AE26)*100,"#0.0")</f>
        <v>0.0</v>
      </c>
      <c r="O26" s="358" t="str">
        <f>TEXT((COUNTIFS(ICSE!$U:$U,"*"&amp;O$2&amp;"*",ICSE!$C:$C,$A26)/$AE26)*100,"#0.0")</f>
        <v>0.0</v>
      </c>
      <c r="P26" s="358" t="str">
        <f>TEXT((COUNTIFS(ICSE!$U:$U,"*"&amp;P$2&amp;"*",ICSE!$C:$C,$A26)/$AE26)*100,"#0.0")</f>
        <v>0.0</v>
      </c>
      <c r="Q26" s="358" t="str">
        <f>TEXT((COUNTIFS(ICSE!$U:$U,"*"&amp;Q$2&amp;"*",ICSE!$C:$C,$A26)/$AE26)*100,"#0.0")</f>
        <v>0.0</v>
      </c>
      <c r="R26" s="358" t="str">
        <f>TEXT((COUNTIFS(ICSE!$U:$U,"*"&amp;R$2&amp;"*",ICSE!$C:$C,$A26)/$AE26)*100,"#0.0")</f>
        <v>0.0</v>
      </c>
      <c r="S26" s="358" t="str">
        <f>TEXT((COUNTIFS(ICSE!$U:$U,"*"&amp;S$2&amp;"*",ICSE!$C:$C,$A26)/$AE26)*100,"#0.0")</f>
        <v>0.0</v>
      </c>
      <c r="T26" s="358" t="str">
        <f>TEXT((COUNTIFS(ICSE!$U:$U,"*"&amp;T$2&amp;"*",ICSE!$C:$C,$A26)/$AE26)*100,"#0.0")</f>
        <v>1.3</v>
      </c>
      <c r="U26" s="358" t="str">
        <f>TEXT((COUNTIFS(ICSE!$U:$U,"*"&amp;U$2&amp;"*",ICSE!$C:$C,$A26)/$AE26)*100,"#0.0")</f>
        <v>8.9</v>
      </c>
      <c r="V26" s="358" t="str">
        <f>TEXT((COUNTIFS(ICSE!$U:$U,"*"&amp;V$2&amp;"*",ICSE!$C:$C,$A26)/$AE26)*100,"#0.0")</f>
        <v>0.0</v>
      </c>
      <c r="W26" s="358" t="str">
        <f>TEXT((COUNTIFS(ICSE!$U:$U,"*"&amp;W$2&amp;"*",ICSE!$C:$C,$A26)/$AE26)*100,"#0.0")</f>
        <v>0.0</v>
      </c>
      <c r="X26" s="358" t="str">
        <f>TEXT((COUNTIFS(ICSE!$U:$U,"*"&amp;X$2&amp;"*",ICSE!$C:$C,$A26)/$AE26)*100,"#0.0")</f>
        <v>1.3</v>
      </c>
      <c r="Y26" s="358"/>
      <c r="Z26" s="364" t="str">
        <f>TEXT((COUNTIFS(ICSE!AB:AB,"&gt;0",ICSE!$C:$C,$A26)/$AE26)*100,"#0.0")</f>
        <v>8.9</v>
      </c>
      <c r="AA26" s="358" t="str">
        <f>TEXT((COUNTIFS(ICSE!$U:$U,"*"&amp;AA$2&amp;"*",ICSE!$C:$C,$A26)/$AE26)*100,"#0.0")</f>
        <v>0.0</v>
      </c>
      <c r="AB26" s="358" t="str">
        <f>TEXT((COUNTIFS(ICSE!$U:$U,"*"&amp;AB$2&amp;"*",ICSE!$C:$C,$A26)/$AE26)*100,"#0.0")</f>
        <v>0.0</v>
      </c>
      <c r="AC26" s="365" t="str">
        <f>TEXT((COUNTIFS(ICSE!AC:AC,"Yes",ICSE!$C:$C,$A26)/$AE26)*100,"#0.0")</f>
        <v>19.0</v>
      </c>
      <c r="AD26" s="355"/>
      <c r="AE26" s="293">
        <f>COUNTIFS(ICSE!C:C,A26,ICSE!K:K,"Yes")</f>
        <v>79</v>
      </c>
      <c r="AH26" s="327" t="s">
        <v>7371</v>
      </c>
      <c r="AI26" s="329">
        <f t="shared" si="34"/>
        <v>2</v>
      </c>
      <c r="AJ26" s="329" t="str">
        <f t="shared" si="35"/>
        <v>0.1%</v>
      </c>
      <c r="AK26" s="329">
        <f t="shared" si="36"/>
        <v>2</v>
      </c>
      <c r="AL26" s="329" t="str">
        <f t="shared" si="37"/>
        <v>0.2%</v>
      </c>
      <c r="AM26" s="329">
        <f t="shared" si="38"/>
        <v>0</v>
      </c>
      <c r="AN26" s="329" t="str">
        <f t="shared" si="39"/>
        <v>0.0%</v>
      </c>
      <c r="AO26" s="330" t="s">
        <v>5704</v>
      </c>
    </row>
    <row r="27">
      <c r="A27" s="308">
        <v>2020.0</v>
      </c>
      <c r="B27" s="357" t="str">
        <f>TEXT((COUNTIFS(ICSE!$U:$U,"*"&amp;B$2&amp;"*",ICSE!$C:$C,$A27)/$AE27)*100,"#0.0")</f>
        <v>11.3</v>
      </c>
      <c r="C27" s="357" t="str">
        <f>TEXT((COUNTIFS(ICSE!$U:$U,"*"&amp;C$2&amp;"*",ICSE!$C:$C,$A27)/$AE27)*100,"#0.0")</f>
        <v>4.7</v>
      </c>
      <c r="D27" s="358" t="str">
        <f>TEXT((COUNTIFS(ICSE!$U:$U,"*"&amp;D$2&amp;"*",ICSE!$C:$C,$A27)/$AE27)*100,"#0.0")</f>
        <v>1.9</v>
      </c>
      <c r="E27" s="358" t="str">
        <f>TEXT((COUNTIFS(ICSE!$U:$U,"*"&amp;E$2&amp;"*",ICSE!$C:$C,$A27)/$AE27)*100,"#0.0")</f>
        <v>0.0</v>
      </c>
      <c r="F27" s="358" t="str">
        <f>TEXT((COUNTIFS(ICSE!$U:$U,"*"&amp;F$2&amp;"*",ICSE!$C:$C,$A27)/$AE27)*100,"#0.0")</f>
        <v>0.0</v>
      </c>
      <c r="G27" s="358" t="str">
        <f>TEXT((COUNTIFS(ICSE!$U:$U,"*"&amp;G$2&amp;"*",ICSE!$C:$C,$A27)/$AE27)*100,"#0.0")</f>
        <v>0.0</v>
      </c>
      <c r="H27" s="358" t="str">
        <f>TEXT((COUNTIFS(ICSE!$U:$U,"*"&amp;H$2&amp;"*",ICSE!$C:$C,$A27)/$AE27)*100,"#0.0")</f>
        <v>1.9</v>
      </c>
      <c r="I27" s="358" t="str">
        <f>TEXT((COUNTIFS(ICSE!$U:$U,"*"&amp;I$2&amp;"*",ICSE!$C:$C,$A27)/$AE27)*100,"#0.0")</f>
        <v>0.0</v>
      </c>
      <c r="J27" s="359" t="str">
        <f>TEXT((COUNTIFS(ICSE!$U:$U,"*"&amp;J$2&amp;"*",ICSE!$C:$C,$A27)/$AE27)*100,"#0.0")</f>
        <v>67.0</v>
      </c>
      <c r="K27" s="358" t="str">
        <f>TEXT((COUNTIFS(ICSE!$U:$U,"*"&amp;K$2&amp;"*",ICSE!$C:$C,$A27)/$AE27)*100,"#0.0")</f>
        <v>0.9</v>
      </c>
      <c r="L27" s="358" t="str">
        <f>TEXT((COUNTIFS(ICSE!$U:$U,"*"&amp;L$2&amp;"*",ICSE!$C:$C,$A27)/$AE27)*100,"#0.0")</f>
        <v>0.0</v>
      </c>
      <c r="M27" s="358" t="str">
        <f>TEXT((COUNTIFS(ICSE!$U:$U,"*"&amp;M$2&amp;"*",ICSE!$C:$C,$A27)/$AE27)*100,"#0.0")</f>
        <v>2.8</v>
      </c>
      <c r="N27" s="358" t="str">
        <f>TEXT((COUNTIFS(ICSE!$U:$U,"*"&amp;N$2&amp;"*",ICSE!$C:$C,$A27)/$AE27)*100,"#0.0")</f>
        <v>0.0</v>
      </c>
      <c r="O27" s="358" t="str">
        <f>TEXT((COUNTIFS(ICSE!$U:$U,"*"&amp;O$2&amp;"*",ICSE!$C:$C,$A27)/$AE27)*100,"#0.0")</f>
        <v>0.0</v>
      </c>
      <c r="P27" s="358" t="str">
        <f>TEXT((COUNTIFS(ICSE!$U:$U,"*"&amp;P$2&amp;"*",ICSE!$C:$C,$A27)/$AE27)*100,"#0.0")</f>
        <v>0.0</v>
      </c>
      <c r="Q27" s="358" t="str">
        <f>TEXT((COUNTIFS(ICSE!$U:$U,"*"&amp;Q$2&amp;"*",ICSE!$C:$C,$A27)/$AE27)*100,"#0.0")</f>
        <v>0.9</v>
      </c>
      <c r="R27" s="358" t="str">
        <f>TEXT((COUNTIFS(ICSE!$U:$U,"*"&amp;R$2&amp;"*",ICSE!$C:$C,$A27)/$AE27)*100,"#0.0")</f>
        <v>0.0</v>
      </c>
      <c r="S27" s="358" t="str">
        <f>TEXT((COUNTIFS(ICSE!$U:$U,"*"&amp;S$2&amp;"*",ICSE!$C:$C,$A27)/$AE27)*100,"#0.0")</f>
        <v>0.9</v>
      </c>
      <c r="T27" s="358" t="str">
        <f>TEXT((COUNTIFS(ICSE!$U:$U,"*"&amp;T$2&amp;"*",ICSE!$C:$C,$A27)/$AE27)*100,"#0.0")</f>
        <v>0.0</v>
      </c>
      <c r="U27" s="358" t="str">
        <f>TEXT((COUNTIFS(ICSE!$U:$U,"*"&amp;U$2&amp;"*",ICSE!$C:$C,$A27)/$AE27)*100,"#0.0")</f>
        <v>7.5</v>
      </c>
      <c r="V27" s="358" t="str">
        <f>TEXT((COUNTIFS(ICSE!$U:$U,"*"&amp;V$2&amp;"*",ICSE!$C:$C,$A27)/$AE27)*100,"#0.0")</f>
        <v>0.0</v>
      </c>
      <c r="W27" s="358" t="str">
        <f>TEXT((COUNTIFS(ICSE!$U:$U,"*"&amp;W$2&amp;"*",ICSE!$C:$C,$A27)/$AE27)*100,"#0.0")</f>
        <v>0.0</v>
      </c>
      <c r="X27" s="358" t="str">
        <f>TEXT((COUNTIFS(ICSE!$U:$U,"*"&amp;X$2&amp;"*",ICSE!$C:$C,$A27)/$AE27)*100,"#0.0")</f>
        <v>0.0</v>
      </c>
      <c r="Y27" s="358"/>
      <c r="Z27" s="364" t="str">
        <f>TEXT((COUNTIFS(ICSE!AB:AB,"&gt;0",ICSE!$C:$C,$A27)/$AE27)*100,"#0.0")</f>
        <v>5.7</v>
      </c>
      <c r="AA27" s="358" t="str">
        <f>TEXT((COUNTIFS(ICSE!$U:$U,"*"&amp;AA$2&amp;"*",ICSE!$C:$C,$A27)/$AE27)*100,"#0.0")</f>
        <v>0.0</v>
      </c>
      <c r="AB27" s="358" t="str">
        <f>TEXT((COUNTIFS(ICSE!$U:$U,"*"&amp;AB$2&amp;"*",ICSE!$C:$C,$A27)/$AE27)*100,"#0.0")</f>
        <v>0.0</v>
      </c>
      <c r="AC27" s="365" t="str">
        <f>TEXT((COUNTIFS(ICSE!AC:AC,"Yes",ICSE!$C:$C,$A27)/$AE27)*100,"#0.0")</f>
        <v>17.0</v>
      </c>
      <c r="AD27" s="355"/>
      <c r="AE27" s="293">
        <f>COUNTIFS(ICSE!C:C,A27,ICSE!K:K,"Yes")</f>
        <v>106</v>
      </c>
      <c r="AH27" s="327" t="s">
        <v>7372</v>
      </c>
      <c r="AI27" s="329">
        <f t="shared" si="34"/>
        <v>1</v>
      </c>
      <c r="AJ27" s="329" t="str">
        <f t="shared" si="35"/>
        <v>0.0%</v>
      </c>
      <c r="AK27" s="329">
        <f t="shared" si="36"/>
        <v>1</v>
      </c>
      <c r="AL27" s="329" t="str">
        <f t="shared" si="37"/>
        <v>0.1%</v>
      </c>
      <c r="AM27" s="329">
        <f t="shared" si="38"/>
        <v>0</v>
      </c>
      <c r="AN27" s="329" t="str">
        <f t="shared" si="39"/>
        <v>0.0%</v>
      </c>
      <c r="AO27" s="330" t="s">
        <v>5705</v>
      </c>
    </row>
    <row r="28">
      <c r="A28" s="308">
        <v>2021.0</v>
      </c>
      <c r="B28" s="357" t="str">
        <f>TEXT((COUNTIFS(ICSE!$U:$U,"*"&amp;B$2&amp;"*",ICSE!$C:$C,$A28)/$AE28)*100,"#0.0")</f>
        <v>23.3</v>
      </c>
      <c r="C28" s="357" t="str">
        <f>TEXT((COUNTIFS(ICSE!$U:$U,"*"&amp;C$2&amp;"*",ICSE!$C:$C,$A28)/$AE28)*100,"#0.0")</f>
        <v>5.0</v>
      </c>
      <c r="D28" s="358" t="str">
        <f>TEXT((COUNTIFS(ICSE!$U:$U,"*"&amp;D$2&amp;"*",ICSE!$C:$C,$A28)/$AE28)*100,"#0.0")</f>
        <v>0.8</v>
      </c>
      <c r="E28" s="358" t="str">
        <f>TEXT((COUNTIFS(ICSE!$U:$U,"*"&amp;E$2&amp;"*",ICSE!$C:$C,$A28)/$AE28)*100,"#0.0")</f>
        <v>0.0</v>
      </c>
      <c r="F28" s="358" t="str">
        <f>TEXT((COUNTIFS(ICSE!$U:$U,"*"&amp;F$2&amp;"*",ICSE!$C:$C,$A28)/$AE28)*100,"#0.0")</f>
        <v>0.0</v>
      </c>
      <c r="G28" s="358" t="str">
        <f>TEXT((COUNTIFS(ICSE!$U:$U,"*"&amp;G$2&amp;"*",ICSE!$C:$C,$A28)/$AE28)*100,"#0.0")</f>
        <v>0.8</v>
      </c>
      <c r="H28" s="358" t="str">
        <f>TEXT((COUNTIFS(ICSE!$U:$U,"*"&amp;H$2&amp;"*",ICSE!$C:$C,$A28)/$AE28)*100,"#0.0")</f>
        <v>0.8</v>
      </c>
      <c r="I28" s="358" t="str">
        <f>TEXT((COUNTIFS(ICSE!$U:$U,"*"&amp;I$2&amp;"*",ICSE!$C:$C,$A28)/$AE28)*100,"#0.0")</f>
        <v>0.0</v>
      </c>
      <c r="J28" s="359" t="str">
        <f>TEXT((COUNTIFS(ICSE!$U:$U,"*"&amp;J$2&amp;"*",ICSE!$C:$C,$A28)/$AE28)*100,"#0.0")</f>
        <v>64.2</v>
      </c>
      <c r="K28" s="358" t="str">
        <f>TEXT((COUNTIFS(ICSE!$U:$U,"*"&amp;K$2&amp;"*",ICSE!$C:$C,$A28)/$AE28)*100,"#0.0")</f>
        <v>0.0</v>
      </c>
      <c r="L28" s="358" t="str">
        <f>TEXT((COUNTIFS(ICSE!$U:$U,"*"&amp;L$2&amp;"*",ICSE!$C:$C,$A28)/$AE28)*100,"#0.0")</f>
        <v>0.8</v>
      </c>
      <c r="M28" s="358" t="str">
        <f>TEXT((COUNTIFS(ICSE!$U:$U,"*"&amp;M$2&amp;"*",ICSE!$C:$C,$A28)/$AE28)*100,"#0.0")</f>
        <v>0.0</v>
      </c>
      <c r="N28" s="358" t="str">
        <f>TEXT((COUNTIFS(ICSE!$U:$U,"*"&amp;N$2&amp;"*",ICSE!$C:$C,$A28)/$AE28)*100,"#0.0")</f>
        <v>0.0</v>
      </c>
      <c r="O28" s="358" t="str">
        <f>TEXT((COUNTIFS(ICSE!$U:$U,"*"&amp;O$2&amp;"*",ICSE!$C:$C,$A28)/$AE28)*100,"#0.0")</f>
        <v>0.0</v>
      </c>
      <c r="P28" s="358" t="str">
        <f>TEXT((COUNTIFS(ICSE!$U:$U,"*"&amp;P$2&amp;"*",ICSE!$C:$C,$A28)/$AE28)*100,"#0.0")</f>
        <v>0.0</v>
      </c>
      <c r="Q28" s="358" t="str">
        <f>TEXT((COUNTIFS(ICSE!$U:$U,"*"&amp;Q$2&amp;"*",ICSE!$C:$C,$A28)/$AE28)*100,"#0.0")</f>
        <v>0.0</v>
      </c>
      <c r="R28" s="358" t="str">
        <f>TEXT((COUNTIFS(ICSE!$U:$U,"*"&amp;R$2&amp;"*",ICSE!$C:$C,$A28)/$AE28)*100,"#0.0")</f>
        <v>0.0</v>
      </c>
      <c r="S28" s="358" t="str">
        <f>TEXT((COUNTIFS(ICSE!$U:$U,"*"&amp;S$2&amp;"*",ICSE!$C:$C,$A28)/$AE28)*100,"#0.0")</f>
        <v>0.0</v>
      </c>
      <c r="T28" s="358" t="str">
        <f>TEXT((COUNTIFS(ICSE!$U:$U,"*"&amp;T$2&amp;"*",ICSE!$C:$C,$A28)/$AE28)*100,"#0.0")</f>
        <v>0.0</v>
      </c>
      <c r="U28" s="358" t="str">
        <f>TEXT((COUNTIFS(ICSE!$U:$U,"*"&amp;U$2&amp;"*",ICSE!$C:$C,$A28)/$AE28)*100,"#0.0")</f>
        <v>5.8</v>
      </c>
      <c r="V28" s="358" t="str">
        <f>TEXT((COUNTIFS(ICSE!$U:$U,"*"&amp;V$2&amp;"*",ICSE!$C:$C,$A28)/$AE28)*100,"#0.0")</f>
        <v>0.0</v>
      </c>
      <c r="W28" s="358" t="str">
        <f>TEXT((COUNTIFS(ICSE!$U:$U,"*"&amp;W$2&amp;"*",ICSE!$C:$C,$A28)/$AE28)*100,"#0.0")</f>
        <v>0.0</v>
      </c>
      <c r="X28" s="358" t="str">
        <f>TEXT((COUNTIFS(ICSE!$U:$U,"*"&amp;X$2&amp;"*",ICSE!$C:$C,$A28)/$AE28)*100,"#0.0")</f>
        <v>0.0</v>
      </c>
      <c r="Y28" s="358"/>
      <c r="Z28" s="364" t="str">
        <f>TEXT((COUNTIFS(ICSE!AB:AB,"&gt;0",ICSE!$C:$C,$A28)/$AE28)*100,"#0.0")</f>
        <v>5.0</v>
      </c>
      <c r="AA28" s="358" t="str">
        <f>TEXT((COUNTIFS(ICSE!$U:$U,"*"&amp;AA$2&amp;"*",ICSE!$C:$C,$A28)/$AE28)*100,"#0.0")</f>
        <v>0.0</v>
      </c>
      <c r="AB28" s="358" t="str">
        <f>TEXT((COUNTIFS(ICSE!$U:$U,"*"&amp;AB$2&amp;"*",ICSE!$C:$C,$A28)/$AE28)*100,"#0.0")</f>
        <v>0.0</v>
      </c>
      <c r="AC28" s="365" t="str">
        <f>TEXT((COUNTIFS(ICSE!AC:AC,"Yes",ICSE!$C:$C,$A28)/$AE28)*100,"#0.0")</f>
        <v>31.7</v>
      </c>
      <c r="AD28" s="355"/>
      <c r="AE28" s="293">
        <f>COUNTIFS(ICSE!C:C,A28,ICSE!K:K,"Yes")</f>
        <v>120</v>
      </c>
      <c r="AH28" s="327" t="s">
        <v>7373</v>
      </c>
      <c r="AI28" s="328">
        <f t="shared" si="34"/>
        <v>5</v>
      </c>
      <c r="AJ28" s="329" t="str">
        <f t="shared" si="35"/>
        <v>0.2%</v>
      </c>
      <c r="AK28" s="329">
        <f t="shared" si="36"/>
        <v>0</v>
      </c>
      <c r="AL28" s="329" t="str">
        <f t="shared" si="37"/>
        <v>0.0%</v>
      </c>
      <c r="AM28" s="329">
        <f t="shared" si="38"/>
        <v>5</v>
      </c>
      <c r="AN28" s="329" t="str">
        <f t="shared" si="39"/>
        <v>0.5%</v>
      </c>
      <c r="AO28" s="330" t="s">
        <v>5709</v>
      </c>
    </row>
    <row r="29">
      <c r="A29" s="308">
        <v>2022.0</v>
      </c>
      <c r="B29" s="357" t="str">
        <f>TEXT((COUNTIFS(ICSE!$U:$U,"*"&amp;B$2&amp;"*",ICSE!$C:$C,$A29)/$AE29)*100,"#0.0")</f>
        <v>23.3</v>
      </c>
      <c r="C29" s="357" t="str">
        <f>TEXT((COUNTIFS(ICSE!$U:$U,"*"&amp;C$2&amp;"*",ICSE!$C:$C,$A29)/$AE29)*100,"#0.0")</f>
        <v>5.7</v>
      </c>
      <c r="D29" s="358" t="str">
        <f>TEXT((COUNTIFS(ICSE!$U:$U,"*"&amp;D$2&amp;"*",ICSE!$C:$C,$A29)/$AE29)*100,"#0.0")</f>
        <v>1.1</v>
      </c>
      <c r="E29" s="358" t="str">
        <f>TEXT((COUNTIFS(ICSE!$U:$U,"*"&amp;E$2&amp;"*",ICSE!$C:$C,$A29)/$AE29)*100,"#0.0")</f>
        <v>1.1</v>
      </c>
      <c r="F29" s="358" t="str">
        <f>TEXT((COUNTIFS(ICSE!$U:$U,"*"&amp;F$2&amp;"*",ICSE!$C:$C,$A29)/$AE29)*100,"#0.0")</f>
        <v>0.0</v>
      </c>
      <c r="G29" s="358" t="str">
        <f>TEXT((COUNTIFS(ICSE!$U:$U,"*"&amp;G$2&amp;"*",ICSE!$C:$C,$A29)/$AE29)*100,"#0.0")</f>
        <v>0.0</v>
      </c>
      <c r="H29" s="358" t="str">
        <f>TEXT((COUNTIFS(ICSE!$U:$U,"*"&amp;H$2&amp;"*",ICSE!$C:$C,$A29)/$AE29)*100,"#0.0")</f>
        <v>0.0</v>
      </c>
      <c r="I29" s="358" t="str">
        <f>TEXT((COUNTIFS(ICSE!$U:$U,"*"&amp;I$2&amp;"*",ICSE!$C:$C,$A29)/$AE29)*100,"#0.0")</f>
        <v>0.0</v>
      </c>
      <c r="J29" s="359" t="str">
        <f>TEXT((COUNTIFS(ICSE!$U:$U,"*"&amp;J$2&amp;"*",ICSE!$C:$C,$A29)/$AE29)*100,"#0.0")</f>
        <v>67.6</v>
      </c>
      <c r="K29" s="358" t="str">
        <f>TEXT((COUNTIFS(ICSE!$U:$U,"*"&amp;K$2&amp;"*",ICSE!$C:$C,$A29)/$AE29)*100,"#0.0")</f>
        <v>0.0</v>
      </c>
      <c r="L29" s="358" t="str">
        <f>TEXT((COUNTIFS(ICSE!$U:$U,"*"&amp;L$2&amp;"*",ICSE!$C:$C,$A29)/$AE29)*100,"#0.0")</f>
        <v>0.6</v>
      </c>
      <c r="M29" s="358" t="str">
        <f>TEXT((COUNTIFS(ICSE!$U:$U,"*"&amp;M$2&amp;"*",ICSE!$C:$C,$A29)/$AE29)*100,"#0.0")</f>
        <v>0.0</v>
      </c>
      <c r="N29" s="358" t="str">
        <f>TEXT((COUNTIFS(ICSE!$U:$U,"*"&amp;N$2&amp;"*",ICSE!$C:$C,$A29)/$AE29)*100,"#0.0")</f>
        <v>0.0</v>
      </c>
      <c r="O29" s="358" t="str">
        <f>TEXT((COUNTIFS(ICSE!$U:$U,"*"&amp;O$2&amp;"*",ICSE!$C:$C,$A29)/$AE29)*100,"#0.0")</f>
        <v>0.6</v>
      </c>
      <c r="P29" s="358" t="str">
        <f>TEXT((COUNTIFS(ICSE!$U:$U,"*"&amp;P$2&amp;"*",ICSE!$C:$C,$A29)/$AE29)*100,"#0.0")</f>
        <v>0.0</v>
      </c>
      <c r="Q29" s="358" t="str">
        <f>TEXT((COUNTIFS(ICSE!$U:$U,"*"&amp;Q$2&amp;"*",ICSE!$C:$C,$A29)/$AE29)*100,"#0.0")</f>
        <v>0.0</v>
      </c>
      <c r="R29" s="358" t="str">
        <f>TEXT((COUNTIFS(ICSE!$U:$U,"*"&amp;R$2&amp;"*",ICSE!$C:$C,$A29)/$AE29)*100,"#0.0")</f>
        <v>0.0</v>
      </c>
      <c r="S29" s="358" t="str">
        <f>TEXT((COUNTIFS(ICSE!$U:$U,"*"&amp;S$2&amp;"*",ICSE!$C:$C,$A29)/$AE29)*100,"#0.0")</f>
        <v>0.0</v>
      </c>
      <c r="T29" s="358" t="str">
        <f>TEXT((COUNTIFS(ICSE!$U:$U,"*"&amp;T$2&amp;"*",ICSE!$C:$C,$A29)/$AE29)*100,"#0.0")</f>
        <v>0.0</v>
      </c>
      <c r="U29" s="358" t="str">
        <f>TEXT((COUNTIFS(ICSE!$U:$U,"*"&amp;U$2&amp;"*",ICSE!$C:$C,$A29)/$AE29)*100,"#0.0")</f>
        <v>5.7</v>
      </c>
      <c r="V29" s="358" t="str">
        <f>TEXT((COUNTIFS(ICSE!$U:$U,"*"&amp;V$2&amp;"*",ICSE!$C:$C,$A29)/$AE29)*100,"#0.0")</f>
        <v>0.0</v>
      </c>
      <c r="W29" s="358" t="str">
        <f>TEXT((COUNTIFS(ICSE!$U:$U,"*"&amp;W$2&amp;"*",ICSE!$C:$C,$A29)/$AE29)*100,"#0.0")</f>
        <v>0.0</v>
      </c>
      <c r="X29" s="358" t="str">
        <f>TEXT((COUNTIFS(ICSE!$U:$U,"*"&amp;X$2&amp;"*",ICSE!$C:$C,$A29)/$AE29)*100,"#0.0")</f>
        <v>0.0</v>
      </c>
      <c r="Y29" s="358"/>
      <c r="Z29" s="364" t="str">
        <f>TEXT((COUNTIFS(ICSE!AB:AB,"&gt;0",ICSE!$C:$C,$A29)/$AE29)*100,"#0.0")</f>
        <v>1.1</v>
      </c>
      <c r="AA29" s="358" t="str">
        <f>TEXT((COUNTIFS(ICSE!$U:$U,"*"&amp;AA$2&amp;"*",ICSE!$C:$C,$A29)/$AE29)*100,"#0.0")</f>
        <v>0.0</v>
      </c>
      <c r="AB29" s="358" t="str">
        <f>TEXT((COUNTIFS(ICSE!$U:$U,"*"&amp;AB$2&amp;"*",ICSE!$C:$C,$A29)/$AE29)*100,"#0.0")</f>
        <v>0.0</v>
      </c>
      <c r="AC29" s="365" t="str">
        <f>TEXT((COUNTIFS(ICSE!AC:AC,"Yes",ICSE!$C:$C,$A29)/$AE29)*100,"#0.0")</f>
        <v>31.3</v>
      </c>
      <c r="AD29" s="355"/>
      <c r="AE29" s="293">
        <f>COUNTIFS(ICSE!C:C,A29,ICSE!K:K,"Yes")</f>
        <v>176</v>
      </c>
      <c r="AH29" s="366" t="s">
        <v>5734</v>
      </c>
      <c r="AI29" s="367">
        <f t="array" ref="AI29">XLOOKUP($AH29,$1:$1,$11:$11,"ERROR",0,1)</f>
        <v>309</v>
      </c>
      <c r="AJ29" s="368" t="str">
        <f t="array" ref="AJ29">TEXT(XLOOKUP($AH29,$1:$1,$15:$15,"ERROR",0,1),"#0.0")&amp;"%"</f>
        <v>14.2%</v>
      </c>
      <c r="AK29" s="367">
        <f t="array" ref="AK29">XLOOKUP($AH29,$1:$1,$12:$12,"ERROR",0,1)</f>
        <v>193</v>
      </c>
      <c r="AL29" s="368" t="str">
        <f t="array" ref="AL29">TEXT(XLOOKUP($AH29,$1:$1,$16:$16,"ERROR",0,1),"#0.0")&amp;"%"</f>
        <v>15.7%</v>
      </c>
      <c r="AM29" s="367">
        <f t="array" ref="AM29">XLOOKUP($AH29,$1:$1,$13:$13,"ERROR",0,1)</f>
        <v>116</v>
      </c>
      <c r="AN29" s="368" t="str">
        <f t="array" ref="AN29">TEXT(XLOOKUP($AH29,$1:$1,$17:$17,"ERROR",0,1),"#0.0")&amp;"%"</f>
        <v>12.3%</v>
      </c>
      <c r="AO29" s="330"/>
    </row>
    <row r="30">
      <c r="A30" s="308">
        <v>2023.0</v>
      </c>
      <c r="B30" s="357" t="str">
        <f>TEXT((COUNTIFS(ICSE!$U:$U,"*"&amp;B$2&amp;"*",ICSE!$C:$C,$A30)/$AE30)*100,"#0.0")</f>
        <v>23.0</v>
      </c>
      <c r="C30" s="357" t="str">
        <f>TEXT((COUNTIFS(ICSE!$U:$U,"*"&amp;C$2&amp;"*",ICSE!$C:$C,$A30)/$AE30)*100,"#0.0")</f>
        <v>10.5</v>
      </c>
      <c r="D30" s="358" t="str">
        <f>TEXT((COUNTIFS(ICSE!$U:$U,"*"&amp;D$2&amp;"*",ICSE!$C:$C,$A30)/$AE30)*100,"#0.0")</f>
        <v>1.0</v>
      </c>
      <c r="E30" s="358" t="str">
        <f>TEXT((COUNTIFS(ICSE!$U:$U,"*"&amp;E$2&amp;"*",ICSE!$C:$C,$A30)/$AE30)*100,"#0.0")</f>
        <v>1.0</v>
      </c>
      <c r="F30" s="358" t="str">
        <f>TEXT((COUNTIFS(ICSE!$U:$U,"*"&amp;F$2&amp;"*",ICSE!$C:$C,$A30)/$AE30)*100,"#0.0")</f>
        <v>0.0</v>
      </c>
      <c r="G30" s="358" t="str">
        <f>TEXT((COUNTIFS(ICSE!$U:$U,"*"&amp;G$2&amp;"*",ICSE!$C:$C,$A30)/$AE30)*100,"#0.0")</f>
        <v>0.0</v>
      </c>
      <c r="H30" s="358" t="str">
        <f>TEXT((COUNTIFS(ICSE!$U:$U,"*"&amp;H$2&amp;"*",ICSE!$C:$C,$A30)/$AE30)*100,"#0.0")</f>
        <v>1.0</v>
      </c>
      <c r="I30" s="358" t="str">
        <f>TEXT((COUNTIFS(ICSE!$U:$U,"*"&amp;I$2&amp;"*",ICSE!$C:$C,$A30)/$AE30)*100,"#0.0")</f>
        <v>0.0</v>
      </c>
      <c r="J30" s="359" t="str">
        <f>TEXT((COUNTIFS(ICSE!$U:$U,"*"&amp;J$2&amp;"*",ICSE!$C:$C,$A30)/$AE30)*100,"#0.0")</f>
        <v>66.0</v>
      </c>
      <c r="K30" s="358" t="str">
        <f>TEXT((COUNTIFS(ICSE!$U:$U,"*"&amp;K$2&amp;"*",ICSE!$C:$C,$A30)/$AE30)*100,"#0.0")</f>
        <v>1.0</v>
      </c>
      <c r="L30" s="358" t="str">
        <f>TEXT((COUNTIFS(ICSE!$U:$U,"*"&amp;L$2&amp;"*",ICSE!$C:$C,$A30)/$AE30)*100,"#0.0")</f>
        <v>0.0</v>
      </c>
      <c r="M30" s="358" t="str">
        <f>TEXT((COUNTIFS(ICSE!$U:$U,"*"&amp;M$2&amp;"*",ICSE!$C:$C,$A30)/$AE30)*100,"#0.0")</f>
        <v>0.0</v>
      </c>
      <c r="N30" s="358" t="str">
        <f>TEXT((COUNTIFS(ICSE!$U:$U,"*"&amp;N$2&amp;"*",ICSE!$C:$C,$A30)/$AE30)*100,"#0.0")</f>
        <v>0.0</v>
      </c>
      <c r="O30" s="358" t="str">
        <f>TEXT((COUNTIFS(ICSE!$U:$U,"*"&amp;O$2&amp;"*",ICSE!$C:$C,$A30)/$AE30)*100,"#0.0")</f>
        <v>0.0</v>
      </c>
      <c r="P30" s="358" t="str">
        <f>TEXT((COUNTIFS(ICSE!$U:$U,"*"&amp;P$2&amp;"*",ICSE!$C:$C,$A30)/$AE30)*100,"#0.0")</f>
        <v>1.5</v>
      </c>
      <c r="Q30" s="358" t="str">
        <f>TEXT((COUNTIFS(ICSE!$U:$U,"*"&amp;Q$2&amp;"*",ICSE!$C:$C,$A30)/$AE30)*100,"#0.0")</f>
        <v>0.0</v>
      </c>
      <c r="R30" s="358" t="str">
        <f>TEXT((COUNTIFS(ICSE!$U:$U,"*"&amp;R$2&amp;"*",ICSE!$C:$C,$A30)/$AE30)*100,"#0.0")</f>
        <v>0.0</v>
      </c>
      <c r="S30" s="358" t="str">
        <f>TEXT((COUNTIFS(ICSE!$U:$U,"*"&amp;S$2&amp;"*",ICSE!$C:$C,$A30)/$AE30)*100,"#0.0")</f>
        <v>0.0</v>
      </c>
      <c r="T30" s="358" t="str">
        <f>TEXT((COUNTIFS(ICSE!$U:$U,"*"&amp;T$2&amp;"*",ICSE!$C:$C,$A30)/$AE30)*100,"#0.0")</f>
        <v>0.0</v>
      </c>
      <c r="U30" s="358" t="str">
        <f>TEXT((COUNTIFS(ICSE!$U:$U,"*"&amp;U$2&amp;"*",ICSE!$C:$C,$A30)/$AE30)*100,"#0.0")</f>
        <v>5.0</v>
      </c>
      <c r="V30" s="358" t="str">
        <f>TEXT((COUNTIFS(ICSE!$U:$U,"*"&amp;V$2&amp;"*",ICSE!$C:$C,$A30)/$AE30)*100,"#0.0")</f>
        <v>0.0</v>
      </c>
      <c r="W30" s="358" t="str">
        <f>TEXT((COUNTIFS(ICSE!$U:$U,"*"&amp;W$2&amp;"*",ICSE!$C:$C,$A30)/$AE30)*100,"#0.0")</f>
        <v>0.0</v>
      </c>
      <c r="X30" s="358" t="str">
        <f>TEXT((COUNTIFS(ICSE!$U:$U,"*"&amp;X$2&amp;"*",ICSE!$C:$C,$A30)/$AE30)*100,"#0.0")</f>
        <v>0.0</v>
      </c>
      <c r="Y30" s="358"/>
      <c r="Z30" s="364" t="str">
        <f>TEXT((COUNTIFS(ICSE!AB:AB,"&gt;0",ICSE!$C:$C,$A30)/$AE30)*100,"#0.0")</f>
        <v>2.5</v>
      </c>
      <c r="AA30" s="358" t="str">
        <f>TEXT((COUNTIFS(ICSE!$U:$U,"*"&amp;AA$2&amp;"*",ICSE!$C:$C,$A30)/$AE30)*100,"#0.0")</f>
        <v>0.0</v>
      </c>
      <c r="AB30" s="358" t="str">
        <f>TEXT((COUNTIFS(ICSE!$U:$U,"*"&amp;AB$2&amp;"*",ICSE!$C:$C,$A30)/$AE30)*100,"#0.0")</f>
        <v>0.0</v>
      </c>
      <c r="AC30" s="365" t="str">
        <f>TEXT((COUNTIFS(ICSE!AC:AC,"Yes",ICSE!$C:$C,$A30)/$AE30)*100,"#0.0")</f>
        <v>35.5</v>
      </c>
      <c r="AD30" s="355"/>
      <c r="AE30" s="293">
        <f>COUNTIFS(ICSE!C:C,A30,ICSE!K:K,"Yes")</f>
        <v>200</v>
      </c>
      <c r="AH30" s="327" t="s">
        <v>7374</v>
      </c>
      <c r="AI30" s="329">
        <f t="shared" ref="AI30:AI32" si="40">XLOOKUP($AO30,$2:$2,$3:$3,"ERROR",0,1)</f>
        <v>300</v>
      </c>
      <c r="AJ30" s="329" t="str">
        <f t="shared" ref="AJ30:AJ32" si="41">TEXT(XLOOKUP($AO30,$2:$2,$7:$7,"ERROR",0,1),"#0.0")&amp;"%"</f>
        <v>13.8%</v>
      </c>
      <c r="AK30" s="329">
        <f t="shared" ref="AK30:AK32" si="42">XLOOKUP($AO30,$2:$2,$4:$4,"ERROR",0,1)</f>
        <v>186</v>
      </c>
      <c r="AL30" s="329" t="str">
        <f t="shared" ref="AL30:AL32" si="43">TEXT(XLOOKUP($AO30,$2:$2,$8:$8,"ERROR",0,1),"#0.0")&amp;"%"</f>
        <v>15.2%</v>
      </c>
      <c r="AM30" s="329">
        <f t="shared" ref="AM30:AM32" si="44">XLOOKUP($AO30,$2:$2,$5:$5,"ERROR",0,1)</f>
        <v>114</v>
      </c>
      <c r="AN30" s="329" t="str">
        <f t="shared" ref="AN30:AN32" si="45">TEXT(XLOOKUP($AO30,$2:$2,$9:$9,"ERROR",0,1),"#0.0")&amp;"%"</f>
        <v>12.1%</v>
      </c>
      <c r="AO30" s="330" t="s">
        <v>5710</v>
      </c>
    </row>
    <row r="31">
      <c r="A31" s="308" t="s">
        <v>5668</v>
      </c>
      <c r="B31" s="308">
        <f>COUNTIF(ICSE!$U:$U,"*"&amp;B$2&amp;"*")</f>
        <v>147</v>
      </c>
      <c r="C31" s="308">
        <f>COUNTIF(ICSE!$U:$U,"*"&amp;C$2&amp;"*")</f>
        <v>46</v>
      </c>
      <c r="D31" s="308">
        <f>COUNTIF(ICSE!$U:$U,"*"&amp;D$2&amp;"*")</f>
        <v>14</v>
      </c>
      <c r="E31" s="308">
        <f>COUNTIF(ICSE!$U:$U,"*"&amp;E$2&amp;"*")</f>
        <v>4</v>
      </c>
      <c r="F31" s="308">
        <f>COUNTIF(ICSE!$U:$U,"*"&amp;F$2&amp;"*")</f>
        <v>1</v>
      </c>
      <c r="G31" s="308">
        <f>COUNTIF(ICSE!$U:$U,"*"&amp;G$2&amp;"*")</f>
        <v>1</v>
      </c>
      <c r="H31" s="308">
        <f>COUNTIF(ICSE!$U:$U,"*"&amp;H$2&amp;"*")</f>
        <v>5</v>
      </c>
      <c r="I31" s="308">
        <f>COUNTIF(ICSE!$U:$U,"*"&amp;I$2&amp;"*")</f>
        <v>0</v>
      </c>
      <c r="J31" s="308">
        <f>COUNTIF(ICSE!$U:$U,"*"&amp;J$2&amp;"*")</f>
        <v>527</v>
      </c>
      <c r="K31" s="308">
        <f>COUNTIF(ICSE!$U:$U,"*"&amp;K$2&amp;"*")</f>
        <v>3</v>
      </c>
      <c r="L31" s="308">
        <f>COUNTIF(ICSE!$U:$U,"*"&amp;L$2&amp;"*")</f>
        <v>14</v>
      </c>
      <c r="M31" s="308">
        <f>COUNTIF(ICSE!$U:$U,"*"&amp;M$2&amp;"*")</f>
        <v>4</v>
      </c>
      <c r="N31" s="308">
        <f>COUNTIF(ICSE!$U:$U,"*"&amp;N$2&amp;"*")</f>
        <v>0</v>
      </c>
      <c r="O31" s="308">
        <f>COUNTIF(ICSE!$U:$U,"*"&amp;O$2&amp;"*")</f>
        <v>1</v>
      </c>
      <c r="P31" s="308">
        <f>COUNTIF(ICSE!$U:$U,"*"&amp;P$2&amp;"*")</f>
        <v>3</v>
      </c>
      <c r="Q31" s="308">
        <f>COUNTIF(ICSE!$U:$U,"*"&amp;Q$2&amp;"*")</f>
        <v>3</v>
      </c>
      <c r="R31" s="308">
        <f>COUNTIF(ICSE!$U:$U,"*"&amp;R$2&amp;"*")</f>
        <v>2</v>
      </c>
      <c r="S31" s="308">
        <f>COUNTIF(ICSE!$U:$U,"*"&amp;S$2&amp;"*")</f>
        <v>1</v>
      </c>
      <c r="T31" s="308">
        <f>COUNTIF(ICSE!$U:$U,"*"&amp;T$2&amp;"*")</f>
        <v>1</v>
      </c>
      <c r="U31" s="308">
        <f>COUNTIF(ICSE!$U:$U,"*"&amp;U$2&amp;"*")</f>
        <v>64</v>
      </c>
      <c r="V31" s="308">
        <f>COUNTIF(ICSE!$U:$U,"*"&amp;V$2&amp;"*")</f>
        <v>1</v>
      </c>
      <c r="W31" s="308">
        <f>COUNTIF(ICSE!$U:$U,"*"&amp;W$2&amp;"*")</f>
        <v>0</v>
      </c>
      <c r="X31" s="308">
        <f>COUNTIF(ICSE!$U:$U,"*"&amp;X$2&amp;"*")</f>
        <v>1</v>
      </c>
      <c r="Y31" s="308">
        <f>COUNTIF(ICSE!$U:$U,"*"&amp;Y$2&amp;"*")</f>
        <v>0</v>
      </c>
      <c r="Z31" s="308">
        <f>COUNTIF(ICSE!$U:$U,"*"&amp;Z$2&amp;"*")</f>
        <v>0</v>
      </c>
      <c r="AA31" s="308">
        <f>COUNTIF(ICSE!$U:$U,"*"&amp;AA$2&amp;"*")</f>
        <v>6</v>
      </c>
      <c r="AB31" s="308">
        <f>COUNTIF(ICSE!$U:$U,"*"&amp;AB$2&amp;"*")</f>
        <v>1</v>
      </c>
      <c r="AC31" s="308">
        <f>COUNTIF(ICSE!$U:$U,"*"&amp;AC$2&amp;"*")</f>
        <v>0</v>
      </c>
      <c r="AD31" s="308">
        <f>COUNTIF(ICSE!$U:$U,"*"&amp;AD$2&amp;"*")</f>
        <v>0</v>
      </c>
      <c r="AE31" s="369">
        <f>SUM(AE21:AE30)</f>
        <v>1001</v>
      </c>
      <c r="AH31" s="327" t="s">
        <v>7375</v>
      </c>
      <c r="AI31" s="329">
        <f t="shared" si="40"/>
        <v>7</v>
      </c>
      <c r="AJ31" s="329" t="str">
        <f t="shared" si="41"/>
        <v>0.3%</v>
      </c>
      <c r="AK31" s="329">
        <f t="shared" si="42"/>
        <v>6</v>
      </c>
      <c r="AL31" s="329" t="str">
        <f t="shared" si="43"/>
        <v>0.5%</v>
      </c>
      <c r="AM31" s="329">
        <f t="shared" si="44"/>
        <v>1</v>
      </c>
      <c r="AN31" s="329" t="str">
        <f t="shared" si="45"/>
        <v>0.1%</v>
      </c>
      <c r="AO31" s="330" t="s">
        <v>5711</v>
      </c>
    </row>
    <row r="32">
      <c r="AH32" s="327" t="s">
        <v>7376</v>
      </c>
      <c r="AI32" s="329">
        <f t="shared" si="40"/>
        <v>2</v>
      </c>
      <c r="AJ32" s="329" t="str">
        <f t="shared" si="41"/>
        <v>0.1%</v>
      </c>
      <c r="AK32" s="329">
        <f t="shared" si="42"/>
        <v>1</v>
      </c>
      <c r="AL32" s="329" t="str">
        <f t="shared" si="43"/>
        <v>0.1%</v>
      </c>
      <c r="AM32" s="329">
        <f t="shared" si="44"/>
        <v>1</v>
      </c>
      <c r="AN32" s="329" t="str">
        <f t="shared" si="45"/>
        <v>0.1%</v>
      </c>
      <c r="AO32" s="330" t="s">
        <v>5712</v>
      </c>
    </row>
    <row r="33">
      <c r="A33" s="308" t="s">
        <v>2</v>
      </c>
      <c r="AE33" s="360" t="s">
        <v>7365</v>
      </c>
      <c r="AH33" s="370" t="s">
        <v>5735</v>
      </c>
      <c r="AI33" s="371">
        <f t="array" ref="AI33">XLOOKUP($AH33,$1:$1,$11:$11,"ERROR",0,1)</f>
        <v>188</v>
      </c>
      <c r="AJ33" s="372" t="str">
        <f t="array" ref="AJ33">TEXT(XLOOKUP($AH33,$1:$1,$15:$15,"ERROR",0,1),"#0.0")&amp;"%"</f>
        <v>8.7%</v>
      </c>
      <c r="AK33" s="371">
        <f t="array" ref="AK33">XLOOKUP($AH33,$1:$1,$12:$12,"ERROR",0,1)</f>
        <v>90</v>
      </c>
      <c r="AL33" s="372" t="str">
        <f t="array" ref="AL33">TEXT(XLOOKUP($AH33,$1:$1,$16:$16,"ERROR",0,1),"#0.0")&amp;"%"</f>
        <v>7.3%</v>
      </c>
      <c r="AM33" s="371">
        <f t="array" ref="AM33">XLOOKUP($AH33,$1:$1,$13:$13,"ERROR",0,1)</f>
        <v>98</v>
      </c>
      <c r="AN33" s="372" t="str">
        <f t="array" ref="AN33">TEXT(XLOOKUP($AH33,$1:$1,$17:$17,"ERROR",0,1),"#0.0")&amp;"%"</f>
        <v>10.4%</v>
      </c>
      <c r="AO33" s="330"/>
    </row>
    <row r="34">
      <c r="A34" s="308">
        <v>2014.0</v>
      </c>
      <c r="B34" s="349" t="str">
        <f>IFERROR(__xludf.DUMMYFUNCTION("TEXT((COUNTUNIQUEIFS(Links!$C:$C,Links!$A:$A,$A34,Links!$B:$B,$P$19,Links!$BF:$BF,B$1)/$AE34)*100,""#0.0"")"),"0.0")</f>
        <v>0.0</v>
      </c>
      <c r="J34" s="350" t="str">
        <f>IFERROR(__xludf.DUMMYFUNCTION("TEXT((COUNTUNIQUEIFS(Links!$C:$C,Links!$A:$A,$A34,Links!$B:$B,$P$19,Links!$BF:$BF,J$1)/$AE34)*100,""#0.0"")"),"17.7")</f>
        <v>17.7</v>
      </c>
      <c r="P34" s="351" t="str">
        <f>IFERROR(__xludf.DUMMYFUNCTION("TEXT(((COUNTUNIQUEIFS(Links!$C:$C,Links!$A:$A,$A34,Links!$B:$B,$P$19,Links!$BF:$BF,P$1)+COUNTUNIQUEIFS(Links!$C:$C,Links!$A:$A,$A34,Links!$B:$B,$P$19,Links!$BF:$BF,X$1))/$AE34)*100,""#0.0"")"),"38.7")</f>
        <v>38.7</v>
      </c>
      <c r="X34" s="352"/>
      <c r="Z34" s="353" t="str">
        <f>IFERROR(__xludf.DUMMYFUNCTION("TEXT((COUNTUNIQUEIFS(Links!$C:$C,Links!$A:$A,$A34,Links!$B:$B,$P$19,Links!$BF:$BF,Z$1)/$AE34)*100,""#0.0"")"),"64.5")</f>
        <v>64.5</v>
      </c>
      <c r="AC34" s="354"/>
      <c r="AD34" s="355"/>
      <c r="AE34" s="293">
        <f>COUNTIFS(ICSE!C:C,A21,ICSE!K:K,"Yes")</f>
        <v>62</v>
      </c>
      <c r="AH34" s="327" t="s">
        <v>7377</v>
      </c>
      <c r="AI34" s="328">
        <f t="shared" ref="AI34:AI35" si="46">XLOOKUP($AO34,$2:$2,$3:$3,"ERROR",0,1)</f>
        <v>187</v>
      </c>
      <c r="AJ34" s="328" t="str">
        <f t="shared" ref="AJ34:AJ35" si="47">TEXT(XLOOKUP($AO34,$2:$2,$7:$7,"ERROR",0,1),"#0.0")&amp;"%"</f>
        <v>8.6%</v>
      </c>
      <c r="AK34" s="328">
        <f t="shared" ref="AK34:AK35" si="48">XLOOKUP($AO34,$2:$2,$4:$4,"ERROR",0,1)</f>
        <v>89</v>
      </c>
      <c r="AL34" s="329" t="str">
        <f t="shared" ref="AL34:AL35" si="49">TEXT(XLOOKUP($AO34,$2:$2,$8:$8,"ERROR",0,1),"#0.0")&amp;"%"</f>
        <v>7.3%</v>
      </c>
      <c r="AM34" s="328">
        <f t="shared" ref="AM34:AM35" si="50">XLOOKUP($AO34,$2:$2,$5:$5,"ERROR",0,1)</f>
        <v>98</v>
      </c>
      <c r="AN34" s="328" t="str">
        <f t="shared" ref="AN34:AN35" si="51">TEXT(XLOOKUP($AO34,$2:$2,$9:$9,"ERROR",0,1),"#0.0")&amp;"%"</f>
        <v>10.4%</v>
      </c>
      <c r="AO34" s="330" t="s">
        <v>5714</v>
      </c>
    </row>
    <row r="35">
      <c r="A35" s="308">
        <v>2015.0</v>
      </c>
      <c r="B35" s="349" t="str">
        <f>IFERROR(__xludf.DUMMYFUNCTION("TEXT((COUNTUNIQUEIFS(Links!$C:$C,Links!$A:$A,$A35,Links!$B:$B,$P$19,Links!$BF:$BF,B$1)/$AE35)*100,""#0.0"")"),"2.0")</f>
        <v>2.0</v>
      </c>
      <c r="J35" s="350" t="str">
        <f>IFERROR(__xludf.DUMMYFUNCTION("TEXT((COUNTUNIQUEIFS(Links!$C:$C,Links!$A:$A,$A35,Links!$B:$B,$P$19,Links!$BF:$BF,J$1)/$AE35)*100,""#0.0"")"),"16.3")</f>
        <v>16.3</v>
      </c>
      <c r="P35" s="351" t="str">
        <f>IFERROR(__xludf.DUMMYFUNCTION("TEXT(((COUNTUNIQUEIFS(Links!$C:$C,Links!$A:$A,$A35,Links!$B:$B,$P$19,Links!$BF:$BF,P$1)+COUNTUNIQUEIFS(Links!$C:$C,Links!$A:$A,$A35,Links!$B:$B,$P$19,Links!$BF:$BF,X$1))/$AE35)*100,""#0.0"")"),"30.6")</f>
        <v>30.6</v>
      </c>
      <c r="X35" s="352"/>
      <c r="Z35" s="353" t="str">
        <f>IFERROR(__xludf.DUMMYFUNCTION("TEXT((COUNTUNIQUEIFS(Links!$C:$C,Links!$A:$A,$A35,Links!$B:$B,$P$19,Links!$BF:$BF,Z$1)/$AE35)*100,""#0.0"")"),"59.2")</f>
        <v>59.2</v>
      </c>
      <c r="AC35" s="354"/>
      <c r="AD35" s="355"/>
      <c r="AE35" s="293">
        <f>COUNTIFS(ICSE!C:C,A22,ICSE!K:K,"Yes")</f>
        <v>49</v>
      </c>
      <c r="AH35" s="327" t="s">
        <v>7378</v>
      </c>
      <c r="AI35" s="328">
        <f t="shared" si="46"/>
        <v>1</v>
      </c>
      <c r="AJ35" s="328" t="str">
        <f t="shared" si="47"/>
        <v>0.0%</v>
      </c>
      <c r="AK35" s="328">
        <f t="shared" si="48"/>
        <v>1</v>
      </c>
      <c r="AL35" s="329" t="str">
        <f t="shared" si="49"/>
        <v>0.1%</v>
      </c>
      <c r="AM35" s="328">
        <f t="shared" si="50"/>
        <v>0</v>
      </c>
      <c r="AN35" s="328" t="str">
        <f t="shared" si="51"/>
        <v>0.0%</v>
      </c>
      <c r="AO35" s="330" t="s">
        <v>5713</v>
      </c>
    </row>
    <row r="36">
      <c r="A36" s="308">
        <v>2016.0</v>
      </c>
      <c r="B36" s="349" t="str">
        <f>IFERROR(__xludf.DUMMYFUNCTION("TEXT((COUNTUNIQUEIFS(Links!$C:$C,Links!$A:$A,$A36,Links!$B:$B,$P$19,Links!$BF:$BF,B$1)/$AE36)*100,""#0.0"")"),"8.6")</f>
        <v>8.6</v>
      </c>
      <c r="J36" s="350" t="str">
        <f>IFERROR(__xludf.DUMMYFUNCTION("TEXT((COUNTUNIQUEIFS(Links!$C:$C,Links!$A:$A,$A36,Links!$B:$B,$P$19,Links!$BF:$BF,J$1)/$AE36)*100,""#0.0"")"),"18.6")</f>
        <v>18.6</v>
      </c>
      <c r="P36" s="351" t="str">
        <f>IFERROR(__xludf.DUMMYFUNCTION("TEXT(((COUNTUNIQUEIFS(Links!$C:$C,Links!$A:$A,$A36,Links!$B:$B,$P$19,Links!$BF:$BF,P$1)+COUNTUNIQUEIFS(Links!$C:$C,Links!$A:$A,$A36,Links!$B:$B,$P$19,Links!$BF:$BF,X$1))/$AE36)*100,""#0.0"")"),"20.0")</f>
        <v>20.0</v>
      </c>
      <c r="X36" s="352"/>
      <c r="Z36" s="353" t="str">
        <f>IFERROR(__xludf.DUMMYFUNCTION("TEXT((COUNTUNIQUEIFS(Links!$C:$C,Links!$A:$A,$A36,Links!$B:$B,$P$19,Links!$BF:$BF,Z$1)/$AE36)*100,""#0.0"")"),"58.6")</f>
        <v>58.6</v>
      </c>
      <c r="AC36" s="354"/>
      <c r="AD36" s="355"/>
      <c r="AE36" s="293">
        <f>COUNTIFS(ICSE!C:C,A23,ICSE!K:K,"Yes")</f>
        <v>70</v>
      </c>
      <c r="AH36" s="373"/>
      <c r="AI36" s="374"/>
      <c r="AJ36" s="374"/>
      <c r="AK36" s="374"/>
      <c r="AL36" s="374"/>
      <c r="AM36" s="374"/>
      <c r="AN36" s="374"/>
      <c r="AO36" s="330"/>
    </row>
    <row r="37">
      <c r="A37" s="308">
        <v>2017.0</v>
      </c>
      <c r="B37" s="349" t="str">
        <f>IFERROR(__xludf.DUMMYFUNCTION("TEXT((COUNTUNIQUEIFS(Links!$C:$C,Links!$A:$A,$A37,Links!$B:$B,$P$19,Links!$BF:$BF,B$1)/$AE37)*100,""#0.0"")"),"3.6")</f>
        <v>3.6</v>
      </c>
      <c r="J37" s="350" t="str">
        <f>IFERROR(__xludf.DUMMYFUNCTION("TEXT((COUNTUNIQUEIFS(Links!$C:$C,Links!$A:$A,$A37,Links!$B:$B,$P$19,Links!$BF:$BF,J$1)/$AE37)*100,""#0.0"")"),"42.9")</f>
        <v>42.9</v>
      </c>
      <c r="P37" s="351" t="str">
        <f>IFERROR(__xludf.DUMMYFUNCTION("TEXT(((COUNTUNIQUEIFS(Links!$C:$C,Links!$A:$A,$A37,Links!$B:$B,$P$19,Links!$BF:$BF,P$1)+COUNTUNIQUEIFS(Links!$C:$C,Links!$A:$A,$A37,Links!$B:$B,$P$19,Links!$BF:$BF,X$1))/$AE37)*100,""#0.0"")"),"26.8")</f>
        <v>26.8</v>
      </c>
      <c r="X37" s="352"/>
      <c r="Z37" s="353" t="str">
        <f>IFERROR(__xludf.DUMMYFUNCTION("TEXT((COUNTUNIQUEIFS(Links!$C:$C,Links!$A:$A,$A37,Links!$B:$B,$P$19,Links!$BF:$BF,Z$1)/$AE37)*100,""#0.0"")"),"37.5")</f>
        <v>37.5</v>
      </c>
      <c r="AC37" s="354"/>
      <c r="AD37" s="355"/>
      <c r="AE37" s="293">
        <f>COUNTIFS(ICSE!C:C,A24,ICSE!K:K,"Yes")</f>
        <v>56</v>
      </c>
      <c r="AH37" s="375" t="s">
        <v>5715</v>
      </c>
      <c r="AI37" s="329">
        <f t="shared" ref="AI37:AI38" si="52">XLOOKUP($AO37,$2:$2,$3:$3,"ERROR",0,1)</f>
        <v>461</v>
      </c>
      <c r="AJ37" s="329" t="str">
        <f t="shared" ref="AJ37:AJ38" si="53">TEXT(XLOOKUP($AO37,$2:$2,$7:$7,"ERROR",0,1),"#0.0")&amp;"%"</f>
        <v>21.2%</v>
      </c>
      <c r="AK37" s="329">
        <f t="shared" ref="AK37:AK38" si="54">XLOOKUP($AO37,$2:$2,$4:$4,"ERROR",0,1)</f>
        <v>248</v>
      </c>
      <c r="AL37" s="329" t="str">
        <f t="shared" ref="AL37:AL38" si="55">TEXT(XLOOKUP($AO37,$2:$2,$8:$8,"ERROR",0,1),"#0.0")&amp;"%"</f>
        <v>20.2%</v>
      </c>
      <c r="AM37" s="329">
        <f t="shared" ref="AM37:AM38" si="56">XLOOKUP($AO37,$2:$2,$5:$5,"ERROR",0,1)</f>
        <v>213</v>
      </c>
      <c r="AN37" s="329" t="str">
        <f t="shared" ref="AN37:AN38" si="57">TEXT(XLOOKUP($AO37,$2:$2,$9:$9,"ERROR",0,1),"#0.0")&amp;"%"</f>
        <v>22.6%</v>
      </c>
      <c r="AO37" s="330" t="s">
        <v>5715</v>
      </c>
    </row>
    <row r="38">
      <c r="A38" s="308">
        <v>2018.0</v>
      </c>
      <c r="B38" s="349" t="str">
        <f>IFERROR(__xludf.DUMMYFUNCTION("TEXT((COUNTUNIQUEIFS(Links!$C:$C,Links!$A:$A,$A38,Links!$B:$B,$P$19,Links!$BF:$BF,B$1)/$AE38)*100,""#0.0"")"),"13.3")</f>
        <v>13.3</v>
      </c>
      <c r="J38" s="350" t="str">
        <f>IFERROR(__xludf.DUMMYFUNCTION("TEXT((COUNTUNIQUEIFS(Links!$C:$C,Links!$A:$A,$A38,Links!$B:$B,$P$19,Links!$BF:$BF,J$1)/$AE38)*100,""#0.0"")"),"49.4")</f>
        <v>49.4</v>
      </c>
      <c r="P38" s="351" t="str">
        <f>IFERROR(__xludf.DUMMYFUNCTION("TEXT(((COUNTUNIQUEIFS(Links!$C:$C,Links!$A:$A,$A38,Links!$B:$B,$P$19,Links!$BF:$BF,P$1)+COUNTUNIQUEIFS(Links!$C:$C,Links!$A:$A,$A38,Links!$B:$B,$P$19,Links!$BF:$BF,X$1))/$AE38)*100,""#0.0"")"),"27.7")</f>
        <v>27.7</v>
      </c>
      <c r="X38" s="352"/>
      <c r="Z38" s="353" t="str">
        <f>IFERROR(__xludf.DUMMYFUNCTION("TEXT((COUNTUNIQUEIFS(Links!$C:$C,Links!$A:$A,$A38,Links!$B:$B,$P$19,Links!$BF:$BF,Z$1)/$AE38)*100,""#0.0"")"),"20.5")</f>
        <v>20.5</v>
      </c>
      <c r="AC38" s="354"/>
      <c r="AD38" s="355"/>
      <c r="AE38" s="293">
        <f>COUNTIFS(ICSE!C:C,A25,ICSE!K:K,"Yes")</f>
        <v>83</v>
      </c>
      <c r="AH38" s="375" t="s">
        <v>5716</v>
      </c>
      <c r="AI38" s="329">
        <f t="shared" si="52"/>
        <v>80</v>
      </c>
      <c r="AJ38" s="329" t="str">
        <f t="shared" si="53"/>
        <v>3.7%</v>
      </c>
      <c r="AK38" s="329">
        <f t="shared" si="54"/>
        <v>46</v>
      </c>
      <c r="AL38" s="329" t="str">
        <f t="shared" si="55"/>
        <v>3.7%</v>
      </c>
      <c r="AM38" s="329">
        <f t="shared" si="56"/>
        <v>34</v>
      </c>
      <c r="AN38" s="329" t="str">
        <f t="shared" si="57"/>
        <v>3.6%</v>
      </c>
      <c r="AO38" s="330" t="s">
        <v>5716</v>
      </c>
    </row>
    <row r="39">
      <c r="A39" s="308">
        <v>2019.0</v>
      </c>
      <c r="B39" s="349" t="str">
        <f>IFERROR(__xludf.DUMMYFUNCTION("TEXT((COUNTUNIQUEIFS(Links!$C:$C,Links!$A:$A,$A39,Links!$B:$B,$P$19,Links!$BF:$BF,B$1)/$AE39)*100,""#0.0"")"),"17.7")</f>
        <v>17.7</v>
      </c>
      <c r="J39" s="350" t="str">
        <f>IFERROR(__xludf.DUMMYFUNCTION("TEXT((COUNTUNIQUEIFS(Links!$C:$C,Links!$A:$A,$A39,Links!$B:$B,$P$19,Links!$BF:$BF,J$1)/$AE39)*100,""#0.0"")"),"62.0")</f>
        <v>62.0</v>
      </c>
      <c r="P39" s="351" t="str">
        <f>IFERROR(__xludf.DUMMYFUNCTION("TEXT(((COUNTUNIQUEIFS(Links!$C:$C,Links!$A:$A,$A39,Links!$B:$B,$P$19,Links!$BF:$BF,P$1)+COUNTUNIQUEIFS(Links!$C:$C,Links!$A:$A,$A39,Links!$B:$B,$P$19,Links!$BF:$BF,X$1))/$AE39)*100,""#0.0"")"),"19.0")</f>
        <v>19.0</v>
      </c>
      <c r="X39" s="352"/>
      <c r="Z39" s="353" t="str">
        <f>IFERROR(__xludf.DUMMYFUNCTION("TEXT((COUNTUNIQUEIFS(Links!$C:$C,Links!$A:$A,$A39,Links!$B:$B,$P$19,Links!$BF:$BF,Z$1)/$AE39)*100,""#0.0"")"),"8.9")</f>
        <v>8.9</v>
      </c>
      <c r="AC39" s="354"/>
      <c r="AD39" s="355"/>
      <c r="AE39" s="293">
        <f>COUNTIFS(ICSE!C:C,A26,ICSE!K:K,"Yes")</f>
        <v>79</v>
      </c>
    </row>
    <row r="40">
      <c r="A40" s="308">
        <v>2020.0</v>
      </c>
      <c r="B40" s="349" t="str">
        <f>IFERROR(__xludf.DUMMYFUNCTION("TEXT((COUNTUNIQUEIFS(Links!$C:$C,Links!$A:$A,$A40,Links!$B:$B,$P$19,Links!$BF:$BF,B$1)/$AE40)*100,""#0.0"")"),"20.8")</f>
        <v>20.8</v>
      </c>
      <c r="J40" s="350" t="str">
        <f>IFERROR(__xludf.DUMMYFUNCTION("TEXT((COUNTUNIQUEIFS(Links!$C:$C,Links!$A:$A,$A40,Links!$B:$B,$P$19,Links!$BF:$BF,J$1)/$AE40)*100,""#0.0"")"),"69.8")</f>
        <v>69.8</v>
      </c>
      <c r="P40" s="351" t="str">
        <f>IFERROR(__xludf.DUMMYFUNCTION("TEXT(((COUNTUNIQUEIFS(Links!$C:$C,Links!$A:$A,$A40,Links!$B:$B,$P$19,Links!$BF:$BF,P$1)+COUNTUNIQUEIFS(Links!$C:$C,Links!$A:$A,$A40,Links!$B:$B,$P$19,Links!$BF:$BF,X$1))/$AE40)*100,""#0.0"")"),"14.2")</f>
        <v>14.2</v>
      </c>
      <c r="X40" s="352"/>
      <c r="Z40" s="353" t="str">
        <f>IFERROR(__xludf.DUMMYFUNCTION("TEXT((COUNTUNIQUEIFS(Links!$C:$C,Links!$A:$A,$A40,Links!$B:$B,$P$19,Links!$BF:$BF,Z$1)/$AE40)*100,""#0.0"")"),"5.7")</f>
        <v>5.7</v>
      </c>
      <c r="AC40" s="354"/>
      <c r="AD40" s="355"/>
      <c r="AE40" s="293">
        <f>COUNTIFS(ICSE!C:C,A27,ICSE!K:K,"Yes")</f>
        <v>106</v>
      </c>
    </row>
    <row r="41">
      <c r="A41" s="308">
        <v>2021.0</v>
      </c>
      <c r="B41" s="349" t="str">
        <f>IFERROR(__xludf.DUMMYFUNCTION("TEXT((COUNTUNIQUEIFS(Links!$C:$C,Links!$A:$A,$A41,Links!$B:$B,$P$19,Links!$BF:$BF,B$1)/$AE41)*100,""#0.0"")"),"30.8")</f>
        <v>30.8</v>
      </c>
      <c r="J41" s="350" t="str">
        <f>IFERROR(__xludf.DUMMYFUNCTION("TEXT((COUNTUNIQUEIFS(Links!$C:$C,Links!$A:$A,$A41,Links!$B:$B,$P$19,Links!$BF:$BF,J$1)/$AE41)*100,""#0.0"")"),"66.7")</f>
        <v>66.7</v>
      </c>
      <c r="P41" s="351" t="str">
        <f>IFERROR(__xludf.DUMMYFUNCTION("TEXT(((COUNTUNIQUEIFS(Links!$C:$C,Links!$A:$A,$A41,Links!$B:$B,$P$19,Links!$BF:$BF,P$1)+COUNTUNIQUEIFS(Links!$C:$C,Links!$A:$A,$A41,Links!$B:$B,$P$19,Links!$BF:$BF,X$1))/$AE41)*100,""#0.0"")"),"12.5")</f>
        <v>12.5</v>
      </c>
      <c r="X41" s="352"/>
      <c r="Z41" s="353" t="str">
        <f>IFERROR(__xludf.DUMMYFUNCTION("TEXT((COUNTUNIQUEIFS(Links!$C:$C,Links!$A:$A,$A41,Links!$B:$B,$P$19,Links!$BF:$BF,Z$1)/$AE41)*100,""#0.0"")"),"5.0")</f>
        <v>5.0</v>
      </c>
      <c r="AC41" s="354"/>
      <c r="AD41" s="355"/>
      <c r="AE41" s="293">
        <f>COUNTIFS(ICSE!C:C,A28,ICSE!K:K,"Yes")</f>
        <v>120</v>
      </c>
    </row>
    <row r="42">
      <c r="A42" s="308">
        <v>2022.0</v>
      </c>
      <c r="B42" s="349" t="str">
        <f>IFERROR(__xludf.DUMMYFUNCTION("TEXT((COUNTUNIQUEIFS(Links!$C:$C,Links!$A:$A,$A42,Links!$B:$B,$P$19,Links!$BF:$BF,B$1)/$AE42)*100,""#0.0"")"),"31.8")</f>
        <v>31.8</v>
      </c>
      <c r="J42" s="350" t="str">
        <f>IFERROR(__xludf.DUMMYFUNCTION("TEXT((COUNTUNIQUEIFS(Links!$C:$C,Links!$A:$A,$A42,Links!$B:$B,$P$19,Links!$BF:$BF,J$1)/$AE42)*100,""#0.0"")"),"71.0")</f>
        <v>71.0</v>
      </c>
      <c r="P42" s="351" t="str">
        <f>IFERROR(__xludf.DUMMYFUNCTION("TEXT(((COUNTUNIQUEIFS(Links!$C:$C,Links!$A:$A,$A42,Links!$B:$B,$P$19,Links!$BF:$BF,P$1)+COUNTUNIQUEIFS(Links!$C:$C,Links!$A:$A,$A42,Links!$B:$B,$P$19,Links!$BF:$BF,X$1))/$AE42)*100,""#0.0"")"),"8.5")</f>
        <v>8.5</v>
      </c>
      <c r="X42" s="352"/>
      <c r="Z42" s="353" t="str">
        <f>IFERROR(__xludf.DUMMYFUNCTION("TEXT((COUNTUNIQUEIFS(Links!$C:$C,Links!$A:$A,$A42,Links!$B:$B,$P$19,Links!$BF:$BF,Z$1)/$AE42)*100,""#0.0"")"),"1.1")</f>
        <v>1.1</v>
      </c>
      <c r="AC42" s="354"/>
      <c r="AD42" s="355"/>
      <c r="AE42" s="293">
        <f>COUNTIFS(ICSE!C:C,A29,ICSE!K:K,"Yes")</f>
        <v>176</v>
      </c>
    </row>
    <row r="43">
      <c r="A43" s="308">
        <v>2023.0</v>
      </c>
      <c r="B43" s="349" t="str">
        <f>IFERROR(__xludf.DUMMYFUNCTION("TEXT((COUNTUNIQUEIFS(Links!$C:$C,Links!$A:$A,$A43,Links!$B:$B,$P$19,Links!$BF:$BF,B$1)/$AE43)*100,""#0.0"")"),"36.0")</f>
        <v>36.0</v>
      </c>
      <c r="J43" s="350" t="str">
        <f>IFERROR(__xludf.DUMMYFUNCTION("TEXT((COUNTUNIQUEIFS(Links!$C:$C,Links!$A:$A,$A43,Links!$B:$B,$P$19,Links!$BF:$BF,J$1)/$AE43)*100,""#0.0"")"),"68.5")</f>
        <v>68.5</v>
      </c>
      <c r="P43" s="351" t="str">
        <f>IFERROR(__xludf.DUMMYFUNCTION("TEXT(((COUNTUNIQUEIFS(Links!$C:$C,Links!$A:$A,$A43,Links!$B:$B,$P$19,Links!$BF:$BF,P$1)+COUNTUNIQUEIFS(Links!$C:$C,Links!$A:$A,$A43,Links!$B:$B,$P$19,Links!$BF:$BF,X$1))/$AE43)*100,""#0.0"")"),"10.5")</f>
        <v>10.5</v>
      </c>
      <c r="X43" s="352"/>
      <c r="Z43" s="353" t="str">
        <f>IFERROR(__xludf.DUMMYFUNCTION("TEXT((COUNTUNIQUEIFS(Links!$C:$C,Links!$A:$A,$A43,Links!$B:$B,$P$19,Links!$BF:$BF,Z$1)/$AE43)*100,""#0.0"")"),"2.5")</f>
        <v>2.5</v>
      </c>
      <c r="AC43" s="354"/>
      <c r="AD43" s="355"/>
      <c r="AE43" s="293">
        <f>COUNTIFS(ICSE!C:C,A30,ICSE!K:K,"Yes")</f>
        <v>200</v>
      </c>
    </row>
    <row r="44">
      <c r="AE44" s="369">
        <f>SUM(AE34:AE43)</f>
        <v>1001</v>
      </c>
    </row>
    <row r="47">
      <c r="A47" s="356"/>
      <c r="B47" s="356"/>
      <c r="C47" s="356"/>
      <c r="D47" s="356"/>
      <c r="E47" s="356"/>
      <c r="F47" s="356"/>
      <c r="G47" s="356"/>
      <c r="H47" s="356"/>
      <c r="I47" s="356"/>
      <c r="J47" s="356"/>
      <c r="K47" s="356"/>
      <c r="L47" s="356"/>
      <c r="M47" s="356"/>
      <c r="N47" s="356"/>
      <c r="O47" s="356"/>
      <c r="P47" s="356" t="s">
        <v>5676</v>
      </c>
      <c r="Q47" s="356"/>
      <c r="R47" s="356"/>
      <c r="S47" s="356"/>
      <c r="T47" s="356"/>
      <c r="U47" s="356"/>
      <c r="V47" s="356"/>
      <c r="W47" s="356"/>
      <c r="X47" s="356"/>
      <c r="Y47" s="356"/>
      <c r="Z47" s="356"/>
      <c r="AA47" s="356"/>
      <c r="AB47" s="356"/>
      <c r="AC47" s="356"/>
      <c r="AD47" s="356"/>
      <c r="AE47" s="356"/>
    </row>
    <row r="48">
      <c r="A48" s="308" t="s">
        <v>2</v>
      </c>
      <c r="B48" s="357"/>
      <c r="C48" s="357"/>
      <c r="D48" s="358"/>
      <c r="E48" s="358"/>
      <c r="F48" s="358"/>
      <c r="G48" s="358"/>
      <c r="H48" s="358"/>
      <c r="I48" s="358"/>
      <c r="J48" s="359"/>
      <c r="K48" s="358"/>
      <c r="L48" s="358"/>
      <c r="M48" s="358"/>
      <c r="N48" s="358"/>
      <c r="O48" s="358"/>
      <c r="P48" s="358"/>
      <c r="Q48" s="358"/>
      <c r="R48" s="358"/>
      <c r="S48" s="358"/>
      <c r="T48" s="358"/>
      <c r="U48" s="358"/>
      <c r="V48" s="358"/>
      <c r="W48" s="358"/>
      <c r="X48" s="358"/>
      <c r="AE48" s="360" t="s">
        <v>7379</v>
      </c>
    </row>
    <row r="49">
      <c r="A49" s="330">
        <v>2014.0</v>
      </c>
      <c r="B49" s="357" t="str">
        <f>TEXT((COUNTIFS(FSE!$U:$U,"*"&amp;B$2&amp;"*",FSE!$C:$C,$A49)/$AE49)*100,"#0.0")</f>
        <v>0.0</v>
      </c>
      <c r="C49" s="357" t="str">
        <f>TEXT((COUNTIFS(FSE!$U:$U,"*"&amp;C$2&amp;"*",FSE!$C:$C,$A49)/$AE49)*100,"#0.0")</f>
        <v>2.9</v>
      </c>
      <c r="D49" s="358" t="str">
        <f>TEXT((COUNTIFS(FSE!$U:$U,"*"&amp;D$2&amp;"*",FSE!$C:$C,$A49)/$AE49)*100,"#0.0")</f>
        <v>2.9</v>
      </c>
      <c r="E49" s="358" t="str">
        <f>TEXT((COUNTIFS(FSE!$U:$U,"*"&amp;E$2&amp;"*",FSE!$C:$C,$A49)/$AE49)*100,"#0.0")</f>
        <v>0.0</v>
      </c>
      <c r="F49" s="358" t="str">
        <f>TEXT((COUNTIFS(FSE!$U:$U,"*"&amp;F$2&amp;"*",FSE!$C:$C,$A49)/$AE49)*100,"#0.0")</f>
        <v>0.0</v>
      </c>
      <c r="G49" s="358" t="str">
        <f>TEXT((COUNTIFS(FSE!$U:$U,"*"&amp;G$2&amp;"*",FSE!$C:$C,$A49)/$AE49)*100,"#0.0")</f>
        <v>0.0</v>
      </c>
      <c r="H49" s="358" t="str">
        <f>TEXT((COUNTIFS(FSE!$U:$U,"*"&amp;H$2&amp;"*",FSE!$C:$C,$A49)/$AE49)*100,"#0.0")</f>
        <v>0.0</v>
      </c>
      <c r="I49" s="358" t="str">
        <f>TEXT((COUNTIFS(FSE!$U:$U,"*"&amp;I$2&amp;"*",FSE!$C:$C,$A49)/$AE49)*100,"#0.0")</f>
        <v>0.0</v>
      </c>
      <c r="J49" s="359" t="str">
        <f>TEXT((COUNTIFS(FSE!$U:$U,"*"&amp;J$2&amp;"*",FSE!$C:$C,$A49)/$AE49)*100,"#0.0")</f>
        <v>11.4</v>
      </c>
      <c r="K49" s="358" t="str">
        <f>TEXT((COUNTIFS(FSE!$U:$U,"*"&amp;K$2&amp;"*",FSE!$C:$C,$A49)/$AE49)*100,"#0.0")</f>
        <v>0.0</v>
      </c>
      <c r="L49" s="358" t="str">
        <f>TEXT((COUNTIFS(FSE!$U:$U,"*"&amp;L$2&amp;"*",FSE!$C:$C,$A49)/$AE49)*100,"#0.0")</f>
        <v>2.9</v>
      </c>
      <c r="M49" s="358" t="str">
        <f>TEXT((COUNTIFS(FSE!$U:$U,"*"&amp;M$2&amp;"*",FSE!$C:$C,$A49)/$AE49)*100,"#0.0")</f>
        <v>0.0</v>
      </c>
      <c r="N49" s="358" t="str">
        <f>TEXT((COUNTIFS(FSE!$U:$U,"*"&amp;N$2&amp;"*",FSE!$C:$C,$A49)/$AE49)*100,"#0.0")</f>
        <v>0.0</v>
      </c>
      <c r="O49" s="358" t="str">
        <f>TEXT((COUNTIFS(FSE!$U:$U,"*"&amp;O$2&amp;"*",FSE!$C:$C,$A49)/$AE49)*100,"#0.0")</f>
        <v>0.0</v>
      </c>
      <c r="P49" s="358" t="str">
        <f>TEXT((COUNTIFS(FSE!$U:$U,"*"&amp;P$2&amp;"*",FSE!$C:$C,$A49)/$AE49)*100,"#0.0")</f>
        <v>0.0</v>
      </c>
      <c r="Q49" s="358" t="str">
        <f>TEXT((COUNTIFS(FSE!$U:$U,"*"&amp;Q$2&amp;"*",FSE!$C:$C,$A49)/$AE49)*100,"#0.0")</f>
        <v>0.0</v>
      </c>
      <c r="R49" s="358" t="str">
        <f>TEXT((COUNTIFS(FSE!$U:$U,"*"&amp;R$2&amp;"*",FSE!$C:$C,$A49)/$AE49)*100,"#0.0")</f>
        <v>0.0</v>
      </c>
      <c r="S49" s="358" t="str">
        <f>TEXT((COUNTIFS(FSE!$U:$U,"*"&amp;S$2&amp;"*",FSE!$C:$C,$A49)/$AE49)*100,"#0.0")</f>
        <v>0.0</v>
      </c>
      <c r="T49" s="358" t="str">
        <f>TEXT((COUNTIFS(FSE!$U:$U,"*"&amp;T$2&amp;"*",FSE!$C:$C,$A49)/$AE49)*100,"#0.0")</f>
        <v>0.0</v>
      </c>
      <c r="U49" s="358" t="str">
        <f>TEXT((COUNTIFS(FSE!$U:$U,"*"&amp;U$2&amp;"*",FSE!$C:$C,$A49)/$AE49)*100,"#0.0")</f>
        <v>5.7</v>
      </c>
      <c r="V49" s="358" t="str">
        <f>TEXT((COUNTIFS(FSE!$U:$U,"*"&amp;V$2&amp;"*",FSE!$C:$C,$A49)/$AE49)*100,"#0.0")</f>
        <v>0.0</v>
      </c>
      <c r="W49" s="358" t="str">
        <f>TEXT((COUNTIFS(FSE!$U:$U,"*"&amp;W$2&amp;"*",FSE!$C:$C,$A49)/$AE49)*100,"#0.0")</f>
        <v>0.0</v>
      </c>
      <c r="X49" s="358" t="str">
        <f>TEXT((COUNTIFS(FSE!$U:$U,"*"&amp;X$2&amp;"*",FSE!$C:$C,$A49)/$AE49)*100,"#0.0")</f>
        <v>0.0</v>
      </c>
      <c r="Y49" s="358"/>
      <c r="Z49" s="364" t="str">
        <f>TEXT((COUNTIFS(FSE!AB:AB,"&gt;0",FSE!$C:$C,$A49)/$AE49)*100,"#0.0")</f>
        <v>65.7</v>
      </c>
      <c r="AA49" s="358" t="str">
        <f>TEXT((COUNTIFS(FSE!$U:$U,"*"&amp;AA$2&amp;"*",FSE!$C:$C,$A49)/$AE49)*100,"#0.0")</f>
        <v>0.0</v>
      </c>
      <c r="AB49" s="358" t="str">
        <f>TEXT((COUNTIFS(FSE!$U:$U,"*"&amp;AB$2&amp;"*",FSE!$C:$C,$A49)/$AE49)*100,"#0.0")</f>
        <v>0.0</v>
      </c>
      <c r="AC49" s="365" t="str">
        <f>TEXT((COUNTIFS(FSE!AC:AC,"Yes",FSE!$C:$C,$A49)/$AE49)*100,"#0.0")</f>
        <v>5.7</v>
      </c>
      <c r="AD49" s="355"/>
      <c r="AE49" s="293">
        <f>COUNTIFS(FSE!C:C,A49,FSE!K:K,"Yes")</f>
        <v>35</v>
      </c>
    </row>
    <row r="50">
      <c r="A50" s="330">
        <v>2015.0</v>
      </c>
      <c r="B50" s="357" t="str">
        <f>TEXT((COUNTIFS(FSE!$U:$U,"*"&amp;B$2&amp;"*",FSE!$C:$C,$A50)/$AE50)*100,"#0.0")</f>
        <v>0.0</v>
      </c>
      <c r="C50" s="357" t="str">
        <f>TEXT((COUNTIFS(FSE!$U:$U,"*"&amp;C$2&amp;"*",FSE!$C:$C,$A50)/$AE50)*100,"#0.0")</f>
        <v>0.0</v>
      </c>
      <c r="D50" s="358" t="str">
        <f>TEXT((COUNTIFS(FSE!$U:$U,"*"&amp;D$2&amp;"*",FSE!$C:$C,$A50)/$AE50)*100,"#0.0")</f>
        <v>0.0</v>
      </c>
      <c r="E50" s="358" t="str">
        <f>TEXT((COUNTIFS(FSE!$U:$U,"*"&amp;E$2&amp;"*",FSE!$C:$C,$A50)/$AE50)*100,"#0.0")</f>
        <v>0.0</v>
      </c>
      <c r="F50" s="358" t="str">
        <f>TEXT((COUNTIFS(FSE!$U:$U,"*"&amp;F$2&amp;"*",FSE!$C:$C,$A50)/$AE50)*100,"#0.0")</f>
        <v>0.0</v>
      </c>
      <c r="G50" s="358" t="str">
        <f>TEXT((COUNTIFS(FSE!$U:$U,"*"&amp;G$2&amp;"*",FSE!$C:$C,$A50)/$AE50)*100,"#0.0")</f>
        <v>0.0</v>
      </c>
      <c r="H50" s="358" t="str">
        <f>TEXT((COUNTIFS(FSE!$U:$U,"*"&amp;H$2&amp;"*",FSE!$C:$C,$A50)/$AE50)*100,"#0.0")</f>
        <v>0.0</v>
      </c>
      <c r="I50" s="358" t="str">
        <f>TEXT((COUNTIFS(FSE!$U:$U,"*"&amp;I$2&amp;"*",FSE!$C:$C,$A50)/$AE50)*100,"#0.0")</f>
        <v>0.0</v>
      </c>
      <c r="J50" s="359" t="str">
        <f>TEXT((COUNTIFS(FSE!$U:$U,"*"&amp;J$2&amp;"*",FSE!$C:$C,$A50)/$AE50)*100,"#0.0")</f>
        <v>22.9</v>
      </c>
      <c r="K50" s="358" t="str">
        <f>TEXT((COUNTIFS(FSE!$U:$U,"*"&amp;K$2&amp;"*",FSE!$C:$C,$A50)/$AE50)*100,"#0.0")</f>
        <v>0.0</v>
      </c>
      <c r="L50" s="358" t="str">
        <f>TEXT((COUNTIFS(FSE!$U:$U,"*"&amp;L$2&amp;"*",FSE!$C:$C,$A50)/$AE50)*100,"#0.0")</f>
        <v>6.3</v>
      </c>
      <c r="M50" s="358" t="str">
        <f>TEXT((COUNTIFS(FSE!$U:$U,"*"&amp;M$2&amp;"*",FSE!$C:$C,$A50)/$AE50)*100,"#0.0")</f>
        <v>0.0</v>
      </c>
      <c r="N50" s="358" t="str">
        <f>TEXT((COUNTIFS(FSE!$U:$U,"*"&amp;N$2&amp;"*",FSE!$C:$C,$A50)/$AE50)*100,"#0.0")</f>
        <v>0.0</v>
      </c>
      <c r="O50" s="358" t="str">
        <f>TEXT((COUNTIFS(FSE!$U:$U,"*"&amp;O$2&amp;"*",FSE!$C:$C,$A50)/$AE50)*100,"#0.0")</f>
        <v>0.0</v>
      </c>
      <c r="P50" s="358" t="str">
        <f>TEXT((COUNTIFS(FSE!$U:$U,"*"&amp;P$2&amp;"*",FSE!$C:$C,$A50)/$AE50)*100,"#0.0")</f>
        <v>2.1</v>
      </c>
      <c r="Q50" s="358" t="str">
        <f>TEXT((COUNTIFS(FSE!$U:$U,"*"&amp;Q$2&amp;"*",FSE!$C:$C,$A50)/$AE50)*100,"#0.0")</f>
        <v>0.0</v>
      </c>
      <c r="R50" s="358" t="str">
        <f>TEXT((COUNTIFS(FSE!$U:$U,"*"&amp;R$2&amp;"*",FSE!$C:$C,$A50)/$AE50)*100,"#0.0")</f>
        <v>0.0</v>
      </c>
      <c r="S50" s="358" t="str">
        <f>TEXT((COUNTIFS(FSE!$U:$U,"*"&amp;S$2&amp;"*",FSE!$C:$C,$A50)/$AE50)*100,"#0.0")</f>
        <v>0.0</v>
      </c>
      <c r="T50" s="358" t="str">
        <f>TEXT((COUNTIFS(FSE!$U:$U,"*"&amp;T$2&amp;"*",FSE!$C:$C,$A50)/$AE50)*100,"#0.0")</f>
        <v>0.0</v>
      </c>
      <c r="U50" s="358" t="str">
        <f>TEXT((COUNTIFS(FSE!$U:$U,"*"&amp;U$2&amp;"*",FSE!$C:$C,$A50)/$AE50)*100,"#0.0")</f>
        <v>2.1</v>
      </c>
      <c r="V50" s="358" t="str">
        <f>TEXT((COUNTIFS(FSE!$U:$U,"*"&amp;V$2&amp;"*",FSE!$C:$C,$A50)/$AE50)*100,"#0.0")</f>
        <v>0.0</v>
      </c>
      <c r="W50" s="358" t="str">
        <f>TEXT((COUNTIFS(FSE!$U:$U,"*"&amp;W$2&amp;"*",FSE!$C:$C,$A50)/$AE50)*100,"#0.0")</f>
        <v>0.0</v>
      </c>
      <c r="X50" s="358" t="str">
        <f>TEXT((COUNTIFS(FSE!$U:$U,"*"&amp;X$2&amp;"*",FSE!$C:$C,$A50)/$AE50)*100,"#0.0")</f>
        <v>0.0</v>
      </c>
      <c r="Y50" s="358"/>
      <c r="Z50" s="364" t="str">
        <f>TEXT((COUNTIFS(FSE!AB:AB,"&gt;0",FSE!$C:$C,$A50)/$AE50)*100,"#0.0")</f>
        <v>41.7</v>
      </c>
      <c r="AA50" s="358" t="str">
        <f>TEXT((COUNTIFS(FSE!$U:$U,"*"&amp;AA$2&amp;"*",FSE!$C:$C,$A50)/$AE50)*100,"#0.0")</f>
        <v>2.1</v>
      </c>
      <c r="AB50" s="358" t="str">
        <f>TEXT((COUNTIFS(FSE!$U:$U,"*"&amp;AB$2&amp;"*",FSE!$C:$C,$A50)/$AE50)*100,"#0.0")</f>
        <v>2.1</v>
      </c>
      <c r="AC50" s="365" t="str">
        <f>TEXT((COUNTIFS(FSE!AC:AC,"Yes",FSE!$C:$C,$A50)/$AE50)*100,"#0.0")</f>
        <v>0.0</v>
      </c>
      <c r="AD50" s="355"/>
      <c r="AE50" s="293">
        <f>COUNTIFS(FSE!C:C,A50,FSE!K:K,"Yes")</f>
        <v>48</v>
      </c>
    </row>
    <row r="51">
      <c r="A51" s="330">
        <v>2016.0</v>
      </c>
      <c r="B51" s="357" t="str">
        <f>TEXT((COUNTIFS(FSE!$U:$U,"*"&amp;B$2&amp;"*",FSE!$C:$C,$A51)/$AE51)*100,"#0.0")</f>
        <v>1.9</v>
      </c>
      <c r="C51" s="357" t="str">
        <f>TEXT((COUNTIFS(FSE!$U:$U,"*"&amp;C$2&amp;"*",FSE!$C:$C,$A51)/$AE51)*100,"#0.0")</f>
        <v>0.0</v>
      </c>
      <c r="D51" s="358" t="str">
        <f>TEXT((COUNTIFS(FSE!$U:$U,"*"&amp;D$2&amp;"*",FSE!$C:$C,$A51)/$AE51)*100,"#0.0")</f>
        <v>0.0</v>
      </c>
      <c r="E51" s="358" t="str">
        <f>TEXT((COUNTIFS(FSE!$U:$U,"*"&amp;E$2&amp;"*",FSE!$C:$C,$A51)/$AE51)*100,"#0.0")</f>
        <v>0.0</v>
      </c>
      <c r="F51" s="358" t="str">
        <f>TEXT((COUNTIFS(FSE!$U:$U,"*"&amp;F$2&amp;"*",FSE!$C:$C,$A51)/$AE51)*100,"#0.0")</f>
        <v>0.0</v>
      </c>
      <c r="G51" s="358" t="str">
        <f>TEXT((COUNTIFS(FSE!$U:$U,"*"&amp;G$2&amp;"*",FSE!$C:$C,$A51)/$AE51)*100,"#0.0")</f>
        <v>0.0</v>
      </c>
      <c r="H51" s="358" t="str">
        <f>TEXT((COUNTIFS(FSE!$U:$U,"*"&amp;H$2&amp;"*",FSE!$C:$C,$A51)/$AE51)*100,"#0.0")</f>
        <v>0.0</v>
      </c>
      <c r="I51" s="358" t="str">
        <f>TEXT((COUNTIFS(FSE!$U:$U,"*"&amp;I$2&amp;"*",FSE!$C:$C,$A51)/$AE51)*100,"#0.0")</f>
        <v>0.0</v>
      </c>
      <c r="J51" s="359" t="str">
        <f>TEXT((COUNTIFS(FSE!$U:$U,"*"&amp;J$2&amp;"*",FSE!$C:$C,$A51)/$AE51)*100,"#0.0")</f>
        <v>33.3</v>
      </c>
      <c r="K51" s="358" t="str">
        <f>TEXT((COUNTIFS(FSE!$U:$U,"*"&amp;K$2&amp;"*",FSE!$C:$C,$A51)/$AE51)*100,"#0.0")</f>
        <v>0.0</v>
      </c>
      <c r="L51" s="358" t="str">
        <f>TEXT((COUNTIFS(FSE!$U:$U,"*"&amp;L$2&amp;"*",FSE!$C:$C,$A51)/$AE51)*100,"#0.0")</f>
        <v>7.4</v>
      </c>
      <c r="M51" s="358" t="str">
        <f>TEXT((COUNTIFS(FSE!$U:$U,"*"&amp;M$2&amp;"*",FSE!$C:$C,$A51)/$AE51)*100,"#0.0")</f>
        <v>3.7</v>
      </c>
      <c r="N51" s="358" t="str">
        <f>TEXT((COUNTIFS(FSE!$U:$U,"*"&amp;N$2&amp;"*",FSE!$C:$C,$A51)/$AE51)*100,"#0.0")</f>
        <v>0.0</v>
      </c>
      <c r="O51" s="358" t="str">
        <f>TEXT((COUNTIFS(FSE!$U:$U,"*"&amp;O$2&amp;"*",FSE!$C:$C,$A51)/$AE51)*100,"#0.0")</f>
        <v>0.0</v>
      </c>
      <c r="P51" s="358" t="str">
        <f>TEXT((COUNTIFS(FSE!$U:$U,"*"&amp;P$2&amp;"*",FSE!$C:$C,$A51)/$AE51)*100,"#0.0")</f>
        <v>3.7</v>
      </c>
      <c r="Q51" s="358" t="str">
        <f>TEXT((COUNTIFS(FSE!$U:$U,"*"&amp;Q$2&amp;"*",FSE!$C:$C,$A51)/$AE51)*100,"#0.0")</f>
        <v>0.0</v>
      </c>
      <c r="R51" s="358" t="str">
        <f>TEXT((COUNTIFS(FSE!$U:$U,"*"&amp;R$2&amp;"*",FSE!$C:$C,$A51)/$AE51)*100,"#0.0")</f>
        <v>0.0</v>
      </c>
      <c r="S51" s="358" t="str">
        <f>TEXT((COUNTIFS(FSE!$U:$U,"*"&amp;S$2&amp;"*",FSE!$C:$C,$A51)/$AE51)*100,"#0.0")</f>
        <v>0.0</v>
      </c>
      <c r="T51" s="358" t="str">
        <f>TEXT((COUNTIFS(FSE!$U:$U,"*"&amp;T$2&amp;"*",FSE!$C:$C,$A51)/$AE51)*100,"#0.0")</f>
        <v>1.9</v>
      </c>
      <c r="U51" s="358" t="str">
        <f>TEXT((COUNTIFS(FSE!$U:$U,"*"&amp;U$2&amp;"*",FSE!$C:$C,$A51)/$AE51)*100,"#0.0")</f>
        <v>11.1</v>
      </c>
      <c r="V51" s="358" t="str">
        <f>TEXT((COUNTIFS(FSE!$U:$U,"*"&amp;V$2&amp;"*",FSE!$C:$C,$A51)/$AE51)*100,"#0.0")</f>
        <v>1.9</v>
      </c>
      <c r="W51" s="358" t="str">
        <f>TEXT((COUNTIFS(FSE!$U:$U,"*"&amp;W$2&amp;"*",FSE!$C:$C,$A51)/$AE51)*100,"#0.0")</f>
        <v>0.0</v>
      </c>
      <c r="X51" s="358" t="str">
        <f>TEXT((COUNTIFS(FSE!$U:$U,"*"&amp;X$2&amp;"*",FSE!$C:$C,$A51)/$AE51)*100,"#0.0")</f>
        <v>0.0</v>
      </c>
      <c r="Y51" s="358"/>
      <c r="Z51" s="364" t="str">
        <f>TEXT((COUNTIFS(FSE!AB:AB,"&gt;0",FSE!$C:$C,$A51)/$AE51)*100,"#0.0")</f>
        <v>38.9</v>
      </c>
      <c r="AA51" s="358" t="str">
        <f>TEXT((COUNTIFS(FSE!$U:$U,"*"&amp;AA$2&amp;"*",FSE!$C:$C,$A51)/$AE51)*100,"#0.0")</f>
        <v>0.0</v>
      </c>
      <c r="AB51" s="358" t="str">
        <f>TEXT((COUNTIFS(FSE!$U:$U,"*"&amp;AB$2&amp;"*",FSE!$C:$C,$A51)/$AE51)*100,"#0.0")</f>
        <v>0.0</v>
      </c>
      <c r="AC51" s="365" t="str">
        <f>TEXT((COUNTIFS(FSE!AC:AC,"Yes",FSE!$C:$C,$A51)/$AE51)*100,"#0.0")</f>
        <v>1.9</v>
      </c>
      <c r="AD51" s="355"/>
      <c r="AE51" s="293">
        <f>COUNTIFS(FSE!C:C,A51,FSE!K:K,"Yes")</f>
        <v>54</v>
      </c>
    </row>
    <row r="52">
      <c r="A52" s="330">
        <v>2017.0</v>
      </c>
      <c r="B52" s="357" t="str">
        <f>TEXT((COUNTIFS(FSE!$U:$U,"*"&amp;B$2&amp;"*",FSE!$C:$C,$A52)/$AE52)*100,"#0.0")</f>
        <v>0.0</v>
      </c>
      <c r="C52" s="357" t="str">
        <f>TEXT((COUNTIFS(FSE!$U:$U,"*"&amp;C$2&amp;"*",FSE!$C:$C,$A52)/$AE52)*100,"#0.0")</f>
        <v>0.0</v>
      </c>
      <c r="D52" s="358" t="str">
        <f>TEXT((COUNTIFS(FSE!$U:$U,"*"&amp;D$2&amp;"*",FSE!$C:$C,$A52)/$AE52)*100,"#0.0")</f>
        <v>0.0</v>
      </c>
      <c r="E52" s="358" t="str">
        <f>TEXT((COUNTIFS(FSE!$U:$U,"*"&amp;E$2&amp;"*",FSE!$C:$C,$A52)/$AE52)*100,"#0.0")</f>
        <v>0.0</v>
      </c>
      <c r="F52" s="358" t="str">
        <f>TEXT((COUNTIFS(FSE!$U:$U,"*"&amp;F$2&amp;"*",FSE!$C:$C,$A52)/$AE52)*100,"#0.0")</f>
        <v>0.0</v>
      </c>
      <c r="G52" s="358" t="str">
        <f>TEXT((COUNTIFS(FSE!$U:$U,"*"&amp;G$2&amp;"*",FSE!$C:$C,$A52)/$AE52)*100,"#0.0")</f>
        <v>0.0</v>
      </c>
      <c r="H52" s="358" t="str">
        <f>TEXT((COUNTIFS(FSE!$U:$U,"*"&amp;H$2&amp;"*",FSE!$C:$C,$A52)/$AE52)*100,"#0.0")</f>
        <v>0.0</v>
      </c>
      <c r="I52" s="358" t="str">
        <f>TEXT((COUNTIFS(FSE!$U:$U,"*"&amp;I$2&amp;"*",FSE!$C:$C,$A52)/$AE52)*100,"#0.0")</f>
        <v>0.0</v>
      </c>
      <c r="J52" s="359" t="str">
        <f>TEXT((COUNTIFS(FSE!$U:$U,"*"&amp;J$2&amp;"*",FSE!$C:$C,$A52)/$AE52)*100,"#0.0")</f>
        <v>49.1</v>
      </c>
      <c r="K52" s="358" t="str">
        <f>TEXT((COUNTIFS(FSE!$U:$U,"*"&amp;K$2&amp;"*",FSE!$C:$C,$A52)/$AE52)*100,"#0.0")</f>
        <v>0.0</v>
      </c>
      <c r="L52" s="358" t="str">
        <f>TEXT((COUNTIFS(FSE!$U:$U,"*"&amp;L$2&amp;"*",FSE!$C:$C,$A52)/$AE52)*100,"#0.0")</f>
        <v>0.0</v>
      </c>
      <c r="M52" s="358" t="str">
        <f>TEXT((COUNTIFS(FSE!$U:$U,"*"&amp;M$2&amp;"*",FSE!$C:$C,$A52)/$AE52)*100,"#0.0")</f>
        <v>0.0</v>
      </c>
      <c r="N52" s="358" t="str">
        <f>TEXT((COUNTIFS(FSE!$U:$U,"*"&amp;N$2&amp;"*",FSE!$C:$C,$A52)/$AE52)*100,"#0.0")</f>
        <v>0.0</v>
      </c>
      <c r="O52" s="358" t="str">
        <f>TEXT((COUNTIFS(FSE!$U:$U,"*"&amp;O$2&amp;"*",FSE!$C:$C,$A52)/$AE52)*100,"#0.0")</f>
        <v>0.0</v>
      </c>
      <c r="P52" s="358" t="str">
        <f>TEXT((COUNTIFS(FSE!$U:$U,"*"&amp;P$2&amp;"*",FSE!$C:$C,$A52)/$AE52)*100,"#0.0")</f>
        <v>3.8</v>
      </c>
      <c r="Q52" s="358" t="str">
        <f>TEXT((COUNTIFS(FSE!$U:$U,"*"&amp;Q$2&amp;"*",FSE!$C:$C,$A52)/$AE52)*100,"#0.0")</f>
        <v>1.9</v>
      </c>
      <c r="R52" s="358" t="str">
        <f>TEXT((COUNTIFS(FSE!$U:$U,"*"&amp;R$2&amp;"*",FSE!$C:$C,$A52)/$AE52)*100,"#0.0")</f>
        <v>0.0</v>
      </c>
      <c r="S52" s="358" t="str">
        <f>TEXT((COUNTIFS(FSE!$U:$U,"*"&amp;S$2&amp;"*",FSE!$C:$C,$A52)/$AE52)*100,"#0.0")</f>
        <v>0.0</v>
      </c>
      <c r="T52" s="358" t="str">
        <f>TEXT((COUNTIFS(FSE!$U:$U,"*"&amp;T$2&amp;"*",FSE!$C:$C,$A52)/$AE52)*100,"#0.0")</f>
        <v>0.0</v>
      </c>
      <c r="U52" s="358" t="str">
        <f>TEXT((COUNTIFS(FSE!$U:$U,"*"&amp;U$2&amp;"*",FSE!$C:$C,$A52)/$AE52)*100,"#0.0")</f>
        <v>3.8</v>
      </c>
      <c r="V52" s="358" t="str">
        <f>TEXT((COUNTIFS(FSE!$U:$U,"*"&amp;V$2&amp;"*",FSE!$C:$C,$A52)/$AE52)*100,"#0.0")</f>
        <v>0.0</v>
      </c>
      <c r="W52" s="358" t="str">
        <f>TEXT((COUNTIFS(FSE!$U:$U,"*"&amp;W$2&amp;"*",FSE!$C:$C,$A52)/$AE52)*100,"#0.0")</f>
        <v>0.0</v>
      </c>
      <c r="X52" s="358" t="str">
        <f>TEXT((COUNTIFS(FSE!$U:$U,"*"&amp;X$2&amp;"*",FSE!$C:$C,$A52)/$AE52)*100,"#0.0")</f>
        <v>0.0</v>
      </c>
      <c r="Y52" s="358"/>
      <c r="Z52" s="364" t="str">
        <f>TEXT((COUNTIFS(FSE!AB:AB,"&gt;0",FSE!$C:$C,$A52)/$AE52)*100,"#0.0")</f>
        <v>39.6</v>
      </c>
      <c r="AA52" s="358" t="str">
        <f>TEXT((COUNTIFS(FSE!$U:$U,"*"&amp;AA$2&amp;"*",FSE!$C:$C,$A52)/$AE52)*100,"#0.0")</f>
        <v>0.0</v>
      </c>
      <c r="AB52" s="358" t="str">
        <f>TEXT((COUNTIFS(FSE!$U:$U,"*"&amp;AB$2&amp;"*",FSE!$C:$C,$A52)/$AE52)*100,"#0.0")</f>
        <v>0.0</v>
      </c>
      <c r="AC52" s="365" t="str">
        <f>TEXT((COUNTIFS(FSE!AC:AC,"Yes",FSE!$C:$C,$A52)/$AE52)*100,"#0.0")</f>
        <v>1.9</v>
      </c>
      <c r="AD52" s="355"/>
      <c r="AE52" s="293">
        <f>COUNTIFS(FSE!C:C,A52,FSE!K:K,"Yes")</f>
        <v>53</v>
      </c>
    </row>
    <row r="53">
      <c r="A53" s="330">
        <v>2018.0</v>
      </c>
      <c r="B53" s="357" t="str">
        <f>TEXT((COUNTIFS(FSE!$U:$U,"*"&amp;B$2&amp;"*",FSE!$C:$C,$A53)/$AE53)*100,"#0.0")</f>
        <v>11.8</v>
      </c>
      <c r="C53" s="357" t="str">
        <f>TEXT((COUNTIFS(FSE!$U:$U,"*"&amp;C$2&amp;"*",FSE!$C:$C,$A53)/$AE53)*100,"#0.0")</f>
        <v>0.0</v>
      </c>
      <c r="D53" s="358" t="str">
        <f>TEXT((COUNTIFS(FSE!$U:$U,"*"&amp;D$2&amp;"*",FSE!$C:$C,$A53)/$AE53)*100,"#0.0")</f>
        <v>2.0</v>
      </c>
      <c r="E53" s="358" t="str">
        <f>TEXT((COUNTIFS(FSE!$U:$U,"*"&amp;E$2&amp;"*",FSE!$C:$C,$A53)/$AE53)*100,"#0.0")</f>
        <v>0.0</v>
      </c>
      <c r="F53" s="358" t="str">
        <f>TEXT((COUNTIFS(FSE!$U:$U,"*"&amp;F$2&amp;"*",FSE!$C:$C,$A53)/$AE53)*100,"#0.0")</f>
        <v>0.0</v>
      </c>
      <c r="G53" s="358" t="str">
        <f>TEXT((COUNTIFS(FSE!$U:$U,"*"&amp;G$2&amp;"*",FSE!$C:$C,$A53)/$AE53)*100,"#0.0")</f>
        <v>0.0</v>
      </c>
      <c r="H53" s="358" t="str">
        <f>TEXT((COUNTIFS(FSE!$U:$U,"*"&amp;H$2&amp;"*",FSE!$C:$C,$A53)/$AE53)*100,"#0.0")</f>
        <v>0.0</v>
      </c>
      <c r="I53" s="358" t="str">
        <f>TEXT((COUNTIFS(FSE!$U:$U,"*"&amp;I$2&amp;"*",FSE!$C:$C,$A53)/$AE53)*100,"#0.0")</f>
        <v>0.0</v>
      </c>
      <c r="J53" s="359" t="str">
        <f>TEXT((COUNTIFS(FSE!$U:$U,"*"&amp;J$2&amp;"*",FSE!$C:$C,$A53)/$AE53)*100,"#0.0")</f>
        <v>54.9</v>
      </c>
      <c r="K53" s="358" t="str">
        <f>TEXT((COUNTIFS(FSE!$U:$U,"*"&amp;K$2&amp;"*",FSE!$C:$C,$A53)/$AE53)*100,"#0.0")</f>
        <v>0.0</v>
      </c>
      <c r="L53" s="358" t="str">
        <f>TEXT((COUNTIFS(FSE!$U:$U,"*"&amp;L$2&amp;"*",FSE!$C:$C,$A53)/$AE53)*100,"#0.0")</f>
        <v>2.0</v>
      </c>
      <c r="M53" s="358" t="str">
        <f>TEXT((COUNTIFS(FSE!$U:$U,"*"&amp;M$2&amp;"*",FSE!$C:$C,$A53)/$AE53)*100,"#0.0")</f>
        <v>2.0</v>
      </c>
      <c r="N53" s="358" t="str">
        <f>TEXT((COUNTIFS(FSE!$U:$U,"*"&amp;N$2&amp;"*",FSE!$C:$C,$A53)/$AE53)*100,"#0.0")</f>
        <v>0.0</v>
      </c>
      <c r="O53" s="358" t="str">
        <f>TEXT((COUNTIFS(FSE!$U:$U,"*"&amp;O$2&amp;"*",FSE!$C:$C,$A53)/$AE53)*100,"#0.0")</f>
        <v>0.0</v>
      </c>
      <c r="P53" s="358" t="str">
        <f>TEXT((COUNTIFS(FSE!$U:$U,"*"&amp;P$2&amp;"*",FSE!$C:$C,$A53)/$AE53)*100,"#0.0")</f>
        <v>0.0</v>
      </c>
      <c r="Q53" s="358" t="str">
        <f>TEXT((COUNTIFS(FSE!$U:$U,"*"&amp;Q$2&amp;"*",FSE!$C:$C,$A53)/$AE53)*100,"#0.0")</f>
        <v>0.0</v>
      </c>
      <c r="R53" s="358" t="str">
        <f>TEXT((COUNTIFS(FSE!$U:$U,"*"&amp;R$2&amp;"*",FSE!$C:$C,$A53)/$AE53)*100,"#0.0")</f>
        <v>0.0</v>
      </c>
      <c r="S53" s="358" t="str">
        <f>TEXT((COUNTIFS(FSE!$U:$U,"*"&amp;S$2&amp;"*",FSE!$C:$C,$A53)/$AE53)*100,"#0.0")</f>
        <v>0.0</v>
      </c>
      <c r="T53" s="358" t="str">
        <f>TEXT((COUNTIFS(FSE!$U:$U,"*"&amp;T$2&amp;"*",FSE!$C:$C,$A53)/$AE53)*100,"#0.0")</f>
        <v>0.0</v>
      </c>
      <c r="U53" s="358" t="str">
        <f>TEXT((COUNTIFS(FSE!$U:$U,"*"&amp;U$2&amp;"*",FSE!$C:$C,$A53)/$AE53)*100,"#0.0")</f>
        <v>2.0</v>
      </c>
      <c r="V53" s="358" t="str">
        <f>TEXT((COUNTIFS(FSE!$U:$U,"*"&amp;V$2&amp;"*",FSE!$C:$C,$A53)/$AE53)*100,"#0.0")</f>
        <v>0.0</v>
      </c>
      <c r="W53" s="358" t="str">
        <f>TEXT((COUNTIFS(FSE!$U:$U,"*"&amp;W$2&amp;"*",FSE!$C:$C,$A53)/$AE53)*100,"#0.0")</f>
        <v>0.0</v>
      </c>
      <c r="X53" s="358" t="str">
        <f>TEXT((COUNTIFS(FSE!$U:$U,"*"&amp;X$2&amp;"*",FSE!$C:$C,$A53)/$AE53)*100,"#0.0")</f>
        <v>0.0</v>
      </c>
      <c r="Y53" s="358"/>
      <c r="Z53" s="364" t="str">
        <f>TEXT((COUNTIFS(FSE!AB:AB,"&gt;0",FSE!$C:$C,$A53)/$AE53)*100,"#0.0")</f>
        <v>11.8</v>
      </c>
      <c r="AA53" s="358" t="str">
        <f>TEXT((COUNTIFS(FSE!$U:$U,"*"&amp;AA$2&amp;"*",FSE!$C:$C,$A53)/$AE53)*100,"#0.0")</f>
        <v>0.0</v>
      </c>
      <c r="AB53" s="358" t="str">
        <f>TEXT((COUNTIFS(FSE!$U:$U,"*"&amp;AB$2&amp;"*",FSE!$C:$C,$A53)/$AE53)*100,"#0.0")</f>
        <v>0.0</v>
      </c>
      <c r="AC53" s="365" t="str">
        <f>TEXT((COUNTIFS(FSE!AC:AC,"Yes",FSE!$C:$C,$A53)/$AE53)*100,"#0.0")</f>
        <v>13.7</v>
      </c>
      <c r="AD53" s="355"/>
      <c r="AE53" s="293">
        <f>COUNTIFS(FSE!C:C,A53,FSE!K:K,"Yes")</f>
        <v>51</v>
      </c>
    </row>
    <row r="54">
      <c r="A54" s="330">
        <v>2019.0</v>
      </c>
      <c r="B54" s="357" t="str">
        <f>TEXT((COUNTIFS(FSE!$U:$U,"*"&amp;B$2&amp;"*",FSE!$C:$C,$A54)/$AE54)*100,"#0.0")</f>
        <v>14.5</v>
      </c>
      <c r="C54" s="357" t="str">
        <f>TEXT((COUNTIFS(FSE!$U:$U,"*"&amp;C$2&amp;"*",FSE!$C:$C,$A54)/$AE54)*100,"#0.0")</f>
        <v>8.1</v>
      </c>
      <c r="D54" s="358" t="str">
        <f>TEXT((COUNTIFS(FSE!$U:$U,"*"&amp;D$2&amp;"*",FSE!$C:$C,$A54)/$AE54)*100,"#0.0")</f>
        <v>1.6</v>
      </c>
      <c r="E54" s="358" t="str">
        <f>TEXT((COUNTIFS(FSE!$U:$U,"*"&amp;E$2&amp;"*",FSE!$C:$C,$A54)/$AE54)*100,"#0.0")</f>
        <v>0.0</v>
      </c>
      <c r="F54" s="358" t="str">
        <f>TEXT((COUNTIFS(FSE!$U:$U,"*"&amp;F$2&amp;"*",FSE!$C:$C,$A54)/$AE54)*100,"#0.0")</f>
        <v>0.0</v>
      </c>
      <c r="G54" s="358" t="str">
        <f>TEXT((COUNTIFS(FSE!$U:$U,"*"&amp;G$2&amp;"*",FSE!$C:$C,$A54)/$AE54)*100,"#0.0")</f>
        <v>0.0</v>
      </c>
      <c r="H54" s="358" t="str">
        <f>TEXT((COUNTIFS(FSE!$U:$U,"*"&amp;H$2&amp;"*",FSE!$C:$C,$A54)/$AE54)*100,"#0.0")</f>
        <v>0.0</v>
      </c>
      <c r="I54" s="358" t="str">
        <f>TEXT((COUNTIFS(FSE!$U:$U,"*"&amp;I$2&amp;"*",FSE!$C:$C,$A54)/$AE54)*100,"#0.0")</f>
        <v>0.0</v>
      </c>
      <c r="J54" s="359" t="str">
        <f>TEXT((COUNTIFS(FSE!$U:$U,"*"&amp;J$2&amp;"*",FSE!$C:$C,$A54)/$AE54)*100,"#0.0")</f>
        <v>59.7</v>
      </c>
      <c r="K54" s="358" t="str">
        <f>TEXT((COUNTIFS(FSE!$U:$U,"*"&amp;K$2&amp;"*",FSE!$C:$C,$A54)/$AE54)*100,"#0.0")</f>
        <v>0.0</v>
      </c>
      <c r="L54" s="358" t="str">
        <f>TEXT((COUNTIFS(FSE!$U:$U,"*"&amp;L$2&amp;"*",FSE!$C:$C,$A54)/$AE54)*100,"#0.0")</f>
        <v>3.2</v>
      </c>
      <c r="M54" s="358" t="str">
        <f>TEXT((COUNTIFS(FSE!$U:$U,"*"&amp;M$2&amp;"*",FSE!$C:$C,$A54)/$AE54)*100,"#0.0")</f>
        <v>0.0</v>
      </c>
      <c r="N54" s="358" t="str">
        <f>TEXT((COUNTIFS(FSE!$U:$U,"*"&amp;N$2&amp;"*",FSE!$C:$C,$A54)/$AE54)*100,"#0.0")</f>
        <v>0.0</v>
      </c>
      <c r="O54" s="358" t="str">
        <f>TEXT((COUNTIFS(FSE!$U:$U,"*"&amp;O$2&amp;"*",FSE!$C:$C,$A54)/$AE54)*100,"#0.0")</f>
        <v>0.0</v>
      </c>
      <c r="P54" s="358" t="str">
        <f>TEXT((COUNTIFS(FSE!$U:$U,"*"&amp;P$2&amp;"*",FSE!$C:$C,$A54)/$AE54)*100,"#0.0")</f>
        <v>0.0</v>
      </c>
      <c r="Q54" s="358" t="str">
        <f>TEXT((COUNTIFS(FSE!$U:$U,"*"&amp;Q$2&amp;"*",FSE!$C:$C,$A54)/$AE54)*100,"#0.0")</f>
        <v>0.0</v>
      </c>
      <c r="R54" s="358" t="str">
        <f>TEXT((COUNTIFS(FSE!$U:$U,"*"&amp;R$2&amp;"*",FSE!$C:$C,$A54)/$AE54)*100,"#0.0")</f>
        <v>0.0</v>
      </c>
      <c r="S54" s="358" t="str">
        <f>TEXT((COUNTIFS(FSE!$U:$U,"*"&amp;S$2&amp;"*",FSE!$C:$C,$A54)/$AE54)*100,"#0.0")</f>
        <v>0.0</v>
      </c>
      <c r="T54" s="358" t="str">
        <f>TEXT((COUNTIFS(FSE!$U:$U,"*"&amp;T$2&amp;"*",FSE!$C:$C,$A54)/$AE54)*100,"#0.0")</f>
        <v>0.0</v>
      </c>
      <c r="U54" s="358" t="str">
        <f>TEXT((COUNTIFS(FSE!$U:$U,"*"&amp;U$2&amp;"*",FSE!$C:$C,$A54)/$AE54)*100,"#0.0")</f>
        <v>8.1</v>
      </c>
      <c r="V54" s="358" t="str">
        <f>TEXT((COUNTIFS(FSE!$U:$U,"*"&amp;V$2&amp;"*",FSE!$C:$C,$A54)/$AE54)*100,"#0.0")</f>
        <v>0.0</v>
      </c>
      <c r="W54" s="358" t="str">
        <f>TEXT((COUNTIFS(FSE!$U:$U,"*"&amp;W$2&amp;"*",FSE!$C:$C,$A54)/$AE54)*100,"#0.0")</f>
        <v>0.0</v>
      </c>
      <c r="X54" s="358" t="str">
        <f>TEXT((COUNTIFS(FSE!$U:$U,"*"&amp;X$2&amp;"*",FSE!$C:$C,$A54)/$AE54)*100,"#0.0")</f>
        <v>0.0</v>
      </c>
      <c r="Y54" s="358"/>
      <c r="Z54" s="364" t="str">
        <f>TEXT((COUNTIFS(FSE!AB:AB,"&gt;0",FSE!$C:$C,$A54)/$AE54)*100,"#0.0")</f>
        <v>4.8</v>
      </c>
      <c r="AA54" s="358" t="str">
        <f>TEXT((COUNTIFS(FSE!$U:$U,"*"&amp;AA$2&amp;"*",FSE!$C:$C,$A54)/$AE54)*100,"#0.0")</f>
        <v>0.0</v>
      </c>
      <c r="AB54" s="358" t="str">
        <f>TEXT((COUNTIFS(FSE!$U:$U,"*"&amp;AB$2&amp;"*",FSE!$C:$C,$A54)/$AE54)*100,"#0.0")</f>
        <v>0.0</v>
      </c>
      <c r="AC54" s="365" t="str">
        <f>TEXT((COUNTIFS(FSE!AC:AC,"Yes",FSE!$C:$C,$A54)/$AE54)*100,"#0.0")</f>
        <v>24.2</v>
      </c>
      <c r="AD54" s="355"/>
      <c r="AE54" s="293">
        <f>COUNTIFS(FSE!C:C,A54,FSE!K:K,"Yes")</f>
        <v>62</v>
      </c>
    </row>
    <row r="55">
      <c r="A55" s="330">
        <v>2020.0</v>
      </c>
      <c r="B55" s="357" t="str">
        <f>TEXT((COUNTIFS(FSE!$U:$U,"*"&amp;B$2&amp;"*",FSE!$C:$C,$A55)/$AE55)*100,"#0.0")</f>
        <v>31.9</v>
      </c>
      <c r="C55" s="357" t="str">
        <f>TEXT((COUNTIFS(FSE!$U:$U,"*"&amp;C$2&amp;"*",FSE!$C:$C,$A55)/$AE55)*100,"#0.0")</f>
        <v>9.9</v>
      </c>
      <c r="D55" s="358" t="str">
        <f>TEXT((COUNTIFS(FSE!$U:$U,"*"&amp;D$2&amp;"*",FSE!$C:$C,$A55)/$AE55)*100,"#0.0")</f>
        <v>1.1</v>
      </c>
      <c r="E55" s="358" t="str">
        <f>TEXT((COUNTIFS(FSE!$U:$U,"*"&amp;E$2&amp;"*",FSE!$C:$C,$A55)/$AE55)*100,"#0.0")</f>
        <v>1.1</v>
      </c>
      <c r="F55" s="358" t="str">
        <f>TEXT((COUNTIFS(FSE!$U:$U,"*"&amp;F$2&amp;"*",FSE!$C:$C,$A55)/$AE55)*100,"#0.0")</f>
        <v>0.0</v>
      </c>
      <c r="G55" s="358" t="str">
        <f>TEXT((COUNTIFS(FSE!$U:$U,"*"&amp;G$2&amp;"*",FSE!$C:$C,$A55)/$AE55)*100,"#0.0")</f>
        <v>0.0</v>
      </c>
      <c r="H55" s="358" t="str">
        <f>TEXT((COUNTIFS(FSE!$U:$U,"*"&amp;H$2&amp;"*",FSE!$C:$C,$A55)/$AE55)*100,"#0.0")</f>
        <v>0.0</v>
      </c>
      <c r="I55" s="358" t="str">
        <f>TEXT((COUNTIFS(FSE!$U:$U,"*"&amp;I$2&amp;"*",FSE!$C:$C,$A55)/$AE55)*100,"#0.0")</f>
        <v>0.0</v>
      </c>
      <c r="J55" s="359" t="str">
        <f>TEXT((COUNTIFS(FSE!$U:$U,"*"&amp;J$2&amp;"*",FSE!$C:$C,$A55)/$AE55)*100,"#0.0")</f>
        <v>50.5</v>
      </c>
      <c r="K55" s="358" t="str">
        <f>TEXT((COUNTIFS(FSE!$U:$U,"*"&amp;K$2&amp;"*",FSE!$C:$C,$A55)/$AE55)*100,"#0.0")</f>
        <v>1.1</v>
      </c>
      <c r="L55" s="358" t="str">
        <f>TEXT((COUNTIFS(FSE!$U:$U,"*"&amp;L$2&amp;"*",FSE!$C:$C,$A55)/$AE55)*100,"#0.0")</f>
        <v>0.0</v>
      </c>
      <c r="M55" s="358" t="str">
        <f>TEXT((COUNTIFS(FSE!$U:$U,"*"&amp;M$2&amp;"*",FSE!$C:$C,$A55)/$AE55)*100,"#0.0")</f>
        <v>0.0</v>
      </c>
      <c r="N55" s="358" t="str">
        <f>TEXT((COUNTIFS(FSE!$U:$U,"*"&amp;N$2&amp;"*",FSE!$C:$C,$A55)/$AE55)*100,"#0.0")</f>
        <v>0.0</v>
      </c>
      <c r="O55" s="358" t="str">
        <f>TEXT((COUNTIFS(FSE!$U:$U,"*"&amp;O$2&amp;"*",FSE!$C:$C,$A55)/$AE55)*100,"#0.0")</f>
        <v>0.0</v>
      </c>
      <c r="P55" s="358" t="str">
        <f>TEXT((COUNTIFS(FSE!$U:$U,"*"&amp;P$2&amp;"*",FSE!$C:$C,$A55)/$AE55)*100,"#0.0")</f>
        <v>0.0</v>
      </c>
      <c r="Q55" s="358" t="str">
        <f>TEXT((COUNTIFS(FSE!$U:$U,"*"&amp;Q$2&amp;"*",FSE!$C:$C,$A55)/$AE55)*100,"#0.0")</f>
        <v>0.0</v>
      </c>
      <c r="R55" s="358" t="str">
        <f>TEXT((COUNTIFS(FSE!$U:$U,"*"&amp;R$2&amp;"*",FSE!$C:$C,$A55)/$AE55)*100,"#0.0")</f>
        <v>0.0</v>
      </c>
      <c r="S55" s="358" t="str">
        <f>TEXT((COUNTIFS(FSE!$U:$U,"*"&amp;S$2&amp;"*",FSE!$C:$C,$A55)/$AE55)*100,"#0.0")</f>
        <v>0.0</v>
      </c>
      <c r="T55" s="358" t="str">
        <f>TEXT((COUNTIFS(FSE!$U:$U,"*"&amp;T$2&amp;"*",FSE!$C:$C,$A55)/$AE55)*100,"#0.0")</f>
        <v>0.0</v>
      </c>
      <c r="U55" s="358" t="str">
        <f>TEXT((COUNTIFS(FSE!$U:$U,"*"&amp;U$2&amp;"*",FSE!$C:$C,$A55)/$AE55)*100,"#0.0")</f>
        <v>4.4</v>
      </c>
      <c r="V55" s="358" t="str">
        <f>TEXT((COUNTIFS(FSE!$U:$U,"*"&amp;V$2&amp;"*",FSE!$C:$C,$A55)/$AE55)*100,"#0.0")</f>
        <v>0.0</v>
      </c>
      <c r="W55" s="358" t="str">
        <f>TEXT((COUNTIFS(FSE!$U:$U,"*"&amp;W$2&amp;"*",FSE!$C:$C,$A55)/$AE55)*100,"#0.0")</f>
        <v>2.2</v>
      </c>
      <c r="X55" s="358" t="str">
        <f>TEXT((COUNTIFS(FSE!$U:$U,"*"&amp;X$2&amp;"*",FSE!$C:$C,$A55)/$AE55)*100,"#0.0")</f>
        <v>0.0</v>
      </c>
      <c r="Y55" s="358"/>
      <c r="Z55" s="364" t="str">
        <f>TEXT((COUNTIFS(FSE!AB:AB,"&gt;0",FSE!$C:$C,$A55)/$AE55)*100,"#0.0")</f>
        <v>8.8</v>
      </c>
      <c r="AA55" s="358" t="str">
        <f>TEXT((COUNTIFS(FSE!$U:$U,"*"&amp;AA$2&amp;"*",FSE!$C:$C,$A55)/$AE55)*100,"#0.0")</f>
        <v>0.0</v>
      </c>
      <c r="AB55" s="358" t="str">
        <f>TEXT((COUNTIFS(FSE!$U:$U,"*"&amp;AB$2&amp;"*",FSE!$C:$C,$A55)/$AE55)*100,"#0.0")</f>
        <v>0.0</v>
      </c>
      <c r="AC55" s="365" t="str">
        <f>TEXT((COUNTIFS(FSE!AC:AC,"Yes",FSE!$C:$C,$A55)/$AE55)*100,"#0.0")</f>
        <v>47.3</v>
      </c>
      <c r="AD55" s="355"/>
      <c r="AE55" s="293">
        <f>COUNTIFS(FSE!C:C,A55,FSE!K:K,"Yes")</f>
        <v>91</v>
      </c>
    </row>
    <row r="56">
      <c r="A56" s="330">
        <v>2021.0</v>
      </c>
      <c r="B56" s="357" t="str">
        <f>TEXT((COUNTIFS(FSE!$U:$U,"*"&amp;B$2&amp;"*",FSE!$C:$C,$A56)/$AE56)*100,"#0.0")</f>
        <v>22.4</v>
      </c>
      <c r="C56" s="357" t="str">
        <f>TEXT((COUNTIFS(FSE!$U:$U,"*"&amp;C$2&amp;"*",FSE!$C:$C,$A56)/$AE56)*100,"#0.0")</f>
        <v>2.4</v>
      </c>
      <c r="D56" s="358" t="str">
        <f>TEXT((COUNTIFS(FSE!$U:$U,"*"&amp;D$2&amp;"*",FSE!$C:$C,$A56)/$AE56)*100,"#0.0")</f>
        <v>4.7</v>
      </c>
      <c r="E56" s="358" t="str">
        <f>TEXT((COUNTIFS(FSE!$U:$U,"*"&amp;E$2&amp;"*",FSE!$C:$C,$A56)/$AE56)*100,"#0.0")</f>
        <v>0.0</v>
      </c>
      <c r="F56" s="358" t="str">
        <f>TEXT((COUNTIFS(FSE!$U:$U,"*"&amp;F$2&amp;"*",FSE!$C:$C,$A56)/$AE56)*100,"#0.0")</f>
        <v>0.0</v>
      </c>
      <c r="G56" s="358" t="str">
        <f>TEXT((COUNTIFS(FSE!$U:$U,"*"&amp;G$2&amp;"*",FSE!$C:$C,$A56)/$AE56)*100,"#0.0")</f>
        <v>0.0</v>
      </c>
      <c r="H56" s="358" t="str">
        <f>TEXT((COUNTIFS(FSE!$U:$U,"*"&amp;H$2&amp;"*",FSE!$C:$C,$A56)/$AE56)*100,"#0.0")</f>
        <v>0.0</v>
      </c>
      <c r="I56" s="358" t="str">
        <f>TEXT((COUNTIFS(FSE!$U:$U,"*"&amp;I$2&amp;"*",FSE!$C:$C,$A56)/$AE56)*100,"#0.0")</f>
        <v>0.0</v>
      </c>
      <c r="J56" s="359" t="str">
        <f>TEXT((COUNTIFS(FSE!$U:$U,"*"&amp;J$2&amp;"*",FSE!$C:$C,$A56)/$AE56)*100,"#0.0")</f>
        <v>81.2</v>
      </c>
      <c r="K56" s="358" t="str">
        <f>TEXT((COUNTIFS(FSE!$U:$U,"*"&amp;K$2&amp;"*",FSE!$C:$C,$A56)/$AE56)*100,"#0.0")</f>
        <v>0.0</v>
      </c>
      <c r="L56" s="358" t="str">
        <f>TEXT((COUNTIFS(FSE!$U:$U,"*"&amp;L$2&amp;"*",FSE!$C:$C,$A56)/$AE56)*100,"#0.0")</f>
        <v>0.0</v>
      </c>
      <c r="M56" s="358" t="str">
        <f>TEXT((COUNTIFS(FSE!$U:$U,"*"&amp;M$2&amp;"*",FSE!$C:$C,$A56)/$AE56)*100,"#0.0")</f>
        <v>0.0</v>
      </c>
      <c r="N56" s="358" t="str">
        <f>TEXT((COUNTIFS(FSE!$U:$U,"*"&amp;N$2&amp;"*",FSE!$C:$C,$A56)/$AE56)*100,"#0.0")</f>
        <v>0.0</v>
      </c>
      <c r="O56" s="358" t="str">
        <f>TEXT((COUNTIFS(FSE!$U:$U,"*"&amp;O$2&amp;"*",FSE!$C:$C,$A56)/$AE56)*100,"#0.0")</f>
        <v>0.0</v>
      </c>
      <c r="P56" s="358" t="str">
        <f>TEXT((COUNTIFS(FSE!$U:$U,"*"&amp;P$2&amp;"*",FSE!$C:$C,$A56)/$AE56)*100,"#0.0")</f>
        <v>0.0</v>
      </c>
      <c r="Q56" s="358" t="str">
        <f>TEXT((COUNTIFS(FSE!$U:$U,"*"&amp;Q$2&amp;"*",FSE!$C:$C,$A56)/$AE56)*100,"#0.0")</f>
        <v>0.0</v>
      </c>
      <c r="R56" s="358" t="str">
        <f>TEXT((COUNTIFS(FSE!$U:$U,"*"&amp;R$2&amp;"*",FSE!$C:$C,$A56)/$AE56)*100,"#0.0")</f>
        <v>0.0</v>
      </c>
      <c r="S56" s="358" t="str">
        <f>TEXT((COUNTIFS(FSE!$U:$U,"*"&amp;S$2&amp;"*",FSE!$C:$C,$A56)/$AE56)*100,"#0.0")</f>
        <v>0.0</v>
      </c>
      <c r="T56" s="358" t="str">
        <f>TEXT((COUNTIFS(FSE!$U:$U,"*"&amp;T$2&amp;"*",FSE!$C:$C,$A56)/$AE56)*100,"#0.0")</f>
        <v>0.0</v>
      </c>
      <c r="U56" s="358" t="str">
        <f>TEXT((COUNTIFS(FSE!$U:$U,"*"&amp;U$2&amp;"*",FSE!$C:$C,$A56)/$AE56)*100,"#0.0")</f>
        <v>3.5</v>
      </c>
      <c r="V56" s="358" t="str">
        <f>TEXT((COUNTIFS(FSE!$U:$U,"*"&amp;V$2&amp;"*",FSE!$C:$C,$A56)/$AE56)*100,"#0.0")</f>
        <v>0.0</v>
      </c>
      <c r="W56" s="358" t="str">
        <f>TEXT((COUNTIFS(FSE!$U:$U,"*"&amp;W$2&amp;"*",FSE!$C:$C,$A56)/$AE56)*100,"#0.0")</f>
        <v>1.2</v>
      </c>
      <c r="X56" s="358" t="str">
        <f>TEXT((COUNTIFS(FSE!$U:$U,"*"&amp;X$2&amp;"*",FSE!$C:$C,$A56)/$AE56)*100,"#0.0")</f>
        <v>0.0</v>
      </c>
      <c r="Y56" s="358"/>
      <c r="Z56" s="364" t="str">
        <f>TEXT((COUNTIFS(FSE!AB:AB,"&gt;0",FSE!$C:$C,$A56)/$AE56)*100,"#0.0")</f>
        <v>0.0</v>
      </c>
      <c r="AA56" s="358" t="str">
        <f>TEXT((COUNTIFS(FSE!$U:$U,"*"&amp;AA$2&amp;"*",FSE!$C:$C,$A56)/$AE56)*100,"#0.0")</f>
        <v>0.0</v>
      </c>
      <c r="AB56" s="358" t="str">
        <f>TEXT((COUNTIFS(FSE!$U:$U,"*"&amp;AB$2&amp;"*",FSE!$C:$C,$A56)/$AE56)*100,"#0.0")</f>
        <v>0.0</v>
      </c>
      <c r="AC56" s="365" t="str">
        <f>TEXT((COUNTIFS(FSE!AC:AC,"Yes",FSE!$C:$C,$A56)/$AE56)*100,"#0.0")</f>
        <v>27.1</v>
      </c>
      <c r="AD56" s="355"/>
      <c r="AE56" s="293">
        <f>COUNTIFS(FSE!C:C,A56,FSE!K:K,"Yes")</f>
        <v>85</v>
      </c>
    </row>
    <row r="57">
      <c r="A57" s="330">
        <v>2022.0</v>
      </c>
      <c r="B57" s="357" t="str">
        <f>TEXT((COUNTIFS(FSE!$U:$U,"*"&amp;B$2&amp;"*",FSE!$C:$C,$A57)/$AE57)*100,"#0.0")</f>
        <v>36.3</v>
      </c>
      <c r="C57" s="357" t="str">
        <f>TEXT((COUNTIFS(FSE!$U:$U,"*"&amp;C$2&amp;"*",FSE!$C:$C,$A57)/$AE57)*100,"#0.0")</f>
        <v>8.8</v>
      </c>
      <c r="D57" s="358" t="str">
        <f>TEXT((COUNTIFS(FSE!$U:$U,"*"&amp;D$2&amp;"*",FSE!$C:$C,$A57)/$AE57)*100,"#0.0")</f>
        <v>0.0</v>
      </c>
      <c r="E57" s="358" t="str">
        <f>TEXT((COUNTIFS(FSE!$U:$U,"*"&amp;E$2&amp;"*",FSE!$C:$C,$A57)/$AE57)*100,"#0.0")</f>
        <v>0.0</v>
      </c>
      <c r="F57" s="358" t="str">
        <f>TEXT((COUNTIFS(FSE!$U:$U,"*"&amp;F$2&amp;"*",FSE!$C:$C,$A57)/$AE57)*100,"#0.0")</f>
        <v>0.0</v>
      </c>
      <c r="G57" s="358" t="str">
        <f>TEXT((COUNTIFS(FSE!$U:$U,"*"&amp;G$2&amp;"*",FSE!$C:$C,$A57)/$AE57)*100,"#0.0")</f>
        <v>0.0</v>
      </c>
      <c r="H57" s="358" t="str">
        <f>TEXT((COUNTIFS(FSE!$U:$U,"*"&amp;H$2&amp;"*",FSE!$C:$C,$A57)/$AE57)*100,"#0.0")</f>
        <v>0.0</v>
      </c>
      <c r="I57" s="358" t="str">
        <f>TEXT((COUNTIFS(FSE!$U:$U,"*"&amp;I$2&amp;"*",FSE!$C:$C,$A57)/$AE57)*100,"#0.0")</f>
        <v>0.0</v>
      </c>
      <c r="J57" s="359" t="str">
        <f>TEXT((COUNTIFS(FSE!$U:$U,"*"&amp;J$2&amp;"*",FSE!$C:$C,$A57)/$AE57)*100,"#0.0")</f>
        <v>57.1</v>
      </c>
      <c r="K57" s="358" t="str">
        <f>TEXT((COUNTIFS(FSE!$U:$U,"*"&amp;K$2&amp;"*",FSE!$C:$C,$A57)/$AE57)*100,"#0.0")</f>
        <v>1.1</v>
      </c>
      <c r="L57" s="358" t="str">
        <f>TEXT((COUNTIFS(FSE!$U:$U,"*"&amp;L$2&amp;"*",FSE!$C:$C,$A57)/$AE57)*100,"#0.0")</f>
        <v>0.0</v>
      </c>
      <c r="M57" s="358" t="str">
        <f>TEXT((COUNTIFS(FSE!$U:$U,"*"&amp;M$2&amp;"*",FSE!$C:$C,$A57)/$AE57)*100,"#0.0")</f>
        <v>0.0</v>
      </c>
      <c r="N57" s="358" t="str">
        <f>TEXT((COUNTIFS(FSE!$U:$U,"*"&amp;N$2&amp;"*",FSE!$C:$C,$A57)/$AE57)*100,"#0.0")</f>
        <v>3.3</v>
      </c>
      <c r="O57" s="358" t="str">
        <f>TEXT((COUNTIFS(FSE!$U:$U,"*"&amp;O$2&amp;"*",FSE!$C:$C,$A57)/$AE57)*100,"#0.0")</f>
        <v>0.0</v>
      </c>
      <c r="P57" s="358" t="str">
        <f>TEXT((COUNTIFS(FSE!$U:$U,"*"&amp;P$2&amp;"*",FSE!$C:$C,$A57)/$AE57)*100,"#0.0")</f>
        <v>2.2</v>
      </c>
      <c r="Q57" s="358" t="str">
        <f>TEXT((COUNTIFS(FSE!$U:$U,"*"&amp;Q$2&amp;"*",FSE!$C:$C,$A57)/$AE57)*100,"#0.0")</f>
        <v>0.0</v>
      </c>
      <c r="R57" s="358" t="str">
        <f>TEXT((COUNTIFS(FSE!$U:$U,"*"&amp;R$2&amp;"*",FSE!$C:$C,$A57)/$AE57)*100,"#0.0")</f>
        <v>0.0</v>
      </c>
      <c r="S57" s="358" t="str">
        <f>TEXT((COUNTIFS(FSE!$U:$U,"*"&amp;S$2&amp;"*",FSE!$C:$C,$A57)/$AE57)*100,"#0.0")</f>
        <v>0.0</v>
      </c>
      <c r="T57" s="358" t="str">
        <f>TEXT((COUNTIFS(FSE!$U:$U,"*"&amp;T$2&amp;"*",FSE!$C:$C,$A57)/$AE57)*100,"#0.0")</f>
        <v>0.0</v>
      </c>
      <c r="U57" s="358" t="str">
        <f>TEXT((COUNTIFS(FSE!$U:$U,"*"&amp;U$2&amp;"*",FSE!$C:$C,$A57)/$AE57)*100,"#0.0")</f>
        <v>4.4</v>
      </c>
      <c r="V57" s="358" t="str">
        <f>TEXT((COUNTIFS(FSE!$U:$U,"*"&amp;V$2&amp;"*",FSE!$C:$C,$A57)/$AE57)*100,"#0.0")</f>
        <v>0.0</v>
      </c>
      <c r="W57" s="358" t="str">
        <f>TEXT((COUNTIFS(FSE!$U:$U,"*"&amp;W$2&amp;"*",FSE!$C:$C,$A57)/$AE57)*100,"#0.0")</f>
        <v>1.1</v>
      </c>
      <c r="X57" s="358" t="str">
        <f>TEXT((COUNTIFS(FSE!$U:$U,"*"&amp;X$2&amp;"*",FSE!$C:$C,$A57)/$AE57)*100,"#0.0")</f>
        <v>0.0</v>
      </c>
      <c r="Y57" s="358"/>
      <c r="Z57" s="364" t="str">
        <f>TEXT((COUNTIFS(FSE!AB:AB,"&gt;0",FSE!$C:$C,$A57)/$AE57)*100,"#0.0")</f>
        <v>1.1</v>
      </c>
      <c r="AA57" s="358" t="str">
        <f>TEXT((COUNTIFS(FSE!$U:$U,"*"&amp;AA$2&amp;"*",FSE!$C:$C,$A57)/$AE57)*100,"#0.0")</f>
        <v>0.0</v>
      </c>
      <c r="AB57" s="358" t="str">
        <f>TEXT((COUNTIFS(FSE!$U:$U,"*"&amp;AB$2&amp;"*",FSE!$C:$C,$A57)/$AE57)*100,"#0.0")</f>
        <v>0.0</v>
      </c>
      <c r="AC57" s="365" t="str">
        <f>TEXT((COUNTIFS(FSE!AC:AC,"Yes",FSE!$C:$C,$A57)/$AE57)*100,"#0.0")</f>
        <v>46.2</v>
      </c>
      <c r="AD57" s="355"/>
      <c r="AE57" s="293">
        <f>COUNTIFS(FSE!C:C,A57,FSE!K:K,"Yes")</f>
        <v>91</v>
      </c>
    </row>
    <row r="58">
      <c r="A58" s="330">
        <v>2023.0</v>
      </c>
      <c r="B58" s="357" t="str">
        <f>TEXT((COUNTIFS(FSE!$U:$U,"*"&amp;B$2&amp;"*",FSE!$C:$C,$A58)/$AE58)*100,"#0.0")</f>
        <v>33.6</v>
      </c>
      <c r="C58" s="357" t="str">
        <f>TEXT((COUNTIFS(FSE!$U:$U,"*"&amp;C$2&amp;"*",FSE!$C:$C,$A58)/$AE58)*100,"#0.0")</f>
        <v>8.0</v>
      </c>
      <c r="D58" s="358" t="str">
        <f>TEXT((COUNTIFS(FSE!$U:$U,"*"&amp;D$2&amp;"*",FSE!$C:$C,$A58)/$AE58)*100,"#0.0")</f>
        <v>0.8</v>
      </c>
      <c r="E58" s="358" t="str">
        <f>TEXT((COUNTIFS(FSE!$U:$U,"*"&amp;E$2&amp;"*",FSE!$C:$C,$A58)/$AE58)*100,"#0.0")</f>
        <v>0.0</v>
      </c>
      <c r="F58" s="358" t="str">
        <f>TEXT((COUNTIFS(FSE!$U:$U,"*"&amp;F$2&amp;"*",FSE!$C:$C,$A58)/$AE58)*100,"#0.0")</f>
        <v>0.0</v>
      </c>
      <c r="G58" s="358" t="str">
        <f>TEXT((COUNTIFS(FSE!$U:$U,"*"&amp;G$2&amp;"*",FSE!$C:$C,$A58)/$AE58)*100,"#0.0")</f>
        <v>0.0</v>
      </c>
      <c r="H58" s="358" t="str">
        <f>TEXT((COUNTIFS(FSE!$U:$U,"*"&amp;H$2&amp;"*",FSE!$C:$C,$A58)/$AE58)*100,"#0.0")</f>
        <v>0.0</v>
      </c>
      <c r="I58" s="358" t="str">
        <f>TEXT((COUNTIFS(FSE!$U:$U,"*"&amp;I$2&amp;"*",FSE!$C:$C,$A58)/$AE58)*100,"#0.0")</f>
        <v>0.0</v>
      </c>
      <c r="J58" s="359" t="str">
        <f>TEXT((COUNTIFS(FSE!$U:$U,"*"&amp;J$2&amp;"*",FSE!$C:$C,$A58)/$AE58)*100,"#0.0")</f>
        <v>64.8</v>
      </c>
      <c r="K58" s="358" t="str">
        <f>TEXT((COUNTIFS(FSE!$U:$U,"*"&amp;K$2&amp;"*",FSE!$C:$C,$A58)/$AE58)*100,"#0.0")</f>
        <v>0.0</v>
      </c>
      <c r="L58" s="358" t="str">
        <f>TEXT((COUNTIFS(FSE!$U:$U,"*"&amp;L$2&amp;"*",FSE!$C:$C,$A58)/$AE58)*100,"#0.0")</f>
        <v>0.8</v>
      </c>
      <c r="M58" s="358" t="str">
        <f>TEXT((COUNTIFS(FSE!$U:$U,"*"&amp;M$2&amp;"*",FSE!$C:$C,$A58)/$AE58)*100,"#0.0")</f>
        <v>0.0</v>
      </c>
      <c r="N58" s="358" t="str">
        <f>TEXT((COUNTIFS(FSE!$U:$U,"*"&amp;N$2&amp;"*",FSE!$C:$C,$A58)/$AE58)*100,"#0.0")</f>
        <v>0.0</v>
      </c>
      <c r="O58" s="358" t="str">
        <f>TEXT((COUNTIFS(FSE!$U:$U,"*"&amp;O$2&amp;"*",FSE!$C:$C,$A58)/$AE58)*100,"#0.0")</f>
        <v>0.0</v>
      </c>
      <c r="P58" s="358" t="str">
        <f>TEXT((COUNTIFS(FSE!$U:$U,"*"&amp;P$2&amp;"*",FSE!$C:$C,$A58)/$AE58)*100,"#0.0")</f>
        <v>0.8</v>
      </c>
      <c r="Q58" s="358" t="str">
        <f>TEXT((COUNTIFS(FSE!$U:$U,"*"&amp;Q$2&amp;"*",FSE!$C:$C,$A58)/$AE58)*100,"#0.0")</f>
        <v>0.0</v>
      </c>
      <c r="R58" s="358" t="str">
        <f>TEXT((COUNTIFS(FSE!$U:$U,"*"&amp;R$2&amp;"*",FSE!$C:$C,$A58)/$AE58)*100,"#0.0")</f>
        <v>0.0</v>
      </c>
      <c r="S58" s="358" t="str">
        <f>TEXT((COUNTIFS(FSE!$U:$U,"*"&amp;S$2&amp;"*",FSE!$C:$C,$A58)/$AE58)*100,"#0.0")</f>
        <v>0.0</v>
      </c>
      <c r="T58" s="358" t="str">
        <f>TEXT((COUNTIFS(FSE!$U:$U,"*"&amp;T$2&amp;"*",FSE!$C:$C,$A58)/$AE58)*100,"#0.0")</f>
        <v>0.0</v>
      </c>
      <c r="U58" s="358" t="str">
        <f>TEXT((COUNTIFS(FSE!$U:$U,"*"&amp;U$2&amp;"*",FSE!$C:$C,$A58)/$AE58)*100,"#0.0")</f>
        <v>8.8</v>
      </c>
      <c r="V58" s="358" t="str">
        <f>TEXT((COUNTIFS(FSE!$U:$U,"*"&amp;V$2&amp;"*",FSE!$C:$C,$A58)/$AE58)*100,"#0.0")</f>
        <v>0.0</v>
      </c>
      <c r="W58" s="358" t="str">
        <f>TEXT((COUNTIFS(FSE!$U:$U,"*"&amp;W$2&amp;"*",FSE!$C:$C,$A58)/$AE58)*100,"#0.0")</f>
        <v>0.0</v>
      </c>
      <c r="X58" s="358" t="str">
        <f>TEXT((COUNTIFS(FSE!$U:$U,"*"&amp;X$2&amp;"*",FSE!$C:$C,$A58)/$AE58)*100,"#0.0")</f>
        <v>0.0</v>
      </c>
      <c r="Y58" s="358"/>
      <c r="Z58" s="364" t="str">
        <f>TEXT((COUNTIFS(FSE!AB:AB,"&gt;0",FSE!$C:$C,$A58)/$AE58)*100,"#0.0")</f>
        <v>0.0</v>
      </c>
      <c r="AA58" s="358" t="str">
        <f>TEXT((COUNTIFS(FSE!$U:$U,"*"&amp;AA$2&amp;"*",FSE!$C:$C,$A58)/$AE58)*100,"#0.0")</f>
        <v>0.0</v>
      </c>
      <c r="AB58" s="358" t="str">
        <f>TEXT((COUNTIFS(FSE!$U:$U,"*"&amp;AB$2&amp;"*",FSE!$C:$C,$A58)/$AE58)*100,"#0.0")</f>
        <v>0.0</v>
      </c>
      <c r="AC58" s="365" t="str">
        <f>TEXT((COUNTIFS(FSE!AC:AC,"Yes",FSE!$C:$C,$A58)/$AE58)*100,"#0.0")</f>
        <v>46.4</v>
      </c>
      <c r="AD58" s="355"/>
      <c r="AE58" s="293">
        <f>COUNTIFS(FSE!C:C,A58,FSE!K:K,"Yes")</f>
        <v>125</v>
      </c>
    </row>
    <row r="59">
      <c r="A59" s="308" t="s">
        <v>5668</v>
      </c>
      <c r="B59" s="308">
        <f>COUNTIF(FSE!$U:$U,"*"&amp;B$2&amp;"*")</f>
        <v>139</v>
      </c>
      <c r="C59" s="308">
        <f>COUNTIF(FSE!$U:$U,"*"&amp;C$2&amp;"*")</f>
        <v>35</v>
      </c>
      <c r="D59" s="308">
        <f>COUNTIF(FSE!$U:$U,"*"&amp;D$2&amp;"*")</f>
        <v>9</v>
      </c>
      <c r="E59" s="308">
        <f>COUNTIF(FSE!$U:$U,"*"&amp;E$2&amp;"*")</f>
        <v>1</v>
      </c>
      <c r="F59" s="308">
        <f>COUNTIF(FSE!$U:$U,"*"&amp;F$2&amp;"*")</f>
        <v>0</v>
      </c>
      <c r="G59" s="308">
        <f>COUNTIF(FSE!$U:$U,"*"&amp;G$2&amp;"*")</f>
        <v>0</v>
      </c>
      <c r="H59" s="308">
        <f>COUNTIF(FSE!$U:$U,"*"&amp;H$2&amp;"*")</f>
        <v>0</v>
      </c>
      <c r="I59" s="308">
        <f>COUNTIF(FSE!$U:$U,"*"&amp;I$2&amp;"*")</f>
        <v>0</v>
      </c>
      <c r="J59" s="308">
        <f>COUNTIF(FSE!$U:$U,"*"&amp;J$2&amp;"*")</f>
        <v>372</v>
      </c>
      <c r="K59" s="308">
        <f>COUNTIF(FSE!$U:$U,"*"&amp;K$2&amp;"*")</f>
        <v>2</v>
      </c>
      <c r="L59" s="308">
        <f>COUNTIF(FSE!$U:$U,"*"&amp;L$2&amp;"*")</f>
        <v>12</v>
      </c>
      <c r="M59" s="308">
        <f>COUNTIF(FSE!$U:$U,"*"&amp;M$2&amp;"*")</f>
        <v>3</v>
      </c>
      <c r="N59" s="308">
        <f>COUNTIF(FSE!$U:$U,"*"&amp;N$2&amp;"*")</f>
        <v>3</v>
      </c>
      <c r="O59" s="308">
        <f>COUNTIF(FSE!$U:$U,"*"&amp;O$2&amp;"*")</f>
        <v>0</v>
      </c>
      <c r="P59" s="308">
        <f>COUNTIF(FSE!$U:$U,"*"&amp;P$2&amp;"*")</f>
        <v>8</v>
      </c>
      <c r="Q59" s="308">
        <f>COUNTIF(FSE!$U:$U,"*"&amp;Q$2&amp;"*")</f>
        <v>1</v>
      </c>
      <c r="R59" s="308">
        <f>COUNTIF(FSE!$U:$U,"*"&amp;R$2&amp;"*")</f>
        <v>0</v>
      </c>
      <c r="S59" s="308">
        <f>COUNTIF(FSE!$U:$U,"*"&amp;S$2&amp;"*")</f>
        <v>0</v>
      </c>
      <c r="T59" s="308">
        <f>COUNTIF(FSE!$U:$U,"*"&amp;T$2&amp;"*")</f>
        <v>1</v>
      </c>
      <c r="U59" s="308">
        <f>COUNTIF(FSE!$U:$U,"*"&amp;U$2&amp;"*")</f>
        <v>39</v>
      </c>
      <c r="V59" s="308">
        <f>COUNTIF(FSE!$U:$U,"*"&amp;V$2&amp;"*")</f>
        <v>1</v>
      </c>
      <c r="W59" s="308">
        <f>COUNTIF(FSE!$U:$U,"*"&amp;W$2&amp;"*")</f>
        <v>4</v>
      </c>
      <c r="X59" s="308">
        <f>COUNTIF(FSE!$U:$U,"*"&amp;X$2&amp;"*")</f>
        <v>0</v>
      </c>
      <c r="Y59" s="308">
        <f>COUNTIF(FSE!$U:$U,"*"&amp;Y$2&amp;"*")</f>
        <v>0</v>
      </c>
      <c r="Z59" s="308">
        <f>COUNTIF(FSE!$U:$U,"*"&amp;Z$2&amp;"*")</f>
        <v>1</v>
      </c>
      <c r="AA59" s="308">
        <f>COUNTIF(FSE!$U:$U,"*"&amp;AA$2&amp;"*")</f>
        <v>1</v>
      </c>
      <c r="AB59" s="308">
        <f>COUNTIF(FSE!$U:$U,"*"&amp;AB$2&amp;"*")</f>
        <v>1</v>
      </c>
      <c r="AC59" s="308">
        <f>COUNTIF(FSE!$U:$U,"*"&amp;AC$2&amp;"*")</f>
        <v>0</v>
      </c>
      <c r="AD59" s="308">
        <f>COUNTIF(FSE!$U:$U,"*"&amp;AD$2&amp;"*")</f>
        <v>0</v>
      </c>
      <c r="AE59" s="303">
        <f>SUM(AE49:AE58)</f>
        <v>695</v>
      </c>
    </row>
    <row r="61">
      <c r="A61" s="308" t="s">
        <v>2</v>
      </c>
      <c r="AE61" s="360" t="s">
        <v>7379</v>
      </c>
    </row>
    <row r="62">
      <c r="A62" s="308">
        <v>2014.0</v>
      </c>
      <c r="B62" s="349" t="str">
        <f>IFERROR(__xludf.DUMMYFUNCTION("TEXT((COUNTUNIQUEIFS(Links!$C:$C,Links!$A:$A,$A62,Links!$B:$B,$P$47,Links!$BF:$BF,B$1)/$AE62)*100,""#0.0"")"),"5.7")</f>
        <v>5.7</v>
      </c>
      <c r="J62" s="350" t="str">
        <f>IFERROR(__xludf.DUMMYFUNCTION("TEXT((COUNTUNIQUEIFS(Links!$C:$C,Links!$A:$A,$A62,Links!$B:$B,$P$47,Links!$BF:$BF,J$1)/$AE62)*100,""#0.0"")"),"14.3")</f>
        <v>14.3</v>
      </c>
      <c r="P62" s="351" t="str">
        <f>IFERROR(__xludf.DUMMYFUNCTION("TEXT(((COUNTUNIQUEIFS(Links!$C:$C,Links!$A:$A,$A62,Links!$B:$B,$P$47,Links!$BF:$BF,P$1)+COUNTUNIQUEIFS(Links!$C:$C,Links!$A:$A,$A62,Links!$B:$B,$P$47,Links!$BF:$BF,X$1))/$AE62)*100,""#0.0"")"),"22.9")</f>
        <v>22.9</v>
      </c>
      <c r="X62" s="352"/>
      <c r="Z62" s="353" t="str">
        <f>IFERROR(__xludf.DUMMYFUNCTION("TEXT((COUNTUNIQUEIFS(Links!$C:$C,Links!$A:$A,$A62,Links!$B:$B,$P$47,Links!$BF:$BF,Z$1)/$AE62)*100,""#0.0"")"),"65.7")</f>
        <v>65.7</v>
      </c>
      <c r="AC62" s="354"/>
      <c r="AD62" s="355"/>
      <c r="AE62" s="293">
        <f>COUNTIFS(FSE!C:C,A62,FSE!K:K,"Yes")</f>
        <v>35</v>
      </c>
    </row>
    <row r="63">
      <c r="A63" s="308">
        <v>2015.0</v>
      </c>
      <c r="B63" s="349" t="str">
        <f>IFERROR(__xludf.DUMMYFUNCTION("TEXT((COUNTUNIQUEIFS(Links!$C:$C,Links!$A:$A,$A63,Links!$B:$B,$P$47,Links!$BF:$BF,B$1)/$AE63)*100,""#0.0"")"),"0.0")</f>
        <v>0.0</v>
      </c>
      <c r="J63" s="350" t="str">
        <f>IFERROR(__xludf.DUMMYFUNCTION("TEXT((COUNTUNIQUEIFS(Links!$C:$C,Links!$A:$A,$A63,Links!$B:$B,$P$47,Links!$BF:$BF,J$1)/$AE63)*100,""#0.0"")"),"29.2")</f>
        <v>29.2</v>
      </c>
      <c r="P63" s="351" t="str">
        <f>IFERROR(__xludf.DUMMYFUNCTION("TEXT(((COUNTUNIQUEIFS(Links!$C:$C,Links!$A:$A,$A63,Links!$B:$B,$P$47,Links!$BF:$BF,P$1)+COUNTUNIQUEIFS(Links!$C:$C,Links!$A:$A,$A63,Links!$B:$B,$P$47,Links!$BF:$BF,X$1))/$AE63)*100,""#0.0"")"),"33.3")</f>
        <v>33.3</v>
      </c>
      <c r="X63" s="352"/>
      <c r="Z63" s="353" t="str">
        <f>IFERROR(__xludf.DUMMYFUNCTION("TEXT((COUNTUNIQUEIFS(Links!$C:$C,Links!$A:$A,$A63,Links!$B:$B,$P$47,Links!$BF:$BF,Z$1)/$AE63)*100,""#0.0"")"),"45.8")</f>
        <v>45.8</v>
      </c>
      <c r="AC63" s="354"/>
      <c r="AD63" s="355"/>
      <c r="AE63" s="293">
        <f>COUNTIFS(FSE!C:C,A63,FSE!K:K,"Yes")</f>
        <v>48</v>
      </c>
    </row>
    <row r="64">
      <c r="A64" s="308">
        <v>2016.0</v>
      </c>
      <c r="B64" s="349" t="str">
        <f>IFERROR(__xludf.DUMMYFUNCTION("TEXT((COUNTUNIQUEIFS(Links!$C:$C,Links!$A:$A,$A64,Links!$B:$B,$P$47,Links!$BF:$BF,B$1)/$AE64)*100,""#0.0"")"),"1.9")</f>
        <v>1.9</v>
      </c>
      <c r="J64" s="350" t="str">
        <f>IFERROR(__xludf.DUMMYFUNCTION("TEXT((COUNTUNIQUEIFS(Links!$C:$C,Links!$A:$A,$A64,Links!$B:$B,$P$47,Links!$BF:$BF,J$1)/$AE64)*100,""#0.0"")"),"40.7")</f>
        <v>40.7</v>
      </c>
      <c r="P64" s="351" t="str">
        <f>IFERROR(__xludf.DUMMYFUNCTION("TEXT(((COUNTUNIQUEIFS(Links!$C:$C,Links!$A:$A,$A64,Links!$B:$B,$P$47,Links!$BF:$BF,P$1)+COUNTUNIQUEIFS(Links!$C:$C,Links!$A:$A,$A64,Links!$B:$B,$P$47,Links!$BF:$BF,X$1))/$AE64)*100,""#0.0"")"),"35.2")</f>
        <v>35.2</v>
      </c>
      <c r="X64" s="352"/>
      <c r="Z64" s="353" t="str">
        <f>IFERROR(__xludf.DUMMYFUNCTION("TEXT((COUNTUNIQUEIFS(Links!$C:$C,Links!$A:$A,$A64,Links!$B:$B,$P$47,Links!$BF:$BF,Z$1)/$AE64)*100,""#0.0"")"),"38.9")</f>
        <v>38.9</v>
      </c>
      <c r="AC64" s="354"/>
      <c r="AD64" s="355"/>
      <c r="AE64" s="293">
        <f>COUNTIFS(FSE!C:C,A64,FSE!K:K,"Yes")</f>
        <v>54</v>
      </c>
    </row>
    <row r="65">
      <c r="A65" s="308">
        <v>2017.0</v>
      </c>
      <c r="B65" s="349" t="str">
        <f>IFERROR(__xludf.DUMMYFUNCTION("TEXT((COUNTUNIQUEIFS(Links!$C:$C,Links!$A:$A,$A65,Links!$B:$B,$P$47,Links!$BF:$BF,B$1)/$AE65)*100,""#0.0"")"),"0.0")</f>
        <v>0.0</v>
      </c>
      <c r="J65" s="350" t="str">
        <f>IFERROR(__xludf.DUMMYFUNCTION("TEXT((COUNTUNIQUEIFS(Links!$C:$C,Links!$A:$A,$A65,Links!$B:$B,$P$47,Links!$BF:$BF,J$1)/$AE65)*100,""#0.0"")"),"49.1")</f>
        <v>49.1</v>
      </c>
      <c r="P65" s="351" t="str">
        <f>IFERROR(__xludf.DUMMYFUNCTION("TEXT(((COUNTUNIQUEIFS(Links!$C:$C,Links!$A:$A,$A65,Links!$B:$B,$P$47,Links!$BF:$BF,P$1)+COUNTUNIQUEIFS(Links!$C:$C,Links!$A:$A,$A65,Links!$B:$B,$P$47,Links!$BF:$BF,X$1))/$AE65)*100,""#0.0"")"),"18.9")</f>
        <v>18.9</v>
      </c>
      <c r="X65" s="352"/>
      <c r="Z65" s="353" t="str">
        <f>IFERROR(__xludf.DUMMYFUNCTION("TEXT((COUNTUNIQUEIFS(Links!$C:$C,Links!$A:$A,$A65,Links!$B:$B,$P$47,Links!$BF:$BF,Z$1)/$AE65)*100,""#0.0"")"),"39.6")</f>
        <v>39.6</v>
      </c>
      <c r="AC65" s="354"/>
      <c r="AD65" s="355"/>
      <c r="AE65" s="293">
        <f>COUNTIFS(FSE!C:C,A65,FSE!K:K,"Yes")</f>
        <v>53</v>
      </c>
    </row>
    <row r="66">
      <c r="A66" s="308">
        <v>2018.0</v>
      </c>
      <c r="B66" s="349" t="str">
        <f>IFERROR(__xludf.DUMMYFUNCTION("TEXT((COUNTUNIQUEIFS(Links!$C:$C,Links!$A:$A,$A66,Links!$B:$B,$P$47,Links!$BF:$BF,B$1)/$AE66)*100,""#0.0"")"),"13.7")</f>
        <v>13.7</v>
      </c>
      <c r="J66" s="350" t="str">
        <f>IFERROR(__xludf.DUMMYFUNCTION("TEXT((COUNTUNIQUEIFS(Links!$C:$C,Links!$A:$A,$A66,Links!$B:$B,$P$47,Links!$BF:$BF,J$1)/$AE66)*100,""#0.0"")"),"58.8")</f>
        <v>58.8</v>
      </c>
      <c r="P66" s="351" t="str">
        <f>IFERROR(__xludf.DUMMYFUNCTION("TEXT(((COUNTUNIQUEIFS(Links!$C:$C,Links!$A:$A,$A66,Links!$B:$B,$P$47,Links!$BF:$BF,P$1)+COUNTUNIQUEIFS(Links!$C:$C,Links!$A:$A,$A66,Links!$B:$B,$P$47,Links!$BF:$BF,X$1))/$AE66)*100,""#0.0"")"),"21.6")</f>
        <v>21.6</v>
      </c>
      <c r="X66" s="352"/>
      <c r="Z66" s="353" t="str">
        <f>IFERROR(__xludf.DUMMYFUNCTION("TEXT((COUNTUNIQUEIFS(Links!$C:$C,Links!$A:$A,$A66,Links!$B:$B,$P$47,Links!$BF:$BF,Z$1)/$AE66)*100,""#0.0"")"),"11.8")</f>
        <v>11.8</v>
      </c>
      <c r="AC66" s="354"/>
      <c r="AD66" s="355"/>
      <c r="AE66" s="293">
        <f>COUNTIFS(FSE!C:C,A66,FSE!K:K,"Yes")</f>
        <v>51</v>
      </c>
    </row>
    <row r="67">
      <c r="A67" s="308">
        <v>2019.0</v>
      </c>
      <c r="B67" s="349" t="str">
        <f>IFERROR(__xludf.DUMMYFUNCTION("TEXT((COUNTUNIQUEIFS(Links!$C:$C,Links!$A:$A,$A67,Links!$B:$B,$P$47,Links!$BF:$BF,B$1)/$AE67)*100,""#0.0"")"),"24.2")</f>
        <v>24.2</v>
      </c>
      <c r="J67" s="350" t="str">
        <f>IFERROR(__xludf.DUMMYFUNCTION("TEXT((COUNTUNIQUEIFS(Links!$C:$C,Links!$A:$A,$A67,Links!$B:$B,$P$47,Links!$BF:$BF,J$1)/$AE67)*100,""#0.0"")"),"62.9")</f>
        <v>62.9</v>
      </c>
      <c r="P67" s="351" t="str">
        <f>IFERROR(__xludf.DUMMYFUNCTION("TEXT(((COUNTUNIQUEIFS(Links!$C:$C,Links!$A:$A,$A67,Links!$B:$B,$P$47,Links!$BF:$BF,P$1)+COUNTUNIQUEIFS(Links!$C:$C,Links!$A:$A,$A67,Links!$B:$B,$P$47,Links!$BF:$BF,X$1))/$AE67)*100,""#0.0"")"),"16.1")</f>
        <v>16.1</v>
      </c>
      <c r="X67" s="352"/>
      <c r="Z67" s="353" t="str">
        <f>IFERROR(__xludf.DUMMYFUNCTION("TEXT((COUNTUNIQUEIFS(Links!$C:$C,Links!$A:$A,$A67,Links!$B:$B,$P$47,Links!$BF:$BF,Z$1)/$AE67)*100,""#0.0"")"),"4.8")</f>
        <v>4.8</v>
      </c>
      <c r="AC67" s="354"/>
      <c r="AD67" s="355"/>
      <c r="AE67" s="293">
        <f>COUNTIFS(FSE!C:C,A67,FSE!K:K,"Yes")</f>
        <v>62</v>
      </c>
    </row>
    <row r="68">
      <c r="A68" s="308">
        <v>2020.0</v>
      </c>
      <c r="B68" s="349" t="str">
        <f>IFERROR(__xludf.DUMMYFUNCTION("TEXT((COUNTUNIQUEIFS(Links!$C:$C,Links!$A:$A,$A68,Links!$B:$B,$P$47,Links!$BF:$BF,B$1)/$AE68)*100,""#0.0"")"),"45.1")</f>
        <v>45.1</v>
      </c>
      <c r="J68" s="350" t="str">
        <f>IFERROR(__xludf.DUMMYFUNCTION("TEXT((COUNTUNIQUEIFS(Links!$C:$C,Links!$A:$A,$A68,Links!$B:$B,$P$47,Links!$BF:$BF,J$1)/$AE68)*100,""#0.0"")"),"53.8")</f>
        <v>53.8</v>
      </c>
      <c r="P68" s="351" t="str">
        <f>IFERROR(__xludf.DUMMYFUNCTION("TEXT(((COUNTUNIQUEIFS(Links!$C:$C,Links!$A:$A,$A68,Links!$B:$B,$P$47,Links!$BF:$BF,P$1)+COUNTUNIQUEIFS(Links!$C:$C,Links!$A:$A,$A68,Links!$B:$B,$P$47,Links!$BF:$BF,X$1))/$AE68)*100,""#0.0"")"),"18.7")</f>
        <v>18.7</v>
      </c>
      <c r="X68" s="352"/>
      <c r="Z68" s="353" t="str">
        <f>IFERROR(__xludf.DUMMYFUNCTION("TEXT((COUNTUNIQUEIFS(Links!$C:$C,Links!$A:$A,$A68,Links!$B:$B,$P$47,Links!$BF:$BF,Z$1)/$AE68)*100,""#0.0"")"),"8.8")</f>
        <v>8.8</v>
      </c>
      <c r="AC68" s="354"/>
      <c r="AD68" s="355"/>
      <c r="AE68" s="293">
        <f>COUNTIFS(FSE!C:C,A68,FSE!K:K,"Yes")</f>
        <v>91</v>
      </c>
    </row>
    <row r="69">
      <c r="A69" s="308">
        <v>2021.0</v>
      </c>
      <c r="B69" s="349" t="str">
        <f>IFERROR(__xludf.DUMMYFUNCTION("TEXT((COUNTUNIQUEIFS(Links!$C:$C,Links!$A:$A,$A69,Links!$B:$B,$P$47,Links!$BF:$BF,B$1)/$AE69)*100,""#0.0"")"),"27.1")</f>
        <v>27.1</v>
      </c>
      <c r="J69" s="350" t="str">
        <f>IFERROR(__xludf.DUMMYFUNCTION("TEXT((COUNTUNIQUEIFS(Links!$C:$C,Links!$A:$A,$A69,Links!$B:$B,$P$47,Links!$BF:$BF,J$1)/$AE69)*100,""#0.0"")"),"81.2")</f>
        <v>81.2</v>
      </c>
      <c r="P69" s="351" t="str">
        <f>IFERROR(__xludf.DUMMYFUNCTION("TEXT(((COUNTUNIQUEIFS(Links!$C:$C,Links!$A:$A,$A69,Links!$B:$B,$P$47,Links!$BF:$BF,P$1)+COUNTUNIQUEIFS(Links!$C:$C,Links!$A:$A,$A69,Links!$B:$B,$P$47,Links!$BF:$BF,X$1))/$AE69)*100,""#0.0"")"),"4.7")</f>
        <v>4.7</v>
      </c>
      <c r="X69" s="352"/>
      <c r="Z69" s="353" t="str">
        <f>IFERROR(__xludf.DUMMYFUNCTION("TEXT((COUNTUNIQUEIFS(Links!$C:$C,Links!$A:$A,$A69,Links!$B:$B,$P$47,Links!$BF:$BF,Z$1)/$AE69)*100,""#0.0"")"),"0.0")</f>
        <v>0.0</v>
      </c>
      <c r="AC69" s="354"/>
      <c r="AD69" s="355"/>
      <c r="AE69" s="293">
        <f>COUNTIFS(FSE!C:C,A69,FSE!K:K,"Yes")</f>
        <v>85</v>
      </c>
    </row>
    <row r="70">
      <c r="A70" s="308">
        <v>2022.0</v>
      </c>
      <c r="B70" s="349" t="str">
        <f>IFERROR(__xludf.DUMMYFUNCTION("TEXT((COUNTUNIQUEIFS(Links!$C:$C,Links!$A:$A,$A70,Links!$B:$B,$P$47,Links!$BF:$BF,B$1)/$AE70)*100,""#0.0"")"),"46.2")</f>
        <v>46.2</v>
      </c>
      <c r="J70" s="350" t="str">
        <f>IFERROR(__xludf.DUMMYFUNCTION("TEXT((COUNTUNIQUEIFS(Links!$C:$C,Links!$A:$A,$A70,Links!$B:$B,$P$47,Links!$BF:$BF,J$1)/$AE70)*100,""#0.0"")"),"58.2")</f>
        <v>58.2</v>
      </c>
      <c r="P70" s="351" t="str">
        <f>IFERROR(__xludf.DUMMYFUNCTION("TEXT(((COUNTUNIQUEIFS(Links!$C:$C,Links!$A:$A,$A70,Links!$B:$B,$P$47,Links!$BF:$BF,P$1)+COUNTUNIQUEIFS(Links!$C:$C,Links!$A:$A,$A70,Links!$B:$B,$P$47,Links!$BF:$BF,X$1))/$AE70)*100,""#0.0"")"),"15.4")</f>
        <v>15.4</v>
      </c>
      <c r="X70" s="352"/>
      <c r="Z70" s="353" t="str">
        <f>IFERROR(__xludf.DUMMYFUNCTION("TEXT((COUNTUNIQUEIFS(Links!$C:$C,Links!$A:$A,$A70,Links!$B:$B,$P$47,Links!$BF:$BF,Z$1)/$AE70)*100,""#0.0"")"),"1.1")</f>
        <v>1.1</v>
      </c>
      <c r="AC70" s="354"/>
      <c r="AD70" s="355"/>
      <c r="AE70" s="293">
        <f>COUNTIFS(FSE!C:C,A70,FSE!K:K,"Yes")</f>
        <v>91</v>
      </c>
    </row>
    <row r="71">
      <c r="A71" s="308">
        <v>2023.0</v>
      </c>
      <c r="B71" s="349" t="str">
        <f>IFERROR(__xludf.DUMMYFUNCTION("TEXT((COUNTUNIQUEIFS(Links!$C:$C,Links!$A:$A,$A71,Links!$B:$B,$P$47,Links!$BF:$BF,B$1)/$AE71)*100,""#0.0"")"),"46.4")</f>
        <v>46.4</v>
      </c>
      <c r="J71" s="350" t="str">
        <f>IFERROR(__xludf.DUMMYFUNCTION("TEXT((COUNTUNIQUEIFS(Links!$C:$C,Links!$A:$A,$A71,Links!$B:$B,$P$47,Links!$BF:$BF,J$1)/$AE71)*100,""#0.0"")"),"64.8")</f>
        <v>64.8</v>
      </c>
      <c r="P71" s="351" t="str">
        <f>IFERROR(__xludf.DUMMYFUNCTION("TEXT(((COUNTUNIQUEIFS(Links!$C:$C,Links!$A:$A,$A71,Links!$B:$B,$P$47,Links!$BF:$BF,P$1)+COUNTUNIQUEIFS(Links!$C:$C,Links!$A:$A,$A71,Links!$B:$B,$P$47,Links!$BF:$BF,X$1))/$AE71)*100,""#0.0"")"),"12.8")</f>
        <v>12.8</v>
      </c>
      <c r="X71" s="352"/>
      <c r="Z71" s="353" t="str">
        <f>IFERROR(__xludf.DUMMYFUNCTION("TEXT((COUNTUNIQUEIFS(Links!$C:$C,Links!$A:$A,$A71,Links!$B:$B,$P$47,Links!$BF:$BF,Z$1)/$AE71)*100,""#0.0"")"),"0.0")</f>
        <v>0.0</v>
      </c>
      <c r="AC71" s="354"/>
      <c r="AD71" s="355"/>
      <c r="AE71" s="293">
        <f>COUNTIFS(FSE!C:C,A71,FSE!K:K,"Yes")</f>
        <v>125</v>
      </c>
    </row>
    <row r="72">
      <c r="A72" s="308"/>
      <c r="AE72" s="303">
        <f>SUM(AE62:AE71)</f>
        <v>695</v>
      </c>
    </row>
    <row r="73">
      <c r="A73" s="308"/>
      <c r="AE73" s="303"/>
    </row>
    <row r="74">
      <c r="A74" s="308"/>
      <c r="AE74" s="303"/>
    </row>
  </sheetData>
  <mergeCells count="135">
    <mergeCell ref="P36:W36"/>
    <mergeCell ref="X36:Y36"/>
    <mergeCell ref="B35:I35"/>
    <mergeCell ref="J35:O35"/>
    <mergeCell ref="P35:W35"/>
    <mergeCell ref="X35:Y35"/>
    <mergeCell ref="Z35:AB35"/>
    <mergeCell ref="J36:O36"/>
    <mergeCell ref="Z36:AB36"/>
    <mergeCell ref="J38:O38"/>
    <mergeCell ref="P38:W38"/>
    <mergeCell ref="B36:I36"/>
    <mergeCell ref="B37:I37"/>
    <mergeCell ref="J37:O37"/>
    <mergeCell ref="P37:W37"/>
    <mergeCell ref="X37:Y37"/>
    <mergeCell ref="Z37:AB37"/>
    <mergeCell ref="B38:I38"/>
    <mergeCell ref="X13:Y13"/>
    <mergeCell ref="Z13:AB13"/>
    <mergeCell ref="B11:I11"/>
    <mergeCell ref="B12:I12"/>
    <mergeCell ref="J12:O12"/>
    <mergeCell ref="P12:W12"/>
    <mergeCell ref="X12:Y12"/>
    <mergeCell ref="Z12:AB12"/>
    <mergeCell ref="B13:I13"/>
    <mergeCell ref="J13:O13"/>
    <mergeCell ref="P13:W13"/>
    <mergeCell ref="B15:I15"/>
    <mergeCell ref="J15:O15"/>
    <mergeCell ref="P15:W15"/>
    <mergeCell ref="X15:Y15"/>
    <mergeCell ref="Z15:AB15"/>
    <mergeCell ref="B16:I16"/>
    <mergeCell ref="J16:O16"/>
    <mergeCell ref="P16:W16"/>
    <mergeCell ref="X16:Y16"/>
    <mergeCell ref="Z16:AB16"/>
    <mergeCell ref="B17:I17"/>
    <mergeCell ref="J17:O17"/>
    <mergeCell ref="Z17:AB17"/>
    <mergeCell ref="P17:W17"/>
    <mergeCell ref="X17:Y17"/>
    <mergeCell ref="B34:I34"/>
    <mergeCell ref="J34:O34"/>
    <mergeCell ref="P34:W34"/>
    <mergeCell ref="X34:Y34"/>
    <mergeCell ref="Z34:AB34"/>
    <mergeCell ref="X38:Y38"/>
    <mergeCell ref="Z38:AB38"/>
    <mergeCell ref="B39:I39"/>
    <mergeCell ref="J39:O39"/>
    <mergeCell ref="P39:W39"/>
    <mergeCell ref="X39:Y39"/>
    <mergeCell ref="Z39:AB39"/>
    <mergeCell ref="B1:I1"/>
    <mergeCell ref="J1:O1"/>
    <mergeCell ref="P1:W1"/>
    <mergeCell ref="X1:Y1"/>
    <mergeCell ref="Z1:AB1"/>
    <mergeCell ref="J11:O11"/>
    <mergeCell ref="P11:W11"/>
    <mergeCell ref="X11:Y11"/>
    <mergeCell ref="Z11:AB11"/>
    <mergeCell ref="B68:I68"/>
    <mergeCell ref="J68:O68"/>
    <mergeCell ref="B69:I69"/>
    <mergeCell ref="J69:O69"/>
    <mergeCell ref="B70:I70"/>
    <mergeCell ref="J70:O70"/>
    <mergeCell ref="B71:I71"/>
    <mergeCell ref="J71:O71"/>
    <mergeCell ref="B64:I64"/>
    <mergeCell ref="B65:I65"/>
    <mergeCell ref="J65:O65"/>
    <mergeCell ref="B66:I66"/>
    <mergeCell ref="J66:O66"/>
    <mergeCell ref="B67:I67"/>
    <mergeCell ref="J67:O67"/>
    <mergeCell ref="X71:Y71"/>
    <mergeCell ref="Z71:AB71"/>
    <mergeCell ref="P69:W69"/>
    <mergeCell ref="X69:Y69"/>
    <mergeCell ref="Z69:AB69"/>
    <mergeCell ref="P70:W70"/>
    <mergeCell ref="X70:Y70"/>
    <mergeCell ref="Z70:AB70"/>
    <mergeCell ref="P71:W71"/>
    <mergeCell ref="P41:W41"/>
    <mergeCell ref="X41:Y41"/>
    <mergeCell ref="P42:W42"/>
    <mergeCell ref="X42:Y42"/>
    <mergeCell ref="Z42:AB42"/>
    <mergeCell ref="P43:W43"/>
    <mergeCell ref="X43:Y43"/>
    <mergeCell ref="Z43:AB43"/>
    <mergeCell ref="B40:I40"/>
    <mergeCell ref="J40:O40"/>
    <mergeCell ref="P40:W40"/>
    <mergeCell ref="X40:Y40"/>
    <mergeCell ref="Z40:AB40"/>
    <mergeCell ref="J41:O41"/>
    <mergeCell ref="Z41:AB41"/>
    <mergeCell ref="P62:W62"/>
    <mergeCell ref="X62:Y62"/>
    <mergeCell ref="Z62:AB62"/>
    <mergeCell ref="B41:I41"/>
    <mergeCell ref="B42:I42"/>
    <mergeCell ref="J42:O42"/>
    <mergeCell ref="B43:I43"/>
    <mergeCell ref="J43:O43"/>
    <mergeCell ref="B62:I62"/>
    <mergeCell ref="J62:O62"/>
    <mergeCell ref="B63:I63"/>
    <mergeCell ref="J63:O63"/>
    <mergeCell ref="P63:W63"/>
    <mergeCell ref="X63:Y63"/>
    <mergeCell ref="Z63:AB63"/>
    <mergeCell ref="J64:O64"/>
    <mergeCell ref="Z64:AB64"/>
    <mergeCell ref="P64:W64"/>
    <mergeCell ref="X64:Y64"/>
    <mergeCell ref="P65:W65"/>
    <mergeCell ref="X65:Y65"/>
    <mergeCell ref="Z65:AB65"/>
    <mergeCell ref="X66:Y66"/>
    <mergeCell ref="Z66:AB66"/>
    <mergeCell ref="P66:W66"/>
    <mergeCell ref="P67:W67"/>
    <mergeCell ref="X67:Y67"/>
    <mergeCell ref="Z67:AB67"/>
    <mergeCell ref="P68:W68"/>
    <mergeCell ref="X68:Y68"/>
    <mergeCell ref="Z68:AB6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4" width="7.63"/>
    <col customWidth="1" min="5" max="5" width="0.38"/>
    <col customWidth="1" min="6" max="10" width="7.63"/>
  </cols>
  <sheetData>
    <row r="1">
      <c r="A1" s="308" t="s">
        <v>7380</v>
      </c>
      <c r="B1" s="376"/>
      <c r="C1" s="376"/>
      <c r="D1" s="376"/>
      <c r="F1" s="308"/>
    </row>
    <row r="2">
      <c r="A2" s="377"/>
      <c r="B2" s="378" t="s">
        <v>5675</v>
      </c>
      <c r="C2" s="378" t="s">
        <v>5676</v>
      </c>
      <c r="D2" s="378" t="s">
        <v>5678</v>
      </c>
      <c r="F2" s="308"/>
    </row>
    <row r="3">
      <c r="A3" s="375" t="s">
        <v>7380</v>
      </c>
      <c r="B3" s="379">
        <f>sum(ICSE!AA:AA)</f>
        <v>1227</v>
      </c>
      <c r="C3" s="379">
        <f>SUM(FSE!AA:AA)</f>
        <v>944</v>
      </c>
      <c r="D3" s="379">
        <f>SUM(B3:C3)</f>
        <v>2171</v>
      </c>
      <c r="F3" s="308"/>
    </row>
    <row r="4">
      <c r="A4" s="308"/>
      <c r="B4" s="308"/>
      <c r="C4" s="308"/>
      <c r="D4" s="308"/>
      <c r="F4" s="308"/>
    </row>
    <row r="5">
      <c r="A5" s="308"/>
      <c r="B5" s="308"/>
      <c r="C5" s="308"/>
      <c r="D5" s="308"/>
      <c r="F5" s="308"/>
    </row>
    <row r="6">
      <c r="A6" s="308" t="s">
        <v>7381</v>
      </c>
      <c r="F6" s="308"/>
    </row>
    <row r="7">
      <c r="A7" s="377" t="s">
        <v>7382</v>
      </c>
      <c r="B7" s="378" t="s">
        <v>5675</v>
      </c>
      <c r="C7" s="378" t="s">
        <v>5676</v>
      </c>
      <c r="D7" s="378" t="s">
        <v>5678</v>
      </c>
      <c r="E7" s="303"/>
      <c r="F7" s="308"/>
      <c r="G7" s="376"/>
      <c r="H7" s="376"/>
      <c r="I7" s="376"/>
    </row>
    <row r="8">
      <c r="A8" s="375" t="s">
        <v>20</v>
      </c>
      <c r="B8" s="328">
        <f>COUNTIF(ICSE!V:V,"&gt;0")</f>
        <v>859</v>
      </c>
      <c r="C8" s="328">
        <f>COUNTIF(FSE!V:V,"&gt;0")</f>
        <v>610</v>
      </c>
      <c r="D8" s="328">
        <f t="shared" ref="D8:D11" si="1">SUM(B8:C8)</f>
        <v>1469</v>
      </c>
      <c r="F8" s="330"/>
    </row>
    <row r="9">
      <c r="A9" s="375" t="s">
        <v>21</v>
      </c>
      <c r="B9" s="328">
        <f>COUNTIF(ICSE!W:W,"&gt;0")</f>
        <v>165</v>
      </c>
      <c r="C9" s="328">
        <f>COUNTIF(FSE!W:W,"&gt;0")</f>
        <v>98</v>
      </c>
      <c r="D9" s="328">
        <f t="shared" si="1"/>
        <v>263</v>
      </c>
    </row>
    <row r="10">
      <c r="A10" s="375" t="s">
        <v>22</v>
      </c>
      <c r="B10" s="328">
        <f>COUNTIF(ICSE!X:X,"&gt;0")</f>
        <v>8</v>
      </c>
      <c r="C10" s="328">
        <f>COUNTIF(FSE!X:X,"&gt;0")</f>
        <v>8</v>
      </c>
      <c r="D10" s="328">
        <f t="shared" si="1"/>
        <v>16</v>
      </c>
    </row>
    <row r="11">
      <c r="A11" s="375" t="s">
        <v>23</v>
      </c>
      <c r="B11" s="328">
        <f>COUNTIF(ICSE!Y:Y,"&gt;0")</f>
        <v>235</v>
      </c>
      <c r="C11" s="328">
        <f>COUNTIF(FSE!Y:Y,"&gt;0")</f>
        <v>145</v>
      </c>
      <c r="D11" s="328">
        <f t="shared" si="1"/>
        <v>380</v>
      </c>
    </row>
    <row r="14">
      <c r="A14" s="308" t="s">
        <v>7383</v>
      </c>
    </row>
    <row r="15">
      <c r="A15" s="377" t="s">
        <v>7382</v>
      </c>
      <c r="B15" s="378" t="s">
        <v>5675</v>
      </c>
      <c r="C15" s="378" t="s">
        <v>5676</v>
      </c>
      <c r="D15" s="378" t="s">
        <v>5678</v>
      </c>
    </row>
    <row r="16">
      <c r="A16" s="375" t="s">
        <v>20</v>
      </c>
      <c r="B16" s="328">
        <f>SUM(ICSE!V:V)</f>
        <v>1037</v>
      </c>
      <c r="C16" s="328">
        <f>SUM(FSE!V:V)</f>
        <v>825</v>
      </c>
      <c r="D16" s="328">
        <f t="shared" ref="D16:D18" si="2">SUM(B16:C16)</f>
        <v>1862</v>
      </c>
    </row>
    <row r="17">
      <c r="A17" s="375" t="s">
        <v>21</v>
      </c>
      <c r="B17" s="328">
        <f>SUM(ICSE!W:W)</f>
        <v>182</v>
      </c>
      <c r="C17" s="328">
        <f>SUM(FSE!W:W)</f>
        <v>110</v>
      </c>
      <c r="D17" s="328">
        <f t="shared" si="2"/>
        <v>292</v>
      </c>
    </row>
    <row r="18">
      <c r="A18" s="375" t="s">
        <v>22</v>
      </c>
      <c r="B18" s="328">
        <f>SUM(ICSE!X:X)</f>
        <v>8</v>
      </c>
      <c r="C18" s="328">
        <f>SUM(FSE!X:X)</f>
        <v>9</v>
      </c>
      <c r="D18" s="328">
        <f t="shared" si="2"/>
        <v>17</v>
      </c>
    </row>
    <row r="21">
      <c r="A21" s="308" t="s">
        <v>7384</v>
      </c>
    </row>
    <row r="22">
      <c r="A22" s="377" t="s">
        <v>7382</v>
      </c>
      <c r="B22" s="378" t="s">
        <v>5675</v>
      </c>
      <c r="C22" s="378" t="s">
        <v>5676</v>
      </c>
      <c r="D22" s="378" t="s">
        <v>5678</v>
      </c>
    </row>
    <row r="23">
      <c r="A23" s="375" t="s">
        <v>20</v>
      </c>
      <c r="B23" s="328">
        <f>COUNTIFS(Links!F:F,"*"&amp;A23&amp;"*",Links!B:B,B$22)</f>
        <v>1037</v>
      </c>
      <c r="C23" s="328">
        <f>COUNTIFS(Links!F:F,"*"&amp;A23&amp;"*",Links!B:B,C$22)</f>
        <v>825</v>
      </c>
      <c r="D23" s="328">
        <f t="shared" ref="D23:D25" si="3">SUM(B23:C23)</f>
        <v>1862</v>
      </c>
    </row>
    <row r="24">
      <c r="A24" s="375" t="s">
        <v>21</v>
      </c>
      <c r="B24" s="328">
        <f>COUNTIFS(Links!F:F,"*"&amp;A24&amp;"*",Links!B:B,B$22)</f>
        <v>182</v>
      </c>
      <c r="C24" s="328">
        <f>COUNTIFS(Links!F:F,"*"&amp;A24&amp;"*",Links!B:B,C$22)</f>
        <v>110</v>
      </c>
      <c r="D24" s="328">
        <f t="shared" si="3"/>
        <v>292</v>
      </c>
    </row>
    <row r="25">
      <c r="A25" s="375" t="s">
        <v>22</v>
      </c>
      <c r="B25" s="328">
        <f>COUNTIFS(Links!F:F,"*"&amp;A25&amp;"*",Links!B:B,B$22)</f>
        <v>8</v>
      </c>
      <c r="C25" s="328">
        <f>COUNTIFS(Links!F:F,"*"&amp;A25&amp;"*",Links!B:B,C$22)</f>
        <v>9</v>
      </c>
      <c r="D25" s="328">
        <f t="shared" si="3"/>
        <v>17</v>
      </c>
    </row>
    <row r="26">
      <c r="A26" s="377" t="s">
        <v>7380</v>
      </c>
      <c r="B26" s="380">
        <f t="shared" ref="B26:D26" si="4">SUM(B23:B25)</f>
        <v>1227</v>
      </c>
      <c r="C26" s="380">
        <f t="shared" si="4"/>
        <v>944</v>
      </c>
      <c r="D26" s="380">
        <f t="shared" si="4"/>
        <v>2171</v>
      </c>
    </row>
    <row r="29">
      <c r="A29" s="308" t="s">
        <v>7385</v>
      </c>
    </row>
    <row r="30">
      <c r="A30" s="377" t="s">
        <v>7382</v>
      </c>
      <c r="B30" s="378" t="s">
        <v>5675</v>
      </c>
      <c r="C30" s="378" t="s">
        <v>5676</v>
      </c>
      <c r="D30" s="378" t="s">
        <v>5678</v>
      </c>
    </row>
    <row r="31">
      <c r="A31" s="375" t="s">
        <v>20</v>
      </c>
      <c r="B31" s="328">
        <f>COUNTIFS(ICSE!$V:$V,"&gt;0",ICSE!$W:$W,0,ICSE!$X:$X,0)</f>
        <v>829</v>
      </c>
      <c r="C31" s="328">
        <f>COUNTIFS(FSE!$V:$V,"&gt;0",FSE!$W:$W,0,FSE!$X:$X,0)</f>
        <v>590</v>
      </c>
      <c r="D31" s="328">
        <f t="shared" ref="D31:D33" si="5">SUM(B31:C31)</f>
        <v>1419</v>
      </c>
    </row>
    <row r="32">
      <c r="A32" s="375" t="s">
        <v>21</v>
      </c>
      <c r="B32" s="328">
        <f>COUNTIFS(ICSE!$V:$V,0,ICSE!$W:$W,"&gt;0",ICSE!$X:$X,0)</f>
        <v>137</v>
      </c>
      <c r="C32" s="328">
        <f>COUNTIFS(FSE!$V:$V,0,FSE!$W:$W,"&gt;0",FSE!$X:$X,0)</f>
        <v>80</v>
      </c>
      <c r="D32" s="328">
        <f t="shared" si="5"/>
        <v>217</v>
      </c>
    </row>
    <row r="33">
      <c r="A33" s="375" t="s">
        <v>22</v>
      </c>
      <c r="B33" s="328">
        <f>COUNTIFS(ICSE!$V:$V,0,ICSE!$W:$W,0,ICSE!$X:$X,"&gt;0")</f>
        <v>5</v>
      </c>
      <c r="C33" s="328">
        <f>COUNTIFS(FSE!$V:$V,0,FSE!$W:$W,0,FSE!$X:$X,"&gt;0")</f>
        <v>4</v>
      </c>
      <c r="D33" s="328">
        <f t="shared" si="5"/>
        <v>9</v>
      </c>
    </row>
    <row r="34">
      <c r="A34" s="377" t="s">
        <v>7386</v>
      </c>
      <c r="B34" s="381">
        <f t="shared" ref="B34:D34" si="6">SUM(B31:B33)</f>
        <v>971</v>
      </c>
      <c r="C34" s="381">
        <f t="shared" si="6"/>
        <v>674</v>
      </c>
      <c r="D34" s="380">
        <f t="shared" si="6"/>
        <v>1645</v>
      </c>
    </row>
    <row r="37">
      <c r="A37" s="308" t="s">
        <v>7385</v>
      </c>
      <c r="I37" s="330" t="s">
        <v>7387</v>
      </c>
    </row>
    <row r="38">
      <c r="A38" s="328"/>
      <c r="B38" s="382" t="s">
        <v>5675</v>
      </c>
      <c r="C38" s="383"/>
      <c r="D38" s="384"/>
      <c r="E38" s="328"/>
      <c r="F38" s="382" t="s">
        <v>5676</v>
      </c>
      <c r="G38" s="383"/>
      <c r="H38" s="384"/>
    </row>
    <row r="39">
      <c r="A39" s="377" t="s">
        <v>7382</v>
      </c>
      <c r="B39" s="377" t="s">
        <v>20</v>
      </c>
      <c r="C39" s="377" t="s">
        <v>21</v>
      </c>
      <c r="D39" s="377" t="s">
        <v>22</v>
      </c>
      <c r="E39" s="375" t="s">
        <v>7387</v>
      </c>
      <c r="F39" s="377" t="s">
        <v>20</v>
      </c>
      <c r="G39" s="377" t="s">
        <v>21</v>
      </c>
      <c r="H39" s="377" t="s">
        <v>22</v>
      </c>
      <c r="I39" s="330" t="s">
        <v>7387</v>
      </c>
    </row>
    <row r="40">
      <c r="A40" s="377" t="s">
        <v>20</v>
      </c>
      <c r="B40" s="374">
        <f>COUNTIFS(ICSE!$V:$V,"&gt;0",ICSE!$W:$W,0,ICSE!$X:$X,0)</f>
        <v>829</v>
      </c>
      <c r="C40" s="328">
        <f>COUNTIFS(ICSE!$V:$V,"&gt;0",ICSE!$W:$W,"&gt;0",ICSE!$X:$X,0)</f>
        <v>27</v>
      </c>
      <c r="D40" s="328">
        <f>COUNTIFS(ICSE!$V:$V,"&gt;0",ICSE!$W:$W,0,ICSE!$X:$X,"&gt;0")</f>
        <v>2</v>
      </c>
      <c r="E40" s="328"/>
      <c r="F40" s="374">
        <f>COUNTIFS(FSE!$V:$V,"&gt;0",FSE!$W:$W,0,FSE!$X:$X,0)</f>
        <v>590</v>
      </c>
      <c r="G40" s="328">
        <f>COUNTIFS(FSE!$V:$V,"&gt;0",FSE!$W:$W,"&gt;0",FSE!$X:$X,0)</f>
        <v>17</v>
      </c>
      <c r="H40" s="328">
        <f>COUNTIFS(FSE!$V:$V,"&gt;0",FSE!$W:$W,0,FSE!$X:$X,"&gt;0")</f>
        <v>3</v>
      </c>
    </row>
    <row r="41">
      <c r="A41" s="377" t="s">
        <v>21</v>
      </c>
      <c r="B41" s="328">
        <f>COUNTIFS(ICSE!$V:$V,"&gt;0",ICSE!$W:$W,"&gt;0",ICSE!$X:$X,0)</f>
        <v>27</v>
      </c>
      <c r="C41" s="374">
        <f>COUNTIFS(ICSE!$V:$V,0,ICSE!$W:$W,"&gt;0",ICSE!$X:$X,0)</f>
        <v>137</v>
      </c>
      <c r="D41" s="328">
        <f>COUNTIFS(ICSE!$V:$V,0,ICSE!$W:$W,"&gt;0",ICSE!$X:$X,"&gt;0")</f>
        <v>0</v>
      </c>
      <c r="E41" s="328"/>
      <c r="F41" s="328">
        <f>COUNTIFS(FSE!$V:$V,"&gt;0",FSE!$W:$W,"&gt;0",FSE!$X:$X,0)</f>
        <v>17</v>
      </c>
      <c r="G41" s="374">
        <f>COUNTIFS(FSE!$V:$V,0,FSE!$W:$W,"&gt;0",FSE!$X:$X,0)</f>
        <v>80</v>
      </c>
      <c r="H41" s="328">
        <f>COUNTIFS(FSE!$V:$V,0,FSE!$W:$W,"&gt;0",FSE!$X:$X,"&gt;0")</f>
        <v>1</v>
      </c>
    </row>
    <row r="42">
      <c r="A42" s="377" t="s">
        <v>22</v>
      </c>
      <c r="B42" s="328">
        <f>COUNTIFS(ICSE!$V:$V,"&gt;0",ICSE!$W:$W,0,ICSE!$X:$X,"&gt;0")</f>
        <v>2</v>
      </c>
      <c r="C42" s="328">
        <f>COUNTIFS(ICSE!$V:$V,0,ICSE!$W:$W,"&gt;0",ICSE!$X:$X,"&gt;0")</f>
        <v>0</v>
      </c>
      <c r="D42" s="374">
        <f>COUNTIFS(ICSE!$V:$V,0,ICSE!$W:$W,0,ICSE!$X:$X,"&gt;0")</f>
        <v>5</v>
      </c>
      <c r="E42" s="328"/>
      <c r="F42" s="328">
        <f>COUNTIFS(FSE!$V:$V,"&gt;0",FSE!$W:$W,0,FSE!$X:$X,"&gt;0")</f>
        <v>3</v>
      </c>
      <c r="G42" s="328">
        <f>COUNTIFS(FSE!$V:$V,0,FSE!$W:$W,"&gt;0",FSE!$X:$X,"&gt;0")</f>
        <v>1</v>
      </c>
      <c r="H42" s="374">
        <f>COUNTIFS(FSE!$V:$V,0,FSE!$W:$W,0,FSE!$X:$X,"&gt;0")</f>
        <v>4</v>
      </c>
    </row>
    <row r="43" ht="1.5" customHeight="1">
      <c r="A43" s="328"/>
      <c r="B43" s="328"/>
      <c r="C43" s="328"/>
      <c r="D43" s="328"/>
      <c r="E43" s="328"/>
      <c r="F43" s="328"/>
      <c r="G43" s="328"/>
      <c r="H43" s="328"/>
    </row>
    <row r="44">
      <c r="A44" s="377" t="s">
        <v>7388</v>
      </c>
      <c r="B44" s="385">
        <f>COUNTIFS(ICSE!$V:$V,"&gt;0",ICSE!$W:$W,"&gt;0",ICSE!$X:$X,"&gt;0")</f>
        <v>1</v>
      </c>
      <c r="C44" s="383"/>
      <c r="D44" s="384"/>
      <c r="E44" s="386"/>
      <c r="F44" s="385">
        <f>COUNTIFS(FSE!$V:$V,"&gt;0",FSE!$W:$W,"&gt;0",FSE!$X:$X,"&gt;0")</f>
        <v>0</v>
      </c>
      <c r="G44" s="383"/>
      <c r="H44" s="384"/>
    </row>
    <row r="45" ht="1.5" customHeight="1">
      <c r="A45" s="328"/>
      <c r="B45" s="328"/>
      <c r="C45" s="328"/>
      <c r="D45" s="328"/>
      <c r="E45" s="328"/>
      <c r="F45" s="328"/>
      <c r="G45" s="328"/>
      <c r="H45" s="328"/>
    </row>
    <row r="46">
      <c r="A46" s="377" t="s">
        <v>7389</v>
      </c>
      <c r="B46" s="385">
        <f>SUM(C40,D40,D41,B44)</f>
        <v>30</v>
      </c>
      <c r="C46" s="383"/>
      <c r="D46" s="384"/>
      <c r="E46" s="328"/>
      <c r="F46" s="385">
        <f>SUM(G40,H40,H41,F44)</f>
        <v>21</v>
      </c>
      <c r="G46" s="383"/>
      <c r="H46" s="384"/>
    </row>
    <row r="49">
      <c r="A49" s="308" t="s">
        <v>7390</v>
      </c>
      <c r="G49" s="308" t="s">
        <v>7390</v>
      </c>
    </row>
    <row r="50">
      <c r="A50" s="387" t="s">
        <v>24</v>
      </c>
      <c r="B50" s="378" t="s">
        <v>5675</v>
      </c>
      <c r="C50" s="378" t="s">
        <v>5676</v>
      </c>
      <c r="D50" s="378" t="s">
        <v>5678</v>
      </c>
      <c r="G50" s="382" t="s">
        <v>5675</v>
      </c>
      <c r="H50" s="384"/>
      <c r="I50" s="382" t="s">
        <v>5676</v>
      </c>
      <c r="J50" s="384"/>
    </row>
    <row r="51">
      <c r="A51" s="375">
        <v>1.0</v>
      </c>
      <c r="B51" s="328">
        <f t="shared" ref="B51:B54" si="7">SUMIF(G$52:G$64,$A51,H$52:H$64)</f>
        <v>835</v>
      </c>
      <c r="C51" s="328">
        <f t="shared" ref="C51:C54" si="8">SUMIF(I$52:I$64,$A51,J$52:J$64)</f>
        <v>547</v>
      </c>
      <c r="D51" s="328">
        <f t="shared" ref="D51:D54" si="9">SUM(B51:C51)</f>
        <v>1382</v>
      </c>
      <c r="G51" s="377"/>
      <c r="H51" s="378" t="s">
        <v>5678</v>
      </c>
      <c r="I51" s="377"/>
      <c r="J51" s="378" t="s">
        <v>5678</v>
      </c>
    </row>
    <row r="52">
      <c r="A52" s="375">
        <v>2.0</v>
      </c>
      <c r="B52" s="328">
        <f t="shared" si="7"/>
        <v>132</v>
      </c>
      <c r="C52" s="328">
        <f t="shared" si="8"/>
        <v>107</v>
      </c>
      <c r="D52" s="328">
        <f t="shared" si="9"/>
        <v>239</v>
      </c>
      <c r="G52" s="377">
        <f t="array" ref="G52:G60">SORT(UNIQUE(ICSE!AA:AA))</f>
        <v>0</v>
      </c>
      <c r="H52" s="328">
        <f>COUNTIF(ICSE!$AA:$AA,$G52)</f>
        <v>235</v>
      </c>
      <c r="I52" s="377">
        <f t="array" ref="I52:I62">sort(UNIQUE(FSE!AA:AA))</f>
        <v>0</v>
      </c>
      <c r="J52" s="328">
        <f>COUNTIF(FSE!$AA:$AA,$I52)</f>
        <v>145</v>
      </c>
    </row>
    <row r="53">
      <c r="A53" s="375">
        <v>3.0</v>
      </c>
      <c r="B53" s="328">
        <f t="shared" si="7"/>
        <v>24</v>
      </c>
      <c r="C53" s="328">
        <f t="shared" si="8"/>
        <v>22</v>
      </c>
      <c r="D53" s="328">
        <f t="shared" si="9"/>
        <v>46</v>
      </c>
      <c r="G53" s="381">
        <v>1.0</v>
      </c>
      <c r="H53" s="328">
        <f>COUNTIF(ICSE!$AA:$AA,$G53)</f>
        <v>835</v>
      </c>
      <c r="I53" s="381">
        <v>1.0</v>
      </c>
      <c r="J53" s="328">
        <f>COUNTIF(FSE!$AA:$AA,$I53)</f>
        <v>547</v>
      </c>
    </row>
    <row r="54">
      <c r="A54" s="387" t="s">
        <v>7391</v>
      </c>
      <c r="B54" s="328">
        <f t="shared" si="7"/>
        <v>10</v>
      </c>
      <c r="C54" s="328">
        <f t="shared" si="8"/>
        <v>19</v>
      </c>
      <c r="D54" s="328">
        <f t="shared" si="9"/>
        <v>29</v>
      </c>
      <c r="G54" s="381">
        <v>2.0</v>
      </c>
      <c r="H54" s="328">
        <f>COUNTIF(ICSE!$AA:$AA,$G54)</f>
        <v>132</v>
      </c>
      <c r="I54" s="381">
        <v>2.0</v>
      </c>
      <c r="J54" s="328">
        <f>COUNTIF(FSE!$AA:$AA,$I54)</f>
        <v>107</v>
      </c>
    </row>
    <row r="55">
      <c r="G55" s="381">
        <v>3.0</v>
      </c>
      <c r="H55" s="328">
        <f>COUNTIF(ICSE!$AA:$AA,$G55)</f>
        <v>24</v>
      </c>
      <c r="I55" s="381">
        <v>3.0</v>
      </c>
      <c r="J55" s="328">
        <f>COUNTIF(FSE!$AA:$AA,$I55)</f>
        <v>22</v>
      </c>
    </row>
    <row r="56">
      <c r="A56" s="375">
        <v>8.0</v>
      </c>
      <c r="B56" s="328">
        <f>COUNTIF(ICSE!$AA:$AA,$A56)</f>
        <v>2</v>
      </c>
      <c r="C56" s="328">
        <f>COUNTIF(FSE!$AA:$AA,$A56)</f>
        <v>0</v>
      </c>
      <c r="D56" s="328">
        <f>SUM(B56:C56)</f>
        <v>2</v>
      </c>
      <c r="G56" s="381">
        <v>4.0</v>
      </c>
      <c r="H56" s="328">
        <f>COUNTIF(ICSE!$AA:$AA,$G56)</f>
        <v>2</v>
      </c>
      <c r="I56" s="381">
        <v>4.0</v>
      </c>
      <c r="J56" s="328">
        <f>COUNTIF(FSE!$AA:$AA,$I56)</f>
        <v>9</v>
      </c>
    </row>
    <row r="57">
      <c r="A57" s="375" t="s">
        <v>7392</v>
      </c>
      <c r="B57" s="328">
        <f t="shared" ref="B57:D57" si="10">SUM(B52:B54)</f>
        <v>166</v>
      </c>
      <c r="C57" s="328">
        <f t="shared" si="10"/>
        <v>148</v>
      </c>
      <c r="D57" s="328">
        <f t="shared" si="10"/>
        <v>314</v>
      </c>
      <c r="G57" s="381">
        <v>5.0</v>
      </c>
      <c r="H57" s="328">
        <f>COUNTIF(ICSE!$AA:$AA,$G57)</f>
        <v>4</v>
      </c>
      <c r="I57" s="381">
        <v>5.0</v>
      </c>
      <c r="J57" s="328">
        <f>COUNTIF(FSE!$AA:$AA,$I57)</f>
        <v>4</v>
      </c>
    </row>
    <row r="58">
      <c r="G58" s="381">
        <v>6.0</v>
      </c>
      <c r="H58" s="328">
        <f>COUNTIF(ICSE!$AA:$AA,$G58)</f>
        <v>2</v>
      </c>
      <c r="I58" s="381">
        <v>6.0</v>
      </c>
      <c r="J58" s="328">
        <f>COUNTIF(FSE!$AA:$AA,$I58)</f>
        <v>3</v>
      </c>
    </row>
    <row r="59">
      <c r="G59" s="381">
        <v>8.0</v>
      </c>
      <c r="H59" s="328">
        <f>COUNTIF(ICSE!$AA:$AA,$G59)</f>
        <v>2</v>
      </c>
      <c r="I59" s="381">
        <v>7.0</v>
      </c>
      <c r="J59" s="328">
        <f>COUNTIF(FSE!$AA:$AA,$I59)</f>
        <v>1</v>
      </c>
    </row>
    <row r="60">
      <c r="G60" s="328" t="s">
        <v>24</v>
      </c>
      <c r="H60" s="328">
        <f>COUNTIF(ICSE!$AA:$AA,$G60)</f>
        <v>1</v>
      </c>
      <c r="I60" s="381">
        <v>9.0</v>
      </c>
      <c r="J60" s="328">
        <f>COUNTIF(FSE!$AA:$AA,$I60)</f>
        <v>1</v>
      </c>
    </row>
    <row r="61">
      <c r="A61" s="328"/>
      <c r="B61" s="378" t="s">
        <v>5675</v>
      </c>
      <c r="C61" s="378" t="s">
        <v>5676</v>
      </c>
      <c r="D61" s="378" t="s">
        <v>5678</v>
      </c>
      <c r="G61" s="328"/>
      <c r="H61" s="328">
        <f>COUNTIF(ICSE!$AA:$AA,$G61)</f>
        <v>0</v>
      </c>
      <c r="I61" s="381">
        <v>27.0</v>
      </c>
      <c r="J61" s="328">
        <f>COUNTIF(FSE!$AA:$AA,$I61)</f>
        <v>1</v>
      </c>
    </row>
    <row r="62">
      <c r="A62" s="375" t="s">
        <v>7393</v>
      </c>
      <c r="B62" s="328">
        <f>COUNTIFS(Links!$AI:$AI,1,Links!$B:$B,B$61)</f>
        <v>248</v>
      </c>
      <c r="C62" s="328">
        <f>COUNTIFS(Links!$AI:$AI,1,Links!$B:$B,C$61)</f>
        <v>213</v>
      </c>
      <c r="D62" s="375">
        <f>COUNTIF(Links!AI:AI,1)</f>
        <v>461</v>
      </c>
      <c r="G62" s="328"/>
      <c r="H62" s="328">
        <f>COUNTIF(ICSE!$AA:$AA,$G62)</f>
        <v>0</v>
      </c>
      <c r="I62" s="328" t="s">
        <v>24</v>
      </c>
      <c r="J62" s="328">
        <f>COUNTIF(FSE!$AA:$AA,$I62)</f>
        <v>1</v>
      </c>
    </row>
    <row r="63">
      <c r="A63" s="375" t="s">
        <v>7394</v>
      </c>
      <c r="B63" s="375">
        <f>COUNTIFS(Links!$AI:$AI,1,Links!$F:$F,"Not available",Links!$B:$B,B$61)</f>
        <v>4</v>
      </c>
      <c r="C63" s="375">
        <f>COUNTIFS(Links!$AI:$AI,1,Links!$F:$F,"Not available",Links!$B:$B,C$61)</f>
        <v>2</v>
      </c>
      <c r="D63" s="375">
        <f>COUNTIFS(Links!$AI:$AI,1,Links!$F:$F,"Not available")</f>
        <v>6</v>
      </c>
      <c r="G63" s="328"/>
      <c r="H63" s="328">
        <f>COUNTIF(ICSE!$AA:$AA,$G63)</f>
        <v>0</v>
      </c>
      <c r="I63" s="328"/>
      <c r="J63" s="328">
        <f>COUNTIF(FSE!$AA:$AA,$I63)</f>
        <v>0</v>
      </c>
    </row>
    <row r="64">
      <c r="A64" s="375" t="s">
        <v>7395</v>
      </c>
      <c r="B64" s="329" t="str">
        <f t="shared" ref="B64:D64" si="11">TEXT((B63*100)/B62, "#0.0")</f>
        <v>1.6</v>
      </c>
      <c r="C64" s="329" t="str">
        <f t="shared" si="11"/>
        <v>0.9</v>
      </c>
      <c r="D64" s="329" t="str">
        <f t="shared" si="11"/>
        <v>1.3</v>
      </c>
      <c r="G64" s="328"/>
      <c r="H64" s="328">
        <f>COUNTIF(ICSE!$AA:$AA,$G64)</f>
        <v>0</v>
      </c>
      <c r="I64" s="328"/>
      <c r="J64" s="328">
        <f>COUNTIF(FSE!$AA:$AA,$I64)</f>
        <v>0</v>
      </c>
    </row>
  </sheetData>
  <mergeCells count="11">
    <mergeCell ref="B46:D46"/>
    <mergeCell ref="F46:H46"/>
    <mergeCell ref="G50:H50"/>
    <mergeCell ref="I50:J50"/>
    <mergeCell ref="A6:D6"/>
    <mergeCell ref="A14:D14"/>
    <mergeCell ref="A21:D21"/>
    <mergeCell ref="B38:D38"/>
    <mergeCell ref="F38:H38"/>
    <mergeCell ref="B44:D44"/>
    <mergeCell ref="F44:H4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6.25"/>
    <col customWidth="1" min="3" max="3" width="6.88"/>
    <col customWidth="1" min="4" max="4" width="5.63"/>
    <col customWidth="1" min="5" max="5" width="6.13"/>
    <col customWidth="1" min="6" max="7" width="7.38"/>
    <col customWidth="1" min="8" max="8" width="5.38"/>
    <col customWidth="1" min="9" max="9" width="4.75"/>
    <col customWidth="1" min="10" max="10" width="6.5"/>
    <col customWidth="1" min="11" max="11" width="6.88"/>
    <col customWidth="1" min="12" max="12" width="7.0"/>
    <col customWidth="1" min="13" max="13" width="6.13"/>
    <col customWidth="1" min="14" max="14" width="48.63"/>
    <col customWidth="1" min="15" max="15" width="2.88"/>
    <col customWidth="1" min="16" max="16" width="4.75"/>
    <col customWidth="1" min="17" max="17" width="6.5"/>
    <col customWidth="1" min="18" max="18" width="6.88"/>
    <col customWidth="1" min="19" max="19" width="7.0"/>
    <col customWidth="1" min="20" max="20" width="6.13"/>
    <col customWidth="1" min="21" max="22" width="12.5"/>
  </cols>
  <sheetData>
    <row r="1">
      <c r="A1" s="388"/>
      <c r="B1" s="389"/>
      <c r="C1" s="390"/>
      <c r="D1" s="390"/>
      <c r="E1" s="389"/>
      <c r="F1" s="389"/>
      <c r="G1" s="389"/>
      <c r="H1" s="389"/>
      <c r="I1" s="391"/>
      <c r="J1" s="392"/>
      <c r="L1" s="392"/>
      <c r="P1" s="391"/>
      <c r="Q1" s="392"/>
      <c r="S1" s="392"/>
    </row>
    <row r="2">
      <c r="A2" s="393"/>
      <c r="B2" s="394" t="s">
        <v>5675</v>
      </c>
      <c r="C2" s="395"/>
      <c r="D2" s="396" t="s">
        <v>5676</v>
      </c>
      <c r="E2" s="397"/>
      <c r="F2" s="398" t="s">
        <v>7396</v>
      </c>
      <c r="G2" s="384"/>
      <c r="H2" s="389"/>
      <c r="I2" s="308" t="s">
        <v>7397</v>
      </c>
      <c r="P2" s="308" t="s">
        <v>7398</v>
      </c>
    </row>
    <row r="3">
      <c r="A3" s="399" t="s">
        <v>7386</v>
      </c>
      <c r="B3" s="400">
        <f>PapersOverview!B14</f>
        <v>1236</v>
      </c>
      <c r="C3" s="401"/>
      <c r="D3" s="400">
        <f>PapersOverview!C14</f>
        <v>840</v>
      </c>
      <c r="E3" s="402"/>
      <c r="F3" s="403">
        <f>PapersOverview!D14</f>
        <v>2076</v>
      </c>
      <c r="G3" s="384"/>
      <c r="H3" s="389"/>
      <c r="I3" s="328"/>
      <c r="J3" s="378" t="s">
        <v>7346</v>
      </c>
      <c r="K3" s="377" t="s">
        <v>7347</v>
      </c>
      <c r="L3" s="378" t="s">
        <v>7348</v>
      </c>
      <c r="M3" s="377" t="s">
        <v>7349</v>
      </c>
      <c r="P3" s="328"/>
      <c r="Q3" s="378" t="s">
        <v>7346</v>
      </c>
      <c r="R3" s="377" t="s">
        <v>7347</v>
      </c>
      <c r="S3" s="378" t="s">
        <v>7348</v>
      </c>
      <c r="T3" s="377" t="s">
        <v>7349</v>
      </c>
    </row>
    <row r="4">
      <c r="A4" s="388"/>
      <c r="B4" s="389"/>
      <c r="C4" s="390"/>
      <c r="D4" s="390"/>
      <c r="E4" s="389"/>
      <c r="F4" s="389"/>
      <c r="G4" s="389"/>
      <c r="H4" s="389"/>
      <c r="I4" s="375">
        <v>2014.0</v>
      </c>
      <c r="J4" s="329">
        <f>COUNTIFS(ICSE!Q:Q,"Yes",ICSE!$C:$C,$I4)</f>
        <v>1</v>
      </c>
      <c r="K4" s="329" t="str">
        <f>TEXT((J4/PapersOverview!$F$3)*100, "#0.0")</f>
        <v>1.6</v>
      </c>
      <c r="L4" s="329">
        <f>COUNTIFS(FSE!Q:Q,"Yes",FSE!$C:$C,$I4)</f>
        <v>2</v>
      </c>
      <c r="M4" s="328" t="str">
        <f>TEXT((L4/PapersOverview!$G$3)*100, "#0.0")</f>
        <v>5.7</v>
      </c>
      <c r="P4" s="375">
        <v>2014.0</v>
      </c>
      <c r="Q4" s="329">
        <f>COUNTIFS(ICSE!N:N,"Yes",ICSE!$C:$C,$P4)</f>
        <v>16</v>
      </c>
      <c r="R4" s="329" t="str">
        <f>TEXT((Q4/PapersOverview!$F$3)*100, "#0.0")</f>
        <v>25.8</v>
      </c>
      <c r="S4" s="329">
        <f>COUNTIFS(FSE!N:N,"Yes",FSE!$C:$C,$P4)</f>
        <v>6</v>
      </c>
      <c r="T4" s="328" t="str">
        <f>TEXT((S4/PapersOverview!$G$3)*100, "#0.0")</f>
        <v>17.1</v>
      </c>
    </row>
    <row r="5">
      <c r="A5" s="404" t="s">
        <v>7399</v>
      </c>
      <c r="H5" s="405"/>
      <c r="I5" s="375">
        <v>2015.0</v>
      </c>
      <c r="J5" s="329">
        <f>COUNTIFS(ICSE!Q:Q,"Yes",ICSE!$C:$C,$I5)</f>
        <v>0</v>
      </c>
      <c r="K5" s="329" t="str">
        <f>TEXT((J5/PapersOverview!$F$4)*100, "#0.0")</f>
        <v>0.0</v>
      </c>
      <c r="L5" s="329">
        <f>COUNTIFS(FSE!Q:Q,"Yes",FSE!$C:$C,$I5)</f>
        <v>11</v>
      </c>
      <c r="M5" s="328" t="str">
        <f>TEXT((L5/PapersOverview!$G$4)*100, "#0.0")</f>
        <v>22.9</v>
      </c>
      <c r="P5" s="375">
        <v>2015.0</v>
      </c>
      <c r="Q5" s="329">
        <f>COUNTIFS(ICSE!N:N,"Yes",ICSE!$C:$C,$P5)</f>
        <v>21</v>
      </c>
      <c r="R5" s="329" t="str">
        <f>TEXT((Q5/PapersOverview!$F$4)*100, "#0.0")</f>
        <v>42.9</v>
      </c>
      <c r="S5" s="329">
        <f>COUNTIFS(FSE!N:N,"Yes",FSE!$C:$C,$P5)</f>
        <v>13</v>
      </c>
      <c r="T5" s="328" t="str">
        <f>TEXT((S5/PapersOverview!$G$4)*100, "#0.0")</f>
        <v>27.1</v>
      </c>
    </row>
    <row r="6">
      <c r="A6" s="406" t="s">
        <v>7400</v>
      </c>
      <c r="B6" s="393" t="s">
        <v>7346</v>
      </c>
      <c r="C6" s="393" t="s">
        <v>7347</v>
      </c>
      <c r="D6" s="393" t="s">
        <v>7348</v>
      </c>
      <c r="E6" s="393" t="s">
        <v>7349</v>
      </c>
      <c r="F6" s="399" t="s">
        <v>7344</v>
      </c>
      <c r="G6" s="399" t="s">
        <v>7345</v>
      </c>
      <c r="H6" s="389"/>
      <c r="I6" s="375">
        <v>2016.0</v>
      </c>
      <c r="J6" s="329">
        <f>COUNTIFS(ICSE!Q:Q,"Yes",ICSE!$C:$C,$I6)</f>
        <v>0</v>
      </c>
      <c r="K6" s="329" t="str">
        <f>TEXT((J6/PapersOverview!$F$5)*100, "#0.0")</f>
        <v>0.0</v>
      </c>
      <c r="L6" s="329">
        <f>COUNTIFS(FSE!Q:Q,"Yes",FSE!$C:$C,$I6)</f>
        <v>18</v>
      </c>
      <c r="M6" s="328" t="str">
        <f>TEXT((L6/PapersOverview!$G$5)*100, "#0.0")</f>
        <v>33.3</v>
      </c>
      <c r="P6" s="375">
        <v>2016.0</v>
      </c>
      <c r="Q6" s="329">
        <f>COUNTIFS(ICSE!N:N,"Yes",ICSE!$C:$C,$P6)</f>
        <v>19</v>
      </c>
      <c r="R6" s="329" t="str">
        <f>TEXT((Q6/PapersOverview!$F$5)*100, "#0.0")</f>
        <v>27.1</v>
      </c>
      <c r="S6" s="329">
        <f>COUNTIFS(FSE!N:N,"Yes",FSE!$C:$C,$P6)</f>
        <v>23</v>
      </c>
      <c r="T6" s="328" t="str">
        <f>TEXT((S6/PapersOverview!$G$5)*100, "#0.0")</f>
        <v>42.6</v>
      </c>
    </row>
    <row r="7">
      <c r="A7" s="407" t="s">
        <v>13</v>
      </c>
      <c r="B7" s="400">
        <f>COUNTIFS(ICSE!$N:$N,"Yes",ICSE!$O:$O,"No",ICSE!$Q:$Q,"No",ICSE!$R:$R,"No")+COUNTIFS(ICSE!$N:$N,"Yes",ICSE!$O:$O,"No",ICSE!$Q:$Q,"To check",ICSE!$R:$R,"No")</f>
        <v>205</v>
      </c>
      <c r="C7" s="408">
        <f t="shared" ref="C7:C10" si="1">B7/B$3</f>
        <v>0.1658576052</v>
      </c>
      <c r="D7" s="400">
        <f>COUNTIFS(FSE!$N:$N,"Yes",FSE!$O:$O,"No",FSE!$Q:$Q,"No",FSE!$R:$R,"No")</f>
        <v>117</v>
      </c>
      <c r="E7" s="408">
        <f t="shared" ref="E7:E10" si="2">D7/D$3</f>
        <v>0.1392857143</v>
      </c>
      <c r="F7" s="400">
        <f t="shared" ref="F7:F10" si="3">SUM(B7,D7)</f>
        <v>322</v>
      </c>
      <c r="G7" s="408">
        <f t="shared" ref="G7:G10" si="4">F7/F$3</f>
        <v>0.155105973</v>
      </c>
      <c r="H7" s="405"/>
      <c r="I7" s="375">
        <v>2017.0</v>
      </c>
      <c r="J7" s="329">
        <f>COUNTIFS(ICSE!Q:Q,"Yes",ICSE!$C:$C,$I7)</f>
        <v>11</v>
      </c>
      <c r="K7" s="329" t="str">
        <f>TEXT((J7/PapersOverview!$F$6)*100, "#0.0")</f>
        <v>19.6</v>
      </c>
      <c r="L7" s="329">
        <f>COUNTIFS(FSE!Q:Q,"Yes",FSE!$C:$C,$I7)</f>
        <v>8</v>
      </c>
      <c r="M7" s="328" t="str">
        <f>TEXT((L7/PapersOverview!$G$6)*100, "#0.0")</f>
        <v>15.1</v>
      </c>
      <c r="P7" s="375">
        <v>2017.0</v>
      </c>
      <c r="Q7" s="329">
        <f>COUNTIFS(ICSE!N:N,"Yes",ICSE!$C:$C,$P7)</f>
        <v>21</v>
      </c>
      <c r="R7" s="329" t="str">
        <f>TEXT((Q7/PapersOverview!$F$6)*100, "#0.0")</f>
        <v>37.5</v>
      </c>
      <c r="S7" s="329">
        <f>COUNTIFS(FSE!N:N,"Yes",FSE!$C:$C,$P7)</f>
        <v>28</v>
      </c>
      <c r="T7" s="328" t="str">
        <f>TEXT((S7/PapersOverview!$G$6)*100, "#0.0")</f>
        <v>52.8</v>
      </c>
    </row>
    <row r="8">
      <c r="A8" s="393" t="s">
        <v>14</v>
      </c>
      <c r="B8" s="409">
        <f>COUNTIFS(ICSE!$N:$N,"No",ICSE!$O:$O,"Yes",ICSE!$Q:$Q,"No",ICSE!$R:$R,"No")+COUNTIFS(ICSE!$N:$N,"No",ICSE!$O:$O,"Yes",ICSE!$Q:$Q,"To check",ICSE!$R:$R,"No")</f>
        <v>49</v>
      </c>
      <c r="C8" s="408">
        <f t="shared" si="1"/>
        <v>0.03964401294</v>
      </c>
      <c r="D8" s="409">
        <f>COUNTIFS(FSE!$N:$N,"No",FSE!$O:$O,"Yes",FSE!$Q:$Q,"No",FSE!$R:$R,"No")</f>
        <v>26</v>
      </c>
      <c r="E8" s="408">
        <f t="shared" si="2"/>
        <v>0.03095238095</v>
      </c>
      <c r="F8" s="409">
        <f t="shared" si="3"/>
        <v>75</v>
      </c>
      <c r="G8" s="408">
        <f t="shared" si="4"/>
        <v>0.03612716763</v>
      </c>
      <c r="H8" s="389"/>
      <c r="I8" s="375">
        <v>2018.0</v>
      </c>
      <c r="J8" s="329">
        <f>COUNTIFS(ICSE!Q:Q,"Yes",ICSE!$C:$C,$I8)</f>
        <v>1</v>
      </c>
      <c r="K8" s="329" t="str">
        <f>TEXT((J8/PapersOverview!$F$7)*100, "#0.0")</f>
        <v>1.2</v>
      </c>
      <c r="L8" s="329">
        <f>COUNTIFS(FSE!Q:Q,"Yes",FSE!$C:$C,$I8)</f>
        <v>3</v>
      </c>
      <c r="M8" s="328" t="str">
        <f>TEXT((L8/PapersOverview!$G$7)*100, "#0.0")</f>
        <v>5.9</v>
      </c>
      <c r="P8" s="375">
        <v>2018.0</v>
      </c>
      <c r="Q8" s="329">
        <f>COUNTIFS(ICSE!N:N,"Yes",ICSE!$C:$C,$P8)</f>
        <v>38</v>
      </c>
      <c r="R8" s="329" t="str">
        <f>TEXT((Q8/PapersOverview!$F$7)*100, "#0.0")</f>
        <v>45.8</v>
      </c>
      <c r="S8" s="329">
        <f>COUNTIFS(FSE!N:N,"Yes",FSE!$C:$C,$P8)</f>
        <v>21</v>
      </c>
      <c r="T8" s="328" t="str">
        <f>TEXT((S8/PapersOverview!$G$7)*100, "#0.0")</f>
        <v>41.2</v>
      </c>
    </row>
    <row r="9">
      <c r="A9" s="393" t="s">
        <v>7401</v>
      </c>
      <c r="B9" s="409">
        <f>COUNTIFS(ICSE!$N:$N,"No",ICSE!$O:$O,"No",ICSE!$Q:$Q,"Yes",ICSE!$R:$R,"No")</f>
        <v>64</v>
      </c>
      <c r="C9" s="408">
        <f t="shared" si="1"/>
        <v>0.05177993528</v>
      </c>
      <c r="D9" s="409">
        <f>COUNTIFS(FSE!$N:$N,"No",FSE!$O:$O,"No",FSE!$Q:$Q,"Yes",FSE!$R:$R,"No")</f>
        <v>80</v>
      </c>
      <c r="E9" s="408">
        <f t="shared" si="2"/>
        <v>0.09523809524</v>
      </c>
      <c r="F9" s="409">
        <f t="shared" si="3"/>
        <v>144</v>
      </c>
      <c r="G9" s="408">
        <f t="shared" si="4"/>
        <v>0.06936416185</v>
      </c>
      <c r="H9" s="410"/>
      <c r="I9" s="375">
        <v>2019.0</v>
      </c>
      <c r="J9" s="329">
        <f>COUNTIFS(ICSE!Q:Q,"Yes",ICSE!$C:$C,$I9)</f>
        <v>4</v>
      </c>
      <c r="K9" s="329" t="str">
        <f>TEXT((J9/PapersOverview!$F$8)*100, "#0.0")</f>
        <v>5.1</v>
      </c>
      <c r="L9" s="411">
        <f>COUNTIFS(FSE!Q:Q,"Yes",FSE!$C:$C,$I9)</f>
        <v>3</v>
      </c>
      <c r="M9" s="328" t="str">
        <f>TEXT((L9/PapersOverview!$G$8)*100, "#0.0")</f>
        <v>4.8</v>
      </c>
      <c r="P9" s="375">
        <v>2019.0</v>
      </c>
      <c r="Q9" s="329">
        <f>COUNTIFS(ICSE!N:N,"Yes",ICSE!$C:$C,$P9)</f>
        <v>34</v>
      </c>
      <c r="R9" s="329" t="str">
        <f>TEXT((Q9/PapersOverview!$F$8)*100, "#0.0")</f>
        <v>43.0</v>
      </c>
      <c r="S9" s="329">
        <f>COUNTIFS(FSE!N:N,"Yes",FSE!$C:$C,$P9)</f>
        <v>24</v>
      </c>
      <c r="T9" s="328" t="str">
        <f>TEXT((S9/PapersOverview!$G$8)*100, "#0.0")</f>
        <v>38.7</v>
      </c>
    </row>
    <row r="10">
      <c r="A10" s="412" t="s">
        <v>7402</v>
      </c>
      <c r="B10" s="409">
        <f>COUNTIFS(ICSE!$N:$N,"No",ICSE!$O:$O,"No",ICSE!$Q:$Q,"No",ICSE!$R:$R,"Yes")+COUNTIFS(ICSE!$N:$N,"No",ICSE!$O:$O,"No",ICSE!$Q:$Q,"To check",ICSE!$R:$R,"Yes")</f>
        <v>365</v>
      </c>
      <c r="C10" s="408">
        <f t="shared" si="1"/>
        <v>0.2953074434</v>
      </c>
      <c r="D10" s="409">
        <f>COUNTIFS(FSE!$N:$N,"No",FSE!$O:$O,"No",FSE!$Q:$Q,"No",FSE!$R:$R,"Yes")</f>
        <v>231</v>
      </c>
      <c r="E10" s="408">
        <f t="shared" si="2"/>
        <v>0.275</v>
      </c>
      <c r="F10" s="409">
        <f t="shared" si="3"/>
        <v>596</v>
      </c>
      <c r="G10" s="408">
        <f t="shared" si="4"/>
        <v>0.2870905588</v>
      </c>
      <c r="H10" s="410"/>
      <c r="I10" s="375">
        <v>2020.0</v>
      </c>
      <c r="J10" s="329">
        <f>COUNTIFS(ICSE!Q:Q,"Yes",ICSE!$C:$C,$I10)</f>
        <v>5</v>
      </c>
      <c r="K10" s="329" t="str">
        <f>TEXT((J10/PapersOverview!$F$9)*100, "#0.0")</f>
        <v>4.7</v>
      </c>
      <c r="L10" s="411">
        <f>COUNTIFS(FSE!Q:Q,"Yes",FSE!$C:$C,$I10)</f>
        <v>7</v>
      </c>
      <c r="M10" s="328" t="str">
        <f>TEXT((L10/PapersOverview!$G$9)*100, "#0.0")</f>
        <v>7.7</v>
      </c>
      <c r="P10" s="375">
        <v>2020.0</v>
      </c>
      <c r="Q10" s="329">
        <f>COUNTIFS(ICSE!N:N,"Yes",ICSE!$C:$C,$P10)</f>
        <v>48</v>
      </c>
      <c r="R10" s="329" t="str">
        <f>TEXT((Q10/PapersOverview!$F$9)*100, "#0.0")</f>
        <v>45.3</v>
      </c>
      <c r="S10" s="329">
        <f>COUNTIFS(FSE!N:N,"Yes",FSE!$C:$C,$P10)</f>
        <v>42</v>
      </c>
      <c r="T10" s="328" t="str">
        <f>TEXT((S10/PapersOverview!$G$9)*100, "#0.0")</f>
        <v>46.2</v>
      </c>
    </row>
    <row r="11">
      <c r="A11" s="389"/>
      <c r="B11" s="389"/>
      <c r="C11" s="389"/>
      <c r="D11" s="389"/>
      <c r="E11" s="389"/>
      <c r="F11" s="389"/>
      <c r="G11" s="389"/>
      <c r="H11" s="410"/>
      <c r="I11" s="375">
        <v>2021.0</v>
      </c>
      <c r="J11" s="411">
        <f>COUNTIFS(ICSE!Q:Q,"Yes",ICSE!$C:$C,$I11)</f>
        <v>26</v>
      </c>
      <c r="K11" s="329" t="str">
        <f>TEXT((J11/PapersOverview!$F$10)*100, "#0.0")</f>
        <v>21.7</v>
      </c>
      <c r="L11" s="411">
        <f>COUNTIFS(FSE!Q:Q,"Yes",FSE!$C:$C,$I11)</f>
        <v>6</v>
      </c>
      <c r="M11" s="328" t="str">
        <f>TEXT((L11/PapersOverview!$G$10)*100, "#0.0")</f>
        <v>7.1</v>
      </c>
      <c r="P11" s="375">
        <v>2021.0</v>
      </c>
      <c r="Q11" s="329">
        <f>COUNTIFS(ICSE!N:N,"Yes",ICSE!$C:$C,$P11)</f>
        <v>58</v>
      </c>
      <c r="R11" s="329" t="str">
        <f>TEXT((Q11/PapersOverview!$F$10)*100, "#0.0")</f>
        <v>48.3</v>
      </c>
      <c r="S11" s="329">
        <f>COUNTIFS(FSE!N:N,"Yes",FSE!$C:$C,$P11)</f>
        <v>46</v>
      </c>
      <c r="T11" s="328" t="str">
        <f>TEXT((S11/PapersOverview!$G$10)*100, "#0.0")</f>
        <v>54.1</v>
      </c>
    </row>
    <row r="12">
      <c r="A12" s="389"/>
      <c r="B12" s="389"/>
      <c r="C12" s="389"/>
      <c r="D12" s="389"/>
      <c r="E12" s="389"/>
      <c r="F12" s="389"/>
      <c r="G12" s="389"/>
      <c r="H12" s="410"/>
      <c r="I12" s="375">
        <v>2022.0</v>
      </c>
      <c r="J12" s="411">
        <f>COUNTIFS(ICSE!Q:Q,"Yes",ICSE!$C:$C,$I12)</f>
        <v>30</v>
      </c>
      <c r="K12" s="329" t="str">
        <f>TEXT((J12/PapersOverview!$F$11)*100, "#0.0")</f>
        <v>17.0</v>
      </c>
      <c r="L12" s="413">
        <f>COUNTIFS(FSE!Q:Q,"Yes",FSE!$C:$C,$I12)</f>
        <v>23</v>
      </c>
      <c r="M12" s="328" t="str">
        <f>TEXT((L12/PapersOverview!$G$11)*100, "#0.0")</f>
        <v>25.3</v>
      </c>
      <c r="P12" s="375">
        <v>2022.0</v>
      </c>
      <c r="Q12" s="329">
        <f>COUNTIFS(ICSE!N:N,"Yes",ICSE!$C:$C,$P12)</f>
        <v>94</v>
      </c>
      <c r="R12" s="329" t="str">
        <f>TEXT((Q12/PapersOverview!$F$11)*100, "#0.0")</f>
        <v>53.4</v>
      </c>
      <c r="S12" s="329">
        <f>COUNTIFS(FSE!N:N,"Yes",FSE!$C:$C,$P12)</f>
        <v>43</v>
      </c>
      <c r="T12" s="328" t="str">
        <f>TEXT((S12/PapersOverview!$G$11)*100, "#0.0")</f>
        <v>47.3</v>
      </c>
    </row>
    <row r="13">
      <c r="A13" s="404" t="s">
        <v>7403</v>
      </c>
      <c r="H13" s="410"/>
      <c r="I13" s="375">
        <v>2023.0</v>
      </c>
      <c r="J13" s="411">
        <f>COUNTIFS(ICSE!Q:Q,"Yes",ICSE!$C:$C,$I13)</f>
        <v>49</v>
      </c>
      <c r="K13" s="329" t="str">
        <f>TEXT((J13/PapersOverview!$F$12)*100, "#0.0")</f>
        <v>24.5</v>
      </c>
      <c r="L13" s="411">
        <f>COUNTIFS(FSE!Q:Q,"Yes",FSE!$C:$C,$I13)</f>
        <v>103</v>
      </c>
      <c r="M13" s="328" t="str">
        <f>TEXT((L13/PapersOverview!$G$12)*100, "#0.0")</f>
        <v>82.4</v>
      </c>
      <c r="P13" s="375">
        <v>2023.0</v>
      </c>
      <c r="Q13" s="329">
        <f>COUNTIFS(ICSE!N:N,"Yes",ICSE!$C:$C,$P13)</f>
        <v>98</v>
      </c>
      <c r="R13" s="329" t="str">
        <f>TEXT((Q13/PapersOverview!$F$12)*100, "#0.0")</f>
        <v>49.0</v>
      </c>
      <c r="S13" s="329">
        <f>COUNTIFS(FSE!N:N,"Yes",FSE!$C:$C,$P13)</f>
        <v>36</v>
      </c>
      <c r="T13" s="328" t="str">
        <f>TEXT((S13/PapersOverview!$G$12)*100, "#0.0")</f>
        <v>28.8</v>
      </c>
    </row>
    <row r="14">
      <c r="A14" s="406" t="s">
        <v>7400</v>
      </c>
      <c r="B14" s="393" t="s">
        <v>7346</v>
      </c>
      <c r="C14" s="393" t="s">
        <v>7347</v>
      </c>
      <c r="D14" s="393" t="s">
        <v>7348</v>
      </c>
      <c r="E14" s="393" t="s">
        <v>7349</v>
      </c>
      <c r="F14" s="399" t="s">
        <v>7344</v>
      </c>
      <c r="G14" s="399" t="s">
        <v>7345</v>
      </c>
      <c r="H14" s="389"/>
      <c r="J14" s="358"/>
      <c r="K14" s="358"/>
      <c r="L14" s="358"/>
      <c r="Q14" s="358"/>
      <c r="R14" s="358"/>
      <c r="S14" s="358"/>
    </row>
    <row r="15">
      <c r="A15" s="393" t="s">
        <v>13</v>
      </c>
      <c r="B15" s="400">
        <f t="shared" ref="B15:B18" si="5">B23-B7</f>
        <v>242</v>
      </c>
      <c r="C15" s="408">
        <f t="shared" ref="C15:C18" si="6">B15/B$3</f>
        <v>0.1957928803</v>
      </c>
      <c r="D15" s="400">
        <f t="shared" ref="D15:D18" si="7">D23-D7</f>
        <v>165</v>
      </c>
      <c r="E15" s="408">
        <f t="shared" ref="E15:E18" si="8">D15/D$3</f>
        <v>0.1964285714</v>
      </c>
      <c r="F15" s="400">
        <f t="shared" ref="F15:F18" si="9">F23-F7</f>
        <v>407</v>
      </c>
      <c r="G15" s="408">
        <f t="shared" ref="G15:G18" si="10">F15/F$3</f>
        <v>0.1960500963</v>
      </c>
      <c r="H15" s="389"/>
      <c r="J15" s="414" t="s">
        <v>7404</v>
      </c>
      <c r="L15" s="414" t="s">
        <v>7405</v>
      </c>
      <c r="N15" s="330" t="s">
        <v>7406</v>
      </c>
      <c r="O15" s="330"/>
      <c r="P15" s="308" t="s">
        <v>7407</v>
      </c>
    </row>
    <row r="16">
      <c r="A16" s="393" t="s">
        <v>14</v>
      </c>
      <c r="B16" s="409">
        <f t="shared" si="5"/>
        <v>78</v>
      </c>
      <c r="C16" s="408">
        <f t="shared" si="6"/>
        <v>0.06310679612</v>
      </c>
      <c r="D16" s="409">
        <f t="shared" si="7"/>
        <v>36</v>
      </c>
      <c r="E16" s="408">
        <f t="shared" si="8"/>
        <v>0.04285714286</v>
      </c>
      <c r="F16" s="409">
        <f t="shared" si="9"/>
        <v>114</v>
      </c>
      <c r="G16" s="408">
        <f t="shared" si="10"/>
        <v>0.0549132948</v>
      </c>
      <c r="H16" s="415"/>
      <c r="J16" s="416">
        <f>SUM(J11:J13)</f>
        <v>105</v>
      </c>
      <c r="K16" s="358"/>
      <c r="L16" s="416">
        <f>SUM(L9:L11,L13)</f>
        <v>119</v>
      </c>
      <c r="N16" s="330" t="s">
        <v>7408</v>
      </c>
      <c r="O16" s="330" t="s">
        <v>7387</v>
      </c>
      <c r="P16" s="328"/>
      <c r="Q16" s="378" t="s">
        <v>7346</v>
      </c>
      <c r="R16" s="377" t="s">
        <v>7347</v>
      </c>
      <c r="S16" s="378" t="s">
        <v>7348</v>
      </c>
      <c r="T16" s="377" t="s">
        <v>7349</v>
      </c>
    </row>
    <row r="17">
      <c r="A17" s="393" t="s">
        <v>7401</v>
      </c>
      <c r="B17" s="409">
        <f t="shared" si="5"/>
        <v>63</v>
      </c>
      <c r="C17" s="408">
        <f t="shared" si="6"/>
        <v>0.05097087379</v>
      </c>
      <c r="D17" s="409">
        <f t="shared" si="7"/>
        <v>104</v>
      </c>
      <c r="E17" s="408">
        <f t="shared" si="8"/>
        <v>0.1238095238</v>
      </c>
      <c r="F17" s="409">
        <f t="shared" si="9"/>
        <v>167</v>
      </c>
      <c r="G17" s="408">
        <f t="shared" si="10"/>
        <v>0.08044315992</v>
      </c>
      <c r="H17" s="389"/>
      <c r="I17" s="391"/>
      <c r="J17" s="358"/>
      <c r="K17" s="358"/>
      <c r="L17" s="358"/>
      <c r="P17" s="375">
        <v>2014.0</v>
      </c>
      <c r="Q17" s="329">
        <f>COUNTIFS(ICSE!O:O,"Yes",ICSE!$C:$C,$P17)</f>
        <v>10</v>
      </c>
      <c r="R17" s="329" t="str">
        <f>TEXT((Q17/PapersOverview!$F$3)*100, "#0.0")</f>
        <v>16.1</v>
      </c>
      <c r="S17" s="329">
        <f>COUNTIFS(FSE!O:O,"Yes",FSE!$C:$C,$P17)</f>
        <v>2</v>
      </c>
      <c r="T17" s="328" t="str">
        <f>TEXT((S17/PapersOverview!$G$3)*100, "#0.0")</f>
        <v>5.7</v>
      </c>
    </row>
    <row r="18">
      <c r="A18" s="412" t="s">
        <v>7402</v>
      </c>
      <c r="B18" s="409">
        <f t="shared" si="5"/>
        <v>297</v>
      </c>
      <c r="C18" s="408">
        <f t="shared" si="6"/>
        <v>0.2402912621</v>
      </c>
      <c r="D18" s="409">
        <f t="shared" si="7"/>
        <v>205</v>
      </c>
      <c r="E18" s="408">
        <f t="shared" si="8"/>
        <v>0.244047619</v>
      </c>
      <c r="F18" s="400">
        <f t="shared" si="9"/>
        <v>502</v>
      </c>
      <c r="G18" s="408">
        <f t="shared" si="10"/>
        <v>0.2418111753</v>
      </c>
      <c r="H18" s="410"/>
      <c r="I18" s="391" t="s">
        <v>7387</v>
      </c>
      <c r="J18" s="416">
        <f>IF(SUM(J4:J13)=B25,B25,"ERRRO")</f>
        <v>127</v>
      </c>
      <c r="K18" s="358"/>
      <c r="L18" s="416">
        <f>IF(SUM(L4:L13)=D25,D25,"ERRRO")</f>
        <v>184</v>
      </c>
      <c r="N18" s="330" t="s">
        <v>7409</v>
      </c>
      <c r="O18" s="330" t="s">
        <v>7387</v>
      </c>
      <c r="P18" s="375">
        <v>2015.0</v>
      </c>
      <c r="Q18" s="329">
        <f>COUNTIFS(ICSE!O:O,"Yes",ICSE!$C:$C,$P18)</f>
        <v>5</v>
      </c>
      <c r="R18" s="329" t="str">
        <f>TEXT((Q18/PapersOverview!$F$4)*100, "#0.0")</f>
        <v>10.2</v>
      </c>
      <c r="S18" s="329">
        <f>COUNTIFS(FSE!O:O,"Yes",FSE!$C:$C,$P18)</f>
        <v>5</v>
      </c>
      <c r="T18" s="328" t="str">
        <f>TEXT((S18/PapersOverview!$G$4)*100, "#0.0")</f>
        <v>10.4</v>
      </c>
    </row>
    <row r="19">
      <c r="A19" s="405"/>
      <c r="B19" s="405"/>
      <c r="C19" s="405"/>
      <c r="D19" s="405"/>
      <c r="E19" s="405"/>
      <c r="F19" s="405"/>
      <c r="G19" s="405"/>
      <c r="H19" s="410"/>
      <c r="I19" s="391"/>
      <c r="J19" s="417"/>
      <c r="K19" s="358"/>
      <c r="L19" s="417"/>
      <c r="P19" s="375">
        <v>2016.0</v>
      </c>
      <c r="Q19" s="329">
        <f>COUNTIFS(ICSE!O:O,"Yes",ICSE!$C:$C,$P19)</f>
        <v>11</v>
      </c>
      <c r="R19" s="329" t="str">
        <f>TEXT((Q19/PapersOverview!$F$5)*100, "#0.0")</f>
        <v>15.7</v>
      </c>
      <c r="S19" s="329">
        <f>COUNTIFS(FSE!O:O,"Yes",FSE!$C:$C,$P19)</f>
        <v>4</v>
      </c>
      <c r="T19" s="328" t="str">
        <f>TEXT((S19/PapersOverview!$G$5)*100, "#0.0")</f>
        <v>7.4</v>
      </c>
    </row>
    <row r="20">
      <c r="A20" s="405"/>
      <c r="B20" s="405"/>
      <c r="C20" s="405"/>
      <c r="D20" s="405"/>
      <c r="E20" s="405"/>
      <c r="F20" s="405"/>
      <c r="G20" s="405"/>
      <c r="H20" s="389"/>
      <c r="I20" s="391" t="s">
        <v>7387</v>
      </c>
      <c r="J20" s="418">
        <f>SUM(PapersOverview!F10:F12)</f>
        <v>496</v>
      </c>
      <c r="K20" s="419"/>
      <c r="L20" s="418">
        <f>SUM(PapersOverview!G8,PapersOverview!G9,PapersOverview!G10,PapersOverview!G12)</f>
        <v>363</v>
      </c>
      <c r="N20" s="330" t="s">
        <v>7410</v>
      </c>
      <c r="O20" s="330" t="s">
        <v>7387</v>
      </c>
      <c r="P20" s="375">
        <v>2017.0</v>
      </c>
      <c r="Q20" s="329">
        <f>COUNTIFS(ICSE!O:O,"Yes",ICSE!$C:$C,$P20)</f>
        <v>8</v>
      </c>
      <c r="R20" s="329" t="str">
        <f>TEXT((Q20/PapersOverview!$F$6)*100, "#0.0")</f>
        <v>14.3</v>
      </c>
      <c r="S20" s="329">
        <f>COUNTIFS(FSE!O:O,"Yes",FSE!$C:$C,$P20)</f>
        <v>6</v>
      </c>
      <c r="T20" s="328" t="str">
        <f>TEXT((S20/PapersOverview!$G$6)*100, "#0.0")</f>
        <v>11.3</v>
      </c>
    </row>
    <row r="21">
      <c r="A21" s="404" t="s">
        <v>7411</v>
      </c>
      <c r="H21" s="389"/>
      <c r="I21" s="391"/>
      <c r="J21" s="418">
        <f>SUM(PapersOverview!B10:B12)</f>
        <v>542</v>
      </c>
      <c r="K21" s="419"/>
      <c r="L21" s="418">
        <f>SUM(PapersOverview!C8,PapersOverview!C9,PapersOverview!C10,PapersOverview!C12)</f>
        <v>399</v>
      </c>
      <c r="N21" s="330" t="s">
        <v>7412</v>
      </c>
      <c r="O21" s="330" t="s">
        <v>7387</v>
      </c>
      <c r="P21" s="375">
        <v>2018.0</v>
      </c>
      <c r="Q21" s="329">
        <f>COUNTIFS(ICSE!O:O,"Yes",ICSE!$C:$C,$P21)</f>
        <v>6</v>
      </c>
      <c r="R21" s="329" t="str">
        <f>TEXT((Q21/PapersOverview!$F$7)*100, "#0.0")</f>
        <v>7.2</v>
      </c>
      <c r="S21" s="329">
        <f>COUNTIFS(FSE!O:O,"Yes",FSE!$C:$C,$P21)</f>
        <v>5</v>
      </c>
      <c r="T21" s="328" t="str">
        <f>TEXT((S21/PapersOverview!$G$7)*100, "#0.0")</f>
        <v>9.8</v>
      </c>
    </row>
    <row r="22">
      <c r="A22" s="406" t="s">
        <v>7400</v>
      </c>
      <c r="B22" s="393" t="s">
        <v>7346</v>
      </c>
      <c r="C22" s="393" t="s">
        <v>7347</v>
      </c>
      <c r="D22" s="393" t="s">
        <v>7348</v>
      </c>
      <c r="E22" s="393" t="s">
        <v>7349</v>
      </c>
      <c r="F22" s="399" t="s">
        <v>7344</v>
      </c>
      <c r="G22" s="399" t="s">
        <v>7345</v>
      </c>
      <c r="H22" s="389"/>
      <c r="I22" s="391" t="s">
        <v>7387</v>
      </c>
      <c r="J22" s="420"/>
      <c r="K22" s="421" t="str">
        <f>TEXT((K23/K24)*100, "#0.0")</f>
        <v>10.6</v>
      </c>
      <c r="L22" s="420"/>
      <c r="M22" s="421" t="str">
        <f>TEXT((M23/M24)*100, "#0.0")</f>
        <v>7.9</v>
      </c>
      <c r="N22" s="422" t="s">
        <v>7413</v>
      </c>
      <c r="O22" s="422" t="s">
        <v>7387</v>
      </c>
      <c r="P22" s="375">
        <v>2019.0</v>
      </c>
      <c r="Q22" s="329">
        <f>COUNTIFS(ICSE!O:O,"Yes",ICSE!$C:$C,$P22)</f>
        <v>10</v>
      </c>
      <c r="R22" s="329" t="str">
        <f>TEXT((Q22/PapersOverview!$F$8)*100, "#0.0")</f>
        <v>12.7</v>
      </c>
      <c r="S22" s="329">
        <f>COUNTIFS(FSE!O:O,"Yes",FSE!$C:$C,$P22)</f>
        <v>4</v>
      </c>
      <c r="T22" s="328" t="str">
        <f>TEXT((S22/PapersOverview!$G$8)*100, "#0.0")</f>
        <v>6.5</v>
      </c>
      <c r="U22" s="422"/>
      <c r="V22" s="422"/>
    </row>
    <row r="23">
      <c r="A23" s="393" t="s">
        <v>13</v>
      </c>
      <c r="B23" s="409">
        <f>COUNTIF(ICSE!N:N,"Yes")</f>
        <v>447</v>
      </c>
      <c r="C23" s="408">
        <f t="shared" ref="C23:C27" si="11">B23/B$3</f>
        <v>0.3616504854</v>
      </c>
      <c r="D23" s="409">
        <f>COUNTIF(FSE!N:N,"Yes")</f>
        <v>282</v>
      </c>
      <c r="E23" s="408">
        <f t="shared" ref="E23:E27" si="12">D23/D$3</f>
        <v>0.3357142857</v>
      </c>
      <c r="F23" s="409">
        <f t="shared" ref="F23:F27" si="13">SUM(B23,D23)</f>
        <v>729</v>
      </c>
      <c r="G23" s="408">
        <f t="shared" ref="G23:G27" si="14">F23/F$3</f>
        <v>0.3511560694</v>
      </c>
      <c r="H23" s="389"/>
      <c r="I23" s="391"/>
      <c r="J23" s="423"/>
      <c r="K23" s="424">
        <f>SUM(J7:J11)</f>
        <v>47</v>
      </c>
      <c r="L23" s="423"/>
      <c r="M23" s="424">
        <f>SUM(L7:L11)</f>
        <v>27</v>
      </c>
      <c r="N23" s="422" t="s">
        <v>7414</v>
      </c>
      <c r="O23" s="422" t="s">
        <v>7387</v>
      </c>
      <c r="P23" s="375">
        <v>2020.0</v>
      </c>
      <c r="Q23" s="329">
        <f>COUNTIFS(ICSE!O:O,"Yes",ICSE!$C:$C,$P23)</f>
        <v>12</v>
      </c>
      <c r="R23" s="329" t="str">
        <f>TEXT((Q23/PapersOverview!$F$9)*100, "#0.0")</f>
        <v>11.3</v>
      </c>
      <c r="S23" s="329">
        <f>COUNTIFS(FSE!O:O,"Yes",FSE!$C:$C,$P23)</f>
        <v>12</v>
      </c>
      <c r="T23" s="328" t="str">
        <f>TEXT((S23/PapersOverview!$G$9)*100, "#0.0")</f>
        <v>13.2</v>
      </c>
      <c r="U23" s="422"/>
      <c r="V23" s="422"/>
    </row>
    <row r="24">
      <c r="A24" s="393" t="s">
        <v>14</v>
      </c>
      <c r="B24" s="409">
        <f>COUNTIF(ICSE!O:O,"Yes")</f>
        <v>127</v>
      </c>
      <c r="C24" s="408">
        <f t="shared" si="11"/>
        <v>0.1027508091</v>
      </c>
      <c r="D24" s="409">
        <f>COUNTIF(FSE!O:O,"Yes")</f>
        <v>62</v>
      </c>
      <c r="E24" s="408">
        <f t="shared" si="12"/>
        <v>0.07380952381</v>
      </c>
      <c r="F24" s="409">
        <f t="shared" si="13"/>
        <v>189</v>
      </c>
      <c r="G24" s="408">
        <f t="shared" si="14"/>
        <v>0.09104046243</v>
      </c>
      <c r="H24" s="389"/>
      <c r="I24" s="391"/>
      <c r="J24" s="423"/>
      <c r="K24" s="425">
        <f>SUM(PapersOverview!F6:F10)</f>
        <v>444</v>
      </c>
      <c r="L24" s="423"/>
      <c r="M24" s="425">
        <f>SUM(PapersOverview!G6:G10)</f>
        <v>342</v>
      </c>
      <c r="N24" s="422" t="s">
        <v>7415</v>
      </c>
      <c r="O24" s="422" t="s">
        <v>7387</v>
      </c>
      <c r="P24" s="375">
        <v>2021.0</v>
      </c>
      <c r="Q24" s="329">
        <f>COUNTIFS(ICSE!O:O,"Yes",ICSE!$C:$C,$P24)</f>
        <v>13</v>
      </c>
      <c r="R24" s="329" t="str">
        <f>TEXT((Q24/PapersOverview!$F$10)*100, "#0.0")</f>
        <v>10.8</v>
      </c>
      <c r="S24" s="329">
        <f>COUNTIFS(FSE!O:O,"Yes",FSE!$C:$C,$P24)</f>
        <v>9</v>
      </c>
      <c r="T24" s="328" t="str">
        <f>TEXT((S24/PapersOverview!$G$10)*100, "#0.0")</f>
        <v>10.6</v>
      </c>
      <c r="U24" s="422"/>
      <c r="V24" s="422"/>
    </row>
    <row r="25">
      <c r="A25" s="393" t="s">
        <v>7401</v>
      </c>
      <c r="B25" s="409">
        <f>COUNTIF(ICSE!Q:Q,"Yes")</f>
        <v>127</v>
      </c>
      <c r="C25" s="408">
        <f t="shared" si="11"/>
        <v>0.1027508091</v>
      </c>
      <c r="D25" s="409">
        <f>COUNTIF(FSE!Q:Q,"Yes")</f>
        <v>184</v>
      </c>
      <c r="E25" s="408">
        <f t="shared" si="12"/>
        <v>0.219047619</v>
      </c>
      <c r="F25" s="409">
        <f t="shared" si="13"/>
        <v>311</v>
      </c>
      <c r="G25" s="408">
        <f t="shared" si="14"/>
        <v>0.1498073218</v>
      </c>
      <c r="H25" s="389"/>
      <c r="J25" s="423"/>
      <c r="L25" s="423"/>
      <c r="P25" s="375">
        <v>2022.0</v>
      </c>
      <c r="Q25" s="329">
        <f>COUNTIFS(ICSE!O:O,"Yes",ICSE!$C:$C,$P25)</f>
        <v>24</v>
      </c>
      <c r="R25" s="329" t="str">
        <f>TEXT((Q25/PapersOverview!$F$11)*100, "#0.0")</f>
        <v>13.6</v>
      </c>
      <c r="S25" s="329">
        <f>COUNTIFS(FSE!O:O,"Yes",FSE!$C:$C,$P25)</f>
        <v>12</v>
      </c>
      <c r="T25" s="328" t="str">
        <f>TEXT((S25/PapersOverview!$G$11)*100, "#0.0")</f>
        <v>13.2</v>
      </c>
    </row>
    <row r="26">
      <c r="A26" s="412" t="s">
        <v>7402</v>
      </c>
      <c r="B26" s="409">
        <f>COUNTIF(ICSE!R:R,"Yes")</f>
        <v>662</v>
      </c>
      <c r="C26" s="408">
        <f t="shared" si="11"/>
        <v>0.5355987055</v>
      </c>
      <c r="D26" s="409">
        <f>COUNTIF(FSE!R:R,"Yes")</f>
        <v>436</v>
      </c>
      <c r="E26" s="408">
        <f t="shared" si="12"/>
        <v>0.519047619</v>
      </c>
      <c r="F26" s="400">
        <f t="shared" si="13"/>
        <v>1098</v>
      </c>
      <c r="G26" s="408">
        <f t="shared" si="14"/>
        <v>0.5289017341</v>
      </c>
      <c r="H26" s="389"/>
      <c r="J26" s="426"/>
      <c r="P26" s="375">
        <v>2023.0</v>
      </c>
      <c r="Q26" s="329">
        <f>COUNTIFS(ICSE!O:O,"Yes",ICSE!$C:$C,$P26)</f>
        <v>28</v>
      </c>
      <c r="R26" s="329" t="str">
        <f>TEXT((Q26/PapersOverview!$F$12)*100, "#0.0")</f>
        <v>14.0</v>
      </c>
      <c r="S26" s="329">
        <f>COUNTIFS(FSE!O:O,"Yes",FSE!$C:$C,$P26)</f>
        <v>3</v>
      </c>
      <c r="T26" s="328" t="str">
        <f>TEXT((S26/PapersOverview!$G$12)*100, "#0.0")</f>
        <v>2.4</v>
      </c>
    </row>
    <row r="27">
      <c r="A27" s="393" t="s">
        <v>7416</v>
      </c>
      <c r="B27" s="409">
        <f>COUNTIF(ICSE!P:P,"Yes")</f>
        <v>92</v>
      </c>
      <c r="C27" s="408">
        <f t="shared" si="11"/>
        <v>0.07443365696</v>
      </c>
      <c r="D27" s="409">
        <f>COUNTIF(FSE!P:P,"Yes")</f>
        <v>33</v>
      </c>
      <c r="E27" s="408">
        <f t="shared" si="12"/>
        <v>0.03928571429</v>
      </c>
      <c r="F27" s="409">
        <f t="shared" si="13"/>
        <v>125</v>
      </c>
      <c r="G27" s="408">
        <f t="shared" si="14"/>
        <v>0.06021194605</v>
      </c>
      <c r="H27" s="389"/>
      <c r="I27" s="427"/>
      <c r="J27" s="428"/>
      <c r="L27" s="428"/>
      <c r="P27" s="427"/>
      <c r="Q27" s="428"/>
      <c r="S27" s="428"/>
    </row>
    <row r="28">
      <c r="A28" s="389"/>
      <c r="B28" s="389"/>
      <c r="C28" s="389"/>
      <c r="D28" s="389"/>
      <c r="E28" s="389"/>
      <c r="F28" s="389"/>
      <c r="G28" s="389"/>
      <c r="H28" s="389"/>
      <c r="I28" s="427"/>
      <c r="J28" s="428"/>
      <c r="K28" s="429"/>
      <c r="L28" s="428"/>
      <c r="M28" s="430"/>
      <c r="P28" s="308" t="s">
        <v>7417</v>
      </c>
    </row>
    <row r="29">
      <c r="A29" s="388"/>
      <c r="B29" s="389"/>
      <c r="C29" s="390"/>
      <c r="D29" s="390"/>
      <c r="E29" s="389"/>
      <c r="F29" s="389"/>
      <c r="G29" s="389"/>
      <c r="H29" s="389"/>
      <c r="I29" s="427"/>
      <c r="J29" s="428"/>
      <c r="K29" s="429"/>
      <c r="L29" s="428"/>
      <c r="M29" s="430"/>
      <c r="P29" s="328"/>
      <c r="Q29" s="378" t="s">
        <v>7346</v>
      </c>
      <c r="R29" s="377" t="s">
        <v>7347</v>
      </c>
      <c r="S29" s="378" t="s">
        <v>7348</v>
      </c>
      <c r="T29" s="377" t="s">
        <v>7349</v>
      </c>
    </row>
    <row r="30">
      <c r="A30" s="415" t="s">
        <v>7418</v>
      </c>
      <c r="I30" s="427"/>
      <c r="J30" s="428"/>
      <c r="K30" s="429"/>
      <c r="L30" s="428"/>
      <c r="M30" s="430"/>
      <c r="P30" s="375">
        <v>2014.0</v>
      </c>
      <c r="Q30" s="329">
        <f>COUNTIFS(ICSE!R:R,"Yes",ICSE!$C:$C,$P30)</f>
        <v>53</v>
      </c>
      <c r="R30" s="329" t="str">
        <f>TEXT((Q30/PapersOverview!$F$3)*100, "#0.0")</f>
        <v>85.5</v>
      </c>
      <c r="S30" s="329">
        <f>COUNTIFS(FSE!R:R,"Yes",FSE!$C:$C,$P30)</f>
        <v>28</v>
      </c>
      <c r="T30" s="328" t="str">
        <f>TEXT((S30/PapersOverview!$G$3)*100, "#0.0")</f>
        <v>80.0</v>
      </c>
    </row>
    <row r="31">
      <c r="A31" s="412" t="s">
        <v>7419</v>
      </c>
      <c r="B31" s="393" t="s">
        <v>7346</v>
      </c>
      <c r="C31" s="393" t="s">
        <v>7347</v>
      </c>
      <c r="D31" s="393" t="s">
        <v>7348</v>
      </c>
      <c r="E31" s="393" t="s">
        <v>7349</v>
      </c>
      <c r="F31" s="399" t="s">
        <v>7344</v>
      </c>
      <c r="G31" s="399" t="s">
        <v>7345</v>
      </c>
      <c r="I31" s="427"/>
      <c r="J31" s="428"/>
      <c r="K31" s="429"/>
      <c r="L31" s="428"/>
      <c r="M31" s="430"/>
      <c r="P31" s="375">
        <v>2015.0</v>
      </c>
      <c r="Q31" s="329">
        <f>COUNTIFS(ICSE!R:R,"Yes",ICSE!$C:$C,$P31)</f>
        <v>35</v>
      </c>
      <c r="R31" s="329" t="str">
        <f>TEXT((Q31/PapersOverview!$F$4)*100, "#0.0")</f>
        <v>71.4</v>
      </c>
      <c r="S31" s="329">
        <f>COUNTIFS(FSE!R:R,"Yes",FSE!$C:$C,$P31)</f>
        <v>31</v>
      </c>
      <c r="T31" s="328" t="str">
        <f>TEXT((S31/PapersOverview!$G$4)*100, "#0.0")</f>
        <v>64.6</v>
      </c>
    </row>
    <row r="32">
      <c r="A32" s="393" t="s">
        <v>11</v>
      </c>
      <c r="B32" s="409">
        <f>COUNTIF(ICSE!L:L,"Yes")</f>
        <v>372</v>
      </c>
      <c r="C32" s="408">
        <f t="shared" ref="C32:C33" si="15">B32/B$3</f>
        <v>0.3009708738</v>
      </c>
      <c r="D32" s="409">
        <f>COUNTIF(FSE!L:L,"Yes")</f>
        <v>251</v>
      </c>
      <c r="E32" s="408">
        <f t="shared" ref="E32:E33" si="16">D32/D$3</f>
        <v>0.2988095238</v>
      </c>
      <c r="F32" s="409">
        <f t="shared" ref="F32:F33" si="17">SUM(B32,D32)</f>
        <v>623</v>
      </c>
      <c r="G32" s="408">
        <f t="shared" ref="G32:G33" si="18">F32/F$3</f>
        <v>0.3000963391</v>
      </c>
      <c r="I32" s="427"/>
      <c r="J32" s="428"/>
      <c r="K32" s="429"/>
      <c r="L32" s="431"/>
      <c r="M32" s="430"/>
      <c r="P32" s="375">
        <v>2016.0</v>
      </c>
      <c r="Q32" s="329">
        <f>COUNTIFS(ICSE!R:R,"Yes",ICSE!$C:$C,$P32)</f>
        <v>58</v>
      </c>
      <c r="R32" s="329" t="str">
        <f>TEXT((Q32/PapersOverview!$F$5)*100, "#0.0")</f>
        <v>82.9</v>
      </c>
      <c r="S32" s="329">
        <f>COUNTIFS(FSE!R:R,"Yes",FSE!$C:$C,$P32)</f>
        <v>40</v>
      </c>
      <c r="T32" s="328" t="str">
        <f>TEXT((S32/PapersOverview!$G$5)*100, "#0.0")</f>
        <v>74.1</v>
      </c>
    </row>
    <row r="33">
      <c r="A33" s="393" t="s">
        <v>7420</v>
      </c>
      <c r="B33" s="409">
        <f>COUNTIF(ICSE!M:M,"Yes")</f>
        <v>425</v>
      </c>
      <c r="C33" s="408">
        <f t="shared" si="15"/>
        <v>0.3438511327</v>
      </c>
      <c r="D33" s="409">
        <f>COUNTIF(FSE!M:M,"Yes")</f>
        <v>307</v>
      </c>
      <c r="E33" s="408">
        <f t="shared" si="16"/>
        <v>0.3654761905</v>
      </c>
      <c r="F33" s="409">
        <f t="shared" si="17"/>
        <v>732</v>
      </c>
      <c r="G33" s="408">
        <f t="shared" si="18"/>
        <v>0.3526011561</v>
      </c>
      <c r="I33" s="391"/>
      <c r="J33" s="423"/>
      <c r="L33" s="423"/>
      <c r="P33" s="375">
        <v>2017.0</v>
      </c>
      <c r="Q33" s="329">
        <f>COUNTIFS(ICSE!R:R,"Yes",ICSE!$C:$C,$P33)</f>
        <v>45</v>
      </c>
      <c r="R33" s="329" t="str">
        <f>TEXT((Q33/PapersOverview!$F$6)*100, "#0.0")</f>
        <v>80.4</v>
      </c>
      <c r="S33" s="329">
        <f>COUNTIFS(FSE!R:R,"Yes",FSE!$C:$C,$P33)</f>
        <v>35</v>
      </c>
      <c r="T33" s="328" t="str">
        <f>TEXT((S33/PapersOverview!$G$6)*100, "#0.0")</f>
        <v>66.0</v>
      </c>
    </row>
    <row r="34">
      <c r="A34" s="388"/>
      <c r="B34" s="389"/>
      <c r="C34" s="390"/>
      <c r="D34" s="390"/>
      <c r="E34" s="389"/>
      <c r="F34" s="389"/>
      <c r="G34" s="389"/>
      <c r="I34" s="391"/>
      <c r="J34" s="423"/>
      <c r="L34" s="423"/>
      <c r="P34" s="375">
        <v>2018.0</v>
      </c>
      <c r="Q34" s="329">
        <f>COUNTIFS(ICSE!R:R,"Yes",ICSE!$C:$C,$P34)</f>
        <v>64</v>
      </c>
      <c r="R34" s="329" t="str">
        <f>TEXT((Q34/PapersOverview!$F$7)*100, "#0.0")</f>
        <v>77.1</v>
      </c>
      <c r="S34" s="329">
        <f>COUNTIFS(FSE!R:R,"Yes",FSE!$C:$C,$P34)</f>
        <v>34</v>
      </c>
      <c r="T34" s="328" t="str">
        <f>TEXT((S34/PapersOverview!$G$7)*100, "#0.0")</f>
        <v>66.7</v>
      </c>
    </row>
    <row r="35">
      <c r="A35" s="388"/>
      <c r="B35" s="389"/>
      <c r="C35" s="390"/>
      <c r="D35" s="390"/>
      <c r="E35" s="389"/>
      <c r="F35" s="389"/>
      <c r="G35" s="389"/>
      <c r="I35" s="391"/>
      <c r="J35" s="423"/>
      <c r="L35" s="423"/>
      <c r="P35" s="375">
        <v>2019.0</v>
      </c>
      <c r="Q35" s="329">
        <f>COUNTIFS(ICSE!R:R,"Yes",ICSE!$C:$C,$P35)</f>
        <v>59</v>
      </c>
      <c r="R35" s="329" t="str">
        <f>TEXT((Q35/PapersOverview!$F$8)*100, "#0.0")</f>
        <v>74.7</v>
      </c>
      <c r="S35" s="329">
        <f>COUNTIFS(FSE!R:R,"Yes",FSE!$C:$C,$P35)</f>
        <v>44</v>
      </c>
      <c r="T35" s="328" t="str">
        <f>TEXT((S35/PapersOverview!$G$8)*100, "#0.0")</f>
        <v>71.0</v>
      </c>
    </row>
    <row r="36">
      <c r="A36" s="388"/>
      <c r="B36" s="389"/>
      <c r="C36" s="390"/>
      <c r="D36" s="390"/>
      <c r="E36" s="389"/>
      <c r="F36" s="389"/>
      <c r="G36" s="389"/>
      <c r="I36" s="391"/>
      <c r="J36" s="423"/>
      <c r="L36" s="423"/>
      <c r="P36" s="375">
        <v>2020.0</v>
      </c>
      <c r="Q36" s="329">
        <f>COUNTIFS(ICSE!R:R,"Yes",ICSE!$C:$C,$P36)</f>
        <v>76</v>
      </c>
      <c r="R36" s="329" t="str">
        <f>TEXT((Q36/PapersOverview!$F$9)*100, "#0.0")</f>
        <v>71.7</v>
      </c>
      <c r="S36" s="329">
        <f>COUNTIFS(FSE!R:R,"Yes",FSE!$C:$C,$P36)</f>
        <v>65</v>
      </c>
      <c r="T36" s="328" t="str">
        <f>TEXT((S36/PapersOverview!$G$9)*100, "#0.0")</f>
        <v>71.4</v>
      </c>
    </row>
    <row r="37">
      <c r="A37" s="432" t="s">
        <v>7421</v>
      </c>
      <c r="B37" s="389"/>
      <c r="C37" s="390"/>
      <c r="D37" s="390"/>
      <c r="E37" s="389"/>
      <c r="F37" s="389"/>
      <c r="G37" s="389"/>
      <c r="P37" s="375">
        <v>2021.0</v>
      </c>
      <c r="Q37" s="329">
        <f>COUNTIFS(ICSE!R:R,"Yes",ICSE!$C:$C,$P37)</f>
        <v>74</v>
      </c>
      <c r="R37" s="329" t="str">
        <f>TEXT((Q37/PapersOverview!$F$10)*100, "#0.0")</f>
        <v>61.7</v>
      </c>
      <c r="S37" s="329">
        <f>COUNTIFS(FSE!R:R,"Yes",FSE!$C:$C,$P37)</f>
        <v>60</v>
      </c>
      <c r="T37" s="328" t="str">
        <f>TEXT((S37/PapersOverview!$G$10)*100, "#0.0")</f>
        <v>70.6</v>
      </c>
    </row>
    <row r="38">
      <c r="A38" s="432" t="s">
        <v>7422</v>
      </c>
      <c r="B38" s="389"/>
      <c r="C38" s="390"/>
      <c r="D38" s="390"/>
      <c r="E38" s="389"/>
      <c r="F38" s="389"/>
      <c r="G38" s="389"/>
      <c r="P38" s="375">
        <v>2022.0</v>
      </c>
      <c r="Q38" s="329">
        <f>COUNTIFS(ICSE!R:R,"Yes",ICSE!$C:$C,$P38)</f>
        <v>97</v>
      </c>
      <c r="R38" s="329" t="str">
        <f>TEXT((Q38/PapersOverview!$F$11)*100, "#0.0")</f>
        <v>55.1</v>
      </c>
      <c r="S38" s="329">
        <f>COUNTIFS(FSE!R:R,"Yes",FSE!$C:$C,$P38)</f>
        <v>49</v>
      </c>
      <c r="T38" s="328" t="str">
        <f>TEXT((S38/PapersOverview!$G$11)*100, "#0.0")</f>
        <v>53.8</v>
      </c>
    </row>
    <row r="39">
      <c r="A39" s="432" t="s">
        <v>7423</v>
      </c>
      <c r="B39" s="389"/>
      <c r="C39" s="390"/>
      <c r="D39" s="390"/>
      <c r="E39" s="389"/>
      <c r="F39" s="389"/>
      <c r="G39" s="389"/>
      <c r="O39" s="330" t="s">
        <v>7387</v>
      </c>
      <c r="P39" s="375">
        <v>2023.0</v>
      </c>
      <c r="Q39" s="329">
        <f>COUNTIFS(ICSE!R:R,"Yes",ICSE!$C:$C,$P39)</f>
        <v>101</v>
      </c>
      <c r="R39" s="329" t="str">
        <f>TEXT((Q39/PapersOverview!$F$12)*100, "#0.0")</f>
        <v>50.5</v>
      </c>
      <c r="S39" s="329">
        <f>COUNTIFS(FSE!R:R,"Yes",FSE!$C:$C,$P39)</f>
        <v>50</v>
      </c>
      <c r="T39" s="328" t="str">
        <f>TEXT((S39/PapersOverview!$G$12)*100, "#0.0")</f>
        <v>40.0</v>
      </c>
    </row>
  </sheetData>
  <mergeCells count="6">
    <mergeCell ref="A5:G5"/>
    <mergeCell ref="A13:G13"/>
    <mergeCell ref="A21:G21"/>
    <mergeCell ref="A30:G30"/>
    <mergeCell ref="F3:G3"/>
    <mergeCell ref="F2:G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4" width="5.75"/>
    <col customWidth="1" min="5" max="5" width="0.38"/>
    <col customWidth="1" min="6" max="8" width="8.5"/>
    <col customWidth="1" min="9" max="9" width="12.0"/>
    <col customWidth="1" min="10" max="10" width="21.75"/>
  </cols>
  <sheetData>
    <row r="1">
      <c r="A1" s="433" t="s">
        <v>7424</v>
      </c>
      <c r="B1" s="434" t="s">
        <v>5675</v>
      </c>
      <c r="C1" s="434" t="s">
        <v>5676</v>
      </c>
      <c r="D1" s="434" t="s">
        <v>5678</v>
      </c>
      <c r="E1" s="435"/>
      <c r="F1" s="175"/>
      <c r="G1" s="175"/>
      <c r="H1" s="175"/>
      <c r="I1" s="200"/>
      <c r="J1" s="200"/>
    </row>
    <row r="2">
      <c r="A2" s="436" t="s">
        <v>7425</v>
      </c>
      <c r="B2" s="437">
        <f>countif(ICSE!AD:AD,"Yes")</f>
        <v>68</v>
      </c>
      <c r="C2" s="437">
        <f>COUNTIF(FSE!AD:AD,"Yes")</f>
        <v>37</v>
      </c>
      <c r="D2" s="437">
        <f t="shared" ref="D2:D3" si="1">B2+C2</f>
        <v>105</v>
      </c>
      <c r="E2" s="435"/>
      <c r="F2" s="175"/>
      <c r="G2" s="175"/>
      <c r="H2" s="175"/>
      <c r="I2" s="200"/>
      <c r="J2" s="200"/>
    </row>
    <row r="3">
      <c r="A3" s="436" t="s">
        <v>7426</v>
      </c>
      <c r="B3" s="437">
        <f>countif(ICSE!AD:AD,"No")</f>
        <v>1168</v>
      </c>
      <c r="C3" s="438">
        <f>COUNTIF(FSE!AD:AD,"No")</f>
        <v>803</v>
      </c>
      <c r="D3" s="438">
        <f t="shared" si="1"/>
        <v>1971</v>
      </c>
      <c r="E3" s="435"/>
      <c r="F3" s="175"/>
      <c r="G3" s="175"/>
      <c r="H3" s="175"/>
      <c r="I3" s="200"/>
      <c r="J3" s="200"/>
    </row>
    <row r="4">
      <c r="A4" s="176"/>
      <c r="B4" s="175"/>
      <c r="C4" s="175"/>
      <c r="D4" s="175"/>
      <c r="E4" s="435"/>
      <c r="F4" s="175"/>
      <c r="G4" s="175"/>
      <c r="H4" s="175"/>
      <c r="I4" s="200"/>
      <c r="J4" s="200"/>
    </row>
    <row r="5">
      <c r="A5" s="439"/>
      <c r="B5" s="439"/>
      <c r="C5" s="439"/>
      <c r="D5" s="439"/>
      <c r="E5" s="440"/>
      <c r="F5" s="440"/>
      <c r="G5" s="440"/>
      <c r="H5" s="440"/>
      <c r="I5" s="439"/>
      <c r="J5" s="440"/>
    </row>
    <row r="6">
      <c r="A6" s="176"/>
      <c r="B6" s="175" t="s">
        <v>7427</v>
      </c>
      <c r="E6" s="435"/>
      <c r="F6" s="175" t="s">
        <v>7428</v>
      </c>
      <c r="I6" s="200"/>
      <c r="J6" s="200"/>
    </row>
    <row r="7">
      <c r="A7" s="441" t="s">
        <v>7429</v>
      </c>
      <c r="B7" s="434" t="s">
        <v>5675</v>
      </c>
      <c r="C7" s="434" t="s">
        <v>5676</v>
      </c>
      <c r="D7" s="434" t="s">
        <v>5678</v>
      </c>
      <c r="E7" s="442"/>
      <c r="F7" s="442" t="s">
        <v>5675</v>
      </c>
      <c r="G7" s="442" t="s">
        <v>5676</v>
      </c>
      <c r="H7" s="434" t="s">
        <v>5678</v>
      </c>
      <c r="I7" s="441" t="s">
        <v>5736</v>
      </c>
      <c r="J7" s="441" t="s">
        <v>7430</v>
      </c>
    </row>
    <row r="8">
      <c r="A8" s="443" t="str">
        <f t="shared" ref="A8:A16" si="2">I8&amp;" ("&amp;J8&amp;")"</f>
        <v>Barriers (Confidentiality and privacy)</v>
      </c>
      <c r="B8" s="444">
        <f>COUNTIF(ICSE!$AF:$AH,A8)</f>
        <v>32</v>
      </c>
      <c r="C8" s="444">
        <f>COUNTIF(FSE!AF:AG,A8)</f>
        <v>14</v>
      </c>
      <c r="D8" s="444">
        <f t="shared" ref="D8:D16" si="3">SUM(C8,B8)</f>
        <v>46</v>
      </c>
      <c r="E8" s="445"/>
      <c r="F8" s="446">
        <f>SUMIF($I$8:$I$16,$I8,$B$8:$B$16)</f>
        <v>55</v>
      </c>
      <c r="G8" s="446">
        <f>SUMIF($I$8:$I$16,$I8,$C$8:$C$16)</f>
        <v>27</v>
      </c>
      <c r="H8" s="446">
        <f>F8+G8</f>
        <v>82</v>
      </c>
      <c r="I8" s="443" t="s">
        <v>7431</v>
      </c>
      <c r="J8" s="443" t="s">
        <v>7432</v>
      </c>
    </row>
    <row r="9">
      <c r="A9" s="443" t="str">
        <f t="shared" si="2"/>
        <v>Barriers (Agreements and legal rights)</v>
      </c>
      <c r="B9" s="444">
        <f>COUNTIF(ICSE!$AF:$AH,A9)</f>
        <v>17</v>
      </c>
      <c r="C9" s="444">
        <f>COUNTIF(FSE!AF:AG,A9)</f>
        <v>11</v>
      </c>
      <c r="D9" s="444">
        <f t="shared" si="3"/>
        <v>28</v>
      </c>
      <c r="E9" s="445"/>
      <c r="F9" s="447"/>
      <c r="G9" s="447"/>
      <c r="H9" s="447"/>
      <c r="I9" s="443" t="s">
        <v>7431</v>
      </c>
      <c r="J9" s="443" t="s">
        <v>7433</v>
      </c>
    </row>
    <row r="10">
      <c r="A10" s="443" t="str">
        <f t="shared" si="2"/>
        <v>Barriers (Security issues)</v>
      </c>
      <c r="B10" s="444">
        <f>COUNTIF(ICSE!$AF:$AH,A10)</f>
        <v>3</v>
      </c>
      <c r="C10" s="444">
        <f>COUNTIF(FSE!AF:AG,A10)</f>
        <v>2</v>
      </c>
      <c r="D10" s="444">
        <f t="shared" si="3"/>
        <v>5</v>
      </c>
      <c r="E10" s="445"/>
      <c r="F10" s="447"/>
      <c r="G10" s="447"/>
      <c r="H10" s="447"/>
      <c r="I10" s="443" t="s">
        <v>7431</v>
      </c>
      <c r="J10" s="443" t="s">
        <v>7434</v>
      </c>
    </row>
    <row r="11">
      <c r="A11" s="443" t="str">
        <f t="shared" si="2"/>
        <v>Barriers (Technical issues)</v>
      </c>
      <c r="B11" s="444">
        <f>COUNTIF(ICSE!$AF:$AH,A11)</f>
        <v>3</v>
      </c>
      <c r="C11" s="444">
        <f>COUNTIF(FSE!AF:AG,A11)</f>
        <v>0</v>
      </c>
      <c r="D11" s="444">
        <f t="shared" si="3"/>
        <v>3</v>
      </c>
      <c r="E11" s="445"/>
      <c r="F11" s="448"/>
      <c r="G11" s="448"/>
      <c r="H11" s="448"/>
      <c r="I11" s="443" t="s">
        <v>7431</v>
      </c>
      <c r="J11" s="443" t="s">
        <v>7435</v>
      </c>
    </row>
    <row r="12">
      <c r="A12" s="436" t="str">
        <f t="shared" si="2"/>
        <v>Limited access (Request required)</v>
      </c>
      <c r="B12" s="437">
        <f>COUNTIF(ICSE!$AF:$AH,A12)</f>
        <v>9</v>
      </c>
      <c r="C12" s="437">
        <f>COUNTIF(FSE!AF:AG,A12)</f>
        <v>4</v>
      </c>
      <c r="D12" s="437">
        <f t="shared" si="3"/>
        <v>13</v>
      </c>
      <c r="E12" s="438"/>
      <c r="F12" s="449">
        <f>SUMIF($I$8:$I$16,$I12,$B$8:$B$16)</f>
        <v>11</v>
      </c>
      <c r="G12" s="449">
        <f>SUMIF($I$8:$I$16,$I12,$C$8:$C$16)</f>
        <v>4</v>
      </c>
      <c r="H12" s="449">
        <f>F12+G12</f>
        <v>15</v>
      </c>
      <c r="I12" s="436" t="s">
        <v>7436</v>
      </c>
      <c r="J12" s="436" t="s">
        <v>7437</v>
      </c>
    </row>
    <row r="13">
      <c r="A13" s="436" t="str">
        <f t="shared" si="2"/>
        <v>Limited access (Physical access)</v>
      </c>
      <c r="B13" s="437">
        <f>COUNTIF(ICSE!$AF:$AH,A13)</f>
        <v>1</v>
      </c>
      <c r="C13" s="437">
        <f>COUNTIF(FSE!AF:AG,A13)</f>
        <v>0</v>
      </c>
      <c r="D13" s="437">
        <f t="shared" si="3"/>
        <v>1</v>
      </c>
      <c r="E13" s="438"/>
      <c r="F13" s="447"/>
      <c r="G13" s="447"/>
      <c r="H13" s="447"/>
      <c r="I13" s="436" t="s">
        <v>7436</v>
      </c>
      <c r="J13" s="436" t="s">
        <v>7438</v>
      </c>
    </row>
    <row r="14">
      <c r="A14" s="436" t="str">
        <f t="shared" si="2"/>
        <v>Limited access (Credentials required)</v>
      </c>
      <c r="B14" s="437">
        <f>COUNTIF(ICSE!$AF:$AH,A14)</f>
        <v>1</v>
      </c>
      <c r="C14" s="437">
        <f>COUNTIF(FSE!AF:AG,A14)</f>
        <v>0</v>
      </c>
      <c r="D14" s="437">
        <f t="shared" si="3"/>
        <v>1</v>
      </c>
      <c r="E14" s="438"/>
      <c r="F14" s="448"/>
      <c r="G14" s="448"/>
      <c r="H14" s="448"/>
      <c r="I14" s="436" t="s">
        <v>7436</v>
      </c>
      <c r="J14" s="436" t="s">
        <v>7439</v>
      </c>
    </row>
    <row r="15">
      <c r="A15" s="443" t="str">
        <f t="shared" si="2"/>
        <v>Future plans (—)</v>
      </c>
      <c r="B15" s="444">
        <f>COUNTIF(ICSE!$AF:$AH,A15)</f>
        <v>14</v>
      </c>
      <c r="C15" s="444">
        <f>COUNTIF(FSE!AF:AG,A15)</f>
        <v>12</v>
      </c>
      <c r="D15" s="444">
        <f t="shared" si="3"/>
        <v>26</v>
      </c>
      <c r="E15" s="445"/>
      <c r="F15" s="445">
        <f t="shared" ref="F15:F16" si="4">SUMIF($I$8:$I$16,$I15,$B$8:$B$16)</f>
        <v>14</v>
      </c>
      <c r="G15" s="445">
        <f t="shared" ref="G15:G16" si="5">SUMIF($I$8:$I$16,$I15,$C$8:$C$16)</f>
        <v>12</v>
      </c>
      <c r="H15" s="445">
        <f t="shared" ref="H15:H16" si="6">F15+G15</f>
        <v>26</v>
      </c>
      <c r="I15" s="443" t="s">
        <v>7440</v>
      </c>
      <c r="J15" s="443" t="s">
        <v>7441</v>
      </c>
    </row>
    <row r="16">
      <c r="A16" s="436" t="str">
        <f t="shared" si="2"/>
        <v>No reason (—)</v>
      </c>
      <c r="B16" s="437">
        <f>COUNTIF(ICSE!$AF:$AH,A16)</f>
        <v>2</v>
      </c>
      <c r="C16" s="437">
        <f>COUNTIF(FSE!AF:AG,A16)</f>
        <v>3</v>
      </c>
      <c r="D16" s="437">
        <f t="shared" si="3"/>
        <v>5</v>
      </c>
      <c r="E16" s="438"/>
      <c r="F16" s="438">
        <f t="shared" si="4"/>
        <v>2</v>
      </c>
      <c r="G16" s="438">
        <f t="shared" si="5"/>
        <v>3</v>
      </c>
      <c r="H16" s="438">
        <f t="shared" si="6"/>
        <v>5</v>
      </c>
      <c r="I16" s="436" t="s">
        <v>7442</v>
      </c>
      <c r="J16" s="436" t="s">
        <v>7441</v>
      </c>
    </row>
    <row r="17">
      <c r="A17" s="200"/>
      <c r="B17" s="439"/>
      <c r="C17" s="439"/>
      <c r="D17" s="439"/>
      <c r="E17" s="440"/>
      <c r="F17" s="440"/>
      <c r="G17" s="440"/>
      <c r="H17" s="440"/>
      <c r="I17" s="439"/>
      <c r="J17" s="440"/>
    </row>
    <row r="18">
      <c r="A18" s="439"/>
      <c r="B18" s="439"/>
      <c r="C18" s="439"/>
      <c r="D18" s="439"/>
      <c r="E18" s="440"/>
      <c r="F18" s="440"/>
      <c r="G18" s="440"/>
      <c r="H18" s="440"/>
      <c r="I18" s="450"/>
      <c r="J18" s="450"/>
    </row>
    <row r="19">
      <c r="A19" s="451" t="s">
        <v>7382</v>
      </c>
      <c r="B19" s="434" t="s">
        <v>5675</v>
      </c>
      <c r="C19" s="434" t="s">
        <v>5676</v>
      </c>
      <c r="D19" s="434" t="s">
        <v>5678</v>
      </c>
      <c r="E19" s="440"/>
      <c r="F19" s="163" t="str">
        <f>"Link ("&amp;SUBSTITUTE(ADDRESS(ROW(ICSE!K1),COLUMN(ICSE!K1),4),1,")")</f>
        <v>Link (K)</v>
      </c>
      <c r="G19" s="439" t="str">
        <f>"Statement ("&amp;SUBSTITUTE(ADDRESS(ROW(ICSE!AD1),COLUMN(ICSE!AD1),4),1,")")</f>
        <v>Statement (AD)</v>
      </c>
      <c r="I19" s="450"/>
      <c r="J19" s="450"/>
    </row>
    <row r="20">
      <c r="A20" s="452" t="s">
        <v>7443</v>
      </c>
      <c r="B20" s="452">
        <f>COUNTIFS(ICSE!K:K,F20,ICSE!AD:AD,G20)</f>
        <v>50</v>
      </c>
      <c r="C20" s="452">
        <f>COUNTIFS(FSE!K:K,F20,FSE!AD:AD,G20)</f>
        <v>30</v>
      </c>
      <c r="D20" s="453">
        <f t="shared" ref="D20:D23" si="7">SUM(B20:C20)</f>
        <v>80</v>
      </c>
      <c r="E20" s="440"/>
      <c r="F20" s="163" t="s">
        <v>37</v>
      </c>
      <c r="G20" s="439" t="s">
        <v>37</v>
      </c>
      <c r="I20" s="450"/>
      <c r="J20" s="450"/>
    </row>
    <row r="21">
      <c r="A21" s="452" t="s">
        <v>7444</v>
      </c>
      <c r="B21" s="452">
        <f>COUNTIFS(ICSE!K:K,F21,ICSE!AD:AD,G21)</f>
        <v>18</v>
      </c>
      <c r="C21" s="452">
        <f>COUNTIFS(FSE!K:K,F21,FSE!AD:AD,G21)</f>
        <v>7</v>
      </c>
      <c r="D21" s="453">
        <f t="shared" si="7"/>
        <v>25</v>
      </c>
      <c r="E21" s="440"/>
      <c r="F21" s="163" t="s">
        <v>35</v>
      </c>
      <c r="G21" s="439" t="s">
        <v>37</v>
      </c>
      <c r="I21" s="450"/>
      <c r="J21" s="450"/>
    </row>
    <row r="22">
      <c r="A22" s="452" t="s">
        <v>7445</v>
      </c>
      <c r="B22" s="452">
        <f>COUNTIFS(ICSE!K:K,F22,ICSE!AD:AD,G22)</f>
        <v>951</v>
      </c>
      <c r="C22" s="452">
        <f>COUNTIFS(FSE!K:K,F22,FSE!AD:AD,G22)</f>
        <v>665</v>
      </c>
      <c r="D22" s="453">
        <f t="shared" si="7"/>
        <v>1616</v>
      </c>
      <c r="E22" s="440"/>
      <c r="F22" s="163" t="s">
        <v>37</v>
      </c>
      <c r="G22" s="439" t="s">
        <v>35</v>
      </c>
      <c r="I22" s="450"/>
      <c r="J22" s="450"/>
    </row>
    <row r="23">
      <c r="A23" s="452" t="s">
        <v>7446</v>
      </c>
      <c r="B23" s="452">
        <f>COUNTIFS(ICSE!K:K,F23,ICSE!AD:AD,G23)</f>
        <v>217</v>
      </c>
      <c r="C23" s="452">
        <f>COUNTIFS(FSE!K:K,F23,FSE!AD:AD,G23)</f>
        <v>138</v>
      </c>
      <c r="D23" s="453">
        <f t="shared" si="7"/>
        <v>355</v>
      </c>
      <c r="E23" s="440"/>
      <c r="F23" s="163" t="s">
        <v>35</v>
      </c>
      <c r="G23" s="439" t="s">
        <v>35</v>
      </c>
      <c r="I23" s="450"/>
      <c r="J23" s="450"/>
    </row>
    <row r="24" ht="1.5" customHeight="1">
      <c r="A24" s="200"/>
      <c r="B24" s="200"/>
      <c r="C24" s="200"/>
      <c r="D24" s="200"/>
      <c r="E24" s="200"/>
      <c r="F24" s="454"/>
      <c r="G24" s="454"/>
      <c r="H24" s="454"/>
    </row>
    <row r="25">
      <c r="A25" s="438" t="s">
        <v>7447</v>
      </c>
      <c r="B25" s="455">
        <f t="shared" ref="B25:C25" si="8">B21+B23</f>
        <v>235</v>
      </c>
      <c r="C25" s="455">
        <f t="shared" si="8"/>
        <v>145</v>
      </c>
      <c r="D25" s="453">
        <f t="shared" ref="D25:D26" si="9">SUM(B25:C25)</f>
        <v>380</v>
      </c>
      <c r="E25" s="200"/>
      <c r="F25" s="163" t="s">
        <v>35</v>
      </c>
      <c r="G25" s="439" t="s">
        <v>7448</v>
      </c>
      <c r="I25" s="450"/>
      <c r="J25" s="450"/>
    </row>
    <row r="26">
      <c r="A26" s="456" t="s">
        <v>7449</v>
      </c>
      <c r="B26" s="455">
        <f>countifs(ICSE!AI:AI,"*Future plans*",ICSE!K:K,"No")</f>
        <v>6</v>
      </c>
      <c r="C26" s="455">
        <f>COUNTIFS(FSE!AF:AF,"*Future plans*",FSE!K:K,"No")+COUNTIFS(FSE!AG:AG,"Future plans",FSE!K:K,"No")</f>
        <v>4</v>
      </c>
      <c r="D26" s="453">
        <f t="shared" si="9"/>
        <v>10</v>
      </c>
      <c r="E26" s="200"/>
      <c r="F26" s="163" t="s">
        <v>35</v>
      </c>
      <c r="G26" s="439" t="s">
        <v>37</v>
      </c>
      <c r="I26" s="450"/>
      <c r="J26" s="450"/>
    </row>
  </sheetData>
  <mergeCells count="15">
    <mergeCell ref="H12:H14"/>
    <mergeCell ref="G19:H19"/>
    <mergeCell ref="G20:H20"/>
    <mergeCell ref="G21:H21"/>
    <mergeCell ref="G22:H22"/>
    <mergeCell ref="G23:H23"/>
    <mergeCell ref="G25:H25"/>
    <mergeCell ref="G26:H26"/>
    <mergeCell ref="B6:D6"/>
    <mergeCell ref="F6:H6"/>
    <mergeCell ref="F8:F11"/>
    <mergeCell ref="G8:G11"/>
    <mergeCell ref="H8:H11"/>
    <mergeCell ref="F12:F14"/>
    <mergeCell ref="G12:G1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9" width="10.38"/>
    <col customWidth="1" min="10" max="10" width="6.88"/>
    <col customWidth="1" min="11" max="12" width="2.75"/>
    <col customWidth="1" min="13" max="13" width="5.13"/>
    <col customWidth="1" min="14" max="14" width="15.13"/>
    <col customWidth="1" min="15" max="15" width="14.25"/>
    <col customWidth="1" min="16" max="16" width="20.0"/>
    <col customWidth="1" min="17" max="17" width="2.38"/>
  </cols>
  <sheetData>
    <row r="1">
      <c r="A1" s="376" t="s">
        <v>5685</v>
      </c>
      <c r="B1" s="457" t="s">
        <v>37</v>
      </c>
      <c r="D1" s="458" t="s">
        <v>35</v>
      </c>
      <c r="F1" s="459" t="s">
        <v>37</v>
      </c>
      <c r="H1" s="460" t="s">
        <v>35</v>
      </c>
      <c r="J1" s="461"/>
      <c r="K1" s="461"/>
      <c r="L1" s="461"/>
      <c r="M1" s="461"/>
      <c r="N1" s="462" t="s">
        <v>7450</v>
      </c>
      <c r="O1" s="462" t="s">
        <v>7451</v>
      </c>
      <c r="P1" s="462" t="s">
        <v>7452</v>
      </c>
      <c r="Q1" s="461"/>
    </row>
    <row r="2">
      <c r="A2" s="376" t="s">
        <v>7453</v>
      </c>
      <c r="B2" s="457" t="s">
        <v>37</v>
      </c>
      <c r="D2" s="458" t="s">
        <v>37</v>
      </c>
      <c r="F2" s="459" t="s">
        <v>35</v>
      </c>
      <c r="H2" s="460" t="s">
        <v>35</v>
      </c>
      <c r="J2" s="461"/>
      <c r="K2" s="461"/>
      <c r="L2" s="461"/>
      <c r="M2" s="461"/>
      <c r="Q2" s="461"/>
    </row>
    <row r="3">
      <c r="A3" s="376" t="s">
        <v>7454</v>
      </c>
      <c r="B3" s="463" t="s">
        <v>7443</v>
      </c>
      <c r="D3" s="464" t="s">
        <v>7444</v>
      </c>
      <c r="F3" s="465" t="s">
        <v>7445</v>
      </c>
      <c r="H3" s="466" t="s">
        <v>7446</v>
      </c>
      <c r="J3" s="467" t="s">
        <v>7386</v>
      </c>
      <c r="K3" s="467"/>
      <c r="L3" s="467"/>
      <c r="M3" s="467"/>
      <c r="Q3" s="467"/>
    </row>
    <row r="4">
      <c r="A4" s="378" t="s">
        <v>2</v>
      </c>
      <c r="B4" s="468" t="s">
        <v>7346</v>
      </c>
      <c r="C4" s="468" t="s">
        <v>7347</v>
      </c>
      <c r="D4" s="469" t="s">
        <v>7346</v>
      </c>
      <c r="E4" s="469" t="s">
        <v>7347</v>
      </c>
      <c r="F4" s="470" t="s">
        <v>7346</v>
      </c>
      <c r="G4" s="470" t="s">
        <v>7347</v>
      </c>
      <c r="H4" s="471" t="s">
        <v>7346</v>
      </c>
      <c r="I4" s="471" t="s">
        <v>7347</v>
      </c>
      <c r="K4" s="467"/>
      <c r="L4" s="467"/>
      <c r="M4" s="378" t="s">
        <v>2</v>
      </c>
      <c r="N4" s="472" t="s">
        <v>7346</v>
      </c>
      <c r="O4" s="472" t="s">
        <v>7346</v>
      </c>
      <c r="P4" s="472" t="s">
        <v>7347</v>
      </c>
      <c r="Q4" s="467"/>
    </row>
    <row r="5">
      <c r="A5" s="378">
        <v>2014.0</v>
      </c>
      <c r="B5" s="473">
        <f>countifs(ICSE!$C:$C,$A5,ICSE!$AD:$AD,B$2,ICSE!$K:$K,B$1)</f>
        <v>2</v>
      </c>
      <c r="C5" s="473" t="str">
        <f t="shared" ref="C5:C14" si="1">text((B5/$J5)*100, "#0.0")</f>
        <v>2.0</v>
      </c>
      <c r="D5" s="474">
        <f>countifs(ICSE!$C:$C,$A5,ICSE!$AD:$AD,D$2,ICSE!$K:$K,D$1)</f>
        <v>2</v>
      </c>
      <c r="E5" s="474" t="str">
        <f t="shared" ref="E5:E14" si="2">text((D5/$J5)*100, "#0.0")</f>
        <v>2.0</v>
      </c>
      <c r="F5" s="475">
        <f>countifs(ICSE!$C:$C,$A5,ICSE!$AD:$AD,F$2,ICSE!$K:$K,F$1)</f>
        <v>60</v>
      </c>
      <c r="G5" s="475" t="str">
        <f t="shared" ref="G5:G14" si="3">text((F5/$J5)*100, "#0.0")</f>
        <v>61.2</v>
      </c>
      <c r="H5" s="476">
        <f>countifs(ICSE!$C:$C,$A5,ICSE!$AD:$AD,H$2,ICSE!$K:$K,H$1)</f>
        <v>34</v>
      </c>
      <c r="I5" s="476" t="str">
        <f t="shared" ref="I5:I14" si="4">text((H5/$J5)*100, "#0.0")</f>
        <v>34.7</v>
      </c>
      <c r="J5" s="477">
        <f>PapersOverview!B3</f>
        <v>98</v>
      </c>
      <c r="K5" s="478"/>
      <c r="L5" s="478"/>
      <c r="M5" s="378">
        <v>2014.0</v>
      </c>
      <c r="N5" s="479">
        <f t="shared" ref="N5:N14" si="5">H5+D5</f>
        <v>36</v>
      </c>
      <c r="O5" s="480">
        <f t="shared" ref="O5:O14" si="6">D5</f>
        <v>2</v>
      </c>
      <c r="P5" s="481" t="str">
        <f t="shared" ref="P5:P14" si="7">TEXT((O5/N5)*100, "#0.0")</f>
        <v>5.6</v>
      </c>
      <c r="Q5" s="478"/>
    </row>
    <row r="6">
      <c r="A6" s="378">
        <v>2015.0</v>
      </c>
      <c r="B6" s="473">
        <f>countifs(ICSE!$C:$C,$A6,ICSE!$AD:$AD,B$2,ICSE!$K:$K,B$1)</f>
        <v>2</v>
      </c>
      <c r="C6" s="473" t="str">
        <f t="shared" si="1"/>
        <v>2.4</v>
      </c>
      <c r="D6" s="474">
        <f>countifs(ICSE!$C:$C,$A6,ICSE!$AD:$AD,D$2,ICSE!$K:$K,D$1)</f>
        <v>1</v>
      </c>
      <c r="E6" s="474" t="str">
        <f t="shared" si="2"/>
        <v>1.2</v>
      </c>
      <c r="F6" s="475">
        <f>countifs(ICSE!$C:$C,$A6,ICSE!$AD:$AD,F$2,ICSE!$K:$K,F$1)</f>
        <v>47</v>
      </c>
      <c r="G6" s="475" t="str">
        <f t="shared" si="3"/>
        <v>56.0</v>
      </c>
      <c r="H6" s="476">
        <f>countifs(ICSE!$C:$C,$A6,ICSE!$AD:$AD,H$2,ICSE!$K:$K,H$1)</f>
        <v>34</v>
      </c>
      <c r="I6" s="476" t="str">
        <f t="shared" si="4"/>
        <v>40.5</v>
      </c>
      <c r="J6" s="477">
        <f>PapersOverview!B4</f>
        <v>84</v>
      </c>
      <c r="K6" s="478"/>
      <c r="L6" s="478"/>
      <c r="M6" s="378">
        <v>2015.0</v>
      </c>
      <c r="N6" s="479">
        <f t="shared" si="5"/>
        <v>35</v>
      </c>
      <c r="O6" s="480">
        <f t="shared" si="6"/>
        <v>1</v>
      </c>
      <c r="P6" s="481" t="str">
        <f t="shared" si="7"/>
        <v>2.9</v>
      </c>
      <c r="Q6" s="478"/>
    </row>
    <row r="7">
      <c r="A7" s="378">
        <v>2016.0</v>
      </c>
      <c r="B7" s="473">
        <f>countifs(ICSE!$C:$C,$A7,ICSE!$AD:$AD,B$2,ICSE!$K:$K,B$1)</f>
        <v>6</v>
      </c>
      <c r="C7" s="473" t="str">
        <f t="shared" si="1"/>
        <v>5.9</v>
      </c>
      <c r="D7" s="474">
        <f>countifs(ICSE!$C:$C,$A7,ICSE!$AD:$AD,D$2,ICSE!$K:$K,D$1)</f>
        <v>4</v>
      </c>
      <c r="E7" s="474" t="str">
        <f t="shared" si="2"/>
        <v>4.0</v>
      </c>
      <c r="F7" s="475">
        <f>countifs(ICSE!$C:$C,$A7,ICSE!$AD:$AD,F$2,ICSE!$K:$K,F$1)</f>
        <v>64</v>
      </c>
      <c r="G7" s="475" t="str">
        <f t="shared" si="3"/>
        <v>63.4</v>
      </c>
      <c r="H7" s="476">
        <f>countifs(ICSE!$C:$C,$A7,ICSE!$AD:$AD,H$2,ICSE!$K:$K,H$1)</f>
        <v>27</v>
      </c>
      <c r="I7" s="476" t="str">
        <f t="shared" si="4"/>
        <v>26.7</v>
      </c>
      <c r="J7" s="477">
        <f>PapersOverview!B5</f>
        <v>101</v>
      </c>
      <c r="K7" s="478"/>
      <c r="L7" s="478"/>
      <c r="M7" s="378">
        <v>2016.0</v>
      </c>
      <c r="N7" s="479">
        <f t="shared" si="5"/>
        <v>31</v>
      </c>
      <c r="O7" s="480">
        <f t="shared" si="6"/>
        <v>4</v>
      </c>
      <c r="P7" s="481" t="str">
        <f t="shared" si="7"/>
        <v>12.9</v>
      </c>
      <c r="Q7" s="478"/>
    </row>
    <row r="8">
      <c r="A8" s="378">
        <v>2017.0</v>
      </c>
      <c r="B8" s="473">
        <f>countifs(ICSE!$C:$C,$A8,ICSE!$AD:$AD,B$2,ICSE!$K:$K,B$1)</f>
        <v>5</v>
      </c>
      <c r="C8" s="473" t="str">
        <f t="shared" si="1"/>
        <v>7.4</v>
      </c>
      <c r="D8" s="474">
        <f>countifs(ICSE!$C:$C,$A8,ICSE!$AD:$AD,D$2,ICSE!$K:$K,D$1)</f>
        <v>0</v>
      </c>
      <c r="E8" s="474" t="str">
        <f t="shared" si="2"/>
        <v>0.0</v>
      </c>
      <c r="F8" s="475">
        <f>countifs(ICSE!$C:$C,$A8,ICSE!$AD:$AD,F$2,ICSE!$K:$K,F$1)</f>
        <v>51</v>
      </c>
      <c r="G8" s="475" t="str">
        <f t="shared" si="3"/>
        <v>75.0</v>
      </c>
      <c r="H8" s="476">
        <f>countifs(ICSE!$C:$C,$A8,ICSE!$AD:$AD,H$2,ICSE!$K:$K,H$1)</f>
        <v>12</v>
      </c>
      <c r="I8" s="476" t="str">
        <f t="shared" si="4"/>
        <v>17.6</v>
      </c>
      <c r="J8" s="477">
        <f>PapersOverview!B6</f>
        <v>68</v>
      </c>
      <c r="K8" s="478"/>
      <c r="L8" s="478"/>
      <c r="M8" s="378">
        <v>2017.0</v>
      </c>
      <c r="N8" s="479">
        <f t="shared" si="5"/>
        <v>12</v>
      </c>
      <c r="O8" s="480">
        <f t="shared" si="6"/>
        <v>0</v>
      </c>
      <c r="P8" s="481" t="str">
        <f t="shared" si="7"/>
        <v>0.0</v>
      </c>
      <c r="Q8" s="478"/>
    </row>
    <row r="9">
      <c r="A9" s="378">
        <v>2018.0</v>
      </c>
      <c r="B9" s="473">
        <f>countifs(ICSE!$C:$C,$A9,ICSE!$AD:$AD,B$2,ICSE!$K:$K,B$1)</f>
        <v>2</v>
      </c>
      <c r="C9" s="473" t="str">
        <f t="shared" si="1"/>
        <v>1.9</v>
      </c>
      <c r="D9" s="474">
        <f>countifs(ICSE!$C:$C,$A9,ICSE!$AD:$AD,D$2,ICSE!$K:$K,D$1)</f>
        <v>2</v>
      </c>
      <c r="E9" s="474" t="str">
        <f t="shared" si="2"/>
        <v>1.9</v>
      </c>
      <c r="F9" s="475">
        <f>countifs(ICSE!$C:$C,$A9,ICSE!$AD:$AD,F$2,ICSE!$K:$K,F$1)</f>
        <v>81</v>
      </c>
      <c r="G9" s="475" t="str">
        <f t="shared" si="3"/>
        <v>77.1</v>
      </c>
      <c r="H9" s="476">
        <f>countifs(ICSE!$C:$C,$A9,ICSE!$AD:$AD,H$2,ICSE!$K:$K,H$1)</f>
        <v>20</v>
      </c>
      <c r="I9" s="476" t="str">
        <f t="shared" si="4"/>
        <v>19.0</v>
      </c>
      <c r="J9" s="477">
        <f>PapersOverview!B7</f>
        <v>105</v>
      </c>
      <c r="K9" s="478"/>
      <c r="L9" s="478"/>
      <c r="M9" s="378">
        <v>2018.0</v>
      </c>
      <c r="N9" s="479">
        <f t="shared" si="5"/>
        <v>22</v>
      </c>
      <c r="O9" s="480">
        <f t="shared" si="6"/>
        <v>2</v>
      </c>
      <c r="P9" s="481" t="str">
        <f t="shared" si="7"/>
        <v>9.1</v>
      </c>
      <c r="Q9" s="478"/>
    </row>
    <row r="10">
      <c r="A10" s="378">
        <v>2019.0</v>
      </c>
      <c r="B10" s="473">
        <f>countifs(ICSE!$C:$C,$A10,ICSE!$AD:$AD,B$2,ICSE!$K:$K,B$1)</f>
        <v>1</v>
      </c>
      <c r="C10" s="473" t="str">
        <f t="shared" si="1"/>
        <v>0.9</v>
      </c>
      <c r="D10" s="474">
        <f>countifs(ICSE!$C:$C,$A10,ICSE!$AD:$AD,D$2,ICSE!$K:$K,D$1)</f>
        <v>1</v>
      </c>
      <c r="E10" s="474" t="str">
        <f t="shared" si="2"/>
        <v>0.9</v>
      </c>
      <c r="F10" s="475">
        <f>countifs(ICSE!$C:$C,$A10,ICSE!$AD:$AD,F$2,ICSE!$K:$K,F$1)</f>
        <v>78</v>
      </c>
      <c r="G10" s="475" t="str">
        <f t="shared" si="3"/>
        <v>71.6</v>
      </c>
      <c r="H10" s="476">
        <f>countifs(ICSE!$C:$C,$A10,ICSE!$AD:$AD,H$2,ICSE!$K:$K,H$1)</f>
        <v>29</v>
      </c>
      <c r="I10" s="476" t="str">
        <f t="shared" si="4"/>
        <v>26.6</v>
      </c>
      <c r="J10" s="477">
        <f>PapersOverview!B8</f>
        <v>109</v>
      </c>
      <c r="K10" s="478"/>
      <c r="L10" s="478"/>
      <c r="M10" s="378">
        <v>2019.0</v>
      </c>
      <c r="N10" s="479">
        <f t="shared" si="5"/>
        <v>30</v>
      </c>
      <c r="O10" s="480">
        <f t="shared" si="6"/>
        <v>1</v>
      </c>
      <c r="P10" s="481" t="str">
        <f t="shared" si="7"/>
        <v>3.3</v>
      </c>
      <c r="Q10" s="478"/>
    </row>
    <row r="11">
      <c r="A11" s="378">
        <v>2020.0</v>
      </c>
      <c r="B11" s="473">
        <f>countifs(ICSE!$C:$C,$A11,ICSE!$AD:$AD,B$2,ICSE!$K:$K,B$1)</f>
        <v>5</v>
      </c>
      <c r="C11" s="473" t="str">
        <f t="shared" si="1"/>
        <v>3.9</v>
      </c>
      <c r="D11" s="474">
        <f>countifs(ICSE!$C:$C,$A11,ICSE!$AD:$AD,D$2,ICSE!$K:$K,D$1)</f>
        <v>0</v>
      </c>
      <c r="E11" s="474" t="str">
        <f t="shared" si="2"/>
        <v>0.0</v>
      </c>
      <c r="F11" s="475">
        <f>countifs(ICSE!$C:$C,$A11,ICSE!$AD:$AD,F$2,ICSE!$K:$K,F$1)</f>
        <v>101</v>
      </c>
      <c r="G11" s="475" t="str">
        <f t="shared" si="3"/>
        <v>78.3</v>
      </c>
      <c r="H11" s="476">
        <f>countifs(ICSE!$C:$C,$A11,ICSE!$AD:$AD,H$2,ICSE!$K:$K,H$1)</f>
        <v>23</v>
      </c>
      <c r="I11" s="476" t="str">
        <f t="shared" si="4"/>
        <v>17.8</v>
      </c>
      <c r="J11" s="477">
        <f>PapersOverview!B9</f>
        <v>129</v>
      </c>
      <c r="K11" s="478"/>
      <c r="L11" s="478"/>
      <c r="M11" s="378">
        <v>2020.0</v>
      </c>
      <c r="N11" s="479">
        <f t="shared" si="5"/>
        <v>23</v>
      </c>
      <c r="O11" s="480">
        <f t="shared" si="6"/>
        <v>0</v>
      </c>
      <c r="P11" s="481" t="str">
        <f t="shared" si="7"/>
        <v>0.0</v>
      </c>
      <c r="Q11" s="478"/>
    </row>
    <row r="12">
      <c r="A12" s="378">
        <v>2021.0</v>
      </c>
      <c r="B12" s="473">
        <f>countifs(ICSE!$C:$C,$A12,ICSE!$AD:$AD,B$2,ICSE!$K:$K,B$1)</f>
        <v>8</v>
      </c>
      <c r="C12" s="473" t="str">
        <f t="shared" si="1"/>
        <v>5.8</v>
      </c>
      <c r="D12" s="474">
        <f>countifs(ICSE!$C:$C,$A12,ICSE!$AD:$AD,D$2,ICSE!$K:$K,D$1)</f>
        <v>3</v>
      </c>
      <c r="E12" s="474" t="str">
        <f t="shared" si="2"/>
        <v>2.2</v>
      </c>
      <c r="F12" s="475">
        <f>countifs(ICSE!$C:$C,$A12,ICSE!$AD:$AD,F$2,ICSE!$K:$K,F$1)</f>
        <v>112</v>
      </c>
      <c r="G12" s="475" t="str">
        <f t="shared" si="3"/>
        <v>81.2</v>
      </c>
      <c r="H12" s="476">
        <f>countifs(ICSE!$C:$C,$A12,ICSE!$AD:$AD,H$2,ICSE!$K:$K,H$1)</f>
        <v>15</v>
      </c>
      <c r="I12" s="476" t="str">
        <f t="shared" si="4"/>
        <v>10.9</v>
      </c>
      <c r="J12" s="477">
        <f>PapersOverview!B10</f>
        <v>138</v>
      </c>
      <c r="K12" s="478"/>
      <c r="L12" s="478"/>
      <c r="M12" s="378">
        <v>2021.0</v>
      </c>
      <c r="N12" s="479">
        <f t="shared" si="5"/>
        <v>18</v>
      </c>
      <c r="O12" s="480">
        <f t="shared" si="6"/>
        <v>3</v>
      </c>
      <c r="P12" s="481" t="str">
        <f t="shared" si="7"/>
        <v>16.7</v>
      </c>
      <c r="Q12" s="478"/>
    </row>
    <row r="13">
      <c r="A13" s="378">
        <v>2022.0</v>
      </c>
      <c r="B13" s="473">
        <f>countifs(ICSE!$C:$C,$A13,ICSE!$AD:$AD,B$2,ICSE!$K:$K,B$1)</f>
        <v>9</v>
      </c>
      <c r="C13" s="473" t="str">
        <f t="shared" si="1"/>
        <v>4.6</v>
      </c>
      <c r="D13" s="474">
        <f>countifs(ICSE!$C:$C,$A13,ICSE!$AD:$AD,D$2,ICSE!$K:$K,D$1)</f>
        <v>4</v>
      </c>
      <c r="E13" s="474" t="str">
        <f t="shared" si="2"/>
        <v>2.0</v>
      </c>
      <c r="F13" s="475">
        <f>countifs(ICSE!$C:$C,$A13,ICSE!$AD:$AD,F$2,ICSE!$K:$K,F$1)</f>
        <v>167</v>
      </c>
      <c r="G13" s="475" t="str">
        <f t="shared" si="3"/>
        <v>84.8</v>
      </c>
      <c r="H13" s="476">
        <f>countifs(ICSE!$C:$C,$A13,ICSE!$AD:$AD,H$2,ICSE!$K:$K,H$1)</f>
        <v>17</v>
      </c>
      <c r="I13" s="476" t="str">
        <f t="shared" si="4"/>
        <v>8.6</v>
      </c>
      <c r="J13" s="477">
        <f>PapersOverview!B11</f>
        <v>197</v>
      </c>
      <c r="K13" s="478"/>
      <c r="L13" s="478"/>
      <c r="M13" s="378">
        <v>2022.0</v>
      </c>
      <c r="N13" s="479">
        <f t="shared" si="5"/>
        <v>21</v>
      </c>
      <c r="O13" s="480">
        <f t="shared" si="6"/>
        <v>4</v>
      </c>
      <c r="P13" s="481" t="str">
        <f t="shared" si="7"/>
        <v>19.0</v>
      </c>
      <c r="Q13" s="478"/>
    </row>
    <row r="14">
      <c r="A14" s="378">
        <v>2023.0</v>
      </c>
      <c r="B14" s="473">
        <f>countifs(ICSE!$C:$C,$A14,ICSE!$AD:$AD,B$2,ICSE!$K:$K,B$1)</f>
        <v>10</v>
      </c>
      <c r="C14" s="473" t="str">
        <f t="shared" si="1"/>
        <v>4.8</v>
      </c>
      <c r="D14" s="474">
        <f>countifs(ICSE!$C:$C,$A14,ICSE!$AD:$AD,D$2,ICSE!$K:$K,D$1)</f>
        <v>1</v>
      </c>
      <c r="E14" s="474" t="str">
        <f t="shared" si="2"/>
        <v>0.5</v>
      </c>
      <c r="F14" s="475">
        <f>countifs(ICSE!$C:$C,$A14,ICSE!$AD:$AD,F$2,ICSE!$K:$K,F$1)</f>
        <v>190</v>
      </c>
      <c r="G14" s="475" t="str">
        <f t="shared" si="3"/>
        <v>91.8</v>
      </c>
      <c r="H14" s="476">
        <f>countifs(ICSE!$C:$C,$A14,ICSE!$AD:$AD,H$2,ICSE!$K:$K,H$1)</f>
        <v>6</v>
      </c>
      <c r="I14" s="476" t="str">
        <f t="shared" si="4"/>
        <v>2.9</v>
      </c>
      <c r="J14" s="477">
        <f>PapersOverview!B12</f>
        <v>207</v>
      </c>
      <c r="K14" s="478"/>
      <c r="L14" s="478"/>
      <c r="M14" s="378">
        <v>2023.0</v>
      </c>
      <c r="N14" s="479">
        <f t="shared" si="5"/>
        <v>7</v>
      </c>
      <c r="O14" s="480">
        <f t="shared" si="6"/>
        <v>1</v>
      </c>
      <c r="P14" s="481" t="str">
        <f t="shared" si="7"/>
        <v>14.3</v>
      </c>
      <c r="Q14" s="478"/>
    </row>
    <row r="15" ht="1.5" customHeight="1">
      <c r="A15" s="482"/>
      <c r="B15" s="482"/>
      <c r="C15" s="482"/>
      <c r="D15" s="482"/>
      <c r="E15" s="482"/>
      <c r="F15" s="482"/>
      <c r="G15" s="482"/>
      <c r="H15" s="482"/>
      <c r="I15" s="482"/>
      <c r="J15" s="461"/>
      <c r="K15" s="461"/>
      <c r="L15" s="461"/>
      <c r="M15" s="482"/>
      <c r="N15" s="461"/>
      <c r="O15" s="461"/>
      <c r="P15" s="461"/>
      <c r="Q15" s="461"/>
    </row>
    <row r="16">
      <c r="A16" s="483" t="s">
        <v>5678</v>
      </c>
      <c r="B16" s="484">
        <f>sum(B5:B14)</f>
        <v>50</v>
      </c>
      <c r="C16" s="485" t="s">
        <v>36</v>
      </c>
      <c r="D16" s="484">
        <f>sum(D5:D14)</f>
        <v>18</v>
      </c>
      <c r="E16" s="485" t="s">
        <v>36</v>
      </c>
      <c r="F16" s="484">
        <f>sum(F5:F14)</f>
        <v>951</v>
      </c>
      <c r="G16" s="485" t="s">
        <v>36</v>
      </c>
      <c r="H16" s="484">
        <f>sum(H5:H14)</f>
        <v>217</v>
      </c>
      <c r="I16" s="485" t="s">
        <v>36</v>
      </c>
      <c r="J16" s="461"/>
      <c r="K16" s="461"/>
      <c r="L16" s="461"/>
      <c r="M16" s="483" t="s">
        <v>5678</v>
      </c>
      <c r="N16" s="486">
        <f t="shared" ref="N16:O16" si="8">sum(N5:N14)</f>
        <v>235</v>
      </c>
      <c r="O16" s="484">
        <f t="shared" si="8"/>
        <v>18</v>
      </c>
      <c r="P16" s="485" t="s">
        <v>36</v>
      </c>
      <c r="Q16" s="461"/>
    </row>
    <row r="17">
      <c r="A17" s="482"/>
      <c r="B17" s="482"/>
      <c r="C17" s="482"/>
      <c r="D17" s="482"/>
      <c r="E17" s="482"/>
      <c r="F17" s="482"/>
      <c r="G17" s="482"/>
      <c r="H17" s="482"/>
      <c r="I17" s="482"/>
      <c r="J17" s="461"/>
      <c r="K17" s="461"/>
      <c r="L17" s="461"/>
      <c r="M17" s="482"/>
      <c r="N17" s="461"/>
      <c r="O17" s="461"/>
      <c r="P17" s="461"/>
      <c r="Q17" s="461"/>
    </row>
    <row r="18">
      <c r="A18" s="482"/>
      <c r="B18" s="482"/>
      <c r="C18" s="482"/>
      <c r="D18" s="482"/>
      <c r="E18" s="482"/>
      <c r="F18" s="482"/>
      <c r="G18" s="482"/>
      <c r="H18" s="482"/>
      <c r="I18" s="482"/>
      <c r="J18" s="461"/>
      <c r="K18" s="461"/>
      <c r="L18" s="461"/>
      <c r="M18" s="482"/>
      <c r="N18" s="461"/>
      <c r="O18" s="461"/>
      <c r="P18" s="461"/>
      <c r="Q18" s="461"/>
    </row>
    <row r="19">
      <c r="A19" s="376" t="s">
        <v>5685</v>
      </c>
      <c r="B19" s="457" t="s">
        <v>37</v>
      </c>
      <c r="D19" s="458" t="s">
        <v>35</v>
      </c>
      <c r="F19" s="459" t="s">
        <v>37</v>
      </c>
      <c r="H19" s="460" t="s">
        <v>35</v>
      </c>
      <c r="J19" s="461"/>
      <c r="K19" s="461"/>
      <c r="L19" s="461"/>
      <c r="M19" s="487"/>
      <c r="N19" s="462" t="s">
        <v>7450</v>
      </c>
      <c r="O19" s="462" t="s">
        <v>7451</v>
      </c>
      <c r="P19" s="462" t="s">
        <v>7452</v>
      </c>
      <c r="Q19" s="461"/>
    </row>
    <row r="20">
      <c r="A20" s="376" t="s">
        <v>7453</v>
      </c>
      <c r="B20" s="457" t="s">
        <v>37</v>
      </c>
      <c r="D20" s="458" t="s">
        <v>37</v>
      </c>
      <c r="F20" s="459" t="s">
        <v>35</v>
      </c>
      <c r="H20" s="460" t="s">
        <v>35</v>
      </c>
      <c r="J20" s="461"/>
      <c r="K20" s="461"/>
      <c r="L20" s="461"/>
      <c r="M20" s="487"/>
      <c r="Q20" s="461"/>
    </row>
    <row r="21">
      <c r="A21" s="376" t="s">
        <v>7454</v>
      </c>
      <c r="B21" s="463" t="s">
        <v>7443</v>
      </c>
      <c r="D21" s="464" t="s">
        <v>7444</v>
      </c>
      <c r="F21" s="465" t="s">
        <v>7445</v>
      </c>
      <c r="H21" s="466" t="s">
        <v>7446</v>
      </c>
      <c r="J21" s="467" t="s">
        <v>7386</v>
      </c>
      <c r="K21" s="467"/>
      <c r="L21" s="467"/>
      <c r="M21" s="487"/>
      <c r="Q21" s="467"/>
    </row>
    <row r="22">
      <c r="A22" s="378" t="s">
        <v>2</v>
      </c>
      <c r="B22" s="488" t="s">
        <v>7348</v>
      </c>
      <c r="C22" s="488" t="s">
        <v>7349</v>
      </c>
      <c r="D22" s="469" t="s">
        <v>7348</v>
      </c>
      <c r="E22" s="469" t="s">
        <v>7349</v>
      </c>
      <c r="F22" s="470" t="s">
        <v>7348</v>
      </c>
      <c r="G22" s="470" t="s">
        <v>7349</v>
      </c>
      <c r="H22" s="471" t="s">
        <v>7348</v>
      </c>
      <c r="I22" s="471" t="s">
        <v>7349</v>
      </c>
      <c r="K22" s="467"/>
      <c r="L22" s="467"/>
      <c r="M22" s="378"/>
      <c r="N22" s="472" t="s">
        <v>7348</v>
      </c>
      <c r="O22" s="472" t="s">
        <v>7348</v>
      </c>
      <c r="P22" s="472" t="s">
        <v>7349</v>
      </c>
      <c r="Q22" s="467"/>
    </row>
    <row r="23">
      <c r="A23" s="378">
        <v>2014.0</v>
      </c>
      <c r="B23" s="473">
        <f>COUNTIFS(FSE!$C:$C,$A23,FSE!$AD:$AD,B$20,FSE!$K:$K,B$19)</f>
        <v>2</v>
      </c>
      <c r="C23" s="473" t="str">
        <f t="shared" ref="C23:C32" si="9">TEXT((B23/$J23)*100, "#0.0")</f>
        <v>3.3</v>
      </c>
      <c r="D23" s="474">
        <f>COUNTIFS(FSE!$C:$C,$A23,FSE!$AD:$AD,D$20,FSE!$K:$K,D$19)</f>
        <v>1</v>
      </c>
      <c r="E23" s="474" t="str">
        <f t="shared" ref="E23:E32" si="10">TEXT((D23/$J23)*100, "#0.0")</f>
        <v>1.6</v>
      </c>
      <c r="F23" s="475">
        <f>COUNTIFS(FSE!$C:$C,$A23,FSE!$AD:$AD,F$20,FSE!$K:$K,F$19)</f>
        <v>33</v>
      </c>
      <c r="G23" s="475" t="str">
        <f t="shared" ref="G23:G32" si="11">TEXT((F23/$J23)*100, "#0.0")</f>
        <v>54.1</v>
      </c>
      <c r="H23" s="476">
        <f>COUNTIFS(FSE!$C:$C,$A23,FSE!$AD:$AD,H$20,FSE!$K:$K,H$19)</f>
        <v>25</v>
      </c>
      <c r="I23" s="476" t="str">
        <f t="shared" ref="I23:I32" si="12">TEXT((H23/$J23)*100, "#0.0")</f>
        <v>41.0</v>
      </c>
      <c r="J23" s="477">
        <f>PapersOverview!C3</f>
        <v>61</v>
      </c>
      <c r="K23" s="477"/>
      <c r="L23" s="477"/>
      <c r="M23" s="378">
        <v>2014.0</v>
      </c>
      <c r="N23" s="479">
        <f t="shared" ref="N23:N32" si="13">H23+D23</f>
        <v>26</v>
      </c>
      <c r="O23" s="480">
        <f t="shared" ref="O23:O32" si="14">D23</f>
        <v>1</v>
      </c>
      <c r="P23" s="481" t="str">
        <f t="shared" ref="P23:P32" si="15">TEXT((O23/N23)*100, "#0.0")</f>
        <v>3.8</v>
      </c>
      <c r="Q23" s="477"/>
    </row>
    <row r="24">
      <c r="A24" s="378">
        <v>2015.0</v>
      </c>
      <c r="B24" s="473">
        <f>COUNTIFS(FSE!$C:$C,$A24,FSE!$AD:$AD,B$20,FSE!$K:$K,B$19)</f>
        <v>2</v>
      </c>
      <c r="C24" s="473" t="str">
        <f t="shared" si="9"/>
        <v>2.7</v>
      </c>
      <c r="D24" s="474">
        <f>COUNTIFS(FSE!$C:$C,$A24,FSE!$AD:$AD,D$20,FSE!$K:$K,D$19)</f>
        <v>1</v>
      </c>
      <c r="E24" s="474" t="str">
        <f t="shared" si="10"/>
        <v>1.4</v>
      </c>
      <c r="F24" s="475">
        <f>COUNTIFS(FSE!$C:$C,$A24,FSE!$AD:$AD,F$20,FSE!$K:$K,F$19)</f>
        <v>46</v>
      </c>
      <c r="G24" s="475" t="str">
        <f t="shared" si="11"/>
        <v>62.2</v>
      </c>
      <c r="H24" s="476">
        <f>COUNTIFS(FSE!$C:$C,$A24,FSE!$AD:$AD,H$20,FSE!$K:$K,H$19)</f>
        <v>25</v>
      </c>
      <c r="I24" s="476" t="str">
        <f t="shared" si="12"/>
        <v>33.8</v>
      </c>
      <c r="J24" s="477">
        <f>PapersOverview!C4</f>
        <v>74</v>
      </c>
      <c r="K24" s="477"/>
      <c r="L24" s="477"/>
      <c r="M24" s="378">
        <v>2015.0</v>
      </c>
      <c r="N24" s="479">
        <f t="shared" si="13"/>
        <v>26</v>
      </c>
      <c r="O24" s="480">
        <f t="shared" si="14"/>
        <v>1</v>
      </c>
      <c r="P24" s="481" t="str">
        <f t="shared" si="15"/>
        <v>3.8</v>
      </c>
      <c r="Q24" s="477"/>
    </row>
    <row r="25">
      <c r="A25" s="378">
        <v>2016.0</v>
      </c>
      <c r="B25" s="473">
        <f>COUNTIFS(FSE!$C:$C,$A25,FSE!$AD:$AD,B$20,FSE!$K:$K,B$19)</f>
        <v>1</v>
      </c>
      <c r="C25" s="473" t="str">
        <f t="shared" si="9"/>
        <v>1.4</v>
      </c>
      <c r="D25" s="474">
        <f>COUNTIFS(FSE!$C:$C,$A25,FSE!$AD:$AD,D$20,FSE!$K:$K,D$19)</f>
        <v>0</v>
      </c>
      <c r="E25" s="474" t="str">
        <f t="shared" si="10"/>
        <v>0.0</v>
      </c>
      <c r="F25" s="475">
        <f>COUNTIFS(FSE!$C:$C,$A25,FSE!$AD:$AD,F$20,FSE!$K:$K,F$19)</f>
        <v>53</v>
      </c>
      <c r="G25" s="475" t="str">
        <f t="shared" si="11"/>
        <v>71.6</v>
      </c>
      <c r="H25" s="476">
        <f>COUNTIFS(FSE!$C:$C,$A25,FSE!$AD:$AD,H$20,FSE!$K:$K,H$19)</f>
        <v>20</v>
      </c>
      <c r="I25" s="476" t="str">
        <f t="shared" si="12"/>
        <v>27.0</v>
      </c>
      <c r="J25" s="477">
        <f>PapersOverview!C5</f>
        <v>74</v>
      </c>
      <c r="K25" s="477"/>
      <c r="L25" s="477"/>
      <c r="M25" s="378">
        <v>2016.0</v>
      </c>
      <c r="N25" s="479">
        <f t="shared" si="13"/>
        <v>20</v>
      </c>
      <c r="O25" s="480">
        <f t="shared" si="14"/>
        <v>0</v>
      </c>
      <c r="P25" s="481" t="str">
        <f t="shared" si="15"/>
        <v>0.0</v>
      </c>
      <c r="Q25" s="477"/>
    </row>
    <row r="26">
      <c r="A26" s="378">
        <v>2017.0</v>
      </c>
      <c r="B26" s="473">
        <f>COUNTIFS(FSE!$C:$C,$A26,FSE!$AD:$AD,B$20,FSE!$K:$K,B$19)</f>
        <v>1</v>
      </c>
      <c r="C26" s="473" t="str">
        <f t="shared" si="9"/>
        <v>1.4</v>
      </c>
      <c r="D26" s="474">
        <f>COUNTIFS(FSE!$C:$C,$A26,FSE!$AD:$AD,D$20,FSE!$K:$K,D$19)</f>
        <v>0</v>
      </c>
      <c r="E26" s="474" t="str">
        <f t="shared" si="10"/>
        <v>0.0</v>
      </c>
      <c r="F26" s="475">
        <f>COUNTIFS(FSE!$C:$C,$A26,FSE!$AD:$AD,F$20,FSE!$K:$K,F$19)</f>
        <v>52</v>
      </c>
      <c r="G26" s="475" t="str">
        <f t="shared" si="11"/>
        <v>72.2</v>
      </c>
      <c r="H26" s="476">
        <f>COUNTIFS(FSE!$C:$C,$A26,FSE!$AD:$AD,H$20,FSE!$K:$K,H$19)</f>
        <v>19</v>
      </c>
      <c r="I26" s="476" t="str">
        <f t="shared" si="12"/>
        <v>26.4</v>
      </c>
      <c r="J26" s="477">
        <f>PapersOverview!C6</f>
        <v>72</v>
      </c>
      <c r="K26" s="477"/>
      <c r="L26" s="477"/>
      <c r="M26" s="378">
        <v>2017.0</v>
      </c>
      <c r="N26" s="479">
        <f t="shared" si="13"/>
        <v>19</v>
      </c>
      <c r="O26" s="480">
        <f t="shared" si="14"/>
        <v>0</v>
      </c>
      <c r="P26" s="481" t="str">
        <f t="shared" si="15"/>
        <v>0.0</v>
      </c>
      <c r="Q26" s="477"/>
    </row>
    <row r="27">
      <c r="A27" s="378">
        <v>2018.0</v>
      </c>
      <c r="B27" s="473">
        <f>COUNTIFS(FSE!$C:$C,$A27,FSE!$AD:$AD,B$20,FSE!$K:$K,B$19)</f>
        <v>5</v>
      </c>
      <c r="C27" s="473" t="str">
        <f t="shared" si="9"/>
        <v>8.2</v>
      </c>
      <c r="D27" s="474">
        <f>COUNTIFS(FSE!$C:$C,$A27,FSE!$AD:$AD,D$20,FSE!$K:$K,D$19)</f>
        <v>0</v>
      </c>
      <c r="E27" s="474" t="str">
        <f t="shared" si="10"/>
        <v>0.0</v>
      </c>
      <c r="F27" s="475">
        <f>COUNTIFS(FSE!$C:$C,$A27,FSE!$AD:$AD,F$20,FSE!$K:$K,F$19)</f>
        <v>46</v>
      </c>
      <c r="G27" s="475" t="str">
        <f t="shared" si="11"/>
        <v>75.4</v>
      </c>
      <c r="H27" s="476">
        <f>COUNTIFS(FSE!$C:$C,$A27,FSE!$AD:$AD,H$20,FSE!$K:$K,H$19)</f>
        <v>10</v>
      </c>
      <c r="I27" s="476" t="str">
        <f t="shared" si="12"/>
        <v>16.4</v>
      </c>
      <c r="J27" s="477">
        <f>PapersOverview!C7</f>
        <v>61</v>
      </c>
      <c r="K27" s="477"/>
      <c r="L27" s="477"/>
      <c r="M27" s="378">
        <v>2018.0</v>
      </c>
      <c r="N27" s="479">
        <f t="shared" si="13"/>
        <v>10</v>
      </c>
      <c r="O27" s="480">
        <f t="shared" si="14"/>
        <v>0</v>
      </c>
      <c r="P27" s="481" t="str">
        <f t="shared" si="15"/>
        <v>0.0</v>
      </c>
      <c r="Q27" s="477"/>
    </row>
    <row r="28">
      <c r="A28" s="378">
        <v>2019.0</v>
      </c>
      <c r="B28" s="473">
        <f>COUNTIFS(FSE!$C:$C,$A28,FSE!$AD:$AD,B$20,FSE!$K:$K,B$19)</f>
        <v>1</v>
      </c>
      <c r="C28" s="473" t="str">
        <f t="shared" si="9"/>
        <v>1.4</v>
      </c>
      <c r="D28" s="474">
        <f>COUNTIFS(FSE!$C:$C,$A28,FSE!$AD:$AD,D$20,FSE!$K:$K,D$19)</f>
        <v>1</v>
      </c>
      <c r="E28" s="474" t="str">
        <f t="shared" si="10"/>
        <v>1.4</v>
      </c>
      <c r="F28" s="475">
        <f>COUNTIFS(FSE!$C:$C,$A28,FSE!$AD:$AD,F$20,FSE!$K:$K,F$19)</f>
        <v>61</v>
      </c>
      <c r="G28" s="475" t="str">
        <f t="shared" si="11"/>
        <v>82.4</v>
      </c>
      <c r="H28" s="476">
        <f>COUNTIFS(FSE!$C:$C,$A28,FSE!$AD:$AD,H$20,FSE!$K:$K,H$19)</f>
        <v>11</v>
      </c>
      <c r="I28" s="476" t="str">
        <f t="shared" si="12"/>
        <v>14.9</v>
      </c>
      <c r="J28" s="477">
        <f>PapersOverview!C8</f>
        <v>74</v>
      </c>
      <c r="K28" s="477"/>
      <c r="L28" s="477"/>
      <c r="M28" s="378">
        <v>2019.0</v>
      </c>
      <c r="N28" s="479">
        <f t="shared" si="13"/>
        <v>12</v>
      </c>
      <c r="O28" s="480">
        <f t="shared" si="14"/>
        <v>1</v>
      </c>
      <c r="P28" s="481" t="str">
        <f t="shared" si="15"/>
        <v>8.3</v>
      </c>
      <c r="Q28" s="477"/>
    </row>
    <row r="29">
      <c r="A29" s="378">
        <v>2020.0</v>
      </c>
      <c r="B29" s="473">
        <f>COUNTIFS(FSE!$C:$C,$A29,FSE!$AD:$AD,B$20,FSE!$K:$K,B$19)</f>
        <v>7</v>
      </c>
      <c r="C29" s="473" t="str">
        <f t="shared" si="9"/>
        <v>6.9</v>
      </c>
      <c r="D29" s="474">
        <f>COUNTIFS(FSE!$C:$C,$A29,FSE!$AD:$AD,D$20,FSE!$K:$K,D$19)</f>
        <v>1</v>
      </c>
      <c r="E29" s="474" t="str">
        <f t="shared" si="10"/>
        <v>1.0</v>
      </c>
      <c r="F29" s="475">
        <f>COUNTIFS(FSE!$C:$C,$A29,FSE!$AD:$AD,F$20,FSE!$K:$K,F$19)</f>
        <v>84</v>
      </c>
      <c r="G29" s="475" t="str">
        <f t="shared" si="11"/>
        <v>83.2</v>
      </c>
      <c r="H29" s="476">
        <f>COUNTIFS(FSE!$C:$C,$A29,FSE!$AD:$AD,H$20,FSE!$K:$K,H$19)</f>
        <v>9</v>
      </c>
      <c r="I29" s="476" t="str">
        <f t="shared" si="12"/>
        <v>8.9</v>
      </c>
      <c r="J29" s="477">
        <f>PapersOverview!C9</f>
        <v>101</v>
      </c>
      <c r="K29" s="477"/>
      <c r="L29" s="477"/>
      <c r="M29" s="378">
        <v>2020.0</v>
      </c>
      <c r="N29" s="479">
        <f t="shared" si="13"/>
        <v>10</v>
      </c>
      <c r="O29" s="480">
        <f t="shared" si="14"/>
        <v>1</v>
      </c>
      <c r="P29" s="481" t="str">
        <f t="shared" si="15"/>
        <v>10.0</v>
      </c>
      <c r="Q29" s="477"/>
    </row>
    <row r="30">
      <c r="A30" s="378">
        <v>2021.0</v>
      </c>
      <c r="B30" s="473">
        <f>COUNTIFS(FSE!$C:$C,$A30,FSE!$AD:$AD,B$20,FSE!$K:$K,B$19)</f>
        <v>1</v>
      </c>
      <c r="C30" s="473" t="str">
        <f t="shared" si="9"/>
        <v>1.0</v>
      </c>
      <c r="D30" s="474">
        <f>COUNTIFS(FSE!$C:$C,$A30,FSE!$AD:$AD,D$20,FSE!$K:$K,D$19)</f>
        <v>2</v>
      </c>
      <c r="E30" s="474" t="str">
        <f t="shared" si="10"/>
        <v>2.1</v>
      </c>
      <c r="F30" s="475">
        <f>COUNTIFS(FSE!$C:$C,$A30,FSE!$AD:$AD,F$20,FSE!$K:$K,F$19)</f>
        <v>84</v>
      </c>
      <c r="G30" s="475" t="str">
        <f t="shared" si="11"/>
        <v>86.6</v>
      </c>
      <c r="H30" s="476">
        <f>COUNTIFS(FSE!$C:$C,$A30,FSE!$AD:$AD,H$20,FSE!$K:$K,H$19)</f>
        <v>10</v>
      </c>
      <c r="I30" s="476" t="str">
        <f t="shared" si="12"/>
        <v>10.3</v>
      </c>
      <c r="J30" s="477">
        <f>PapersOverview!C10</f>
        <v>97</v>
      </c>
      <c r="K30" s="477"/>
      <c r="L30" s="477"/>
      <c r="M30" s="378">
        <v>2021.0</v>
      </c>
      <c r="N30" s="479">
        <f t="shared" si="13"/>
        <v>12</v>
      </c>
      <c r="O30" s="480">
        <f t="shared" si="14"/>
        <v>2</v>
      </c>
      <c r="P30" s="481" t="str">
        <f t="shared" si="15"/>
        <v>16.7</v>
      </c>
      <c r="Q30" s="477"/>
    </row>
    <row r="31">
      <c r="A31" s="378">
        <v>2022.0</v>
      </c>
      <c r="B31" s="473">
        <f>COUNTIFS(FSE!$C:$C,$A31,FSE!$AD:$AD,B$20,FSE!$K:$K,B$19)</f>
        <v>2</v>
      </c>
      <c r="C31" s="473" t="str">
        <f t="shared" si="9"/>
        <v>2.0</v>
      </c>
      <c r="D31" s="474">
        <f>COUNTIFS(FSE!$C:$C,$A31,FSE!$AD:$AD,D$20,FSE!$K:$K,D$19)</f>
        <v>0</v>
      </c>
      <c r="E31" s="474" t="str">
        <f t="shared" si="10"/>
        <v>0.0</v>
      </c>
      <c r="F31" s="475">
        <f>COUNTIFS(FSE!$C:$C,$A31,FSE!$AD:$AD,F$20,FSE!$K:$K,F$19)</f>
        <v>89</v>
      </c>
      <c r="G31" s="475" t="str">
        <f t="shared" si="11"/>
        <v>89.9</v>
      </c>
      <c r="H31" s="476">
        <f>COUNTIFS(FSE!$C:$C,$A31,FSE!$AD:$AD,H$20,FSE!$K:$K,H$19)</f>
        <v>8</v>
      </c>
      <c r="I31" s="476" t="str">
        <f t="shared" si="12"/>
        <v>8.1</v>
      </c>
      <c r="J31" s="477">
        <f>PapersOverview!C11</f>
        <v>99</v>
      </c>
      <c r="K31" s="477"/>
      <c r="L31" s="477"/>
      <c r="M31" s="378">
        <v>2022.0</v>
      </c>
      <c r="N31" s="479">
        <f t="shared" si="13"/>
        <v>8</v>
      </c>
      <c r="O31" s="480">
        <f t="shared" si="14"/>
        <v>0</v>
      </c>
      <c r="P31" s="481" t="str">
        <f t="shared" si="15"/>
        <v>0.0</v>
      </c>
      <c r="Q31" s="477"/>
    </row>
    <row r="32">
      <c r="A32" s="378">
        <v>2023.0</v>
      </c>
      <c r="B32" s="473">
        <f>COUNTIFS(FSE!$C:$C,$A32,FSE!$AD:$AD,B$20,FSE!$K:$K,B$19)</f>
        <v>8</v>
      </c>
      <c r="C32" s="473" t="str">
        <f t="shared" si="9"/>
        <v>6.3</v>
      </c>
      <c r="D32" s="474">
        <f>COUNTIFS(FSE!$C:$C,$A32,FSE!$AD:$AD,D$20,FSE!$K:$K,D$19)</f>
        <v>1</v>
      </c>
      <c r="E32" s="474" t="str">
        <f t="shared" si="10"/>
        <v>0.8</v>
      </c>
      <c r="F32" s="475">
        <f>COUNTIFS(FSE!$C:$C,$A32,FSE!$AD:$AD,F$20,FSE!$K:$K,F$19)</f>
        <v>117</v>
      </c>
      <c r="G32" s="475" t="str">
        <f t="shared" si="11"/>
        <v>92.1</v>
      </c>
      <c r="H32" s="476">
        <f>COUNTIFS(FSE!$C:$C,$A32,FSE!$AD:$AD,H$20,FSE!$K:$K,H$19)</f>
        <v>1</v>
      </c>
      <c r="I32" s="476" t="str">
        <f t="shared" si="12"/>
        <v>0.8</v>
      </c>
      <c r="J32" s="477">
        <f>PapersOverview!C12</f>
        <v>127</v>
      </c>
      <c r="K32" s="477"/>
      <c r="L32" s="477"/>
      <c r="M32" s="378">
        <v>2023.0</v>
      </c>
      <c r="N32" s="479">
        <f t="shared" si="13"/>
        <v>2</v>
      </c>
      <c r="O32" s="480">
        <f t="shared" si="14"/>
        <v>1</v>
      </c>
      <c r="P32" s="481" t="str">
        <f t="shared" si="15"/>
        <v>50.0</v>
      </c>
      <c r="Q32" s="477"/>
    </row>
    <row r="33" ht="1.5" customHeight="1">
      <c r="A33" s="489"/>
      <c r="B33" s="489"/>
      <c r="C33" s="489"/>
      <c r="D33" s="489"/>
      <c r="E33" s="489"/>
      <c r="F33" s="489"/>
      <c r="G33" s="489"/>
      <c r="H33" s="489"/>
      <c r="I33" s="489"/>
      <c r="J33" s="461"/>
      <c r="K33" s="461"/>
      <c r="L33" s="461"/>
      <c r="M33" s="489"/>
      <c r="N33" s="461"/>
      <c r="O33" s="461"/>
      <c r="P33" s="461"/>
      <c r="Q33" s="461"/>
    </row>
    <row r="34">
      <c r="A34" s="484" t="s">
        <v>5678</v>
      </c>
      <c r="B34" s="485">
        <f>sum(B23:B32)</f>
        <v>30</v>
      </c>
      <c r="C34" s="484" t="s">
        <v>36</v>
      </c>
      <c r="D34" s="485">
        <f>sum(D23:D32)</f>
        <v>7</v>
      </c>
      <c r="E34" s="484" t="s">
        <v>36</v>
      </c>
      <c r="F34" s="485">
        <f>sum(F23:F32)</f>
        <v>665</v>
      </c>
      <c r="G34" s="483" t="s">
        <v>36</v>
      </c>
      <c r="H34" s="485">
        <f>sum(H23:H32)</f>
        <v>138</v>
      </c>
      <c r="I34" s="484" t="s">
        <v>36</v>
      </c>
      <c r="J34" s="461"/>
      <c r="K34" s="461"/>
      <c r="L34" s="461"/>
      <c r="M34" s="484" t="s">
        <v>5678</v>
      </c>
      <c r="N34" s="486">
        <f t="shared" ref="N34:O34" si="16">sum(N23:N32)</f>
        <v>145</v>
      </c>
      <c r="O34" s="484">
        <f t="shared" si="16"/>
        <v>7</v>
      </c>
      <c r="P34" s="485" t="s">
        <v>36</v>
      </c>
      <c r="Q34" s="461"/>
    </row>
  </sheetData>
  <mergeCells count="32">
    <mergeCell ref="F3:G3"/>
    <mergeCell ref="H3:I3"/>
    <mergeCell ref="J3:J4"/>
    <mergeCell ref="F21:G21"/>
    <mergeCell ref="H21:I21"/>
    <mergeCell ref="J21:J22"/>
    <mergeCell ref="B3:C3"/>
    <mergeCell ref="D3:E3"/>
    <mergeCell ref="B19:C19"/>
    <mergeCell ref="D19:E19"/>
    <mergeCell ref="F19:G19"/>
    <mergeCell ref="H19:I19"/>
    <mergeCell ref="N19:N21"/>
    <mergeCell ref="B2:C2"/>
    <mergeCell ref="D2:E2"/>
    <mergeCell ref="F2:G2"/>
    <mergeCell ref="H2:I2"/>
    <mergeCell ref="B1:C1"/>
    <mergeCell ref="D1:E1"/>
    <mergeCell ref="F1:G1"/>
    <mergeCell ref="H1:I1"/>
    <mergeCell ref="N1:N3"/>
    <mergeCell ref="O1:O3"/>
    <mergeCell ref="P1:P3"/>
    <mergeCell ref="O19:O21"/>
    <mergeCell ref="P19:P21"/>
    <mergeCell ref="B20:C20"/>
    <mergeCell ref="D20:E20"/>
    <mergeCell ref="F20:G20"/>
    <mergeCell ref="H20:I20"/>
    <mergeCell ref="B21:C21"/>
    <mergeCell ref="D21:E2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1.75"/>
    <col customWidth="1" min="3" max="3" width="7.75"/>
    <col customWidth="1" min="4" max="4" width="8.13"/>
    <col customWidth="1" min="5" max="5" width="14.25"/>
    <col customWidth="1" min="6" max="6" width="14.88"/>
    <col customWidth="1" min="7" max="7" width="13.88"/>
    <col customWidth="1" min="8" max="8" width="1.75"/>
    <col customWidth="1" min="9" max="9" width="7.75"/>
    <col customWidth="1" min="10" max="10" width="8.13"/>
    <col customWidth="1" min="11" max="11" width="14.25"/>
    <col customWidth="1" min="12" max="12" width="14.88"/>
    <col customWidth="1" min="13" max="13" width="13.88"/>
    <col customWidth="1" min="14" max="14" width="1.75"/>
    <col customWidth="1" min="15" max="15" width="10.0"/>
    <col customWidth="1" min="16" max="16" width="8.13"/>
  </cols>
  <sheetData>
    <row r="1">
      <c r="A1" s="376"/>
      <c r="C1" s="490" t="s">
        <v>5675</v>
      </c>
      <c r="D1" s="383"/>
      <c r="E1" s="383"/>
      <c r="F1" s="383"/>
      <c r="G1" s="384"/>
      <c r="I1" s="490" t="s">
        <v>5676</v>
      </c>
      <c r="J1" s="383"/>
      <c r="K1" s="383"/>
      <c r="L1" s="383"/>
      <c r="M1" s="384"/>
      <c r="O1" s="490" t="s">
        <v>7455</v>
      </c>
      <c r="P1" s="384"/>
    </row>
    <row r="2">
      <c r="A2" s="491" t="s">
        <v>2</v>
      </c>
      <c r="B2" s="492"/>
      <c r="C2" s="493" t="s">
        <v>7456</v>
      </c>
      <c r="D2" s="494" t="s">
        <v>7457</v>
      </c>
      <c r="E2" s="495" t="s">
        <v>7458</v>
      </c>
      <c r="F2" s="496" t="s">
        <v>7459</v>
      </c>
      <c r="G2" s="497" t="s">
        <v>7460</v>
      </c>
      <c r="H2" s="492"/>
      <c r="I2" s="493" t="s">
        <v>7456</v>
      </c>
      <c r="J2" s="494" t="s">
        <v>7457</v>
      </c>
      <c r="K2" s="495" t="s">
        <v>7458</v>
      </c>
      <c r="L2" s="496" t="s">
        <v>7459</v>
      </c>
      <c r="M2" s="497" t="s">
        <v>7460</v>
      </c>
      <c r="N2" s="492"/>
      <c r="O2" s="493" t="s">
        <v>7456</v>
      </c>
      <c r="P2" s="494" t="s">
        <v>7457</v>
      </c>
    </row>
    <row r="3">
      <c r="A3" s="498" t="s">
        <v>2</v>
      </c>
      <c r="B3" s="461"/>
      <c r="C3" s="499" t="s">
        <v>7461</v>
      </c>
      <c r="D3" s="500"/>
      <c r="E3" s="499" t="s">
        <v>7462</v>
      </c>
      <c r="F3" s="499" t="s">
        <v>7463</v>
      </c>
      <c r="G3" s="499" t="s">
        <v>7464</v>
      </c>
      <c r="H3" s="461"/>
      <c r="I3" s="499" t="s">
        <v>7465</v>
      </c>
      <c r="J3" s="500"/>
      <c r="K3" s="499" t="s">
        <v>7462</v>
      </c>
      <c r="L3" s="499" t="s">
        <v>7463</v>
      </c>
      <c r="M3" s="499" t="s">
        <v>7464</v>
      </c>
      <c r="N3" s="461"/>
      <c r="O3" s="499" t="s">
        <v>7344</v>
      </c>
      <c r="P3" s="500"/>
    </row>
    <row r="4">
      <c r="A4" s="330">
        <v>2014.0</v>
      </c>
      <c r="C4" s="501">
        <f>COUNTIFS(ICSE!$C:$C,$A4,ICSE!E:E,"Yes")</f>
        <v>0</v>
      </c>
      <c r="D4" s="329">
        <f>COUNTIFS(ICSE!$C:$C,$A4,ICSE!AC:AC,"Yes")</f>
        <v>1</v>
      </c>
      <c r="E4" s="501">
        <f>IF(COUNTIFS(FSE!$C:$C,$A4,FSE!L:L,"Yes",FSE!AJ:AJ,"Yes")&gt;0,TEXT((COUNTIFS(FSE!$C:$C,$A4,FSE!L:L,"Yes",FSE!AJ:AJ,"Yes")/C4)*100, "#0.0"),COUNTIFS(FSE!$C:$C,$A4,FSE!L:L,"Yes",FSE!AJ:AJ,"Yes"))</f>
        <v>0</v>
      </c>
      <c r="F4" s="501">
        <f>IF(COUNTIFS(ICSE!$C:$C,$A4,ICSE!AC:AC,"No",ICSE!E:E,"Yes")=0,COUNTIFS(ICSE!$C:$C,$A4,ICSE!AC:AC,"No",ICSE!E:E,"Yes"),IF(TEXT((COUNTIFS(ICSE!$C:$C,$A4,ICSE!AC:AC,"No",ICSE!E:E,"Yes")/C4)*100,"#0.0")="100.0",TEXT((COUNTIFS(ICSE!$C:$C,$A4,ICSE!AC:AC,"No",ICSE!E:E,"Yes")/C4)*100,"#0"),TEXT((COUNTIFS(ICSE!$C:$C,$A4,ICSE!AC:AC,"No",ICSE!E:E,"Yes")/C4)*100, "#0.0")))</f>
        <v>0</v>
      </c>
      <c r="G4" s="501">
        <f>IF(COUNTIFS(ICSE!$C:$C,$A4,ICSE!E:E,"Yes",ICSE!AC:AC,"-")&lt;&gt;0,
IF((COUNTIFS(ICSE!$C:$C,$A4,ICSE!E:E,"Yes",ICSE!AC:AC,"-")/C4)*100=100,
TEXT((COUNTIFS(ICSE!$C:$C,$A4,ICSE!E:E,"Yes",ICSE!AC:AC,"-")/C4)*100,"#0"),
TEXT((COUNTIFS(ICSE!$C:$C,$A4,ICSE!E:E,"Yes",ICSE!AC:AC,"-")/C4)*100, "#0.0")
),
0
)
</f>
        <v>0</v>
      </c>
      <c r="I4" s="502">
        <f>COUNTIFS(FSE!$C:$C,$A4,FSE!E:E,"Yes")</f>
        <v>0</v>
      </c>
      <c r="J4" s="329">
        <f>COUNTIFS(FSE!$C:$C,$A4,FSE!AC:AC,"Yes")</f>
        <v>2</v>
      </c>
      <c r="K4" s="501" t="str">
        <f>IF(COUNTIFS(FSE!$C:$C,$A4,FSE!E:E,"Yes",FSE!AC:AC,"Yes")&gt;0,
  TEXT((COUNTIFS(FSE!$C:$C,$A4,FSE!E:E,"Yes",FSE!AC:AC,"Yes")/I4)*100, "#0.0"),
  TEXT(COUNTIFS(FSE!$C:$C,$A4,FSE!E:E,"Yes",FSE!AC:AC,"Yes"),"#0.0")
)</f>
        <v>0.0</v>
      </c>
      <c r="L4" s="501" t="str">
        <f>IF(COUNTIFS(FSE!$C:$C,$A4,FSE!E:E,"Yes",FSE!AC:AC,"No")=0,
  TEXT(COUNTIFS(FSE!$C:$C,$A4,FSE!E:E,"Yes",FSE!AC:AC,"No"), "#0.0"),
  IF(TEXT((COUNTIFS(FSE!$C:$C,$A4,FSE!E:E,"Yes",FSE!AC:AC,"No")/I4)*100, "#0.0")="100.0",
    TEXT((COUNTIFS(FSE!$C:$C,$A4,FSE!E:E,"Yes",FSE!AC:AC,"No")/I4)*100, "#0"),
    TEXT((COUNTIFS(FSE!$C:$C,$A4,FSE!E:E,"Yes",FSE!AC:AC,"No")/I4)*100, "#0.0")
  )
)</f>
        <v>0.0</v>
      </c>
      <c r="M4" s="501" t="str">
        <f>IF(COUNTIFS(FSE!$C:$C,$A4,FSE!E:E,"Yes",FSE!AC:AC,"-")&lt;&gt;0,
IF((COUNTIFS(FSE!$C:$C,$A4,FSE!E:E,"Yes",FSE!AC:AC,"-")/I4)*100=100,
TEXT((COUNTIFS(FSE!$C:$C,$A4,FSE!E:E,"Yes",FSE!AC:AC,"-")/I4)*100,"#0"),
TEXT((COUNTIFS(FSE!$C:$C,$A4,FSE!E:E,"Yes",FSE!AC:AC,"-")/I4)*100, "#0.0")
),
TEXT(0, "#0.0")
)
</f>
        <v>0.0</v>
      </c>
      <c r="O4" s="501">
        <f t="shared" ref="O4:P4" si="1">SUM(I4,C4)</f>
        <v>0</v>
      </c>
      <c r="P4" s="329">
        <f t="shared" si="1"/>
        <v>3</v>
      </c>
    </row>
    <row r="5">
      <c r="A5" s="330">
        <v>2015.0</v>
      </c>
      <c r="C5" s="501">
        <f>COUNTIFS(ICSE!$C:$C,$A5,ICSE!E:E,"Yes")</f>
        <v>0</v>
      </c>
      <c r="D5" s="329">
        <f>COUNTIFS(ICSE!$C:$C,$A5,ICSE!AC:AC,"Yes")</f>
        <v>1</v>
      </c>
      <c r="E5" s="501">
        <f>IF(COUNTIFS(FSE!$C:$C,$A5,FSE!L:L,"Yes",FSE!AJ:AJ,"Yes")&gt;0,TEXT((COUNTIFS(FSE!$C:$C,$A5,FSE!L:L,"Yes",FSE!AJ:AJ,"Yes")/C5)*100, "#0.0"),COUNTIFS(FSE!$C:$C,$A5,FSE!L:L,"Yes",FSE!AJ:AJ,"Yes"))</f>
        <v>0</v>
      </c>
      <c r="F5" s="501">
        <f>IF(COUNTIFS(ICSE!$C:$C,$A5,ICSE!AC:AC,"No",ICSE!E:E,"Yes")=0,COUNTIFS(ICSE!$C:$C,$A5,ICSE!AC:AC,"No",ICSE!E:E,"Yes"),IF(TEXT((COUNTIFS(ICSE!$C:$C,$A5,ICSE!AC:AC,"No",ICSE!E:E,"Yes")/C5)*100,"#0.0")="100.0",TEXT((COUNTIFS(ICSE!$C:$C,$A5,ICSE!AC:AC,"No",ICSE!E:E,"Yes")/C5)*100,"#0"),TEXT((COUNTIFS(ICSE!$C:$C,$A5,ICSE!AC:AC,"No",ICSE!E:E,"Yes")/C5)*100, "#0.0")))</f>
        <v>0</v>
      </c>
      <c r="G5" s="501">
        <f>IF(COUNTIFS(ICSE!$C:$C,$A5,ICSE!E:E,"Yes",ICSE!AC:AC,"-")&lt;&gt;0,
IF((COUNTIFS(ICSE!$C:$C,$A5,ICSE!E:E,"Yes",ICSE!AC:AC,"-")/C5)*100=100,
TEXT((COUNTIFS(ICSE!$C:$C,$A5,ICSE!E:E,"Yes",ICSE!AC:AC,"-")/C5)*100,"#0"),
TEXT((COUNTIFS(ICSE!$C:$C,$A5,ICSE!E:E,"Yes",ICSE!AC:AC,"-")/C5)*100, "#0.0")
),
0
)
</f>
        <v>0</v>
      </c>
      <c r="I5" s="502">
        <f>COUNTIFS(FSE!$C:$C,$A5,FSE!E:E,"Yes")</f>
        <v>0</v>
      </c>
      <c r="J5" s="329">
        <f>COUNTIFS(FSE!$C:$C,$A5,FSE!AC:AC,"Yes")</f>
        <v>0</v>
      </c>
      <c r="K5" s="501" t="str">
        <f>IF(COUNTIFS(FSE!$C:$C,$A5,FSE!E:E,"Yes",FSE!AC:AC,"Yes")&gt;0,
  TEXT((COUNTIFS(FSE!$C:$C,$A5,FSE!E:E,"Yes",FSE!AC:AC,"Yes")/I5)*100, "#0.0"),
  TEXT(COUNTIFS(FSE!$C:$C,$A5,FSE!E:E,"Yes",FSE!AC:AC,"Yes"),"#0.0")
)</f>
        <v>0.0</v>
      </c>
      <c r="L5" s="501" t="str">
        <f>IF(COUNTIFS(FSE!$C:$C,$A5,FSE!E:E,"Yes",FSE!AC:AC,"No")=0,
  TEXT(COUNTIFS(FSE!$C:$C,$A5,FSE!E:E,"Yes",FSE!AC:AC,"No"), "#0.0"),
  IF(TEXT((COUNTIFS(FSE!$C:$C,$A5,FSE!E:E,"Yes",FSE!AC:AC,"No")/I5)*100, "#0.0")="100.0",
    TEXT((COUNTIFS(FSE!$C:$C,$A5,FSE!E:E,"Yes",FSE!AC:AC,"No")/I5)*100, "#0"),
    TEXT((COUNTIFS(FSE!$C:$C,$A5,FSE!E:E,"Yes",FSE!AC:AC,"No")/I5)*100, "#0.0")
  )
)</f>
        <v>0.0</v>
      </c>
      <c r="M5" s="501" t="str">
        <f>IF(COUNTIFS(FSE!$C:$C,$A5,FSE!E:E,"Yes",FSE!AC:AC,"-")&lt;&gt;0,
IF((COUNTIFS(FSE!$C:$C,$A5,FSE!E:E,"Yes",FSE!AC:AC,"-")/I5)*100=100,
TEXT((COUNTIFS(FSE!$C:$C,$A5,FSE!E:E,"Yes",FSE!AC:AC,"-")/I5)*100,"#0"),
TEXT((COUNTIFS(FSE!$C:$C,$A5,FSE!E:E,"Yes",FSE!AC:AC,"-")/I5)*100, "#0.0")
),
TEXT(0, "#0.0")
)
</f>
        <v>0.0</v>
      </c>
      <c r="O5" s="501">
        <f t="shared" ref="O5:P5" si="2">SUM(I5,C5)</f>
        <v>0</v>
      </c>
      <c r="P5" s="329">
        <f t="shared" si="2"/>
        <v>1</v>
      </c>
    </row>
    <row r="6">
      <c r="A6" s="330">
        <v>2016.0</v>
      </c>
      <c r="C6" s="501">
        <f>COUNTIFS(ICSE!$C:$C,$A6,ICSE!E:E,"Yes")</f>
        <v>0</v>
      </c>
      <c r="D6" s="329">
        <f>COUNTIFS(ICSE!$C:$C,$A6,ICSE!AC:AC,"Yes")</f>
        <v>7</v>
      </c>
      <c r="E6" s="501">
        <f>IF(COUNTIFS(FSE!$C:$C,$A6,FSE!L:L,"Yes",FSE!AJ:AJ,"Yes")&gt;0,TEXT((COUNTIFS(FSE!$C:$C,$A6,FSE!L:L,"Yes",FSE!AJ:AJ,"Yes")/C6)*100, "#0.0"),COUNTIFS(FSE!$C:$C,$A6,FSE!L:L,"Yes",FSE!AJ:AJ,"Yes"))</f>
        <v>0</v>
      </c>
      <c r="F6" s="501">
        <f>IF(COUNTIFS(ICSE!$C:$C,$A6,ICSE!AC:AC,"No",ICSE!E:E,"Yes")=0,COUNTIFS(ICSE!$C:$C,$A6,ICSE!AC:AC,"No",ICSE!E:E,"Yes"),IF(TEXT((COUNTIFS(ICSE!$C:$C,$A6,ICSE!AC:AC,"No",ICSE!E:E,"Yes")/C6)*100,"#0.0")="100.0",TEXT((COUNTIFS(ICSE!$C:$C,$A6,ICSE!AC:AC,"No",ICSE!E:E,"Yes")/C6)*100,"#0"),TEXT((COUNTIFS(ICSE!$C:$C,$A6,ICSE!AC:AC,"No",ICSE!E:E,"Yes")/C6)*100, "#0.0")))</f>
        <v>0</v>
      </c>
      <c r="G6" s="501">
        <f>IF(COUNTIFS(ICSE!$C:$C,$A6,ICSE!E:E,"Yes",ICSE!AC:AC,"-")&lt;&gt;0,
IF((COUNTIFS(ICSE!$C:$C,$A6,ICSE!E:E,"Yes",ICSE!AC:AC,"-")/C6)*100=100,
TEXT((COUNTIFS(ICSE!$C:$C,$A6,ICSE!E:E,"Yes",ICSE!AC:AC,"-")/C6)*100,"#0"),
TEXT((COUNTIFS(ICSE!$C:$C,$A6,ICSE!E:E,"Yes",ICSE!AC:AC,"-")/C6)*100, "#0.0")
),
0
)
</f>
        <v>0</v>
      </c>
      <c r="I6" s="502">
        <f>COUNTIFS(FSE!$C:$C,$A6,FSE!E:E,"Yes")</f>
        <v>0</v>
      </c>
      <c r="J6" s="329">
        <f>COUNTIFS(FSE!$C:$C,$A6,FSE!AC:AC,"Yes")</f>
        <v>1</v>
      </c>
      <c r="K6" s="501" t="str">
        <f>IF(COUNTIFS(FSE!$C:$C,$A6,FSE!E:E,"Yes",FSE!AC:AC,"Yes")&gt;0,
  TEXT((COUNTIFS(FSE!$C:$C,$A6,FSE!E:E,"Yes",FSE!AC:AC,"Yes")/I6)*100, "#0.0"),
  TEXT(COUNTIFS(FSE!$C:$C,$A6,FSE!E:E,"Yes",FSE!AC:AC,"Yes"),"#0.0")
)</f>
        <v>0.0</v>
      </c>
      <c r="L6" s="501" t="str">
        <f>IF(COUNTIFS(FSE!$C:$C,$A6,FSE!E:E,"Yes",FSE!AC:AC,"No")=0,
  TEXT(COUNTIFS(FSE!$C:$C,$A6,FSE!E:E,"Yes",FSE!AC:AC,"No"), "#0.0"),
  IF(TEXT((COUNTIFS(FSE!$C:$C,$A6,FSE!E:E,"Yes",FSE!AC:AC,"No")/I6)*100, "#0.0")="100.0",
    TEXT((COUNTIFS(FSE!$C:$C,$A6,FSE!E:E,"Yes",FSE!AC:AC,"No")/I6)*100, "#0"),
    TEXT((COUNTIFS(FSE!$C:$C,$A6,FSE!E:E,"Yes",FSE!AC:AC,"No")/I6)*100, "#0.0")
  )
)</f>
        <v>0.0</v>
      </c>
      <c r="M6" s="501" t="str">
        <f>IF(COUNTIFS(FSE!$C:$C,$A6,FSE!E:E,"Yes",FSE!AC:AC,"-")&lt;&gt;0,
IF((COUNTIFS(FSE!$C:$C,$A6,FSE!E:E,"Yes",FSE!AC:AC,"-")/I6)*100=100,
TEXT((COUNTIFS(FSE!$C:$C,$A6,FSE!E:E,"Yes",FSE!AC:AC,"-")/I6)*100,"#0"),
TEXT((COUNTIFS(FSE!$C:$C,$A6,FSE!E:E,"Yes",FSE!AC:AC,"-")/I6)*100, "#0.0")
),
TEXT(0, "#0.0")
)
</f>
        <v>0.0</v>
      </c>
      <c r="O6" s="501">
        <f t="shared" ref="O6:P6" si="3">SUM(I6,C6)</f>
        <v>0</v>
      </c>
      <c r="P6" s="329">
        <f t="shared" si="3"/>
        <v>8</v>
      </c>
    </row>
    <row r="7">
      <c r="A7" s="330">
        <v>2017.0</v>
      </c>
      <c r="C7" s="501">
        <f>COUNTIFS(ICSE!$C:$C,$A7,ICSE!E:E,"Yes")</f>
        <v>0</v>
      </c>
      <c r="D7" s="329">
        <f>COUNTIFS(ICSE!$C:$C,$A7,ICSE!AC:AC,"Yes")</f>
        <v>2</v>
      </c>
      <c r="E7" s="501">
        <f>IF(COUNTIFS(FSE!$C:$C,$A7,FSE!L:L,"Yes",FSE!AJ:AJ,"Yes")&gt;0,TEXT((COUNTIFS(FSE!$C:$C,$A7,FSE!L:L,"Yes",FSE!AJ:AJ,"Yes")/C7)*100, "#0.0"),COUNTIFS(FSE!$C:$C,$A7,FSE!L:L,"Yes",FSE!AJ:AJ,"Yes"))</f>
        <v>0</v>
      </c>
      <c r="F7" s="501">
        <f>IF(COUNTIFS(ICSE!$C:$C,$A7,ICSE!AC:AC,"No",ICSE!E:E,"Yes")=0,COUNTIFS(ICSE!$C:$C,$A7,ICSE!AC:AC,"No",ICSE!E:E,"Yes"),IF(TEXT((COUNTIFS(ICSE!$C:$C,$A7,ICSE!AC:AC,"No",ICSE!E:E,"Yes")/C7)*100,"#0.0")="100.0",TEXT((COUNTIFS(ICSE!$C:$C,$A7,ICSE!AC:AC,"No",ICSE!E:E,"Yes")/C7)*100,"#0"),TEXT((COUNTIFS(ICSE!$C:$C,$A7,ICSE!AC:AC,"No",ICSE!E:E,"Yes")/C7)*100, "#0.0")))</f>
        <v>0</v>
      </c>
      <c r="G7" s="501">
        <f>IF(COUNTIFS(ICSE!$C:$C,$A7,ICSE!E:E,"Yes",ICSE!AC:AC,"-")&lt;&gt;0,
IF((COUNTIFS(ICSE!$C:$C,$A7,ICSE!E:E,"Yes",ICSE!AC:AC,"-")/C7)*100=100,
TEXT((COUNTIFS(ICSE!$C:$C,$A7,ICSE!E:E,"Yes",ICSE!AC:AC,"-")/C7)*100,"#0"),
TEXT((COUNTIFS(ICSE!$C:$C,$A7,ICSE!E:E,"Yes",ICSE!AC:AC,"-")/C7)*100, "#0.0")
),
0
)
</f>
        <v>0</v>
      </c>
      <c r="I7" s="328">
        <f>COUNTIFS(FSE!$C:$C,$A7,FSE!E:E,"Yes")</f>
        <v>1</v>
      </c>
      <c r="J7" s="329">
        <f>COUNTIFS(FSE!$C:$C,$A7,FSE!AC:AC,"Yes")</f>
        <v>1</v>
      </c>
      <c r="K7" s="501" t="str">
        <f>IF(COUNTIFS(FSE!$C:$C,$A7,FSE!E:E,"Yes",FSE!AC:AC,"Yes")&gt;0,
  TEXT((COUNTIFS(FSE!$C:$C,$A7,FSE!E:E,"Yes",FSE!AC:AC,"Yes")/I7)*100, "#0.0"),
  TEXT(COUNTIFS(FSE!$C:$C,$A7,FSE!E:E,"Yes",FSE!AC:AC,"Yes"),"#0.0")
)</f>
        <v>0.0</v>
      </c>
      <c r="L7" s="329" t="str">
        <f>IF(COUNTIFS(FSE!$C:$C,$A7,FSE!E:E,"Yes",FSE!AC:AC,"No")=0,
  TEXT(COUNTIFS(FSE!$C:$C,$A7,FSE!E:E,"Yes",FSE!AC:AC,"No"), "#0.0"),
  IF(TEXT((COUNTIFS(FSE!$C:$C,$A7,FSE!E:E,"Yes",FSE!AC:AC,"No")/I7)*100, "#0.0")="100.0",
    TEXT((COUNTIFS(FSE!$C:$C,$A7,FSE!E:E,"Yes",FSE!AC:AC,"No")/I7)*100, "#0"),
    TEXT((COUNTIFS(FSE!$C:$C,$A7,FSE!E:E,"Yes",FSE!AC:AC,"No")/I7)*100, "#0.0")
  )
)</f>
        <v>100</v>
      </c>
      <c r="M7" s="329" t="str">
        <f>IF(COUNTIFS(FSE!$C:$C,$A7,FSE!E:E,"Yes",FSE!AC:AC,"-")&lt;&gt;0,
IF((COUNTIFS(FSE!$C:$C,$A7,FSE!E:E,"Yes",FSE!AC:AC,"-")/I7)*100=100,
TEXT((COUNTIFS(FSE!$C:$C,$A7,FSE!E:E,"Yes",FSE!AC:AC,"-")/I7)*100,"#0"),
TEXT((COUNTIFS(FSE!$C:$C,$A7,FSE!E:E,"Yes",FSE!AC:AC,"-")/I7)*100, "#0.0")
),
TEXT(0, "#0.0")
)
</f>
        <v>0.0</v>
      </c>
      <c r="O7" s="329">
        <f t="shared" ref="O7:P7" si="4">SUM(I7,C7)</f>
        <v>1</v>
      </c>
      <c r="P7" s="329">
        <f t="shared" si="4"/>
        <v>3</v>
      </c>
    </row>
    <row r="8">
      <c r="A8" s="330">
        <v>2018.0</v>
      </c>
      <c r="C8" s="329">
        <f>COUNTIFS(ICSE!$C:$C,$A8,ICSE!E:E,"Yes")</f>
        <v>2</v>
      </c>
      <c r="D8" s="329">
        <f>COUNTIFS(ICSE!$C:$C,$A8,ICSE!AC:AC,"Yes")</f>
        <v>11</v>
      </c>
      <c r="E8" s="329" t="str">
        <f>IF(COUNTIFS(ICSE!$C:$C,$A8,ICSE!E:E,"Yes",ICSE!AC:AC,"Yes")&gt;0,TEXT((COUNTIFS(ICSE!$C:$C,$A8,ICSE!E:E,"Yes",ICSE!AC:AC,"Yes")/C8)*100, "#0.0"),COUNTIFS(ICSE!$C:$C,$A8,ICSE!E:E,"Yes",ICSE!AC:AC,"Yes"))</f>
        <v>50.0</v>
      </c>
      <c r="F8" s="329" t="str">
        <f>IF(COUNTIFS(ICSE!$C:$C,$A8,ICSE!AC:AC,"No",ICSE!E:E,"Yes")=0,COUNTIFS(ICSE!$C:$C,$A8,ICSE!AC:AC,"No",ICSE!E:E,"Yes"),IF(TEXT((COUNTIFS(ICSE!$C:$C,$A8,ICSE!AC:AC,"No",ICSE!E:E,"Yes")/C8)*100,"#0.0")="100.0",TEXT((COUNTIFS(ICSE!$C:$C,$A8,ICSE!AC:AC,"No",ICSE!E:E,"Yes")/C8)*100,"#0"),TEXT((COUNTIFS(ICSE!$C:$C,$A8,ICSE!AC:AC,"No",ICSE!E:E,"Yes")/C8)*100, "#0.0")))</f>
        <v>50.0</v>
      </c>
      <c r="G8" s="329" t="str">
        <f>IF(COUNTIFS(ICSE!$C:$C,$A8,ICSE!E:E,"Yes",ICSE!AC:AC,"-")&lt;&gt;0,
IF((COUNTIFS(ICSE!$C:$C,$A8,ICSE!E:E,"Yes",ICSE!AC:AC,"-")/C8)*100=100,
TEXT((COUNTIFS(ICSE!$C:$C,$A8,ICSE!E:E,"Yes",ICSE!AC:AC,"-")/C8)*100,"#0"),
TEXT((COUNTIFS(ICSE!$C:$C,$A8,ICSE!E:E,"Yes",ICSE!AC:AC,"-")/C8)*100, "#0.0")
),
TEXT(0, "#0.0")
)
</f>
        <v>0.0</v>
      </c>
      <c r="I8" s="328">
        <f>COUNTIFS(FSE!$C:$C,$A8,FSE!E:E,"Yes")</f>
        <v>18</v>
      </c>
      <c r="J8" s="329">
        <f>COUNTIFS(FSE!$C:$C,$A8,FSE!AC:AC,"Yes")</f>
        <v>7</v>
      </c>
      <c r="K8" s="329" t="str">
        <f>IF(COUNTIFS(FSE!$C:$C,$A8,FSE!E:E,"Yes",FSE!AC:AC,"Yes")&gt;0,
  TEXT((COUNTIFS(FSE!$C:$C,$A8,FSE!E:E,"Yes",FSE!AC:AC,"Yes")/I8)*100, "#0.0"),
  TEXT(COUNTIFS(FSE!$C:$C,$A8,FSE!E:E,"Yes",FSE!AC:AC,"Yes"),"#0.0")
)</f>
        <v>22.2</v>
      </c>
      <c r="L8" s="329" t="str">
        <f>IF(COUNTIFS(FSE!$C:$C,$A8,FSE!E:E,"Yes",FSE!AC:AC,"No")=0,
  TEXT(COUNTIFS(FSE!$C:$C,$A8,FSE!E:E,"Yes",FSE!AC:AC,"No"), "#0.0"),
  IF(TEXT((COUNTIFS(FSE!$C:$C,$A8,FSE!E:E,"Yes",FSE!AC:AC,"No")/I8)*100, "#0.0")="100.0",
    TEXT((COUNTIFS(FSE!$C:$C,$A8,FSE!E:E,"Yes",FSE!AC:AC,"No")/I8)*100, "#0"),
    TEXT((COUNTIFS(FSE!$C:$C,$A8,FSE!E:E,"Yes",FSE!AC:AC,"No")/I8)*100, "#0.0")
  )
)</f>
        <v>61.1</v>
      </c>
      <c r="M8" s="329" t="str">
        <f>IF(COUNTIFS(FSE!$C:$C,$A8,FSE!E:E,"Yes",FSE!AC:AC,"-")&lt;&gt;0,
IF((COUNTIFS(FSE!$C:$C,$A8,FSE!E:E,"Yes",FSE!AC:AC,"-")/I8)*100=100,
TEXT((COUNTIFS(FSE!$C:$C,$A8,FSE!E:E,"Yes",FSE!AC:AC,"-")/I8)*100,"#0"),
TEXT((COUNTIFS(FSE!$C:$C,$A8,FSE!E:E,"Yes",FSE!AC:AC,"-")/I8)*100, "#0.0")
),
TEXT(0, "#0.0")
)
</f>
        <v>16.7</v>
      </c>
      <c r="O8" s="329">
        <f t="shared" ref="O8:P8" si="5">SUM(I8,C8)</f>
        <v>20</v>
      </c>
      <c r="P8" s="329">
        <f t="shared" si="5"/>
        <v>18</v>
      </c>
    </row>
    <row r="9">
      <c r="A9" s="330">
        <v>2019.0</v>
      </c>
      <c r="C9" s="329">
        <f>COUNTIFS(ICSE!$C:$C,$A9,ICSE!E:E,"Yes")</f>
        <v>37</v>
      </c>
      <c r="D9" s="329">
        <f>COUNTIFS(ICSE!$C:$C,$A9,ICSE!AC:AC,"Yes")</f>
        <v>15</v>
      </c>
      <c r="E9" s="329" t="str">
        <f>IF(COUNTIFS(ICSE!$C:$C,$A9,ICSE!E:E,"Yes",ICSE!AC:AC,"Yes")&gt;0,TEXT((COUNTIFS(ICSE!$C:$C,$A9,ICSE!E:E,"Yes",ICSE!AC:AC,"Yes")/C9)*100, "#0.0"),COUNTIFS(ICSE!$C:$C,$A9,ICSE!E:E,"Yes",ICSE!AC:AC,"Yes"))</f>
        <v>21.6</v>
      </c>
      <c r="F9" s="329" t="str">
        <f>IF(COUNTIFS(ICSE!$C:$C,$A9,ICSE!AC:AC,"No",ICSE!E:E,"Yes")=0,COUNTIFS(ICSE!$C:$C,$A9,ICSE!AC:AC,"No",ICSE!E:E,"Yes"),IF(TEXT((COUNTIFS(ICSE!$C:$C,$A9,ICSE!AC:AC,"No",ICSE!E:E,"Yes")/C9)*100,"#0.0")="100.0",TEXT((COUNTIFS(ICSE!$C:$C,$A9,ICSE!AC:AC,"No",ICSE!E:E,"Yes")/C9)*100,"#0"),TEXT((COUNTIFS(ICSE!$C:$C,$A9,ICSE!AC:AC,"No",ICSE!E:E,"Yes")/C9)*100, "#0.0")))</f>
        <v>73.0</v>
      </c>
      <c r="G9" s="329" t="str">
        <f>IF(COUNTIFS(ICSE!$C:$C,$A9,ICSE!E:E,"Yes",ICSE!AC:AC,"-")&lt;&gt;0,
IF((COUNTIFS(ICSE!$C:$C,$A9,ICSE!E:E,"Yes",ICSE!AC:AC,"-")/C9)*100=100,
TEXT((COUNTIFS(ICSE!$C:$C,$A9,ICSE!E:E,"Yes",ICSE!AC:AC,"-")/C9)*100,"#0"),
TEXT((COUNTIFS(ICSE!$C:$C,$A9,ICSE!E:E,"Yes",ICSE!AC:AC,"-")/C9)*100, "#0.0")
),
TEXT(0, "#0.0")
)
</f>
        <v>5.4</v>
      </c>
      <c r="I9" s="328">
        <f>COUNTIFS(FSE!$C:$C,$A9,FSE!E:E,"Yes")</f>
        <v>19</v>
      </c>
      <c r="J9" s="329">
        <f>COUNTIFS(FSE!$C:$C,$A9,FSE!AC:AC,"Yes")</f>
        <v>15</v>
      </c>
      <c r="K9" s="329" t="str">
        <f>IF(COUNTIFS(FSE!$C:$C,$A9,FSE!E:E,"Yes",FSE!AC:AC,"Yes")&gt;0,
  TEXT((COUNTIFS(FSE!$C:$C,$A9,FSE!E:E,"Yes",FSE!AC:AC,"Yes")/I9)*100, "#0.0"),
  TEXT(COUNTIFS(FSE!$C:$C,$A9,FSE!E:E,"Yes",FSE!AC:AC,"Yes"),"#0.0")
)</f>
        <v>47.4</v>
      </c>
      <c r="L9" s="329" t="str">
        <f>IF(COUNTIFS(FSE!$C:$C,$A9,FSE!E:E,"Yes",FSE!AC:AC,"No")=0,
  TEXT(COUNTIFS(FSE!$C:$C,$A9,FSE!E:E,"Yes",FSE!AC:AC,"No"), "#0.0"),
  IF(TEXT((COUNTIFS(FSE!$C:$C,$A9,FSE!E:E,"Yes",FSE!AC:AC,"No")/I9)*100, "#0.0")="100.0",
    TEXT((COUNTIFS(FSE!$C:$C,$A9,FSE!E:E,"Yes",FSE!AC:AC,"No")/I9)*100, "#0"),
    TEXT((COUNTIFS(FSE!$C:$C,$A9,FSE!E:E,"Yes",FSE!AC:AC,"No")/I9)*100, "#0.0")
  )
)</f>
        <v>47.4</v>
      </c>
      <c r="M9" s="329" t="str">
        <f>IF(COUNTIFS(FSE!$C:$C,$A9,FSE!E:E,"Yes",FSE!AC:AC,"-")&lt;&gt;0,
IF((COUNTIFS(FSE!$C:$C,$A9,FSE!E:E,"Yes",FSE!AC:AC,"-")/I9)*100=100,
TEXT((COUNTIFS(FSE!$C:$C,$A9,FSE!E:E,"Yes",FSE!AC:AC,"-")/I9)*100,"#0"),
TEXT((COUNTIFS(FSE!$C:$C,$A9,FSE!E:E,"Yes",FSE!AC:AC,"-")/I9)*100, "#0.0")
),
TEXT(0, "#0.0")
)
</f>
        <v>5.3</v>
      </c>
      <c r="O9" s="329">
        <f t="shared" ref="O9:P9" si="6">SUM(I9,C9)</f>
        <v>56</v>
      </c>
      <c r="P9" s="329">
        <f t="shared" si="6"/>
        <v>30</v>
      </c>
    </row>
    <row r="10">
      <c r="A10" s="330">
        <v>2020.0</v>
      </c>
      <c r="C10" s="329">
        <f>COUNTIFS(ICSE!$C:$C,$A10,ICSE!E:E,"Yes")</f>
        <v>50</v>
      </c>
      <c r="D10" s="329">
        <f>COUNTIFS(ICSE!$C:$C,$A10,ICSE!AC:AC,"Yes")</f>
        <v>18</v>
      </c>
      <c r="E10" s="329" t="str">
        <f>IF(COUNTIFS(ICSE!$C:$C,$A10,ICSE!E:E,"Yes",ICSE!AC:AC,"Yes")&gt;0,TEXT((COUNTIFS(ICSE!$C:$C,$A10,ICSE!E:E,"Yes",ICSE!AC:AC,"Yes")/C10)*100, "#0.0"),COUNTIFS(ICSE!$C:$C,$A10,ICSE!E:E,"Yes",ICSE!AC:AC,"Yes"))</f>
        <v>24.0</v>
      </c>
      <c r="F10" s="329" t="str">
        <f>IF(COUNTIFS(ICSE!$C:$C,$A10,ICSE!AC:AC,"No",ICSE!E:E,"Yes")=0,COUNTIFS(ICSE!$C:$C,$A10,ICSE!AC:AC,"No",ICSE!E:E,"Yes"),IF(TEXT((COUNTIFS(ICSE!$C:$C,$A10,ICSE!AC:AC,"No",ICSE!E:E,"Yes")/C10)*100,"#0.0")="100.0",TEXT((COUNTIFS(ICSE!$C:$C,$A10,ICSE!AC:AC,"No",ICSE!E:E,"Yes")/C10)*100,"#0"),TEXT((COUNTIFS(ICSE!$C:$C,$A10,ICSE!AC:AC,"No",ICSE!E:E,"Yes")/C10)*100, "#0.0")))</f>
        <v>66.0</v>
      </c>
      <c r="G10" s="329" t="str">
        <f>IF(COUNTIFS(ICSE!$C:$C,$A10,ICSE!E:E,"Yes",ICSE!AC:AC,"-")&lt;&gt;0,
IF((COUNTIFS(ICSE!$C:$C,$A10,ICSE!E:E,"Yes",ICSE!AC:AC,"-")/C10)*100=100,
TEXT((COUNTIFS(ICSE!$C:$C,$A10,ICSE!E:E,"Yes",ICSE!AC:AC,"-")/C10)*100,"#0"),
TEXT((COUNTIFS(ICSE!$C:$C,$A10,ICSE!E:E,"Yes",ICSE!AC:AC,"-")/C10)*100, "#0.0")
),
TEXT(0, "#0.0")
)
</f>
        <v>10.0</v>
      </c>
      <c r="I10" s="328">
        <f>COUNTIFS(FSE!$C:$C,$A10,FSE!E:E,"Yes")</f>
        <v>51</v>
      </c>
      <c r="J10" s="329">
        <f>COUNTIFS(FSE!$C:$C,$A10,FSE!AC:AC,"Yes")</f>
        <v>43</v>
      </c>
      <c r="K10" s="329" t="str">
        <f>IF(COUNTIFS(FSE!$C:$C,$A10,FSE!E:E,"Yes",FSE!AC:AC,"Yes")&gt;0,
  TEXT((COUNTIFS(FSE!$C:$C,$A10,FSE!E:E,"Yes",FSE!AC:AC,"Yes")/I10)*100, "#0.0"),
  TEXT(COUNTIFS(FSE!$C:$C,$A10,FSE!E:E,"Yes",FSE!AC:AC,"Yes"),"#0.0")
)</f>
        <v>68.6</v>
      </c>
      <c r="L10" s="329" t="str">
        <f>IF(COUNTIFS(FSE!$C:$C,$A10,FSE!E:E,"Yes",FSE!AC:AC,"No")=0,
  TEXT(COUNTIFS(FSE!$C:$C,$A10,FSE!E:E,"Yes",FSE!AC:AC,"No"), "#0.0"),
  IF(TEXT((COUNTIFS(FSE!$C:$C,$A10,FSE!E:E,"Yes",FSE!AC:AC,"No")/I10)*100, "#0.0")="100.0",
    TEXT((COUNTIFS(FSE!$C:$C,$A10,FSE!E:E,"Yes",FSE!AC:AC,"No")/I10)*100, "#0"),
    TEXT((COUNTIFS(FSE!$C:$C,$A10,FSE!E:E,"Yes",FSE!AC:AC,"No")/I10)*100, "#0.0")
  )
)</f>
        <v>29.4</v>
      </c>
      <c r="M10" s="329" t="str">
        <f>IF(COUNTIFS(FSE!$C:$C,$A10,FSE!E:E,"Yes",FSE!AC:AC,"-")&lt;&gt;0,
IF((COUNTIFS(FSE!$C:$C,$A10,FSE!E:E,"Yes",FSE!AC:AC,"-")/I10)*100=100,
TEXT((COUNTIFS(FSE!$C:$C,$A10,FSE!E:E,"Yes",FSE!AC:AC,"-")/I10)*100,"#0"),
TEXT((COUNTIFS(FSE!$C:$C,$A10,FSE!E:E,"Yes",FSE!AC:AC,"-")/I10)*100, "#0.0")
),
TEXT(0, "#0.0")
)
</f>
        <v>2.0</v>
      </c>
      <c r="O10" s="329">
        <f t="shared" ref="O10:P10" si="7">SUM(I10,C10)</f>
        <v>101</v>
      </c>
      <c r="P10" s="329">
        <f t="shared" si="7"/>
        <v>61</v>
      </c>
    </row>
    <row r="11">
      <c r="A11" s="330">
        <v>2021.0</v>
      </c>
      <c r="C11" s="329">
        <f>COUNTIFS(ICSE!$C:$C,$A11,ICSE!E:E,"Yes")</f>
        <v>38</v>
      </c>
      <c r="D11" s="329">
        <f>COUNTIFS(ICSE!$C:$C,$A11,ICSE!AC:AC,"Yes")</f>
        <v>38</v>
      </c>
      <c r="E11" s="329" t="str">
        <f>IF(COUNTIFS(ICSE!$C:$C,$A11,ICSE!E:E,"Yes",ICSE!AC:AC,"Yes")&gt;0,TEXT((COUNTIFS(ICSE!$C:$C,$A11,ICSE!E:E,"Yes",ICSE!AC:AC,"Yes")/C11)*100, "#0.0"),COUNTIFS(ICSE!$C:$C,$A11,ICSE!E:E,"Yes",ICSE!AC:AC,"Yes"))</f>
        <v>60.5</v>
      </c>
      <c r="F11" s="329" t="str">
        <f>IF(COUNTIFS(ICSE!$C:$C,$A11,ICSE!AC:AC,"No",ICSE!E:E,"Yes")=0,COUNTIFS(ICSE!$C:$C,$A11,ICSE!AC:AC,"No",ICSE!E:E,"Yes"),IF(TEXT((COUNTIFS(ICSE!$C:$C,$A11,ICSE!AC:AC,"No",ICSE!E:E,"Yes")/C11)*100,"#0.0")="100.0",TEXT((COUNTIFS(ICSE!$C:$C,$A11,ICSE!AC:AC,"No",ICSE!E:E,"Yes")/C11)*100,"#0"),TEXT((COUNTIFS(ICSE!$C:$C,$A11,ICSE!AC:AC,"No",ICSE!E:E,"Yes")/C11)*100, "#0.0")))</f>
        <v>36.8</v>
      </c>
      <c r="G11" s="329" t="str">
        <f>IF(COUNTIFS(ICSE!$C:$C,$A11,ICSE!E:E,"Yes",ICSE!AC:AC,"-")&lt;&gt;0,
IF((COUNTIFS(ICSE!$C:$C,$A11,ICSE!E:E,"Yes",ICSE!AC:AC,"-")/C11)*100=100,
TEXT((COUNTIFS(ICSE!$C:$C,$A11,ICSE!E:E,"Yes",ICSE!AC:AC,"-")/C11)*100,"#0"),
TEXT((COUNTIFS(ICSE!$C:$C,$A11,ICSE!E:E,"Yes",ICSE!AC:AC,"-")/C11)*100, "#0.0")
),
TEXT(0, "#0.0")
)
</f>
        <v>2.6</v>
      </c>
      <c r="I11" s="328">
        <f>COUNTIFS(FSE!$C:$C,$A11,FSE!E:E,"Yes")</f>
        <v>48</v>
      </c>
      <c r="J11" s="329">
        <f>COUNTIFS(FSE!$C:$C,$A11,FSE!AC:AC,"Yes")</f>
        <v>23</v>
      </c>
      <c r="K11" s="329" t="str">
        <f>IF(COUNTIFS(FSE!$C:$C,$A11,FSE!E:E,"Yes",FSE!AC:AC,"Yes")&gt;0,
  TEXT((COUNTIFS(FSE!$C:$C,$A11,FSE!E:E,"Yes",FSE!AC:AC,"Yes")/I11)*100, "#0.0"),
  TEXT(COUNTIFS(FSE!$C:$C,$A11,FSE!E:E,"Yes",FSE!AC:AC,"Yes"),"#0.0")
)</f>
        <v>35.4</v>
      </c>
      <c r="L11" s="329" t="str">
        <f>IF(COUNTIFS(FSE!$C:$C,$A11,FSE!E:E,"Yes",FSE!AC:AC,"No")=0,
  TEXT(COUNTIFS(FSE!$C:$C,$A11,FSE!E:E,"Yes",FSE!AC:AC,"No"), "#0.0"),
  IF(TEXT((COUNTIFS(FSE!$C:$C,$A11,FSE!E:E,"Yes",FSE!AC:AC,"No")/I11)*100, "#0.0")="100.0",
    TEXT((COUNTIFS(FSE!$C:$C,$A11,FSE!E:E,"Yes",FSE!AC:AC,"No")/I11)*100, "#0"),
    TEXT((COUNTIFS(FSE!$C:$C,$A11,FSE!E:E,"Yes",FSE!AC:AC,"No")/I11)*100, "#0.0")
  )
)</f>
        <v>60.4</v>
      </c>
      <c r="M11" s="329" t="str">
        <f>IF(COUNTIFS(FSE!$C:$C,$A11,FSE!E:E,"Yes",FSE!AC:AC,"-")&lt;&gt;0,
IF((COUNTIFS(FSE!$C:$C,$A11,FSE!E:E,"Yes",FSE!AC:AC,"-")/I11)*100=100,
TEXT((COUNTIFS(FSE!$C:$C,$A11,FSE!E:E,"Yes",FSE!AC:AC,"-")/I11)*100,"#0"),
TEXT((COUNTIFS(FSE!$C:$C,$A11,FSE!E:E,"Yes",FSE!AC:AC,"-")/I11)*100, "#0.0")
),
TEXT(0, "#0.0")
)
</f>
        <v>4.2</v>
      </c>
      <c r="O11" s="329">
        <f t="shared" ref="O11:P11" si="8">SUM(I11,C11)</f>
        <v>86</v>
      </c>
      <c r="P11" s="329">
        <f t="shared" si="8"/>
        <v>61</v>
      </c>
    </row>
    <row r="12">
      <c r="A12" s="330">
        <v>2022.0</v>
      </c>
      <c r="C12" s="329">
        <f>COUNTIFS(ICSE!$C:$C,$A12,ICSE!E:E,"Yes")</f>
        <v>58</v>
      </c>
      <c r="D12" s="329">
        <f>COUNTIFS(ICSE!$C:$C,$A12,ICSE!AC:AC,"Yes")</f>
        <v>55</v>
      </c>
      <c r="E12" s="329" t="str">
        <f>IF(COUNTIFS(ICSE!$C:$C,$A12,ICSE!E:E,"Yes",ICSE!AC:AC,"Yes")&gt;0,TEXT((COUNTIFS(ICSE!$C:$C,$A12,ICSE!E:E,"Yes",ICSE!AC:AC,"Yes")/C12)*100, "#0.0"),COUNTIFS(ICSE!$C:$C,$A12,ICSE!E:E,"Yes",ICSE!AC:AC,"Yes"))</f>
        <v>56.9</v>
      </c>
      <c r="F12" s="329" t="str">
        <f>IF(COUNTIFS(ICSE!$C:$C,$A12,ICSE!AC:AC,"No",ICSE!E:E,"Yes")=0,COUNTIFS(ICSE!$C:$C,$A12,ICSE!AC:AC,"No",ICSE!E:E,"Yes"),IF(TEXT((COUNTIFS(ICSE!$C:$C,$A12,ICSE!AC:AC,"No",ICSE!E:E,"Yes")/C12)*100,"#0.0")="100.0",TEXT((COUNTIFS(ICSE!$C:$C,$A12,ICSE!AC:AC,"No",ICSE!E:E,"Yes")/C12)*100,"#0"),TEXT((COUNTIFS(ICSE!$C:$C,$A12,ICSE!AC:AC,"No",ICSE!E:E,"Yes")/C12)*100, "#0.0")))</f>
        <v>39.7</v>
      </c>
      <c r="G12" s="329" t="str">
        <f>IF(COUNTIFS(ICSE!$C:$C,$A12,ICSE!E:E,"Yes",ICSE!AC:AC,"-")&lt;&gt;0,
IF((COUNTIFS(ICSE!$C:$C,$A12,ICSE!E:E,"Yes",ICSE!AC:AC,"-")/C12)*100=100,
TEXT((COUNTIFS(ICSE!$C:$C,$A12,ICSE!E:E,"Yes",ICSE!AC:AC,"-")/C12)*100,"#0"),
TEXT((COUNTIFS(ICSE!$C:$C,$A12,ICSE!E:E,"Yes",ICSE!AC:AC,"-")/C12)*100, "#0.0")
),
TEXT(0, "#0.0")
)
</f>
        <v>3.4</v>
      </c>
      <c r="I12" s="328">
        <f>COUNTIFS(FSE!$C:$C,$A12,FSE!E:E,"Yes")</f>
        <v>41</v>
      </c>
      <c r="J12" s="329">
        <f>COUNTIFS(FSE!$C:$C,$A12,FSE!AC:AC,"Yes")</f>
        <v>42</v>
      </c>
      <c r="K12" s="329" t="str">
        <f>IF(COUNTIFS(FSE!$C:$C,$A12,FSE!E:E,"Yes",FSE!AC:AC,"Yes")&gt;0,
  TEXT((COUNTIFS(FSE!$C:$C,$A12,FSE!E:E,"Yes",FSE!AC:AC,"Yes")/I12)*100, "#0.0"),
  TEXT(COUNTIFS(FSE!$C:$C,$A12,FSE!E:E,"Yes",FSE!AC:AC,"Yes"),"#0.0")
)</f>
        <v>78.0</v>
      </c>
      <c r="L12" s="329" t="str">
        <f>IF(COUNTIFS(FSE!$C:$C,$A12,FSE!E:E,"Yes",FSE!AC:AC,"No")=0,
  TEXT(COUNTIFS(FSE!$C:$C,$A12,FSE!E:E,"Yes",FSE!AC:AC,"No"), "#0.0"),
  IF(TEXT((COUNTIFS(FSE!$C:$C,$A12,FSE!E:E,"Yes",FSE!AC:AC,"No")/I12)*100, "#0.0")="100.0",
    TEXT((COUNTIFS(FSE!$C:$C,$A12,FSE!E:E,"Yes",FSE!AC:AC,"No")/I12)*100, "#0"),
    TEXT((COUNTIFS(FSE!$C:$C,$A12,FSE!E:E,"Yes",FSE!AC:AC,"No")/I12)*100, "#0.0")
  )
)</f>
        <v>22.0</v>
      </c>
      <c r="M12" s="329" t="str">
        <f>IF(COUNTIFS(FSE!$C:$C,$A12,FSE!E:E,"Yes",FSE!AC:AC,"-")&lt;&gt;0,
IF((COUNTIFS(FSE!$C:$C,$A12,FSE!E:E,"Yes",FSE!AC:AC,"-")/I12)*100=100,
TEXT((COUNTIFS(FSE!$C:$C,$A12,FSE!E:E,"Yes",FSE!AC:AC,"-")/I12)*100,"#0"),
TEXT((COUNTIFS(FSE!$C:$C,$A12,FSE!E:E,"Yes",FSE!AC:AC,"-")/I12)*100, "#0.0")
),
TEXT(0, "#0.0")
)
</f>
        <v>0.0</v>
      </c>
      <c r="O12" s="329">
        <f t="shared" ref="O12:P12" si="9">SUM(I12,C12)</f>
        <v>99</v>
      </c>
      <c r="P12" s="329">
        <f t="shared" si="9"/>
        <v>97</v>
      </c>
    </row>
    <row r="13">
      <c r="A13" s="330">
        <v>2023.0</v>
      </c>
      <c r="C13" s="329">
        <f>COUNTIFS(ICSE!$C:$C,$A13,ICSE!E:E,"Yes")</f>
        <v>80</v>
      </c>
      <c r="D13" s="329">
        <f>COUNTIFS(ICSE!$C:$C,$A13,ICSE!AC:AC,"Yes")</f>
        <v>71</v>
      </c>
      <c r="E13" s="329" t="str">
        <f>IF(COUNTIFS(ICSE!$C:$C,$A13,ICSE!E:E,"Yes",ICSE!AC:AC,"Yes")&gt;0,TEXT((COUNTIFS(ICSE!$C:$C,$A13,ICSE!E:E,"Yes",ICSE!AC:AC,"Yes")/C13)*100, "#0.0"),COUNTIFS(ICSE!$C:$C,$A13,ICSE!E:E,"Yes",ICSE!AC:AC,"Yes"))</f>
        <v>50.0</v>
      </c>
      <c r="F13" s="329" t="str">
        <f>IF(COUNTIFS(ICSE!$C:$C,$A13,ICSE!AC:AC,"No",ICSE!E:E,"Yes")=0,COUNTIFS(ICSE!$C:$C,$A13,ICSE!AC:AC,"No",ICSE!E:E,"Yes"),IF(TEXT((COUNTIFS(ICSE!$C:$C,$A13,ICSE!AC:AC,"No",ICSE!E:E,"Yes")/C13)*100,"#0.0")="100.0",TEXT((COUNTIFS(ICSE!$C:$C,$A13,ICSE!AC:AC,"No",ICSE!E:E,"Yes")/C13)*100,"#0"),TEXT((COUNTIFS(ICSE!$C:$C,$A13,ICSE!AC:AC,"No",ICSE!E:E,"Yes")/C13)*100, "#0.0")))</f>
        <v>50.0</v>
      </c>
      <c r="G13" s="329" t="str">
        <f>IF(COUNTIFS(ICSE!$C:$C,$A13,ICSE!E:E,"Yes",ICSE!AC:AC,"-")&lt;&gt;0,
IF((COUNTIFS(ICSE!$C:$C,$A13,ICSE!E:E,"Yes",ICSE!AC:AC,"-")/C13)*100=100,
TEXT((COUNTIFS(ICSE!$C:$C,$A13,ICSE!E:E,"Yes",ICSE!AC:AC,"-")/C13)*100,"#0"),
TEXT((COUNTIFS(ICSE!$C:$C,$A13,ICSE!E:E,"Yes",ICSE!AC:AC,"-")/C13)*100, "#0.0")
),
TEXT(0, "#0.0")
)
</f>
        <v>0.0</v>
      </c>
      <c r="I13" s="328">
        <f>COUNTIFS(FSE!$C:$C,$A13,FSE!E:E,"Yes")</f>
        <v>62</v>
      </c>
      <c r="J13" s="329">
        <f>COUNTIFS(FSE!$C:$C,$A13,FSE!AC:AC,"Yes")</f>
        <v>58</v>
      </c>
      <c r="K13" s="329" t="str">
        <f>IF(COUNTIFS(FSE!$C:$C,$A13,FSE!E:E,"Yes",FSE!AC:AC,"Yes")&gt;0,
  TEXT((COUNTIFS(FSE!$C:$C,$A13,FSE!E:E,"Yes",FSE!AC:AC,"Yes")/I13)*100, "#0.0"),
  TEXT(COUNTIFS(FSE!$C:$C,$A13,FSE!E:E,"Yes",FSE!AC:AC,"Yes"),"#0.0")
)</f>
        <v>72.6</v>
      </c>
      <c r="L13" s="329" t="str">
        <f>IF(COUNTIFS(FSE!$C:$C,$A13,FSE!E:E,"Yes",FSE!AC:AC,"No")=0,
  TEXT(COUNTIFS(FSE!$C:$C,$A13,FSE!E:E,"Yes",FSE!AC:AC,"No"), "#0.0"),
  IF(TEXT((COUNTIFS(FSE!$C:$C,$A13,FSE!E:E,"Yes",FSE!AC:AC,"No")/I13)*100, "#0.0")="100.0",
    TEXT((COUNTIFS(FSE!$C:$C,$A13,FSE!E:E,"Yes",FSE!AC:AC,"No")/I13)*100, "#0"),
    TEXT((COUNTIFS(FSE!$C:$C,$A13,FSE!E:E,"Yes",FSE!AC:AC,"No")/I13)*100, "#0.0")
  )
)</f>
        <v>27.4</v>
      </c>
      <c r="M13" s="329" t="str">
        <f>IF(COUNTIFS(FSE!$C:$C,$A13,FSE!E:E,"Yes",FSE!AC:AC,"-")&lt;&gt;0,
IF((COUNTIFS(FSE!$C:$C,$A13,FSE!E:E,"Yes",FSE!AC:AC,"-")/I13)*100=100,
TEXT((COUNTIFS(FSE!$C:$C,$A13,FSE!E:E,"Yes",FSE!AC:AC,"-")/I13)*100,"#0"),
TEXT((COUNTIFS(FSE!$C:$C,$A13,FSE!E:E,"Yes",FSE!AC:AC,"-")/I13)*100, "#0.0")
),
TEXT(0, "#0.0")
)
</f>
        <v>0.0</v>
      </c>
      <c r="O13" s="329">
        <f t="shared" ref="O13:P13" si="10">SUM(I13,C13)</f>
        <v>142</v>
      </c>
      <c r="P13" s="329">
        <f t="shared" si="10"/>
        <v>129</v>
      </c>
    </row>
    <row r="14" ht="1.5" customHeight="1">
      <c r="C14" s="329"/>
      <c r="D14" s="329"/>
      <c r="E14" s="329"/>
      <c r="F14" s="329"/>
      <c r="G14" s="329"/>
      <c r="I14" s="328"/>
      <c r="J14" s="328"/>
      <c r="K14" s="328"/>
      <c r="L14" s="328"/>
      <c r="M14" s="328"/>
      <c r="O14" s="329"/>
      <c r="P14" s="329"/>
    </row>
    <row r="15">
      <c r="A15" s="503" t="s">
        <v>5678</v>
      </c>
      <c r="B15" s="504"/>
      <c r="C15" s="505">
        <f t="shared" ref="C15:D15" si="11">SUM(C4:C13)</f>
        <v>265</v>
      </c>
      <c r="D15" s="505">
        <f t="shared" si="11"/>
        <v>219</v>
      </c>
      <c r="E15" s="506" t="s">
        <v>36</v>
      </c>
      <c r="F15" s="506" t="s">
        <v>36</v>
      </c>
      <c r="G15" s="505">
        <f>(COUNTIFS(ICSE!$C:$C,"2017",ICSE!E:E,"Yes",ICSE!AC:AC,"-")+
(COUNTIFS(ICSE!$C:$C,"2018",ICSE!E:E,"Yes",ICSE!AC:AC,"-")+
(COUNTIFS(ICSE!$C:$C,"2019",ICSE!E:E,"Yes",ICSE!AC:AC,"-")+
(COUNTIFS(ICSE!$C:$C,"2020",ICSE!E:E,"Yes",ICSE!AC:AC,"-")+
(COUNTIFS(ICSE!$C:$C,"2021",ICSE!E:E,"Yes",ICSE!AC:AC,"-")+
(COUNTIFS(ICSE!$C:$C,"2022",ICSE!E:E,"Yes",ICSE!AC:AC,"-")+
(COUNTIFS(ICSE!$C:$C,"2023",ICSE!E:E,"Yes",ICSE!AC:AC,"-"))))))))</f>
        <v>10</v>
      </c>
      <c r="H15" s="504"/>
      <c r="I15" s="505">
        <f t="shared" ref="I15:J15" si="12">SUM(I4:I13)</f>
        <v>240</v>
      </c>
      <c r="J15" s="505">
        <f t="shared" si="12"/>
        <v>192</v>
      </c>
      <c r="K15" s="506" t="s">
        <v>36</v>
      </c>
      <c r="L15" s="506" t="s">
        <v>36</v>
      </c>
      <c r="M15" s="505">
        <f>COUNTIFS(FSE!$C:$C,"2017",FSE!E:E,"Yes",FSE!AC:AC,"-")+
COUNTIFS(FSE!$C:$C,"2018",FSE!E:E,"Yes",FSE!AC:AC,"-")+
COUNTIFS(FSE!$C:$C,"2019",FSE!E:E,"Yes",FSE!AC:AC,"-")+
COUNTIFS(FSE!$C:$C,"2020",FSE!E:E,"Yes",FSE!AC:AC,"-")+
COUNTIFS(FSE!$C:$C,"2021",FSE!E:E,"Yes",FSE!AC:AC,"-")+
COUNTIFS(FSE!$C:$C,"2022",FSE!E:E,"Yes",FSE!AC:AC,"-")+
COUNTIFS(FSE!$C:$C,"2023",FSE!E:E,"Yes",FSE!AC:AC,"-")</f>
        <v>7</v>
      </c>
      <c r="N15" s="504"/>
      <c r="O15" s="505">
        <f t="shared" ref="O15:P15" si="13">SUM(O4:O13)</f>
        <v>505</v>
      </c>
      <c r="P15" s="505">
        <f t="shared" si="13"/>
        <v>411</v>
      </c>
    </row>
    <row r="17">
      <c r="A17" s="507" t="s">
        <v>7466</v>
      </c>
      <c r="B17" s="383"/>
      <c r="C17" s="383"/>
      <c r="D17" s="383"/>
      <c r="E17" s="384"/>
      <c r="F17" s="508" t="s">
        <v>7467</v>
      </c>
      <c r="G17" s="508" t="s">
        <v>7468</v>
      </c>
    </row>
    <row r="18">
      <c r="A18" s="509" t="s">
        <v>7469</v>
      </c>
      <c r="B18" s="383"/>
      <c r="C18" s="383"/>
      <c r="D18" s="383"/>
      <c r="E18" s="384"/>
      <c r="F18" s="510">
        <f>COUNTIF(ICSE!E:E,"Yes")</f>
        <v>265</v>
      </c>
      <c r="G18" s="510">
        <f>COUNTIF(FSE!E:E,"Yes")</f>
        <v>240</v>
      </c>
      <c r="J18" s="387">
        <v>2020.0</v>
      </c>
      <c r="K18" s="511" t="s">
        <v>5675</v>
      </c>
      <c r="L18" s="384"/>
    </row>
    <row r="19">
      <c r="A19" s="512" t="s">
        <v>7470</v>
      </c>
      <c r="B19" s="513"/>
      <c r="C19" s="513"/>
      <c r="D19" s="514"/>
      <c r="E19" s="515"/>
      <c r="F19" s="510">
        <f>COUNTIF(ICSE!F:F,"Yes")</f>
        <v>26</v>
      </c>
      <c r="G19" s="510">
        <f>COUNTIF(FSE!F:F,"Yes")</f>
        <v>103</v>
      </c>
      <c r="J19" s="516">
        <f>J21-J20</f>
        <v>18</v>
      </c>
      <c r="K19" s="511" t="s">
        <v>7471</v>
      </c>
      <c r="L19" s="384"/>
    </row>
    <row r="20">
      <c r="A20" s="517" t="s">
        <v>7472</v>
      </c>
      <c r="B20" s="513"/>
      <c r="C20" s="513"/>
      <c r="D20" s="518"/>
      <c r="E20" s="519"/>
      <c r="F20" s="510">
        <f>COUNTIF(ICSE!G:G,"Yes")</f>
        <v>214</v>
      </c>
      <c r="G20" s="510">
        <f>COUNTIF(FSE!G:G,"Yes")</f>
        <v>126</v>
      </c>
      <c r="J20" s="387">
        <f>COUNTIFS(ICSE!C:C,J$18,ICSE!U:U,"*github*",ICSE!D:D,"Yes")</f>
        <v>36</v>
      </c>
      <c r="K20" s="511" t="s">
        <v>7473</v>
      </c>
      <c r="L20" s="384"/>
    </row>
    <row r="21">
      <c r="A21" s="520" t="s">
        <v>7474</v>
      </c>
      <c r="B21" s="513"/>
      <c r="C21" s="513"/>
      <c r="D21" s="521"/>
      <c r="E21" s="522"/>
      <c r="F21" s="510">
        <f>COUNTIF(ICSE!H:H,"Yes")</f>
        <v>1</v>
      </c>
      <c r="G21" s="510">
        <f>COUNTIF(FSE!H:H,"Yes")</f>
        <v>1</v>
      </c>
      <c r="J21" s="387">
        <f>COUNTIFS(ICSE!C:C,J18,ICSE!D:D,"Yes")</f>
        <v>54</v>
      </c>
      <c r="K21" s="511" t="s">
        <v>7475</v>
      </c>
      <c r="L21" s="384"/>
    </row>
    <row r="22">
      <c r="A22" s="523" t="s">
        <v>7476</v>
      </c>
      <c r="B22" s="513"/>
      <c r="C22" s="513"/>
      <c r="D22" s="524"/>
      <c r="E22" s="525"/>
      <c r="F22" s="510">
        <f>COUNTIF(ICSE!I:I,"Yes")</f>
        <v>1</v>
      </c>
      <c r="G22" s="510">
        <f>COUNTIF(FSE!I:I,"Yes")</f>
        <v>1</v>
      </c>
    </row>
    <row r="23">
      <c r="A23" s="526" t="s">
        <v>9</v>
      </c>
      <c r="B23" s="383"/>
      <c r="C23" s="383"/>
      <c r="D23" s="383"/>
      <c r="E23" s="384"/>
      <c r="F23" s="510">
        <f>COUNTIF(ICSE!J:J,"Yes")</f>
        <v>0</v>
      </c>
      <c r="G23" s="510">
        <f>840-COUNTIF(FSE!J:J,"-")</f>
        <v>49</v>
      </c>
    </row>
  </sheetData>
  <mergeCells count="10">
    <mergeCell ref="K20:L20"/>
    <mergeCell ref="K21:L21"/>
    <mergeCell ref="A23:E23"/>
    <mergeCell ref="C1:G1"/>
    <mergeCell ref="I1:M1"/>
    <mergeCell ref="O1:P1"/>
    <mergeCell ref="A17:E17"/>
    <mergeCell ref="A18:E18"/>
    <mergeCell ref="K18:L18"/>
    <mergeCell ref="K19:L19"/>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5"/>
    <col customWidth="1" min="2" max="2" width="42.25"/>
    <col customWidth="1" min="3" max="12" width="4.75"/>
    <col customWidth="1" min="13" max="13" width="0.38"/>
    <col customWidth="1" min="14" max="14" width="3.88"/>
    <col customWidth="1" min="15" max="15" width="51.5"/>
    <col customWidth="1" min="16" max="16" width="33.0"/>
  </cols>
  <sheetData>
    <row r="1">
      <c r="A1" s="527" t="s">
        <v>7477</v>
      </c>
      <c r="B1" s="528" t="s">
        <v>7478</v>
      </c>
      <c r="C1" s="529">
        <v>2014.0</v>
      </c>
      <c r="D1" s="529">
        <v>2015.0</v>
      </c>
      <c r="E1" s="529">
        <v>2016.0</v>
      </c>
      <c r="F1" s="529">
        <v>2017.0</v>
      </c>
      <c r="G1" s="529">
        <v>2018.0</v>
      </c>
      <c r="H1" s="529">
        <v>2019.0</v>
      </c>
      <c r="I1" s="529">
        <v>2020.0</v>
      </c>
      <c r="J1" s="529">
        <v>2021.0</v>
      </c>
      <c r="K1" s="529">
        <v>2022.0</v>
      </c>
      <c r="L1" s="529">
        <v>2023.0</v>
      </c>
      <c r="M1" s="530"/>
      <c r="N1" s="529" t="s">
        <v>7479</v>
      </c>
      <c r="O1" s="528" t="s">
        <v>7480</v>
      </c>
      <c r="P1" s="528" t="s">
        <v>7481</v>
      </c>
    </row>
    <row r="2">
      <c r="A2" s="531" t="str">
        <f t="shared" ref="A2:A26" si="1">"(F"&amp;TEXT(ROW(A2)-1,"00")&amp;") "&amp;O2</f>
        <v>(F01) CfA invites authors of accepted 
Research papers to submit artifacts.</v>
      </c>
      <c r="B2" s="532" t="str">
        <f t="shared" ref="B2:B26" si="2">LEFT(CONCATENATE(IF(C2="x",C$1&amp;",",""),IF(D2="x",D$1&amp;",",""),IF(E2="x",E$1&amp;",",""),IF(F2="x",F$1&amp;",",""),IF(G2="x",G$1&amp;",",""),IF(H2="x",H$1&amp;",",""),IF(I2="x",I$1&amp;",",""),IF(J2="x",J$1&amp;",",""),IF(K2="x",K$1&amp;",",""),IF(L2="x",L$1&amp;",","")),LEN(CONCATENATE(IF(C2="x",C$1&amp;",",""),IF(D2="x",D$1&amp;",",""),IF(E2="x",E$1&amp;",",""),IF(F2="x",F$1&amp;",",""),IF(G2="x",G$1&amp;",",""),IF(H2="x",H$1&amp;",",""),IF(I2="x",I$1&amp;",",""),IF(J2="x",J$1&amp;",",""),IF(K2="x",K$1&amp;",",""),IF(L2="x",L$1&amp;",","")))-1)</f>
        <v>2014,2015,2016,2017,2018,2019,2020,2021,2022,2023</v>
      </c>
      <c r="C2" s="533" t="s">
        <v>7482</v>
      </c>
      <c r="D2" s="533" t="s">
        <v>7482</v>
      </c>
      <c r="E2" s="533" t="s">
        <v>7482</v>
      </c>
      <c r="F2" s="533" t="s">
        <v>7482</v>
      </c>
      <c r="G2" s="533" t="s">
        <v>7482</v>
      </c>
      <c r="H2" s="533" t="s">
        <v>7482</v>
      </c>
      <c r="I2" s="533" t="s">
        <v>7482</v>
      </c>
      <c r="J2" s="533" t="s">
        <v>7482</v>
      </c>
      <c r="K2" s="533" t="s">
        <v>7482</v>
      </c>
      <c r="L2" s="533" t="s">
        <v>7482</v>
      </c>
      <c r="M2" s="534"/>
      <c r="N2" s="533" t="str">
        <f t="shared" ref="N2:N26" si="3">"F"&amp;TEXT(ROW(A2)-1,"00")</f>
        <v>F01</v>
      </c>
      <c r="O2" s="532" t="s">
        <v>7483</v>
      </c>
      <c r="P2" s="532" t="s">
        <v>7162</v>
      </c>
    </row>
    <row r="3">
      <c r="A3" s="531" t="str">
        <f t="shared" si="1"/>
        <v>(F02) CfA invites authors of accepted 
Industrial papers to submit artifacts.</v>
      </c>
      <c r="B3" s="532" t="str">
        <f t="shared" si="2"/>
        <v>2022,2023</v>
      </c>
      <c r="C3" s="533" t="s">
        <v>3582</v>
      </c>
      <c r="D3" s="533" t="s">
        <v>3582</v>
      </c>
      <c r="E3" s="533" t="s">
        <v>3582</v>
      </c>
      <c r="F3" s="533" t="s">
        <v>3582</v>
      </c>
      <c r="G3" s="533" t="s">
        <v>3582</v>
      </c>
      <c r="H3" s="533" t="s">
        <v>3582</v>
      </c>
      <c r="I3" s="533" t="s">
        <v>3582</v>
      </c>
      <c r="J3" s="533" t="s">
        <v>3582</v>
      </c>
      <c r="K3" s="533" t="s">
        <v>7482</v>
      </c>
      <c r="L3" s="533" t="s">
        <v>7482</v>
      </c>
      <c r="M3" s="534"/>
      <c r="N3" s="533" t="str">
        <f t="shared" si="3"/>
        <v>F02</v>
      </c>
      <c r="O3" s="532" t="s">
        <v>7484</v>
      </c>
      <c r="P3" s="532" t="s">
        <v>7164</v>
      </c>
    </row>
    <row r="4">
      <c r="A4" s="531" t="str">
        <f t="shared" si="1"/>
        <v>(F03) CfA invites authors of any prior SE papers to submit 
artifacts whose results were validated in other studies.</v>
      </c>
      <c r="B4" s="532" t="str">
        <f t="shared" si="2"/>
        <v>2020,2021,2022,2023</v>
      </c>
      <c r="C4" s="533" t="s">
        <v>3582</v>
      </c>
      <c r="D4" s="533" t="s">
        <v>3582</v>
      </c>
      <c r="E4" s="533" t="s">
        <v>3582</v>
      </c>
      <c r="F4" s="533" t="s">
        <v>3582</v>
      </c>
      <c r="G4" s="533" t="s">
        <v>3582</v>
      </c>
      <c r="H4" s="533" t="s">
        <v>3582</v>
      </c>
      <c r="I4" s="533" t="s">
        <v>7482</v>
      </c>
      <c r="J4" s="533" t="s">
        <v>7482</v>
      </c>
      <c r="K4" s="533" t="s">
        <v>7482</v>
      </c>
      <c r="L4" s="533" t="s">
        <v>7482</v>
      </c>
      <c r="M4" s="534"/>
      <c r="N4" s="533" t="str">
        <f t="shared" si="3"/>
        <v>F03</v>
      </c>
      <c r="O4" s="532" t="s">
        <v>7485</v>
      </c>
      <c r="P4" s="532" t="s">
        <v>7166</v>
      </c>
    </row>
    <row r="5">
      <c r="A5" s="535" t="str">
        <f t="shared" si="1"/>
        <v>(F04) FSE classifies artifacts as Diamond, Platinum, and Gold.</v>
      </c>
      <c r="B5" s="536" t="str">
        <f t="shared" si="2"/>
        <v>2016</v>
      </c>
      <c r="C5" s="537" t="s">
        <v>3582</v>
      </c>
      <c r="D5" s="537" t="s">
        <v>3582</v>
      </c>
      <c r="E5" s="537" t="s">
        <v>7482</v>
      </c>
      <c r="F5" s="537" t="s">
        <v>3582</v>
      </c>
      <c r="G5" s="537" t="s">
        <v>3582</v>
      </c>
      <c r="H5" s="537" t="s">
        <v>3582</v>
      </c>
      <c r="I5" s="537" t="s">
        <v>3582</v>
      </c>
      <c r="J5" s="537" t="s">
        <v>3582</v>
      </c>
      <c r="K5" s="537" t="s">
        <v>3582</v>
      </c>
      <c r="L5" s="537" t="s">
        <v>3582</v>
      </c>
      <c r="M5" s="538"/>
      <c r="N5" s="537" t="str">
        <f t="shared" si="3"/>
        <v>F04</v>
      </c>
      <c r="O5" s="536" t="s">
        <v>7486</v>
      </c>
      <c r="P5" s="536" t="s">
        <v>7168</v>
      </c>
    </row>
    <row r="6">
      <c r="A6" s="535" t="str">
        <f t="shared" si="1"/>
        <v>(F05) Artifact-evaluated badges are included
on the front page of the papers.</v>
      </c>
      <c r="B6" s="536" t="str">
        <f t="shared" si="2"/>
        <v>2016,2017,2018,2019,2020,2021,2022,2023</v>
      </c>
      <c r="C6" s="537" t="s">
        <v>3582</v>
      </c>
      <c r="D6" s="537" t="s">
        <v>3582</v>
      </c>
      <c r="E6" s="537" t="s">
        <v>7482</v>
      </c>
      <c r="F6" s="537" t="s">
        <v>7482</v>
      </c>
      <c r="G6" s="537" t="s">
        <v>7482</v>
      </c>
      <c r="H6" s="537" t="s">
        <v>7482</v>
      </c>
      <c r="I6" s="537" t="s">
        <v>7482</v>
      </c>
      <c r="J6" s="537" t="s">
        <v>7482</v>
      </c>
      <c r="K6" s="537" t="s">
        <v>7482</v>
      </c>
      <c r="L6" s="537" t="s">
        <v>7482</v>
      </c>
      <c r="M6" s="538"/>
      <c r="N6" s="537" t="str">
        <f t="shared" si="3"/>
        <v>F05</v>
      </c>
      <c r="O6" s="536" t="s">
        <v>7487</v>
      </c>
      <c r="P6" s="536" t="s">
        <v>7170</v>
      </c>
    </row>
    <row r="7">
      <c r="A7" s="535" t="str">
        <f t="shared" si="1"/>
        <v>(F06) FSE adopts ACM Badges.</v>
      </c>
      <c r="B7" s="536" t="str">
        <f t="shared" si="2"/>
        <v>2017,2018,2019,2020,2021,2022,2023</v>
      </c>
      <c r="C7" s="537" t="s">
        <v>3582</v>
      </c>
      <c r="D7" s="537" t="s">
        <v>3582</v>
      </c>
      <c r="E7" s="537" t="s">
        <v>3582</v>
      </c>
      <c r="F7" s="537" t="s">
        <v>7482</v>
      </c>
      <c r="G7" s="537" t="s">
        <v>7482</v>
      </c>
      <c r="H7" s="537" t="s">
        <v>7482</v>
      </c>
      <c r="I7" s="537" t="s">
        <v>7482</v>
      </c>
      <c r="J7" s="537" t="s">
        <v>7482</v>
      </c>
      <c r="K7" s="537" t="s">
        <v>7482</v>
      </c>
      <c r="L7" s="537" t="s">
        <v>7482</v>
      </c>
      <c r="M7" s="538"/>
      <c r="N7" s="537" t="str">
        <f t="shared" si="3"/>
        <v>F06</v>
      </c>
      <c r="O7" s="536" t="s">
        <v>7488</v>
      </c>
      <c r="P7" s="536" t="s">
        <v>7172</v>
      </c>
    </row>
    <row r="8">
      <c r="A8" s="539" t="str">
        <f t="shared" si="1"/>
        <v>(F07) CfA announces visibility rewards 
for artifacts successfully evaluated.</v>
      </c>
      <c r="B8" s="540" t="str">
        <f t="shared" si="2"/>
        <v>2014,2016,2017,2019</v>
      </c>
      <c r="C8" s="541" t="s">
        <v>7482</v>
      </c>
      <c r="D8" s="541" t="s">
        <v>3582</v>
      </c>
      <c r="E8" s="541" t="s">
        <v>7482</v>
      </c>
      <c r="F8" s="541" t="s">
        <v>7482</v>
      </c>
      <c r="G8" s="541" t="s">
        <v>3582</v>
      </c>
      <c r="H8" s="541" t="s">
        <v>7482</v>
      </c>
      <c r="I8" s="541" t="s">
        <v>3582</v>
      </c>
      <c r="J8" s="541" t="s">
        <v>3582</v>
      </c>
      <c r="K8" s="541" t="s">
        <v>3582</v>
      </c>
      <c r="L8" s="541" t="s">
        <v>3582</v>
      </c>
      <c r="M8" s="534"/>
      <c r="N8" s="541" t="str">
        <f t="shared" si="3"/>
        <v>F07</v>
      </c>
      <c r="O8" s="540" t="s">
        <v>7489</v>
      </c>
      <c r="P8" s="540" t="s">
        <v>7174</v>
      </c>
    </row>
    <row r="9">
      <c r="A9" s="539" t="str">
        <f t="shared" si="1"/>
        <v>(F08) CfA announces Best Artifact Awards.</v>
      </c>
      <c r="B9" s="540" t="str">
        <f t="shared" si="2"/>
        <v>2014,2016,2020,2021,2022,2023</v>
      </c>
      <c r="C9" s="541" t="s">
        <v>7482</v>
      </c>
      <c r="D9" s="541" t="s">
        <v>3582</v>
      </c>
      <c r="E9" s="541" t="s">
        <v>7482</v>
      </c>
      <c r="F9" s="541" t="s">
        <v>3582</v>
      </c>
      <c r="G9" s="541" t="s">
        <v>3582</v>
      </c>
      <c r="H9" s="541" t="s">
        <v>3582</v>
      </c>
      <c r="I9" s="541" t="s">
        <v>7482</v>
      </c>
      <c r="J9" s="541" t="s">
        <v>7482</v>
      </c>
      <c r="K9" s="541" t="s">
        <v>7482</v>
      </c>
      <c r="L9" s="541" t="s">
        <v>7482</v>
      </c>
      <c r="M9" s="534"/>
      <c r="N9" s="541" t="str">
        <f t="shared" si="3"/>
        <v>F08</v>
      </c>
      <c r="O9" s="540" t="s">
        <v>7490</v>
      </c>
      <c r="P9" s="540" t="s">
        <v>7176</v>
      </c>
    </row>
    <row r="10">
      <c r="A10" s="539" t="str">
        <f t="shared" si="1"/>
        <v>(F09) Authors of papers with accepted artifacts benefit from 
five more minutes of presentation at the conference.</v>
      </c>
      <c r="B10" s="540" t="str">
        <f t="shared" si="2"/>
        <v>2015</v>
      </c>
      <c r="C10" s="541" t="s">
        <v>3582</v>
      </c>
      <c r="D10" s="541" t="s">
        <v>7482</v>
      </c>
      <c r="E10" s="541" t="s">
        <v>3582</v>
      </c>
      <c r="F10" s="541" t="s">
        <v>3582</v>
      </c>
      <c r="G10" s="541" t="s">
        <v>3582</v>
      </c>
      <c r="H10" s="541" t="s">
        <v>3582</v>
      </c>
      <c r="I10" s="541" t="s">
        <v>3582</v>
      </c>
      <c r="J10" s="541" t="s">
        <v>3582</v>
      </c>
      <c r="K10" s="541" t="s">
        <v>3582</v>
      </c>
      <c r="L10" s="541" t="s">
        <v>3582</v>
      </c>
      <c r="M10" s="534"/>
      <c r="N10" s="541" t="str">
        <f t="shared" si="3"/>
        <v>F09</v>
      </c>
      <c r="O10" s="540" t="s">
        <v>7491</v>
      </c>
      <c r="P10" s="540" t="s">
        <v>7178</v>
      </c>
    </row>
    <row r="11">
      <c r="A11" s="539" t="str">
        <f t="shared" si="1"/>
        <v>(F10) CfA states that accepted artifacts are 
stored in the ACM Digital Library.</v>
      </c>
      <c r="B11" s="540" t="str">
        <f t="shared" si="2"/>
        <v>2015</v>
      </c>
      <c r="C11" s="541" t="s">
        <v>3582</v>
      </c>
      <c r="D11" s="541" t="s">
        <v>7482</v>
      </c>
      <c r="E11" s="541" t="s">
        <v>3582</v>
      </c>
      <c r="F11" s="541" t="s">
        <v>3582</v>
      </c>
      <c r="G11" s="541" t="s">
        <v>3582</v>
      </c>
      <c r="H11" s="541" t="s">
        <v>3582</v>
      </c>
      <c r="I11" s="541" t="s">
        <v>3582</v>
      </c>
      <c r="J11" s="541" t="s">
        <v>3582</v>
      </c>
      <c r="K11" s="541" t="s">
        <v>3582</v>
      </c>
      <c r="L11" s="541" t="s">
        <v>3582</v>
      </c>
      <c r="M11" s="534"/>
      <c r="N11" s="541" t="str">
        <f t="shared" si="3"/>
        <v>F10</v>
      </c>
      <c r="O11" s="540" t="s">
        <v>7492</v>
      </c>
      <c r="P11" s="540" t="s">
        <v>7180</v>
      </c>
    </row>
    <row r="12">
      <c r="A12" s="539" t="str">
        <f t="shared" si="1"/>
        <v>(F11) CfA states that papers with accepted artifacts benefit from 
an extra page dedicated to the presentation of the artifacts.</v>
      </c>
      <c r="B12" s="540" t="str">
        <f t="shared" si="2"/>
        <v>2015,2016,2017</v>
      </c>
      <c r="C12" s="541" t="s">
        <v>3582</v>
      </c>
      <c r="D12" s="541" t="s">
        <v>7482</v>
      </c>
      <c r="E12" s="541" t="s">
        <v>7482</v>
      </c>
      <c r="F12" s="541" t="s">
        <v>7482</v>
      </c>
      <c r="G12" s="541" t="s">
        <v>3582</v>
      </c>
      <c r="H12" s="541" t="s">
        <v>3582</v>
      </c>
      <c r="I12" s="541" t="s">
        <v>3582</v>
      </c>
      <c r="J12" s="541" t="s">
        <v>3582</v>
      </c>
      <c r="K12" s="541" t="s">
        <v>3582</v>
      </c>
      <c r="L12" s="541" t="s">
        <v>3582</v>
      </c>
      <c r="M12" s="534"/>
      <c r="N12" s="541" t="str">
        <f t="shared" si="3"/>
        <v>F11</v>
      </c>
      <c r="O12" s="540" t="s">
        <v>7493</v>
      </c>
      <c r="P12" s="540" t="s">
        <v>7182</v>
      </c>
    </row>
    <row r="13">
      <c r="A13" s="539" t="str">
        <f t="shared" si="1"/>
        <v>(F12) CfA states that abstracts documenting accepted 
artifacts are to be published in the proceedings.</v>
      </c>
      <c r="B13" s="540" t="str">
        <f t="shared" si="2"/>
        <v>2021</v>
      </c>
      <c r="C13" s="541" t="s">
        <v>3582</v>
      </c>
      <c r="D13" s="541" t="s">
        <v>3582</v>
      </c>
      <c r="E13" s="541" t="s">
        <v>3582</v>
      </c>
      <c r="F13" s="541" t="s">
        <v>3582</v>
      </c>
      <c r="G13" s="541" t="s">
        <v>3582</v>
      </c>
      <c r="H13" s="541" t="s">
        <v>3582</v>
      </c>
      <c r="I13" s="541" t="s">
        <v>3582</v>
      </c>
      <c r="J13" s="541" t="s">
        <v>7482</v>
      </c>
      <c r="K13" s="541" t="s">
        <v>3582</v>
      </c>
      <c r="L13" s="541" t="s">
        <v>3582</v>
      </c>
      <c r="M13" s="534"/>
      <c r="N13" s="541" t="str">
        <f t="shared" si="3"/>
        <v>F12</v>
      </c>
      <c r="O13" s="540" t="s">
        <v>7494</v>
      </c>
      <c r="P13" s="540" t="s">
        <v>7184</v>
      </c>
    </row>
    <row r="14">
      <c r="A14" s="539" t="str">
        <f t="shared" si="1"/>
        <v>(F13) CfA states that authors of artifacts accepted as 
Results Validated may be invited to give lightning talks.</v>
      </c>
      <c r="B14" s="540" t="str">
        <f t="shared" si="2"/>
        <v>2020,2021,2022,2023</v>
      </c>
      <c r="C14" s="541" t="s">
        <v>3582</v>
      </c>
      <c r="D14" s="541" t="s">
        <v>3582</v>
      </c>
      <c r="E14" s="541" t="s">
        <v>3582</v>
      </c>
      <c r="F14" s="541" t="s">
        <v>3582</v>
      </c>
      <c r="G14" s="541" t="s">
        <v>3582</v>
      </c>
      <c r="H14" s="541" t="s">
        <v>3582</v>
      </c>
      <c r="I14" s="541" t="s">
        <v>7482</v>
      </c>
      <c r="J14" s="541" t="s">
        <v>7482</v>
      </c>
      <c r="K14" s="541" t="s">
        <v>7482</v>
      </c>
      <c r="L14" s="541" t="s">
        <v>7482</v>
      </c>
      <c r="M14" s="534"/>
      <c r="N14" s="541" t="str">
        <f t="shared" si="3"/>
        <v>F13</v>
      </c>
      <c r="O14" s="540" t="s">
        <v>7495</v>
      </c>
      <c r="P14" s="540" t="s">
        <v>7186</v>
      </c>
    </row>
    <row r="15">
      <c r="A15" s="539" t="str">
        <f t="shared" si="1"/>
        <v>(F14) CfA states that authors of artifacts accepted as 
Artifact Evaluated may be invited to give lightning talks.</v>
      </c>
      <c r="B15" s="540" t="str">
        <f t="shared" si="2"/>
        <v>2020,2022</v>
      </c>
      <c r="C15" s="541" t="s">
        <v>3582</v>
      </c>
      <c r="D15" s="541" t="s">
        <v>3582</v>
      </c>
      <c r="E15" s="541" t="s">
        <v>3582</v>
      </c>
      <c r="F15" s="541" t="s">
        <v>3582</v>
      </c>
      <c r="G15" s="541" t="s">
        <v>3582</v>
      </c>
      <c r="H15" s="541" t="s">
        <v>3582</v>
      </c>
      <c r="I15" s="541" t="s">
        <v>7482</v>
      </c>
      <c r="J15" s="541" t="s">
        <v>3582</v>
      </c>
      <c r="K15" s="541" t="s">
        <v>7482</v>
      </c>
      <c r="L15" s="541" t="s">
        <v>3582</v>
      </c>
      <c r="M15" s="534"/>
      <c r="N15" s="541" t="str">
        <f t="shared" si="3"/>
        <v>F14</v>
      </c>
      <c r="O15" s="540" t="s">
        <v>7496</v>
      </c>
      <c r="P15" s="540" t="s">
        <v>7188</v>
      </c>
    </row>
    <row r="16">
      <c r="A16" s="542" t="str">
        <f t="shared" si="1"/>
        <v>(F15) Research track CfP asks authors not to provide URLs to 
author-revealing sites due to the double-anonymous review process.</v>
      </c>
      <c r="B16" s="543" t="str">
        <f t="shared" si="2"/>
        <v>2017,2018,2019,2020,2021,2022,2023</v>
      </c>
      <c r="C16" s="544" t="s">
        <v>3582</v>
      </c>
      <c r="D16" s="544" t="s">
        <v>3582</v>
      </c>
      <c r="E16" s="544" t="s">
        <v>3582</v>
      </c>
      <c r="F16" s="544" t="s">
        <v>7482</v>
      </c>
      <c r="G16" s="544" t="s">
        <v>7482</v>
      </c>
      <c r="H16" s="544" t="s">
        <v>7482</v>
      </c>
      <c r="I16" s="544" t="s">
        <v>7482</v>
      </c>
      <c r="J16" s="544" t="s">
        <v>7482</v>
      </c>
      <c r="K16" s="544" t="s">
        <v>7482</v>
      </c>
      <c r="L16" s="544" t="s">
        <v>7482</v>
      </c>
      <c r="M16" s="534"/>
      <c r="N16" s="544" t="str">
        <f t="shared" si="3"/>
        <v>F15</v>
      </c>
      <c r="O16" s="543" t="s">
        <v>7497</v>
      </c>
      <c r="P16" s="543" t="s">
        <v>7190</v>
      </c>
    </row>
    <row r="17">
      <c r="A17" s="542" t="str">
        <f t="shared" si="1"/>
        <v>(F16) Research track CfP states that authors can submit 
an additional file containing supplementary material.</v>
      </c>
      <c r="B17" s="543" t="str">
        <f t="shared" si="2"/>
        <v>2018,2019,2020,2021,2022</v>
      </c>
      <c r="C17" s="544" t="s">
        <v>3582</v>
      </c>
      <c r="D17" s="544" t="s">
        <v>3582</v>
      </c>
      <c r="E17" s="544" t="s">
        <v>3582</v>
      </c>
      <c r="F17" s="544" t="s">
        <v>3582</v>
      </c>
      <c r="G17" s="544" t="s">
        <v>7482</v>
      </c>
      <c r="H17" s="544" t="s">
        <v>7482</v>
      </c>
      <c r="I17" s="544" t="s">
        <v>7482</v>
      </c>
      <c r="J17" s="544" t="s">
        <v>7482</v>
      </c>
      <c r="K17" s="544" t="s">
        <v>7482</v>
      </c>
      <c r="L17" s="544" t="s">
        <v>3582</v>
      </c>
      <c r="M17" s="534"/>
      <c r="N17" s="544" t="str">
        <f t="shared" si="3"/>
        <v>F16</v>
      </c>
      <c r="O17" s="543" t="s">
        <v>7498</v>
      </c>
      <c r="P17" s="543" t="s">
        <v>7192</v>
      </c>
    </row>
    <row r="18">
      <c r="A18" s="542" t="str">
        <f t="shared" si="1"/>
        <v>(F17) Research track CfP encourages authors 
to submit a link to anonymous artifacts.</v>
      </c>
      <c r="B18" s="543" t="str">
        <f t="shared" si="2"/>
        <v>2019,2020,2021,2022</v>
      </c>
      <c r="C18" s="544" t="s">
        <v>3582</v>
      </c>
      <c r="D18" s="544" t="s">
        <v>3582</v>
      </c>
      <c r="E18" s="544" t="s">
        <v>3582</v>
      </c>
      <c r="F18" s="544" t="s">
        <v>3582</v>
      </c>
      <c r="G18" s="544" t="s">
        <v>3582</v>
      </c>
      <c r="H18" s="544" t="s">
        <v>7482</v>
      </c>
      <c r="I18" s="544" t="s">
        <v>7482</v>
      </c>
      <c r="J18" s="544" t="s">
        <v>7482</v>
      </c>
      <c r="K18" s="544" t="s">
        <v>7482</v>
      </c>
      <c r="L18" s="544" t="s">
        <v>3582</v>
      </c>
      <c r="M18" s="534"/>
      <c r="N18" s="544" t="str">
        <f t="shared" si="3"/>
        <v>F17</v>
      </c>
      <c r="O18" s="543" t="s">
        <v>7499</v>
      </c>
      <c r="P18" s="543" t="s">
        <v>7194</v>
      </c>
    </row>
    <row r="19" ht="39.75" customHeight="1">
      <c r="A19" s="542" t="str">
        <f t="shared" si="1"/>
        <v>(F18) Research track CfP encourages authors to make artifacts 
available upon paper submission or explain why not.</v>
      </c>
      <c r="B19" s="543" t="str">
        <f t="shared" si="2"/>
        <v>2019,2020,2021,2022,2023</v>
      </c>
      <c r="C19" s="544" t="s">
        <v>3582</v>
      </c>
      <c r="D19" s="544" t="s">
        <v>3582</v>
      </c>
      <c r="E19" s="544" t="s">
        <v>3582</v>
      </c>
      <c r="F19" s="544" t="s">
        <v>3582</v>
      </c>
      <c r="G19" s="544" t="s">
        <v>3582</v>
      </c>
      <c r="H19" s="544" t="s">
        <v>7482</v>
      </c>
      <c r="I19" s="544" t="s">
        <v>7482</v>
      </c>
      <c r="J19" s="544" t="s">
        <v>7482</v>
      </c>
      <c r="K19" s="544" t="s">
        <v>7482</v>
      </c>
      <c r="L19" s="544" t="s">
        <v>7482</v>
      </c>
      <c r="M19" s="534"/>
      <c r="N19" s="544" t="str">
        <f t="shared" si="3"/>
        <v>F18</v>
      </c>
      <c r="O19" s="543" t="s">
        <v>7500</v>
      </c>
      <c r="P19" s="543" t="s">
        <v>7196</v>
      </c>
    </row>
    <row r="20">
      <c r="A20" s="542" t="str">
        <f t="shared" si="1"/>
        <v>(F19) FSE asks authors to declare artifact availability in
the papers, ideally, in a section named Data Availability.</v>
      </c>
      <c r="B20" s="543" t="str">
        <f t="shared" si="2"/>
        <v>2019,2020,2021,2023</v>
      </c>
      <c r="C20" s="544" t="s">
        <v>3582</v>
      </c>
      <c r="D20" s="544" t="s">
        <v>3582</v>
      </c>
      <c r="E20" s="544" t="s">
        <v>3582</v>
      </c>
      <c r="F20" s="544" t="s">
        <v>3582</v>
      </c>
      <c r="G20" s="544" t="s">
        <v>3582</v>
      </c>
      <c r="H20" s="544" t="s">
        <v>7482</v>
      </c>
      <c r="I20" s="544" t="s">
        <v>7482</v>
      </c>
      <c r="J20" s="544" t="s">
        <v>7482</v>
      </c>
      <c r="K20" s="544" t="s">
        <v>3582</v>
      </c>
      <c r="L20" s="544" t="s">
        <v>7482</v>
      </c>
      <c r="M20" s="534"/>
      <c r="N20" s="544" t="str">
        <f t="shared" si="3"/>
        <v>F19</v>
      </c>
      <c r="O20" s="543" t="s">
        <v>7501</v>
      </c>
      <c r="P20" s="543" t="s">
        <v>7198</v>
      </c>
    </row>
    <row r="21">
      <c r="A21" s="542" t="str">
        <f t="shared" si="1"/>
        <v>(F20) Research track CfP states that reviewers will not ne-
cessarily consider any materials in the paper review process.</v>
      </c>
      <c r="B21" s="543" t="str">
        <f t="shared" si="2"/>
        <v>2018,2019,2020,2021,2022</v>
      </c>
      <c r="C21" s="544" t="s">
        <v>3582</v>
      </c>
      <c r="D21" s="544" t="s">
        <v>3582</v>
      </c>
      <c r="E21" s="544" t="s">
        <v>3582</v>
      </c>
      <c r="F21" s="544" t="s">
        <v>3582</v>
      </c>
      <c r="G21" s="544" t="s">
        <v>7482</v>
      </c>
      <c r="H21" s="544" t="s">
        <v>7482</v>
      </c>
      <c r="I21" s="544" t="s">
        <v>7482</v>
      </c>
      <c r="J21" s="544" t="s">
        <v>7482</v>
      </c>
      <c r="K21" s="544" t="s">
        <v>7482</v>
      </c>
      <c r="L21" s="544" t="s">
        <v>3582</v>
      </c>
      <c r="M21" s="534"/>
      <c r="N21" s="544" t="str">
        <f t="shared" si="3"/>
        <v>F20</v>
      </c>
      <c r="O21" s="543" t="s">
        <v>7502</v>
      </c>
      <c r="P21" s="543" t="s">
        <v>7200</v>
      </c>
    </row>
    <row r="22">
      <c r="A22" s="545" t="str">
        <f t="shared" si="1"/>
        <v>(F21) Open Science policies are provided on the FSE website.</v>
      </c>
      <c r="B22" s="546" t="str">
        <f t="shared" si="2"/>
        <v>2019,2020,2021,2023</v>
      </c>
      <c r="C22" s="547" t="s">
        <v>3582</v>
      </c>
      <c r="D22" s="547" t="s">
        <v>3582</v>
      </c>
      <c r="E22" s="547" t="s">
        <v>3582</v>
      </c>
      <c r="F22" s="547" t="s">
        <v>3582</v>
      </c>
      <c r="G22" s="547" t="s">
        <v>3582</v>
      </c>
      <c r="H22" s="547" t="s">
        <v>7482</v>
      </c>
      <c r="I22" s="547" t="s">
        <v>7482</v>
      </c>
      <c r="J22" s="547" t="s">
        <v>7482</v>
      </c>
      <c r="K22" s="547" t="s">
        <v>3582</v>
      </c>
      <c r="L22" s="547" t="s">
        <v>7482</v>
      </c>
      <c r="M22" s="534"/>
      <c r="N22" s="547" t="str">
        <f t="shared" si="3"/>
        <v>F21</v>
      </c>
      <c r="O22" s="546" t="s">
        <v>7503</v>
      </c>
      <c r="P22" s="546" t="s">
        <v>7202</v>
      </c>
    </row>
    <row r="23">
      <c r="A23" s="545" t="str">
        <f t="shared" si="1"/>
        <v>(F22) FSE adheres to the ACM SIGSOFT Open Science Policies.</v>
      </c>
      <c r="B23" s="546" t="str">
        <f t="shared" si="2"/>
        <v>2023</v>
      </c>
      <c r="C23" s="547" t="s">
        <v>3582</v>
      </c>
      <c r="D23" s="547" t="s">
        <v>3582</v>
      </c>
      <c r="E23" s="547" t="s">
        <v>3582</v>
      </c>
      <c r="F23" s="547" t="s">
        <v>3582</v>
      </c>
      <c r="G23" s="547" t="s">
        <v>3582</v>
      </c>
      <c r="H23" s="547" t="s">
        <v>3582</v>
      </c>
      <c r="I23" s="547" t="s">
        <v>3582</v>
      </c>
      <c r="J23" s="547" t="s">
        <v>3582</v>
      </c>
      <c r="K23" s="547" t="s">
        <v>3582</v>
      </c>
      <c r="L23" s="547" t="s">
        <v>7482</v>
      </c>
      <c r="M23" s="534"/>
      <c r="N23" s="547" t="str">
        <f t="shared" si="3"/>
        <v>F22</v>
      </c>
      <c r="O23" s="546" t="s">
        <v>7504</v>
      </c>
      <c r="P23" s="546" t="s">
        <v>7204</v>
      </c>
    </row>
    <row r="24">
      <c r="A24" s="545" t="str">
        <f t="shared" si="1"/>
        <v>(F23) FSE provides a guide to disclose data for double-anonymous
peer review and make it open upon paper acceptance.</v>
      </c>
      <c r="B24" s="546" t="str">
        <f t="shared" si="2"/>
        <v>2019,2020,2021,2022,2023</v>
      </c>
      <c r="C24" s="547" t="s">
        <v>3582</v>
      </c>
      <c r="D24" s="547" t="s">
        <v>3582</v>
      </c>
      <c r="E24" s="547" t="s">
        <v>3582</v>
      </c>
      <c r="F24" s="547" t="s">
        <v>3582</v>
      </c>
      <c r="G24" s="547" t="s">
        <v>3582</v>
      </c>
      <c r="H24" s="547" t="s">
        <v>7482</v>
      </c>
      <c r="I24" s="547" t="s">
        <v>7482</v>
      </c>
      <c r="J24" s="547" t="s">
        <v>7482</v>
      </c>
      <c r="K24" s="547" t="s">
        <v>7482</v>
      </c>
      <c r="L24" s="547" t="s">
        <v>7482</v>
      </c>
      <c r="M24" s="534"/>
      <c r="N24" s="547" t="str">
        <f t="shared" si="3"/>
        <v>F23</v>
      </c>
      <c r="O24" s="546" t="s">
        <v>7505</v>
      </c>
      <c r="P24" s="546" t="s">
        <v>7206</v>
      </c>
    </row>
    <row r="25">
      <c r="A25" s="545" t="str">
        <f t="shared" si="1"/>
        <v>(F24) FSE provides a guide to automatically archive 
a GitHub repository to Zenodo or Figshare.</v>
      </c>
      <c r="B25" s="546" t="str">
        <f t="shared" si="2"/>
        <v>2023</v>
      </c>
      <c r="C25" s="547" t="s">
        <v>3582</v>
      </c>
      <c r="D25" s="547" t="s">
        <v>3582</v>
      </c>
      <c r="E25" s="547" t="s">
        <v>3582</v>
      </c>
      <c r="F25" s="547" t="s">
        <v>3582</v>
      </c>
      <c r="G25" s="547" t="s">
        <v>3582</v>
      </c>
      <c r="H25" s="547" t="s">
        <v>3582</v>
      </c>
      <c r="I25" s="547" t="s">
        <v>3582</v>
      </c>
      <c r="J25" s="547" t="s">
        <v>3582</v>
      </c>
      <c r="K25" s="547" t="s">
        <v>3582</v>
      </c>
      <c r="L25" s="547" t="s">
        <v>7482</v>
      </c>
      <c r="M25" s="534"/>
      <c r="N25" s="547" t="str">
        <f t="shared" si="3"/>
        <v>F24</v>
      </c>
      <c r="O25" s="546" t="s">
        <v>7506</v>
      </c>
      <c r="P25" s="546" t="s">
        <v>7208</v>
      </c>
    </row>
    <row r="26">
      <c r="A26" s="548" t="str">
        <f t="shared" si="1"/>
        <v>(F25) FSE hosts a ROSE Festival edition.</v>
      </c>
      <c r="B26" s="549" t="str">
        <f t="shared" si="2"/>
        <v>2018,2019,2020,2021</v>
      </c>
      <c r="C26" s="550" t="s">
        <v>3582</v>
      </c>
      <c r="D26" s="550" t="s">
        <v>3582</v>
      </c>
      <c r="E26" s="550" t="s">
        <v>3582</v>
      </c>
      <c r="F26" s="550" t="s">
        <v>3582</v>
      </c>
      <c r="G26" s="550" t="s">
        <v>7482</v>
      </c>
      <c r="H26" s="550" t="s">
        <v>7482</v>
      </c>
      <c r="I26" s="550" t="s">
        <v>7482</v>
      </c>
      <c r="J26" s="550" t="s">
        <v>7482</v>
      </c>
      <c r="K26" s="550" t="s">
        <v>3582</v>
      </c>
      <c r="L26" s="550" t="s">
        <v>3582</v>
      </c>
      <c r="M26" s="534"/>
      <c r="N26" s="550" t="str">
        <f t="shared" si="3"/>
        <v>F25</v>
      </c>
      <c r="O26" s="549" t="s">
        <v>7507</v>
      </c>
      <c r="P26" s="549" t="s">
        <v>7210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5"/>
    <col customWidth="1" min="2" max="2" width="29.75"/>
    <col customWidth="1" min="3" max="12" width="4.75"/>
    <col customWidth="1" min="13" max="13" width="0.38"/>
    <col customWidth="1" min="14" max="14" width="3.38"/>
    <col customWidth="1" min="15" max="15" width="48.63"/>
    <col customWidth="1" min="16" max="16" width="32.5"/>
  </cols>
  <sheetData>
    <row r="1">
      <c r="A1" s="527" t="s">
        <v>7477</v>
      </c>
      <c r="B1" s="528" t="s">
        <v>7478</v>
      </c>
      <c r="C1" s="529">
        <v>2014.0</v>
      </c>
      <c r="D1" s="529">
        <v>2015.0</v>
      </c>
      <c r="E1" s="529">
        <v>2016.0</v>
      </c>
      <c r="F1" s="529">
        <v>2017.0</v>
      </c>
      <c r="G1" s="529">
        <v>2018.0</v>
      </c>
      <c r="H1" s="529">
        <v>2019.0</v>
      </c>
      <c r="I1" s="529">
        <v>2020.0</v>
      </c>
      <c r="J1" s="529">
        <v>2021.0</v>
      </c>
      <c r="K1" s="529">
        <v>2022.0</v>
      </c>
      <c r="L1" s="529">
        <v>2023.0</v>
      </c>
      <c r="M1" s="530"/>
      <c r="N1" s="529" t="s">
        <v>7479</v>
      </c>
      <c r="O1" s="528" t="s">
        <v>7480</v>
      </c>
      <c r="P1" s="528" t="s">
        <v>7481</v>
      </c>
    </row>
    <row r="2">
      <c r="A2" s="551" t="str">
        <f t="shared" ref="A2:A27" si="1">"("&amp;N2&amp;")"&amp;" "&amp;O2</f>
        <v>(I01) Technical track CfP encourages authors to discuss verifiability 
and provide links to artifacts in a Verifiability section in the paper.</v>
      </c>
      <c r="B2" s="552" t="str">
        <f t="shared" ref="B2:B27" si="2">LEFT(CONCATENATE(IF(C2="x",C$1&amp;",",""),IF(D2="x",D$1&amp;",",""),IF(E2="x",E$1&amp;",",""),IF(F2="x",F$1&amp;",",""),IF(G2="x",G$1&amp;",",""),IF(H2="x",H$1&amp;",",""),IF(I2="x",I$1&amp;",",""),IF(J2="x",J$1&amp;",",""),IF(K2="x",K$1&amp;",",""),IF(L2="x",L$1&amp;",","")),LEN(CONCATENATE(IF(C2="x",C$1&amp;",",""),IF(D2="x",D$1&amp;",",""),IF(E2="x",E$1&amp;",",""),IF(F2="x",F$1&amp;",",""),IF(G2="x",G$1&amp;",",""),IF(H2="x",H$1&amp;",",""),IF(I2="x",I$1&amp;",",""),IF(J2="x",J$1&amp;",",""),IF(K2="x",K$1&amp;",",""),IF(L2="x",L$1&amp;",","")))-1)</f>
        <v>2017</v>
      </c>
      <c r="C2" s="553" t="s">
        <v>3582</v>
      </c>
      <c r="D2" s="553" t="s">
        <v>3582</v>
      </c>
      <c r="E2" s="553" t="s">
        <v>3582</v>
      </c>
      <c r="F2" s="553" t="s">
        <v>7482</v>
      </c>
      <c r="G2" s="553" t="s">
        <v>3582</v>
      </c>
      <c r="H2" s="553" t="s">
        <v>3582</v>
      </c>
      <c r="I2" s="553" t="s">
        <v>3582</v>
      </c>
      <c r="J2" s="553" t="s">
        <v>3582</v>
      </c>
      <c r="K2" s="553" t="s">
        <v>3582</v>
      </c>
      <c r="L2" s="553" t="s">
        <v>3582</v>
      </c>
      <c r="M2" s="534"/>
      <c r="N2" s="551" t="str">
        <f t="shared" ref="N2:N27" si="3">"I"&amp;TEXT(ROW(A2)-1,"00")</f>
        <v>I01</v>
      </c>
      <c r="O2" s="552" t="s">
        <v>7508</v>
      </c>
      <c r="P2" s="552" t="s">
        <v>7212</v>
      </c>
    </row>
    <row r="3">
      <c r="A3" s="551" t="str">
        <f t="shared" si="1"/>
        <v>(I02) CfP states that Verifiability is an evaluation 
criterion for papers submitted to the Technical track.</v>
      </c>
      <c r="B3" s="552" t="str">
        <f t="shared" si="2"/>
        <v>2017,2018,2019,2020,2021,2022,2023</v>
      </c>
      <c r="C3" s="553" t="s">
        <v>3582</v>
      </c>
      <c r="D3" s="553" t="s">
        <v>3582</v>
      </c>
      <c r="E3" s="553" t="s">
        <v>3582</v>
      </c>
      <c r="F3" s="553" t="s">
        <v>7482</v>
      </c>
      <c r="G3" s="553" t="s">
        <v>7482</v>
      </c>
      <c r="H3" s="553" t="s">
        <v>7482</v>
      </c>
      <c r="I3" s="553" t="s">
        <v>7482</v>
      </c>
      <c r="J3" s="553" t="s">
        <v>7482</v>
      </c>
      <c r="K3" s="553" t="s">
        <v>7482</v>
      </c>
      <c r="L3" s="553" t="s">
        <v>7482</v>
      </c>
      <c r="M3" s="534"/>
      <c r="N3" s="551" t="str">
        <f t="shared" si="3"/>
        <v>I02</v>
      </c>
      <c r="O3" s="552" t="s">
        <v>7509</v>
      </c>
      <c r="P3" s="552" t="s">
        <v>7214</v>
      </c>
    </row>
    <row r="4">
      <c r="A4" s="551" t="str">
        <f t="shared" si="1"/>
        <v>(I03) CfP states that Verifiability is an evaluation 
criterion for papers submitted to the SEET track.</v>
      </c>
      <c r="B4" s="552" t="str">
        <f t="shared" si="2"/>
        <v>2020,2021,2022,2023</v>
      </c>
      <c r="C4" s="553" t="s">
        <v>3582</v>
      </c>
      <c r="D4" s="553" t="s">
        <v>3582</v>
      </c>
      <c r="E4" s="553" t="s">
        <v>3582</v>
      </c>
      <c r="F4" s="553" t="s">
        <v>3582</v>
      </c>
      <c r="G4" s="553" t="s">
        <v>3582</v>
      </c>
      <c r="H4" s="553" t="s">
        <v>3582</v>
      </c>
      <c r="I4" s="553" t="s">
        <v>7482</v>
      </c>
      <c r="J4" s="553" t="s">
        <v>7482</v>
      </c>
      <c r="K4" s="553" t="s">
        <v>7482</v>
      </c>
      <c r="L4" s="553" t="s">
        <v>7482</v>
      </c>
      <c r="M4" s="534"/>
      <c r="N4" s="551" t="str">
        <f t="shared" si="3"/>
        <v>I03</v>
      </c>
      <c r="O4" s="552" t="s">
        <v>7510</v>
      </c>
      <c r="P4" s="552" t="s">
        <v>7216</v>
      </c>
    </row>
    <row r="5">
      <c r="A5" s="551" t="str">
        <f t="shared" si="1"/>
        <v>(I04) CfP states that Verifiability is an evaluation 
criterion for papers submitted to the NIER track.</v>
      </c>
      <c r="B5" s="552" t="str">
        <f t="shared" si="2"/>
        <v>2023</v>
      </c>
      <c r="C5" s="553" t="s">
        <v>3582</v>
      </c>
      <c r="D5" s="553" t="s">
        <v>3582</v>
      </c>
      <c r="E5" s="553" t="s">
        <v>3582</v>
      </c>
      <c r="F5" s="553" t="s">
        <v>3582</v>
      </c>
      <c r="G5" s="553" t="s">
        <v>3582</v>
      </c>
      <c r="H5" s="553" t="s">
        <v>3582</v>
      </c>
      <c r="I5" s="553" t="s">
        <v>3582</v>
      </c>
      <c r="J5" s="553" t="s">
        <v>3582</v>
      </c>
      <c r="K5" s="553" t="s">
        <v>3582</v>
      </c>
      <c r="L5" s="553" t="s">
        <v>7482</v>
      </c>
      <c r="M5" s="534"/>
      <c r="N5" s="551" t="str">
        <f t="shared" si="3"/>
        <v>I04</v>
      </c>
      <c r="O5" s="552" t="s">
        <v>7511</v>
      </c>
      <c r="P5" s="552" t="s">
        <v>7218</v>
      </c>
    </row>
    <row r="6">
      <c r="A6" s="551" t="str">
        <f t="shared" si="1"/>
        <v>(I05) CfP states that Availability is an evaluation 
criterion for tool papers submitted to the SEET track.</v>
      </c>
      <c r="B6" s="552" t="str">
        <f t="shared" si="2"/>
        <v>2021,2022,2023</v>
      </c>
      <c r="C6" s="553" t="s">
        <v>3582</v>
      </c>
      <c r="D6" s="553" t="s">
        <v>3582</v>
      </c>
      <c r="E6" s="553" t="s">
        <v>3582</v>
      </c>
      <c r="F6" s="553" t="s">
        <v>3582</v>
      </c>
      <c r="G6" s="553" t="s">
        <v>3582</v>
      </c>
      <c r="H6" s="553" t="s">
        <v>3582</v>
      </c>
      <c r="I6" s="553" t="s">
        <v>3582</v>
      </c>
      <c r="J6" s="553" t="s">
        <v>7482</v>
      </c>
      <c r="K6" s="553" t="s">
        <v>7482</v>
      </c>
      <c r="L6" s="553" t="s">
        <v>7482</v>
      </c>
      <c r="M6" s="534"/>
      <c r="N6" s="551" t="str">
        <f t="shared" si="3"/>
        <v>I05</v>
      </c>
      <c r="O6" s="552" t="s">
        <v>7512</v>
      </c>
      <c r="P6" s="552" t="s">
        <v>7220</v>
      </c>
    </row>
    <row r="7">
      <c r="A7" s="531" t="str">
        <f t="shared" si="1"/>
        <v>(I06) An Artifact Evaluation Committee
is mentioned in the CfP of the SEIS track.</v>
      </c>
      <c r="B7" s="532" t="str">
        <f t="shared" si="2"/>
        <v>2018</v>
      </c>
      <c r="C7" s="533" t="s">
        <v>3582</v>
      </c>
      <c r="D7" s="533" t="s">
        <v>3582</v>
      </c>
      <c r="E7" s="533" t="s">
        <v>3582</v>
      </c>
      <c r="F7" s="533" t="s">
        <v>3582</v>
      </c>
      <c r="G7" s="533" t="s">
        <v>7482</v>
      </c>
      <c r="H7" s="533" t="s">
        <v>3582</v>
      </c>
      <c r="I7" s="533" t="s">
        <v>3582</v>
      </c>
      <c r="J7" s="533" t="s">
        <v>3582</v>
      </c>
      <c r="K7" s="533" t="s">
        <v>3582</v>
      </c>
      <c r="L7" s="533" t="s">
        <v>3582</v>
      </c>
      <c r="M7" s="534"/>
      <c r="N7" s="531" t="str">
        <f t="shared" si="3"/>
        <v>I06</v>
      </c>
      <c r="O7" s="532" t="s">
        <v>7513</v>
      </c>
      <c r="P7" s="532" t="s">
        <v>7222</v>
      </c>
    </row>
    <row r="8">
      <c r="A8" s="531" t="str">
        <f t="shared" si="1"/>
        <v>(I07) CfA invites authors of accepted 
Technical papers to submit artifacts.</v>
      </c>
      <c r="B8" s="532" t="str">
        <f t="shared" si="2"/>
        <v>2019,2020,2021,2022,2023</v>
      </c>
      <c r="C8" s="533" t="s">
        <v>3582</v>
      </c>
      <c r="D8" s="533" t="s">
        <v>3582</v>
      </c>
      <c r="E8" s="533" t="s">
        <v>3582</v>
      </c>
      <c r="F8" s="533" t="s">
        <v>3582</v>
      </c>
      <c r="G8" s="533" t="s">
        <v>3582</v>
      </c>
      <c r="H8" s="533" t="s">
        <v>7482</v>
      </c>
      <c r="I8" s="533" t="s">
        <v>7482</v>
      </c>
      <c r="J8" s="533" t="s">
        <v>7482</v>
      </c>
      <c r="K8" s="533" t="s">
        <v>7482</v>
      </c>
      <c r="L8" s="533" t="s">
        <v>7482</v>
      </c>
      <c r="M8" s="534"/>
      <c r="N8" s="531" t="str">
        <f t="shared" si="3"/>
        <v>I07</v>
      </c>
      <c r="O8" s="532" t="s">
        <v>7514</v>
      </c>
      <c r="P8" s="532" t="s">
        <v>7224</v>
      </c>
    </row>
    <row r="9">
      <c r="A9" s="531" t="str">
        <f t="shared" si="1"/>
        <v>(I08) ICSE adopts ACM Badges.</v>
      </c>
      <c r="B9" s="532" t="str">
        <f t="shared" si="2"/>
        <v>2019,2020,2021,2022,2023</v>
      </c>
      <c r="C9" s="533" t="s">
        <v>3582</v>
      </c>
      <c r="D9" s="533" t="s">
        <v>3582</v>
      </c>
      <c r="E9" s="533" t="s">
        <v>3582</v>
      </c>
      <c r="F9" s="533" t="s">
        <v>3582</v>
      </c>
      <c r="G9" s="533" t="s">
        <v>3582</v>
      </c>
      <c r="H9" s="533" t="s">
        <v>7482</v>
      </c>
      <c r="I9" s="533" t="s">
        <v>7482</v>
      </c>
      <c r="J9" s="533" t="s">
        <v>7482</v>
      </c>
      <c r="K9" s="533" t="s">
        <v>7482</v>
      </c>
      <c r="L9" s="533" t="s">
        <v>7482</v>
      </c>
      <c r="M9" s="534"/>
      <c r="N9" s="531" t="str">
        <f t="shared" si="3"/>
        <v>I08</v>
      </c>
      <c r="O9" s="532" t="s">
        <v>7515</v>
      </c>
      <c r="P9" s="532" t="s">
        <v>7226</v>
      </c>
    </row>
    <row r="10">
      <c r="A10" s="531" t="str">
        <f t="shared" si="1"/>
        <v>(I09) Artifact-evaluated badges are included
on the front page of the papers.</v>
      </c>
      <c r="B10" s="532" t="str">
        <f t="shared" si="2"/>
        <v>2019,2020,2021,2022,2023</v>
      </c>
      <c r="C10" s="533" t="s">
        <v>3582</v>
      </c>
      <c r="D10" s="533" t="s">
        <v>3582</v>
      </c>
      <c r="E10" s="533" t="s">
        <v>3582</v>
      </c>
      <c r="F10" s="533" t="s">
        <v>3582</v>
      </c>
      <c r="G10" s="533" t="s">
        <v>3582</v>
      </c>
      <c r="H10" s="533" t="s">
        <v>7482</v>
      </c>
      <c r="I10" s="533" t="s">
        <v>7482</v>
      </c>
      <c r="J10" s="533" t="s">
        <v>7482</v>
      </c>
      <c r="K10" s="533" t="s">
        <v>7482</v>
      </c>
      <c r="L10" s="533" t="s">
        <v>7482</v>
      </c>
      <c r="M10" s="534"/>
      <c r="N10" s="531" t="str">
        <f t="shared" si="3"/>
        <v>I09</v>
      </c>
      <c r="O10" s="532" t="s">
        <v>7487</v>
      </c>
      <c r="P10" s="532" t="s">
        <v>7228</v>
      </c>
    </row>
    <row r="11">
      <c r="A11" s="531" t="str">
        <f t="shared" si="1"/>
        <v>(I10) CfA announces Best Artifact Awards.</v>
      </c>
      <c r="B11" s="532" t="str">
        <f t="shared" si="2"/>
        <v>2019,2020,2021,2022,2023</v>
      </c>
      <c r="C11" s="533" t="s">
        <v>3582</v>
      </c>
      <c r="D11" s="533" t="s">
        <v>3582</v>
      </c>
      <c r="E11" s="533" t="s">
        <v>3582</v>
      </c>
      <c r="F11" s="533" t="s">
        <v>3582</v>
      </c>
      <c r="G11" s="533" t="s">
        <v>3582</v>
      </c>
      <c r="H11" s="533" t="s">
        <v>7482</v>
      </c>
      <c r="I11" s="533" t="s">
        <v>7482</v>
      </c>
      <c r="J11" s="533" t="s">
        <v>7482</v>
      </c>
      <c r="K11" s="533" t="s">
        <v>7482</v>
      </c>
      <c r="L11" s="533" t="s">
        <v>7482</v>
      </c>
      <c r="M11" s="534"/>
      <c r="N11" s="531" t="str">
        <f t="shared" si="3"/>
        <v>I10</v>
      </c>
      <c r="O11" s="532" t="s">
        <v>7490</v>
      </c>
      <c r="P11" s="532" t="s">
        <v>7230</v>
      </c>
    </row>
    <row r="12">
      <c r="A12" s="531" t="str">
        <f t="shared" si="1"/>
        <v>(I11) CfA invites authors of accepted SEIP, SEET, 
SEIS, and NIER papers to submit artifacts.</v>
      </c>
      <c r="B12" s="532" t="str">
        <f t="shared" si="2"/>
        <v>2020,2021,2022,2023</v>
      </c>
      <c r="C12" s="533" t="s">
        <v>3582</v>
      </c>
      <c r="D12" s="533" t="s">
        <v>3582</v>
      </c>
      <c r="E12" s="533" t="s">
        <v>3582</v>
      </c>
      <c r="F12" s="533" t="s">
        <v>3582</v>
      </c>
      <c r="G12" s="533" t="s">
        <v>3582</v>
      </c>
      <c r="H12" s="533" t="s">
        <v>3582</v>
      </c>
      <c r="I12" s="533" t="s">
        <v>7482</v>
      </c>
      <c r="J12" s="533" t="s">
        <v>7482</v>
      </c>
      <c r="K12" s="533" t="s">
        <v>7482</v>
      </c>
      <c r="L12" s="533" t="s">
        <v>7482</v>
      </c>
      <c r="M12" s="534"/>
      <c r="N12" s="531" t="str">
        <f t="shared" si="3"/>
        <v>I11</v>
      </c>
      <c r="O12" s="532" t="s">
        <v>7516</v>
      </c>
      <c r="P12" s="532" t="s">
        <v>7232</v>
      </c>
    </row>
    <row r="13">
      <c r="A13" s="531" t="str">
        <f t="shared" si="1"/>
        <v>(I12) CfA invites authors of any prior SE papers to submit 
artifacts whose results were validated in other studies.</v>
      </c>
      <c r="B13" s="532" t="str">
        <f t="shared" si="2"/>
        <v>2020,2021,2022,2023</v>
      </c>
      <c r="C13" s="533" t="s">
        <v>3582</v>
      </c>
      <c r="D13" s="533" t="s">
        <v>3582</v>
      </c>
      <c r="E13" s="533" t="s">
        <v>3582</v>
      </c>
      <c r="F13" s="533" t="s">
        <v>3582</v>
      </c>
      <c r="G13" s="533" t="s">
        <v>3582</v>
      </c>
      <c r="H13" s="533" t="s">
        <v>3582</v>
      </c>
      <c r="I13" s="533" t="s">
        <v>7482</v>
      </c>
      <c r="J13" s="533" t="s">
        <v>7482</v>
      </c>
      <c r="K13" s="533" t="s">
        <v>7482</v>
      </c>
      <c r="L13" s="533" t="s">
        <v>7482</v>
      </c>
      <c r="M13" s="534"/>
      <c r="N13" s="531" t="str">
        <f t="shared" si="3"/>
        <v>I12</v>
      </c>
      <c r="O13" s="532" t="s">
        <v>7485</v>
      </c>
      <c r="P13" s="532" t="s">
        <v>7234</v>
      </c>
    </row>
    <row r="14">
      <c r="A14" s="531" t="str">
        <f t="shared" si="1"/>
        <v>(I13) CfA states that authors of artifacts accepted as 
Results Validated may be invited to give lightning talks.</v>
      </c>
      <c r="B14" s="532" t="str">
        <f t="shared" si="2"/>
        <v>2020,2021,2022,2023</v>
      </c>
      <c r="C14" s="533" t="s">
        <v>3582</v>
      </c>
      <c r="D14" s="533" t="s">
        <v>3582</v>
      </c>
      <c r="E14" s="533" t="s">
        <v>3582</v>
      </c>
      <c r="F14" s="533" t="s">
        <v>3582</v>
      </c>
      <c r="G14" s="533" t="s">
        <v>3582</v>
      </c>
      <c r="H14" s="533" t="s">
        <v>3582</v>
      </c>
      <c r="I14" s="533" t="s">
        <v>7482</v>
      </c>
      <c r="J14" s="533" t="s">
        <v>7482</v>
      </c>
      <c r="K14" s="533" t="s">
        <v>7482</v>
      </c>
      <c r="L14" s="533" t="s">
        <v>7482</v>
      </c>
      <c r="M14" s="534"/>
      <c r="N14" s="531" t="str">
        <f t="shared" si="3"/>
        <v>I13</v>
      </c>
      <c r="O14" s="532" t="s">
        <v>7495</v>
      </c>
      <c r="P14" s="532" t="s">
        <v>7236</v>
      </c>
    </row>
    <row r="15">
      <c r="A15" s="531" t="str">
        <f t="shared" si="1"/>
        <v>(I14) CfA states that abstracts documenting accepted 
artifacts are to be published in the proceedings.</v>
      </c>
      <c r="B15" s="532" t="str">
        <f t="shared" si="2"/>
        <v>2021</v>
      </c>
      <c r="C15" s="533" t="s">
        <v>3582</v>
      </c>
      <c r="D15" s="533" t="s">
        <v>3582</v>
      </c>
      <c r="E15" s="533" t="s">
        <v>3582</v>
      </c>
      <c r="F15" s="533" t="s">
        <v>3582</v>
      </c>
      <c r="G15" s="533" t="s">
        <v>3582</v>
      </c>
      <c r="H15" s="533" t="s">
        <v>3582</v>
      </c>
      <c r="I15" s="533" t="s">
        <v>3582</v>
      </c>
      <c r="J15" s="533" t="s">
        <v>7482</v>
      </c>
      <c r="K15" s="533" t="s">
        <v>3582</v>
      </c>
      <c r="L15" s="533" t="s">
        <v>3582</v>
      </c>
      <c r="M15" s="534"/>
      <c r="N15" s="531" t="str">
        <f t="shared" si="3"/>
        <v>I14</v>
      </c>
      <c r="O15" s="532" t="s">
        <v>7494</v>
      </c>
      <c r="P15" s="532" t="s">
        <v>7238</v>
      </c>
    </row>
    <row r="16">
      <c r="A16" s="542" t="str">
        <f t="shared" si="1"/>
        <v>(I15) ICSE asks authors not to provide URLs to author-revealing 
sites due to the double-anonymous review process.</v>
      </c>
      <c r="B16" s="543" t="str">
        <f t="shared" si="2"/>
        <v>2018,2019,2020,2021,2022,2023</v>
      </c>
      <c r="C16" s="544" t="s">
        <v>3582</v>
      </c>
      <c r="D16" s="544" t="s">
        <v>3582</v>
      </c>
      <c r="E16" s="544" t="s">
        <v>3582</v>
      </c>
      <c r="F16" s="544" t="s">
        <v>3582</v>
      </c>
      <c r="G16" s="544" t="s">
        <v>7482</v>
      </c>
      <c r="H16" s="544" t="s">
        <v>7482</v>
      </c>
      <c r="I16" s="544" t="s">
        <v>7482</v>
      </c>
      <c r="J16" s="544" t="s">
        <v>7482</v>
      </c>
      <c r="K16" s="544" t="s">
        <v>7482</v>
      </c>
      <c r="L16" s="544" t="s">
        <v>7482</v>
      </c>
      <c r="M16" s="534"/>
      <c r="N16" s="542" t="str">
        <f t="shared" si="3"/>
        <v>I15</v>
      </c>
      <c r="O16" s="543" t="s">
        <v>7517</v>
      </c>
      <c r="P16" s="543" t="s">
        <v>7240</v>
      </c>
    </row>
    <row r="17">
      <c r="A17" s="542" t="str">
        <f t="shared" si="1"/>
        <v>(I16) CfPs state that authors can submit an 
additional file containing supplementary material.</v>
      </c>
      <c r="B17" s="543" t="str">
        <f t="shared" si="2"/>
        <v>2018,2020,2021,2022,2023</v>
      </c>
      <c r="C17" s="544" t="s">
        <v>3582</v>
      </c>
      <c r="D17" s="544" t="s">
        <v>3582</v>
      </c>
      <c r="E17" s="544" t="s">
        <v>3582</v>
      </c>
      <c r="F17" s="544" t="s">
        <v>3582</v>
      </c>
      <c r="G17" s="544" t="s">
        <v>7482</v>
      </c>
      <c r="H17" s="544" t="s">
        <v>3582</v>
      </c>
      <c r="I17" s="544" t="s">
        <v>7482</v>
      </c>
      <c r="J17" s="544" t="s">
        <v>7482</v>
      </c>
      <c r="K17" s="544" t="s">
        <v>7482</v>
      </c>
      <c r="L17" s="544" t="s">
        <v>7482</v>
      </c>
      <c r="M17" s="534"/>
      <c r="N17" s="542" t="str">
        <f t="shared" si="3"/>
        <v>I16</v>
      </c>
      <c r="O17" s="543" t="s">
        <v>7518</v>
      </c>
      <c r="P17" s="543" t="s">
        <v>7242</v>
      </c>
    </row>
    <row r="18">
      <c r="A18" s="542" t="str">
        <f t="shared" si="1"/>
        <v>(I17) CfPs encourage authors to 
submit a link to anonymous artifacts.</v>
      </c>
      <c r="B18" s="543" t="str">
        <f t="shared" si="2"/>
        <v>2021,2022,2023</v>
      </c>
      <c r="C18" s="544" t="s">
        <v>3582</v>
      </c>
      <c r="D18" s="544" t="s">
        <v>3582</v>
      </c>
      <c r="E18" s="544" t="s">
        <v>3582</v>
      </c>
      <c r="F18" s="544" t="s">
        <v>3582</v>
      </c>
      <c r="G18" s="544" t="s">
        <v>3582</v>
      </c>
      <c r="H18" s="544" t="s">
        <v>3582</v>
      </c>
      <c r="I18" s="544" t="s">
        <v>3582</v>
      </c>
      <c r="J18" s="544" t="s">
        <v>7482</v>
      </c>
      <c r="K18" s="544" t="s">
        <v>7482</v>
      </c>
      <c r="L18" s="544" t="s">
        <v>7482</v>
      </c>
      <c r="M18" s="534"/>
      <c r="N18" s="542" t="str">
        <f t="shared" si="3"/>
        <v>I17</v>
      </c>
      <c r="O18" s="543" t="s">
        <v>7519</v>
      </c>
      <c r="P18" s="543" t="s">
        <v>7244</v>
      </c>
    </row>
    <row r="19">
      <c r="A19" s="542" t="str">
        <f t="shared" si="1"/>
        <v>(I18) ICSE encourages authors to make artifacts 
available upon paper submission or explain why not.</v>
      </c>
      <c r="B19" s="543" t="str">
        <f t="shared" si="2"/>
        <v>2021,2022,2023</v>
      </c>
      <c r="C19" s="544" t="s">
        <v>3582</v>
      </c>
      <c r="D19" s="544" t="s">
        <v>3582</v>
      </c>
      <c r="E19" s="544" t="s">
        <v>3582</v>
      </c>
      <c r="F19" s="544" t="s">
        <v>3582</v>
      </c>
      <c r="G19" s="544" t="s">
        <v>3582</v>
      </c>
      <c r="H19" s="544" t="s">
        <v>3582</v>
      </c>
      <c r="I19" s="544" t="s">
        <v>3582</v>
      </c>
      <c r="J19" s="544" t="s">
        <v>7482</v>
      </c>
      <c r="K19" s="544" t="s">
        <v>7482</v>
      </c>
      <c r="L19" s="544" t="s">
        <v>7482</v>
      </c>
      <c r="M19" s="534"/>
      <c r="N19" s="542" t="str">
        <f t="shared" si="3"/>
        <v>I18</v>
      </c>
      <c r="O19" s="543" t="s">
        <v>7520</v>
      </c>
      <c r="P19" s="543" t="s">
        <v>7246</v>
      </c>
    </row>
    <row r="20">
      <c r="A20" s="542" t="str">
        <f t="shared" si="1"/>
        <v>(I19) ICSE asks authors to declare artifact availability in
the papers, ideally, in a section named Data Availability.</v>
      </c>
      <c r="B20" s="543" t="str">
        <f t="shared" si="2"/>
        <v>2021,2022,2023</v>
      </c>
      <c r="C20" s="544" t="s">
        <v>3582</v>
      </c>
      <c r="D20" s="544" t="s">
        <v>3582</v>
      </c>
      <c r="E20" s="544" t="s">
        <v>3582</v>
      </c>
      <c r="F20" s="544" t="s">
        <v>3582</v>
      </c>
      <c r="G20" s="544" t="s">
        <v>3582</v>
      </c>
      <c r="H20" s="544" t="s">
        <v>3582</v>
      </c>
      <c r="I20" s="544" t="s">
        <v>3582</v>
      </c>
      <c r="J20" s="544" t="s">
        <v>7482</v>
      </c>
      <c r="K20" s="544" t="s">
        <v>7482</v>
      </c>
      <c r="L20" s="544" t="s">
        <v>7482</v>
      </c>
      <c r="M20" s="534"/>
      <c r="N20" s="542" t="str">
        <f t="shared" si="3"/>
        <v>I19</v>
      </c>
      <c r="O20" s="543" t="s">
        <v>7521</v>
      </c>
      <c r="P20" s="543" t="s">
        <v>7248</v>
      </c>
    </row>
    <row r="21">
      <c r="A21" s="542" t="str">
        <f t="shared" si="1"/>
        <v>(I20) ICSE states that reviewers will not necessarily 
consider any materials in the paper review process.</v>
      </c>
      <c r="B21" s="543" t="str">
        <f t="shared" si="2"/>
        <v>2018,2020,2021,2022,2023</v>
      </c>
      <c r="C21" s="544" t="s">
        <v>3582</v>
      </c>
      <c r="D21" s="544" t="s">
        <v>3582</v>
      </c>
      <c r="E21" s="544" t="s">
        <v>3582</v>
      </c>
      <c r="F21" s="544" t="s">
        <v>3582</v>
      </c>
      <c r="G21" s="544" t="s">
        <v>7482</v>
      </c>
      <c r="H21" s="544" t="s">
        <v>3582</v>
      </c>
      <c r="I21" s="544" t="s">
        <v>7482</v>
      </c>
      <c r="J21" s="544" t="s">
        <v>7482</v>
      </c>
      <c r="K21" s="544" t="s">
        <v>7482</v>
      </c>
      <c r="L21" s="544" t="s">
        <v>7482</v>
      </c>
      <c r="M21" s="534"/>
      <c r="N21" s="542" t="str">
        <f t="shared" si="3"/>
        <v>I20</v>
      </c>
      <c r="O21" s="543" t="s">
        <v>7522</v>
      </c>
      <c r="P21" s="543" t="s">
        <v>7250</v>
      </c>
    </row>
    <row r="22">
      <c r="A22" s="542" t="str">
        <f t="shared" si="1"/>
        <v>(I21) Technical track CfP states that the shared artifact 
will undergo a lightweight check by a paper reviewer.</v>
      </c>
      <c r="B22" s="543" t="str">
        <f t="shared" si="2"/>
        <v>2023</v>
      </c>
      <c r="C22" s="544" t="s">
        <v>3582</v>
      </c>
      <c r="D22" s="544" t="s">
        <v>3582</v>
      </c>
      <c r="E22" s="544" t="s">
        <v>3582</v>
      </c>
      <c r="F22" s="544" t="s">
        <v>3582</v>
      </c>
      <c r="G22" s="544" t="s">
        <v>3582</v>
      </c>
      <c r="H22" s="544" t="s">
        <v>3582</v>
      </c>
      <c r="I22" s="544" t="s">
        <v>3582</v>
      </c>
      <c r="J22" s="544" t="s">
        <v>3582</v>
      </c>
      <c r="K22" s="544" t="s">
        <v>3582</v>
      </c>
      <c r="L22" s="544" t="s">
        <v>7482</v>
      </c>
      <c r="M22" s="534"/>
      <c r="N22" s="542" t="str">
        <f t="shared" si="3"/>
        <v>I21</v>
      </c>
      <c r="O22" s="543" t="s">
        <v>7523</v>
      </c>
      <c r="P22" s="543" t="s">
        <v>7252</v>
      </c>
    </row>
    <row r="23">
      <c r="A23" s="545" t="str">
        <f t="shared" si="1"/>
        <v>(I22) Open Science policies are provided on the ICSE website.</v>
      </c>
      <c r="B23" s="546" t="str">
        <f t="shared" si="2"/>
        <v>2021,2022,2023</v>
      </c>
      <c r="C23" s="547" t="s">
        <v>3582</v>
      </c>
      <c r="D23" s="547" t="s">
        <v>3582</v>
      </c>
      <c r="E23" s="547" t="s">
        <v>3582</v>
      </c>
      <c r="F23" s="547" t="s">
        <v>3582</v>
      </c>
      <c r="G23" s="547" t="s">
        <v>3582</v>
      </c>
      <c r="H23" s="547" t="s">
        <v>3582</v>
      </c>
      <c r="I23" s="547" t="s">
        <v>3582</v>
      </c>
      <c r="J23" s="547" t="s">
        <v>7482</v>
      </c>
      <c r="K23" s="547" t="s">
        <v>7482</v>
      </c>
      <c r="L23" s="547" t="s">
        <v>7482</v>
      </c>
      <c r="M23" s="534"/>
      <c r="N23" s="545" t="str">
        <f t="shared" si="3"/>
        <v>I22</v>
      </c>
      <c r="O23" s="546" t="s">
        <v>7524</v>
      </c>
      <c r="P23" s="546" t="s">
        <v>7254</v>
      </c>
    </row>
    <row r="24">
      <c r="A24" s="545" t="str">
        <f t="shared" si="1"/>
        <v>(I23) ICSE adheres to the ACM SIGSOFT Open Science Policies.</v>
      </c>
      <c r="B24" s="546" t="str">
        <f t="shared" si="2"/>
        <v>2021,2022,2023</v>
      </c>
      <c r="C24" s="547" t="s">
        <v>3582</v>
      </c>
      <c r="D24" s="547" t="s">
        <v>3582</v>
      </c>
      <c r="E24" s="547" t="s">
        <v>3582</v>
      </c>
      <c r="F24" s="547" t="s">
        <v>3582</v>
      </c>
      <c r="G24" s="547" t="s">
        <v>3582</v>
      </c>
      <c r="H24" s="547" t="s">
        <v>3582</v>
      </c>
      <c r="I24" s="547" t="s">
        <v>3582</v>
      </c>
      <c r="J24" s="547" t="s">
        <v>7482</v>
      </c>
      <c r="K24" s="547" t="s">
        <v>7482</v>
      </c>
      <c r="L24" s="547" t="s">
        <v>7482</v>
      </c>
      <c r="M24" s="534"/>
      <c r="N24" s="545" t="str">
        <f t="shared" si="3"/>
        <v>I23</v>
      </c>
      <c r="O24" s="546" t="s">
        <v>7525</v>
      </c>
      <c r="P24" s="546" t="s">
        <v>7256</v>
      </c>
    </row>
    <row r="25">
      <c r="A25" s="545" t="str">
        <f t="shared" si="1"/>
        <v>(I24) ICSE provides a guide to disclose data for double-anonymous 
peer review and make it open upon paper acceptance.</v>
      </c>
      <c r="B25" s="546" t="str">
        <f t="shared" si="2"/>
        <v>2021,2022,2023</v>
      </c>
      <c r="C25" s="547" t="s">
        <v>3582</v>
      </c>
      <c r="D25" s="547" t="s">
        <v>3582</v>
      </c>
      <c r="E25" s="547" t="s">
        <v>3582</v>
      </c>
      <c r="F25" s="547" t="s">
        <v>3582</v>
      </c>
      <c r="G25" s="547" t="s">
        <v>3582</v>
      </c>
      <c r="H25" s="547" t="s">
        <v>3582</v>
      </c>
      <c r="I25" s="547" t="s">
        <v>3582</v>
      </c>
      <c r="J25" s="547" t="s">
        <v>7482</v>
      </c>
      <c r="K25" s="547" t="s">
        <v>7482</v>
      </c>
      <c r="L25" s="547" t="s">
        <v>7482</v>
      </c>
      <c r="M25" s="534"/>
      <c r="N25" s="545" t="str">
        <f t="shared" si="3"/>
        <v>I24</v>
      </c>
      <c r="O25" s="546" t="s">
        <v>7526</v>
      </c>
      <c r="P25" s="546" t="s">
        <v>7258</v>
      </c>
    </row>
    <row r="26">
      <c r="A26" s="545" t="str">
        <f t="shared" si="1"/>
        <v>(I25) ICSE provides a guide to automatically archive 
a GitHub repository to Zenodo or Figshare.</v>
      </c>
      <c r="B26" s="546" t="str">
        <f t="shared" si="2"/>
        <v>2021,2022,2023</v>
      </c>
      <c r="C26" s="547" t="s">
        <v>3582</v>
      </c>
      <c r="D26" s="547" t="s">
        <v>3582</v>
      </c>
      <c r="E26" s="547" t="s">
        <v>3582</v>
      </c>
      <c r="F26" s="547" t="s">
        <v>3582</v>
      </c>
      <c r="G26" s="547" t="s">
        <v>3582</v>
      </c>
      <c r="H26" s="547" t="s">
        <v>3582</v>
      </c>
      <c r="I26" s="547" t="s">
        <v>3582</v>
      </c>
      <c r="J26" s="547" t="s">
        <v>7482</v>
      </c>
      <c r="K26" s="547" t="s">
        <v>7482</v>
      </c>
      <c r="L26" s="547" t="s">
        <v>7482</v>
      </c>
      <c r="M26" s="534"/>
      <c r="N26" s="545" t="str">
        <f t="shared" si="3"/>
        <v>I25</v>
      </c>
      <c r="O26" s="546" t="s">
        <v>7527</v>
      </c>
      <c r="P26" s="546" t="s">
        <v>7260</v>
      </c>
    </row>
    <row r="27">
      <c r="A27" s="548" t="str">
        <f t="shared" si="1"/>
        <v>(I26) ICSE hosts a ROSE Festival edition.</v>
      </c>
      <c r="B27" s="549" t="str">
        <f t="shared" si="2"/>
        <v>2019,2020,2023</v>
      </c>
      <c r="C27" s="550" t="s">
        <v>3582</v>
      </c>
      <c r="D27" s="550" t="s">
        <v>3582</v>
      </c>
      <c r="E27" s="550" t="s">
        <v>3582</v>
      </c>
      <c r="F27" s="550" t="s">
        <v>3582</v>
      </c>
      <c r="G27" s="550" t="s">
        <v>3582</v>
      </c>
      <c r="H27" s="550" t="s">
        <v>7482</v>
      </c>
      <c r="I27" s="550" t="s">
        <v>7482</v>
      </c>
      <c r="J27" s="550" t="s">
        <v>3582</v>
      </c>
      <c r="K27" s="550" t="s">
        <v>3582</v>
      </c>
      <c r="L27" s="550" t="s">
        <v>7482</v>
      </c>
      <c r="M27" s="534"/>
      <c r="N27" s="548" t="str">
        <f t="shared" si="3"/>
        <v>I26</v>
      </c>
      <c r="O27" s="549" t="s">
        <v>7528</v>
      </c>
      <c r="P27" s="549" t="s">
        <v>7262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
    <col customWidth="1" min="2" max="2" width="51.38"/>
    <col customWidth="1" min="3" max="3" width="42.25"/>
    <col customWidth="1" min="4" max="4" width="10.13"/>
    <col customWidth="1" min="5" max="5" width="51.38"/>
    <col customWidth="1" min="6" max="6" width="18.38"/>
  </cols>
  <sheetData>
    <row r="1">
      <c r="A1" s="554" t="s">
        <v>7479</v>
      </c>
      <c r="B1" s="555" t="s">
        <v>7477</v>
      </c>
      <c r="C1" s="555" t="s">
        <v>2</v>
      </c>
      <c r="D1" s="555" t="s">
        <v>5684</v>
      </c>
      <c r="E1" s="555"/>
      <c r="F1" s="555"/>
    </row>
    <row r="2">
      <c r="A2" s="556">
        <v>1.0</v>
      </c>
      <c r="B2" s="557" t="str">
        <f t="shared" ref="B2:B37" si="1">E2&amp;" "&amp;F2</f>
        <v>CfA invites authors of accepted papers to 
submit artifacts (F01, F02, I07, and I11)</v>
      </c>
      <c r="C2" s="557" t="str">
        <f t="array" ref="C2">IF(D2="FSE",XLOOKUP(B2,ICSEFSETimelineComparison!C:C,ICSEFSETimelineComparison!A:A,"Not found.",0,1),XLOOKUP(B2,ICSEFSETimelineComparison!C:C,ICSEFSETimelineComparison!E:E,"Not found.",0,1))</f>
        <v>2014,2015,2016,2017,2018,2019,2020,2021,2022,2023</v>
      </c>
      <c r="D2" s="558" t="s">
        <v>5676</v>
      </c>
      <c r="E2" s="559" t="s">
        <v>7529</v>
      </c>
      <c r="F2" s="559" t="str">
        <f>"("&amp;MID(ICSEFSETimelineComparison!B8,2,3)&amp;", "&amp;MID(ICSEFSETimelineComparison!B9,2,3)&amp;", "&amp;
MID(ICSEFSETimelineComparison!D8,2,3)&amp;", and "&amp;MID(ICSEFSETimelineComparison!D9,2,3)&amp;")"</f>
        <v>(F01, F02, I07, and I11)</v>
      </c>
    </row>
    <row r="3">
      <c r="A3" s="556">
        <v>2.0</v>
      </c>
      <c r="B3" s="557" t="str">
        <f t="shared" si="1"/>
        <v>CfA invites authors of any prior SE papers to submit artifacts 
whose results were validated in other studies (F03 and I12)</v>
      </c>
      <c r="C3" s="557" t="str">
        <f t="array" ref="C3">IF(D3="FSE",XLOOKUP(B3,ICSEFSETimelineComparison!C:C,ICSEFSETimelineComparison!A:A,"Not found.",0,1),XLOOKUP(B3,ICSEFSETimelineComparison!C:C,ICSEFSETimelineComparison!E:E,"Not found.",0,1))</f>
        <v>2020,2021,2022,2023</v>
      </c>
      <c r="D3" s="558" t="s">
        <v>5676</v>
      </c>
      <c r="E3" s="559" t="s">
        <v>7530</v>
      </c>
      <c r="F3" s="559" t="str">
        <f>"("&amp;MID(ICSEFSETimelineComparison!B10,2,3)&amp;" and "&amp;MID(ICSEFSETimelineComparison!D10,2,3)&amp;")"</f>
        <v>(F03 and I12)</v>
      </c>
    </row>
    <row r="4">
      <c r="A4" s="556">
        <v>4.0</v>
      </c>
      <c r="B4" s="557" t="str">
        <f t="shared" si="1"/>
        <v>Conferences adopt ACM badges (F06 and I08)</v>
      </c>
      <c r="C4" s="557" t="str">
        <f t="array" ref="C4">IF(D4="FSE",XLOOKUP(B4,ICSEFSETimelineComparison!C:C,ICSEFSETimelineComparison!A:A,"Not found.",0,1),XLOOKUP(B4,ICSEFSETimelineComparison!C:C,ICSEFSETimelineComparison!E:E,"Not found.",0,1))</f>
        <v>2017,2018,2019,2020,2021,2022,2023</v>
      </c>
      <c r="D4" s="558" t="s">
        <v>5676</v>
      </c>
      <c r="E4" s="559" t="s">
        <v>7531</v>
      </c>
      <c r="F4" s="559" t="str">
        <f>"("&amp;MID(ICSEFSETimelineComparison!B12,2,3)&amp;" and "&amp;MID(ICSEFSETimelineComparison!D12,2,3)&amp;")"</f>
        <v>(F06 and I08)</v>
      </c>
    </row>
    <row r="5">
      <c r="A5" s="556">
        <v>3.0</v>
      </c>
      <c r="B5" s="557" t="str">
        <f t="shared" si="1"/>
        <v>Artifact-evaluated badges are included 
on the front page of the papers (F05 and I09)</v>
      </c>
      <c r="C5" s="557" t="str">
        <f t="array" ref="C5">IF(D5="FSE",XLOOKUP(B5,ICSEFSETimelineComparison!C:C,ICSEFSETimelineComparison!A:A,"Not found.",0,1),XLOOKUP(B5,ICSEFSETimelineComparison!C:C,ICSEFSETimelineComparison!E:E,"Not found.",0,1))</f>
        <v>2016,2017,2018,2019,2020,2021,2022,2023</v>
      </c>
      <c r="D5" s="558" t="s">
        <v>5676</v>
      </c>
      <c r="E5" s="559" t="s">
        <v>7532</v>
      </c>
      <c r="F5" s="559" t="str">
        <f>"("&amp;MID(ICSEFSETimelineComparison!B13,2,3)&amp;" and "&amp;MID(ICSEFSETimelineComparison!D13,2,3)&amp;")"</f>
        <v>(F05 and I09)</v>
      </c>
    </row>
    <row r="6">
      <c r="A6" s="556">
        <v>4.0</v>
      </c>
      <c r="B6" s="557" t="str">
        <f t="shared" si="1"/>
        <v>CfA announces Best Artifact Awards (F08 and I10)</v>
      </c>
      <c r="C6" s="557" t="str">
        <f t="array" ref="C6">IF(D6="FSE",XLOOKUP(B6,ICSEFSETimelineComparison!C:C,ICSEFSETimelineComparison!A:A,"Not found.",0,1),XLOOKUP(B6,ICSEFSETimelineComparison!C:C,ICSEFSETimelineComparison!E:E,"Not found.",0,1))</f>
        <v>2014,2016,2020,2021,2022,2023</v>
      </c>
      <c r="D6" s="558" t="s">
        <v>5676</v>
      </c>
      <c r="E6" s="559" t="s">
        <v>7533</v>
      </c>
      <c r="F6" s="559" t="str">
        <f>"("&amp;MID(ICSEFSETimelineComparison!B15,2,3)&amp;" and "&amp;MID(ICSEFSETimelineComparison!D15,2,3)&amp;")"</f>
        <v>(F08 and I10)</v>
      </c>
    </row>
    <row r="7">
      <c r="A7" s="556">
        <v>5.0</v>
      </c>
      <c r="B7" s="557" t="str">
        <f t="shared" si="1"/>
        <v>CfA states that abstracts documenting accepted artifacts 
are to be published in the proceedings (F12 and I14)</v>
      </c>
      <c r="C7" s="557" t="str">
        <f t="array" ref="C7">IF(D7="FSE",XLOOKUP(B7,ICSEFSETimelineComparison!C:C,ICSEFSETimelineComparison!A:A,"Not found.",0,1),XLOOKUP(B7,ICSEFSETimelineComparison!C:C,ICSEFSETimelineComparison!E:E,"Not found.",0,1))</f>
        <v>2021</v>
      </c>
      <c r="D7" s="558" t="s">
        <v>5676</v>
      </c>
      <c r="E7" s="559" t="s">
        <v>7534</v>
      </c>
      <c r="F7" s="559" t="str">
        <f>"("&amp;MID(ICSEFSETimelineComparison!B19,2,3)&amp;" and "&amp;MID(ICSEFSETimelineComparison!D19,2,3)&amp;")"</f>
        <v>(F12 and I14)</v>
      </c>
    </row>
    <row r="8">
      <c r="A8" s="556">
        <v>6.0</v>
      </c>
      <c r="B8" s="557" t="str">
        <f t="shared" si="1"/>
        <v>CfA states that authors of artifacts accepted as Results 
Validated may be invited to give lightning talks (F13 and I13)</v>
      </c>
      <c r="C8" s="557" t="str">
        <f t="array" ref="C8">IF(D8="FSE",XLOOKUP(B8,ICSEFSETimelineComparison!C:C,ICSEFSETimelineComparison!A:A,"Not found.",0,1),XLOOKUP(B8,ICSEFSETimelineComparison!C:C,ICSEFSETimelineComparison!E:E,"Not found.",0,1))</f>
        <v>2020,2021,2022,2023</v>
      </c>
      <c r="D8" s="558" t="s">
        <v>5676</v>
      </c>
      <c r="E8" s="559" t="s">
        <v>7535</v>
      </c>
      <c r="F8" s="559" t="str">
        <f>"("&amp;MID(ICSEFSETimelineComparison!B20,2,3)&amp;" and "&amp;MID(ICSEFSETimelineComparison!D20,2,3)&amp;")"</f>
        <v>(F13 and I13)</v>
      </c>
    </row>
    <row r="9">
      <c r="A9" s="556">
        <v>7.0</v>
      </c>
      <c r="B9" s="557" t="str">
        <f t="shared" si="1"/>
        <v>Conferences ask authors not to provide URLs to author-revealing 
sites due to the double-anonymous review process (F15 and I15)</v>
      </c>
      <c r="C9" s="557" t="str">
        <f t="array" ref="C9">IF(D9="FSE",XLOOKUP(B9,ICSEFSETimelineComparison!C:C,ICSEFSETimelineComparison!A:A,"Not found.",0,1),XLOOKUP(B9,ICSEFSETimelineComparison!C:C,ICSEFSETimelineComparison!E:E,"Not found.",0,1))</f>
        <v>2017,2018,2019,2020,2021,2022,2023</v>
      </c>
      <c r="D9" s="558" t="s">
        <v>5676</v>
      </c>
      <c r="E9" s="557" t="s">
        <v>7536</v>
      </c>
      <c r="F9" s="559" t="str">
        <f>"("&amp;MID(ICSEFSETimelineComparison!B22,2,3)&amp;" and "&amp;MID(ICSEFSETimelineComparison!D22,2,3)&amp;")"</f>
        <v>(F15 and I15)</v>
      </c>
    </row>
    <row r="10">
      <c r="A10" s="556">
        <v>8.0</v>
      </c>
      <c r="B10" s="557" t="str">
        <f t="shared" si="1"/>
        <v>CfP states that authors can submit an additional 
file containing supplementary material (F16 and I16)</v>
      </c>
      <c r="C10" s="557" t="str">
        <f t="array" ref="C10">IF(D10="FSE",XLOOKUP(B10,ICSEFSETimelineComparison!C:C,ICSEFSETimelineComparison!A:A,"Not found.",0,1),XLOOKUP(B10,ICSEFSETimelineComparison!C:C,ICSEFSETimelineComparison!E:E,"Not found.",0,1))</f>
        <v>2018,2019,2020,2021,2022</v>
      </c>
      <c r="D10" s="558" t="s">
        <v>5676</v>
      </c>
      <c r="E10" s="559" t="s">
        <v>7537</v>
      </c>
      <c r="F10" s="559" t="str">
        <f>"("&amp;MID(ICSEFSETimelineComparison!B23,2,3)&amp;" and "&amp;MID(ICSEFSETimelineComparison!D23,2,3)&amp;")"</f>
        <v>(F16 and I16)</v>
      </c>
    </row>
    <row r="11">
      <c r="A11" s="556">
        <v>10.0</v>
      </c>
      <c r="B11" s="557" t="str">
        <f t="shared" si="1"/>
        <v>CfP encourages authors to submit a 
link to anonymous artifacts (F17 and I17)</v>
      </c>
      <c r="C11" s="557" t="str">
        <f t="array" ref="C11">IF(D11="FSE",XLOOKUP(B11,ICSEFSETimelineComparison!C:C,ICSEFSETimelineComparison!A:A,"Not found.",0,1),XLOOKUP(B11,ICSEFSETimelineComparison!C:C,ICSEFSETimelineComparison!E:E,"Not found.",0,1))</f>
        <v>2019,2020,2021,2022</v>
      </c>
      <c r="D11" s="558" t="s">
        <v>5676</v>
      </c>
      <c r="E11" s="559" t="s">
        <v>7538</v>
      </c>
      <c r="F11" s="559" t="str">
        <f>"("&amp;MID(ICSEFSETimelineComparison!B24,2,3)&amp;" and "&amp;MID(ICSEFSETimelineComparison!D24,2,3)&amp;")"</f>
        <v>(F17 and I17)</v>
      </c>
    </row>
    <row r="12">
      <c r="A12" s="556">
        <v>11.0</v>
      </c>
      <c r="B12" s="557" t="str">
        <f t="shared" si="1"/>
        <v>CfP encourages authors to make artifacts  available upon 
paper submission or explain why not (F18 and I18)</v>
      </c>
      <c r="C12" s="557" t="str">
        <f t="array" ref="C12">IF(D12="FSE",XLOOKUP(B12,ICSEFSETimelineComparison!C:C,ICSEFSETimelineComparison!A:A,"Not found.",0,1),XLOOKUP(B12,ICSEFSETimelineComparison!C:C,ICSEFSETimelineComparison!E:E,"Not found.",0,1))</f>
        <v>2019,2020,2021,2022,2023</v>
      </c>
      <c r="D12" s="558" t="s">
        <v>5676</v>
      </c>
      <c r="E12" s="559" t="s">
        <v>7539</v>
      </c>
      <c r="F12" s="559" t="str">
        <f>"("&amp;MID(ICSEFSETimelineComparison!B25,2,3)&amp;" and "&amp;MID(ICSEFSETimelineComparison!D25,2,3)&amp;")"</f>
        <v>(F18 and I18)</v>
      </c>
    </row>
    <row r="13">
      <c r="A13" s="556">
        <v>9.0</v>
      </c>
      <c r="B13" s="557" t="str">
        <f t="shared" si="1"/>
        <v>Conferences ask authors to declare artifact availability in the 
papers, ideally, in a section named Data Availability (F19 and I19)</v>
      </c>
      <c r="C13" s="557" t="str">
        <f t="array" ref="C13">IF(D13="FSE",XLOOKUP(B13,ICSEFSETimelineComparison!C:C,ICSEFSETimelineComparison!A:A,"Not found.",0,1),XLOOKUP(B13,ICSEFSETimelineComparison!C:C,ICSEFSETimelineComparison!E:E,"Not found.",0,1))</f>
        <v>2019,2020,2021,2023</v>
      </c>
      <c r="D13" s="558" t="s">
        <v>5676</v>
      </c>
      <c r="E13" s="559" t="s">
        <v>7540</v>
      </c>
      <c r="F13" s="559" t="str">
        <f>"("&amp;MID(ICSEFSETimelineComparison!B26,2,3)&amp;" and "&amp;MID(ICSEFSETimelineComparison!D26,2,3)&amp;")"</f>
        <v>(F19 and I19)</v>
      </c>
    </row>
    <row r="14">
      <c r="A14" s="556">
        <v>13.0</v>
      </c>
      <c r="B14" s="557" t="str">
        <f t="shared" si="1"/>
        <v>CfP states that reviewers will not necessarily consider any 
materials in the paper review process (F20 and I20)</v>
      </c>
      <c r="C14" s="557" t="str">
        <f t="array" ref="C14">IF(D14="FSE",XLOOKUP(B14,ICSEFSETimelineComparison!C:C,ICSEFSETimelineComparison!A:A,"Not found.",0,1),XLOOKUP(B14,ICSEFSETimelineComparison!C:C,ICSEFSETimelineComparison!E:E,"Not found.",0,1))</f>
        <v>2018,2019,2020,2021,2022</v>
      </c>
      <c r="D14" s="558" t="s">
        <v>5676</v>
      </c>
      <c r="E14" s="559" t="s">
        <v>7541</v>
      </c>
      <c r="F14" s="559" t="str">
        <f>"("&amp;MID(ICSEFSETimelineComparison!B27,2,3)&amp;" and "&amp;MID(ICSEFSETimelineComparison!D27,2,3)&amp;")"</f>
        <v>(F20 and I20)</v>
      </c>
    </row>
    <row r="15">
      <c r="A15" s="556">
        <v>14.0</v>
      </c>
      <c r="B15" s="557" t="str">
        <f t="shared" si="1"/>
        <v>Open Science policies are provided on the 
websites of the conferences (F21 and I22)</v>
      </c>
      <c r="C15" s="557" t="str">
        <f t="array" ref="C15">IF(D15="FSE",XLOOKUP(B15,ICSEFSETimelineComparison!C:C,ICSEFSETimelineComparison!A:A,"Not found.",0,1),XLOOKUP(B15,ICSEFSETimelineComparison!C:C,ICSEFSETimelineComparison!E:E,"Not found.",0,1))</f>
        <v>2019,2020,2021,2023</v>
      </c>
      <c r="D15" s="558" t="s">
        <v>5676</v>
      </c>
      <c r="E15" s="559" t="s">
        <v>7542</v>
      </c>
      <c r="F15" s="559" t="str">
        <f>"("&amp;MID(ICSEFSETimelineComparison!B29,2,3)&amp;" and "&amp;MID(ICSEFSETimelineComparison!D29,2,3)&amp;")"</f>
        <v>(F21 and I22)</v>
      </c>
    </row>
    <row r="16">
      <c r="A16" s="556">
        <v>15.0</v>
      </c>
      <c r="B16" s="557" t="str">
        <f t="shared" si="1"/>
        <v>Conferences adhere to the ACM SIGSOFT 
Open Science Policies (F22 and I23)</v>
      </c>
      <c r="C16" s="557" t="str">
        <f t="array" ref="C16">IF(D16="FSE",XLOOKUP(B16,ICSEFSETimelineComparison!C:C,ICSEFSETimelineComparison!A:A,"Not found.",0,1),XLOOKUP(B16,ICSEFSETimelineComparison!C:C,ICSEFSETimelineComparison!E:E,"Not found.",0,1))</f>
        <v>2023</v>
      </c>
      <c r="D16" s="558" t="s">
        <v>5676</v>
      </c>
      <c r="E16" s="559" t="s">
        <v>7543</v>
      </c>
      <c r="F16" s="559" t="str">
        <f>"("&amp;MID(ICSEFSETimelineComparison!B30,2,3)&amp;" and "&amp;MID(ICSEFSETimelineComparison!D30,2,3)&amp;")"</f>
        <v>(F22 and I23)</v>
      </c>
    </row>
    <row r="17">
      <c r="A17" s="556">
        <v>17.0</v>
      </c>
      <c r="B17" s="557" t="str">
        <f t="shared" si="1"/>
        <v>Conferences provide a guide to disclose data for double-anonymous 
peer review and make it open upon paper acceptance (F23 and I24)</v>
      </c>
      <c r="C17" s="557" t="str">
        <f t="array" ref="C17">IF(D17="FSE",XLOOKUP(B17,ICSEFSETimelineComparison!C:C,ICSEFSETimelineComparison!A:A,"Not found.",0,1),XLOOKUP(B17,ICSEFSETimelineComparison!C:C,ICSEFSETimelineComparison!E:E,"Not found.",0,1))</f>
        <v>2019,2020,2021,2022,2023</v>
      </c>
      <c r="D17" s="558" t="s">
        <v>5676</v>
      </c>
      <c r="E17" s="559" t="s">
        <v>7544</v>
      </c>
      <c r="F17" s="559" t="str">
        <f>"("&amp;MID(ICSEFSETimelineComparison!B31,2,3)&amp;" and "&amp;MID(ICSEFSETimelineComparison!D31,2,3)&amp;")"</f>
        <v>(F23 and I24)</v>
      </c>
    </row>
    <row r="18">
      <c r="A18" s="556">
        <v>18.0</v>
      </c>
      <c r="B18" s="557" t="str">
        <f t="shared" si="1"/>
        <v>Conferences provide a guide to automatically archive a 
GitHub repository to Zenodo or Figshare (F24 and I25)</v>
      </c>
      <c r="C18" s="557" t="str">
        <f t="array" ref="C18">IF(D18="FSE",XLOOKUP(B18,ICSEFSETimelineComparison!C:C,ICSEFSETimelineComparison!A:A,"Not found.",0,1),XLOOKUP(B18,ICSEFSETimelineComparison!C:C,ICSEFSETimelineComparison!E:E,"Not found.",0,1))</f>
        <v>2023</v>
      </c>
      <c r="D18" s="558" t="s">
        <v>5676</v>
      </c>
      <c r="E18" s="559" t="s">
        <v>7545</v>
      </c>
      <c r="F18" s="559" t="str">
        <f>"("&amp;MID(ICSEFSETimelineComparison!B32,2,3)&amp;" and "&amp;MID(ICSEFSETimelineComparison!D32,2,3)&amp;")"</f>
        <v>(F24 and I25)</v>
      </c>
    </row>
    <row r="19">
      <c r="A19" s="556">
        <v>19.0</v>
      </c>
      <c r="B19" s="559" t="str">
        <f t="shared" si="1"/>
        <v>Conferences host a ROSE Festival edition (F25 and I26)</v>
      </c>
      <c r="C19" s="557" t="str">
        <f t="array" ref="C19">IF(D19="FSE",XLOOKUP(B19,ICSEFSETimelineComparison!C:C,ICSEFSETimelineComparison!A:A,"Not found.",0,1),XLOOKUP(B19,ICSEFSETimelineComparison!C:C,ICSEFSETimelineComparison!E:E,"Not found.",0,1))</f>
        <v>2018,2019,2020,2021</v>
      </c>
      <c r="D19" s="558" t="s">
        <v>5676</v>
      </c>
      <c r="E19" s="559" t="s">
        <v>7546</v>
      </c>
      <c r="F19" s="559" t="str">
        <f>"("&amp;MID(ICSEFSETimelineComparison!B33,2,3)&amp;" and "&amp;MID(ICSEFSETimelineComparison!D33,2,3)&amp;")"</f>
        <v>(F25 and I26)</v>
      </c>
    </row>
    <row r="20">
      <c r="A20" s="556">
        <v>20.0</v>
      </c>
      <c r="B20" s="557" t="str">
        <f t="shared" si="1"/>
        <v>CfA invites authors of accepted papers to 
submit artifacts (F01, F02, I07, and I11)</v>
      </c>
      <c r="C20" s="557" t="str">
        <f t="array" ref="C20">IF(D20="FSE",XLOOKUP(B20,ICSEFSETimelineComparison!C:C,ICSEFSETimelineComparison!A:A,"Not found.",0,1),XLOOKUP(B20,ICSEFSETimelineComparison!C:C,ICSEFSETimelineComparison!E:E,"Not found.",0,1))</f>
        <v>2019,2020,2021,2022,2023</v>
      </c>
      <c r="D20" s="558" t="s">
        <v>5675</v>
      </c>
      <c r="E20" s="559" t="s">
        <v>7529</v>
      </c>
      <c r="F20" s="559" t="str">
        <f>"("&amp;MID(ICSEFSETimelineComparison!B8,2,3)&amp;", "&amp;MID(ICSEFSETimelineComparison!B9,2,3)&amp;", "&amp;
MID(ICSEFSETimelineComparison!D8,2,3)&amp;", and "&amp;MID(ICSEFSETimelineComparison!D9,2,3)&amp;")"</f>
        <v>(F01, F02, I07, and I11)</v>
      </c>
    </row>
    <row r="21">
      <c r="A21" s="556">
        <v>22.0</v>
      </c>
      <c r="B21" s="557" t="str">
        <f t="shared" si="1"/>
        <v>CfA invites authors of any prior SE papers to submit artifacts 
whose results were validated in other studies (F03 and I12)</v>
      </c>
      <c r="C21" s="557" t="str">
        <f t="array" ref="C21">IF(D21="FSE",XLOOKUP(B21,ICSEFSETimelineComparison!C:C,ICSEFSETimelineComparison!A:A,"Not found.",0,1),XLOOKUP(B21,ICSEFSETimelineComparison!C:C,ICSEFSETimelineComparison!E:E,"Not found.",0,1))</f>
        <v>2020,2021,2022,2023</v>
      </c>
      <c r="D21" s="558" t="s">
        <v>5675</v>
      </c>
      <c r="E21" s="559" t="s">
        <v>7530</v>
      </c>
      <c r="F21" s="559" t="str">
        <f>"("&amp;MID(ICSEFSETimelineComparison!B10,2,3)&amp;" and "&amp;MID(ICSEFSETimelineComparison!D10,2,3)&amp;")"</f>
        <v>(F03 and I12)</v>
      </c>
    </row>
    <row r="22">
      <c r="A22" s="556">
        <v>21.0</v>
      </c>
      <c r="B22" s="557" t="str">
        <f t="shared" si="1"/>
        <v>Conferences adopt ACM badges (F06 and I08)</v>
      </c>
      <c r="C22" s="557" t="str">
        <f t="array" ref="C22">IF(D22="FSE",XLOOKUP(B22,ICSEFSETimelineComparison!C:C,ICSEFSETimelineComparison!A:A,"Not found.",0,1),XLOOKUP(B22,ICSEFSETimelineComparison!C:C,ICSEFSETimelineComparison!E:E,"Not found.",0,1))</f>
        <v>2019,2020,2021,2022,2023</v>
      </c>
      <c r="D22" s="558" t="s">
        <v>5675</v>
      </c>
      <c r="E22" s="559" t="s">
        <v>7531</v>
      </c>
      <c r="F22" s="559" t="str">
        <f>"("&amp;MID(ICSEFSETimelineComparison!B12,2,3)&amp;" and "&amp;MID(ICSEFSETimelineComparison!D12,2,3)&amp;")"</f>
        <v>(F06 and I08)</v>
      </c>
    </row>
    <row r="23">
      <c r="A23" s="556">
        <v>23.0</v>
      </c>
      <c r="B23" s="557" t="str">
        <f t="shared" si="1"/>
        <v>Artifact-evaluated badges are included 
on the front page of the papers (F05 and I09)</v>
      </c>
      <c r="C23" s="557" t="str">
        <f t="array" ref="C23">IF(D23="FSE",XLOOKUP(B23,ICSEFSETimelineComparison!C:C,ICSEFSETimelineComparison!A:A,"Not found.",0,1),XLOOKUP(B23,ICSEFSETimelineComparison!C:C,ICSEFSETimelineComparison!E:E,"Not found.",0,1))</f>
        <v>2019,2020,2021,2022,2023</v>
      </c>
      <c r="D23" s="558" t="s">
        <v>5675</v>
      </c>
      <c r="E23" s="559" t="s">
        <v>7532</v>
      </c>
      <c r="F23" s="559" t="str">
        <f>"("&amp;MID(ICSEFSETimelineComparison!B13,2,3)&amp;" and "&amp;MID(ICSEFSETimelineComparison!D13,2,3)&amp;")"</f>
        <v>(F05 and I09)</v>
      </c>
    </row>
    <row r="24">
      <c r="A24" s="556">
        <v>24.0</v>
      </c>
      <c r="B24" s="557" t="str">
        <f t="shared" si="1"/>
        <v>CfA announces Best Artifact Awards (F08 and I10)</v>
      </c>
      <c r="C24" s="557" t="str">
        <f t="array" ref="C24">IF(D24="FSE",XLOOKUP(B24,ICSEFSETimelineComparison!C:C,ICSEFSETimelineComparison!A:A,"Not found.",0,1),XLOOKUP(B24,ICSEFSETimelineComparison!C:C,ICSEFSETimelineComparison!E:E,"Not found.",0,1))</f>
        <v>2019,2020,2021,2022,2023</v>
      </c>
      <c r="D24" s="558" t="s">
        <v>5675</v>
      </c>
      <c r="E24" s="559" t="s">
        <v>7533</v>
      </c>
      <c r="F24" s="559" t="str">
        <f>"("&amp;MID(ICSEFSETimelineComparison!B15,2,3)&amp;" and "&amp;MID(ICSEFSETimelineComparison!D15,2,3)&amp;")"</f>
        <v>(F08 and I10)</v>
      </c>
    </row>
    <row r="25">
      <c r="A25" s="556">
        <v>24.0</v>
      </c>
      <c r="B25" s="557" t="str">
        <f t="shared" si="1"/>
        <v>CfA states that abstracts documenting accepted artifacts 
are to be published in the proceedings (F12 and I14)</v>
      </c>
      <c r="C25" s="557" t="str">
        <f t="array" ref="C25">IF(D25="FSE",XLOOKUP(B25,ICSEFSETimelineComparison!C:C,ICSEFSETimelineComparison!A:A,"Not found.",0,1),XLOOKUP(B25,ICSEFSETimelineComparison!C:C,ICSEFSETimelineComparison!E:E,"Not found.",0,1))</f>
        <v>2021</v>
      </c>
      <c r="D25" s="558" t="s">
        <v>5675</v>
      </c>
      <c r="E25" s="559" t="s">
        <v>7534</v>
      </c>
      <c r="F25" s="559" t="str">
        <f>"("&amp;MID(ICSEFSETimelineComparison!B19,2,3)&amp;" and "&amp;MID(ICSEFSETimelineComparison!D19,2,3)&amp;")"</f>
        <v>(F12 and I14)</v>
      </c>
    </row>
    <row r="26">
      <c r="A26" s="556">
        <v>25.0</v>
      </c>
      <c r="B26" s="557" t="str">
        <f t="shared" si="1"/>
        <v>CfA states that authors of artifacts accepted as Results 
Validated may be invited to give lightning talks (F13 and I13)</v>
      </c>
      <c r="C26" s="557" t="str">
        <f t="array" ref="C26">IF(D26="FSE",XLOOKUP(B26,ICSEFSETimelineComparison!C:C,ICSEFSETimelineComparison!A:A,"Not found.",0,1),XLOOKUP(B26,ICSEFSETimelineComparison!C:C,ICSEFSETimelineComparison!E:E,"Not found.",0,1))</f>
        <v>2020,2021,2022,2023</v>
      </c>
      <c r="D26" s="558" t="s">
        <v>5675</v>
      </c>
      <c r="E26" s="559" t="s">
        <v>7535</v>
      </c>
      <c r="F26" s="559" t="str">
        <f>"("&amp;MID(ICSEFSETimelineComparison!B20,2,3)&amp;" and "&amp;MID(ICSEFSETimelineComparison!D20,2,3)&amp;")"</f>
        <v>(F13 and I13)</v>
      </c>
    </row>
    <row r="27">
      <c r="A27" s="556">
        <v>7.0</v>
      </c>
      <c r="B27" s="557" t="str">
        <f t="shared" si="1"/>
        <v>Conferences ask authors not to provide URLs to author-revealing 
sites due to the double-anonymous review process (F15 and I15)</v>
      </c>
      <c r="C27" s="557" t="str">
        <f t="array" ref="C27">IF(D27="FSE",XLOOKUP(B27,ICSEFSETimelineComparison!C:C,ICSEFSETimelineComparison!A:A,"Not found.",0,1),XLOOKUP(B27,ICSEFSETimelineComparison!C:C,ICSEFSETimelineComparison!E:E,"Not found.",0,1))</f>
        <v>2018,2019,2020,2021,2022,2023</v>
      </c>
      <c r="D27" s="558" t="s">
        <v>5675</v>
      </c>
      <c r="E27" s="557" t="s">
        <v>7536</v>
      </c>
      <c r="F27" s="559" t="str">
        <f>"("&amp;MID(ICSEFSETimelineComparison!B22,2,3)&amp;" and "&amp;MID(ICSEFSETimelineComparison!D22,2,3)&amp;")"</f>
        <v>(F15 and I15)</v>
      </c>
    </row>
    <row r="28">
      <c r="A28" s="556">
        <v>26.0</v>
      </c>
      <c r="B28" s="557" t="str">
        <f t="shared" si="1"/>
        <v>CfP states that authors can submit an additional 
file containing supplementary material (F16 and I16)</v>
      </c>
      <c r="C28" s="557" t="str">
        <f t="array" ref="C28">IF(D28="FSE",XLOOKUP(B28,ICSEFSETimelineComparison!C:C,ICSEFSETimelineComparison!A:A,"Not found.",0,1),XLOOKUP(B28,ICSEFSETimelineComparison!C:C,ICSEFSETimelineComparison!E:E,"Not found.",0,1))</f>
        <v>2018,2020,2021,2022,2023</v>
      </c>
      <c r="D28" s="558" t="s">
        <v>5675</v>
      </c>
      <c r="E28" s="559" t="s">
        <v>7537</v>
      </c>
      <c r="F28" s="559" t="str">
        <f>"("&amp;MID(ICSEFSETimelineComparison!B23,2,3)&amp;" and "&amp;MID(ICSEFSETimelineComparison!D23,2,3)&amp;")"</f>
        <v>(F16 and I16)</v>
      </c>
    </row>
    <row r="29">
      <c r="A29" s="556">
        <v>27.0</v>
      </c>
      <c r="B29" s="557" t="str">
        <f t="shared" si="1"/>
        <v>CfP encourages authors to submit a 
link to anonymous artifacts (F17 and I17)</v>
      </c>
      <c r="C29" s="557" t="str">
        <f t="array" ref="C29">IF(D29="FSE",XLOOKUP(B29,ICSEFSETimelineComparison!C:C,ICSEFSETimelineComparison!A:A,"Not found.",0,1),XLOOKUP(B29,ICSEFSETimelineComparison!C:C,ICSEFSETimelineComparison!E:E,"Not found.",0,1))</f>
        <v>2021,2022,2023</v>
      </c>
      <c r="D29" s="558" t="s">
        <v>5675</v>
      </c>
      <c r="E29" s="559" t="s">
        <v>7538</v>
      </c>
      <c r="F29" s="559" t="str">
        <f>"("&amp;MID(ICSEFSETimelineComparison!B24,2,3)&amp;" and "&amp;MID(ICSEFSETimelineComparison!D24,2,3)&amp;")"</f>
        <v>(F17 and I17)</v>
      </c>
    </row>
    <row r="30">
      <c r="A30" s="556">
        <v>29.0</v>
      </c>
      <c r="B30" s="557" t="str">
        <f t="shared" si="1"/>
        <v>CfP encourages authors to make artifacts  available upon 
paper submission or explain why not (F18 and I18)</v>
      </c>
      <c r="C30" s="557" t="str">
        <f t="array" ref="C30">IF(D30="FSE",XLOOKUP(B30,ICSEFSETimelineComparison!C:C,ICSEFSETimelineComparison!A:A,"Not found.",0,1),XLOOKUP(B30,ICSEFSETimelineComparison!C:C,ICSEFSETimelineComparison!E:E,"Not found.",0,1))</f>
        <v>2021,2022,2023</v>
      </c>
      <c r="D30" s="558" t="s">
        <v>5675</v>
      </c>
      <c r="E30" s="559" t="s">
        <v>7539</v>
      </c>
      <c r="F30" s="557" t="str">
        <f>"("&amp;MID(ICSEFSETimelineComparison!B25,2,3)&amp;" and "&amp;MID(ICSEFSETimelineComparison!D25,2,3)&amp;")"</f>
        <v>(F18 and I18)</v>
      </c>
    </row>
    <row r="31">
      <c r="A31" s="556">
        <v>28.0</v>
      </c>
      <c r="B31" s="557" t="str">
        <f t="shared" si="1"/>
        <v>Conferences ask authors to declare artifact availability in the 
papers, ideally, in a section named Data Availability (F19 and I19)</v>
      </c>
      <c r="C31" s="557" t="str">
        <f t="array" ref="C31">IF(D31="FSE",XLOOKUP(B31,ICSEFSETimelineComparison!C:C,ICSEFSETimelineComparison!A:A,"Not found.",0,1),XLOOKUP(B31,ICSEFSETimelineComparison!C:C,ICSEFSETimelineComparison!E:E,"Not found.",0,1))</f>
        <v>2021,2022,2023</v>
      </c>
      <c r="D31" s="558" t="s">
        <v>5675</v>
      </c>
      <c r="E31" s="559" t="s">
        <v>7540</v>
      </c>
      <c r="F31" s="557" t="str">
        <f>"("&amp;MID(ICSEFSETimelineComparison!B26,2,3)&amp;" and "&amp;MID(ICSEFSETimelineComparison!D26,2,3)&amp;")"</f>
        <v>(F19 and I19)</v>
      </c>
    </row>
    <row r="32">
      <c r="A32" s="556">
        <v>31.0</v>
      </c>
      <c r="B32" s="557" t="str">
        <f t="shared" si="1"/>
        <v>CfP states that reviewers will not necessarily consider any 
materials in the paper review process (F20 and I20)</v>
      </c>
      <c r="C32" s="557" t="str">
        <f t="array" ref="C32">IF(D32="FSE",XLOOKUP(B32,ICSEFSETimelineComparison!C:C,ICSEFSETimelineComparison!A:A,"Not found.",0,1),XLOOKUP(B32,ICSEFSETimelineComparison!C:C,ICSEFSETimelineComparison!E:E,"Not found.",0,1))</f>
        <v>2018,2020,2021,2022,2023</v>
      </c>
      <c r="D32" s="558" t="s">
        <v>5675</v>
      </c>
      <c r="E32" s="559" t="s">
        <v>7541</v>
      </c>
      <c r="F32" s="559" t="str">
        <f>"("&amp;MID(ICSEFSETimelineComparison!B27,2,3)&amp;" and "&amp;MID(ICSEFSETimelineComparison!D27,2,3)&amp;")"</f>
        <v>(F20 and I20)</v>
      </c>
    </row>
    <row r="33">
      <c r="A33" s="556">
        <v>32.0</v>
      </c>
      <c r="B33" s="557" t="str">
        <f t="shared" si="1"/>
        <v>Open Science policies are provided on the 
websites of the conferences (F21 and I22)</v>
      </c>
      <c r="C33" s="557" t="str">
        <f t="array" ref="C33">IF(D33="FSE",XLOOKUP(B33,ICSEFSETimelineComparison!C:C,ICSEFSETimelineComparison!A:A,"Not found.",0,1),XLOOKUP(B33,ICSEFSETimelineComparison!C:C,ICSEFSETimelineComparison!E:E,"Not found.",0,1))</f>
        <v>2021,2022,2023</v>
      </c>
      <c r="D33" s="558" t="s">
        <v>5675</v>
      </c>
      <c r="E33" s="559" t="s">
        <v>7542</v>
      </c>
      <c r="F33" s="559" t="str">
        <f>"("&amp;MID(ICSEFSETimelineComparison!B29,2,3)&amp;" and "&amp;MID(ICSEFSETimelineComparison!D29,2,3)&amp;")"</f>
        <v>(F21 and I22)</v>
      </c>
    </row>
    <row r="34">
      <c r="A34" s="556">
        <v>33.0</v>
      </c>
      <c r="B34" s="557" t="str">
        <f t="shared" si="1"/>
        <v>Conferences adhere to the ACM SIGSOFT 
Open Science Policies (F22 and I23)</v>
      </c>
      <c r="C34" s="557" t="str">
        <f t="array" ref="C34">IF(D34="FSE",XLOOKUP(B34,ICSEFSETimelineComparison!C:C,ICSEFSETimelineComparison!A:A,"Not found.",0,1),XLOOKUP(B34,ICSEFSETimelineComparison!C:C,ICSEFSETimelineComparison!E:E,"Not found.",0,1))</f>
        <v>2021,2022,2023</v>
      </c>
      <c r="D34" s="558" t="s">
        <v>5675</v>
      </c>
      <c r="E34" s="559" t="s">
        <v>7543</v>
      </c>
      <c r="F34" s="559" t="str">
        <f>"("&amp;MID(ICSEFSETimelineComparison!B30,2,3)&amp;" and "&amp;MID(ICSEFSETimelineComparison!D30,2,3)&amp;")"</f>
        <v>(F22 and I23)</v>
      </c>
    </row>
    <row r="35">
      <c r="A35" s="556">
        <v>35.0</v>
      </c>
      <c r="B35" s="557" t="str">
        <f t="shared" si="1"/>
        <v>Conferences provide a guide to disclose data for double-anonymous 
peer review and make it open upon paper acceptance (F23 and I24)</v>
      </c>
      <c r="C35" s="557" t="str">
        <f t="array" ref="C35">IF(D35="FSE",XLOOKUP(B35,ICSEFSETimelineComparison!C:C,ICSEFSETimelineComparison!A:A,"Not found.",0,1),XLOOKUP(B35,ICSEFSETimelineComparison!C:C,ICSEFSETimelineComparison!E:E,"Not found.",0,1))</f>
        <v>2021,2022,2023</v>
      </c>
      <c r="D35" s="558" t="s">
        <v>5675</v>
      </c>
      <c r="E35" s="559" t="s">
        <v>7544</v>
      </c>
      <c r="F35" s="559" t="str">
        <f>"("&amp;MID(ICSEFSETimelineComparison!B31,2,3)&amp;" and "&amp;MID(ICSEFSETimelineComparison!D31,2,3)&amp;")"</f>
        <v>(F23 and I24)</v>
      </c>
    </row>
    <row r="36">
      <c r="A36" s="556">
        <v>36.0</v>
      </c>
      <c r="B36" s="557" t="str">
        <f t="shared" si="1"/>
        <v>Conferences provide a guide to automatically archive a 
GitHub repository to Zenodo or Figshare (F24 and I25)</v>
      </c>
      <c r="C36" s="557" t="str">
        <f t="array" ref="C36">IF(D36="FSE",XLOOKUP(B36,ICSEFSETimelineComparison!C:C,ICSEFSETimelineComparison!A:A,"Not found.",0,1),XLOOKUP(B36,ICSEFSETimelineComparison!C:C,ICSEFSETimelineComparison!E:E,"Not found.",0,1))</f>
        <v>2021,2022,2023</v>
      </c>
      <c r="D36" s="558" t="s">
        <v>5675</v>
      </c>
      <c r="E36" s="559" t="s">
        <v>7545</v>
      </c>
      <c r="F36" s="559" t="str">
        <f>"("&amp;MID(ICSEFSETimelineComparison!B32,2,3)&amp;" and "&amp;MID(ICSEFSETimelineComparison!D32,2,3)&amp;")"</f>
        <v>(F24 and I25)</v>
      </c>
    </row>
    <row r="37">
      <c r="A37" s="556">
        <v>37.0</v>
      </c>
      <c r="B37" s="559" t="str">
        <f t="shared" si="1"/>
        <v>Conferences host a ROSE Festival edition (F25 and I26)</v>
      </c>
      <c r="C37" s="557" t="str">
        <f t="array" ref="C37">IF(D37="FSE",XLOOKUP(B37,ICSEFSETimelineComparison!C:C,ICSEFSETimelineComparison!A:A,"Not found.",0,1),XLOOKUP(B37,ICSEFSETimelineComparison!C:C,ICSEFSETimelineComparison!E:E,"Not found.",0,1))</f>
        <v>2019,2020,2023</v>
      </c>
      <c r="D37" s="558" t="s">
        <v>5675</v>
      </c>
      <c r="E37" s="559" t="s">
        <v>7546</v>
      </c>
      <c r="F37" s="559" t="str">
        <f>"("&amp;MID(ICSEFSETimelineComparison!B33,2,3)&amp;" and "&amp;MID(ICSEFSETimelineComparison!D33,2,3)&amp;")"</f>
        <v>(F25 and I26)</v>
      </c>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49.38"/>
    <col customWidth="1" min="3" max="3" width="49.25"/>
    <col customWidth="1" min="4" max="4" width="50.5"/>
    <col customWidth="1" min="5" max="5" width="13.5"/>
  </cols>
  <sheetData>
    <row r="1">
      <c r="A1" s="560" t="s">
        <v>7547</v>
      </c>
      <c r="B1" s="561" t="s">
        <v>7548</v>
      </c>
      <c r="C1" s="562" t="s">
        <v>7549</v>
      </c>
      <c r="D1" s="563" t="s">
        <v>7550</v>
      </c>
      <c r="E1" s="564" t="s">
        <v>7551</v>
      </c>
    </row>
    <row r="2">
      <c r="A2" s="565" t="str">
        <f t="array" ref="A2">IF(C2&lt;&gt;"-",XLOOKUP(B2,FSETimelineData!A:A,FSETimelineData!B:B,"Not found",0,1),"-")</f>
        <v>-</v>
      </c>
      <c r="B2" s="566" t="s">
        <v>36</v>
      </c>
      <c r="C2" s="567" t="s">
        <v>36</v>
      </c>
      <c r="D2" s="568" t="str">
        <f>ICSETimelineData!A2</f>
        <v>(I01) Technical track CfP encourages authors to discuss verifiability 
and provide links to artifacts in a Verifiability section in the paper.</v>
      </c>
      <c r="E2" s="569" t="str">
        <f t="array" ref="E2">IF(C2&lt;&gt;"-", XLOOKUP(D2,ICSETimelineData!A:A,ICSETimelineData!B:B,"Not found",0,1),"-")</f>
        <v>-</v>
      </c>
    </row>
    <row r="3">
      <c r="A3" s="565" t="str">
        <f t="array" ref="A3">IF(C3&lt;&gt;"-",XLOOKUP(B3,FSETimelineData!A:A,FSETimelineData!B:B,"Not found",0,1),"-")</f>
        <v>-</v>
      </c>
      <c r="B3" s="566" t="s">
        <v>36</v>
      </c>
      <c r="C3" s="567" t="s">
        <v>36</v>
      </c>
      <c r="D3" s="568" t="str">
        <f>ICSETimelineData!A3</f>
        <v>(I02) CfP states that Verifiability is an evaluation 
criterion for papers submitted to the Technical track.</v>
      </c>
      <c r="E3" s="569" t="str">
        <f t="array" ref="E3">IF(C3&lt;&gt;"-", XLOOKUP(D3,ICSETimelineData!A:A,ICSETimelineData!B:B,"Not found",0,1),"-")</f>
        <v>-</v>
      </c>
    </row>
    <row r="4">
      <c r="A4" s="565" t="str">
        <f t="array" ref="A4">IF(C4&lt;&gt;"-",XLOOKUP(B4,FSETimelineData!A:A,FSETimelineData!B:B,"Not found",0,1),"-")</f>
        <v>-</v>
      </c>
      <c r="B4" s="566" t="s">
        <v>36</v>
      </c>
      <c r="C4" s="567" t="s">
        <v>36</v>
      </c>
      <c r="D4" s="568" t="str">
        <f>ICSETimelineData!A4</f>
        <v>(I03) CfP states that Verifiability is an evaluation 
criterion for papers submitted to the SEET track.</v>
      </c>
      <c r="E4" s="569" t="str">
        <f t="array" ref="E4">IF(C4&lt;&gt;"-", XLOOKUP(D4,ICSETimelineData!A:A,ICSETimelineData!B:B,"Not found",0,1),"-")</f>
        <v>-</v>
      </c>
    </row>
    <row r="5">
      <c r="A5" s="565" t="str">
        <f t="array" ref="A5">IF(C5&lt;&gt;"-",XLOOKUP(B5,FSETimelineData!A:A,FSETimelineData!B:B,"Not found",0,1),"-")</f>
        <v>-</v>
      </c>
      <c r="B5" s="566" t="s">
        <v>36</v>
      </c>
      <c r="C5" s="567" t="s">
        <v>36</v>
      </c>
      <c r="D5" s="568" t="str">
        <f>ICSETimelineData!A5</f>
        <v>(I04) CfP states that Verifiability is an evaluation 
criterion for papers submitted to the NIER track.</v>
      </c>
      <c r="E5" s="569" t="str">
        <f t="array" ref="E5">IF(C5&lt;&gt;"-", XLOOKUP(D5,ICSETimelineData!A:A,ICSETimelineData!B:B,"Not found",0,1),"-")</f>
        <v>-</v>
      </c>
    </row>
    <row r="6">
      <c r="A6" s="565" t="str">
        <f t="array" ref="A6">IF(C6&lt;&gt;"-",XLOOKUP(B6,FSETimelineData!A:A,FSETimelineData!B:B,"Not found",0,1),"-")</f>
        <v>-</v>
      </c>
      <c r="B6" s="566" t="s">
        <v>36</v>
      </c>
      <c r="C6" s="567" t="s">
        <v>36</v>
      </c>
      <c r="D6" s="568" t="str">
        <f>ICSETimelineData!A6</f>
        <v>(I05) CfP states that Availability is an evaluation 
criterion for tool papers submitted to the SEET track.</v>
      </c>
      <c r="E6" s="569" t="str">
        <f t="array" ref="E6">IF(C6&lt;&gt;"-", XLOOKUP(D6,ICSETimelineData!A:A,ICSETimelineData!B:B,"Not found",0,1),"-")</f>
        <v>-</v>
      </c>
    </row>
    <row r="7">
      <c r="A7" s="565" t="str">
        <f t="array" ref="A7">IF(C7&lt;&gt;"-",XLOOKUP(B7,FSETimelineData!A:A,FSETimelineData!B:B,"Not found",0,1),"-")</f>
        <v>-</v>
      </c>
      <c r="B7" s="566" t="s">
        <v>36</v>
      </c>
      <c r="C7" s="567" t="s">
        <v>36</v>
      </c>
      <c r="D7" s="570" t="str">
        <f>ICSETimelineData!A7</f>
        <v>(I06) An Artifact Evaluation Committee
is mentioned in the CfP of the SEIS track.</v>
      </c>
      <c r="E7" s="571" t="str">
        <f t="array" ref="E7">IF(C7&lt;&gt;"-", XLOOKUP(D7,ICSETimelineData!A:A,ICSETimelineData!B:B,"Not found",0,1),"-")</f>
        <v>-</v>
      </c>
    </row>
    <row r="8">
      <c r="A8" s="572" t="str">
        <f t="array" ref="A8">IF(C8&lt;&gt;"-",XLOOKUP(B8,FSETimelineData!A:A,FSETimelineData!B:B,"Not found",0,1),"-")</f>
        <v>2014,2015,2016,2017,2018,2019,2020,2021,2022,2023</v>
      </c>
      <c r="B8" s="573" t="str">
        <f>FSETimelineData!A2</f>
        <v>(F01) CfA invites authors of accepted 
Research papers to submit artifacts.</v>
      </c>
      <c r="C8" s="574" t="str">
        <f>ICSEFSETimelineData!B2</f>
        <v>CfA invites authors of accepted papers to 
submit artifacts (F01, F02, I07, and I11)</v>
      </c>
      <c r="D8" s="570" t="str">
        <f>ICSETimelineData!A8</f>
        <v>(I07) CfA invites authors of accepted 
Technical papers to submit artifacts.</v>
      </c>
      <c r="E8" s="571" t="str">
        <f t="array" ref="E8">IF(C8&lt;&gt;"-", XLOOKUP(D8,ICSETimelineData!A:A,ICSETimelineData!B:B,"Not found",0,1),"-")</f>
        <v>2019,2020,2021,2022,2023</v>
      </c>
    </row>
    <row r="9">
      <c r="A9" s="572" t="str">
        <f t="array" ref="A9">IF(C9&lt;&gt;"-",XLOOKUP(B9,FSETimelineData!A:A,FSETimelineData!B:B,"Not found",0,1),"-")</f>
        <v>2022,2023</v>
      </c>
      <c r="B9" s="573" t="str">
        <f>FSETimelineData!A3</f>
        <v>(F02) CfA invites authors of accepted 
Industrial papers to submit artifacts.</v>
      </c>
      <c r="C9" s="448"/>
      <c r="D9" s="570" t="str">
        <f>ICSETimelineData!A12</f>
        <v>(I11) CfA invites authors of accepted SEIP, SEET, 
SEIS, and NIER papers to submit artifacts.</v>
      </c>
      <c r="E9" s="571" t="str">
        <f t="array" ref="E9">IF(C9&lt;&gt;"-", XLOOKUP(D9,ICSETimelineData!A:A,ICSETimelineData!B:B,"Not found",0,1),"-")</f>
        <v>2020,2021,2022,2023</v>
      </c>
    </row>
    <row r="10">
      <c r="A10" s="572" t="str">
        <f t="array" ref="A10">IF(C10&lt;&gt;"-",XLOOKUP(B10,FSETimelineData!A:A,FSETimelineData!B:B,"Not found",0,1),"-")</f>
        <v>2020,2021,2022,2023</v>
      </c>
      <c r="B10" s="573" t="str">
        <f>FSETimelineData!A4</f>
        <v>(F03) CfA invites authors of any prior SE papers to submit 
artifacts whose results were validated in other studies.</v>
      </c>
      <c r="C10" s="575" t="str">
        <f>ICSEFSETimelineData!B3</f>
        <v>CfA invites authors of any prior SE papers to submit artifacts 
whose results were validated in other studies (F03 and I12)</v>
      </c>
      <c r="D10" s="570" t="str">
        <f>ICSETimelineData!A13</f>
        <v>(I12) CfA invites authors of any prior SE papers to submit 
artifacts whose results were validated in other studies.</v>
      </c>
      <c r="E10" s="571" t="str">
        <f t="array" ref="E10">IF(C10&lt;&gt;"-", XLOOKUP(D10,ICSETimelineData!A:A,ICSETimelineData!B:B,"Not found",0,1),"-")</f>
        <v>2020,2021,2022,2023</v>
      </c>
    </row>
    <row r="11">
      <c r="A11" s="576" t="str">
        <f t="array" ref="A11">IF(C11&lt;&gt;"-",XLOOKUP(B11,FSETimelineData!A:A,FSETimelineData!B:B,"Not found",0,1),"-")</f>
        <v>-</v>
      </c>
      <c r="B11" s="577" t="str">
        <f>FSETimelineData!A5</f>
        <v>(F04) FSE classifies artifacts as Diamond, Platinum, and Gold.</v>
      </c>
      <c r="C11" s="567" t="s">
        <v>36</v>
      </c>
      <c r="D11" s="578" t="s">
        <v>36</v>
      </c>
      <c r="E11" s="579" t="str">
        <f t="array" ref="E11">IF(C11&lt;&gt;"-", XLOOKUP(D11,ICSETimelineData!A:A,ICSETimelineData!B:B,"Not found",0,1),"-")</f>
        <v>-</v>
      </c>
    </row>
    <row r="12">
      <c r="A12" s="576" t="str">
        <f t="array" ref="A12">IF(C12&lt;&gt;"-",XLOOKUP(B12,FSETimelineData!A:A,FSETimelineData!B:B,"Not found",0,1),"-")</f>
        <v>2017,2018,2019,2020,2021,2022,2023</v>
      </c>
      <c r="B12" s="577" t="str">
        <f>FSETimelineData!A7</f>
        <v>(F06) FSE adopts ACM Badges.</v>
      </c>
      <c r="C12" s="575" t="str">
        <f>ICSEFSETimelineData!B4</f>
        <v>Conferences adopt ACM badges (F06 and I08)</v>
      </c>
      <c r="D12" s="570" t="str">
        <f>ICSETimelineData!A9</f>
        <v>(I08) ICSE adopts ACM Badges.</v>
      </c>
      <c r="E12" s="571" t="str">
        <f t="array" ref="E12">IF(C12&lt;&gt;"-", XLOOKUP(D12,ICSETimelineData!A:A,ICSETimelineData!B:B,"Not found",0,1),"-")</f>
        <v>2019,2020,2021,2022,2023</v>
      </c>
    </row>
    <row r="13">
      <c r="A13" s="576" t="str">
        <f t="array" ref="A13">IF(C13&lt;&gt;"-",XLOOKUP(B13,FSETimelineData!A:A,FSETimelineData!B:B,"Not found",0,1),"-")</f>
        <v>2016,2017,2018,2019,2020,2021,2022,2023</v>
      </c>
      <c r="B13" s="577" t="str">
        <f>FSETimelineData!A6</f>
        <v>(F05) Artifact-evaluated badges are included
on the front page of the papers.</v>
      </c>
      <c r="C13" s="575" t="str">
        <f>ICSEFSETimelineData!B5</f>
        <v>Artifact-evaluated badges are included 
on the front page of the papers (F05 and I09)</v>
      </c>
      <c r="D13" s="570" t="str">
        <f>ICSETimelineData!A10</f>
        <v>(I09) Artifact-evaluated badges are included
on the front page of the papers.</v>
      </c>
      <c r="E13" s="571" t="str">
        <f t="array" ref="E13">IF(C13&lt;&gt;"-", XLOOKUP(D13,ICSETimelineData!A:A,ICSETimelineData!B:B,"Not found",0,1),"-")</f>
        <v>2019,2020,2021,2022,2023</v>
      </c>
    </row>
    <row r="14">
      <c r="A14" s="580" t="str">
        <f t="array" ref="A14">IF(C14&lt;&gt;"-",XLOOKUP(B14,FSETimelineData!A:A,FSETimelineData!B:B,"Not found",0,1),"-")</f>
        <v>-</v>
      </c>
      <c r="B14" s="581" t="str">
        <f>FSETimelineData!A8</f>
        <v>(F07) CfA announces visibility rewards 
for artifacts successfully evaluated.</v>
      </c>
      <c r="C14" s="567" t="s">
        <v>36</v>
      </c>
      <c r="D14" s="578" t="s">
        <v>36</v>
      </c>
      <c r="E14" s="579" t="str">
        <f t="array" ref="E14">IF(C14&lt;&gt;"-", XLOOKUP(D14,ICSETimelineData!A:A,ICSETimelineData!B:B,"Not found",0,1),"-")</f>
        <v>-</v>
      </c>
    </row>
    <row r="15">
      <c r="A15" s="580" t="str">
        <f t="array" ref="A15">IF(C15&lt;&gt;"-",XLOOKUP(B15,FSETimelineData!A:A,FSETimelineData!B:B,"Not found",0,1),"-")</f>
        <v>2014,2016,2020,2021,2022,2023</v>
      </c>
      <c r="B15" s="581" t="str">
        <f>FSETimelineData!A9</f>
        <v>(F08) CfA announces Best Artifact Awards.</v>
      </c>
      <c r="C15" s="575" t="str">
        <f>ICSEFSETimelineData!B6</f>
        <v>CfA announces Best Artifact Awards (F08 and I10)</v>
      </c>
      <c r="D15" s="570" t="str">
        <f>ICSETimelineData!A11</f>
        <v>(I10) CfA announces Best Artifact Awards.</v>
      </c>
      <c r="E15" s="571" t="str">
        <f t="array" ref="E15">IF(C15&lt;&gt;"-", XLOOKUP(D15,ICSETimelineData!A:A,ICSETimelineData!B:B,"Not found",0,1),"-")</f>
        <v>2019,2020,2021,2022,2023</v>
      </c>
    </row>
    <row r="16">
      <c r="A16" s="580" t="str">
        <f t="array" ref="A16">IF(C16&lt;&gt;"-",XLOOKUP(B16,FSETimelineData!A:A,FSETimelineData!B:B,"Not found",0,1),"-")</f>
        <v>-</v>
      </c>
      <c r="B16" s="581" t="str">
        <f>FSETimelineData!A10</f>
        <v>(F09) Authors of papers with accepted artifacts benefit from 
five more minutes of presentation at the conference.</v>
      </c>
      <c r="C16" s="567" t="s">
        <v>36</v>
      </c>
      <c r="D16" s="578" t="s">
        <v>36</v>
      </c>
      <c r="E16" s="579" t="str">
        <f t="array" ref="E16">IF(C16&lt;&gt;"-", XLOOKUP(D16,ICSETimelineData!A:A,ICSETimelineData!B:B,"Not found",0,1),"-")</f>
        <v>-</v>
      </c>
    </row>
    <row r="17">
      <c r="A17" s="580" t="str">
        <f t="array" ref="A17">IF(C17&lt;&gt;"-",XLOOKUP(B17,FSETimelineData!A:A,FSETimelineData!B:B,"Not found",0,1),"-")</f>
        <v>-</v>
      </c>
      <c r="B17" s="581" t="str">
        <f>FSETimelineData!A11</f>
        <v>(F10) CfA states that accepted artifacts are 
stored in the ACM Digital Library.</v>
      </c>
      <c r="C17" s="567" t="s">
        <v>36</v>
      </c>
      <c r="D17" s="578" t="s">
        <v>36</v>
      </c>
      <c r="E17" s="579" t="str">
        <f t="array" ref="E17">IF(C17&lt;&gt;"-", XLOOKUP(D17,ICSETimelineData!A:A,ICSETimelineData!B:B,"Not found",0,1),"-")</f>
        <v>-</v>
      </c>
    </row>
    <row r="18">
      <c r="A18" s="580" t="str">
        <f t="array" ref="A18">IF(C18&lt;&gt;"-",XLOOKUP(B18,FSETimelineData!A:A,FSETimelineData!B:B,"Not found",0,1),"-")</f>
        <v>-</v>
      </c>
      <c r="B18" s="581" t="str">
        <f>FSETimelineData!A12</f>
        <v>(F11) CfA states that papers with accepted artifacts benefit from 
an extra page dedicated to the presentation of the artifacts.</v>
      </c>
      <c r="C18" s="567" t="s">
        <v>36</v>
      </c>
      <c r="D18" s="578" t="s">
        <v>36</v>
      </c>
      <c r="E18" s="579" t="str">
        <f t="array" ref="E18">IF(C18&lt;&gt;"-", XLOOKUP(D18,ICSETimelineData!A:A,ICSETimelineData!B:B,"Not found",0,1),"-")</f>
        <v>-</v>
      </c>
    </row>
    <row r="19">
      <c r="A19" s="580" t="str">
        <f t="array" ref="A19">IF(C19&lt;&gt;"-",XLOOKUP(B19,FSETimelineData!A:A,FSETimelineData!B:B,"Not found",0,1),"-")</f>
        <v>2021</v>
      </c>
      <c r="B19" s="581" t="str">
        <f>FSETimelineData!A13</f>
        <v>(F12) CfA states that abstracts documenting accepted 
artifacts are to be published in the proceedings.</v>
      </c>
      <c r="C19" s="575" t="str">
        <f>ICSEFSETimelineData!B7</f>
        <v>CfA states that abstracts documenting accepted artifacts 
are to be published in the proceedings (F12 and I14)</v>
      </c>
      <c r="D19" s="570" t="str">
        <f>ICSETimelineData!A15</f>
        <v>(I14) CfA states that abstracts documenting accepted 
artifacts are to be published in the proceedings.</v>
      </c>
      <c r="E19" s="571" t="str">
        <f t="array" ref="E19">IF(C19&lt;&gt;"-", XLOOKUP(D19,ICSETimelineData!A:A,ICSETimelineData!B:B,"Not found",0,1),"-")</f>
        <v>2021</v>
      </c>
    </row>
    <row r="20">
      <c r="A20" s="580" t="str">
        <f t="array" ref="A20">IF(C20&lt;&gt;"-",XLOOKUP(B20,FSETimelineData!A:A,FSETimelineData!B:B,"Not found",0,1),"-")</f>
        <v>2020,2021,2022,2023</v>
      </c>
      <c r="B20" s="581" t="str">
        <f>FSETimelineData!A14</f>
        <v>(F13) CfA states that authors of artifacts accepted as 
Results Validated may be invited to give lightning talks.</v>
      </c>
      <c r="C20" s="575" t="str">
        <f>ICSEFSETimelineData!B8</f>
        <v>CfA states that authors of artifacts accepted as Results 
Validated may be invited to give lightning talks (F13 and I13)</v>
      </c>
      <c r="D20" s="570" t="str">
        <f>ICSETimelineData!A14</f>
        <v>(I13) CfA states that authors of artifacts accepted as 
Results Validated may be invited to give lightning talks.</v>
      </c>
      <c r="E20" s="571" t="str">
        <f t="array" ref="E20">IF(C20&lt;&gt;"-", XLOOKUP(D20,ICSETimelineData!A:A,ICSETimelineData!B:B,"Not found",0,1),"-")</f>
        <v>2020,2021,2022,2023</v>
      </c>
    </row>
    <row r="21">
      <c r="A21" s="580" t="str">
        <f t="array" ref="A21">IF(C21&lt;&gt;"-",XLOOKUP(B21,FSETimelineData!A:A,FSETimelineData!B:B,"Not found",0,1),"-")</f>
        <v>-</v>
      </c>
      <c r="B21" s="581" t="str">
        <f>FSETimelineData!A15</f>
        <v>(F14) CfA states that authors of artifacts accepted as 
Artifact Evaluated may be invited to give lightning talks.</v>
      </c>
      <c r="C21" s="567" t="s">
        <v>36</v>
      </c>
      <c r="D21" s="578" t="s">
        <v>36</v>
      </c>
      <c r="E21" s="579" t="str">
        <f t="array" ref="E21">IF(C21&lt;&gt;"-", XLOOKUP(D21,ICSETimelineData!A:A,ICSETimelineData!B:B,"Not found",0,1),"-")</f>
        <v>-</v>
      </c>
    </row>
    <row r="22">
      <c r="A22" s="582" t="str">
        <f t="array" ref="A22">IF(C22&lt;&gt;"-",XLOOKUP(B22,FSETimelineData!A:A,FSETimelineData!B:B,"Not found",0,1),"-")</f>
        <v>2017,2018,2019,2020,2021,2022,2023</v>
      </c>
      <c r="B22" s="583" t="str">
        <f>FSETimelineData!A16</f>
        <v>(F15) Research track CfP asks authors not to provide URLs to 
author-revealing sites due to the double-anonymous review process.</v>
      </c>
      <c r="C22" s="575" t="str">
        <f>ICSEFSETimelineData!B9</f>
        <v>Conferences ask authors not to provide URLs to author-revealing 
sites due to the double-anonymous review process (F15 and I15)</v>
      </c>
      <c r="D22" s="584" t="str">
        <f>ICSETimelineData!A16</f>
        <v>(I15) ICSE asks authors not to provide URLs to author-revealing 
sites due to the double-anonymous review process.</v>
      </c>
      <c r="E22" s="585" t="str">
        <f t="array" ref="E22">IF(C22&lt;&gt;"-", XLOOKUP(D22,ICSETimelineData!A:A,ICSETimelineData!B:B,"Not found",0,1),"-")</f>
        <v>2018,2019,2020,2021,2022,2023</v>
      </c>
    </row>
    <row r="23">
      <c r="A23" s="582" t="str">
        <f t="array" ref="A23">IF(C23&lt;&gt;"-",XLOOKUP(B23,FSETimelineData!A:A,FSETimelineData!B:B,"Not found",0,1),"-")</f>
        <v>2018,2019,2020,2021,2022</v>
      </c>
      <c r="B23" s="583" t="str">
        <f>FSETimelineData!A17</f>
        <v>(F16) Research track CfP states that authors can submit 
an additional file containing supplementary material.</v>
      </c>
      <c r="C23" s="575" t="str">
        <f>ICSEFSETimelineData!B10</f>
        <v>CfP states that authors can submit an additional 
file containing supplementary material (F16 and I16)</v>
      </c>
      <c r="D23" s="584" t="str">
        <f>ICSETimelineData!A17</f>
        <v>(I16) CfPs state that authors can submit an 
additional file containing supplementary material.</v>
      </c>
      <c r="E23" s="585" t="str">
        <f t="array" ref="E23">IF(C23&lt;&gt;"-", XLOOKUP(D23,ICSETimelineData!A:A,ICSETimelineData!B:B,"Not found",0,1),"-")</f>
        <v>2018,2020,2021,2022,2023</v>
      </c>
    </row>
    <row r="24">
      <c r="A24" s="582" t="str">
        <f t="array" ref="A24">IF(C24&lt;&gt;"-",XLOOKUP(B24,FSETimelineData!A:A,FSETimelineData!B:B,"Not found",0,1),"-")</f>
        <v>2019,2020,2021,2022</v>
      </c>
      <c r="B24" s="583" t="str">
        <f>FSETimelineData!A18</f>
        <v>(F17) Research track CfP encourages authors 
to submit a link to anonymous artifacts.</v>
      </c>
      <c r="C24" s="575" t="str">
        <f>ICSEFSETimelineData!B11</f>
        <v>CfP encourages authors to submit a 
link to anonymous artifacts (F17 and I17)</v>
      </c>
      <c r="D24" s="584" t="str">
        <f>ICSETimelineData!A18</f>
        <v>(I17) CfPs encourage authors to 
submit a link to anonymous artifacts.</v>
      </c>
      <c r="E24" s="585" t="str">
        <f t="array" ref="E24">IF(C24&lt;&gt;"-", XLOOKUP(D24,ICSETimelineData!A:A,ICSETimelineData!B:B,"Not found",0,1),"-")</f>
        <v>2021,2022,2023</v>
      </c>
    </row>
    <row r="25">
      <c r="A25" s="582" t="str">
        <f t="array" ref="A25">IF(C25&lt;&gt;"-",XLOOKUP(B25,FSETimelineData!A:A,FSETimelineData!B:B,"Not found",0,1),"-")</f>
        <v>2019,2020,2021,2022,2023</v>
      </c>
      <c r="B25" s="583" t="str">
        <f>FSETimelineData!A19</f>
        <v>(F18) Research track CfP encourages authors to make artifacts 
available upon paper submission or explain why not.</v>
      </c>
      <c r="C25" s="575" t="str">
        <f>ICSEFSETimelineData!B12</f>
        <v>CfP encourages authors to make artifacts  available upon 
paper submission or explain why not (F18 and I18)</v>
      </c>
      <c r="D25" s="584" t="str">
        <f>ICSETimelineData!A19</f>
        <v>(I18) ICSE encourages authors to make artifacts 
available upon paper submission or explain why not.</v>
      </c>
      <c r="E25" s="585" t="str">
        <f t="array" ref="E25">IF(C25&lt;&gt;"-", XLOOKUP(D25,ICSETimelineData!A:A,ICSETimelineData!B:B,"Not found",0,1),"-")</f>
        <v>2021,2022,2023</v>
      </c>
    </row>
    <row r="26">
      <c r="A26" s="582" t="str">
        <f t="array" ref="A26">IF(C26&lt;&gt;"-",XLOOKUP(B26,FSETimelineData!A:A,FSETimelineData!B:B,"Not found",0,1),"-")</f>
        <v>2019,2020,2021,2023</v>
      </c>
      <c r="B26" s="583" t="str">
        <f>FSETimelineData!A20</f>
        <v>(F19) FSE asks authors to declare artifact availability in
the papers, ideally, in a section named Data Availability.</v>
      </c>
      <c r="C26" s="575" t="str">
        <f>ICSEFSETimelineData!B13</f>
        <v>Conferences ask authors to declare artifact availability in the 
papers, ideally, in a section named Data Availability (F19 and I19)</v>
      </c>
      <c r="D26" s="584" t="str">
        <f>ICSETimelineData!A20</f>
        <v>(I19) ICSE asks authors to declare artifact availability in
the papers, ideally, in a section named Data Availability.</v>
      </c>
      <c r="E26" s="585" t="str">
        <f t="array" ref="E26">IF(C26&lt;&gt;"-", XLOOKUP(D26,ICSETimelineData!A:A,ICSETimelineData!B:B,"Not found",0,1),"-")</f>
        <v>2021,2022,2023</v>
      </c>
    </row>
    <row r="27">
      <c r="A27" s="582" t="str">
        <f t="array" ref="A27">IF(C27&lt;&gt;"-",XLOOKUP(B27,FSETimelineData!A:A,FSETimelineData!B:B,"Not found",0,1),"-")</f>
        <v>2018,2019,2020,2021,2022</v>
      </c>
      <c r="B27" s="583" t="str">
        <f>FSETimelineData!A21</f>
        <v>(F20) Research track CfP states that reviewers will not ne-
cessarily consider any materials in the paper review process.</v>
      </c>
      <c r="C27" s="575" t="str">
        <f>ICSEFSETimelineData!B14</f>
        <v>CfP states that reviewers will not necessarily consider any 
materials in the paper review process (F20 and I20)</v>
      </c>
      <c r="D27" s="584" t="str">
        <f>ICSETimelineData!A21</f>
        <v>(I20) ICSE states that reviewers will not necessarily 
consider any materials in the paper review process.</v>
      </c>
      <c r="E27" s="585" t="str">
        <f t="array" ref="E27">IF(C27&lt;&gt;"-", XLOOKUP(D27,ICSETimelineData!A:A,ICSETimelineData!B:B,"Not found",0,1),"-")</f>
        <v>2018,2020,2021,2022,2023</v>
      </c>
    </row>
    <row r="28">
      <c r="A28" s="565" t="str">
        <f t="array" ref="A28">IF(C28&lt;&gt;"-",XLOOKUP(B28,FSETimelineData!A:A,FSETimelineData!B:B,"Not found",0,1),"-")</f>
        <v>-</v>
      </c>
      <c r="B28" s="566" t="s">
        <v>36</v>
      </c>
      <c r="C28" s="567" t="s">
        <v>36</v>
      </c>
      <c r="D28" s="584" t="str">
        <f>ICSETimelineData!A22</f>
        <v>(I21) Technical track CfP states that the shared artifact 
will undergo a lightweight check by a paper reviewer.</v>
      </c>
      <c r="E28" s="585" t="str">
        <f t="array" ref="E28">IF(C28&lt;&gt;"-", XLOOKUP(D28,ICSETimelineData!A:A,ICSETimelineData!B:B,"Not found",0,1),"-")</f>
        <v>-</v>
      </c>
    </row>
    <row r="29">
      <c r="A29" s="586" t="str">
        <f t="array" ref="A29">IF(C29&lt;&gt;"-",XLOOKUP(B29,FSETimelineData!A:A,FSETimelineData!B:B,"Not found",0,1),"-")</f>
        <v>2019,2020,2021,2023</v>
      </c>
      <c r="B29" s="587" t="str">
        <f>FSETimelineData!A22</f>
        <v>(F21) Open Science policies are provided on the FSE website.</v>
      </c>
      <c r="C29" s="575" t="str">
        <f>ICSEFSETimelineData!B15</f>
        <v>Open Science policies are provided on the 
websites of the conferences (F21 and I22)</v>
      </c>
      <c r="D29" s="588" t="str">
        <f>ICSETimelineData!A23</f>
        <v>(I22) Open Science policies are provided on the ICSE website.</v>
      </c>
      <c r="E29" s="589" t="str">
        <f t="array" ref="E29">IF(C29&lt;&gt;"-", XLOOKUP(D29,ICSETimelineData!A:A,ICSETimelineData!B:B,"Not found",0,1),"-")</f>
        <v>2021,2022,2023</v>
      </c>
    </row>
    <row r="30">
      <c r="A30" s="586" t="str">
        <f t="array" ref="A30">IF(C30&lt;&gt;"-",XLOOKUP(B30,FSETimelineData!A:A,FSETimelineData!B:B,"Not found",0,1),"-")</f>
        <v>2023</v>
      </c>
      <c r="B30" s="587" t="str">
        <f>FSETimelineData!A23</f>
        <v>(F22) FSE adheres to the ACM SIGSOFT Open Science Policies.</v>
      </c>
      <c r="C30" s="575" t="str">
        <f>ICSEFSETimelineData!B16</f>
        <v>Conferences adhere to the ACM SIGSOFT 
Open Science Policies (F22 and I23)</v>
      </c>
      <c r="D30" s="588" t="str">
        <f>ICSETimelineData!A24</f>
        <v>(I23) ICSE adheres to the ACM SIGSOFT Open Science Policies.</v>
      </c>
      <c r="E30" s="589" t="str">
        <f t="array" ref="E30">IF(C30&lt;&gt;"-", XLOOKUP(D30,ICSETimelineData!A:A,ICSETimelineData!B:B,"Not found",0,1),"-")</f>
        <v>2021,2022,2023</v>
      </c>
    </row>
    <row r="31">
      <c r="A31" s="586" t="str">
        <f t="array" ref="A31">IF(C31&lt;&gt;"-",XLOOKUP(B31,FSETimelineData!A:A,FSETimelineData!B:B,"Not found",0,1),"-")</f>
        <v>2019,2020,2021,2022,2023</v>
      </c>
      <c r="B31" s="587" t="str">
        <f>FSETimelineData!A24</f>
        <v>(F23) FSE provides a guide to disclose data for double-anonymous
peer review and make it open upon paper acceptance.</v>
      </c>
      <c r="C31" s="575" t="str">
        <f>ICSEFSETimelineData!B17</f>
        <v>Conferences provide a guide to disclose data for double-anonymous 
peer review and make it open upon paper acceptance (F23 and I24)</v>
      </c>
      <c r="D31" s="588" t="str">
        <f>ICSETimelineData!A25</f>
        <v>(I24) ICSE provides a guide to disclose data for double-anonymous 
peer review and make it open upon paper acceptance.</v>
      </c>
      <c r="E31" s="589" t="str">
        <f t="array" ref="E31">IF(C31&lt;&gt;"-", XLOOKUP(D31,ICSETimelineData!A:A,ICSETimelineData!B:B,"Not found",0,1),"-")</f>
        <v>2021,2022,2023</v>
      </c>
    </row>
    <row r="32">
      <c r="A32" s="586" t="str">
        <f t="array" ref="A32">IF(C32&lt;&gt;"-",XLOOKUP(B32,FSETimelineData!A:A,FSETimelineData!B:B,"Not found",0,1),"-")</f>
        <v>2023</v>
      </c>
      <c r="B32" s="587" t="str">
        <f>FSETimelineData!A25</f>
        <v>(F24) FSE provides a guide to automatically archive 
a GitHub repository to Zenodo or Figshare.</v>
      </c>
      <c r="C32" s="575" t="str">
        <f>ICSEFSETimelineData!B18</f>
        <v>Conferences provide a guide to automatically archive a 
GitHub repository to Zenodo or Figshare (F24 and I25)</v>
      </c>
      <c r="D32" s="588" t="str">
        <f>ICSETimelineData!A26</f>
        <v>(I25) ICSE provides a guide to automatically archive 
a GitHub repository to Zenodo or Figshare.</v>
      </c>
      <c r="E32" s="589" t="str">
        <f t="array" ref="E32">IF(C32&lt;&gt;"-", XLOOKUP(D32,ICSETimelineData!A:A,ICSETimelineData!B:B,"Not found",0,1),"-")</f>
        <v>2021,2022,2023</v>
      </c>
    </row>
    <row r="33">
      <c r="A33" s="590" t="str">
        <f t="array" ref="A33">IF(C33&lt;&gt;"-",XLOOKUP(B33,FSETimelineData!A:A,FSETimelineData!B:B,"Not found",0,1),"-")</f>
        <v>2018,2019,2020,2021</v>
      </c>
      <c r="B33" s="591" t="str">
        <f>FSETimelineData!A26</f>
        <v>(F25) FSE hosts a ROSE Festival edition.</v>
      </c>
      <c r="C33" s="592" t="str">
        <f>ICSEFSETimelineData!B19</f>
        <v>Conferences host a ROSE Festival edition (F25 and I26)</v>
      </c>
      <c r="D33" s="593" t="str">
        <f>ICSETimelineData!A27</f>
        <v>(I26) ICSE hosts a ROSE Festival edition.</v>
      </c>
      <c r="E33" s="594" t="str">
        <f t="array" ref="E33">IF(C33&lt;&gt;"-", XLOOKUP(D33,ICSETimelineData!A:A,ICSETimelineData!B:B,"Not found",0,1),"-")</f>
        <v>2019,2020,2023</v>
      </c>
    </row>
  </sheetData>
  <mergeCells count="1">
    <mergeCell ref="C8:C9"/>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0.13"/>
    <col customWidth="1" min="3" max="3" width="13.0"/>
    <col customWidth="1" min="4" max="4" width="16.25"/>
  </cols>
  <sheetData>
    <row r="1">
      <c r="A1" s="499" t="s">
        <v>2</v>
      </c>
      <c r="B1" s="499" t="s">
        <v>5684</v>
      </c>
      <c r="C1" s="499" t="s">
        <v>7552</v>
      </c>
      <c r="D1" s="499" t="s">
        <v>7553</v>
      </c>
    </row>
    <row r="2">
      <c r="A2" s="595">
        <v>2014.0</v>
      </c>
      <c r="B2" s="595" t="s">
        <v>5676</v>
      </c>
      <c r="C2" s="596" t="str">
        <f>PapersOverview!K3</f>
        <v>57.4</v>
      </c>
      <c r="D2" s="596" t="str">
        <f>PapersOverview!S3</f>
        <v>24.6</v>
      </c>
    </row>
    <row r="3">
      <c r="A3" s="595">
        <v>2015.0</v>
      </c>
      <c r="B3" s="595" t="s">
        <v>5676</v>
      </c>
      <c r="C3" s="596" t="str">
        <f>PapersOverview!K4</f>
        <v>64.9</v>
      </c>
      <c r="D3" s="596" t="str">
        <f>PapersOverview!S4</f>
        <v>23.0</v>
      </c>
    </row>
    <row r="4">
      <c r="A4" s="595">
        <v>2016.0</v>
      </c>
      <c r="B4" s="595" t="s">
        <v>5676</v>
      </c>
      <c r="C4" s="596" t="str">
        <f>PapersOverview!K5</f>
        <v>73.0</v>
      </c>
      <c r="D4" s="596" t="str">
        <f>PapersOverview!S5</f>
        <v>23.0</v>
      </c>
    </row>
    <row r="5">
      <c r="A5" s="595">
        <v>2017.0</v>
      </c>
      <c r="B5" s="595" t="s">
        <v>5676</v>
      </c>
      <c r="C5" s="596" t="str">
        <f>PapersOverview!K6</f>
        <v>73.6</v>
      </c>
      <c r="D5" s="596" t="str">
        <f>PapersOverview!S6</f>
        <v>15.3</v>
      </c>
    </row>
    <row r="6">
      <c r="A6" s="595">
        <v>2018.0</v>
      </c>
      <c r="B6" s="595" t="s">
        <v>5676</v>
      </c>
      <c r="C6" s="596" t="str">
        <f>PapersOverview!K7</f>
        <v>83.6</v>
      </c>
      <c r="D6" s="596" t="str">
        <f>PapersOverview!S7</f>
        <v>32.8</v>
      </c>
    </row>
    <row r="7">
      <c r="A7" s="595">
        <v>2019.0</v>
      </c>
      <c r="B7" s="595" t="s">
        <v>5676</v>
      </c>
      <c r="C7" s="596" t="str">
        <f>PapersOverview!K8</f>
        <v>83.8</v>
      </c>
      <c r="D7" s="596" t="str">
        <f>PapersOverview!S8</f>
        <v>28.4</v>
      </c>
    </row>
    <row r="8">
      <c r="A8" s="595">
        <v>2020.0</v>
      </c>
      <c r="B8" s="595" t="s">
        <v>5676</v>
      </c>
      <c r="C8" s="596" t="str">
        <f>PapersOverview!K9</f>
        <v>90.1</v>
      </c>
      <c r="D8" s="596" t="str">
        <f>PapersOverview!S9</f>
        <v>53.5</v>
      </c>
    </row>
    <row r="9">
      <c r="A9" s="595">
        <v>2021.0</v>
      </c>
      <c r="B9" s="595" t="s">
        <v>5676</v>
      </c>
      <c r="C9" s="596" t="str">
        <f>PapersOverview!K10</f>
        <v>87.6</v>
      </c>
      <c r="D9" s="596" t="str">
        <f>PapersOverview!S10</f>
        <v>51.5</v>
      </c>
    </row>
    <row r="10">
      <c r="A10" s="595">
        <v>2022.0</v>
      </c>
      <c r="B10" s="595" t="s">
        <v>5676</v>
      </c>
      <c r="C10" s="596" t="str">
        <f>PapersOverview!K11</f>
        <v>91.9</v>
      </c>
      <c r="D10" s="596" t="str">
        <f>PapersOverview!S11</f>
        <v>41.4</v>
      </c>
    </row>
    <row r="11">
      <c r="A11" s="595">
        <v>2023.0</v>
      </c>
      <c r="B11" s="595" t="s">
        <v>5676</v>
      </c>
      <c r="C11" s="596" t="str">
        <f>PapersOverview!K12</f>
        <v>98.4</v>
      </c>
      <c r="D11" s="596" t="str">
        <f>PapersOverview!S12</f>
        <v>48.8</v>
      </c>
    </row>
  </sheetData>
  <drawing r:id="rId1"/>
</worksheet>
</file>